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omments8.xml" ContentType="application/vnd.openxmlformats-officedocument.spreadsheetml.comments+xml"/>
  <Override PartName="/xl/drawings/drawing39.xml" ContentType="application/vnd.openxmlformats-officedocument.drawing+xml"/>
  <Override PartName="/xl/drawings/drawing17.xml" ContentType="application/vnd.openxmlformats-officedocument.drawingml.chartshapes+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42.xml" ContentType="application/vnd.openxmlformats-officedocument.drawing+xml"/>
  <Override PartName="/xl/charts/chart27.xml" ContentType="application/vnd.openxmlformats-officedocument.drawingml.chart+xml"/>
  <Override PartName="/xl/worksheets/sheet87.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charts/chart16.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omments10.xml" ContentType="application/vnd.openxmlformats-officedocument.spreadsheetml.comments+xml"/>
  <Override PartName="/xl/charts/chart30.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Default Extension="png" ContentType="image/png"/>
  <Override PartName="/xl/drawings/drawing69.xml" ContentType="application/vnd.openxmlformats-officedocument.drawingml.chartshapes+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ml.chartshapes+xml"/>
  <Override PartName="/xl/charts/chart5.xml" ContentType="application/vnd.openxmlformats-officedocument.drawingml.chart+xml"/>
  <Override PartName="/xl/drawings/drawing29.xml" ContentType="application/vnd.openxmlformats-officedocument.drawing+xml"/>
  <Override PartName="/xl/comments9.xml" ContentType="application/vnd.openxmlformats-officedocument.spreadsheetml.comments+xml"/>
  <Override PartName="/xl/drawings/drawing58.xml" ContentType="application/vnd.openxmlformats-officedocument.drawing+xml"/>
  <Override PartName="/xl/drawings/drawing76.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emf" ContentType="image/x-emf"/>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drawings/drawing65.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drawings/drawing25.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drawings/drawing72.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drawings/drawing14.xml" ContentType="application/vnd.openxmlformats-officedocument.drawing+xml"/>
  <Override PartName="/xl/drawings/drawing32.xml" ContentType="application/vnd.openxmlformats-officedocument.drawing+xml"/>
  <Override PartName="/xl/drawings/drawing61.xml" ContentType="application/vnd.openxmlformats-officedocument.drawing+xml"/>
  <Override PartName="/xl/charts/chart28.xml" ContentType="application/vnd.openxmlformats-officedocument.drawingml.char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drawings/drawing50.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chartsheets/sheet1.xml" ContentType="application/vnd.openxmlformats-officedocument.spreadsheetml.chartsheet+xml"/>
  <Override PartName="/xl/worksheets/sheet84.xml" ContentType="application/vnd.openxmlformats-officedocument.spreadsheetml.worksheet+xml"/>
  <Override PartName="/xl/pivotCache/pivotCacheRecords1.xml" ContentType="application/vnd.openxmlformats-officedocument.spreadsheetml.pivotCacheRecords+xml"/>
  <Override PartName="/xl/charts/chart31.xml" ContentType="application/vnd.openxmlformats-officedocument.drawingml.char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charts/chart6.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queryTables/queryTable1.xml" ContentType="application/vnd.openxmlformats-officedocument.spreadsheetml.queryTable+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drawings/drawing66.xml" ContentType="application/vnd.openxmlformats-officedocument.drawing+xml"/>
  <Override PartName="/xl/drawings/drawing77.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comments6.xml" ContentType="application/vnd.openxmlformats-officedocument.spreadsheetml.comments+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charts/chart29.xml" ContentType="application/vnd.openxmlformats-officedocument.drawingml.chart+xml"/>
  <Override PartName="/xl/drawings/drawing73.xml" ContentType="application/vnd.openxmlformats-officedocument.drawing+xml"/>
  <Override PartName="/xl/worksheets/sheet89.xml" ContentType="application/vnd.openxmlformats-officedocument.spreadsheetml.worksheet+xml"/>
  <Override PartName="/xl/externalLinks/externalLink3.xml" ContentType="application/vnd.openxmlformats-officedocument.spreadsheetml.externalLink+xml"/>
  <Override PartName="/xl/connections.xml" ContentType="application/vnd.openxmlformats-officedocument.spreadsheetml.connections+xml"/>
  <Override PartName="/xl/comments2.xml" ContentType="application/vnd.openxmlformats-officedocument.spreadsheetml.comments+xml"/>
  <Override PartName="/xl/drawings/drawing22.xml" ContentType="application/vnd.openxmlformats-officedocument.drawingml.chartshapes+xml"/>
  <Override PartName="/xl/drawings/drawing33.xml" ContentType="application/vnd.openxmlformats-officedocument.drawing+xml"/>
  <Override PartName="/xl/drawings/drawing51.xml" ContentType="application/vnd.openxmlformats-officedocument.drawing+xml"/>
  <Override PartName="/xl/charts/chart18.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heets/sheet2.xml" ContentType="application/vnd.openxmlformats-officedocument.spreadsheetml.chartsheet+xml"/>
  <Override PartName="/xl/worksheets/sheet85.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drawings/drawing78.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ml.chartshapes+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Default Extension="jpeg" ContentType="image/jpeg"/>
  <Override PartName="/xl/charts/chart3.xml" ContentType="application/vnd.openxmlformats-officedocument.drawingml.chart+xml"/>
  <Override PartName="/xl/drawings/drawing27.xml" ContentType="application/vnd.openxmlformats-officedocument.drawing+xml"/>
  <Override PartName="/xl/comments7.xml" ContentType="application/vnd.openxmlformats-officedocument.spreadsheetml.comments+xml"/>
  <Override PartName="/xl/drawings/drawing45.xml" ContentType="application/vnd.openxmlformats-officedocument.drawing+xml"/>
  <Override PartName="/xl/drawings/drawing56.xml" ContentType="application/vnd.openxmlformats-officedocument.drawing+xml"/>
  <Override PartName="/xl/drawings/drawing74.xml" ContentType="application/vnd.openxmlformats-officedocument.drawing+xml"/>
  <Override PartName="/xl/pivotTables/pivotTable1.xml" ContentType="application/vnd.openxmlformats-officedocument.spreadsheetml.pivotTable+xml"/>
  <Override PartName="/xl/externalLinks/externalLink4.xml" ContentType="application/vnd.openxmlformats-officedocument.spreadsheetml.externalLink+xml"/>
  <Override PartName="/xl/drawings/drawing16.xml" ContentType="application/vnd.openxmlformats-officedocument.drawing+xml"/>
  <Override PartName="/xl/drawings/drawing34.xml" ContentType="application/vnd.openxmlformats-officedocument.drawing+xml"/>
  <Override PartName="/xl/drawings/drawing63.xml" ContentType="application/vnd.openxmlformats-officedocument.drawingml.chartshap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charts/chart19.xml" ContentType="application/vnd.openxmlformats-officedocument.drawingml.chart+xml"/>
  <Override PartName="/xl/drawings/drawing70.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pivotCache/pivotCacheDefinition1.xml" ContentType="application/vnd.openxmlformats-officedocument.spreadsheetml.pivotCacheDefinition+xml"/>
  <Override PartName="/xl/drawings/drawing12.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ml.chartshapes+xml"/>
  <Override PartName="/xl/drawings/drawing79.xml" ContentType="application/vnd.openxmlformats-officedocument.drawing+xml"/>
  <Override PartName="/xl/worksheets/sheet42.xml" ContentType="application/vnd.openxmlformats-officedocument.spreadsheetml.worksheet+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comments4.xml" ContentType="application/vnd.openxmlformats-officedocument.spreadsheetml.comments+xml"/>
  <Override PartName="/xl/drawings/drawing35.xml" ContentType="application/vnd.openxmlformats-officedocument.drawing+xml"/>
  <Override PartName="/xl/drawings/drawing13.xml" ContentType="application/vnd.openxmlformats-officedocument.drawing+xml"/>
  <Override PartName="/xl/drawings/drawing24.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45" windowWidth="12120" windowHeight="8115" tabRatio="861"/>
  </bookViews>
  <sheets>
    <sheet name="Overview" sheetId="48" r:id="rId1"/>
    <sheet name="FAQ" sheetId="123" r:id="rId2"/>
    <sheet name="Questions" sheetId="43" r:id="rId3"/>
    <sheet name="ActionsOrgChart" sheetId="55" r:id="rId4"/>
    <sheet name="Factors" sheetId="44" r:id="rId5"/>
    <sheet name="CACP CO2" sheetId="134" r:id="rId6"/>
    <sheet name="CACP CH4" sheetId="133" r:id="rId7"/>
    <sheet name="CACP N2O" sheetId="132" r:id="rId8"/>
    <sheet name="CACP CO2e" sheetId="135" r:id="rId9"/>
    <sheet name="CACP Inventory" sheetId="136" r:id="rId10"/>
    <sheet name="2009 Inventory" sheetId="42" r:id="rId11"/>
    <sheet name="VSG" sheetId="138" r:id="rId12"/>
    <sheet name="Sheet2" sheetId="139" r:id="rId13"/>
    <sheet name="Population" sheetId="1" r:id="rId14"/>
    <sheet name="CampusAreaInputs" sheetId="7" state="hidden" r:id="rId15"/>
    <sheet name="CampusArea" sheetId="13" r:id="rId16"/>
    <sheet name="UtilityDemand" sheetId="137" r:id="rId17"/>
    <sheet name="PrimaryEnergyInputs" sheetId="47" state="hidden" r:id="rId18"/>
    <sheet name="PrimaryEnergy" sheetId="3" state="hidden" r:id="rId19"/>
    <sheet name="GHG Emissions" sheetId="49" r:id="rId20"/>
    <sheet name="GHG_CHT" sheetId="50" r:id="rId21"/>
    <sheet name="Policy" sheetId="53" r:id="rId22"/>
    <sheet name="CommodityPricing" sheetId="58" r:id="rId23"/>
    <sheet name="GHGPrice" sheetId="54" r:id="rId24"/>
    <sheet name="ExposureCalculations" sheetId="51" r:id="rId25"/>
    <sheet name="BAUCashFlow" sheetId="171" r:id="rId26"/>
    <sheet name="GHGFinExp" sheetId="52" r:id="rId27"/>
    <sheet name="Template" sheetId="56" r:id="rId28"/>
    <sheet name="ShortECM" sheetId="146" r:id="rId29"/>
    <sheet name="MidECM" sheetId="147" r:id="rId30"/>
    <sheet name="LongECM" sheetId="148" r:id="rId31"/>
    <sheet name="BehaviorChange" sheetId="152" r:id="rId32"/>
    <sheet name="SpacePlanning" sheetId="162" r:id="rId33"/>
    <sheet name="GreenBuild" sheetId="161" r:id="rId34"/>
    <sheet name="GreenIT" sheetId="160" r:id="rId35"/>
    <sheet name="CentralChillerExp" sheetId="165" r:id="rId36"/>
    <sheet name="CHP" sheetId="163" r:id="rId37"/>
    <sheet name="CHP_NG_Baseload_With DB" sheetId="169" r:id="rId38"/>
    <sheet name="CoalToNG" sheetId="164" r:id="rId39"/>
    <sheet name="Wind" sheetId="145" r:id="rId40"/>
    <sheet name="GreenPwr1" sheetId="143" r:id="rId41"/>
    <sheet name="GreenPwr2" sheetId="144" r:id="rId42"/>
    <sheet name="GreenPwr2 Data" sheetId="142" r:id="rId43"/>
    <sheet name="GeoExchange" sheetId="151" r:id="rId44"/>
    <sheet name="RooftopPV" sheetId="166" r:id="rId45"/>
    <sheet name="SolarDHW" sheetId="153" r:id="rId46"/>
    <sheet name="DishStirling" sheetId="158" r:id="rId47"/>
    <sheet name="Dish Stirling SAM" sheetId="156" r:id="rId48"/>
    <sheet name="Parabolic" sheetId="159" r:id="rId49"/>
    <sheet name="Parabolic Trough SAM" sheetId="157" r:id="rId50"/>
    <sheet name="SteamLineImp" sheetId="149" r:id="rId51"/>
    <sheet name="UnitaryChiller" sheetId="150" r:id="rId52"/>
    <sheet name="ReducedAir" sheetId="167" r:id="rId53"/>
    <sheet name="ReducedAuto" sheetId="168" r:id="rId54"/>
    <sheet name="WasteReduction" sheetId="154" r:id="rId55"/>
    <sheet name="WasteDiversion" sheetId="155" r:id="rId56"/>
    <sheet name="Scope1" sheetId="63" r:id="rId57"/>
    <sheet name="Scope2" sheetId="64" r:id="rId58"/>
    <sheet name="Scope3Commute" sheetId="65" r:id="rId59"/>
    <sheet name="Scope3Air" sheetId="66" r:id="rId60"/>
    <sheet name="GHGSavings" sheetId="67" r:id="rId61"/>
    <sheet name="FuelSavings" sheetId="68" r:id="rId62"/>
    <sheet name="CAPEX" sheetId="69" r:id="rId63"/>
    <sheet name="AvoidedCAPEX" sheetId="121" r:id="rId64"/>
    <sheet name="OPEX" sheetId="70" r:id="rId65"/>
    <sheet name="GHGComplianceSavings" sheetId="71" r:id="rId66"/>
    <sheet name="ElectricityConsumption" sheetId="119" r:id="rId67"/>
    <sheet name="SteamConsumption" sheetId="120" r:id="rId68"/>
    <sheet name="CWConsumption" sheetId="140" r:id="rId69"/>
    <sheet name="WedgeData" sheetId="72" r:id="rId70"/>
    <sheet name="Control" sheetId="60" r:id="rId71"/>
    <sheet name="Summary" sheetId="57" r:id="rId72"/>
    <sheet name="CurveData" sheetId="76" r:id="rId73"/>
    <sheet name="Abatement 2" sheetId="122" r:id="rId74"/>
    <sheet name="Abatement Curve" sheetId="77" r:id="rId75"/>
    <sheet name="PortfolioCombo" sheetId="172" r:id="rId76"/>
    <sheet name="PortfolioDashboard" sheetId="118" r:id="rId77"/>
    <sheet name="Other Cost" sheetId="170" r:id="rId78"/>
    <sheet name="ChartAdvisorTempSheet" sheetId="177" state="hidden" r:id="rId79"/>
    <sheet name="PieChart" sheetId="187" r:id="rId80"/>
    <sheet name="PortCAPEX" sheetId="190" r:id="rId81"/>
    <sheet name="PortOPEXwFuel" sheetId="189" r:id="rId82"/>
    <sheet name="PortfolioCFStatement" sheetId="175" r:id="rId83"/>
    <sheet name="VSG (3)" sheetId="176" r:id="rId84"/>
    <sheet name="VSG (4)" sheetId="188" r:id="rId85"/>
    <sheet name="Building List" sheetId="178" r:id="rId86"/>
    <sheet name="Key &amp; Summary" sheetId="179" r:id="rId87"/>
    <sheet name="BuildingListNoSpaces" sheetId="180" r:id="rId88"/>
    <sheet name="GSFBYYEAR" sheetId="182" r:id="rId89"/>
    <sheet name="PIVOT" sheetId="183" r:id="rId90"/>
    <sheet name="Sheet6" sheetId="184" r:id="rId91"/>
    <sheet name="Buildings Removed" sheetId="185" r:id="rId92"/>
    <sheet name="BY START DATE" sheetId="186"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_1__123Graph_ACHART_4" localSheetId="25" hidden="1">#REF!</definedName>
    <definedName name="_1__123Graph_ACHART_4" localSheetId="83" hidden="1">#REF!</definedName>
    <definedName name="_1__123Graph_ACHART_4" localSheetId="84" hidden="1">#REF!</definedName>
    <definedName name="_1__123Graph_ACHART_4" hidden="1">#REF!</definedName>
    <definedName name="_2__123Graph_BCHART_4" localSheetId="25" hidden="1">#REF!</definedName>
    <definedName name="_2__123Graph_BCHART_4" localSheetId="83" hidden="1">#REF!</definedName>
    <definedName name="_2__123Graph_BCHART_4" localSheetId="84" hidden="1">#REF!</definedName>
    <definedName name="_2__123Graph_BCHART_4" hidden="1">#REF!</definedName>
    <definedName name="a" hidden="1">'[1]DSM Output'!$J$21:$J$23</definedName>
    <definedName name="Abatement_Scope_1">Scope1!$A$4</definedName>
    <definedName name="Abatement_Scope_2">Scope2!$A$4</definedName>
    <definedName name="Abatement_Scope_3_Air">Scope3Air!$A$4</definedName>
    <definedName name="Abatement_Scope_3_Commuting">Scope3Commute!$A$4</definedName>
    <definedName name="Average_Abatement" localSheetId="37">OFFSET([2]Control!$H$4,0,0,[2]Control!$A$2,1)</definedName>
    <definedName name="Average_Abatement">OFFSET([2]Control!$H$4,0,0,[2]Control!$A$2,1)</definedName>
    <definedName name="BehaviorChange">BehaviorChange!$D$1</definedName>
    <definedName name="boiler_efficiency">Factors!$B$51</definedName>
    <definedName name="BTU_Electric_per_kWh">Factors!$B$23</definedName>
    <definedName name="Btu_per_lb">Factors!$B$24</definedName>
    <definedName name="Btu_per_MMBtu">Factors!$A$15</definedName>
    <definedName name="btu_tonhr">Factors!$B$25</definedName>
    <definedName name="CAPEX" localSheetId="63">AvoidedCAPEX!$A$3</definedName>
    <definedName name="CAPEX">CAPEX!$A$3</definedName>
    <definedName name="CBWorkbookPriority" hidden="1">-1405497211</definedName>
    <definedName name="CentralChillerExp">CentralChillerExp!$D$1</definedName>
    <definedName name="choose?" localSheetId="24">ExposureCalculations!$N$30:$N$31</definedName>
    <definedName name="choose?">ExposureCalculations!$O$30:$O$31</definedName>
    <definedName name="CHP">CHP!$D$1</definedName>
    <definedName name="CHTDates">OFFSET([3]CHT_CampusArea!$W$6,0,0,[3]CHT_CampusArea!$D$3+1,1)</definedName>
    <definedName name="CHTRNG_All">OFFSET([3]CHT_CampusArea!$W$5,0,0,[3]CHT_CampusArea!$D$3+1,INDEX([3]CHT_CampusArea!$AH$5:$AH$12,MATCH([3]CHT_CampusArea!$B$3,[3]CHT_CampusArea!$AF$5:$AF$12,0)))</definedName>
    <definedName name="CHTRNG_Series">OFFSET(INDIRECT(INDEX([3]CHT_CampusArea!$AG$5:$AG$12,MATCH([3]CHT_CampusArea!$B$3,[3]CHT_CampusArea!$AF$5:$AF$12,0))),[3]CHT_CampusArea!$AJ$10,0,[3]CHT_CampusArea!$D$3+1,INDEX([3]CHT_CampusArea!$AH$5:$AH$12,MATCH([3]CHT_CampusArea!$B$3,[3]CHT_CampusArea!$AF$5:$AF$12,0)))</definedName>
    <definedName name="CHTRNG_Years">OFFSET([3]CampusAreabyYear!$A$1,[3]CHT_CampusArea!$AJ$10,0,[3]CHT_CampusArea!$D$3+1,1)</definedName>
    <definedName name="CHTSeries1">OFFSET(CHTDates,0,1)</definedName>
    <definedName name="CHTSeries2">OFFSET(CHTDates,0,2)</definedName>
    <definedName name="CHTSeries3">OFFSET(CHTDates,0,3)</definedName>
    <definedName name="CHTSeries4">OFFSET(CHTDates,0,4)</definedName>
    <definedName name="CHTSeries5">OFFSET(CHTDates,0,5)</definedName>
    <definedName name="CHTSeries6">OFFSET(CHTDates,0,6)</definedName>
    <definedName name="CHTSeries7">OFFSET(CHTDates,0,7)</definedName>
    <definedName name="CoalToNG">CoalToNG!$D$1</definedName>
    <definedName name="Commodity_Initial_yr">Factors!$B$43</definedName>
    <definedName name="Current_yr">Factors!$B$44</definedName>
    <definedName name="CWConsumption">CWConsumption!$A$3</definedName>
    <definedName name="dfgdf" hidden="1">{#N/A,#N/A,FALSE,"ENG640-2"}</definedName>
    <definedName name="DiscountRate">Factors!$B$42</definedName>
    <definedName name="DishStirling">DishStirling!$D$1</definedName>
    <definedName name="dsfgdfsg" hidden="1">{#N/A,#N/A,FALSE,"ENG640-2"}</definedName>
    <definedName name="EF_PurchElec_MTperMWh">Factors!$N$15</definedName>
    <definedName name="ElecConsTable">ElectricityConsumption!$B$4:$AF$45</definedName>
    <definedName name="ElectricityConsumption">ElectricityConsumption!$A$3</definedName>
    <definedName name="Emission_factor_coal">Factors!$N$5</definedName>
    <definedName name="Emission_Factor_FuelOil">Factors!$N$6</definedName>
    <definedName name="Emission_Factor_NG">Factors!$N$9</definedName>
    <definedName name="Emissions_Factor_NG">Factors!$N$9</definedName>
    <definedName name="Emissions_factor_PurchCooling">Factors!$N$18</definedName>
    <definedName name="Emissions_factor_PurchEL">Factors!$N$13</definedName>
    <definedName name="Emissions_factor_PurchSteam">Factors!$N$17</definedName>
    <definedName name="enthalpy">Factors!$B$50</definedName>
    <definedName name="Escalation">Factors!$B$31</definedName>
    <definedName name="EUI_Current_1_Elec">Factors!$I$35</definedName>
    <definedName name="EUI_Current_1_NG">Factors!$H$35</definedName>
    <definedName name="EUI_Current_2_Elec">Factors!$I$36</definedName>
    <definedName name="EUI_Current_2_NG">Factors!$H$36</definedName>
    <definedName name="EUI_Current_3_Elec">Factors!$I$37</definedName>
    <definedName name="EUI_Current_3_NG">Factors!$H$37</definedName>
    <definedName name="EUI_Current_4_Elec">Factors!$I$38</definedName>
    <definedName name="EUI_Current_4_NG">Factors!$H$38</definedName>
    <definedName name="EUI_Post668_1_Elec">Factors!$I$40</definedName>
    <definedName name="EUI_Post668_1_NG">Factors!$H$40</definedName>
    <definedName name="EUI_Post668_2_Elec">Factors!$I$41</definedName>
    <definedName name="EUI_Post668_2_NG">Factors!$H$41</definedName>
    <definedName name="EUI_Post668_3_Elec">Factors!$I$42</definedName>
    <definedName name="EUI_Post668_3_NG">Factors!$H$42</definedName>
    <definedName name="EUI_Post668_4_Elec">Factors!$I$43</definedName>
    <definedName name="EUI_Post668_4_NG">Factors!$H$43</definedName>
    <definedName name="EUI_Post668_5_Elec">Factors!$I$44</definedName>
    <definedName name="EUI_Post668_5_NG">Factors!$H$44</definedName>
    <definedName name="fgfdg" hidden="1">{#N/A,#N/A,FALSE,"ENG640-2"}</definedName>
    <definedName name="FuelSavingsAbatement">FuelSavings!$A$3</definedName>
    <definedName name="gdfg" hidden="1">{#N/A,#N/A,FALSE,"CHVPK-1";#N/A,#N/A,FALSE,"CHVPK-2"}</definedName>
    <definedName name="GeoExchange">GeoExchange!$D$1</definedName>
    <definedName name="GHGComplianceSavings">GHGComplianceSavings!$A$3</definedName>
    <definedName name="GHGSavings">GHGSavings!$B$4:$AF$45</definedName>
    <definedName name="GHGSavingsAbatement">GHGSavings!$A$3</definedName>
    <definedName name="GreenBuild">GreenBuild!$D$1</definedName>
    <definedName name="GreenIT">GreenIT!$D$1</definedName>
    <definedName name="GreenPwr1">GreenPwr1!$D$1</definedName>
    <definedName name="GreenPwr2">GreenPwr2!$D$1</definedName>
    <definedName name="GridFootprintbyYear">PortfolioDashboard!$BP$9</definedName>
    <definedName name="GridFootprintToggle">PortfolioDashboard!$B$1</definedName>
    <definedName name="Growth_Scenarios">Factors!$A$59:$A$64</definedName>
    <definedName name="gwp_ch4">Factors!$I$20</definedName>
    <definedName name="gwp_n2o">Factors!$J$20</definedName>
    <definedName name="HOME">Summary!$A$1</definedName>
    <definedName name="Inflation">Factors!$B$30</definedName>
    <definedName name="IRR" localSheetId="37">OFFSET([2]Control!$L$4,0,0,[2]Control!$A$2,1)</definedName>
    <definedName name="IRR">OFFSET(Control!$L$4,0,0,Control!$A$2,1)</definedName>
    <definedName name="LegislativeScenarios" localSheetId="24">ExposureCalculations!$M$6:$O$6</definedName>
    <definedName name="Levelized_Cost" localSheetId="37">OFFSET([2]Control!$E$4,0,0,[2]Control!$A$2,1)</definedName>
    <definedName name="Levelized_Cost">OFFSET(Control!$E$4,0,0,Control!$A$2,1)</definedName>
    <definedName name="Levelized_Cost_Adjusted" localSheetId="37">OFFSET([2]Control!$G$4,0,0,[2]Control!$A$2,1)</definedName>
    <definedName name="Levelized_Cost_Adjusted">OFFSET(Control!$G$4,0,0,Control!$A$2,1)</definedName>
    <definedName name="Levelized_Cost_Avoided_Compliance" localSheetId="37">OFFSET([2]Control!$F$4,0,0,[2]Control!$A$2,1)</definedName>
    <definedName name="Levelized_Cost_Avoided_Compliance">OFFSET(Control!$F$4,0,0,Control!$A$2,1)</definedName>
    <definedName name="List_of_Alternatives">OFFSET(Control!$A$4,0,0,Control!$A$2,1)</definedName>
    <definedName name="ListofOptions">Summary!$B$2:$B$35</definedName>
    <definedName name="ListofOptionsAlphabetic">OFFSET(Summary!$X$2,0,0,Summary!$Y$1,1)</definedName>
    <definedName name="LongECM">LongECM!$D$1</definedName>
    <definedName name="MidECM">MidECM!$D$1</definedName>
    <definedName name="NameofAlternatives">OFFSET(Control!$B$4,0,0,Control!$A$2,1)</definedName>
    <definedName name="NGConsTable" localSheetId="68">CWConsumption!$B$4:$AF$45</definedName>
    <definedName name="NGConsTable">SteamConsumption!$B$4:$AF$45</definedName>
    <definedName name="NPV" localSheetId="37">OFFSET([2]Control!$K$4,0,0,[2]Control!$A$2,1)</definedName>
    <definedName name="NPV">OFFSET(Control!$K$4,0,0,Control!$A$2,1)</definedName>
    <definedName name="OPEX">OPEX!$A$3</definedName>
    <definedName name="OptionNames" localSheetId="37">OFFSET([4]InputSheet!$BO$3,0,0,[4]InputSheet!$BI$1,1)</definedName>
    <definedName name="OptionNames">OFFSET(Control!$B$1,0,0,Control!$A$2,1)</definedName>
    <definedName name="Parabolic">Parabolic!$D$1</definedName>
    <definedName name="Percent_Neut_Contrib" localSheetId="37">OFFSET([2]Control!$I$4,0,0,[2]Control!$A$2,1)</definedName>
    <definedName name="Percent_Neut_Contrib">OFFSET(Control!$I$4,0,0,Control!$A$2,1)</definedName>
    <definedName name="Price_Biomass">CommodityPricing!$O$2</definedName>
    <definedName name="Price_diesel_gallon">CommodityPricing!$H$2</definedName>
    <definedName name="Price_diesel_mmbtu">CommodityPricing!$G$2</definedName>
    <definedName name="Price_Gasoline">CommodityPricing!$D$2</definedName>
    <definedName name="Price_Gasoline_per_Gallon">CommodityPricing!$E$2</definedName>
    <definedName name="Price_GHG_Allowance_2010" localSheetId="24">ExposureCalculations!$F$16</definedName>
    <definedName name="Price_NG_Distr">CommodityPricing!$C$2</definedName>
    <definedName name="Price_NG_Trans">CommodityPricing!$B$2</definedName>
    <definedName name="Price_PCW_mmbtu">CommodityPricing!$M$2</definedName>
    <definedName name="Price_PCW_tonhr">CommodityPricing!$N$2</definedName>
    <definedName name="Price_PE_MMBtu">CommodityPricing!$I$2</definedName>
    <definedName name="Price_PE_MWh">CommodityPricing!$J$2</definedName>
    <definedName name="Price_PS_klb">CommodityPricing!$L$2</definedName>
    <definedName name="Price_PS_mmbtu">CommodityPricing!$K$2</definedName>
    <definedName name="_xlnm.Print_Area" localSheetId="85">'Building List'!$A$1:$N$267</definedName>
    <definedName name="_xlnm.Print_Area" localSheetId="92">'BY START DATE'!$C$3:$K$716</definedName>
    <definedName name="_xlnm.Print_Area" localSheetId="80">PortCAPEX!$A$2:$BE$69</definedName>
    <definedName name="_xlnm.Print_Area" localSheetId="82">PortfolioCFStatement!$D$1:$BH$719</definedName>
    <definedName name="_xlnm.Print_Area" localSheetId="81">PortOPEXwFuel!$A$2:$BE$95</definedName>
    <definedName name="_xlnm.Print_Titles" localSheetId="92">'BY START DATE'!$A$6:$IV$8</definedName>
    <definedName name="PV_of_Incremental_Capital" localSheetId="37">OFFSET([2]Control!$J$4,0,0,[2]Control!$A$2,1)</definedName>
    <definedName name="PV_of_Incremental_Capital">OFFSET(Control!$J$4,0,0,Control!$A$2,1)</definedName>
    <definedName name="ReducedAir">ReducedAir!$D$1</definedName>
    <definedName name="ReducedAuto">ReducedAuto!$D$1</definedName>
    <definedName name="ReferenceCases" localSheetId="37">OFFSET([2]Control!$C$4,0,0,[2]Control!$A$2,1)</definedName>
    <definedName name="ReferenceCases">OFFSET(Control!$C$4,0,0,Control!$A$2,1)</definedName>
    <definedName name="renovation_rate">Factors!$B$32</definedName>
    <definedName name="RooftopPV">RooftopPV!$D$1</definedName>
    <definedName name="Scope1Table">Scope1!$B$4:$AF$45</definedName>
    <definedName name="Scope2Table">Scope2!$B$4:$AF$45</definedName>
    <definedName name="Scope3AirTable">Scope3Air!$B$4:$AF$45</definedName>
    <definedName name="Scope3CommuteTable">Scope3Commute!$B$4:$AF$45</definedName>
    <definedName name="ShortECM">ShortECM!$D$1</definedName>
    <definedName name="SolarDHW">SolarDHW!$D$1</definedName>
    <definedName name="SpacePlanning">SpacePlanning!$D$1</definedName>
    <definedName name="sps_building_tab" localSheetId="85">'Building List'!$A$1:$N$57</definedName>
    <definedName name="steam_enthalpy">Factors!$B$52</definedName>
    <definedName name="Steam_losses">Factors!$B$37</definedName>
    <definedName name="SteamConsumption">SteamConsumption!$A$4</definedName>
    <definedName name="SteamLineImp">SteamLineImp!$D$1</definedName>
    <definedName name="Table_PotentialProjects">OFFSET([3]FutureBldgs!$B$5,0,0,[3]FutureBldgs!$B$2,1)</definedName>
    <definedName name="TechnologyDevelopments" localSheetId="24">ExposureCalculations!$M$10:$O$10</definedName>
    <definedName name="TechnologyDevelopments">ExposureCalculations!$N$10:$P$10</definedName>
    <definedName name="Test123Graph" localSheetId="25" hidden="1">#REF!</definedName>
    <definedName name="Test123Graph" localSheetId="83" hidden="1">#REF!</definedName>
    <definedName name="Test123Graph" localSheetId="84" hidden="1">#REF!</definedName>
    <definedName name="Test123Graph" hidden="1">#REF!</definedName>
    <definedName name="Test123Grapha" localSheetId="25" hidden="1">#REF!</definedName>
    <definedName name="Test123Grapha" localSheetId="83" hidden="1">#REF!</definedName>
    <definedName name="Test123Grapha" localSheetId="84" hidden="1">#REF!</definedName>
    <definedName name="Test123Grapha" hidden="1">#REF!</definedName>
    <definedName name="Test123Graphb" localSheetId="25" hidden="1">#REF!</definedName>
    <definedName name="Test123Graphb" localSheetId="83" hidden="1">#REF!</definedName>
    <definedName name="Test123Graphb" localSheetId="84" hidden="1">#REF!</definedName>
    <definedName name="Test123Graphb" hidden="1">#REF!</definedName>
    <definedName name="Test123GraphB4" localSheetId="25" hidden="1">#REF!</definedName>
    <definedName name="Test123GraphB4" localSheetId="83" hidden="1">#REF!</definedName>
    <definedName name="Test123GraphB4" localSheetId="84" hidden="1">#REF!</definedName>
    <definedName name="Test123GraphB4" hidden="1">#REF!</definedName>
    <definedName name="ThermsperMMBTU">Factors!$A$18</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aryChiller">UnitaryChiller!$D$1</definedName>
    <definedName name="WasteDiversion">WasteDiversion!$D$1</definedName>
    <definedName name="WasteReduction">WasteReduction!$D$1</definedName>
    <definedName name="WedgeGroupNames">Factors!$A$48:$A$56</definedName>
    <definedName name="Wind">Wind!$D$1</definedName>
    <definedName name="wrn.ENGCREM." hidden="1">{#N/A,#N/A,FALSE,"CHVPK-1";#N/A,#N/A,FALSE,"CHVPK-2"}</definedName>
    <definedName name="wrn.ENGDHOL." hidden="1">{#N/A,#N/A,FALSE,"ENG640-2"}</definedName>
    <definedName name="wrn.ENGEKLE." hidden="1">{#N/A,#N/A,FALSE,"ENG640-2"}</definedName>
    <definedName name="wrn.ENGHDRE." hidden="1">{#N/A,#N/A,FALSE,"ENG640-2"}</definedName>
    <definedName name="wrn.ENGHWIM." hidden="1">{#N/A,#N/A,FALSE,"ENG640-2"}</definedName>
    <definedName name="wrn.ENGJCSI." hidden="1">{#N/A,#N/A,FALSE,"ENG640-2"}</definedName>
    <definedName name="wrn.ENGJRMC." hidden="1">{#N/A,#N/A,FALSE,"ENG640-2"}</definedName>
    <definedName name="wrn.ENGKINS." hidden="1">{#N/A,#N/A,FALSE,"ENG640-2"}</definedName>
    <definedName name="wrn.ENGKUNS." hidden="1">{#N/A,#N/A,FALSE,"ENG640-2"}</definedName>
    <definedName name="wrn.ENGRDSP." hidden="1">{#N/A,#N/A,FALSE,"ENG640-2"}</definedName>
    <definedName name="wrn.ENGRMNI." hidden="1">{#N/A,#N/A,FALSE,"SF555-1";#N/A,#N/A,FALSE,"SF555-2";#N/A,#N/A,FALSE,"SF555-3";#N/A,#N/A,FALSE,"SF555-5";#N/A,#N/A,FALSE,"SF575-1";#N/A,#N/A,FALSE,"SF575-2";#N/A,#N/A,FALSE,"SF575-3";#N/A,#N/A,FALSE,"SF575-5"}</definedName>
    <definedName name="wrn.ENGRVFI." hidden="1">{#N/A,#N/A,FALSE,"HOU106-1";#N/A,#N/A,FALSE,"HOU106-2";#N/A,#N/A,FALSE,"HOU106-3";#N/A,#N/A,FALSE,"HOU111-1";#N/A,#N/A,FALSE,"HOU111-2";#N/A,#N/A,FALSE,"HOU111-3"}</definedName>
    <definedName name="wrn.ENGSAKO." hidden="1">{#N/A,#N/A,FALSE,"ENG640-2"}</definedName>
    <definedName name="wrn.ENGTWRE." hidden="1">{#N/A,#N/A,FALSE,"ENG640-2"}</definedName>
    <definedName name="wrn.ENGWFBY." hidden="1">{#N/A,#N/A,FALSE,"ENG640-2"}</definedName>
    <definedName name="wrn.ENGWRMO." hidden="1">{#N/A,#N/A,FALSE,"ENG640-2"}</definedName>
    <definedName name="Year_Implemented" localSheetId="37">OFFSET([2]Control!$D$4,0,0,[2]Control!$A$2,1)</definedName>
    <definedName name="Year_Implemented">OFFSET(Control!$D$4,0,0,Control!$A$2,1)</definedName>
    <definedName name="Years">Sheet2!$A$3:$A$8</definedName>
    <definedName name="zip" localSheetId="25" hidden="1">#REF!</definedName>
    <definedName name="zip" localSheetId="83" hidden="1">#REF!</definedName>
    <definedName name="zip" localSheetId="84" hidden="1">#REF!</definedName>
    <definedName name="zip" hidden="1">#REF!</definedName>
  </definedNames>
  <calcPr calcId="125725" calcMode="autoNoTable"/>
  <pivotCaches>
    <pivotCache cacheId="2" r:id="rId102"/>
  </pivotCaches>
</workbook>
</file>

<file path=xl/calcChain.xml><?xml version="1.0" encoding="utf-8"?>
<calcChain xmlns="http://schemas.openxmlformats.org/spreadsheetml/2006/main">
  <c r="BT12" i="118"/>
  <c r="BT13" s="1"/>
  <c r="BT14" s="1"/>
  <c r="BT15" s="1"/>
  <c r="BT16" s="1"/>
  <c r="BT17" s="1"/>
  <c r="BT18" s="1"/>
  <c r="BT19" s="1"/>
  <c r="BT20" s="1"/>
  <c r="BT21" s="1"/>
  <c r="BT22" s="1"/>
  <c r="BT23" s="1"/>
  <c r="BT24" s="1"/>
  <c r="BT25" s="1"/>
  <c r="BT26" s="1"/>
  <c r="BT27" s="1"/>
  <c r="BT28" s="1"/>
  <c r="BT29" s="1"/>
  <c r="BT30" s="1"/>
  <c r="BT31" s="1"/>
  <c r="BT32" s="1"/>
  <c r="BT33" s="1"/>
  <c r="BT34" s="1"/>
  <c r="BT35" s="1"/>
  <c r="BT36" s="1"/>
  <c r="BT37" s="1"/>
  <c r="BT38" s="1"/>
  <c r="BT39" s="1"/>
  <c r="BT40" s="1"/>
  <c r="BT41" s="1"/>
  <c r="BT42" s="1"/>
  <c r="BT43" s="1"/>
  <c r="BT44" s="1"/>
  <c r="BT45" s="1"/>
  <c r="BT46" s="1"/>
  <c r="BT47" s="1"/>
  <c r="BT48" s="1"/>
  <c r="BT49" s="1"/>
  <c r="BT11"/>
  <c r="BT10"/>
  <c r="O7" i="60"/>
  <c r="O15"/>
  <c r="O23"/>
  <c r="O31"/>
  <c r="O8"/>
  <c r="O22"/>
  <c r="P9"/>
  <c r="P23"/>
  <c r="P37"/>
  <c r="P12"/>
  <c r="P20"/>
  <c r="P28"/>
  <c r="P36"/>
  <c r="O20"/>
  <c r="O36"/>
  <c r="P21"/>
  <c r="O35"/>
  <c r="O30"/>
  <c r="P31"/>
  <c r="P24"/>
  <c r="O12"/>
  <c r="P11"/>
  <c r="O13"/>
  <c r="O21"/>
  <c r="O29"/>
  <c r="O37"/>
  <c r="O18"/>
  <c r="O34"/>
  <c r="P19"/>
  <c r="P33"/>
  <c r="P10"/>
  <c r="P18"/>
  <c r="P26"/>
  <c r="P34"/>
  <c r="O16"/>
  <c r="O32"/>
  <c r="P15"/>
  <c r="P35"/>
  <c r="O11"/>
  <c r="O14"/>
  <c r="P8"/>
  <c r="O28"/>
  <c r="O9"/>
  <c r="O17"/>
  <c r="O25"/>
  <c r="O33"/>
  <c r="O10"/>
  <c r="O26"/>
  <c r="P13"/>
  <c r="P27"/>
  <c r="P6"/>
  <c r="P14"/>
  <c r="P22"/>
  <c r="P30"/>
  <c r="O6"/>
  <c r="O24"/>
  <c r="P7"/>
  <c r="P25"/>
  <c r="O19"/>
  <c r="O27"/>
  <c r="P17"/>
  <c r="P16"/>
  <c r="P32"/>
  <c r="P29"/>
  <c r="O7" i="167" l="1"/>
  <c r="O5"/>
  <c r="O4"/>
  <c r="P5" i="60"/>
  <c r="O5"/>
  <c r="O7" i="155" l="1"/>
  <c r="O6"/>
  <c r="O5"/>
  <c r="O4"/>
  <c r="O7" i="154"/>
  <c r="O6"/>
  <c r="O5"/>
  <c r="O4"/>
  <c r="O7" i="168"/>
  <c r="O6"/>
  <c r="O5"/>
  <c r="O4"/>
  <c r="O7" i="150"/>
  <c r="O6"/>
  <c r="O5"/>
  <c r="O4"/>
  <c r="O7" i="149"/>
  <c r="O6"/>
  <c r="O5"/>
  <c r="O4"/>
  <c r="O6" i="159"/>
  <c r="O5"/>
  <c r="O4"/>
  <c r="O6" i="158"/>
  <c r="O5"/>
  <c r="O4"/>
  <c r="O7" i="153"/>
  <c r="O6"/>
  <c r="O5"/>
  <c r="O4"/>
  <c r="O7" i="166"/>
  <c r="O6"/>
  <c r="O5"/>
  <c r="O4"/>
  <c r="O7" i="151"/>
  <c r="O6"/>
  <c r="O5"/>
  <c r="O4"/>
  <c r="O6" i="144"/>
  <c r="O5"/>
  <c r="O4"/>
  <c r="O7" i="143"/>
  <c r="O6"/>
  <c r="O5"/>
  <c r="O4"/>
  <c r="O7" i="145"/>
  <c r="O6"/>
  <c r="O5"/>
  <c r="O4"/>
  <c r="O7" i="164"/>
  <c r="O6"/>
  <c r="O5"/>
  <c r="O4"/>
  <c r="O5" i="163"/>
  <c r="O4"/>
  <c r="O7" i="165"/>
  <c r="O6"/>
  <c r="O5"/>
  <c r="O4"/>
  <c r="O7" i="160"/>
  <c r="O6"/>
  <c r="O5"/>
  <c r="O4"/>
  <c r="O7" i="161"/>
  <c r="O6"/>
  <c r="O5"/>
  <c r="O4"/>
  <c r="O7" i="162"/>
  <c r="O6"/>
  <c r="O5"/>
  <c r="O4"/>
  <c r="O7" i="152"/>
  <c r="O6"/>
  <c r="O5"/>
  <c r="O4"/>
  <c r="O7" i="148"/>
  <c r="O6"/>
  <c r="O5"/>
  <c r="O4"/>
  <c r="O7" i="147"/>
  <c r="O6"/>
  <c r="O5"/>
  <c r="O4"/>
  <c r="O7" i="146"/>
  <c r="O6"/>
  <c r="O5"/>
  <c r="O4"/>
  <c r="O5" i="56"/>
  <c r="O4"/>
  <c r="BT28" i="167"/>
  <c r="BP28"/>
  <c r="BP27"/>
  <c r="BP29"/>
  <c r="BA21"/>
  <c r="Q34" i="60"/>
  <c r="R37"/>
  <c r="N32"/>
  <c r="Q31"/>
  <c r="N31"/>
  <c r="N28"/>
  <c r="Q28"/>
  <c r="R36"/>
  <c r="N29"/>
  <c r="R35"/>
  <c r="Q37"/>
  <c r="Q30"/>
  <c r="N35"/>
  <c r="R34"/>
  <c r="R28"/>
  <c r="R33"/>
  <c r="R31"/>
  <c r="Q29"/>
  <c r="R32"/>
  <c r="Q33"/>
  <c r="R30"/>
  <c r="Q32"/>
  <c r="N37"/>
  <c r="R29"/>
  <c r="N34"/>
  <c r="Q36"/>
  <c r="N30"/>
  <c r="N33"/>
  <c r="N36"/>
  <c r="Q35"/>
  <c r="O7" i="56" l="1"/>
  <c r="O6"/>
  <c r="AO26" i="151"/>
  <c r="AO27" s="1"/>
  <c r="AO28" s="1"/>
  <c r="AO29" s="1"/>
  <c r="AO30" s="1"/>
  <c r="AO31" s="1"/>
  <c r="AO32" s="1"/>
  <c r="AO33" s="1"/>
  <c r="AO34" s="1"/>
  <c r="AO35" s="1"/>
  <c r="AO36" s="1"/>
  <c r="AO37" s="1"/>
  <c r="AO38" s="1"/>
  <c r="AO39" s="1"/>
  <c r="AO40" s="1"/>
  <c r="AO41" s="1"/>
  <c r="AO42" s="1"/>
  <c r="AO43" s="1"/>
  <c r="AO44" s="1"/>
  <c r="AO45" s="1"/>
  <c r="AO46" s="1"/>
  <c r="AO47" s="1"/>
  <c r="AO48" s="1"/>
  <c r="AO49" s="1"/>
  <c r="AO50" s="1"/>
  <c r="AO51" s="1"/>
  <c r="AO52" s="1"/>
  <c r="AO53" s="1"/>
  <c r="AO54" s="1"/>
  <c r="AO55" s="1"/>
  <c r="AO56" s="1"/>
  <c r="AO57" s="1"/>
  <c r="AO58" s="1"/>
  <c r="AO59" s="1"/>
  <c r="AO24"/>
  <c r="AO25" s="1"/>
  <c r="AO23"/>
  <c r="AO22"/>
  <c r="AL23"/>
  <c r="AL21"/>
  <c r="Q26"/>
  <c r="Q27" s="1"/>
  <c r="Q28" s="1"/>
  <c r="Q29" s="1"/>
  <c r="Q30" s="1"/>
  <c r="Q31" s="1"/>
  <c r="Q32" s="1"/>
  <c r="Q33" s="1"/>
  <c r="Q34" s="1"/>
  <c r="Q35" s="1"/>
  <c r="Q36" s="1"/>
  <c r="Q37" s="1"/>
  <c r="Q38" s="1"/>
  <c r="Q39" s="1"/>
  <c r="Q40" s="1"/>
  <c r="Q41" s="1"/>
  <c r="Q42" s="1"/>
  <c r="Q43" s="1"/>
  <c r="Q44" s="1"/>
  <c r="Q45" s="1"/>
  <c r="Q46" s="1"/>
  <c r="Q47" s="1"/>
  <c r="Q48" s="1"/>
  <c r="Q49" s="1"/>
  <c r="Q50" s="1"/>
  <c r="Q51" s="1"/>
  <c r="Q52" s="1"/>
  <c r="Q53" s="1"/>
  <c r="Q54" s="1"/>
  <c r="Q55" s="1"/>
  <c r="Q56" s="1"/>
  <c r="Q57" s="1"/>
  <c r="Q58" s="1"/>
  <c r="Q59" s="1"/>
  <c r="Q25"/>
  <c r="Q24"/>
  <c r="Q23"/>
  <c r="Q22"/>
  <c r="L26"/>
  <c r="L27" s="1"/>
  <c r="L28" s="1"/>
  <c r="L29" s="1"/>
  <c r="L30" s="1"/>
  <c r="L31"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25"/>
  <c r="L22"/>
  <c r="L23" s="1"/>
  <c r="L24" s="1"/>
  <c r="AV29"/>
  <c r="AV31"/>
  <c r="AU29"/>
  <c r="AV27"/>
  <c r="AU27"/>
  <c r="AV25"/>
  <c r="AU25"/>
  <c r="AV23"/>
  <c r="AU23"/>
  <c r="BH19"/>
  <c r="BG19"/>
  <c r="BF19"/>
  <c r="BE19"/>
  <c r="BD19"/>
  <c r="BC19"/>
  <c r="BH18"/>
  <c r="BG18"/>
  <c r="BF18"/>
  <c r="BE18"/>
  <c r="BD18"/>
  <c r="BC18"/>
  <c r="AV19"/>
  <c r="AU19"/>
  <c r="AV33"/>
  <c r="S251" i="118"/>
  <c r="R251"/>
  <c r="Q251"/>
  <c r="P251"/>
  <c r="AB21" i="144"/>
  <c r="AB22"/>
  <c r="AB23"/>
  <c r="AB24"/>
  <c r="AB25"/>
  <c r="AB26"/>
  <c r="AB27"/>
  <c r="AB28"/>
  <c r="AB29"/>
  <c r="AB20"/>
  <c r="R5" i="60"/>
  <c r="R13"/>
  <c r="Q15"/>
  <c r="R15"/>
  <c r="Q23"/>
  <c r="Q5"/>
  <c r="R12"/>
  <c r="R24"/>
  <c r="Q26"/>
  <c r="Q24"/>
  <c r="Q7"/>
  <c r="Q8"/>
  <c r="R7"/>
  <c r="Q19"/>
  <c r="Q14"/>
  <c r="R26"/>
  <c r="R20"/>
  <c r="R9"/>
  <c r="R17"/>
  <c r="R22"/>
  <c r="R19"/>
  <c r="R18"/>
  <c r="Q10"/>
  <c r="R14"/>
  <c r="R27"/>
  <c r="R6"/>
  <c r="R23"/>
  <c r="R16"/>
  <c r="Q9"/>
  <c r="Q11"/>
  <c r="Q22"/>
  <c r="R10"/>
  <c r="Q13"/>
  <c r="R11"/>
  <c r="R8"/>
  <c r="Q12"/>
  <c r="Q20"/>
  <c r="Q27"/>
  <c r="Q18"/>
  <c r="AM48" i="142" l="1"/>
  <c r="AT562" i="175" l="1"/>
  <c r="AS562"/>
  <c r="AR562"/>
  <c r="AQ562"/>
  <c r="AP562"/>
  <c r="AO562"/>
  <c r="AN562"/>
  <c r="AM562"/>
  <c r="AL562"/>
  <c r="AK562"/>
  <c r="AJ562"/>
  <c r="AI562"/>
  <c r="AH562"/>
  <c r="AG562"/>
  <c r="AF562"/>
  <c r="AE562"/>
  <c r="AD562"/>
  <c r="AC562"/>
  <c r="AB562"/>
  <c r="AA562"/>
  <c r="Z562"/>
  <c r="Y562"/>
  <c r="X562"/>
  <c r="W562"/>
  <c r="V562"/>
  <c r="U562"/>
  <c r="T562"/>
  <c r="S562"/>
  <c r="R562"/>
  <c r="Q562"/>
  <c r="P562"/>
  <c r="O562"/>
  <c r="N562"/>
  <c r="M562"/>
  <c r="L562"/>
  <c r="K562"/>
  <c r="J562"/>
  <c r="I562"/>
  <c r="H562"/>
  <c r="AT561"/>
  <c r="AS561"/>
  <c r="AR561"/>
  <c r="AQ561"/>
  <c r="AP561"/>
  <c r="AO561"/>
  <c r="AN561"/>
  <c r="AM561"/>
  <c r="AL561"/>
  <c r="AK561"/>
  <c r="AJ561"/>
  <c r="AI561"/>
  <c r="AH561"/>
  <c r="AG561"/>
  <c r="AF561"/>
  <c r="AE561"/>
  <c r="AD561"/>
  <c r="AC561"/>
  <c r="AB561"/>
  <c r="AA561"/>
  <c r="Z561"/>
  <c r="Y561"/>
  <c r="X561"/>
  <c r="W561"/>
  <c r="V561"/>
  <c r="U561"/>
  <c r="T561"/>
  <c r="S561"/>
  <c r="R561"/>
  <c r="Q561"/>
  <c r="P561"/>
  <c r="O561"/>
  <c r="N561"/>
  <c r="M561"/>
  <c r="L561"/>
  <c r="K561"/>
  <c r="J561"/>
  <c r="I561"/>
  <c r="H561"/>
  <c r="G561"/>
  <c r="G562"/>
  <c r="Y33" i="57"/>
  <c r="Y34"/>
  <c r="Y35"/>
  <c r="AU31" i="151" l="1"/>
  <c r="BE2" i="190" l="1"/>
  <c r="BC2"/>
  <c r="BA2"/>
  <c r="AY2"/>
  <c r="AW2"/>
  <c r="AU2"/>
  <c r="AS2"/>
  <c r="A69"/>
  <c r="B52"/>
  <c r="A51"/>
  <c r="B34"/>
  <c r="A33"/>
  <c r="B3"/>
  <c r="A95" i="189" l="1"/>
  <c r="B65"/>
  <c r="A64"/>
  <c r="B34"/>
  <c r="A33"/>
  <c r="B3"/>
  <c r="D2"/>
  <c r="D2" i="190" s="1"/>
  <c r="C2" i="189"/>
  <c r="C2" i="190" s="1"/>
  <c r="B2" i="189"/>
  <c r="B2" i="190" s="1"/>
  <c r="A2" i="189"/>
  <c r="H725" i="175" l="1"/>
  <c r="E789"/>
  <c r="D789"/>
  <c r="A66" i="189" s="1"/>
  <c r="C789" i="175"/>
  <c r="C790" s="1"/>
  <c r="B789"/>
  <c r="B790" s="1"/>
  <c r="B791" s="1"/>
  <c r="B792" s="1"/>
  <c r="B793" s="1"/>
  <c r="B794" s="1"/>
  <c r="B795" s="1"/>
  <c r="B796" s="1"/>
  <c r="B797" s="1"/>
  <c r="B798" s="1"/>
  <c r="B799" s="1"/>
  <c r="B800" s="1"/>
  <c r="B801" s="1"/>
  <c r="B802" s="1"/>
  <c r="B803" s="1"/>
  <c r="B804" s="1"/>
  <c r="B805" s="1"/>
  <c r="B806" s="1"/>
  <c r="B807" s="1"/>
  <c r="B808" s="1"/>
  <c r="B809" s="1"/>
  <c r="B810" s="1"/>
  <c r="B811" s="1"/>
  <c r="B812" s="1"/>
  <c r="B813" s="1"/>
  <c r="B814" s="1"/>
  <c r="B815" s="1"/>
  <c r="B816" s="1"/>
  <c r="B817" s="1"/>
  <c r="A789"/>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D788"/>
  <c r="A65" i="189" s="1"/>
  <c r="E787" i="175"/>
  <c r="B64" i="189" s="1"/>
  <c r="E790" i="175" l="1"/>
  <c r="B66" i="189"/>
  <c r="I725" i="175"/>
  <c r="E2" i="189"/>
  <c r="E2" i="190" s="1"/>
  <c r="C791" i="175"/>
  <c r="D791" s="1"/>
  <c r="A68" i="189" s="1"/>
  <c r="D790" i="175"/>
  <c r="A67" i="189" s="1"/>
  <c r="E791" i="175" l="1"/>
  <c r="B67" i="189"/>
  <c r="J725" i="175"/>
  <c r="F2" i="189"/>
  <c r="F2" i="190" s="1"/>
  <c r="C792" i="175"/>
  <c r="D792" s="1"/>
  <c r="A69" i="189" s="1"/>
  <c r="E792" i="175" l="1"/>
  <c r="B68" i="189"/>
  <c r="K725" i="175"/>
  <c r="G2" i="189"/>
  <c r="G2" i="190" s="1"/>
  <c r="C793" i="175"/>
  <c r="D793" s="1"/>
  <c r="A70" i="189" s="1"/>
  <c r="E793" i="175" l="1"/>
  <c r="B69" i="189"/>
  <c r="L725" i="175"/>
  <c r="H2" i="189"/>
  <c r="H2" i="190" s="1"/>
  <c r="C794" i="175"/>
  <c r="C795" s="1"/>
  <c r="E794" l="1"/>
  <c r="B70" i="189"/>
  <c r="M725" i="175"/>
  <c r="I2" i="189"/>
  <c r="I2" i="190" s="1"/>
  <c r="D794" i="175"/>
  <c r="A71" i="189" s="1"/>
  <c r="C796" i="175"/>
  <c r="D795"/>
  <c r="A72" i="189" s="1"/>
  <c r="E795" i="175" l="1"/>
  <c r="B71" i="189"/>
  <c r="N725" i="175"/>
  <c r="J2" i="189"/>
  <c r="J2" i="190" s="1"/>
  <c r="C797" i="175"/>
  <c r="D796"/>
  <c r="A73" i="189" s="1"/>
  <c r="E796" i="175" l="1"/>
  <c r="B72" i="189"/>
  <c r="O725" i="175"/>
  <c r="K2" i="189"/>
  <c r="K2" i="190" s="1"/>
  <c r="C798" i="175"/>
  <c r="D797"/>
  <c r="A74" i="189" s="1"/>
  <c r="E797" i="175" l="1"/>
  <c r="B73" i="189"/>
  <c r="P725" i="175"/>
  <c r="L2" i="189"/>
  <c r="L2" i="190" s="1"/>
  <c r="C799" i="175"/>
  <c r="D798"/>
  <c r="A75" i="189" s="1"/>
  <c r="E798" i="175" l="1"/>
  <c r="B74" i="189"/>
  <c r="Q725" i="175"/>
  <c r="M2" i="189"/>
  <c r="M2" i="190" s="1"/>
  <c r="C800" i="175"/>
  <c r="D799"/>
  <c r="A76" i="189" s="1"/>
  <c r="E799" i="175" l="1"/>
  <c r="B75" i="189"/>
  <c r="R725" i="175"/>
  <c r="N2" i="189"/>
  <c r="N2" i="190" s="1"/>
  <c r="C801" i="175"/>
  <c r="D800"/>
  <c r="A77" i="189" s="1"/>
  <c r="E800" i="175" l="1"/>
  <c r="B76" i="189"/>
  <c r="S725" i="175"/>
  <c r="O2" i="189"/>
  <c r="O2" i="190" s="1"/>
  <c r="C802" i="175"/>
  <c r="D801"/>
  <c r="A78" i="189" s="1"/>
  <c r="E801" i="175" l="1"/>
  <c r="B77" i="189"/>
  <c r="T725" i="175"/>
  <c r="P2" i="189"/>
  <c r="P2" i="190" s="1"/>
  <c r="D802" i="175"/>
  <c r="A79" i="189" s="1"/>
  <c r="C803" i="175"/>
  <c r="E802" l="1"/>
  <c r="B78" i="189"/>
  <c r="U725" i="175"/>
  <c r="Q2" i="189"/>
  <c r="Q2" i="190" s="1"/>
  <c r="C804" i="175"/>
  <c r="D803"/>
  <c r="A80" i="189" s="1"/>
  <c r="E803" i="175" l="1"/>
  <c r="B79" i="189"/>
  <c r="V725" i="175"/>
  <c r="R2" i="189"/>
  <c r="R2" i="190" s="1"/>
  <c r="C805" i="175"/>
  <c r="D804"/>
  <c r="A81" i="189" s="1"/>
  <c r="W725" i="175" l="1"/>
  <c r="S2" i="189"/>
  <c r="S2" i="190" s="1"/>
  <c r="E804" i="175"/>
  <c r="B80" i="189"/>
  <c r="D805" i="175"/>
  <c r="A82" i="189" s="1"/>
  <c r="C806" i="175"/>
  <c r="X725" l="1"/>
  <c r="T2" i="189"/>
  <c r="T2" i="190" s="1"/>
  <c r="E805" i="175"/>
  <c r="B81" i="189"/>
  <c r="D806" i="175"/>
  <c r="A83" i="189" s="1"/>
  <c r="C807" i="175"/>
  <c r="E806" l="1"/>
  <c r="B82" i="189"/>
  <c r="Y725" i="175"/>
  <c r="U2" i="189"/>
  <c r="U2" i="190" s="1"/>
  <c r="C808" i="175"/>
  <c r="D807"/>
  <c r="A84" i="189" s="1"/>
  <c r="E807" i="175" l="1"/>
  <c r="B83" i="189"/>
  <c r="Z725" i="175"/>
  <c r="V2" i="189"/>
  <c r="V2" i="190" s="1"/>
  <c r="C809" i="175"/>
  <c r="D808"/>
  <c r="A85" i="189" s="1"/>
  <c r="AA725" i="175" l="1"/>
  <c r="W2" i="189"/>
  <c r="W2" i="190" s="1"/>
  <c r="E808" i="175"/>
  <c r="B84" i="189"/>
  <c r="C810" i="175"/>
  <c r="D809"/>
  <c r="A86" i="189" s="1"/>
  <c r="E809" i="175" l="1"/>
  <c r="B85" i="189"/>
  <c r="AB725" i="175"/>
  <c r="X2" i="189"/>
  <c r="X2" i="190" s="1"/>
  <c r="C811" i="175"/>
  <c r="D810"/>
  <c r="A87" i="189" s="1"/>
  <c r="AC725" i="175" l="1"/>
  <c r="Y2" i="189"/>
  <c r="Y2" i="190" s="1"/>
  <c r="E810" i="175"/>
  <c r="B86" i="189"/>
  <c r="C812" i="175"/>
  <c r="D811"/>
  <c r="A88" i="189" s="1"/>
  <c r="AD725" i="175" l="1"/>
  <c r="Z2" i="189"/>
  <c r="Z2" i="190" s="1"/>
  <c r="E811" i="175"/>
  <c r="B87" i="189"/>
  <c r="C813" i="175"/>
  <c r="D812"/>
  <c r="A89" i="189" s="1"/>
  <c r="AE725" i="175" l="1"/>
  <c r="AA2" i="189"/>
  <c r="AA2" i="190" s="1"/>
  <c r="E812" i="175"/>
  <c r="B88" i="189"/>
  <c r="D813" i="175"/>
  <c r="A90" i="189" s="1"/>
  <c r="C814" i="175"/>
  <c r="E813" l="1"/>
  <c r="B89" i="189"/>
  <c r="AF725" i="175"/>
  <c r="AB2" i="189"/>
  <c r="AB2" i="190" s="1"/>
  <c r="D814" i="175"/>
  <c r="A91" i="189" s="1"/>
  <c r="C815" i="175"/>
  <c r="E814" l="1"/>
  <c r="B90" i="189"/>
  <c r="AG725" i="175"/>
  <c r="AC2" i="189"/>
  <c r="AC2" i="190" s="1"/>
  <c r="C816" i="175"/>
  <c r="C817" s="1"/>
  <c r="D815"/>
  <c r="A92" i="189" s="1"/>
  <c r="E758" i="175"/>
  <c r="B35" i="189" s="1"/>
  <c r="C758" i="175"/>
  <c r="C759" s="1"/>
  <c r="B758"/>
  <c r="B759" s="1"/>
  <c r="B760" s="1"/>
  <c r="B761" s="1"/>
  <c r="B762" s="1"/>
  <c r="B763" s="1"/>
  <c r="B764" s="1"/>
  <c r="B765" s="1"/>
  <c r="B766" s="1"/>
  <c r="B767" s="1"/>
  <c r="B768" s="1"/>
  <c r="B769" s="1"/>
  <c r="B770" s="1"/>
  <c r="B771" s="1"/>
  <c r="B772" s="1"/>
  <c r="B773" s="1"/>
  <c r="B774" s="1"/>
  <c r="B775" s="1"/>
  <c r="B776" s="1"/>
  <c r="B777" s="1"/>
  <c r="B778" s="1"/>
  <c r="B779" s="1"/>
  <c r="B780" s="1"/>
  <c r="B781" s="1"/>
  <c r="B782" s="1"/>
  <c r="B783" s="1"/>
  <c r="B784" s="1"/>
  <c r="B785" s="1"/>
  <c r="B786" s="1"/>
  <c r="A758"/>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H725" l="1"/>
  <c r="AD2" i="189"/>
  <c r="AD2" i="190" s="1"/>
  <c r="E815" i="175"/>
  <c r="B91" i="189"/>
  <c r="D758" i="175"/>
  <c r="A35" i="189" s="1"/>
  <c r="E818" i="175"/>
  <c r="B95" i="189" s="1"/>
  <c r="E759" i="175"/>
  <c r="C760"/>
  <c r="D759"/>
  <c r="A36" i="189" s="1"/>
  <c r="D757" i="175"/>
  <c r="A34" i="189" s="1"/>
  <c r="E756" i="175"/>
  <c r="B33" i="189" s="1"/>
  <c r="E816" i="175" l="1"/>
  <c r="B92" i="189"/>
  <c r="AI725" i="175"/>
  <c r="AE2" i="189"/>
  <c r="AE2" i="190" s="1"/>
  <c r="E760" i="175"/>
  <c r="B36" i="189"/>
  <c r="C761" i="175"/>
  <c r="D760"/>
  <c r="A37" i="189" s="1"/>
  <c r="E761" i="175" l="1"/>
  <c r="B37" i="189"/>
  <c r="AJ725" i="175"/>
  <c r="AF2" i="189"/>
  <c r="AF2" i="190" s="1"/>
  <c r="E817" i="175"/>
  <c r="B94" i="189" s="1"/>
  <c r="B93"/>
  <c r="C762" i="175"/>
  <c r="D761"/>
  <c r="A38" i="189" s="1"/>
  <c r="E762" i="175" l="1"/>
  <c r="B38" i="189"/>
  <c r="AK725" i="175"/>
  <c r="AG2" i="189"/>
  <c r="AG2" i="190" s="1"/>
  <c r="C763" i="175"/>
  <c r="D762"/>
  <c r="A39" i="189" s="1"/>
  <c r="E763" i="175" l="1"/>
  <c r="B39" i="189"/>
  <c r="AL725" i="175"/>
  <c r="AH2" i="189"/>
  <c r="AH2" i="190" s="1"/>
  <c r="C764" i="175"/>
  <c r="D763"/>
  <c r="A40" i="189" s="1"/>
  <c r="E764" i="175" l="1"/>
  <c r="B40" i="189"/>
  <c r="AM725" i="175"/>
  <c r="AI2" i="189"/>
  <c r="AI2" i="190" s="1"/>
  <c r="C765" i="175"/>
  <c r="D764"/>
  <c r="A41" i="189" s="1"/>
  <c r="E765" i="175" l="1"/>
  <c r="B41" i="189"/>
  <c r="AN725" i="175"/>
  <c r="AJ2" i="189"/>
  <c r="AJ2" i="190" s="1"/>
  <c r="C766" i="175"/>
  <c r="D765"/>
  <c r="A42" i="189" s="1"/>
  <c r="E766" i="175" l="1"/>
  <c r="B42" i="189"/>
  <c r="AO725" i="175"/>
  <c r="AK2" i="189"/>
  <c r="AK2" i="190" s="1"/>
  <c r="C767" i="175"/>
  <c r="D766"/>
  <c r="A43" i="189" s="1"/>
  <c r="E767" i="175" l="1"/>
  <c r="B43" i="189"/>
  <c r="AP725" i="175"/>
  <c r="AL2" i="189"/>
  <c r="AL2" i="190" s="1"/>
  <c r="C768" i="175"/>
  <c r="D767"/>
  <c r="A44" i="189" s="1"/>
  <c r="E768" i="175" l="1"/>
  <c r="B44" i="189"/>
  <c r="AQ725" i="175"/>
  <c r="AM2" i="189"/>
  <c r="AM2" i="190" s="1"/>
  <c r="C769" i="175"/>
  <c r="D768"/>
  <c r="A45" i="189" s="1"/>
  <c r="E769" i="175" l="1"/>
  <c r="B45" i="189"/>
  <c r="AR725" i="175"/>
  <c r="AN2" i="189"/>
  <c r="AN2" i="190" s="1"/>
  <c r="C770" i="175"/>
  <c r="D769"/>
  <c r="A46" i="189" s="1"/>
  <c r="E770" i="175" l="1"/>
  <c r="B46" i="189"/>
  <c r="AS725" i="175"/>
  <c r="AO2" i="189"/>
  <c r="AO2" i="190" s="1"/>
  <c r="C771" i="175"/>
  <c r="D770"/>
  <c r="A47" i="189" s="1"/>
  <c r="E771" i="175" l="1"/>
  <c r="B47" i="189"/>
  <c r="AT725" i="175"/>
  <c r="AQ2" i="189" s="1"/>
  <c r="AQ2" i="190" s="1"/>
  <c r="AP2" i="189"/>
  <c r="AP2" i="190" s="1"/>
  <c r="C772" i="175"/>
  <c r="D771"/>
  <c r="A48" i="189" s="1"/>
  <c r="E772" i="175" l="1"/>
  <c r="B48" i="189"/>
  <c r="C773" i="175"/>
  <c r="D772"/>
  <c r="A49" i="189" s="1"/>
  <c r="E773" i="175" l="1"/>
  <c r="B49" i="189"/>
  <c r="C774" i="175"/>
  <c r="D773"/>
  <c r="A50" i="189" s="1"/>
  <c r="E774" i="175" l="1"/>
  <c r="B50" i="189"/>
  <c r="C775" i="175"/>
  <c r="D774"/>
  <c r="A51" i="189" s="1"/>
  <c r="E775" i="175" l="1"/>
  <c r="B51" i="189"/>
  <c r="C776" i="175"/>
  <c r="D775"/>
  <c r="A52" i="189" s="1"/>
  <c r="E776" i="175" l="1"/>
  <c r="B52" i="189"/>
  <c r="C777" i="175"/>
  <c r="D776"/>
  <c r="A53" i="189" s="1"/>
  <c r="E777" i="175" l="1"/>
  <c r="B53" i="189"/>
  <c r="C778" i="175"/>
  <c r="D777"/>
  <c r="A54" i="189" s="1"/>
  <c r="E778" i="175" l="1"/>
  <c r="B54" i="189"/>
  <c r="C779" i="175"/>
  <c r="D778"/>
  <c r="A55" i="189" s="1"/>
  <c r="E779" i="175" l="1"/>
  <c r="B55" i="189"/>
  <c r="C780" i="175"/>
  <c r="D779"/>
  <c r="A56" i="189" s="1"/>
  <c r="E780" i="175" l="1"/>
  <c r="B56" i="189"/>
  <c r="C781" i="175"/>
  <c r="D780"/>
  <c r="A57" i="189" s="1"/>
  <c r="E781" i="175" l="1"/>
  <c r="B57" i="189"/>
  <c r="C782" i="175"/>
  <c r="D781"/>
  <c r="A58" i="189" s="1"/>
  <c r="E782" i="175" l="1"/>
  <c r="B58" i="189"/>
  <c r="C783" i="175"/>
  <c r="D782"/>
  <c r="A59" i="189" s="1"/>
  <c r="E783" i="175" l="1"/>
  <c r="B59" i="189"/>
  <c r="C784" i="175"/>
  <c r="D783"/>
  <c r="A60" i="189" s="1"/>
  <c r="E784" i="175" l="1"/>
  <c r="B60" i="189"/>
  <c r="C785" i="175"/>
  <c r="C786" s="1"/>
  <c r="D784"/>
  <c r="A61" i="189" s="1"/>
  <c r="E727" i="175"/>
  <c r="C727"/>
  <c r="C728" s="1"/>
  <c r="B727"/>
  <c r="B728" s="1"/>
  <c r="B729" s="1"/>
  <c r="B730" s="1"/>
  <c r="B731" s="1"/>
  <c r="B732" s="1"/>
  <c r="B733" s="1"/>
  <c r="B734" s="1"/>
  <c r="B735" s="1"/>
  <c r="B736" s="1"/>
  <c r="B737" s="1"/>
  <c r="B738" s="1"/>
  <c r="B739" s="1"/>
  <c r="B740" s="1"/>
  <c r="B741" s="1"/>
  <c r="B742" s="1"/>
  <c r="B743" s="1"/>
  <c r="B744" s="1"/>
  <c r="B745" s="1"/>
  <c r="B746" s="1"/>
  <c r="B747" s="1"/>
  <c r="B748" s="1"/>
  <c r="B749" s="1"/>
  <c r="B750" s="1"/>
  <c r="B751" s="1"/>
  <c r="B752" s="1"/>
  <c r="B753" s="1"/>
  <c r="B754" s="1"/>
  <c r="B755" s="1"/>
  <c r="A727"/>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E728" l="1"/>
  <c r="B4" i="189"/>
  <c r="E785" i="175"/>
  <c r="B61" i="189"/>
  <c r="D727" i="175"/>
  <c r="A4" i="189" s="1"/>
  <c r="C729" i="175"/>
  <c r="D728"/>
  <c r="A5" i="189" s="1"/>
  <c r="D726" i="175"/>
  <c r="A3" i="189" s="1"/>
  <c r="A472" i="175"/>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B472"/>
  <c r="B473" s="1"/>
  <c r="B474" s="1"/>
  <c r="B475" s="1"/>
  <c r="B476" s="1"/>
  <c r="B477" s="1"/>
  <c r="B478" s="1"/>
  <c r="B479" s="1"/>
  <c r="B480" s="1"/>
  <c r="B481" s="1"/>
  <c r="B482" s="1"/>
  <c r="B483" s="1"/>
  <c r="B484" s="1"/>
  <c r="B485" s="1"/>
  <c r="B486" s="1"/>
  <c r="B487" s="1"/>
  <c r="B488" s="1"/>
  <c r="B489" s="1"/>
  <c r="B490" s="1"/>
  <c r="B491" s="1"/>
  <c r="B492" s="1"/>
  <c r="B493" s="1"/>
  <c r="B494" s="1"/>
  <c r="B495" s="1"/>
  <c r="B496" s="1"/>
  <c r="B497" s="1"/>
  <c r="B498" s="1"/>
  <c r="B499" s="1"/>
  <c r="B500" s="1"/>
  <c r="C472"/>
  <c r="C473" s="1"/>
  <c r="C474" s="1"/>
  <c r="C475" s="1"/>
  <c r="C476" s="1"/>
  <c r="C477" s="1"/>
  <c r="C478" s="1"/>
  <c r="C479" s="1"/>
  <c r="C480" s="1"/>
  <c r="C481" s="1"/>
  <c r="C482" s="1"/>
  <c r="C483" s="1"/>
  <c r="C484" s="1"/>
  <c r="C485" s="1"/>
  <c r="C486" s="1"/>
  <c r="C487" s="1"/>
  <c r="C488" s="1"/>
  <c r="C489" s="1"/>
  <c r="C490" s="1"/>
  <c r="C491" s="1"/>
  <c r="C492" s="1"/>
  <c r="C493" s="1"/>
  <c r="C494" s="1"/>
  <c r="C495" s="1"/>
  <c r="C496" s="1"/>
  <c r="C497" s="1"/>
  <c r="C498" s="1"/>
  <c r="C499" s="1"/>
  <c r="C500" s="1"/>
  <c r="E472"/>
  <c r="E729" l="1"/>
  <c r="B5" i="189"/>
  <c r="E786" i="175"/>
  <c r="B63" i="189" s="1"/>
  <c r="B62"/>
  <c r="E473" i="175"/>
  <c r="B53" i="190"/>
  <c r="C730" i="175"/>
  <c r="D729"/>
  <c r="A6" i="189" s="1"/>
  <c r="D472" i="175"/>
  <c r="A53" i="190" s="1"/>
  <c r="D473" i="175"/>
  <c r="A54" i="190" s="1"/>
  <c r="D471" i="175"/>
  <c r="A52" i="190" s="1"/>
  <c r="E565" i="175"/>
  <c r="E566" s="1"/>
  <c r="E567" s="1"/>
  <c r="E568" s="1"/>
  <c r="E569" s="1"/>
  <c r="E570" s="1"/>
  <c r="E571" s="1"/>
  <c r="E572" s="1"/>
  <c r="E573" s="1"/>
  <c r="E574" s="1"/>
  <c r="E575" s="1"/>
  <c r="E576" s="1"/>
  <c r="E577" s="1"/>
  <c r="E578" s="1"/>
  <c r="E579" s="1"/>
  <c r="E580" s="1"/>
  <c r="E581" s="1"/>
  <c r="E582" s="1"/>
  <c r="E583" s="1"/>
  <c r="E584" s="1"/>
  <c r="E585" s="1"/>
  <c r="E586" s="1"/>
  <c r="E587" s="1"/>
  <c r="E588" s="1"/>
  <c r="E589" s="1"/>
  <c r="E590" s="1"/>
  <c r="E591" s="1"/>
  <c r="E592" s="1"/>
  <c r="E593" s="1"/>
  <c r="C565"/>
  <c r="C566" s="1"/>
  <c r="B565"/>
  <c r="B566" s="1"/>
  <c r="B567" s="1"/>
  <c r="B568" s="1"/>
  <c r="B569" s="1"/>
  <c r="B570" s="1"/>
  <c r="B571" s="1"/>
  <c r="B572" s="1"/>
  <c r="B573" s="1"/>
  <c r="B574" s="1"/>
  <c r="B575" s="1"/>
  <c r="B576" s="1"/>
  <c r="B577" s="1"/>
  <c r="B578" s="1"/>
  <c r="B579" s="1"/>
  <c r="B580" s="1"/>
  <c r="B581" s="1"/>
  <c r="B582" s="1"/>
  <c r="B583" s="1"/>
  <c r="B584" s="1"/>
  <c r="B585" s="1"/>
  <c r="B586" s="1"/>
  <c r="B587" s="1"/>
  <c r="B588" s="1"/>
  <c r="B589" s="1"/>
  <c r="B590" s="1"/>
  <c r="B591" s="1"/>
  <c r="B592" s="1"/>
  <c r="B593" s="1"/>
  <c r="A565"/>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E474" l="1"/>
  <c r="B54" i="190"/>
  <c r="E730" i="175"/>
  <c r="B6" i="189"/>
  <c r="C731" i="175"/>
  <c r="D730"/>
  <c r="A7" i="189" s="1"/>
  <c r="D474" i="175"/>
  <c r="A55" i="190" s="1"/>
  <c r="D565" i="175"/>
  <c r="C567"/>
  <c r="D566"/>
  <c r="D564"/>
  <c r="E475" l="1"/>
  <c r="B55" i="190"/>
  <c r="E731" i="175"/>
  <c r="B7" i="189"/>
  <c r="C732" i="175"/>
  <c r="D731"/>
  <c r="A8" i="189" s="1"/>
  <c r="D475" i="175"/>
  <c r="A56" i="190" s="1"/>
  <c r="C568" i="175"/>
  <c r="D567"/>
  <c r="E732" l="1"/>
  <c r="B8" i="189"/>
  <c r="E476" i="175"/>
  <c r="B56" i="190"/>
  <c r="C733" i="175"/>
  <c r="D732"/>
  <c r="A9" i="189" s="1"/>
  <c r="D476" i="175"/>
  <c r="A57" i="190" s="1"/>
  <c r="C569" i="175"/>
  <c r="D568"/>
  <c r="E733" l="1"/>
  <c r="B9" i="189"/>
  <c r="E477" i="175"/>
  <c r="B57" i="190"/>
  <c r="C734" i="175"/>
  <c r="D733"/>
  <c r="A10" i="189" s="1"/>
  <c r="D477" i="175"/>
  <c r="A58" i="190" s="1"/>
  <c r="C570" i="175"/>
  <c r="D569"/>
  <c r="E478" l="1"/>
  <c r="B58" i="190"/>
  <c r="E734" i="175"/>
  <c r="B10" i="189"/>
  <c r="C735" i="175"/>
  <c r="D734"/>
  <c r="A11" i="189" s="1"/>
  <c r="D478" i="175"/>
  <c r="A59" i="190" s="1"/>
  <c r="C571" i="175"/>
  <c r="D570"/>
  <c r="E479" l="1"/>
  <c r="B59" i="190"/>
  <c r="E735" i="175"/>
  <c r="B11" i="189"/>
  <c r="C736" i="175"/>
  <c r="D735"/>
  <c r="A12" i="189" s="1"/>
  <c r="D479" i="175"/>
  <c r="A60" i="190" s="1"/>
  <c r="C572" i="175"/>
  <c r="D571"/>
  <c r="E480" l="1"/>
  <c r="B60" i="190"/>
  <c r="E736" i="175"/>
  <c r="B12" i="189"/>
  <c r="C737" i="175"/>
  <c r="D736"/>
  <c r="A13" i="189" s="1"/>
  <c r="D480" i="175"/>
  <c r="A61" i="190" s="1"/>
  <c r="C573" i="175"/>
  <c r="D572"/>
  <c r="E481" l="1"/>
  <c r="B61" i="190"/>
  <c r="E737" i="175"/>
  <c r="B13" i="189"/>
  <c r="C738" i="175"/>
  <c r="D737"/>
  <c r="A14" i="189" s="1"/>
  <c r="D481" i="175"/>
  <c r="A62" i="190" s="1"/>
  <c r="C574" i="175"/>
  <c r="D573"/>
  <c r="E482" l="1"/>
  <c r="B62" i="190"/>
  <c r="E738" i="175"/>
  <c r="B14" i="189"/>
  <c r="C739" i="175"/>
  <c r="D738"/>
  <c r="A15" i="189" s="1"/>
  <c r="D482" i="175"/>
  <c r="A63" i="190" s="1"/>
  <c r="C575" i="175"/>
  <c r="D574"/>
  <c r="E739" l="1"/>
  <c r="B15" i="189"/>
  <c r="E483" i="175"/>
  <c r="B63" i="190"/>
  <c r="C740" i="175"/>
  <c r="D739"/>
  <c r="A16" i="189" s="1"/>
  <c r="D483" i="175"/>
  <c r="A64" i="190" s="1"/>
  <c r="C576" i="175"/>
  <c r="D575"/>
  <c r="AR18" i="146"/>
  <c r="E21" i="188"/>
  <c r="C18"/>
  <c r="C17"/>
  <c r="C16"/>
  <c r="C15"/>
  <c r="C14"/>
  <c r="C13"/>
  <c r="C12"/>
  <c r="C11"/>
  <c r="C10"/>
  <c r="C9"/>
  <c r="C8"/>
  <c r="C7"/>
  <c r="C6"/>
  <c r="C5"/>
  <c r="C4"/>
  <c r="C3"/>
  <c r="O62" i="13"/>
  <c r="E740" i="175" l="1"/>
  <c r="B16" i="189"/>
  <c r="E484" i="175"/>
  <c r="B64" i="190"/>
  <c r="C741" i="175"/>
  <c r="D740"/>
  <c r="A17" i="189" s="1"/>
  <c r="D484" i="175"/>
  <c r="A65" i="190" s="1"/>
  <c r="C577" i="175"/>
  <c r="D576"/>
  <c r="AT655"/>
  <c r="AT717" s="1"/>
  <c r="AS655"/>
  <c r="AS717" s="1"/>
  <c r="AR655"/>
  <c r="AR717" s="1"/>
  <c r="AQ655"/>
  <c r="AQ717" s="1"/>
  <c r="AP655"/>
  <c r="AP717" s="1"/>
  <c r="AO655"/>
  <c r="AO717" s="1"/>
  <c r="AN655"/>
  <c r="AN717" s="1"/>
  <c r="AM655"/>
  <c r="AM717" s="1"/>
  <c r="AL655"/>
  <c r="AL717" s="1"/>
  <c r="AK655"/>
  <c r="AK717" s="1"/>
  <c r="AJ655"/>
  <c r="AJ717" s="1"/>
  <c r="AI655"/>
  <c r="AI717" s="1"/>
  <c r="AH655"/>
  <c r="AH717" s="1"/>
  <c r="AG655"/>
  <c r="AG717" s="1"/>
  <c r="AF655"/>
  <c r="AF717" s="1"/>
  <c r="AE655"/>
  <c r="AE717" s="1"/>
  <c r="AD655"/>
  <c r="AD717" s="1"/>
  <c r="AC655"/>
  <c r="AC717" s="1"/>
  <c r="AB655"/>
  <c r="AB717" s="1"/>
  <c r="AA655"/>
  <c r="AA717" s="1"/>
  <c r="Z655"/>
  <c r="Z717" s="1"/>
  <c r="Y655"/>
  <c r="Y717" s="1"/>
  <c r="X655"/>
  <c r="X717" s="1"/>
  <c r="W655"/>
  <c r="W717" s="1"/>
  <c r="V655"/>
  <c r="V717" s="1"/>
  <c r="U655"/>
  <c r="U717" s="1"/>
  <c r="T655"/>
  <c r="T717" s="1"/>
  <c r="S655"/>
  <c r="S717" s="1"/>
  <c r="R655"/>
  <c r="R717" s="1"/>
  <c r="Q655"/>
  <c r="Q717" s="1"/>
  <c r="P655"/>
  <c r="P717" s="1"/>
  <c r="O655"/>
  <c r="O717" s="1"/>
  <c r="N655"/>
  <c r="N717" s="1"/>
  <c r="M655"/>
  <c r="M717" s="1"/>
  <c r="L655"/>
  <c r="L717" s="1"/>
  <c r="K655"/>
  <c r="K717" s="1"/>
  <c r="J655"/>
  <c r="J717" s="1"/>
  <c r="I655"/>
  <c r="I717" s="1"/>
  <c r="H655"/>
  <c r="H717" s="1"/>
  <c r="D562"/>
  <c r="AT654"/>
  <c r="AT716" s="1"/>
  <c r="AS654"/>
  <c r="AS716" s="1"/>
  <c r="AR654"/>
  <c r="AR716" s="1"/>
  <c r="AQ654"/>
  <c r="AQ716" s="1"/>
  <c r="AP654"/>
  <c r="AP716" s="1"/>
  <c r="AO654"/>
  <c r="AO716" s="1"/>
  <c r="AN654"/>
  <c r="AN716" s="1"/>
  <c r="AM654"/>
  <c r="AM716" s="1"/>
  <c r="AL654"/>
  <c r="AL716" s="1"/>
  <c r="AK654"/>
  <c r="AK716" s="1"/>
  <c r="AJ654"/>
  <c r="AJ716" s="1"/>
  <c r="AI654"/>
  <c r="AI716" s="1"/>
  <c r="AH654"/>
  <c r="AH716" s="1"/>
  <c r="AG654"/>
  <c r="AG716" s="1"/>
  <c r="AF654"/>
  <c r="AF716" s="1"/>
  <c r="AE654"/>
  <c r="AE716" s="1"/>
  <c r="AD654"/>
  <c r="AD716" s="1"/>
  <c r="AC654"/>
  <c r="AC716" s="1"/>
  <c r="AB654"/>
  <c r="AB716" s="1"/>
  <c r="AA654"/>
  <c r="AA716" s="1"/>
  <c r="Z654"/>
  <c r="Z716" s="1"/>
  <c r="Y654"/>
  <c r="Y716" s="1"/>
  <c r="X654"/>
  <c r="X716" s="1"/>
  <c r="W654"/>
  <c r="W716" s="1"/>
  <c r="V654"/>
  <c r="V716" s="1"/>
  <c r="U654"/>
  <c r="U716" s="1"/>
  <c r="T654"/>
  <c r="T716" s="1"/>
  <c r="S654"/>
  <c r="S716" s="1"/>
  <c r="R654"/>
  <c r="R716" s="1"/>
  <c r="Q654"/>
  <c r="Q716" s="1"/>
  <c r="P654"/>
  <c r="P716" s="1"/>
  <c r="O654"/>
  <c r="O716" s="1"/>
  <c r="N654"/>
  <c r="N716" s="1"/>
  <c r="M654"/>
  <c r="M716" s="1"/>
  <c r="L654"/>
  <c r="L716" s="1"/>
  <c r="K654"/>
  <c r="K716" s="1"/>
  <c r="J654"/>
  <c r="J716" s="1"/>
  <c r="I654"/>
  <c r="I716" s="1"/>
  <c r="H654"/>
  <c r="H716" s="1"/>
  <c r="D561"/>
  <c r="BA53" i="169"/>
  <c r="AO24" i="163"/>
  <c r="AO23"/>
  <c r="AO22"/>
  <c r="AO21"/>
  <c r="AO20"/>
  <c r="AO19"/>
  <c r="B41" i="44"/>
  <c r="G26" i="169"/>
  <c r="H21" i="179"/>
  <c r="E741" i="175" l="1"/>
  <c r="B17" i="189"/>
  <c r="E485" i="175"/>
  <c r="B65" i="190"/>
  <c r="C742" i="175"/>
  <c r="D741"/>
  <c r="A18" i="189" s="1"/>
  <c r="D655" i="175"/>
  <c r="D717" s="1"/>
  <c r="D786" s="1"/>
  <c r="D593"/>
  <c r="D654"/>
  <c r="D716" s="1"/>
  <c r="D785" s="1"/>
  <c r="D592"/>
  <c r="D485"/>
  <c r="A66" i="190" s="1"/>
  <c r="C578" i="175"/>
  <c r="D577"/>
  <c r="G654"/>
  <c r="G716" s="1"/>
  <c r="G655"/>
  <c r="G717" s="1"/>
  <c r="AV27" i="162"/>
  <c r="AV32" s="1"/>
  <c r="AV37" s="1"/>
  <c r="AV42" s="1"/>
  <c r="P9" i="186"/>
  <c r="J11"/>
  <c r="J12"/>
  <c r="J13"/>
  <c r="G10" s="1"/>
  <c r="J14"/>
  <c r="J15"/>
  <c r="J16"/>
  <c r="O16"/>
  <c r="J17"/>
  <c r="J18"/>
  <c r="J19"/>
  <c r="H20"/>
  <c r="J20"/>
  <c r="H21"/>
  <c r="J21"/>
  <c r="H22"/>
  <c r="J22"/>
  <c r="H23"/>
  <c r="J23"/>
  <c r="H24"/>
  <c r="J24"/>
  <c r="H25"/>
  <c r="J25"/>
  <c r="H26"/>
  <c r="J26"/>
  <c r="H27"/>
  <c r="J27"/>
  <c r="H28"/>
  <c r="J28"/>
  <c r="H29"/>
  <c r="J29"/>
  <c r="H30"/>
  <c r="J30"/>
  <c r="H31"/>
  <c r="J31"/>
  <c r="H32"/>
  <c r="J32"/>
  <c r="H33"/>
  <c r="J33"/>
  <c r="H34"/>
  <c r="J34"/>
  <c r="H35"/>
  <c r="J35"/>
  <c r="H36"/>
  <c r="J36"/>
  <c r="H37"/>
  <c r="J37"/>
  <c r="H38"/>
  <c r="J38"/>
  <c r="H39"/>
  <c r="J39"/>
  <c r="H40"/>
  <c r="J40"/>
  <c r="H41"/>
  <c r="J41"/>
  <c r="H42"/>
  <c r="J42"/>
  <c r="H43"/>
  <c r="J43"/>
  <c r="H44"/>
  <c r="J44"/>
  <c r="H45"/>
  <c r="J45"/>
  <c r="H46"/>
  <c r="J46"/>
  <c r="H47"/>
  <c r="J47"/>
  <c r="H48"/>
  <c r="J48"/>
  <c r="H49"/>
  <c r="J49"/>
  <c r="H50"/>
  <c r="J50"/>
  <c r="H51"/>
  <c r="J51"/>
  <c r="H52"/>
  <c r="J52"/>
  <c r="H53"/>
  <c r="J53"/>
  <c r="H54"/>
  <c r="J54"/>
  <c r="H55"/>
  <c r="J55"/>
  <c r="H56"/>
  <c r="J56"/>
  <c r="H57"/>
  <c r="J57"/>
  <c r="H58"/>
  <c r="J58"/>
  <c r="H59"/>
  <c r="J59"/>
  <c r="H60"/>
  <c r="J60"/>
  <c r="H61"/>
  <c r="J61"/>
  <c r="H62"/>
  <c r="J62"/>
  <c r="H63"/>
  <c r="J63"/>
  <c r="H64"/>
  <c r="J64"/>
  <c r="H65"/>
  <c r="J65"/>
  <c r="H66"/>
  <c r="J66"/>
  <c r="H67"/>
  <c r="J67"/>
  <c r="H68"/>
  <c r="J68"/>
  <c r="H69"/>
  <c r="J69"/>
  <c r="H70"/>
  <c r="J70"/>
  <c r="H71"/>
  <c r="J71"/>
  <c r="H72"/>
  <c r="J72"/>
  <c r="H73"/>
  <c r="J73"/>
  <c r="H74"/>
  <c r="J74"/>
  <c r="H75"/>
  <c r="J75"/>
  <c r="H76"/>
  <c r="J76"/>
  <c r="H77"/>
  <c r="J77"/>
  <c r="H78"/>
  <c r="J78"/>
  <c r="H79"/>
  <c r="J79"/>
  <c r="H80"/>
  <c r="J80"/>
  <c r="H81"/>
  <c r="J81"/>
  <c r="H82"/>
  <c r="J82"/>
  <c r="H83"/>
  <c r="J83"/>
  <c r="H84"/>
  <c r="J84"/>
  <c r="H85"/>
  <c r="J85"/>
  <c r="H86"/>
  <c r="J86"/>
  <c r="H87"/>
  <c r="J87"/>
  <c r="H88"/>
  <c r="J88"/>
  <c r="H89"/>
  <c r="J89"/>
  <c r="H90"/>
  <c r="J90"/>
  <c r="H91"/>
  <c r="J91"/>
  <c r="H92"/>
  <c r="J92"/>
  <c r="H93"/>
  <c r="J93"/>
  <c r="H94"/>
  <c r="J94"/>
  <c r="H95"/>
  <c r="J95"/>
  <c r="H96"/>
  <c r="J96"/>
  <c r="H97"/>
  <c r="J97"/>
  <c r="H98"/>
  <c r="J98"/>
  <c r="H99"/>
  <c r="J99"/>
  <c r="H100"/>
  <c r="J100"/>
  <c r="H101"/>
  <c r="J101"/>
  <c r="H102"/>
  <c r="J102"/>
  <c r="H103"/>
  <c r="J103"/>
  <c r="H104"/>
  <c r="J104"/>
  <c r="H105"/>
  <c r="J105"/>
  <c r="H106"/>
  <c r="J106"/>
  <c r="H107"/>
  <c r="J107"/>
  <c r="H108"/>
  <c r="J108"/>
  <c r="H109"/>
  <c r="J109"/>
  <c r="H110"/>
  <c r="J110"/>
  <c r="H111"/>
  <c r="J111"/>
  <c r="H112"/>
  <c r="J112"/>
  <c r="H113"/>
  <c r="J113"/>
  <c r="H114"/>
  <c r="J114"/>
  <c r="H115"/>
  <c r="J115"/>
  <c r="H116"/>
  <c r="J116"/>
  <c r="H117"/>
  <c r="J117"/>
  <c r="H118"/>
  <c r="J118"/>
  <c r="H119"/>
  <c r="J119"/>
  <c r="H120"/>
  <c r="J120"/>
  <c r="H121"/>
  <c r="J121"/>
  <c r="H122"/>
  <c r="J122"/>
  <c r="H123"/>
  <c r="J123"/>
  <c r="H124"/>
  <c r="J124"/>
  <c r="H125"/>
  <c r="J125"/>
  <c r="H126"/>
  <c r="J126"/>
  <c r="H127"/>
  <c r="J127"/>
  <c r="H128"/>
  <c r="J128"/>
  <c r="H129"/>
  <c r="J129"/>
  <c r="H130"/>
  <c r="J130"/>
  <c r="H131"/>
  <c r="J131"/>
  <c r="H132"/>
  <c r="J132"/>
  <c r="H133"/>
  <c r="J133"/>
  <c r="H134"/>
  <c r="J134"/>
  <c r="H135"/>
  <c r="J135"/>
  <c r="H136"/>
  <c r="J136"/>
  <c r="H137"/>
  <c r="J137"/>
  <c r="H138"/>
  <c r="J138"/>
  <c r="H139"/>
  <c r="J139"/>
  <c r="H140"/>
  <c r="J140"/>
  <c r="H141"/>
  <c r="J141"/>
  <c r="H142"/>
  <c r="J142"/>
  <c r="H143"/>
  <c r="J143"/>
  <c r="H144"/>
  <c r="J144"/>
  <c r="H145"/>
  <c r="J145"/>
  <c r="H146"/>
  <c r="J146"/>
  <c r="H147"/>
  <c r="J147"/>
  <c r="H148"/>
  <c r="J148"/>
  <c r="H149"/>
  <c r="J149"/>
  <c r="H150"/>
  <c r="J150"/>
  <c r="H151"/>
  <c r="J151"/>
  <c r="H152"/>
  <c r="J152"/>
  <c r="H153"/>
  <c r="J153"/>
  <c r="H154"/>
  <c r="J154"/>
  <c r="H155"/>
  <c r="J155"/>
  <c r="H156"/>
  <c r="J156"/>
  <c r="H157"/>
  <c r="J157"/>
  <c r="H158"/>
  <c r="J158"/>
  <c r="H159"/>
  <c r="J159"/>
  <c r="H160"/>
  <c r="J160"/>
  <c r="H161"/>
  <c r="J161"/>
  <c r="H162"/>
  <c r="J162"/>
  <c r="H163"/>
  <c r="J163"/>
  <c r="H164"/>
  <c r="J164"/>
  <c r="H165"/>
  <c r="J165"/>
  <c r="H166"/>
  <c r="J166"/>
  <c r="H167"/>
  <c r="J167"/>
  <c r="H168"/>
  <c r="J168"/>
  <c r="H169"/>
  <c r="J169"/>
  <c r="H170"/>
  <c r="J170"/>
  <c r="H171"/>
  <c r="J171"/>
  <c r="H172"/>
  <c r="J172"/>
  <c r="H173"/>
  <c r="J173"/>
  <c r="H174"/>
  <c r="J174"/>
  <c r="H175"/>
  <c r="J175"/>
  <c r="H176"/>
  <c r="J176"/>
  <c r="H177"/>
  <c r="J177"/>
  <c r="H178"/>
  <c r="J178"/>
  <c r="H179"/>
  <c r="J179"/>
  <c r="H180"/>
  <c r="J180"/>
  <c r="H181"/>
  <c r="J181"/>
  <c r="H182"/>
  <c r="J182"/>
  <c r="H183"/>
  <c r="J183"/>
  <c r="H184"/>
  <c r="J184"/>
  <c r="H185"/>
  <c r="J185"/>
  <c r="H186"/>
  <c r="J186"/>
  <c r="H187"/>
  <c r="J187"/>
  <c r="H188"/>
  <c r="J188"/>
  <c r="H189"/>
  <c r="J189"/>
  <c r="H190"/>
  <c r="J190"/>
  <c r="H191"/>
  <c r="J191"/>
  <c r="H192"/>
  <c r="J192"/>
  <c r="H193"/>
  <c r="J193"/>
  <c r="H194"/>
  <c r="J194"/>
  <c r="H195"/>
  <c r="J195"/>
  <c r="H196"/>
  <c r="J196"/>
  <c r="H197"/>
  <c r="J197"/>
  <c r="H198"/>
  <c r="J198"/>
  <c r="H199"/>
  <c r="J199"/>
  <c r="H200"/>
  <c r="J200"/>
  <c r="H201"/>
  <c r="J201"/>
  <c r="H202"/>
  <c r="J202"/>
  <c r="H203"/>
  <c r="J203"/>
  <c r="H204"/>
  <c r="J204"/>
  <c r="H205"/>
  <c r="J205"/>
  <c r="H206"/>
  <c r="J206"/>
  <c r="H207"/>
  <c r="J207"/>
  <c r="H208"/>
  <c r="J208"/>
  <c r="H209"/>
  <c r="J209"/>
  <c r="H210"/>
  <c r="J210"/>
  <c r="H211"/>
  <c r="J211"/>
  <c r="H212"/>
  <c r="J212"/>
  <c r="H213"/>
  <c r="J213"/>
  <c r="H214"/>
  <c r="J214"/>
  <c r="H215"/>
  <c r="J215"/>
  <c r="H216"/>
  <c r="J216"/>
  <c r="H217"/>
  <c r="J217"/>
  <c r="H218"/>
  <c r="J218"/>
  <c r="H219"/>
  <c r="J219"/>
  <c r="H220"/>
  <c r="J220"/>
  <c r="H221"/>
  <c r="J221"/>
  <c r="H222"/>
  <c r="J222"/>
  <c r="H223"/>
  <c r="J223"/>
  <c r="H224"/>
  <c r="J224"/>
  <c r="H225"/>
  <c r="J225"/>
  <c r="H226"/>
  <c r="J226"/>
  <c r="H227"/>
  <c r="J227"/>
  <c r="H228"/>
  <c r="J228"/>
  <c r="H229"/>
  <c r="J229"/>
  <c r="H230"/>
  <c r="J230"/>
  <c r="H231"/>
  <c r="J231"/>
  <c r="H232"/>
  <c r="J232"/>
  <c r="H233"/>
  <c r="J233"/>
  <c r="H234"/>
  <c r="J234"/>
  <c r="H235"/>
  <c r="J235"/>
  <c r="H236"/>
  <c r="J236"/>
  <c r="H237"/>
  <c r="J237"/>
  <c r="H238"/>
  <c r="J238"/>
  <c r="H239"/>
  <c r="J239"/>
  <c r="H240"/>
  <c r="J240"/>
  <c r="H241"/>
  <c r="J241"/>
  <c r="H242"/>
  <c r="J242"/>
  <c r="H243"/>
  <c r="J243"/>
  <c r="H244"/>
  <c r="J244"/>
  <c r="H245"/>
  <c r="J245"/>
  <c r="H246"/>
  <c r="J246"/>
  <c r="H247"/>
  <c r="J247"/>
  <c r="H248"/>
  <c r="J248"/>
  <c r="H249"/>
  <c r="J249"/>
  <c r="H250"/>
  <c r="J250"/>
  <c r="H251"/>
  <c r="J251"/>
  <c r="H252"/>
  <c r="J252"/>
  <c r="H253"/>
  <c r="J253"/>
  <c r="H254"/>
  <c r="J254"/>
  <c r="H255"/>
  <c r="J255"/>
  <c r="H256"/>
  <c r="J256"/>
  <c r="H257"/>
  <c r="J257"/>
  <c r="H258"/>
  <c r="J258"/>
  <c r="H259"/>
  <c r="J259"/>
  <c r="H260"/>
  <c r="J260"/>
  <c r="H261"/>
  <c r="J261"/>
  <c r="H262"/>
  <c r="J262"/>
  <c r="H263"/>
  <c r="J263"/>
  <c r="H264"/>
  <c r="J264"/>
  <c r="H265"/>
  <c r="J265"/>
  <c r="H266"/>
  <c r="J266"/>
  <c r="H267"/>
  <c r="J267"/>
  <c r="H268"/>
  <c r="J268"/>
  <c r="H269"/>
  <c r="J269"/>
  <c r="H270"/>
  <c r="J270"/>
  <c r="H271"/>
  <c r="J271"/>
  <c r="H272"/>
  <c r="J272"/>
  <c r="H273"/>
  <c r="J273"/>
  <c r="H274"/>
  <c r="J274"/>
  <c r="H275"/>
  <c r="J275"/>
  <c r="H276"/>
  <c r="J276"/>
  <c r="H277"/>
  <c r="J277"/>
  <c r="H278"/>
  <c r="J278"/>
  <c r="H279"/>
  <c r="J279"/>
  <c r="H280"/>
  <c r="J280"/>
  <c r="H281"/>
  <c r="J281"/>
  <c r="H282"/>
  <c r="J282"/>
  <c r="H283"/>
  <c r="J283"/>
  <c r="H284"/>
  <c r="J284"/>
  <c r="H285"/>
  <c r="J285"/>
  <c r="H286"/>
  <c r="J286"/>
  <c r="H287"/>
  <c r="J287"/>
  <c r="H288"/>
  <c r="J288"/>
  <c r="H289"/>
  <c r="J289"/>
  <c r="H290"/>
  <c r="J290"/>
  <c r="H291"/>
  <c r="J291"/>
  <c r="H292"/>
  <c r="J292"/>
  <c r="H293"/>
  <c r="J293"/>
  <c r="H294"/>
  <c r="J294"/>
  <c r="H295"/>
  <c r="J295"/>
  <c r="H296"/>
  <c r="J296"/>
  <c r="H297"/>
  <c r="J297"/>
  <c r="H298"/>
  <c r="J298"/>
  <c r="H299"/>
  <c r="J299"/>
  <c r="H300"/>
  <c r="J300"/>
  <c r="H301"/>
  <c r="J301"/>
  <c r="H302"/>
  <c r="J302"/>
  <c r="H303"/>
  <c r="J303"/>
  <c r="H304"/>
  <c r="J304"/>
  <c r="H305"/>
  <c r="J305"/>
  <c r="H306"/>
  <c r="J306"/>
  <c r="H307"/>
  <c r="J307"/>
  <c r="H308"/>
  <c r="J308"/>
  <c r="H309"/>
  <c r="J309"/>
  <c r="H310"/>
  <c r="J310"/>
  <c r="H311"/>
  <c r="J311"/>
  <c r="H312"/>
  <c r="J312"/>
  <c r="H313"/>
  <c r="J313"/>
  <c r="H314"/>
  <c r="J314"/>
  <c r="H315"/>
  <c r="J315"/>
  <c r="H316"/>
  <c r="J316"/>
  <c r="H317"/>
  <c r="J317"/>
  <c r="H318"/>
  <c r="J318"/>
  <c r="H319"/>
  <c r="J319"/>
  <c r="H320"/>
  <c r="J320"/>
  <c r="H321"/>
  <c r="J321"/>
  <c r="H322"/>
  <c r="J322"/>
  <c r="H323"/>
  <c r="J323"/>
  <c r="H324"/>
  <c r="J324"/>
  <c r="H325"/>
  <c r="J325"/>
  <c r="H326"/>
  <c r="J326"/>
  <c r="H327"/>
  <c r="J327"/>
  <c r="H328"/>
  <c r="J328"/>
  <c r="H329"/>
  <c r="J329"/>
  <c r="H330"/>
  <c r="J330"/>
  <c r="H331"/>
  <c r="J331"/>
  <c r="H332"/>
  <c r="J332"/>
  <c r="H333"/>
  <c r="J333"/>
  <c r="H334"/>
  <c r="J334"/>
  <c r="H335"/>
  <c r="J335"/>
  <c r="H336"/>
  <c r="J336"/>
  <c r="H337"/>
  <c r="J337"/>
  <c r="H338"/>
  <c r="J338"/>
  <c r="H339"/>
  <c r="J339"/>
  <c r="H340"/>
  <c r="J340"/>
  <c r="H341"/>
  <c r="J341"/>
  <c r="H342"/>
  <c r="J342"/>
  <c r="H343"/>
  <c r="J343"/>
  <c r="H344"/>
  <c r="J344"/>
  <c r="H345"/>
  <c r="J345"/>
  <c r="H346"/>
  <c r="J346"/>
  <c r="H347"/>
  <c r="J347"/>
  <c r="H348"/>
  <c r="J348"/>
  <c r="H349"/>
  <c r="J349"/>
  <c r="H350"/>
  <c r="J350"/>
  <c r="H351"/>
  <c r="J351"/>
  <c r="H352"/>
  <c r="J352"/>
  <c r="H353"/>
  <c r="J353"/>
  <c r="H354"/>
  <c r="J354"/>
  <c r="H355"/>
  <c r="J355"/>
  <c r="H356"/>
  <c r="J356"/>
  <c r="H357"/>
  <c r="J357"/>
  <c r="H358"/>
  <c r="J358"/>
  <c r="H359"/>
  <c r="J359"/>
  <c r="H360"/>
  <c r="J360"/>
  <c r="H361"/>
  <c r="J361"/>
  <c r="H362"/>
  <c r="J362"/>
  <c r="H363"/>
  <c r="J363"/>
  <c r="H364"/>
  <c r="J364"/>
  <c r="H365"/>
  <c r="J365"/>
  <c r="H366"/>
  <c r="J366"/>
  <c r="H367"/>
  <c r="J367"/>
  <c r="H368"/>
  <c r="J368"/>
  <c r="H369"/>
  <c r="J369"/>
  <c r="H370"/>
  <c r="J370"/>
  <c r="H371"/>
  <c r="J371"/>
  <c r="H372"/>
  <c r="J372"/>
  <c r="H373"/>
  <c r="J373"/>
  <c r="H374"/>
  <c r="J374"/>
  <c r="H375"/>
  <c r="J375"/>
  <c r="H376"/>
  <c r="J376"/>
  <c r="H377"/>
  <c r="J377"/>
  <c r="H378"/>
  <c r="J378"/>
  <c r="H379"/>
  <c r="J379"/>
  <c r="H380"/>
  <c r="J380"/>
  <c r="H381"/>
  <c r="J381"/>
  <c r="H382"/>
  <c r="J382"/>
  <c r="H383"/>
  <c r="J383"/>
  <c r="H384"/>
  <c r="J384"/>
  <c r="H385"/>
  <c r="J385"/>
  <c r="H386"/>
  <c r="J386"/>
  <c r="H387"/>
  <c r="J387"/>
  <c r="H388"/>
  <c r="J388"/>
  <c r="H389"/>
  <c r="J389"/>
  <c r="H390"/>
  <c r="J390"/>
  <c r="H391"/>
  <c r="J391"/>
  <c r="H392"/>
  <c r="J392"/>
  <c r="H393"/>
  <c r="J393"/>
  <c r="H394"/>
  <c r="J394"/>
  <c r="H395"/>
  <c r="J395"/>
  <c r="H396"/>
  <c r="J396"/>
  <c r="H397"/>
  <c r="J397"/>
  <c r="H398"/>
  <c r="J398"/>
  <c r="H399"/>
  <c r="J399"/>
  <c r="H400"/>
  <c r="J400"/>
  <c r="H401"/>
  <c r="J401"/>
  <c r="H402"/>
  <c r="J402"/>
  <c r="H403"/>
  <c r="J403"/>
  <c r="H404"/>
  <c r="J404"/>
  <c r="H405"/>
  <c r="J405"/>
  <c r="H406"/>
  <c r="J406"/>
  <c r="H407"/>
  <c r="J407"/>
  <c r="H408"/>
  <c r="J408"/>
  <c r="H409"/>
  <c r="J409"/>
  <c r="H410"/>
  <c r="J410"/>
  <c r="H411"/>
  <c r="J411"/>
  <c r="H412"/>
  <c r="J412"/>
  <c r="H413"/>
  <c r="J413"/>
  <c r="H414"/>
  <c r="J414"/>
  <c r="H415"/>
  <c r="J415"/>
  <c r="H416"/>
  <c r="J416"/>
  <c r="H417"/>
  <c r="J417"/>
  <c r="H418"/>
  <c r="J418"/>
  <c r="H419"/>
  <c r="J419"/>
  <c r="H420"/>
  <c r="J420"/>
  <c r="H421"/>
  <c r="J421"/>
  <c r="H422"/>
  <c r="J422"/>
  <c r="H423"/>
  <c r="J423"/>
  <c r="H424"/>
  <c r="J424"/>
  <c r="H425"/>
  <c r="J425"/>
  <c r="H426"/>
  <c r="J426"/>
  <c r="H427"/>
  <c r="J427"/>
  <c r="H428"/>
  <c r="J428"/>
  <c r="H429"/>
  <c r="J429"/>
  <c r="H430"/>
  <c r="J430"/>
  <c r="H431"/>
  <c r="J431"/>
  <c r="H432"/>
  <c r="J432"/>
  <c r="H433"/>
  <c r="J433"/>
  <c r="H434"/>
  <c r="J434"/>
  <c r="H435"/>
  <c r="J435"/>
  <c r="H436"/>
  <c r="J436"/>
  <c r="H437"/>
  <c r="J437"/>
  <c r="H438"/>
  <c r="J438"/>
  <c r="H439"/>
  <c r="J439"/>
  <c r="H440"/>
  <c r="J440"/>
  <c r="H441"/>
  <c r="J441"/>
  <c r="H442"/>
  <c r="J442"/>
  <c r="H443"/>
  <c r="J443"/>
  <c r="H444"/>
  <c r="J444"/>
  <c r="H445"/>
  <c r="J445"/>
  <c r="H446"/>
  <c r="J446"/>
  <c r="H447"/>
  <c r="J447"/>
  <c r="H448"/>
  <c r="J448"/>
  <c r="H449"/>
  <c r="J449"/>
  <c r="H450"/>
  <c r="J450"/>
  <c r="H451"/>
  <c r="J451"/>
  <c r="H452"/>
  <c r="J452"/>
  <c r="H453"/>
  <c r="J453"/>
  <c r="H454"/>
  <c r="J454"/>
  <c r="H455"/>
  <c r="J455"/>
  <c r="H456"/>
  <c r="J456"/>
  <c r="H457"/>
  <c r="J457"/>
  <c r="H458"/>
  <c r="J458"/>
  <c r="H459"/>
  <c r="J459"/>
  <c r="H460"/>
  <c r="J460"/>
  <c r="H461"/>
  <c r="J461"/>
  <c r="H462"/>
  <c r="J462"/>
  <c r="H463"/>
  <c r="J463"/>
  <c r="H464"/>
  <c r="J464"/>
  <c r="H465"/>
  <c r="J465"/>
  <c r="H466"/>
  <c r="J466"/>
  <c r="H467"/>
  <c r="J467"/>
  <c r="H468"/>
  <c r="J468"/>
  <c r="H469"/>
  <c r="J469"/>
  <c r="H470"/>
  <c r="J470"/>
  <c r="H471"/>
  <c r="J471"/>
  <c r="H472"/>
  <c r="J472"/>
  <c r="H473"/>
  <c r="J473"/>
  <c r="H474"/>
  <c r="J474"/>
  <c r="H475"/>
  <c r="J475"/>
  <c r="H476"/>
  <c r="J476"/>
  <c r="H477"/>
  <c r="J477"/>
  <c r="H478"/>
  <c r="J478"/>
  <c r="H479"/>
  <c r="J479"/>
  <c r="H480"/>
  <c r="J480"/>
  <c r="H481"/>
  <c r="J481"/>
  <c r="H482"/>
  <c r="J482"/>
  <c r="H483"/>
  <c r="J483"/>
  <c r="H484"/>
  <c r="J484"/>
  <c r="H485"/>
  <c r="J485"/>
  <c r="H486"/>
  <c r="J486"/>
  <c r="H487"/>
  <c r="J487"/>
  <c r="H488"/>
  <c r="J488"/>
  <c r="H489"/>
  <c r="J489"/>
  <c r="H490"/>
  <c r="J490"/>
  <c r="H491"/>
  <c r="J491"/>
  <c r="H492"/>
  <c r="J492"/>
  <c r="H493"/>
  <c r="J493"/>
  <c r="H494"/>
  <c r="J494"/>
  <c r="H495"/>
  <c r="J495"/>
  <c r="H496"/>
  <c r="J496"/>
  <c r="H497"/>
  <c r="J497"/>
  <c r="H498"/>
  <c r="J498"/>
  <c r="H499"/>
  <c r="J499"/>
  <c r="H500"/>
  <c r="J500"/>
  <c r="H501"/>
  <c r="J501"/>
  <c r="H502"/>
  <c r="J502"/>
  <c r="H503"/>
  <c r="J503"/>
  <c r="H504"/>
  <c r="J504"/>
  <c r="H505"/>
  <c r="J505"/>
  <c r="H506"/>
  <c r="J506"/>
  <c r="H507"/>
  <c r="J507"/>
  <c r="H508"/>
  <c r="J508"/>
  <c r="H509"/>
  <c r="J509"/>
  <c r="H510"/>
  <c r="J510"/>
  <c r="H511"/>
  <c r="J511"/>
  <c r="H512"/>
  <c r="J512"/>
  <c r="H513"/>
  <c r="J513"/>
  <c r="H514"/>
  <c r="J514"/>
  <c r="H515"/>
  <c r="J515"/>
  <c r="H516"/>
  <c r="J516"/>
  <c r="H517"/>
  <c r="J517"/>
  <c r="H518"/>
  <c r="J518"/>
  <c r="H519"/>
  <c r="J519"/>
  <c r="H520"/>
  <c r="J520"/>
  <c r="H521"/>
  <c r="J521"/>
  <c r="H522"/>
  <c r="J522"/>
  <c r="H523"/>
  <c r="J523"/>
  <c r="H524"/>
  <c r="J524"/>
  <c r="H525"/>
  <c r="J525"/>
  <c r="H526"/>
  <c r="J526"/>
  <c r="H527"/>
  <c r="J527"/>
  <c r="H528"/>
  <c r="J528"/>
  <c r="H529"/>
  <c r="J529"/>
  <c r="H530"/>
  <c r="J530"/>
  <c r="H531"/>
  <c r="J531"/>
  <c r="H532"/>
  <c r="J532"/>
  <c r="H533"/>
  <c r="J533"/>
  <c r="H534"/>
  <c r="J534"/>
  <c r="H535"/>
  <c r="J535"/>
  <c r="H536"/>
  <c r="J536"/>
  <c r="H537"/>
  <c r="J537"/>
  <c r="H538"/>
  <c r="J538"/>
  <c r="H539"/>
  <c r="J539"/>
  <c r="H540"/>
  <c r="J540"/>
  <c r="H541"/>
  <c r="J541"/>
  <c r="H542"/>
  <c r="J542"/>
  <c r="H543"/>
  <c r="J543"/>
  <c r="H544"/>
  <c r="J544"/>
  <c r="H545"/>
  <c r="J545"/>
  <c r="H546"/>
  <c r="J546"/>
  <c r="H547"/>
  <c r="J547"/>
  <c r="H548"/>
  <c r="J548"/>
  <c r="H549"/>
  <c r="J549"/>
  <c r="H550"/>
  <c r="J550"/>
  <c r="H551"/>
  <c r="J551"/>
  <c r="H552"/>
  <c r="J552"/>
  <c r="H553"/>
  <c r="J553"/>
  <c r="H554"/>
  <c r="J554"/>
  <c r="H555"/>
  <c r="J555"/>
  <c r="H556"/>
  <c r="J556"/>
  <c r="H557"/>
  <c r="J557"/>
  <c r="H558"/>
  <c r="J558"/>
  <c r="H559"/>
  <c r="J559"/>
  <c r="H560"/>
  <c r="J560"/>
  <c r="H561"/>
  <c r="J561"/>
  <c r="H562"/>
  <c r="J562"/>
  <c r="H563"/>
  <c r="J563"/>
  <c r="H564"/>
  <c r="J564"/>
  <c r="H565"/>
  <c r="J565"/>
  <c r="H566"/>
  <c r="J566"/>
  <c r="H567"/>
  <c r="J567"/>
  <c r="H568"/>
  <c r="J568"/>
  <c r="H569"/>
  <c r="J569"/>
  <c r="H570"/>
  <c r="J570"/>
  <c r="H571"/>
  <c r="J571"/>
  <c r="H572"/>
  <c r="J572"/>
  <c r="H573"/>
  <c r="J573"/>
  <c r="H574"/>
  <c r="J574"/>
  <c r="H575"/>
  <c r="J575"/>
  <c r="H576"/>
  <c r="J576"/>
  <c r="H577"/>
  <c r="J577"/>
  <c r="H578"/>
  <c r="J578"/>
  <c r="H579"/>
  <c r="J579"/>
  <c r="H580"/>
  <c r="J580"/>
  <c r="H581"/>
  <c r="J581"/>
  <c r="H582"/>
  <c r="J582"/>
  <c r="H583"/>
  <c r="J583"/>
  <c r="H584"/>
  <c r="J584"/>
  <c r="H585"/>
  <c r="J585"/>
  <c r="H586"/>
  <c r="J586"/>
  <c r="H587"/>
  <c r="J587"/>
  <c r="H588"/>
  <c r="J588"/>
  <c r="H589"/>
  <c r="J589"/>
  <c r="H590"/>
  <c r="J590"/>
  <c r="H591"/>
  <c r="J591"/>
  <c r="H592"/>
  <c r="J592"/>
  <c r="H593"/>
  <c r="J593"/>
  <c r="H594"/>
  <c r="J594"/>
  <c r="H595"/>
  <c r="J595"/>
  <c r="H596"/>
  <c r="J596"/>
  <c r="H597"/>
  <c r="J597"/>
  <c r="H598"/>
  <c r="J598"/>
  <c r="H599"/>
  <c r="J599"/>
  <c r="H600"/>
  <c r="J600"/>
  <c r="H601"/>
  <c r="J601"/>
  <c r="H602"/>
  <c r="J602"/>
  <c r="H603"/>
  <c r="J603"/>
  <c r="H604"/>
  <c r="J604"/>
  <c r="H605"/>
  <c r="J605"/>
  <c r="H606"/>
  <c r="J606"/>
  <c r="H607"/>
  <c r="J607"/>
  <c r="H608"/>
  <c r="J608"/>
  <c r="H609"/>
  <c r="J609"/>
  <c r="H610"/>
  <c r="J610"/>
  <c r="H611"/>
  <c r="J611"/>
  <c r="H612"/>
  <c r="J612"/>
  <c r="H613"/>
  <c r="J613"/>
  <c r="H614"/>
  <c r="J614"/>
  <c r="H615"/>
  <c r="J615"/>
  <c r="H616"/>
  <c r="J616"/>
  <c r="H617"/>
  <c r="J617"/>
  <c r="H618"/>
  <c r="J618"/>
  <c r="H619"/>
  <c r="J619"/>
  <c r="H620"/>
  <c r="J620"/>
  <c r="H621"/>
  <c r="J621"/>
  <c r="H622"/>
  <c r="J622"/>
  <c r="H623"/>
  <c r="J623"/>
  <c r="H624"/>
  <c r="J624"/>
  <c r="H625"/>
  <c r="J625"/>
  <c r="H626"/>
  <c r="J626"/>
  <c r="H627"/>
  <c r="J627"/>
  <c r="H628"/>
  <c r="J628"/>
  <c r="H629"/>
  <c r="J629"/>
  <c r="H630"/>
  <c r="J630"/>
  <c r="H631"/>
  <c r="J631"/>
  <c r="H632"/>
  <c r="J632"/>
  <c r="H633"/>
  <c r="J633"/>
  <c r="H634"/>
  <c r="J634"/>
  <c r="H635"/>
  <c r="J635"/>
  <c r="H636"/>
  <c r="J636"/>
  <c r="H637"/>
  <c r="J637"/>
  <c r="H638"/>
  <c r="J638"/>
  <c r="H639"/>
  <c r="J639"/>
  <c r="H640"/>
  <c r="J640"/>
  <c r="H641"/>
  <c r="J641"/>
  <c r="H642"/>
  <c r="J642"/>
  <c r="H643"/>
  <c r="J643"/>
  <c r="H644"/>
  <c r="J644"/>
  <c r="H645"/>
  <c r="J645"/>
  <c r="H646"/>
  <c r="J646"/>
  <c r="H647"/>
  <c r="J647"/>
  <c r="H648"/>
  <c r="J648"/>
  <c r="H649"/>
  <c r="J649"/>
  <c r="H650"/>
  <c r="J650"/>
  <c r="H651"/>
  <c r="J651"/>
  <c r="H652"/>
  <c r="J652"/>
  <c r="H653"/>
  <c r="J653"/>
  <c r="H654"/>
  <c r="J654"/>
  <c r="H655"/>
  <c r="J655"/>
  <c r="H656"/>
  <c r="J656"/>
  <c r="H657"/>
  <c r="J657"/>
  <c r="H658"/>
  <c r="J658"/>
  <c r="H659"/>
  <c r="J659"/>
  <c r="H660"/>
  <c r="J660"/>
  <c r="H661"/>
  <c r="J661"/>
  <c r="H662"/>
  <c r="J662"/>
  <c r="H663"/>
  <c r="J663"/>
  <c r="H664"/>
  <c r="J664"/>
  <c r="H665"/>
  <c r="J665"/>
  <c r="H666"/>
  <c r="J666"/>
  <c r="H667"/>
  <c r="J667"/>
  <c r="H668"/>
  <c r="J668"/>
  <c r="H669"/>
  <c r="J669"/>
  <c r="H670"/>
  <c r="J670"/>
  <c r="H671"/>
  <c r="J671"/>
  <c r="H672"/>
  <c r="J672"/>
  <c r="H673"/>
  <c r="J673"/>
  <c r="H674"/>
  <c r="J674"/>
  <c r="H675"/>
  <c r="J675"/>
  <c r="H676"/>
  <c r="J676"/>
  <c r="H677"/>
  <c r="J677"/>
  <c r="H678"/>
  <c r="J678"/>
  <c r="H679"/>
  <c r="J679"/>
  <c r="H680"/>
  <c r="J680"/>
  <c r="H681"/>
  <c r="J681"/>
  <c r="H682"/>
  <c r="J682"/>
  <c r="H683"/>
  <c r="J683"/>
  <c r="H684"/>
  <c r="J684"/>
  <c r="H685"/>
  <c r="J685"/>
  <c r="H686"/>
  <c r="J686"/>
  <c r="H687"/>
  <c r="J687"/>
  <c r="H688"/>
  <c r="J688"/>
  <c r="H689"/>
  <c r="J689"/>
  <c r="H690"/>
  <c r="J690"/>
  <c r="H691"/>
  <c r="J691"/>
  <c r="H692"/>
  <c r="J692"/>
  <c r="H693"/>
  <c r="J693"/>
  <c r="H694"/>
  <c r="J694"/>
  <c r="H695"/>
  <c r="J695"/>
  <c r="H696"/>
  <c r="J696"/>
  <c r="H697"/>
  <c r="J697"/>
  <c r="H698"/>
  <c r="J698"/>
  <c r="H699"/>
  <c r="J699"/>
  <c r="H700"/>
  <c r="J700"/>
  <c r="H701"/>
  <c r="J701"/>
  <c r="H702"/>
  <c r="J702"/>
  <c r="H703"/>
  <c r="J703"/>
  <c r="H704"/>
  <c r="J704"/>
  <c r="H705"/>
  <c r="J705"/>
  <c r="H706"/>
  <c r="J706"/>
  <c r="H707"/>
  <c r="J707"/>
  <c r="H708"/>
  <c r="J708"/>
  <c r="H709"/>
  <c r="J709"/>
  <c r="H710"/>
  <c r="J710"/>
  <c r="H711"/>
  <c r="J711"/>
  <c r="H712"/>
  <c r="J712"/>
  <c r="H713"/>
  <c r="J713"/>
  <c r="H714"/>
  <c r="J714"/>
  <c r="H715"/>
  <c r="J715"/>
  <c r="H716"/>
  <c r="J716"/>
  <c r="A33" i="182"/>
  <c r="A34"/>
  <c r="K67"/>
  <c r="K68"/>
  <c r="A1" i="180"/>
  <c r="C1"/>
  <c r="D1"/>
  <c r="E1"/>
  <c r="F1"/>
  <c r="G1"/>
  <c r="H1"/>
  <c r="J1"/>
  <c r="K1"/>
  <c r="L1"/>
  <c r="M1"/>
  <c r="N1"/>
  <c r="O1"/>
  <c r="A2"/>
  <c r="B2"/>
  <c r="C2"/>
  <c r="D2"/>
  <c r="E2"/>
  <c r="F2"/>
  <c r="G2"/>
  <c r="H2"/>
  <c r="J2"/>
  <c r="K2"/>
  <c r="L2"/>
  <c r="M2"/>
  <c r="N2"/>
  <c r="O2"/>
  <c r="A3"/>
  <c r="B3"/>
  <c r="C3"/>
  <c r="D3"/>
  <c r="E3"/>
  <c r="F3"/>
  <c r="G3"/>
  <c r="H3"/>
  <c r="J3"/>
  <c r="K3"/>
  <c r="L3"/>
  <c r="M3"/>
  <c r="N3"/>
  <c r="O3"/>
  <c r="A4"/>
  <c r="B4"/>
  <c r="C4"/>
  <c r="D4"/>
  <c r="E4"/>
  <c r="F4"/>
  <c r="G4"/>
  <c r="H4"/>
  <c r="I4"/>
  <c r="J4"/>
  <c r="K4"/>
  <c r="L4"/>
  <c r="M4"/>
  <c r="N4"/>
  <c r="O4"/>
  <c r="A5"/>
  <c r="B5"/>
  <c r="C5"/>
  <c r="D5"/>
  <c r="E5"/>
  <c r="F5"/>
  <c r="G5"/>
  <c r="H5"/>
  <c r="I5"/>
  <c r="J5"/>
  <c r="K5"/>
  <c r="L5"/>
  <c r="M5"/>
  <c r="N5"/>
  <c r="O5"/>
  <c r="A6"/>
  <c r="B6"/>
  <c r="C6"/>
  <c r="D6"/>
  <c r="E6"/>
  <c r="F6"/>
  <c r="G6"/>
  <c r="H6"/>
  <c r="J6"/>
  <c r="K6"/>
  <c r="L6"/>
  <c r="M6"/>
  <c r="N6"/>
  <c r="O6"/>
  <c r="A7"/>
  <c r="B7"/>
  <c r="C7"/>
  <c r="D7"/>
  <c r="E7"/>
  <c r="F7"/>
  <c r="G7"/>
  <c r="H7"/>
  <c r="J7"/>
  <c r="K7"/>
  <c r="L7"/>
  <c r="M7"/>
  <c r="N7"/>
  <c r="O7"/>
  <c r="A8"/>
  <c r="B8"/>
  <c r="C8"/>
  <c r="D8"/>
  <c r="E8"/>
  <c r="F8"/>
  <c r="G8"/>
  <c r="H8"/>
  <c r="J8"/>
  <c r="K8"/>
  <c r="L8"/>
  <c r="M8"/>
  <c r="N8"/>
  <c r="O8"/>
  <c r="A9"/>
  <c r="B9"/>
  <c r="C9"/>
  <c r="D9"/>
  <c r="E9"/>
  <c r="F9"/>
  <c r="G9"/>
  <c r="H9"/>
  <c r="I9"/>
  <c r="J9"/>
  <c r="K9"/>
  <c r="L9"/>
  <c r="M9"/>
  <c r="N9"/>
  <c r="O9"/>
  <c r="A10"/>
  <c r="B10"/>
  <c r="C10"/>
  <c r="D10"/>
  <c r="E10"/>
  <c r="F10"/>
  <c r="G10"/>
  <c r="H10"/>
  <c r="J10"/>
  <c r="K10"/>
  <c r="L10"/>
  <c r="M10"/>
  <c r="N10"/>
  <c r="O10"/>
  <c r="A11"/>
  <c r="B11"/>
  <c r="C11"/>
  <c r="D11"/>
  <c r="E11"/>
  <c r="F11"/>
  <c r="G11"/>
  <c r="H11"/>
  <c r="J11"/>
  <c r="K11"/>
  <c r="L11"/>
  <c r="M11"/>
  <c r="N11"/>
  <c r="O11"/>
  <c r="A12"/>
  <c r="B12"/>
  <c r="C12"/>
  <c r="D12"/>
  <c r="E12"/>
  <c r="F12"/>
  <c r="G12"/>
  <c r="H12"/>
  <c r="J12"/>
  <c r="K12"/>
  <c r="L12"/>
  <c r="M12"/>
  <c r="N12"/>
  <c r="O12"/>
  <c r="A13"/>
  <c r="B13"/>
  <c r="C13"/>
  <c r="D13"/>
  <c r="E13"/>
  <c r="F13"/>
  <c r="G13"/>
  <c r="H13"/>
  <c r="I13"/>
  <c r="J13"/>
  <c r="K13"/>
  <c r="L13"/>
  <c r="M13"/>
  <c r="N13"/>
  <c r="O13"/>
  <c r="A14"/>
  <c r="B14"/>
  <c r="C14"/>
  <c r="D14"/>
  <c r="E14"/>
  <c r="F14"/>
  <c r="G14"/>
  <c r="H14"/>
  <c r="J14"/>
  <c r="K14"/>
  <c r="L14"/>
  <c r="M14"/>
  <c r="N14"/>
  <c r="O14"/>
  <c r="A15"/>
  <c r="B15"/>
  <c r="C15"/>
  <c r="D15"/>
  <c r="E15"/>
  <c r="F15"/>
  <c r="G15"/>
  <c r="H15"/>
  <c r="J15"/>
  <c r="K15"/>
  <c r="L15"/>
  <c r="M15"/>
  <c r="N15"/>
  <c r="O15"/>
  <c r="A16"/>
  <c r="B16"/>
  <c r="C16"/>
  <c r="D16"/>
  <c r="E16"/>
  <c r="F16"/>
  <c r="G16"/>
  <c r="H16"/>
  <c r="I16"/>
  <c r="J16"/>
  <c r="K16"/>
  <c r="L16"/>
  <c r="M16"/>
  <c r="N16"/>
  <c r="O16"/>
  <c r="A17"/>
  <c r="B17"/>
  <c r="C17"/>
  <c r="D17"/>
  <c r="E17"/>
  <c r="F17"/>
  <c r="G17"/>
  <c r="H17"/>
  <c r="I17"/>
  <c r="J17"/>
  <c r="K17"/>
  <c r="L17"/>
  <c r="M17"/>
  <c r="N17"/>
  <c r="O17"/>
  <c r="A18"/>
  <c r="B18"/>
  <c r="C18"/>
  <c r="D18"/>
  <c r="E18"/>
  <c r="F18"/>
  <c r="G18"/>
  <c r="H18"/>
  <c r="J18"/>
  <c r="K18"/>
  <c r="L18"/>
  <c r="M18"/>
  <c r="N18"/>
  <c r="O18"/>
  <c r="A19"/>
  <c r="B19"/>
  <c r="C19"/>
  <c r="D19"/>
  <c r="E19"/>
  <c r="F19"/>
  <c r="G19"/>
  <c r="H19"/>
  <c r="J19"/>
  <c r="K19"/>
  <c r="L19"/>
  <c r="M19"/>
  <c r="N19"/>
  <c r="O19"/>
  <c r="A20"/>
  <c r="B20"/>
  <c r="C20"/>
  <c r="D20"/>
  <c r="E20"/>
  <c r="F20"/>
  <c r="G20"/>
  <c r="H20"/>
  <c r="J20"/>
  <c r="K20"/>
  <c r="L20"/>
  <c r="M20"/>
  <c r="N20"/>
  <c r="O20"/>
  <c r="A21"/>
  <c r="B21"/>
  <c r="C21"/>
  <c r="D21"/>
  <c r="E21"/>
  <c r="F21"/>
  <c r="G21"/>
  <c r="H21"/>
  <c r="I21"/>
  <c r="J21"/>
  <c r="K21"/>
  <c r="L21"/>
  <c r="M21"/>
  <c r="N21"/>
  <c r="O21"/>
  <c r="A22"/>
  <c r="B22"/>
  <c r="C22"/>
  <c r="D22"/>
  <c r="E22"/>
  <c r="F22"/>
  <c r="G22"/>
  <c r="H22"/>
  <c r="J22"/>
  <c r="K22"/>
  <c r="L22"/>
  <c r="M22"/>
  <c r="N22"/>
  <c r="O22"/>
  <c r="A23"/>
  <c r="B23"/>
  <c r="C23"/>
  <c r="D23"/>
  <c r="E23"/>
  <c r="F23"/>
  <c r="G23"/>
  <c r="H23"/>
  <c r="J23"/>
  <c r="K23"/>
  <c r="L23"/>
  <c r="M23"/>
  <c r="N23"/>
  <c r="O23"/>
  <c r="A24"/>
  <c r="B24"/>
  <c r="C24"/>
  <c r="D24"/>
  <c r="E24"/>
  <c r="F24"/>
  <c r="G24"/>
  <c r="H24"/>
  <c r="J24"/>
  <c r="K24"/>
  <c r="L24"/>
  <c r="M24"/>
  <c r="N24"/>
  <c r="O24"/>
  <c r="A25"/>
  <c r="B25"/>
  <c r="C25"/>
  <c r="D25"/>
  <c r="E25"/>
  <c r="F25"/>
  <c r="G25"/>
  <c r="H25"/>
  <c r="I25"/>
  <c r="J25"/>
  <c r="K25"/>
  <c r="L25"/>
  <c r="M25"/>
  <c r="N25"/>
  <c r="O25"/>
  <c r="A26"/>
  <c r="B26"/>
  <c r="C26"/>
  <c r="D26"/>
  <c r="E26"/>
  <c r="F26"/>
  <c r="G26"/>
  <c r="H26"/>
  <c r="J26"/>
  <c r="K26"/>
  <c r="L26"/>
  <c r="M26"/>
  <c r="N26"/>
  <c r="O26"/>
  <c r="A27"/>
  <c r="B27"/>
  <c r="C27"/>
  <c r="D27"/>
  <c r="E27"/>
  <c r="F27"/>
  <c r="G27"/>
  <c r="H27"/>
  <c r="J27"/>
  <c r="K27"/>
  <c r="L27"/>
  <c r="M27"/>
  <c r="N27"/>
  <c r="O27"/>
  <c r="A28"/>
  <c r="B28"/>
  <c r="C28"/>
  <c r="D28"/>
  <c r="E28"/>
  <c r="F28"/>
  <c r="G28"/>
  <c r="H28"/>
  <c r="J28"/>
  <c r="K28"/>
  <c r="L28"/>
  <c r="M28"/>
  <c r="N28"/>
  <c r="O28"/>
  <c r="A29"/>
  <c r="B29"/>
  <c r="C29"/>
  <c r="D29"/>
  <c r="E29"/>
  <c r="F29"/>
  <c r="G29"/>
  <c r="H29"/>
  <c r="I29"/>
  <c r="J29"/>
  <c r="K29"/>
  <c r="L29"/>
  <c r="M29"/>
  <c r="N29"/>
  <c r="O29"/>
  <c r="A30"/>
  <c r="B30"/>
  <c r="C30"/>
  <c r="D30"/>
  <c r="E30"/>
  <c r="F30"/>
  <c r="G30"/>
  <c r="H30"/>
  <c r="J30"/>
  <c r="K30"/>
  <c r="L30"/>
  <c r="M30"/>
  <c r="N30"/>
  <c r="O30"/>
  <c r="A31"/>
  <c r="B31"/>
  <c r="C31"/>
  <c r="D31"/>
  <c r="E31"/>
  <c r="F31"/>
  <c r="G31"/>
  <c r="H31"/>
  <c r="J31"/>
  <c r="K31"/>
  <c r="L31"/>
  <c r="M31"/>
  <c r="N31"/>
  <c r="O31"/>
  <c r="A32"/>
  <c r="B32"/>
  <c r="C32"/>
  <c r="D32"/>
  <c r="E32"/>
  <c r="F32"/>
  <c r="G32"/>
  <c r="H32"/>
  <c r="J32"/>
  <c r="K32"/>
  <c r="L32"/>
  <c r="M32"/>
  <c r="N32"/>
  <c r="O32"/>
  <c r="A33"/>
  <c r="B33"/>
  <c r="C33"/>
  <c r="D33"/>
  <c r="E33"/>
  <c r="F33"/>
  <c r="G33"/>
  <c r="H33"/>
  <c r="I33"/>
  <c r="J33"/>
  <c r="K33"/>
  <c r="L33"/>
  <c r="M33"/>
  <c r="N33"/>
  <c r="O33"/>
  <c r="A34"/>
  <c r="B34"/>
  <c r="C34"/>
  <c r="D34"/>
  <c r="E34"/>
  <c r="F34"/>
  <c r="G34"/>
  <c r="H34"/>
  <c r="J34"/>
  <c r="K34"/>
  <c r="L34"/>
  <c r="M34"/>
  <c r="N34"/>
  <c r="O34"/>
  <c r="A35"/>
  <c r="B35"/>
  <c r="C35"/>
  <c r="D35"/>
  <c r="E35"/>
  <c r="F35"/>
  <c r="G35"/>
  <c r="H35"/>
  <c r="J35"/>
  <c r="K35"/>
  <c r="L35"/>
  <c r="M35"/>
  <c r="N35"/>
  <c r="O35"/>
  <c r="A36"/>
  <c r="B36"/>
  <c r="C36"/>
  <c r="D36"/>
  <c r="E36"/>
  <c r="F36"/>
  <c r="G36"/>
  <c r="H36"/>
  <c r="J36"/>
  <c r="K36"/>
  <c r="L36"/>
  <c r="M36"/>
  <c r="N36"/>
  <c r="O36"/>
  <c r="A37"/>
  <c r="B37"/>
  <c r="C37"/>
  <c r="D37"/>
  <c r="E37"/>
  <c r="F37"/>
  <c r="G37"/>
  <c r="H37"/>
  <c r="I37"/>
  <c r="J37"/>
  <c r="K37"/>
  <c r="L37"/>
  <c r="M37"/>
  <c r="N37"/>
  <c r="O37"/>
  <c r="A38"/>
  <c r="B38"/>
  <c r="C38"/>
  <c r="D38"/>
  <c r="E38"/>
  <c r="F38"/>
  <c r="G38"/>
  <c r="H38"/>
  <c r="J38"/>
  <c r="K38"/>
  <c r="L38"/>
  <c r="M38"/>
  <c r="N38"/>
  <c r="O38"/>
  <c r="A39"/>
  <c r="B39"/>
  <c r="C39"/>
  <c r="D39"/>
  <c r="E39"/>
  <c r="F39"/>
  <c r="G39"/>
  <c r="H39"/>
  <c r="J39"/>
  <c r="K39"/>
  <c r="L39"/>
  <c r="M39"/>
  <c r="N39"/>
  <c r="O39"/>
  <c r="A40"/>
  <c r="B40"/>
  <c r="C40"/>
  <c r="D40"/>
  <c r="E40"/>
  <c r="F40"/>
  <c r="G40"/>
  <c r="H40"/>
  <c r="J40"/>
  <c r="K40"/>
  <c r="L40"/>
  <c r="M40"/>
  <c r="N40"/>
  <c r="O40"/>
  <c r="A41"/>
  <c r="B41"/>
  <c r="C41"/>
  <c r="D41"/>
  <c r="E41"/>
  <c r="F41"/>
  <c r="G41"/>
  <c r="H41"/>
  <c r="I41"/>
  <c r="J41"/>
  <c r="K41"/>
  <c r="L41"/>
  <c r="M41"/>
  <c r="N41"/>
  <c r="O41"/>
  <c r="A42"/>
  <c r="B42"/>
  <c r="C42"/>
  <c r="D42"/>
  <c r="E42"/>
  <c r="F42"/>
  <c r="G42"/>
  <c r="H42"/>
  <c r="J42"/>
  <c r="K42"/>
  <c r="L42"/>
  <c r="M42"/>
  <c r="N42"/>
  <c r="O42"/>
  <c r="A43"/>
  <c r="B43"/>
  <c r="C43"/>
  <c r="D43"/>
  <c r="E43"/>
  <c r="F43"/>
  <c r="G43"/>
  <c r="H43"/>
  <c r="J43"/>
  <c r="K43"/>
  <c r="L43"/>
  <c r="M43"/>
  <c r="N43"/>
  <c r="O43"/>
  <c r="A44"/>
  <c r="B44"/>
  <c r="C44"/>
  <c r="D44"/>
  <c r="E44"/>
  <c r="F44"/>
  <c r="G44"/>
  <c r="H44"/>
  <c r="J44"/>
  <c r="K44"/>
  <c r="L44"/>
  <c r="M44"/>
  <c r="N44"/>
  <c r="O44"/>
  <c r="A45"/>
  <c r="B45"/>
  <c r="C45"/>
  <c r="D45"/>
  <c r="E45"/>
  <c r="F45"/>
  <c r="G45"/>
  <c r="H45"/>
  <c r="I45"/>
  <c r="J45"/>
  <c r="K45"/>
  <c r="L45"/>
  <c r="M45"/>
  <c r="N45"/>
  <c r="O45"/>
  <c r="A46"/>
  <c r="B46"/>
  <c r="C46"/>
  <c r="D46"/>
  <c r="E46"/>
  <c r="F46"/>
  <c r="G46"/>
  <c r="H46"/>
  <c r="J46"/>
  <c r="K46"/>
  <c r="L46"/>
  <c r="M46"/>
  <c r="N46"/>
  <c r="O46"/>
  <c r="A47"/>
  <c r="B47"/>
  <c r="C47"/>
  <c r="D47"/>
  <c r="E47"/>
  <c r="F47"/>
  <c r="G47"/>
  <c r="H47"/>
  <c r="J47"/>
  <c r="K47"/>
  <c r="L47"/>
  <c r="M47"/>
  <c r="N47"/>
  <c r="O47"/>
  <c r="A48"/>
  <c r="B48"/>
  <c r="C48"/>
  <c r="D48"/>
  <c r="E48"/>
  <c r="F48"/>
  <c r="G48"/>
  <c r="H48"/>
  <c r="J48"/>
  <c r="K48"/>
  <c r="L48"/>
  <c r="M48"/>
  <c r="N48"/>
  <c r="O48"/>
  <c r="A49"/>
  <c r="B49"/>
  <c r="C49"/>
  <c r="D49"/>
  <c r="E49"/>
  <c r="F49"/>
  <c r="G49"/>
  <c r="H49"/>
  <c r="I49"/>
  <c r="J49"/>
  <c r="K49"/>
  <c r="L49"/>
  <c r="M49"/>
  <c r="N49"/>
  <c r="O49"/>
  <c r="A50"/>
  <c r="B50"/>
  <c r="C50"/>
  <c r="D50"/>
  <c r="E50"/>
  <c r="F50"/>
  <c r="G50"/>
  <c r="H50"/>
  <c r="J50"/>
  <c r="K50"/>
  <c r="L50"/>
  <c r="M50"/>
  <c r="N50"/>
  <c r="O50"/>
  <c r="A51"/>
  <c r="B51"/>
  <c r="C51"/>
  <c r="D51"/>
  <c r="E51"/>
  <c r="F51"/>
  <c r="G51"/>
  <c r="H51"/>
  <c r="J51"/>
  <c r="K51"/>
  <c r="L51"/>
  <c r="M51"/>
  <c r="N51"/>
  <c r="O51"/>
  <c r="A52"/>
  <c r="B52"/>
  <c r="C52"/>
  <c r="D52"/>
  <c r="E52"/>
  <c r="F52"/>
  <c r="G52"/>
  <c r="H52"/>
  <c r="J52"/>
  <c r="K52"/>
  <c r="L52"/>
  <c r="M52"/>
  <c r="N52"/>
  <c r="O52"/>
  <c r="A53"/>
  <c r="B53"/>
  <c r="C53"/>
  <c r="D53"/>
  <c r="E53"/>
  <c r="F53"/>
  <c r="G53"/>
  <c r="H53"/>
  <c r="I53"/>
  <c r="J53"/>
  <c r="K53"/>
  <c r="L53"/>
  <c r="M53"/>
  <c r="N53"/>
  <c r="O53"/>
  <c r="A54"/>
  <c r="B54"/>
  <c r="C54"/>
  <c r="D54"/>
  <c r="E54"/>
  <c r="F54"/>
  <c r="G54"/>
  <c r="H54"/>
  <c r="J54"/>
  <c r="K54"/>
  <c r="L54"/>
  <c r="M54"/>
  <c r="N54"/>
  <c r="O54"/>
  <c r="A55"/>
  <c r="B55"/>
  <c r="C55"/>
  <c r="D55"/>
  <c r="E55"/>
  <c r="F55"/>
  <c r="G55"/>
  <c r="H55"/>
  <c r="J55"/>
  <c r="K55"/>
  <c r="L55"/>
  <c r="M55"/>
  <c r="N55"/>
  <c r="O55"/>
  <c r="A56"/>
  <c r="B56"/>
  <c r="C56"/>
  <c r="D56"/>
  <c r="E56"/>
  <c r="F56"/>
  <c r="G56"/>
  <c r="H56"/>
  <c r="I56"/>
  <c r="J56"/>
  <c r="K56"/>
  <c r="L56"/>
  <c r="M56"/>
  <c r="N56"/>
  <c r="O56"/>
  <c r="A57"/>
  <c r="B57"/>
  <c r="C57"/>
  <c r="D57"/>
  <c r="E57"/>
  <c r="F57"/>
  <c r="G57"/>
  <c r="H57"/>
  <c r="I57"/>
  <c r="J57"/>
  <c r="K57"/>
  <c r="L57"/>
  <c r="M57"/>
  <c r="N57"/>
  <c r="O57"/>
  <c r="A58"/>
  <c r="B58"/>
  <c r="C58"/>
  <c r="D58"/>
  <c r="E58"/>
  <c r="F58"/>
  <c r="G58"/>
  <c r="H58"/>
  <c r="J58"/>
  <c r="K58"/>
  <c r="L58"/>
  <c r="M58"/>
  <c r="N58"/>
  <c r="O58"/>
  <c r="A59"/>
  <c r="B59"/>
  <c r="C59"/>
  <c r="D59"/>
  <c r="E59"/>
  <c r="F59"/>
  <c r="G59"/>
  <c r="H59"/>
  <c r="J59"/>
  <c r="K59"/>
  <c r="L59"/>
  <c r="M59"/>
  <c r="N59"/>
  <c r="O59"/>
  <c r="A60"/>
  <c r="B60"/>
  <c r="C60"/>
  <c r="D60"/>
  <c r="E60"/>
  <c r="F60"/>
  <c r="G60"/>
  <c r="H60"/>
  <c r="I60"/>
  <c r="J60"/>
  <c r="K60"/>
  <c r="L60"/>
  <c r="M60"/>
  <c r="N60"/>
  <c r="O60"/>
  <c r="A61"/>
  <c r="B61"/>
  <c r="C61"/>
  <c r="D61"/>
  <c r="E61"/>
  <c r="F61"/>
  <c r="G61"/>
  <c r="H61"/>
  <c r="I61"/>
  <c r="J61"/>
  <c r="K61"/>
  <c r="L61"/>
  <c r="M61"/>
  <c r="N61"/>
  <c r="O61"/>
  <c r="A62"/>
  <c r="B62"/>
  <c r="C62"/>
  <c r="D62"/>
  <c r="E62"/>
  <c r="F62"/>
  <c r="G62"/>
  <c r="H62"/>
  <c r="J62"/>
  <c r="K62"/>
  <c r="L62"/>
  <c r="M62"/>
  <c r="N62"/>
  <c r="O62"/>
  <c r="A63"/>
  <c r="B63"/>
  <c r="C63"/>
  <c r="D63"/>
  <c r="E63"/>
  <c r="F63"/>
  <c r="G63"/>
  <c r="H63"/>
  <c r="J63"/>
  <c r="K63"/>
  <c r="L63"/>
  <c r="M63"/>
  <c r="N63"/>
  <c r="O63"/>
  <c r="A64"/>
  <c r="B64"/>
  <c r="C64"/>
  <c r="D64"/>
  <c r="E64"/>
  <c r="F64"/>
  <c r="G64"/>
  <c r="H64"/>
  <c r="J64"/>
  <c r="K64"/>
  <c r="L64"/>
  <c r="M64"/>
  <c r="N64"/>
  <c r="O64"/>
  <c r="A65"/>
  <c r="B65"/>
  <c r="C65"/>
  <c r="D65"/>
  <c r="E65"/>
  <c r="F65"/>
  <c r="G65"/>
  <c r="H65"/>
  <c r="I65"/>
  <c r="J65"/>
  <c r="K65"/>
  <c r="L65"/>
  <c r="M65"/>
  <c r="N65"/>
  <c r="O65"/>
  <c r="A66"/>
  <c r="B66"/>
  <c r="C66"/>
  <c r="D66"/>
  <c r="E66"/>
  <c r="F66"/>
  <c r="G66"/>
  <c r="H66"/>
  <c r="J66"/>
  <c r="K66"/>
  <c r="L66"/>
  <c r="M66"/>
  <c r="N66"/>
  <c r="O66"/>
  <c r="A67"/>
  <c r="B67"/>
  <c r="C67"/>
  <c r="D67"/>
  <c r="E67"/>
  <c r="F67"/>
  <c r="G67"/>
  <c r="H67"/>
  <c r="I67"/>
  <c r="J67"/>
  <c r="K67"/>
  <c r="L67"/>
  <c r="M67"/>
  <c r="N67"/>
  <c r="O67"/>
  <c r="A68"/>
  <c r="B68"/>
  <c r="C68"/>
  <c r="D68"/>
  <c r="E68"/>
  <c r="F68"/>
  <c r="G68"/>
  <c r="H68"/>
  <c r="J68"/>
  <c r="K68"/>
  <c r="L68"/>
  <c r="M68"/>
  <c r="N68"/>
  <c r="O68"/>
  <c r="A69"/>
  <c r="B69"/>
  <c r="C69"/>
  <c r="D69"/>
  <c r="E69"/>
  <c r="F69"/>
  <c r="G69"/>
  <c r="H69"/>
  <c r="I69"/>
  <c r="J69"/>
  <c r="K69"/>
  <c r="L69"/>
  <c r="M69"/>
  <c r="N69"/>
  <c r="O69"/>
  <c r="A70"/>
  <c r="B70"/>
  <c r="C70"/>
  <c r="D70"/>
  <c r="E70"/>
  <c r="F70"/>
  <c r="G70"/>
  <c r="H70"/>
  <c r="J70"/>
  <c r="K70"/>
  <c r="L70"/>
  <c r="M70"/>
  <c r="N70"/>
  <c r="O70"/>
  <c r="A71"/>
  <c r="B71"/>
  <c r="C71"/>
  <c r="D71"/>
  <c r="E71"/>
  <c r="F71"/>
  <c r="G71"/>
  <c r="H71"/>
  <c r="J71"/>
  <c r="K71"/>
  <c r="L71"/>
  <c r="M71"/>
  <c r="N71"/>
  <c r="O71"/>
  <c r="A72"/>
  <c r="B72"/>
  <c r="C72"/>
  <c r="D72"/>
  <c r="E72"/>
  <c r="F72"/>
  <c r="G72"/>
  <c r="H72"/>
  <c r="I72"/>
  <c r="J72"/>
  <c r="K72"/>
  <c r="L72"/>
  <c r="M72"/>
  <c r="N72"/>
  <c r="O72"/>
  <c r="A73"/>
  <c r="B73"/>
  <c r="D73"/>
  <c r="E73"/>
  <c r="G73"/>
  <c r="H73"/>
  <c r="I73"/>
  <c r="J73"/>
  <c r="K73"/>
  <c r="L73"/>
  <c r="M73"/>
  <c r="N73"/>
  <c r="O73"/>
  <c r="A74"/>
  <c r="B74"/>
  <c r="D74"/>
  <c r="E74"/>
  <c r="G74"/>
  <c r="H74"/>
  <c r="J74"/>
  <c r="K74"/>
  <c r="L74"/>
  <c r="M74"/>
  <c r="N74"/>
  <c r="O74"/>
  <c r="A75"/>
  <c r="B75"/>
  <c r="D75"/>
  <c r="E75"/>
  <c r="G75"/>
  <c r="H75"/>
  <c r="J75"/>
  <c r="K75"/>
  <c r="L75"/>
  <c r="M75"/>
  <c r="N75"/>
  <c r="O75"/>
  <c r="A76"/>
  <c r="B76"/>
  <c r="C76"/>
  <c r="D76"/>
  <c r="E76"/>
  <c r="F76"/>
  <c r="G76"/>
  <c r="H76"/>
  <c r="I76"/>
  <c r="J76"/>
  <c r="K76"/>
  <c r="L76"/>
  <c r="M76"/>
  <c r="N76"/>
  <c r="O76"/>
  <c r="A77"/>
  <c r="B77"/>
  <c r="C77"/>
  <c r="D77"/>
  <c r="E77"/>
  <c r="F77"/>
  <c r="G77"/>
  <c r="H77"/>
  <c r="I77"/>
  <c r="J77"/>
  <c r="K77"/>
  <c r="L77"/>
  <c r="M77"/>
  <c r="N77"/>
  <c r="O77"/>
  <c r="A78"/>
  <c r="B78"/>
  <c r="C78"/>
  <c r="D78"/>
  <c r="E78"/>
  <c r="F78"/>
  <c r="G78"/>
  <c r="H78"/>
  <c r="J78"/>
  <c r="K78"/>
  <c r="L78"/>
  <c r="M78"/>
  <c r="N78"/>
  <c r="O78"/>
  <c r="A79"/>
  <c r="B79"/>
  <c r="C79"/>
  <c r="D79"/>
  <c r="E79"/>
  <c r="F79"/>
  <c r="G79"/>
  <c r="H79"/>
  <c r="J79"/>
  <c r="K79"/>
  <c r="L79"/>
  <c r="M79"/>
  <c r="N79"/>
  <c r="O79"/>
  <c r="A80"/>
  <c r="B80"/>
  <c r="C80"/>
  <c r="D80"/>
  <c r="E80"/>
  <c r="F80"/>
  <c r="G80"/>
  <c r="H80"/>
  <c r="J80"/>
  <c r="K80"/>
  <c r="L80"/>
  <c r="M80"/>
  <c r="N80"/>
  <c r="O80"/>
  <c r="A81"/>
  <c r="B81"/>
  <c r="C81"/>
  <c r="D81"/>
  <c r="E81"/>
  <c r="F81"/>
  <c r="G81"/>
  <c r="H81"/>
  <c r="I81"/>
  <c r="J81"/>
  <c r="K81"/>
  <c r="L81"/>
  <c r="M81"/>
  <c r="N81"/>
  <c r="O81"/>
  <c r="A82"/>
  <c r="B82"/>
  <c r="C82"/>
  <c r="D82"/>
  <c r="E82"/>
  <c r="F82"/>
  <c r="G82"/>
  <c r="H82"/>
  <c r="J82"/>
  <c r="K82"/>
  <c r="L82"/>
  <c r="M82"/>
  <c r="N82"/>
  <c r="O82"/>
  <c r="A83"/>
  <c r="B83"/>
  <c r="C83"/>
  <c r="D83"/>
  <c r="E83"/>
  <c r="F83"/>
  <c r="G83"/>
  <c r="H83"/>
  <c r="J83"/>
  <c r="K83"/>
  <c r="L83"/>
  <c r="M83"/>
  <c r="N83"/>
  <c r="O83"/>
  <c r="A84"/>
  <c r="B84"/>
  <c r="C84"/>
  <c r="D84"/>
  <c r="E84"/>
  <c r="F84"/>
  <c r="G84"/>
  <c r="H84"/>
  <c r="I84"/>
  <c r="J84"/>
  <c r="K84"/>
  <c r="L84"/>
  <c r="M84"/>
  <c r="N84"/>
  <c r="O84"/>
  <c r="A85"/>
  <c r="B85"/>
  <c r="C85"/>
  <c r="D85"/>
  <c r="E85"/>
  <c r="F85"/>
  <c r="G85"/>
  <c r="H85"/>
  <c r="I85"/>
  <c r="J85"/>
  <c r="K85"/>
  <c r="L85"/>
  <c r="M85"/>
  <c r="N85"/>
  <c r="O85"/>
  <c r="A86"/>
  <c r="B86"/>
  <c r="C86"/>
  <c r="D86"/>
  <c r="E86"/>
  <c r="F86"/>
  <c r="G86"/>
  <c r="H86"/>
  <c r="J86"/>
  <c r="K86"/>
  <c r="L86"/>
  <c r="M86"/>
  <c r="N86"/>
  <c r="O86"/>
  <c r="A87"/>
  <c r="B87"/>
  <c r="C87"/>
  <c r="D87"/>
  <c r="E87"/>
  <c r="F87"/>
  <c r="G87"/>
  <c r="H87"/>
  <c r="J87"/>
  <c r="K87"/>
  <c r="L87"/>
  <c r="M87"/>
  <c r="N87"/>
  <c r="O87"/>
  <c r="A88"/>
  <c r="B88"/>
  <c r="C88"/>
  <c r="D88"/>
  <c r="E88"/>
  <c r="F88"/>
  <c r="G88"/>
  <c r="H88"/>
  <c r="I88"/>
  <c r="J88"/>
  <c r="K88"/>
  <c r="L88"/>
  <c r="M88"/>
  <c r="N88"/>
  <c r="O88"/>
  <c r="A89"/>
  <c r="B89"/>
  <c r="C89"/>
  <c r="D89"/>
  <c r="E89"/>
  <c r="F89"/>
  <c r="G89"/>
  <c r="H89"/>
  <c r="J89"/>
  <c r="K89"/>
  <c r="L89"/>
  <c r="M89"/>
  <c r="N89"/>
  <c r="O89"/>
  <c r="A90"/>
  <c r="B90"/>
  <c r="C90"/>
  <c r="D90"/>
  <c r="E90"/>
  <c r="F90"/>
  <c r="G90"/>
  <c r="H90"/>
  <c r="J90"/>
  <c r="K90"/>
  <c r="L90"/>
  <c r="M90"/>
  <c r="N90"/>
  <c r="O90"/>
  <c r="A91"/>
  <c r="B91"/>
  <c r="C91"/>
  <c r="D91"/>
  <c r="E91"/>
  <c r="F91"/>
  <c r="G91"/>
  <c r="H91"/>
  <c r="J91"/>
  <c r="K91"/>
  <c r="L91"/>
  <c r="M91"/>
  <c r="N91"/>
  <c r="O91"/>
  <c r="A92"/>
  <c r="B92"/>
  <c r="C92"/>
  <c r="D92"/>
  <c r="E92"/>
  <c r="F92"/>
  <c r="G92"/>
  <c r="H92"/>
  <c r="I92"/>
  <c r="J92"/>
  <c r="K92"/>
  <c r="L92"/>
  <c r="M92"/>
  <c r="N92"/>
  <c r="O92"/>
  <c r="A93"/>
  <c r="B93"/>
  <c r="C93"/>
  <c r="D93"/>
  <c r="E93"/>
  <c r="F93"/>
  <c r="G93"/>
  <c r="H93"/>
  <c r="I93"/>
  <c r="J93"/>
  <c r="K93"/>
  <c r="L93"/>
  <c r="M93"/>
  <c r="N93"/>
  <c r="O93"/>
  <c r="A94"/>
  <c r="B94"/>
  <c r="C94"/>
  <c r="D94"/>
  <c r="E94"/>
  <c r="F94"/>
  <c r="G94"/>
  <c r="H94"/>
  <c r="J94"/>
  <c r="K94"/>
  <c r="L94"/>
  <c r="M94"/>
  <c r="N94"/>
  <c r="O94"/>
  <c r="A95"/>
  <c r="B95"/>
  <c r="C95"/>
  <c r="D95"/>
  <c r="E95"/>
  <c r="F95"/>
  <c r="G95"/>
  <c r="H95"/>
  <c r="J95"/>
  <c r="K95"/>
  <c r="L95"/>
  <c r="M95"/>
  <c r="N95"/>
  <c r="O95"/>
  <c r="A96"/>
  <c r="B96"/>
  <c r="C96"/>
  <c r="D96"/>
  <c r="E96"/>
  <c r="F96"/>
  <c r="G96"/>
  <c r="H96"/>
  <c r="J96"/>
  <c r="K96"/>
  <c r="L96"/>
  <c r="M96"/>
  <c r="N96"/>
  <c r="O96"/>
  <c r="A97"/>
  <c r="B97"/>
  <c r="C97"/>
  <c r="D97"/>
  <c r="E97"/>
  <c r="F97"/>
  <c r="G97"/>
  <c r="H97"/>
  <c r="I97"/>
  <c r="J97"/>
  <c r="K97"/>
  <c r="L97"/>
  <c r="M97"/>
  <c r="N97"/>
  <c r="O97"/>
  <c r="A98"/>
  <c r="B98"/>
  <c r="C98"/>
  <c r="D98"/>
  <c r="E98"/>
  <c r="F98"/>
  <c r="G98"/>
  <c r="H98"/>
  <c r="J98"/>
  <c r="K98"/>
  <c r="L98"/>
  <c r="M98"/>
  <c r="N98"/>
  <c r="O98"/>
  <c r="A99"/>
  <c r="B99"/>
  <c r="C99"/>
  <c r="D99"/>
  <c r="E99"/>
  <c r="F99"/>
  <c r="G99"/>
  <c r="H99"/>
  <c r="J99"/>
  <c r="K99"/>
  <c r="L99"/>
  <c r="M99"/>
  <c r="N99"/>
  <c r="O99"/>
  <c r="A100"/>
  <c r="B100"/>
  <c r="C100"/>
  <c r="D100"/>
  <c r="E100"/>
  <c r="F100"/>
  <c r="G100"/>
  <c r="H100"/>
  <c r="I100"/>
  <c r="J100"/>
  <c r="K100"/>
  <c r="L100"/>
  <c r="M100"/>
  <c r="N100"/>
  <c r="O100"/>
  <c r="A101"/>
  <c r="B101"/>
  <c r="C101"/>
  <c r="D101"/>
  <c r="E101"/>
  <c r="F101"/>
  <c r="G101"/>
  <c r="H101"/>
  <c r="J101"/>
  <c r="K101"/>
  <c r="L101"/>
  <c r="M101"/>
  <c r="N101"/>
  <c r="O101"/>
  <c r="A102"/>
  <c r="B102"/>
  <c r="C102"/>
  <c r="D102"/>
  <c r="E102"/>
  <c r="F102"/>
  <c r="G102"/>
  <c r="H102"/>
  <c r="J102"/>
  <c r="K102"/>
  <c r="L102"/>
  <c r="M102"/>
  <c r="N102"/>
  <c r="O102"/>
  <c r="A103"/>
  <c r="B103"/>
  <c r="C103"/>
  <c r="D103"/>
  <c r="E103"/>
  <c r="F103"/>
  <c r="G103"/>
  <c r="H103"/>
  <c r="J103"/>
  <c r="K103"/>
  <c r="L103"/>
  <c r="M103"/>
  <c r="N103"/>
  <c r="O103"/>
  <c r="A104"/>
  <c r="B104"/>
  <c r="C104"/>
  <c r="D104"/>
  <c r="E104"/>
  <c r="F104"/>
  <c r="G104"/>
  <c r="H104"/>
  <c r="I104"/>
  <c r="J104"/>
  <c r="K104"/>
  <c r="L104"/>
  <c r="M104"/>
  <c r="N104"/>
  <c r="O104"/>
  <c r="A105"/>
  <c r="B105"/>
  <c r="C105"/>
  <c r="D105"/>
  <c r="E105"/>
  <c r="F105"/>
  <c r="G105"/>
  <c r="H105"/>
  <c r="J105"/>
  <c r="K105"/>
  <c r="L105"/>
  <c r="M105"/>
  <c r="N105"/>
  <c r="O105"/>
  <c r="A106"/>
  <c r="B106"/>
  <c r="C106"/>
  <c r="D106"/>
  <c r="E106"/>
  <c r="F106"/>
  <c r="G106"/>
  <c r="H106"/>
  <c r="J106"/>
  <c r="K106"/>
  <c r="L106"/>
  <c r="M106"/>
  <c r="N106"/>
  <c r="O106"/>
  <c r="A107"/>
  <c r="B107"/>
  <c r="C107"/>
  <c r="D107"/>
  <c r="E107"/>
  <c r="F107"/>
  <c r="G107"/>
  <c r="H107"/>
  <c r="J107"/>
  <c r="K107"/>
  <c r="L107"/>
  <c r="M107"/>
  <c r="N107"/>
  <c r="O107"/>
  <c r="A108"/>
  <c r="B108"/>
  <c r="C108"/>
  <c r="D108"/>
  <c r="E108"/>
  <c r="F108"/>
  <c r="G108"/>
  <c r="H108"/>
  <c r="J108"/>
  <c r="K108"/>
  <c r="L108"/>
  <c r="M108"/>
  <c r="N108"/>
  <c r="O108"/>
  <c r="A109"/>
  <c r="B109"/>
  <c r="C109"/>
  <c r="D109"/>
  <c r="E109"/>
  <c r="F109"/>
  <c r="G109"/>
  <c r="H109"/>
  <c r="I109"/>
  <c r="J109"/>
  <c r="K109"/>
  <c r="L109"/>
  <c r="M109"/>
  <c r="N109"/>
  <c r="O109"/>
  <c r="A110"/>
  <c r="B110"/>
  <c r="C110"/>
  <c r="D110"/>
  <c r="E110"/>
  <c r="F110"/>
  <c r="G110"/>
  <c r="H110"/>
  <c r="J110"/>
  <c r="K110"/>
  <c r="L110"/>
  <c r="M110"/>
  <c r="N110"/>
  <c r="O110"/>
  <c r="A111"/>
  <c r="B111"/>
  <c r="C111"/>
  <c r="D111"/>
  <c r="E111"/>
  <c r="F111"/>
  <c r="G111"/>
  <c r="H111"/>
  <c r="J111"/>
  <c r="K111"/>
  <c r="L111"/>
  <c r="M111"/>
  <c r="N111"/>
  <c r="O111"/>
  <c r="A112"/>
  <c r="B112"/>
  <c r="C112"/>
  <c r="D112"/>
  <c r="E112"/>
  <c r="F112"/>
  <c r="G112"/>
  <c r="H112"/>
  <c r="J112"/>
  <c r="K112"/>
  <c r="L112"/>
  <c r="M112"/>
  <c r="N112"/>
  <c r="O112"/>
  <c r="A113"/>
  <c r="B113"/>
  <c r="C113"/>
  <c r="D113"/>
  <c r="E113"/>
  <c r="F113"/>
  <c r="G113"/>
  <c r="H113"/>
  <c r="J113"/>
  <c r="K113"/>
  <c r="L113"/>
  <c r="M113"/>
  <c r="N113"/>
  <c r="O113"/>
  <c r="A114"/>
  <c r="B114"/>
  <c r="C114"/>
  <c r="D114"/>
  <c r="E114"/>
  <c r="F114"/>
  <c r="G114"/>
  <c r="H114"/>
  <c r="J114"/>
  <c r="K114"/>
  <c r="L114"/>
  <c r="M114"/>
  <c r="N114"/>
  <c r="O114"/>
  <c r="A115"/>
  <c r="B115"/>
  <c r="C115"/>
  <c r="D115"/>
  <c r="E115"/>
  <c r="F115"/>
  <c r="G115"/>
  <c r="H115"/>
  <c r="J115"/>
  <c r="K115"/>
  <c r="L115"/>
  <c r="M115"/>
  <c r="N115"/>
  <c r="O115"/>
  <c r="A116"/>
  <c r="B116"/>
  <c r="C116"/>
  <c r="D116"/>
  <c r="E116"/>
  <c r="F116"/>
  <c r="G116"/>
  <c r="H116"/>
  <c r="I116"/>
  <c r="J116"/>
  <c r="K116"/>
  <c r="L116"/>
  <c r="M116"/>
  <c r="N116"/>
  <c r="O116"/>
  <c r="A117"/>
  <c r="B117"/>
  <c r="C117"/>
  <c r="D117"/>
  <c r="E117"/>
  <c r="F117"/>
  <c r="G117"/>
  <c r="H117"/>
  <c r="I117"/>
  <c r="J117"/>
  <c r="K117"/>
  <c r="L117"/>
  <c r="M117"/>
  <c r="N117"/>
  <c r="O117"/>
  <c r="A118"/>
  <c r="B118"/>
  <c r="C118"/>
  <c r="D118"/>
  <c r="E118"/>
  <c r="F118"/>
  <c r="G118"/>
  <c r="H118"/>
  <c r="J118"/>
  <c r="K118"/>
  <c r="L118"/>
  <c r="M118"/>
  <c r="N118"/>
  <c r="O118"/>
  <c r="A119"/>
  <c r="B119"/>
  <c r="C119"/>
  <c r="D119"/>
  <c r="E119"/>
  <c r="F119"/>
  <c r="G119"/>
  <c r="H119"/>
  <c r="J119"/>
  <c r="K119"/>
  <c r="L119"/>
  <c r="M119"/>
  <c r="N119"/>
  <c r="O119"/>
  <c r="A120"/>
  <c r="B120"/>
  <c r="C120"/>
  <c r="D120"/>
  <c r="E120"/>
  <c r="F120"/>
  <c r="G120"/>
  <c r="H120"/>
  <c r="J120"/>
  <c r="K120"/>
  <c r="L120"/>
  <c r="M120"/>
  <c r="N120"/>
  <c r="O120"/>
  <c r="A121"/>
  <c r="B121"/>
  <c r="C121"/>
  <c r="D121"/>
  <c r="E121"/>
  <c r="F121"/>
  <c r="G121"/>
  <c r="H121"/>
  <c r="J121"/>
  <c r="K121"/>
  <c r="L121"/>
  <c r="M121"/>
  <c r="N121"/>
  <c r="O121"/>
  <c r="A122"/>
  <c r="B122"/>
  <c r="C122"/>
  <c r="D122"/>
  <c r="E122"/>
  <c r="F122"/>
  <c r="G122"/>
  <c r="H122"/>
  <c r="J122"/>
  <c r="K122"/>
  <c r="L122"/>
  <c r="M122"/>
  <c r="N122"/>
  <c r="O122"/>
  <c r="A123"/>
  <c r="B123"/>
  <c r="C123"/>
  <c r="D123"/>
  <c r="E123"/>
  <c r="F123"/>
  <c r="G123"/>
  <c r="H123"/>
  <c r="J123"/>
  <c r="K123"/>
  <c r="L123"/>
  <c r="M123"/>
  <c r="N123"/>
  <c r="O123"/>
  <c r="A124"/>
  <c r="B124"/>
  <c r="C124"/>
  <c r="D124"/>
  <c r="E124"/>
  <c r="F124"/>
  <c r="G124"/>
  <c r="H124"/>
  <c r="I124"/>
  <c r="J124"/>
  <c r="K124"/>
  <c r="L124"/>
  <c r="M124"/>
  <c r="N124"/>
  <c r="O124"/>
  <c r="A125"/>
  <c r="B125"/>
  <c r="C125"/>
  <c r="D125"/>
  <c r="E125"/>
  <c r="F125"/>
  <c r="G125"/>
  <c r="H125"/>
  <c r="I125"/>
  <c r="J125"/>
  <c r="K125"/>
  <c r="L125"/>
  <c r="M125"/>
  <c r="N125"/>
  <c r="O125"/>
  <c r="A126"/>
  <c r="B126"/>
  <c r="C126"/>
  <c r="D126"/>
  <c r="E126"/>
  <c r="F126"/>
  <c r="G126"/>
  <c r="H126"/>
  <c r="J126"/>
  <c r="K126"/>
  <c r="L126"/>
  <c r="M126"/>
  <c r="N126"/>
  <c r="O126"/>
  <c r="A127"/>
  <c r="B127"/>
  <c r="C127"/>
  <c r="D127"/>
  <c r="E127"/>
  <c r="F127"/>
  <c r="G127"/>
  <c r="H127"/>
  <c r="J127"/>
  <c r="K127"/>
  <c r="L127"/>
  <c r="M127"/>
  <c r="N127"/>
  <c r="O127"/>
  <c r="A128"/>
  <c r="B128"/>
  <c r="C128"/>
  <c r="D128"/>
  <c r="E128"/>
  <c r="F128"/>
  <c r="G128"/>
  <c r="H128"/>
  <c r="I128"/>
  <c r="J128"/>
  <c r="K128"/>
  <c r="L128"/>
  <c r="M128"/>
  <c r="N128"/>
  <c r="O128"/>
  <c r="A129"/>
  <c r="B129"/>
  <c r="C129"/>
  <c r="D129"/>
  <c r="E129"/>
  <c r="F129"/>
  <c r="G129"/>
  <c r="H129"/>
  <c r="J129"/>
  <c r="K129"/>
  <c r="L129"/>
  <c r="M129"/>
  <c r="N129"/>
  <c r="O129"/>
  <c r="A130"/>
  <c r="B130"/>
  <c r="C130"/>
  <c r="D130"/>
  <c r="E130"/>
  <c r="F130"/>
  <c r="G130"/>
  <c r="H130"/>
  <c r="J130"/>
  <c r="K130"/>
  <c r="L130"/>
  <c r="M130"/>
  <c r="N130"/>
  <c r="O130"/>
  <c r="A131"/>
  <c r="B131"/>
  <c r="C131"/>
  <c r="D131"/>
  <c r="E131"/>
  <c r="F131"/>
  <c r="G131"/>
  <c r="H131"/>
  <c r="J131"/>
  <c r="K131"/>
  <c r="L131"/>
  <c r="M131"/>
  <c r="N131"/>
  <c r="O131"/>
  <c r="A132"/>
  <c r="B132"/>
  <c r="C132"/>
  <c r="D132"/>
  <c r="E132"/>
  <c r="F132"/>
  <c r="G132"/>
  <c r="H132"/>
  <c r="I132"/>
  <c r="J132"/>
  <c r="K132"/>
  <c r="L132"/>
  <c r="M132"/>
  <c r="N132"/>
  <c r="O132"/>
  <c r="A133"/>
  <c r="B133"/>
  <c r="C133"/>
  <c r="D133"/>
  <c r="E133"/>
  <c r="F133"/>
  <c r="G133"/>
  <c r="H133"/>
  <c r="I133"/>
  <c r="J133"/>
  <c r="K133"/>
  <c r="L133"/>
  <c r="M133"/>
  <c r="N133"/>
  <c r="O133"/>
  <c r="A134"/>
  <c r="B134"/>
  <c r="C134"/>
  <c r="D134"/>
  <c r="E134"/>
  <c r="F134"/>
  <c r="G134"/>
  <c r="H134"/>
  <c r="J134"/>
  <c r="K134"/>
  <c r="L134"/>
  <c r="M134"/>
  <c r="N134"/>
  <c r="O134"/>
  <c r="A135"/>
  <c r="B135"/>
  <c r="C135"/>
  <c r="D135"/>
  <c r="E135"/>
  <c r="F135"/>
  <c r="G135"/>
  <c r="H135"/>
  <c r="J135"/>
  <c r="K135"/>
  <c r="L135"/>
  <c r="M135"/>
  <c r="N135"/>
  <c r="O135"/>
  <c r="A136"/>
  <c r="B136"/>
  <c r="C136"/>
  <c r="D136"/>
  <c r="E136"/>
  <c r="F136"/>
  <c r="G136"/>
  <c r="H136"/>
  <c r="J136"/>
  <c r="K136"/>
  <c r="L136"/>
  <c r="M136"/>
  <c r="N136"/>
  <c r="O136"/>
  <c r="A137"/>
  <c r="B137"/>
  <c r="C137"/>
  <c r="D137"/>
  <c r="E137"/>
  <c r="F137"/>
  <c r="G137"/>
  <c r="H137"/>
  <c r="J137"/>
  <c r="K137"/>
  <c r="L137"/>
  <c r="M137"/>
  <c r="N137"/>
  <c r="O137"/>
  <c r="A138"/>
  <c r="B138"/>
  <c r="C138"/>
  <c r="D138"/>
  <c r="E138"/>
  <c r="F138"/>
  <c r="G138"/>
  <c r="H138"/>
  <c r="J138"/>
  <c r="K138"/>
  <c r="L138"/>
  <c r="M138"/>
  <c r="N138"/>
  <c r="O138"/>
  <c r="A139"/>
  <c r="B139"/>
  <c r="C139"/>
  <c r="D139"/>
  <c r="E139"/>
  <c r="F139"/>
  <c r="G139"/>
  <c r="H139"/>
  <c r="J139"/>
  <c r="K139"/>
  <c r="L139"/>
  <c r="M139"/>
  <c r="N139"/>
  <c r="O139"/>
  <c r="A140"/>
  <c r="B140"/>
  <c r="C140"/>
  <c r="D140"/>
  <c r="E140"/>
  <c r="F140"/>
  <c r="G140"/>
  <c r="H140"/>
  <c r="I140"/>
  <c r="J140"/>
  <c r="K140"/>
  <c r="L140"/>
  <c r="M140"/>
  <c r="N140"/>
  <c r="O140"/>
  <c r="A141"/>
  <c r="B141"/>
  <c r="C141"/>
  <c r="D141"/>
  <c r="E141"/>
  <c r="F141"/>
  <c r="G141"/>
  <c r="H141"/>
  <c r="I141"/>
  <c r="J141"/>
  <c r="K141"/>
  <c r="L141"/>
  <c r="M141"/>
  <c r="N141"/>
  <c r="O141"/>
  <c r="A142"/>
  <c r="B142"/>
  <c r="C142"/>
  <c r="D142"/>
  <c r="E142"/>
  <c r="F142"/>
  <c r="G142"/>
  <c r="H142"/>
  <c r="J142"/>
  <c r="K142"/>
  <c r="L142"/>
  <c r="M142"/>
  <c r="N142"/>
  <c r="O142"/>
  <c r="A143"/>
  <c r="B143"/>
  <c r="C143"/>
  <c r="D143"/>
  <c r="E143"/>
  <c r="F143"/>
  <c r="G143"/>
  <c r="H143"/>
  <c r="J143"/>
  <c r="K143"/>
  <c r="L143"/>
  <c r="M143"/>
  <c r="N143"/>
  <c r="O143"/>
  <c r="A144"/>
  <c r="B144"/>
  <c r="C144"/>
  <c r="D144"/>
  <c r="E144"/>
  <c r="F144"/>
  <c r="G144"/>
  <c r="H144"/>
  <c r="I144"/>
  <c r="J144"/>
  <c r="K144"/>
  <c r="L144"/>
  <c r="M144"/>
  <c r="N144"/>
  <c r="O144"/>
  <c r="A145"/>
  <c r="B145"/>
  <c r="C145"/>
  <c r="D145"/>
  <c r="E145"/>
  <c r="F145"/>
  <c r="G145"/>
  <c r="H145"/>
  <c r="J145"/>
  <c r="K145"/>
  <c r="L145"/>
  <c r="M145"/>
  <c r="N145"/>
  <c r="O145"/>
  <c r="A146"/>
  <c r="B146"/>
  <c r="C146"/>
  <c r="D146"/>
  <c r="E146"/>
  <c r="F146"/>
  <c r="G146"/>
  <c r="H146"/>
  <c r="J146"/>
  <c r="K146"/>
  <c r="L146"/>
  <c r="M146"/>
  <c r="N146"/>
  <c r="O146"/>
  <c r="A147"/>
  <c r="B147"/>
  <c r="C147"/>
  <c r="D147"/>
  <c r="E147"/>
  <c r="F147"/>
  <c r="G147"/>
  <c r="H147"/>
  <c r="J147"/>
  <c r="K147"/>
  <c r="L147"/>
  <c r="M147"/>
  <c r="N147"/>
  <c r="O147"/>
  <c r="A148"/>
  <c r="B148"/>
  <c r="C148"/>
  <c r="D148"/>
  <c r="E148"/>
  <c r="F148"/>
  <c r="G148"/>
  <c r="H148"/>
  <c r="I148"/>
  <c r="J148"/>
  <c r="K148"/>
  <c r="L148"/>
  <c r="M148"/>
  <c r="N148"/>
  <c r="O148"/>
  <c r="A149"/>
  <c r="B149"/>
  <c r="C149"/>
  <c r="D149"/>
  <c r="E149"/>
  <c r="F149"/>
  <c r="G149"/>
  <c r="H149"/>
  <c r="I149"/>
  <c r="J149"/>
  <c r="K149"/>
  <c r="L149"/>
  <c r="M149"/>
  <c r="N149"/>
  <c r="O149"/>
  <c r="A150"/>
  <c r="B150"/>
  <c r="C150"/>
  <c r="D150"/>
  <c r="E150"/>
  <c r="F150"/>
  <c r="G150"/>
  <c r="H150"/>
  <c r="J150"/>
  <c r="K150"/>
  <c r="L150"/>
  <c r="M150"/>
  <c r="N150"/>
  <c r="O150"/>
  <c r="A151"/>
  <c r="B151"/>
  <c r="C151"/>
  <c r="D151"/>
  <c r="E151"/>
  <c r="F151"/>
  <c r="G151"/>
  <c r="H151"/>
  <c r="J151"/>
  <c r="K151"/>
  <c r="L151"/>
  <c r="M151"/>
  <c r="N151"/>
  <c r="O151"/>
  <c r="A152"/>
  <c r="B152"/>
  <c r="C152"/>
  <c r="D152"/>
  <c r="E152"/>
  <c r="F152"/>
  <c r="G152"/>
  <c r="H152"/>
  <c r="I152"/>
  <c r="J152"/>
  <c r="K152"/>
  <c r="L152"/>
  <c r="M152"/>
  <c r="N152"/>
  <c r="O152"/>
  <c r="A153"/>
  <c r="B153"/>
  <c r="C153"/>
  <c r="D153"/>
  <c r="E153"/>
  <c r="F153"/>
  <c r="G153"/>
  <c r="H153"/>
  <c r="J153"/>
  <c r="K153"/>
  <c r="L153"/>
  <c r="M153"/>
  <c r="N153"/>
  <c r="O153"/>
  <c r="A154"/>
  <c r="B154"/>
  <c r="C154"/>
  <c r="D154"/>
  <c r="E154"/>
  <c r="F154"/>
  <c r="G154"/>
  <c r="H154"/>
  <c r="J154"/>
  <c r="K154"/>
  <c r="L154"/>
  <c r="M154"/>
  <c r="N154"/>
  <c r="O154"/>
  <c r="A155"/>
  <c r="B155"/>
  <c r="C155"/>
  <c r="D155"/>
  <c r="E155"/>
  <c r="F155"/>
  <c r="G155"/>
  <c r="H155"/>
  <c r="J155"/>
  <c r="K155"/>
  <c r="L155"/>
  <c r="M155"/>
  <c r="N155"/>
  <c r="O155"/>
  <c r="A156"/>
  <c r="B156"/>
  <c r="C156"/>
  <c r="D156"/>
  <c r="E156"/>
  <c r="F156"/>
  <c r="G156"/>
  <c r="H156"/>
  <c r="I156"/>
  <c r="J156"/>
  <c r="K156"/>
  <c r="L156"/>
  <c r="M156"/>
  <c r="N156"/>
  <c r="O156"/>
  <c r="A157"/>
  <c r="B157"/>
  <c r="C157"/>
  <c r="D157"/>
  <c r="E157"/>
  <c r="F157"/>
  <c r="G157"/>
  <c r="H157"/>
  <c r="I157"/>
  <c r="J157"/>
  <c r="K157"/>
  <c r="L157"/>
  <c r="M157"/>
  <c r="N157"/>
  <c r="O157"/>
  <c r="A158"/>
  <c r="B158"/>
  <c r="C158"/>
  <c r="D158"/>
  <c r="E158"/>
  <c r="F158"/>
  <c r="G158"/>
  <c r="H158"/>
  <c r="J158"/>
  <c r="K158"/>
  <c r="L158"/>
  <c r="M158"/>
  <c r="N158"/>
  <c r="O158"/>
  <c r="A159"/>
  <c r="B159"/>
  <c r="C159"/>
  <c r="D159"/>
  <c r="E159"/>
  <c r="F159"/>
  <c r="G159"/>
  <c r="H159"/>
  <c r="J159"/>
  <c r="K159"/>
  <c r="L159"/>
  <c r="M159"/>
  <c r="N159"/>
  <c r="O159"/>
  <c r="A160"/>
  <c r="B160"/>
  <c r="C160"/>
  <c r="D160"/>
  <c r="E160"/>
  <c r="F160"/>
  <c r="G160"/>
  <c r="H160"/>
  <c r="I160"/>
  <c r="J160"/>
  <c r="K160"/>
  <c r="L160"/>
  <c r="M160"/>
  <c r="N160"/>
  <c r="O160"/>
  <c r="A161"/>
  <c r="B161"/>
  <c r="C161"/>
  <c r="D161"/>
  <c r="E161"/>
  <c r="F161"/>
  <c r="G161"/>
  <c r="H161"/>
  <c r="J161"/>
  <c r="K161"/>
  <c r="L161"/>
  <c r="M161"/>
  <c r="N161"/>
  <c r="O161"/>
  <c r="A162"/>
  <c r="B162"/>
  <c r="C162"/>
  <c r="D162"/>
  <c r="E162"/>
  <c r="F162"/>
  <c r="G162"/>
  <c r="H162"/>
  <c r="J162"/>
  <c r="K162"/>
  <c r="L162"/>
  <c r="M162"/>
  <c r="N162"/>
  <c r="O162"/>
  <c r="A163"/>
  <c r="B163"/>
  <c r="C163"/>
  <c r="D163"/>
  <c r="E163"/>
  <c r="F163"/>
  <c r="G163"/>
  <c r="H163"/>
  <c r="J163"/>
  <c r="K163"/>
  <c r="L163"/>
  <c r="M163"/>
  <c r="N163"/>
  <c r="O163"/>
  <c r="A164"/>
  <c r="B164"/>
  <c r="C164"/>
  <c r="D164"/>
  <c r="E164"/>
  <c r="F164"/>
  <c r="G164"/>
  <c r="H164"/>
  <c r="I164"/>
  <c r="J164"/>
  <c r="K164"/>
  <c r="L164"/>
  <c r="M164"/>
  <c r="N164"/>
  <c r="O164"/>
  <c r="A165"/>
  <c r="B165"/>
  <c r="C165"/>
  <c r="D165"/>
  <c r="E165"/>
  <c r="F165"/>
  <c r="G165"/>
  <c r="H165"/>
  <c r="I165"/>
  <c r="J165"/>
  <c r="K165"/>
  <c r="L165"/>
  <c r="M165"/>
  <c r="N165"/>
  <c r="O165"/>
  <c r="A166"/>
  <c r="B166"/>
  <c r="C166"/>
  <c r="D166"/>
  <c r="E166"/>
  <c r="F166"/>
  <c r="G166"/>
  <c r="H166"/>
  <c r="J166"/>
  <c r="K166"/>
  <c r="L166"/>
  <c r="M166"/>
  <c r="N166"/>
  <c r="O166"/>
  <c r="A167"/>
  <c r="B167"/>
  <c r="C167"/>
  <c r="D167"/>
  <c r="E167"/>
  <c r="F167"/>
  <c r="G167"/>
  <c r="H167"/>
  <c r="I167"/>
  <c r="J167"/>
  <c r="K167"/>
  <c r="L167"/>
  <c r="M167"/>
  <c r="N167"/>
  <c r="O167"/>
  <c r="A168"/>
  <c r="B168"/>
  <c r="C168"/>
  <c r="D168"/>
  <c r="E168"/>
  <c r="F168"/>
  <c r="G168"/>
  <c r="H168"/>
  <c r="I168"/>
  <c r="J168"/>
  <c r="K168"/>
  <c r="L168"/>
  <c r="M168"/>
  <c r="N168"/>
  <c r="O168"/>
  <c r="A169"/>
  <c r="B169"/>
  <c r="C169"/>
  <c r="D169"/>
  <c r="E169"/>
  <c r="F169"/>
  <c r="G169"/>
  <c r="H169"/>
  <c r="I169"/>
  <c r="J169"/>
  <c r="K169"/>
  <c r="L169"/>
  <c r="M169"/>
  <c r="N169"/>
  <c r="O169"/>
  <c r="A170"/>
  <c r="B170"/>
  <c r="C170"/>
  <c r="D170"/>
  <c r="E170"/>
  <c r="F170"/>
  <c r="G170"/>
  <c r="H170"/>
  <c r="J170"/>
  <c r="K170"/>
  <c r="L170"/>
  <c r="M170"/>
  <c r="N170"/>
  <c r="O170"/>
  <c r="A171"/>
  <c r="B171"/>
  <c r="C171"/>
  <c r="D171"/>
  <c r="E171"/>
  <c r="F171"/>
  <c r="G171"/>
  <c r="H171"/>
  <c r="J171"/>
  <c r="K171"/>
  <c r="L171"/>
  <c r="M171"/>
  <c r="N171"/>
  <c r="O171"/>
  <c r="A172"/>
  <c r="B172"/>
  <c r="C172"/>
  <c r="D172"/>
  <c r="E172"/>
  <c r="F172"/>
  <c r="G172"/>
  <c r="H172"/>
  <c r="I172"/>
  <c r="J172"/>
  <c r="K172"/>
  <c r="L172"/>
  <c r="M172"/>
  <c r="N172"/>
  <c r="O172"/>
  <c r="A173"/>
  <c r="B173"/>
  <c r="C173"/>
  <c r="D173"/>
  <c r="E173"/>
  <c r="F173"/>
  <c r="G173"/>
  <c r="H173"/>
  <c r="I173"/>
  <c r="J173"/>
  <c r="K173"/>
  <c r="L173"/>
  <c r="M173"/>
  <c r="N173"/>
  <c r="O173"/>
  <c r="A174"/>
  <c r="B174"/>
  <c r="C174"/>
  <c r="D174"/>
  <c r="E174"/>
  <c r="F174"/>
  <c r="G174"/>
  <c r="H174"/>
  <c r="J174"/>
  <c r="K174"/>
  <c r="L174"/>
  <c r="M174"/>
  <c r="N174"/>
  <c r="O174"/>
  <c r="A175"/>
  <c r="B175"/>
  <c r="C175"/>
  <c r="D175"/>
  <c r="E175"/>
  <c r="F175"/>
  <c r="G175"/>
  <c r="H175"/>
  <c r="J175"/>
  <c r="K175"/>
  <c r="L175"/>
  <c r="M175"/>
  <c r="N175"/>
  <c r="O175"/>
  <c r="A176"/>
  <c r="B176"/>
  <c r="C176"/>
  <c r="D176"/>
  <c r="E176"/>
  <c r="F176"/>
  <c r="G176"/>
  <c r="H176"/>
  <c r="I176"/>
  <c r="J176"/>
  <c r="K176"/>
  <c r="L176"/>
  <c r="M176"/>
  <c r="N176"/>
  <c r="O176"/>
  <c r="A177"/>
  <c r="B177"/>
  <c r="C177"/>
  <c r="D177"/>
  <c r="E177"/>
  <c r="F177"/>
  <c r="G177"/>
  <c r="H177"/>
  <c r="J177"/>
  <c r="K177"/>
  <c r="L177"/>
  <c r="M177"/>
  <c r="N177"/>
  <c r="O177"/>
  <c r="A178"/>
  <c r="B178"/>
  <c r="C178"/>
  <c r="D178"/>
  <c r="E178"/>
  <c r="F178"/>
  <c r="G178"/>
  <c r="H178"/>
  <c r="J178"/>
  <c r="K178"/>
  <c r="L178"/>
  <c r="M178"/>
  <c r="N178"/>
  <c r="O178"/>
  <c r="A179"/>
  <c r="B179"/>
  <c r="C179"/>
  <c r="D179"/>
  <c r="E179"/>
  <c r="F179"/>
  <c r="G179"/>
  <c r="H179"/>
  <c r="J179"/>
  <c r="K179"/>
  <c r="L179"/>
  <c r="M179"/>
  <c r="N179"/>
  <c r="O179"/>
  <c r="A180"/>
  <c r="B180"/>
  <c r="C180"/>
  <c r="D180"/>
  <c r="E180"/>
  <c r="F180"/>
  <c r="G180"/>
  <c r="H180"/>
  <c r="I180"/>
  <c r="J180"/>
  <c r="K180"/>
  <c r="L180"/>
  <c r="M180"/>
  <c r="N180"/>
  <c r="O180"/>
  <c r="A181"/>
  <c r="B181"/>
  <c r="C181"/>
  <c r="D181"/>
  <c r="E181"/>
  <c r="F181"/>
  <c r="G181"/>
  <c r="H181"/>
  <c r="I181"/>
  <c r="J181"/>
  <c r="K181"/>
  <c r="L181"/>
  <c r="M181"/>
  <c r="N181"/>
  <c r="O181"/>
  <c r="A182"/>
  <c r="B182"/>
  <c r="C182"/>
  <c r="D182"/>
  <c r="E182"/>
  <c r="F182"/>
  <c r="G182"/>
  <c r="H182"/>
  <c r="J182"/>
  <c r="K182"/>
  <c r="L182"/>
  <c r="M182"/>
  <c r="N182"/>
  <c r="O182"/>
  <c r="A183"/>
  <c r="B183"/>
  <c r="C183"/>
  <c r="D183"/>
  <c r="E183"/>
  <c r="F183"/>
  <c r="G183"/>
  <c r="H183"/>
  <c r="J183"/>
  <c r="K183"/>
  <c r="L183"/>
  <c r="M183"/>
  <c r="N183"/>
  <c r="O183"/>
  <c r="A184"/>
  <c r="B184"/>
  <c r="C184"/>
  <c r="D184"/>
  <c r="E184"/>
  <c r="F184"/>
  <c r="G184"/>
  <c r="H184"/>
  <c r="I184"/>
  <c r="J184"/>
  <c r="K184"/>
  <c r="L184"/>
  <c r="M184"/>
  <c r="N184"/>
  <c r="O184"/>
  <c r="A185"/>
  <c r="B185"/>
  <c r="C185"/>
  <c r="D185"/>
  <c r="E185"/>
  <c r="F185"/>
  <c r="G185"/>
  <c r="H185"/>
  <c r="I185"/>
  <c r="J185"/>
  <c r="K185"/>
  <c r="L185"/>
  <c r="M185"/>
  <c r="N185"/>
  <c r="O185"/>
  <c r="A186"/>
  <c r="B186"/>
  <c r="C186"/>
  <c r="D186"/>
  <c r="E186"/>
  <c r="F186"/>
  <c r="G186"/>
  <c r="H186"/>
  <c r="J186"/>
  <c r="K186"/>
  <c r="L186"/>
  <c r="M186"/>
  <c r="N186"/>
  <c r="O186"/>
  <c r="A187"/>
  <c r="B187"/>
  <c r="C187"/>
  <c r="D187"/>
  <c r="E187"/>
  <c r="F187"/>
  <c r="G187"/>
  <c r="H187"/>
  <c r="J187"/>
  <c r="K187"/>
  <c r="L187"/>
  <c r="M187"/>
  <c r="N187"/>
  <c r="O187"/>
  <c r="A188"/>
  <c r="B188"/>
  <c r="C188"/>
  <c r="D188"/>
  <c r="E188"/>
  <c r="F188"/>
  <c r="G188"/>
  <c r="H188"/>
  <c r="I188"/>
  <c r="J188"/>
  <c r="K188"/>
  <c r="L188"/>
  <c r="M188"/>
  <c r="N188"/>
  <c r="O188"/>
  <c r="A189"/>
  <c r="B189"/>
  <c r="C189"/>
  <c r="D189"/>
  <c r="E189"/>
  <c r="F189"/>
  <c r="G189"/>
  <c r="H189"/>
  <c r="I189"/>
  <c r="J189"/>
  <c r="K189"/>
  <c r="L189"/>
  <c r="M189"/>
  <c r="N189"/>
  <c r="O189"/>
  <c r="A190"/>
  <c r="B190"/>
  <c r="C190"/>
  <c r="D190"/>
  <c r="E190"/>
  <c r="F190"/>
  <c r="G190"/>
  <c r="H190"/>
  <c r="J190"/>
  <c r="K190"/>
  <c r="L190"/>
  <c r="M190"/>
  <c r="N190"/>
  <c r="O190"/>
  <c r="A191"/>
  <c r="B191"/>
  <c r="C191"/>
  <c r="D191"/>
  <c r="E191"/>
  <c r="F191"/>
  <c r="G191"/>
  <c r="H191"/>
  <c r="J191"/>
  <c r="K191"/>
  <c r="L191"/>
  <c r="M191"/>
  <c r="N191"/>
  <c r="O191"/>
  <c r="A192"/>
  <c r="B192"/>
  <c r="C192"/>
  <c r="D192"/>
  <c r="E192"/>
  <c r="F192"/>
  <c r="G192"/>
  <c r="H192"/>
  <c r="I192"/>
  <c r="J192"/>
  <c r="K192"/>
  <c r="L192"/>
  <c r="M192"/>
  <c r="N192"/>
  <c r="O192"/>
  <c r="A193"/>
  <c r="B193"/>
  <c r="C193"/>
  <c r="D193"/>
  <c r="E193"/>
  <c r="F193"/>
  <c r="G193"/>
  <c r="H193"/>
  <c r="J193"/>
  <c r="K193"/>
  <c r="L193"/>
  <c r="M193"/>
  <c r="N193"/>
  <c r="O193"/>
  <c r="A194"/>
  <c r="B194"/>
  <c r="C194"/>
  <c r="D194"/>
  <c r="E194"/>
  <c r="F194"/>
  <c r="G194"/>
  <c r="H194"/>
  <c r="J194"/>
  <c r="K194"/>
  <c r="L194"/>
  <c r="M194"/>
  <c r="N194"/>
  <c r="O194"/>
  <c r="A195"/>
  <c r="B195"/>
  <c r="C195"/>
  <c r="D195"/>
  <c r="E195"/>
  <c r="F195"/>
  <c r="G195"/>
  <c r="H195"/>
  <c r="J195"/>
  <c r="K195"/>
  <c r="L195"/>
  <c r="M195"/>
  <c r="N195"/>
  <c r="O195"/>
  <c r="A196"/>
  <c r="B196"/>
  <c r="C196"/>
  <c r="D196"/>
  <c r="E196"/>
  <c r="F196"/>
  <c r="G196"/>
  <c r="H196"/>
  <c r="J196"/>
  <c r="K196"/>
  <c r="L196"/>
  <c r="M196"/>
  <c r="N196"/>
  <c r="O196"/>
  <c r="A197"/>
  <c r="B197"/>
  <c r="C197"/>
  <c r="D197"/>
  <c r="E197"/>
  <c r="F197"/>
  <c r="G197"/>
  <c r="H197"/>
  <c r="I197"/>
  <c r="J197"/>
  <c r="K197"/>
  <c r="L197"/>
  <c r="M197"/>
  <c r="N197"/>
  <c r="O197"/>
  <c r="A198"/>
  <c r="B198"/>
  <c r="C198"/>
  <c r="D198"/>
  <c r="E198"/>
  <c r="F198"/>
  <c r="G198"/>
  <c r="H198"/>
  <c r="J198"/>
  <c r="K198"/>
  <c r="L198"/>
  <c r="M198"/>
  <c r="N198"/>
  <c r="O198"/>
  <c r="A199"/>
  <c r="B199"/>
  <c r="C199"/>
  <c r="D199"/>
  <c r="E199"/>
  <c r="F199"/>
  <c r="G199"/>
  <c r="H199"/>
  <c r="J199"/>
  <c r="K199"/>
  <c r="L199"/>
  <c r="M199"/>
  <c r="N199"/>
  <c r="O199"/>
  <c r="A200"/>
  <c r="B200"/>
  <c r="C200"/>
  <c r="D200"/>
  <c r="E200"/>
  <c r="F200"/>
  <c r="G200"/>
  <c r="H200"/>
  <c r="I200"/>
  <c r="J200"/>
  <c r="K200"/>
  <c r="L200"/>
  <c r="M200"/>
  <c r="N200"/>
  <c r="O200"/>
  <c r="A201"/>
  <c r="B201"/>
  <c r="C201"/>
  <c r="D201"/>
  <c r="E201"/>
  <c r="F201"/>
  <c r="G201"/>
  <c r="H201"/>
  <c r="J201"/>
  <c r="K201"/>
  <c r="L201"/>
  <c r="M201"/>
  <c r="N201"/>
  <c r="O201"/>
  <c r="A202"/>
  <c r="B202"/>
  <c r="C202"/>
  <c r="D202"/>
  <c r="E202"/>
  <c r="F202"/>
  <c r="G202"/>
  <c r="H202"/>
  <c r="J202"/>
  <c r="K202"/>
  <c r="L202"/>
  <c r="M202"/>
  <c r="N202"/>
  <c r="O202"/>
  <c r="A203"/>
  <c r="B203"/>
  <c r="C203"/>
  <c r="D203"/>
  <c r="E203"/>
  <c r="F203"/>
  <c r="G203"/>
  <c r="H203"/>
  <c r="J203"/>
  <c r="K203"/>
  <c r="L203"/>
  <c r="M203"/>
  <c r="N203"/>
  <c r="O203"/>
  <c r="A204"/>
  <c r="B204"/>
  <c r="C204"/>
  <c r="D204"/>
  <c r="E204"/>
  <c r="F204"/>
  <c r="G204"/>
  <c r="H204"/>
  <c r="I204"/>
  <c r="J204"/>
  <c r="K204"/>
  <c r="L204"/>
  <c r="M204"/>
  <c r="N204"/>
  <c r="O204"/>
  <c r="A205"/>
  <c r="B205"/>
  <c r="C205"/>
  <c r="D205"/>
  <c r="E205"/>
  <c r="F205"/>
  <c r="G205"/>
  <c r="H205"/>
  <c r="I205"/>
  <c r="J205"/>
  <c r="K205"/>
  <c r="L205"/>
  <c r="M205"/>
  <c r="N205"/>
  <c r="O205"/>
  <c r="A206"/>
  <c r="B206"/>
  <c r="C206"/>
  <c r="D206"/>
  <c r="E206"/>
  <c r="F206"/>
  <c r="G206"/>
  <c r="H206"/>
  <c r="J206"/>
  <c r="K206"/>
  <c r="L206"/>
  <c r="M206"/>
  <c r="N206"/>
  <c r="O206"/>
  <c r="A207"/>
  <c r="B207"/>
  <c r="C207"/>
  <c r="D207"/>
  <c r="E207"/>
  <c r="F207"/>
  <c r="G207"/>
  <c r="H207"/>
  <c r="J207"/>
  <c r="K207"/>
  <c r="L207"/>
  <c r="M207"/>
  <c r="N207"/>
  <c r="O207"/>
  <c r="A208"/>
  <c r="B208"/>
  <c r="C208"/>
  <c r="D208"/>
  <c r="E208"/>
  <c r="F208"/>
  <c r="G208"/>
  <c r="H208"/>
  <c r="I208"/>
  <c r="J208"/>
  <c r="K208"/>
  <c r="L208"/>
  <c r="M208"/>
  <c r="N208"/>
  <c r="O208"/>
  <c r="A209"/>
  <c r="B209"/>
  <c r="C209"/>
  <c r="D209"/>
  <c r="E209"/>
  <c r="F209"/>
  <c r="G209"/>
  <c r="H209"/>
  <c r="J209"/>
  <c r="K209"/>
  <c r="L209"/>
  <c r="M209"/>
  <c r="N209"/>
  <c r="O209"/>
  <c r="A210"/>
  <c r="B210"/>
  <c r="C210"/>
  <c r="D210"/>
  <c r="E210"/>
  <c r="F210"/>
  <c r="G210"/>
  <c r="H210"/>
  <c r="J210"/>
  <c r="K210"/>
  <c r="L210"/>
  <c r="M210"/>
  <c r="N210"/>
  <c r="O210"/>
  <c r="A211"/>
  <c r="B211"/>
  <c r="C211"/>
  <c r="D211"/>
  <c r="E211"/>
  <c r="F211"/>
  <c r="G211"/>
  <c r="H211"/>
  <c r="J211"/>
  <c r="K211"/>
  <c r="L211"/>
  <c r="M211"/>
  <c r="N211"/>
  <c r="O211"/>
  <c r="A212"/>
  <c r="B212"/>
  <c r="C212"/>
  <c r="D212"/>
  <c r="E212"/>
  <c r="F212"/>
  <c r="G212"/>
  <c r="H212"/>
  <c r="J212"/>
  <c r="K212"/>
  <c r="L212"/>
  <c r="M212"/>
  <c r="N212"/>
  <c r="O212"/>
  <c r="A213"/>
  <c r="B213"/>
  <c r="C213"/>
  <c r="D213"/>
  <c r="E213"/>
  <c r="F213"/>
  <c r="G213"/>
  <c r="H213"/>
  <c r="I213"/>
  <c r="J213"/>
  <c r="K213"/>
  <c r="L213"/>
  <c r="M213"/>
  <c r="N213"/>
  <c r="O213"/>
  <c r="A214"/>
  <c r="B214"/>
  <c r="C214"/>
  <c r="D214"/>
  <c r="E214"/>
  <c r="F214"/>
  <c r="G214"/>
  <c r="H214"/>
  <c r="J214"/>
  <c r="K214"/>
  <c r="L214"/>
  <c r="M214"/>
  <c r="N214"/>
  <c r="O214"/>
  <c r="C9" i="179"/>
  <c r="C14"/>
  <c r="D14"/>
  <c r="C16"/>
  <c r="D16"/>
  <c r="D17"/>
  <c r="C18"/>
  <c r="D19"/>
  <c r="R42" i="182"/>
  <c r="E25" i="179"/>
  <c r="E29"/>
  <c r="E32"/>
  <c r="H3" i="178"/>
  <c r="I47" i="180" s="1"/>
  <c r="H4" i="178"/>
  <c r="I59" i="180" s="1"/>
  <c r="H5" i="178"/>
  <c r="I190" i="180" s="1"/>
  <c r="H6" i="178"/>
  <c r="I94" i="180" s="1"/>
  <c r="H8" i="178"/>
  <c r="H9"/>
  <c r="I177" i="180" s="1"/>
  <c r="H10" i="178"/>
  <c r="I199" i="180" s="1"/>
  <c r="H11" i="178"/>
  <c r="I50" i="180" s="1"/>
  <c r="H12" i="178"/>
  <c r="I139" i="180" s="1"/>
  <c r="H13" i="178"/>
  <c r="I129" i="180" s="1"/>
  <c r="H14" i="178"/>
  <c r="I135" i="180" s="1"/>
  <c r="H15" i="178"/>
  <c r="I183" i="180" s="1"/>
  <c r="H16" i="178"/>
  <c r="H17"/>
  <c r="I102" i="180" s="1"/>
  <c r="H18" i="178"/>
  <c r="H19"/>
  <c r="I51" i="180" s="1"/>
  <c r="H20" i="178"/>
  <c r="I54" i="180" s="1"/>
  <c r="H21" i="178"/>
  <c r="I55" i="180" s="1"/>
  <c r="H22" i="178"/>
  <c r="I186" i="180" s="1"/>
  <c r="H23" i="178"/>
  <c r="H24"/>
  <c r="I150" i="180" s="1"/>
  <c r="H25" i="178"/>
  <c r="I212" i="180" s="1"/>
  <c r="H26" i="178"/>
  <c r="H27"/>
  <c r="H28"/>
  <c r="I62" i="180" s="1"/>
  <c r="H29" i="178"/>
  <c r="I63" i="180" s="1"/>
  <c r="H30" i="178"/>
  <c r="I114" i="180" s="1"/>
  <c r="H31" i="178"/>
  <c r="I58" i="180" s="1"/>
  <c r="H32" i="178"/>
  <c r="H33"/>
  <c r="I136" i="180" s="1"/>
  <c r="H34" i="178"/>
  <c r="I115" i="180" s="1"/>
  <c r="H35" i="178"/>
  <c r="I78" i="180" s="1"/>
  <c r="H36" i="178"/>
  <c r="I193" i="180" s="1"/>
  <c r="H37" i="178"/>
  <c r="I137" i="180" s="1"/>
  <c r="H38" i="178"/>
  <c r="H39"/>
  <c r="I106" i="180" s="1"/>
  <c r="H40" i="178"/>
  <c r="I2" i="180" s="1"/>
  <c r="H41" i="178"/>
  <c r="I108" i="180" s="1"/>
  <c r="H42" i="178"/>
  <c r="H43"/>
  <c r="I191" i="180" s="1"/>
  <c r="H44" i="178"/>
  <c r="H45"/>
  <c r="I101" i="180" s="1"/>
  <c r="H46" i="178"/>
  <c r="I195" i="180" s="1"/>
  <c r="H47" i="178"/>
  <c r="B48"/>
  <c r="C73" i="180" s="1"/>
  <c r="E48" i="178"/>
  <c r="H48"/>
  <c r="B49"/>
  <c r="C74" i="180" s="1"/>
  <c r="E49" i="178"/>
  <c r="F74" i="180" s="1"/>
  <c r="H49" i="178"/>
  <c r="I74" i="180" s="1"/>
  <c r="B50" i="178"/>
  <c r="C75" i="180" s="1"/>
  <c r="E50" i="178"/>
  <c r="F75" i="180" s="1"/>
  <c r="H50" i="178"/>
  <c r="I75" i="180" s="1"/>
  <c r="H51" i="178"/>
  <c r="I196" i="180" s="1"/>
  <c r="H52" i="178"/>
  <c r="I99" i="180" s="1"/>
  <c r="M53" i="178"/>
  <c r="D7" i="179" s="1"/>
  <c r="H58" i="178"/>
  <c r="I46" i="180" s="1"/>
  <c r="H59" i="178"/>
  <c r="H60"/>
  <c r="H61"/>
  <c r="I66" i="180" s="1"/>
  <c r="H63" i="178"/>
  <c r="I178" i="180" s="1"/>
  <c r="H64" i="178"/>
  <c r="I182" i="180" s="1"/>
  <c r="H65" i="178"/>
  <c r="H66"/>
  <c r="I52" i="180" s="1"/>
  <c r="H67" i="178"/>
  <c r="H68"/>
  <c r="H69"/>
  <c r="H70"/>
  <c r="I80" i="180" s="1"/>
  <c r="H71" i="178"/>
  <c r="H72"/>
  <c r="I3" i="180" s="1"/>
  <c r="E73" i="178"/>
  <c r="L73"/>
  <c r="C8" i="179" s="1"/>
  <c r="M73" i="178"/>
  <c r="D8" i="179" s="1"/>
  <c r="H78" i="178"/>
  <c r="I151" i="180" s="1"/>
  <c r="H79" i="178"/>
  <c r="I68" i="180" s="1"/>
  <c r="H80" i="178"/>
  <c r="I64" i="180" s="1"/>
  <c r="H81" i="178"/>
  <c r="H82"/>
  <c r="H83"/>
  <c r="I201" i="180" s="1"/>
  <c r="E84" i="178"/>
  <c r="E27" i="179" s="1"/>
  <c r="L84" i="178"/>
  <c r="C13" i="179" s="1"/>
  <c r="M84" i="178"/>
  <c r="D13" i="179" s="1"/>
  <c r="H89" i="178"/>
  <c r="H90"/>
  <c r="I6" i="180" s="1"/>
  <c r="H91" i="178"/>
  <c r="I163" i="180" s="1"/>
  <c r="H92" i="178"/>
  <c r="H93"/>
  <c r="I179" i="180" s="1"/>
  <c r="H94" i="178"/>
  <c r="H95"/>
  <c r="H96"/>
  <c r="I174" i="180" s="1"/>
  <c r="H97" i="178"/>
  <c r="I7" i="180" s="1"/>
  <c r="H98" i="178"/>
  <c r="I187" i="180" s="1"/>
  <c r="H99" i="178"/>
  <c r="H100"/>
  <c r="H101"/>
  <c r="I8" i="180" s="1"/>
  <c r="H102" i="178"/>
  <c r="I194" i="180" s="1"/>
  <c r="H103" i="178"/>
  <c r="H104"/>
  <c r="H105"/>
  <c r="I79" i="180" s="1"/>
  <c r="E106" i="178"/>
  <c r="E28" i="179" s="1"/>
  <c r="L106" i="178"/>
  <c r="M106"/>
  <c r="H111"/>
  <c r="H112"/>
  <c r="H113"/>
  <c r="H114"/>
  <c r="H115"/>
  <c r="I170" i="180" s="1"/>
  <c r="H116" i="178"/>
  <c r="I171" i="180" s="1"/>
  <c r="H117" i="178"/>
  <c r="I142" i="180" s="1"/>
  <c r="H118" i="178"/>
  <c r="I138" i="180" s="1"/>
  <c r="H119" i="178"/>
  <c r="I118" i="180" s="1"/>
  <c r="H120" i="178"/>
  <c r="I110" i="180" s="1"/>
  <c r="H121" i="178"/>
  <c r="I119" i="180" s="1"/>
  <c r="H122" i="178"/>
  <c r="I143" i="180" s="1"/>
  <c r="H123" i="178"/>
  <c r="I120" i="180" s="1"/>
  <c r="H124" i="178"/>
  <c r="I121" i="180" s="1"/>
  <c r="H125" i="178"/>
  <c r="H126"/>
  <c r="I122" i="180" s="1"/>
  <c r="H127" i="178"/>
  <c r="I145" i="180" s="1"/>
  <c r="H128" i="178"/>
  <c r="I202" i="180" s="1"/>
  <c r="H129" i="178"/>
  <c r="I203" i="180" s="1"/>
  <c r="H130" i="178"/>
  <c r="H131"/>
  <c r="H132"/>
  <c r="I206" i="180" s="1"/>
  <c r="H133" i="178"/>
  <c r="I207" i="180" s="1"/>
  <c r="H134" i="178"/>
  <c r="H135"/>
  <c r="I209" i="180" s="1"/>
  <c r="H136" i="178"/>
  <c r="I130" i="180" s="1"/>
  <c r="H137" i="178"/>
  <c r="I123" i="180" s="1"/>
  <c r="H138" i="178"/>
  <c r="I131" i="180" s="1"/>
  <c r="H139" i="178"/>
  <c r="H140"/>
  <c r="I111" i="180" s="1"/>
  <c r="H141" i="178"/>
  <c r="H142"/>
  <c r="H143"/>
  <c r="I112" i="180" s="1"/>
  <c r="H144" i="178"/>
  <c r="I113" i="180" s="1"/>
  <c r="H145" i="178"/>
  <c r="I126" i="180" s="1"/>
  <c r="H146" i="178"/>
  <c r="H147"/>
  <c r="I134" i="180" s="1"/>
  <c r="E148" i="178"/>
  <c r="E26" i="179" s="1"/>
  <c r="L148" i="178"/>
  <c r="M148"/>
  <c r="D9" i="179" s="1"/>
  <c r="H153" i="178"/>
  <c r="H154"/>
  <c r="H155"/>
  <c r="I166" i="180" s="1"/>
  <c r="H156" i="178"/>
  <c r="I198" i="180" s="1"/>
  <c r="H157" i="178"/>
  <c r="I48" i="180" s="1"/>
  <c r="H158" i="178"/>
  <c r="I214" i="180" s="1"/>
  <c r="E159" i="178"/>
  <c r="L159"/>
  <c r="M159"/>
  <c r="D18" i="179" s="1"/>
  <c r="H164" i="178"/>
  <c r="I175" i="180" s="1"/>
  <c r="H165" i="178"/>
  <c r="I127" i="180" s="1"/>
  <c r="H166" i="178"/>
  <c r="I70" i="180" s="1"/>
  <c r="H167" i="178"/>
  <c r="I146" i="180" s="1"/>
  <c r="H168" i="178"/>
  <c r="I147" i="180" s="1"/>
  <c r="H169" i="178"/>
  <c r="H170"/>
  <c r="H171"/>
  <c r="I153" i="180" s="1"/>
  <c r="H172" i="178"/>
  <c r="E173"/>
  <c r="E30" i="179" s="1"/>
  <c r="L173" i="178"/>
  <c r="M173"/>
  <c r="H179"/>
  <c r="I10" i="180" s="1"/>
  <c r="H180" i="178"/>
  <c r="H181"/>
  <c r="I210" i="180" s="1"/>
  <c r="H182" i="178"/>
  <c r="I11" i="180" s="1"/>
  <c r="H183" i="178"/>
  <c r="I12" i="180" s="1"/>
  <c r="H184" i="178"/>
  <c r="H185"/>
  <c r="H186"/>
  <c r="I211" i="180" s="1"/>
  <c r="E187" i="178"/>
  <c r="E31" i="179" s="1"/>
  <c r="L187" i="178"/>
  <c r="C17" i="179" s="1"/>
  <c r="M187" i="178"/>
  <c r="H192"/>
  <c r="I82" i="180" s="1"/>
  <c r="H193" i="178"/>
  <c r="I83" i="180" s="1"/>
  <c r="H194" i="178"/>
  <c r="H195"/>
  <c r="H196"/>
  <c r="I105" i="180" s="1"/>
  <c r="H197" i="178"/>
  <c r="I95" i="180" s="1"/>
  <c r="H198" i="178"/>
  <c r="H199"/>
  <c r="I86" i="180" s="1"/>
  <c r="H200" i="178"/>
  <c r="I96" i="180" s="1"/>
  <c r="H201" i="178"/>
  <c r="I87" i="180" s="1"/>
  <c r="H202" i="178"/>
  <c r="H203"/>
  <c r="H204"/>
  <c r="I98" i="180" s="1"/>
  <c r="H205" i="178"/>
  <c r="I89" i="180" s="1"/>
  <c r="H206" i="178"/>
  <c r="I90" i="180" s="1"/>
  <c r="H207" i="178"/>
  <c r="I91" i="180" s="1"/>
  <c r="H208" i="178"/>
  <c r="H209"/>
  <c r="I154" i="180" s="1"/>
  <c r="H210" i="178"/>
  <c r="I155" i="180" s="1"/>
  <c r="H211" i="178"/>
  <c r="H212"/>
  <c r="H213"/>
  <c r="I158" i="180" s="1"/>
  <c r="H214" i="178"/>
  <c r="I159" i="180" s="1"/>
  <c r="H215" i="178"/>
  <c r="H216"/>
  <c r="I161" i="180" s="1"/>
  <c r="H217" i="178"/>
  <c r="I162" i="180" s="1"/>
  <c r="E218" i="178"/>
  <c r="L218"/>
  <c r="C15" i="179" s="1"/>
  <c r="M218" i="178"/>
  <c r="D15" i="179" s="1"/>
  <c r="H223" i="178"/>
  <c r="I14" i="180" s="1"/>
  <c r="H224" i="178"/>
  <c r="I15" i="180" s="1"/>
  <c r="H225" i="178"/>
  <c r="H226"/>
  <c r="H227"/>
  <c r="H228"/>
  <c r="H229"/>
  <c r="I18" i="180" s="1"/>
  <c r="H230" i="178"/>
  <c r="I19" i="180" s="1"/>
  <c r="H231" i="178"/>
  <c r="I20" i="180" s="1"/>
  <c r="H232" i="178"/>
  <c r="H233"/>
  <c r="I22" i="180" s="1"/>
  <c r="H234" i="178"/>
  <c r="I23" i="180" s="1"/>
  <c r="H235" i="178"/>
  <c r="I24" i="180" s="1"/>
  <c r="H236" i="178"/>
  <c r="H237"/>
  <c r="I26" i="180" s="1"/>
  <c r="H238" i="178"/>
  <c r="I27" i="180" s="1"/>
  <c r="H239" i="178"/>
  <c r="I28" i="180" s="1"/>
  <c r="H240" i="178"/>
  <c r="I103" i="180" s="1"/>
  <c r="H241" i="178"/>
  <c r="H242"/>
  <c r="I71" i="180" s="1"/>
  <c r="H243" i="178"/>
  <c r="I107" i="180" s="1"/>
  <c r="H244" i="178"/>
  <c r="H245"/>
  <c r="I30" i="180" s="1"/>
  <c r="H246" i="178"/>
  <c r="I31" i="180" s="1"/>
  <c r="H247" i="178"/>
  <c r="I32" i="180" s="1"/>
  <c r="H248" i="178"/>
  <c r="H249"/>
  <c r="I34" i="180" s="1"/>
  <c r="H250" i="178"/>
  <c r="I35" i="180" s="1"/>
  <c r="H251" i="178"/>
  <c r="I36" i="180" s="1"/>
  <c r="H252" i="178"/>
  <c r="H253"/>
  <c r="I38" i="180" s="1"/>
  <c r="H254" i="178"/>
  <c r="I39" i="180" s="1"/>
  <c r="H255" i="178"/>
  <c r="I40" i="180" s="1"/>
  <c r="H256" i="178"/>
  <c r="H257"/>
  <c r="I42" i="180" s="1"/>
  <c r="H258" i="178"/>
  <c r="I43" i="180" s="1"/>
  <c r="H259" i="178"/>
  <c r="I44" i="180" s="1"/>
  <c r="H260" i="178"/>
  <c r="E261"/>
  <c r="L261"/>
  <c r="C19" i="179" s="1"/>
  <c r="E742" i="175" l="1"/>
  <c r="B18" i="189"/>
  <c r="E486" i="175"/>
  <c r="B66" i="190"/>
  <c r="D816" i="175"/>
  <c r="A93" i="189" s="1"/>
  <c r="A62"/>
  <c r="D817" i="175"/>
  <c r="A94" i="189" s="1"/>
  <c r="A63"/>
  <c r="C743" i="175"/>
  <c r="D742"/>
  <c r="A19" i="189" s="1"/>
  <c r="D486" i="175"/>
  <c r="A67" i="190" s="1"/>
  <c r="C579" i="175"/>
  <c r="D578"/>
  <c r="C20" i="179"/>
  <c r="D10"/>
  <c r="D11"/>
  <c r="G32" i="182"/>
  <c r="J33"/>
  <c r="E53" i="178"/>
  <c r="E24" i="179" s="1"/>
  <c r="F73" i="180"/>
  <c r="B32" i="182" s="1"/>
  <c r="D34"/>
  <c r="H34"/>
  <c r="F34"/>
  <c r="J34"/>
  <c r="A35"/>
  <c r="C34"/>
  <c r="G34"/>
  <c r="K34"/>
  <c r="I34"/>
  <c r="F33"/>
  <c r="D20" i="179"/>
  <c r="K32" i="182"/>
  <c r="P13" i="186"/>
  <c r="L53" i="178"/>
  <c r="C7" i="179" s="1"/>
  <c r="D33" i="182"/>
  <c r="F32"/>
  <c r="J32"/>
  <c r="E33"/>
  <c r="I33"/>
  <c r="D32"/>
  <c r="C33"/>
  <c r="E32"/>
  <c r="I32"/>
  <c r="H32"/>
  <c r="G33"/>
  <c r="K33"/>
  <c r="H10" i="186"/>
  <c r="F2" i="179"/>
  <c r="E34" i="182"/>
  <c r="C32"/>
  <c r="O13" i="186"/>
  <c r="H33" i="182"/>
  <c r="CJ20" i="165"/>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19"/>
  <c r="DY18"/>
  <c r="DY58" s="1"/>
  <c r="DX18"/>
  <c r="DX59" s="1"/>
  <c r="DW18"/>
  <c r="DW51" s="1"/>
  <c r="DV18"/>
  <c r="DU18"/>
  <c r="DT18"/>
  <c r="DT55" s="1"/>
  <c r="DS18"/>
  <c r="DS55" s="1"/>
  <c r="DR18"/>
  <c r="DR57" s="1"/>
  <c r="DQ18"/>
  <c r="DP18"/>
  <c r="DP59" s="1"/>
  <c r="DO18"/>
  <c r="DO35" s="1"/>
  <c r="DN18"/>
  <c r="DM18"/>
  <c r="DM54" s="1"/>
  <c r="DL18"/>
  <c r="DL55" s="1"/>
  <c r="DK18"/>
  <c r="DK52" s="1"/>
  <c r="DJ18"/>
  <c r="DJ57" s="1"/>
  <c r="DI18"/>
  <c r="DH18"/>
  <c r="DH59" s="1"/>
  <c r="DG18"/>
  <c r="DG56" s="1"/>
  <c r="DF18"/>
  <c r="DE18"/>
  <c r="DE54" s="1"/>
  <c r="DD18"/>
  <c r="DD55" s="1"/>
  <c r="DC18"/>
  <c r="DC55" s="1"/>
  <c r="DB18"/>
  <c r="DB57" s="1"/>
  <c r="DA18"/>
  <c r="DA34" s="1"/>
  <c r="CZ18"/>
  <c r="CZ59" s="1"/>
  <c r="CY18"/>
  <c r="CY48" s="1"/>
  <c r="CX18"/>
  <c r="CW18"/>
  <c r="CW54" s="1"/>
  <c r="CV18"/>
  <c r="CV55" s="1"/>
  <c r="CU18"/>
  <c r="CU39" s="1"/>
  <c r="CT18"/>
  <c r="CT57" s="1"/>
  <c r="CS18"/>
  <c r="CS57" s="1"/>
  <c r="CR18"/>
  <c r="CR59" s="1"/>
  <c r="CQ18"/>
  <c r="CQ51" s="1"/>
  <c r="CP18"/>
  <c r="CO18"/>
  <c r="CO54" s="1"/>
  <c r="CN18"/>
  <c r="CN55" s="1"/>
  <c r="CM18"/>
  <c r="CM55" s="1"/>
  <c r="CL18"/>
  <c r="CL57" s="1"/>
  <c r="CK18"/>
  <c r="CK49" s="1"/>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B42" i="44"/>
  <c r="F717" i="175" s="1"/>
  <c r="AV60" i="165"/>
  <c r="AV59"/>
  <c r="AV58"/>
  <c r="AU60"/>
  <c r="AU59"/>
  <c r="AU58"/>
  <c r="F9" i="13"/>
  <c r="G9" s="1"/>
  <c r="F8"/>
  <c r="G8" s="1"/>
  <c r="F7"/>
  <c r="G7" s="1"/>
  <c r="F6"/>
  <c r="F5"/>
  <c r="G5" s="1"/>
  <c r="G6"/>
  <c r="E487" i="175" l="1"/>
  <c r="B67" i="190"/>
  <c r="E743" i="175"/>
  <c r="B19" i="189"/>
  <c r="C744" i="175"/>
  <c r="D743"/>
  <c r="A20" i="189" s="1"/>
  <c r="D487" i="175"/>
  <c r="A68" i="190" s="1"/>
  <c r="C580" i="175"/>
  <c r="D579"/>
  <c r="F716"/>
  <c r="F654"/>
  <c r="F561"/>
  <c r="F655"/>
  <c r="F562"/>
  <c r="B34" i="182"/>
  <c r="L34" s="1"/>
  <c r="M34" s="1"/>
  <c r="L32"/>
  <c r="M32" s="1"/>
  <c r="O18" i="186"/>
  <c r="H22" i="179"/>
  <c r="Q13" i="186"/>
  <c r="C11" i="179"/>
  <c r="C10"/>
  <c r="E7" s="1"/>
  <c r="B33" i="182"/>
  <c r="L33" s="1"/>
  <c r="M33" s="1"/>
  <c r="E33" i="179"/>
  <c r="P18" i="186"/>
  <c r="O9"/>
  <c r="Q9" s="1"/>
  <c r="Q8" s="1"/>
  <c r="C35" i="182"/>
  <c r="G35"/>
  <c r="K35"/>
  <c r="E35"/>
  <c r="I35"/>
  <c r="B35"/>
  <c r="F35"/>
  <c r="J35"/>
  <c r="A36"/>
  <c r="H35"/>
  <c r="D35"/>
  <c r="H51" i="179"/>
  <c r="H53" s="1"/>
  <c r="DI41" i="165"/>
  <c r="DQ49"/>
  <c r="DU37"/>
  <c r="DE34"/>
  <c r="DI57"/>
  <c r="DY49"/>
  <c r="DQ26"/>
  <c r="DW20"/>
  <c r="DO23"/>
  <c r="DO28"/>
  <c r="DC31"/>
  <c r="CQ35"/>
  <c r="DG40"/>
  <c r="DG23"/>
  <c r="DK55"/>
  <c r="CO22"/>
  <c r="DK24"/>
  <c r="CK30"/>
  <c r="CM32"/>
  <c r="DG35"/>
  <c r="DY41"/>
  <c r="CO53"/>
  <c r="CU52"/>
  <c r="CU31"/>
  <c r="DS39"/>
  <c r="DU22"/>
  <c r="CK26"/>
  <c r="DQ30"/>
  <c r="DC32"/>
  <c r="DE37"/>
  <c r="DM45"/>
  <c r="CU55"/>
  <c r="DI30"/>
  <c r="CW34"/>
  <c r="DQ41"/>
  <c r="DE45"/>
  <c r="DA49"/>
  <c r="DA57"/>
  <c r="DG20"/>
  <c r="DE22"/>
  <c r="CY23"/>
  <c r="CU24"/>
  <c r="DA26"/>
  <c r="CY28"/>
  <c r="DA30"/>
  <c r="CM31"/>
  <c r="DS31"/>
  <c r="CO34"/>
  <c r="DU34"/>
  <c r="DK36"/>
  <c r="DC39"/>
  <c r="CS41"/>
  <c r="DS44"/>
  <c r="CS49"/>
  <c r="DO51"/>
  <c r="DU53"/>
  <c r="DW56"/>
  <c r="DM22"/>
  <c r="DI26"/>
  <c r="CW37"/>
  <c r="CQ20"/>
  <c r="CW22"/>
  <c r="CQ23"/>
  <c r="DW23"/>
  <c r="CS26"/>
  <c r="DY26"/>
  <c r="CS30"/>
  <c r="DY30"/>
  <c r="DK31"/>
  <c r="DS32"/>
  <c r="DM34"/>
  <c r="DW35"/>
  <c r="CM39"/>
  <c r="CK41"/>
  <c r="CM44"/>
  <c r="DO48"/>
  <c r="CY51"/>
  <c r="DM53"/>
  <c r="CQ56"/>
  <c r="CN19"/>
  <c r="CV19"/>
  <c r="DD19"/>
  <c r="DL19"/>
  <c r="DT19"/>
  <c r="CZ27"/>
  <c r="DP27"/>
  <c r="CN30"/>
  <c r="CV30"/>
  <c r="DD30"/>
  <c r="DL30"/>
  <c r="DT30"/>
  <c r="CV38"/>
  <c r="DP42"/>
  <c r="CV43"/>
  <c r="DL43"/>
  <c r="DD46"/>
  <c r="DH47"/>
  <c r="DX47"/>
  <c r="DL54"/>
  <c r="CZ58"/>
  <c r="CN59"/>
  <c r="DT59"/>
  <c r="CM19"/>
  <c r="DC19"/>
  <c r="DK19"/>
  <c r="DS19"/>
  <c r="CM20"/>
  <c r="DC20"/>
  <c r="DS20"/>
  <c r="CN23"/>
  <c r="CV23"/>
  <c r="DL23"/>
  <c r="CQ24"/>
  <c r="DW24"/>
  <c r="CZ26"/>
  <c r="DP26"/>
  <c r="CQ27"/>
  <c r="CY27"/>
  <c r="DO27"/>
  <c r="CU28"/>
  <c r="DK28"/>
  <c r="CR31"/>
  <c r="DH31"/>
  <c r="DX31"/>
  <c r="DO32"/>
  <c r="CV34"/>
  <c r="DT38"/>
  <c r="DP39"/>
  <c r="CY40"/>
  <c r="CV46"/>
  <c r="CM47"/>
  <c r="DC47"/>
  <c r="DS47"/>
  <c r="DG48"/>
  <c r="CR58"/>
  <c r="DX58"/>
  <c r="CY59"/>
  <c r="CQ19"/>
  <c r="CY19"/>
  <c r="DG19"/>
  <c r="DO19"/>
  <c r="DW19"/>
  <c r="CU20"/>
  <c r="DK20"/>
  <c r="CK22"/>
  <c r="CS22"/>
  <c r="DA22"/>
  <c r="DI22"/>
  <c r="DQ22"/>
  <c r="DY22"/>
  <c r="CR23"/>
  <c r="CZ23"/>
  <c r="DH23"/>
  <c r="DP23"/>
  <c r="DX23"/>
  <c r="CY24"/>
  <c r="DO24"/>
  <c r="CN26"/>
  <c r="CV26"/>
  <c r="DD26"/>
  <c r="DL26"/>
  <c r="DT26"/>
  <c r="CM27"/>
  <c r="CU27"/>
  <c r="DC27"/>
  <c r="DK27"/>
  <c r="DS27"/>
  <c r="CM28"/>
  <c r="DC28"/>
  <c r="DS28"/>
  <c r="CO30"/>
  <c r="CW30"/>
  <c r="DE30"/>
  <c r="DM30"/>
  <c r="DU30"/>
  <c r="CN31"/>
  <c r="CV31"/>
  <c r="DD31"/>
  <c r="DL31"/>
  <c r="DT31"/>
  <c r="CQ32"/>
  <c r="DG32"/>
  <c r="DW32"/>
  <c r="CR34"/>
  <c r="CZ34"/>
  <c r="DH34"/>
  <c r="DP34"/>
  <c r="DX34"/>
  <c r="CV35"/>
  <c r="DL35"/>
  <c r="CM36"/>
  <c r="DS36"/>
  <c r="DM37"/>
  <c r="DD38"/>
  <c r="CR39"/>
  <c r="DH39"/>
  <c r="DX39"/>
  <c r="DO40"/>
  <c r="DA41"/>
  <c r="CR42"/>
  <c r="DX42"/>
  <c r="CY43"/>
  <c r="DO43"/>
  <c r="CU44"/>
  <c r="CO45"/>
  <c r="DU45"/>
  <c r="DL46"/>
  <c r="CU47"/>
  <c r="DK47"/>
  <c r="CQ48"/>
  <c r="DW48"/>
  <c r="DI49"/>
  <c r="CZ50"/>
  <c r="CN51"/>
  <c r="DD51"/>
  <c r="DT51"/>
  <c r="DC52"/>
  <c r="CW53"/>
  <c r="CN54"/>
  <c r="DT54"/>
  <c r="CZ55"/>
  <c r="DP55"/>
  <c r="CY56"/>
  <c r="CK57"/>
  <c r="DQ57"/>
  <c r="DH58"/>
  <c r="CQ59"/>
  <c r="DG59"/>
  <c r="DW59"/>
  <c r="CR22"/>
  <c r="CZ22"/>
  <c r="DH22"/>
  <c r="DP22"/>
  <c r="DX22"/>
  <c r="CR27"/>
  <c r="DH27"/>
  <c r="DX27"/>
  <c r="CR47"/>
  <c r="CR50"/>
  <c r="DX50"/>
  <c r="DD59"/>
  <c r="CU19"/>
  <c r="DD23"/>
  <c r="DT23"/>
  <c r="DG24"/>
  <c r="CR26"/>
  <c r="DH26"/>
  <c r="DX26"/>
  <c r="DG27"/>
  <c r="DW27"/>
  <c r="CZ31"/>
  <c r="DP31"/>
  <c r="CY32"/>
  <c r="CN34"/>
  <c r="DD34"/>
  <c r="DL34"/>
  <c r="DT34"/>
  <c r="CN35"/>
  <c r="DD35"/>
  <c r="DT35"/>
  <c r="DC36"/>
  <c r="CN38"/>
  <c r="CZ39"/>
  <c r="DH42"/>
  <c r="CQ43"/>
  <c r="DG43"/>
  <c r="DW43"/>
  <c r="DK44"/>
  <c r="DP50"/>
  <c r="CV51"/>
  <c r="DL51"/>
  <c r="CM52"/>
  <c r="DS52"/>
  <c r="DD54"/>
  <c r="CR55"/>
  <c r="DH55"/>
  <c r="DX55"/>
  <c r="DO56"/>
  <c r="DO59"/>
  <c r="CR19"/>
  <c r="CZ19"/>
  <c r="DH19"/>
  <c r="DP19"/>
  <c r="DX19"/>
  <c r="CY20"/>
  <c r="DO20"/>
  <c r="CN22"/>
  <c r="CV22"/>
  <c r="DD22"/>
  <c r="DL22"/>
  <c r="DT22"/>
  <c r="CM23"/>
  <c r="CU23"/>
  <c r="DC23"/>
  <c r="DK23"/>
  <c r="DS23"/>
  <c r="CM24"/>
  <c r="DC24"/>
  <c r="DS24"/>
  <c r="CO26"/>
  <c r="CW26"/>
  <c r="DE26"/>
  <c r="DM26"/>
  <c r="DU26"/>
  <c r="CN27"/>
  <c r="CV27"/>
  <c r="DD27"/>
  <c r="DL27"/>
  <c r="DT27"/>
  <c r="CQ28"/>
  <c r="DG28"/>
  <c r="DW28"/>
  <c r="CR30"/>
  <c r="CZ30"/>
  <c r="DH30"/>
  <c r="DP30"/>
  <c r="DX30"/>
  <c r="CQ31"/>
  <c r="CY31"/>
  <c r="DG31"/>
  <c r="DO31"/>
  <c r="DW31"/>
  <c r="CU32"/>
  <c r="DK32"/>
  <c r="CK34"/>
  <c r="CS34"/>
  <c r="DI34"/>
  <c r="DQ34"/>
  <c r="DY34"/>
  <c r="CY35"/>
  <c r="CU36"/>
  <c r="CO37"/>
  <c r="DL38"/>
  <c r="DK39"/>
  <c r="CQ40"/>
  <c r="DW40"/>
  <c r="CZ42"/>
  <c r="CN43"/>
  <c r="DD43"/>
  <c r="DT43"/>
  <c r="DC44"/>
  <c r="CW45"/>
  <c r="CN46"/>
  <c r="DT46"/>
  <c r="CZ47"/>
  <c r="DP47"/>
  <c r="DH50"/>
  <c r="DG51"/>
  <c r="DE53"/>
  <c r="CV54"/>
  <c r="DY57"/>
  <c r="DP58"/>
  <c r="CV59"/>
  <c r="DL59"/>
  <c r="CP59"/>
  <c r="CP55"/>
  <c r="CP51"/>
  <c r="CP47"/>
  <c r="CP43"/>
  <c r="CP39"/>
  <c r="CP35"/>
  <c r="CP58"/>
  <c r="CP54"/>
  <c r="CP50"/>
  <c r="CP46"/>
  <c r="CP42"/>
  <c r="CP38"/>
  <c r="CX59"/>
  <c r="CX55"/>
  <c r="CX51"/>
  <c r="CX47"/>
  <c r="CX43"/>
  <c r="CX39"/>
  <c r="CX35"/>
  <c r="CX58"/>
  <c r="CX54"/>
  <c r="CX50"/>
  <c r="CX46"/>
  <c r="CX42"/>
  <c r="CX38"/>
  <c r="DF59"/>
  <c r="DF55"/>
  <c r="DF51"/>
  <c r="DF47"/>
  <c r="DF43"/>
  <c r="DF39"/>
  <c r="DF35"/>
  <c r="DF58"/>
  <c r="DF54"/>
  <c r="DF50"/>
  <c r="DF46"/>
  <c r="DF42"/>
  <c r="DF38"/>
  <c r="DN59"/>
  <c r="DN55"/>
  <c r="DN51"/>
  <c r="DN47"/>
  <c r="DN43"/>
  <c r="DN39"/>
  <c r="DN35"/>
  <c r="DN58"/>
  <c r="DN54"/>
  <c r="DN50"/>
  <c r="DN46"/>
  <c r="DN42"/>
  <c r="DN38"/>
  <c r="DV59"/>
  <c r="DV55"/>
  <c r="DV51"/>
  <c r="DV47"/>
  <c r="DV43"/>
  <c r="DV39"/>
  <c r="DV35"/>
  <c r="DV58"/>
  <c r="DV54"/>
  <c r="DV50"/>
  <c r="DV46"/>
  <c r="DV42"/>
  <c r="DV38"/>
  <c r="CK56"/>
  <c r="CK52"/>
  <c r="CK48"/>
  <c r="CK44"/>
  <c r="CK40"/>
  <c r="CK36"/>
  <c r="CK59"/>
  <c r="CK55"/>
  <c r="CK51"/>
  <c r="CK47"/>
  <c r="CK43"/>
  <c r="CK39"/>
  <c r="CS56"/>
  <c r="CS52"/>
  <c r="CS48"/>
  <c r="CS44"/>
  <c r="CS40"/>
  <c r="CS36"/>
  <c r="CS59"/>
  <c r="CS55"/>
  <c r="CS51"/>
  <c r="CS47"/>
  <c r="CS43"/>
  <c r="CS39"/>
  <c r="CS35"/>
  <c r="DA56"/>
  <c r="DA52"/>
  <c r="DA48"/>
  <c r="DA44"/>
  <c r="DA40"/>
  <c r="DA36"/>
  <c r="DA59"/>
  <c r="DA55"/>
  <c r="DA51"/>
  <c r="DA47"/>
  <c r="DA43"/>
  <c r="DA39"/>
  <c r="DA35"/>
  <c r="DI56"/>
  <c r="DI52"/>
  <c r="DI48"/>
  <c r="DI44"/>
  <c r="DI40"/>
  <c r="DI36"/>
  <c r="DI59"/>
  <c r="DI55"/>
  <c r="DI51"/>
  <c r="DI47"/>
  <c r="DI43"/>
  <c r="DI39"/>
  <c r="DI35"/>
  <c r="DQ56"/>
  <c r="DQ52"/>
  <c r="DQ48"/>
  <c r="DQ44"/>
  <c r="DQ40"/>
  <c r="DQ36"/>
  <c r="DQ59"/>
  <c r="DQ55"/>
  <c r="DQ51"/>
  <c r="DQ47"/>
  <c r="DQ43"/>
  <c r="DQ39"/>
  <c r="DQ35"/>
  <c r="DU56"/>
  <c r="DU52"/>
  <c r="DU48"/>
  <c r="DU44"/>
  <c r="DU40"/>
  <c r="DU36"/>
  <c r="DU59"/>
  <c r="DU55"/>
  <c r="DU51"/>
  <c r="DU47"/>
  <c r="DU43"/>
  <c r="DU39"/>
  <c r="DU35"/>
  <c r="CM58"/>
  <c r="CM54"/>
  <c r="CM50"/>
  <c r="CM46"/>
  <c r="CM42"/>
  <c r="CM38"/>
  <c r="CM57"/>
  <c r="CM53"/>
  <c r="CM49"/>
  <c r="CM45"/>
  <c r="CM41"/>
  <c r="CM37"/>
  <c r="CQ58"/>
  <c r="CQ54"/>
  <c r="CQ50"/>
  <c r="CQ46"/>
  <c r="CQ42"/>
  <c r="CQ38"/>
  <c r="CQ57"/>
  <c r="CQ53"/>
  <c r="CQ49"/>
  <c r="CQ45"/>
  <c r="CQ41"/>
  <c r="CQ37"/>
  <c r="CU58"/>
  <c r="CU54"/>
  <c r="CU50"/>
  <c r="CU46"/>
  <c r="CU42"/>
  <c r="CU38"/>
  <c r="CU57"/>
  <c r="CU53"/>
  <c r="CU49"/>
  <c r="CU45"/>
  <c r="CU41"/>
  <c r="CU37"/>
  <c r="CY58"/>
  <c r="CY54"/>
  <c r="CY50"/>
  <c r="CY46"/>
  <c r="CY42"/>
  <c r="CY38"/>
  <c r="CY57"/>
  <c r="CY53"/>
  <c r="CY49"/>
  <c r="CY45"/>
  <c r="CY41"/>
  <c r="CY37"/>
  <c r="DC58"/>
  <c r="DC54"/>
  <c r="DC50"/>
  <c r="DC46"/>
  <c r="DC42"/>
  <c r="DC38"/>
  <c r="DC57"/>
  <c r="DC53"/>
  <c r="DC49"/>
  <c r="DC45"/>
  <c r="DC41"/>
  <c r="DC37"/>
  <c r="DG58"/>
  <c r="DG54"/>
  <c r="DG50"/>
  <c r="DG46"/>
  <c r="DG42"/>
  <c r="DG38"/>
  <c r="DG57"/>
  <c r="DG53"/>
  <c r="DG49"/>
  <c r="DG45"/>
  <c r="DG41"/>
  <c r="DG37"/>
  <c r="DK58"/>
  <c r="DK54"/>
  <c r="DK50"/>
  <c r="DK46"/>
  <c r="DK42"/>
  <c r="DK38"/>
  <c r="DK57"/>
  <c r="DK53"/>
  <c r="DK49"/>
  <c r="DK45"/>
  <c r="DK41"/>
  <c r="DK37"/>
  <c r="DO58"/>
  <c r="DO54"/>
  <c r="DO50"/>
  <c r="DO46"/>
  <c r="DO42"/>
  <c r="DO38"/>
  <c r="DO57"/>
  <c r="DO53"/>
  <c r="DO49"/>
  <c r="DO45"/>
  <c r="DO41"/>
  <c r="DO37"/>
  <c r="DS58"/>
  <c r="DS54"/>
  <c r="DS50"/>
  <c r="DS46"/>
  <c r="DS42"/>
  <c r="DS38"/>
  <c r="DS57"/>
  <c r="DS53"/>
  <c r="DS49"/>
  <c r="DS45"/>
  <c r="DS41"/>
  <c r="DS37"/>
  <c r="DW58"/>
  <c r="DW54"/>
  <c r="DW50"/>
  <c r="DW46"/>
  <c r="DW42"/>
  <c r="DW38"/>
  <c r="DW57"/>
  <c r="DW53"/>
  <c r="DW49"/>
  <c r="DW45"/>
  <c r="DW41"/>
  <c r="DW37"/>
  <c r="CP21"/>
  <c r="DB21"/>
  <c r="CP25"/>
  <c r="CX25"/>
  <c r="DB25"/>
  <c r="DJ25"/>
  <c r="DN25"/>
  <c r="DR25"/>
  <c r="DV25"/>
  <c r="CL29"/>
  <c r="CT29"/>
  <c r="CX29"/>
  <c r="DF29"/>
  <c r="DJ29"/>
  <c r="DN29"/>
  <c r="DR29"/>
  <c r="DV29"/>
  <c r="CL33"/>
  <c r="CT33"/>
  <c r="DF33"/>
  <c r="CL40"/>
  <c r="DB40"/>
  <c r="DJ40"/>
  <c r="DR40"/>
  <c r="CP44"/>
  <c r="CX44"/>
  <c r="DF44"/>
  <c r="DN44"/>
  <c r="DV44"/>
  <c r="CT48"/>
  <c r="DB48"/>
  <c r="DJ48"/>
  <c r="DR48"/>
  <c r="CP52"/>
  <c r="CX52"/>
  <c r="DF52"/>
  <c r="DN52"/>
  <c r="DV52"/>
  <c r="CL56"/>
  <c r="DB56"/>
  <c r="DR56"/>
  <c r="CL20"/>
  <c r="CT20"/>
  <c r="DB20"/>
  <c r="DJ20"/>
  <c r="DN20"/>
  <c r="DV20"/>
  <c r="CO21"/>
  <c r="CW21"/>
  <c r="DE21"/>
  <c r="DM21"/>
  <c r="DQ21"/>
  <c r="DY21"/>
  <c r="CL24"/>
  <c r="CT24"/>
  <c r="DB24"/>
  <c r="DF24"/>
  <c r="DN24"/>
  <c r="DV24"/>
  <c r="CO25"/>
  <c r="CW25"/>
  <c r="DA25"/>
  <c r="DI25"/>
  <c r="DM25"/>
  <c r="DQ25"/>
  <c r="DU25"/>
  <c r="DY25"/>
  <c r="CP28"/>
  <c r="CX28"/>
  <c r="DF28"/>
  <c r="DN28"/>
  <c r="DV28"/>
  <c r="CO29"/>
  <c r="CS29"/>
  <c r="DA29"/>
  <c r="DI29"/>
  <c r="DQ29"/>
  <c r="DU29"/>
  <c r="DY29"/>
  <c r="CP32"/>
  <c r="CX32"/>
  <c r="DF32"/>
  <c r="DN32"/>
  <c r="DV32"/>
  <c r="CO33"/>
  <c r="CW33"/>
  <c r="DE33"/>
  <c r="DM33"/>
  <c r="CL37"/>
  <c r="DB37"/>
  <c r="CK38"/>
  <c r="CP41"/>
  <c r="DF41"/>
  <c r="DV41"/>
  <c r="CW42"/>
  <c r="DM42"/>
  <c r="DU42"/>
  <c r="CL45"/>
  <c r="CT45"/>
  <c r="DJ45"/>
  <c r="CK46"/>
  <c r="DA46"/>
  <c r="DI46"/>
  <c r="DY46"/>
  <c r="CP49"/>
  <c r="DF49"/>
  <c r="CO50"/>
  <c r="CL53"/>
  <c r="DB53"/>
  <c r="DR53"/>
  <c r="CK54"/>
  <c r="DA54"/>
  <c r="DI54"/>
  <c r="DY54"/>
  <c r="CP57"/>
  <c r="DF57"/>
  <c r="DV57"/>
  <c r="CW58"/>
  <c r="CK19"/>
  <c r="CO19"/>
  <c r="CS19"/>
  <c r="CW19"/>
  <c r="DA19"/>
  <c r="DE19"/>
  <c r="DI19"/>
  <c r="DM19"/>
  <c r="DQ19"/>
  <c r="DU19"/>
  <c r="DY19"/>
  <c r="CN20"/>
  <c r="CR20"/>
  <c r="CV20"/>
  <c r="CZ20"/>
  <c r="DD20"/>
  <c r="DH20"/>
  <c r="DL20"/>
  <c r="DP20"/>
  <c r="DT20"/>
  <c r="DX20"/>
  <c r="CM21"/>
  <c r="CQ21"/>
  <c r="CU21"/>
  <c r="CY21"/>
  <c r="DC21"/>
  <c r="DG21"/>
  <c r="DK21"/>
  <c r="DO21"/>
  <c r="DS21"/>
  <c r="DW21"/>
  <c r="CL22"/>
  <c r="CP22"/>
  <c r="CT22"/>
  <c r="CX22"/>
  <c r="DB22"/>
  <c r="DF22"/>
  <c r="DJ22"/>
  <c r="DN22"/>
  <c r="DR22"/>
  <c r="DV22"/>
  <c r="CK23"/>
  <c r="CO23"/>
  <c r="CS23"/>
  <c r="CW23"/>
  <c r="DA23"/>
  <c r="DE23"/>
  <c r="DI23"/>
  <c r="DM23"/>
  <c r="DQ23"/>
  <c r="DU23"/>
  <c r="DY23"/>
  <c r="CN24"/>
  <c r="CR24"/>
  <c r="CV24"/>
  <c r="CZ24"/>
  <c r="DD24"/>
  <c r="DH24"/>
  <c r="DL24"/>
  <c r="DP24"/>
  <c r="DT24"/>
  <c r="DX24"/>
  <c r="CM25"/>
  <c r="CQ25"/>
  <c r="CU25"/>
  <c r="CY25"/>
  <c r="DC25"/>
  <c r="DG25"/>
  <c r="DK25"/>
  <c r="DO25"/>
  <c r="DS25"/>
  <c r="DW25"/>
  <c r="CL26"/>
  <c r="CP26"/>
  <c r="CT26"/>
  <c r="CX26"/>
  <c r="DB26"/>
  <c r="DF26"/>
  <c r="DJ26"/>
  <c r="DN26"/>
  <c r="DR26"/>
  <c r="DV26"/>
  <c r="CK27"/>
  <c r="CO27"/>
  <c r="CS27"/>
  <c r="CW27"/>
  <c r="DA27"/>
  <c r="DE27"/>
  <c r="DI27"/>
  <c r="DM27"/>
  <c r="DQ27"/>
  <c r="DU27"/>
  <c r="DY27"/>
  <c r="CN28"/>
  <c r="CR28"/>
  <c r="CV28"/>
  <c r="CZ28"/>
  <c r="DD28"/>
  <c r="DH28"/>
  <c r="DL28"/>
  <c r="DP28"/>
  <c r="DT28"/>
  <c r="DX28"/>
  <c r="CM29"/>
  <c r="CQ29"/>
  <c r="CU29"/>
  <c r="CY29"/>
  <c r="DC29"/>
  <c r="DG29"/>
  <c r="DK29"/>
  <c r="DO29"/>
  <c r="DS29"/>
  <c r="DW29"/>
  <c r="CL30"/>
  <c r="CP30"/>
  <c r="CT30"/>
  <c r="CX30"/>
  <c r="DB30"/>
  <c r="DF30"/>
  <c r="DJ30"/>
  <c r="DN30"/>
  <c r="DR30"/>
  <c r="DV30"/>
  <c r="CK31"/>
  <c r="CO31"/>
  <c r="CS31"/>
  <c r="CW31"/>
  <c r="DA31"/>
  <c r="DE31"/>
  <c r="DI31"/>
  <c r="DM31"/>
  <c r="DQ31"/>
  <c r="DU31"/>
  <c r="DY31"/>
  <c r="CN32"/>
  <c r="CR32"/>
  <c r="CV32"/>
  <c r="CZ32"/>
  <c r="DD32"/>
  <c r="DH32"/>
  <c r="DL32"/>
  <c r="DP32"/>
  <c r="DT32"/>
  <c r="DX32"/>
  <c r="CM33"/>
  <c r="CQ33"/>
  <c r="CU33"/>
  <c r="CY33"/>
  <c r="DC33"/>
  <c r="DG33"/>
  <c r="DK33"/>
  <c r="DO33"/>
  <c r="DS33"/>
  <c r="DW33"/>
  <c r="CL34"/>
  <c r="CP34"/>
  <c r="CT34"/>
  <c r="CX34"/>
  <c r="DB34"/>
  <c r="DF34"/>
  <c r="DJ34"/>
  <c r="DN34"/>
  <c r="DR34"/>
  <c r="DV34"/>
  <c r="CK35"/>
  <c r="CR35"/>
  <c r="CZ35"/>
  <c r="DH35"/>
  <c r="DP35"/>
  <c r="DX35"/>
  <c r="CQ36"/>
  <c r="CY36"/>
  <c r="DG36"/>
  <c r="DO36"/>
  <c r="DW36"/>
  <c r="CP37"/>
  <c r="CX37"/>
  <c r="DF37"/>
  <c r="DN37"/>
  <c r="DV37"/>
  <c r="CO38"/>
  <c r="CW38"/>
  <c r="DE38"/>
  <c r="DM38"/>
  <c r="DU38"/>
  <c r="CN39"/>
  <c r="CV39"/>
  <c r="DD39"/>
  <c r="DL39"/>
  <c r="DT39"/>
  <c r="CM40"/>
  <c r="CU40"/>
  <c r="DC40"/>
  <c r="DK40"/>
  <c r="DS40"/>
  <c r="CL41"/>
  <c r="CT41"/>
  <c r="DB41"/>
  <c r="DJ41"/>
  <c r="DR41"/>
  <c r="CK42"/>
  <c r="CS42"/>
  <c r="DA42"/>
  <c r="DI42"/>
  <c r="DQ42"/>
  <c r="DY42"/>
  <c r="CR43"/>
  <c r="CZ43"/>
  <c r="DH43"/>
  <c r="DP43"/>
  <c r="DX43"/>
  <c r="CQ44"/>
  <c r="CY44"/>
  <c r="DG44"/>
  <c r="DO44"/>
  <c r="DW44"/>
  <c r="CP45"/>
  <c r="CX45"/>
  <c r="DF45"/>
  <c r="DN45"/>
  <c r="DV45"/>
  <c r="CO46"/>
  <c r="CW46"/>
  <c r="DE46"/>
  <c r="DM46"/>
  <c r="DU46"/>
  <c r="CN47"/>
  <c r="CV47"/>
  <c r="DD47"/>
  <c r="DL47"/>
  <c r="DT47"/>
  <c r="CM48"/>
  <c r="CU48"/>
  <c r="DC48"/>
  <c r="DK48"/>
  <c r="DS48"/>
  <c r="CL49"/>
  <c r="CT49"/>
  <c r="DB49"/>
  <c r="DJ49"/>
  <c r="DR49"/>
  <c r="CK50"/>
  <c r="CS50"/>
  <c r="DA50"/>
  <c r="DI50"/>
  <c r="DQ50"/>
  <c r="DY50"/>
  <c r="CR51"/>
  <c r="CZ51"/>
  <c r="DH51"/>
  <c r="DP51"/>
  <c r="DX51"/>
  <c r="CQ52"/>
  <c r="CY52"/>
  <c r="DG52"/>
  <c r="DO52"/>
  <c r="DW52"/>
  <c r="CP53"/>
  <c r="CX53"/>
  <c r="DF53"/>
  <c r="DN53"/>
  <c r="DV53"/>
  <c r="DU54"/>
  <c r="CM56"/>
  <c r="CU56"/>
  <c r="DC56"/>
  <c r="DK56"/>
  <c r="DS56"/>
  <c r="CK58"/>
  <c r="CS58"/>
  <c r="DA58"/>
  <c r="DI58"/>
  <c r="DQ58"/>
  <c r="CL59"/>
  <c r="CL55"/>
  <c r="CL51"/>
  <c r="CL47"/>
  <c r="CL43"/>
  <c r="CL39"/>
  <c r="CL35"/>
  <c r="CL58"/>
  <c r="CL54"/>
  <c r="CL50"/>
  <c r="CL46"/>
  <c r="CL42"/>
  <c r="CL38"/>
  <c r="CT59"/>
  <c r="CT55"/>
  <c r="CT51"/>
  <c r="CT47"/>
  <c r="CT43"/>
  <c r="CT39"/>
  <c r="CT35"/>
  <c r="CT58"/>
  <c r="CT54"/>
  <c r="CT50"/>
  <c r="CT46"/>
  <c r="CT42"/>
  <c r="CT38"/>
  <c r="DB59"/>
  <c r="DB55"/>
  <c r="DB51"/>
  <c r="DB47"/>
  <c r="DB43"/>
  <c r="DB39"/>
  <c r="DB35"/>
  <c r="DB58"/>
  <c r="DB54"/>
  <c r="DB50"/>
  <c r="DB46"/>
  <c r="DB42"/>
  <c r="DB38"/>
  <c r="DJ59"/>
  <c r="DJ55"/>
  <c r="DJ51"/>
  <c r="DJ47"/>
  <c r="DJ43"/>
  <c r="DJ39"/>
  <c r="DJ35"/>
  <c r="DJ58"/>
  <c r="DJ54"/>
  <c r="DJ50"/>
  <c r="DJ46"/>
  <c r="DJ42"/>
  <c r="DJ38"/>
  <c r="DR59"/>
  <c r="DR55"/>
  <c r="DR51"/>
  <c r="DR47"/>
  <c r="DR43"/>
  <c r="DR39"/>
  <c r="DR35"/>
  <c r="DR58"/>
  <c r="DR54"/>
  <c r="DR50"/>
  <c r="DR46"/>
  <c r="DR42"/>
  <c r="DR38"/>
  <c r="CO56"/>
  <c r="CO52"/>
  <c r="CO48"/>
  <c r="CO44"/>
  <c r="CO40"/>
  <c r="CO36"/>
  <c r="CO59"/>
  <c r="CO55"/>
  <c r="CO51"/>
  <c r="CO47"/>
  <c r="CO43"/>
  <c r="CO39"/>
  <c r="CO35"/>
  <c r="CW56"/>
  <c r="CW52"/>
  <c r="CW48"/>
  <c r="CW44"/>
  <c r="CW40"/>
  <c r="CW36"/>
  <c r="CW59"/>
  <c r="CW55"/>
  <c r="CW51"/>
  <c r="CW47"/>
  <c r="CW43"/>
  <c r="CW39"/>
  <c r="CW35"/>
  <c r="DE56"/>
  <c r="DE52"/>
  <c r="DE48"/>
  <c r="DE44"/>
  <c r="DE40"/>
  <c r="DE36"/>
  <c r="DE59"/>
  <c r="DE55"/>
  <c r="DE51"/>
  <c r="DE47"/>
  <c r="DE43"/>
  <c r="DE39"/>
  <c r="DE35"/>
  <c r="DM56"/>
  <c r="DM52"/>
  <c r="DM48"/>
  <c r="DM44"/>
  <c r="DM40"/>
  <c r="DM36"/>
  <c r="DM59"/>
  <c r="DM55"/>
  <c r="DM51"/>
  <c r="DM47"/>
  <c r="DM43"/>
  <c r="DM39"/>
  <c r="DM35"/>
  <c r="DY56"/>
  <c r="DY52"/>
  <c r="DY48"/>
  <c r="DY44"/>
  <c r="DY40"/>
  <c r="DY36"/>
  <c r="DY59"/>
  <c r="DY55"/>
  <c r="DY51"/>
  <c r="DY47"/>
  <c r="DY43"/>
  <c r="DY39"/>
  <c r="DY35"/>
  <c r="CN57"/>
  <c r="CN53"/>
  <c r="CN49"/>
  <c r="CN45"/>
  <c r="CN41"/>
  <c r="CN37"/>
  <c r="CN56"/>
  <c r="CN52"/>
  <c r="CN48"/>
  <c r="CN44"/>
  <c r="CN40"/>
  <c r="CN36"/>
  <c r="CR57"/>
  <c r="CR53"/>
  <c r="CR49"/>
  <c r="CR45"/>
  <c r="CR41"/>
  <c r="CR37"/>
  <c r="CR56"/>
  <c r="CR52"/>
  <c r="CR48"/>
  <c r="CR44"/>
  <c r="CR40"/>
  <c r="CR36"/>
  <c r="CV57"/>
  <c r="CV53"/>
  <c r="CV49"/>
  <c r="CV45"/>
  <c r="CV41"/>
  <c r="CV37"/>
  <c r="CV56"/>
  <c r="CV52"/>
  <c r="CV48"/>
  <c r="CV44"/>
  <c r="CV40"/>
  <c r="CV36"/>
  <c r="CZ57"/>
  <c r="CZ53"/>
  <c r="CZ49"/>
  <c r="CZ45"/>
  <c r="CZ41"/>
  <c r="CZ37"/>
  <c r="CZ56"/>
  <c r="CZ52"/>
  <c r="CZ48"/>
  <c r="CZ44"/>
  <c r="CZ40"/>
  <c r="CZ36"/>
  <c r="DD57"/>
  <c r="DD53"/>
  <c r="DD49"/>
  <c r="DD45"/>
  <c r="DD41"/>
  <c r="DD37"/>
  <c r="DD56"/>
  <c r="DD52"/>
  <c r="DD48"/>
  <c r="DD44"/>
  <c r="DD40"/>
  <c r="DD36"/>
  <c r="DH57"/>
  <c r="DH53"/>
  <c r="DH49"/>
  <c r="DH45"/>
  <c r="DH41"/>
  <c r="DH37"/>
  <c r="DH56"/>
  <c r="DH52"/>
  <c r="DH48"/>
  <c r="DH44"/>
  <c r="DH40"/>
  <c r="DH36"/>
  <c r="DL57"/>
  <c r="DL53"/>
  <c r="DL49"/>
  <c r="DL45"/>
  <c r="DL41"/>
  <c r="DL37"/>
  <c r="DL56"/>
  <c r="DL52"/>
  <c r="DL48"/>
  <c r="DL44"/>
  <c r="DL40"/>
  <c r="DL36"/>
  <c r="DP57"/>
  <c r="DP53"/>
  <c r="DP49"/>
  <c r="DP45"/>
  <c r="DP41"/>
  <c r="DP37"/>
  <c r="DP56"/>
  <c r="DP52"/>
  <c r="DP48"/>
  <c r="DP44"/>
  <c r="DP40"/>
  <c r="DP36"/>
  <c r="DT57"/>
  <c r="DT53"/>
  <c r="DT49"/>
  <c r="DT45"/>
  <c r="DT41"/>
  <c r="DT37"/>
  <c r="DT56"/>
  <c r="DT52"/>
  <c r="DT48"/>
  <c r="DT44"/>
  <c r="DT40"/>
  <c r="DT36"/>
  <c r="DX57"/>
  <c r="DX53"/>
  <c r="DX49"/>
  <c r="DX45"/>
  <c r="DX41"/>
  <c r="DX37"/>
  <c r="DX56"/>
  <c r="DX52"/>
  <c r="DX48"/>
  <c r="DX44"/>
  <c r="DX40"/>
  <c r="DX36"/>
  <c r="CL21"/>
  <c r="CT21"/>
  <c r="CX21"/>
  <c r="DF21"/>
  <c r="DJ21"/>
  <c r="DN21"/>
  <c r="DR21"/>
  <c r="DV21"/>
  <c r="CL25"/>
  <c r="CT25"/>
  <c r="DF25"/>
  <c r="CP29"/>
  <c r="DB29"/>
  <c r="CP33"/>
  <c r="CX33"/>
  <c r="DB33"/>
  <c r="DJ33"/>
  <c r="DN33"/>
  <c r="DR33"/>
  <c r="DV33"/>
  <c r="CP36"/>
  <c r="CX36"/>
  <c r="DF36"/>
  <c r="DN36"/>
  <c r="DV36"/>
  <c r="CT40"/>
  <c r="CL48"/>
  <c r="CT56"/>
  <c r="DJ56"/>
  <c r="CP20"/>
  <c r="CX20"/>
  <c r="DF20"/>
  <c r="DR20"/>
  <c r="CK21"/>
  <c r="CS21"/>
  <c r="DA21"/>
  <c r="DI21"/>
  <c r="DU21"/>
  <c r="CP24"/>
  <c r="CX24"/>
  <c r="DJ24"/>
  <c r="DR24"/>
  <c r="CK25"/>
  <c r="CS25"/>
  <c r="DE25"/>
  <c r="CL28"/>
  <c r="CT28"/>
  <c r="DB28"/>
  <c r="DJ28"/>
  <c r="DR28"/>
  <c r="CK29"/>
  <c r="CW29"/>
  <c r="DE29"/>
  <c r="DM29"/>
  <c r="CL32"/>
  <c r="CT32"/>
  <c r="DB32"/>
  <c r="DJ32"/>
  <c r="DR32"/>
  <c r="CK33"/>
  <c r="CS33"/>
  <c r="DA33"/>
  <c r="DI33"/>
  <c r="DQ33"/>
  <c r="DU33"/>
  <c r="DY33"/>
  <c r="CT37"/>
  <c r="DJ37"/>
  <c r="DR37"/>
  <c r="CS38"/>
  <c r="DA38"/>
  <c r="DI38"/>
  <c r="DQ38"/>
  <c r="DY38"/>
  <c r="CX41"/>
  <c r="DN41"/>
  <c r="CO42"/>
  <c r="DE42"/>
  <c r="DB45"/>
  <c r="DR45"/>
  <c r="CS46"/>
  <c r="DQ46"/>
  <c r="CX49"/>
  <c r="DN49"/>
  <c r="DV49"/>
  <c r="CW50"/>
  <c r="DE50"/>
  <c r="DM50"/>
  <c r="DU50"/>
  <c r="CT53"/>
  <c r="DJ53"/>
  <c r="CS54"/>
  <c r="DQ54"/>
  <c r="CX57"/>
  <c r="DN57"/>
  <c r="CO58"/>
  <c r="DE58"/>
  <c r="DM58"/>
  <c r="DU58"/>
  <c r="CL19"/>
  <c r="CP19"/>
  <c r="CT19"/>
  <c r="CX19"/>
  <c r="DB19"/>
  <c r="DF19"/>
  <c r="DJ19"/>
  <c r="DN19"/>
  <c r="DR19"/>
  <c r="DV19"/>
  <c r="CK20"/>
  <c r="CO20"/>
  <c r="CS20"/>
  <c r="CW20"/>
  <c r="DA20"/>
  <c r="DE20"/>
  <c r="DI20"/>
  <c r="DM20"/>
  <c r="DQ20"/>
  <c r="DU20"/>
  <c r="DY20"/>
  <c r="CN21"/>
  <c r="CR21"/>
  <c r="CV21"/>
  <c r="CZ21"/>
  <c r="DD21"/>
  <c r="DH21"/>
  <c r="DL21"/>
  <c r="DP21"/>
  <c r="DT21"/>
  <c r="DX21"/>
  <c r="CM22"/>
  <c r="CQ22"/>
  <c r="CU22"/>
  <c r="CY22"/>
  <c r="DC22"/>
  <c r="DG22"/>
  <c r="DK22"/>
  <c r="DO22"/>
  <c r="DS22"/>
  <c r="DW22"/>
  <c r="CL23"/>
  <c r="CP23"/>
  <c r="CT23"/>
  <c r="CX23"/>
  <c r="DB23"/>
  <c r="DF23"/>
  <c r="DJ23"/>
  <c r="DN23"/>
  <c r="DR23"/>
  <c r="DV23"/>
  <c r="CK24"/>
  <c r="CO24"/>
  <c r="CS24"/>
  <c r="CW24"/>
  <c r="DA24"/>
  <c r="DE24"/>
  <c r="DI24"/>
  <c r="DM24"/>
  <c r="DQ24"/>
  <c r="DU24"/>
  <c r="DY24"/>
  <c r="CN25"/>
  <c r="CR25"/>
  <c r="CV25"/>
  <c r="CZ25"/>
  <c r="DD25"/>
  <c r="DH25"/>
  <c r="DL25"/>
  <c r="DP25"/>
  <c r="DT25"/>
  <c r="DX25"/>
  <c r="CM26"/>
  <c r="CQ26"/>
  <c r="CU26"/>
  <c r="CY26"/>
  <c r="DC26"/>
  <c r="DG26"/>
  <c r="DK26"/>
  <c r="DO26"/>
  <c r="DS26"/>
  <c r="DW26"/>
  <c r="CL27"/>
  <c r="CP27"/>
  <c r="CT27"/>
  <c r="CX27"/>
  <c r="DB27"/>
  <c r="DF27"/>
  <c r="DJ27"/>
  <c r="DN27"/>
  <c r="DR27"/>
  <c r="DV27"/>
  <c r="CK28"/>
  <c r="CO28"/>
  <c r="CS28"/>
  <c r="CW28"/>
  <c r="DA28"/>
  <c r="DE28"/>
  <c r="DI28"/>
  <c r="DM28"/>
  <c r="DQ28"/>
  <c r="DU28"/>
  <c r="DY28"/>
  <c r="CN29"/>
  <c r="CR29"/>
  <c r="CV29"/>
  <c r="CZ29"/>
  <c r="DD29"/>
  <c r="DH29"/>
  <c r="DL29"/>
  <c r="DP29"/>
  <c r="DT29"/>
  <c r="DX29"/>
  <c r="CM30"/>
  <c r="CQ30"/>
  <c r="CU30"/>
  <c r="CY30"/>
  <c r="DC30"/>
  <c r="DG30"/>
  <c r="DK30"/>
  <c r="DO30"/>
  <c r="DS30"/>
  <c r="DW30"/>
  <c r="CL31"/>
  <c r="CP31"/>
  <c r="CT31"/>
  <c r="CX31"/>
  <c r="DB31"/>
  <c r="DF31"/>
  <c r="DJ31"/>
  <c r="DN31"/>
  <c r="DR31"/>
  <c r="DV31"/>
  <c r="CK32"/>
  <c r="CO32"/>
  <c r="CS32"/>
  <c r="CW32"/>
  <c r="DA32"/>
  <c r="DE32"/>
  <c r="DI32"/>
  <c r="DM32"/>
  <c r="DQ32"/>
  <c r="DU32"/>
  <c r="DY32"/>
  <c r="CN33"/>
  <c r="CR33"/>
  <c r="CV33"/>
  <c r="CZ33"/>
  <c r="DD33"/>
  <c r="DH33"/>
  <c r="DL33"/>
  <c r="DP33"/>
  <c r="DT33"/>
  <c r="DX33"/>
  <c r="CM34"/>
  <c r="CQ34"/>
  <c r="CU34"/>
  <c r="CY34"/>
  <c r="DC34"/>
  <c r="DG34"/>
  <c r="DK34"/>
  <c r="DO34"/>
  <c r="DS34"/>
  <c r="DW34"/>
  <c r="CM35"/>
  <c r="CU35"/>
  <c r="DC35"/>
  <c r="DK35"/>
  <c r="DS35"/>
  <c r="CL36"/>
  <c r="CT36"/>
  <c r="DB36"/>
  <c r="DJ36"/>
  <c r="DR36"/>
  <c r="CK37"/>
  <c r="CS37"/>
  <c r="DA37"/>
  <c r="DI37"/>
  <c r="DQ37"/>
  <c r="DY37"/>
  <c r="CR38"/>
  <c r="CZ38"/>
  <c r="DH38"/>
  <c r="DP38"/>
  <c r="DX38"/>
  <c r="CQ39"/>
  <c r="CY39"/>
  <c r="DG39"/>
  <c r="DO39"/>
  <c r="DW39"/>
  <c r="CP40"/>
  <c r="CX40"/>
  <c r="DF40"/>
  <c r="DN40"/>
  <c r="DV40"/>
  <c r="CO41"/>
  <c r="CW41"/>
  <c r="DE41"/>
  <c r="DM41"/>
  <c r="DU41"/>
  <c r="CN42"/>
  <c r="CV42"/>
  <c r="DD42"/>
  <c r="DL42"/>
  <c r="DT42"/>
  <c r="CM43"/>
  <c r="CU43"/>
  <c r="DC43"/>
  <c r="DK43"/>
  <c r="DS43"/>
  <c r="CL44"/>
  <c r="CT44"/>
  <c r="DB44"/>
  <c r="DJ44"/>
  <c r="DR44"/>
  <c r="CK45"/>
  <c r="CS45"/>
  <c r="DA45"/>
  <c r="DI45"/>
  <c r="DQ45"/>
  <c r="DY45"/>
  <c r="CR46"/>
  <c r="CZ46"/>
  <c r="DH46"/>
  <c r="DP46"/>
  <c r="DX46"/>
  <c r="CQ47"/>
  <c r="CY47"/>
  <c r="DG47"/>
  <c r="DO47"/>
  <c r="DW47"/>
  <c r="CP48"/>
  <c r="CX48"/>
  <c r="DF48"/>
  <c r="DN48"/>
  <c r="DV48"/>
  <c r="CO49"/>
  <c r="CW49"/>
  <c r="DE49"/>
  <c r="DM49"/>
  <c r="DU49"/>
  <c r="CN50"/>
  <c r="CV50"/>
  <c r="DD50"/>
  <c r="DL50"/>
  <c r="DT50"/>
  <c r="CM51"/>
  <c r="CU51"/>
  <c r="DC51"/>
  <c r="DK51"/>
  <c r="DS51"/>
  <c r="CL52"/>
  <c r="CT52"/>
  <c r="DB52"/>
  <c r="DJ52"/>
  <c r="DR52"/>
  <c r="CK53"/>
  <c r="CS53"/>
  <c r="DA53"/>
  <c r="DI53"/>
  <c r="DQ53"/>
  <c r="DY53"/>
  <c r="CR54"/>
  <c r="CZ54"/>
  <c r="DH54"/>
  <c r="DP54"/>
  <c r="DX54"/>
  <c r="CQ55"/>
  <c r="CY55"/>
  <c r="DG55"/>
  <c r="DO55"/>
  <c r="DW55"/>
  <c r="CP56"/>
  <c r="CX56"/>
  <c r="DF56"/>
  <c r="DN56"/>
  <c r="DV56"/>
  <c r="CO57"/>
  <c r="CW57"/>
  <c r="DE57"/>
  <c r="DM57"/>
  <c r="DU57"/>
  <c r="CN58"/>
  <c r="CV58"/>
  <c r="DD58"/>
  <c r="DL58"/>
  <c r="DT58"/>
  <c r="CM59"/>
  <c r="CU59"/>
  <c r="DC59"/>
  <c r="DK59"/>
  <c r="DS59"/>
  <c r="AL59"/>
  <c r="AL58"/>
  <c r="AL57"/>
  <c r="AL56"/>
  <c r="AL55"/>
  <c r="AL54"/>
  <c r="AL53"/>
  <c r="AL52"/>
  <c r="AL51"/>
  <c r="AL50"/>
  <c r="AL49"/>
  <c r="AL48"/>
  <c r="AL47"/>
  <c r="AL46"/>
  <c r="AL45"/>
  <c r="AL44"/>
  <c r="AL43"/>
  <c r="AL42"/>
  <c r="AL41"/>
  <c r="AL40"/>
  <c r="AL39"/>
  <c r="AL38"/>
  <c r="AL37"/>
  <c r="AL36"/>
  <c r="AL35"/>
  <c r="AL34"/>
  <c r="AL33"/>
  <c r="AL32"/>
  <c r="AL31"/>
  <c r="AL30"/>
  <c r="AL29"/>
  <c r="AL28"/>
  <c r="AL27"/>
  <c r="AL26"/>
  <c r="AL25"/>
  <c r="AL24"/>
  <c r="AL23"/>
  <c r="AL22"/>
  <c r="AL21"/>
  <c r="AL20"/>
  <c r="AL19"/>
  <c r="N8" i="58"/>
  <c r="M8" s="1"/>
  <c r="N6"/>
  <c r="M6" s="1"/>
  <c r="BP21" i="165"/>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18"/>
  <c r="BN19"/>
  <c r="AW60"/>
  <c r="AX48"/>
  <c r="AY48"/>
  <c r="AX47"/>
  <c r="AW47"/>
  <c r="AX46"/>
  <c r="AW46"/>
  <c r="AY45"/>
  <c r="AX45" s="1"/>
  <c r="E488" i="175" l="1"/>
  <c r="B68" i="190"/>
  <c r="E744" i="175"/>
  <c r="B20" i="189"/>
  <c r="C745" i="175"/>
  <c r="D744"/>
  <c r="A21" i="189" s="1"/>
  <c r="D488" i="175"/>
  <c r="C581"/>
  <c r="D580"/>
  <c r="G16" i="179"/>
  <c r="E8"/>
  <c r="E9"/>
  <c r="B36" i="182"/>
  <c r="F36"/>
  <c r="J36"/>
  <c r="A37"/>
  <c r="D36"/>
  <c r="H36"/>
  <c r="E36"/>
  <c r="I36"/>
  <c r="K36"/>
  <c r="G36"/>
  <c r="C36"/>
  <c r="H26" i="179"/>
  <c r="H23" s="1"/>
  <c r="E11"/>
  <c r="L35" i="182"/>
  <c r="M35" s="1"/>
  <c r="DN60" i="165"/>
  <c r="AG48" s="1"/>
  <c r="DE60"/>
  <c r="AG39" s="1"/>
  <c r="CR60"/>
  <c r="AG26" s="1"/>
  <c r="DC60"/>
  <c r="AG37" s="1"/>
  <c r="CN60"/>
  <c r="AG22" s="1"/>
  <c r="DR60"/>
  <c r="AG52" s="1"/>
  <c r="CL60"/>
  <c r="AG20" s="1"/>
  <c r="DI60"/>
  <c r="AG43" s="1"/>
  <c r="CV60"/>
  <c r="AG30" s="1"/>
  <c r="DV60"/>
  <c r="AG56" s="1"/>
  <c r="DF60"/>
  <c r="AG40" s="1"/>
  <c r="CP60"/>
  <c r="AG24" s="1"/>
  <c r="DM60"/>
  <c r="AG47" s="1"/>
  <c r="CW60"/>
  <c r="AG31" s="1"/>
  <c r="DH60"/>
  <c r="AG42" s="1"/>
  <c r="CU60"/>
  <c r="AG29" s="1"/>
  <c r="DW60"/>
  <c r="AG57" s="1"/>
  <c r="CQ60"/>
  <c r="AG25" s="1"/>
  <c r="DS60"/>
  <c r="AG53" s="1"/>
  <c r="DD60"/>
  <c r="AG38" s="1"/>
  <c r="CX60"/>
  <c r="AG32" s="1"/>
  <c r="DU60"/>
  <c r="AG55" s="1"/>
  <c r="CO60"/>
  <c r="AG23" s="1"/>
  <c r="DX60"/>
  <c r="AG58" s="1"/>
  <c r="DG60"/>
  <c r="AG41" s="1"/>
  <c r="DT60"/>
  <c r="AG54" s="1"/>
  <c r="DB60"/>
  <c r="AG36" s="1"/>
  <c r="DY60"/>
  <c r="AG59" s="1"/>
  <c r="CS60"/>
  <c r="AG27" s="1"/>
  <c r="CZ60"/>
  <c r="AG34" s="1"/>
  <c r="DO60"/>
  <c r="AG49" s="1"/>
  <c r="DK60"/>
  <c r="AG45" s="1"/>
  <c r="DJ60"/>
  <c r="AG44" s="1"/>
  <c r="CT60"/>
  <c r="AG28" s="1"/>
  <c r="DQ60"/>
  <c r="AG51" s="1"/>
  <c r="DA60"/>
  <c r="AG35" s="1"/>
  <c r="DP60"/>
  <c r="AG50" s="1"/>
  <c r="CY60"/>
  <c r="AG33" s="1"/>
  <c r="CM60"/>
  <c r="AG21" s="1"/>
  <c r="DL60"/>
  <c r="AG46" s="1"/>
  <c r="CK60"/>
  <c r="BO33"/>
  <c r="N7" i="58"/>
  <c r="M7" s="1"/>
  <c r="N5"/>
  <c r="M5" s="1"/>
  <c r="BO40" i="165"/>
  <c r="BO52"/>
  <c r="BO56"/>
  <c r="BO30"/>
  <c r="BO25"/>
  <c r="BO36"/>
  <c r="BO24"/>
  <c r="BO48"/>
  <c r="BO32"/>
  <c r="BO20"/>
  <c r="BO44"/>
  <c r="BO28"/>
  <c r="BO21"/>
  <c r="BO53"/>
  <c r="BO45"/>
  <c r="BO37"/>
  <c r="BO29"/>
  <c r="BO19"/>
  <c r="BO23"/>
  <c r="BO59"/>
  <c r="BO55"/>
  <c r="BO51"/>
  <c r="BO47"/>
  <c r="BO43"/>
  <c r="BO39"/>
  <c r="BO35"/>
  <c r="BO31"/>
  <c r="BO27"/>
  <c r="BO57"/>
  <c r="BO49"/>
  <c r="BO41"/>
  <c r="BO26"/>
  <c r="BO22"/>
  <c r="BO58"/>
  <c r="BO54"/>
  <c r="BO50"/>
  <c r="BO46"/>
  <c r="BO42"/>
  <c r="BO38"/>
  <c r="BO34"/>
  <c r="BP22"/>
  <c r="AO30" i="168"/>
  <c r="AO29"/>
  <c r="AO28"/>
  <c r="AO27"/>
  <c r="AO26"/>
  <c r="AO32"/>
  <c r="AO33" s="1"/>
  <c r="AO34" s="1"/>
  <c r="AO35" s="1"/>
  <c r="AO36" s="1"/>
  <c r="AO37" s="1"/>
  <c r="AO38" s="1"/>
  <c r="AO39" s="1"/>
  <c r="AO40" s="1"/>
  <c r="AO41" s="1"/>
  <c r="AO42" s="1"/>
  <c r="AO43" s="1"/>
  <c r="AO44" s="1"/>
  <c r="AO45" s="1"/>
  <c r="AO46" s="1"/>
  <c r="AO47" s="1"/>
  <c r="AO48" s="1"/>
  <c r="AO49" s="1"/>
  <c r="AO50" s="1"/>
  <c r="AO51" s="1"/>
  <c r="AO52" s="1"/>
  <c r="AO53" s="1"/>
  <c r="AO54" s="1"/>
  <c r="AO55" s="1"/>
  <c r="AO56" s="1"/>
  <c r="AO57" s="1"/>
  <c r="AO58" s="1"/>
  <c r="AO59" s="1"/>
  <c r="AO31"/>
  <c r="AO25"/>
  <c r="AO24"/>
  <c r="AO23"/>
  <c r="AO22"/>
  <c r="AO21"/>
  <c r="AO26" i="167"/>
  <c r="AO27"/>
  <c r="AO28"/>
  <c r="AO29"/>
  <c r="AO30"/>
  <c r="AO31"/>
  <c r="AO32"/>
  <c r="AO33"/>
  <c r="AO34"/>
  <c r="AO35"/>
  <c r="AO36"/>
  <c r="AO37"/>
  <c r="AO38"/>
  <c r="AO39"/>
  <c r="AO40"/>
  <c r="AO41"/>
  <c r="AO42"/>
  <c r="AO43"/>
  <c r="AO44"/>
  <c r="AO45"/>
  <c r="AO46"/>
  <c r="AO47"/>
  <c r="AO48"/>
  <c r="AO49"/>
  <c r="AO50"/>
  <c r="AO51"/>
  <c r="AO52"/>
  <c r="AO53"/>
  <c r="AO54"/>
  <c r="AO55"/>
  <c r="AO56"/>
  <c r="AO57"/>
  <c r="AO58"/>
  <c r="AO59"/>
  <c r="AO25"/>
  <c r="AO24"/>
  <c r="AO23"/>
  <c r="AO22"/>
  <c r="AO21"/>
  <c r="AO20"/>
  <c r="C18" i="176"/>
  <c r="C17"/>
  <c r="C16"/>
  <c r="C15"/>
  <c r="C14"/>
  <c r="C13"/>
  <c r="C12"/>
  <c r="C11"/>
  <c r="C10"/>
  <c r="C9"/>
  <c r="C8"/>
  <c r="C7"/>
  <c r="C6"/>
  <c r="C5"/>
  <c r="C4"/>
  <c r="C3"/>
  <c r="E656" i="175"/>
  <c r="E627"/>
  <c r="E628" s="1"/>
  <c r="E629" s="1"/>
  <c r="E630" s="1"/>
  <c r="E631" s="1"/>
  <c r="E632" s="1"/>
  <c r="E633" s="1"/>
  <c r="E634" s="1"/>
  <c r="E635" s="1"/>
  <c r="E636" s="1"/>
  <c r="E637" s="1"/>
  <c r="E638" s="1"/>
  <c r="E639" s="1"/>
  <c r="E640" s="1"/>
  <c r="E641" s="1"/>
  <c r="E642" s="1"/>
  <c r="E643" s="1"/>
  <c r="E644" s="1"/>
  <c r="E645" s="1"/>
  <c r="E646" s="1"/>
  <c r="E647" s="1"/>
  <c r="E648" s="1"/>
  <c r="E649" s="1"/>
  <c r="E650" s="1"/>
  <c r="E651" s="1"/>
  <c r="E652" s="1"/>
  <c r="E653" s="1"/>
  <c r="E654" s="1"/>
  <c r="E655" s="1"/>
  <c r="C627"/>
  <c r="C628" s="1"/>
  <c r="B627"/>
  <c r="B628" s="1"/>
  <c r="B629" s="1"/>
  <c r="B630" s="1"/>
  <c r="B631" s="1"/>
  <c r="B632" s="1"/>
  <c r="B633" s="1"/>
  <c r="B634" s="1"/>
  <c r="B635" s="1"/>
  <c r="B636" s="1"/>
  <c r="B637" s="1"/>
  <c r="B638" s="1"/>
  <c r="B639" s="1"/>
  <c r="B640" s="1"/>
  <c r="B641" s="1"/>
  <c r="B642" s="1"/>
  <c r="B643" s="1"/>
  <c r="B644" s="1"/>
  <c r="B645" s="1"/>
  <c r="B646" s="1"/>
  <c r="B647" s="1"/>
  <c r="B648" s="1"/>
  <c r="B649" s="1"/>
  <c r="B650" s="1"/>
  <c r="B651" s="1"/>
  <c r="B652" s="1"/>
  <c r="B653" s="1"/>
  <c r="B654" s="1"/>
  <c r="B655" s="1"/>
  <c r="A627"/>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E745" l="1"/>
  <c r="B21" i="189"/>
  <c r="E489" i="175"/>
  <c r="C746"/>
  <c r="D745"/>
  <c r="A22" i="189" s="1"/>
  <c r="D489" i="175"/>
  <c r="C582"/>
  <c r="D581"/>
  <c r="AG19" i="165"/>
  <c r="H24" i="179"/>
  <c r="Q42" i="182"/>
  <c r="Q48"/>
  <c r="Q49"/>
  <c r="Q45"/>
  <c r="Q50"/>
  <c r="Q46"/>
  <c r="Q51"/>
  <c r="Q47"/>
  <c r="Q43"/>
  <c r="Q52"/>
  <c r="Q44"/>
  <c r="E10" i="179"/>
  <c r="E37" i="182"/>
  <c r="I37"/>
  <c r="G37"/>
  <c r="K37"/>
  <c r="D37"/>
  <c r="H37"/>
  <c r="C37"/>
  <c r="A38"/>
  <c r="B37"/>
  <c r="J37"/>
  <c r="F37"/>
  <c r="L36"/>
  <c r="M36" s="1"/>
  <c r="D627" i="175"/>
  <c r="C629"/>
  <c r="D628"/>
  <c r="D626"/>
  <c r="Q25" i="60"/>
  <c r="E746" i="175" l="1"/>
  <c r="B22" i="189"/>
  <c r="E490" i="175"/>
  <c r="C747"/>
  <c r="D746"/>
  <c r="A23" i="189" s="1"/>
  <c r="D490" i="175"/>
  <c r="C583"/>
  <c r="D582"/>
  <c r="L37" i="182"/>
  <c r="M37" s="1"/>
  <c r="D38"/>
  <c r="H38"/>
  <c r="B38"/>
  <c r="F38"/>
  <c r="J38"/>
  <c r="C38"/>
  <c r="G38"/>
  <c r="K38"/>
  <c r="A39"/>
  <c r="E38"/>
  <c r="I38"/>
  <c r="C630" i="175"/>
  <c r="D629"/>
  <c r="E491" l="1"/>
  <c r="E747"/>
  <c r="B23" i="189"/>
  <c r="C748" i="175"/>
  <c r="D747"/>
  <c r="A24" i="189" s="1"/>
  <c r="D491" i="175"/>
  <c r="C584"/>
  <c r="D583"/>
  <c r="C39" i="182"/>
  <c r="G39"/>
  <c r="K39"/>
  <c r="E39"/>
  <c r="I39"/>
  <c r="B39"/>
  <c r="F39"/>
  <c r="J39"/>
  <c r="A40"/>
  <c r="D39"/>
  <c r="H39"/>
  <c r="L38"/>
  <c r="M38" s="1"/>
  <c r="C631" i="175"/>
  <c r="D630"/>
  <c r="E492" l="1"/>
  <c r="E748"/>
  <c r="B24" i="189"/>
  <c r="C749" i="175"/>
  <c r="D748"/>
  <c r="A25" i="189" s="1"/>
  <c r="D492" i="175"/>
  <c r="C585"/>
  <c r="D584"/>
  <c r="B40" i="182"/>
  <c r="F40"/>
  <c r="J40"/>
  <c r="A41"/>
  <c r="D40"/>
  <c r="H40"/>
  <c r="E40"/>
  <c r="I40"/>
  <c r="G40"/>
  <c r="K40"/>
  <c r="C40"/>
  <c r="L39"/>
  <c r="M39" s="1"/>
  <c r="C632" i="175"/>
  <c r="D631"/>
  <c r="E493" l="1"/>
  <c r="E749"/>
  <c r="B25" i="189"/>
  <c r="C750" i="175"/>
  <c r="D749"/>
  <c r="A26" i="189" s="1"/>
  <c r="D493" i="175"/>
  <c r="C586"/>
  <c r="D585"/>
  <c r="L40" i="182"/>
  <c r="M40" s="1"/>
  <c r="E41"/>
  <c r="I41"/>
  <c r="G41"/>
  <c r="D41"/>
  <c r="H41"/>
  <c r="C41"/>
  <c r="K41"/>
  <c r="J41"/>
  <c r="A42"/>
  <c r="F41"/>
  <c r="B41"/>
  <c r="C633" i="175"/>
  <c r="D632"/>
  <c r="E494" l="1"/>
  <c r="E750"/>
  <c r="B26" i="189"/>
  <c r="C751" i="175"/>
  <c r="D750"/>
  <c r="A27" i="189" s="1"/>
  <c r="D494" i="175"/>
  <c r="C587"/>
  <c r="D586"/>
  <c r="D42" i="182"/>
  <c r="H42"/>
  <c r="B42"/>
  <c r="J42"/>
  <c r="C42"/>
  <c r="G42"/>
  <c r="K42"/>
  <c r="F42"/>
  <c r="A43"/>
  <c r="I42"/>
  <c r="E42"/>
  <c r="L41"/>
  <c r="M41" s="1"/>
  <c r="C634" i="175"/>
  <c r="D633"/>
  <c r="E495" l="1"/>
  <c r="E751"/>
  <c r="B27" i="189"/>
  <c r="C752" i="175"/>
  <c r="D751"/>
  <c r="A28" i="189" s="1"/>
  <c r="D495" i="175"/>
  <c r="C588"/>
  <c r="D587"/>
  <c r="D43" i="182"/>
  <c r="H43"/>
  <c r="A44"/>
  <c r="B43"/>
  <c r="J43"/>
  <c r="C43"/>
  <c r="G43"/>
  <c r="K43"/>
  <c r="F43"/>
  <c r="I43"/>
  <c r="E43"/>
  <c r="L42"/>
  <c r="C635" i="175"/>
  <c r="D634"/>
  <c r="E752" l="1"/>
  <c r="B28" i="189"/>
  <c r="E496" i="175"/>
  <c r="C753"/>
  <c r="D752"/>
  <c r="A29" i="189" s="1"/>
  <c r="D496" i="175"/>
  <c r="C589"/>
  <c r="D588"/>
  <c r="E44" i="182"/>
  <c r="I44"/>
  <c r="C44"/>
  <c r="K44"/>
  <c r="D44"/>
  <c r="H44"/>
  <c r="A45"/>
  <c r="G44"/>
  <c r="B44"/>
  <c r="J44"/>
  <c r="F44"/>
  <c r="N42"/>
  <c r="M42"/>
  <c r="L43"/>
  <c r="C636" i="175"/>
  <c r="D635"/>
  <c r="L44" i="182" l="1"/>
  <c r="N44" s="1"/>
  <c r="E497" i="175"/>
  <c r="E753"/>
  <c r="B29" i="189"/>
  <c r="C754" i="175"/>
  <c r="D753"/>
  <c r="A30" i="189" s="1"/>
  <c r="D497" i="175"/>
  <c r="C590"/>
  <c r="D589"/>
  <c r="P42" i="182"/>
  <c r="O42"/>
  <c r="N43"/>
  <c r="M43"/>
  <c r="O43" s="1"/>
  <c r="B45"/>
  <c r="F45"/>
  <c r="J45"/>
  <c r="D45"/>
  <c r="E45"/>
  <c r="I45"/>
  <c r="H45"/>
  <c r="A46"/>
  <c r="C45"/>
  <c r="K45"/>
  <c r="G45"/>
  <c r="C637" i="175"/>
  <c r="D636"/>
  <c r="M44" i="182" l="1"/>
  <c r="O44" s="1"/>
  <c r="E754" i="175"/>
  <c r="B30" i="189"/>
  <c r="E498" i="175"/>
  <c r="C755"/>
  <c r="D755" s="1"/>
  <c r="A32" i="189" s="1"/>
  <c r="D754" i="175"/>
  <c r="A31" i="189" s="1"/>
  <c r="D498" i="175"/>
  <c r="C591"/>
  <c r="D590"/>
  <c r="L45" i="182"/>
  <c r="C46"/>
  <c r="G46"/>
  <c r="K46"/>
  <c r="E46"/>
  <c r="B46"/>
  <c r="F46"/>
  <c r="J46"/>
  <c r="I46"/>
  <c r="A47"/>
  <c r="D46"/>
  <c r="H46"/>
  <c r="C638" i="175"/>
  <c r="D637"/>
  <c r="E755" l="1"/>
  <c r="B32" i="189" s="1"/>
  <c r="B31"/>
  <c r="E499" i="175"/>
  <c r="D500"/>
  <c r="D499"/>
  <c r="C592"/>
  <c r="C593" s="1"/>
  <c r="D591"/>
  <c r="L46" i="182"/>
  <c r="N45"/>
  <c r="M45"/>
  <c r="O45" s="1"/>
  <c r="D47"/>
  <c r="H47"/>
  <c r="A48"/>
  <c r="B47"/>
  <c r="J47"/>
  <c r="C47"/>
  <c r="G47"/>
  <c r="K47"/>
  <c r="F47"/>
  <c r="E47"/>
  <c r="I47"/>
  <c r="C639" i="175"/>
  <c r="D638"/>
  <c r="E500" l="1"/>
  <c r="E48" i="182"/>
  <c r="I48"/>
  <c r="C48"/>
  <c r="K48"/>
  <c r="D48"/>
  <c r="H48"/>
  <c r="A49"/>
  <c r="G48"/>
  <c r="B48"/>
  <c r="J48"/>
  <c r="F48"/>
  <c r="N46"/>
  <c r="M46"/>
  <c r="O46" s="1"/>
  <c r="L47"/>
  <c r="C640" i="175"/>
  <c r="D639"/>
  <c r="B49" i="182" l="1"/>
  <c r="F49"/>
  <c r="J49"/>
  <c r="D49"/>
  <c r="E49"/>
  <c r="I49"/>
  <c r="H49"/>
  <c r="A50"/>
  <c r="C49"/>
  <c r="G49"/>
  <c r="K49"/>
  <c r="L48"/>
  <c r="N47"/>
  <c r="M47"/>
  <c r="O47" s="1"/>
  <c r="C641" i="175"/>
  <c r="D640"/>
  <c r="M48" i="182" l="1"/>
  <c r="O48" s="1"/>
  <c r="N48"/>
  <c r="C50"/>
  <c r="G50"/>
  <c r="K50"/>
  <c r="E50"/>
  <c r="B50"/>
  <c r="F50"/>
  <c r="J50"/>
  <c r="I50"/>
  <c r="D50"/>
  <c r="H50"/>
  <c r="A51"/>
  <c r="L49"/>
  <c r="C642" i="175"/>
  <c r="D641"/>
  <c r="N49" i="182" l="1"/>
  <c r="M49"/>
  <c r="O49" s="1"/>
  <c r="D51"/>
  <c r="H51"/>
  <c r="A52"/>
  <c r="F51"/>
  <c r="C51"/>
  <c r="G51"/>
  <c r="K51"/>
  <c r="B51"/>
  <c r="J51"/>
  <c r="E51"/>
  <c r="I51"/>
  <c r="L50"/>
  <c r="C643" i="175"/>
  <c r="D642"/>
  <c r="L51" i="182" l="1"/>
  <c r="M51" s="1"/>
  <c r="O51" s="1"/>
  <c r="E52"/>
  <c r="I52"/>
  <c r="A53"/>
  <c r="G52"/>
  <c r="D52"/>
  <c r="H52"/>
  <c r="C52"/>
  <c r="K52"/>
  <c r="F52"/>
  <c r="J52"/>
  <c r="B52"/>
  <c r="M50"/>
  <c r="O50" s="1"/>
  <c r="N50"/>
  <c r="C644" i="175"/>
  <c r="D643"/>
  <c r="N51" i="182" l="1"/>
  <c r="E53"/>
  <c r="I53"/>
  <c r="G53"/>
  <c r="D53"/>
  <c r="H53"/>
  <c r="A54"/>
  <c r="C53"/>
  <c r="K53"/>
  <c r="F53"/>
  <c r="J53"/>
  <c r="B53"/>
  <c r="L52"/>
  <c r="C645" i="175"/>
  <c r="D644"/>
  <c r="B54" i="182" l="1"/>
  <c r="F54"/>
  <c r="J54"/>
  <c r="D54"/>
  <c r="E54"/>
  <c r="I54"/>
  <c r="H54"/>
  <c r="A55"/>
  <c r="G54"/>
  <c r="K54"/>
  <c r="C54"/>
  <c r="M52"/>
  <c r="N52"/>
  <c r="L53"/>
  <c r="C646" i="175"/>
  <c r="D645"/>
  <c r="M53" i="182" l="1"/>
  <c r="O53" s="1"/>
  <c r="N53"/>
  <c r="L54"/>
  <c r="O52"/>
  <c r="C55"/>
  <c r="G55"/>
  <c r="K55"/>
  <c r="E55"/>
  <c r="B55"/>
  <c r="F55"/>
  <c r="J55"/>
  <c r="I55"/>
  <c r="H55"/>
  <c r="D55"/>
  <c r="A56"/>
  <c r="C647" i="175"/>
  <c r="D646"/>
  <c r="N54" i="182" l="1"/>
  <c r="M54"/>
  <c r="O54" s="1"/>
  <c r="D56"/>
  <c r="H56"/>
  <c r="A57"/>
  <c r="F56"/>
  <c r="C56"/>
  <c r="G56"/>
  <c r="K56"/>
  <c r="B56"/>
  <c r="J56"/>
  <c r="I56"/>
  <c r="E56"/>
  <c r="L55"/>
  <c r="C648" i="175"/>
  <c r="D647"/>
  <c r="L56" i="182" l="1"/>
  <c r="E57"/>
  <c r="I57"/>
  <c r="G57"/>
  <c r="D57"/>
  <c r="H57"/>
  <c r="A58"/>
  <c r="C57"/>
  <c r="K57"/>
  <c r="J57"/>
  <c r="F57"/>
  <c r="B57"/>
  <c r="M55"/>
  <c r="O55" s="1"/>
  <c r="N55"/>
  <c r="C649" i="175"/>
  <c r="D648"/>
  <c r="B58" i="182" l="1"/>
  <c r="F58"/>
  <c r="J58"/>
  <c r="H58"/>
  <c r="A59"/>
  <c r="E58"/>
  <c r="I58"/>
  <c r="D58"/>
  <c r="K58"/>
  <c r="G58"/>
  <c r="C58"/>
  <c r="N56"/>
  <c r="M56"/>
  <c r="L57"/>
  <c r="C650" i="175"/>
  <c r="D649"/>
  <c r="O56" i="182" l="1"/>
  <c r="P52"/>
  <c r="C59"/>
  <c r="G59"/>
  <c r="K59"/>
  <c r="I59"/>
  <c r="B59"/>
  <c r="F59"/>
  <c r="J59"/>
  <c r="E59"/>
  <c r="A60"/>
  <c r="H59"/>
  <c r="D59"/>
  <c r="M57"/>
  <c r="N57"/>
  <c r="L58"/>
  <c r="C651" i="175"/>
  <c r="D650"/>
  <c r="O57" i="182" l="1"/>
  <c r="U38"/>
  <c r="L59"/>
  <c r="M59" s="1"/>
  <c r="O59" s="1"/>
  <c r="D60"/>
  <c r="H60"/>
  <c r="A61"/>
  <c r="B60"/>
  <c r="J60"/>
  <c r="C60"/>
  <c r="G60"/>
  <c r="K60"/>
  <c r="F60"/>
  <c r="E60"/>
  <c r="I60"/>
  <c r="N59"/>
  <c r="N58"/>
  <c r="M58"/>
  <c r="O58" s="1"/>
  <c r="C652" i="175"/>
  <c r="D651"/>
  <c r="E61" i="182" l="1"/>
  <c r="I61"/>
  <c r="C61"/>
  <c r="K61"/>
  <c r="D61"/>
  <c r="H61"/>
  <c r="A62"/>
  <c r="G61"/>
  <c r="J61"/>
  <c r="F61"/>
  <c r="B61"/>
  <c r="L60"/>
  <c r="C653" i="175"/>
  <c r="D652"/>
  <c r="B62" i="182" l="1"/>
  <c r="F62"/>
  <c r="J62"/>
  <c r="D62"/>
  <c r="E62"/>
  <c r="I62"/>
  <c r="H62"/>
  <c r="C62"/>
  <c r="K62"/>
  <c r="G62"/>
  <c r="L61"/>
  <c r="N60"/>
  <c r="M60"/>
  <c r="O60" s="1"/>
  <c r="C654" i="175"/>
  <c r="D653"/>
  <c r="L62" i="182" l="1"/>
  <c r="M61"/>
  <c r="O61" s="1"/>
  <c r="N61"/>
  <c r="C655" i="175"/>
  <c r="N62" i="182" l="1"/>
  <c r="N64" s="1"/>
  <c r="L67"/>
  <c r="L68" s="1"/>
  <c r="M62"/>
  <c r="L64"/>
  <c r="L65"/>
  <c r="E718" i="175"/>
  <c r="E625"/>
  <c r="E563"/>
  <c r="E532"/>
  <c r="E470"/>
  <c r="B51" i="190" s="1"/>
  <c r="E439" i="175"/>
  <c r="B33" i="190" s="1"/>
  <c r="E407" i="175"/>
  <c r="E376"/>
  <c r="E345"/>
  <c r="E314"/>
  <c r="E283"/>
  <c r="E252"/>
  <c r="E221"/>
  <c r="E190"/>
  <c r="E689"/>
  <c r="E690" s="1"/>
  <c r="E691" s="1"/>
  <c r="E692" s="1"/>
  <c r="E693" s="1"/>
  <c r="E694" s="1"/>
  <c r="E695" s="1"/>
  <c r="E696" s="1"/>
  <c r="E697" s="1"/>
  <c r="E698" s="1"/>
  <c r="E699" s="1"/>
  <c r="E700" s="1"/>
  <c r="E701" s="1"/>
  <c r="E702" s="1"/>
  <c r="E703" s="1"/>
  <c r="E704" s="1"/>
  <c r="E705" s="1"/>
  <c r="E706" s="1"/>
  <c r="E707" s="1"/>
  <c r="E708" s="1"/>
  <c r="E709" s="1"/>
  <c r="E710" s="1"/>
  <c r="E711" s="1"/>
  <c r="E712" s="1"/>
  <c r="E713" s="1"/>
  <c r="E714" s="1"/>
  <c r="E715" s="1"/>
  <c r="E716" s="1"/>
  <c r="E717" s="1"/>
  <c r="C689"/>
  <c r="C690" s="1"/>
  <c r="B689"/>
  <c r="B690" s="1"/>
  <c r="B691" s="1"/>
  <c r="B692" s="1"/>
  <c r="B693" s="1"/>
  <c r="B694" s="1"/>
  <c r="B695" s="1"/>
  <c r="B696" s="1"/>
  <c r="B697" s="1"/>
  <c r="B698" s="1"/>
  <c r="B699" s="1"/>
  <c r="B700" s="1"/>
  <c r="B701" s="1"/>
  <c r="B702" s="1"/>
  <c r="B703" s="1"/>
  <c r="B704" s="1"/>
  <c r="B705" s="1"/>
  <c r="B706" s="1"/>
  <c r="B707" s="1"/>
  <c r="B708" s="1"/>
  <c r="B709" s="1"/>
  <c r="B710" s="1"/>
  <c r="B711" s="1"/>
  <c r="B712" s="1"/>
  <c r="B713" s="1"/>
  <c r="B714" s="1"/>
  <c r="B715" s="1"/>
  <c r="B716" s="1"/>
  <c r="B717" s="1"/>
  <c r="A689"/>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U37" i="182" l="1"/>
  <c r="U39" s="1"/>
  <c r="U40" s="1"/>
  <c r="P62"/>
  <c r="M64"/>
  <c r="M65"/>
  <c r="N62" i="13" s="1"/>
  <c r="N60" s="1"/>
  <c r="J9" s="1"/>
  <c r="M67" i="182"/>
  <c r="M68" s="1"/>
  <c r="O62"/>
  <c r="O64" s="1"/>
  <c r="E719" i="175"/>
  <c r="C691"/>
  <c r="D690"/>
  <c r="D689"/>
  <c r="D688"/>
  <c r="E596"/>
  <c r="E597" s="1"/>
  <c r="E598" s="1"/>
  <c r="E599" s="1"/>
  <c r="E600" s="1"/>
  <c r="E601" s="1"/>
  <c r="E602" s="1"/>
  <c r="E603" s="1"/>
  <c r="E604" s="1"/>
  <c r="E605" s="1"/>
  <c r="E606" s="1"/>
  <c r="E607" s="1"/>
  <c r="E608" s="1"/>
  <c r="E609" s="1"/>
  <c r="E610" s="1"/>
  <c r="E611" s="1"/>
  <c r="E612" s="1"/>
  <c r="E613" s="1"/>
  <c r="E614" s="1"/>
  <c r="E615" s="1"/>
  <c r="E616" s="1"/>
  <c r="E617" s="1"/>
  <c r="E618" s="1"/>
  <c r="E619" s="1"/>
  <c r="E620" s="1"/>
  <c r="E621" s="1"/>
  <c r="E622" s="1"/>
  <c r="E623" s="1"/>
  <c r="E624" s="1"/>
  <c r="C596"/>
  <c r="C597" s="1"/>
  <c r="B596"/>
  <c r="B597" s="1"/>
  <c r="B598" s="1"/>
  <c r="B599" s="1"/>
  <c r="B600" s="1"/>
  <c r="B601" s="1"/>
  <c r="B602" s="1"/>
  <c r="B603" s="1"/>
  <c r="B604" s="1"/>
  <c r="B605" s="1"/>
  <c r="B606" s="1"/>
  <c r="B607" s="1"/>
  <c r="B608" s="1"/>
  <c r="B609" s="1"/>
  <c r="B610" s="1"/>
  <c r="B611" s="1"/>
  <c r="B612" s="1"/>
  <c r="B613" s="1"/>
  <c r="B614" s="1"/>
  <c r="B615" s="1"/>
  <c r="B616" s="1"/>
  <c r="B617" s="1"/>
  <c r="B618" s="1"/>
  <c r="B619" s="1"/>
  <c r="B620" s="1"/>
  <c r="B621" s="1"/>
  <c r="B622" s="1"/>
  <c r="B623" s="1"/>
  <c r="B624" s="1"/>
  <c r="A596"/>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Q61" i="182" l="1"/>
  <c r="Q58"/>
  <c r="Q39"/>
  <c r="Q40"/>
  <c r="Q37"/>
  <c r="Q35"/>
  <c r="Q62"/>
  <c r="Q34"/>
  <c r="Q56"/>
  <c r="Q57"/>
  <c r="Q55"/>
  <c r="Q33"/>
  <c r="Q38"/>
  <c r="Q60"/>
  <c r="Q32"/>
  <c r="Q59"/>
  <c r="Q53"/>
  <c r="Q54"/>
  <c r="Q41"/>
  <c r="Q36"/>
  <c r="C692" i="175"/>
  <c r="D691"/>
  <c r="D596"/>
  <c r="C598"/>
  <c r="D597"/>
  <c r="D595"/>
  <c r="E534"/>
  <c r="C534"/>
  <c r="C535" s="1"/>
  <c r="B534"/>
  <c r="B535" s="1"/>
  <c r="B536" s="1"/>
  <c r="B537" s="1"/>
  <c r="B538" s="1"/>
  <c r="B539" s="1"/>
  <c r="B540" s="1"/>
  <c r="B541" s="1"/>
  <c r="B542" s="1"/>
  <c r="B543" s="1"/>
  <c r="B544" s="1"/>
  <c r="B545" s="1"/>
  <c r="B546" s="1"/>
  <c r="B547" s="1"/>
  <c r="B548" s="1"/>
  <c r="B549" s="1"/>
  <c r="B550" s="1"/>
  <c r="B551" s="1"/>
  <c r="B552" s="1"/>
  <c r="B553" s="1"/>
  <c r="B554" s="1"/>
  <c r="B555" s="1"/>
  <c r="B556" s="1"/>
  <c r="B557" s="1"/>
  <c r="B558" s="1"/>
  <c r="B559" s="1"/>
  <c r="B560" s="1"/>
  <c r="B561" s="1"/>
  <c r="B562" s="1"/>
  <c r="A534"/>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Q63" i="182" l="1"/>
  <c r="Q64" s="1"/>
  <c r="E535" i="175"/>
  <c r="E536" s="1"/>
  <c r="E537" s="1"/>
  <c r="E538" s="1"/>
  <c r="E539" s="1"/>
  <c r="E540" s="1"/>
  <c r="E541" s="1"/>
  <c r="E542" s="1"/>
  <c r="E543" s="1"/>
  <c r="E544" s="1"/>
  <c r="E545" s="1"/>
  <c r="E546" s="1"/>
  <c r="E547" s="1"/>
  <c r="E548" s="1"/>
  <c r="E549" s="1"/>
  <c r="E550" s="1"/>
  <c r="E551" s="1"/>
  <c r="E552" s="1"/>
  <c r="E553" s="1"/>
  <c r="E554" s="1"/>
  <c r="E555" s="1"/>
  <c r="E556" s="1"/>
  <c r="E557" s="1"/>
  <c r="E558" s="1"/>
  <c r="E559" s="1"/>
  <c r="E560" s="1"/>
  <c r="E561" s="1"/>
  <c r="E562" s="1"/>
  <c r="E594"/>
  <c r="D534"/>
  <c r="C693"/>
  <c r="D692"/>
  <c r="C599"/>
  <c r="D598"/>
  <c r="C536"/>
  <c r="D535"/>
  <c r="D533"/>
  <c r="E503"/>
  <c r="E504" s="1"/>
  <c r="E505" s="1"/>
  <c r="E506" s="1"/>
  <c r="E507" s="1"/>
  <c r="E508" s="1"/>
  <c r="E509" s="1"/>
  <c r="E510" s="1"/>
  <c r="E511" s="1"/>
  <c r="E512" s="1"/>
  <c r="E513" s="1"/>
  <c r="E514" s="1"/>
  <c r="E515" s="1"/>
  <c r="E516" s="1"/>
  <c r="E517" s="1"/>
  <c r="E518" s="1"/>
  <c r="E519" s="1"/>
  <c r="E520" s="1"/>
  <c r="E521" s="1"/>
  <c r="E522" s="1"/>
  <c r="E523" s="1"/>
  <c r="E524" s="1"/>
  <c r="E525" s="1"/>
  <c r="E526" s="1"/>
  <c r="E527" s="1"/>
  <c r="E528" s="1"/>
  <c r="E529" s="1"/>
  <c r="E530" s="1"/>
  <c r="E531" s="1"/>
  <c r="C503"/>
  <c r="C504" s="1"/>
  <c r="B503"/>
  <c r="B504" s="1"/>
  <c r="B505" s="1"/>
  <c r="B506" s="1"/>
  <c r="B507" s="1"/>
  <c r="B508" s="1"/>
  <c r="B509" s="1"/>
  <c r="B510" s="1"/>
  <c r="B511" s="1"/>
  <c r="B512" s="1"/>
  <c r="B513" s="1"/>
  <c r="B514" s="1"/>
  <c r="B515" s="1"/>
  <c r="B516" s="1"/>
  <c r="B517" s="1"/>
  <c r="B518" s="1"/>
  <c r="B519" s="1"/>
  <c r="B520" s="1"/>
  <c r="B521" s="1"/>
  <c r="B522" s="1"/>
  <c r="B523" s="1"/>
  <c r="B524" s="1"/>
  <c r="B525" s="1"/>
  <c r="B526" s="1"/>
  <c r="B527" s="1"/>
  <c r="B528" s="1"/>
  <c r="B529" s="1"/>
  <c r="B530" s="1"/>
  <c r="B531" s="1"/>
  <c r="A503"/>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D503" l="1"/>
  <c r="C694"/>
  <c r="D693"/>
  <c r="C600"/>
  <c r="D599"/>
  <c r="C537"/>
  <c r="D536"/>
  <c r="C505"/>
  <c r="D504"/>
  <c r="D502"/>
  <c r="E441"/>
  <c r="B35" i="190" s="1"/>
  <c r="C441" i="175"/>
  <c r="C442" s="1"/>
  <c r="B441"/>
  <c r="B442" s="1"/>
  <c r="B443" s="1"/>
  <c r="B444" s="1"/>
  <c r="B445" s="1"/>
  <c r="B446" s="1"/>
  <c r="B447" s="1"/>
  <c r="B448" s="1"/>
  <c r="B449" s="1"/>
  <c r="B450" s="1"/>
  <c r="B451" s="1"/>
  <c r="B452" s="1"/>
  <c r="B453" s="1"/>
  <c r="B454" s="1"/>
  <c r="B455" s="1"/>
  <c r="B456" s="1"/>
  <c r="B457" s="1"/>
  <c r="B458" s="1"/>
  <c r="B459" s="1"/>
  <c r="B460" s="1"/>
  <c r="B461" s="1"/>
  <c r="B462" s="1"/>
  <c r="B463" s="1"/>
  <c r="B464" s="1"/>
  <c r="B465" s="1"/>
  <c r="B466" s="1"/>
  <c r="B467" s="1"/>
  <c r="B468" s="1"/>
  <c r="B469" s="1"/>
  <c r="A44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E442" l="1"/>
  <c r="E501"/>
  <c r="B69" i="190" s="1"/>
  <c r="D441" i="175"/>
  <c r="A35" i="190" s="1"/>
  <c r="C695" i="175"/>
  <c r="D694"/>
  <c r="C601"/>
  <c r="D600"/>
  <c r="C538"/>
  <c r="D537"/>
  <c r="C506"/>
  <c r="D505"/>
  <c r="C443"/>
  <c r="D442"/>
  <c r="A36" i="190" s="1"/>
  <c r="D440" i="175"/>
  <c r="A34" i="190" s="1"/>
  <c r="E410" i="175"/>
  <c r="C410"/>
  <c r="C411" s="1"/>
  <c r="B410"/>
  <c r="B411" s="1"/>
  <c r="B412" s="1"/>
  <c r="B413" s="1"/>
  <c r="B414" s="1"/>
  <c r="B415" s="1"/>
  <c r="B416" s="1"/>
  <c r="B417" s="1"/>
  <c r="B418" s="1"/>
  <c r="B419" s="1"/>
  <c r="B420" s="1"/>
  <c r="B421" s="1"/>
  <c r="B422" s="1"/>
  <c r="B423" s="1"/>
  <c r="B424" s="1"/>
  <c r="B425" s="1"/>
  <c r="B426" s="1"/>
  <c r="B427" s="1"/>
  <c r="B428" s="1"/>
  <c r="B429" s="1"/>
  <c r="B430" s="1"/>
  <c r="B431" s="1"/>
  <c r="B432" s="1"/>
  <c r="B433" s="1"/>
  <c r="B434" s="1"/>
  <c r="B435" s="1"/>
  <c r="B436" s="1"/>
  <c r="B437" s="1"/>
  <c r="B438" s="1"/>
  <c r="A410"/>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E443" l="1"/>
  <c r="B36" i="190"/>
  <c r="E411" i="175"/>
  <c r="B4" i="190"/>
  <c r="D410" i="175"/>
  <c r="A4" i="190" s="1"/>
  <c r="C696" i="175"/>
  <c r="D695"/>
  <c r="C602"/>
  <c r="D601"/>
  <c r="C539"/>
  <c r="D538"/>
  <c r="C507"/>
  <c r="D506"/>
  <c r="C444"/>
  <c r="D443"/>
  <c r="A37" i="190" s="1"/>
  <c r="C412" i="175"/>
  <c r="D411"/>
  <c r="A5" i="190" s="1"/>
  <c r="D409" i="175"/>
  <c r="A3" i="190" s="1"/>
  <c r="E378" i="175"/>
  <c r="E379" s="1"/>
  <c r="E380" s="1"/>
  <c r="E381" s="1"/>
  <c r="E382" s="1"/>
  <c r="E383" s="1"/>
  <c r="E384" s="1"/>
  <c r="E385" s="1"/>
  <c r="E386" s="1"/>
  <c r="E387" s="1"/>
  <c r="E388" s="1"/>
  <c r="E389" s="1"/>
  <c r="E390" s="1"/>
  <c r="E391" s="1"/>
  <c r="E392" s="1"/>
  <c r="E393" s="1"/>
  <c r="E394" s="1"/>
  <c r="E395" s="1"/>
  <c r="E396" s="1"/>
  <c r="E397" s="1"/>
  <c r="E398" s="1"/>
  <c r="E399" s="1"/>
  <c r="E400" s="1"/>
  <c r="E401" s="1"/>
  <c r="E402" s="1"/>
  <c r="E403" s="1"/>
  <c r="E404" s="1"/>
  <c r="E405" s="1"/>
  <c r="E406" s="1"/>
  <c r="C378"/>
  <c r="C379" s="1"/>
  <c r="B378"/>
  <c r="B379" s="1"/>
  <c r="B380" s="1"/>
  <c r="B381" s="1"/>
  <c r="B382" s="1"/>
  <c r="B383" s="1"/>
  <c r="B384" s="1"/>
  <c r="B385" s="1"/>
  <c r="B386" s="1"/>
  <c r="B387" s="1"/>
  <c r="B388" s="1"/>
  <c r="B389" s="1"/>
  <c r="B390" s="1"/>
  <c r="B391" s="1"/>
  <c r="B392" s="1"/>
  <c r="B393" s="1"/>
  <c r="B394" s="1"/>
  <c r="B395" s="1"/>
  <c r="B396" s="1"/>
  <c r="B397" s="1"/>
  <c r="B398" s="1"/>
  <c r="B399" s="1"/>
  <c r="B400" s="1"/>
  <c r="B401" s="1"/>
  <c r="B402" s="1"/>
  <c r="B403" s="1"/>
  <c r="B404" s="1"/>
  <c r="B405" s="1"/>
  <c r="B406" s="1"/>
  <c r="A378"/>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E412" l="1"/>
  <c r="B5" i="190"/>
  <c r="E444" i="175"/>
  <c r="B37" i="190"/>
  <c r="D378" i="175"/>
  <c r="C697"/>
  <c r="D696"/>
  <c r="C603"/>
  <c r="D602"/>
  <c r="C540"/>
  <c r="D539"/>
  <c r="C508"/>
  <c r="D507"/>
  <c r="C445"/>
  <c r="D444"/>
  <c r="A38" i="190" s="1"/>
  <c r="C413" i="175"/>
  <c r="D412"/>
  <c r="A6" i="190" s="1"/>
  <c r="C380" i="175"/>
  <c r="D379"/>
  <c r="D377"/>
  <c r="E347"/>
  <c r="E348" s="1"/>
  <c r="E349" s="1"/>
  <c r="E350" s="1"/>
  <c r="E351" s="1"/>
  <c r="E352" s="1"/>
  <c r="E353" s="1"/>
  <c r="E354" s="1"/>
  <c r="E355" s="1"/>
  <c r="E356" s="1"/>
  <c r="E357" s="1"/>
  <c r="E358" s="1"/>
  <c r="E359" s="1"/>
  <c r="E360" s="1"/>
  <c r="E361" s="1"/>
  <c r="E362" s="1"/>
  <c r="E363" s="1"/>
  <c r="E364" s="1"/>
  <c r="E365" s="1"/>
  <c r="E366" s="1"/>
  <c r="E367" s="1"/>
  <c r="E368" s="1"/>
  <c r="E369" s="1"/>
  <c r="E370" s="1"/>
  <c r="E371" s="1"/>
  <c r="E372" s="1"/>
  <c r="E373" s="1"/>
  <c r="E374" s="1"/>
  <c r="E375" s="1"/>
  <c r="C347"/>
  <c r="C348" s="1"/>
  <c r="B347"/>
  <c r="B348" s="1"/>
  <c r="B349" s="1"/>
  <c r="B350" s="1"/>
  <c r="B351" s="1"/>
  <c r="B352" s="1"/>
  <c r="B353" s="1"/>
  <c r="B354" s="1"/>
  <c r="B355" s="1"/>
  <c r="B356" s="1"/>
  <c r="B357" s="1"/>
  <c r="B358" s="1"/>
  <c r="B359" s="1"/>
  <c r="B360" s="1"/>
  <c r="B361" s="1"/>
  <c r="B362" s="1"/>
  <c r="B363" s="1"/>
  <c r="B364" s="1"/>
  <c r="B365" s="1"/>
  <c r="B366" s="1"/>
  <c r="B367" s="1"/>
  <c r="B368" s="1"/>
  <c r="B369" s="1"/>
  <c r="B370" s="1"/>
  <c r="B371" s="1"/>
  <c r="B372" s="1"/>
  <c r="B373" s="1"/>
  <c r="B374" s="1"/>
  <c r="B375" s="1"/>
  <c r="A347"/>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E445" l="1"/>
  <c r="B38" i="190"/>
  <c r="E413" i="175"/>
  <c r="B6" i="190"/>
  <c r="D347" i="175"/>
  <c r="C698"/>
  <c r="D697"/>
  <c r="C604"/>
  <c r="D603"/>
  <c r="C541"/>
  <c r="D540"/>
  <c r="C509"/>
  <c r="D508"/>
  <c r="C446"/>
  <c r="D445"/>
  <c r="A39" i="190" s="1"/>
  <c r="C414" i="175"/>
  <c r="D413"/>
  <c r="A7" i="190" s="1"/>
  <c r="C381" i="175"/>
  <c r="D380"/>
  <c r="C349"/>
  <c r="D348"/>
  <c r="D346"/>
  <c r="E316"/>
  <c r="E317" s="1"/>
  <c r="E318" s="1"/>
  <c r="E319" s="1"/>
  <c r="E320" s="1"/>
  <c r="E321" s="1"/>
  <c r="E322" s="1"/>
  <c r="E323" s="1"/>
  <c r="E324" s="1"/>
  <c r="E325" s="1"/>
  <c r="E326" s="1"/>
  <c r="E327" s="1"/>
  <c r="E328" s="1"/>
  <c r="E329" s="1"/>
  <c r="E330" s="1"/>
  <c r="E331" s="1"/>
  <c r="E332" s="1"/>
  <c r="E333" s="1"/>
  <c r="E334" s="1"/>
  <c r="E335" s="1"/>
  <c r="E336" s="1"/>
  <c r="E337" s="1"/>
  <c r="E338" s="1"/>
  <c r="E339" s="1"/>
  <c r="E340" s="1"/>
  <c r="E341" s="1"/>
  <c r="E342" s="1"/>
  <c r="E343" s="1"/>
  <c r="E344" s="1"/>
  <c r="C316"/>
  <c r="C317" s="1"/>
  <c r="B316"/>
  <c r="B317" s="1"/>
  <c r="B318" s="1"/>
  <c r="B319" s="1"/>
  <c r="B320" s="1"/>
  <c r="B321" s="1"/>
  <c r="B322" s="1"/>
  <c r="B323" s="1"/>
  <c r="B324" s="1"/>
  <c r="B325" s="1"/>
  <c r="B326" s="1"/>
  <c r="B327" s="1"/>
  <c r="B328" s="1"/>
  <c r="B329" s="1"/>
  <c r="B330" s="1"/>
  <c r="B331" s="1"/>
  <c r="B332" s="1"/>
  <c r="B333" s="1"/>
  <c r="B334" s="1"/>
  <c r="B335" s="1"/>
  <c r="B336" s="1"/>
  <c r="B337" s="1"/>
  <c r="B338" s="1"/>
  <c r="B339" s="1"/>
  <c r="B340" s="1"/>
  <c r="B341" s="1"/>
  <c r="B342" s="1"/>
  <c r="B343" s="1"/>
  <c r="B344" s="1"/>
  <c r="A316"/>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E414" l="1"/>
  <c r="B7" i="190"/>
  <c r="E446" i="175"/>
  <c r="B39" i="190"/>
  <c r="D316" i="175"/>
  <c r="C699"/>
  <c r="D698"/>
  <c r="C605"/>
  <c r="D604"/>
  <c r="C542"/>
  <c r="D541"/>
  <c r="C510"/>
  <c r="D509"/>
  <c r="C447"/>
  <c r="D446"/>
  <c r="A40" i="190" s="1"/>
  <c r="C415" i="175"/>
  <c r="D414"/>
  <c r="A8" i="190" s="1"/>
  <c r="C382" i="175"/>
  <c r="D381"/>
  <c r="C350"/>
  <c r="D349"/>
  <c r="C318"/>
  <c r="D317"/>
  <c r="D315"/>
  <c r="E285"/>
  <c r="E286" s="1"/>
  <c r="E287" s="1"/>
  <c r="E288" s="1"/>
  <c r="E289" s="1"/>
  <c r="E290" s="1"/>
  <c r="E291" s="1"/>
  <c r="E292" s="1"/>
  <c r="E293" s="1"/>
  <c r="E294" s="1"/>
  <c r="E295" s="1"/>
  <c r="E296" s="1"/>
  <c r="E297" s="1"/>
  <c r="E298" s="1"/>
  <c r="E299" s="1"/>
  <c r="E300" s="1"/>
  <c r="E301" s="1"/>
  <c r="E302" s="1"/>
  <c r="E303" s="1"/>
  <c r="E304" s="1"/>
  <c r="E305" s="1"/>
  <c r="E306" s="1"/>
  <c r="E307" s="1"/>
  <c r="E308" s="1"/>
  <c r="E309" s="1"/>
  <c r="E310" s="1"/>
  <c r="E311" s="1"/>
  <c r="E312" s="1"/>
  <c r="E313" s="1"/>
  <c r="C285"/>
  <c r="C286" s="1"/>
  <c r="B285"/>
  <c r="B286" s="1"/>
  <c r="B287" s="1"/>
  <c r="B288" s="1"/>
  <c r="B289" s="1"/>
  <c r="B290" s="1"/>
  <c r="B291" s="1"/>
  <c r="B292" s="1"/>
  <c r="B293" s="1"/>
  <c r="B294" s="1"/>
  <c r="B295" s="1"/>
  <c r="B296" s="1"/>
  <c r="B297" s="1"/>
  <c r="B298" s="1"/>
  <c r="B299" s="1"/>
  <c r="B300" s="1"/>
  <c r="B301" s="1"/>
  <c r="B302" s="1"/>
  <c r="B303" s="1"/>
  <c r="B304" s="1"/>
  <c r="B305" s="1"/>
  <c r="B306" s="1"/>
  <c r="B307" s="1"/>
  <c r="B308" s="1"/>
  <c r="B309" s="1"/>
  <c r="B310" s="1"/>
  <c r="B311" s="1"/>
  <c r="B312" s="1"/>
  <c r="B313" s="1"/>
  <c r="A285"/>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E447" l="1"/>
  <c r="B40" i="190"/>
  <c r="E415" i="175"/>
  <c r="B8" i="190"/>
  <c r="D285" i="175"/>
  <c r="C700"/>
  <c r="D699"/>
  <c r="C606"/>
  <c r="D605"/>
  <c r="C543"/>
  <c r="D542"/>
  <c r="C511"/>
  <c r="D510"/>
  <c r="C448"/>
  <c r="D447"/>
  <c r="A41" i="190" s="1"/>
  <c r="C416" i="175"/>
  <c r="D415"/>
  <c r="A9" i="190" s="1"/>
  <c r="C383" i="175"/>
  <c r="D382"/>
  <c r="C351"/>
  <c r="D350"/>
  <c r="C319"/>
  <c r="D318"/>
  <c r="C287"/>
  <c r="D286"/>
  <c r="D284"/>
  <c r="E254"/>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282" s="1"/>
  <c r="C254"/>
  <c r="C255" s="1"/>
  <c r="B254"/>
  <c r="B255" s="1"/>
  <c r="B256" s="1"/>
  <c r="B257" s="1"/>
  <c r="B258" s="1"/>
  <c r="B259" s="1"/>
  <c r="B260" s="1"/>
  <c r="B261" s="1"/>
  <c r="B262" s="1"/>
  <c r="B263" s="1"/>
  <c r="B264" s="1"/>
  <c r="B265" s="1"/>
  <c r="B266" s="1"/>
  <c r="B267" s="1"/>
  <c r="B268" s="1"/>
  <c r="B269" s="1"/>
  <c r="B270" s="1"/>
  <c r="B271" s="1"/>
  <c r="B272" s="1"/>
  <c r="B273" s="1"/>
  <c r="B274" s="1"/>
  <c r="B275" s="1"/>
  <c r="B276" s="1"/>
  <c r="B277" s="1"/>
  <c r="B278" s="1"/>
  <c r="B279" s="1"/>
  <c r="B280" s="1"/>
  <c r="B281" s="1"/>
  <c r="B282" s="1"/>
  <c r="A254"/>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E448" l="1"/>
  <c r="B41" i="190"/>
  <c r="E416" i="175"/>
  <c r="B9" i="190"/>
  <c r="D254" i="175"/>
  <c r="C701"/>
  <c r="D700"/>
  <c r="C607"/>
  <c r="D606"/>
  <c r="C544"/>
  <c r="D543"/>
  <c r="C512"/>
  <c r="D511"/>
  <c r="C449"/>
  <c r="D448"/>
  <c r="A42" i="190" s="1"/>
  <c r="C417" i="175"/>
  <c r="D416"/>
  <c r="A10" i="190" s="1"/>
  <c r="C384" i="175"/>
  <c r="D383"/>
  <c r="C352"/>
  <c r="D351"/>
  <c r="C320"/>
  <c r="D319"/>
  <c r="C288"/>
  <c r="D287"/>
  <c r="C256"/>
  <c r="D255"/>
  <c r="D253"/>
  <c r="E223"/>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C223"/>
  <c r="C224" s="1"/>
  <c r="B223"/>
  <c r="B224" s="1"/>
  <c r="B225" s="1"/>
  <c r="B226" s="1"/>
  <c r="B227" s="1"/>
  <c r="B228" s="1"/>
  <c r="B229" s="1"/>
  <c r="B230" s="1"/>
  <c r="B231" s="1"/>
  <c r="B232" s="1"/>
  <c r="B233" s="1"/>
  <c r="B234" s="1"/>
  <c r="B235" s="1"/>
  <c r="B236" s="1"/>
  <c r="B237" s="1"/>
  <c r="B238" s="1"/>
  <c r="B239" s="1"/>
  <c r="B240" s="1"/>
  <c r="B241" s="1"/>
  <c r="B242" s="1"/>
  <c r="B243" s="1"/>
  <c r="B244" s="1"/>
  <c r="B245" s="1"/>
  <c r="B246" s="1"/>
  <c r="B247" s="1"/>
  <c r="B248" s="1"/>
  <c r="B249" s="1"/>
  <c r="B250" s="1"/>
  <c r="B251" s="1"/>
  <c r="A223"/>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E417" l="1"/>
  <c r="B10" i="190"/>
  <c r="E449" i="175"/>
  <c r="B42" i="190"/>
  <c r="D223" i="175"/>
  <c r="C702"/>
  <c r="D701"/>
  <c r="C608"/>
  <c r="D607"/>
  <c r="C545"/>
  <c r="D544"/>
  <c r="C513"/>
  <c r="D512"/>
  <c r="C450"/>
  <c r="D449"/>
  <c r="A43" i="190" s="1"/>
  <c r="C418" i="175"/>
  <c r="D417"/>
  <c r="A11" i="190" s="1"/>
  <c r="C385" i="175"/>
  <c r="D384"/>
  <c r="C353"/>
  <c r="D352"/>
  <c r="C321"/>
  <c r="D320"/>
  <c r="C289"/>
  <c r="D288"/>
  <c r="C257"/>
  <c r="D256"/>
  <c r="C225"/>
  <c r="D224"/>
  <c r="D222"/>
  <c r="E192"/>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C192"/>
  <c r="C193" s="1"/>
  <c r="B192"/>
  <c r="B193" s="1"/>
  <c r="B194" s="1"/>
  <c r="B195" s="1"/>
  <c r="B196" s="1"/>
  <c r="B197" s="1"/>
  <c r="B198" s="1"/>
  <c r="B199" s="1"/>
  <c r="B200" s="1"/>
  <c r="B201" s="1"/>
  <c r="B202" s="1"/>
  <c r="B203" s="1"/>
  <c r="B204" s="1"/>
  <c r="B205" s="1"/>
  <c r="B206" s="1"/>
  <c r="B207" s="1"/>
  <c r="B208" s="1"/>
  <c r="B209" s="1"/>
  <c r="B210" s="1"/>
  <c r="B211" s="1"/>
  <c r="B212" s="1"/>
  <c r="B213" s="1"/>
  <c r="B214" s="1"/>
  <c r="B215" s="1"/>
  <c r="B216" s="1"/>
  <c r="B217" s="1"/>
  <c r="B218" s="1"/>
  <c r="B219" s="1"/>
  <c r="B220" s="1"/>
  <c r="A192"/>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E450" l="1"/>
  <c r="B43" i="190"/>
  <c r="E418" i="175"/>
  <c r="B11" i="190"/>
  <c r="D192" i="175"/>
  <c r="C703"/>
  <c r="D702"/>
  <c r="C609"/>
  <c r="D608"/>
  <c r="C546"/>
  <c r="D545"/>
  <c r="C514"/>
  <c r="D513"/>
  <c r="C451"/>
  <c r="D450"/>
  <c r="A44" i="190" s="1"/>
  <c r="C419" i="175"/>
  <c r="D418"/>
  <c r="A12" i="190" s="1"/>
  <c r="C386" i="175"/>
  <c r="D385"/>
  <c r="C354"/>
  <c r="D353"/>
  <c r="C322"/>
  <c r="D321"/>
  <c r="C290"/>
  <c r="D289"/>
  <c r="C258"/>
  <c r="D257"/>
  <c r="C226"/>
  <c r="D225"/>
  <c r="C194"/>
  <c r="D193"/>
  <c r="D191"/>
  <c r="E16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C161"/>
  <c r="C162" s="1"/>
  <c r="B16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A16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E419" l="1"/>
  <c r="B12" i="190"/>
  <c r="E451" i="175"/>
  <c r="B44" i="190"/>
  <c r="D161" i="175"/>
  <c r="C704"/>
  <c r="D703"/>
  <c r="C610"/>
  <c r="D609"/>
  <c r="C547"/>
  <c r="D546"/>
  <c r="C515"/>
  <c r="D514"/>
  <c r="C452"/>
  <c r="D451"/>
  <c r="A45" i="190" s="1"/>
  <c r="C420" i="175"/>
  <c r="D419"/>
  <c r="A13" i="190" s="1"/>
  <c r="C387" i="175"/>
  <c r="D386"/>
  <c r="C355"/>
  <c r="D354"/>
  <c r="C323"/>
  <c r="D322"/>
  <c r="C291"/>
  <c r="D290"/>
  <c r="C259"/>
  <c r="D258"/>
  <c r="C227"/>
  <c r="D226"/>
  <c r="C195"/>
  <c r="D194"/>
  <c r="C163"/>
  <c r="D162"/>
  <c r="D160"/>
  <c r="E159"/>
  <c r="E130"/>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C130"/>
  <c r="C131" s="1"/>
  <c r="E420" l="1"/>
  <c r="B13" i="190"/>
  <c r="E452" i="175"/>
  <c r="B45" i="190"/>
  <c r="D130" i="175"/>
  <c r="C705"/>
  <c r="D704"/>
  <c r="C611"/>
  <c r="D610"/>
  <c r="C548"/>
  <c r="D547"/>
  <c r="C516"/>
  <c r="D515"/>
  <c r="C453"/>
  <c r="D452"/>
  <c r="A46" i="190" s="1"/>
  <c r="C421" i="175"/>
  <c r="D420"/>
  <c r="A14" i="190" s="1"/>
  <c r="C388" i="175"/>
  <c r="D387"/>
  <c r="C356"/>
  <c r="D355"/>
  <c r="C324"/>
  <c r="D323"/>
  <c r="C292"/>
  <c r="D291"/>
  <c r="C260"/>
  <c r="D259"/>
  <c r="C228"/>
  <c r="D227"/>
  <c r="C196"/>
  <c r="D195"/>
  <c r="C164"/>
  <c r="D163"/>
  <c r="C132"/>
  <c r="D131"/>
  <c r="D129"/>
  <c r="B130"/>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A130"/>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E687"/>
  <c r="B657"/>
  <c r="A657"/>
  <c r="E658"/>
  <c r="E659" s="1"/>
  <c r="E660" s="1"/>
  <c r="E661" s="1"/>
  <c r="E662" s="1"/>
  <c r="E663" s="1"/>
  <c r="E664" s="1"/>
  <c r="E665" s="1"/>
  <c r="E666" s="1"/>
  <c r="E667" s="1"/>
  <c r="E668" s="1"/>
  <c r="E669" s="1"/>
  <c r="E670" s="1"/>
  <c r="E671" s="1"/>
  <c r="E672" s="1"/>
  <c r="E673" s="1"/>
  <c r="E674" s="1"/>
  <c r="E675" s="1"/>
  <c r="E676" s="1"/>
  <c r="E677" s="1"/>
  <c r="E678" s="1"/>
  <c r="E679" s="1"/>
  <c r="E680" s="1"/>
  <c r="E681" s="1"/>
  <c r="E682" s="1"/>
  <c r="E683" s="1"/>
  <c r="E684" s="1"/>
  <c r="E685" s="1"/>
  <c r="E686" s="1"/>
  <c r="C658"/>
  <c r="C659" s="1"/>
  <c r="E453" l="1"/>
  <c r="B46" i="190"/>
  <c r="E421" i="175"/>
  <c r="B14" i="190"/>
  <c r="C706" i="175"/>
  <c r="D705"/>
  <c r="C612"/>
  <c r="D611"/>
  <c r="C549"/>
  <c r="D548"/>
  <c r="C517"/>
  <c r="D516"/>
  <c r="C454"/>
  <c r="D453"/>
  <c r="A47" i="190" s="1"/>
  <c r="C422" i="175"/>
  <c r="D421"/>
  <c r="A15" i="190" s="1"/>
  <c r="C389" i="175"/>
  <c r="D388"/>
  <c r="C357"/>
  <c r="D356"/>
  <c r="C325"/>
  <c r="D324"/>
  <c r="C293"/>
  <c r="D292"/>
  <c r="C261"/>
  <c r="D260"/>
  <c r="C229"/>
  <c r="D228"/>
  <c r="C197"/>
  <c r="D196"/>
  <c r="C165"/>
  <c r="D164"/>
  <c r="D658"/>
  <c r="C133"/>
  <c r="D132"/>
  <c r="C660"/>
  <c r="D659"/>
  <c r="D657"/>
  <c r="B658"/>
  <c r="B659" s="1"/>
  <c r="B660" s="1"/>
  <c r="B661" s="1"/>
  <c r="B662" s="1"/>
  <c r="B663" s="1"/>
  <c r="B664" s="1"/>
  <c r="B665" s="1"/>
  <c r="B666" s="1"/>
  <c r="B667" s="1"/>
  <c r="B668" s="1"/>
  <c r="B669" s="1"/>
  <c r="B670" s="1"/>
  <c r="B671" s="1"/>
  <c r="B672" s="1"/>
  <c r="B673" s="1"/>
  <c r="B674" s="1"/>
  <c r="B675" s="1"/>
  <c r="B676" s="1"/>
  <c r="B677" s="1"/>
  <c r="B678" s="1"/>
  <c r="B679" s="1"/>
  <c r="B680" s="1"/>
  <c r="B681" s="1"/>
  <c r="B682" s="1"/>
  <c r="B683" s="1"/>
  <c r="B684" s="1"/>
  <c r="B685" s="1"/>
  <c r="B686" s="1"/>
  <c r="A658"/>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B96"/>
  <c r="A96"/>
  <c r="E97"/>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C97"/>
  <c r="C98" s="1"/>
  <c r="E454" l="1"/>
  <c r="B47" i="190"/>
  <c r="E422" i="175"/>
  <c r="B15" i="190"/>
  <c r="C707" i="175"/>
  <c r="D706"/>
  <c r="C613"/>
  <c r="D612"/>
  <c r="C550"/>
  <c r="D549"/>
  <c r="C518"/>
  <c r="D517"/>
  <c r="C455"/>
  <c r="D454"/>
  <c r="A48" i="190" s="1"/>
  <c r="C423" i="175"/>
  <c r="D422"/>
  <c r="A16" i="190" s="1"/>
  <c r="C390" i="175"/>
  <c r="D389"/>
  <c r="C358"/>
  <c r="D357"/>
  <c r="C326"/>
  <c r="D325"/>
  <c r="C294"/>
  <c r="D293"/>
  <c r="C262"/>
  <c r="D261"/>
  <c r="C230"/>
  <c r="D229"/>
  <c r="C198"/>
  <c r="D197"/>
  <c r="C166"/>
  <c r="D165"/>
  <c r="D97"/>
  <c r="C134"/>
  <c r="D133"/>
  <c r="C661"/>
  <c r="D660"/>
  <c r="C99"/>
  <c r="D98"/>
  <c r="D96"/>
  <c r="B97"/>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A97"/>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B65"/>
  <c r="A65"/>
  <c r="E66"/>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C66"/>
  <c r="C67" s="1"/>
  <c r="E455" l="1"/>
  <c r="B48" i="190"/>
  <c r="E423" i="175"/>
  <c r="B16" i="190"/>
  <c r="C708" i="175"/>
  <c r="D707"/>
  <c r="C614"/>
  <c r="D613"/>
  <c r="C551"/>
  <c r="D550"/>
  <c r="C519"/>
  <c r="D518"/>
  <c r="C456"/>
  <c r="D455"/>
  <c r="A49" i="190" s="1"/>
  <c r="C424" i="175"/>
  <c r="D423"/>
  <c r="A17" i="190" s="1"/>
  <c r="C391" i="175"/>
  <c r="D390"/>
  <c r="C359"/>
  <c r="D358"/>
  <c r="C327"/>
  <c r="D326"/>
  <c r="C295"/>
  <c r="D294"/>
  <c r="C263"/>
  <c r="D262"/>
  <c r="C231"/>
  <c r="D230"/>
  <c r="C199"/>
  <c r="D198"/>
  <c r="C167"/>
  <c r="D166"/>
  <c r="D66"/>
  <c r="C135"/>
  <c r="D134"/>
  <c r="C662"/>
  <c r="D661"/>
  <c r="C100"/>
  <c r="D99"/>
  <c r="C68"/>
  <c r="D67"/>
  <c r="D65"/>
  <c r="B66"/>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A66"/>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B34"/>
  <c r="A34"/>
  <c r="E35"/>
  <c r="C35"/>
  <c r="C36" s="1"/>
  <c r="E456" l="1"/>
  <c r="B49" i="190"/>
  <c r="E424" i="175"/>
  <c r="B17" i="190"/>
  <c r="C709" i="175"/>
  <c r="D708"/>
  <c r="C615"/>
  <c r="D614"/>
  <c r="C552"/>
  <c r="D551"/>
  <c r="C520"/>
  <c r="D519"/>
  <c r="C457"/>
  <c r="D456"/>
  <c r="A50" i="190" s="1"/>
  <c r="C425" i="175"/>
  <c r="D424"/>
  <c r="A18" i="190" s="1"/>
  <c r="C392" i="175"/>
  <c r="D391"/>
  <c r="C360"/>
  <c r="D359"/>
  <c r="C328"/>
  <c r="D327"/>
  <c r="C296"/>
  <c r="D295"/>
  <c r="C264"/>
  <c r="D263"/>
  <c r="C232"/>
  <c r="D231"/>
  <c r="C200"/>
  <c r="D199"/>
  <c r="C168"/>
  <c r="D167"/>
  <c r="C136"/>
  <c r="D135"/>
  <c r="C663"/>
  <c r="D662"/>
  <c r="C101"/>
  <c r="D100"/>
  <c r="C69"/>
  <c r="D68"/>
  <c r="D35"/>
  <c r="C37"/>
  <c r="D36"/>
  <c r="E36"/>
  <c r="D34"/>
  <c r="B35"/>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A35"/>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D3"/>
  <c r="C4"/>
  <c r="D4" s="1"/>
  <c r="E4"/>
  <c r="E5" s="1"/>
  <c r="E6" s="1"/>
  <c r="E7" s="1"/>
  <c r="E8" s="1"/>
  <c r="E9" s="1"/>
  <c r="E10" s="1"/>
  <c r="E11" s="1"/>
  <c r="E12" s="1"/>
  <c r="E13" s="1"/>
  <c r="E14" s="1"/>
  <c r="E15" s="1"/>
  <c r="E16" s="1"/>
  <c r="E17" s="1"/>
  <c r="E18" s="1"/>
  <c r="E19" s="1"/>
  <c r="E20" s="1"/>
  <c r="E21" s="1"/>
  <c r="E22" s="1"/>
  <c r="E23" s="1"/>
  <c r="E24" s="1"/>
  <c r="E25" s="1"/>
  <c r="E26" s="1"/>
  <c r="E27" s="1"/>
  <c r="E28" s="1"/>
  <c r="E29" s="1"/>
  <c r="E30" s="1"/>
  <c r="E31" s="1"/>
  <c r="E32" s="1"/>
  <c r="B3"/>
  <c r="B4" s="1"/>
  <c r="B5" s="1"/>
  <c r="B6" s="1"/>
  <c r="B7" s="1"/>
  <c r="B8" s="1"/>
  <c r="B9" s="1"/>
  <c r="B10" s="1"/>
  <c r="B11" s="1"/>
  <c r="B12" s="1"/>
  <c r="B13" s="1"/>
  <c r="B14" s="1"/>
  <c r="B15" s="1"/>
  <c r="B16" s="1"/>
  <c r="B17" s="1"/>
  <c r="B18" s="1"/>
  <c r="B19" s="1"/>
  <c r="B20" s="1"/>
  <c r="B21" s="1"/>
  <c r="B22" s="1"/>
  <c r="B23" s="1"/>
  <c r="B24" s="1"/>
  <c r="B25" s="1"/>
  <c r="B26" s="1"/>
  <c r="B27" s="1"/>
  <c r="B28" s="1"/>
  <c r="B29" s="1"/>
  <c r="B30" s="1"/>
  <c r="B31" s="1"/>
  <c r="B32" s="1"/>
  <c r="A3"/>
  <c r="A4" s="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D379" i="118"/>
  <c r="H1" i="17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E425" l="1"/>
  <c r="B18" i="190"/>
  <c r="E457" i="175"/>
  <c r="B50" i="190"/>
  <c r="C710" i="175"/>
  <c r="D709"/>
  <c r="C616"/>
  <c r="D615"/>
  <c r="C553"/>
  <c r="D552"/>
  <c r="C521"/>
  <c r="D520"/>
  <c r="C458"/>
  <c r="D457"/>
  <c r="C426"/>
  <c r="D425"/>
  <c r="A19" i="190" s="1"/>
  <c r="C393" i="175"/>
  <c r="D392"/>
  <c r="C361"/>
  <c r="D360"/>
  <c r="C329"/>
  <c r="D328"/>
  <c r="C297"/>
  <c r="D296"/>
  <c r="C265"/>
  <c r="D264"/>
  <c r="C233"/>
  <c r="D232"/>
  <c r="C201"/>
  <c r="D200"/>
  <c r="C169"/>
  <c r="D168"/>
  <c r="C137"/>
  <c r="D136"/>
  <c r="C664"/>
  <c r="D663"/>
  <c r="C102"/>
  <c r="D101"/>
  <c r="C70"/>
  <c r="D69"/>
  <c r="C5"/>
  <c r="C38"/>
  <c r="D37"/>
  <c r="E37"/>
  <c r="AX54" i="169"/>
  <c r="AX55"/>
  <c r="AX56"/>
  <c r="AX57"/>
  <c r="AX58"/>
  <c r="AX59"/>
  <c r="AX60"/>
  <c r="AX61"/>
  <c r="AX62"/>
  <c r="AX63"/>
  <c r="AX64"/>
  <c r="AX65"/>
  <c r="AX66"/>
  <c r="AX67"/>
  <c r="AX68"/>
  <c r="AX69"/>
  <c r="AX70"/>
  <c r="AX71"/>
  <c r="V54"/>
  <c r="V55"/>
  <c r="V56"/>
  <c r="V57"/>
  <c r="V58"/>
  <c r="V59"/>
  <c r="V60"/>
  <c r="V61"/>
  <c r="V62"/>
  <c r="V63"/>
  <c r="V64"/>
  <c r="V65"/>
  <c r="V66"/>
  <c r="V67"/>
  <c r="V68"/>
  <c r="V69"/>
  <c r="V70"/>
  <c r="V71"/>
  <c r="R54"/>
  <c r="R55"/>
  <c r="R56"/>
  <c r="R57"/>
  <c r="R58"/>
  <c r="R59"/>
  <c r="R60"/>
  <c r="R61"/>
  <c r="R62"/>
  <c r="R63"/>
  <c r="R64"/>
  <c r="R65"/>
  <c r="R66"/>
  <c r="R67"/>
  <c r="R68"/>
  <c r="R69"/>
  <c r="R70"/>
  <c r="R71"/>
  <c r="Q54"/>
  <c r="Q55"/>
  <c r="Q56"/>
  <c r="M49" i="163" s="1"/>
  <c r="Q57" i="169"/>
  <c r="M50" i="163" s="1"/>
  <c r="Q58" i="169"/>
  <c r="Q59"/>
  <c r="Q60"/>
  <c r="M53" i="163" s="1"/>
  <c r="Q61" i="169"/>
  <c r="M54" i="163" s="1"/>
  <c r="Q62" i="169"/>
  <c r="Q63"/>
  <c r="Q64"/>
  <c r="M57" i="163" s="1"/>
  <c r="Q65" i="169"/>
  <c r="M58" i="163" s="1"/>
  <c r="Q66" i="169"/>
  <c r="Q67"/>
  <c r="Q68"/>
  <c r="Q69"/>
  <c r="Q70"/>
  <c r="Q71"/>
  <c r="M19" i="163"/>
  <c r="AN20"/>
  <c r="AN21"/>
  <c r="AN19"/>
  <c r="AH19"/>
  <c r="AH20"/>
  <c r="AH21"/>
  <c r="AH22"/>
  <c r="AH23"/>
  <c r="AH24"/>
  <c r="M20"/>
  <c r="M21"/>
  <c r="M22"/>
  <c r="M23"/>
  <c r="M24"/>
  <c r="M25"/>
  <c r="M26"/>
  <c r="M27"/>
  <c r="M28"/>
  <c r="M29"/>
  <c r="M30"/>
  <c r="M31"/>
  <c r="M32"/>
  <c r="M33"/>
  <c r="M34"/>
  <c r="M35"/>
  <c r="M36"/>
  <c r="M37"/>
  <c r="M38"/>
  <c r="M39"/>
  <c r="M40"/>
  <c r="M41"/>
  <c r="M42"/>
  <c r="M43"/>
  <c r="M44"/>
  <c r="M45"/>
  <c r="M46"/>
  <c r="M47"/>
  <c r="M48"/>
  <c r="M51"/>
  <c r="M52"/>
  <c r="M55"/>
  <c r="M56"/>
  <c r="M59"/>
  <c r="AN22" i="154"/>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21"/>
  <c r="G4" i="170"/>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F4"/>
  <c r="BC27" i="154"/>
  <c r="BC28" s="1"/>
  <c r="BC29" s="1"/>
  <c r="BC30" s="1"/>
  <c r="BC31" s="1"/>
  <c r="BC32" s="1"/>
  <c r="BC33" s="1"/>
  <c r="BC34" s="1"/>
  <c r="BC35" s="1"/>
  <c r="BC36" s="1"/>
  <c r="BC37" s="1"/>
  <c r="BC38" s="1"/>
  <c r="BC39" s="1"/>
  <c r="BC40" s="1"/>
  <c r="BC41" s="1"/>
  <c r="BC42" s="1"/>
  <c r="BC43" s="1"/>
  <c r="BC44" s="1"/>
  <c r="BC45" s="1"/>
  <c r="BC46" s="1"/>
  <c r="BC47" s="1"/>
  <c r="BC48" s="1"/>
  <c r="BC49" s="1"/>
  <c r="BC50" s="1"/>
  <c r="BC51" s="1"/>
  <c r="BC52" s="1"/>
  <c r="BC53" s="1"/>
  <c r="BC54" s="1"/>
  <c r="BC55" s="1"/>
  <c r="BC56" s="1"/>
  <c r="BC57" s="1"/>
  <c r="BC58" s="1"/>
  <c r="BC59" s="1"/>
  <c r="BC26"/>
  <c r="BC23"/>
  <c r="BC24" s="1"/>
  <c r="BC25" s="1"/>
  <c r="BC22"/>
  <c r="BC21"/>
  <c r="AU23" i="168"/>
  <c r="AU24"/>
  <c r="B30" i="60"/>
  <c r="B32"/>
  <c r="B34"/>
  <c r="B31"/>
  <c r="B35"/>
  <c r="B36"/>
  <c r="B29"/>
  <c r="B33"/>
  <c r="E458" i="175" l="1"/>
  <c r="E426"/>
  <c r="B19" i="190"/>
  <c r="C711" i="175"/>
  <c r="D710"/>
  <c r="C617"/>
  <c r="D616"/>
  <c r="C554"/>
  <c r="D553"/>
  <c r="C522"/>
  <c r="D521"/>
  <c r="C459"/>
  <c r="D458"/>
  <c r="C427"/>
  <c r="D426"/>
  <c r="A20" i="190" s="1"/>
  <c r="C394" i="175"/>
  <c r="D393"/>
  <c r="C362"/>
  <c r="D361"/>
  <c r="C330"/>
  <c r="D329"/>
  <c r="C298"/>
  <c r="D297"/>
  <c r="C266"/>
  <c r="D265"/>
  <c r="C234"/>
  <c r="D233"/>
  <c r="C202"/>
  <c r="D201"/>
  <c r="C170"/>
  <c r="D169"/>
  <c r="C138"/>
  <c r="D137"/>
  <c r="C665"/>
  <c r="D664"/>
  <c r="C103"/>
  <c r="D102"/>
  <c r="C71"/>
  <c r="D70"/>
  <c r="D5"/>
  <c r="C6"/>
  <c r="E38"/>
  <c r="C39"/>
  <c r="D38"/>
  <c r="T59" i="171"/>
  <c r="P59"/>
  <c r="T58"/>
  <c r="P58"/>
  <c r="T57"/>
  <c r="P57"/>
  <c r="T56"/>
  <c r="P56"/>
  <c r="T55"/>
  <c r="P55"/>
  <c r="T54"/>
  <c r="P54"/>
  <c r="T53"/>
  <c r="P53"/>
  <c r="T52"/>
  <c r="P52"/>
  <c r="T51"/>
  <c r="P51"/>
  <c r="T50"/>
  <c r="P50"/>
  <c r="T49"/>
  <c r="P49"/>
  <c r="T48"/>
  <c r="P48"/>
  <c r="T47"/>
  <c r="P47"/>
  <c r="T46"/>
  <c r="P46"/>
  <c r="T45"/>
  <c r="P45"/>
  <c r="T44"/>
  <c r="P44"/>
  <c r="T43"/>
  <c r="P43"/>
  <c r="T42"/>
  <c r="P42"/>
  <c r="T41"/>
  <c r="P41"/>
  <c r="T40"/>
  <c r="P40"/>
  <c r="T39"/>
  <c r="P39"/>
  <c r="T38"/>
  <c r="P38"/>
  <c r="T37"/>
  <c r="P37"/>
  <c r="T36"/>
  <c r="P36"/>
  <c r="T35"/>
  <c r="P35"/>
  <c r="T34"/>
  <c r="P34"/>
  <c r="T33"/>
  <c r="P33"/>
  <c r="T32"/>
  <c r="P32"/>
  <c r="T31"/>
  <c r="P31"/>
  <c r="T30"/>
  <c r="P30"/>
  <c r="T29"/>
  <c r="P29"/>
  <c r="T28"/>
  <c r="P28"/>
  <c r="T27"/>
  <c r="P27"/>
  <c r="T26"/>
  <c r="P26"/>
  <c r="T25"/>
  <c r="P25"/>
  <c r="T24"/>
  <c r="P24"/>
  <c r="T23"/>
  <c r="P23"/>
  <c r="T22"/>
  <c r="P22"/>
  <c r="T21"/>
  <c r="P21"/>
  <c r="T20"/>
  <c r="P20"/>
  <c r="T19"/>
  <c r="P19"/>
  <c r="AS18"/>
  <c r="AR18"/>
  <c r="AQ18"/>
  <c r="AP18"/>
  <c r="AO18"/>
  <c r="AN18"/>
  <c r="AM18"/>
  <c r="AL18"/>
  <c r="AK18"/>
  <c r="AJ18"/>
  <c r="AI18"/>
  <c r="AH18"/>
  <c r="AG18"/>
  <c r="AF18"/>
  <c r="AE18"/>
  <c r="AD18"/>
  <c r="AC18"/>
  <c r="AB18"/>
  <c r="AA18"/>
  <c r="K6"/>
  <c r="K4"/>
  <c r="AO25" i="160"/>
  <c r="AO26"/>
  <c r="AO27" s="1"/>
  <c r="AO28" s="1"/>
  <c r="AO29" s="1"/>
  <c r="AO30" s="1"/>
  <c r="AO31" s="1"/>
  <c r="AO32" s="1"/>
  <c r="AO33" s="1"/>
  <c r="AO34" s="1"/>
  <c r="AO35" s="1"/>
  <c r="AO36" s="1"/>
  <c r="AO37" s="1"/>
  <c r="AO38" s="1"/>
  <c r="AO39" s="1"/>
  <c r="AO40" s="1"/>
  <c r="AO41" s="1"/>
  <c r="AO42" s="1"/>
  <c r="AO43" s="1"/>
  <c r="AO44" s="1"/>
  <c r="AO45" s="1"/>
  <c r="AO46" s="1"/>
  <c r="AO47" s="1"/>
  <c r="AO48" s="1"/>
  <c r="AO49" s="1"/>
  <c r="AO50" s="1"/>
  <c r="AO51" s="1"/>
  <c r="AO52" s="1"/>
  <c r="AO53" s="1"/>
  <c r="AO54" s="1"/>
  <c r="AO55" s="1"/>
  <c r="AO56" s="1"/>
  <c r="AO57" s="1"/>
  <c r="AO58" s="1"/>
  <c r="AO59" s="1"/>
  <c r="AO23"/>
  <c r="AO24" s="1"/>
  <c r="AO22"/>
  <c r="AO21"/>
  <c r="AU24"/>
  <c r="AU19"/>
  <c r="AL59"/>
  <c r="AL58"/>
  <c r="AL57"/>
  <c r="AL56"/>
  <c r="AL55"/>
  <c r="AL54"/>
  <c r="AL53"/>
  <c r="AL52"/>
  <c r="AL51"/>
  <c r="AL50"/>
  <c r="AL49"/>
  <c r="AL48"/>
  <c r="AL47"/>
  <c r="AL46"/>
  <c r="AL45"/>
  <c r="AL44"/>
  <c r="AL43"/>
  <c r="AL42"/>
  <c r="AL41"/>
  <c r="AL40"/>
  <c r="AL39"/>
  <c r="AL38"/>
  <c r="AL37"/>
  <c r="AL36"/>
  <c r="AL35"/>
  <c r="AL34"/>
  <c r="AL33"/>
  <c r="AL32"/>
  <c r="AL31"/>
  <c r="AL30"/>
  <c r="AL29"/>
  <c r="AL28"/>
  <c r="AL27"/>
  <c r="AL26"/>
  <c r="AL25"/>
  <c r="AL24"/>
  <c r="AL23"/>
  <c r="AL22"/>
  <c r="AL21"/>
  <c r="AL20"/>
  <c r="BU8" i="76"/>
  <c r="BU6" s="1"/>
  <c r="BT8"/>
  <c r="BT5" s="1"/>
  <c r="BS8"/>
  <c r="BS5" s="1"/>
  <c r="BR8"/>
  <c r="BQ8"/>
  <c r="BP8"/>
  <c r="BO8"/>
  <c r="BN8"/>
  <c r="BM8"/>
  <c r="BL8"/>
  <c r="BK8"/>
  <c r="BJ8"/>
  <c r="BI8"/>
  <c r="BH8"/>
  <c r="BG8"/>
  <c r="BF8"/>
  <c r="BE8"/>
  <c r="BD8"/>
  <c r="BC8"/>
  <c r="BB8"/>
  <c r="BA8"/>
  <c r="AZ8"/>
  <c r="AY8"/>
  <c r="AX8"/>
  <c r="AW8"/>
  <c r="AV8"/>
  <c r="AU8"/>
  <c r="AT8"/>
  <c r="AS8"/>
  <c r="AR8"/>
  <c r="AQ8"/>
  <c r="AP8"/>
  <c r="AO8"/>
  <c r="BU4"/>
  <c r="BT4"/>
  <c r="BS4"/>
  <c r="BR4"/>
  <c r="BQ4"/>
  <c r="BP4"/>
  <c r="BO4"/>
  <c r="BN4"/>
  <c r="BM4"/>
  <c r="BL4"/>
  <c r="BK4"/>
  <c r="BJ4"/>
  <c r="BI4"/>
  <c r="BH4"/>
  <c r="BG4"/>
  <c r="BF4"/>
  <c r="BE4"/>
  <c r="BD4"/>
  <c r="BC4"/>
  <c r="BB4"/>
  <c r="BA4"/>
  <c r="AZ4"/>
  <c r="AY4"/>
  <c r="AX4"/>
  <c r="AW4"/>
  <c r="AV4"/>
  <c r="AU4"/>
  <c r="AT4"/>
  <c r="AS4"/>
  <c r="AR4"/>
  <c r="AQ4"/>
  <c r="AP4"/>
  <c r="AO4"/>
  <c r="BU3"/>
  <c r="BT3"/>
  <c r="E459" i="175" l="1"/>
  <c r="E427"/>
  <c r="B20" i="190"/>
  <c r="C712" i="175"/>
  <c r="D711"/>
  <c r="C618"/>
  <c r="D617"/>
  <c r="C555"/>
  <c r="D554"/>
  <c r="C523"/>
  <c r="D522"/>
  <c r="C460"/>
  <c r="D459"/>
  <c r="C428"/>
  <c r="D427"/>
  <c r="A21" i="190" s="1"/>
  <c r="C395" i="175"/>
  <c r="D394"/>
  <c r="C363"/>
  <c r="D362"/>
  <c r="C331"/>
  <c r="D330"/>
  <c r="C299"/>
  <c r="D298"/>
  <c r="C267"/>
  <c r="D266"/>
  <c r="C235"/>
  <c r="D234"/>
  <c r="C203"/>
  <c r="D202"/>
  <c r="C171"/>
  <c r="D170"/>
  <c r="C139"/>
  <c r="D138"/>
  <c r="C666"/>
  <c r="D665"/>
  <c r="C104"/>
  <c r="D103"/>
  <c r="C72"/>
  <c r="D71"/>
  <c r="D6"/>
  <c r="C7"/>
  <c r="C40"/>
  <c r="D39"/>
  <c r="E39"/>
  <c r="BS6" i="76"/>
  <c r="BU5"/>
  <c r="BT6"/>
  <c r="E428" i="175" l="1"/>
  <c r="B21" i="190"/>
  <c r="E460" i="175"/>
  <c r="C713"/>
  <c r="D712"/>
  <c r="C619"/>
  <c r="D618"/>
  <c r="C556"/>
  <c r="D555"/>
  <c r="C524"/>
  <c r="D523"/>
  <c r="C461"/>
  <c r="D460"/>
  <c r="C429"/>
  <c r="D428"/>
  <c r="A22" i="190" s="1"/>
  <c r="C396" i="175"/>
  <c r="D395"/>
  <c r="C364"/>
  <c r="D363"/>
  <c r="C332"/>
  <c r="D331"/>
  <c r="C300"/>
  <c r="D299"/>
  <c r="C268"/>
  <c r="D267"/>
  <c r="C236"/>
  <c r="D235"/>
  <c r="C204"/>
  <c r="D203"/>
  <c r="C172"/>
  <c r="D171"/>
  <c r="C140"/>
  <c r="D139"/>
  <c r="C667"/>
  <c r="D666"/>
  <c r="C105"/>
  <c r="D104"/>
  <c r="C73"/>
  <c r="D72"/>
  <c r="C8"/>
  <c r="D7"/>
  <c r="E40"/>
  <c r="C41"/>
  <c r="D40"/>
  <c r="AU22" i="147"/>
  <c r="AL56" s="1"/>
  <c r="P20"/>
  <c r="AL21" i="146"/>
  <c r="AL22"/>
  <c r="AL23"/>
  <c r="AL24"/>
  <c r="AL25"/>
  <c r="AL26"/>
  <c r="AL27"/>
  <c r="AL28"/>
  <c r="AL29"/>
  <c r="AL30"/>
  <c r="AL31"/>
  <c r="AL32"/>
  <c r="AL33"/>
  <c r="AL34"/>
  <c r="AL35"/>
  <c r="AL36"/>
  <c r="AL37"/>
  <c r="AL38"/>
  <c r="AL39"/>
  <c r="AL40"/>
  <c r="AL41"/>
  <c r="AL42"/>
  <c r="AL43"/>
  <c r="AL44"/>
  <c r="AL45"/>
  <c r="AL46"/>
  <c r="AL47"/>
  <c r="AL48"/>
  <c r="AL49"/>
  <c r="AL50"/>
  <c r="AL51"/>
  <c r="AL52"/>
  <c r="AL53"/>
  <c r="AL54"/>
  <c r="AL55"/>
  <c r="AL56"/>
  <c r="AL57"/>
  <c r="AL58"/>
  <c r="AL59"/>
  <c r="AL20"/>
  <c r="D19"/>
  <c r="D20" s="1"/>
  <c r="D21" s="1"/>
  <c r="D22" s="1"/>
  <c r="D23" s="1"/>
  <c r="D24" s="1"/>
  <c r="D25" s="1"/>
  <c r="D26" s="1"/>
  <c r="D27" s="1"/>
  <c r="D28" s="1"/>
  <c r="D29" s="1"/>
  <c r="D30" s="1"/>
  <c r="D31" s="1"/>
  <c r="D32" s="1"/>
  <c r="D33" s="1"/>
  <c r="D34" s="1"/>
  <c r="D35" s="1"/>
  <c r="D36" s="1"/>
  <c r="D37" s="1"/>
  <c r="D38" s="1"/>
  <c r="D39" s="1"/>
  <c r="D40" s="1"/>
  <c r="D41" s="1"/>
  <c r="D42" s="1"/>
  <c r="D43" s="1"/>
  <c r="D44" s="1"/>
  <c r="D45" s="1"/>
  <c r="D46" s="1"/>
  <c r="D47" s="1"/>
  <c r="D48" s="1"/>
  <c r="D49" s="1"/>
  <c r="D50" s="1"/>
  <c r="D51" s="1"/>
  <c r="D52" s="1"/>
  <c r="D53" s="1"/>
  <c r="D54" s="1"/>
  <c r="D55" s="1"/>
  <c r="D56" s="1"/>
  <c r="D57" s="1"/>
  <c r="D58" s="1"/>
  <c r="D59" s="1"/>
  <c r="AU21"/>
  <c r="AU20"/>
  <c r="AU19"/>
  <c r="AK21" i="165"/>
  <c r="AK22"/>
  <c r="CC19"/>
  <c r="CC20"/>
  <c r="CB21"/>
  <c r="CB22"/>
  <c r="CB20"/>
  <c r="AK20" s="1"/>
  <c r="CB19"/>
  <c r="AK19" s="1"/>
  <c r="BZ20"/>
  <c r="BZ21"/>
  <c r="BZ22"/>
  <c r="BZ19"/>
  <c r="BR20"/>
  <c r="BR21"/>
  <c r="BR22"/>
  <c r="BR19"/>
  <c r="BQ19"/>
  <c r="BP23"/>
  <c r="BP24" s="1"/>
  <c r="BP25" s="1"/>
  <c r="BP26" s="1"/>
  <c r="BP27" s="1"/>
  <c r="BP28" s="1"/>
  <c r="BP29" s="1"/>
  <c r="BP30" s="1"/>
  <c r="BP31" s="1"/>
  <c r="BP32" s="1"/>
  <c r="BP33" s="1"/>
  <c r="BP34" s="1"/>
  <c r="BP35" s="1"/>
  <c r="BP36" s="1"/>
  <c r="BP37" s="1"/>
  <c r="BP38" s="1"/>
  <c r="BP39" s="1"/>
  <c r="BP40" s="1"/>
  <c r="BP41" s="1"/>
  <c r="BP42" s="1"/>
  <c r="BP43" s="1"/>
  <c r="BP44" s="1"/>
  <c r="BP45" s="1"/>
  <c r="BP46" s="1"/>
  <c r="BP47" s="1"/>
  <c r="BP48" s="1"/>
  <c r="BP49" s="1"/>
  <c r="BP50" s="1"/>
  <c r="BP51" s="1"/>
  <c r="BP52" s="1"/>
  <c r="BP53" s="1"/>
  <c r="BP54" s="1"/>
  <c r="BP55" s="1"/>
  <c r="BP56" s="1"/>
  <c r="BP57" s="1"/>
  <c r="BP58" s="1"/>
  <c r="BP59" s="1"/>
  <c r="BR59" s="1"/>
  <c r="BU19"/>
  <c r="CD19" s="1"/>
  <c r="BQ20"/>
  <c r="CA23"/>
  <c r="CA24" s="1"/>
  <c r="CB24" s="1"/>
  <c r="AK24" s="1"/>
  <c r="CE18" i="162"/>
  <c r="CD18"/>
  <c r="CC18"/>
  <c r="AU58"/>
  <c r="AU63" i="161" s="1"/>
  <c r="AU57" i="162"/>
  <c r="AU62" i="161" s="1"/>
  <c r="AU56" i="162"/>
  <c r="AU61" i="161" s="1"/>
  <c r="L20" i="137"/>
  <c r="AU59" i="162" s="1"/>
  <c r="AU64" i="161" s="1"/>
  <c r="L19" i="137"/>
  <c r="E2" i="170"/>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D2"/>
  <c r="E429" i="175" l="1"/>
  <c r="B22" i="190"/>
  <c r="E461" i="175"/>
  <c r="BW19" i="165"/>
  <c r="D19" s="1"/>
  <c r="BS19"/>
  <c r="BW20"/>
  <c r="D20" s="1"/>
  <c r="BS20"/>
  <c r="CB23"/>
  <c r="AK23" s="1"/>
  <c r="BZ24"/>
  <c r="BZ23"/>
  <c r="BR55"/>
  <c r="BR31"/>
  <c r="BR57"/>
  <c r="BR35"/>
  <c r="BR47"/>
  <c r="BR49"/>
  <c r="AL51" i="147"/>
  <c r="C714" i="175"/>
  <c r="D713"/>
  <c r="C620"/>
  <c r="D619"/>
  <c r="C557"/>
  <c r="D556"/>
  <c r="C525"/>
  <c r="D524"/>
  <c r="C462"/>
  <c r="D461"/>
  <c r="C430"/>
  <c r="D429"/>
  <c r="A23" i="190" s="1"/>
  <c r="C397" i="175"/>
  <c r="D396"/>
  <c r="C365"/>
  <c r="D364"/>
  <c r="C333"/>
  <c r="D332"/>
  <c r="C301"/>
  <c r="D300"/>
  <c r="C269"/>
  <c r="D268"/>
  <c r="C237"/>
  <c r="D236"/>
  <c r="C205"/>
  <c r="D204"/>
  <c r="C173"/>
  <c r="D172"/>
  <c r="C141"/>
  <c r="D140"/>
  <c r="C668"/>
  <c r="D667"/>
  <c r="C106"/>
  <c r="D105"/>
  <c r="C74"/>
  <c r="D73"/>
  <c r="C9"/>
  <c r="D8"/>
  <c r="C42"/>
  <c r="D41"/>
  <c r="E41"/>
  <c r="AL35" i="147"/>
  <c r="AL31"/>
  <c r="AL23"/>
  <c r="AL39"/>
  <c r="AL55"/>
  <c r="AL47"/>
  <c r="AL27"/>
  <c r="AL43"/>
  <c r="AL59"/>
  <c r="AU22" i="148"/>
  <c r="AL22" i="147"/>
  <c r="AL30"/>
  <c r="AL38"/>
  <c r="AL46"/>
  <c r="AL50"/>
  <c r="AL58"/>
  <c r="AL21"/>
  <c r="AL25"/>
  <c r="AL29"/>
  <c r="AL33"/>
  <c r="AL37"/>
  <c r="AL41"/>
  <c r="AL45"/>
  <c r="AL49"/>
  <c r="AL53"/>
  <c r="AL57"/>
  <c r="AL26"/>
  <c r="AL34"/>
  <c r="AL42"/>
  <c r="AL54"/>
  <c r="AL20"/>
  <c r="AL24"/>
  <c r="AL28"/>
  <c r="AL32"/>
  <c r="AL36"/>
  <c r="AL40"/>
  <c r="AL44"/>
  <c r="AL48"/>
  <c r="AL52"/>
  <c r="CC21" i="165"/>
  <c r="CC22" s="1"/>
  <c r="CC23" s="1"/>
  <c r="CC24" s="1"/>
  <c r="CC25" s="1"/>
  <c r="CC26" s="1"/>
  <c r="CC27" s="1"/>
  <c r="CC28" s="1"/>
  <c r="CC29" s="1"/>
  <c r="CC30" s="1"/>
  <c r="CC31" s="1"/>
  <c r="CC32" s="1"/>
  <c r="CC33" s="1"/>
  <c r="CC34" s="1"/>
  <c r="CC35" s="1"/>
  <c r="CC36" s="1"/>
  <c r="CC37" s="1"/>
  <c r="CC38" s="1"/>
  <c r="CC39" s="1"/>
  <c r="CC40" s="1"/>
  <c r="CC41" s="1"/>
  <c r="CC42" s="1"/>
  <c r="CC43" s="1"/>
  <c r="CC44" s="1"/>
  <c r="CC45" s="1"/>
  <c r="CC46" s="1"/>
  <c r="CC47" s="1"/>
  <c r="CC48" s="1"/>
  <c r="CC49" s="1"/>
  <c r="CC50" s="1"/>
  <c r="CC51" s="1"/>
  <c r="CC52" s="1"/>
  <c r="CC53" s="1"/>
  <c r="CC54" s="1"/>
  <c r="CC55" s="1"/>
  <c r="CC56" s="1"/>
  <c r="CC57" s="1"/>
  <c r="CC58" s="1"/>
  <c r="CC59" s="1"/>
  <c r="BR39"/>
  <c r="BR23"/>
  <c r="BR51"/>
  <c r="BR43"/>
  <c r="BR27"/>
  <c r="BR53"/>
  <c r="BR45"/>
  <c r="BR32"/>
  <c r="BR24"/>
  <c r="BR42"/>
  <c r="BR38"/>
  <c r="BR34"/>
  <c r="BR30"/>
  <c r="BR26"/>
  <c r="BR40"/>
  <c r="BR36"/>
  <c r="BR28"/>
  <c r="BR41"/>
  <c r="BR37"/>
  <c r="BR33"/>
  <c r="BR29"/>
  <c r="BR25"/>
  <c r="BR58"/>
  <c r="BR56"/>
  <c r="BR54"/>
  <c r="BR52"/>
  <c r="BR50"/>
  <c r="BR48"/>
  <c r="BR46"/>
  <c r="BR44"/>
  <c r="CA25"/>
  <c r="BU20"/>
  <c r="CD20" s="1"/>
  <c r="CE20" s="1"/>
  <c r="BQ21"/>
  <c r="BS21" s="1"/>
  <c r="BL21" s="1"/>
  <c r="E462" i="175" l="1"/>
  <c r="E430"/>
  <c r="B23" i="190"/>
  <c r="J20" i="165"/>
  <c r="BX20"/>
  <c r="BX21"/>
  <c r="J21"/>
  <c r="BW21"/>
  <c r="D21" s="1"/>
  <c r="BX19"/>
  <c r="J19"/>
  <c r="C715" i="175"/>
  <c r="D714"/>
  <c r="C621"/>
  <c r="D620"/>
  <c r="C558"/>
  <c r="D557"/>
  <c r="C526"/>
  <c r="D525"/>
  <c r="C463"/>
  <c r="D462"/>
  <c r="C431"/>
  <c r="D430"/>
  <c r="A24" i="190" s="1"/>
  <c r="C398" i="175"/>
  <c r="D397"/>
  <c r="C366"/>
  <c r="D365"/>
  <c r="C334"/>
  <c r="D333"/>
  <c r="C302"/>
  <c r="D301"/>
  <c r="C270"/>
  <c r="D269"/>
  <c r="C238"/>
  <c r="D237"/>
  <c r="C206"/>
  <c r="D205"/>
  <c r="C174"/>
  <c r="D173"/>
  <c r="C142"/>
  <c r="D141"/>
  <c r="C669"/>
  <c r="D668"/>
  <c r="C107"/>
  <c r="D106"/>
  <c r="C75"/>
  <c r="D74"/>
  <c r="C10"/>
  <c r="D9"/>
  <c r="C43"/>
  <c r="D42"/>
  <c r="E42"/>
  <c r="AU48" i="161"/>
  <c r="AU49"/>
  <c r="AU50"/>
  <c r="AL56" i="148"/>
  <c r="AL52"/>
  <c r="AL48"/>
  <c r="AL44"/>
  <c r="AL40"/>
  <c r="AL36"/>
  <c r="AL32"/>
  <c r="AL28"/>
  <c r="AL24"/>
  <c r="AL20"/>
  <c r="AL57"/>
  <c r="AL53"/>
  <c r="AL49"/>
  <c r="AL45"/>
  <c r="AL41"/>
  <c r="AL37"/>
  <c r="AL33"/>
  <c r="AL29"/>
  <c r="AL25"/>
  <c r="AL21"/>
  <c r="AL58"/>
  <c r="AL54"/>
  <c r="AL50"/>
  <c r="AL46"/>
  <c r="AL42"/>
  <c r="AL38"/>
  <c r="AL34"/>
  <c r="AL30"/>
  <c r="AL26"/>
  <c r="AL22"/>
  <c r="AL59"/>
  <c r="AL55"/>
  <c r="AL51"/>
  <c r="AL47"/>
  <c r="AL43"/>
  <c r="AL39"/>
  <c r="AL35"/>
  <c r="AL31"/>
  <c r="AL27"/>
  <c r="AL23"/>
  <c r="BZ25" i="165"/>
  <c r="CB25"/>
  <c r="AK25" s="1"/>
  <c r="CA26"/>
  <c r="BU21"/>
  <c r="CD21" s="1"/>
  <c r="BQ22"/>
  <c r="E431" i="175" l="1"/>
  <c r="B24" i="190"/>
  <c r="E463" i="175"/>
  <c r="BS22" i="165"/>
  <c r="BL22" s="1"/>
  <c r="BW22"/>
  <c r="D22" s="1"/>
  <c r="C716" i="175"/>
  <c r="D715"/>
  <c r="C622"/>
  <c r="D621"/>
  <c r="C559"/>
  <c r="D558"/>
  <c r="C527"/>
  <c r="D526"/>
  <c r="C464"/>
  <c r="D463"/>
  <c r="C432"/>
  <c r="D431"/>
  <c r="A25" i="190" s="1"/>
  <c r="C399" i="175"/>
  <c r="D398"/>
  <c r="C367"/>
  <c r="D366"/>
  <c r="C335"/>
  <c r="D334"/>
  <c r="C303"/>
  <c r="D302"/>
  <c r="C271"/>
  <c r="D270"/>
  <c r="C239"/>
  <c r="D238"/>
  <c r="C207"/>
  <c r="D206"/>
  <c r="C175"/>
  <c r="D174"/>
  <c r="C143"/>
  <c r="D142"/>
  <c r="C670"/>
  <c r="D669"/>
  <c r="C108"/>
  <c r="D107"/>
  <c r="C76"/>
  <c r="D75"/>
  <c r="C11"/>
  <c r="D10"/>
  <c r="E43"/>
  <c r="C44"/>
  <c r="D43"/>
  <c r="CE21" i="165"/>
  <c r="BZ26"/>
  <c r="CB26"/>
  <c r="AK26" s="1"/>
  <c r="CA27"/>
  <c r="BQ23"/>
  <c r="BU22"/>
  <c r="CD22" s="1"/>
  <c r="E464" i="175" l="1"/>
  <c r="E432"/>
  <c r="B25" i="190"/>
  <c r="J22" i="165"/>
  <c r="BX22"/>
  <c r="BS23"/>
  <c r="BW23"/>
  <c r="D23" s="1"/>
  <c r="C717" i="175"/>
  <c r="C623"/>
  <c r="D622"/>
  <c r="C560"/>
  <c r="D559"/>
  <c r="C528"/>
  <c r="D527"/>
  <c r="C465"/>
  <c r="D464"/>
  <c r="C433"/>
  <c r="D432"/>
  <c r="A26" i="190" s="1"/>
  <c r="C400" i="175"/>
  <c r="D399"/>
  <c r="C368"/>
  <c r="D367"/>
  <c r="C336"/>
  <c r="D335"/>
  <c r="C304"/>
  <c r="D303"/>
  <c r="C272"/>
  <c r="D271"/>
  <c r="C240"/>
  <c r="D239"/>
  <c r="C208"/>
  <c r="D207"/>
  <c r="C176"/>
  <c r="D175"/>
  <c r="C144"/>
  <c r="D143"/>
  <c r="C671"/>
  <c r="D670"/>
  <c r="C109"/>
  <c r="D108"/>
  <c r="C77"/>
  <c r="D76"/>
  <c r="C12"/>
  <c r="D11"/>
  <c r="E44"/>
  <c r="C45"/>
  <c r="D44"/>
  <c r="BZ27" i="165"/>
  <c r="CB27"/>
  <c r="AK27" s="1"/>
  <c r="CE22"/>
  <c r="CA28"/>
  <c r="BQ24"/>
  <c r="BU23"/>
  <c r="CD23" s="1"/>
  <c r="E465" i="175" l="1"/>
  <c r="E433"/>
  <c r="B26" i="190"/>
  <c r="BS24" i="165"/>
  <c r="BW24"/>
  <c r="D24" s="1"/>
  <c r="BX23"/>
  <c r="J23"/>
  <c r="C624" i="175"/>
  <c r="D624" s="1"/>
  <c r="D623"/>
  <c r="C561"/>
  <c r="D560"/>
  <c r="C529"/>
  <c r="D528"/>
  <c r="C466"/>
  <c r="D465"/>
  <c r="C434"/>
  <c r="D433"/>
  <c r="A27" i="190" s="1"/>
  <c r="C401" i="175"/>
  <c r="D400"/>
  <c r="C369"/>
  <c r="D368"/>
  <c r="C337"/>
  <c r="D336"/>
  <c r="C305"/>
  <c r="D304"/>
  <c r="C273"/>
  <c r="D272"/>
  <c r="C241"/>
  <c r="D240"/>
  <c r="C209"/>
  <c r="D208"/>
  <c r="C177"/>
  <c r="D176"/>
  <c r="C145"/>
  <c r="D144"/>
  <c r="C672"/>
  <c r="D671"/>
  <c r="C110"/>
  <c r="D109"/>
  <c r="C78"/>
  <c r="D77"/>
  <c r="C13"/>
  <c r="D12"/>
  <c r="E45"/>
  <c r="C46"/>
  <c r="D45"/>
  <c r="BZ28" i="165"/>
  <c r="CB28"/>
  <c r="AK28" s="1"/>
  <c r="CE23"/>
  <c r="CA29"/>
  <c r="BQ25"/>
  <c r="BU24"/>
  <c r="E466" i="175" l="1"/>
  <c r="E434"/>
  <c r="B27" i="190"/>
  <c r="J24" i="165"/>
  <c r="BX24"/>
  <c r="BS25"/>
  <c r="BW25"/>
  <c r="D25" s="1"/>
  <c r="CD24"/>
  <c r="CE24" s="1"/>
  <c r="C562" i="175"/>
  <c r="C530"/>
  <c r="D529"/>
  <c r="C467"/>
  <c r="D466"/>
  <c r="C435"/>
  <c r="D434"/>
  <c r="A28" i="190" s="1"/>
  <c r="C402" i="175"/>
  <c r="D401"/>
  <c r="C370"/>
  <c r="D369"/>
  <c r="C338"/>
  <c r="D337"/>
  <c r="C306"/>
  <c r="D305"/>
  <c r="C274"/>
  <c r="D273"/>
  <c r="C242"/>
  <c r="D241"/>
  <c r="C210"/>
  <c r="D209"/>
  <c r="C178"/>
  <c r="D177"/>
  <c r="C146"/>
  <c r="D145"/>
  <c r="C673"/>
  <c r="D672"/>
  <c r="C111"/>
  <c r="D110"/>
  <c r="C79"/>
  <c r="D78"/>
  <c r="C14"/>
  <c r="D13"/>
  <c r="C47"/>
  <c r="D46"/>
  <c r="E46"/>
  <c r="BZ29" i="165"/>
  <c r="CB29"/>
  <c r="AK29" s="1"/>
  <c r="CA30"/>
  <c r="BQ26"/>
  <c r="BU25"/>
  <c r="CD25" s="1"/>
  <c r="E435" i="175" l="1"/>
  <c r="B28" i="190"/>
  <c r="E467" i="175"/>
  <c r="BS26" i="165"/>
  <c r="BW26"/>
  <c r="D26" s="1"/>
  <c r="BX25"/>
  <c r="J25"/>
  <c r="C531" i="175"/>
  <c r="D531" s="1"/>
  <c r="D530"/>
  <c r="C468"/>
  <c r="D467"/>
  <c r="C436"/>
  <c r="D435"/>
  <c r="A29" i="190" s="1"/>
  <c r="C403" i="175"/>
  <c r="D402"/>
  <c r="C371"/>
  <c r="D370"/>
  <c r="C339"/>
  <c r="D338"/>
  <c r="C307"/>
  <c r="D306"/>
  <c r="C275"/>
  <c r="D274"/>
  <c r="C243"/>
  <c r="D242"/>
  <c r="C211"/>
  <c r="D210"/>
  <c r="C179"/>
  <c r="D178"/>
  <c r="C147"/>
  <c r="D146"/>
  <c r="C674"/>
  <c r="D673"/>
  <c r="C112"/>
  <c r="D111"/>
  <c r="C80"/>
  <c r="D79"/>
  <c r="C15"/>
  <c r="D14"/>
  <c r="C48"/>
  <c r="D47"/>
  <c r="E47"/>
  <c r="CE25" i="165"/>
  <c r="BZ30"/>
  <c r="CB30"/>
  <c r="AK30" s="1"/>
  <c r="CA31"/>
  <c r="BQ27"/>
  <c r="BU26"/>
  <c r="E468" i="175" l="1"/>
  <c r="E436"/>
  <c r="B29" i="190"/>
  <c r="J26" i="165"/>
  <c r="BX26"/>
  <c r="BS27"/>
  <c r="BW27"/>
  <c r="D27" s="1"/>
  <c r="CD26"/>
  <c r="CE26" s="1"/>
  <c r="C469" i="175"/>
  <c r="D469" s="1"/>
  <c r="D468"/>
  <c r="C437"/>
  <c r="D436"/>
  <c r="A30" i="190" s="1"/>
  <c r="C404" i="175"/>
  <c r="D403"/>
  <c r="C372"/>
  <c r="D371"/>
  <c r="C340"/>
  <c r="D339"/>
  <c r="C308"/>
  <c r="D307"/>
  <c r="C276"/>
  <c r="D275"/>
  <c r="C244"/>
  <c r="D243"/>
  <c r="C212"/>
  <c r="D211"/>
  <c r="C180"/>
  <c r="D179"/>
  <c r="C148"/>
  <c r="D147"/>
  <c r="C675"/>
  <c r="D674"/>
  <c r="C113"/>
  <c r="D112"/>
  <c r="C81"/>
  <c r="D80"/>
  <c r="C16"/>
  <c r="D15"/>
  <c r="C49"/>
  <c r="D48"/>
  <c r="E48"/>
  <c r="BZ31" i="165"/>
  <c r="CB31"/>
  <c r="AK31" s="1"/>
  <c r="CA32"/>
  <c r="BQ28"/>
  <c r="BU27"/>
  <c r="CD27" s="1"/>
  <c r="E437" i="175" l="1"/>
  <c r="B30" i="190"/>
  <c r="E469" i="175"/>
  <c r="BX27" i="165"/>
  <c r="J27"/>
  <c r="BS28"/>
  <c r="BW28"/>
  <c r="D28" s="1"/>
  <c r="C438" i="175"/>
  <c r="D438" s="1"/>
  <c r="A32" i="190" s="1"/>
  <c r="D437" i="175"/>
  <c r="A31" i="190" s="1"/>
  <c r="C405" i="175"/>
  <c r="D404"/>
  <c r="C373"/>
  <c r="D372"/>
  <c r="C341"/>
  <c r="D340"/>
  <c r="C309"/>
  <c r="D308"/>
  <c r="C277"/>
  <c r="D276"/>
  <c r="C245"/>
  <c r="D244"/>
  <c r="C213"/>
  <c r="D212"/>
  <c r="C181"/>
  <c r="D180"/>
  <c r="C149"/>
  <c r="D148"/>
  <c r="C676"/>
  <c r="D675"/>
  <c r="C114"/>
  <c r="D113"/>
  <c r="C82"/>
  <c r="D81"/>
  <c r="C17"/>
  <c r="D16"/>
  <c r="C50"/>
  <c r="D49"/>
  <c r="E49"/>
  <c r="CE27" i="165"/>
  <c r="BZ32"/>
  <c r="CB32"/>
  <c r="AK32" s="1"/>
  <c r="CA33"/>
  <c r="BQ29"/>
  <c r="BU28"/>
  <c r="CD28" s="1"/>
  <c r="CE28" s="1"/>
  <c r="E438" i="175" l="1"/>
  <c r="B32" i="190" s="1"/>
  <c r="B31"/>
  <c r="J28" i="165"/>
  <c r="BX28"/>
  <c r="BS29"/>
  <c r="BW29"/>
  <c r="D29" s="1"/>
  <c r="C406" i="175"/>
  <c r="D406" s="1"/>
  <c r="D405"/>
  <c r="C374"/>
  <c r="D373"/>
  <c r="C342"/>
  <c r="D341"/>
  <c r="C310"/>
  <c r="D309"/>
  <c r="C278"/>
  <c r="D277"/>
  <c r="C246"/>
  <c r="D245"/>
  <c r="C214"/>
  <c r="D213"/>
  <c r="C182"/>
  <c r="D181"/>
  <c r="C150"/>
  <c r="D149"/>
  <c r="C677"/>
  <c r="D676"/>
  <c r="C115"/>
  <c r="D114"/>
  <c r="C83"/>
  <c r="D82"/>
  <c r="C18"/>
  <c r="D17"/>
  <c r="C51"/>
  <c r="D50"/>
  <c r="E50"/>
  <c r="BZ33" i="165"/>
  <c r="CB33"/>
  <c r="AK33" s="1"/>
  <c r="CA34"/>
  <c r="BQ30"/>
  <c r="BU29"/>
  <c r="BX29" l="1"/>
  <c r="J29"/>
  <c r="BS30"/>
  <c r="BW30"/>
  <c r="D30" s="1"/>
  <c r="CD29"/>
  <c r="CE29" s="1"/>
  <c r="C375" i="175"/>
  <c r="D375" s="1"/>
  <c r="D374"/>
  <c r="C343"/>
  <c r="D342"/>
  <c r="C311"/>
  <c r="D310"/>
  <c r="C279"/>
  <c r="D278"/>
  <c r="C247"/>
  <c r="D246"/>
  <c r="C215"/>
  <c r="D214"/>
  <c r="C183"/>
  <c r="D182"/>
  <c r="C151"/>
  <c r="D150"/>
  <c r="C678"/>
  <c r="D677"/>
  <c r="C116"/>
  <c r="D115"/>
  <c r="C84"/>
  <c r="D83"/>
  <c r="C19"/>
  <c r="D18"/>
  <c r="C52"/>
  <c r="D51"/>
  <c r="E51"/>
  <c r="BZ34" i="165"/>
  <c r="CB34"/>
  <c r="AK34" s="1"/>
  <c r="CA35"/>
  <c r="BQ31"/>
  <c r="BU30"/>
  <c r="CD30" s="1"/>
  <c r="J30" l="1"/>
  <c r="BX30"/>
  <c r="BS31"/>
  <c r="BW31"/>
  <c r="D31" s="1"/>
  <c r="C344" i="175"/>
  <c r="D344" s="1"/>
  <c r="D343"/>
  <c r="C312"/>
  <c r="D311"/>
  <c r="C280"/>
  <c r="D279"/>
  <c r="C248"/>
  <c r="D247"/>
  <c r="C216"/>
  <c r="D215"/>
  <c r="C184"/>
  <c r="D183"/>
  <c r="C152"/>
  <c r="D151"/>
  <c r="C679"/>
  <c r="D678"/>
  <c r="C117"/>
  <c r="D116"/>
  <c r="C85"/>
  <c r="D84"/>
  <c r="C20"/>
  <c r="D19"/>
  <c r="E52"/>
  <c r="C53"/>
  <c r="D52"/>
  <c r="BZ35" i="165"/>
  <c r="CB35"/>
  <c r="AK35" s="1"/>
  <c r="CE30"/>
  <c r="CA36"/>
  <c r="BQ32"/>
  <c r="BU31"/>
  <c r="CD31" s="1"/>
  <c r="BX31" l="1"/>
  <c r="J31"/>
  <c r="BS32"/>
  <c r="BW32"/>
  <c r="D32" s="1"/>
  <c r="C313" i="175"/>
  <c r="D313" s="1"/>
  <c r="D312"/>
  <c r="C281"/>
  <c r="D280"/>
  <c r="C249"/>
  <c r="D248"/>
  <c r="C217"/>
  <c r="D216"/>
  <c r="C185"/>
  <c r="D184"/>
  <c r="C153"/>
  <c r="D152"/>
  <c r="C680"/>
  <c r="D679"/>
  <c r="C118"/>
  <c r="D117"/>
  <c r="C86"/>
  <c r="D85"/>
  <c r="C21"/>
  <c r="D20"/>
  <c r="C54"/>
  <c r="D53"/>
  <c r="E53"/>
  <c r="BZ36" i="165"/>
  <c r="CB36"/>
  <c r="AK36" s="1"/>
  <c r="CE31"/>
  <c r="CA37"/>
  <c r="BQ33"/>
  <c r="BU32"/>
  <c r="CD32" s="1"/>
  <c r="J32" l="1"/>
  <c r="BX32"/>
  <c r="BS33"/>
  <c r="BW33"/>
  <c r="D33" s="1"/>
  <c r="C282" i="175"/>
  <c r="D282" s="1"/>
  <c r="D281"/>
  <c r="C250"/>
  <c r="D249"/>
  <c r="C218"/>
  <c r="D217"/>
  <c r="C186"/>
  <c r="D185"/>
  <c r="C154"/>
  <c r="D153"/>
  <c r="C681"/>
  <c r="D680"/>
  <c r="C119"/>
  <c r="D118"/>
  <c r="C87"/>
  <c r="D86"/>
  <c r="C22"/>
  <c r="D21"/>
  <c r="E54"/>
  <c r="C55"/>
  <c r="D54"/>
  <c r="BZ37" i="165"/>
  <c r="CB37"/>
  <c r="AK37" s="1"/>
  <c r="CE32"/>
  <c r="CA38"/>
  <c r="BQ34"/>
  <c r="BW34" s="1"/>
  <c r="D34" s="1"/>
  <c r="BU33"/>
  <c r="CD33" s="1"/>
  <c r="BX33" l="1"/>
  <c r="J33"/>
  <c r="BS34"/>
  <c r="C251" i="175"/>
  <c r="D251" s="1"/>
  <c r="D250"/>
  <c r="C219"/>
  <c r="D218"/>
  <c r="C187"/>
  <c r="D186"/>
  <c r="C155"/>
  <c r="D154"/>
  <c r="C682"/>
  <c r="D681"/>
  <c r="C120"/>
  <c r="D119"/>
  <c r="C88"/>
  <c r="D87"/>
  <c r="C23"/>
  <c r="D22"/>
  <c r="C56"/>
  <c r="D55"/>
  <c r="E55"/>
  <c r="BZ38" i="165"/>
  <c r="CB38"/>
  <c r="AK38" s="1"/>
  <c r="CE33"/>
  <c r="CA39"/>
  <c r="BQ35"/>
  <c r="BU34"/>
  <c r="CD34" s="1"/>
  <c r="BS35" l="1"/>
  <c r="BW35"/>
  <c r="D35" s="1"/>
  <c r="J34"/>
  <c r="BX34"/>
  <c r="C220" i="175"/>
  <c r="D220" s="1"/>
  <c r="D219"/>
  <c r="C188"/>
  <c r="D187"/>
  <c r="C156"/>
  <c r="D155"/>
  <c r="C683"/>
  <c r="D682"/>
  <c r="C121"/>
  <c r="D120"/>
  <c r="C89"/>
  <c r="D88"/>
  <c r="C24"/>
  <c r="D23"/>
  <c r="C57"/>
  <c r="D56"/>
  <c r="E56"/>
  <c r="BZ39" i="165"/>
  <c r="CB39"/>
  <c r="AK39" s="1"/>
  <c r="CE34"/>
  <c r="CA40"/>
  <c r="BQ36"/>
  <c r="BU35"/>
  <c r="CD35" s="1"/>
  <c r="BS36" l="1"/>
  <c r="BW36"/>
  <c r="D36" s="1"/>
  <c r="BX35"/>
  <c r="J35"/>
  <c r="C189" i="175"/>
  <c r="D189" s="1"/>
  <c r="D188"/>
  <c r="C157"/>
  <c r="D156"/>
  <c r="C684"/>
  <c r="D683"/>
  <c r="C122"/>
  <c r="D121"/>
  <c r="C90"/>
  <c r="D89"/>
  <c r="C25"/>
  <c r="D24"/>
  <c r="C58"/>
  <c r="D57"/>
  <c r="E57"/>
  <c r="BZ40" i="165"/>
  <c r="CB40"/>
  <c r="AK40" s="1"/>
  <c r="CE35"/>
  <c r="CA41"/>
  <c r="BQ37"/>
  <c r="BW37" s="1"/>
  <c r="D37" s="1"/>
  <c r="BU36"/>
  <c r="CD36" s="1"/>
  <c r="J36" l="1"/>
  <c r="BX36"/>
  <c r="BS37"/>
  <c r="C158" i="175"/>
  <c r="D158" s="1"/>
  <c r="D157"/>
  <c r="C685"/>
  <c r="D684"/>
  <c r="C123"/>
  <c r="D122"/>
  <c r="C91"/>
  <c r="D90"/>
  <c r="C26"/>
  <c r="D25"/>
  <c r="C59"/>
  <c r="D58"/>
  <c r="E58"/>
  <c r="BZ41" i="165"/>
  <c r="CB41"/>
  <c r="AK41" s="1"/>
  <c r="CE36"/>
  <c r="CA42"/>
  <c r="CB42" s="1"/>
  <c r="AK42" s="1"/>
  <c r="BQ38"/>
  <c r="BU37"/>
  <c r="CD37" s="1"/>
  <c r="BS38" l="1"/>
  <c r="BW38"/>
  <c r="D38" s="1"/>
  <c r="BX37"/>
  <c r="J37"/>
  <c r="C686" i="175"/>
  <c r="D686" s="1"/>
  <c r="D685"/>
  <c r="C124"/>
  <c r="D123"/>
  <c r="C92"/>
  <c r="D91"/>
  <c r="C27"/>
  <c r="D26"/>
  <c r="C60"/>
  <c r="D59"/>
  <c r="E59"/>
  <c r="CE37" i="165"/>
  <c r="CA43"/>
  <c r="CB43" s="1"/>
  <c r="AK43" s="1"/>
  <c r="BZ42"/>
  <c r="BQ39"/>
  <c r="BU38"/>
  <c r="BS39" l="1"/>
  <c r="BW39"/>
  <c r="D39" s="1"/>
  <c r="J38"/>
  <c r="BX38"/>
  <c r="CD38"/>
  <c r="CE38" s="1"/>
  <c r="C125" i="175"/>
  <c r="D125" s="1"/>
  <c r="D124"/>
  <c r="C93"/>
  <c r="D92"/>
  <c r="C28"/>
  <c r="D27"/>
  <c r="C61"/>
  <c r="D60"/>
  <c r="E60"/>
  <c r="BZ43" i="165"/>
  <c r="CA44"/>
  <c r="CB44" s="1"/>
  <c r="AK44" s="1"/>
  <c r="BQ40"/>
  <c r="BU39"/>
  <c r="CD39" s="1"/>
  <c r="W22" i="163"/>
  <c r="W23"/>
  <c r="W24"/>
  <c r="W25"/>
  <c r="W26"/>
  <c r="W27"/>
  <c r="W28"/>
  <c r="W29"/>
  <c r="W30"/>
  <c r="W31"/>
  <c r="W32"/>
  <c r="W33"/>
  <c r="W34"/>
  <c r="W35"/>
  <c r="W36"/>
  <c r="W37"/>
  <c r="W38"/>
  <c r="W39"/>
  <c r="W40"/>
  <c r="W41"/>
  <c r="W42"/>
  <c r="W43"/>
  <c r="W44"/>
  <c r="W45"/>
  <c r="W46"/>
  <c r="W47"/>
  <c r="W48"/>
  <c r="W49"/>
  <c r="W50"/>
  <c r="W51"/>
  <c r="W52"/>
  <c r="W53"/>
  <c r="W54"/>
  <c r="W55"/>
  <c r="W56"/>
  <c r="W57"/>
  <c r="W58"/>
  <c r="W59"/>
  <c r="I5" i="58"/>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5"/>
  <c r="F3"/>
  <c r="AE34" i="169"/>
  <c r="BK18" i="166"/>
  <c r="BK19"/>
  <c r="AL19" i="145"/>
  <c r="AC20"/>
  <c r="M20"/>
  <c r="BM17" i="164"/>
  <c r="BA31" i="169"/>
  <c r="BJ55"/>
  <c r="BS40" i="165" l="1"/>
  <c r="BW40"/>
  <c r="D40" s="1"/>
  <c r="BX39"/>
  <c r="J39"/>
  <c r="C94" i="175"/>
  <c r="D94" s="1"/>
  <c r="D93"/>
  <c r="C29"/>
  <c r="D28"/>
  <c r="E61"/>
  <c r="C62"/>
  <c r="D61"/>
  <c r="CE39" i="165"/>
  <c r="CA45"/>
  <c r="CB45" s="1"/>
  <c r="AK45" s="1"/>
  <c r="BZ44"/>
  <c r="BQ41"/>
  <c r="BU40"/>
  <c r="CD40" s="1"/>
  <c r="CE40" s="1"/>
  <c r="BK162" i="169"/>
  <c r="BJ124"/>
  <c r="BJ98"/>
  <c r="BJ100" s="1"/>
  <c r="BJ93"/>
  <c r="BJ91"/>
  <c r="BJ74"/>
  <c r="BJ73"/>
  <c r="BJ72"/>
  <c r="BJ71"/>
  <c r="BB71"/>
  <c r="AU71"/>
  <c r="AE71"/>
  <c r="M71"/>
  <c r="C71"/>
  <c r="BJ70"/>
  <c r="BB70"/>
  <c r="AU70"/>
  <c r="AE70"/>
  <c r="M70"/>
  <c r="BB69"/>
  <c r="AU69"/>
  <c r="AE69"/>
  <c r="M69"/>
  <c r="BB68"/>
  <c r="AU68"/>
  <c r="AE68"/>
  <c r="M68"/>
  <c r="BB67"/>
  <c r="AU67"/>
  <c r="AE67"/>
  <c r="M67"/>
  <c r="BB66"/>
  <c r="AU66"/>
  <c r="AE66"/>
  <c r="M66"/>
  <c r="BB65"/>
  <c r="AU65"/>
  <c r="AE65"/>
  <c r="M65"/>
  <c r="BB64"/>
  <c r="AU64"/>
  <c r="AE64"/>
  <c r="M64"/>
  <c r="BB63"/>
  <c r="AU63"/>
  <c r="AE63"/>
  <c r="M63"/>
  <c r="BB62"/>
  <c r="AU62"/>
  <c r="AE62"/>
  <c r="M62"/>
  <c r="BB61"/>
  <c r="AU61"/>
  <c r="AE61"/>
  <c r="M61"/>
  <c r="BB60"/>
  <c r="AU60"/>
  <c r="AE60"/>
  <c r="M60"/>
  <c r="BB59"/>
  <c r="AU59"/>
  <c r="AE59"/>
  <c r="M59"/>
  <c r="BJ58"/>
  <c r="BB58"/>
  <c r="AU58"/>
  <c r="AE58"/>
  <c r="M58"/>
  <c r="BB57"/>
  <c r="AU57"/>
  <c r="AE57"/>
  <c r="M57"/>
  <c r="BB56"/>
  <c r="AU56"/>
  <c r="AE56"/>
  <c r="M56"/>
  <c r="BB55"/>
  <c r="AU55"/>
  <c r="AE55"/>
  <c r="M55"/>
  <c r="BB54"/>
  <c r="AU54"/>
  <c r="AE54"/>
  <c r="M54"/>
  <c r="BB53"/>
  <c r="AU53"/>
  <c r="V53"/>
  <c r="R53"/>
  <c r="CB53" s="1"/>
  <c r="Q53"/>
  <c r="AX53" s="1"/>
  <c r="M53"/>
  <c r="BB52"/>
  <c r="AU52"/>
  <c r="V52"/>
  <c r="R52"/>
  <c r="CB52" s="1"/>
  <c r="Q52"/>
  <c r="AX52" s="1"/>
  <c r="M52"/>
  <c r="BB51"/>
  <c r="AU51"/>
  <c r="V51"/>
  <c r="Q51"/>
  <c r="AX51" s="1"/>
  <c r="M51"/>
  <c r="BB50"/>
  <c r="AU50"/>
  <c r="V50"/>
  <c r="R50"/>
  <c r="CB50" s="1"/>
  <c r="Q50"/>
  <c r="AX50" s="1"/>
  <c r="M50"/>
  <c r="BJ49"/>
  <c r="BB49"/>
  <c r="AU49"/>
  <c r="V49"/>
  <c r="R49"/>
  <c r="CB49" s="1"/>
  <c r="Q49"/>
  <c r="AX49" s="1"/>
  <c r="M49"/>
  <c r="BB48"/>
  <c r="AU48"/>
  <c r="V48"/>
  <c r="Q48"/>
  <c r="AE48" s="1"/>
  <c r="M48"/>
  <c r="BB47"/>
  <c r="AU47"/>
  <c r="V47"/>
  <c r="R47"/>
  <c r="CB47" s="1"/>
  <c r="Q47"/>
  <c r="AX47" s="1"/>
  <c r="M47"/>
  <c r="BB46"/>
  <c r="AU46"/>
  <c r="V46"/>
  <c r="Q46"/>
  <c r="AX46" s="1"/>
  <c r="M46"/>
  <c r="BJ45"/>
  <c r="BB45"/>
  <c r="AU45"/>
  <c r="V45"/>
  <c r="Q45"/>
  <c r="AX45" s="1"/>
  <c r="M45"/>
  <c r="BB44"/>
  <c r="AU44"/>
  <c r="V44"/>
  <c r="R44"/>
  <c r="CB44" s="1"/>
  <c r="Q44"/>
  <c r="AX44" s="1"/>
  <c r="M44"/>
  <c r="BB43"/>
  <c r="AU43"/>
  <c r="V43"/>
  <c r="R43"/>
  <c r="CB43" s="1"/>
  <c r="Q43"/>
  <c r="AX43" s="1"/>
  <c r="M43"/>
  <c r="BJ42"/>
  <c r="BJ43" s="1"/>
  <c r="BB42"/>
  <c r="AU42"/>
  <c r="V42"/>
  <c r="R42"/>
  <c r="CB42" s="1"/>
  <c r="Q42"/>
  <c r="AX42" s="1"/>
  <c r="M42"/>
  <c r="BJ41"/>
  <c r="BB41"/>
  <c r="AU41"/>
  <c r="V41"/>
  <c r="R41"/>
  <c r="CB41" s="1"/>
  <c r="Q41"/>
  <c r="AX41" s="1"/>
  <c r="M41"/>
  <c r="BB40"/>
  <c r="AU40"/>
  <c r="V40"/>
  <c r="Q40"/>
  <c r="AX40" s="1"/>
  <c r="M40"/>
  <c r="BB39"/>
  <c r="AU39"/>
  <c r="V39"/>
  <c r="Q39"/>
  <c r="AX39" s="1"/>
  <c r="M39"/>
  <c r="BB38"/>
  <c r="AU38"/>
  <c r="V38"/>
  <c r="Q38"/>
  <c r="AX38" s="1"/>
  <c r="M38"/>
  <c r="BJ37"/>
  <c r="BJ39" s="1"/>
  <c r="BB37"/>
  <c r="AU37"/>
  <c r="V37"/>
  <c r="Q37"/>
  <c r="AX37" s="1"/>
  <c r="M37"/>
  <c r="BB36"/>
  <c r="AU36"/>
  <c r="V36"/>
  <c r="R36"/>
  <c r="CB36" s="1"/>
  <c r="Q36"/>
  <c r="AX36" s="1"/>
  <c r="M36"/>
  <c r="BB35"/>
  <c r="AU35"/>
  <c r="V35"/>
  <c r="Q35"/>
  <c r="AX35" s="1"/>
  <c r="M35"/>
  <c r="BB34"/>
  <c r="AU34"/>
  <c r="V34"/>
  <c r="Q34"/>
  <c r="AX34" s="1"/>
  <c r="M34"/>
  <c r="BA33"/>
  <c r="BB33" s="1"/>
  <c r="AU33"/>
  <c r="AH33"/>
  <c r="AG33"/>
  <c r="X33"/>
  <c r="AA33" s="1"/>
  <c r="R33"/>
  <c r="M33"/>
  <c r="BA32"/>
  <c r="BB32" s="1"/>
  <c r="AU32"/>
  <c r="AN32"/>
  <c r="AM32"/>
  <c r="AM33" s="1"/>
  <c r="AH32"/>
  <c r="AG32"/>
  <c r="X32"/>
  <c r="AA32" s="1"/>
  <c r="R32"/>
  <c r="O32"/>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M32"/>
  <c r="I32"/>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H32"/>
  <c r="H33" s="1"/>
  <c r="F32"/>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C32"/>
  <c r="C33" s="1"/>
  <c r="C34" s="1"/>
  <c r="C35" s="1"/>
  <c r="A32"/>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BB31"/>
  <c r="AU31"/>
  <c r="AN31"/>
  <c r="AH31"/>
  <c r="AG31"/>
  <c r="AA31"/>
  <c r="AL31" s="1"/>
  <c r="X31"/>
  <c r="R31"/>
  <c r="M31"/>
  <c r="J31"/>
  <c r="H26"/>
  <c r="F5"/>
  <c r="F4"/>
  <c r="F6" s="1"/>
  <c r="F14" l="1"/>
  <c r="BJ125"/>
  <c r="BU51" s="1"/>
  <c r="AO42" i="163" s="1"/>
  <c r="BS41" i="165"/>
  <c r="BW41"/>
  <c r="D41" s="1"/>
  <c r="BX40"/>
  <c r="J40"/>
  <c r="C30" i="175"/>
  <c r="D29"/>
  <c r="C63"/>
  <c r="D63" s="1"/>
  <c r="D62"/>
  <c r="E62"/>
  <c r="CA46" i="165"/>
  <c r="CB46" s="1"/>
  <c r="AK46" s="1"/>
  <c r="BZ45"/>
  <c r="BQ42"/>
  <c r="BU41"/>
  <c r="CD41" s="1"/>
  <c r="AP32" i="169"/>
  <c r="AL32"/>
  <c r="BJ59"/>
  <c r="BJ54"/>
  <c r="T31"/>
  <c r="E31"/>
  <c r="BU53"/>
  <c r="AO44" i="163" s="1"/>
  <c r="BU41" i="169"/>
  <c r="AO32" i="163" s="1"/>
  <c r="H34" i="169"/>
  <c r="J33"/>
  <c r="AM34"/>
  <c r="AM35" s="1"/>
  <c r="AM36" s="1"/>
  <c r="AM37" s="1"/>
  <c r="AM38" s="1"/>
  <c r="AM39" s="1"/>
  <c r="AM40" s="1"/>
  <c r="AM41" s="1"/>
  <c r="AM42" s="1"/>
  <c r="AM43" s="1"/>
  <c r="AM44" s="1"/>
  <c r="AM45" s="1"/>
  <c r="AM46" s="1"/>
  <c r="AM47" s="1"/>
  <c r="AM48" s="1"/>
  <c r="AM49" s="1"/>
  <c r="AM50" s="1"/>
  <c r="AM51" s="1"/>
  <c r="AM52" s="1"/>
  <c r="AM53" s="1"/>
  <c r="AM54" s="1"/>
  <c r="AM55" s="1"/>
  <c r="AM56" s="1"/>
  <c r="AM57" s="1"/>
  <c r="AM58" s="1"/>
  <c r="AM59" s="1"/>
  <c r="AM60" s="1"/>
  <c r="AM61" s="1"/>
  <c r="AM62" s="1"/>
  <c r="AM63" s="1"/>
  <c r="AM64" s="1"/>
  <c r="AM65" s="1"/>
  <c r="AM66" s="1"/>
  <c r="AM67" s="1"/>
  <c r="AM68" s="1"/>
  <c r="AM69" s="1"/>
  <c r="AM70" s="1"/>
  <c r="AM71" s="1"/>
  <c r="AN33"/>
  <c r="AP33"/>
  <c r="AL33"/>
  <c r="BJ52"/>
  <c r="BJ56" s="1"/>
  <c r="BJ57" s="1"/>
  <c r="B31"/>
  <c r="AP31"/>
  <c r="J32"/>
  <c r="R34"/>
  <c r="CB34" s="1"/>
  <c r="R35"/>
  <c r="CB35" s="1"/>
  <c r="AE36"/>
  <c r="R37"/>
  <c r="CB37" s="1"/>
  <c r="R38"/>
  <c r="CB38" s="1"/>
  <c r="BJ38"/>
  <c r="R39"/>
  <c r="CB39" s="1"/>
  <c r="R40"/>
  <c r="CB40" s="1"/>
  <c r="AE41"/>
  <c r="AE42"/>
  <c r="AE43"/>
  <c r="AE44"/>
  <c r="R45"/>
  <c r="CB45" s="1"/>
  <c r="R46"/>
  <c r="CB46" s="1"/>
  <c r="AE47"/>
  <c r="R48"/>
  <c r="CB48" s="1"/>
  <c r="AX48"/>
  <c r="AE35"/>
  <c r="AE37"/>
  <c r="AE38"/>
  <c r="AE39"/>
  <c r="AE40"/>
  <c r="AE45"/>
  <c r="AE46"/>
  <c r="AE49"/>
  <c r="AE50"/>
  <c r="R51"/>
  <c r="CB51" s="1"/>
  <c r="AE52"/>
  <c r="AE53"/>
  <c r="AE51"/>
  <c r="BU44" l="1"/>
  <c r="AO35" i="163" s="1"/>
  <c r="BU37" i="169"/>
  <c r="AO28" i="163" s="1"/>
  <c r="BU36" i="169"/>
  <c r="AO27" i="163" s="1"/>
  <c r="BU49" i="169"/>
  <c r="AO40" i="163" s="1"/>
  <c r="BU42" i="169"/>
  <c r="AO33" i="163" s="1"/>
  <c r="BU45" i="169"/>
  <c r="AO36" i="163" s="1"/>
  <c r="BU56" i="169"/>
  <c r="AO47" i="163" s="1"/>
  <c r="BU60" i="169"/>
  <c r="AO51" i="163" s="1"/>
  <c r="BU64" i="169"/>
  <c r="AO55" i="163" s="1"/>
  <c r="BU68" i="169"/>
  <c r="AO59" i="163" s="1"/>
  <c r="BU54" i="169"/>
  <c r="AO45" i="163" s="1"/>
  <c r="BU55" i="169"/>
  <c r="AO46" i="163" s="1"/>
  <c r="BU59" i="169"/>
  <c r="AO50" i="163" s="1"/>
  <c r="BU63" i="169"/>
  <c r="AO54" i="163" s="1"/>
  <c r="BU67" i="169"/>
  <c r="AO58" i="163" s="1"/>
  <c r="BU71" i="169"/>
  <c r="BU58"/>
  <c r="AO49" i="163" s="1"/>
  <c r="BU62" i="169"/>
  <c r="AO53" i="163" s="1"/>
  <c r="BU66" i="169"/>
  <c r="AO57" i="163" s="1"/>
  <c r="BU70" i="169"/>
  <c r="BU57"/>
  <c r="AO48" i="163" s="1"/>
  <c r="BU61" i="169"/>
  <c r="AO52" i="163" s="1"/>
  <c r="BU65" i="169"/>
  <c r="AO56" i="163" s="1"/>
  <c r="BU69" i="169"/>
  <c r="BU34"/>
  <c r="AO25" i="163" s="1"/>
  <c r="BU40" i="169"/>
  <c r="AO31" i="163" s="1"/>
  <c r="BU46" i="169"/>
  <c r="AO37" i="163" s="1"/>
  <c r="BU39" i="169"/>
  <c r="AO30" i="163" s="1"/>
  <c r="BU48" i="169"/>
  <c r="AO39" i="163" s="1"/>
  <c r="BU50" i="169"/>
  <c r="AO41" i="163" s="1"/>
  <c r="BU35" i="169"/>
  <c r="AO26" i="163" s="1"/>
  <c r="BU43" i="169"/>
  <c r="AO34" i="163" s="1"/>
  <c r="BU38" i="169"/>
  <c r="AO29" i="163" s="1"/>
  <c r="BU47" i="169"/>
  <c r="AO38" i="163" s="1"/>
  <c r="BU52" i="169"/>
  <c r="AO43" i="163" s="1"/>
  <c r="BS42" i="165"/>
  <c r="BW42"/>
  <c r="D42" s="1"/>
  <c r="BX41"/>
  <c r="J41"/>
  <c r="BJ61" i="169"/>
  <c r="W55"/>
  <c r="X55" s="1"/>
  <c r="AA55" s="1"/>
  <c r="AL55" s="1"/>
  <c r="W59"/>
  <c r="X59" s="1"/>
  <c r="AA59" s="1"/>
  <c r="AL59" s="1"/>
  <c r="W63"/>
  <c r="X63" s="1"/>
  <c r="AA63" s="1"/>
  <c r="AL63" s="1"/>
  <c r="W67"/>
  <c r="X67" s="1"/>
  <c r="AA67" s="1"/>
  <c r="AL67" s="1"/>
  <c r="W71"/>
  <c r="X71" s="1"/>
  <c r="AA71" s="1"/>
  <c r="AL71" s="1"/>
  <c r="W54"/>
  <c r="X54" s="1"/>
  <c r="AA54" s="1"/>
  <c r="W58"/>
  <c r="X58" s="1"/>
  <c r="AA58" s="1"/>
  <c r="AL58" s="1"/>
  <c r="W62"/>
  <c r="X62" s="1"/>
  <c r="AA62" s="1"/>
  <c r="AL62" s="1"/>
  <c r="W66"/>
  <c r="X66" s="1"/>
  <c r="AA66" s="1"/>
  <c r="AL66" s="1"/>
  <c r="W70"/>
  <c r="X70" s="1"/>
  <c r="AA70" s="1"/>
  <c r="W57"/>
  <c r="X57" s="1"/>
  <c r="AA57" s="1"/>
  <c r="AL57" s="1"/>
  <c r="W61"/>
  <c r="X61" s="1"/>
  <c r="AA61" s="1"/>
  <c r="AL61" s="1"/>
  <c r="W65"/>
  <c r="X65" s="1"/>
  <c r="AA65" s="1"/>
  <c r="AL65" s="1"/>
  <c r="W69"/>
  <c r="X69" s="1"/>
  <c r="AA69" s="1"/>
  <c r="AL69" s="1"/>
  <c r="W56"/>
  <c r="X56" s="1"/>
  <c r="AA56" s="1"/>
  <c r="AL56" s="1"/>
  <c r="W60"/>
  <c r="X60" s="1"/>
  <c r="AA60" s="1"/>
  <c r="AL60" s="1"/>
  <c r="W64"/>
  <c r="X64" s="1"/>
  <c r="AA64" s="1"/>
  <c r="AL64" s="1"/>
  <c r="W68"/>
  <c r="X68" s="1"/>
  <c r="AA68" s="1"/>
  <c r="C31" i="175"/>
  <c r="D30"/>
  <c r="E63"/>
  <c r="BJ60" i="169"/>
  <c r="CE41" i="165"/>
  <c r="CA47"/>
  <c r="CB47" s="1"/>
  <c r="AK47" s="1"/>
  <c r="BZ46"/>
  <c r="BU42"/>
  <c r="CD42" s="1"/>
  <c r="BQ43"/>
  <c r="AL54" i="169"/>
  <c r="H35"/>
  <c r="J34"/>
  <c r="E32"/>
  <c r="G31"/>
  <c r="AW31" s="1"/>
  <c r="AN22" i="163" s="1"/>
  <c r="AL70" i="169"/>
  <c r="AL68"/>
  <c r="B32"/>
  <c r="D31"/>
  <c r="N31" s="1"/>
  <c r="P31" s="1"/>
  <c r="S31" s="1"/>
  <c r="T32"/>
  <c r="U31"/>
  <c r="Z31" s="1"/>
  <c r="W51"/>
  <c r="X51" s="1"/>
  <c r="W53"/>
  <c r="X53" s="1"/>
  <c r="W52"/>
  <c r="X52" s="1"/>
  <c r="W50"/>
  <c r="X50" s="1"/>
  <c r="W49"/>
  <c r="X49" s="1"/>
  <c r="W48"/>
  <c r="X48" s="1"/>
  <c r="W46"/>
  <c r="X46" s="1"/>
  <c r="W45"/>
  <c r="X45" s="1"/>
  <c r="W40"/>
  <c r="X40" s="1"/>
  <c r="W39"/>
  <c r="X39" s="1"/>
  <c r="W38"/>
  <c r="X38" s="1"/>
  <c r="W37"/>
  <c r="X37" s="1"/>
  <c r="W35"/>
  <c r="X35" s="1"/>
  <c r="W34"/>
  <c r="W47"/>
  <c r="X47" s="1"/>
  <c r="W44"/>
  <c r="X44" s="1"/>
  <c r="W43"/>
  <c r="X43" s="1"/>
  <c r="W42"/>
  <c r="X42" s="1"/>
  <c r="W41"/>
  <c r="X41" s="1"/>
  <c r="W36"/>
  <c r="X36" s="1"/>
  <c r="BJ62"/>
  <c r="O7" i="163" l="1"/>
  <c r="J42" i="165"/>
  <c r="BX42"/>
  <c r="BS43"/>
  <c r="BW43"/>
  <c r="D43" s="1"/>
  <c r="AY31" i="169"/>
  <c r="C32" i="175"/>
  <c r="D32" s="1"/>
  <c r="D31"/>
  <c r="CE42" i="165"/>
  <c r="CA48"/>
  <c r="CB48" s="1"/>
  <c r="AK48" s="1"/>
  <c r="BZ47"/>
  <c r="BQ44"/>
  <c r="BW44" s="1"/>
  <c r="D44" s="1"/>
  <c r="BU43"/>
  <c r="CD43" s="1"/>
  <c r="CE43" s="1"/>
  <c r="BZ42" i="169"/>
  <c r="AA42"/>
  <c r="BZ44"/>
  <c r="AA44"/>
  <c r="AA37"/>
  <c r="BZ37"/>
  <c r="BZ41"/>
  <c r="AA41"/>
  <c r="BZ43"/>
  <c r="AA43"/>
  <c r="BZ47"/>
  <c r="AA47"/>
  <c r="BZ35"/>
  <c r="AA35"/>
  <c r="AA38"/>
  <c r="BZ38"/>
  <c r="BZ40"/>
  <c r="AA40"/>
  <c r="BZ46"/>
  <c r="AA46"/>
  <c r="BZ49"/>
  <c r="AA49"/>
  <c r="BZ52"/>
  <c r="AA52"/>
  <c r="BZ51"/>
  <c r="AA51"/>
  <c r="T33"/>
  <c r="U32"/>
  <c r="E33"/>
  <c r="G32"/>
  <c r="AW32" s="1"/>
  <c r="AN23" i="163" s="1"/>
  <c r="H36" i="169"/>
  <c r="J35"/>
  <c r="BZ36"/>
  <c r="AA36"/>
  <c r="AF34"/>
  <c r="X34"/>
  <c r="AA34" s="1"/>
  <c r="BB22" i="163" s="1"/>
  <c r="AA39" i="169"/>
  <c r="BZ39"/>
  <c r="AA45"/>
  <c r="BZ45"/>
  <c r="BZ48"/>
  <c r="AA48"/>
  <c r="BZ50"/>
  <c r="AA50"/>
  <c r="BZ53"/>
  <c r="AA53"/>
  <c r="AB31"/>
  <c r="Y31"/>
  <c r="AQ31"/>
  <c r="AJ31"/>
  <c r="AO31" s="1"/>
  <c r="B33"/>
  <c r="D32"/>
  <c r="N32" s="1"/>
  <c r="P32" s="1"/>
  <c r="S32" s="1"/>
  <c r="Q21" i="60"/>
  <c r="BX43" i="165" l="1"/>
  <c r="J43"/>
  <c r="BS44"/>
  <c r="AY32" i="169"/>
  <c r="CA49" i="165"/>
  <c r="CB49" s="1"/>
  <c r="AK49" s="1"/>
  <c r="BZ48"/>
  <c r="BQ45"/>
  <c r="BW45" s="1"/>
  <c r="D45" s="1"/>
  <c r="BU44"/>
  <c r="CD44" s="1"/>
  <c r="BC31" i="169"/>
  <c r="AL53"/>
  <c r="AL50"/>
  <c r="AL48"/>
  <c r="CA45"/>
  <c r="CC45"/>
  <c r="CA39"/>
  <c r="CC39"/>
  <c r="BZ34"/>
  <c r="AL36"/>
  <c r="J36"/>
  <c r="H37"/>
  <c r="E34"/>
  <c r="G33"/>
  <c r="AW33" s="1"/>
  <c r="AN24" i="163" s="1"/>
  <c r="T34" i="169"/>
  <c r="U33"/>
  <c r="CA51"/>
  <c r="CC51"/>
  <c r="CA52"/>
  <c r="CC52"/>
  <c r="CA49"/>
  <c r="CC49"/>
  <c r="CA46"/>
  <c r="CC46"/>
  <c r="CA40"/>
  <c r="CC40"/>
  <c r="AL38"/>
  <c r="CA35"/>
  <c r="CC35"/>
  <c r="CA47"/>
  <c r="CC47"/>
  <c r="CA43"/>
  <c r="CC43"/>
  <c r="CA41"/>
  <c r="CC41"/>
  <c r="AL37"/>
  <c r="CA44"/>
  <c r="CC44"/>
  <c r="CA42"/>
  <c r="CC42"/>
  <c r="AQ32"/>
  <c r="AJ32"/>
  <c r="AO32" s="1"/>
  <c r="BC32" s="1"/>
  <c r="B34"/>
  <c r="D33"/>
  <c r="AR31"/>
  <c r="AT31" s="1"/>
  <c r="CA53"/>
  <c r="CC53"/>
  <c r="CA50"/>
  <c r="CC50"/>
  <c r="CA48"/>
  <c r="CC48"/>
  <c r="AL45"/>
  <c r="AL39"/>
  <c r="AF35"/>
  <c r="AH34"/>
  <c r="AG34"/>
  <c r="BC22" i="163" s="1"/>
  <c r="CA36" i="169"/>
  <c r="CC36"/>
  <c r="Z32"/>
  <c r="AB32" s="1"/>
  <c r="Y32"/>
  <c r="AL51"/>
  <c r="AL52"/>
  <c r="AL49"/>
  <c r="AL46"/>
  <c r="AL40"/>
  <c r="CA38"/>
  <c r="CC38"/>
  <c r="AL35"/>
  <c r="AL47"/>
  <c r="AL43"/>
  <c r="AL41"/>
  <c r="CA37"/>
  <c r="CC37"/>
  <c r="AL44"/>
  <c r="AL42"/>
  <c r="J44" i="165" l="1"/>
  <c r="BX44"/>
  <c r="BS45"/>
  <c r="AY33" i="169"/>
  <c r="CE44" i="165"/>
  <c r="CA50"/>
  <c r="CB50" s="1"/>
  <c r="AK50" s="1"/>
  <c r="BZ49"/>
  <c r="BQ46"/>
  <c r="BU45"/>
  <c r="AV31" i="169"/>
  <c r="AQ33"/>
  <c r="AJ33"/>
  <c r="AO33" s="1"/>
  <c r="BC33" s="1"/>
  <c r="B35"/>
  <c r="D34"/>
  <c r="AQ34" s="1"/>
  <c r="AR32"/>
  <c r="AT32" s="1"/>
  <c r="CD34"/>
  <c r="U34"/>
  <c r="T35"/>
  <c r="E35"/>
  <c r="G34"/>
  <c r="CA34"/>
  <c r="CC34"/>
  <c r="BJ95"/>
  <c r="AN34"/>
  <c r="AF36"/>
  <c r="AG35"/>
  <c r="AH35"/>
  <c r="Z33"/>
  <c r="AB33" s="1"/>
  <c r="Y33"/>
  <c r="H38"/>
  <c r="J37"/>
  <c r="AP34"/>
  <c r="AL34"/>
  <c r="N33"/>
  <c r="P33" s="1"/>
  <c r="S33" s="1"/>
  <c r="AH25" i="163" l="1"/>
  <c r="BS46" i="165"/>
  <c r="BW46"/>
  <c r="D46" s="1"/>
  <c r="J45"/>
  <c r="BX45"/>
  <c r="CD45"/>
  <c r="CE45" s="1"/>
  <c r="N34" i="169"/>
  <c r="P34" s="1"/>
  <c r="S34" s="1"/>
  <c r="AW34"/>
  <c r="CA51" i="165"/>
  <c r="CB51" s="1"/>
  <c r="AK51" s="1"/>
  <c r="BZ50"/>
  <c r="BQ47"/>
  <c r="BU46"/>
  <c r="CD46" s="1"/>
  <c r="AV32" i="169"/>
  <c r="BD32" s="1"/>
  <c r="J17"/>
  <c r="H39"/>
  <c r="J38"/>
  <c r="AN35"/>
  <c r="AP35"/>
  <c r="T36"/>
  <c r="CD35"/>
  <c r="U35"/>
  <c r="CE34"/>
  <c r="AF37"/>
  <c r="AH36"/>
  <c r="AG36"/>
  <c r="G35"/>
  <c r="AW35" s="1"/>
  <c r="E36"/>
  <c r="Y34"/>
  <c r="Z34"/>
  <c r="AB34" s="1"/>
  <c r="AJ34"/>
  <c r="AO34" s="1"/>
  <c r="B36"/>
  <c r="D35"/>
  <c r="AR33"/>
  <c r="AT33" s="1"/>
  <c r="AV33" s="1"/>
  <c r="BD33" s="1"/>
  <c r="BD31"/>
  <c r="AN25" i="163" l="1"/>
  <c r="AH26"/>
  <c r="AN26"/>
  <c r="BS47" i="165"/>
  <c r="BW47"/>
  <c r="D47" s="1"/>
  <c r="J46"/>
  <c r="BX46"/>
  <c r="AY34" i="169"/>
  <c r="BC34" s="1"/>
  <c r="BV34" s="1"/>
  <c r="AY35"/>
  <c r="CE46" i="165"/>
  <c r="CA52"/>
  <c r="CB52" s="1"/>
  <c r="AK52" s="1"/>
  <c r="BZ51"/>
  <c r="BQ48"/>
  <c r="BU47"/>
  <c r="AQ35" i="169"/>
  <c r="AR35" s="1"/>
  <c r="AJ35"/>
  <c r="AO35" s="1"/>
  <c r="B37"/>
  <c r="D36"/>
  <c r="N36" s="1"/>
  <c r="AR34"/>
  <c r="J19" s="1"/>
  <c r="J18"/>
  <c r="Y35"/>
  <c r="Z35"/>
  <c r="AB35" s="1"/>
  <c r="T37"/>
  <c r="CD36"/>
  <c r="U36"/>
  <c r="H40"/>
  <c r="J39"/>
  <c r="E37"/>
  <c r="G36"/>
  <c r="AW36" s="1"/>
  <c r="AN36"/>
  <c r="AP36"/>
  <c r="AF38"/>
  <c r="AH37"/>
  <c r="AG37"/>
  <c r="N35"/>
  <c r="AN27" i="163" l="1"/>
  <c r="AH27"/>
  <c r="BC35" i="169"/>
  <c r="BV35" s="1"/>
  <c r="BS48" i="165"/>
  <c r="BW48"/>
  <c r="D48" s="1"/>
  <c r="BX47"/>
  <c r="J47"/>
  <c r="CD47"/>
  <c r="CE47" s="1"/>
  <c r="AT35" i="169"/>
  <c r="AV35" s="1"/>
  <c r="BW35" s="1"/>
  <c r="BY35" s="1"/>
  <c r="AT34"/>
  <c r="AV34" s="1"/>
  <c r="AY36"/>
  <c r="CA53" i="165"/>
  <c r="CB53" s="1"/>
  <c r="AK53" s="1"/>
  <c r="BZ52"/>
  <c r="BQ49"/>
  <c r="BU48"/>
  <c r="CD48" s="1"/>
  <c r="CE35" i="169"/>
  <c r="P35"/>
  <c r="S35" s="1"/>
  <c r="BX35"/>
  <c r="Z36"/>
  <c r="AB36" s="1"/>
  <c r="Y36"/>
  <c r="U37"/>
  <c r="T38"/>
  <c r="CD37"/>
  <c r="CE36"/>
  <c r="P36"/>
  <c r="S36" s="1"/>
  <c r="BX34"/>
  <c r="AN37"/>
  <c r="AP37"/>
  <c r="AF39"/>
  <c r="AG38"/>
  <c r="AH38"/>
  <c r="E38"/>
  <c r="G37"/>
  <c r="AW37" s="1"/>
  <c r="H41"/>
  <c r="J40"/>
  <c r="AQ36"/>
  <c r="AR36" s="1"/>
  <c r="AJ36"/>
  <c r="AO36" s="1"/>
  <c r="B38"/>
  <c r="D37"/>
  <c r="N37" s="1"/>
  <c r="J20" l="1"/>
  <c r="AH28" i="163"/>
  <c r="AN28"/>
  <c r="J48" i="165"/>
  <c r="BX48"/>
  <c r="BS49"/>
  <c r="BW49"/>
  <c r="D49" s="1"/>
  <c r="BD35" i="169"/>
  <c r="AY37"/>
  <c r="CE48" i="165"/>
  <c r="CA54"/>
  <c r="CB54" s="1"/>
  <c r="AK54" s="1"/>
  <c r="BZ53"/>
  <c r="BQ50"/>
  <c r="BU49"/>
  <c r="BC36" i="169"/>
  <c r="CE37"/>
  <c r="P37"/>
  <c r="S37" s="1"/>
  <c r="AF40"/>
  <c r="AH39"/>
  <c r="AG39"/>
  <c r="CG34"/>
  <c r="CI34" s="1"/>
  <c r="J24" s="1"/>
  <c r="CF34"/>
  <c r="CH34" s="1"/>
  <c r="H24" s="1"/>
  <c r="Y37"/>
  <c r="Z37"/>
  <c r="AB37" s="1"/>
  <c r="CJ35"/>
  <c r="CL35" s="1"/>
  <c r="CK35"/>
  <c r="CM35" s="1"/>
  <c r="BD34"/>
  <c r="AQ37"/>
  <c r="AR37" s="1"/>
  <c r="AJ37"/>
  <c r="AO37" s="1"/>
  <c r="BC37" s="1"/>
  <c r="BV37" s="1"/>
  <c r="B39"/>
  <c r="D38"/>
  <c r="H42"/>
  <c r="J41"/>
  <c r="E39"/>
  <c r="G38"/>
  <c r="AW38" s="1"/>
  <c r="AN38"/>
  <c r="AP38"/>
  <c r="U38"/>
  <c r="T39"/>
  <c r="CD38"/>
  <c r="CF35"/>
  <c r="CH35" s="1"/>
  <c r="CG35"/>
  <c r="CI35" s="1"/>
  <c r="AT37"/>
  <c r="AV37" s="1"/>
  <c r="AT36"/>
  <c r="BW34"/>
  <c r="BY34" s="1"/>
  <c r="AH29" i="163" l="1"/>
  <c r="AN29"/>
  <c r="BS50" i="165"/>
  <c r="BW50"/>
  <c r="D50" s="1"/>
  <c r="BX49"/>
  <c r="J49"/>
  <c r="CD49"/>
  <c r="CE49" s="1"/>
  <c r="AY38" i="169"/>
  <c r="BD37"/>
  <c r="CA55" i="165"/>
  <c r="CB55" s="1"/>
  <c r="AK55" s="1"/>
  <c r="BZ54"/>
  <c r="BQ51"/>
  <c r="BU50"/>
  <c r="CD50" s="1"/>
  <c r="CK34" i="169"/>
  <c r="CM34" s="1"/>
  <c r="CJ34"/>
  <c r="CL34" s="1"/>
  <c r="BW37"/>
  <c r="BY37" s="1"/>
  <c r="BX37"/>
  <c r="U39"/>
  <c r="T40"/>
  <c r="CD39"/>
  <c r="AQ38"/>
  <c r="AR38" s="1"/>
  <c r="AJ38"/>
  <c r="B40"/>
  <c r="D39"/>
  <c r="N39" s="1"/>
  <c r="AN39"/>
  <c r="AP39"/>
  <c r="AF41"/>
  <c r="AG40"/>
  <c r="AH40"/>
  <c r="BV36"/>
  <c r="AV36"/>
  <c r="Y38"/>
  <c r="Z38"/>
  <c r="AB38" s="1"/>
  <c r="E40"/>
  <c r="G39"/>
  <c r="AW39" s="1"/>
  <c r="H43"/>
  <c r="J42"/>
  <c r="AO38"/>
  <c r="N38"/>
  <c r="AN30" i="163" l="1"/>
  <c r="BC38" i="169"/>
  <c r="BV38" s="1"/>
  <c r="AH30" i="163"/>
  <c r="J50" i="165"/>
  <c r="BX50"/>
  <c r="BS51"/>
  <c r="BW51"/>
  <c r="D51" s="1"/>
  <c r="AT38" i="169"/>
  <c r="AV38" s="1"/>
  <c r="AY39"/>
  <c r="CE50" i="165"/>
  <c r="CA56"/>
  <c r="CB56" s="1"/>
  <c r="AK56" s="1"/>
  <c r="BZ55"/>
  <c r="BQ52"/>
  <c r="BW52" s="1"/>
  <c r="D52" s="1"/>
  <c r="BU51"/>
  <c r="CE39" i="169"/>
  <c r="P39"/>
  <c r="S39" s="1"/>
  <c r="BX38"/>
  <c r="CE38"/>
  <c r="P38"/>
  <c r="S38" s="1"/>
  <c r="H44"/>
  <c r="J43"/>
  <c r="G40"/>
  <c r="AW40" s="1"/>
  <c r="E41"/>
  <c r="BD36"/>
  <c r="AF42"/>
  <c r="AH41"/>
  <c r="AG41"/>
  <c r="Y39"/>
  <c r="Z39"/>
  <c r="AB39" s="1"/>
  <c r="CJ37"/>
  <c r="CL37" s="1"/>
  <c r="CK37"/>
  <c r="CM37" s="1"/>
  <c r="BW36"/>
  <c r="BY36" s="1"/>
  <c r="BX36"/>
  <c r="AN40"/>
  <c r="AP40"/>
  <c r="AQ39"/>
  <c r="AR39" s="1"/>
  <c r="AJ39"/>
  <c r="AO39" s="1"/>
  <c r="BC39" s="1"/>
  <c r="B41"/>
  <c r="D40"/>
  <c r="N40" s="1"/>
  <c r="T41"/>
  <c r="CD40"/>
  <c r="U40"/>
  <c r="CF37"/>
  <c r="CH37" s="1"/>
  <c r="CG37"/>
  <c r="CI37" s="1"/>
  <c r="BW38" l="1"/>
  <c r="BY38" s="1"/>
  <c r="CK38" s="1"/>
  <c r="CM38" s="1"/>
  <c r="AH31" i="163"/>
  <c r="AN31"/>
  <c r="BD38" i="169"/>
  <c r="BX51" i="165"/>
  <c r="J51"/>
  <c r="BS52"/>
  <c r="CD51"/>
  <c r="CE51" s="1"/>
  <c r="AT39" i="169"/>
  <c r="AV39" s="1"/>
  <c r="BD39" s="1"/>
  <c r="AY40"/>
  <c r="CA57" i="165"/>
  <c r="CB57" s="1"/>
  <c r="AK57" s="1"/>
  <c r="BZ56"/>
  <c r="BQ53"/>
  <c r="BW53" s="1"/>
  <c r="D53" s="1"/>
  <c r="BU52"/>
  <c r="CD52" s="1"/>
  <c r="BV39" i="169"/>
  <c r="T42"/>
  <c r="CD41"/>
  <c r="U41"/>
  <c r="CE40"/>
  <c r="P40"/>
  <c r="S40" s="1"/>
  <c r="AQ40"/>
  <c r="AR40" s="1"/>
  <c r="AJ40"/>
  <c r="AO40" s="1"/>
  <c r="BC40" s="1"/>
  <c r="BV40" s="1"/>
  <c r="D41"/>
  <c r="N41" s="1"/>
  <c r="B42"/>
  <c r="CJ36"/>
  <c r="CL36" s="1"/>
  <c r="CK36"/>
  <c r="CM36" s="1"/>
  <c r="J44"/>
  <c r="H45"/>
  <c r="CJ38"/>
  <c r="CL38" s="1"/>
  <c r="Y40"/>
  <c r="Z40"/>
  <c r="AB40" s="1"/>
  <c r="CF36"/>
  <c r="CH36" s="1"/>
  <c r="CG36"/>
  <c r="CI36" s="1"/>
  <c r="AN41"/>
  <c r="AP41"/>
  <c r="AF43"/>
  <c r="AG42"/>
  <c r="AH42"/>
  <c r="E42"/>
  <c r="G41"/>
  <c r="AW41" s="1"/>
  <c r="CF38"/>
  <c r="CH38" s="1"/>
  <c r="CG38"/>
  <c r="CI38" s="1"/>
  <c r="AT40" l="1"/>
  <c r="AV40" s="1"/>
  <c r="BW40" s="1"/>
  <c r="BY40" s="1"/>
  <c r="AN32" i="163"/>
  <c r="AH32"/>
  <c r="J52" i="165"/>
  <c r="BX52"/>
  <c r="BS53"/>
  <c r="AY41" i="169"/>
  <c r="CE52" i="165"/>
  <c r="CA58"/>
  <c r="CB58" s="1"/>
  <c r="AK58" s="1"/>
  <c r="BZ57"/>
  <c r="BQ54"/>
  <c r="BW54" s="1"/>
  <c r="D54" s="1"/>
  <c r="BU53"/>
  <c r="CD53" s="1"/>
  <c r="P41" i="169"/>
  <c r="S41" s="1"/>
  <c r="CE41"/>
  <c r="BX40"/>
  <c r="E43"/>
  <c r="G42"/>
  <c r="AW42" s="1"/>
  <c r="AN42"/>
  <c r="AP42"/>
  <c r="AF44"/>
  <c r="AH43"/>
  <c r="AG43"/>
  <c r="H46"/>
  <c r="J45"/>
  <c r="D42"/>
  <c r="N42" s="1"/>
  <c r="B43"/>
  <c r="BW39"/>
  <c r="BY39" s="1"/>
  <c r="BX39"/>
  <c r="AQ41"/>
  <c r="AR41" s="1"/>
  <c r="AJ41"/>
  <c r="AO41" s="1"/>
  <c r="Z41"/>
  <c r="AB41" s="1"/>
  <c r="Y41"/>
  <c r="T43"/>
  <c r="CD42"/>
  <c r="U42"/>
  <c r="BD40"/>
  <c r="AN33" i="163" l="1"/>
  <c r="AH33"/>
  <c r="BX53" i="165"/>
  <c r="J53"/>
  <c r="BS54"/>
  <c r="AY42" i="169"/>
  <c r="BC41"/>
  <c r="BV41" s="1"/>
  <c r="BX41" s="1"/>
  <c r="CE53" i="165"/>
  <c r="CA59"/>
  <c r="BZ58"/>
  <c r="BQ55"/>
  <c r="BW55" s="1"/>
  <c r="D55" s="1"/>
  <c r="BU54"/>
  <c r="CD54" s="1"/>
  <c r="P42" i="169"/>
  <c r="S42" s="1"/>
  <c r="CE42"/>
  <c r="CG39"/>
  <c r="CI39" s="1"/>
  <c r="CF39"/>
  <c r="CH39" s="1"/>
  <c r="D43"/>
  <c r="N43" s="1"/>
  <c r="B44"/>
  <c r="H47"/>
  <c r="J46"/>
  <c r="CF40"/>
  <c r="CH40" s="1"/>
  <c r="CG40"/>
  <c r="CI40" s="1"/>
  <c r="AT41"/>
  <c r="AV41" s="1"/>
  <c r="BD41" s="1"/>
  <c r="Z42"/>
  <c r="AB42" s="1"/>
  <c r="Y42"/>
  <c r="T44"/>
  <c r="CD43"/>
  <c r="U43"/>
  <c r="CJ39"/>
  <c r="CL39" s="1"/>
  <c r="CK39"/>
  <c r="CM39" s="1"/>
  <c r="AQ42"/>
  <c r="AR42" s="1"/>
  <c r="AJ42"/>
  <c r="AO42" s="1"/>
  <c r="AN43"/>
  <c r="AP43"/>
  <c r="AF45"/>
  <c r="AG44"/>
  <c r="AH44"/>
  <c r="E44"/>
  <c r="G43"/>
  <c r="AW43" s="1"/>
  <c r="CJ40"/>
  <c r="CL40" s="1"/>
  <c r="CK40"/>
  <c r="CM40" s="1"/>
  <c r="AN34" i="163" l="1"/>
  <c r="AH34"/>
  <c r="J54" i="165"/>
  <c r="BX54"/>
  <c r="BS55"/>
  <c r="AY43" i="169"/>
  <c r="BC42"/>
  <c r="BV42" s="1"/>
  <c r="BX42" s="1"/>
  <c r="BZ59" i="165"/>
  <c r="CB59"/>
  <c r="AK59" s="1"/>
  <c r="CE54"/>
  <c r="BQ56"/>
  <c r="BW56" s="1"/>
  <c r="D56" s="1"/>
  <c r="BU55"/>
  <c r="Z43" i="169"/>
  <c r="AB43" s="1"/>
  <c r="Y43"/>
  <c r="T45"/>
  <c r="CD44"/>
  <c r="U44"/>
  <c r="B45"/>
  <c r="D44"/>
  <c r="N44" s="1"/>
  <c r="P43"/>
  <c r="S43" s="1"/>
  <c r="CE43"/>
  <c r="BW41"/>
  <c r="BY41" s="1"/>
  <c r="E45"/>
  <c r="G44"/>
  <c r="AW44" s="1"/>
  <c r="AN44"/>
  <c r="AP44"/>
  <c r="AF46"/>
  <c r="AH45"/>
  <c r="AG45"/>
  <c r="J47"/>
  <c r="H48"/>
  <c r="AQ43"/>
  <c r="AR43" s="1"/>
  <c r="AJ43"/>
  <c r="AO43" s="1"/>
  <c r="CF41"/>
  <c r="CH41" s="1"/>
  <c r="CG41"/>
  <c r="CI41" s="1"/>
  <c r="AT42"/>
  <c r="AV42" s="1"/>
  <c r="BD42" s="1"/>
  <c r="BC43" l="1"/>
  <c r="BV43" s="1"/>
  <c r="AH35" i="163"/>
  <c r="AN35"/>
  <c r="BX55" i="165"/>
  <c r="J55"/>
  <c r="BS56"/>
  <c r="CD55"/>
  <c r="CE55" s="1"/>
  <c r="AY44" i="169"/>
  <c r="BQ57" i="165"/>
  <c r="BW57" s="1"/>
  <c r="D57" s="1"/>
  <c r="BU56"/>
  <c r="CD56" s="1"/>
  <c r="CE44" i="169"/>
  <c r="P44"/>
  <c r="S44" s="1"/>
  <c r="BX43"/>
  <c r="CJ41"/>
  <c r="CL41" s="1"/>
  <c r="CK41"/>
  <c r="CM41" s="1"/>
  <c r="Z44"/>
  <c r="AB44" s="1"/>
  <c r="Y44"/>
  <c r="U45"/>
  <c r="T46"/>
  <c r="CD45"/>
  <c r="AT43"/>
  <c r="AV43" s="1"/>
  <c r="BD43" s="1"/>
  <c r="BW42"/>
  <c r="BY42" s="1"/>
  <c r="H49"/>
  <c r="J48"/>
  <c r="AN45"/>
  <c r="AP45"/>
  <c r="AF47"/>
  <c r="AG46"/>
  <c r="AH46"/>
  <c r="E46"/>
  <c r="G45"/>
  <c r="AW45" s="1"/>
  <c r="AQ44"/>
  <c r="AR44" s="1"/>
  <c r="AJ44"/>
  <c r="AO44" s="1"/>
  <c r="B46"/>
  <c r="D45"/>
  <c r="N45" s="1"/>
  <c r="CF42"/>
  <c r="CH42" s="1"/>
  <c r="CG42"/>
  <c r="CI42" s="1"/>
  <c r="AH36" i="163" l="1"/>
  <c r="AN36"/>
  <c r="J56" i="165"/>
  <c r="BX56"/>
  <c r="BS57"/>
  <c r="CE56"/>
  <c r="AY45" i="169"/>
  <c r="BC44"/>
  <c r="BV44" s="1"/>
  <c r="BX44" s="1"/>
  <c r="BQ58" i="165"/>
  <c r="BW58" s="1"/>
  <c r="D58" s="1"/>
  <c r="BU57"/>
  <c r="CD57" s="1"/>
  <c r="CE57" s="1"/>
  <c r="AQ45" i="169"/>
  <c r="AR45" s="1"/>
  <c r="AJ45"/>
  <c r="AO45" s="1"/>
  <c r="B47"/>
  <c r="D46"/>
  <c r="N46" s="1"/>
  <c r="G46"/>
  <c r="AW46" s="1"/>
  <c r="E47"/>
  <c r="AN46"/>
  <c r="AP46"/>
  <c r="CJ42"/>
  <c r="CL42" s="1"/>
  <c r="CK42"/>
  <c r="CM42" s="1"/>
  <c r="Y45"/>
  <c r="Z45"/>
  <c r="AB45" s="1"/>
  <c r="AT44"/>
  <c r="AV44" s="1"/>
  <c r="BD44" s="1"/>
  <c r="BW43"/>
  <c r="BY43" s="1"/>
  <c r="CE45"/>
  <c r="P45"/>
  <c r="S45" s="1"/>
  <c r="AF48"/>
  <c r="AH47"/>
  <c r="AG47"/>
  <c r="H50"/>
  <c r="J49"/>
  <c r="T47"/>
  <c r="CD46"/>
  <c r="U46"/>
  <c r="CF43"/>
  <c r="CH43" s="1"/>
  <c r="CG43"/>
  <c r="CI43" s="1"/>
  <c r="AH37" i="163" l="1"/>
  <c r="AN37"/>
  <c r="AT45" i="169"/>
  <c r="AV45" s="1"/>
  <c r="BD45" s="1"/>
  <c r="BC45"/>
  <c r="BV45" s="1"/>
  <c r="BW45" s="1"/>
  <c r="BY45" s="1"/>
  <c r="BX57" i="165"/>
  <c r="J57"/>
  <c r="BS58"/>
  <c r="AY46" i="169"/>
  <c r="BU58" i="165"/>
  <c r="CD58" s="1"/>
  <c r="CE58" s="1"/>
  <c r="AN47" i="169"/>
  <c r="AP47"/>
  <c r="AF49"/>
  <c r="AG48"/>
  <c r="AH48"/>
  <c r="E48"/>
  <c r="G47"/>
  <c r="AW47" s="1"/>
  <c r="AQ46"/>
  <c r="AR46" s="1"/>
  <c r="AJ46"/>
  <c r="B48"/>
  <c r="D47"/>
  <c r="N47" s="1"/>
  <c r="BW44"/>
  <c r="BY44" s="1"/>
  <c r="Y46"/>
  <c r="Z46"/>
  <c r="AB46" s="1"/>
  <c r="T48"/>
  <c r="CD47"/>
  <c r="U47"/>
  <c r="J50"/>
  <c r="H51"/>
  <c r="CJ43"/>
  <c r="CL43" s="1"/>
  <c r="CK43"/>
  <c r="CM43" s="1"/>
  <c r="CE46"/>
  <c r="P46"/>
  <c r="S46" s="1"/>
  <c r="CF44"/>
  <c r="CH44" s="1"/>
  <c r="CG44"/>
  <c r="CI44" s="1"/>
  <c r="AO46"/>
  <c r="BX45" l="1"/>
  <c r="CF45" s="1"/>
  <c r="CH45" s="1"/>
  <c r="AN38" i="163"/>
  <c r="BC46" i="169"/>
  <c r="BV46" s="1"/>
  <c r="AH38" i="163"/>
  <c r="AT46" i="169"/>
  <c r="AV46" s="1"/>
  <c r="BD46" s="1"/>
  <c r="J58" i="165"/>
  <c r="BX58"/>
  <c r="AY47" i="169"/>
  <c r="BU59" i="165"/>
  <c r="CD59" s="1"/>
  <c r="CE59" s="1"/>
  <c r="BQ59"/>
  <c r="CE47" i="169"/>
  <c r="P47"/>
  <c r="S47" s="1"/>
  <c r="H52"/>
  <c r="J51"/>
  <c r="T49"/>
  <c r="CD48"/>
  <c r="U48"/>
  <c r="CJ44"/>
  <c r="CL44" s="1"/>
  <c r="CK44"/>
  <c r="CM44" s="1"/>
  <c r="AF50"/>
  <c r="AH49"/>
  <c r="AG49"/>
  <c r="CJ45"/>
  <c r="CL45" s="1"/>
  <c r="CK45"/>
  <c r="CM45" s="1"/>
  <c r="Z47"/>
  <c r="AB47" s="1"/>
  <c r="Y47"/>
  <c r="AQ47"/>
  <c r="AR47" s="1"/>
  <c r="AJ47"/>
  <c r="AO47" s="1"/>
  <c r="B49"/>
  <c r="D48"/>
  <c r="N48" s="1"/>
  <c r="E49"/>
  <c r="G48"/>
  <c r="AW48" s="1"/>
  <c r="AN48"/>
  <c r="AP48"/>
  <c r="CG45" l="1"/>
  <c r="CI45" s="1"/>
  <c r="BW46"/>
  <c r="BY46" s="1"/>
  <c r="CK46" s="1"/>
  <c r="CM46" s="1"/>
  <c r="BX46"/>
  <c r="CG46" s="1"/>
  <c r="CI46" s="1"/>
  <c r="AN39" i="163"/>
  <c r="BC47" i="169"/>
  <c r="BV47" s="1"/>
  <c r="AH39" i="163"/>
  <c r="BS59" i="165"/>
  <c r="BW59"/>
  <c r="D59" s="1"/>
  <c r="AV48"/>
  <c r="AY48" i="169"/>
  <c r="CE48"/>
  <c r="P48"/>
  <c r="S48" s="1"/>
  <c r="E50"/>
  <c r="G49"/>
  <c r="AW49" s="1"/>
  <c r="Y48"/>
  <c r="Z48"/>
  <c r="AB48" s="1"/>
  <c r="T50"/>
  <c r="CD49"/>
  <c r="U49"/>
  <c r="H53"/>
  <c r="J52"/>
  <c r="CJ46"/>
  <c r="CL46" s="1"/>
  <c r="AT47"/>
  <c r="AV47" s="1"/>
  <c r="BD47" s="1"/>
  <c r="AJ48"/>
  <c r="AO48" s="1"/>
  <c r="AQ48"/>
  <c r="AR48" s="1"/>
  <c r="B50"/>
  <c r="D49"/>
  <c r="BX47"/>
  <c r="AN49"/>
  <c r="AP49"/>
  <c r="AF51"/>
  <c r="AG50"/>
  <c r="AH50"/>
  <c r="CF46"/>
  <c r="CH46" s="1"/>
  <c r="BW47" l="1"/>
  <c r="BY47" s="1"/>
  <c r="CJ47" s="1"/>
  <c r="CL47" s="1"/>
  <c r="AN40" i="163"/>
  <c r="AH40"/>
  <c r="BC48" i="169"/>
  <c r="BV48" s="1"/>
  <c r="BX59" i="165"/>
  <c r="J59"/>
  <c r="AY49" i="169"/>
  <c r="AN50"/>
  <c r="AP50"/>
  <c r="CF47"/>
  <c r="CH47" s="1"/>
  <c r="CG47"/>
  <c r="CI47" s="1"/>
  <c r="AQ49"/>
  <c r="AR49" s="1"/>
  <c r="AJ49"/>
  <c r="Z49"/>
  <c r="AB49" s="1"/>
  <c r="Y49"/>
  <c r="T51"/>
  <c r="CD50"/>
  <c r="U50"/>
  <c r="E51"/>
  <c r="G50"/>
  <c r="AW50" s="1"/>
  <c r="AO49"/>
  <c r="N49"/>
  <c r="AF52"/>
  <c r="AG51"/>
  <c r="AH51"/>
  <c r="B51"/>
  <c r="D50"/>
  <c r="BX48"/>
  <c r="J53"/>
  <c r="H54"/>
  <c r="AT48"/>
  <c r="AV48" s="1"/>
  <c r="BD48" s="1"/>
  <c r="CK47" l="1"/>
  <c r="CM47" s="1"/>
  <c r="AN41" i="163"/>
  <c r="AH41"/>
  <c r="BC49" i="169"/>
  <c r="BV49" s="1"/>
  <c r="BX49" s="1"/>
  <c r="AT49"/>
  <c r="AV49" s="1"/>
  <c r="AY50"/>
  <c r="H55"/>
  <c r="J54"/>
  <c r="AQ50"/>
  <c r="AR50" s="1"/>
  <c r="AJ50"/>
  <c r="AF53"/>
  <c r="AF54" s="1"/>
  <c r="AG52"/>
  <c r="AH52"/>
  <c r="Z50"/>
  <c r="AB50" s="1"/>
  <c r="Y50"/>
  <c r="T52"/>
  <c r="CD51"/>
  <c r="U51"/>
  <c r="BW48"/>
  <c r="BY48" s="1"/>
  <c r="N50"/>
  <c r="BD49"/>
  <c r="AO50"/>
  <c r="CF48"/>
  <c r="CH48" s="1"/>
  <c r="CG48"/>
  <c r="CI48" s="1"/>
  <c r="B52"/>
  <c r="D51"/>
  <c r="N51" s="1"/>
  <c r="AN51"/>
  <c r="AP51"/>
  <c r="P49"/>
  <c r="S49" s="1"/>
  <c r="CE49"/>
  <c r="G51"/>
  <c r="AW51" s="1"/>
  <c r="E52"/>
  <c r="BW49" l="1"/>
  <c r="BY49" s="1"/>
  <c r="CK49" s="1"/>
  <c r="CM49" s="1"/>
  <c r="AN42" i="163"/>
  <c r="AH42"/>
  <c r="AF55" i="169"/>
  <c r="AG54"/>
  <c r="AH54"/>
  <c r="BC50"/>
  <c r="BV50" s="1"/>
  <c r="BX50" s="1"/>
  <c r="AT50"/>
  <c r="AV50" s="1"/>
  <c r="BD50" s="1"/>
  <c r="AY51"/>
  <c r="E53"/>
  <c r="G52"/>
  <c r="AW52" s="1"/>
  <c r="CF49"/>
  <c r="CH49" s="1"/>
  <c r="CG49"/>
  <c r="CI49" s="1"/>
  <c r="AQ51"/>
  <c r="AR51" s="1"/>
  <c r="AJ51"/>
  <c r="AO51" s="1"/>
  <c r="BC51" s="1"/>
  <c r="BV51" s="1"/>
  <c r="D52"/>
  <c r="N52" s="1"/>
  <c r="B53"/>
  <c r="CK48"/>
  <c r="CM48" s="1"/>
  <c r="CJ48"/>
  <c r="CL48" s="1"/>
  <c r="AH53"/>
  <c r="AG53"/>
  <c r="H56"/>
  <c r="J55"/>
  <c r="CE51"/>
  <c r="P51"/>
  <c r="S51" s="1"/>
  <c r="CE50"/>
  <c r="P50"/>
  <c r="S50" s="1"/>
  <c r="Y51"/>
  <c r="Z51"/>
  <c r="AB51" s="1"/>
  <c r="T53"/>
  <c r="CD52"/>
  <c r="U52"/>
  <c r="AN52"/>
  <c r="AP52"/>
  <c r="CJ49" l="1"/>
  <c r="CL49" s="1"/>
  <c r="BW50"/>
  <c r="BY50" s="1"/>
  <c r="CJ50" s="1"/>
  <c r="CL50" s="1"/>
  <c r="AH43" i="163"/>
  <c r="AN43"/>
  <c r="AF56" i="169"/>
  <c r="AH55"/>
  <c r="AG55"/>
  <c r="AN54"/>
  <c r="AH45" i="163" s="1"/>
  <c r="AP54" i="169"/>
  <c r="AT51"/>
  <c r="AV51" s="1"/>
  <c r="BD51" s="1"/>
  <c r="AY52"/>
  <c r="P52"/>
  <c r="S52" s="1"/>
  <c r="CE52"/>
  <c r="Z52"/>
  <c r="AB52" s="1"/>
  <c r="Y52"/>
  <c r="T54"/>
  <c r="CD53"/>
  <c r="U53"/>
  <c r="CF50"/>
  <c r="CH50" s="1"/>
  <c r="CG50"/>
  <c r="CI50" s="1"/>
  <c r="AN53"/>
  <c r="AP53"/>
  <c r="B54"/>
  <c r="D53"/>
  <c r="N53" s="1"/>
  <c r="E54"/>
  <c r="G53"/>
  <c r="AW53" s="1"/>
  <c r="BX51"/>
  <c r="J56"/>
  <c r="H57"/>
  <c r="AQ52"/>
  <c r="AR52" s="1"/>
  <c r="AJ52"/>
  <c r="AO52" s="1"/>
  <c r="BC52" s="1"/>
  <c r="BV52" s="1"/>
  <c r="CK50" l="1"/>
  <c r="CM50" s="1"/>
  <c r="BW51"/>
  <c r="BY51" s="1"/>
  <c r="CK51" s="1"/>
  <c r="CM51" s="1"/>
  <c r="AH44" i="163"/>
  <c r="AN44"/>
  <c r="AF57" i="169"/>
  <c r="AG56"/>
  <c r="AH56"/>
  <c r="AT52"/>
  <c r="AV52" s="1"/>
  <c r="BW52" s="1"/>
  <c r="BY52" s="1"/>
  <c r="AN55"/>
  <c r="AH46" i="163" s="1"/>
  <c r="AP55" i="169"/>
  <c r="AY53"/>
  <c r="CE53"/>
  <c r="P53"/>
  <c r="S53" s="1"/>
  <c r="BX52"/>
  <c r="CF51"/>
  <c r="CH51" s="1"/>
  <c r="CG51"/>
  <c r="CI51" s="1"/>
  <c r="CJ51"/>
  <c r="CL51" s="1"/>
  <c r="E55"/>
  <c r="G54"/>
  <c r="AW54" s="1"/>
  <c r="Z53"/>
  <c r="AB53" s="1"/>
  <c r="Y53"/>
  <c r="T55"/>
  <c r="U54"/>
  <c r="H58"/>
  <c r="J57"/>
  <c r="AQ53"/>
  <c r="AR53" s="1"/>
  <c r="AJ53"/>
  <c r="AO53" s="1"/>
  <c r="BC53" s="1"/>
  <c r="B55"/>
  <c r="D54"/>
  <c r="N54" s="1"/>
  <c r="P54" s="1"/>
  <c r="S54" s="1"/>
  <c r="AN45" i="163" l="1"/>
  <c r="BD52" i="169"/>
  <c r="AF58"/>
  <c r="AG57"/>
  <c r="AH57"/>
  <c r="AP56"/>
  <c r="AN56"/>
  <c r="AT53"/>
  <c r="AV53" s="1"/>
  <c r="BD53" s="1"/>
  <c r="AY54"/>
  <c r="AQ54"/>
  <c r="AJ54"/>
  <c r="AO54" s="1"/>
  <c r="B56"/>
  <c r="D55"/>
  <c r="N55" s="1"/>
  <c r="P55" s="1"/>
  <c r="S55" s="1"/>
  <c r="H59"/>
  <c r="J58"/>
  <c r="T56"/>
  <c r="U55"/>
  <c r="G55"/>
  <c r="AW55" s="1"/>
  <c r="E56"/>
  <c r="CJ52"/>
  <c r="CL52" s="1"/>
  <c r="CK52"/>
  <c r="CM52" s="1"/>
  <c r="BV53"/>
  <c r="F9"/>
  <c r="Y54"/>
  <c r="Z54"/>
  <c r="AB54" s="1"/>
  <c r="CF52"/>
  <c r="CH52" s="1"/>
  <c r="CG52"/>
  <c r="CI52" s="1"/>
  <c r="AH47" i="163" l="1"/>
  <c r="AN46"/>
  <c r="AF59" i="169"/>
  <c r="AH58"/>
  <c r="AG58"/>
  <c r="AP57"/>
  <c r="AN57"/>
  <c r="AY55"/>
  <c r="BC54"/>
  <c r="T57"/>
  <c r="U56"/>
  <c r="BW53"/>
  <c r="BY53" s="1"/>
  <c r="BX53"/>
  <c r="E57"/>
  <c r="G56"/>
  <c r="AW56" s="1"/>
  <c r="Z55"/>
  <c r="AB55" s="1"/>
  <c r="Y55"/>
  <c r="AQ55"/>
  <c r="AJ55"/>
  <c r="AO55" s="1"/>
  <c r="B57"/>
  <c r="D56"/>
  <c r="N56" s="1"/>
  <c r="P56" s="1"/>
  <c r="S56" s="1"/>
  <c r="AR54"/>
  <c r="AT54" s="1"/>
  <c r="AV54" s="1"/>
  <c r="BD54" s="1"/>
  <c r="H60"/>
  <c r="J59"/>
  <c r="BC55" l="1"/>
  <c r="AN47" i="163"/>
  <c r="AH48"/>
  <c r="AF60" i="169"/>
  <c r="AG59"/>
  <c r="AH59"/>
  <c r="AN58"/>
  <c r="AP58"/>
  <c r="AY56"/>
  <c r="J60"/>
  <c r="H61"/>
  <c r="AQ56"/>
  <c r="AJ56"/>
  <c r="AO56" s="1"/>
  <c r="B58"/>
  <c r="D57"/>
  <c r="N57" s="1"/>
  <c r="P57" s="1"/>
  <c r="S57" s="1"/>
  <c r="AR55"/>
  <c r="AT55" s="1"/>
  <c r="AV55" s="1"/>
  <c r="G57"/>
  <c r="AW57" s="1"/>
  <c r="E58"/>
  <c r="CK53"/>
  <c r="CM53" s="1"/>
  <c r="CJ53"/>
  <c r="CL53" s="1"/>
  <c r="T58"/>
  <c r="U57"/>
  <c r="CF53"/>
  <c r="CH53" s="1"/>
  <c r="CG53"/>
  <c r="CI53" s="1"/>
  <c r="Y56"/>
  <c r="Z56"/>
  <c r="AB56" s="1"/>
  <c r="AN48" i="163" l="1"/>
  <c r="AH49"/>
  <c r="AF61" i="169"/>
  <c r="AH60"/>
  <c r="AG60"/>
  <c r="AP59"/>
  <c r="AN59"/>
  <c r="AY57"/>
  <c r="BC56"/>
  <c r="BD55"/>
  <c r="F10"/>
  <c r="F11" s="1"/>
  <c r="T59"/>
  <c r="U58"/>
  <c r="Z57"/>
  <c r="AB57" s="1"/>
  <c r="Y57"/>
  <c r="E59"/>
  <c r="G58"/>
  <c r="AW58" s="1"/>
  <c r="AQ57"/>
  <c r="AJ57"/>
  <c r="AO57" s="1"/>
  <c r="BC57" s="1"/>
  <c r="B59"/>
  <c r="D58"/>
  <c r="N58" s="1"/>
  <c r="P58" s="1"/>
  <c r="S58" s="1"/>
  <c r="AR56"/>
  <c r="AT56" s="1"/>
  <c r="AV56" s="1"/>
  <c r="BD56" s="1"/>
  <c r="H62"/>
  <c r="J61"/>
  <c r="AH50" i="163" l="1"/>
  <c r="AN49"/>
  <c r="AF62" i="169"/>
  <c r="AG61"/>
  <c r="AH61"/>
  <c r="AP60"/>
  <c r="AN60"/>
  <c r="AY58"/>
  <c r="J62"/>
  <c r="H63"/>
  <c r="Y58"/>
  <c r="Z58"/>
  <c r="AB58" s="1"/>
  <c r="AQ58"/>
  <c r="AJ58"/>
  <c r="AO58" s="1"/>
  <c r="B60"/>
  <c r="D59"/>
  <c r="N59" s="1"/>
  <c r="P59" s="1"/>
  <c r="S59" s="1"/>
  <c r="AR57"/>
  <c r="AT57" s="1"/>
  <c r="AV57" s="1"/>
  <c r="BD57" s="1"/>
  <c r="E60"/>
  <c r="G59"/>
  <c r="AW59" s="1"/>
  <c r="T60"/>
  <c r="U59"/>
  <c r="AH51" i="163" l="1"/>
  <c r="AN50"/>
  <c r="BC58" i="169"/>
  <c r="AF63"/>
  <c r="AH62"/>
  <c r="AG62"/>
  <c r="AP61"/>
  <c r="AN61"/>
  <c r="AY59"/>
  <c r="Y59"/>
  <c r="Z59"/>
  <c r="AB59" s="1"/>
  <c r="AQ59"/>
  <c r="AJ59"/>
  <c r="AO59" s="1"/>
  <c r="BC59" s="1"/>
  <c r="B61"/>
  <c r="D60"/>
  <c r="AR58"/>
  <c r="AT58" s="1"/>
  <c r="AV58" s="1"/>
  <c r="BD58" s="1"/>
  <c r="T61"/>
  <c r="U60"/>
  <c r="E61"/>
  <c r="G60"/>
  <c r="AW60" s="1"/>
  <c r="H64"/>
  <c r="J63"/>
  <c r="AH52" i="163" l="1"/>
  <c r="AN51"/>
  <c r="AF64" i="169"/>
  <c r="AG63"/>
  <c r="AH63"/>
  <c r="AP62"/>
  <c r="AN62"/>
  <c r="AY60"/>
  <c r="Y60"/>
  <c r="Z60"/>
  <c r="AB60" s="1"/>
  <c r="AQ60"/>
  <c r="AJ60"/>
  <c r="AO60" s="1"/>
  <c r="BC60" s="1"/>
  <c r="B62"/>
  <c r="D61"/>
  <c r="AR59"/>
  <c r="AT59" s="1"/>
  <c r="AV59" s="1"/>
  <c r="BD59" s="1"/>
  <c r="H65"/>
  <c r="J64"/>
  <c r="G61"/>
  <c r="AW61" s="1"/>
  <c r="E62"/>
  <c r="T62"/>
  <c r="U61"/>
  <c r="N60"/>
  <c r="P60" s="1"/>
  <c r="S60" s="1"/>
  <c r="AH53" i="163" l="1"/>
  <c r="AN52"/>
  <c r="AF65" i="169"/>
  <c r="AH64"/>
  <c r="AG64"/>
  <c r="AN63"/>
  <c r="AP63"/>
  <c r="AY61"/>
  <c r="Z61"/>
  <c r="AB61" s="1"/>
  <c r="Y61"/>
  <c r="E63"/>
  <c r="G62"/>
  <c r="AW62" s="1"/>
  <c r="AQ61"/>
  <c r="AJ61"/>
  <c r="AO61" s="1"/>
  <c r="B63"/>
  <c r="D62"/>
  <c r="AR60"/>
  <c r="AT60" s="1"/>
  <c r="AV60" s="1"/>
  <c r="BD60" s="1"/>
  <c r="T63"/>
  <c r="U62"/>
  <c r="H66"/>
  <c r="J65"/>
  <c r="N61"/>
  <c r="P61" s="1"/>
  <c r="S61" s="1"/>
  <c r="AN53" i="163" l="1"/>
  <c r="AH54"/>
  <c r="AF66" i="169"/>
  <c r="AG65"/>
  <c r="AH65"/>
  <c r="AN64"/>
  <c r="AP64"/>
  <c r="BC61"/>
  <c r="AY62"/>
  <c r="Y62"/>
  <c r="Z62"/>
  <c r="AB62" s="1"/>
  <c r="AQ62"/>
  <c r="AJ62"/>
  <c r="AO62" s="1"/>
  <c r="BC62" s="1"/>
  <c r="B64"/>
  <c r="D63"/>
  <c r="AR61"/>
  <c r="AT61" s="1"/>
  <c r="AV61" s="1"/>
  <c r="BD61" s="1"/>
  <c r="E64"/>
  <c r="G63"/>
  <c r="AW63" s="1"/>
  <c r="H67"/>
  <c r="J66"/>
  <c r="T64"/>
  <c r="U63"/>
  <c r="N62"/>
  <c r="P62" s="1"/>
  <c r="S62" s="1"/>
  <c r="AN54" i="163" l="1"/>
  <c r="AH55"/>
  <c r="AF67" i="169"/>
  <c r="AH66"/>
  <c r="AG66"/>
  <c r="AP65"/>
  <c r="AN65"/>
  <c r="AY63"/>
  <c r="Z63"/>
  <c r="AB63" s="1"/>
  <c r="Y63"/>
  <c r="AQ63"/>
  <c r="AJ63"/>
  <c r="AO63" s="1"/>
  <c r="BC63" s="1"/>
  <c r="B65"/>
  <c r="D64"/>
  <c r="N64" s="1"/>
  <c r="P64" s="1"/>
  <c r="S64" s="1"/>
  <c r="AR62"/>
  <c r="AT62" s="1"/>
  <c r="AV62" s="1"/>
  <c r="BD62" s="1"/>
  <c r="T65"/>
  <c r="U64"/>
  <c r="H68"/>
  <c r="J67"/>
  <c r="E65"/>
  <c r="G64"/>
  <c r="AW64" s="1"/>
  <c r="N63"/>
  <c r="P63" s="1"/>
  <c r="S63" s="1"/>
  <c r="AH56" i="163" l="1"/>
  <c r="AN55"/>
  <c r="AF68" i="169"/>
  <c r="AG67"/>
  <c r="AH67"/>
  <c r="AP66"/>
  <c r="AN66"/>
  <c r="AY64"/>
  <c r="E66"/>
  <c r="G65"/>
  <c r="AW65" s="1"/>
  <c r="T66"/>
  <c r="U65"/>
  <c r="Z64"/>
  <c r="AB64" s="1"/>
  <c r="Y64"/>
  <c r="AQ64"/>
  <c r="AJ64"/>
  <c r="AO64" s="1"/>
  <c r="BC64" s="1"/>
  <c r="B66"/>
  <c r="D65"/>
  <c r="N65" s="1"/>
  <c r="P65" s="1"/>
  <c r="S65" s="1"/>
  <c r="AR63"/>
  <c r="AT63" s="1"/>
  <c r="AV63" s="1"/>
  <c r="BD63" s="1"/>
  <c r="H69"/>
  <c r="J68"/>
  <c r="AH57" i="163" l="1"/>
  <c r="AN56"/>
  <c r="AF69" i="169"/>
  <c r="AG68"/>
  <c r="AH68"/>
  <c r="AN67"/>
  <c r="AH58" i="163" s="1"/>
  <c r="AP67" i="169"/>
  <c r="AY65"/>
  <c r="H70"/>
  <c r="J69"/>
  <c r="AQ65"/>
  <c r="AJ65"/>
  <c r="AO65" s="1"/>
  <c r="BC65" s="1"/>
  <c r="B67"/>
  <c r="D66"/>
  <c r="N66" s="1"/>
  <c r="P66" s="1"/>
  <c r="S66" s="1"/>
  <c r="AR64"/>
  <c r="AT64" s="1"/>
  <c r="AV64" s="1"/>
  <c r="BD64" s="1"/>
  <c r="T67"/>
  <c r="U66"/>
  <c r="E67"/>
  <c r="G66"/>
  <c r="AW66" s="1"/>
  <c r="Z65"/>
  <c r="AB65" s="1"/>
  <c r="Y65"/>
  <c r="AN57" i="163" l="1"/>
  <c r="AF70" i="169"/>
  <c r="AG69"/>
  <c r="AH69"/>
  <c r="AP68"/>
  <c r="AN68"/>
  <c r="AH59" i="163" s="1"/>
  <c r="AY66" i="169"/>
  <c r="E68"/>
  <c r="G67"/>
  <c r="AW67" s="1"/>
  <c r="AN58" i="163" s="1"/>
  <c r="Z66" i="169"/>
  <c r="AB66" s="1"/>
  <c r="Y66"/>
  <c r="AQ66"/>
  <c r="AJ66"/>
  <c r="AO66" s="1"/>
  <c r="B68"/>
  <c r="D67"/>
  <c r="N67" s="1"/>
  <c r="P67" s="1"/>
  <c r="S67" s="1"/>
  <c r="AR65"/>
  <c r="AT65" s="1"/>
  <c r="AV65" s="1"/>
  <c r="BD65" s="1"/>
  <c r="H71"/>
  <c r="J71" s="1"/>
  <c r="J70"/>
  <c r="T68"/>
  <c r="U67"/>
  <c r="AF71" l="1"/>
  <c r="AG70"/>
  <c r="AH70"/>
  <c r="AN69"/>
  <c r="AP69"/>
  <c r="AY67"/>
  <c r="BC66"/>
  <c r="Z67"/>
  <c r="AB67" s="1"/>
  <c r="Y67"/>
  <c r="AQ67"/>
  <c r="AJ67"/>
  <c r="AO67" s="1"/>
  <c r="B69"/>
  <c r="D68"/>
  <c r="N68" s="1"/>
  <c r="P68" s="1"/>
  <c r="S68" s="1"/>
  <c r="AR66"/>
  <c r="AT66" s="1"/>
  <c r="AV66" s="1"/>
  <c r="BD66" s="1"/>
  <c r="E69"/>
  <c r="G68"/>
  <c r="AW68" s="1"/>
  <c r="AN59" i="163" s="1"/>
  <c r="O6" s="1"/>
  <c r="T69" i="169"/>
  <c r="U68"/>
  <c r="R21" i="60"/>
  <c r="AG71" i="169" l="1"/>
  <c r="AH71"/>
  <c r="AP70"/>
  <c r="AN70"/>
  <c r="BC67"/>
  <c r="AY68"/>
  <c r="E70"/>
  <c r="G69"/>
  <c r="AW69" s="1"/>
  <c r="Z68"/>
  <c r="AB68" s="1"/>
  <c r="Y68"/>
  <c r="AQ68"/>
  <c r="AJ68"/>
  <c r="AO68" s="1"/>
  <c r="B70"/>
  <c r="D69"/>
  <c r="N69" s="1"/>
  <c r="P69" s="1"/>
  <c r="S69" s="1"/>
  <c r="AR67"/>
  <c r="AT67" s="1"/>
  <c r="AV67" s="1"/>
  <c r="BD67" s="1"/>
  <c r="T70"/>
  <c r="U69"/>
  <c r="AP71" l="1"/>
  <c r="AN71"/>
  <c r="BC68"/>
  <c r="AY69"/>
  <c r="T71"/>
  <c r="U71" s="1"/>
  <c r="U70"/>
  <c r="Z69"/>
  <c r="AB69" s="1"/>
  <c r="Y69"/>
  <c r="AQ69"/>
  <c r="AJ69"/>
  <c r="AO69" s="1"/>
  <c r="B71"/>
  <c r="D70"/>
  <c r="N70" s="1"/>
  <c r="P70" s="1"/>
  <c r="S70" s="1"/>
  <c r="AR68"/>
  <c r="AT68" s="1"/>
  <c r="AV68" s="1"/>
  <c r="BD68" s="1"/>
  <c r="E71"/>
  <c r="G71" s="1"/>
  <c r="AW71" s="1"/>
  <c r="G70"/>
  <c r="AW70" s="1"/>
  <c r="BC69" l="1"/>
  <c r="AY70"/>
  <c r="AY71"/>
  <c r="AQ70"/>
  <c r="AJ70"/>
  <c r="AO70" s="1"/>
  <c r="D71"/>
  <c r="AR69"/>
  <c r="AT69" s="1"/>
  <c r="AV69" s="1"/>
  <c r="BD69" s="1"/>
  <c r="Z71"/>
  <c r="AB71" s="1"/>
  <c r="Y71"/>
  <c r="Z70"/>
  <c r="AB70" s="1"/>
  <c r="Y70"/>
  <c r="F16" l="1"/>
  <c r="BC70"/>
  <c r="AQ71"/>
  <c r="AJ71"/>
  <c r="AO71" s="1"/>
  <c r="AR70"/>
  <c r="AT70" s="1"/>
  <c r="N71"/>
  <c r="P71" s="1"/>
  <c r="S71" s="1"/>
  <c r="BC71" l="1"/>
  <c r="E22" s="1"/>
  <c r="F15"/>
  <c r="F17" s="1"/>
  <c r="AR71"/>
  <c r="AT71" s="1"/>
  <c r="AV71" s="1"/>
  <c r="AV70"/>
  <c r="BD70" s="1"/>
  <c r="W15"/>
  <c r="W16" s="1"/>
  <c r="BD71" l="1"/>
  <c r="F22" s="1"/>
  <c r="F18"/>
  <c r="W13" s="1"/>
  <c r="E23"/>
  <c r="W11"/>
  <c r="W12" s="1"/>
  <c r="F19" l="1"/>
  <c r="F23" s="1"/>
  <c r="AV27" i="161"/>
  <c r="AV53" s="1"/>
  <c r="AV28"/>
  <c r="AV54" s="1"/>
  <c r="AV29"/>
  <c r="AV55" s="1"/>
  <c r="AL23" i="166"/>
  <c r="M25"/>
  <c r="M26"/>
  <c r="M27"/>
  <c r="M28"/>
  <c r="M29"/>
  <c r="M30"/>
  <c r="M31"/>
  <c r="M32"/>
  <c r="M33"/>
  <c r="M34"/>
  <c r="M35"/>
  <c r="M36"/>
  <c r="M37"/>
  <c r="M38"/>
  <c r="M39"/>
  <c r="M40"/>
  <c r="M41"/>
  <c r="M42"/>
  <c r="M43"/>
  <c r="M44"/>
  <c r="M45"/>
  <c r="M46"/>
  <c r="M47"/>
  <c r="M48"/>
  <c r="M49"/>
  <c r="M50"/>
  <c r="M51"/>
  <c r="M52"/>
  <c r="M53"/>
  <c r="M54"/>
  <c r="M55"/>
  <c r="M56"/>
  <c r="M57"/>
  <c r="M58"/>
  <c r="M59"/>
  <c r="M24"/>
  <c r="AU25"/>
  <c r="AU23"/>
  <c r="BI19"/>
  <c r="AU23" i="153"/>
  <c r="AU40"/>
  <c r="AU41"/>
  <c r="AU44"/>
  <c r="AU45"/>
  <c r="BD34" i="166"/>
  <c r="BC34"/>
  <c r="BJ18" s="1"/>
  <c r="BJ19"/>
  <c r="BD19"/>
  <c r="BI18"/>
  <c r="BI18" i="153"/>
  <c r="BK18" s="1"/>
  <c r="BG18"/>
  <c r="AP59" i="168" l="1"/>
  <c r="AM59"/>
  <c r="W59"/>
  <c r="T59"/>
  <c r="P59"/>
  <c r="L59"/>
  <c r="AP58"/>
  <c r="AM58"/>
  <c r="W58"/>
  <c r="T58"/>
  <c r="P58"/>
  <c r="L58"/>
  <c r="AP57"/>
  <c r="AM57"/>
  <c r="W57"/>
  <c r="T57"/>
  <c r="P57"/>
  <c r="L57"/>
  <c r="AP56"/>
  <c r="AM56"/>
  <c r="W56"/>
  <c r="T56"/>
  <c r="P56"/>
  <c r="L56"/>
  <c r="AP55"/>
  <c r="AM55"/>
  <c r="W55"/>
  <c r="T55"/>
  <c r="P55"/>
  <c r="L55"/>
  <c r="AP54"/>
  <c r="AM54"/>
  <c r="W54"/>
  <c r="T54"/>
  <c r="P54"/>
  <c r="L54"/>
  <c r="AP53"/>
  <c r="AM53"/>
  <c r="W53"/>
  <c r="T53"/>
  <c r="P53"/>
  <c r="L53"/>
  <c r="AP52"/>
  <c r="AM52"/>
  <c r="W52"/>
  <c r="T52"/>
  <c r="P52"/>
  <c r="L52"/>
  <c r="AP51"/>
  <c r="AM51"/>
  <c r="W51"/>
  <c r="T51"/>
  <c r="P51"/>
  <c r="L51"/>
  <c r="AP50"/>
  <c r="AM50"/>
  <c r="W50"/>
  <c r="T50"/>
  <c r="P50"/>
  <c r="L50"/>
  <c r="AP49"/>
  <c r="AM49"/>
  <c r="W49"/>
  <c r="T49"/>
  <c r="P49"/>
  <c r="L49"/>
  <c r="AP48"/>
  <c r="AM48"/>
  <c r="W48"/>
  <c r="T48"/>
  <c r="P48"/>
  <c r="L48"/>
  <c r="AP47"/>
  <c r="AM47"/>
  <c r="W47"/>
  <c r="T47"/>
  <c r="P47"/>
  <c r="L47"/>
  <c r="AP46"/>
  <c r="AM46"/>
  <c r="W46"/>
  <c r="T46"/>
  <c r="P46"/>
  <c r="L46"/>
  <c r="AP45"/>
  <c r="AM45"/>
  <c r="W45"/>
  <c r="T45"/>
  <c r="P45"/>
  <c r="L45"/>
  <c r="AP44"/>
  <c r="AM44"/>
  <c r="W44"/>
  <c r="T44"/>
  <c r="P44"/>
  <c r="L44"/>
  <c r="AP43"/>
  <c r="AM43"/>
  <c r="W43"/>
  <c r="T43"/>
  <c r="P43"/>
  <c r="L43"/>
  <c r="AP42"/>
  <c r="AM42"/>
  <c r="W42"/>
  <c r="T42"/>
  <c r="P42"/>
  <c r="L42"/>
  <c r="AP41"/>
  <c r="AM41"/>
  <c r="W41"/>
  <c r="T41"/>
  <c r="P41"/>
  <c r="L41"/>
  <c r="AP40"/>
  <c r="AM40"/>
  <c r="W40"/>
  <c r="T40"/>
  <c r="P40"/>
  <c r="L40"/>
  <c r="AP39"/>
  <c r="AM39"/>
  <c r="W39"/>
  <c r="T39"/>
  <c r="P39"/>
  <c r="L39"/>
  <c r="AP38"/>
  <c r="AM38"/>
  <c r="W38"/>
  <c r="T38"/>
  <c r="P38"/>
  <c r="L38"/>
  <c r="AP37"/>
  <c r="AM37"/>
  <c r="W37"/>
  <c r="T37"/>
  <c r="P37"/>
  <c r="L37"/>
  <c r="AP36"/>
  <c r="AM36"/>
  <c r="W36"/>
  <c r="T36"/>
  <c r="P36"/>
  <c r="L36"/>
  <c r="AP35"/>
  <c r="AM35"/>
  <c r="W35"/>
  <c r="T35"/>
  <c r="P35"/>
  <c r="L35"/>
  <c r="AP34"/>
  <c r="AM34"/>
  <c r="W34"/>
  <c r="T34"/>
  <c r="P34"/>
  <c r="L34"/>
  <c r="AP33"/>
  <c r="AM33"/>
  <c r="W33"/>
  <c r="T33"/>
  <c r="P33"/>
  <c r="L33"/>
  <c r="AP32"/>
  <c r="AM32"/>
  <c r="W32"/>
  <c r="T32"/>
  <c r="P32"/>
  <c r="L32"/>
  <c r="AP31"/>
  <c r="AM31"/>
  <c r="W31"/>
  <c r="T31"/>
  <c r="P31"/>
  <c r="L31"/>
  <c r="AP30"/>
  <c r="AM30"/>
  <c r="W30"/>
  <c r="T30"/>
  <c r="P30"/>
  <c r="L30"/>
  <c r="AP29"/>
  <c r="AM29"/>
  <c r="W29"/>
  <c r="T29"/>
  <c r="P29"/>
  <c r="L29"/>
  <c r="AP28"/>
  <c r="AM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7"/>
  <c r="K6"/>
  <c r="K5"/>
  <c r="K4"/>
  <c r="AM59" i="167"/>
  <c r="W59"/>
  <c r="T59"/>
  <c r="P59"/>
  <c r="L59"/>
  <c r="AM58"/>
  <c r="W58"/>
  <c r="T58"/>
  <c r="P58"/>
  <c r="L58"/>
  <c r="AM57"/>
  <c r="W57"/>
  <c r="T57"/>
  <c r="P57"/>
  <c r="L57"/>
  <c r="AM56"/>
  <c r="W56"/>
  <c r="T56"/>
  <c r="P56"/>
  <c r="L56"/>
  <c r="AM55"/>
  <c r="W55"/>
  <c r="T55"/>
  <c r="P55"/>
  <c r="L55"/>
  <c r="AM54"/>
  <c r="W54"/>
  <c r="T54"/>
  <c r="P54"/>
  <c r="L54"/>
  <c r="AM53"/>
  <c r="W53"/>
  <c r="T53"/>
  <c r="P53"/>
  <c r="L53"/>
  <c r="AM52"/>
  <c r="W52"/>
  <c r="T52"/>
  <c r="P52"/>
  <c r="L52"/>
  <c r="AM51"/>
  <c r="W51"/>
  <c r="T51"/>
  <c r="P51"/>
  <c r="L51"/>
  <c r="AM50"/>
  <c r="W50"/>
  <c r="T50"/>
  <c r="P50"/>
  <c r="L50"/>
  <c r="AM49"/>
  <c r="W49"/>
  <c r="T49"/>
  <c r="P49"/>
  <c r="L49"/>
  <c r="AM48"/>
  <c r="W48"/>
  <c r="T48"/>
  <c r="P48"/>
  <c r="L48"/>
  <c r="AM47"/>
  <c r="W47"/>
  <c r="T47"/>
  <c r="P47"/>
  <c r="L47"/>
  <c r="AM46"/>
  <c r="W46"/>
  <c r="T46"/>
  <c r="P46"/>
  <c r="L46"/>
  <c r="AM45"/>
  <c r="W45"/>
  <c r="T45"/>
  <c r="P45"/>
  <c r="L45"/>
  <c r="AM44"/>
  <c r="W44"/>
  <c r="T44"/>
  <c r="P44"/>
  <c r="L44"/>
  <c r="AM43"/>
  <c r="W43"/>
  <c r="T43"/>
  <c r="P43"/>
  <c r="L43"/>
  <c r="AM42"/>
  <c r="W42"/>
  <c r="T42"/>
  <c r="P42"/>
  <c r="L42"/>
  <c r="AM41"/>
  <c r="W41"/>
  <c r="T41"/>
  <c r="P41"/>
  <c r="L41"/>
  <c r="AM40"/>
  <c r="W40"/>
  <c r="T40"/>
  <c r="P40"/>
  <c r="L40"/>
  <c r="AM39"/>
  <c r="W39"/>
  <c r="T39"/>
  <c r="P39"/>
  <c r="L39"/>
  <c r="AM38"/>
  <c r="W38"/>
  <c r="T38"/>
  <c r="P38"/>
  <c r="L38"/>
  <c r="AM37"/>
  <c r="W37"/>
  <c r="T37"/>
  <c r="P37"/>
  <c r="L37"/>
  <c r="AM36"/>
  <c r="W36"/>
  <c r="T36"/>
  <c r="P36"/>
  <c r="L36"/>
  <c r="AM35"/>
  <c r="W35"/>
  <c r="T35"/>
  <c r="P35"/>
  <c r="L35"/>
  <c r="AM34"/>
  <c r="W34"/>
  <c r="T34"/>
  <c r="P34"/>
  <c r="L34"/>
  <c r="AM33"/>
  <c r="W33"/>
  <c r="T33"/>
  <c r="P33"/>
  <c r="L33"/>
  <c r="AM32"/>
  <c r="W32"/>
  <c r="T32"/>
  <c r="P32"/>
  <c r="L32"/>
  <c r="AM31"/>
  <c r="W31"/>
  <c r="T31"/>
  <c r="P31"/>
  <c r="L31"/>
  <c r="AM30"/>
  <c r="W30"/>
  <c r="T30"/>
  <c r="P30"/>
  <c r="L30"/>
  <c r="AM29"/>
  <c r="W29"/>
  <c r="T29"/>
  <c r="P29"/>
  <c r="L29"/>
  <c r="AM28"/>
  <c r="W28"/>
  <c r="T28"/>
  <c r="P28"/>
  <c r="L28"/>
  <c r="AM27"/>
  <c r="W27"/>
  <c r="T27"/>
  <c r="P27"/>
  <c r="L27"/>
  <c r="AM26"/>
  <c r="W26"/>
  <c r="T26"/>
  <c r="P26"/>
  <c r="L26"/>
  <c r="AM25"/>
  <c r="W25"/>
  <c r="T25"/>
  <c r="P25"/>
  <c r="L25"/>
  <c r="AM24"/>
  <c r="W24"/>
  <c r="T24"/>
  <c r="P24"/>
  <c r="L24"/>
  <c r="AM23"/>
  <c r="W23"/>
  <c r="T23"/>
  <c r="P23"/>
  <c r="L23"/>
  <c r="AM22"/>
  <c r="W22"/>
  <c r="T22"/>
  <c r="P22"/>
  <c r="L22"/>
  <c r="AM21"/>
  <c r="W21"/>
  <c r="T21"/>
  <c r="P21"/>
  <c r="L21"/>
  <c r="AM20"/>
  <c r="W20"/>
  <c r="T20"/>
  <c r="P20"/>
  <c r="L20"/>
  <c r="AM19"/>
  <c r="W19"/>
  <c r="T19"/>
  <c r="P19"/>
  <c r="L19"/>
  <c r="AS18"/>
  <c r="AR18"/>
  <c r="AQ18"/>
  <c r="AP18"/>
  <c r="AO18"/>
  <c r="AN18"/>
  <c r="AM18"/>
  <c r="AL18"/>
  <c r="AK18"/>
  <c r="AJ18"/>
  <c r="AI18"/>
  <c r="AH18"/>
  <c r="AG18"/>
  <c r="AF18"/>
  <c r="AE18"/>
  <c r="AD18"/>
  <c r="AC18"/>
  <c r="AB18"/>
  <c r="AA18"/>
  <c r="K5"/>
  <c r="K4"/>
  <c r="AU46" i="153"/>
  <c r="AU29" s="1"/>
  <c r="AP59" i="166"/>
  <c r="AM59"/>
  <c r="W59"/>
  <c r="T59"/>
  <c r="P59"/>
  <c r="L59"/>
  <c r="AP58"/>
  <c r="AM58"/>
  <c r="W58"/>
  <c r="T58"/>
  <c r="P58"/>
  <c r="L58"/>
  <c r="AP57"/>
  <c r="AM57"/>
  <c r="W57"/>
  <c r="T57"/>
  <c r="P57"/>
  <c r="L57"/>
  <c r="AP56"/>
  <c r="AM56"/>
  <c r="W56"/>
  <c r="T56"/>
  <c r="P56"/>
  <c r="L56"/>
  <c r="AP55"/>
  <c r="AM55"/>
  <c r="W55"/>
  <c r="T55"/>
  <c r="P55"/>
  <c r="L55"/>
  <c r="AP54"/>
  <c r="AM54"/>
  <c r="W54"/>
  <c r="T54"/>
  <c r="P54"/>
  <c r="L54"/>
  <c r="AP53"/>
  <c r="AM53"/>
  <c r="W53"/>
  <c r="T53"/>
  <c r="P53"/>
  <c r="L53"/>
  <c r="AP52"/>
  <c r="AM52"/>
  <c r="W52"/>
  <c r="T52"/>
  <c r="P52"/>
  <c r="L52"/>
  <c r="AP51"/>
  <c r="AM51"/>
  <c r="W51"/>
  <c r="T51"/>
  <c r="P51"/>
  <c r="L51"/>
  <c r="AP50"/>
  <c r="AM50"/>
  <c r="W50"/>
  <c r="T50"/>
  <c r="P50"/>
  <c r="L50"/>
  <c r="AP49"/>
  <c r="AM49"/>
  <c r="W49"/>
  <c r="T49"/>
  <c r="P49"/>
  <c r="L49"/>
  <c r="AP48"/>
  <c r="AM48"/>
  <c r="W48"/>
  <c r="T48"/>
  <c r="P48"/>
  <c r="L48"/>
  <c r="AP47"/>
  <c r="AM47"/>
  <c r="W47"/>
  <c r="T47"/>
  <c r="P47"/>
  <c r="L47"/>
  <c r="AP46"/>
  <c r="AM46"/>
  <c r="W46"/>
  <c r="T46"/>
  <c r="P46"/>
  <c r="L46"/>
  <c r="AP45"/>
  <c r="AM45"/>
  <c r="W45"/>
  <c r="T45"/>
  <c r="P45"/>
  <c r="L45"/>
  <c r="AP44"/>
  <c r="AM44"/>
  <c r="W44"/>
  <c r="T44"/>
  <c r="P44"/>
  <c r="L44"/>
  <c r="AP43"/>
  <c r="AM43"/>
  <c r="W43"/>
  <c r="T43"/>
  <c r="P43"/>
  <c r="L43"/>
  <c r="AP42"/>
  <c r="AM42"/>
  <c r="W42"/>
  <c r="T42"/>
  <c r="P42"/>
  <c r="L42"/>
  <c r="AP41"/>
  <c r="AM41"/>
  <c r="W41"/>
  <c r="T41"/>
  <c r="P41"/>
  <c r="L41"/>
  <c r="AP40"/>
  <c r="AM40"/>
  <c r="W40"/>
  <c r="T40"/>
  <c r="P40"/>
  <c r="L40"/>
  <c r="AP39"/>
  <c r="AM39"/>
  <c r="W39"/>
  <c r="T39"/>
  <c r="P39"/>
  <c r="L39"/>
  <c r="AP38"/>
  <c r="AM38"/>
  <c r="W38"/>
  <c r="T38"/>
  <c r="P38"/>
  <c r="L38"/>
  <c r="AP37"/>
  <c r="AM37"/>
  <c r="W37"/>
  <c r="T37"/>
  <c r="P37"/>
  <c r="L37"/>
  <c r="AP36"/>
  <c r="AM36"/>
  <c r="W36"/>
  <c r="T36"/>
  <c r="P36"/>
  <c r="L36"/>
  <c r="AP35"/>
  <c r="AM35"/>
  <c r="W35"/>
  <c r="T35"/>
  <c r="P35"/>
  <c r="L35"/>
  <c r="AP34"/>
  <c r="AM34"/>
  <c r="W34"/>
  <c r="T34"/>
  <c r="P34"/>
  <c r="L34"/>
  <c r="AP33"/>
  <c r="AM33"/>
  <c r="W33"/>
  <c r="T33"/>
  <c r="P33"/>
  <c r="L33"/>
  <c r="AP32"/>
  <c r="AM32"/>
  <c r="W32"/>
  <c r="T32"/>
  <c r="P32"/>
  <c r="L32"/>
  <c r="AP31"/>
  <c r="AM31"/>
  <c r="W31"/>
  <c r="T31"/>
  <c r="P31"/>
  <c r="L31"/>
  <c r="AP30"/>
  <c r="AM30"/>
  <c r="W30"/>
  <c r="T30"/>
  <c r="P30"/>
  <c r="L30"/>
  <c r="AP29"/>
  <c r="AM29"/>
  <c r="W29"/>
  <c r="T29"/>
  <c r="P29"/>
  <c r="L29"/>
  <c r="AP28"/>
  <c r="AM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7"/>
  <c r="K6"/>
  <c r="K5"/>
  <c r="K4"/>
  <c r="AP59" i="165"/>
  <c r="AM59"/>
  <c r="W59"/>
  <c r="P59"/>
  <c r="L59"/>
  <c r="AP58"/>
  <c r="AM58"/>
  <c r="W58"/>
  <c r="P58"/>
  <c r="L58"/>
  <c r="AP57"/>
  <c r="AM57"/>
  <c r="W57"/>
  <c r="P57"/>
  <c r="L57"/>
  <c r="AP56"/>
  <c r="AM56"/>
  <c r="W56"/>
  <c r="P56"/>
  <c r="L56"/>
  <c r="AP55"/>
  <c r="AM55"/>
  <c r="W55"/>
  <c r="P55"/>
  <c r="L55"/>
  <c r="AP54"/>
  <c r="AM54"/>
  <c r="W54"/>
  <c r="P54"/>
  <c r="L54"/>
  <c r="AP53"/>
  <c r="AM53"/>
  <c r="W53"/>
  <c r="P53"/>
  <c r="L53"/>
  <c r="AP52"/>
  <c r="AM52"/>
  <c r="W52"/>
  <c r="P52"/>
  <c r="L52"/>
  <c r="AP51"/>
  <c r="AM51"/>
  <c r="W51"/>
  <c r="P51"/>
  <c r="L51"/>
  <c r="AP50"/>
  <c r="AM50"/>
  <c r="W50"/>
  <c r="P50"/>
  <c r="L50"/>
  <c r="AP49"/>
  <c r="AM49"/>
  <c r="W49"/>
  <c r="P49"/>
  <c r="L49"/>
  <c r="AP48"/>
  <c r="AM48"/>
  <c r="W48"/>
  <c r="P48"/>
  <c r="L48"/>
  <c r="AP47"/>
  <c r="AM47"/>
  <c r="W47"/>
  <c r="P47"/>
  <c r="L47"/>
  <c r="AP46"/>
  <c r="AM46"/>
  <c r="W46"/>
  <c r="P46"/>
  <c r="L46"/>
  <c r="AP45"/>
  <c r="AM45"/>
  <c r="W45"/>
  <c r="P45"/>
  <c r="L45"/>
  <c r="AP44"/>
  <c r="AM44"/>
  <c r="W44"/>
  <c r="P44"/>
  <c r="L44"/>
  <c r="AP43"/>
  <c r="AM43"/>
  <c r="W43"/>
  <c r="P43"/>
  <c r="L43"/>
  <c r="AP42"/>
  <c r="AM42"/>
  <c r="W42"/>
  <c r="P42"/>
  <c r="L42"/>
  <c r="AP41"/>
  <c r="AM41"/>
  <c r="W41"/>
  <c r="P41"/>
  <c r="L41"/>
  <c r="AP40"/>
  <c r="AM40"/>
  <c r="W40"/>
  <c r="P40"/>
  <c r="L40"/>
  <c r="AP39"/>
  <c r="AM39"/>
  <c r="W39"/>
  <c r="P39"/>
  <c r="L39"/>
  <c r="AP38"/>
  <c r="AM38"/>
  <c r="W38"/>
  <c r="P38"/>
  <c r="L38"/>
  <c r="AP37"/>
  <c r="AM37"/>
  <c r="W37"/>
  <c r="P37"/>
  <c r="L37"/>
  <c r="AP36"/>
  <c r="AM36"/>
  <c r="W36"/>
  <c r="P36"/>
  <c r="L36"/>
  <c r="AP35"/>
  <c r="AM35"/>
  <c r="W35"/>
  <c r="P35"/>
  <c r="L35"/>
  <c r="AP34"/>
  <c r="AM34"/>
  <c r="W34"/>
  <c r="P34"/>
  <c r="L34"/>
  <c r="AP33"/>
  <c r="AM33"/>
  <c r="W33"/>
  <c r="P33"/>
  <c r="L33"/>
  <c r="AP32"/>
  <c r="AM32"/>
  <c r="W32"/>
  <c r="P32"/>
  <c r="L32"/>
  <c r="AP31"/>
  <c r="AM31"/>
  <c r="W31"/>
  <c r="P31"/>
  <c r="L31"/>
  <c r="AP30"/>
  <c r="AM30"/>
  <c r="W30"/>
  <c r="P30"/>
  <c r="L30"/>
  <c r="AP29"/>
  <c r="AM29"/>
  <c r="W29"/>
  <c r="P29"/>
  <c r="L29"/>
  <c r="AP28"/>
  <c r="AM28"/>
  <c r="W28"/>
  <c r="P28"/>
  <c r="L28"/>
  <c r="AP27"/>
  <c r="AM27"/>
  <c r="W27"/>
  <c r="P27"/>
  <c r="L27"/>
  <c r="AP26"/>
  <c r="AM26"/>
  <c r="W26"/>
  <c r="P26"/>
  <c r="L26"/>
  <c r="AP25"/>
  <c r="AM25"/>
  <c r="W25"/>
  <c r="P25"/>
  <c r="L25"/>
  <c r="AP24"/>
  <c r="AM24"/>
  <c r="W24"/>
  <c r="P24"/>
  <c r="L24"/>
  <c r="AP23"/>
  <c r="AM23"/>
  <c r="W23"/>
  <c r="P23"/>
  <c r="L23"/>
  <c r="AP22"/>
  <c r="AM22"/>
  <c r="W22"/>
  <c r="P22"/>
  <c r="L22"/>
  <c r="AP21"/>
  <c r="AM21"/>
  <c r="W21"/>
  <c r="P21"/>
  <c r="L21"/>
  <c r="AP20"/>
  <c r="AM20"/>
  <c r="W20"/>
  <c r="P20"/>
  <c r="L20"/>
  <c r="AP19"/>
  <c r="AM19"/>
  <c r="W19"/>
  <c r="P19"/>
  <c r="L19"/>
  <c r="AS18"/>
  <c r="AR18"/>
  <c r="AQ18"/>
  <c r="AP18"/>
  <c r="AO18"/>
  <c r="AN18"/>
  <c r="AM18"/>
  <c r="AL18"/>
  <c r="AK18"/>
  <c r="AJ18"/>
  <c r="AI18"/>
  <c r="AH18"/>
  <c r="AG18"/>
  <c r="AF18"/>
  <c r="AE18"/>
  <c r="AD18"/>
  <c r="AC18"/>
  <c r="AB18"/>
  <c r="AA18"/>
  <c r="K7"/>
  <c r="K6"/>
  <c r="K5"/>
  <c r="K4"/>
  <c r="AP59" i="164"/>
  <c r="AM59"/>
  <c r="W59"/>
  <c r="T59"/>
  <c r="P59"/>
  <c r="L59"/>
  <c r="AP58"/>
  <c r="AM58"/>
  <c r="W58"/>
  <c r="T58"/>
  <c r="P58"/>
  <c r="L58"/>
  <c r="AP57"/>
  <c r="AM57"/>
  <c r="W57"/>
  <c r="T57"/>
  <c r="P57"/>
  <c r="L57"/>
  <c r="AP56"/>
  <c r="AM56"/>
  <c r="W56"/>
  <c r="T56"/>
  <c r="P56"/>
  <c r="L56"/>
  <c r="AP55"/>
  <c r="AM55"/>
  <c r="W55"/>
  <c r="T55"/>
  <c r="P55"/>
  <c r="L55"/>
  <c r="AP54"/>
  <c r="AM54"/>
  <c r="W54"/>
  <c r="T54"/>
  <c r="P54"/>
  <c r="L54"/>
  <c r="AP53"/>
  <c r="AM53"/>
  <c r="W53"/>
  <c r="T53"/>
  <c r="P53"/>
  <c r="L53"/>
  <c r="AP52"/>
  <c r="AM52"/>
  <c r="W52"/>
  <c r="T52"/>
  <c r="P52"/>
  <c r="L52"/>
  <c r="AP51"/>
  <c r="AM51"/>
  <c r="W51"/>
  <c r="T51"/>
  <c r="P51"/>
  <c r="L51"/>
  <c r="AP50"/>
  <c r="AM50"/>
  <c r="W50"/>
  <c r="T50"/>
  <c r="P50"/>
  <c r="L50"/>
  <c r="AP49"/>
  <c r="AM49"/>
  <c r="W49"/>
  <c r="T49"/>
  <c r="P49"/>
  <c r="L49"/>
  <c r="AP48"/>
  <c r="AM48"/>
  <c r="W48"/>
  <c r="T48"/>
  <c r="P48"/>
  <c r="L48"/>
  <c r="AP47"/>
  <c r="AM47"/>
  <c r="W47"/>
  <c r="T47"/>
  <c r="P47"/>
  <c r="L47"/>
  <c r="AP46"/>
  <c r="AM46"/>
  <c r="W46"/>
  <c r="T46"/>
  <c r="P46"/>
  <c r="L46"/>
  <c r="AP45"/>
  <c r="AM45"/>
  <c r="W45"/>
  <c r="T45"/>
  <c r="P45"/>
  <c r="L45"/>
  <c r="AP44"/>
  <c r="AM44"/>
  <c r="W44"/>
  <c r="T44"/>
  <c r="P44"/>
  <c r="L44"/>
  <c r="AP43"/>
  <c r="AM43"/>
  <c r="W43"/>
  <c r="T43"/>
  <c r="P43"/>
  <c r="L43"/>
  <c r="AP42"/>
  <c r="AM42"/>
  <c r="W42"/>
  <c r="T42"/>
  <c r="P42"/>
  <c r="L42"/>
  <c r="AP41"/>
  <c r="AM41"/>
  <c r="W41"/>
  <c r="T41"/>
  <c r="P41"/>
  <c r="L41"/>
  <c r="AP40"/>
  <c r="AM40"/>
  <c r="W40"/>
  <c r="T40"/>
  <c r="P40"/>
  <c r="L40"/>
  <c r="AP39"/>
  <c r="AM39"/>
  <c r="W39"/>
  <c r="T39"/>
  <c r="P39"/>
  <c r="L39"/>
  <c r="AP38"/>
  <c r="AM38"/>
  <c r="W38"/>
  <c r="T38"/>
  <c r="P38"/>
  <c r="L38"/>
  <c r="AP37"/>
  <c r="AM37"/>
  <c r="W37"/>
  <c r="T37"/>
  <c r="P37"/>
  <c r="L37"/>
  <c r="AP36"/>
  <c r="AM36"/>
  <c r="W36"/>
  <c r="T36"/>
  <c r="P36"/>
  <c r="L36"/>
  <c r="AP35"/>
  <c r="AM35"/>
  <c r="W35"/>
  <c r="T35"/>
  <c r="P35"/>
  <c r="L35"/>
  <c r="AP34"/>
  <c r="AM34"/>
  <c r="W34"/>
  <c r="T34"/>
  <c r="P34"/>
  <c r="L34"/>
  <c r="AP33"/>
  <c r="AM33"/>
  <c r="W33"/>
  <c r="T33"/>
  <c r="P33"/>
  <c r="L33"/>
  <c r="AP32"/>
  <c r="AM32"/>
  <c r="W32"/>
  <c r="T32"/>
  <c r="P32"/>
  <c r="L32"/>
  <c r="AP31"/>
  <c r="AM31"/>
  <c r="W31"/>
  <c r="T31"/>
  <c r="P31"/>
  <c r="L31"/>
  <c r="AP30"/>
  <c r="AM30"/>
  <c r="W30"/>
  <c r="T30"/>
  <c r="P30"/>
  <c r="L30"/>
  <c r="AP29"/>
  <c r="AM29"/>
  <c r="W29"/>
  <c r="T29"/>
  <c r="P29"/>
  <c r="L29"/>
  <c r="AP28"/>
  <c r="AM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7"/>
  <c r="K6"/>
  <c r="K5"/>
  <c r="K4"/>
  <c r="AP59" i="163"/>
  <c r="AM59"/>
  <c r="T59"/>
  <c r="P59"/>
  <c r="L59"/>
  <c r="AP58"/>
  <c r="AM58"/>
  <c r="T58"/>
  <c r="P58"/>
  <c r="L58"/>
  <c r="AP57"/>
  <c r="AM57"/>
  <c r="T57"/>
  <c r="P57"/>
  <c r="L57"/>
  <c r="AP56"/>
  <c r="AM56"/>
  <c r="T56"/>
  <c r="P56"/>
  <c r="L56"/>
  <c r="AP55"/>
  <c r="AM55"/>
  <c r="T55"/>
  <c r="P55"/>
  <c r="L55"/>
  <c r="AP54"/>
  <c r="AM54"/>
  <c r="T54"/>
  <c r="P54"/>
  <c r="L54"/>
  <c r="AP53"/>
  <c r="AM53"/>
  <c r="T53"/>
  <c r="P53"/>
  <c r="L53"/>
  <c r="AP52"/>
  <c r="AM52"/>
  <c r="T52"/>
  <c r="P52"/>
  <c r="L52"/>
  <c r="AP51"/>
  <c r="AM51"/>
  <c r="T51"/>
  <c r="P51"/>
  <c r="L51"/>
  <c r="AP50"/>
  <c r="AM50"/>
  <c r="T50"/>
  <c r="P50"/>
  <c r="L50"/>
  <c r="AP49"/>
  <c r="AM49"/>
  <c r="T49"/>
  <c r="P49"/>
  <c r="L49"/>
  <c r="AP48"/>
  <c r="AM48"/>
  <c r="T48"/>
  <c r="P48"/>
  <c r="L48"/>
  <c r="AP47"/>
  <c r="AM47"/>
  <c r="T47"/>
  <c r="P47"/>
  <c r="L47"/>
  <c r="AP46"/>
  <c r="AM46"/>
  <c r="T46"/>
  <c r="P46"/>
  <c r="L46"/>
  <c r="AP45"/>
  <c r="AM45"/>
  <c r="T45"/>
  <c r="P45"/>
  <c r="L45"/>
  <c r="AP44"/>
  <c r="AM44"/>
  <c r="T44"/>
  <c r="P44"/>
  <c r="L44"/>
  <c r="AP43"/>
  <c r="AM43"/>
  <c r="T43"/>
  <c r="P43"/>
  <c r="L43"/>
  <c r="AP42"/>
  <c r="AM42"/>
  <c r="T42"/>
  <c r="P42"/>
  <c r="L42"/>
  <c r="AP41"/>
  <c r="AM41"/>
  <c r="T41"/>
  <c r="P41"/>
  <c r="L41"/>
  <c r="AP40"/>
  <c r="AM40"/>
  <c r="T40"/>
  <c r="P40"/>
  <c r="L40"/>
  <c r="AP39"/>
  <c r="AM39"/>
  <c r="T39"/>
  <c r="P39"/>
  <c r="L39"/>
  <c r="AP38"/>
  <c r="AM38"/>
  <c r="T38"/>
  <c r="P38"/>
  <c r="L38"/>
  <c r="AP37"/>
  <c r="AM37"/>
  <c r="T37"/>
  <c r="P37"/>
  <c r="L37"/>
  <c r="AP36"/>
  <c r="AM36"/>
  <c r="T36"/>
  <c r="P36"/>
  <c r="L36"/>
  <c r="AP35"/>
  <c r="AM35"/>
  <c r="T35"/>
  <c r="P35"/>
  <c r="L35"/>
  <c r="AP34"/>
  <c r="AM34"/>
  <c r="T34"/>
  <c r="P34"/>
  <c r="L34"/>
  <c r="AP33"/>
  <c r="AM33"/>
  <c r="T33"/>
  <c r="P33"/>
  <c r="L33"/>
  <c r="AP32"/>
  <c r="AM32"/>
  <c r="T32"/>
  <c r="P32"/>
  <c r="L32"/>
  <c r="AP31"/>
  <c r="AM31"/>
  <c r="T31"/>
  <c r="P31"/>
  <c r="L31"/>
  <c r="AP30"/>
  <c r="AM30"/>
  <c r="T30"/>
  <c r="P30"/>
  <c r="L30"/>
  <c r="AP29"/>
  <c r="AM29"/>
  <c r="T29"/>
  <c r="P29"/>
  <c r="L29"/>
  <c r="AP28"/>
  <c r="AM28"/>
  <c r="T28"/>
  <c r="P28"/>
  <c r="L28"/>
  <c r="AP27"/>
  <c r="AM27"/>
  <c r="T27"/>
  <c r="P27"/>
  <c r="L27"/>
  <c r="AP26"/>
  <c r="AM26"/>
  <c r="T26"/>
  <c r="P26"/>
  <c r="L26"/>
  <c r="AP25"/>
  <c r="AM25"/>
  <c r="T25"/>
  <c r="P25"/>
  <c r="L25"/>
  <c r="AP24"/>
  <c r="AM24"/>
  <c r="T24"/>
  <c r="P24"/>
  <c r="L24"/>
  <c r="AP23"/>
  <c r="AM23"/>
  <c r="T23"/>
  <c r="P23"/>
  <c r="L23"/>
  <c r="AP22"/>
  <c r="AM22"/>
  <c r="T22"/>
  <c r="P22"/>
  <c r="L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7"/>
  <c r="K6"/>
  <c r="K5"/>
  <c r="K4"/>
  <c r="W59" i="162"/>
  <c r="W58"/>
  <c r="W57"/>
  <c r="W56"/>
  <c r="W55"/>
  <c r="W54"/>
  <c r="W53"/>
  <c r="W52"/>
  <c r="W51"/>
  <c r="W50"/>
  <c r="W49"/>
  <c r="W48"/>
  <c r="W47"/>
  <c r="W46"/>
  <c r="W45"/>
  <c r="W44"/>
  <c r="W43"/>
  <c r="W42"/>
  <c r="W41"/>
  <c r="W40"/>
  <c r="W39"/>
  <c r="W38"/>
  <c r="W37"/>
  <c r="W36"/>
  <c r="W35"/>
  <c r="W34"/>
  <c r="W33"/>
  <c r="W32"/>
  <c r="W31"/>
  <c r="W30"/>
  <c r="W29"/>
  <c r="W28"/>
  <c r="W27"/>
  <c r="W26"/>
  <c r="W25"/>
  <c r="W24"/>
  <c r="W23"/>
  <c r="W22"/>
  <c r="W21"/>
  <c r="W20"/>
  <c r="AP19"/>
  <c r="AM19"/>
  <c r="W19"/>
  <c r="T19"/>
  <c r="P19"/>
  <c r="L19"/>
  <c r="AS18"/>
  <c r="AR18"/>
  <c r="AQ18"/>
  <c r="AP18"/>
  <c r="AO18"/>
  <c r="AN18"/>
  <c r="AM18"/>
  <c r="AL18"/>
  <c r="AK18"/>
  <c r="AJ18"/>
  <c r="AI18"/>
  <c r="AH18"/>
  <c r="AG18"/>
  <c r="AF18"/>
  <c r="AE18"/>
  <c r="AD18"/>
  <c r="AC18"/>
  <c r="AB18"/>
  <c r="AA18"/>
  <c r="K7"/>
  <c r="AP59" i="161"/>
  <c r="W59"/>
  <c r="T59"/>
  <c r="P59"/>
  <c r="L59"/>
  <c r="AP58"/>
  <c r="W58"/>
  <c r="T58"/>
  <c r="P58"/>
  <c r="L58"/>
  <c r="AP57"/>
  <c r="W57"/>
  <c r="T57"/>
  <c r="P57"/>
  <c r="L57"/>
  <c r="AP56"/>
  <c r="W56"/>
  <c r="T56"/>
  <c r="P56"/>
  <c r="L56"/>
  <c r="AP55"/>
  <c r="W55"/>
  <c r="T55"/>
  <c r="P55"/>
  <c r="L55"/>
  <c r="AP54"/>
  <c r="W54"/>
  <c r="T54"/>
  <c r="P54"/>
  <c r="L54"/>
  <c r="AP53"/>
  <c r="W53"/>
  <c r="T53"/>
  <c r="P53"/>
  <c r="L53"/>
  <c r="AP52"/>
  <c r="W52"/>
  <c r="T52"/>
  <c r="P52"/>
  <c r="L52"/>
  <c r="AP51"/>
  <c r="W51"/>
  <c r="T51"/>
  <c r="P51"/>
  <c r="L51"/>
  <c r="AP50"/>
  <c r="W50"/>
  <c r="T50"/>
  <c r="P50"/>
  <c r="L50"/>
  <c r="AP49"/>
  <c r="W49"/>
  <c r="T49"/>
  <c r="P49"/>
  <c r="L49"/>
  <c r="AP48"/>
  <c r="W48"/>
  <c r="T48"/>
  <c r="P48"/>
  <c r="L48"/>
  <c r="AP47"/>
  <c r="W47"/>
  <c r="T47"/>
  <c r="P47"/>
  <c r="L47"/>
  <c r="AP46"/>
  <c r="W46"/>
  <c r="T46"/>
  <c r="P46"/>
  <c r="L46"/>
  <c r="AP45"/>
  <c r="W45"/>
  <c r="T45"/>
  <c r="P45"/>
  <c r="L45"/>
  <c r="AP44"/>
  <c r="W44"/>
  <c r="T44"/>
  <c r="P44"/>
  <c r="L44"/>
  <c r="AP43"/>
  <c r="W43"/>
  <c r="T43"/>
  <c r="P43"/>
  <c r="L43"/>
  <c r="AP42"/>
  <c r="W42"/>
  <c r="T42"/>
  <c r="P42"/>
  <c r="L42"/>
  <c r="AP41"/>
  <c r="W41"/>
  <c r="T41"/>
  <c r="P41"/>
  <c r="L41"/>
  <c r="AP40"/>
  <c r="W40"/>
  <c r="T40"/>
  <c r="P40"/>
  <c r="L40"/>
  <c r="AP39"/>
  <c r="W39"/>
  <c r="T39"/>
  <c r="P39"/>
  <c r="L39"/>
  <c r="AP38"/>
  <c r="W38"/>
  <c r="T38"/>
  <c r="P38"/>
  <c r="L38"/>
  <c r="AP37"/>
  <c r="W37"/>
  <c r="T37"/>
  <c r="P37"/>
  <c r="L37"/>
  <c r="AP36"/>
  <c r="W36"/>
  <c r="T36"/>
  <c r="P36"/>
  <c r="L36"/>
  <c r="AP35"/>
  <c r="W35"/>
  <c r="T35"/>
  <c r="P35"/>
  <c r="L35"/>
  <c r="AP34"/>
  <c r="W34"/>
  <c r="T34"/>
  <c r="P34"/>
  <c r="L34"/>
  <c r="AP33"/>
  <c r="W33"/>
  <c r="T33"/>
  <c r="P33"/>
  <c r="L33"/>
  <c r="AP32"/>
  <c r="W32"/>
  <c r="T32"/>
  <c r="P32"/>
  <c r="L32"/>
  <c r="AP31"/>
  <c r="W31"/>
  <c r="T31"/>
  <c r="P31"/>
  <c r="L31"/>
  <c r="AP30"/>
  <c r="W30"/>
  <c r="T30"/>
  <c r="P30"/>
  <c r="L30"/>
  <c r="AP29"/>
  <c r="W29"/>
  <c r="T29"/>
  <c r="P29"/>
  <c r="L29"/>
  <c r="AP28"/>
  <c r="W28"/>
  <c r="T28"/>
  <c r="P28"/>
  <c r="L28"/>
  <c r="AP27"/>
  <c r="W27"/>
  <c r="T27"/>
  <c r="P27"/>
  <c r="L27"/>
  <c r="AP26"/>
  <c r="W26"/>
  <c r="T26"/>
  <c r="P26"/>
  <c r="L26"/>
  <c r="AP25"/>
  <c r="W25"/>
  <c r="T25"/>
  <c r="P25"/>
  <c r="L25"/>
  <c r="AP24"/>
  <c r="W24"/>
  <c r="T24"/>
  <c r="P24"/>
  <c r="L24"/>
  <c r="AP23"/>
  <c r="W23"/>
  <c r="T23"/>
  <c r="P23"/>
  <c r="L23"/>
  <c r="AP22"/>
  <c r="W22"/>
  <c r="T22"/>
  <c r="P22"/>
  <c r="L22"/>
  <c r="AP21"/>
  <c r="W21"/>
  <c r="T21"/>
  <c r="P21"/>
  <c r="L21"/>
  <c r="AP20"/>
  <c r="W20"/>
  <c r="T20"/>
  <c r="P20"/>
  <c r="L20"/>
  <c r="AP19"/>
  <c r="AM19"/>
  <c r="W19"/>
  <c r="T19"/>
  <c r="P19"/>
  <c r="L19"/>
  <c r="AS18"/>
  <c r="AR18"/>
  <c r="AQ18"/>
  <c r="AP18"/>
  <c r="AO18"/>
  <c r="AN18"/>
  <c r="AM18"/>
  <c r="AL18"/>
  <c r="AK18"/>
  <c r="AJ18"/>
  <c r="AI18"/>
  <c r="AH18"/>
  <c r="AG18"/>
  <c r="AF18"/>
  <c r="AE18"/>
  <c r="AD18"/>
  <c r="AC18"/>
  <c r="AB18"/>
  <c r="AA18"/>
  <c r="K7"/>
  <c r="K6"/>
  <c r="K4"/>
  <c r="AP59" i="160"/>
  <c r="AM59"/>
  <c r="W59"/>
  <c r="T59"/>
  <c r="P59"/>
  <c r="L59"/>
  <c r="AP58"/>
  <c r="AM58"/>
  <c r="W58"/>
  <c r="T58"/>
  <c r="P58"/>
  <c r="L58"/>
  <c r="AP57"/>
  <c r="AM57"/>
  <c r="W57"/>
  <c r="T57"/>
  <c r="P57"/>
  <c r="L57"/>
  <c r="AP56"/>
  <c r="AM56"/>
  <c r="W56"/>
  <c r="T56"/>
  <c r="P56"/>
  <c r="L56"/>
  <c r="AP55"/>
  <c r="AM55"/>
  <c r="W55"/>
  <c r="T55"/>
  <c r="P55"/>
  <c r="L55"/>
  <c r="AP54"/>
  <c r="AM54"/>
  <c r="W54"/>
  <c r="T54"/>
  <c r="P54"/>
  <c r="L54"/>
  <c r="AP53"/>
  <c r="AM53"/>
  <c r="W53"/>
  <c r="T53"/>
  <c r="P53"/>
  <c r="L53"/>
  <c r="AP52"/>
  <c r="AM52"/>
  <c r="W52"/>
  <c r="T52"/>
  <c r="P52"/>
  <c r="L52"/>
  <c r="AP51"/>
  <c r="AM51"/>
  <c r="W51"/>
  <c r="T51"/>
  <c r="P51"/>
  <c r="L51"/>
  <c r="AP50"/>
  <c r="AM50"/>
  <c r="W50"/>
  <c r="T50"/>
  <c r="P50"/>
  <c r="L50"/>
  <c r="AP49"/>
  <c r="AM49"/>
  <c r="W49"/>
  <c r="T49"/>
  <c r="P49"/>
  <c r="L49"/>
  <c r="AP48"/>
  <c r="AM48"/>
  <c r="W48"/>
  <c r="T48"/>
  <c r="P48"/>
  <c r="L48"/>
  <c r="AP47"/>
  <c r="AM47"/>
  <c r="W47"/>
  <c r="T47"/>
  <c r="P47"/>
  <c r="L47"/>
  <c r="AP46"/>
  <c r="AM46"/>
  <c r="W46"/>
  <c r="T46"/>
  <c r="P46"/>
  <c r="L46"/>
  <c r="AP45"/>
  <c r="AM45"/>
  <c r="W45"/>
  <c r="T45"/>
  <c r="P45"/>
  <c r="L45"/>
  <c r="AP44"/>
  <c r="AM44"/>
  <c r="W44"/>
  <c r="T44"/>
  <c r="P44"/>
  <c r="L44"/>
  <c r="AP43"/>
  <c r="AM43"/>
  <c r="W43"/>
  <c r="T43"/>
  <c r="P43"/>
  <c r="L43"/>
  <c r="AP42"/>
  <c r="AM42"/>
  <c r="W42"/>
  <c r="T42"/>
  <c r="P42"/>
  <c r="L42"/>
  <c r="AP41"/>
  <c r="AM41"/>
  <c r="W41"/>
  <c r="T41"/>
  <c r="P41"/>
  <c r="L41"/>
  <c r="AP40"/>
  <c r="AM40"/>
  <c r="W40"/>
  <c r="T40"/>
  <c r="P40"/>
  <c r="L40"/>
  <c r="AP39"/>
  <c r="AM39"/>
  <c r="W39"/>
  <c r="T39"/>
  <c r="P39"/>
  <c r="L39"/>
  <c r="AP38"/>
  <c r="AM38"/>
  <c r="W38"/>
  <c r="T38"/>
  <c r="P38"/>
  <c r="L38"/>
  <c r="AP37"/>
  <c r="AM37"/>
  <c r="W37"/>
  <c r="T37"/>
  <c r="P37"/>
  <c r="L37"/>
  <c r="AP36"/>
  <c r="AM36"/>
  <c r="W36"/>
  <c r="T36"/>
  <c r="P36"/>
  <c r="L36"/>
  <c r="AP35"/>
  <c r="AM35"/>
  <c r="W35"/>
  <c r="T35"/>
  <c r="P35"/>
  <c r="L35"/>
  <c r="AP34"/>
  <c r="AM34"/>
  <c r="W34"/>
  <c r="T34"/>
  <c r="P34"/>
  <c r="L34"/>
  <c r="AP33"/>
  <c r="AM33"/>
  <c r="W33"/>
  <c r="T33"/>
  <c r="P33"/>
  <c r="L33"/>
  <c r="AP32"/>
  <c r="AM32"/>
  <c r="W32"/>
  <c r="T32"/>
  <c r="P32"/>
  <c r="L32"/>
  <c r="AP31"/>
  <c r="AM31"/>
  <c r="W31"/>
  <c r="T31"/>
  <c r="P31"/>
  <c r="L31"/>
  <c r="AP30"/>
  <c r="AM30"/>
  <c r="W30"/>
  <c r="T30"/>
  <c r="P30"/>
  <c r="L30"/>
  <c r="AP29"/>
  <c r="AM29"/>
  <c r="W29"/>
  <c r="T29"/>
  <c r="P29"/>
  <c r="L29"/>
  <c r="AP28"/>
  <c r="AM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7"/>
  <c r="K6"/>
  <c r="K5"/>
  <c r="K4"/>
  <c r="AO27" i="152" l="1"/>
  <c r="AO28"/>
  <c r="AO29"/>
  <c r="AO30"/>
  <c r="AO31"/>
  <c r="AO32"/>
  <c r="AO33"/>
  <c r="AO34"/>
  <c r="AO35"/>
  <c r="AO36"/>
  <c r="AO37"/>
  <c r="AO38"/>
  <c r="AO39"/>
  <c r="AO40"/>
  <c r="AO41"/>
  <c r="AO42"/>
  <c r="AO43"/>
  <c r="AO44"/>
  <c r="AO45"/>
  <c r="AO46"/>
  <c r="AO47"/>
  <c r="AO48"/>
  <c r="AO49"/>
  <c r="AO50"/>
  <c r="AO51"/>
  <c r="AO52"/>
  <c r="AO53"/>
  <c r="AO54"/>
  <c r="AO55"/>
  <c r="AO56"/>
  <c r="AO57"/>
  <c r="AO58"/>
  <c r="AO59"/>
  <c r="AO26"/>
  <c r="AO22"/>
  <c r="AO23"/>
  <c r="AO24"/>
  <c r="AO25"/>
  <c r="AO21"/>
  <c r="BA31"/>
  <c r="C31" s="1"/>
  <c r="BA26"/>
  <c r="AO30" i="159"/>
  <c r="AP30" s="1"/>
  <c r="AO31"/>
  <c r="AP31" s="1"/>
  <c r="AO32"/>
  <c r="AP32" s="1"/>
  <c r="AO33"/>
  <c r="AP33" s="1"/>
  <c r="AO34"/>
  <c r="AP34" s="1"/>
  <c r="AO35"/>
  <c r="AP35" s="1"/>
  <c r="AO36"/>
  <c r="AP36" s="1"/>
  <c r="AO37"/>
  <c r="AP37" s="1"/>
  <c r="AO38"/>
  <c r="AP38" s="1"/>
  <c r="AO39"/>
  <c r="AP39" s="1"/>
  <c r="AO40"/>
  <c r="AP40" s="1"/>
  <c r="AO41"/>
  <c r="AP41" s="1"/>
  <c r="AO42"/>
  <c r="AP42" s="1"/>
  <c r="AO43"/>
  <c r="AP43" s="1"/>
  <c r="AO44"/>
  <c r="AP44" s="1"/>
  <c r="AO45"/>
  <c r="AP45" s="1"/>
  <c r="AO46"/>
  <c r="AP46" s="1"/>
  <c r="AO47"/>
  <c r="AP47" s="1"/>
  <c r="AO48"/>
  <c r="AP48" s="1"/>
  <c r="AO49"/>
  <c r="AP49" s="1"/>
  <c r="AO50"/>
  <c r="AP50" s="1"/>
  <c r="AO51"/>
  <c r="AP51" s="1"/>
  <c r="AO52"/>
  <c r="AP52" s="1"/>
  <c r="AO53"/>
  <c r="AP53" s="1"/>
  <c r="AO54"/>
  <c r="AP54" s="1"/>
  <c r="AO55"/>
  <c r="AP55" s="1"/>
  <c r="AO56"/>
  <c r="AP56" s="1"/>
  <c r="AO57"/>
  <c r="AP57" s="1"/>
  <c r="AO58"/>
  <c r="AP58" s="1"/>
  <c r="AO59"/>
  <c r="AP59" s="1"/>
  <c r="AO29"/>
  <c r="M30"/>
  <c r="L30" s="1"/>
  <c r="M31"/>
  <c r="L31" s="1"/>
  <c r="M32"/>
  <c r="L32" s="1"/>
  <c r="M33"/>
  <c r="L33" s="1"/>
  <c r="M34"/>
  <c r="L34" s="1"/>
  <c r="M35"/>
  <c r="L35" s="1"/>
  <c r="M36"/>
  <c r="L36" s="1"/>
  <c r="M37"/>
  <c r="L37" s="1"/>
  <c r="M38"/>
  <c r="L38" s="1"/>
  <c r="M39"/>
  <c r="L39" s="1"/>
  <c r="M40"/>
  <c r="L40" s="1"/>
  <c r="M41"/>
  <c r="L41" s="1"/>
  <c r="M42"/>
  <c r="L42" s="1"/>
  <c r="M43"/>
  <c r="L43" s="1"/>
  <c r="M44"/>
  <c r="L44" s="1"/>
  <c r="M45"/>
  <c r="L45" s="1"/>
  <c r="M46"/>
  <c r="L46" s="1"/>
  <c r="M47"/>
  <c r="L47" s="1"/>
  <c r="M48"/>
  <c r="L48" s="1"/>
  <c r="M49"/>
  <c r="L49" s="1"/>
  <c r="M50"/>
  <c r="L50" s="1"/>
  <c r="M51"/>
  <c r="L51" s="1"/>
  <c r="M52"/>
  <c r="L52" s="1"/>
  <c r="M53"/>
  <c r="L53" s="1"/>
  <c r="M54"/>
  <c r="L54" s="1"/>
  <c r="M55"/>
  <c r="L55" s="1"/>
  <c r="M56"/>
  <c r="L56" s="1"/>
  <c r="M57"/>
  <c r="L57" s="1"/>
  <c r="M58"/>
  <c r="M59" s="1"/>
  <c r="L59" s="1"/>
  <c r="M29"/>
  <c r="L29" s="1"/>
  <c r="AU25"/>
  <c r="AU23"/>
  <c r="AU27"/>
  <c r="AL28" s="1"/>
  <c r="AO30" i="158"/>
  <c r="AP30" s="1"/>
  <c r="AO31"/>
  <c r="AP31" s="1"/>
  <c r="AO32"/>
  <c r="AP32" s="1"/>
  <c r="AO33"/>
  <c r="AP33" s="1"/>
  <c r="AO34"/>
  <c r="AP34" s="1"/>
  <c r="AO35"/>
  <c r="AP35" s="1"/>
  <c r="AO36"/>
  <c r="AP36" s="1"/>
  <c r="AO37"/>
  <c r="AP37" s="1"/>
  <c r="AO38"/>
  <c r="AP38" s="1"/>
  <c r="AO39"/>
  <c r="AP39" s="1"/>
  <c r="AO40"/>
  <c r="AP40" s="1"/>
  <c r="AO41"/>
  <c r="AP41" s="1"/>
  <c r="AO42"/>
  <c r="AP42" s="1"/>
  <c r="AO43"/>
  <c r="AP43" s="1"/>
  <c r="AO44"/>
  <c r="AP44" s="1"/>
  <c r="AO45"/>
  <c r="AP45" s="1"/>
  <c r="AO46"/>
  <c r="AP46" s="1"/>
  <c r="AO47"/>
  <c r="AP47" s="1"/>
  <c r="AO48"/>
  <c r="AP48" s="1"/>
  <c r="AO49"/>
  <c r="AP49" s="1"/>
  <c r="AO50"/>
  <c r="AP50" s="1"/>
  <c r="AO51"/>
  <c r="AP51" s="1"/>
  <c r="AO52"/>
  <c r="AP52" s="1"/>
  <c r="AO53"/>
  <c r="AP53" s="1"/>
  <c r="AO54"/>
  <c r="AP54" s="1"/>
  <c r="AO55"/>
  <c r="AP55" s="1"/>
  <c r="AO56"/>
  <c r="AP56" s="1"/>
  <c r="AO57"/>
  <c r="AP57" s="1"/>
  <c r="AO58"/>
  <c r="AO59" s="1"/>
  <c r="AO29"/>
  <c r="M30"/>
  <c r="L30" s="1"/>
  <c r="M31"/>
  <c r="L31" s="1"/>
  <c r="M32"/>
  <c r="L32" s="1"/>
  <c r="M33"/>
  <c r="L33" s="1"/>
  <c r="M34"/>
  <c r="L34" s="1"/>
  <c r="M35"/>
  <c r="L35" s="1"/>
  <c r="M36"/>
  <c r="L36" s="1"/>
  <c r="M37"/>
  <c r="L37" s="1"/>
  <c r="M38"/>
  <c r="L38" s="1"/>
  <c r="M39"/>
  <c r="L39" s="1"/>
  <c r="M40"/>
  <c r="L40" s="1"/>
  <c r="M41"/>
  <c r="L41" s="1"/>
  <c r="M42"/>
  <c r="L42" s="1"/>
  <c r="M43"/>
  <c r="L43" s="1"/>
  <c r="M44"/>
  <c r="L44" s="1"/>
  <c r="M45"/>
  <c r="L45" s="1"/>
  <c r="M46"/>
  <c r="L46" s="1"/>
  <c r="M47"/>
  <c r="L47" s="1"/>
  <c r="M48"/>
  <c r="L48" s="1"/>
  <c r="M49"/>
  <c r="L49" s="1"/>
  <c r="M50"/>
  <c r="L50" s="1"/>
  <c r="M51"/>
  <c r="L51" s="1"/>
  <c r="M52"/>
  <c r="L52" s="1"/>
  <c r="M53"/>
  <c r="L53" s="1"/>
  <c r="M54"/>
  <c r="L54" s="1"/>
  <c r="M55"/>
  <c r="L55" s="1"/>
  <c r="M56"/>
  <c r="L56" s="1"/>
  <c r="M57"/>
  <c r="L57" s="1"/>
  <c r="M58"/>
  <c r="M59" s="1"/>
  <c r="L59" s="1"/>
  <c r="M29"/>
  <c r="L29" s="1"/>
  <c r="AU27"/>
  <c r="AL28" s="1"/>
  <c r="AU23"/>
  <c r="AU25" s="1"/>
  <c r="AM59" i="159"/>
  <c r="W59"/>
  <c r="T59"/>
  <c r="P59"/>
  <c r="AM58"/>
  <c r="W58"/>
  <c r="T58"/>
  <c r="P58"/>
  <c r="AM57"/>
  <c r="W57"/>
  <c r="T57"/>
  <c r="P57"/>
  <c r="AM56"/>
  <c r="W56"/>
  <c r="T56"/>
  <c r="P56"/>
  <c r="AM55"/>
  <c r="W55"/>
  <c r="T55"/>
  <c r="P55"/>
  <c r="AM54"/>
  <c r="W54"/>
  <c r="T54"/>
  <c r="P54"/>
  <c r="AM53"/>
  <c r="W53"/>
  <c r="T53"/>
  <c r="P53"/>
  <c r="AM52"/>
  <c r="W52"/>
  <c r="T52"/>
  <c r="P52"/>
  <c r="AM51"/>
  <c r="W51"/>
  <c r="T51"/>
  <c r="P51"/>
  <c r="AM50"/>
  <c r="W50"/>
  <c r="T50"/>
  <c r="P50"/>
  <c r="AM49"/>
  <c r="W49"/>
  <c r="T49"/>
  <c r="P49"/>
  <c r="AM48"/>
  <c r="W48"/>
  <c r="T48"/>
  <c r="P48"/>
  <c r="AM47"/>
  <c r="W47"/>
  <c r="T47"/>
  <c r="P47"/>
  <c r="AM46"/>
  <c r="W46"/>
  <c r="T46"/>
  <c r="P46"/>
  <c r="AM45"/>
  <c r="W45"/>
  <c r="T45"/>
  <c r="P45"/>
  <c r="AM44"/>
  <c r="W44"/>
  <c r="T44"/>
  <c r="P44"/>
  <c r="AM43"/>
  <c r="W43"/>
  <c r="T43"/>
  <c r="P43"/>
  <c r="AM42"/>
  <c r="W42"/>
  <c r="T42"/>
  <c r="P42"/>
  <c r="AM41"/>
  <c r="W41"/>
  <c r="T41"/>
  <c r="P41"/>
  <c r="AM40"/>
  <c r="W40"/>
  <c r="T40"/>
  <c r="P40"/>
  <c r="AM39"/>
  <c r="W39"/>
  <c r="T39"/>
  <c r="P39"/>
  <c r="AM38"/>
  <c r="W38"/>
  <c r="T38"/>
  <c r="P38"/>
  <c r="AM37"/>
  <c r="W37"/>
  <c r="T37"/>
  <c r="P37"/>
  <c r="AM36"/>
  <c r="W36"/>
  <c r="T36"/>
  <c r="P36"/>
  <c r="AM35"/>
  <c r="W35"/>
  <c r="T35"/>
  <c r="P35"/>
  <c r="AM34"/>
  <c r="W34"/>
  <c r="T34"/>
  <c r="P34"/>
  <c r="AM33"/>
  <c r="W33"/>
  <c r="T33"/>
  <c r="P33"/>
  <c r="AM32"/>
  <c r="W32"/>
  <c r="T32"/>
  <c r="P32"/>
  <c r="AM31"/>
  <c r="W31"/>
  <c r="T31"/>
  <c r="P31"/>
  <c r="AM30"/>
  <c r="W30"/>
  <c r="T30"/>
  <c r="P30"/>
  <c r="AM29"/>
  <c r="W29"/>
  <c r="T29"/>
  <c r="P29"/>
  <c r="AP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6"/>
  <c r="K4"/>
  <c r="AM59" i="158"/>
  <c r="W59"/>
  <c r="T59"/>
  <c r="P59"/>
  <c r="AM58"/>
  <c r="W58"/>
  <c r="T58"/>
  <c r="P58"/>
  <c r="AM57"/>
  <c r="W57"/>
  <c r="T57"/>
  <c r="P57"/>
  <c r="AM56"/>
  <c r="W56"/>
  <c r="T56"/>
  <c r="P56"/>
  <c r="AM55"/>
  <c r="W55"/>
  <c r="T55"/>
  <c r="P55"/>
  <c r="AM54"/>
  <c r="W54"/>
  <c r="T54"/>
  <c r="P54"/>
  <c r="AM53"/>
  <c r="W53"/>
  <c r="T53"/>
  <c r="P53"/>
  <c r="AM52"/>
  <c r="W52"/>
  <c r="T52"/>
  <c r="P52"/>
  <c r="AM51"/>
  <c r="W51"/>
  <c r="T51"/>
  <c r="P51"/>
  <c r="AM50"/>
  <c r="W50"/>
  <c r="T50"/>
  <c r="P50"/>
  <c r="AM49"/>
  <c r="W49"/>
  <c r="T49"/>
  <c r="P49"/>
  <c r="AM48"/>
  <c r="W48"/>
  <c r="T48"/>
  <c r="P48"/>
  <c r="AM47"/>
  <c r="W47"/>
  <c r="T47"/>
  <c r="P47"/>
  <c r="AM46"/>
  <c r="W46"/>
  <c r="T46"/>
  <c r="P46"/>
  <c r="AM45"/>
  <c r="W45"/>
  <c r="T45"/>
  <c r="P45"/>
  <c r="AM44"/>
  <c r="W44"/>
  <c r="T44"/>
  <c r="P44"/>
  <c r="AM43"/>
  <c r="W43"/>
  <c r="T43"/>
  <c r="P43"/>
  <c r="AM42"/>
  <c r="W42"/>
  <c r="T42"/>
  <c r="P42"/>
  <c r="AM41"/>
  <c r="W41"/>
  <c r="T41"/>
  <c r="P41"/>
  <c r="AM40"/>
  <c r="W40"/>
  <c r="T40"/>
  <c r="P40"/>
  <c r="AM39"/>
  <c r="W39"/>
  <c r="T39"/>
  <c r="P39"/>
  <c r="AM38"/>
  <c r="W38"/>
  <c r="T38"/>
  <c r="P38"/>
  <c r="AM37"/>
  <c r="W37"/>
  <c r="T37"/>
  <c r="P37"/>
  <c r="AM36"/>
  <c r="W36"/>
  <c r="T36"/>
  <c r="P36"/>
  <c r="AM35"/>
  <c r="W35"/>
  <c r="T35"/>
  <c r="P35"/>
  <c r="AM34"/>
  <c r="W34"/>
  <c r="T34"/>
  <c r="P34"/>
  <c r="AM33"/>
  <c r="W33"/>
  <c r="T33"/>
  <c r="P33"/>
  <c r="AM32"/>
  <c r="W32"/>
  <c r="T32"/>
  <c r="P32"/>
  <c r="AM31"/>
  <c r="W31"/>
  <c r="T31"/>
  <c r="P31"/>
  <c r="AM30"/>
  <c r="W30"/>
  <c r="T30"/>
  <c r="P30"/>
  <c r="AM29"/>
  <c r="W29"/>
  <c r="T29"/>
  <c r="P29"/>
  <c r="AP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6"/>
  <c r="K4"/>
  <c r="L22" i="150"/>
  <c r="L23"/>
  <c r="L24"/>
  <c r="L25"/>
  <c r="L26"/>
  <c r="L27"/>
  <c r="L28"/>
  <c r="L29"/>
  <c r="L30"/>
  <c r="L31"/>
  <c r="L32"/>
  <c r="L33"/>
  <c r="L34"/>
  <c r="L35"/>
  <c r="L36"/>
  <c r="L37"/>
  <c r="L38"/>
  <c r="L39"/>
  <c r="L40"/>
  <c r="L41"/>
  <c r="L42"/>
  <c r="L43"/>
  <c r="L44"/>
  <c r="L45"/>
  <c r="L46"/>
  <c r="L47"/>
  <c r="L48"/>
  <c r="L49"/>
  <c r="L50"/>
  <c r="L51"/>
  <c r="L52"/>
  <c r="L53"/>
  <c r="L54"/>
  <c r="L55"/>
  <c r="L56"/>
  <c r="L57"/>
  <c r="L58"/>
  <c r="L59"/>
  <c r="L21"/>
  <c r="M22"/>
  <c r="M23"/>
  <c r="M24"/>
  <c r="M25"/>
  <c r="M26"/>
  <c r="M27"/>
  <c r="M28"/>
  <c r="M29"/>
  <c r="M30"/>
  <c r="M31"/>
  <c r="M32"/>
  <c r="M33"/>
  <c r="M34"/>
  <c r="M35"/>
  <c r="M36"/>
  <c r="M37"/>
  <c r="M38"/>
  <c r="M39"/>
  <c r="M40"/>
  <c r="M41"/>
  <c r="M42"/>
  <c r="M43"/>
  <c r="M44"/>
  <c r="M45"/>
  <c r="M46"/>
  <c r="M47"/>
  <c r="M48"/>
  <c r="M49"/>
  <c r="M50"/>
  <c r="M51"/>
  <c r="M52"/>
  <c r="M53"/>
  <c r="M54"/>
  <c r="M55"/>
  <c r="M56"/>
  <c r="M57"/>
  <c r="M58"/>
  <c r="M59"/>
  <c r="M21"/>
  <c r="BH28"/>
  <c r="BH19"/>
  <c r="BD33"/>
  <c r="BD34"/>
  <c r="BD35"/>
  <c r="BD36"/>
  <c r="BD37"/>
  <c r="BD38"/>
  <c r="BD39"/>
  <c r="BD40"/>
  <c r="BD32"/>
  <c r="BE32" s="1"/>
  <c r="BE33" s="1"/>
  <c r="BE34" s="1"/>
  <c r="BE35" s="1"/>
  <c r="BE36" s="1"/>
  <c r="BE37" s="1"/>
  <c r="BE38" s="1"/>
  <c r="BE39" s="1"/>
  <c r="BE40" s="1"/>
  <c r="BH20"/>
  <c r="BH21"/>
  <c r="BH22"/>
  <c r="BH23"/>
  <c r="BH24"/>
  <c r="BH25"/>
  <c r="BH26"/>
  <c r="BG20"/>
  <c r="BG21"/>
  <c r="BG22"/>
  <c r="BG23"/>
  <c r="BG24"/>
  <c r="BG25"/>
  <c r="BG26"/>
  <c r="BG19"/>
  <c r="BC35"/>
  <c r="AL24" s="1"/>
  <c r="AM24" s="1"/>
  <c r="BC36"/>
  <c r="AL25" s="1"/>
  <c r="AM25" s="1"/>
  <c r="BC37"/>
  <c r="AL26" s="1"/>
  <c r="AM26" s="1"/>
  <c r="BC38"/>
  <c r="AL27" s="1"/>
  <c r="AM27" s="1"/>
  <c r="BC39"/>
  <c r="AL28" s="1"/>
  <c r="AM28" s="1"/>
  <c r="BC40"/>
  <c r="AL29" s="1"/>
  <c r="AM29" s="1"/>
  <c r="AO22" i="155"/>
  <c r="AP22" s="1"/>
  <c r="AO23"/>
  <c r="AO24"/>
  <c r="AO25"/>
  <c r="K7" s="1"/>
  <c r="AO26"/>
  <c r="AP26" s="1"/>
  <c r="AO27"/>
  <c r="AO28"/>
  <c r="AO29"/>
  <c r="AO30"/>
  <c r="AP30" s="1"/>
  <c r="AO31"/>
  <c r="AO32"/>
  <c r="AO33"/>
  <c r="AO34"/>
  <c r="AP34" s="1"/>
  <c r="AO35"/>
  <c r="AO36"/>
  <c r="AO37"/>
  <c r="AO38"/>
  <c r="AP38" s="1"/>
  <c r="AO39"/>
  <c r="AO40"/>
  <c r="AO41"/>
  <c r="AO42"/>
  <c r="AP42" s="1"/>
  <c r="AO43"/>
  <c r="AO44"/>
  <c r="AO45"/>
  <c r="AO46"/>
  <c r="AP46" s="1"/>
  <c r="AO47"/>
  <c r="AO48"/>
  <c r="AO49"/>
  <c r="AO50"/>
  <c r="AP50" s="1"/>
  <c r="AO51"/>
  <c r="AO52"/>
  <c r="AO53"/>
  <c r="AO54"/>
  <c r="AP54" s="1"/>
  <c r="AO55"/>
  <c r="AO56"/>
  <c r="AO57"/>
  <c r="AO58"/>
  <c r="AP58" s="1"/>
  <c r="AO59"/>
  <c r="AO21"/>
  <c r="AL21"/>
  <c r="K5" s="1"/>
  <c r="BB21"/>
  <c r="BB59"/>
  <c r="BB58"/>
  <c r="BB57"/>
  <c r="BB56"/>
  <c r="BB55"/>
  <c r="BB54"/>
  <c r="BB53"/>
  <c r="BB52"/>
  <c r="BB51"/>
  <c r="BB50"/>
  <c r="BB49"/>
  <c r="BB48"/>
  <c r="BB47"/>
  <c r="BB46"/>
  <c r="BB45"/>
  <c r="BB44"/>
  <c r="BB43"/>
  <c r="BB42"/>
  <c r="BB41"/>
  <c r="BB40"/>
  <c r="BB39"/>
  <c r="BB38"/>
  <c r="BB37"/>
  <c r="BB36"/>
  <c r="BB35"/>
  <c r="BB34"/>
  <c r="BB33"/>
  <c r="BB32"/>
  <c r="BB31"/>
  <c r="BB30"/>
  <c r="BB29"/>
  <c r="BB28"/>
  <c r="BB27"/>
  <c r="BB26"/>
  <c r="BB25"/>
  <c r="BB24"/>
  <c r="BB23"/>
  <c r="BB22"/>
  <c r="AP59"/>
  <c r="AM59"/>
  <c r="W59"/>
  <c r="T59"/>
  <c r="P59"/>
  <c r="L59"/>
  <c r="AM58"/>
  <c r="W58"/>
  <c r="T58"/>
  <c r="P58"/>
  <c r="L58"/>
  <c r="AP57"/>
  <c r="AM57"/>
  <c r="W57"/>
  <c r="T57"/>
  <c r="P57"/>
  <c r="L57"/>
  <c r="AP56"/>
  <c r="AM56"/>
  <c r="W56"/>
  <c r="T56"/>
  <c r="P56"/>
  <c r="L56"/>
  <c r="AP55"/>
  <c r="AM55"/>
  <c r="W55"/>
  <c r="T55"/>
  <c r="P55"/>
  <c r="L55"/>
  <c r="AM54"/>
  <c r="W54"/>
  <c r="T54"/>
  <c r="P54"/>
  <c r="L54"/>
  <c r="AP53"/>
  <c r="AM53"/>
  <c r="W53"/>
  <c r="T53"/>
  <c r="P53"/>
  <c r="L53"/>
  <c r="AP52"/>
  <c r="AM52"/>
  <c r="W52"/>
  <c r="T52"/>
  <c r="P52"/>
  <c r="L52"/>
  <c r="AP51"/>
  <c r="AM51"/>
  <c r="W51"/>
  <c r="T51"/>
  <c r="P51"/>
  <c r="L51"/>
  <c r="AM50"/>
  <c r="W50"/>
  <c r="T50"/>
  <c r="P50"/>
  <c r="L50"/>
  <c r="AP49"/>
  <c r="AM49"/>
  <c r="W49"/>
  <c r="T49"/>
  <c r="P49"/>
  <c r="L49"/>
  <c r="AP48"/>
  <c r="AM48"/>
  <c r="W48"/>
  <c r="T48"/>
  <c r="P48"/>
  <c r="L48"/>
  <c r="AP47"/>
  <c r="AM47"/>
  <c r="W47"/>
  <c r="T47"/>
  <c r="P47"/>
  <c r="L47"/>
  <c r="AM46"/>
  <c r="W46"/>
  <c r="T46"/>
  <c r="P46"/>
  <c r="L46"/>
  <c r="AP45"/>
  <c r="AM45"/>
  <c r="W45"/>
  <c r="T45"/>
  <c r="P45"/>
  <c r="L45"/>
  <c r="AP44"/>
  <c r="AM44"/>
  <c r="W44"/>
  <c r="T44"/>
  <c r="P44"/>
  <c r="L44"/>
  <c r="AP43"/>
  <c r="AM43"/>
  <c r="W43"/>
  <c r="T43"/>
  <c r="P43"/>
  <c r="L43"/>
  <c r="AM42"/>
  <c r="W42"/>
  <c r="T42"/>
  <c r="P42"/>
  <c r="L42"/>
  <c r="AP41"/>
  <c r="AM41"/>
  <c r="W41"/>
  <c r="T41"/>
  <c r="P41"/>
  <c r="L41"/>
  <c r="AP40"/>
  <c r="AM40"/>
  <c r="W40"/>
  <c r="T40"/>
  <c r="P40"/>
  <c r="L40"/>
  <c r="AP39"/>
  <c r="AM39"/>
  <c r="W39"/>
  <c r="T39"/>
  <c r="P39"/>
  <c r="L39"/>
  <c r="AM38"/>
  <c r="W38"/>
  <c r="T38"/>
  <c r="P38"/>
  <c r="L38"/>
  <c r="AP37"/>
  <c r="AM37"/>
  <c r="W37"/>
  <c r="T37"/>
  <c r="P37"/>
  <c r="L37"/>
  <c r="AP36"/>
  <c r="AM36"/>
  <c r="W36"/>
  <c r="T36"/>
  <c r="P36"/>
  <c r="L36"/>
  <c r="AP35"/>
  <c r="AM35"/>
  <c r="W35"/>
  <c r="T35"/>
  <c r="P35"/>
  <c r="L35"/>
  <c r="AM34"/>
  <c r="W34"/>
  <c r="T34"/>
  <c r="P34"/>
  <c r="L34"/>
  <c r="AP33"/>
  <c r="AM33"/>
  <c r="W33"/>
  <c r="T33"/>
  <c r="P33"/>
  <c r="L33"/>
  <c r="AP32"/>
  <c r="AM32"/>
  <c r="W32"/>
  <c r="T32"/>
  <c r="P32"/>
  <c r="L32"/>
  <c r="AP31"/>
  <c r="AM31"/>
  <c r="W31"/>
  <c r="T31"/>
  <c r="P31"/>
  <c r="L31"/>
  <c r="AM30"/>
  <c r="W30"/>
  <c r="T30"/>
  <c r="P30"/>
  <c r="L30"/>
  <c r="AP29"/>
  <c r="AM29"/>
  <c r="W29"/>
  <c r="T29"/>
  <c r="P29"/>
  <c r="L29"/>
  <c r="AP28"/>
  <c r="AM28"/>
  <c r="W28"/>
  <c r="T28"/>
  <c r="P28"/>
  <c r="L28"/>
  <c r="AP27"/>
  <c r="AM27"/>
  <c r="W27"/>
  <c r="T27"/>
  <c r="P27"/>
  <c r="L27"/>
  <c r="AM26"/>
  <c r="W26"/>
  <c r="T26"/>
  <c r="P26"/>
  <c r="L26"/>
  <c r="AP25"/>
  <c r="AM25"/>
  <c r="W25"/>
  <c r="T25"/>
  <c r="P25"/>
  <c r="L25"/>
  <c r="AP24"/>
  <c r="AM24"/>
  <c r="W24"/>
  <c r="T24"/>
  <c r="P24"/>
  <c r="L24"/>
  <c r="AP23"/>
  <c r="AM23"/>
  <c r="W23"/>
  <c r="T23"/>
  <c r="P23"/>
  <c r="L23"/>
  <c r="AM22"/>
  <c r="W22"/>
  <c r="T22"/>
  <c r="P22"/>
  <c r="L22"/>
  <c r="AP21"/>
  <c r="W21"/>
  <c r="T21"/>
  <c r="P21"/>
  <c r="L21"/>
  <c r="AP20"/>
  <c r="AM20"/>
  <c r="W20"/>
  <c r="T20"/>
  <c r="P20"/>
  <c r="L20"/>
  <c r="AP19"/>
  <c r="AM19"/>
  <c r="W19"/>
  <c r="T19"/>
  <c r="P19"/>
  <c r="L19"/>
  <c r="AS18"/>
  <c r="AR18"/>
  <c r="AQ18"/>
  <c r="AP18"/>
  <c r="AO18"/>
  <c r="AN18"/>
  <c r="AM18"/>
  <c r="AL18"/>
  <c r="AK18"/>
  <c r="AJ18"/>
  <c r="AI18"/>
  <c r="AH18"/>
  <c r="AG18"/>
  <c r="AF18"/>
  <c r="AE18"/>
  <c r="AD18"/>
  <c r="AC18"/>
  <c r="AB18"/>
  <c r="AA18"/>
  <c r="K6"/>
  <c r="K4"/>
  <c r="AU25" i="154"/>
  <c r="AO24" s="1"/>
  <c r="AP24" s="1"/>
  <c r="AM59"/>
  <c r="W59"/>
  <c r="T59"/>
  <c r="P59"/>
  <c r="L59"/>
  <c r="AM58"/>
  <c r="W58"/>
  <c r="T58"/>
  <c r="P58"/>
  <c r="L58"/>
  <c r="AM57"/>
  <c r="W57"/>
  <c r="T57"/>
  <c r="P57"/>
  <c r="L57"/>
  <c r="AM56"/>
  <c r="W56"/>
  <c r="T56"/>
  <c r="P56"/>
  <c r="L56"/>
  <c r="AM55"/>
  <c r="W55"/>
  <c r="T55"/>
  <c r="P55"/>
  <c r="L55"/>
  <c r="AM54"/>
  <c r="W54"/>
  <c r="T54"/>
  <c r="P54"/>
  <c r="L54"/>
  <c r="AM53"/>
  <c r="W53"/>
  <c r="T53"/>
  <c r="P53"/>
  <c r="L53"/>
  <c r="AM52"/>
  <c r="W52"/>
  <c r="T52"/>
  <c r="P52"/>
  <c r="L52"/>
  <c r="AM51"/>
  <c r="W51"/>
  <c r="T51"/>
  <c r="P51"/>
  <c r="L51"/>
  <c r="AM50"/>
  <c r="W50"/>
  <c r="T50"/>
  <c r="P50"/>
  <c r="L50"/>
  <c r="AM49"/>
  <c r="W49"/>
  <c r="T49"/>
  <c r="P49"/>
  <c r="L49"/>
  <c r="AM48"/>
  <c r="W48"/>
  <c r="T48"/>
  <c r="P48"/>
  <c r="L48"/>
  <c r="AM47"/>
  <c r="W47"/>
  <c r="T47"/>
  <c r="P47"/>
  <c r="L47"/>
  <c r="AM46"/>
  <c r="W46"/>
  <c r="T46"/>
  <c r="P46"/>
  <c r="L46"/>
  <c r="AM45"/>
  <c r="W45"/>
  <c r="T45"/>
  <c r="P45"/>
  <c r="L45"/>
  <c r="AM44"/>
  <c r="W44"/>
  <c r="T44"/>
  <c r="P44"/>
  <c r="L44"/>
  <c r="AM43"/>
  <c r="W43"/>
  <c r="T43"/>
  <c r="P43"/>
  <c r="L43"/>
  <c r="AM42"/>
  <c r="W42"/>
  <c r="T42"/>
  <c r="P42"/>
  <c r="L42"/>
  <c r="AM41"/>
  <c r="W41"/>
  <c r="T41"/>
  <c r="P41"/>
  <c r="L41"/>
  <c r="AM40"/>
  <c r="W40"/>
  <c r="T40"/>
  <c r="P40"/>
  <c r="L40"/>
  <c r="AM39"/>
  <c r="W39"/>
  <c r="T39"/>
  <c r="P39"/>
  <c r="L39"/>
  <c r="AM38"/>
  <c r="W38"/>
  <c r="T38"/>
  <c r="P38"/>
  <c r="L38"/>
  <c r="AM37"/>
  <c r="W37"/>
  <c r="T37"/>
  <c r="P37"/>
  <c r="L37"/>
  <c r="AM36"/>
  <c r="W36"/>
  <c r="T36"/>
  <c r="P36"/>
  <c r="L36"/>
  <c r="AM35"/>
  <c r="W35"/>
  <c r="T35"/>
  <c r="P35"/>
  <c r="L35"/>
  <c r="AM34"/>
  <c r="W34"/>
  <c r="T34"/>
  <c r="P34"/>
  <c r="L34"/>
  <c r="AM33"/>
  <c r="W33"/>
  <c r="T33"/>
  <c r="P33"/>
  <c r="L33"/>
  <c r="AM32"/>
  <c r="W32"/>
  <c r="T32"/>
  <c r="P32"/>
  <c r="L32"/>
  <c r="AM31"/>
  <c r="W31"/>
  <c r="T31"/>
  <c r="P31"/>
  <c r="L31"/>
  <c r="AM30"/>
  <c r="W30"/>
  <c r="T30"/>
  <c r="P30"/>
  <c r="L30"/>
  <c r="AM29"/>
  <c r="W29"/>
  <c r="T29"/>
  <c r="P29"/>
  <c r="L29"/>
  <c r="AM28"/>
  <c r="W28"/>
  <c r="T28"/>
  <c r="P28"/>
  <c r="L28"/>
  <c r="AM27"/>
  <c r="W27"/>
  <c r="T27"/>
  <c r="P27"/>
  <c r="L27"/>
  <c r="AM26"/>
  <c r="W26"/>
  <c r="T26"/>
  <c r="P26"/>
  <c r="L26"/>
  <c r="AM25"/>
  <c r="W25"/>
  <c r="T25"/>
  <c r="P25"/>
  <c r="L25"/>
  <c r="AM24"/>
  <c r="W24"/>
  <c r="T24"/>
  <c r="P24"/>
  <c r="L24"/>
  <c r="AM23"/>
  <c r="W23"/>
  <c r="T23"/>
  <c r="P23"/>
  <c r="L23"/>
  <c r="AM22"/>
  <c r="W22"/>
  <c r="T22"/>
  <c r="P22"/>
  <c r="L22"/>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6"/>
  <c r="K5"/>
  <c r="K4"/>
  <c r="AU25" i="153"/>
  <c r="AU27" s="1"/>
  <c r="AL20"/>
  <c r="AV44"/>
  <c r="AM59"/>
  <c r="W59"/>
  <c r="T59"/>
  <c r="L59"/>
  <c r="AM58"/>
  <c r="W58"/>
  <c r="T58"/>
  <c r="L58"/>
  <c r="AM57"/>
  <c r="W57"/>
  <c r="T57"/>
  <c r="L57"/>
  <c r="AM56"/>
  <c r="W56"/>
  <c r="T56"/>
  <c r="L56"/>
  <c r="AM55"/>
  <c r="W55"/>
  <c r="T55"/>
  <c r="L55"/>
  <c r="AM54"/>
  <c r="W54"/>
  <c r="T54"/>
  <c r="L54"/>
  <c r="AM53"/>
  <c r="W53"/>
  <c r="T53"/>
  <c r="L53"/>
  <c r="AM52"/>
  <c r="W52"/>
  <c r="T52"/>
  <c r="L52"/>
  <c r="AM51"/>
  <c r="W51"/>
  <c r="T51"/>
  <c r="L51"/>
  <c r="AM50"/>
  <c r="W50"/>
  <c r="T50"/>
  <c r="L50"/>
  <c r="AM49"/>
  <c r="W49"/>
  <c r="T49"/>
  <c r="L49"/>
  <c r="AM48"/>
  <c r="W48"/>
  <c r="T48"/>
  <c r="L48"/>
  <c r="AM47"/>
  <c r="W47"/>
  <c r="T47"/>
  <c r="L47"/>
  <c r="AM46"/>
  <c r="W46"/>
  <c r="T46"/>
  <c r="L46"/>
  <c r="W45"/>
  <c r="T45"/>
  <c r="L45"/>
  <c r="AM44"/>
  <c r="W44"/>
  <c r="T44"/>
  <c r="L44"/>
  <c r="AM43"/>
  <c r="W43"/>
  <c r="T43"/>
  <c r="L43"/>
  <c r="AM42"/>
  <c r="W42"/>
  <c r="T42"/>
  <c r="L42"/>
  <c r="AM41"/>
  <c r="W41"/>
  <c r="T41"/>
  <c r="L41"/>
  <c r="AM40"/>
  <c r="W40"/>
  <c r="T40"/>
  <c r="L40"/>
  <c r="AM39"/>
  <c r="W39"/>
  <c r="T39"/>
  <c r="L39"/>
  <c r="AM38"/>
  <c r="W38"/>
  <c r="T38"/>
  <c r="L38"/>
  <c r="AM37"/>
  <c r="W37"/>
  <c r="T37"/>
  <c r="L37"/>
  <c r="AM36"/>
  <c r="W36"/>
  <c r="T36"/>
  <c r="L36"/>
  <c r="AM35"/>
  <c r="W35"/>
  <c r="T35"/>
  <c r="L35"/>
  <c r="AM34"/>
  <c r="W34"/>
  <c r="T34"/>
  <c r="L34"/>
  <c r="AM33"/>
  <c r="W33"/>
  <c r="T33"/>
  <c r="L33"/>
  <c r="AM32"/>
  <c r="W32"/>
  <c r="T32"/>
  <c r="L32"/>
  <c r="AM31"/>
  <c r="W31"/>
  <c r="T31"/>
  <c r="L31"/>
  <c r="AM30"/>
  <c r="W30"/>
  <c r="T30"/>
  <c r="L30"/>
  <c r="AM29"/>
  <c r="W29"/>
  <c r="T29"/>
  <c r="L29"/>
  <c r="AM28"/>
  <c r="W28"/>
  <c r="T28"/>
  <c r="L28"/>
  <c r="AM27"/>
  <c r="W27"/>
  <c r="T27"/>
  <c r="L27"/>
  <c r="AM26"/>
  <c r="W26"/>
  <c r="T26"/>
  <c r="L26"/>
  <c r="AM25"/>
  <c r="W25"/>
  <c r="T25"/>
  <c r="L25"/>
  <c r="AM24"/>
  <c r="W24"/>
  <c r="T24"/>
  <c r="L24"/>
  <c r="AM23"/>
  <c r="W23"/>
  <c r="T23"/>
  <c r="L23"/>
  <c r="AM22"/>
  <c r="W22"/>
  <c r="T22"/>
  <c r="L22"/>
  <c r="AM21"/>
  <c r="W21"/>
  <c r="T21"/>
  <c r="L21"/>
  <c r="AP20"/>
  <c r="W20"/>
  <c r="T20"/>
  <c r="P20"/>
  <c r="L20"/>
  <c r="AP19"/>
  <c r="AM19"/>
  <c r="W19"/>
  <c r="T19"/>
  <c r="P19"/>
  <c r="L19"/>
  <c r="AS18"/>
  <c r="AR18"/>
  <c r="AQ18"/>
  <c r="AP18"/>
  <c r="AO18"/>
  <c r="AN18"/>
  <c r="AM18"/>
  <c r="AL18"/>
  <c r="AK18"/>
  <c r="AJ18"/>
  <c r="AI18"/>
  <c r="AH18"/>
  <c r="AG18"/>
  <c r="AF18"/>
  <c r="AE18"/>
  <c r="AD18"/>
  <c r="AC18"/>
  <c r="AB18"/>
  <c r="AA18"/>
  <c r="K6"/>
  <c r="K4"/>
  <c r="AU33" i="151"/>
  <c r="AP23" i="152"/>
  <c r="AM59"/>
  <c r="W59"/>
  <c r="T59"/>
  <c r="P59"/>
  <c r="L59"/>
  <c r="AM58"/>
  <c r="W58"/>
  <c r="T58"/>
  <c r="P58"/>
  <c r="L58"/>
  <c r="AM57"/>
  <c r="W57"/>
  <c r="T57"/>
  <c r="P57"/>
  <c r="L57"/>
  <c r="AM56"/>
  <c r="W56"/>
  <c r="T56"/>
  <c r="P56"/>
  <c r="L56"/>
  <c r="AM55"/>
  <c r="W55"/>
  <c r="T55"/>
  <c r="P55"/>
  <c r="L55"/>
  <c r="AM54"/>
  <c r="W54"/>
  <c r="T54"/>
  <c r="P54"/>
  <c r="L54"/>
  <c r="AM53"/>
  <c r="W53"/>
  <c r="T53"/>
  <c r="P53"/>
  <c r="L53"/>
  <c r="AM52"/>
  <c r="W52"/>
  <c r="T52"/>
  <c r="P52"/>
  <c r="L52"/>
  <c r="AM51"/>
  <c r="W51"/>
  <c r="T51"/>
  <c r="P51"/>
  <c r="L51"/>
  <c r="AM50"/>
  <c r="W50"/>
  <c r="T50"/>
  <c r="P50"/>
  <c r="L50"/>
  <c r="AM49"/>
  <c r="W49"/>
  <c r="T49"/>
  <c r="P49"/>
  <c r="L49"/>
  <c r="AM48"/>
  <c r="W48"/>
  <c r="T48"/>
  <c r="P48"/>
  <c r="L48"/>
  <c r="AM47"/>
  <c r="W47"/>
  <c r="T47"/>
  <c r="P47"/>
  <c r="L47"/>
  <c r="AM46"/>
  <c r="W46"/>
  <c r="T46"/>
  <c r="P46"/>
  <c r="L46"/>
  <c r="AM45"/>
  <c r="W45"/>
  <c r="T45"/>
  <c r="P45"/>
  <c r="L45"/>
  <c r="AM44"/>
  <c r="W44"/>
  <c r="T44"/>
  <c r="P44"/>
  <c r="L44"/>
  <c r="AM43"/>
  <c r="W43"/>
  <c r="T43"/>
  <c r="P43"/>
  <c r="L43"/>
  <c r="AM42"/>
  <c r="W42"/>
  <c r="T42"/>
  <c r="P42"/>
  <c r="L42"/>
  <c r="AM41"/>
  <c r="W41"/>
  <c r="T41"/>
  <c r="P41"/>
  <c r="L41"/>
  <c r="AM40"/>
  <c r="W40"/>
  <c r="T40"/>
  <c r="P40"/>
  <c r="L40"/>
  <c r="AM39"/>
  <c r="W39"/>
  <c r="T39"/>
  <c r="P39"/>
  <c r="L39"/>
  <c r="AM38"/>
  <c r="W38"/>
  <c r="T38"/>
  <c r="P38"/>
  <c r="L38"/>
  <c r="AM37"/>
  <c r="W37"/>
  <c r="T37"/>
  <c r="P37"/>
  <c r="L37"/>
  <c r="AM36"/>
  <c r="W36"/>
  <c r="T36"/>
  <c r="P36"/>
  <c r="L36"/>
  <c r="AM35"/>
  <c r="W35"/>
  <c r="T35"/>
  <c r="P35"/>
  <c r="L35"/>
  <c r="AM34"/>
  <c r="W34"/>
  <c r="T34"/>
  <c r="P34"/>
  <c r="L34"/>
  <c r="AM33"/>
  <c r="W33"/>
  <c r="T33"/>
  <c r="P33"/>
  <c r="L33"/>
  <c r="AM32"/>
  <c r="W32"/>
  <c r="T32"/>
  <c r="P32"/>
  <c r="L32"/>
  <c r="AM31"/>
  <c r="W31"/>
  <c r="T31"/>
  <c r="P31"/>
  <c r="L31"/>
  <c r="AM30"/>
  <c r="W30"/>
  <c r="T30"/>
  <c r="P30"/>
  <c r="L30"/>
  <c r="AM29"/>
  <c r="W29"/>
  <c r="T29"/>
  <c r="P29"/>
  <c r="L29"/>
  <c r="AM28"/>
  <c r="W28"/>
  <c r="T28"/>
  <c r="P28"/>
  <c r="L28"/>
  <c r="AM27"/>
  <c r="W27"/>
  <c r="T27"/>
  <c r="P27"/>
  <c r="L27"/>
  <c r="AM26"/>
  <c r="W26"/>
  <c r="T26"/>
  <c r="P26"/>
  <c r="L26"/>
  <c r="AM25"/>
  <c r="W25"/>
  <c r="T25"/>
  <c r="P25"/>
  <c r="L25"/>
  <c r="AM24"/>
  <c r="W24"/>
  <c r="T24"/>
  <c r="P24"/>
  <c r="L24"/>
  <c r="AM23"/>
  <c r="W23"/>
  <c r="T23"/>
  <c r="P23"/>
  <c r="L23"/>
  <c r="AM22"/>
  <c r="W22"/>
  <c r="T22"/>
  <c r="P22"/>
  <c r="L22"/>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6"/>
  <c r="K5"/>
  <c r="K4"/>
  <c r="AP31" i="151"/>
  <c r="AP32"/>
  <c r="AP33"/>
  <c r="AP35"/>
  <c r="AP36"/>
  <c r="AP37"/>
  <c r="AP39"/>
  <c r="AP40"/>
  <c r="AP41"/>
  <c r="AP43"/>
  <c r="AP44"/>
  <c r="AP45"/>
  <c r="AP47"/>
  <c r="AP48"/>
  <c r="AP49"/>
  <c r="AP51"/>
  <c r="AP52"/>
  <c r="AP53"/>
  <c r="AP55"/>
  <c r="AP56"/>
  <c r="AP59"/>
  <c r="AP29"/>
  <c r="AM28"/>
  <c r="AM59"/>
  <c r="W59"/>
  <c r="T59"/>
  <c r="AP58"/>
  <c r="AM58"/>
  <c r="W58"/>
  <c r="T58"/>
  <c r="AP57"/>
  <c r="AM57"/>
  <c r="W57"/>
  <c r="T57"/>
  <c r="AM56"/>
  <c r="W56"/>
  <c r="T56"/>
  <c r="AM55"/>
  <c r="W55"/>
  <c r="T55"/>
  <c r="AP54"/>
  <c r="AM54"/>
  <c r="W54"/>
  <c r="T54"/>
  <c r="AM53"/>
  <c r="W53"/>
  <c r="T53"/>
  <c r="AM52"/>
  <c r="W52"/>
  <c r="T52"/>
  <c r="AM51"/>
  <c r="W51"/>
  <c r="T51"/>
  <c r="AP50"/>
  <c r="AM50"/>
  <c r="W50"/>
  <c r="T50"/>
  <c r="AM49"/>
  <c r="W49"/>
  <c r="T49"/>
  <c r="AM48"/>
  <c r="W48"/>
  <c r="T48"/>
  <c r="AM47"/>
  <c r="W47"/>
  <c r="T47"/>
  <c r="AP46"/>
  <c r="AM46"/>
  <c r="W46"/>
  <c r="T46"/>
  <c r="AM45"/>
  <c r="W45"/>
  <c r="T45"/>
  <c r="AM44"/>
  <c r="W44"/>
  <c r="T44"/>
  <c r="AM43"/>
  <c r="W43"/>
  <c r="T43"/>
  <c r="AP42"/>
  <c r="AM42"/>
  <c r="W42"/>
  <c r="T42"/>
  <c r="AM41"/>
  <c r="W41"/>
  <c r="T41"/>
  <c r="AM40"/>
  <c r="W40"/>
  <c r="T40"/>
  <c r="AM39"/>
  <c r="W39"/>
  <c r="T39"/>
  <c r="AP38"/>
  <c r="AM38"/>
  <c r="W38"/>
  <c r="T38"/>
  <c r="AM37"/>
  <c r="W37"/>
  <c r="T37"/>
  <c r="AM36"/>
  <c r="W36"/>
  <c r="T36"/>
  <c r="AM35"/>
  <c r="W35"/>
  <c r="T35"/>
  <c r="AP34"/>
  <c r="AM34"/>
  <c r="W34"/>
  <c r="T34"/>
  <c r="AM33"/>
  <c r="W33"/>
  <c r="T33"/>
  <c r="AM32"/>
  <c r="W32"/>
  <c r="T32"/>
  <c r="AM31"/>
  <c r="W31"/>
  <c r="T31"/>
  <c r="AP30"/>
  <c r="AM30"/>
  <c r="W30"/>
  <c r="T30"/>
  <c r="AM29"/>
  <c r="W29"/>
  <c r="T29"/>
  <c r="AP28"/>
  <c r="W28"/>
  <c r="T28"/>
  <c r="AP27"/>
  <c r="AM27"/>
  <c r="W27"/>
  <c r="T27"/>
  <c r="AP26"/>
  <c r="AM26"/>
  <c r="W26"/>
  <c r="T26"/>
  <c r="AP25"/>
  <c r="AM25"/>
  <c r="W25"/>
  <c r="T25"/>
  <c r="AP24"/>
  <c r="AM24"/>
  <c r="W24"/>
  <c r="T24"/>
  <c r="P24"/>
  <c r="AP23"/>
  <c r="AM23"/>
  <c r="W23"/>
  <c r="T23"/>
  <c r="P23"/>
  <c r="AP22"/>
  <c r="AM22"/>
  <c r="W22"/>
  <c r="T22"/>
  <c r="P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6"/>
  <c r="K4"/>
  <c r="BF21" i="150"/>
  <c r="BF22"/>
  <c r="BC33" s="1"/>
  <c r="AL22" s="1"/>
  <c r="AM22" s="1"/>
  <c r="BF23"/>
  <c r="BF24"/>
  <c r="BF25"/>
  <c r="BF26"/>
  <c r="BF20"/>
  <c r="BF19"/>
  <c r="BD28"/>
  <c r="AP59"/>
  <c r="AM59"/>
  <c r="W59"/>
  <c r="T59"/>
  <c r="P59"/>
  <c r="AP58"/>
  <c r="AM58"/>
  <c r="W58"/>
  <c r="T58"/>
  <c r="P58"/>
  <c r="AP57"/>
  <c r="AM57"/>
  <c r="W57"/>
  <c r="T57"/>
  <c r="P57"/>
  <c r="AP56"/>
  <c r="AM56"/>
  <c r="W56"/>
  <c r="T56"/>
  <c r="P56"/>
  <c r="AP55"/>
  <c r="AM55"/>
  <c r="W55"/>
  <c r="T55"/>
  <c r="P55"/>
  <c r="AP54"/>
  <c r="AM54"/>
  <c r="W54"/>
  <c r="T54"/>
  <c r="P54"/>
  <c r="AP53"/>
  <c r="AM53"/>
  <c r="W53"/>
  <c r="T53"/>
  <c r="P53"/>
  <c r="AP52"/>
  <c r="AM52"/>
  <c r="W52"/>
  <c r="T52"/>
  <c r="P52"/>
  <c r="AP51"/>
  <c r="AM51"/>
  <c r="W51"/>
  <c r="T51"/>
  <c r="P51"/>
  <c r="AP50"/>
  <c r="AM50"/>
  <c r="W50"/>
  <c r="T50"/>
  <c r="P50"/>
  <c r="AP49"/>
  <c r="AM49"/>
  <c r="W49"/>
  <c r="T49"/>
  <c r="P49"/>
  <c r="AP48"/>
  <c r="AM48"/>
  <c r="W48"/>
  <c r="T48"/>
  <c r="P48"/>
  <c r="AP47"/>
  <c r="AM47"/>
  <c r="W47"/>
  <c r="T47"/>
  <c r="P47"/>
  <c r="AP46"/>
  <c r="AM46"/>
  <c r="W46"/>
  <c r="T46"/>
  <c r="P46"/>
  <c r="AP45"/>
  <c r="AM45"/>
  <c r="W45"/>
  <c r="T45"/>
  <c r="P45"/>
  <c r="AP44"/>
  <c r="AM44"/>
  <c r="W44"/>
  <c r="T44"/>
  <c r="P44"/>
  <c r="AP43"/>
  <c r="AM43"/>
  <c r="W43"/>
  <c r="T43"/>
  <c r="P43"/>
  <c r="AP42"/>
  <c r="AM42"/>
  <c r="W42"/>
  <c r="T42"/>
  <c r="P42"/>
  <c r="AP41"/>
  <c r="AM41"/>
  <c r="W41"/>
  <c r="T41"/>
  <c r="P41"/>
  <c r="AP40"/>
  <c r="AM40"/>
  <c r="W40"/>
  <c r="T40"/>
  <c r="P40"/>
  <c r="AP39"/>
  <c r="AM39"/>
  <c r="W39"/>
  <c r="T39"/>
  <c r="P39"/>
  <c r="AP38"/>
  <c r="AM38"/>
  <c r="W38"/>
  <c r="T38"/>
  <c r="P38"/>
  <c r="AP37"/>
  <c r="AM37"/>
  <c r="W37"/>
  <c r="T37"/>
  <c r="P37"/>
  <c r="AP36"/>
  <c r="AM36"/>
  <c r="W36"/>
  <c r="T36"/>
  <c r="P36"/>
  <c r="AP35"/>
  <c r="AM35"/>
  <c r="W35"/>
  <c r="T35"/>
  <c r="P35"/>
  <c r="AP34"/>
  <c r="AM34"/>
  <c r="W34"/>
  <c r="T34"/>
  <c r="P34"/>
  <c r="AP33"/>
  <c r="AM33"/>
  <c r="W33"/>
  <c r="T33"/>
  <c r="P33"/>
  <c r="AP32"/>
  <c r="AM32"/>
  <c r="W32"/>
  <c r="T32"/>
  <c r="P32"/>
  <c r="AP31"/>
  <c r="AM31"/>
  <c r="W31"/>
  <c r="T31"/>
  <c r="P31"/>
  <c r="AP30"/>
  <c r="AM30"/>
  <c r="W30"/>
  <c r="T30"/>
  <c r="P30"/>
  <c r="AP29"/>
  <c r="W29"/>
  <c r="T29"/>
  <c r="P29"/>
  <c r="AP28"/>
  <c r="W28"/>
  <c r="T28"/>
  <c r="P28"/>
  <c r="AP27"/>
  <c r="W27"/>
  <c r="T27"/>
  <c r="P27"/>
  <c r="AP26"/>
  <c r="W26"/>
  <c r="T26"/>
  <c r="P26"/>
  <c r="AP25"/>
  <c r="W25"/>
  <c r="T25"/>
  <c r="P25"/>
  <c r="AP24"/>
  <c r="W24"/>
  <c r="T24"/>
  <c r="P24"/>
  <c r="AP23"/>
  <c r="W23"/>
  <c r="T23"/>
  <c r="P23"/>
  <c r="AP22"/>
  <c r="W22"/>
  <c r="T22"/>
  <c r="P22"/>
  <c r="AP21"/>
  <c r="W21"/>
  <c r="T21"/>
  <c r="P21"/>
  <c r="AP20"/>
  <c r="AM20"/>
  <c r="W20"/>
  <c r="T20"/>
  <c r="P20"/>
  <c r="L20"/>
  <c r="AP19"/>
  <c r="AM19"/>
  <c r="W19"/>
  <c r="T19"/>
  <c r="P19"/>
  <c r="L19"/>
  <c r="AS18"/>
  <c r="AR18"/>
  <c r="AQ18"/>
  <c r="AP18"/>
  <c r="AO18"/>
  <c r="AN18"/>
  <c r="AM18"/>
  <c r="AL18"/>
  <c r="AK18"/>
  <c r="AJ18"/>
  <c r="AI18"/>
  <c r="AH18"/>
  <c r="AG18"/>
  <c r="AF18"/>
  <c r="AE18"/>
  <c r="AD18"/>
  <c r="AC18"/>
  <c r="AB18"/>
  <c r="AA18"/>
  <c r="K7"/>
  <c r="K6"/>
  <c r="K4"/>
  <c r="AL45" i="149"/>
  <c r="AL20"/>
  <c r="AP59"/>
  <c r="AM59"/>
  <c r="W59"/>
  <c r="T59"/>
  <c r="P59"/>
  <c r="L59"/>
  <c r="AP58"/>
  <c r="AM58"/>
  <c r="W58"/>
  <c r="T58"/>
  <c r="P58"/>
  <c r="L58"/>
  <c r="AP57"/>
  <c r="AM57"/>
  <c r="W57"/>
  <c r="T57"/>
  <c r="P57"/>
  <c r="L57"/>
  <c r="AP56"/>
  <c r="AM56"/>
  <c r="W56"/>
  <c r="T56"/>
  <c r="P56"/>
  <c r="L56"/>
  <c r="AP55"/>
  <c r="AM55"/>
  <c r="W55"/>
  <c r="T55"/>
  <c r="P55"/>
  <c r="L55"/>
  <c r="AP54"/>
  <c r="AM54"/>
  <c r="W54"/>
  <c r="T54"/>
  <c r="P54"/>
  <c r="L54"/>
  <c r="AP53"/>
  <c r="AM53"/>
  <c r="W53"/>
  <c r="T53"/>
  <c r="P53"/>
  <c r="L53"/>
  <c r="AP52"/>
  <c r="AM52"/>
  <c r="W52"/>
  <c r="T52"/>
  <c r="P52"/>
  <c r="L52"/>
  <c r="AP51"/>
  <c r="AM51"/>
  <c r="W51"/>
  <c r="T51"/>
  <c r="P51"/>
  <c r="L51"/>
  <c r="AP50"/>
  <c r="AM50"/>
  <c r="W50"/>
  <c r="T50"/>
  <c r="P50"/>
  <c r="L50"/>
  <c r="AP49"/>
  <c r="AM49"/>
  <c r="W49"/>
  <c r="T49"/>
  <c r="P49"/>
  <c r="L49"/>
  <c r="AP48"/>
  <c r="AM48"/>
  <c r="W48"/>
  <c r="T48"/>
  <c r="P48"/>
  <c r="L48"/>
  <c r="AP47"/>
  <c r="AM47"/>
  <c r="W47"/>
  <c r="T47"/>
  <c r="P47"/>
  <c r="L47"/>
  <c r="AP46"/>
  <c r="AM46"/>
  <c r="W46"/>
  <c r="T46"/>
  <c r="P46"/>
  <c r="L46"/>
  <c r="AP45"/>
  <c r="AM45"/>
  <c r="W45"/>
  <c r="T45"/>
  <c r="P45"/>
  <c r="L45"/>
  <c r="AP44"/>
  <c r="AM44"/>
  <c r="W44"/>
  <c r="T44"/>
  <c r="P44"/>
  <c r="L44"/>
  <c r="AP43"/>
  <c r="AM43"/>
  <c r="W43"/>
  <c r="T43"/>
  <c r="P43"/>
  <c r="L43"/>
  <c r="AP42"/>
  <c r="AM42"/>
  <c r="W42"/>
  <c r="T42"/>
  <c r="P42"/>
  <c r="L42"/>
  <c r="AP41"/>
  <c r="AM41"/>
  <c r="W41"/>
  <c r="T41"/>
  <c r="P41"/>
  <c r="L41"/>
  <c r="AP40"/>
  <c r="AM40"/>
  <c r="W40"/>
  <c r="T40"/>
  <c r="P40"/>
  <c r="L40"/>
  <c r="AP39"/>
  <c r="AM39"/>
  <c r="W39"/>
  <c r="T39"/>
  <c r="P39"/>
  <c r="L39"/>
  <c r="AP38"/>
  <c r="AM38"/>
  <c r="W38"/>
  <c r="T38"/>
  <c r="P38"/>
  <c r="L38"/>
  <c r="AP37"/>
  <c r="AM37"/>
  <c r="W37"/>
  <c r="T37"/>
  <c r="P37"/>
  <c r="L37"/>
  <c r="AP36"/>
  <c r="AM36"/>
  <c r="W36"/>
  <c r="T36"/>
  <c r="P36"/>
  <c r="L36"/>
  <c r="AP35"/>
  <c r="AM35"/>
  <c r="W35"/>
  <c r="T35"/>
  <c r="P35"/>
  <c r="L35"/>
  <c r="AP34"/>
  <c r="AM34"/>
  <c r="W34"/>
  <c r="T34"/>
  <c r="P34"/>
  <c r="L34"/>
  <c r="AP33"/>
  <c r="AM33"/>
  <c r="W33"/>
  <c r="T33"/>
  <c r="P33"/>
  <c r="L33"/>
  <c r="AP32"/>
  <c r="AM32"/>
  <c r="W32"/>
  <c r="T32"/>
  <c r="P32"/>
  <c r="L32"/>
  <c r="AP31"/>
  <c r="AM31"/>
  <c r="W31"/>
  <c r="T31"/>
  <c r="P31"/>
  <c r="L31"/>
  <c r="AP30"/>
  <c r="AM30"/>
  <c r="W30"/>
  <c r="T30"/>
  <c r="P30"/>
  <c r="L30"/>
  <c r="AP29"/>
  <c r="AM29"/>
  <c r="W29"/>
  <c r="T29"/>
  <c r="P29"/>
  <c r="L29"/>
  <c r="AP28"/>
  <c r="AM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7"/>
  <c r="K6"/>
  <c r="K5"/>
  <c r="K4"/>
  <c r="AP59" i="148"/>
  <c r="AM59"/>
  <c r="W59"/>
  <c r="T59"/>
  <c r="P59"/>
  <c r="L59"/>
  <c r="AP58"/>
  <c r="AM58"/>
  <c r="W58"/>
  <c r="T58"/>
  <c r="P58"/>
  <c r="L58"/>
  <c r="AP57"/>
  <c r="AM57"/>
  <c r="W57"/>
  <c r="T57"/>
  <c r="P57"/>
  <c r="L57"/>
  <c r="AP56"/>
  <c r="AM56"/>
  <c r="W56"/>
  <c r="T56"/>
  <c r="P56"/>
  <c r="L56"/>
  <c r="AP55"/>
  <c r="AM55"/>
  <c r="W55"/>
  <c r="T55"/>
  <c r="P55"/>
  <c r="L55"/>
  <c r="AP54"/>
  <c r="AM54"/>
  <c r="W54"/>
  <c r="T54"/>
  <c r="P54"/>
  <c r="L54"/>
  <c r="AP53"/>
  <c r="AM53"/>
  <c r="W53"/>
  <c r="T53"/>
  <c r="P53"/>
  <c r="L53"/>
  <c r="AP52"/>
  <c r="AM52"/>
  <c r="W52"/>
  <c r="T52"/>
  <c r="P52"/>
  <c r="L52"/>
  <c r="AP51"/>
  <c r="AM51"/>
  <c r="W51"/>
  <c r="T51"/>
  <c r="P51"/>
  <c r="L51"/>
  <c r="AP50"/>
  <c r="AM50"/>
  <c r="W50"/>
  <c r="T50"/>
  <c r="P50"/>
  <c r="L50"/>
  <c r="AP49"/>
  <c r="AM49"/>
  <c r="W49"/>
  <c r="T49"/>
  <c r="P49"/>
  <c r="L49"/>
  <c r="AP48"/>
  <c r="AM48"/>
  <c r="W48"/>
  <c r="T48"/>
  <c r="P48"/>
  <c r="L48"/>
  <c r="AP47"/>
  <c r="AM47"/>
  <c r="W47"/>
  <c r="T47"/>
  <c r="P47"/>
  <c r="L47"/>
  <c r="AP46"/>
  <c r="AM46"/>
  <c r="W46"/>
  <c r="T46"/>
  <c r="P46"/>
  <c r="L46"/>
  <c r="AP45"/>
  <c r="AM45"/>
  <c r="W45"/>
  <c r="T45"/>
  <c r="P45"/>
  <c r="L45"/>
  <c r="AP44"/>
  <c r="AM44"/>
  <c r="W44"/>
  <c r="T44"/>
  <c r="P44"/>
  <c r="L44"/>
  <c r="AP43"/>
  <c r="AM43"/>
  <c r="W43"/>
  <c r="T43"/>
  <c r="P43"/>
  <c r="L43"/>
  <c r="AP42"/>
  <c r="AM42"/>
  <c r="W42"/>
  <c r="T42"/>
  <c r="P42"/>
  <c r="L42"/>
  <c r="AP41"/>
  <c r="AM41"/>
  <c r="W41"/>
  <c r="T41"/>
  <c r="P41"/>
  <c r="L41"/>
  <c r="AP40"/>
  <c r="AM40"/>
  <c r="W40"/>
  <c r="T40"/>
  <c r="P40"/>
  <c r="L40"/>
  <c r="AP39"/>
  <c r="AM39"/>
  <c r="W39"/>
  <c r="T39"/>
  <c r="P39"/>
  <c r="L39"/>
  <c r="AP38"/>
  <c r="AM38"/>
  <c r="W38"/>
  <c r="T38"/>
  <c r="P38"/>
  <c r="L38"/>
  <c r="AP37"/>
  <c r="AM37"/>
  <c r="W37"/>
  <c r="T37"/>
  <c r="P37"/>
  <c r="L37"/>
  <c r="AP36"/>
  <c r="AM36"/>
  <c r="W36"/>
  <c r="T36"/>
  <c r="P36"/>
  <c r="L36"/>
  <c r="AP35"/>
  <c r="AM35"/>
  <c r="W35"/>
  <c r="T35"/>
  <c r="P35"/>
  <c r="L35"/>
  <c r="AP34"/>
  <c r="AM34"/>
  <c r="W34"/>
  <c r="T34"/>
  <c r="P34"/>
  <c r="L34"/>
  <c r="AP33"/>
  <c r="AM33"/>
  <c r="W33"/>
  <c r="T33"/>
  <c r="P33"/>
  <c r="L33"/>
  <c r="AP32"/>
  <c r="AM32"/>
  <c r="W32"/>
  <c r="T32"/>
  <c r="P32"/>
  <c r="L32"/>
  <c r="AP31"/>
  <c r="AM31"/>
  <c r="W31"/>
  <c r="T31"/>
  <c r="P31"/>
  <c r="L31"/>
  <c r="AP30"/>
  <c r="AM30"/>
  <c r="W30"/>
  <c r="T30"/>
  <c r="P30"/>
  <c r="L30"/>
  <c r="AP29"/>
  <c r="AM29"/>
  <c r="W29"/>
  <c r="T29"/>
  <c r="P29"/>
  <c r="L29"/>
  <c r="AP28"/>
  <c r="AM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P20"/>
  <c r="L20"/>
  <c r="AP19"/>
  <c r="AM19"/>
  <c r="W19"/>
  <c r="T19"/>
  <c r="P19"/>
  <c r="L19"/>
  <c r="AS18"/>
  <c r="AR18"/>
  <c r="AQ18"/>
  <c r="AP18"/>
  <c r="AO18"/>
  <c r="AN18"/>
  <c r="AM18"/>
  <c r="AL18"/>
  <c r="AK18"/>
  <c r="AJ18"/>
  <c r="AI18"/>
  <c r="AH18"/>
  <c r="AG18"/>
  <c r="AF18"/>
  <c r="AE18"/>
  <c r="AD18"/>
  <c r="AC18"/>
  <c r="AB18"/>
  <c r="AA18"/>
  <c r="K7"/>
  <c r="K6"/>
  <c r="K5"/>
  <c r="K4"/>
  <c r="AP59" i="147"/>
  <c r="AM59"/>
  <c r="W59"/>
  <c r="T59"/>
  <c r="P59"/>
  <c r="L59"/>
  <c r="AP58"/>
  <c r="AM58"/>
  <c r="W58"/>
  <c r="T58"/>
  <c r="P58"/>
  <c r="L58"/>
  <c r="AP57"/>
  <c r="AM57"/>
  <c r="W57"/>
  <c r="T57"/>
  <c r="P57"/>
  <c r="L57"/>
  <c r="AP56"/>
  <c r="AM56"/>
  <c r="W56"/>
  <c r="T56"/>
  <c r="P56"/>
  <c r="L56"/>
  <c r="AP55"/>
  <c r="AM55"/>
  <c r="W55"/>
  <c r="T55"/>
  <c r="P55"/>
  <c r="L55"/>
  <c r="AP54"/>
  <c r="AM54"/>
  <c r="W54"/>
  <c r="T54"/>
  <c r="P54"/>
  <c r="L54"/>
  <c r="AP53"/>
  <c r="AM53"/>
  <c r="W53"/>
  <c r="T53"/>
  <c r="P53"/>
  <c r="L53"/>
  <c r="AP52"/>
  <c r="AM52"/>
  <c r="W52"/>
  <c r="T52"/>
  <c r="P52"/>
  <c r="L52"/>
  <c r="AP51"/>
  <c r="AM51"/>
  <c r="W51"/>
  <c r="T51"/>
  <c r="P51"/>
  <c r="L51"/>
  <c r="AP50"/>
  <c r="AM50"/>
  <c r="W50"/>
  <c r="T50"/>
  <c r="P50"/>
  <c r="L50"/>
  <c r="AP49"/>
  <c r="AM49"/>
  <c r="W49"/>
  <c r="T49"/>
  <c r="P49"/>
  <c r="L49"/>
  <c r="AP48"/>
  <c r="AM48"/>
  <c r="W48"/>
  <c r="T48"/>
  <c r="P48"/>
  <c r="L48"/>
  <c r="AP47"/>
  <c r="AM47"/>
  <c r="W47"/>
  <c r="T47"/>
  <c r="P47"/>
  <c r="L47"/>
  <c r="AP46"/>
  <c r="AM46"/>
  <c r="W46"/>
  <c r="T46"/>
  <c r="P46"/>
  <c r="L46"/>
  <c r="AP45"/>
  <c r="AM45"/>
  <c r="W45"/>
  <c r="T45"/>
  <c r="P45"/>
  <c r="L45"/>
  <c r="AP44"/>
  <c r="AM44"/>
  <c r="W44"/>
  <c r="T44"/>
  <c r="P44"/>
  <c r="L44"/>
  <c r="AP43"/>
  <c r="AM43"/>
  <c r="W43"/>
  <c r="T43"/>
  <c r="P43"/>
  <c r="L43"/>
  <c r="AP42"/>
  <c r="AM42"/>
  <c r="W42"/>
  <c r="T42"/>
  <c r="P42"/>
  <c r="L42"/>
  <c r="AP41"/>
  <c r="AM41"/>
  <c r="W41"/>
  <c r="T41"/>
  <c r="P41"/>
  <c r="L41"/>
  <c r="AP40"/>
  <c r="AM40"/>
  <c r="W40"/>
  <c r="T40"/>
  <c r="P40"/>
  <c r="L40"/>
  <c r="AP39"/>
  <c r="AM39"/>
  <c r="W39"/>
  <c r="T39"/>
  <c r="P39"/>
  <c r="L39"/>
  <c r="AP38"/>
  <c r="AM38"/>
  <c r="W38"/>
  <c r="T38"/>
  <c r="P38"/>
  <c r="L38"/>
  <c r="AP37"/>
  <c r="AM37"/>
  <c r="W37"/>
  <c r="T37"/>
  <c r="P37"/>
  <c r="L37"/>
  <c r="AP36"/>
  <c r="AM36"/>
  <c r="W36"/>
  <c r="T36"/>
  <c r="P36"/>
  <c r="L36"/>
  <c r="AP35"/>
  <c r="AM35"/>
  <c r="W35"/>
  <c r="T35"/>
  <c r="P35"/>
  <c r="L35"/>
  <c r="AP34"/>
  <c r="AM34"/>
  <c r="W34"/>
  <c r="T34"/>
  <c r="P34"/>
  <c r="L34"/>
  <c r="AP33"/>
  <c r="AM33"/>
  <c r="W33"/>
  <c r="T33"/>
  <c r="P33"/>
  <c r="L33"/>
  <c r="AP32"/>
  <c r="AM32"/>
  <c r="W32"/>
  <c r="T32"/>
  <c r="P32"/>
  <c r="L32"/>
  <c r="AP31"/>
  <c r="AM31"/>
  <c r="W31"/>
  <c r="T31"/>
  <c r="P31"/>
  <c r="L31"/>
  <c r="AP30"/>
  <c r="AM30"/>
  <c r="W30"/>
  <c r="T30"/>
  <c r="P30"/>
  <c r="L30"/>
  <c r="AP29"/>
  <c r="AM29"/>
  <c r="W29"/>
  <c r="T29"/>
  <c r="P29"/>
  <c r="L29"/>
  <c r="AP28"/>
  <c r="AM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L20"/>
  <c r="AP19"/>
  <c r="AM19"/>
  <c r="W19"/>
  <c r="T19"/>
  <c r="P19"/>
  <c r="L19"/>
  <c r="AS18"/>
  <c r="AR18"/>
  <c r="AQ18"/>
  <c r="AP18"/>
  <c r="AO18"/>
  <c r="AN18"/>
  <c r="AM18"/>
  <c r="AL18"/>
  <c r="AK18"/>
  <c r="AJ18"/>
  <c r="AI18"/>
  <c r="AH18"/>
  <c r="AG18"/>
  <c r="AF18"/>
  <c r="AE18"/>
  <c r="AD18"/>
  <c r="AC18"/>
  <c r="AB18"/>
  <c r="AA18"/>
  <c r="K7"/>
  <c r="K6"/>
  <c r="K5"/>
  <c r="K4"/>
  <c r="AP59" i="146"/>
  <c r="AM59"/>
  <c r="W59"/>
  <c r="T59"/>
  <c r="P59"/>
  <c r="L59"/>
  <c r="AP58"/>
  <c r="AM58"/>
  <c r="W58"/>
  <c r="T58"/>
  <c r="P58"/>
  <c r="L58"/>
  <c r="AP57"/>
  <c r="AM57"/>
  <c r="W57"/>
  <c r="T57"/>
  <c r="P57"/>
  <c r="L57"/>
  <c r="AP56"/>
  <c r="AM56"/>
  <c r="W56"/>
  <c r="T56"/>
  <c r="P56"/>
  <c r="L56"/>
  <c r="AP55"/>
  <c r="AM55"/>
  <c r="W55"/>
  <c r="T55"/>
  <c r="P55"/>
  <c r="L55"/>
  <c r="AP54"/>
  <c r="AM54"/>
  <c r="W54"/>
  <c r="T54"/>
  <c r="P54"/>
  <c r="L54"/>
  <c r="AP53"/>
  <c r="AM53"/>
  <c r="W53"/>
  <c r="T53"/>
  <c r="P53"/>
  <c r="L53"/>
  <c r="AP52"/>
  <c r="AM52"/>
  <c r="W52"/>
  <c r="T52"/>
  <c r="P52"/>
  <c r="L52"/>
  <c r="AP51"/>
  <c r="AM51"/>
  <c r="W51"/>
  <c r="T51"/>
  <c r="P51"/>
  <c r="L51"/>
  <c r="AP50"/>
  <c r="AM50"/>
  <c r="W50"/>
  <c r="T50"/>
  <c r="P50"/>
  <c r="L50"/>
  <c r="AP49"/>
  <c r="AM49"/>
  <c r="W49"/>
  <c r="T49"/>
  <c r="P49"/>
  <c r="L49"/>
  <c r="AP48"/>
  <c r="AM48"/>
  <c r="W48"/>
  <c r="T48"/>
  <c r="P48"/>
  <c r="L48"/>
  <c r="AP47"/>
  <c r="AM47"/>
  <c r="W47"/>
  <c r="T47"/>
  <c r="P47"/>
  <c r="L47"/>
  <c r="AP46"/>
  <c r="AM46"/>
  <c r="W46"/>
  <c r="T46"/>
  <c r="P46"/>
  <c r="L46"/>
  <c r="AP45"/>
  <c r="AM45"/>
  <c r="W45"/>
  <c r="T45"/>
  <c r="P45"/>
  <c r="L45"/>
  <c r="AP44"/>
  <c r="AM44"/>
  <c r="W44"/>
  <c r="T44"/>
  <c r="P44"/>
  <c r="L44"/>
  <c r="AP43"/>
  <c r="AM43"/>
  <c r="W43"/>
  <c r="T43"/>
  <c r="P43"/>
  <c r="L43"/>
  <c r="AP42"/>
  <c r="AM42"/>
  <c r="W42"/>
  <c r="T42"/>
  <c r="P42"/>
  <c r="L42"/>
  <c r="AP41"/>
  <c r="AM41"/>
  <c r="W41"/>
  <c r="T41"/>
  <c r="P41"/>
  <c r="L41"/>
  <c r="AP40"/>
  <c r="AM40"/>
  <c r="W40"/>
  <c r="T40"/>
  <c r="P40"/>
  <c r="L40"/>
  <c r="AP39"/>
  <c r="AM39"/>
  <c r="W39"/>
  <c r="T39"/>
  <c r="P39"/>
  <c r="L39"/>
  <c r="AP38"/>
  <c r="AM38"/>
  <c r="W38"/>
  <c r="T38"/>
  <c r="P38"/>
  <c r="L38"/>
  <c r="AP37"/>
  <c r="AM37"/>
  <c r="W37"/>
  <c r="T37"/>
  <c r="P37"/>
  <c r="L37"/>
  <c r="AP36"/>
  <c r="AM36"/>
  <c r="W36"/>
  <c r="T36"/>
  <c r="P36"/>
  <c r="L36"/>
  <c r="AP35"/>
  <c r="AM35"/>
  <c r="W35"/>
  <c r="T35"/>
  <c r="P35"/>
  <c r="L35"/>
  <c r="AP34"/>
  <c r="AM34"/>
  <c r="W34"/>
  <c r="T34"/>
  <c r="P34"/>
  <c r="L34"/>
  <c r="AP33"/>
  <c r="AM33"/>
  <c r="W33"/>
  <c r="T33"/>
  <c r="P33"/>
  <c r="L33"/>
  <c r="AP32"/>
  <c r="AM32"/>
  <c r="W32"/>
  <c r="T32"/>
  <c r="P32"/>
  <c r="L32"/>
  <c r="AP31"/>
  <c r="AM31"/>
  <c r="W31"/>
  <c r="T31"/>
  <c r="P31"/>
  <c r="L31"/>
  <c r="AP30"/>
  <c r="AM30"/>
  <c r="W30"/>
  <c r="T30"/>
  <c r="P30"/>
  <c r="L30"/>
  <c r="AP29"/>
  <c r="AM29"/>
  <c r="W29"/>
  <c r="T29"/>
  <c r="P29"/>
  <c r="L29"/>
  <c r="AP28"/>
  <c r="AM28"/>
  <c r="W28"/>
  <c r="T28"/>
  <c r="P28"/>
  <c r="L28"/>
  <c r="AP27"/>
  <c r="AM27"/>
  <c r="W27"/>
  <c r="T27"/>
  <c r="P27"/>
  <c r="L27"/>
  <c r="AP26"/>
  <c r="AM26"/>
  <c r="W26"/>
  <c r="T26"/>
  <c r="P26"/>
  <c r="L26"/>
  <c r="AP25"/>
  <c r="AM25"/>
  <c r="W25"/>
  <c r="T25"/>
  <c r="P25"/>
  <c r="L25"/>
  <c r="AP24"/>
  <c r="AM24"/>
  <c r="W24"/>
  <c r="T24"/>
  <c r="P24"/>
  <c r="L24"/>
  <c r="AP23"/>
  <c r="AM23"/>
  <c r="W23"/>
  <c r="T23"/>
  <c r="P23"/>
  <c r="L23"/>
  <c r="AP22"/>
  <c r="AM22"/>
  <c r="W22"/>
  <c r="T22"/>
  <c r="P22"/>
  <c r="L22"/>
  <c r="AP21"/>
  <c r="AM21"/>
  <c r="W21"/>
  <c r="T21"/>
  <c r="P21"/>
  <c r="L21"/>
  <c r="AP20"/>
  <c r="AM20"/>
  <c r="W20"/>
  <c r="T20"/>
  <c r="P20"/>
  <c r="L20"/>
  <c r="AP19"/>
  <c r="AM19"/>
  <c r="W19"/>
  <c r="T19"/>
  <c r="P19"/>
  <c r="L19"/>
  <c r="AS18"/>
  <c r="AQ18"/>
  <c r="AP18"/>
  <c r="AO18"/>
  <c r="AN18"/>
  <c r="AM18"/>
  <c r="AL18"/>
  <c r="AK18"/>
  <c r="AJ18"/>
  <c r="AI18"/>
  <c r="AH18"/>
  <c r="AG18"/>
  <c r="AF18"/>
  <c r="AE18"/>
  <c r="AD18"/>
  <c r="AC18"/>
  <c r="AB18"/>
  <c r="AA18"/>
  <c r="K7"/>
  <c r="K6"/>
  <c r="K5"/>
  <c r="K4"/>
  <c r="AU25" i="145"/>
  <c r="AP59"/>
  <c r="AM59"/>
  <c r="W59"/>
  <c r="T59"/>
  <c r="P59"/>
  <c r="AP58"/>
  <c r="AM58"/>
  <c r="W58"/>
  <c r="T58"/>
  <c r="P58"/>
  <c r="AP57"/>
  <c r="AM57"/>
  <c r="W57"/>
  <c r="T57"/>
  <c r="P57"/>
  <c r="AP56"/>
  <c r="AM56"/>
  <c r="W56"/>
  <c r="T56"/>
  <c r="P56"/>
  <c r="AP55"/>
  <c r="AM55"/>
  <c r="W55"/>
  <c r="T55"/>
  <c r="P55"/>
  <c r="AP54"/>
  <c r="AM54"/>
  <c r="W54"/>
  <c r="T54"/>
  <c r="P54"/>
  <c r="AP53"/>
  <c r="AM53"/>
  <c r="W53"/>
  <c r="T53"/>
  <c r="P53"/>
  <c r="AP52"/>
  <c r="AM52"/>
  <c r="W52"/>
  <c r="T52"/>
  <c r="P52"/>
  <c r="AP51"/>
  <c r="AM51"/>
  <c r="W51"/>
  <c r="T51"/>
  <c r="P51"/>
  <c r="AP50"/>
  <c r="AM50"/>
  <c r="W50"/>
  <c r="T50"/>
  <c r="P50"/>
  <c r="AP49"/>
  <c r="AM49"/>
  <c r="W49"/>
  <c r="T49"/>
  <c r="P49"/>
  <c r="AP48"/>
  <c r="AM48"/>
  <c r="W48"/>
  <c r="T48"/>
  <c r="P48"/>
  <c r="AP47"/>
  <c r="AM47"/>
  <c r="W47"/>
  <c r="T47"/>
  <c r="P47"/>
  <c r="AP46"/>
  <c r="AM46"/>
  <c r="W46"/>
  <c r="T46"/>
  <c r="P46"/>
  <c r="AP45"/>
  <c r="AM45"/>
  <c r="W45"/>
  <c r="T45"/>
  <c r="P45"/>
  <c r="AP44"/>
  <c r="AM44"/>
  <c r="W44"/>
  <c r="T44"/>
  <c r="P44"/>
  <c r="AP43"/>
  <c r="AM43"/>
  <c r="W43"/>
  <c r="T43"/>
  <c r="P43"/>
  <c r="AP42"/>
  <c r="AM42"/>
  <c r="W42"/>
  <c r="T42"/>
  <c r="P42"/>
  <c r="AP41"/>
  <c r="AM41"/>
  <c r="W41"/>
  <c r="T41"/>
  <c r="P41"/>
  <c r="AP40"/>
  <c r="AM40"/>
  <c r="W40"/>
  <c r="T40"/>
  <c r="P40"/>
  <c r="AP39"/>
  <c r="AM39"/>
  <c r="W39"/>
  <c r="T39"/>
  <c r="P39"/>
  <c r="AP38"/>
  <c r="AM38"/>
  <c r="W38"/>
  <c r="T38"/>
  <c r="P38"/>
  <c r="AP37"/>
  <c r="AM37"/>
  <c r="W37"/>
  <c r="T37"/>
  <c r="P37"/>
  <c r="AP36"/>
  <c r="AM36"/>
  <c r="W36"/>
  <c r="T36"/>
  <c r="P36"/>
  <c r="AP35"/>
  <c r="AM35"/>
  <c r="W35"/>
  <c r="T35"/>
  <c r="P35"/>
  <c r="AP34"/>
  <c r="AM34"/>
  <c r="W34"/>
  <c r="T34"/>
  <c r="P34"/>
  <c r="AP33"/>
  <c r="AM33"/>
  <c r="W33"/>
  <c r="T33"/>
  <c r="P33"/>
  <c r="AP32"/>
  <c r="AM32"/>
  <c r="W32"/>
  <c r="T32"/>
  <c r="P32"/>
  <c r="AP31"/>
  <c r="AM31"/>
  <c r="W31"/>
  <c r="T31"/>
  <c r="P31"/>
  <c r="AP30"/>
  <c r="AM30"/>
  <c r="W30"/>
  <c r="T30"/>
  <c r="P30"/>
  <c r="AP29"/>
  <c r="AM29"/>
  <c r="W29"/>
  <c r="T29"/>
  <c r="P29"/>
  <c r="AP28"/>
  <c r="AM28"/>
  <c r="W28"/>
  <c r="T28"/>
  <c r="P28"/>
  <c r="AP27"/>
  <c r="AM27"/>
  <c r="W27"/>
  <c r="T27"/>
  <c r="P27"/>
  <c r="AP26"/>
  <c r="AM26"/>
  <c r="W26"/>
  <c r="T26"/>
  <c r="P26"/>
  <c r="AP25"/>
  <c r="AM25"/>
  <c r="W25"/>
  <c r="T25"/>
  <c r="P25"/>
  <c r="AP24"/>
  <c r="AM24"/>
  <c r="W24"/>
  <c r="T24"/>
  <c r="P24"/>
  <c r="AP23"/>
  <c r="AM23"/>
  <c r="W23"/>
  <c r="T23"/>
  <c r="P23"/>
  <c r="AP22"/>
  <c r="AM22"/>
  <c r="W22"/>
  <c r="T22"/>
  <c r="P22"/>
  <c r="AP21"/>
  <c r="AM21"/>
  <c r="W21"/>
  <c r="T21"/>
  <c r="P21"/>
  <c r="AP20"/>
  <c r="AM20"/>
  <c r="W20"/>
  <c r="T20"/>
  <c r="P20"/>
  <c r="L20"/>
  <c r="AP19"/>
  <c r="AM19"/>
  <c r="W19"/>
  <c r="T19"/>
  <c r="P19"/>
  <c r="L19"/>
  <c r="AS18"/>
  <c r="AR18"/>
  <c r="AQ18"/>
  <c r="AP18"/>
  <c r="AO18"/>
  <c r="AN18"/>
  <c r="AM18"/>
  <c r="AL18"/>
  <c r="AK18"/>
  <c r="AJ18"/>
  <c r="AI18"/>
  <c r="AH18"/>
  <c r="AG18"/>
  <c r="AF18"/>
  <c r="AE18"/>
  <c r="AD18"/>
  <c r="AC18"/>
  <c r="AB18"/>
  <c r="AA18"/>
  <c r="K7"/>
  <c r="K6"/>
  <c r="K5"/>
  <c r="K4"/>
  <c r="M20" i="144"/>
  <c r="L20" s="1"/>
  <c r="W59"/>
  <c r="T59"/>
  <c r="P59"/>
  <c r="W58"/>
  <c r="T58"/>
  <c r="P58"/>
  <c r="W57"/>
  <c r="T57"/>
  <c r="P57"/>
  <c r="W56"/>
  <c r="T56"/>
  <c r="P56"/>
  <c r="W55"/>
  <c r="T55"/>
  <c r="P55"/>
  <c r="W54"/>
  <c r="T54"/>
  <c r="P54"/>
  <c r="W53"/>
  <c r="T53"/>
  <c r="P53"/>
  <c r="W52"/>
  <c r="T52"/>
  <c r="P52"/>
  <c r="W51"/>
  <c r="T51"/>
  <c r="P51"/>
  <c r="W50"/>
  <c r="T50"/>
  <c r="P50"/>
  <c r="W49"/>
  <c r="T49"/>
  <c r="P49"/>
  <c r="W48"/>
  <c r="T48"/>
  <c r="P48"/>
  <c r="W47"/>
  <c r="T47"/>
  <c r="P47"/>
  <c r="W46"/>
  <c r="T46"/>
  <c r="P46"/>
  <c r="W45"/>
  <c r="T45"/>
  <c r="P45"/>
  <c r="W44"/>
  <c r="T44"/>
  <c r="P44"/>
  <c r="W43"/>
  <c r="T43"/>
  <c r="P43"/>
  <c r="W42"/>
  <c r="T42"/>
  <c r="P42"/>
  <c r="W41"/>
  <c r="T41"/>
  <c r="P41"/>
  <c r="W40"/>
  <c r="T40"/>
  <c r="P40"/>
  <c r="W39"/>
  <c r="T39"/>
  <c r="P39"/>
  <c r="W38"/>
  <c r="T38"/>
  <c r="P38"/>
  <c r="W37"/>
  <c r="T37"/>
  <c r="P37"/>
  <c r="W36"/>
  <c r="T36"/>
  <c r="P36"/>
  <c r="W35"/>
  <c r="T35"/>
  <c r="P35"/>
  <c r="W34"/>
  <c r="T34"/>
  <c r="P34"/>
  <c r="W33"/>
  <c r="T33"/>
  <c r="P33"/>
  <c r="W32"/>
  <c r="T32"/>
  <c r="P32"/>
  <c r="W31"/>
  <c r="T31"/>
  <c r="P31"/>
  <c r="W30"/>
  <c r="T30"/>
  <c r="P30"/>
  <c r="W29"/>
  <c r="T29"/>
  <c r="P29"/>
  <c r="W28"/>
  <c r="T28"/>
  <c r="P28"/>
  <c r="W27"/>
  <c r="T27"/>
  <c r="P27"/>
  <c r="W26"/>
  <c r="T26"/>
  <c r="P26"/>
  <c r="W25"/>
  <c r="T25"/>
  <c r="P25"/>
  <c r="W24"/>
  <c r="T24"/>
  <c r="P24"/>
  <c r="W23"/>
  <c r="T23"/>
  <c r="P23"/>
  <c r="W22"/>
  <c r="T22"/>
  <c r="P22"/>
  <c r="W21"/>
  <c r="T21"/>
  <c r="P21"/>
  <c r="W20"/>
  <c r="T20"/>
  <c r="P20"/>
  <c r="AP19"/>
  <c r="AM19"/>
  <c r="W19"/>
  <c r="T19"/>
  <c r="P19"/>
  <c r="L19"/>
  <c r="AS18"/>
  <c r="AR18"/>
  <c r="AQ18"/>
  <c r="AP18"/>
  <c r="AO18"/>
  <c r="AN18"/>
  <c r="AM18"/>
  <c r="AL18"/>
  <c r="AK18"/>
  <c r="AJ18"/>
  <c r="AI18"/>
  <c r="AH18"/>
  <c r="AG18"/>
  <c r="AF18"/>
  <c r="AE18"/>
  <c r="AD18"/>
  <c r="AC18"/>
  <c r="AB18"/>
  <c r="AA18"/>
  <c r="K6"/>
  <c r="K4"/>
  <c r="D1" i="143"/>
  <c r="N3" i="58"/>
  <c r="J6"/>
  <c r="AB20" i="143" s="1"/>
  <c r="J7" i="58"/>
  <c r="AB21" i="143" s="1"/>
  <c r="J8" i="58"/>
  <c r="AB22" i="143" s="1"/>
  <c r="J9" i="58"/>
  <c r="AB23" i="143" s="1"/>
  <c r="J10" i="58"/>
  <c r="AB24" i="143" s="1"/>
  <c r="J11" i="58"/>
  <c r="AB25" i="143" s="1"/>
  <c r="J12" i="58"/>
  <c r="AB26" i="143" s="1"/>
  <c r="J13" i="58"/>
  <c r="AB27" i="143" s="1"/>
  <c r="J14" i="58"/>
  <c r="AB28" i="143" s="1"/>
  <c r="J15" i="58"/>
  <c r="AB29" i="143" s="1"/>
  <c r="J16" i="58"/>
  <c r="AB30" i="143" s="1"/>
  <c r="J17" i="58"/>
  <c r="AB31" i="143" s="1"/>
  <c r="J18" i="58"/>
  <c r="AB32" i="143" s="1"/>
  <c r="J19" i="58"/>
  <c r="AB33" i="143" s="1"/>
  <c r="J20" i="58"/>
  <c r="AB34" i="143" s="1"/>
  <c r="J21" i="58"/>
  <c r="AB35" i="143" s="1"/>
  <c r="J22" i="58"/>
  <c r="AB36" i="143" s="1"/>
  <c r="J23" i="58"/>
  <c r="AB37" i="143" s="1"/>
  <c r="J24" i="58"/>
  <c r="AB38" i="143" s="1"/>
  <c r="J25" i="58"/>
  <c r="AB39" i="143" s="1"/>
  <c r="J26" i="58"/>
  <c r="AB40" i="143" s="1"/>
  <c r="J27" i="58"/>
  <c r="AB41" i="143" s="1"/>
  <c r="J28" i="58"/>
  <c r="AB42" i="143" s="1"/>
  <c r="J29" i="58"/>
  <c r="AB43" i="143" s="1"/>
  <c r="J30" i="58"/>
  <c r="AB44" i="143" s="1"/>
  <c r="J31" i="58"/>
  <c r="AB45" i="143" s="1"/>
  <c r="J32" i="58"/>
  <c r="AB46" i="143" s="1"/>
  <c r="J33" i="58"/>
  <c r="AB47" i="143" s="1"/>
  <c r="J34" i="58"/>
  <c r="AB48" i="143" s="1"/>
  <c r="J35" i="58"/>
  <c r="AB49" i="143" s="1"/>
  <c r="J36" i="58"/>
  <c r="AB50" i="143" s="1"/>
  <c r="J37" i="58"/>
  <c r="AB51" i="143" s="1"/>
  <c r="J38" i="58"/>
  <c r="AB52" i="143" s="1"/>
  <c r="J39" i="58"/>
  <c r="AB53" i="143" s="1"/>
  <c r="J40" i="58"/>
  <c r="AB54" i="143" s="1"/>
  <c r="J41" i="58"/>
  <c r="AB55" i="143" s="1"/>
  <c r="J42" i="58"/>
  <c r="AB56" i="143" s="1"/>
  <c r="J43" i="58"/>
  <c r="AB57" i="143" s="1"/>
  <c r="J44" i="58"/>
  <c r="AB58" i="143" s="1"/>
  <c r="J45" i="58"/>
  <c r="AB59" i="143" s="1"/>
  <c r="J5" i="58"/>
  <c r="L6"/>
  <c r="K6" s="1"/>
  <c r="L7"/>
  <c r="K7" s="1"/>
  <c r="L8"/>
  <c r="K8" s="1"/>
  <c r="L9"/>
  <c r="K9" s="1"/>
  <c r="L10"/>
  <c r="K10" s="1"/>
  <c r="L11"/>
  <c r="K11" s="1"/>
  <c r="L12"/>
  <c r="K12" s="1"/>
  <c r="L13"/>
  <c r="K13" s="1"/>
  <c r="L14"/>
  <c r="K14" s="1"/>
  <c r="L15"/>
  <c r="K15" s="1"/>
  <c r="L16"/>
  <c r="K16" s="1"/>
  <c r="L17"/>
  <c r="K17" s="1"/>
  <c r="L18"/>
  <c r="K18" s="1"/>
  <c r="L19"/>
  <c r="K19" s="1"/>
  <c r="L20"/>
  <c r="K20" s="1"/>
  <c r="L21"/>
  <c r="K21" s="1"/>
  <c r="L22"/>
  <c r="K22" s="1"/>
  <c r="L23"/>
  <c r="K23" s="1"/>
  <c r="L24"/>
  <c r="K24" s="1"/>
  <c r="L25"/>
  <c r="K25" s="1"/>
  <c r="L26"/>
  <c r="K26" s="1"/>
  <c r="L27"/>
  <c r="K27" s="1"/>
  <c r="L28"/>
  <c r="K28" s="1"/>
  <c r="L29"/>
  <c r="K29" s="1"/>
  <c r="L30"/>
  <c r="K30" s="1"/>
  <c r="L31"/>
  <c r="K31" s="1"/>
  <c r="L32"/>
  <c r="K32" s="1"/>
  <c r="L33"/>
  <c r="K33" s="1"/>
  <c r="L34"/>
  <c r="K34" s="1"/>
  <c r="L35"/>
  <c r="K35" s="1"/>
  <c r="L36"/>
  <c r="K36" s="1"/>
  <c r="L37"/>
  <c r="K37" s="1"/>
  <c r="L38"/>
  <c r="K38" s="1"/>
  <c r="L39"/>
  <c r="K39" s="1"/>
  <c r="L40"/>
  <c r="K40" s="1"/>
  <c r="L41"/>
  <c r="K41" s="1"/>
  <c r="L42"/>
  <c r="K42" s="1"/>
  <c r="L43"/>
  <c r="K43" s="1"/>
  <c r="L44"/>
  <c r="K44" s="1"/>
  <c r="L45"/>
  <c r="K45" s="1"/>
  <c r="L5"/>
  <c r="K5" s="1"/>
  <c r="AP59" i="143"/>
  <c r="AM59"/>
  <c r="W59"/>
  <c r="T59"/>
  <c r="P59"/>
  <c r="AP58"/>
  <c r="AM58"/>
  <c r="W58"/>
  <c r="T58"/>
  <c r="P58"/>
  <c r="AP57"/>
  <c r="AM57"/>
  <c r="W57"/>
  <c r="T57"/>
  <c r="P57"/>
  <c r="AP56"/>
  <c r="AM56"/>
  <c r="W56"/>
  <c r="T56"/>
  <c r="P56"/>
  <c r="AP55"/>
  <c r="AM55"/>
  <c r="W55"/>
  <c r="T55"/>
  <c r="P55"/>
  <c r="AP54"/>
  <c r="AM54"/>
  <c r="W54"/>
  <c r="T54"/>
  <c r="P54"/>
  <c r="AP53"/>
  <c r="AM53"/>
  <c r="W53"/>
  <c r="T53"/>
  <c r="P53"/>
  <c r="AP52"/>
  <c r="AM52"/>
  <c r="W52"/>
  <c r="T52"/>
  <c r="P52"/>
  <c r="AP51"/>
  <c r="AM51"/>
  <c r="W51"/>
  <c r="T51"/>
  <c r="P51"/>
  <c r="AP50"/>
  <c r="AM50"/>
  <c r="W50"/>
  <c r="T50"/>
  <c r="P50"/>
  <c r="AP49"/>
  <c r="AM49"/>
  <c r="W49"/>
  <c r="T49"/>
  <c r="P49"/>
  <c r="AP48"/>
  <c r="AM48"/>
  <c r="W48"/>
  <c r="T48"/>
  <c r="P48"/>
  <c r="AP47"/>
  <c r="AM47"/>
  <c r="W47"/>
  <c r="T47"/>
  <c r="P47"/>
  <c r="AP46"/>
  <c r="AM46"/>
  <c r="W46"/>
  <c r="T46"/>
  <c r="P46"/>
  <c r="AP45"/>
  <c r="AM45"/>
  <c r="W45"/>
  <c r="T45"/>
  <c r="P45"/>
  <c r="AP44"/>
  <c r="AM44"/>
  <c r="W44"/>
  <c r="T44"/>
  <c r="P44"/>
  <c r="AP43"/>
  <c r="AM43"/>
  <c r="W43"/>
  <c r="T43"/>
  <c r="P43"/>
  <c r="AP42"/>
  <c r="AM42"/>
  <c r="W42"/>
  <c r="T42"/>
  <c r="P42"/>
  <c r="AP41"/>
  <c r="AM41"/>
  <c r="W41"/>
  <c r="T41"/>
  <c r="P41"/>
  <c r="AP40"/>
  <c r="AM40"/>
  <c r="W40"/>
  <c r="T40"/>
  <c r="P40"/>
  <c r="AP39"/>
  <c r="AM39"/>
  <c r="W39"/>
  <c r="T39"/>
  <c r="P39"/>
  <c r="AP38"/>
  <c r="AM38"/>
  <c r="W38"/>
  <c r="T38"/>
  <c r="P38"/>
  <c r="AP37"/>
  <c r="AM37"/>
  <c r="W37"/>
  <c r="T37"/>
  <c r="P37"/>
  <c r="AP36"/>
  <c r="AM36"/>
  <c r="W36"/>
  <c r="T36"/>
  <c r="P36"/>
  <c r="AP35"/>
  <c r="AM35"/>
  <c r="W35"/>
  <c r="T35"/>
  <c r="P35"/>
  <c r="AP34"/>
  <c r="AM34"/>
  <c r="W34"/>
  <c r="T34"/>
  <c r="P34"/>
  <c r="AP33"/>
  <c r="AM33"/>
  <c r="W33"/>
  <c r="T33"/>
  <c r="P33"/>
  <c r="AP32"/>
  <c r="AM32"/>
  <c r="W32"/>
  <c r="T32"/>
  <c r="P32"/>
  <c r="AP31"/>
  <c r="AM31"/>
  <c r="W31"/>
  <c r="T31"/>
  <c r="P31"/>
  <c r="AP30"/>
  <c r="AM30"/>
  <c r="W30"/>
  <c r="T30"/>
  <c r="P30"/>
  <c r="AP29"/>
  <c r="AM29"/>
  <c r="W29"/>
  <c r="T29"/>
  <c r="P29"/>
  <c r="AP28"/>
  <c r="AM28"/>
  <c r="W28"/>
  <c r="T28"/>
  <c r="P28"/>
  <c r="AP27"/>
  <c r="AM27"/>
  <c r="W27"/>
  <c r="T27"/>
  <c r="P27"/>
  <c r="AP26"/>
  <c r="AM26"/>
  <c r="W26"/>
  <c r="T26"/>
  <c r="P26"/>
  <c r="AP25"/>
  <c r="AM25"/>
  <c r="W25"/>
  <c r="T25"/>
  <c r="P25"/>
  <c r="AP24"/>
  <c r="AM24"/>
  <c r="W24"/>
  <c r="T24"/>
  <c r="P24"/>
  <c r="AP23"/>
  <c r="AM23"/>
  <c r="W23"/>
  <c r="T23"/>
  <c r="P23"/>
  <c r="AP22"/>
  <c r="AM22"/>
  <c r="W22"/>
  <c r="T22"/>
  <c r="P22"/>
  <c r="AP21"/>
  <c r="AM21"/>
  <c r="W21"/>
  <c r="T21"/>
  <c r="P21"/>
  <c r="AP20"/>
  <c r="AM20"/>
  <c r="W20"/>
  <c r="T20"/>
  <c r="P20"/>
  <c r="AP19"/>
  <c r="AM19"/>
  <c r="W19"/>
  <c r="T19"/>
  <c r="P19"/>
  <c r="L19"/>
  <c r="AS18"/>
  <c r="AR18"/>
  <c r="AQ18"/>
  <c r="AP18"/>
  <c r="AO18"/>
  <c r="AN18"/>
  <c r="AM18"/>
  <c r="AL18"/>
  <c r="AK18"/>
  <c r="AJ18"/>
  <c r="AI18"/>
  <c r="AH18"/>
  <c r="AG18"/>
  <c r="AF18"/>
  <c r="AE18"/>
  <c r="AD18"/>
  <c r="AC18"/>
  <c r="AB18"/>
  <c r="AA18"/>
  <c r="K7"/>
  <c r="K6"/>
  <c r="K5"/>
  <c r="K4"/>
  <c r="AS18" i="56"/>
  <c r="H24" i="142"/>
  <c r="H25" s="1"/>
  <c r="H21"/>
  <c r="B18" a="1"/>
  <c r="B22" s="1"/>
  <c r="V7"/>
  <c r="S7"/>
  <c r="V6"/>
  <c r="S6"/>
  <c r="O6"/>
  <c r="Q6" s="1"/>
  <c r="S5"/>
  <c r="R5"/>
  <c r="Z4"/>
  <c r="X4"/>
  <c r="V4"/>
  <c r="V4" a="1"/>
  <c r="AA4" s="1"/>
  <c r="V3" a="1"/>
  <c r="Z3" s="1"/>
  <c r="O3"/>
  <c r="O48" s="1"/>
  <c r="V2" a="1"/>
  <c r="Z2" s="1"/>
  <c r="O7" i="159" l="1"/>
  <c r="O7" i="158"/>
  <c r="AP29" i="159"/>
  <c r="AP29" i="158"/>
  <c r="P30" i="151"/>
  <c r="P28"/>
  <c r="P25"/>
  <c r="P26"/>
  <c r="P27"/>
  <c r="K7"/>
  <c r="AM23" i="144"/>
  <c r="AM27"/>
  <c r="AM31"/>
  <c r="AM35"/>
  <c r="AM39"/>
  <c r="AM43"/>
  <c r="AM47"/>
  <c r="AM51"/>
  <c r="AM55"/>
  <c r="AM26"/>
  <c r="AM38"/>
  <c r="AM46"/>
  <c r="AM54"/>
  <c r="AM29"/>
  <c r="AM37"/>
  <c r="AM45"/>
  <c r="AM53"/>
  <c r="AM21"/>
  <c r="AM24"/>
  <c r="AM28"/>
  <c r="AM32"/>
  <c r="AM36"/>
  <c r="AM40"/>
  <c r="AM44"/>
  <c r="AM48"/>
  <c r="AM52"/>
  <c r="AM56"/>
  <c r="AM59"/>
  <c r="AM22"/>
  <c r="AM30"/>
  <c r="AM34"/>
  <c r="AM42"/>
  <c r="AM50"/>
  <c r="AM58"/>
  <c r="AM25"/>
  <c r="AM33"/>
  <c r="AM41"/>
  <c r="AM49"/>
  <c r="AM57"/>
  <c r="BC32" i="150"/>
  <c r="AL21" s="1"/>
  <c r="AM21" s="1"/>
  <c r="BC34"/>
  <c r="AL23" s="1"/>
  <c r="AM23" s="1"/>
  <c r="BF28"/>
  <c r="AO53" i="154"/>
  <c r="AP53" s="1"/>
  <c r="AO45"/>
  <c r="AP45" s="1"/>
  <c r="AO37"/>
  <c r="AP37" s="1"/>
  <c r="AO29"/>
  <c r="AP29" s="1"/>
  <c r="AO54"/>
  <c r="AP54" s="1"/>
  <c r="AO46"/>
  <c r="AP46" s="1"/>
  <c r="AO38"/>
  <c r="AP38" s="1"/>
  <c r="AO30"/>
  <c r="AP30" s="1"/>
  <c r="AO22"/>
  <c r="AP22" s="1"/>
  <c r="AO59"/>
  <c r="AP59" s="1"/>
  <c r="AO55"/>
  <c r="AP55" s="1"/>
  <c r="AO51"/>
  <c r="AP51" s="1"/>
  <c r="AO47"/>
  <c r="AP47" s="1"/>
  <c r="AO43"/>
  <c r="AP43" s="1"/>
  <c r="AO39"/>
  <c r="AP39" s="1"/>
  <c r="AO35"/>
  <c r="AP35" s="1"/>
  <c r="AO31"/>
  <c r="AP31" s="1"/>
  <c r="AO27"/>
  <c r="AP27" s="1"/>
  <c r="AO23"/>
  <c r="AP23" s="1"/>
  <c r="AO57"/>
  <c r="AP57" s="1"/>
  <c r="AO49"/>
  <c r="AP49" s="1"/>
  <c r="AO41"/>
  <c r="AP41" s="1"/>
  <c r="AO33"/>
  <c r="AP33" s="1"/>
  <c r="AO25"/>
  <c r="AP25" s="1"/>
  <c r="AO58"/>
  <c r="AP58" s="1"/>
  <c r="AO50"/>
  <c r="AP50" s="1"/>
  <c r="AO42"/>
  <c r="AP42" s="1"/>
  <c r="AO34"/>
  <c r="AP34" s="1"/>
  <c r="AO26"/>
  <c r="AP26" s="1"/>
  <c r="AO21"/>
  <c r="AO56"/>
  <c r="AP56" s="1"/>
  <c r="AO52"/>
  <c r="AP52" s="1"/>
  <c r="AO48"/>
  <c r="AP48" s="1"/>
  <c r="AO44"/>
  <c r="AP44" s="1"/>
  <c r="AO40"/>
  <c r="AP40" s="1"/>
  <c r="AO36"/>
  <c r="AP36" s="1"/>
  <c r="AO32"/>
  <c r="AP32" s="1"/>
  <c r="AO28"/>
  <c r="AP28" s="1"/>
  <c r="AM21" i="155"/>
  <c r="BA27" i="152"/>
  <c r="C27" s="1"/>
  <c r="C26"/>
  <c r="BA32"/>
  <c r="BA21"/>
  <c r="C21" s="1"/>
  <c r="BA28"/>
  <c r="C28" s="1"/>
  <c r="AU21" i="159"/>
  <c r="AM28"/>
  <c r="K5"/>
  <c r="AM28" i="158"/>
  <c r="K5"/>
  <c r="AP58"/>
  <c r="L58" i="159"/>
  <c r="K7"/>
  <c r="L58" i="158"/>
  <c r="AP58" i="152"/>
  <c r="AP56"/>
  <c r="AP54"/>
  <c r="AP52"/>
  <c r="AP50"/>
  <c r="AP48"/>
  <c r="AP46"/>
  <c r="AP44"/>
  <c r="AP42"/>
  <c r="AP40"/>
  <c r="AP38"/>
  <c r="AP36"/>
  <c r="AP34"/>
  <c r="AP32"/>
  <c r="AP30"/>
  <c r="AP28"/>
  <c r="AP26"/>
  <c r="AP24"/>
  <c r="AP22"/>
  <c r="AP59"/>
  <c r="AP57"/>
  <c r="AP55"/>
  <c r="AP53"/>
  <c r="AP51"/>
  <c r="AP49"/>
  <c r="AP47"/>
  <c r="AP45"/>
  <c r="AP43"/>
  <c r="AP41"/>
  <c r="AP39"/>
  <c r="AP37"/>
  <c r="AP35"/>
  <c r="AP33"/>
  <c r="AP31"/>
  <c r="AP29"/>
  <c r="AP27"/>
  <c r="AP25"/>
  <c r="AP59" i="158"/>
  <c r="K7"/>
  <c r="Q58" i="153"/>
  <c r="P58" s="1"/>
  <c r="Q53"/>
  <c r="P53" s="1"/>
  <c r="Q45"/>
  <c r="P45" s="1"/>
  <c r="Q37"/>
  <c r="P37" s="1"/>
  <c r="Q29"/>
  <c r="P29" s="1"/>
  <c r="Q21"/>
  <c r="P21" s="1"/>
  <c r="Q57"/>
  <c r="P57" s="1"/>
  <c r="Q49"/>
  <c r="P49" s="1"/>
  <c r="Q41"/>
  <c r="P41" s="1"/>
  <c r="Q33"/>
  <c r="P33" s="1"/>
  <c r="Q25"/>
  <c r="P25" s="1"/>
  <c r="Q23"/>
  <c r="P23" s="1"/>
  <c r="Q27"/>
  <c r="P27" s="1"/>
  <c r="Q31"/>
  <c r="P31" s="1"/>
  <c r="Q35"/>
  <c r="P35" s="1"/>
  <c r="Q39"/>
  <c r="P39" s="1"/>
  <c r="Q43"/>
  <c r="P43" s="1"/>
  <c r="Q47"/>
  <c r="P47" s="1"/>
  <c r="Q51"/>
  <c r="P51" s="1"/>
  <c r="Q55"/>
  <c r="P55" s="1"/>
  <c r="Q59"/>
  <c r="P59" s="1"/>
  <c r="Q22"/>
  <c r="P22" s="1"/>
  <c r="Q24"/>
  <c r="P24" s="1"/>
  <c r="Q26"/>
  <c r="P26" s="1"/>
  <c r="Q28"/>
  <c r="P28" s="1"/>
  <c r="Q30"/>
  <c r="P30" s="1"/>
  <c r="Q32"/>
  <c r="P32" s="1"/>
  <c r="Q34"/>
  <c r="P34" s="1"/>
  <c r="Q36"/>
  <c r="P36" s="1"/>
  <c r="Q38"/>
  <c r="P38" s="1"/>
  <c r="Q40"/>
  <c r="P40" s="1"/>
  <c r="Q42"/>
  <c r="P42" s="1"/>
  <c r="Q44"/>
  <c r="P44" s="1"/>
  <c r="Q46"/>
  <c r="P46" s="1"/>
  <c r="Q48"/>
  <c r="P48" s="1"/>
  <c r="Q50"/>
  <c r="P50" s="1"/>
  <c r="Q52"/>
  <c r="P52" s="1"/>
  <c r="Q54"/>
  <c r="P54" s="1"/>
  <c r="Q56"/>
  <c r="P56" s="1"/>
  <c r="AO59"/>
  <c r="AP59" s="1"/>
  <c r="AO57"/>
  <c r="AP57" s="1"/>
  <c r="AO55"/>
  <c r="AP55" s="1"/>
  <c r="AO53"/>
  <c r="AP53" s="1"/>
  <c r="AO51"/>
  <c r="AP51" s="1"/>
  <c r="AO49"/>
  <c r="AP49" s="1"/>
  <c r="AO47"/>
  <c r="AP47" s="1"/>
  <c r="AO45"/>
  <c r="AP45" s="1"/>
  <c r="AO43"/>
  <c r="AP43" s="1"/>
  <c r="AO41"/>
  <c r="AP41" s="1"/>
  <c r="AO39"/>
  <c r="AP39" s="1"/>
  <c r="AO37"/>
  <c r="AP37" s="1"/>
  <c r="AO35"/>
  <c r="AP35" s="1"/>
  <c r="AO33"/>
  <c r="AP33" s="1"/>
  <c r="AO31"/>
  <c r="AP31" s="1"/>
  <c r="AO29"/>
  <c r="AP29" s="1"/>
  <c r="AO27"/>
  <c r="AP27" s="1"/>
  <c r="AO25"/>
  <c r="AP25" s="1"/>
  <c r="AO23"/>
  <c r="AP23" s="1"/>
  <c r="AO21"/>
  <c r="AO58"/>
  <c r="AP58" s="1"/>
  <c r="AO56"/>
  <c r="AP56" s="1"/>
  <c r="AO54"/>
  <c r="AP54" s="1"/>
  <c r="AO52"/>
  <c r="AP52" s="1"/>
  <c r="AO50"/>
  <c r="AP50" s="1"/>
  <c r="AO48"/>
  <c r="AP48" s="1"/>
  <c r="AO46"/>
  <c r="AP46" s="1"/>
  <c r="AO44"/>
  <c r="AP44" s="1"/>
  <c r="AO42"/>
  <c r="AP42" s="1"/>
  <c r="AO40"/>
  <c r="AP40" s="1"/>
  <c r="AO38"/>
  <c r="AP38" s="1"/>
  <c r="AO36"/>
  <c r="AP36" s="1"/>
  <c r="AO34"/>
  <c r="AP34" s="1"/>
  <c r="AO32"/>
  <c r="AP32" s="1"/>
  <c r="AO30"/>
  <c r="AP30" s="1"/>
  <c r="AO28"/>
  <c r="AP28" s="1"/>
  <c r="AO26"/>
  <c r="AP26" s="1"/>
  <c r="AO24"/>
  <c r="AP24" s="1"/>
  <c r="AO22"/>
  <c r="AP22" s="1"/>
  <c r="AL45"/>
  <c r="AM45" s="1"/>
  <c r="AM20"/>
  <c r="K5"/>
  <c r="P59" i="151"/>
  <c r="P57"/>
  <c r="P55"/>
  <c r="P53"/>
  <c r="P51"/>
  <c r="P49"/>
  <c r="P47"/>
  <c r="P45"/>
  <c r="P43"/>
  <c r="P41"/>
  <c r="P39"/>
  <c r="P37"/>
  <c r="P35"/>
  <c r="P33"/>
  <c r="P31"/>
  <c r="P29"/>
  <c r="P58"/>
  <c r="P56"/>
  <c r="P54"/>
  <c r="P52"/>
  <c r="P50"/>
  <c r="P48"/>
  <c r="P46"/>
  <c r="P44"/>
  <c r="P42"/>
  <c r="P40"/>
  <c r="P38"/>
  <c r="P36"/>
  <c r="P34"/>
  <c r="P32"/>
  <c r="K5"/>
  <c r="AD20" i="149"/>
  <c r="M21" i="145"/>
  <c r="L21" s="1"/>
  <c r="M58"/>
  <c r="L58" s="1"/>
  <c r="M56"/>
  <c r="L56" s="1"/>
  <c r="M54"/>
  <c r="L54" s="1"/>
  <c r="M52"/>
  <c r="L52" s="1"/>
  <c r="M50"/>
  <c r="L50" s="1"/>
  <c r="M48"/>
  <c r="L48" s="1"/>
  <c r="M46"/>
  <c r="L46" s="1"/>
  <c r="M44"/>
  <c r="L44" s="1"/>
  <c r="M42"/>
  <c r="L42" s="1"/>
  <c r="M40"/>
  <c r="L40" s="1"/>
  <c r="M38"/>
  <c r="L38" s="1"/>
  <c r="M36"/>
  <c r="L36" s="1"/>
  <c r="M34"/>
  <c r="L34" s="1"/>
  <c r="M32"/>
  <c r="L32" s="1"/>
  <c r="M30"/>
  <c r="L30" s="1"/>
  <c r="M28"/>
  <c r="L28" s="1"/>
  <c r="M26"/>
  <c r="L26" s="1"/>
  <c r="M24"/>
  <c r="L24" s="1"/>
  <c r="M22"/>
  <c r="L22" s="1"/>
  <c r="AC21"/>
  <c r="AC58"/>
  <c r="AC56"/>
  <c r="AC54"/>
  <c r="AC52"/>
  <c r="AC50"/>
  <c r="AC48"/>
  <c r="AC46"/>
  <c r="AC44"/>
  <c r="AC42"/>
  <c r="AC40"/>
  <c r="AC38"/>
  <c r="AC36"/>
  <c r="AC34"/>
  <c r="AC32"/>
  <c r="AC30"/>
  <c r="AC28"/>
  <c r="AC26"/>
  <c r="AC24"/>
  <c r="AC22"/>
  <c r="M59"/>
  <c r="L59" s="1"/>
  <c r="M57"/>
  <c r="L57" s="1"/>
  <c r="M55"/>
  <c r="L55" s="1"/>
  <c r="M53"/>
  <c r="L53" s="1"/>
  <c r="M51"/>
  <c r="L51" s="1"/>
  <c r="M49"/>
  <c r="L49" s="1"/>
  <c r="M47"/>
  <c r="L47" s="1"/>
  <c r="M45"/>
  <c r="L45" s="1"/>
  <c r="M43"/>
  <c r="L43" s="1"/>
  <c r="M41"/>
  <c r="L41" s="1"/>
  <c r="M39"/>
  <c r="L39" s="1"/>
  <c r="M37"/>
  <c r="L37" s="1"/>
  <c r="M35"/>
  <c r="L35" s="1"/>
  <c r="M33"/>
  <c r="L33" s="1"/>
  <c r="M31"/>
  <c r="L31" s="1"/>
  <c r="M29"/>
  <c r="L29" s="1"/>
  <c r="M27"/>
  <c r="L27" s="1"/>
  <c r="M25"/>
  <c r="L25" s="1"/>
  <c r="M23"/>
  <c r="L23" s="1"/>
  <c r="AC59"/>
  <c r="AC57"/>
  <c r="AC55"/>
  <c r="AC53"/>
  <c r="AC51"/>
  <c r="AC49"/>
  <c r="AC47"/>
  <c r="AC45"/>
  <c r="AC43"/>
  <c r="AC41"/>
  <c r="AC39"/>
  <c r="AC37"/>
  <c r="AC35"/>
  <c r="AC33"/>
  <c r="AC31"/>
  <c r="AC29"/>
  <c r="AC27"/>
  <c r="AC25"/>
  <c r="AC23"/>
  <c r="Z8" i="142"/>
  <c r="Z6"/>
  <c r="Z7"/>
  <c r="R48"/>
  <c r="T6"/>
  <c r="R6"/>
  <c r="R7" s="1"/>
  <c r="R8" s="1"/>
  <c r="R9" s="1"/>
  <c r="R10" s="1"/>
  <c r="R11" s="1"/>
  <c r="R12" s="1"/>
  <c r="R13" s="1"/>
  <c r="R14" s="1"/>
  <c r="R15" s="1"/>
  <c r="R16" s="1"/>
  <c r="R17" s="1"/>
  <c r="R18" s="1"/>
  <c r="R19" s="1"/>
  <c r="R20" s="1"/>
  <c r="R21" s="1"/>
  <c r="R22" s="1"/>
  <c r="R23" s="1"/>
  <c r="R24" s="1"/>
  <c r="R25" s="1"/>
  <c r="R26" s="1"/>
  <c r="R27" s="1"/>
  <c r="R28" s="1"/>
  <c r="R29" s="1"/>
  <c r="R30" s="1"/>
  <c r="R31" s="1"/>
  <c r="R32" s="1"/>
  <c r="R33" s="1"/>
  <c r="R34" s="1"/>
  <c r="R35" s="1"/>
  <c r="R36" s="1"/>
  <c r="R37" s="1"/>
  <c r="R38" s="1"/>
  <c r="R39" s="1"/>
  <c r="R40" s="1"/>
  <c r="R41" s="1"/>
  <c r="R42" s="1"/>
  <c r="R43" s="1"/>
  <c r="R44" s="1"/>
  <c r="R45" s="1"/>
  <c r="R46" s="1"/>
  <c r="R47" s="1"/>
  <c r="W3"/>
  <c r="Y3"/>
  <c r="AA3"/>
  <c r="B19"/>
  <c r="B21"/>
  <c r="B23"/>
  <c r="Q48"/>
  <c r="W2"/>
  <c r="Y2"/>
  <c r="AA2"/>
  <c r="V2"/>
  <c r="X2"/>
  <c r="V3"/>
  <c r="X3"/>
  <c r="W4"/>
  <c r="AC4" s="1"/>
  <c r="Y4"/>
  <c r="O7"/>
  <c r="Q7" s="1"/>
  <c r="T7" s="1"/>
  <c r="B18"/>
  <c r="B20"/>
  <c r="Q17" i="60"/>
  <c r="Q16"/>
  <c r="AM20" i="144" l="1"/>
  <c r="K5"/>
  <c r="K5" i="150"/>
  <c r="AP21" i="154"/>
  <c r="K7"/>
  <c r="C32" i="152"/>
  <c r="BA33"/>
  <c r="BA29"/>
  <c r="BA22"/>
  <c r="K7"/>
  <c r="AP21"/>
  <c r="AP21" i="153"/>
  <c r="K7"/>
  <c r="V8" i="142"/>
  <c r="Y7"/>
  <c r="Y8"/>
  <c r="Y6"/>
  <c r="Z48"/>
  <c r="X48"/>
  <c r="V48"/>
  <c r="AA48"/>
  <c r="Y48"/>
  <c r="W48"/>
  <c r="X8"/>
  <c r="X6"/>
  <c r="X7"/>
  <c r="AA11"/>
  <c r="AA7"/>
  <c r="AA12"/>
  <c r="AA10"/>
  <c r="AA9"/>
  <c r="AA8"/>
  <c r="AA6"/>
  <c r="W7"/>
  <c r="W8"/>
  <c r="W6"/>
  <c r="O8"/>
  <c r="C22" i="152" l="1"/>
  <c r="BA23"/>
  <c r="BA34"/>
  <c r="C33"/>
  <c r="C29"/>
  <c r="BA30"/>
  <c r="C30" s="1"/>
  <c r="Q8" i="142"/>
  <c r="O9"/>
  <c r="BA35" i="152" l="1"/>
  <c r="C34"/>
  <c r="C23"/>
  <c r="BA24"/>
  <c r="Q9" i="142"/>
  <c r="O10"/>
  <c r="S8"/>
  <c r="C24" i="152" l="1"/>
  <c r="BA25"/>
  <c r="C25" s="1"/>
  <c r="BA36"/>
  <c r="C35"/>
  <c r="S48" i="142"/>
  <c r="Q10"/>
  <c r="O11"/>
  <c r="BA37" i="152" l="1"/>
  <c r="C36"/>
  <c r="Q11" i="142"/>
  <c r="O12"/>
  <c r="S9"/>
  <c r="BA38" i="152" l="1"/>
  <c r="C37"/>
  <c r="S10" i="142"/>
  <c r="Q12"/>
  <c r="O13"/>
  <c r="BA39" i="152" l="1"/>
  <c r="C38"/>
  <c r="Q13" i="142"/>
  <c r="O14"/>
  <c r="S11"/>
  <c r="BA40" i="152" l="1"/>
  <c r="C39"/>
  <c r="Q14" i="142"/>
  <c r="O15"/>
  <c r="S12"/>
  <c r="BA41" i="152" l="1"/>
  <c r="C40"/>
  <c r="S13" i="142"/>
  <c r="Q15"/>
  <c r="O16"/>
  <c r="BA42" i="152" l="1"/>
  <c r="C41"/>
  <c r="Q16" i="142"/>
  <c r="O17"/>
  <c r="S14"/>
  <c r="BA43" i="152" l="1"/>
  <c r="C42"/>
  <c r="S15" i="142"/>
  <c r="Q17"/>
  <c r="O18"/>
  <c r="BA44" i="152" l="1"/>
  <c r="C43"/>
  <c r="Q18" i="142"/>
  <c r="O19"/>
  <c r="S16"/>
  <c r="BA45" i="152" l="1"/>
  <c r="C44"/>
  <c r="Q19" i="142"/>
  <c r="O20"/>
  <c r="S17"/>
  <c r="AA18"/>
  <c r="Y18"/>
  <c r="W18"/>
  <c r="Z18"/>
  <c r="X18"/>
  <c r="V18"/>
  <c r="BA46" i="152" l="1"/>
  <c r="C45"/>
  <c r="Y9" i="142"/>
  <c r="Y10" s="1"/>
  <c r="Y11" s="1"/>
  <c r="Y12" s="1"/>
  <c r="Y13" s="1"/>
  <c r="Y14" s="1"/>
  <c r="Y15" s="1"/>
  <c r="Y16" s="1"/>
  <c r="Y17" s="1"/>
  <c r="Y19"/>
  <c r="Y20" s="1"/>
  <c r="Y21" s="1"/>
  <c r="Y22" s="1"/>
  <c r="Y23" s="1"/>
  <c r="Y24" s="1"/>
  <c r="Y25" s="1"/>
  <c r="Y26" s="1"/>
  <c r="Y27" s="1"/>
  <c r="Y28" s="1"/>
  <c r="Y29" s="1"/>
  <c r="Y30" s="1"/>
  <c r="Y31" s="1"/>
  <c r="Y32" s="1"/>
  <c r="Y33" s="1"/>
  <c r="Y34" s="1"/>
  <c r="Y35" s="1"/>
  <c r="Y36" s="1"/>
  <c r="Y37" s="1"/>
  <c r="Y38" s="1"/>
  <c r="Y39" s="1"/>
  <c r="Y40" s="1"/>
  <c r="Y41" s="1"/>
  <c r="Y42" s="1"/>
  <c r="Y43" s="1"/>
  <c r="Y44" s="1"/>
  <c r="Y45" s="1"/>
  <c r="Y46" s="1"/>
  <c r="Y47" s="1"/>
  <c r="S18"/>
  <c r="V19"/>
  <c r="V20" s="1"/>
  <c r="V21" s="1"/>
  <c r="V22" s="1"/>
  <c r="V23" s="1"/>
  <c r="V24" s="1"/>
  <c r="V25" s="1"/>
  <c r="V26" s="1"/>
  <c r="V27" s="1"/>
  <c r="V28" s="1"/>
  <c r="V29" s="1"/>
  <c r="V30" s="1"/>
  <c r="V31" s="1"/>
  <c r="V32" s="1"/>
  <c r="V33" s="1"/>
  <c r="V34" s="1"/>
  <c r="V35" s="1"/>
  <c r="V36" s="1"/>
  <c r="V37" s="1"/>
  <c r="V38" s="1"/>
  <c r="V39" s="1"/>
  <c r="V40" s="1"/>
  <c r="V41" s="1"/>
  <c r="V42" s="1"/>
  <c r="V43" s="1"/>
  <c r="V44" s="1"/>
  <c r="V45" s="1"/>
  <c r="V46" s="1"/>
  <c r="V47" s="1"/>
  <c r="V9"/>
  <c r="Z19"/>
  <c r="Z20" s="1"/>
  <c r="Z21" s="1"/>
  <c r="Z22" s="1"/>
  <c r="Z23" s="1"/>
  <c r="Z24" s="1"/>
  <c r="Z25" s="1"/>
  <c r="Z26" s="1"/>
  <c r="Z27" s="1"/>
  <c r="Z28" s="1"/>
  <c r="Z29" s="1"/>
  <c r="Z30" s="1"/>
  <c r="Z31" s="1"/>
  <c r="Z32" s="1"/>
  <c r="Z33" s="1"/>
  <c r="Z34" s="1"/>
  <c r="Z35" s="1"/>
  <c r="Z36" s="1"/>
  <c r="Z37" s="1"/>
  <c r="Z38" s="1"/>
  <c r="Z39" s="1"/>
  <c r="Z40" s="1"/>
  <c r="Z41" s="1"/>
  <c r="Z42" s="1"/>
  <c r="Z43" s="1"/>
  <c r="Z44" s="1"/>
  <c r="Z45" s="1"/>
  <c r="Z46" s="1"/>
  <c r="Z47" s="1"/>
  <c r="Z9"/>
  <c r="Z10" s="1"/>
  <c r="Z11" s="1"/>
  <c r="Z12" s="1"/>
  <c r="Z13" s="1"/>
  <c r="Z14" s="1"/>
  <c r="Z15" s="1"/>
  <c r="Z16" s="1"/>
  <c r="Z17" s="1"/>
  <c r="W19"/>
  <c r="W20" s="1"/>
  <c r="W21" s="1"/>
  <c r="W22" s="1"/>
  <c r="W23" s="1"/>
  <c r="W24" s="1"/>
  <c r="W25" s="1"/>
  <c r="W26" s="1"/>
  <c r="W27" s="1"/>
  <c r="W28" s="1"/>
  <c r="W29" s="1"/>
  <c r="W30" s="1"/>
  <c r="W31" s="1"/>
  <c r="W32" s="1"/>
  <c r="W33" s="1"/>
  <c r="W34" s="1"/>
  <c r="W35" s="1"/>
  <c r="W36" s="1"/>
  <c r="W37" s="1"/>
  <c r="W38" s="1"/>
  <c r="W39" s="1"/>
  <c r="W40" s="1"/>
  <c r="W41" s="1"/>
  <c r="W42" s="1"/>
  <c r="W43" s="1"/>
  <c r="W44" s="1"/>
  <c r="W45" s="1"/>
  <c r="W46" s="1"/>
  <c r="W47" s="1"/>
  <c r="W9"/>
  <c r="W10" s="1"/>
  <c r="W11" s="1"/>
  <c r="W12" s="1"/>
  <c r="W13" s="1"/>
  <c r="W14" s="1"/>
  <c r="W15" s="1"/>
  <c r="W16" s="1"/>
  <c r="W17" s="1"/>
  <c r="AA13"/>
  <c r="AA14" s="1"/>
  <c r="AA15" s="1"/>
  <c r="AA16" s="1"/>
  <c r="AA17" s="1"/>
  <c r="AA19"/>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X9"/>
  <c r="X10" s="1"/>
  <c r="X11" s="1"/>
  <c r="X12" s="1"/>
  <c r="X13" s="1"/>
  <c r="X14" s="1"/>
  <c r="X15" s="1"/>
  <c r="X16" s="1"/>
  <c r="X17" s="1"/>
  <c r="X19"/>
  <c r="X20" s="1"/>
  <c r="X21" s="1"/>
  <c r="X22" s="1"/>
  <c r="X23" s="1"/>
  <c r="X24" s="1"/>
  <c r="X25" s="1"/>
  <c r="X26" s="1"/>
  <c r="X27" s="1"/>
  <c r="X28" s="1"/>
  <c r="X29" s="1"/>
  <c r="X30" s="1"/>
  <c r="X31" s="1"/>
  <c r="X32" s="1"/>
  <c r="X33" s="1"/>
  <c r="X34" s="1"/>
  <c r="X35" s="1"/>
  <c r="X36" s="1"/>
  <c r="X37" s="1"/>
  <c r="X38" s="1"/>
  <c r="X39" s="1"/>
  <c r="X40" s="1"/>
  <c r="X41" s="1"/>
  <c r="X42" s="1"/>
  <c r="X43" s="1"/>
  <c r="X44" s="1"/>
  <c r="X45" s="1"/>
  <c r="X46" s="1"/>
  <c r="X47" s="1"/>
  <c r="Q20"/>
  <c r="O21"/>
  <c r="BA47" i="152" l="1"/>
  <c r="C46"/>
  <c r="V10" i="142"/>
  <c r="Q21"/>
  <c r="O22"/>
  <c r="S19"/>
  <c r="BA48" i="152" l="1"/>
  <c r="C47"/>
  <c r="S20" i="142"/>
  <c r="V11"/>
  <c r="Q22"/>
  <c r="O23"/>
  <c r="BA49" i="152" l="1"/>
  <c r="C48"/>
  <c r="Q23" i="142"/>
  <c r="O24"/>
  <c r="V12"/>
  <c r="S21"/>
  <c r="BA50" i="152" l="1"/>
  <c r="C49"/>
  <c r="V13" i="142"/>
  <c r="S22"/>
  <c r="Q24"/>
  <c r="O25"/>
  <c r="BA51" i="152" l="1"/>
  <c r="C50"/>
  <c r="S23" i="142"/>
  <c r="Q25"/>
  <c r="O26"/>
  <c r="V14"/>
  <c r="BA52" i="152" l="1"/>
  <c r="C51"/>
  <c r="V15" i="142"/>
  <c r="S24"/>
  <c r="Q26"/>
  <c r="O27"/>
  <c r="BA53" i="152" l="1"/>
  <c r="C52"/>
  <c r="S25" i="142"/>
  <c r="Q27"/>
  <c r="O28"/>
  <c r="V16"/>
  <c r="BA54" i="152" l="1"/>
  <c r="C53"/>
  <c r="V17" i="142"/>
  <c r="S26"/>
  <c r="Q28"/>
  <c r="O29"/>
  <c r="BA55" i="152" l="1"/>
  <c r="C54"/>
  <c r="S27" i="142"/>
  <c r="Q29"/>
  <c r="O30"/>
  <c r="BA56" i="152" l="1"/>
  <c r="C55"/>
  <c r="S28" i="142"/>
  <c r="Q30"/>
  <c r="O31"/>
  <c r="BA57" i="152" l="1"/>
  <c r="C56"/>
  <c r="Q31" i="142"/>
  <c r="O32"/>
  <c r="S29"/>
  <c r="BA58" i="152" l="1"/>
  <c r="C57"/>
  <c r="S30" i="142"/>
  <c r="Q32"/>
  <c r="O33"/>
  <c r="BA59" i="152" l="1"/>
  <c r="C59" s="1"/>
  <c r="C58"/>
  <c r="Q33" i="142"/>
  <c r="O34"/>
  <c r="S31"/>
  <c r="S32" l="1"/>
  <c r="Q34"/>
  <c r="O35"/>
  <c r="Q35" l="1"/>
  <c r="O36"/>
  <c r="S33"/>
  <c r="S34" l="1"/>
  <c r="Q36"/>
  <c r="O37"/>
  <c r="Q37" l="1"/>
  <c r="O38"/>
  <c r="S35"/>
  <c r="S36" l="1"/>
  <c r="Q38"/>
  <c r="O39"/>
  <c r="Q39" l="1"/>
  <c r="O40"/>
  <c r="S37"/>
  <c r="S38" l="1"/>
  <c r="Q40"/>
  <c r="O41"/>
  <c r="Q41" l="1"/>
  <c r="O42"/>
  <c r="S39"/>
  <c r="S40" l="1"/>
  <c r="Q42"/>
  <c r="O43"/>
  <c r="Q43" l="1"/>
  <c r="O44"/>
  <c r="S41"/>
  <c r="S42" l="1"/>
  <c r="Q44"/>
  <c r="O45"/>
  <c r="Q45" l="1"/>
  <c r="O46"/>
  <c r="S43"/>
  <c r="S44" l="1"/>
  <c r="Q46"/>
  <c r="O47"/>
  <c r="Q47" s="1"/>
  <c r="S45" l="1"/>
  <c r="S46" l="1"/>
  <c r="S47" l="1"/>
  <c r="W20" i="56" l="1"/>
  <c r="W21"/>
  <c r="W22"/>
  <c r="W23"/>
  <c r="W24"/>
  <c r="W25"/>
  <c r="W26"/>
  <c r="W27"/>
  <c r="W28"/>
  <c r="W29"/>
  <c r="W30"/>
  <c r="W31"/>
  <c r="W32"/>
  <c r="W33"/>
  <c r="W34"/>
  <c r="W35"/>
  <c r="W36"/>
  <c r="W37"/>
  <c r="W38"/>
  <c r="W39"/>
  <c r="W40"/>
  <c r="W41"/>
  <c r="W42"/>
  <c r="W43"/>
  <c r="W44"/>
  <c r="W45"/>
  <c r="W46"/>
  <c r="W47"/>
  <c r="W48"/>
  <c r="W49"/>
  <c r="W50"/>
  <c r="W51"/>
  <c r="W52"/>
  <c r="W53"/>
  <c r="W54"/>
  <c r="W55"/>
  <c r="W56"/>
  <c r="W57"/>
  <c r="W58"/>
  <c r="W59"/>
  <c r="W19"/>
  <c r="AA146" i="118"/>
  <c r="AA147" s="1"/>
  <c r="AA148" s="1"/>
  <c r="AA149" s="1"/>
  <c r="AA150" s="1"/>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197"/>
  <c r="A2" i="60"/>
  <c r="L3" i="58"/>
  <c r="M3"/>
  <c r="K3"/>
  <c r="AA151" i="118" l="1"/>
  <c r="A6" i="140"/>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G3"/>
  <c r="AF3"/>
  <c r="AE3"/>
  <c r="AD3"/>
  <c r="AC3"/>
  <c r="AB3"/>
  <c r="AA3"/>
  <c r="Z3"/>
  <c r="Y3"/>
  <c r="X3"/>
  <c r="W3"/>
  <c r="V3"/>
  <c r="U3"/>
  <c r="T3"/>
  <c r="S3"/>
  <c r="R3"/>
  <c r="Q3"/>
  <c r="P3"/>
  <c r="O3"/>
  <c r="N3"/>
  <c r="M3"/>
  <c r="L3"/>
  <c r="K3"/>
  <c r="J3"/>
  <c r="I3"/>
  <c r="H3"/>
  <c r="G3"/>
  <c r="F3"/>
  <c r="E3"/>
  <c r="D3"/>
  <c r="C3"/>
  <c r="B3"/>
  <c r="AG18" i="56"/>
  <c r="AF18"/>
  <c r="AE18"/>
  <c r="AD18"/>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19"/>
  <c r="AA152" i="118" l="1"/>
  <c r="C15" i="138"/>
  <c r="C14"/>
  <c r="C13"/>
  <c r="C9"/>
  <c r="C8"/>
  <c r="C7"/>
  <c r="C6"/>
  <c r="O2" i="139"/>
  <c r="C19" i="138" s="1"/>
  <c r="M2" i="139"/>
  <c r="C18" i="138" s="1"/>
  <c r="L2" i="139"/>
  <c r="C17" i="138" s="1"/>
  <c r="K2" i="139"/>
  <c r="C16" i="138" s="1"/>
  <c r="C28"/>
  <c r="AA153" i="118" l="1"/>
  <c r="I18" i="52"/>
  <c r="I19"/>
  <c r="X10" i="49"/>
  <c r="X9"/>
  <c r="X8"/>
  <c r="AH55" i="137"/>
  <c r="AI10"/>
  <c r="AI11"/>
  <c r="AF3"/>
  <c r="AG3" s="1"/>
  <c r="AH3" s="1"/>
  <c r="AH5"/>
  <c r="AF5"/>
  <c r="AD5"/>
  <c r="AB5"/>
  <c r="Z5"/>
  <c r="X5"/>
  <c r="Z3"/>
  <c r="Y3"/>
  <c r="X3"/>
  <c r="AE9"/>
  <c r="AA9"/>
  <c r="AD3"/>
  <c r="AC3"/>
  <c r="AB3"/>
  <c r="W9"/>
  <c r="AA154" i="118" l="1"/>
  <c r="I11" i="137"/>
  <c r="I10"/>
  <c r="V13"/>
  <c r="U12"/>
  <c r="U13" s="1"/>
  <c r="U14" s="1"/>
  <c r="U15" s="1"/>
  <c r="U16" s="1"/>
  <c r="U17" s="1"/>
  <c r="U18" s="1"/>
  <c r="U19" s="1"/>
  <c r="U20" s="1"/>
  <c r="U21" s="1"/>
  <c r="U22" s="1"/>
  <c r="U23" s="1"/>
  <c r="U24" s="1"/>
  <c r="U25" s="1"/>
  <c r="U26" s="1"/>
  <c r="U27" s="1"/>
  <c r="U28" s="1"/>
  <c r="U29" s="1"/>
  <c r="U30" s="1"/>
  <c r="U31" s="1"/>
  <c r="U32" s="1"/>
  <c r="U33" s="1"/>
  <c r="U34" s="1"/>
  <c r="U35" s="1"/>
  <c r="U36" s="1"/>
  <c r="U37" s="1"/>
  <c r="U38" s="1"/>
  <c r="U39" s="1"/>
  <c r="U40" s="1"/>
  <c r="U41" s="1"/>
  <c r="U42" s="1"/>
  <c r="U43" s="1"/>
  <c r="U44" s="1"/>
  <c r="U45" s="1"/>
  <c r="U46" s="1"/>
  <c r="U47" s="1"/>
  <c r="U48" s="1"/>
  <c r="U49" s="1"/>
  <c r="U50" s="1"/>
  <c r="U51" s="1"/>
  <c r="U52" s="1"/>
  <c r="B7"/>
  <c r="B8" s="1"/>
  <c r="B9" s="1"/>
  <c r="B10" s="1"/>
  <c r="AA155" i="118" l="1"/>
  <c r="B11" i="137"/>
  <c r="V14"/>
  <c r="AA156" i="118" l="1"/>
  <c r="V15" i="137"/>
  <c r="B12"/>
  <c r="W2"/>
  <c r="AA2" s="1"/>
  <c r="AE2" s="1"/>
  <c r="AA157" i="118" l="1"/>
  <c r="B13" i="137"/>
  <c r="V16"/>
  <c r="AA158" i="118" l="1"/>
  <c r="V17" i="137"/>
  <c r="B14"/>
  <c r="AF38" i="140"/>
  <c r="M12" i="60"/>
  <c r="Z15" i="140"/>
  <c r="AD33"/>
  <c r="AB30"/>
  <c r="Z31"/>
  <c r="AA37"/>
  <c r="AD12"/>
  <c r="Z16"/>
  <c r="Z11"/>
  <c r="AE38"/>
  <c r="AF21"/>
  <c r="AF20"/>
  <c r="M33" i="60"/>
  <c r="AA24" i="140"/>
  <c r="AD30"/>
  <c r="AC15"/>
  <c r="AA17"/>
  <c r="AB41"/>
  <c r="AC12"/>
  <c r="AF11"/>
  <c r="AA14"/>
  <c r="AB18"/>
  <c r="AC5"/>
  <c r="Z25"/>
  <c r="AF8"/>
  <c r="AE43"/>
  <c r="Z9"/>
  <c r="M18" i="60"/>
  <c r="AE35" i="140"/>
  <c r="Z37"/>
  <c r="AD43"/>
  <c r="AF13"/>
  <c r="M28" i="60"/>
  <c r="AA29" i="140"/>
  <c r="Z14"/>
  <c r="AA34"/>
  <c r="M23" i="60"/>
  <c r="AE6" i="140"/>
  <c r="AB14"/>
  <c r="AB45"/>
  <c r="AD21"/>
  <c r="AC40"/>
  <c r="AA35"/>
  <c r="AF35"/>
  <c r="AD5"/>
  <c r="M7" i="60"/>
  <c r="AD25" i="140"/>
  <c r="AA26"/>
  <c r="Z39"/>
  <c r="Z8"/>
  <c r="AE13"/>
  <c r="AB22"/>
  <c r="T4"/>
  <c r="AB34"/>
  <c r="K4"/>
  <c r="AF18"/>
  <c r="AE21"/>
  <c r="Z10"/>
  <c r="AE37"/>
  <c r="AC10"/>
  <c r="M17" i="60"/>
  <c r="Y4" i="140"/>
  <c r="M6" i="60"/>
  <c r="AB32" i="140"/>
  <c r="AB23"/>
  <c r="AC28"/>
  <c r="AC11"/>
  <c r="AA18"/>
  <c r="B4"/>
  <c r="Z43"/>
  <c r="AC41"/>
  <c r="AF43"/>
  <c r="AB44"/>
  <c r="AB35"/>
  <c r="AF32"/>
  <c r="AD6"/>
  <c r="AD10"/>
  <c r="M5" i="60"/>
  <c r="AB13" i="140"/>
  <c r="Z28"/>
  <c r="AD16"/>
  <c r="AB31"/>
  <c r="AF29"/>
  <c r="AB19"/>
  <c r="Z29"/>
  <c r="AF34"/>
  <c r="AC44"/>
  <c r="AE39"/>
  <c r="AA23"/>
  <c r="AE16"/>
  <c r="AE33"/>
  <c r="Z34"/>
  <c r="Z22"/>
  <c r="AB20"/>
  <c r="AC26"/>
  <c r="AD44"/>
  <c r="AD34"/>
  <c r="AF10"/>
  <c r="AF40"/>
  <c r="Z45"/>
  <c r="AB21"/>
  <c r="AD17"/>
  <c r="Z44"/>
  <c r="AE40"/>
  <c r="AB24"/>
  <c r="Z4"/>
  <c r="AB33"/>
  <c r="Z19"/>
  <c r="U4"/>
  <c r="AC43"/>
  <c r="M15" i="60"/>
  <c r="Z24" i="140"/>
  <c r="AD36"/>
  <c r="AA12"/>
  <c r="AB5"/>
  <c r="AC22"/>
  <c r="AC25"/>
  <c r="AB25"/>
  <c r="Z40"/>
  <c r="R4"/>
  <c r="AE44"/>
  <c r="AA7"/>
  <c r="M29" i="60"/>
  <c r="AD22" i="140"/>
  <c r="M36" i="60"/>
  <c r="AE17" i="140"/>
  <c r="AF33"/>
  <c r="AF26"/>
  <c r="AB29"/>
  <c r="AE18"/>
  <c r="AA16"/>
  <c r="AA13"/>
  <c r="AF31"/>
  <c r="M19" i="60"/>
  <c r="AD39" i="140"/>
  <c r="W4"/>
  <c r="AC32"/>
  <c r="AB7"/>
  <c r="AD24"/>
  <c r="I4"/>
  <c r="AD8"/>
  <c r="AC21"/>
  <c r="AD15"/>
  <c r="AD28"/>
  <c r="AE9"/>
  <c r="AE22"/>
  <c r="M22" i="60"/>
  <c r="AB10" i="140"/>
  <c r="AC17"/>
  <c r="AB39"/>
  <c r="Z21"/>
  <c r="P4"/>
  <c r="AC36"/>
  <c r="Z18"/>
  <c r="AF17"/>
  <c r="AD40"/>
  <c r="Z38"/>
  <c r="AB11"/>
  <c r="AC27"/>
  <c r="M14" i="60"/>
  <c r="AD26" i="140"/>
  <c r="AC42"/>
  <c r="AC14"/>
  <c r="M35" i="60"/>
  <c r="Z30" i="140"/>
  <c r="AA20"/>
  <c r="AC24"/>
  <c r="M11" i="60"/>
  <c r="AA40" i="140"/>
  <c r="AC7"/>
  <c r="AC33"/>
  <c r="M31" i="60"/>
  <c r="Z26" i="140"/>
  <c r="M21" i="60"/>
  <c r="AB42" i="140"/>
  <c r="Z6"/>
  <c r="L4"/>
  <c r="AC20"/>
  <c r="Z12"/>
  <c r="AB43"/>
  <c r="M27" i="60"/>
  <c r="AB40" i="140"/>
  <c r="M16" i="60"/>
  <c r="M4" i="140"/>
  <c r="AE4"/>
  <c r="AA11"/>
  <c r="AA36"/>
  <c r="AA27"/>
  <c r="AA38"/>
  <c r="AG4"/>
  <c r="AE15"/>
  <c r="AC30"/>
  <c r="AD35"/>
  <c r="AE26"/>
  <c r="AD32"/>
  <c r="AA5"/>
  <c r="AF15"/>
  <c r="AD45"/>
  <c r="AC16"/>
  <c r="AF9"/>
  <c r="AA28"/>
  <c r="AF24"/>
  <c r="AA6"/>
  <c r="AD19"/>
  <c r="AF6"/>
  <c r="AE45"/>
  <c r="AE27"/>
  <c r="AE19"/>
  <c r="C4"/>
  <c r="AB38"/>
  <c r="AB28"/>
  <c r="J4"/>
  <c r="AF39"/>
  <c r="AA4"/>
  <c r="AF4"/>
  <c r="X4"/>
  <c r="AC18"/>
  <c r="AD38"/>
  <c r="V4"/>
  <c r="AF22"/>
  <c r="AA41"/>
  <c r="Q4"/>
  <c r="AE29"/>
  <c r="AA21"/>
  <c r="AD31"/>
  <c r="AF45"/>
  <c r="M20" i="60"/>
  <c r="AB26" i="140"/>
  <c r="AD23"/>
  <c r="AD37"/>
  <c r="AF5"/>
  <c r="Z20"/>
  <c r="AC29"/>
  <c r="AC34"/>
  <c r="AF42"/>
  <c r="AD11"/>
  <c r="AB4"/>
  <c r="AA9"/>
  <c r="M30" i="60"/>
  <c r="AD29" i="140"/>
  <c r="AD4"/>
  <c r="AF36"/>
  <c r="AD14"/>
  <c r="AE14"/>
  <c r="AE30"/>
  <c r="M10" i="60"/>
  <c r="AE5" i="140"/>
  <c r="AA44"/>
  <c r="AB12"/>
  <c r="AC19"/>
  <c r="AE10"/>
  <c r="AC13"/>
  <c r="Z33"/>
  <c r="AA30"/>
  <c r="AA15"/>
  <c r="AB6"/>
  <c r="Z42"/>
  <c r="AD27"/>
  <c r="AE28"/>
  <c r="AD42"/>
  <c r="AF23"/>
  <c r="AC6"/>
  <c r="S4"/>
  <c r="AA8"/>
  <c r="AE42"/>
  <c r="AC9"/>
  <c r="AA10"/>
  <c r="AC38"/>
  <c r="AA22"/>
  <c r="AB8"/>
  <c r="Z23"/>
  <c r="Z7"/>
  <c r="AE31"/>
  <c r="AE23"/>
  <c r="AB36"/>
  <c r="M24" i="60"/>
  <c r="AE41" i="140"/>
  <c r="AD7"/>
  <c r="AF14"/>
  <c r="AB17"/>
  <c r="AC31"/>
  <c r="AE36"/>
  <c r="AE7"/>
  <c r="M26" i="60"/>
  <c r="AE32" i="140"/>
  <c r="D4"/>
  <c r="AC45"/>
  <c r="AC23"/>
  <c r="AB37"/>
  <c r="AF7"/>
  <c r="Z17"/>
  <c r="AC35"/>
  <c r="AD18"/>
  <c r="M13" i="60"/>
  <c r="AB9" i="140"/>
  <c r="Z27"/>
  <c r="M34" i="60"/>
  <c r="AF28" i="140"/>
  <c r="AD9"/>
  <c r="AA25"/>
  <c r="AA45"/>
  <c r="AF44"/>
  <c r="AB16"/>
  <c r="AA42"/>
  <c r="AA43"/>
  <c r="M8" i="60"/>
  <c r="N4" i="140"/>
  <c r="AE11"/>
  <c r="AC37"/>
  <c r="G4"/>
  <c r="M9" i="60"/>
  <c r="AD41" i="140"/>
  <c r="AA31"/>
  <c r="Z35"/>
  <c r="M25" i="60"/>
  <c r="AF41" i="140"/>
  <c r="AA33"/>
  <c r="AF30"/>
  <c r="F4"/>
  <c r="AC4"/>
  <c r="AA32"/>
  <c r="AB27"/>
  <c r="Z32"/>
  <c r="AD20"/>
  <c r="AC8"/>
  <c r="AB15"/>
  <c r="M32" i="60"/>
  <c r="AF16" i="140"/>
  <c r="E4"/>
  <c r="Z5"/>
  <c r="O4"/>
  <c r="Z36"/>
  <c r="AF27"/>
  <c r="AF37"/>
  <c r="AE25"/>
  <c r="AE24"/>
  <c r="Z41"/>
  <c r="AE8"/>
  <c r="Z13"/>
  <c r="AF25"/>
  <c r="AF12"/>
  <c r="AE20"/>
  <c r="AC39"/>
  <c r="H4"/>
  <c r="AE12"/>
  <c r="AA39"/>
  <c r="AA19"/>
  <c r="AF19"/>
  <c r="AD13"/>
  <c r="AE34"/>
  <c r="AA159" i="118" l="1"/>
  <c r="B15" i="137"/>
  <c r="V18"/>
  <c r="AA160" i="118" l="1"/>
  <c r="V19" i="137"/>
  <c r="B16"/>
  <c r="AA161" i="118" l="1"/>
  <c r="B17" i="137"/>
  <c r="V20"/>
  <c r="AA162" i="118" l="1"/>
  <c r="V21" i="137"/>
  <c r="B18"/>
  <c r="AA163" i="118" l="1"/>
  <c r="B19" i="137"/>
  <c r="V22"/>
  <c r="AA164" i="118" l="1"/>
  <c r="V23" i="137"/>
  <c r="B20"/>
  <c r="AA165" i="118" l="1"/>
  <c r="B21" i="137"/>
  <c r="V24"/>
  <c r="AA166" i="118" l="1"/>
  <c r="V25" i="137"/>
  <c r="B22"/>
  <c r="AA167" i="118" l="1"/>
  <c r="B23" i="137"/>
  <c r="V26"/>
  <c r="E11" i="1"/>
  <c r="E10"/>
  <c r="T3" i="49"/>
  <c r="N2" i="139" s="1"/>
  <c r="C10" i="138" s="1"/>
  <c r="O3" i="49"/>
  <c r="I2" i="139" s="1"/>
  <c r="C12" i="138" s="1"/>
  <c r="N3" i="49"/>
  <c r="H2" i="139" s="1"/>
  <c r="C11" i="138" s="1"/>
  <c r="C18" i="42"/>
  <c r="S11" i="49" s="1"/>
  <c r="M3" i="139" s="1"/>
  <c r="C14" i="42"/>
  <c r="O11" i="49" s="1"/>
  <c r="I3" i="139" s="1"/>
  <c r="C19" i="42"/>
  <c r="C13"/>
  <c r="N11" i="49" s="1"/>
  <c r="H3" i="139" s="1"/>
  <c r="J11" i="1"/>
  <c r="Z13"/>
  <c r="Z14"/>
  <c r="Z15"/>
  <c r="Z16"/>
  <c r="Z17"/>
  <c r="Z18"/>
  <c r="Z19"/>
  <c r="Z20"/>
  <c r="Z21"/>
  <c r="Z22"/>
  <c r="Z23"/>
  <c r="Z24"/>
  <c r="Z25"/>
  <c r="Z26"/>
  <c r="Z27"/>
  <c r="Z28"/>
  <c r="Z29"/>
  <c r="Z30"/>
  <c r="Z31"/>
  <c r="Z32"/>
  <c r="Z33"/>
  <c r="Z34"/>
  <c r="Z35"/>
  <c r="Z36"/>
  <c r="Z37"/>
  <c r="Z38"/>
  <c r="Z39"/>
  <c r="Z40"/>
  <c r="Z41"/>
  <c r="Z42"/>
  <c r="Z43"/>
  <c r="Z44"/>
  <c r="Z45"/>
  <c r="Z46"/>
  <c r="Z47"/>
  <c r="Z48"/>
  <c r="Z49"/>
  <c r="Z50"/>
  <c r="Z51"/>
  <c r="Z52"/>
  <c r="Z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12"/>
  <c r="H10"/>
  <c r="L3" i="49"/>
  <c r="K3"/>
  <c r="C20" i="42"/>
  <c r="V11" i="49" s="1"/>
  <c r="O3" i="139" s="1"/>
  <c r="C17" i="42"/>
  <c r="C16"/>
  <c r="C15"/>
  <c r="P11" i="49" s="1"/>
  <c r="C10" i="42"/>
  <c r="C5"/>
  <c r="C9"/>
  <c r="H11" i="49" s="1"/>
  <c r="BA30" i="135"/>
  <c r="BA31"/>
  <c r="BA32"/>
  <c r="BA33"/>
  <c r="BA34"/>
  <c r="BA35"/>
  <c r="BA36"/>
  <c r="BB30"/>
  <c r="C11" i="42" s="1"/>
  <c r="BB31" i="135"/>
  <c r="BB32"/>
  <c r="BB33"/>
  <c r="BB34"/>
  <c r="BB35"/>
  <c r="BB36"/>
  <c r="BC30"/>
  <c r="C12" i="42" s="1"/>
  <c r="BC31" i="135"/>
  <c r="BC32"/>
  <c r="BC33"/>
  <c r="BC34"/>
  <c r="BC35"/>
  <c r="BC36"/>
  <c r="BD30"/>
  <c r="BD31"/>
  <c r="BD32"/>
  <c r="BD33"/>
  <c r="BD34"/>
  <c r="BD35"/>
  <c r="BD36"/>
  <c r="BH30"/>
  <c r="BH31"/>
  <c r="BH32"/>
  <c r="BH33"/>
  <c r="BH34"/>
  <c r="BH35"/>
  <c r="BH36"/>
  <c r="BL30"/>
  <c r="BL31"/>
  <c r="BL32"/>
  <c r="BL33"/>
  <c r="BL34"/>
  <c r="BL35"/>
  <c r="BL36"/>
  <c r="BP30"/>
  <c r="BP31"/>
  <c r="BP32"/>
  <c r="BP33"/>
  <c r="BP34"/>
  <c r="BP35"/>
  <c r="BP36"/>
  <c r="BS30"/>
  <c r="BS31"/>
  <c r="BS32"/>
  <c r="BS33"/>
  <c r="BS34"/>
  <c r="BS35"/>
  <c r="BS36"/>
  <c r="BS29"/>
  <c r="BP29"/>
  <c r="BL29"/>
  <c r="BH29"/>
  <c r="BD29"/>
  <c r="BC29"/>
  <c r="BB29"/>
  <c r="BA29"/>
  <c r="AA30"/>
  <c r="C7" i="42" s="1"/>
  <c r="AB30" i="135"/>
  <c r="C8" i="42" s="1"/>
  <c r="G11" i="49" s="1"/>
  <c r="AA31" i="135"/>
  <c r="AB31"/>
  <c r="AA32"/>
  <c r="AB32"/>
  <c r="AA33"/>
  <c r="AB33"/>
  <c r="AA34"/>
  <c r="AB34"/>
  <c r="AA35"/>
  <c r="AB35"/>
  <c r="AA36"/>
  <c r="AB36"/>
  <c r="AB29"/>
  <c r="AA29"/>
  <c r="Q30"/>
  <c r="C4" i="42" s="1"/>
  <c r="C11" i="49" s="1"/>
  <c r="Q31" i="135"/>
  <c r="Q32"/>
  <c r="Q33"/>
  <c r="Q34"/>
  <c r="Q35"/>
  <c r="Q36"/>
  <c r="Q29"/>
  <c r="P31"/>
  <c r="P32"/>
  <c r="P33"/>
  <c r="P34"/>
  <c r="P35"/>
  <c r="P36"/>
  <c r="P30"/>
  <c r="C6" i="42" s="1"/>
  <c r="E11" i="49" s="1"/>
  <c r="P29" i="135"/>
  <c r="Y5" i="13"/>
  <c r="W5"/>
  <c r="J5"/>
  <c r="U13"/>
  <c r="U14" s="1"/>
  <c r="T12"/>
  <c r="T13" s="1"/>
  <c r="T14" s="1"/>
  <c r="T15" s="1"/>
  <c r="T16" s="1"/>
  <c r="T17" s="1"/>
  <c r="T18" s="1"/>
  <c r="T19" s="1"/>
  <c r="T20" s="1"/>
  <c r="T21" s="1"/>
  <c r="T22" s="1"/>
  <c r="T23" s="1"/>
  <c r="T24" s="1"/>
  <c r="T25" s="1"/>
  <c r="T26" s="1"/>
  <c r="T27" s="1"/>
  <c r="T28" s="1"/>
  <c r="T29" s="1"/>
  <c r="T30" s="1"/>
  <c r="T31" s="1"/>
  <c r="T32" s="1"/>
  <c r="T33" s="1"/>
  <c r="T34" s="1"/>
  <c r="T35" s="1"/>
  <c r="T36" s="1"/>
  <c r="T37" s="1"/>
  <c r="T38" s="1"/>
  <c r="T39" s="1"/>
  <c r="T40" s="1"/>
  <c r="T41" s="1"/>
  <c r="T42" s="1"/>
  <c r="T43" s="1"/>
  <c r="T44" s="1"/>
  <c r="T45" s="1"/>
  <c r="T46" s="1"/>
  <c r="T47" s="1"/>
  <c r="T48" s="1"/>
  <c r="T49" s="1"/>
  <c r="T50" s="1"/>
  <c r="T51" s="1"/>
  <c r="T52" s="1"/>
  <c r="AC5" i="1"/>
  <c r="AA5"/>
  <c r="Y5"/>
  <c r="W5"/>
  <c r="AC3"/>
  <c r="AB3"/>
  <c r="AA3"/>
  <c r="X3"/>
  <c r="Y3"/>
  <c r="W3"/>
  <c r="U13"/>
  <c r="U14" s="1"/>
  <c r="T12"/>
  <c r="T13" s="1"/>
  <c r="T14" s="1"/>
  <c r="T15" s="1"/>
  <c r="T16" s="1"/>
  <c r="T17" s="1"/>
  <c r="T18" s="1"/>
  <c r="T19" s="1"/>
  <c r="T20" s="1"/>
  <c r="T21" s="1"/>
  <c r="T22" s="1"/>
  <c r="T23" s="1"/>
  <c r="T24" s="1"/>
  <c r="T25" s="1"/>
  <c r="T26" s="1"/>
  <c r="T27" s="1"/>
  <c r="T28" s="1"/>
  <c r="T29" s="1"/>
  <c r="T30" s="1"/>
  <c r="T31" s="1"/>
  <c r="T32" s="1"/>
  <c r="T33" s="1"/>
  <c r="T34" s="1"/>
  <c r="T35" s="1"/>
  <c r="T36" s="1"/>
  <c r="T37" s="1"/>
  <c r="T38" s="1"/>
  <c r="T39" s="1"/>
  <c r="T40" s="1"/>
  <c r="T41" s="1"/>
  <c r="T42" s="1"/>
  <c r="T43" s="1"/>
  <c r="T44" s="1"/>
  <c r="T45" s="1"/>
  <c r="T46" s="1"/>
  <c r="T47" s="1"/>
  <c r="T48" s="1"/>
  <c r="T49" s="1"/>
  <c r="T50" s="1"/>
  <c r="T51" s="1"/>
  <c r="T52" s="1"/>
  <c r="AC10"/>
  <c r="AB10"/>
  <c r="AA10"/>
  <c r="V3"/>
  <c r="V2"/>
  <c r="L7"/>
  <c r="V11"/>
  <c r="J3" i="139" l="1"/>
  <c r="AU25" i="167"/>
  <c r="AN19" s="1"/>
  <c r="K11" i="49"/>
  <c r="F3" i="139" s="1"/>
  <c r="N17" i="44"/>
  <c r="L11" i="49"/>
  <c r="G3" i="139" s="1"/>
  <c r="N18" i="44"/>
  <c r="AA168" i="118"/>
  <c r="T11" i="49"/>
  <c r="N3" i="139" s="1"/>
  <c r="R11" i="49"/>
  <c r="L3" i="139" s="1"/>
  <c r="D11" i="138"/>
  <c r="D19"/>
  <c r="D18"/>
  <c r="B3" i="139"/>
  <c r="V27" i="137"/>
  <c r="B24"/>
  <c r="J11" i="49"/>
  <c r="E3" i="139" s="1"/>
  <c r="F11" i="49"/>
  <c r="D3" i="139" s="1"/>
  <c r="Q11" i="49"/>
  <c r="K3" i="139" s="1"/>
  <c r="C21" i="42"/>
  <c r="D11" s="1"/>
  <c r="D11" i="49"/>
  <c r="U15" i="13"/>
  <c r="Y2" i="1"/>
  <c r="W2"/>
  <c r="Y11" s="1"/>
  <c r="X2"/>
  <c r="X11" s="1"/>
  <c r="W11"/>
  <c r="X4"/>
  <c r="X13" s="1"/>
  <c r="U15"/>
  <c r="AF3" i="118"/>
  <c r="AF144" s="1"/>
  <c r="BO10"/>
  <c r="BO11" s="1"/>
  <c r="BO12" s="1"/>
  <c r="BO13" s="1"/>
  <c r="BO14" s="1"/>
  <c r="BO15" s="1"/>
  <c r="BO16" s="1"/>
  <c r="BO17" s="1"/>
  <c r="BO18" s="1"/>
  <c r="BO19" s="1"/>
  <c r="BO20" s="1"/>
  <c r="BO21" s="1"/>
  <c r="BO22" s="1"/>
  <c r="BO23" s="1"/>
  <c r="BO24" s="1"/>
  <c r="BO25" s="1"/>
  <c r="BO26" s="1"/>
  <c r="BO27" s="1"/>
  <c r="BO28" s="1"/>
  <c r="BO29" s="1"/>
  <c r="BO30" s="1"/>
  <c r="BO31" s="1"/>
  <c r="BO32" s="1"/>
  <c r="BO33" s="1"/>
  <c r="BO34" s="1"/>
  <c r="BO35" s="1"/>
  <c r="BO36" s="1"/>
  <c r="BO37" s="1"/>
  <c r="BO38" s="1"/>
  <c r="BO39" s="1"/>
  <c r="BO40" s="1"/>
  <c r="BO41" s="1"/>
  <c r="BO42" s="1"/>
  <c r="BO43" s="1"/>
  <c r="BO44" s="1"/>
  <c r="BO45" s="1"/>
  <c r="BO46" s="1"/>
  <c r="BO47" s="1"/>
  <c r="BO48" s="1"/>
  <c r="BO49" s="1"/>
  <c r="BM1"/>
  <c r="O6" i="58"/>
  <c r="P6" s="1"/>
  <c r="O7"/>
  <c r="P7" s="1"/>
  <c r="O8"/>
  <c r="P8" s="1"/>
  <c r="O9"/>
  <c r="P9" s="1"/>
  <c r="O5"/>
  <c r="P5" s="1"/>
  <c r="E7"/>
  <c r="D7" s="1"/>
  <c r="D6"/>
  <c r="D5"/>
  <c r="H7"/>
  <c r="G7" s="1"/>
  <c r="H6"/>
  <c r="G6" s="1"/>
  <c r="H5"/>
  <c r="G5" s="1"/>
  <c r="H3"/>
  <c r="G3"/>
  <c r="A6" i="12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F3"/>
  <c r="AE3"/>
  <c r="AD3"/>
  <c r="AC3"/>
  <c r="AB3"/>
  <c r="AA3"/>
  <c r="Z3"/>
  <c r="Y3"/>
  <c r="X3"/>
  <c r="W3"/>
  <c r="V3"/>
  <c r="U3"/>
  <c r="T3"/>
  <c r="S3"/>
  <c r="R3"/>
  <c r="Q3"/>
  <c r="P3"/>
  <c r="O3"/>
  <c r="N3"/>
  <c r="M3"/>
  <c r="L3"/>
  <c r="K3"/>
  <c r="J3"/>
  <c r="I3"/>
  <c r="H3"/>
  <c r="G3"/>
  <c r="F3"/>
  <c r="E3"/>
  <c r="D3"/>
  <c r="C3"/>
  <c r="B3"/>
  <c r="AI379" i="118"/>
  <c r="AC379"/>
  <c r="AB379"/>
  <c r="AA334"/>
  <c r="AA335" s="1"/>
  <c r="AA336" s="1"/>
  <c r="AA337" s="1"/>
  <c r="AA338" s="1"/>
  <c r="AA380" s="1"/>
  <c r="AA287"/>
  <c r="AA288" s="1"/>
  <c r="AA289" s="1"/>
  <c r="AA290" s="1"/>
  <c r="AA291" s="1"/>
  <c r="AA240"/>
  <c r="AA241" s="1"/>
  <c r="AA242" s="1"/>
  <c r="AA243" s="1"/>
  <c r="AA244" s="1"/>
  <c r="AF3" i="66"/>
  <c r="AE3"/>
  <c r="AD3"/>
  <c r="AC3"/>
  <c r="AB3"/>
  <c r="AA3"/>
  <c r="Z3"/>
  <c r="Y3"/>
  <c r="X3"/>
  <c r="W3"/>
  <c r="V3"/>
  <c r="U3"/>
  <c r="T3"/>
  <c r="S3"/>
  <c r="R3"/>
  <c r="Q3"/>
  <c r="P3"/>
  <c r="O3"/>
  <c r="N3"/>
  <c r="M3"/>
  <c r="L3"/>
  <c r="K3"/>
  <c r="J3"/>
  <c r="I3"/>
  <c r="H3"/>
  <c r="G3"/>
  <c r="F3"/>
  <c r="E3"/>
  <c r="D3"/>
  <c r="C3"/>
  <c r="B3"/>
  <c r="AF3" i="65"/>
  <c r="AE3"/>
  <c r="AD3"/>
  <c r="AC3"/>
  <c r="AB3"/>
  <c r="AA3"/>
  <c r="Z3"/>
  <c r="Y3"/>
  <c r="X3"/>
  <c r="W3"/>
  <c r="V3"/>
  <c r="U3"/>
  <c r="T3"/>
  <c r="S3"/>
  <c r="R3"/>
  <c r="Q3"/>
  <c r="P3"/>
  <c r="O3"/>
  <c r="N3"/>
  <c r="M3"/>
  <c r="L3"/>
  <c r="K3"/>
  <c r="J3"/>
  <c r="I3"/>
  <c r="H3"/>
  <c r="G3"/>
  <c r="F3"/>
  <c r="E3"/>
  <c r="D3"/>
  <c r="C3"/>
  <c r="B3"/>
  <c r="AF3" i="64"/>
  <c r="AE3"/>
  <c r="AD3"/>
  <c r="AC3"/>
  <c r="AB3"/>
  <c r="AA3"/>
  <c r="Z3"/>
  <c r="Y3"/>
  <c r="X3"/>
  <c r="W3"/>
  <c r="V3"/>
  <c r="U3"/>
  <c r="T3"/>
  <c r="S3"/>
  <c r="R3"/>
  <c r="Q3"/>
  <c r="P3"/>
  <c r="O3"/>
  <c r="N3"/>
  <c r="M3"/>
  <c r="L3"/>
  <c r="K3"/>
  <c r="J3"/>
  <c r="I3"/>
  <c r="H3"/>
  <c r="G3"/>
  <c r="F3"/>
  <c r="E3"/>
  <c r="D3"/>
  <c r="C3"/>
  <c r="B3"/>
  <c r="AF3" i="63"/>
  <c r="AE3"/>
  <c r="AD3"/>
  <c r="AC3"/>
  <c r="AB3"/>
  <c r="AA3"/>
  <c r="Z3"/>
  <c r="Y3"/>
  <c r="X3"/>
  <c r="W3"/>
  <c r="V3"/>
  <c r="U3"/>
  <c r="T3"/>
  <c r="S3"/>
  <c r="R3"/>
  <c r="Q3"/>
  <c r="P3"/>
  <c r="O3"/>
  <c r="N3"/>
  <c r="M3"/>
  <c r="L3"/>
  <c r="K3"/>
  <c r="J3"/>
  <c r="I3"/>
  <c r="H3"/>
  <c r="G3"/>
  <c r="F3"/>
  <c r="E3"/>
  <c r="D3"/>
  <c r="C3"/>
  <c r="B3"/>
  <c r="AA193" i="118"/>
  <c r="AA194" s="1"/>
  <c r="AA195" s="1"/>
  <c r="AA196" s="1"/>
  <c r="AA197" s="1"/>
  <c r="AA99"/>
  <c r="AA100" s="1"/>
  <c r="AA101" s="1"/>
  <c r="AA102" s="1"/>
  <c r="AA103" s="1"/>
  <c r="A6" i="120"/>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G3"/>
  <c r="AF3"/>
  <c r="AE3"/>
  <c r="AD3"/>
  <c r="AC3"/>
  <c r="AB3"/>
  <c r="AA3"/>
  <c r="Z3"/>
  <c r="Y3"/>
  <c r="X3"/>
  <c r="W3"/>
  <c r="V3"/>
  <c r="U3"/>
  <c r="T3"/>
  <c r="S3"/>
  <c r="R3"/>
  <c r="Q3"/>
  <c r="P3"/>
  <c r="O3"/>
  <c r="N3"/>
  <c r="M3"/>
  <c r="L3"/>
  <c r="K3"/>
  <c r="J3"/>
  <c r="I3"/>
  <c r="H3"/>
  <c r="G3"/>
  <c r="F3"/>
  <c r="E3"/>
  <c r="D3"/>
  <c r="C3"/>
  <c r="B3"/>
  <c r="A6" i="119"/>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G3"/>
  <c r="AF3"/>
  <c r="AE3"/>
  <c r="AD3"/>
  <c r="AC3"/>
  <c r="AB3"/>
  <c r="AA3"/>
  <c r="Z3"/>
  <c r="Y3"/>
  <c r="X3"/>
  <c r="W3"/>
  <c r="V3"/>
  <c r="U3"/>
  <c r="T3"/>
  <c r="S3"/>
  <c r="R3"/>
  <c r="Q3"/>
  <c r="P3"/>
  <c r="O3"/>
  <c r="N3"/>
  <c r="M3"/>
  <c r="L3"/>
  <c r="K3"/>
  <c r="J3"/>
  <c r="I3"/>
  <c r="H3"/>
  <c r="G3"/>
  <c r="F3"/>
  <c r="E3"/>
  <c r="D3"/>
  <c r="C3"/>
  <c r="B3"/>
  <c r="AA52" i="118"/>
  <c r="AA53" s="1"/>
  <c r="AA54" s="1"/>
  <c r="AA55" s="1"/>
  <c r="AA56" s="1"/>
  <c r="I45" i="58"/>
  <c r="C45"/>
  <c r="I44"/>
  <c r="C44"/>
  <c r="I43"/>
  <c r="C43"/>
  <c r="I42"/>
  <c r="C42"/>
  <c r="I41"/>
  <c r="C41"/>
  <c r="I40"/>
  <c r="C40"/>
  <c r="I39"/>
  <c r="C39"/>
  <c r="I38"/>
  <c r="C38"/>
  <c r="I37"/>
  <c r="C37"/>
  <c r="I36"/>
  <c r="C36"/>
  <c r="I35"/>
  <c r="C35"/>
  <c r="I34"/>
  <c r="C34"/>
  <c r="I33"/>
  <c r="C33"/>
  <c r="I32"/>
  <c r="C32"/>
  <c r="I31"/>
  <c r="C31"/>
  <c r="I30"/>
  <c r="C30"/>
  <c r="I29"/>
  <c r="C29"/>
  <c r="I28"/>
  <c r="C28"/>
  <c r="I27"/>
  <c r="C27"/>
  <c r="I26"/>
  <c r="C26"/>
  <c r="I25"/>
  <c r="C25"/>
  <c r="I24"/>
  <c r="C24"/>
  <c r="I23"/>
  <c r="C23"/>
  <c r="I22"/>
  <c r="C22"/>
  <c r="I21"/>
  <c r="C21"/>
  <c r="I20"/>
  <c r="C20"/>
  <c r="I19"/>
  <c r="C19"/>
  <c r="I18"/>
  <c r="C18"/>
  <c r="I17"/>
  <c r="C17"/>
  <c r="I16"/>
  <c r="C16"/>
  <c r="I15"/>
  <c r="C15"/>
  <c r="I14"/>
  <c r="C14"/>
  <c r="I13"/>
  <c r="C13"/>
  <c r="I12"/>
  <c r="C12"/>
  <c r="I11"/>
  <c r="C11"/>
  <c r="I10"/>
  <c r="C10"/>
  <c r="I9"/>
  <c r="C9"/>
  <c r="I8"/>
  <c r="C8"/>
  <c r="I7"/>
  <c r="C7"/>
  <c r="I6"/>
  <c r="C6"/>
  <c r="C5"/>
  <c r="P3"/>
  <c r="O3"/>
  <c r="J3"/>
  <c r="I3"/>
  <c r="E3"/>
  <c r="D3"/>
  <c r="C3"/>
  <c r="B3"/>
  <c r="AZ3" i="118"/>
  <c r="AY3"/>
  <c r="AX3"/>
  <c r="AW3"/>
  <c r="AV3"/>
  <c r="AU3"/>
  <c r="AT3"/>
  <c r="AS3"/>
  <c r="AR3"/>
  <c r="AQ3"/>
  <c r="AP3"/>
  <c r="AO3"/>
  <c r="AN3"/>
  <c r="AM3"/>
  <c r="AL3"/>
  <c r="AK3"/>
  <c r="AJ3"/>
  <c r="AI3"/>
  <c r="AH3"/>
  <c r="AG3"/>
  <c r="B35"/>
  <c r="B33"/>
  <c r="B32"/>
  <c r="B31"/>
  <c r="B30"/>
  <c r="AA5"/>
  <c r="AA6" s="1"/>
  <c r="AA7" s="1"/>
  <c r="AA8" s="1"/>
  <c r="AA9" s="1"/>
  <c r="I36" i="60"/>
  <c r="D17" i="138" l="1"/>
  <c r="D16"/>
  <c r="AP19" i="167"/>
  <c r="AF50" i="118"/>
  <c r="AJ50"/>
  <c r="AJ144"/>
  <c r="AN50"/>
  <c r="AN144"/>
  <c r="AP50"/>
  <c r="AP144"/>
  <c r="AR50"/>
  <c r="AR144"/>
  <c r="AT50"/>
  <c r="AT144"/>
  <c r="AV50"/>
  <c r="AV144"/>
  <c r="AX50"/>
  <c r="AX144"/>
  <c r="AZ50"/>
  <c r="AZ144"/>
  <c r="AH50"/>
  <c r="AH144"/>
  <c r="AL50"/>
  <c r="AL144"/>
  <c r="AG50"/>
  <c r="AG144"/>
  <c r="AI50"/>
  <c r="AI144"/>
  <c r="AK50"/>
  <c r="AK144"/>
  <c r="AM50"/>
  <c r="AM144"/>
  <c r="AO50"/>
  <c r="AO144"/>
  <c r="AQ50"/>
  <c r="AQ144"/>
  <c r="AS50"/>
  <c r="AS144"/>
  <c r="AU50"/>
  <c r="AU144"/>
  <c r="AW50"/>
  <c r="AW144"/>
  <c r="AY50"/>
  <c r="AY144"/>
  <c r="AA169"/>
  <c r="BM3"/>
  <c r="BM332" s="1"/>
  <c r="D14" i="138"/>
  <c r="D12"/>
  <c r="D13"/>
  <c r="D10"/>
  <c r="D9"/>
  <c r="D8"/>
  <c r="C3" i="139"/>
  <c r="M11" i="49"/>
  <c r="B25" i="137"/>
  <c r="V28"/>
  <c r="I11" i="49"/>
  <c r="D12" i="42"/>
  <c r="D18"/>
  <c r="D14"/>
  <c r="U16" i="13"/>
  <c r="X14" i="1"/>
  <c r="X12"/>
  <c r="U16"/>
  <c r="X15"/>
  <c r="BX380" i="118"/>
  <c r="BV380"/>
  <c r="BT380"/>
  <c r="BR380"/>
  <c r="BP380"/>
  <c r="BN380"/>
  <c r="BL380"/>
  <c r="BJ380"/>
  <c r="BH380"/>
  <c r="BF380"/>
  <c r="BD380"/>
  <c r="BW380"/>
  <c r="BU380"/>
  <c r="BS380"/>
  <c r="BQ380"/>
  <c r="BO380"/>
  <c r="BM380"/>
  <c r="BK380"/>
  <c r="BI380"/>
  <c r="BG380"/>
  <c r="BE380"/>
  <c r="E8" i="58"/>
  <c r="AA381" i="118"/>
  <c r="AG191"/>
  <c r="AI191"/>
  <c r="AK191"/>
  <c r="AM191"/>
  <c r="AO191"/>
  <c r="AQ191"/>
  <c r="AS191"/>
  <c r="AU191"/>
  <c r="AW191"/>
  <c r="AY191"/>
  <c r="AF238"/>
  <c r="AH238"/>
  <c r="AJ238"/>
  <c r="AL238"/>
  <c r="AN238"/>
  <c r="AP238"/>
  <c r="AR238"/>
  <c r="AT238"/>
  <c r="AV238"/>
  <c r="AX238"/>
  <c r="AZ238"/>
  <c r="AG285"/>
  <c r="AI285"/>
  <c r="AK285"/>
  <c r="AM285"/>
  <c r="AO285"/>
  <c r="AQ285"/>
  <c r="AS285"/>
  <c r="AU285"/>
  <c r="AW285"/>
  <c r="AY285"/>
  <c r="AG332"/>
  <c r="AI332"/>
  <c r="AK332"/>
  <c r="AM332"/>
  <c r="AO332"/>
  <c r="AQ332"/>
  <c r="AS332"/>
  <c r="AU332"/>
  <c r="AW332"/>
  <c r="AY332"/>
  <c r="AF191"/>
  <c r="AH191"/>
  <c r="AJ191"/>
  <c r="AL191"/>
  <c r="AN191"/>
  <c r="AP191"/>
  <c r="AR191"/>
  <c r="AT191"/>
  <c r="AV191"/>
  <c r="AX191"/>
  <c r="AZ191"/>
  <c r="AG238"/>
  <c r="AI238"/>
  <c r="AK238"/>
  <c r="AM238"/>
  <c r="AO238"/>
  <c r="AQ238"/>
  <c r="AS238"/>
  <c r="AU238"/>
  <c r="AW238"/>
  <c r="AY238"/>
  <c r="AF285"/>
  <c r="AH285"/>
  <c r="AJ285"/>
  <c r="AL285"/>
  <c r="AN285"/>
  <c r="AP285"/>
  <c r="AR285"/>
  <c r="AT285"/>
  <c r="AV285"/>
  <c r="AX285"/>
  <c r="AZ285"/>
  <c r="AF332"/>
  <c r="AH332"/>
  <c r="AJ332"/>
  <c r="AL332"/>
  <c r="AN332"/>
  <c r="AP332"/>
  <c r="AR332"/>
  <c r="AT332"/>
  <c r="AV332"/>
  <c r="AX332"/>
  <c r="AZ332"/>
  <c r="AA339"/>
  <c r="AA292"/>
  <c r="AA245"/>
  <c r="AA198"/>
  <c r="AG97"/>
  <c r="AI97"/>
  <c r="AK97"/>
  <c r="AM97"/>
  <c r="AO97"/>
  <c r="AQ97"/>
  <c r="AS97"/>
  <c r="AU97"/>
  <c r="AW97"/>
  <c r="AY97"/>
  <c r="AF97"/>
  <c r="AH97"/>
  <c r="AJ97"/>
  <c r="AL97"/>
  <c r="AN97"/>
  <c r="AP97"/>
  <c r="AR97"/>
  <c r="AT97"/>
  <c r="AV97"/>
  <c r="AX97"/>
  <c r="AZ97"/>
  <c r="AA104"/>
  <c r="AA57"/>
  <c r="AA10"/>
  <c r="D15" i="138" l="1"/>
  <c r="BM191" i="118"/>
  <c r="BM285"/>
  <c r="BM97"/>
  <c r="BM238"/>
  <c r="BM50"/>
  <c r="BM144"/>
  <c r="AA170"/>
  <c r="D6" i="138"/>
  <c r="D7"/>
  <c r="H15" i="51"/>
  <c r="V29" i="137"/>
  <c r="B26"/>
  <c r="U17" i="13"/>
  <c r="X16" i="1"/>
  <c r="U17"/>
  <c r="BW381" i="118"/>
  <c r="BU381"/>
  <c r="BS381"/>
  <c r="BQ381"/>
  <c r="BO381"/>
  <c r="BM381"/>
  <c r="BK381"/>
  <c r="BI381"/>
  <c r="BG381"/>
  <c r="BE381"/>
  <c r="BX381"/>
  <c r="BV381"/>
  <c r="BT381"/>
  <c r="BR381"/>
  <c r="BP381"/>
  <c r="BN381"/>
  <c r="BL381"/>
  <c r="BJ381"/>
  <c r="BH381"/>
  <c r="BF381"/>
  <c r="AJ381"/>
  <c r="D8" i="58"/>
  <c r="H8"/>
  <c r="G8" s="1"/>
  <c r="E9"/>
  <c r="AA382" i="118"/>
  <c r="AA340"/>
  <c r="AA293"/>
  <c r="AA246"/>
  <c r="AA199"/>
  <c r="AA105"/>
  <c r="AA58"/>
  <c r="AA11"/>
  <c r="AA171" l="1"/>
  <c r="I9" i="138"/>
  <c r="I6"/>
  <c r="K6"/>
  <c r="E6"/>
  <c r="I7" s="1"/>
  <c r="E16"/>
  <c r="E18"/>
  <c r="L18" s="1"/>
  <c r="E9"/>
  <c r="E17"/>
  <c r="L17" s="1"/>
  <c r="E23"/>
  <c r="H23" s="1"/>
  <c r="E12"/>
  <c r="E22"/>
  <c r="H22" s="1"/>
  <c r="E21"/>
  <c r="L21" s="1"/>
  <c r="E15"/>
  <c r="I19" s="1"/>
  <c r="E11"/>
  <c r="E10"/>
  <c r="L10" s="1"/>
  <c r="E19"/>
  <c r="L19" s="1"/>
  <c r="E20"/>
  <c r="H20" s="1"/>
  <c r="D24"/>
  <c r="F24" s="1"/>
  <c r="M24" s="1"/>
  <c r="E8"/>
  <c r="L8" s="1"/>
  <c r="E14"/>
  <c r="E13"/>
  <c r="L13" s="1"/>
  <c r="E7"/>
  <c r="K8" s="1"/>
  <c r="B27" i="137"/>
  <c r="V30"/>
  <c r="U18" i="13"/>
  <c r="U18" i="1"/>
  <c r="X17"/>
  <c r="BX382" i="118"/>
  <c r="BV382"/>
  <c r="BT382"/>
  <c r="BR382"/>
  <c r="BP382"/>
  <c r="BN382"/>
  <c r="BL382"/>
  <c r="BJ382"/>
  <c r="BH382"/>
  <c r="BF382"/>
  <c r="AJ382"/>
  <c r="BW382"/>
  <c r="BU382"/>
  <c r="BS382"/>
  <c r="BQ382"/>
  <c r="BO382"/>
  <c r="BM382"/>
  <c r="BK382"/>
  <c r="BI382"/>
  <c r="BG382"/>
  <c r="AK382"/>
  <c r="D9" i="58"/>
  <c r="E10"/>
  <c r="H9"/>
  <c r="G9" s="1"/>
  <c r="AA383" i="118"/>
  <c r="AA341"/>
  <c r="AA294"/>
  <c r="AA247"/>
  <c r="AA200"/>
  <c r="AA106"/>
  <c r="AA59"/>
  <c r="AA12"/>
  <c r="AF3" i="69"/>
  <c r="AF3" i="67"/>
  <c r="B95" i="76"/>
  <c r="C95"/>
  <c r="D95"/>
  <c r="E95"/>
  <c r="F95"/>
  <c r="G95"/>
  <c r="H95"/>
  <c r="I95"/>
  <c r="J95"/>
  <c r="K95"/>
  <c r="L95"/>
  <c r="M95"/>
  <c r="N95"/>
  <c r="O95"/>
  <c r="P95"/>
  <c r="Q95"/>
  <c r="R95"/>
  <c r="S95"/>
  <c r="T95"/>
  <c r="U95"/>
  <c r="V95"/>
  <c r="W95"/>
  <c r="X95"/>
  <c r="Y95"/>
  <c r="Z95"/>
  <c r="AA95"/>
  <c r="AB95"/>
  <c r="AC95"/>
  <c r="AD95"/>
  <c r="AE95"/>
  <c r="O32" i="77"/>
  <c r="O31"/>
  <c r="B92" i="76"/>
  <c r="C92"/>
  <c r="D92"/>
  <c r="E92"/>
  <c r="F92"/>
  <c r="G92"/>
  <c r="H92"/>
  <c r="I92"/>
  <c r="J92"/>
  <c r="K92"/>
  <c r="L92"/>
  <c r="M92"/>
  <c r="N92"/>
  <c r="O92"/>
  <c r="P92"/>
  <c r="Q92"/>
  <c r="R92"/>
  <c r="S92"/>
  <c r="T92"/>
  <c r="U92"/>
  <c r="V92"/>
  <c r="W92"/>
  <c r="X92"/>
  <c r="Y92"/>
  <c r="Z92"/>
  <c r="AA92"/>
  <c r="AB92"/>
  <c r="AC92"/>
  <c r="AD92"/>
  <c r="AE92"/>
  <c r="B93"/>
  <c r="C93"/>
  <c r="D93"/>
  <c r="E93"/>
  <c r="F93"/>
  <c r="G93"/>
  <c r="H93"/>
  <c r="I93"/>
  <c r="J93"/>
  <c r="K93"/>
  <c r="L93"/>
  <c r="M93"/>
  <c r="N93"/>
  <c r="O93"/>
  <c r="P93"/>
  <c r="Q93"/>
  <c r="R93"/>
  <c r="S93"/>
  <c r="T93"/>
  <c r="U93"/>
  <c r="V93"/>
  <c r="W93"/>
  <c r="X93"/>
  <c r="Y93"/>
  <c r="Z93"/>
  <c r="AA93"/>
  <c r="AB93"/>
  <c r="AC93"/>
  <c r="AD93"/>
  <c r="B94"/>
  <c r="C94"/>
  <c r="D94"/>
  <c r="E94"/>
  <c r="F94"/>
  <c r="G94"/>
  <c r="H94"/>
  <c r="I94"/>
  <c r="J94"/>
  <c r="K94"/>
  <c r="L94"/>
  <c r="M94"/>
  <c r="N94"/>
  <c r="O94"/>
  <c r="P94"/>
  <c r="Q94"/>
  <c r="R94"/>
  <c r="S94"/>
  <c r="T94"/>
  <c r="U94"/>
  <c r="V94"/>
  <c r="W94"/>
  <c r="X94"/>
  <c r="Y94"/>
  <c r="Z94"/>
  <c r="AA94"/>
  <c r="AB94"/>
  <c r="AC94"/>
  <c r="AD94"/>
  <c r="B80"/>
  <c r="C80"/>
  <c r="D80"/>
  <c r="E80"/>
  <c r="F80"/>
  <c r="G80"/>
  <c r="H80"/>
  <c r="I80"/>
  <c r="J80"/>
  <c r="K80"/>
  <c r="L80"/>
  <c r="M80"/>
  <c r="N80"/>
  <c r="O80"/>
  <c r="P80"/>
  <c r="Q80"/>
  <c r="R80"/>
  <c r="S80"/>
  <c r="T80"/>
  <c r="U80"/>
  <c r="V80"/>
  <c r="W80"/>
  <c r="X80"/>
  <c r="Y80"/>
  <c r="Z80"/>
  <c r="AA80"/>
  <c r="AB80"/>
  <c r="AC80"/>
  <c r="AD80"/>
  <c r="AE80"/>
  <c r="B81"/>
  <c r="C81"/>
  <c r="D81"/>
  <c r="E81"/>
  <c r="F81"/>
  <c r="G81"/>
  <c r="H81"/>
  <c r="I81"/>
  <c r="J81"/>
  <c r="K81"/>
  <c r="L81"/>
  <c r="M81"/>
  <c r="N81"/>
  <c r="O81"/>
  <c r="P81"/>
  <c r="Q81"/>
  <c r="R81"/>
  <c r="S81"/>
  <c r="T81"/>
  <c r="U81"/>
  <c r="V81"/>
  <c r="W81"/>
  <c r="X81"/>
  <c r="Y81"/>
  <c r="Z81"/>
  <c r="AB81"/>
  <c r="AC81"/>
  <c r="AD81"/>
  <c r="AE81"/>
  <c r="B82"/>
  <c r="C82"/>
  <c r="D82"/>
  <c r="E82"/>
  <c r="F82"/>
  <c r="G82"/>
  <c r="H82"/>
  <c r="I82"/>
  <c r="J82"/>
  <c r="K82"/>
  <c r="L82"/>
  <c r="M82"/>
  <c r="N82"/>
  <c r="O82"/>
  <c r="P82"/>
  <c r="Q82"/>
  <c r="R82"/>
  <c r="S82"/>
  <c r="T82"/>
  <c r="U82"/>
  <c r="V82"/>
  <c r="W82"/>
  <c r="X82"/>
  <c r="Y82"/>
  <c r="Z82"/>
  <c r="AB82"/>
  <c r="AC82"/>
  <c r="AD82"/>
  <c r="AE82"/>
  <c r="B83"/>
  <c r="C83"/>
  <c r="D83"/>
  <c r="E83"/>
  <c r="F83"/>
  <c r="G83"/>
  <c r="H83"/>
  <c r="I83"/>
  <c r="J83"/>
  <c r="K83"/>
  <c r="L83"/>
  <c r="M83"/>
  <c r="N83"/>
  <c r="O83"/>
  <c r="P83"/>
  <c r="Q83"/>
  <c r="R83"/>
  <c r="S83"/>
  <c r="T83"/>
  <c r="U83"/>
  <c r="V83"/>
  <c r="W83"/>
  <c r="X83"/>
  <c r="Y83"/>
  <c r="Z83"/>
  <c r="AA83"/>
  <c r="AB83"/>
  <c r="AC83"/>
  <c r="AD83"/>
  <c r="AE83"/>
  <c r="B84"/>
  <c r="C84"/>
  <c r="D84"/>
  <c r="E84"/>
  <c r="F84"/>
  <c r="G84"/>
  <c r="H84"/>
  <c r="I84"/>
  <c r="J84"/>
  <c r="K84"/>
  <c r="L84"/>
  <c r="M84"/>
  <c r="N84"/>
  <c r="O84"/>
  <c r="P84"/>
  <c r="Q84"/>
  <c r="R84"/>
  <c r="S84"/>
  <c r="T84"/>
  <c r="U84"/>
  <c r="V84"/>
  <c r="W84"/>
  <c r="X84"/>
  <c r="Y84"/>
  <c r="Z84"/>
  <c r="AA84"/>
  <c r="AC84"/>
  <c r="AD84"/>
  <c r="AE84"/>
  <c r="B85"/>
  <c r="C85"/>
  <c r="D85"/>
  <c r="E85"/>
  <c r="F85"/>
  <c r="G85"/>
  <c r="H85"/>
  <c r="I85"/>
  <c r="J85"/>
  <c r="K85"/>
  <c r="L85"/>
  <c r="M85"/>
  <c r="N85"/>
  <c r="O85"/>
  <c r="P85"/>
  <c r="Q85"/>
  <c r="R85"/>
  <c r="S85"/>
  <c r="T85"/>
  <c r="U85"/>
  <c r="V85"/>
  <c r="W85"/>
  <c r="X85"/>
  <c r="Y85"/>
  <c r="Z85"/>
  <c r="AA85"/>
  <c r="AC85"/>
  <c r="AD85"/>
  <c r="AE85"/>
  <c r="B86"/>
  <c r="C86"/>
  <c r="D86"/>
  <c r="E86"/>
  <c r="F86"/>
  <c r="G86"/>
  <c r="H86"/>
  <c r="I86"/>
  <c r="J86"/>
  <c r="K86"/>
  <c r="L86"/>
  <c r="M86"/>
  <c r="N86"/>
  <c r="O86"/>
  <c r="P86"/>
  <c r="Q86"/>
  <c r="R86"/>
  <c r="S86"/>
  <c r="T86"/>
  <c r="U86"/>
  <c r="V86"/>
  <c r="W86"/>
  <c r="X86"/>
  <c r="Y86"/>
  <c r="Z86"/>
  <c r="AA86"/>
  <c r="AB86"/>
  <c r="AC86"/>
  <c r="AD86"/>
  <c r="AE86"/>
  <c r="B87"/>
  <c r="C87"/>
  <c r="D87"/>
  <c r="E87"/>
  <c r="F87"/>
  <c r="G87"/>
  <c r="H87"/>
  <c r="I87"/>
  <c r="J87"/>
  <c r="K87"/>
  <c r="L87"/>
  <c r="M87"/>
  <c r="N87"/>
  <c r="O87"/>
  <c r="P87"/>
  <c r="Q87"/>
  <c r="R87"/>
  <c r="S87"/>
  <c r="T87"/>
  <c r="U87"/>
  <c r="V87"/>
  <c r="W87"/>
  <c r="X87"/>
  <c r="Y87"/>
  <c r="Z87"/>
  <c r="AA87"/>
  <c r="AB87"/>
  <c r="AD87"/>
  <c r="AE87"/>
  <c r="B88"/>
  <c r="C88"/>
  <c r="D88"/>
  <c r="E88"/>
  <c r="F88"/>
  <c r="G88"/>
  <c r="H88"/>
  <c r="I88"/>
  <c r="J88"/>
  <c r="K88"/>
  <c r="L88"/>
  <c r="M88"/>
  <c r="N88"/>
  <c r="O88"/>
  <c r="P88"/>
  <c r="Q88"/>
  <c r="R88"/>
  <c r="S88"/>
  <c r="T88"/>
  <c r="U88"/>
  <c r="V88"/>
  <c r="W88"/>
  <c r="X88"/>
  <c r="Y88"/>
  <c r="Z88"/>
  <c r="AA88"/>
  <c r="AB88"/>
  <c r="AD88"/>
  <c r="AE88"/>
  <c r="B89"/>
  <c r="C89"/>
  <c r="D89"/>
  <c r="E89"/>
  <c r="F89"/>
  <c r="G89"/>
  <c r="H89"/>
  <c r="I89"/>
  <c r="J89"/>
  <c r="K89"/>
  <c r="L89"/>
  <c r="M89"/>
  <c r="N89"/>
  <c r="O89"/>
  <c r="P89"/>
  <c r="Q89"/>
  <c r="R89"/>
  <c r="S89"/>
  <c r="T89"/>
  <c r="U89"/>
  <c r="V89"/>
  <c r="W89"/>
  <c r="X89"/>
  <c r="Y89"/>
  <c r="Z89"/>
  <c r="AA89"/>
  <c r="AB89"/>
  <c r="AC89"/>
  <c r="AD89"/>
  <c r="AE89"/>
  <c r="B90"/>
  <c r="C90"/>
  <c r="D90"/>
  <c r="E90"/>
  <c r="F90"/>
  <c r="G90"/>
  <c r="H90"/>
  <c r="I90"/>
  <c r="J90"/>
  <c r="K90"/>
  <c r="L90"/>
  <c r="M90"/>
  <c r="N90"/>
  <c r="O90"/>
  <c r="P90"/>
  <c r="Q90"/>
  <c r="R90"/>
  <c r="S90"/>
  <c r="T90"/>
  <c r="U90"/>
  <c r="V90"/>
  <c r="W90"/>
  <c r="X90"/>
  <c r="Y90"/>
  <c r="Z90"/>
  <c r="AA90"/>
  <c r="AB90"/>
  <c r="AC90"/>
  <c r="AE90"/>
  <c r="B91"/>
  <c r="C91"/>
  <c r="D91"/>
  <c r="E91"/>
  <c r="F91"/>
  <c r="G91"/>
  <c r="H91"/>
  <c r="I91"/>
  <c r="J91"/>
  <c r="K91"/>
  <c r="L91"/>
  <c r="M91"/>
  <c r="N91"/>
  <c r="O91"/>
  <c r="P91"/>
  <c r="Q91"/>
  <c r="R91"/>
  <c r="S91"/>
  <c r="T91"/>
  <c r="U91"/>
  <c r="V91"/>
  <c r="W91"/>
  <c r="X91"/>
  <c r="Y91"/>
  <c r="Z91"/>
  <c r="AA91"/>
  <c r="AB91"/>
  <c r="AC91"/>
  <c r="AE91"/>
  <c r="AA7"/>
  <c r="AB7"/>
  <c r="AC7"/>
  <c r="AD7"/>
  <c r="AE7"/>
  <c r="AA8"/>
  <c r="AB8"/>
  <c r="AC8"/>
  <c r="AD8"/>
  <c r="AE8"/>
  <c r="AA9"/>
  <c r="AB9"/>
  <c r="AC9"/>
  <c r="AD9"/>
  <c r="AE9"/>
  <c r="AA10"/>
  <c r="AB10"/>
  <c r="AC10"/>
  <c r="AD10"/>
  <c r="AE10"/>
  <c r="AA11"/>
  <c r="AB11"/>
  <c r="AC11"/>
  <c r="AD11"/>
  <c r="AE11"/>
  <c r="AA12"/>
  <c r="AB12"/>
  <c r="AC12"/>
  <c r="AD12"/>
  <c r="AE12"/>
  <c r="AA13"/>
  <c r="AB13"/>
  <c r="AC13"/>
  <c r="AD13"/>
  <c r="AE13"/>
  <c r="AA14"/>
  <c r="AB14"/>
  <c r="AC14"/>
  <c r="AD14"/>
  <c r="AE14"/>
  <c r="AA15"/>
  <c r="AB15"/>
  <c r="AC15"/>
  <c r="AD15"/>
  <c r="AE15"/>
  <c r="AA16"/>
  <c r="AB16"/>
  <c r="AC16"/>
  <c r="AD16"/>
  <c r="AE16"/>
  <c r="AA17"/>
  <c r="AB17"/>
  <c r="AC17"/>
  <c r="AD17"/>
  <c r="AE17"/>
  <c r="AA18"/>
  <c r="AB18"/>
  <c r="AC18"/>
  <c r="AD18"/>
  <c r="AE18"/>
  <c r="AA19"/>
  <c r="AB19"/>
  <c r="AC19"/>
  <c r="AD19"/>
  <c r="AE19"/>
  <c r="AA20"/>
  <c r="AB20"/>
  <c r="AC20"/>
  <c r="AD20"/>
  <c r="AE20"/>
  <c r="AA21"/>
  <c r="AB21"/>
  <c r="AC21"/>
  <c r="AD21"/>
  <c r="AE21"/>
  <c r="AA22"/>
  <c r="AB22"/>
  <c r="AC22"/>
  <c r="AD22"/>
  <c r="AE22"/>
  <c r="AA23"/>
  <c r="AB23"/>
  <c r="AC23"/>
  <c r="AD23"/>
  <c r="AE23"/>
  <c r="AA24"/>
  <c r="AB24"/>
  <c r="AC24"/>
  <c r="AD24"/>
  <c r="AE24"/>
  <c r="AA25"/>
  <c r="AB25"/>
  <c r="AC25"/>
  <c r="AD25"/>
  <c r="AE25"/>
  <c r="AA26"/>
  <c r="AB26"/>
  <c r="AC26"/>
  <c r="AD26"/>
  <c r="AE26"/>
  <c r="AA27"/>
  <c r="AB27"/>
  <c r="AC27"/>
  <c r="AD27"/>
  <c r="AE27"/>
  <c r="AA28"/>
  <c r="AB28"/>
  <c r="AC28"/>
  <c r="AD28"/>
  <c r="AE28"/>
  <c r="AA29"/>
  <c r="AB29"/>
  <c r="AC29"/>
  <c r="AD29"/>
  <c r="AE29"/>
  <c r="AA30"/>
  <c r="AB30"/>
  <c r="AC30"/>
  <c r="AD30"/>
  <c r="AE30"/>
  <c r="AA31"/>
  <c r="AB31"/>
  <c r="AC31"/>
  <c r="AD31"/>
  <c r="AE31"/>
  <c r="AA32"/>
  <c r="AB32"/>
  <c r="AC32"/>
  <c r="AD32"/>
  <c r="AE32"/>
  <c r="AA33"/>
  <c r="AB33"/>
  <c r="AC33"/>
  <c r="AD33"/>
  <c r="AE33"/>
  <c r="AA34"/>
  <c r="AB34"/>
  <c r="AC34"/>
  <c r="AD34"/>
  <c r="AE34"/>
  <c r="AA35"/>
  <c r="AB35"/>
  <c r="AC35"/>
  <c r="AD35"/>
  <c r="AE35"/>
  <c r="AA36"/>
  <c r="AB36"/>
  <c r="AC36"/>
  <c r="AD36"/>
  <c r="AE36"/>
  <c r="AA37"/>
  <c r="AB37"/>
  <c r="AC37"/>
  <c r="AD37"/>
  <c r="AE37"/>
  <c r="AA38"/>
  <c r="AB38"/>
  <c r="AC38"/>
  <c r="AD38"/>
  <c r="AE38"/>
  <c r="AA39"/>
  <c r="AB39"/>
  <c r="AC39"/>
  <c r="AD39"/>
  <c r="AE39"/>
  <c r="AA40"/>
  <c r="AB40"/>
  <c r="AC40"/>
  <c r="AD40"/>
  <c r="AE40"/>
  <c r="AA41"/>
  <c r="AB41"/>
  <c r="AC41"/>
  <c r="AD41"/>
  <c r="AE41"/>
  <c r="AA42"/>
  <c r="AB42"/>
  <c r="AC42"/>
  <c r="AD42"/>
  <c r="AE42"/>
  <c r="AA43"/>
  <c r="AB43"/>
  <c r="AC43"/>
  <c r="AD43"/>
  <c r="AE43"/>
  <c r="AA44"/>
  <c r="AB44"/>
  <c r="AC44"/>
  <c r="AD44"/>
  <c r="AE44"/>
  <c r="AA45"/>
  <c r="AB45"/>
  <c r="AC45"/>
  <c r="AD45"/>
  <c r="AE45"/>
  <c r="AA46"/>
  <c r="AB46"/>
  <c r="AC46"/>
  <c r="AD46"/>
  <c r="AE46"/>
  <c r="AA47"/>
  <c r="AB47"/>
  <c r="AC47"/>
  <c r="AD47"/>
  <c r="AE47"/>
  <c r="AA48"/>
  <c r="AB48"/>
  <c r="AC48"/>
  <c r="AD48"/>
  <c r="AE48"/>
  <c r="AA49"/>
  <c r="AB49"/>
  <c r="AC49"/>
  <c r="AD49"/>
  <c r="AE49"/>
  <c r="AA50"/>
  <c r="AB50"/>
  <c r="AC50"/>
  <c r="AD50"/>
  <c r="AE50"/>
  <c r="AA51"/>
  <c r="AB51"/>
  <c r="AC51"/>
  <c r="AD51"/>
  <c r="AE51"/>
  <c r="AA52"/>
  <c r="AB52"/>
  <c r="AC52"/>
  <c r="AD52"/>
  <c r="AE52"/>
  <c r="AA53"/>
  <c r="AB53"/>
  <c r="AC53"/>
  <c r="AD53"/>
  <c r="AE53"/>
  <c r="AA54"/>
  <c r="AB54"/>
  <c r="AC54"/>
  <c r="AD54"/>
  <c r="AE54"/>
  <c r="AA55"/>
  <c r="AB55"/>
  <c r="AC55"/>
  <c r="AD55"/>
  <c r="AE55"/>
  <c r="AA56"/>
  <c r="AB56"/>
  <c r="AC56"/>
  <c r="AD56"/>
  <c r="AE56"/>
  <c r="AA57"/>
  <c r="AB57"/>
  <c r="AC57"/>
  <c r="AD57"/>
  <c r="AE57"/>
  <c r="AA58"/>
  <c r="AB58"/>
  <c r="AC58"/>
  <c r="AD58"/>
  <c r="AE58"/>
  <c r="AA59"/>
  <c r="AB59"/>
  <c r="AC59"/>
  <c r="AD59"/>
  <c r="AE59"/>
  <c r="AA60"/>
  <c r="AB60"/>
  <c r="AC60"/>
  <c r="AD60"/>
  <c r="AE60"/>
  <c r="AA61"/>
  <c r="AB61"/>
  <c r="AC61"/>
  <c r="AD61"/>
  <c r="AE61"/>
  <c r="AA62"/>
  <c r="AB62"/>
  <c r="AC62"/>
  <c r="AD62"/>
  <c r="AE62"/>
  <c r="AA63"/>
  <c r="AB63"/>
  <c r="AC63"/>
  <c r="AD63"/>
  <c r="AE63"/>
  <c r="AA64"/>
  <c r="AB64"/>
  <c r="AC64"/>
  <c r="AD64"/>
  <c r="AE64"/>
  <c r="AA65"/>
  <c r="AB65"/>
  <c r="AC65"/>
  <c r="AD65"/>
  <c r="AE65"/>
  <c r="AA66"/>
  <c r="AB66"/>
  <c r="AC66"/>
  <c r="AD66"/>
  <c r="AE66"/>
  <c r="AA67"/>
  <c r="AB67"/>
  <c r="AC67"/>
  <c r="AD67"/>
  <c r="AE67"/>
  <c r="AA68"/>
  <c r="AB68"/>
  <c r="AC68"/>
  <c r="AD68"/>
  <c r="AE68"/>
  <c r="AA69"/>
  <c r="AB69"/>
  <c r="AC69"/>
  <c r="AD69"/>
  <c r="AE69"/>
  <c r="AA70"/>
  <c r="AB70"/>
  <c r="AC70"/>
  <c r="AD70"/>
  <c r="AE70"/>
  <c r="AA71"/>
  <c r="AB71"/>
  <c r="AC71"/>
  <c r="AD71"/>
  <c r="AE71"/>
  <c r="AA72"/>
  <c r="AB72"/>
  <c r="AC72"/>
  <c r="AD72"/>
  <c r="AE72"/>
  <c r="AA73"/>
  <c r="AB73"/>
  <c r="AC73"/>
  <c r="AD73"/>
  <c r="AE73"/>
  <c r="AA74"/>
  <c r="AB74"/>
  <c r="AC74"/>
  <c r="AD74"/>
  <c r="AE74"/>
  <c r="AA75"/>
  <c r="AB75"/>
  <c r="AC75"/>
  <c r="AD75"/>
  <c r="AE75"/>
  <c r="AA76"/>
  <c r="AB76"/>
  <c r="AC76"/>
  <c r="AD76"/>
  <c r="AE76"/>
  <c r="AA77"/>
  <c r="AB77"/>
  <c r="AC77"/>
  <c r="AD77"/>
  <c r="AE77"/>
  <c r="AA78"/>
  <c r="AB78"/>
  <c r="AC78"/>
  <c r="AD78"/>
  <c r="AE78"/>
  <c r="AA79"/>
  <c r="AB79"/>
  <c r="AC79"/>
  <c r="AD79"/>
  <c r="AE79"/>
  <c r="AA6"/>
  <c r="AB6"/>
  <c r="AC6"/>
  <c r="AD6"/>
  <c r="AE6"/>
  <c r="AG3" i="72"/>
  <c r="AM3"/>
  <c r="U3"/>
  <c r="AE3"/>
  <c r="S3"/>
  <c r="V3"/>
  <c r="Q3"/>
  <c r="AP3"/>
  <c r="AI3"/>
  <c r="AO3"/>
  <c r="AW3"/>
  <c r="AR3"/>
  <c r="AU3"/>
  <c r="AH3"/>
  <c r="AB3"/>
  <c r="X3"/>
  <c r="Y3"/>
  <c r="AL3"/>
  <c r="Z3"/>
  <c r="K3"/>
  <c r="AN3"/>
  <c r="J3"/>
  <c r="L3"/>
  <c r="AA3"/>
  <c r="AV3"/>
  <c r="O3"/>
  <c r="N3"/>
  <c r="AF3"/>
  <c r="AQ3"/>
  <c r="AT3"/>
  <c r="AD3"/>
  <c r="AS3"/>
  <c r="T3"/>
  <c r="AJ3"/>
  <c r="M3"/>
  <c r="AK3"/>
  <c r="R3"/>
  <c r="P3"/>
  <c r="W3"/>
  <c r="AC3"/>
  <c r="BR6" i="76" l="1"/>
  <c r="BQ6"/>
  <c r="AA172" i="118"/>
  <c r="I22" i="138"/>
  <c r="K15"/>
  <c r="L14"/>
  <c r="K12"/>
  <c r="L11"/>
  <c r="K10"/>
  <c r="L9"/>
  <c r="K17"/>
  <c r="L16"/>
  <c r="K16"/>
  <c r="L15"/>
  <c r="K13"/>
  <c r="L12"/>
  <c r="J17"/>
  <c r="K18"/>
  <c r="J13"/>
  <c r="K14"/>
  <c r="J8"/>
  <c r="K9"/>
  <c r="J10"/>
  <c r="K11"/>
  <c r="J18"/>
  <c r="K19"/>
  <c r="I20"/>
  <c r="J19"/>
  <c r="J11"/>
  <c r="J15"/>
  <c r="J12"/>
  <c r="H16"/>
  <c r="J16"/>
  <c r="J14"/>
  <c r="H9"/>
  <c r="J9"/>
  <c r="K23"/>
  <c r="I23"/>
  <c r="K20"/>
  <c r="J20"/>
  <c r="G22"/>
  <c r="L22"/>
  <c r="G12"/>
  <c r="I10"/>
  <c r="L6"/>
  <c r="M6" s="1"/>
  <c r="K7"/>
  <c r="H6"/>
  <c r="L23"/>
  <c r="G19"/>
  <c r="H21"/>
  <c r="G21"/>
  <c r="G9"/>
  <c r="I18"/>
  <c r="G18"/>
  <c r="H18"/>
  <c r="J23"/>
  <c r="G23"/>
  <c r="J22"/>
  <c r="I21"/>
  <c r="J21"/>
  <c r="K22"/>
  <c r="I16"/>
  <c r="G16"/>
  <c r="I17"/>
  <c r="H17"/>
  <c r="G17"/>
  <c r="G15"/>
  <c r="H14"/>
  <c r="G14"/>
  <c r="H12"/>
  <c r="I13"/>
  <c r="H19"/>
  <c r="H15"/>
  <c r="H11"/>
  <c r="I15"/>
  <c r="G20"/>
  <c r="G11"/>
  <c r="H8"/>
  <c r="I12"/>
  <c r="L20"/>
  <c r="K21"/>
  <c r="H10"/>
  <c r="G10"/>
  <c r="G8"/>
  <c r="I11"/>
  <c r="G13"/>
  <c r="I14"/>
  <c r="H13"/>
  <c r="I8"/>
  <c r="L7"/>
  <c r="H7"/>
  <c r="G7"/>
  <c r="J7"/>
  <c r="V31" i="137"/>
  <c r="B28"/>
  <c r="U19" i="13"/>
  <c r="X18" i="1"/>
  <c r="U19"/>
  <c r="BW383" i="118"/>
  <c r="BU383"/>
  <c r="BS383"/>
  <c r="BQ383"/>
  <c r="BO383"/>
  <c r="BM383"/>
  <c r="BK383"/>
  <c r="BI383"/>
  <c r="BG383"/>
  <c r="AK383"/>
  <c r="BX383"/>
  <c r="BV383"/>
  <c r="BT383"/>
  <c r="BR383"/>
  <c r="BP383"/>
  <c r="BN383"/>
  <c r="BL383"/>
  <c r="BJ383"/>
  <c r="BH383"/>
  <c r="AL383"/>
  <c r="AJ383"/>
  <c r="D10" i="58"/>
  <c r="H10"/>
  <c r="G10" s="1"/>
  <c r="E11"/>
  <c r="AA384" i="118"/>
  <c r="AA342"/>
  <c r="AA295"/>
  <c r="AA248"/>
  <c r="AA201"/>
  <c r="AA107"/>
  <c r="AA60"/>
  <c r="AA13"/>
  <c r="M13" i="138" l="1"/>
  <c r="AA173" i="118"/>
  <c r="M9" i="138"/>
  <c r="M19"/>
  <c r="M23"/>
  <c r="M21"/>
  <c r="M20"/>
  <c r="M7"/>
  <c r="M12"/>
  <c r="M8"/>
  <c r="M18"/>
  <c r="M15"/>
  <c r="M16"/>
  <c r="M22"/>
  <c r="M11"/>
  <c r="M17"/>
  <c r="M10"/>
  <c r="M14"/>
  <c r="B29" i="137"/>
  <c r="V32"/>
  <c r="U20" i="13"/>
  <c r="X19" i="1"/>
  <c r="U20"/>
  <c r="BX384" i="118"/>
  <c r="BV384"/>
  <c r="BT384"/>
  <c r="BR384"/>
  <c r="BP384"/>
  <c r="BN384"/>
  <c r="BL384"/>
  <c r="BJ384"/>
  <c r="BH384"/>
  <c r="AL384"/>
  <c r="AJ384"/>
  <c r="BW384"/>
  <c r="BU384"/>
  <c r="BS384"/>
  <c r="BQ384"/>
  <c r="BO384"/>
  <c r="BM384"/>
  <c r="BK384"/>
  <c r="BI384"/>
  <c r="AM384"/>
  <c r="AK384"/>
  <c r="D11" i="58"/>
  <c r="E12"/>
  <c r="H11"/>
  <c r="G11" s="1"/>
  <c r="AA385" i="118"/>
  <c r="AA343"/>
  <c r="AA296"/>
  <c r="AA249"/>
  <c r="AA202"/>
  <c r="AA108"/>
  <c r="AA61"/>
  <c r="AA14"/>
  <c r="AA174" l="1"/>
  <c r="V33" i="137"/>
  <c r="B30"/>
  <c r="U21" i="13"/>
  <c r="U21" i="1"/>
  <c r="X20"/>
  <c r="BW385" i="118"/>
  <c r="BU385"/>
  <c r="BS385"/>
  <c r="BQ385"/>
  <c r="BO385"/>
  <c r="BM385"/>
  <c r="BK385"/>
  <c r="BI385"/>
  <c r="AM385"/>
  <c r="AK385"/>
  <c r="BX385"/>
  <c r="BV385"/>
  <c r="BT385"/>
  <c r="BR385"/>
  <c r="BP385"/>
  <c r="BN385"/>
  <c r="BL385"/>
  <c r="BJ385"/>
  <c r="AN385"/>
  <c r="AL385"/>
  <c r="AJ385"/>
  <c r="D12" i="58"/>
  <c r="H12"/>
  <c r="G12" s="1"/>
  <c r="E13"/>
  <c r="AA386" i="118"/>
  <c r="AA344"/>
  <c r="AA297"/>
  <c r="AA250"/>
  <c r="AA203"/>
  <c r="AA109"/>
  <c r="AA62"/>
  <c r="AA15"/>
  <c r="AA175" l="1"/>
  <c r="B31" i="137"/>
  <c r="V34"/>
  <c r="U22" i="13"/>
  <c r="X21" i="1"/>
  <c r="U22"/>
  <c r="BX386" i="118"/>
  <c r="BV386"/>
  <c r="BT386"/>
  <c r="BR386"/>
  <c r="BP386"/>
  <c r="BN386"/>
  <c r="BL386"/>
  <c r="BJ386"/>
  <c r="AN386"/>
  <c r="AL386"/>
  <c r="AJ386"/>
  <c r="BW386"/>
  <c r="BU386"/>
  <c r="BS386"/>
  <c r="BQ386"/>
  <c r="BO386"/>
  <c r="BM386"/>
  <c r="BK386"/>
  <c r="AO386"/>
  <c r="AM386"/>
  <c r="AK386"/>
  <c r="D13" i="58"/>
  <c r="E14"/>
  <c r="H13"/>
  <c r="G13" s="1"/>
  <c r="AA387" i="118"/>
  <c r="AA345"/>
  <c r="AA298"/>
  <c r="AA251"/>
  <c r="AA204"/>
  <c r="AA110"/>
  <c r="AA63"/>
  <c r="AA16"/>
  <c r="AA176" l="1"/>
  <c r="V35" i="137"/>
  <c r="B32"/>
  <c r="U23" i="13"/>
  <c r="X22" i="1"/>
  <c r="U23"/>
  <c r="BW387" i="118"/>
  <c r="BU387"/>
  <c r="BS387"/>
  <c r="BQ387"/>
  <c r="BO387"/>
  <c r="BM387"/>
  <c r="BK387"/>
  <c r="AO387"/>
  <c r="AM387"/>
  <c r="AK387"/>
  <c r="BX387"/>
  <c r="BV387"/>
  <c r="BT387"/>
  <c r="BR387"/>
  <c r="BP387"/>
  <c r="BN387"/>
  <c r="BL387"/>
  <c r="AP387"/>
  <c r="AN387"/>
  <c r="AL387"/>
  <c r="AJ387"/>
  <c r="D14" i="58"/>
  <c r="H14"/>
  <c r="G14" s="1"/>
  <c r="E15"/>
  <c r="AA388" i="118"/>
  <c r="AA346"/>
  <c r="AA299"/>
  <c r="AA252"/>
  <c r="AA205"/>
  <c r="AA111"/>
  <c r="AA64"/>
  <c r="AA17"/>
  <c r="AA177" l="1"/>
  <c r="B33" i="137"/>
  <c r="V36"/>
  <c r="U24" i="13"/>
  <c r="U24" i="1"/>
  <c r="X23"/>
  <c r="BX388" i="118"/>
  <c r="BV388"/>
  <c r="BT388"/>
  <c r="BR388"/>
  <c r="BP388"/>
  <c r="BN388"/>
  <c r="BL388"/>
  <c r="AP388"/>
  <c r="AN388"/>
  <c r="AL388"/>
  <c r="AJ388"/>
  <c r="BW388"/>
  <c r="BU388"/>
  <c r="BS388"/>
  <c r="BQ388"/>
  <c r="BO388"/>
  <c r="BM388"/>
  <c r="AQ388"/>
  <c r="AO388"/>
  <c r="AM388"/>
  <c r="AK388"/>
  <c r="D15" i="58"/>
  <c r="E16"/>
  <c r="H15"/>
  <c r="G15" s="1"/>
  <c r="AA389" i="118"/>
  <c r="AA347"/>
  <c r="AA300"/>
  <c r="AA253"/>
  <c r="AA206"/>
  <c r="AA112"/>
  <c r="AA65"/>
  <c r="AA18"/>
  <c r="AA178" l="1"/>
  <c r="V37" i="137"/>
  <c r="B34"/>
  <c r="U25" i="13"/>
  <c r="U25" i="1"/>
  <c r="X24"/>
  <c r="BW389" i="118"/>
  <c r="BU389"/>
  <c r="BS389"/>
  <c r="BQ389"/>
  <c r="BO389"/>
  <c r="BM389"/>
  <c r="AQ389"/>
  <c r="AO389"/>
  <c r="AM389"/>
  <c r="AK389"/>
  <c r="BX389"/>
  <c r="BV389"/>
  <c r="BT389"/>
  <c r="BR389"/>
  <c r="BP389"/>
  <c r="BN389"/>
  <c r="AR389"/>
  <c r="AP389"/>
  <c r="AN389"/>
  <c r="AL389"/>
  <c r="AJ389"/>
  <c r="D16" i="58"/>
  <c r="H16"/>
  <c r="G16" s="1"/>
  <c r="E17"/>
  <c r="AA390" i="118"/>
  <c r="AA348"/>
  <c r="AA301"/>
  <c r="AA254"/>
  <c r="AA207"/>
  <c r="AA113"/>
  <c r="AA66"/>
  <c r="AA19"/>
  <c r="AA179" l="1"/>
  <c r="B35" i="137"/>
  <c r="V38"/>
  <c r="U26" i="13"/>
  <c r="X25" i="1"/>
  <c r="U26"/>
  <c r="BX390" i="118"/>
  <c r="BV390"/>
  <c r="BT390"/>
  <c r="BR390"/>
  <c r="BP390"/>
  <c r="BN390"/>
  <c r="AR390"/>
  <c r="AP390"/>
  <c r="AN390"/>
  <c r="AL390"/>
  <c r="AJ390"/>
  <c r="BW390"/>
  <c r="BU390"/>
  <c r="BS390"/>
  <c r="BQ390"/>
  <c r="BO390"/>
  <c r="AS390"/>
  <c r="AQ390"/>
  <c r="AO390"/>
  <c r="AM390"/>
  <c r="AK390"/>
  <c r="D17" i="58"/>
  <c r="E18"/>
  <c r="H17"/>
  <c r="G17" s="1"/>
  <c r="AA391" i="118"/>
  <c r="AA349"/>
  <c r="AA302"/>
  <c r="AA255"/>
  <c r="AA208"/>
  <c r="AA114"/>
  <c r="AA67"/>
  <c r="AA20"/>
  <c r="AA180" l="1"/>
  <c r="V39" i="137"/>
  <c r="B36"/>
  <c r="U27" i="13"/>
  <c r="X26" i="1"/>
  <c r="U27"/>
  <c r="BW391" i="118"/>
  <c r="BU391"/>
  <c r="BS391"/>
  <c r="BQ391"/>
  <c r="BO391"/>
  <c r="AS391"/>
  <c r="AQ391"/>
  <c r="AO391"/>
  <c r="AM391"/>
  <c r="AK391"/>
  <c r="BX391"/>
  <c r="BV391"/>
  <c r="BT391"/>
  <c r="BR391"/>
  <c r="BP391"/>
  <c r="AT391"/>
  <c r="AR391"/>
  <c r="AP391"/>
  <c r="AN391"/>
  <c r="AL391"/>
  <c r="AJ391"/>
  <c r="D18" i="58"/>
  <c r="H18"/>
  <c r="G18" s="1"/>
  <c r="E19"/>
  <c r="AA392" i="118"/>
  <c r="AA350"/>
  <c r="AA303"/>
  <c r="AA256"/>
  <c r="AA209"/>
  <c r="AA115"/>
  <c r="AA68"/>
  <c r="AA21"/>
  <c r="O30" i="77"/>
  <c r="AC1" i="76"/>
  <c r="AD1" s="1"/>
  <c r="AE1" s="1"/>
  <c r="O29" i="77"/>
  <c r="O28"/>
  <c r="O27"/>
  <c r="O26"/>
  <c r="O25"/>
  <c r="O24"/>
  <c r="AG3" i="71"/>
  <c r="AA3"/>
  <c r="AB3"/>
  <c r="AC3"/>
  <c r="AD3"/>
  <c r="AE3"/>
  <c r="AF3"/>
  <c r="AA3" i="70"/>
  <c r="AB3"/>
  <c r="AC3"/>
  <c r="AD3"/>
  <c r="AE3"/>
  <c r="AF3"/>
  <c r="AG3"/>
  <c r="AA3" i="69"/>
  <c r="AB3"/>
  <c r="AC3"/>
  <c r="AD3"/>
  <c r="AE3"/>
  <c r="AA3" i="68"/>
  <c r="AB3"/>
  <c r="AC3"/>
  <c r="AD3"/>
  <c r="AE3"/>
  <c r="AF3"/>
  <c r="AA3" i="67"/>
  <c r="AB3"/>
  <c r="AC3"/>
  <c r="AD3"/>
  <c r="AE3"/>
  <c r="B79" i="76"/>
  <c r="C79"/>
  <c r="D79"/>
  <c r="E79"/>
  <c r="F79"/>
  <c r="G79"/>
  <c r="H79"/>
  <c r="I79"/>
  <c r="J79"/>
  <c r="K79"/>
  <c r="L79"/>
  <c r="M79"/>
  <c r="N79"/>
  <c r="O79"/>
  <c r="P79"/>
  <c r="Q79"/>
  <c r="R79"/>
  <c r="S79"/>
  <c r="T79"/>
  <c r="U79"/>
  <c r="V79"/>
  <c r="W79"/>
  <c r="X79"/>
  <c r="Y79"/>
  <c r="B76"/>
  <c r="C76"/>
  <c r="D76"/>
  <c r="E76"/>
  <c r="F76"/>
  <c r="G76"/>
  <c r="H76"/>
  <c r="I76"/>
  <c r="J76"/>
  <c r="K76"/>
  <c r="L76"/>
  <c r="M76"/>
  <c r="N76"/>
  <c r="O76"/>
  <c r="P76"/>
  <c r="Q76"/>
  <c r="R76"/>
  <c r="S76"/>
  <c r="T76"/>
  <c r="U76"/>
  <c r="V76"/>
  <c r="W76"/>
  <c r="X76"/>
  <c r="Z76"/>
  <c r="B77"/>
  <c r="C77"/>
  <c r="D77"/>
  <c r="E77"/>
  <c r="F77"/>
  <c r="G77"/>
  <c r="H77"/>
  <c r="I77"/>
  <c r="J77"/>
  <c r="K77"/>
  <c r="L77"/>
  <c r="M77"/>
  <c r="N77"/>
  <c r="O77"/>
  <c r="P77"/>
  <c r="Q77"/>
  <c r="R77"/>
  <c r="S77"/>
  <c r="T77"/>
  <c r="U77"/>
  <c r="V77"/>
  <c r="W77"/>
  <c r="X77"/>
  <c r="Y77"/>
  <c r="Z77"/>
  <c r="B78"/>
  <c r="C78"/>
  <c r="D78"/>
  <c r="E78"/>
  <c r="F78"/>
  <c r="G78"/>
  <c r="H78"/>
  <c r="I78"/>
  <c r="J78"/>
  <c r="K78"/>
  <c r="L78"/>
  <c r="M78"/>
  <c r="N78"/>
  <c r="O78"/>
  <c r="P78"/>
  <c r="Q78"/>
  <c r="R78"/>
  <c r="S78"/>
  <c r="T78"/>
  <c r="U78"/>
  <c r="V78"/>
  <c r="W78"/>
  <c r="X78"/>
  <c r="Y78"/>
  <c r="B74"/>
  <c r="C74"/>
  <c r="D74"/>
  <c r="E74"/>
  <c r="F74"/>
  <c r="G74"/>
  <c r="H74"/>
  <c r="I74"/>
  <c r="J74"/>
  <c r="K74"/>
  <c r="L74"/>
  <c r="M74"/>
  <c r="N74"/>
  <c r="O74"/>
  <c r="P74"/>
  <c r="Q74"/>
  <c r="R74"/>
  <c r="S74"/>
  <c r="T74"/>
  <c r="U74"/>
  <c r="V74"/>
  <c r="W74"/>
  <c r="X74"/>
  <c r="Y74"/>
  <c r="Z74"/>
  <c r="B75"/>
  <c r="C75"/>
  <c r="D75"/>
  <c r="E75"/>
  <c r="F75"/>
  <c r="G75"/>
  <c r="H75"/>
  <c r="I75"/>
  <c r="J75"/>
  <c r="K75"/>
  <c r="L75"/>
  <c r="M75"/>
  <c r="N75"/>
  <c r="O75"/>
  <c r="P75"/>
  <c r="Q75"/>
  <c r="R75"/>
  <c r="S75"/>
  <c r="T75"/>
  <c r="U75"/>
  <c r="V75"/>
  <c r="W75"/>
  <c r="X75"/>
  <c r="Z75"/>
  <c r="C7"/>
  <c r="D7"/>
  <c r="E7"/>
  <c r="F7"/>
  <c r="G7"/>
  <c r="H7"/>
  <c r="I7"/>
  <c r="J7"/>
  <c r="K7"/>
  <c r="L7"/>
  <c r="M7"/>
  <c r="N7"/>
  <c r="O7"/>
  <c r="P7"/>
  <c r="Q7"/>
  <c r="R7"/>
  <c r="S7"/>
  <c r="T7"/>
  <c r="U7"/>
  <c r="V7"/>
  <c r="W7"/>
  <c r="X7"/>
  <c r="Y7"/>
  <c r="Z7"/>
  <c r="B8"/>
  <c r="C8"/>
  <c r="D8"/>
  <c r="E8"/>
  <c r="F8"/>
  <c r="G8"/>
  <c r="H8"/>
  <c r="I8"/>
  <c r="J8"/>
  <c r="K8"/>
  <c r="L8"/>
  <c r="M8"/>
  <c r="N8"/>
  <c r="O8"/>
  <c r="P8"/>
  <c r="Q8"/>
  <c r="R8"/>
  <c r="S8"/>
  <c r="T8"/>
  <c r="U8"/>
  <c r="V8"/>
  <c r="W8"/>
  <c r="X8"/>
  <c r="Y8"/>
  <c r="Z8"/>
  <c r="B9"/>
  <c r="D9"/>
  <c r="E9"/>
  <c r="F9"/>
  <c r="G9"/>
  <c r="H9"/>
  <c r="I9"/>
  <c r="J9"/>
  <c r="K9"/>
  <c r="L9"/>
  <c r="M9"/>
  <c r="N9"/>
  <c r="O9"/>
  <c r="P9"/>
  <c r="Q9"/>
  <c r="R9"/>
  <c r="S9"/>
  <c r="T9"/>
  <c r="U9"/>
  <c r="V9"/>
  <c r="W9"/>
  <c r="X9"/>
  <c r="Y9"/>
  <c r="Z9"/>
  <c r="B10"/>
  <c r="D10"/>
  <c r="E10"/>
  <c r="F10"/>
  <c r="G10"/>
  <c r="H10"/>
  <c r="I10"/>
  <c r="J10"/>
  <c r="K10"/>
  <c r="L10"/>
  <c r="M10"/>
  <c r="N10"/>
  <c r="O10"/>
  <c r="P10"/>
  <c r="Q10"/>
  <c r="R10"/>
  <c r="S10"/>
  <c r="T10"/>
  <c r="U10"/>
  <c r="V10"/>
  <c r="W10"/>
  <c r="X10"/>
  <c r="Y10"/>
  <c r="Z10"/>
  <c r="B11"/>
  <c r="C11"/>
  <c r="D11"/>
  <c r="E11"/>
  <c r="F11"/>
  <c r="G11"/>
  <c r="H11"/>
  <c r="I11"/>
  <c r="J11"/>
  <c r="K11"/>
  <c r="L11"/>
  <c r="M11"/>
  <c r="N11"/>
  <c r="O11"/>
  <c r="P11"/>
  <c r="Q11"/>
  <c r="R11"/>
  <c r="S11"/>
  <c r="T11"/>
  <c r="U11"/>
  <c r="V11"/>
  <c r="W11"/>
  <c r="X11"/>
  <c r="Y11"/>
  <c r="Z11"/>
  <c r="B12"/>
  <c r="C12"/>
  <c r="E12"/>
  <c r="F12"/>
  <c r="G12"/>
  <c r="H12"/>
  <c r="I12"/>
  <c r="J12"/>
  <c r="K12"/>
  <c r="L12"/>
  <c r="M12"/>
  <c r="N12"/>
  <c r="O12"/>
  <c r="P12"/>
  <c r="Q12"/>
  <c r="R12"/>
  <c r="S12"/>
  <c r="T12"/>
  <c r="U12"/>
  <c r="V12"/>
  <c r="W12"/>
  <c r="X12"/>
  <c r="Y12"/>
  <c r="Z12"/>
  <c r="B13"/>
  <c r="C13"/>
  <c r="E13"/>
  <c r="F13"/>
  <c r="G13"/>
  <c r="H13"/>
  <c r="I13"/>
  <c r="J13"/>
  <c r="K13"/>
  <c r="L13"/>
  <c r="M13"/>
  <c r="N13"/>
  <c r="O13"/>
  <c r="P13"/>
  <c r="Q13"/>
  <c r="R13"/>
  <c r="S13"/>
  <c r="T13"/>
  <c r="U13"/>
  <c r="V13"/>
  <c r="W13"/>
  <c r="X13"/>
  <c r="Y13"/>
  <c r="Z13"/>
  <c r="B14"/>
  <c r="C14"/>
  <c r="D14"/>
  <c r="E14"/>
  <c r="F14"/>
  <c r="G14"/>
  <c r="H14"/>
  <c r="I14"/>
  <c r="J14"/>
  <c r="K14"/>
  <c r="L14"/>
  <c r="M14"/>
  <c r="N14"/>
  <c r="O14"/>
  <c r="P14"/>
  <c r="Q14"/>
  <c r="R14"/>
  <c r="S14"/>
  <c r="T14"/>
  <c r="U14"/>
  <c r="V14"/>
  <c r="W14"/>
  <c r="X14"/>
  <c r="Y14"/>
  <c r="Z14"/>
  <c r="B15"/>
  <c r="C15"/>
  <c r="D15"/>
  <c r="F15"/>
  <c r="G15"/>
  <c r="H15"/>
  <c r="I15"/>
  <c r="J15"/>
  <c r="K15"/>
  <c r="L15"/>
  <c r="M15"/>
  <c r="N15"/>
  <c r="O15"/>
  <c r="P15"/>
  <c r="Q15"/>
  <c r="R15"/>
  <c r="S15"/>
  <c r="T15"/>
  <c r="U15"/>
  <c r="V15"/>
  <c r="W15"/>
  <c r="X15"/>
  <c r="Y15"/>
  <c r="Z15"/>
  <c r="B16"/>
  <c r="C16"/>
  <c r="D16"/>
  <c r="F16"/>
  <c r="G16"/>
  <c r="H16"/>
  <c r="I16"/>
  <c r="J16"/>
  <c r="K16"/>
  <c r="L16"/>
  <c r="M16"/>
  <c r="N16"/>
  <c r="O16"/>
  <c r="P16"/>
  <c r="Q16"/>
  <c r="R16"/>
  <c r="S16"/>
  <c r="T16"/>
  <c r="U16"/>
  <c r="V16"/>
  <c r="W16"/>
  <c r="X16"/>
  <c r="Y16"/>
  <c r="Z16"/>
  <c r="B17"/>
  <c r="C17"/>
  <c r="D17"/>
  <c r="E17"/>
  <c r="F17"/>
  <c r="G17"/>
  <c r="H17"/>
  <c r="I17"/>
  <c r="J17"/>
  <c r="K17"/>
  <c r="L17"/>
  <c r="M17"/>
  <c r="N17"/>
  <c r="O17"/>
  <c r="P17"/>
  <c r="Q17"/>
  <c r="R17"/>
  <c r="S17"/>
  <c r="T17"/>
  <c r="U17"/>
  <c r="V17"/>
  <c r="W17"/>
  <c r="X17"/>
  <c r="Y17"/>
  <c r="Z17"/>
  <c r="B18"/>
  <c r="C18"/>
  <c r="D18"/>
  <c r="E18"/>
  <c r="G18"/>
  <c r="H18"/>
  <c r="I18"/>
  <c r="J18"/>
  <c r="K18"/>
  <c r="L18"/>
  <c r="M18"/>
  <c r="N18"/>
  <c r="O18"/>
  <c r="P18"/>
  <c r="Q18"/>
  <c r="R18"/>
  <c r="S18"/>
  <c r="T18"/>
  <c r="U18"/>
  <c r="V18"/>
  <c r="W18"/>
  <c r="X18"/>
  <c r="Y18"/>
  <c r="Z18"/>
  <c r="B19"/>
  <c r="C19"/>
  <c r="D19"/>
  <c r="E19"/>
  <c r="G19"/>
  <c r="H19"/>
  <c r="I19"/>
  <c r="J19"/>
  <c r="K19"/>
  <c r="L19"/>
  <c r="M19"/>
  <c r="N19"/>
  <c r="O19"/>
  <c r="P19"/>
  <c r="Q19"/>
  <c r="R19"/>
  <c r="S19"/>
  <c r="T19"/>
  <c r="U19"/>
  <c r="V19"/>
  <c r="W19"/>
  <c r="X19"/>
  <c r="Y19"/>
  <c r="Z19"/>
  <c r="B20"/>
  <c r="C20"/>
  <c r="D20"/>
  <c r="E20"/>
  <c r="F20"/>
  <c r="G20"/>
  <c r="H20"/>
  <c r="I20"/>
  <c r="J20"/>
  <c r="K20"/>
  <c r="L20"/>
  <c r="M20"/>
  <c r="N20"/>
  <c r="O20"/>
  <c r="P20"/>
  <c r="Q20"/>
  <c r="R20"/>
  <c r="S20"/>
  <c r="T20"/>
  <c r="U20"/>
  <c r="V20"/>
  <c r="W20"/>
  <c r="X20"/>
  <c r="Y20"/>
  <c r="Z20"/>
  <c r="B21"/>
  <c r="C21"/>
  <c r="D21"/>
  <c r="E21"/>
  <c r="F21"/>
  <c r="H21"/>
  <c r="I21"/>
  <c r="J21"/>
  <c r="K21"/>
  <c r="L21"/>
  <c r="M21"/>
  <c r="N21"/>
  <c r="O21"/>
  <c r="P21"/>
  <c r="Q21"/>
  <c r="R21"/>
  <c r="S21"/>
  <c r="T21"/>
  <c r="U21"/>
  <c r="V21"/>
  <c r="W21"/>
  <c r="X21"/>
  <c r="Y21"/>
  <c r="Z21"/>
  <c r="B22"/>
  <c r="C22"/>
  <c r="D22"/>
  <c r="E22"/>
  <c r="F22"/>
  <c r="H22"/>
  <c r="I22"/>
  <c r="J22"/>
  <c r="K22"/>
  <c r="L22"/>
  <c r="M22"/>
  <c r="N22"/>
  <c r="O22"/>
  <c r="P22"/>
  <c r="Q22"/>
  <c r="R22"/>
  <c r="S22"/>
  <c r="T22"/>
  <c r="U22"/>
  <c r="V22"/>
  <c r="W22"/>
  <c r="X22"/>
  <c r="Y22"/>
  <c r="Z22"/>
  <c r="B23"/>
  <c r="C23"/>
  <c r="D23"/>
  <c r="E23"/>
  <c r="F23"/>
  <c r="G23"/>
  <c r="H23"/>
  <c r="I23"/>
  <c r="J23"/>
  <c r="K23"/>
  <c r="L23"/>
  <c r="M23"/>
  <c r="N23"/>
  <c r="O23"/>
  <c r="P23"/>
  <c r="Q23"/>
  <c r="R23"/>
  <c r="S23"/>
  <c r="T23"/>
  <c r="U23"/>
  <c r="V23"/>
  <c r="W23"/>
  <c r="X23"/>
  <c r="Y23"/>
  <c r="Z23"/>
  <c r="B24"/>
  <c r="C24"/>
  <c r="D24"/>
  <c r="E24"/>
  <c r="F24"/>
  <c r="G24"/>
  <c r="I24"/>
  <c r="J24"/>
  <c r="K24"/>
  <c r="L24"/>
  <c r="M24"/>
  <c r="N24"/>
  <c r="O24"/>
  <c r="P24"/>
  <c r="Q24"/>
  <c r="R24"/>
  <c r="S24"/>
  <c r="T24"/>
  <c r="U24"/>
  <c r="V24"/>
  <c r="W24"/>
  <c r="X24"/>
  <c r="Y24"/>
  <c r="Z24"/>
  <c r="B25"/>
  <c r="C25"/>
  <c r="D25"/>
  <c r="E25"/>
  <c r="F25"/>
  <c r="G25"/>
  <c r="I25"/>
  <c r="J25"/>
  <c r="K25"/>
  <c r="L25"/>
  <c r="M25"/>
  <c r="N25"/>
  <c r="O25"/>
  <c r="P25"/>
  <c r="Q25"/>
  <c r="R25"/>
  <c r="S25"/>
  <c r="T25"/>
  <c r="U25"/>
  <c r="V25"/>
  <c r="W25"/>
  <c r="X25"/>
  <c r="Y25"/>
  <c r="Z25"/>
  <c r="B26"/>
  <c r="C26"/>
  <c r="D26"/>
  <c r="E26"/>
  <c r="F26"/>
  <c r="G26"/>
  <c r="H26"/>
  <c r="I26"/>
  <c r="J26"/>
  <c r="K26"/>
  <c r="L26"/>
  <c r="M26"/>
  <c r="N26"/>
  <c r="O26"/>
  <c r="P26"/>
  <c r="Q26"/>
  <c r="R26"/>
  <c r="S26"/>
  <c r="T26"/>
  <c r="U26"/>
  <c r="V26"/>
  <c r="W26"/>
  <c r="X26"/>
  <c r="Y26"/>
  <c r="Z26"/>
  <c r="B27"/>
  <c r="C27"/>
  <c r="D27"/>
  <c r="E27"/>
  <c r="F27"/>
  <c r="G27"/>
  <c r="H27"/>
  <c r="J27"/>
  <c r="K27"/>
  <c r="L27"/>
  <c r="M27"/>
  <c r="N27"/>
  <c r="O27"/>
  <c r="P27"/>
  <c r="Q27"/>
  <c r="R27"/>
  <c r="S27"/>
  <c r="T27"/>
  <c r="U27"/>
  <c r="V27"/>
  <c r="W27"/>
  <c r="X27"/>
  <c r="Y27"/>
  <c r="Z27"/>
  <c r="B28"/>
  <c r="C28"/>
  <c r="D28"/>
  <c r="E28"/>
  <c r="F28"/>
  <c r="G28"/>
  <c r="H28"/>
  <c r="J28"/>
  <c r="K28"/>
  <c r="L28"/>
  <c r="M28"/>
  <c r="N28"/>
  <c r="O28"/>
  <c r="P28"/>
  <c r="Q28"/>
  <c r="R28"/>
  <c r="S28"/>
  <c r="T28"/>
  <c r="U28"/>
  <c r="V28"/>
  <c r="W28"/>
  <c r="X28"/>
  <c r="Y28"/>
  <c r="Z28"/>
  <c r="B29"/>
  <c r="C29"/>
  <c r="D29"/>
  <c r="E29"/>
  <c r="F29"/>
  <c r="G29"/>
  <c r="H29"/>
  <c r="I29"/>
  <c r="J29"/>
  <c r="K29"/>
  <c r="L29"/>
  <c r="M29"/>
  <c r="N29"/>
  <c r="O29"/>
  <c r="P29"/>
  <c r="Q29"/>
  <c r="R29"/>
  <c r="S29"/>
  <c r="T29"/>
  <c r="U29"/>
  <c r="V29"/>
  <c r="W29"/>
  <c r="X29"/>
  <c r="Y29"/>
  <c r="Z29"/>
  <c r="B30"/>
  <c r="C30"/>
  <c r="D30"/>
  <c r="E30"/>
  <c r="F30"/>
  <c r="G30"/>
  <c r="H30"/>
  <c r="I30"/>
  <c r="K30"/>
  <c r="L30"/>
  <c r="M30"/>
  <c r="N30"/>
  <c r="O30"/>
  <c r="P30"/>
  <c r="Q30"/>
  <c r="R30"/>
  <c r="S30"/>
  <c r="T30"/>
  <c r="U30"/>
  <c r="V30"/>
  <c r="W30"/>
  <c r="X30"/>
  <c r="Y30"/>
  <c r="Z30"/>
  <c r="B31"/>
  <c r="C31"/>
  <c r="D31"/>
  <c r="E31"/>
  <c r="F31"/>
  <c r="G31"/>
  <c r="H31"/>
  <c r="I31"/>
  <c r="K31"/>
  <c r="L31"/>
  <c r="M31"/>
  <c r="N31"/>
  <c r="O31"/>
  <c r="P31"/>
  <c r="Q31"/>
  <c r="R31"/>
  <c r="S31"/>
  <c r="T31"/>
  <c r="U31"/>
  <c r="V31"/>
  <c r="W31"/>
  <c r="X31"/>
  <c r="Y31"/>
  <c r="Z31"/>
  <c r="B32"/>
  <c r="C32"/>
  <c r="D32"/>
  <c r="E32"/>
  <c r="F32"/>
  <c r="G32"/>
  <c r="H32"/>
  <c r="I32"/>
  <c r="J32"/>
  <c r="K32"/>
  <c r="L32"/>
  <c r="M32"/>
  <c r="N32"/>
  <c r="O32"/>
  <c r="P32"/>
  <c r="Q32"/>
  <c r="R32"/>
  <c r="S32"/>
  <c r="T32"/>
  <c r="U32"/>
  <c r="V32"/>
  <c r="W32"/>
  <c r="X32"/>
  <c r="Y32"/>
  <c r="Z32"/>
  <c r="B33"/>
  <c r="C33"/>
  <c r="D33"/>
  <c r="E33"/>
  <c r="F33"/>
  <c r="G33"/>
  <c r="H33"/>
  <c r="I33"/>
  <c r="J33"/>
  <c r="L33"/>
  <c r="M33"/>
  <c r="N33"/>
  <c r="O33"/>
  <c r="P33"/>
  <c r="Q33"/>
  <c r="R33"/>
  <c r="S33"/>
  <c r="T33"/>
  <c r="U33"/>
  <c r="V33"/>
  <c r="W33"/>
  <c r="X33"/>
  <c r="Y33"/>
  <c r="Z33"/>
  <c r="B34"/>
  <c r="C34"/>
  <c r="D34"/>
  <c r="E34"/>
  <c r="F34"/>
  <c r="G34"/>
  <c r="H34"/>
  <c r="I34"/>
  <c r="J34"/>
  <c r="L34"/>
  <c r="M34"/>
  <c r="N34"/>
  <c r="O34"/>
  <c r="P34"/>
  <c r="Q34"/>
  <c r="R34"/>
  <c r="S34"/>
  <c r="T34"/>
  <c r="U34"/>
  <c r="V34"/>
  <c r="W34"/>
  <c r="X34"/>
  <c r="Y34"/>
  <c r="Z34"/>
  <c r="B35"/>
  <c r="C35"/>
  <c r="D35"/>
  <c r="E35"/>
  <c r="F35"/>
  <c r="G35"/>
  <c r="H35"/>
  <c r="I35"/>
  <c r="J35"/>
  <c r="K35"/>
  <c r="L35"/>
  <c r="M35"/>
  <c r="N35"/>
  <c r="O35"/>
  <c r="P35"/>
  <c r="Q35"/>
  <c r="R35"/>
  <c r="S35"/>
  <c r="T35"/>
  <c r="U35"/>
  <c r="V35"/>
  <c r="W35"/>
  <c r="X35"/>
  <c r="Y35"/>
  <c r="Z35"/>
  <c r="B36"/>
  <c r="C36"/>
  <c r="D36"/>
  <c r="E36"/>
  <c r="F36"/>
  <c r="G36"/>
  <c r="H36"/>
  <c r="I36"/>
  <c r="J36"/>
  <c r="K36"/>
  <c r="M36"/>
  <c r="N36"/>
  <c r="O36"/>
  <c r="P36"/>
  <c r="Q36"/>
  <c r="R36"/>
  <c r="S36"/>
  <c r="T36"/>
  <c r="U36"/>
  <c r="V36"/>
  <c r="W36"/>
  <c r="X36"/>
  <c r="Y36"/>
  <c r="Z36"/>
  <c r="B37"/>
  <c r="C37"/>
  <c r="D37"/>
  <c r="E37"/>
  <c r="F37"/>
  <c r="G37"/>
  <c r="H37"/>
  <c r="I37"/>
  <c r="J37"/>
  <c r="K37"/>
  <c r="M37"/>
  <c r="N37"/>
  <c r="O37"/>
  <c r="P37"/>
  <c r="Q37"/>
  <c r="R37"/>
  <c r="S37"/>
  <c r="T37"/>
  <c r="U37"/>
  <c r="V37"/>
  <c r="W37"/>
  <c r="X37"/>
  <c r="Y37"/>
  <c r="Z37"/>
  <c r="B38"/>
  <c r="C38"/>
  <c r="D38"/>
  <c r="E38"/>
  <c r="F38"/>
  <c r="G38"/>
  <c r="H38"/>
  <c r="I38"/>
  <c r="J38"/>
  <c r="K38"/>
  <c r="L38"/>
  <c r="M38"/>
  <c r="N38"/>
  <c r="O38"/>
  <c r="P38"/>
  <c r="Q38"/>
  <c r="R38"/>
  <c r="S38"/>
  <c r="T38"/>
  <c r="U38"/>
  <c r="V38"/>
  <c r="W38"/>
  <c r="X38"/>
  <c r="Y38"/>
  <c r="Z38"/>
  <c r="B39"/>
  <c r="C39"/>
  <c r="D39"/>
  <c r="E39"/>
  <c r="F39"/>
  <c r="G39"/>
  <c r="H39"/>
  <c r="I39"/>
  <c r="J39"/>
  <c r="K39"/>
  <c r="L39"/>
  <c r="N39"/>
  <c r="O39"/>
  <c r="P39"/>
  <c r="Q39"/>
  <c r="R39"/>
  <c r="S39"/>
  <c r="T39"/>
  <c r="U39"/>
  <c r="V39"/>
  <c r="W39"/>
  <c r="X39"/>
  <c r="Y39"/>
  <c r="Z39"/>
  <c r="B40"/>
  <c r="C40"/>
  <c r="D40"/>
  <c r="E40"/>
  <c r="F40"/>
  <c r="G40"/>
  <c r="H40"/>
  <c r="I40"/>
  <c r="J40"/>
  <c r="K40"/>
  <c r="L40"/>
  <c r="N40"/>
  <c r="O40"/>
  <c r="P40"/>
  <c r="Q40"/>
  <c r="R40"/>
  <c r="S40"/>
  <c r="T40"/>
  <c r="U40"/>
  <c r="V40"/>
  <c r="W40"/>
  <c r="X40"/>
  <c r="Y40"/>
  <c r="Z40"/>
  <c r="B41"/>
  <c r="C41"/>
  <c r="D41"/>
  <c r="E41"/>
  <c r="F41"/>
  <c r="G41"/>
  <c r="H41"/>
  <c r="I41"/>
  <c r="J41"/>
  <c r="K41"/>
  <c r="L41"/>
  <c r="M41"/>
  <c r="N41"/>
  <c r="O41"/>
  <c r="P41"/>
  <c r="Q41"/>
  <c r="R41"/>
  <c r="S41"/>
  <c r="T41"/>
  <c r="U41"/>
  <c r="V41"/>
  <c r="W41"/>
  <c r="X41"/>
  <c r="Y41"/>
  <c r="Z41"/>
  <c r="B42"/>
  <c r="C42"/>
  <c r="D42"/>
  <c r="E42"/>
  <c r="F42"/>
  <c r="G42"/>
  <c r="H42"/>
  <c r="I42"/>
  <c r="J42"/>
  <c r="K42"/>
  <c r="L42"/>
  <c r="M42"/>
  <c r="O42"/>
  <c r="P42"/>
  <c r="Q42"/>
  <c r="R42"/>
  <c r="S42"/>
  <c r="T42"/>
  <c r="U42"/>
  <c r="V42"/>
  <c r="W42"/>
  <c r="X42"/>
  <c r="Y42"/>
  <c r="Z42"/>
  <c r="B43"/>
  <c r="C43"/>
  <c r="D43"/>
  <c r="E43"/>
  <c r="F43"/>
  <c r="G43"/>
  <c r="H43"/>
  <c r="I43"/>
  <c r="J43"/>
  <c r="K43"/>
  <c r="L43"/>
  <c r="M43"/>
  <c r="O43"/>
  <c r="P43"/>
  <c r="Q43"/>
  <c r="R43"/>
  <c r="S43"/>
  <c r="T43"/>
  <c r="U43"/>
  <c r="V43"/>
  <c r="W43"/>
  <c r="X43"/>
  <c r="Y43"/>
  <c r="Z43"/>
  <c r="B44"/>
  <c r="C44"/>
  <c r="D44"/>
  <c r="E44"/>
  <c r="F44"/>
  <c r="G44"/>
  <c r="H44"/>
  <c r="I44"/>
  <c r="J44"/>
  <c r="K44"/>
  <c r="L44"/>
  <c r="M44"/>
  <c r="N44"/>
  <c r="O44"/>
  <c r="P44"/>
  <c r="Q44"/>
  <c r="R44"/>
  <c r="S44"/>
  <c r="T44"/>
  <c r="U44"/>
  <c r="V44"/>
  <c r="W44"/>
  <c r="X44"/>
  <c r="Y44"/>
  <c r="Z44"/>
  <c r="B45"/>
  <c r="C45"/>
  <c r="D45"/>
  <c r="E45"/>
  <c r="F45"/>
  <c r="G45"/>
  <c r="H45"/>
  <c r="I45"/>
  <c r="J45"/>
  <c r="K45"/>
  <c r="L45"/>
  <c r="M45"/>
  <c r="N45"/>
  <c r="P45"/>
  <c r="Q45"/>
  <c r="R45"/>
  <c r="S45"/>
  <c r="T45"/>
  <c r="U45"/>
  <c r="V45"/>
  <c r="W45"/>
  <c r="X45"/>
  <c r="Y45"/>
  <c r="Z45"/>
  <c r="B46"/>
  <c r="C46"/>
  <c r="D46"/>
  <c r="E46"/>
  <c r="F46"/>
  <c r="G46"/>
  <c r="H46"/>
  <c r="I46"/>
  <c r="J46"/>
  <c r="K46"/>
  <c r="L46"/>
  <c r="M46"/>
  <c r="N46"/>
  <c r="P46"/>
  <c r="Q46"/>
  <c r="R46"/>
  <c r="S46"/>
  <c r="T46"/>
  <c r="U46"/>
  <c r="V46"/>
  <c r="W46"/>
  <c r="X46"/>
  <c r="Y46"/>
  <c r="Z46"/>
  <c r="B47"/>
  <c r="C47"/>
  <c r="D47"/>
  <c r="E47"/>
  <c r="F47"/>
  <c r="G47"/>
  <c r="H47"/>
  <c r="I47"/>
  <c r="J47"/>
  <c r="K47"/>
  <c r="L47"/>
  <c r="M47"/>
  <c r="N47"/>
  <c r="O47"/>
  <c r="P47"/>
  <c r="Q47"/>
  <c r="R47"/>
  <c r="S47"/>
  <c r="T47"/>
  <c r="U47"/>
  <c r="V47"/>
  <c r="W47"/>
  <c r="X47"/>
  <c r="Y47"/>
  <c r="Z47"/>
  <c r="B48"/>
  <c r="C48"/>
  <c r="D48"/>
  <c r="E48"/>
  <c r="F48"/>
  <c r="G48"/>
  <c r="H48"/>
  <c r="I48"/>
  <c r="J48"/>
  <c r="K48"/>
  <c r="L48"/>
  <c r="M48"/>
  <c r="N48"/>
  <c r="O48"/>
  <c r="Q48"/>
  <c r="R48"/>
  <c r="S48"/>
  <c r="T48"/>
  <c r="U48"/>
  <c r="V48"/>
  <c r="W48"/>
  <c r="X48"/>
  <c r="Y48"/>
  <c r="Z48"/>
  <c r="B49"/>
  <c r="C49"/>
  <c r="D49"/>
  <c r="E49"/>
  <c r="F49"/>
  <c r="G49"/>
  <c r="H49"/>
  <c r="I49"/>
  <c r="J49"/>
  <c r="K49"/>
  <c r="L49"/>
  <c r="M49"/>
  <c r="N49"/>
  <c r="O49"/>
  <c r="Q49"/>
  <c r="R49"/>
  <c r="S49"/>
  <c r="T49"/>
  <c r="U49"/>
  <c r="V49"/>
  <c r="W49"/>
  <c r="X49"/>
  <c r="Y49"/>
  <c r="Z49"/>
  <c r="B50"/>
  <c r="C50"/>
  <c r="D50"/>
  <c r="E50"/>
  <c r="F50"/>
  <c r="G50"/>
  <c r="H50"/>
  <c r="I50"/>
  <c r="J50"/>
  <c r="K50"/>
  <c r="L50"/>
  <c r="M50"/>
  <c r="N50"/>
  <c r="O50"/>
  <c r="P50"/>
  <c r="Q50"/>
  <c r="R50"/>
  <c r="S50"/>
  <c r="T50"/>
  <c r="U50"/>
  <c r="V50"/>
  <c r="W50"/>
  <c r="X50"/>
  <c r="Y50"/>
  <c r="Z50"/>
  <c r="B51"/>
  <c r="C51"/>
  <c r="D51"/>
  <c r="E51"/>
  <c r="F51"/>
  <c r="G51"/>
  <c r="H51"/>
  <c r="I51"/>
  <c r="J51"/>
  <c r="K51"/>
  <c r="L51"/>
  <c r="M51"/>
  <c r="N51"/>
  <c r="O51"/>
  <c r="P51"/>
  <c r="R51"/>
  <c r="S51"/>
  <c r="T51"/>
  <c r="U51"/>
  <c r="V51"/>
  <c r="W51"/>
  <c r="X51"/>
  <c r="Y51"/>
  <c r="Z51"/>
  <c r="B52"/>
  <c r="C52"/>
  <c r="D52"/>
  <c r="E52"/>
  <c r="F52"/>
  <c r="G52"/>
  <c r="H52"/>
  <c r="I52"/>
  <c r="J52"/>
  <c r="K52"/>
  <c r="L52"/>
  <c r="M52"/>
  <c r="N52"/>
  <c r="O52"/>
  <c r="P52"/>
  <c r="R52"/>
  <c r="S52"/>
  <c r="T52"/>
  <c r="U52"/>
  <c r="V52"/>
  <c r="W52"/>
  <c r="X52"/>
  <c r="Y52"/>
  <c r="Z52"/>
  <c r="B53"/>
  <c r="C53"/>
  <c r="D53"/>
  <c r="E53"/>
  <c r="F53"/>
  <c r="G53"/>
  <c r="H53"/>
  <c r="I53"/>
  <c r="J53"/>
  <c r="K53"/>
  <c r="L53"/>
  <c r="M53"/>
  <c r="N53"/>
  <c r="O53"/>
  <c r="P53"/>
  <c r="Q53"/>
  <c r="R53"/>
  <c r="S53"/>
  <c r="T53"/>
  <c r="U53"/>
  <c r="V53"/>
  <c r="W53"/>
  <c r="X53"/>
  <c r="Y53"/>
  <c r="Z53"/>
  <c r="B54"/>
  <c r="C54"/>
  <c r="D54"/>
  <c r="E54"/>
  <c r="F54"/>
  <c r="G54"/>
  <c r="H54"/>
  <c r="I54"/>
  <c r="J54"/>
  <c r="K54"/>
  <c r="L54"/>
  <c r="M54"/>
  <c r="N54"/>
  <c r="O54"/>
  <c r="P54"/>
  <c r="Q54"/>
  <c r="S54"/>
  <c r="T54"/>
  <c r="U54"/>
  <c r="V54"/>
  <c r="W54"/>
  <c r="X54"/>
  <c r="Y54"/>
  <c r="Z54"/>
  <c r="B55"/>
  <c r="C55"/>
  <c r="D55"/>
  <c r="E55"/>
  <c r="F55"/>
  <c r="G55"/>
  <c r="H55"/>
  <c r="I55"/>
  <c r="J55"/>
  <c r="K55"/>
  <c r="L55"/>
  <c r="M55"/>
  <c r="N55"/>
  <c r="O55"/>
  <c r="P55"/>
  <c r="Q55"/>
  <c r="S55"/>
  <c r="T55"/>
  <c r="U55"/>
  <c r="V55"/>
  <c r="W55"/>
  <c r="X55"/>
  <c r="Y55"/>
  <c r="Z55"/>
  <c r="B56"/>
  <c r="C56"/>
  <c r="D56"/>
  <c r="E56"/>
  <c r="F56"/>
  <c r="G56"/>
  <c r="H56"/>
  <c r="I56"/>
  <c r="J56"/>
  <c r="K56"/>
  <c r="L56"/>
  <c r="M56"/>
  <c r="N56"/>
  <c r="O56"/>
  <c r="P56"/>
  <c r="Q56"/>
  <c r="R56"/>
  <c r="S56"/>
  <c r="T56"/>
  <c r="U56"/>
  <c r="V56"/>
  <c r="W56"/>
  <c r="X56"/>
  <c r="Y56"/>
  <c r="Z56"/>
  <c r="B57"/>
  <c r="C57"/>
  <c r="D57"/>
  <c r="E57"/>
  <c r="F57"/>
  <c r="G57"/>
  <c r="H57"/>
  <c r="I57"/>
  <c r="J57"/>
  <c r="K57"/>
  <c r="L57"/>
  <c r="M57"/>
  <c r="N57"/>
  <c r="O57"/>
  <c r="P57"/>
  <c r="Q57"/>
  <c r="R57"/>
  <c r="T57"/>
  <c r="U57"/>
  <c r="V57"/>
  <c r="W57"/>
  <c r="X57"/>
  <c r="Y57"/>
  <c r="Z57"/>
  <c r="B58"/>
  <c r="C58"/>
  <c r="D58"/>
  <c r="E58"/>
  <c r="F58"/>
  <c r="G58"/>
  <c r="H58"/>
  <c r="I58"/>
  <c r="J58"/>
  <c r="K58"/>
  <c r="L58"/>
  <c r="M58"/>
  <c r="N58"/>
  <c r="O58"/>
  <c r="P58"/>
  <c r="Q58"/>
  <c r="R58"/>
  <c r="T58"/>
  <c r="U58"/>
  <c r="V58"/>
  <c r="W58"/>
  <c r="X58"/>
  <c r="Y58"/>
  <c r="Z58"/>
  <c r="B59"/>
  <c r="C59"/>
  <c r="D59"/>
  <c r="E59"/>
  <c r="F59"/>
  <c r="G59"/>
  <c r="H59"/>
  <c r="I59"/>
  <c r="J59"/>
  <c r="K59"/>
  <c r="L59"/>
  <c r="M59"/>
  <c r="N59"/>
  <c r="O59"/>
  <c r="P59"/>
  <c r="Q59"/>
  <c r="R59"/>
  <c r="S59"/>
  <c r="T59"/>
  <c r="U59"/>
  <c r="V59"/>
  <c r="W59"/>
  <c r="X59"/>
  <c r="Y59"/>
  <c r="Z59"/>
  <c r="B60"/>
  <c r="C60"/>
  <c r="D60"/>
  <c r="E60"/>
  <c r="F60"/>
  <c r="G60"/>
  <c r="H60"/>
  <c r="I60"/>
  <c r="J60"/>
  <c r="K60"/>
  <c r="L60"/>
  <c r="M60"/>
  <c r="N60"/>
  <c r="O60"/>
  <c r="P60"/>
  <c r="Q60"/>
  <c r="R60"/>
  <c r="S60"/>
  <c r="U60"/>
  <c r="V60"/>
  <c r="W60"/>
  <c r="X60"/>
  <c r="Y60"/>
  <c r="Z60"/>
  <c r="B61"/>
  <c r="C61"/>
  <c r="D61"/>
  <c r="E61"/>
  <c r="F61"/>
  <c r="G61"/>
  <c r="H61"/>
  <c r="I61"/>
  <c r="J61"/>
  <c r="K61"/>
  <c r="L61"/>
  <c r="M61"/>
  <c r="N61"/>
  <c r="O61"/>
  <c r="P61"/>
  <c r="Q61"/>
  <c r="R61"/>
  <c r="S61"/>
  <c r="U61"/>
  <c r="V61"/>
  <c r="W61"/>
  <c r="X61"/>
  <c r="Y61"/>
  <c r="Z61"/>
  <c r="B62"/>
  <c r="C62"/>
  <c r="D62"/>
  <c r="E62"/>
  <c r="F62"/>
  <c r="G62"/>
  <c r="H62"/>
  <c r="I62"/>
  <c r="J62"/>
  <c r="K62"/>
  <c r="L62"/>
  <c r="M62"/>
  <c r="N62"/>
  <c r="O62"/>
  <c r="P62"/>
  <c r="Q62"/>
  <c r="R62"/>
  <c r="S62"/>
  <c r="T62"/>
  <c r="U62"/>
  <c r="V62"/>
  <c r="W62"/>
  <c r="X62"/>
  <c r="Y62"/>
  <c r="Z62"/>
  <c r="B63"/>
  <c r="C63"/>
  <c r="D63"/>
  <c r="E63"/>
  <c r="F63"/>
  <c r="G63"/>
  <c r="H63"/>
  <c r="I63"/>
  <c r="J63"/>
  <c r="K63"/>
  <c r="L63"/>
  <c r="M63"/>
  <c r="N63"/>
  <c r="O63"/>
  <c r="P63"/>
  <c r="Q63"/>
  <c r="R63"/>
  <c r="S63"/>
  <c r="T63"/>
  <c r="V63"/>
  <c r="W63"/>
  <c r="X63"/>
  <c r="Y63"/>
  <c r="Z63"/>
  <c r="B64"/>
  <c r="C64"/>
  <c r="D64"/>
  <c r="E64"/>
  <c r="F64"/>
  <c r="G64"/>
  <c r="H64"/>
  <c r="I64"/>
  <c r="J64"/>
  <c r="K64"/>
  <c r="L64"/>
  <c r="M64"/>
  <c r="N64"/>
  <c r="O64"/>
  <c r="P64"/>
  <c r="Q64"/>
  <c r="R64"/>
  <c r="S64"/>
  <c r="T64"/>
  <c r="V64"/>
  <c r="W64"/>
  <c r="X64"/>
  <c r="Y64"/>
  <c r="Z64"/>
  <c r="B65"/>
  <c r="C65"/>
  <c r="D65"/>
  <c r="E65"/>
  <c r="F65"/>
  <c r="G65"/>
  <c r="H65"/>
  <c r="I65"/>
  <c r="J65"/>
  <c r="K65"/>
  <c r="L65"/>
  <c r="M65"/>
  <c r="N65"/>
  <c r="O65"/>
  <c r="P65"/>
  <c r="Q65"/>
  <c r="R65"/>
  <c r="S65"/>
  <c r="T65"/>
  <c r="U65"/>
  <c r="V65"/>
  <c r="W65"/>
  <c r="X65"/>
  <c r="Y65"/>
  <c r="Z65"/>
  <c r="B66"/>
  <c r="C66"/>
  <c r="D66"/>
  <c r="E66"/>
  <c r="F66"/>
  <c r="G66"/>
  <c r="H66"/>
  <c r="I66"/>
  <c r="J66"/>
  <c r="K66"/>
  <c r="L66"/>
  <c r="M66"/>
  <c r="N66"/>
  <c r="O66"/>
  <c r="P66"/>
  <c r="Q66"/>
  <c r="R66"/>
  <c r="S66"/>
  <c r="T66"/>
  <c r="U66"/>
  <c r="W66"/>
  <c r="X66"/>
  <c r="Y66"/>
  <c r="Z66"/>
  <c r="B67"/>
  <c r="C67"/>
  <c r="D67"/>
  <c r="E67"/>
  <c r="F67"/>
  <c r="G67"/>
  <c r="H67"/>
  <c r="I67"/>
  <c r="J67"/>
  <c r="K67"/>
  <c r="L67"/>
  <c r="M67"/>
  <c r="N67"/>
  <c r="O67"/>
  <c r="P67"/>
  <c r="Q67"/>
  <c r="R67"/>
  <c r="S67"/>
  <c r="T67"/>
  <c r="U67"/>
  <c r="W67"/>
  <c r="X67"/>
  <c r="Y67"/>
  <c r="Z67"/>
  <c r="B68"/>
  <c r="C68"/>
  <c r="D68"/>
  <c r="E68"/>
  <c r="F68"/>
  <c r="G68"/>
  <c r="H68"/>
  <c r="I68"/>
  <c r="J68"/>
  <c r="K68"/>
  <c r="L68"/>
  <c r="M68"/>
  <c r="N68"/>
  <c r="O68"/>
  <c r="P68"/>
  <c r="Q68"/>
  <c r="R68"/>
  <c r="S68"/>
  <c r="T68"/>
  <c r="U68"/>
  <c r="V68"/>
  <c r="W68"/>
  <c r="X68"/>
  <c r="Y68"/>
  <c r="Z68"/>
  <c r="B69"/>
  <c r="C69"/>
  <c r="D69"/>
  <c r="E69"/>
  <c r="F69"/>
  <c r="G69"/>
  <c r="H69"/>
  <c r="I69"/>
  <c r="J69"/>
  <c r="K69"/>
  <c r="L69"/>
  <c r="M69"/>
  <c r="N69"/>
  <c r="O69"/>
  <c r="P69"/>
  <c r="Q69"/>
  <c r="R69"/>
  <c r="S69"/>
  <c r="T69"/>
  <c r="U69"/>
  <c r="V69"/>
  <c r="X69"/>
  <c r="Y69"/>
  <c r="Z69"/>
  <c r="B70"/>
  <c r="C70"/>
  <c r="D70"/>
  <c r="E70"/>
  <c r="F70"/>
  <c r="G70"/>
  <c r="H70"/>
  <c r="I70"/>
  <c r="J70"/>
  <c r="K70"/>
  <c r="L70"/>
  <c r="M70"/>
  <c r="N70"/>
  <c r="O70"/>
  <c r="P70"/>
  <c r="Q70"/>
  <c r="R70"/>
  <c r="S70"/>
  <c r="T70"/>
  <c r="U70"/>
  <c r="V70"/>
  <c r="X70"/>
  <c r="Y70"/>
  <c r="Z70"/>
  <c r="B71"/>
  <c r="C71"/>
  <c r="D71"/>
  <c r="E71"/>
  <c r="F71"/>
  <c r="G71"/>
  <c r="H71"/>
  <c r="I71"/>
  <c r="J71"/>
  <c r="K71"/>
  <c r="L71"/>
  <c r="M71"/>
  <c r="N71"/>
  <c r="O71"/>
  <c r="P71"/>
  <c r="Q71"/>
  <c r="R71"/>
  <c r="S71"/>
  <c r="T71"/>
  <c r="U71"/>
  <c r="V71"/>
  <c r="W71"/>
  <c r="X71"/>
  <c r="Y71"/>
  <c r="Z71"/>
  <c r="B72"/>
  <c r="C72"/>
  <c r="D72"/>
  <c r="E72"/>
  <c r="F72"/>
  <c r="G72"/>
  <c r="H72"/>
  <c r="I72"/>
  <c r="J72"/>
  <c r="K72"/>
  <c r="L72"/>
  <c r="M72"/>
  <c r="N72"/>
  <c r="O72"/>
  <c r="P72"/>
  <c r="Q72"/>
  <c r="R72"/>
  <c r="S72"/>
  <c r="T72"/>
  <c r="U72"/>
  <c r="V72"/>
  <c r="W72"/>
  <c r="Y72"/>
  <c r="Z72"/>
  <c r="B73"/>
  <c r="C73"/>
  <c r="D73"/>
  <c r="E73"/>
  <c r="F73"/>
  <c r="G73"/>
  <c r="H73"/>
  <c r="I73"/>
  <c r="J73"/>
  <c r="K73"/>
  <c r="L73"/>
  <c r="M73"/>
  <c r="N73"/>
  <c r="O73"/>
  <c r="P73"/>
  <c r="Q73"/>
  <c r="R73"/>
  <c r="S73"/>
  <c r="T73"/>
  <c r="U73"/>
  <c r="V73"/>
  <c r="W73"/>
  <c r="Y73"/>
  <c r="Z73"/>
  <c r="C6"/>
  <c r="D6"/>
  <c r="E6"/>
  <c r="F6"/>
  <c r="G6"/>
  <c r="H6"/>
  <c r="I6"/>
  <c r="J6"/>
  <c r="K6"/>
  <c r="L6"/>
  <c r="M6"/>
  <c r="N6"/>
  <c r="O6"/>
  <c r="P6"/>
  <c r="Q6"/>
  <c r="R6"/>
  <c r="S6"/>
  <c r="T6"/>
  <c r="U6"/>
  <c r="V6"/>
  <c r="W6"/>
  <c r="X6"/>
  <c r="Y6"/>
  <c r="Z6"/>
  <c r="AQ18" i="56"/>
  <c r="U1" i="76"/>
  <c r="V1" s="1"/>
  <c r="W1" s="1"/>
  <c r="X1" s="1"/>
  <c r="Y1" s="1"/>
  <c r="Z1" s="1"/>
  <c r="AA1" s="1"/>
  <c r="AB1" s="1"/>
  <c r="O23" i="77"/>
  <c r="O22"/>
  <c r="O21"/>
  <c r="O20"/>
  <c r="O19"/>
  <c r="O18"/>
  <c r="O17"/>
  <c r="O16"/>
  <c r="O15"/>
  <c r="O14"/>
  <c r="O13"/>
  <c r="O12"/>
  <c r="T1" i="76"/>
  <c r="Q1"/>
  <c r="R1" s="1"/>
  <c r="S1" s="1"/>
  <c r="BH6" l="1"/>
  <c r="AY6"/>
  <c r="BC6"/>
  <c r="BG6"/>
  <c r="BK6"/>
  <c r="BO6"/>
  <c r="AZ6"/>
  <c r="AX6"/>
  <c r="BB6"/>
  <c r="BF6"/>
  <c r="BJ6"/>
  <c r="BN6"/>
  <c r="BD6"/>
  <c r="BL6"/>
  <c r="BA6"/>
  <c r="BE6"/>
  <c r="BI6"/>
  <c r="BM6"/>
  <c r="BP6"/>
  <c r="AA181" i="118"/>
  <c r="B37" i="137"/>
  <c r="V40"/>
  <c r="U28" i="13"/>
  <c r="X27" i="1"/>
  <c r="U28"/>
  <c r="BX392" i="118"/>
  <c r="BV392"/>
  <c r="BT392"/>
  <c r="BR392"/>
  <c r="BP392"/>
  <c r="AT392"/>
  <c r="AR392"/>
  <c r="AP392"/>
  <c r="AN392"/>
  <c r="AL392"/>
  <c r="AJ392"/>
  <c r="BW392"/>
  <c r="BU392"/>
  <c r="BS392"/>
  <c r="BQ392"/>
  <c r="AU392"/>
  <c r="AS392"/>
  <c r="AQ392"/>
  <c r="AO392"/>
  <c r="AM392"/>
  <c r="AK392"/>
  <c r="D19" i="58"/>
  <c r="E20"/>
  <c r="H19"/>
  <c r="G19" s="1"/>
  <c r="AA393" i="118"/>
  <c r="AA351"/>
  <c r="AA304"/>
  <c r="AA257"/>
  <c r="AA210"/>
  <c r="AA116"/>
  <c r="AA69"/>
  <c r="AA22"/>
  <c r="AA182" l="1"/>
  <c r="V41" i="137"/>
  <c r="B38"/>
  <c r="U29" i="13"/>
  <c r="X28" i="1"/>
  <c r="U29"/>
  <c r="BW393" i="118"/>
  <c r="BU393"/>
  <c r="BS393"/>
  <c r="BQ393"/>
  <c r="AU393"/>
  <c r="AS393"/>
  <c r="AQ393"/>
  <c r="AO393"/>
  <c r="AM393"/>
  <c r="AK393"/>
  <c r="BX393"/>
  <c r="BV393"/>
  <c r="BT393"/>
  <c r="BR393"/>
  <c r="AV393"/>
  <c r="AT393"/>
  <c r="AR393"/>
  <c r="AP393"/>
  <c r="AN393"/>
  <c r="AL393"/>
  <c r="AJ393"/>
  <c r="D20" i="58"/>
  <c r="H20"/>
  <c r="G20" s="1"/>
  <c r="E21"/>
  <c r="AA394" i="118"/>
  <c r="AA352"/>
  <c r="AA305"/>
  <c r="AA258"/>
  <c r="AA211"/>
  <c r="AA117"/>
  <c r="AA70"/>
  <c r="AA23"/>
  <c r="AA183" l="1"/>
  <c r="B39" i="137"/>
  <c r="V42"/>
  <c r="U30" i="13"/>
  <c r="X29" i="1"/>
  <c r="U30"/>
  <c r="BX394" i="118"/>
  <c r="BV394"/>
  <c r="BT394"/>
  <c r="BR394"/>
  <c r="AV394"/>
  <c r="AT394"/>
  <c r="AR394"/>
  <c r="AP394"/>
  <c r="AN394"/>
  <c r="AL394"/>
  <c r="AJ394"/>
  <c r="BW394"/>
  <c r="BU394"/>
  <c r="BS394"/>
  <c r="AW394"/>
  <c r="AU394"/>
  <c r="AS394"/>
  <c r="AQ394"/>
  <c r="AO394"/>
  <c r="AM394"/>
  <c r="AK394"/>
  <c r="D21" i="58"/>
  <c r="E22"/>
  <c r="H21"/>
  <c r="G21" s="1"/>
  <c r="AA395" i="118"/>
  <c r="AA353"/>
  <c r="AA306"/>
  <c r="AA259"/>
  <c r="AA212"/>
  <c r="AA118"/>
  <c r="AA71"/>
  <c r="AA24"/>
  <c r="AA184" l="1"/>
  <c r="V43" i="137"/>
  <c r="B40"/>
  <c r="U31" i="13"/>
  <c r="X30" i="1"/>
  <c r="U31"/>
  <c r="BW395" i="118"/>
  <c r="BU395"/>
  <c r="BS395"/>
  <c r="AW395"/>
  <c r="AU395"/>
  <c r="AS395"/>
  <c r="AQ395"/>
  <c r="AO395"/>
  <c r="AM395"/>
  <c r="AK395"/>
  <c r="BX395"/>
  <c r="BV395"/>
  <c r="BT395"/>
  <c r="AX395"/>
  <c r="AV395"/>
  <c r="AT395"/>
  <c r="AR395"/>
  <c r="AP395"/>
  <c r="AN395"/>
  <c r="AL395"/>
  <c r="AJ395"/>
  <c r="D22" i="58"/>
  <c r="H22"/>
  <c r="G22" s="1"/>
  <c r="E23"/>
  <c r="AA396" i="118"/>
  <c r="AA354"/>
  <c r="AA307"/>
  <c r="AA260"/>
  <c r="AA213"/>
  <c r="AA119"/>
  <c r="AA72"/>
  <c r="AA25"/>
  <c r="AA185" l="1"/>
  <c r="B41" i="137"/>
  <c r="V44"/>
  <c r="U32" i="13"/>
  <c r="X31" i="1"/>
  <c r="U32"/>
  <c r="BX396" i="118"/>
  <c r="BV396"/>
  <c r="BT396"/>
  <c r="AX396"/>
  <c r="AV396"/>
  <c r="AT396"/>
  <c r="AR396"/>
  <c r="AP396"/>
  <c r="AN396"/>
  <c r="AL396"/>
  <c r="AJ396"/>
  <c r="BW396"/>
  <c r="BU396"/>
  <c r="AY396"/>
  <c r="AW396"/>
  <c r="AU396"/>
  <c r="AS396"/>
  <c r="AQ396"/>
  <c r="AO396"/>
  <c r="AM396"/>
  <c r="AK396"/>
  <c r="D23" i="58"/>
  <c r="E24"/>
  <c r="H23"/>
  <c r="G23" s="1"/>
  <c r="AA397" i="118"/>
  <c r="AA355"/>
  <c r="AA308"/>
  <c r="AA261"/>
  <c r="AA214"/>
  <c r="AA120"/>
  <c r="AA73"/>
  <c r="AA26"/>
  <c r="M1" i="76"/>
  <c r="N1"/>
  <c r="O1" s="1"/>
  <c r="P1" s="1"/>
  <c r="N33" i="51"/>
  <c r="K2"/>
  <c r="J2"/>
  <c r="F2"/>
  <c r="Q1"/>
  <c r="V22"/>
  <c r="O11" i="58" s="1"/>
  <c r="P11" s="1"/>
  <c r="V23" i="51"/>
  <c r="O12" i="58" s="1"/>
  <c r="P12" s="1"/>
  <c r="V24" i="51"/>
  <c r="O13" i="58" s="1"/>
  <c r="P13" s="1"/>
  <c r="V25" i="51"/>
  <c r="O14" i="58" s="1"/>
  <c r="P14" s="1"/>
  <c r="V26" i="51"/>
  <c r="O15" i="58" s="1"/>
  <c r="P15" s="1"/>
  <c r="V27" i="51"/>
  <c r="O16" i="58" s="1"/>
  <c r="P16" s="1"/>
  <c r="V28" i="51"/>
  <c r="O17" i="58" s="1"/>
  <c r="P17" s="1"/>
  <c r="V29" i="51"/>
  <c r="O18" i="58" s="1"/>
  <c r="P18" s="1"/>
  <c r="V30" i="51"/>
  <c r="O19" i="58" s="1"/>
  <c r="P19" s="1"/>
  <c r="V31" i="51"/>
  <c r="O20" i="58" s="1"/>
  <c r="P20" s="1"/>
  <c r="V32" i="51"/>
  <c r="O21" i="58" s="1"/>
  <c r="P21" s="1"/>
  <c r="V33" i="51"/>
  <c r="O22" i="58" s="1"/>
  <c r="P22" s="1"/>
  <c r="V34" i="51"/>
  <c r="O23" i="58" s="1"/>
  <c r="P23" s="1"/>
  <c r="V35" i="51"/>
  <c r="O24" i="58" s="1"/>
  <c r="P24" s="1"/>
  <c r="V36" i="51"/>
  <c r="O25" i="58" s="1"/>
  <c r="P25" s="1"/>
  <c r="V37" i="51"/>
  <c r="O26" i="58" s="1"/>
  <c r="P26" s="1"/>
  <c r="V38" i="51"/>
  <c r="O27" i="58" s="1"/>
  <c r="P27" s="1"/>
  <c r="V39" i="51"/>
  <c r="O28" i="58" s="1"/>
  <c r="P28" s="1"/>
  <c r="V40" i="51"/>
  <c r="O29" i="58" s="1"/>
  <c r="P29" s="1"/>
  <c r="V41" i="51"/>
  <c r="O30" i="58" s="1"/>
  <c r="P30" s="1"/>
  <c r="V42" i="51"/>
  <c r="O31" i="58" s="1"/>
  <c r="P31" s="1"/>
  <c r="V43" i="51"/>
  <c r="O32" i="58" s="1"/>
  <c r="P32" s="1"/>
  <c r="V44" i="51"/>
  <c r="O33" i="58" s="1"/>
  <c r="P33" s="1"/>
  <c r="V45" i="51"/>
  <c r="O34" i="58" s="1"/>
  <c r="P34" s="1"/>
  <c r="V46" i="51"/>
  <c r="O35" i="58" s="1"/>
  <c r="P35" s="1"/>
  <c r="V47" i="51"/>
  <c r="O36" i="58" s="1"/>
  <c r="P36" s="1"/>
  <c r="V48" i="51"/>
  <c r="O37" i="58" s="1"/>
  <c r="P37" s="1"/>
  <c r="V49" i="51"/>
  <c r="O38" i="58" s="1"/>
  <c r="P38" s="1"/>
  <c r="V50" i="51"/>
  <c r="O39" i="58" s="1"/>
  <c r="P39" s="1"/>
  <c r="V51" i="51"/>
  <c r="O40" i="58" s="1"/>
  <c r="P40" s="1"/>
  <c r="V52" i="51"/>
  <c r="O41" i="58" s="1"/>
  <c r="P41" s="1"/>
  <c r="V53" i="51"/>
  <c r="O42" i="58" s="1"/>
  <c r="P42" s="1"/>
  <c r="V54" i="51"/>
  <c r="O43" i="58" s="1"/>
  <c r="P43" s="1"/>
  <c r="V55" i="51"/>
  <c r="O44" i="58" s="1"/>
  <c r="P44" s="1"/>
  <c r="V56" i="51"/>
  <c r="O45" i="58" s="1"/>
  <c r="P45" s="1"/>
  <c r="V21" i="51"/>
  <c r="O10" i="58" s="1"/>
  <c r="P10" s="1"/>
  <c r="U22" i="51"/>
  <c r="U23"/>
  <c r="U24"/>
  <c r="U25"/>
  <c r="U26"/>
  <c r="U27"/>
  <c r="U28"/>
  <c r="U29"/>
  <c r="U30"/>
  <c r="U31"/>
  <c r="U32"/>
  <c r="U33"/>
  <c r="U34"/>
  <c r="U35"/>
  <c r="U36"/>
  <c r="U37"/>
  <c r="U38"/>
  <c r="U39"/>
  <c r="U40"/>
  <c r="U41"/>
  <c r="U42"/>
  <c r="U43"/>
  <c r="U44"/>
  <c r="U45"/>
  <c r="U46"/>
  <c r="U47"/>
  <c r="U48"/>
  <c r="U49"/>
  <c r="U50"/>
  <c r="U51"/>
  <c r="U52"/>
  <c r="U53"/>
  <c r="U54"/>
  <c r="U55"/>
  <c r="U56"/>
  <c r="U21"/>
  <c r="S22"/>
  <c r="S23"/>
  <c r="S24"/>
  <c r="S25"/>
  <c r="S26"/>
  <c r="S27"/>
  <c r="S28"/>
  <c r="S29"/>
  <c r="S30"/>
  <c r="S31"/>
  <c r="S32"/>
  <c r="S33"/>
  <c r="S34"/>
  <c r="S35"/>
  <c r="S36"/>
  <c r="S37"/>
  <c r="S38"/>
  <c r="S39"/>
  <c r="S40"/>
  <c r="S41"/>
  <c r="S42"/>
  <c r="S43"/>
  <c r="S44"/>
  <c r="S45"/>
  <c r="S46"/>
  <c r="S47"/>
  <c r="S48"/>
  <c r="S49"/>
  <c r="S50"/>
  <c r="S51"/>
  <c r="S52"/>
  <c r="S53"/>
  <c r="S54"/>
  <c r="S55"/>
  <c r="S56"/>
  <c r="S21"/>
  <c r="Q22"/>
  <c r="Q23"/>
  <c r="Q24"/>
  <c r="Q25"/>
  <c r="Q26"/>
  <c r="Q27"/>
  <c r="Q28"/>
  <c r="Q29"/>
  <c r="Q30"/>
  <c r="Q31"/>
  <c r="Q32"/>
  <c r="Q33"/>
  <c r="Q34"/>
  <c r="Q35"/>
  <c r="Q36"/>
  <c r="Q37"/>
  <c r="Q38"/>
  <c r="Q39"/>
  <c r="Q40"/>
  <c r="Q41"/>
  <c r="Q42"/>
  <c r="Q43"/>
  <c r="Q44"/>
  <c r="Q45"/>
  <c r="Q46"/>
  <c r="Q47"/>
  <c r="Q48"/>
  <c r="Q49"/>
  <c r="Q50"/>
  <c r="Q51"/>
  <c r="Q52"/>
  <c r="Q53"/>
  <c r="Q54"/>
  <c r="Q55"/>
  <c r="Q56"/>
  <c r="Q21"/>
  <c r="D1" i="57"/>
  <c r="E1"/>
  <c r="F1"/>
  <c r="AF3" i="76" s="1"/>
  <c r="BS3" s="1"/>
  <c r="G1" i="57"/>
  <c r="I1"/>
  <c r="J1"/>
  <c r="L1"/>
  <c r="K3" i="60"/>
  <c r="K1" i="57" s="1"/>
  <c r="AA18" i="56"/>
  <c r="AR18"/>
  <c r="AP18"/>
  <c r="AO18"/>
  <c r="AN18"/>
  <c r="AM18"/>
  <c r="AL18"/>
  <c r="AK18"/>
  <c r="AJ18"/>
  <c r="AI18"/>
  <c r="AH18"/>
  <c r="AC18"/>
  <c r="AB18"/>
  <c r="O4" i="77"/>
  <c r="O5"/>
  <c r="O6"/>
  <c r="O7"/>
  <c r="O8"/>
  <c r="O9"/>
  <c r="O10"/>
  <c r="O11"/>
  <c r="O3"/>
  <c r="D1" i="76"/>
  <c r="E1" s="1"/>
  <c r="F1" s="1"/>
  <c r="G1" s="1"/>
  <c r="H1" s="1"/>
  <c r="I1" s="1"/>
  <c r="J1" s="1"/>
  <c r="K1" s="1"/>
  <c r="L1" s="1"/>
  <c r="C1"/>
  <c r="A4" i="57"/>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
  <c r="A5" i="72"/>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6" i="7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Z3"/>
  <c r="Y3"/>
  <c r="X3"/>
  <c r="W3"/>
  <c r="V3"/>
  <c r="U3"/>
  <c r="T3"/>
  <c r="S3"/>
  <c r="R3"/>
  <c r="Q3"/>
  <c r="P3"/>
  <c r="O3"/>
  <c r="N3"/>
  <c r="M3"/>
  <c r="L3"/>
  <c r="K3"/>
  <c r="J3"/>
  <c r="I3"/>
  <c r="H3"/>
  <c r="G3"/>
  <c r="F3"/>
  <c r="E3"/>
  <c r="D3"/>
  <c r="C3"/>
  <c r="B3"/>
  <c r="A6" i="70"/>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Z3"/>
  <c r="Y3"/>
  <c r="X3"/>
  <c r="W3"/>
  <c r="V3"/>
  <c r="U3"/>
  <c r="T3"/>
  <c r="S3"/>
  <c r="R3"/>
  <c r="Q3"/>
  <c r="P3"/>
  <c r="O3"/>
  <c r="N3"/>
  <c r="M3"/>
  <c r="L3"/>
  <c r="K3"/>
  <c r="J3"/>
  <c r="I3"/>
  <c r="H3"/>
  <c r="G3"/>
  <c r="F3"/>
  <c r="E3"/>
  <c r="D3"/>
  <c r="C3"/>
  <c r="B3"/>
  <c r="A6" i="69"/>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Z3"/>
  <c r="Y3"/>
  <c r="X3"/>
  <c r="W3"/>
  <c r="V3"/>
  <c r="U3"/>
  <c r="T3"/>
  <c r="S3"/>
  <c r="R3"/>
  <c r="Q3"/>
  <c r="P3"/>
  <c r="O3"/>
  <c r="N3"/>
  <c r="M3"/>
  <c r="L3"/>
  <c r="K3"/>
  <c r="J3"/>
  <c r="I3"/>
  <c r="H3"/>
  <c r="G3"/>
  <c r="F3"/>
  <c r="E3"/>
  <c r="D3"/>
  <c r="C3"/>
  <c r="B3"/>
  <c r="A6" i="68"/>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Z3"/>
  <c r="Y3"/>
  <c r="X3"/>
  <c r="W3"/>
  <c r="V3"/>
  <c r="U3"/>
  <c r="T3"/>
  <c r="S3"/>
  <c r="R3"/>
  <c r="Q3"/>
  <c r="P3"/>
  <c r="O3"/>
  <c r="N3"/>
  <c r="M3"/>
  <c r="L3"/>
  <c r="K3"/>
  <c r="J3"/>
  <c r="I3"/>
  <c r="H3"/>
  <c r="G3"/>
  <c r="F3"/>
  <c r="E3"/>
  <c r="D3"/>
  <c r="C3"/>
  <c r="B3"/>
  <c r="A6" i="67"/>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Z3"/>
  <c r="Y3"/>
  <c r="X3"/>
  <c r="W3"/>
  <c r="V3"/>
  <c r="U3"/>
  <c r="T3"/>
  <c r="S3"/>
  <c r="R3"/>
  <c r="Q3"/>
  <c r="P3"/>
  <c r="O3"/>
  <c r="N3"/>
  <c r="M3"/>
  <c r="L3"/>
  <c r="K3"/>
  <c r="J3"/>
  <c r="I3"/>
  <c r="H3"/>
  <c r="G3"/>
  <c r="F3"/>
  <c r="E3"/>
  <c r="D3"/>
  <c r="C3"/>
  <c r="B3"/>
  <c r="A6" i="66"/>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6" i="65"/>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6" i="64"/>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6" i="63"/>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K7" i="56"/>
  <c r="K6"/>
  <c r="K5"/>
  <c r="K4"/>
  <c r="H1" i="57"/>
  <c r="AP20" i="56"/>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19"/>
  <c r="J3" i="49"/>
  <c r="E20" i="52"/>
  <c r="E19"/>
  <c r="E18"/>
  <c r="B5" i="69"/>
  <c r="AU6" i="76" l="1"/>
  <c r="AV6"/>
  <c r="AR6"/>
  <c r="AW6"/>
  <c r="AS6"/>
  <c r="AQ6"/>
  <c r="AO6"/>
  <c r="AT6"/>
  <c r="AP6"/>
  <c r="AA186" i="118"/>
  <c r="V45" i="137"/>
  <c r="B42"/>
  <c r="U33" i="13"/>
  <c r="X32" i="1"/>
  <c r="U33"/>
  <c r="BW397" i="118"/>
  <c r="BU397"/>
  <c r="AY397"/>
  <c r="AW397"/>
  <c r="AU397"/>
  <c r="AS397"/>
  <c r="AQ397"/>
  <c r="AO397"/>
  <c r="AM397"/>
  <c r="AK397"/>
  <c r="BX397"/>
  <c r="BV397"/>
  <c r="AZ397"/>
  <c r="AX397"/>
  <c r="AV397"/>
  <c r="AT397"/>
  <c r="AR397"/>
  <c r="AP397"/>
  <c r="AN397"/>
  <c r="AL397"/>
  <c r="AJ397"/>
  <c r="D24" i="58"/>
  <c r="H24"/>
  <c r="G24" s="1"/>
  <c r="E25"/>
  <c r="AA398" i="118"/>
  <c r="AA356"/>
  <c r="AA309"/>
  <c r="AA262"/>
  <c r="AA215"/>
  <c r="AA121"/>
  <c r="AA74"/>
  <c r="AA27"/>
  <c r="AF5" i="76"/>
  <c r="C13" i="52" a="1"/>
  <c r="C13" s="1"/>
  <c r="F12"/>
  <c r="E12"/>
  <c r="D12"/>
  <c r="AP22" i="51"/>
  <c r="AP23"/>
  <c r="AP24"/>
  <c r="AP25"/>
  <c r="AP26"/>
  <c r="AP27"/>
  <c r="AP28"/>
  <c r="AP29"/>
  <c r="AP30"/>
  <c r="AP31"/>
  <c r="AP32"/>
  <c r="AP33"/>
  <c r="AP34"/>
  <c r="AP35"/>
  <c r="AP36"/>
  <c r="AP37"/>
  <c r="AP38"/>
  <c r="AP39"/>
  <c r="AP40"/>
  <c r="AP41"/>
  <c r="AP42"/>
  <c r="AP43"/>
  <c r="AP44"/>
  <c r="AP45"/>
  <c r="AP46"/>
  <c r="AP47"/>
  <c r="AP48"/>
  <c r="AP49"/>
  <c r="AP50"/>
  <c r="AP51"/>
  <c r="AP52"/>
  <c r="AP53"/>
  <c r="AP54"/>
  <c r="AP55"/>
  <c r="AP56"/>
  <c r="AP21"/>
  <c r="AA187" i="118" l="1"/>
  <c r="B43" i="137"/>
  <c r="V46"/>
  <c r="U34" i="13"/>
  <c r="X33" i="1"/>
  <c r="U34"/>
  <c r="BX398" i="118"/>
  <c r="BV398"/>
  <c r="AZ398"/>
  <c r="AX398"/>
  <c r="AV398"/>
  <c r="AT398"/>
  <c r="AR398"/>
  <c r="AP398"/>
  <c r="AN398"/>
  <c r="AL398"/>
  <c r="AJ398"/>
  <c r="BW398"/>
  <c r="BA398"/>
  <c r="AY398"/>
  <c r="AW398"/>
  <c r="AU398"/>
  <c r="AS398"/>
  <c r="AQ398"/>
  <c r="AO398"/>
  <c r="AM398"/>
  <c r="AK398"/>
  <c r="D25" i="58"/>
  <c r="E26"/>
  <c r="H25"/>
  <c r="G25" s="1"/>
  <c r="AA399" i="118"/>
  <c r="AA357"/>
  <c r="AA310"/>
  <c r="AA263"/>
  <c r="AA216"/>
  <c r="AA122"/>
  <c r="AA75"/>
  <c r="AA28"/>
  <c r="D10" i="42"/>
  <c r="C14" i="52"/>
  <c r="F14" s="1"/>
  <c r="C15"/>
  <c r="D15" s="1"/>
  <c r="T56" i="51"/>
  <c r="R56"/>
  <c r="T55"/>
  <c r="R55"/>
  <c r="T54"/>
  <c r="T53"/>
  <c r="T51"/>
  <c r="T50"/>
  <c r="T49"/>
  <c r="T48"/>
  <c r="T47"/>
  <c r="T46"/>
  <c r="T45"/>
  <c r="T44"/>
  <c r="T43"/>
  <c r="T42"/>
  <c r="T40"/>
  <c r="R40"/>
  <c r="T38"/>
  <c r="R38"/>
  <c r="T37"/>
  <c r="R37"/>
  <c r="T36"/>
  <c r="R36"/>
  <c r="T35"/>
  <c r="R35"/>
  <c r="T34"/>
  <c r="R34"/>
  <c r="T33"/>
  <c r="T31"/>
  <c r="T29"/>
  <c r="T27"/>
  <c r="T25"/>
  <c r="T23"/>
  <c r="T21"/>
  <c r="N21"/>
  <c r="M21"/>
  <c r="N20"/>
  <c r="M20"/>
  <c r="N19"/>
  <c r="M19"/>
  <c r="N18"/>
  <c r="M18"/>
  <c r="N17"/>
  <c r="M17"/>
  <c r="N16"/>
  <c r="M16"/>
  <c r="N15"/>
  <c r="M15"/>
  <c r="N14"/>
  <c r="M14"/>
  <c r="N13"/>
  <c r="M13"/>
  <c r="E13" i="52" s="1"/>
  <c r="BA10" i="51"/>
  <c r="AZ12" s="1"/>
  <c r="AY10"/>
  <c r="AX12" s="1"/>
  <c r="O8"/>
  <c r="E9" i="52" s="1"/>
  <c r="AL7" i="51"/>
  <c r="AL8" s="1"/>
  <c r="AL9" s="1"/>
  <c r="AL10" s="1"/>
  <c r="AL11" s="1"/>
  <c r="AL12" s="1"/>
  <c r="AL13" s="1"/>
  <c r="AL14" s="1"/>
  <c r="AL15" s="1"/>
  <c r="AL16" s="1"/>
  <c r="AL17" s="1"/>
  <c r="AL18" s="1"/>
  <c r="AL19" s="1"/>
  <c r="AL20" s="1"/>
  <c r="AL21" s="1"/>
  <c r="AL22" s="1"/>
  <c r="AL23" s="1"/>
  <c r="AL24" s="1"/>
  <c r="AL25" s="1"/>
  <c r="AL26" s="1"/>
  <c r="AL27" s="1"/>
  <c r="AL28" s="1"/>
  <c r="AL29" s="1"/>
  <c r="AL30" s="1"/>
  <c r="AL31" s="1"/>
  <c r="AL32" s="1"/>
  <c r="AL33" s="1"/>
  <c r="AL34" s="1"/>
  <c r="AL35" s="1"/>
  <c r="AL36" s="1"/>
  <c r="AL37" s="1"/>
  <c r="AL38" s="1"/>
  <c r="AL39" s="1"/>
  <c r="AL40" s="1"/>
  <c r="AL41" s="1"/>
  <c r="AL42" s="1"/>
  <c r="AL43" s="1"/>
  <c r="AL44" s="1"/>
  <c r="AL45" s="1"/>
  <c r="AL46" s="1"/>
  <c r="AL47" s="1"/>
  <c r="AL48" s="1"/>
  <c r="AL49" s="1"/>
  <c r="AL50" s="1"/>
  <c r="AL51" s="1"/>
  <c r="AL52" s="1"/>
  <c r="AL53" s="1"/>
  <c r="AL54" s="1"/>
  <c r="AL55" s="1"/>
  <c r="O4"/>
  <c r="E8" i="52" s="1"/>
  <c r="O2" i="51"/>
  <c r="AA188" i="118" l="1"/>
  <c r="V47" i="137"/>
  <c r="B44"/>
  <c r="U35" i="13"/>
  <c r="X34" i="1"/>
  <c r="U35"/>
  <c r="BW399" i="118"/>
  <c r="BA399"/>
  <c r="AY399"/>
  <c r="AW399"/>
  <c r="AU399"/>
  <c r="AS399"/>
  <c r="AQ399"/>
  <c r="AO399"/>
  <c r="AM399"/>
  <c r="AK399"/>
  <c r="BX399"/>
  <c r="BB399"/>
  <c r="AZ399"/>
  <c r="AX399"/>
  <c r="AV399"/>
  <c r="AT399"/>
  <c r="AR399"/>
  <c r="AP399"/>
  <c r="AN399"/>
  <c r="AL399"/>
  <c r="AJ399"/>
  <c r="D26" i="58"/>
  <c r="H26"/>
  <c r="G26" s="1"/>
  <c r="E27"/>
  <c r="AA400" i="118"/>
  <c r="AA358"/>
  <c r="AA311"/>
  <c r="AA264"/>
  <c r="AA217"/>
  <c r="AA123"/>
  <c r="AA76"/>
  <c r="AA29"/>
  <c r="D13" i="52"/>
  <c r="E15"/>
  <c r="D14"/>
  <c r="F15"/>
  <c r="E14"/>
  <c r="F13"/>
  <c r="AQ40" i="51"/>
  <c r="AR40" s="1"/>
  <c r="B33"/>
  <c r="T22"/>
  <c r="T24"/>
  <c r="T26"/>
  <c r="T28"/>
  <c r="T30"/>
  <c r="T32"/>
  <c r="R33"/>
  <c r="AQ33" s="1"/>
  <c r="AR33" s="1"/>
  <c r="AQ35"/>
  <c r="AR35" s="1"/>
  <c r="AQ37"/>
  <c r="AR37" s="1"/>
  <c r="T39"/>
  <c r="T41"/>
  <c r="AQ56"/>
  <c r="AR56" s="1"/>
  <c r="AQ34"/>
  <c r="AR34" s="1"/>
  <c r="AQ36"/>
  <c r="AR36" s="1"/>
  <c r="AQ38"/>
  <c r="AR38" s="1"/>
  <c r="T52"/>
  <c r="R54"/>
  <c r="AQ54" s="1"/>
  <c r="AR54" s="1"/>
  <c r="AQ55"/>
  <c r="AR55" s="1"/>
  <c r="C15"/>
  <c r="F15"/>
  <c r="B16"/>
  <c r="C17"/>
  <c r="F17"/>
  <c r="W10" i="118" s="1"/>
  <c r="B18" i="51"/>
  <c r="C19"/>
  <c r="F19"/>
  <c r="W12" i="118" s="1"/>
  <c r="C20" i="51"/>
  <c r="F20"/>
  <c r="W13" i="118" s="1"/>
  <c r="B21" i="51"/>
  <c r="R21"/>
  <c r="AQ21" s="1"/>
  <c r="AR21" s="1"/>
  <c r="B22"/>
  <c r="R22"/>
  <c r="F22" s="1"/>
  <c r="W15" i="118" s="1"/>
  <c r="B23" i="51"/>
  <c r="R23"/>
  <c r="AQ23" s="1"/>
  <c r="AR23" s="1"/>
  <c r="B24"/>
  <c r="R24"/>
  <c r="F24" s="1"/>
  <c r="W17" i="118" s="1"/>
  <c r="B25" i="51"/>
  <c r="R25"/>
  <c r="AQ25" s="1"/>
  <c r="AR25" s="1"/>
  <c r="B26"/>
  <c r="R26"/>
  <c r="F26" s="1"/>
  <c r="W19" i="118" s="1"/>
  <c r="B27" i="51"/>
  <c r="R27"/>
  <c r="AQ27" s="1"/>
  <c r="AR27" s="1"/>
  <c r="B28"/>
  <c r="R28"/>
  <c r="AQ28" s="1"/>
  <c r="AR28" s="1"/>
  <c r="B29"/>
  <c r="R29"/>
  <c r="AQ29" s="1"/>
  <c r="AR29" s="1"/>
  <c r="B30"/>
  <c r="R30"/>
  <c r="F30" s="1"/>
  <c r="W23" i="118" s="1"/>
  <c r="B31" i="51"/>
  <c r="R31"/>
  <c r="AQ31" s="1"/>
  <c r="AR31" s="1"/>
  <c r="B32"/>
  <c r="R32"/>
  <c r="F56"/>
  <c r="C56"/>
  <c r="F55"/>
  <c r="C55"/>
  <c r="F54"/>
  <c r="C54"/>
  <c r="C53"/>
  <c r="C52"/>
  <c r="C51"/>
  <c r="C50"/>
  <c r="C49"/>
  <c r="C48"/>
  <c r="C47"/>
  <c r="C46"/>
  <c r="C45"/>
  <c r="C44"/>
  <c r="C43"/>
  <c r="B42"/>
  <c r="C41"/>
  <c r="B40"/>
  <c r="C39"/>
  <c r="F38"/>
  <c r="C38"/>
  <c r="F37"/>
  <c r="C37"/>
  <c r="F36"/>
  <c r="C36"/>
  <c r="F35"/>
  <c r="W28" i="118" s="1"/>
  <c r="C35" i="51"/>
  <c r="B34"/>
  <c r="B56"/>
  <c r="B55"/>
  <c r="B54"/>
  <c r="B53"/>
  <c r="B52"/>
  <c r="B51"/>
  <c r="B50"/>
  <c r="B49"/>
  <c r="B48"/>
  <c r="B47"/>
  <c r="B46"/>
  <c r="B45"/>
  <c r="B44"/>
  <c r="B43"/>
  <c r="C42"/>
  <c r="B41"/>
  <c r="F40"/>
  <c r="C40"/>
  <c r="B39"/>
  <c r="B38"/>
  <c r="B37"/>
  <c r="B36"/>
  <c r="B35"/>
  <c r="F34"/>
  <c r="W27" i="118" s="1"/>
  <c r="C34" i="51"/>
  <c r="B15"/>
  <c r="C16"/>
  <c r="F16"/>
  <c r="W9" i="118" s="1"/>
  <c r="B17" i="51"/>
  <c r="C18"/>
  <c r="F18"/>
  <c r="W11" i="118" s="1"/>
  <c r="B19" i="51"/>
  <c r="B20"/>
  <c r="C21"/>
  <c r="C22"/>
  <c r="C23"/>
  <c r="C24"/>
  <c r="C25"/>
  <c r="C26"/>
  <c r="C27"/>
  <c r="C28"/>
  <c r="C29"/>
  <c r="C30"/>
  <c r="C31"/>
  <c r="C32"/>
  <c r="C33"/>
  <c r="R42"/>
  <c r="AQ42" s="1"/>
  <c r="AR42" s="1"/>
  <c r="R43"/>
  <c r="AQ43" s="1"/>
  <c r="AR43" s="1"/>
  <c r="R44"/>
  <c r="AQ44" s="1"/>
  <c r="AR44" s="1"/>
  <c r="R45"/>
  <c r="AQ45" s="1"/>
  <c r="AR45" s="1"/>
  <c r="R46"/>
  <c r="AQ46" s="1"/>
  <c r="AR46" s="1"/>
  <c r="R47"/>
  <c r="AQ47" s="1"/>
  <c r="AR47" s="1"/>
  <c r="R48"/>
  <c r="AQ48" s="1"/>
  <c r="AR48" s="1"/>
  <c r="R49"/>
  <c r="AQ49" s="1"/>
  <c r="AR49" s="1"/>
  <c r="R50"/>
  <c r="AQ50" s="1"/>
  <c r="AR50" s="1"/>
  <c r="R51"/>
  <c r="AQ51" s="1"/>
  <c r="AR51" s="1"/>
  <c r="R52"/>
  <c r="F52" s="1"/>
  <c r="R53"/>
  <c r="AQ53" s="1"/>
  <c r="AR53" s="1"/>
  <c r="R39"/>
  <c r="F39" s="1"/>
  <c r="R41"/>
  <c r="F41" s="1"/>
  <c r="W29" i="118" l="1"/>
  <c r="AQ32" i="51"/>
  <c r="AR32" s="1"/>
  <c r="F33"/>
  <c r="W26" i="118" s="1"/>
  <c r="F27" i="51"/>
  <c r="W20" i="118" s="1"/>
  <c r="F23" i="51"/>
  <c r="W16" i="118" s="1"/>
  <c r="F31" i="51"/>
  <c r="W24" i="118" s="1"/>
  <c r="AA189"/>
  <c r="F29" i="51"/>
  <c r="W22" i="118" s="1"/>
  <c r="F25" i="51"/>
  <c r="W18" i="118" s="1"/>
  <c r="F21" i="51"/>
  <c r="W14" i="118" s="1"/>
  <c r="F43" i="51"/>
  <c r="F45"/>
  <c r="F47"/>
  <c r="F49"/>
  <c r="F51"/>
  <c r="F53"/>
  <c r="F32"/>
  <c r="W25" i="118" s="1"/>
  <c r="F28" i="51"/>
  <c r="W21" i="118" s="1"/>
  <c r="F44" i="51"/>
  <c r="F46"/>
  <c r="F48"/>
  <c r="F50"/>
  <c r="F42"/>
  <c r="B45" i="137"/>
  <c r="V48"/>
  <c r="U36" i="13"/>
  <c r="X35" i="1"/>
  <c r="U36"/>
  <c r="AQ41" i="51"/>
  <c r="AR41" s="1"/>
  <c r="D19"/>
  <c r="I19" s="1"/>
  <c r="D15"/>
  <c r="I15" s="1"/>
  <c r="AQ30"/>
  <c r="AR30" s="1"/>
  <c r="BX400" i="118"/>
  <c r="BB400"/>
  <c r="AZ400"/>
  <c r="AX400"/>
  <c r="AV400"/>
  <c r="AT400"/>
  <c r="AR400"/>
  <c r="AP400"/>
  <c r="AN400"/>
  <c r="AL400"/>
  <c r="AJ400"/>
  <c r="BC400"/>
  <c r="BA400"/>
  <c r="AY400"/>
  <c r="AW400"/>
  <c r="AU400"/>
  <c r="AS400"/>
  <c r="AQ400"/>
  <c r="AO400"/>
  <c r="AM400"/>
  <c r="AK400"/>
  <c r="D27" i="58"/>
  <c r="E28"/>
  <c r="H27"/>
  <c r="G27" s="1"/>
  <c r="AQ26" i="51"/>
  <c r="AR26" s="1"/>
  <c r="AQ22"/>
  <c r="AR22" s="1"/>
  <c r="AA401" i="118"/>
  <c r="AA359"/>
  <c r="AA312"/>
  <c r="AA265"/>
  <c r="AA218"/>
  <c r="AA124"/>
  <c r="D17" i="51"/>
  <c r="I17" s="1"/>
  <c r="AA77" i="118"/>
  <c r="AA30"/>
  <c r="W30" s="1"/>
  <c r="D36" i="51"/>
  <c r="D38"/>
  <c r="D44"/>
  <c r="D46"/>
  <c r="D48"/>
  <c r="D50"/>
  <c r="D52"/>
  <c r="D54"/>
  <c r="D56"/>
  <c r="AQ52"/>
  <c r="AR52" s="1"/>
  <c r="D20"/>
  <c r="I20" s="1"/>
  <c r="D35"/>
  <c r="D37"/>
  <c r="D39"/>
  <c r="D43"/>
  <c r="D45"/>
  <c r="D47"/>
  <c r="D49"/>
  <c r="D51"/>
  <c r="D53"/>
  <c r="D55"/>
  <c r="AQ39"/>
  <c r="AR39" s="1"/>
  <c r="D33"/>
  <c r="AQ24"/>
  <c r="AR24" s="1"/>
  <c r="D42"/>
  <c r="D32"/>
  <c r="D31"/>
  <c r="D30"/>
  <c r="D29"/>
  <c r="D28"/>
  <c r="D27"/>
  <c r="D26"/>
  <c r="D25"/>
  <c r="D24"/>
  <c r="D23"/>
  <c r="D22"/>
  <c r="D21"/>
  <c r="D16"/>
  <c r="I16" s="1"/>
  <c r="D34"/>
  <c r="D41"/>
  <c r="D40"/>
  <c r="D18"/>
  <c r="I18" s="1"/>
  <c r="AA190" i="118" l="1"/>
  <c r="V49" i="137"/>
  <c r="B46"/>
  <c r="U37" i="13"/>
  <c r="X36" i="1"/>
  <c r="U37"/>
  <c r="BC401" i="118"/>
  <c r="BA401"/>
  <c r="AY401"/>
  <c r="AW401"/>
  <c r="AU401"/>
  <c r="AS401"/>
  <c r="AQ401"/>
  <c r="AO401"/>
  <c r="AM401"/>
  <c r="AK401"/>
  <c r="BD401"/>
  <c r="BB401"/>
  <c r="AZ401"/>
  <c r="AX401"/>
  <c r="AV401"/>
  <c r="AT401"/>
  <c r="AR401"/>
  <c r="AP401"/>
  <c r="AN401"/>
  <c r="AL401"/>
  <c r="AJ401"/>
  <c r="D28" i="58"/>
  <c r="H28"/>
  <c r="G28" s="1"/>
  <c r="E29"/>
  <c r="AA402" i="118"/>
  <c r="AA360"/>
  <c r="AA313"/>
  <c r="AA266"/>
  <c r="AA219"/>
  <c r="AA125"/>
  <c r="AA78"/>
  <c r="AA31"/>
  <c r="W31" s="1"/>
  <c r="AR19" i="51"/>
  <c r="B47" i="137" l="1"/>
  <c r="V50"/>
  <c r="U38" i="13"/>
  <c r="X37" i="1"/>
  <c r="U38"/>
  <c r="BD402" i="118"/>
  <c r="BB402"/>
  <c r="AZ402"/>
  <c r="AX402"/>
  <c r="AV402"/>
  <c r="AT402"/>
  <c r="AR402"/>
  <c r="AP402"/>
  <c r="AN402"/>
  <c r="AL402"/>
  <c r="AJ402"/>
  <c r="BE402"/>
  <c r="BC402"/>
  <c r="BA402"/>
  <c r="AY402"/>
  <c r="AW402"/>
  <c r="AU402"/>
  <c r="AS402"/>
  <c r="AQ402"/>
  <c r="AO402"/>
  <c r="AM402"/>
  <c r="AK402"/>
  <c r="D29" i="58"/>
  <c r="E30"/>
  <c r="H29"/>
  <c r="G29" s="1"/>
  <c r="AA403" i="118"/>
  <c r="AA361"/>
  <c r="AA314"/>
  <c r="AA267"/>
  <c r="AA220"/>
  <c r="AA126"/>
  <c r="AA79"/>
  <c r="AA32"/>
  <c r="W32" s="1"/>
  <c r="B7" i="49"/>
  <c r="V51" i="137" l="1"/>
  <c r="B48"/>
  <c r="U39" i="13"/>
  <c r="X38" i="1"/>
  <c r="U39"/>
  <c r="BF403" i="118"/>
  <c r="BD403"/>
  <c r="BB403"/>
  <c r="AZ403"/>
  <c r="AX403"/>
  <c r="AV403"/>
  <c r="AT403"/>
  <c r="AR403"/>
  <c r="AP403"/>
  <c r="AN403"/>
  <c r="AL403"/>
  <c r="AJ403"/>
  <c r="BE403"/>
  <c r="BC403"/>
  <c r="BA403"/>
  <c r="AY403"/>
  <c r="AW403"/>
  <c r="AU403"/>
  <c r="AS403"/>
  <c r="AQ403"/>
  <c r="AO403"/>
  <c r="AM403"/>
  <c r="AK403"/>
  <c r="D30" i="58"/>
  <c r="H30"/>
  <c r="G30" s="1"/>
  <c r="E31"/>
  <c r="AA404" i="118"/>
  <c r="AA362"/>
  <c r="AA315"/>
  <c r="AA268"/>
  <c r="AA221"/>
  <c r="AA127"/>
  <c r="AA80"/>
  <c r="AA33"/>
  <c r="W33" s="1"/>
  <c r="B49" i="137" l="1"/>
  <c r="V52"/>
  <c r="U40" i="13"/>
  <c r="X39" i="1"/>
  <c r="U40"/>
  <c r="BG404" i="118"/>
  <c r="BE404"/>
  <c r="BC404"/>
  <c r="BA404"/>
  <c r="AY404"/>
  <c r="AW404"/>
  <c r="AU404"/>
  <c r="AS404"/>
  <c r="AQ404"/>
  <c r="AO404"/>
  <c r="AM404"/>
  <c r="AK404"/>
  <c r="BF404"/>
  <c r="BD404"/>
  <c r="BB404"/>
  <c r="AZ404"/>
  <c r="AX404"/>
  <c r="AV404"/>
  <c r="AT404"/>
  <c r="AR404"/>
  <c r="AP404"/>
  <c r="AN404"/>
  <c r="AL404"/>
  <c r="AJ404"/>
  <c r="D31" i="58"/>
  <c r="E32"/>
  <c r="H31"/>
  <c r="G31" s="1"/>
  <c r="AA405" i="118"/>
  <c r="AA363"/>
  <c r="AA316"/>
  <c r="AA269"/>
  <c r="AA222"/>
  <c r="AA128"/>
  <c r="AA81"/>
  <c r="AA34"/>
  <c r="W34" s="1"/>
  <c r="B50" i="137" l="1"/>
  <c r="U41" i="13"/>
  <c r="X40" i="1"/>
  <c r="U41"/>
  <c r="BG405" i="118"/>
  <c r="BE405"/>
  <c r="BC405"/>
  <c r="BA405"/>
  <c r="AY405"/>
  <c r="AW405"/>
  <c r="AU405"/>
  <c r="AS405"/>
  <c r="BH405"/>
  <c r="BF405"/>
  <c r="BD405"/>
  <c r="BB405"/>
  <c r="AZ405"/>
  <c r="AX405"/>
  <c r="AV405"/>
  <c r="AT405"/>
  <c r="AR405"/>
  <c r="AQ405"/>
  <c r="AO405"/>
  <c r="AM405"/>
  <c r="AK405"/>
  <c r="AP405"/>
  <c r="AN405"/>
  <c r="AL405"/>
  <c r="AJ405"/>
  <c r="D32" i="58"/>
  <c r="H32"/>
  <c r="G32" s="1"/>
  <c r="E33"/>
  <c r="AA406" i="118"/>
  <c r="AA364"/>
  <c r="AA317"/>
  <c r="AA270"/>
  <c r="AA223"/>
  <c r="AA129"/>
  <c r="AA82"/>
  <c r="AA35"/>
  <c r="W35" s="1"/>
  <c r="AB7"/>
  <c r="AC7" s="1"/>
  <c r="E9" i="3"/>
  <c r="B51" i="137" l="1"/>
  <c r="U42" i="13"/>
  <c r="X41" i="1"/>
  <c r="U42"/>
  <c r="BH406" i="118"/>
  <c r="BF406"/>
  <c r="BD406"/>
  <c r="BB406"/>
  <c r="AZ406"/>
  <c r="AX406"/>
  <c r="AV406"/>
  <c r="AT406"/>
  <c r="AR406"/>
  <c r="AP406"/>
  <c r="AN406"/>
  <c r="AL406"/>
  <c r="AJ406"/>
  <c r="BI406"/>
  <c r="BG406"/>
  <c r="BE406"/>
  <c r="BC406"/>
  <c r="BA406"/>
  <c r="AY406"/>
  <c r="AW406"/>
  <c r="AU406"/>
  <c r="AS406"/>
  <c r="AQ406"/>
  <c r="AO406"/>
  <c r="AM406"/>
  <c r="AK406"/>
  <c r="D33" i="58"/>
  <c r="E34"/>
  <c r="H33"/>
  <c r="G33" s="1"/>
  <c r="AA407" i="118"/>
  <c r="AA365"/>
  <c r="AA318"/>
  <c r="AA271"/>
  <c r="AA224"/>
  <c r="AA130"/>
  <c r="AA83"/>
  <c r="B7" i="72"/>
  <c r="C7" s="1"/>
  <c r="AA36" i="118"/>
  <c r="W36" s="1"/>
  <c r="E8" i="3"/>
  <c r="B52" i="137" l="1"/>
  <c r="U43" i="13"/>
  <c r="X42" i="1"/>
  <c r="U43"/>
  <c r="BJ407" i="118"/>
  <c r="BH407"/>
  <c r="BF407"/>
  <c r="BD407"/>
  <c r="BB407"/>
  <c r="AZ407"/>
  <c r="AX407"/>
  <c r="AV407"/>
  <c r="AT407"/>
  <c r="AR407"/>
  <c r="AP407"/>
  <c r="AN407"/>
  <c r="AL407"/>
  <c r="AJ407"/>
  <c r="BI407"/>
  <c r="BG407"/>
  <c r="BE407"/>
  <c r="BC407"/>
  <c r="BA407"/>
  <c r="AY407"/>
  <c r="AW407"/>
  <c r="AU407"/>
  <c r="AS407"/>
  <c r="AQ407"/>
  <c r="AO407"/>
  <c r="AM407"/>
  <c r="AK407"/>
  <c r="D34" i="58"/>
  <c r="H34"/>
  <c r="G34" s="1"/>
  <c r="E35"/>
  <c r="AA408" i="118"/>
  <c r="AA366"/>
  <c r="AA319"/>
  <c r="AA272"/>
  <c r="AA225"/>
  <c r="AA131"/>
  <c r="AA84"/>
  <c r="AA37"/>
  <c r="W37" s="1"/>
  <c r="B6" i="3"/>
  <c r="W3" i="137" l="1"/>
  <c r="AA3" s="1"/>
  <c r="AE3" s="1"/>
  <c r="U44" i="13"/>
  <c r="X43" i="1"/>
  <c r="U44"/>
  <c r="BK408" i="118"/>
  <c r="BI408"/>
  <c r="BG408"/>
  <c r="BE408"/>
  <c r="BC408"/>
  <c r="BA408"/>
  <c r="AY408"/>
  <c r="AW408"/>
  <c r="AU408"/>
  <c r="AS408"/>
  <c r="AQ408"/>
  <c r="AO408"/>
  <c r="AM408"/>
  <c r="AK408"/>
  <c r="BJ408"/>
  <c r="BH408"/>
  <c r="BF408"/>
  <c r="BD408"/>
  <c r="BB408"/>
  <c r="AZ408"/>
  <c r="AX408"/>
  <c r="AV408"/>
  <c r="AT408"/>
  <c r="AR408"/>
  <c r="AP408"/>
  <c r="AN408"/>
  <c r="AL408"/>
  <c r="AJ408"/>
  <c r="D35" i="58"/>
  <c r="E36"/>
  <c r="H35"/>
  <c r="G35" s="1"/>
  <c r="AA409" i="118"/>
  <c r="AA367"/>
  <c r="AA320"/>
  <c r="AA273"/>
  <c r="AA226"/>
  <c r="AA132"/>
  <c r="AA85"/>
  <c r="AA38"/>
  <c r="W38" s="1"/>
  <c r="B7" i="3"/>
  <c r="C2"/>
  <c r="C9" s="1"/>
  <c r="J9" s="1"/>
  <c r="U45" i="13" l="1"/>
  <c r="X44" i="1"/>
  <c r="U45"/>
  <c r="BK409" i="118"/>
  <c r="BI409"/>
  <c r="BG409"/>
  <c r="BE409"/>
  <c r="BC409"/>
  <c r="BA409"/>
  <c r="AY409"/>
  <c r="AW409"/>
  <c r="AU409"/>
  <c r="AS409"/>
  <c r="AQ409"/>
  <c r="AO409"/>
  <c r="AM409"/>
  <c r="AK409"/>
  <c r="BL409"/>
  <c r="BJ409"/>
  <c r="BH409"/>
  <c r="BF409"/>
  <c r="BD409"/>
  <c r="BB409"/>
  <c r="AZ409"/>
  <c r="AX409"/>
  <c r="AV409"/>
  <c r="AT409"/>
  <c r="AR409"/>
  <c r="AP409"/>
  <c r="AN409"/>
  <c r="AL409"/>
  <c r="AJ409"/>
  <c r="D36" i="58"/>
  <c r="H36"/>
  <c r="G36" s="1"/>
  <c r="E37"/>
  <c r="AA410" i="118"/>
  <c r="AA368"/>
  <c r="AA321"/>
  <c r="AA274"/>
  <c r="AA227"/>
  <c r="AA133"/>
  <c r="AA86"/>
  <c r="AA39"/>
  <c r="W39" s="1"/>
  <c r="C8" i="3"/>
  <c r="J8" s="1"/>
  <c r="B6" i="47"/>
  <c r="C2"/>
  <c r="E18" i="7"/>
  <c r="B7" i="13"/>
  <c r="B31" i="44"/>
  <c r="B8" i="13" l="1"/>
  <c r="B9" s="1"/>
  <c r="B10" s="1"/>
  <c r="B11" s="1"/>
  <c r="V2" s="1"/>
  <c r="U46"/>
  <c r="X45" i="1"/>
  <c r="U46"/>
  <c r="BL410" i="118"/>
  <c r="BJ410"/>
  <c r="BH410"/>
  <c r="BF410"/>
  <c r="BD410"/>
  <c r="BB410"/>
  <c r="AZ410"/>
  <c r="AX410"/>
  <c r="AV410"/>
  <c r="AT410"/>
  <c r="AR410"/>
  <c r="AP410"/>
  <c r="AN410"/>
  <c r="AL410"/>
  <c r="AJ410"/>
  <c r="BM410"/>
  <c r="BK410"/>
  <c r="BI410"/>
  <c r="BG410"/>
  <c r="BE410"/>
  <c r="BC410"/>
  <c r="BA410"/>
  <c r="AY410"/>
  <c r="AW410"/>
  <c r="AU410"/>
  <c r="AS410"/>
  <c r="AQ410"/>
  <c r="AO410"/>
  <c r="AM410"/>
  <c r="AK410"/>
  <c r="D37" i="58"/>
  <c r="E38"/>
  <c r="H37"/>
  <c r="G37" s="1"/>
  <c r="AA411" i="118"/>
  <c r="AA369"/>
  <c r="AA322"/>
  <c r="AA275"/>
  <c r="AA228"/>
  <c r="AA134"/>
  <c r="AA87"/>
  <c r="AA40"/>
  <c r="W40" s="1"/>
  <c r="E7" i="7"/>
  <c r="B10"/>
  <c r="E9" s="1"/>
  <c r="E6"/>
  <c r="E8"/>
  <c r="C19"/>
  <c r="E16"/>
  <c r="D10"/>
  <c r="C10" s="1"/>
  <c r="E5"/>
  <c r="B8" i="3"/>
  <c r="D21" i="42"/>
  <c r="D20"/>
  <c r="D19"/>
  <c r="D17"/>
  <c r="D16"/>
  <c r="D15"/>
  <c r="D13"/>
  <c r="D9"/>
  <c r="D8"/>
  <c r="D7"/>
  <c r="D6"/>
  <c r="D5"/>
  <c r="D4"/>
  <c r="E10" i="7" l="1"/>
  <c r="U47" i="13"/>
  <c r="X46" i="1"/>
  <c r="U47"/>
  <c r="B12" i="13"/>
  <c r="BN411" i="118"/>
  <c r="BL411"/>
  <c r="BJ411"/>
  <c r="BH411"/>
  <c r="BF411"/>
  <c r="BD411"/>
  <c r="BB411"/>
  <c r="AZ411"/>
  <c r="AX411"/>
  <c r="AV411"/>
  <c r="AT411"/>
  <c r="AR411"/>
  <c r="AP411"/>
  <c r="AN411"/>
  <c r="AL411"/>
  <c r="AJ411"/>
  <c r="BM411"/>
  <c r="BK411"/>
  <c r="BI411"/>
  <c r="BG411"/>
  <c r="BE411"/>
  <c r="BC411"/>
  <c r="BA411"/>
  <c r="AY411"/>
  <c r="AW411"/>
  <c r="AU411"/>
  <c r="AS411"/>
  <c r="AQ411"/>
  <c r="AO411"/>
  <c r="AM411"/>
  <c r="AK411"/>
  <c r="D38" i="58"/>
  <c r="H38"/>
  <c r="G38" s="1"/>
  <c r="E39"/>
  <c r="AA412" i="118"/>
  <c r="AA370"/>
  <c r="AA323"/>
  <c r="AA276"/>
  <c r="AA229"/>
  <c r="AA135"/>
  <c r="AA88"/>
  <c r="AA41"/>
  <c r="W41" s="1"/>
  <c r="B19" i="7"/>
  <c r="E14"/>
  <c r="B9" i="3"/>
  <c r="E5"/>
  <c r="B13" i="13" l="1"/>
  <c r="V13" s="1"/>
  <c r="V12"/>
  <c r="U48"/>
  <c r="X47" i="1"/>
  <c r="U48"/>
  <c r="F10" i="13"/>
  <c r="G10" s="1"/>
  <c r="F11"/>
  <c r="BO412" i="118"/>
  <c r="BM412"/>
  <c r="BK412"/>
  <c r="BI412"/>
  <c r="BG412"/>
  <c r="BE412"/>
  <c r="BC412"/>
  <c r="BA412"/>
  <c r="AY412"/>
  <c r="AW412"/>
  <c r="AU412"/>
  <c r="AS412"/>
  <c r="AQ412"/>
  <c r="AO412"/>
  <c r="AM412"/>
  <c r="AK412"/>
  <c r="BN412"/>
  <c r="BL412"/>
  <c r="BJ412"/>
  <c r="BH412"/>
  <c r="BF412"/>
  <c r="BD412"/>
  <c r="BB412"/>
  <c r="AZ412"/>
  <c r="AX412"/>
  <c r="AV412"/>
  <c r="AT412"/>
  <c r="AR412"/>
  <c r="AP412"/>
  <c r="AN412"/>
  <c r="AL412"/>
  <c r="AJ412"/>
  <c r="D39" i="58"/>
  <c r="E40"/>
  <c r="H39"/>
  <c r="G39" s="1"/>
  <c r="AA413" i="118"/>
  <c r="AA371"/>
  <c r="AA324"/>
  <c r="AA277"/>
  <c r="AA230"/>
  <c r="AA136"/>
  <c r="AA89"/>
  <c r="AA42"/>
  <c r="W42" s="1"/>
  <c r="D8" i="3"/>
  <c r="E7"/>
  <c r="E6"/>
  <c r="C7"/>
  <c r="C5"/>
  <c r="J5" s="1"/>
  <c r="C6"/>
  <c r="J6" s="1"/>
  <c r="D9" l="1"/>
  <c r="H10" i="13"/>
  <c r="H10" i="137"/>
  <c r="D10"/>
  <c r="F10"/>
  <c r="J10"/>
  <c r="G11" i="13"/>
  <c r="U49"/>
  <c r="X48" i="1"/>
  <c r="U49"/>
  <c r="D7" i="3"/>
  <c r="J7"/>
  <c r="BO413" i="118"/>
  <c r="BM413"/>
  <c r="BK413"/>
  <c r="BI413"/>
  <c r="BG413"/>
  <c r="BE413"/>
  <c r="BC413"/>
  <c r="BA413"/>
  <c r="AY413"/>
  <c r="AW413"/>
  <c r="AU413"/>
  <c r="AS413"/>
  <c r="AQ413"/>
  <c r="AO413"/>
  <c r="AM413"/>
  <c r="AK413"/>
  <c r="BP413"/>
  <c r="BN413"/>
  <c r="BL413"/>
  <c r="BJ413"/>
  <c r="BH413"/>
  <c r="BF413"/>
  <c r="BD413"/>
  <c r="BB413"/>
  <c r="AZ413"/>
  <c r="AX413"/>
  <c r="AV413"/>
  <c r="AT413"/>
  <c r="AR413"/>
  <c r="AP413"/>
  <c r="AN413"/>
  <c r="AL413"/>
  <c r="AJ413"/>
  <c r="D40" i="58"/>
  <c r="H40"/>
  <c r="G40" s="1"/>
  <c r="E41"/>
  <c r="AA414" i="118"/>
  <c r="AA372"/>
  <c r="AA325"/>
  <c r="AA278"/>
  <c r="AA231"/>
  <c r="AA137"/>
  <c r="AA90"/>
  <c r="AA43"/>
  <c r="W43" s="1"/>
  <c r="D5" i="3"/>
  <c r="F11" i="137" l="1"/>
  <c r="H11"/>
  <c r="D11"/>
  <c r="J11"/>
  <c r="AA51"/>
  <c r="AE35"/>
  <c r="H11" i="13"/>
  <c r="V11"/>
  <c r="U50"/>
  <c r="X49" i="1"/>
  <c r="U50"/>
  <c r="BP414" i="118"/>
  <c r="BN414"/>
  <c r="BL414"/>
  <c r="BJ414"/>
  <c r="BH414"/>
  <c r="BF414"/>
  <c r="BD414"/>
  <c r="BB414"/>
  <c r="AZ414"/>
  <c r="AX414"/>
  <c r="AV414"/>
  <c r="AT414"/>
  <c r="AR414"/>
  <c r="AP414"/>
  <c r="AN414"/>
  <c r="AL414"/>
  <c r="AJ414"/>
  <c r="BQ414"/>
  <c r="BO414"/>
  <c r="BM414"/>
  <c r="BK414"/>
  <c r="BI414"/>
  <c r="BG414"/>
  <c r="BE414"/>
  <c r="BC414"/>
  <c r="BA414"/>
  <c r="AY414"/>
  <c r="AW414"/>
  <c r="AU414"/>
  <c r="AS414"/>
  <c r="AQ414"/>
  <c r="AO414"/>
  <c r="AM414"/>
  <c r="AK414"/>
  <c r="D41" i="58"/>
  <c r="E42"/>
  <c r="H41"/>
  <c r="G41" s="1"/>
  <c r="AA415" i="118"/>
  <c r="AA373"/>
  <c r="AA326"/>
  <c r="AA279"/>
  <c r="AA232"/>
  <c r="AA138"/>
  <c r="AA91"/>
  <c r="AA44"/>
  <c r="W44" s="1"/>
  <c r="W11" i="137" l="1"/>
  <c r="X2" s="1"/>
  <c r="L9"/>
  <c r="AE11"/>
  <c r="AF11" s="1"/>
  <c r="AG11" s="1"/>
  <c r="AH11" s="1"/>
  <c r="L11"/>
  <c r="AA11"/>
  <c r="AB2" s="1"/>
  <c r="AC11" s="1"/>
  <c r="L10"/>
  <c r="AE42"/>
  <c r="AE40"/>
  <c r="AE17"/>
  <c r="AA42"/>
  <c r="AA24"/>
  <c r="AE24"/>
  <c r="AE19"/>
  <c r="AA26"/>
  <c r="AA49"/>
  <c r="AA31"/>
  <c r="AA33"/>
  <c r="AA15"/>
  <c r="AA17"/>
  <c r="AA40"/>
  <c r="AA38"/>
  <c r="AA29"/>
  <c r="AA20"/>
  <c r="AA52"/>
  <c r="AA43"/>
  <c r="AE33"/>
  <c r="AE51"/>
  <c r="AA18"/>
  <c r="AA34"/>
  <c r="AA50"/>
  <c r="AA25"/>
  <c r="AA41"/>
  <c r="AA16"/>
  <c r="AA32"/>
  <c r="AA48"/>
  <c r="AA23"/>
  <c r="AA39"/>
  <c r="AA22"/>
  <c r="AA13"/>
  <c r="AA45"/>
  <c r="AA36"/>
  <c r="AA27"/>
  <c r="AE49"/>
  <c r="AE26"/>
  <c r="AA14"/>
  <c r="AA30"/>
  <c r="AA46"/>
  <c r="AA21"/>
  <c r="AA37"/>
  <c r="AA12"/>
  <c r="AA28"/>
  <c r="AA44"/>
  <c r="AA19"/>
  <c r="AA35"/>
  <c r="AE28"/>
  <c r="AE16"/>
  <c r="AE50"/>
  <c r="AE18"/>
  <c r="AE27"/>
  <c r="AE44"/>
  <c r="AE37"/>
  <c r="AE48"/>
  <c r="AE32"/>
  <c r="AE41"/>
  <c r="AE25"/>
  <c r="AE34"/>
  <c r="AE43"/>
  <c r="AE52"/>
  <c r="AE36"/>
  <c r="AE20"/>
  <c r="AE45"/>
  <c r="AE29"/>
  <c r="AE13"/>
  <c r="AE38"/>
  <c r="AE22"/>
  <c r="AE47"/>
  <c r="AE31"/>
  <c r="AE15"/>
  <c r="AE12"/>
  <c r="AE21"/>
  <c r="AE46"/>
  <c r="AE30"/>
  <c r="AE14"/>
  <c r="AE39"/>
  <c r="AE23"/>
  <c r="AA47"/>
  <c r="W22"/>
  <c r="W46"/>
  <c r="W18"/>
  <c r="W34"/>
  <c r="W44"/>
  <c r="W52"/>
  <c r="W24"/>
  <c r="W13"/>
  <c r="W21"/>
  <c r="W29"/>
  <c r="W37"/>
  <c r="W45"/>
  <c r="W12"/>
  <c r="W42"/>
  <c r="W20"/>
  <c r="W36"/>
  <c r="W19"/>
  <c r="W27"/>
  <c r="W35"/>
  <c r="W43"/>
  <c r="W51"/>
  <c r="W38"/>
  <c r="W14"/>
  <c r="W26"/>
  <c r="W40"/>
  <c r="W48"/>
  <c r="W16"/>
  <c r="W32"/>
  <c r="W17"/>
  <c r="W25"/>
  <c r="W33"/>
  <c r="W41"/>
  <c r="W49"/>
  <c r="W30"/>
  <c r="W50"/>
  <c r="W28"/>
  <c r="W15"/>
  <c r="W23"/>
  <c r="W31"/>
  <c r="W39"/>
  <c r="W47"/>
  <c r="Y2" i="13"/>
  <c r="W2"/>
  <c r="Y11" s="1"/>
  <c r="X2"/>
  <c r="U51"/>
  <c r="X50" i="1"/>
  <c r="U51"/>
  <c r="BR415" i="118"/>
  <c r="BP415"/>
  <c r="BN415"/>
  <c r="BL415"/>
  <c r="BJ415"/>
  <c r="BH415"/>
  <c r="BF415"/>
  <c r="BD415"/>
  <c r="BB415"/>
  <c r="AZ415"/>
  <c r="AX415"/>
  <c r="AV415"/>
  <c r="AT415"/>
  <c r="AR415"/>
  <c r="AP415"/>
  <c r="AN415"/>
  <c r="AL415"/>
  <c r="AJ415"/>
  <c r="BQ415"/>
  <c r="BO415"/>
  <c r="BM415"/>
  <c r="BK415"/>
  <c r="BI415"/>
  <c r="BG415"/>
  <c r="BE415"/>
  <c r="BC415"/>
  <c r="BA415"/>
  <c r="AY415"/>
  <c r="AW415"/>
  <c r="AU415"/>
  <c r="AS415"/>
  <c r="AQ415"/>
  <c r="AO415"/>
  <c r="AM415"/>
  <c r="AK415"/>
  <c r="D42" i="58"/>
  <c r="H42"/>
  <c r="G42" s="1"/>
  <c r="E43"/>
  <c r="AA416" i="118"/>
  <c r="AA374"/>
  <c r="AA327"/>
  <c r="AA280"/>
  <c r="AA233"/>
  <c r="AA139"/>
  <c r="AA92"/>
  <c r="AA45"/>
  <c r="W45" s="1"/>
  <c r="AF2" i="137" l="1"/>
  <c r="AF4" s="1"/>
  <c r="AB11"/>
  <c r="AB4"/>
  <c r="AB29" s="1"/>
  <c r="AD11"/>
  <c r="AC2"/>
  <c r="AC4" s="1"/>
  <c r="Z2"/>
  <c r="L12"/>
  <c r="Y2"/>
  <c r="Z4" s="1"/>
  <c r="L14"/>
  <c r="X11"/>
  <c r="Y11"/>
  <c r="Z11"/>
  <c r="X4"/>
  <c r="X11" i="13"/>
  <c r="W11"/>
  <c r="U52"/>
  <c r="X51" i="1"/>
  <c r="U52"/>
  <c r="W4" s="1"/>
  <c r="BS416" i="118"/>
  <c r="BQ416"/>
  <c r="BO416"/>
  <c r="BM416"/>
  <c r="BK416"/>
  <c r="BI416"/>
  <c r="BG416"/>
  <c r="BE416"/>
  <c r="BC416"/>
  <c r="BA416"/>
  <c r="AY416"/>
  <c r="AW416"/>
  <c r="AU416"/>
  <c r="AS416"/>
  <c r="AQ416"/>
  <c r="AO416"/>
  <c r="AM416"/>
  <c r="AK416"/>
  <c r="BR416"/>
  <c r="BP416"/>
  <c r="BN416"/>
  <c r="BL416"/>
  <c r="BJ416"/>
  <c r="BH416"/>
  <c r="BF416"/>
  <c r="BD416"/>
  <c r="BB416"/>
  <c r="AZ416"/>
  <c r="AX416"/>
  <c r="AV416"/>
  <c r="AT416"/>
  <c r="AR416"/>
  <c r="AP416"/>
  <c r="AN416"/>
  <c r="AL416"/>
  <c r="AJ416"/>
  <c r="D43" i="58"/>
  <c r="E44"/>
  <c r="H43"/>
  <c r="G43" s="1"/>
  <c r="AA417" i="118"/>
  <c r="AA375"/>
  <c r="AA328"/>
  <c r="AA281"/>
  <c r="AA234"/>
  <c r="AA140"/>
  <c r="AA93"/>
  <c r="AA46"/>
  <c r="W46" s="1"/>
  <c r="AG2" i="137" l="1"/>
  <c r="AH4" s="1"/>
  <c r="AB25"/>
  <c r="AB13"/>
  <c r="AB20"/>
  <c r="AB24"/>
  <c r="AB22"/>
  <c r="AB43"/>
  <c r="AB52"/>
  <c r="AB16"/>
  <c r="AB45"/>
  <c r="AB34"/>
  <c r="AB31"/>
  <c r="AB12"/>
  <c r="AB35"/>
  <c r="AB17"/>
  <c r="AB49"/>
  <c r="AB14"/>
  <c r="AB46"/>
  <c r="AB37"/>
  <c r="AB40"/>
  <c r="AB28"/>
  <c r="AB19"/>
  <c r="AB51"/>
  <c r="AB42"/>
  <c r="AB33"/>
  <c r="AB32"/>
  <c r="AB39"/>
  <c r="AB30"/>
  <c r="AB21"/>
  <c r="AD2"/>
  <c r="AB44"/>
  <c r="AB26"/>
  <c r="AB23"/>
  <c r="AB15"/>
  <c r="AB36"/>
  <c r="AB27"/>
  <c r="AB18"/>
  <c r="AB50"/>
  <c r="AB41"/>
  <c r="AB48"/>
  <c r="AB47"/>
  <c r="AB38"/>
  <c r="AD4"/>
  <c r="Y4"/>
  <c r="Y44" s="1"/>
  <c r="W3" i="13"/>
  <c r="Y3"/>
  <c r="X3"/>
  <c r="AU37" i="162"/>
  <c r="AU23" i="161"/>
  <c r="AF12" i="137"/>
  <c r="AF16"/>
  <c r="AF20"/>
  <c r="AF24"/>
  <c r="AF28"/>
  <c r="AF32"/>
  <c r="AF36"/>
  <c r="AF40"/>
  <c r="AF44"/>
  <c r="AF48"/>
  <c r="AF13"/>
  <c r="AF17"/>
  <c r="AF21"/>
  <c r="AF25"/>
  <c r="AF29"/>
  <c r="AF33"/>
  <c r="AF37"/>
  <c r="AF41"/>
  <c r="AF45"/>
  <c r="AF49"/>
  <c r="AF52"/>
  <c r="AF14"/>
  <c r="AF18"/>
  <c r="AF22"/>
  <c r="AF26"/>
  <c r="AF30"/>
  <c r="AF34"/>
  <c r="AF38"/>
  <c r="AF42"/>
  <c r="AF46"/>
  <c r="AF50"/>
  <c r="AF15"/>
  <c r="AF19"/>
  <c r="AF23"/>
  <c r="AF27"/>
  <c r="AF31"/>
  <c r="AF35"/>
  <c r="AF39"/>
  <c r="AF43"/>
  <c r="AF47"/>
  <c r="AF51"/>
  <c r="X51"/>
  <c r="X43"/>
  <c r="X35"/>
  <c r="X27"/>
  <c r="X19"/>
  <c r="X52"/>
  <c r="X44"/>
  <c r="X36"/>
  <c r="X28"/>
  <c r="X20"/>
  <c r="X12"/>
  <c r="X45"/>
  <c r="X29"/>
  <c r="X13"/>
  <c r="X38"/>
  <c r="X22"/>
  <c r="X47"/>
  <c r="X39"/>
  <c r="X31"/>
  <c r="X23"/>
  <c r="X15"/>
  <c r="X48"/>
  <c r="X40"/>
  <c r="X32"/>
  <c r="X24"/>
  <c r="X16"/>
  <c r="X49"/>
  <c r="X41"/>
  <c r="X33"/>
  <c r="X25"/>
  <c r="X17"/>
  <c r="X50"/>
  <c r="X42"/>
  <c r="X34"/>
  <c r="X26"/>
  <c r="X18"/>
  <c r="X37"/>
  <c r="X21"/>
  <c r="X46"/>
  <c r="X30"/>
  <c r="X14"/>
  <c r="AC52"/>
  <c r="AC44"/>
  <c r="AC36"/>
  <c r="AC28"/>
  <c r="AC20"/>
  <c r="AC12"/>
  <c r="AC45"/>
  <c r="AC37"/>
  <c r="AC29"/>
  <c r="AC21"/>
  <c r="AC13"/>
  <c r="AC46"/>
  <c r="AC38"/>
  <c r="AC30"/>
  <c r="AC22"/>
  <c r="AC14"/>
  <c r="AC47"/>
  <c r="AC39"/>
  <c r="AC27"/>
  <c r="AC19"/>
  <c r="AC35"/>
  <c r="AC48"/>
  <c r="AC40"/>
  <c r="AC32"/>
  <c r="AC24"/>
  <c r="AC16"/>
  <c r="AC49"/>
  <c r="AC41"/>
  <c r="AC33"/>
  <c r="AC25"/>
  <c r="AC17"/>
  <c r="AC50"/>
  <c r="AC42"/>
  <c r="AC34"/>
  <c r="AC26"/>
  <c r="AC18"/>
  <c r="AC51"/>
  <c r="AC43"/>
  <c r="AC31"/>
  <c r="AC23"/>
  <c r="AC15"/>
  <c r="AH2"/>
  <c r="Z49"/>
  <c r="Z41"/>
  <c r="Z33"/>
  <c r="Z25"/>
  <c r="Z17"/>
  <c r="Z50"/>
  <c r="Z42"/>
  <c r="Z34"/>
  <c r="Z26"/>
  <c r="Z18"/>
  <c r="Z51"/>
  <c r="Z43"/>
  <c r="Z27"/>
  <c r="Z52"/>
  <c r="Z36"/>
  <c r="Z20"/>
  <c r="Z45"/>
  <c r="Z37"/>
  <c r="Z29"/>
  <c r="Z21"/>
  <c r="Z13"/>
  <c r="Z46"/>
  <c r="Z38"/>
  <c r="Z30"/>
  <c r="Z22"/>
  <c r="Z14"/>
  <c r="Z47"/>
  <c r="Z39"/>
  <c r="Z31"/>
  <c r="Z23"/>
  <c r="Z15"/>
  <c r="Z48"/>
  <c r="Z40"/>
  <c r="Z32"/>
  <c r="Z24"/>
  <c r="Z16"/>
  <c r="Z35"/>
  <c r="Z19"/>
  <c r="Z44"/>
  <c r="Z28"/>
  <c r="Z12"/>
  <c r="X52" i="1"/>
  <c r="Y4"/>
  <c r="BS417" i="118"/>
  <c r="BQ417"/>
  <c r="BO417"/>
  <c r="BM417"/>
  <c r="BK417"/>
  <c r="BI417"/>
  <c r="BG417"/>
  <c r="BE417"/>
  <c r="BC417"/>
  <c r="BA417"/>
  <c r="AY417"/>
  <c r="AW417"/>
  <c r="AU417"/>
  <c r="AS417"/>
  <c r="AQ417"/>
  <c r="AO417"/>
  <c r="AM417"/>
  <c r="AK417"/>
  <c r="BT417"/>
  <c r="BR417"/>
  <c r="BP417"/>
  <c r="BN417"/>
  <c r="BL417"/>
  <c r="BJ417"/>
  <c r="BH417"/>
  <c r="BF417"/>
  <c r="BD417"/>
  <c r="BB417"/>
  <c r="AZ417"/>
  <c r="AX417"/>
  <c r="AV417"/>
  <c r="AT417"/>
  <c r="AR417"/>
  <c r="AP417"/>
  <c r="AN417"/>
  <c r="AL417"/>
  <c r="AJ417"/>
  <c r="D44" i="58"/>
  <c r="H44"/>
  <c r="G44" s="1"/>
  <c r="E45"/>
  <c r="AA418" i="118"/>
  <c r="AA376"/>
  <c r="AA329"/>
  <c r="AA282"/>
  <c r="AA235"/>
  <c r="AA141"/>
  <c r="C11" i="47"/>
  <c r="D11" i="3" s="1"/>
  <c r="C11" s="1"/>
  <c r="J11" s="1"/>
  <c r="AA94" i="118"/>
  <c r="AA47"/>
  <c r="W47" s="1"/>
  <c r="AD44" i="137" l="1"/>
  <c r="AD39"/>
  <c r="Y17"/>
  <c r="Y35"/>
  <c r="Y40"/>
  <c r="AD48"/>
  <c r="Y42"/>
  <c r="Y19"/>
  <c r="Y24"/>
  <c r="AD34"/>
  <c r="AD35"/>
  <c r="AD12"/>
  <c r="AD21"/>
  <c r="AD25"/>
  <c r="AD30"/>
  <c r="AD43"/>
  <c r="AD16"/>
  <c r="AD17"/>
  <c r="AD40"/>
  <c r="AD22"/>
  <c r="AD45"/>
  <c r="AD27"/>
  <c r="AD18"/>
  <c r="AD50"/>
  <c r="AD41"/>
  <c r="AD32"/>
  <c r="AD23"/>
  <c r="AD14"/>
  <c r="AD46"/>
  <c r="AD37"/>
  <c r="AD28"/>
  <c r="AD19"/>
  <c r="AD51"/>
  <c r="Y26"/>
  <c r="Y49"/>
  <c r="AD26"/>
  <c r="AD49"/>
  <c r="AD31"/>
  <c r="AD13"/>
  <c r="AD36"/>
  <c r="AD42"/>
  <c r="AD33"/>
  <c r="AD24"/>
  <c r="AD15"/>
  <c r="AD47"/>
  <c r="AD38"/>
  <c r="AD29"/>
  <c r="AD20"/>
  <c r="AD52"/>
  <c r="Y51"/>
  <c r="Y33"/>
  <c r="Y15"/>
  <c r="Y47"/>
  <c r="Y38"/>
  <c r="Y29"/>
  <c r="Y20"/>
  <c r="Y52"/>
  <c r="Y27"/>
  <c r="Y43"/>
  <c r="Y18"/>
  <c r="Y34"/>
  <c r="Y50"/>
  <c r="Y25"/>
  <c r="Y41"/>
  <c r="Y16"/>
  <c r="Y32"/>
  <c r="Y48"/>
  <c r="Y31"/>
  <c r="Y22"/>
  <c r="Y13"/>
  <c r="Y45"/>
  <c r="Y36"/>
  <c r="Y23"/>
  <c r="Y39"/>
  <c r="Y14"/>
  <c r="Y30"/>
  <c r="Y46"/>
  <c r="Y21"/>
  <c r="Y37"/>
  <c r="Y12"/>
  <c r="Y28"/>
  <c r="AU39" i="161"/>
  <c r="AU38"/>
  <c r="AU37"/>
  <c r="AH13" i="137"/>
  <c r="AH21"/>
  <c r="AH29"/>
  <c r="AH37"/>
  <c r="AH45"/>
  <c r="AH12"/>
  <c r="AH20"/>
  <c r="AH28"/>
  <c r="AH36"/>
  <c r="AH44"/>
  <c r="AH15"/>
  <c r="AH23"/>
  <c r="AH31"/>
  <c r="AH39"/>
  <c r="AH47"/>
  <c r="AH14"/>
  <c r="AH22"/>
  <c r="AH30"/>
  <c r="AH38"/>
  <c r="AH46"/>
  <c r="AH52"/>
  <c r="AH17"/>
  <c r="AH25"/>
  <c r="AH33"/>
  <c r="AH41"/>
  <c r="AH49"/>
  <c r="AH16"/>
  <c r="AH24"/>
  <c r="AH32"/>
  <c r="AH40"/>
  <c r="AH48"/>
  <c r="AH19"/>
  <c r="AH27"/>
  <c r="AH35"/>
  <c r="AH43"/>
  <c r="AH51"/>
  <c r="AH18"/>
  <c r="AH26"/>
  <c r="AH34"/>
  <c r="AH42"/>
  <c r="AH50"/>
  <c r="Y14" i="1"/>
  <c r="E14" s="1"/>
  <c r="Y12"/>
  <c r="E12" s="1"/>
  <c r="Y13"/>
  <c r="Y15"/>
  <c r="Y16"/>
  <c r="E16" s="1"/>
  <c r="Y17"/>
  <c r="E17" s="1"/>
  <c r="Y18"/>
  <c r="Y19"/>
  <c r="Y20"/>
  <c r="E20" s="1"/>
  <c r="Y21"/>
  <c r="E21" s="1"/>
  <c r="Y22"/>
  <c r="Y23"/>
  <c r="Y24"/>
  <c r="E24" s="1"/>
  <c r="Y25"/>
  <c r="E25" s="1"/>
  <c r="Y26"/>
  <c r="Y27"/>
  <c r="Y28"/>
  <c r="E28" s="1"/>
  <c r="Y29"/>
  <c r="E29" s="1"/>
  <c r="Y30"/>
  <c r="Y31"/>
  <c r="Y32"/>
  <c r="E32" s="1"/>
  <c r="Y33"/>
  <c r="E33" s="1"/>
  <c r="Y34"/>
  <c r="Y35"/>
  <c r="Y36"/>
  <c r="E36" s="1"/>
  <c r="Y37"/>
  <c r="E37" s="1"/>
  <c r="Y38"/>
  <c r="Y39"/>
  <c r="Y40"/>
  <c r="E40" s="1"/>
  <c r="Y41"/>
  <c r="E41" s="1"/>
  <c r="Y42"/>
  <c r="Y43"/>
  <c r="Y44"/>
  <c r="E44" s="1"/>
  <c r="Y45"/>
  <c r="E45" s="1"/>
  <c r="Y46"/>
  <c r="Y47"/>
  <c r="Y48"/>
  <c r="E48" s="1"/>
  <c r="Y49"/>
  <c r="E49" s="1"/>
  <c r="Y50"/>
  <c r="Y51"/>
  <c r="Y52"/>
  <c r="E52" s="1"/>
  <c r="W14"/>
  <c r="W12"/>
  <c r="W13"/>
  <c r="W15"/>
  <c r="W16"/>
  <c r="W17"/>
  <c r="W18"/>
  <c r="W19"/>
  <c r="W20"/>
  <c r="W21"/>
  <c r="W22"/>
  <c r="W23"/>
  <c r="W24"/>
  <c r="W25"/>
  <c r="W26"/>
  <c r="W27"/>
  <c r="W28"/>
  <c r="W29"/>
  <c r="W30"/>
  <c r="W31"/>
  <c r="W32"/>
  <c r="W33"/>
  <c r="W34"/>
  <c r="W35"/>
  <c r="W36"/>
  <c r="W37"/>
  <c r="W38"/>
  <c r="W39"/>
  <c r="W40"/>
  <c r="W41"/>
  <c r="W42"/>
  <c r="W43"/>
  <c r="W44"/>
  <c r="W45"/>
  <c r="W46"/>
  <c r="W47"/>
  <c r="W48"/>
  <c r="W49"/>
  <c r="W50"/>
  <c r="W51"/>
  <c r="W52"/>
  <c r="BT418" i="118"/>
  <c r="BR418"/>
  <c r="BP418"/>
  <c r="BN418"/>
  <c r="BL418"/>
  <c r="BJ418"/>
  <c r="BH418"/>
  <c r="BF418"/>
  <c r="BD418"/>
  <c r="BB418"/>
  <c r="AZ418"/>
  <c r="AX418"/>
  <c r="AV418"/>
  <c r="AT418"/>
  <c r="AR418"/>
  <c r="AP418"/>
  <c r="AN418"/>
  <c r="AL418"/>
  <c r="AJ418"/>
  <c r="BU418"/>
  <c r="BS418"/>
  <c r="BQ418"/>
  <c r="BO418"/>
  <c r="BM418"/>
  <c r="BK418"/>
  <c r="BI418"/>
  <c r="BG418"/>
  <c r="BE418"/>
  <c r="BC418"/>
  <c r="BA418"/>
  <c r="AY418"/>
  <c r="AW418"/>
  <c r="AU418"/>
  <c r="AS418"/>
  <c r="AQ418"/>
  <c r="AO418"/>
  <c r="AM418"/>
  <c r="AK418"/>
  <c r="D45" i="58"/>
  <c r="H45"/>
  <c r="G45" s="1"/>
  <c r="AA419" i="118"/>
  <c r="AA377"/>
  <c r="AA330"/>
  <c r="AA283"/>
  <c r="AA236"/>
  <c r="AA142"/>
  <c r="AA95"/>
  <c r="AA48"/>
  <c r="W48" s="1"/>
  <c r="C12" i="47"/>
  <c r="D12" i="3" s="1"/>
  <c r="C12" s="1"/>
  <c r="J12" s="1"/>
  <c r="C13" i="47"/>
  <c r="E50" i="1" l="1"/>
  <c r="E46"/>
  <c r="E42"/>
  <c r="E38"/>
  <c r="E34"/>
  <c r="E30"/>
  <c r="E26"/>
  <c r="E22"/>
  <c r="E18"/>
  <c r="E13"/>
  <c r="E51"/>
  <c r="E47"/>
  <c r="E43"/>
  <c r="E39"/>
  <c r="E35"/>
  <c r="E31"/>
  <c r="E27"/>
  <c r="E23"/>
  <c r="E19"/>
  <c r="E15"/>
  <c r="C12"/>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C46" s="1"/>
  <c r="C47" s="1"/>
  <c r="C48" s="1"/>
  <c r="C49" s="1"/>
  <c r="C50" s="1"/>
  <c r="C51" s="1"/>
  <c r="C52" s="1"/>
  <c r="D12"/>
  <c r="D13" s="1"/>
  <c r="D14" s="1"/>
  <c r="D15" s="1"/>
  <c r="D16" s="1"/>
  <c r="D17" s="1"/>
  <c r="BV419" i="118"/>
  <c r="BT419"/>
  <c r="BR419"/>
  <c r="BP419"/>
  <c r="BN419"/>
  <c r="BL419"/>
  <c r="BJ419"/>
  <c r="BH419"/>
  <c r="BF419"/>
  <c r="BD419"/>
  <c r="BB419"/>
  <c r="AZ419"/>
  <c r="AX419"/>
  <c r="AV419"/>
  <c r="AT419"/>
  <c r="AR419"/>
  <c r="AP419"/>
  <c r="AN419"/>
  <c r="AL419"/>
  <c r="AJ419"/>
  <c r="BU419"/>
  <c r="BS419"/>
  <c r="BQ419"/>
  <c r="BO419"/>
  <c r="BM419"/>
  <c r="BK419"/>
  <c r="BI419"/>
  <c r="BG419"/>
  <c r="BE419"/>
  <c r="BC419"/>
  <c r="BA419"/>
  <c r="AY419"/>
  <c r="AW419"/>
  <c r="AU419"/>
  <c r="AS419"/>
  <c r="AQ419"/>
  <c r="AO419"/>
  <c r="AM419"/>
  <c r="AK419"/>
  <c r="AA420"/>
  <c r="AA378"/>
  <c r="AA331"/>
  <c r="AA284"/>
  <c r="AA237"/>
  <c r="AA143"/>
  <c r="AA96"/>
  <c r="AA49"/>
  <c r="W49" s="1"/>
  <c r="D13" i="3"/>
  <c r="C13" s="1"/>
  <c r="J13" s="1"/>
  <c r="C14" i="47"/>
  <c r="D18" i="1" l="1"/>
  <c r="D19" s="1"/>
  <c r="D20" s="1"/>
  <c r="D21" s="1"/>
  <c r="D22" s="1"/>
  <c r="D23" s="1"/>
  <c r="D24" s="1"/>
  <c r="D25" s="1"/>
  <c r="D26" s="1"/>
  <c r="D27" s="1"/>
  <c r="D28" s="1"/>
  <c r="D29" s="1"/>
  <c r="D30" s="1"/>
  <c r="D31" s="1"/>
  <c r="D32" s="1"/>
  <c r="D33" s="1"/>
  <c r="D34" s="1"/>
  <c r="D35" s="1"/>
  <c r="D36" s="1"/>
  <c r="D37" s="1"/>
  <c r="D38" s="1"/>
  <c r="D39" s="1"/>
  <c r="D40" s="1"/>
  <c r="D41" s="1"/>
  <c r="D42" s="1"/>
  <c r="D43" s="1"/>
  <c r="D44" s="1"/>
  <c r="D45" s="1"/>
  <c r="D46" s="1"/>
  <c r="D47" s="1"/>
  <c r="D48" s="1"/>
  <c r="D49" s="1"/>
  <c r="D50" s="1"/>
  <c r="D51" s="1"/>
  <c r="D52" s="1"/>
  <c r="BW420" i="118"/>
  <c r="BU420"/>
  <c r="BS420"/>
  <c r="BQ420"/>
  <c r="BO420"/>
  <c r="BM420"/>
  <c r="BK420"/>
  <c r="BI420"/>
  <c r="BG420"/>
  <c r="BE420"/>
  <c r="BC420"/>
  <c r="BA420"/>
  <c r="AY420"/>
  <c r="AW420"/>
  <c r="AU420"/>
  <c r="AS420"/>
  <c r="AQ420"/>
  <c r="AO420"/>
  <c r="AM420"/>
  <c r="AK420"/>
  <c r="BV420"/>
  <c r="BT420"/>
  <c r="BR420"/>
  <c r="BP420"/>
  <c r="BN420"/>
  <c r="BL420"/>
  <c r="BJ420"/>
  <c r="BH420"/>
  <c r="BF420"/>
  <c r="BD420"/>
  <c r="BB420"/>
  <c r="AZ420"/>
  <c r="AX420"/>
  <c r="AV420"/>
  <c r="AT420"/>
  <c r="AR420"/>
  <c r="AP420"/>
  <c r="AN420"/>
  <c r="AL420"/>
  <c r="AJ420"/>
  <c r="D14" i="3"/>
  <c r="C14" s="1"/>
  <c r="J14" s="1"/>
  <c r="C15" i="47"/>
  <c r="D15" i="3" l="1"/>
  <c r="C15" s="1"/>
  <c r="J15" s="1"/>
  <c r="C16" i="47"/>
  <c r="D16" i="3" l="1"/>
  <c r="C16" s="1"/>
  <c r="J16" s="1"/>
  <c r="C17" i="47" l="1"/>
  <c r="D17" i="3" s="1"/>
  <c r="C17" s="1"/>
  <c r="J17" s="1"/>
  <c r="C18" i="47"/>
  <c r="D18" i="3" l="1"/>
  <c r="C18" s="1"/>
  <c r="J18" s="1"/>
  <c r="C19" i="47" l="1"/>
  <c r="D19" i="3" s="1"/>
  <c r="C19" s="1"/>
  <c r="J19" s="1"/>
  <c r="C20" i="47" l="1"/>
  <c r="D20" i="3" s="1"/>
  <c r="C20" s="1"/>
  <c r="J20" s="1"/>
  <c r="C21" i="47" l="1"/>
  <c r="D21" i="3" l="1"/>
  <c r="C21" s="1"/>
  <c r="J21" s="1"/>
  <c r="C22" i="47"/>
  <c r="D22" i="3" s="1"/>
  <c r="C22" s="1"/>
  <c r="J22" s="1"/>
  <c r="F5"/>
  <c r="F9"/>
  <c r="K9" s="1"/>
  <c r="F6"/>
  <c r="K6" s="1"/>
  <c r="F7"/>
  <c r="K7" s="1"/>
  <c r="B14" i="13"/>
  <c r="V14" s="1"/>
  <c r="C9" i="47"/>
  <c r="C10" s="1"/>
  <c r="C5"/>
  <c r="C7"/>
  <c r="B7"/>
  <c r="B8" s="1"/>
  <c r="B9" s="1"/>
  <c r="B10" s="1"/>
  <c r="B11" s="1"/>
  <c r="F8" i="3"/>
  <c r="C8" i="47"/>
  <c r="B10" i="3"/>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H12" i="49"/>
  <c r="H13" s="1"/>
  <c r="H14" s="1"/>
  <c r="B15" i="13" l="1"/>
  <c r="V15" s="1"/>
  <c r="H8" i="3"/>
  <c r="K8"/>
  <c r="G5"/>
  <c r="I5" s="1"/>
  <c r="K5"/>
  <c r="C23" i="47"/>
  <c r="D23" i="3" s="1"/>
  <c r="C23" s="1"/>
  <c r="J23" s="1"/>
  <c r="C24" i="47"/>
  <c r="B21"/>
  <c r="B31" s="1"/>
  <c r="B41" s="1"/>
  <c r="B51" s="1"/>
  <c r="B12"/>
  <c r="H15" i="49"/>
  <c r="L7" i="3"/>
  <c r="G7"/>
  <c r="H7"/>
  <c r="L6"/>
  <c r="G6"/>
  <c r="H6"/>
  <c r="G9"/>
  <c r="H9"/>
  <c r="L5"/>
  <c r="H5"/>
  <c r="L8"/>
  <c r="G8"/>
  <c r="D6"/>
  <c r="B16" i="13" l="1"/>
  <c r="V16" s="1"/>
  <c r="D5" i="47"/>
  <c r="M7" i="3"/>
  <c r="F7" i="47" s="1"/>
  <c r="M5" i="3"/>
  <c r="F5" i="47" s="1"/>
  <c r="M8" i="3"/>
  <c r="F8" i="47" s="1"/>
  <c r="D24" i="3"/>
  <c r="C24" s="1"/>
  <c r="J24" s="1"/>
  <c r="C6" i="47"/>
  <c r="E5"/>
  <c r="B13"/>
  <c r="B22"/>
  <c r="B32" s="1"/>
  <c r="B42" s="1"/>
  <c r="H16" i="49"/>
  <c r="M6" i="3"/>
  <c r="D9" i="47"/>
  <c r="D10" s="1"/>
  <c r="I9" i="3"/>
  <c r="I6"/>
  <c r="D6" i="47"/>
  <c r="I8" i="3"/>
  <c r="D8" i="47"/>
  <c r="L9" i="3"/>
  <c r="M9" s="1"/>
  <c r="I7"/>
  <c r="D7" i="47"/>
  <c r="B17" i="13" l="1"/>
  <c r="V17" s="1"/>
  <c r="C25" i="47"/>
  <c r="D25" i="3" s="1"/>
  <c r="C25" s="1"/>
  <c r="J25" s="1"/>
  <c r="E7" i="47"/>
  <c r="E9"/>
  <c r="F9"/>
  <c r="E8"/>
  <c r="E6"/>
  <c r="F6"/>
  <c r="B14"/>
  <c r="B23"/>
  <c r="B33" s="1"/>
  <c r="B43" s="1"/>
  <c r="H17" i="49"/>
  <c r="B18" i="13" l="1"/>
  <c r="V18" s="1"/>
  <c r="B15" i="47"/>
  <c r="B24"/>
  <c r="B34" s="1"/>
  <c r="B44" s="1"/>
  <c r="H18" i="49"/>
  <c r="B19" i="13" l="1"/>
  <c r="V19" s="1"/>
  <c r="B16" i="47"/>
  <c r="B25"/>
  <c r="B35" s="1"/>
  <c r="B45" s="1"/>
  <c r="H19" i="49"/>
  <c r="B20" i="13" l="1"/>
  <c r="V20" s="1"/>
  <c r="B17" i="47"/>
  <c r="B26"/>
  <c r="B36" s="1"/>
  <c r="B46" s="1"/>
  <c r="H20" i="49"/>
  <c r="B21" i="13" l="1"/>
  <c r="V21" s="1"/>
  <c r="B18" i="47"/>
  <c r="B27"/>
  <c r="B37" s="1"/>
  <c r="B47" s="1"/>
  <c r="H21" i="49"/>
  <c r="B22" i="13" l="1"/>
  <c r="V22" s="1"/>
  <c r="B19" i="47"/>
  <c r="B28"/>
  <c r="B38" s="1"/>
  <c r="B48" s="1"/>
  <c r="H22" i="49"/>
  <c r="B23" i="13" l="1"/>
  <c r="V23" s="1"/>
  <c r="B20" i="47"/>
  <c r="B29"/>
  <c r="B39" s="1"/>
  <c r="B49" s="1"/>
  <c r="H23" i="49"/>
  <c r="B24" i="13" l="1"/>
  <c r="V24" s="1"/>
  <c r="B30" i="47"/>
  <c r="D10" i="3" s="1"/>
  <c r="C10" s="1"/>
  <c r="J10" s="1"/>
  <c r="H24" i="49"/>
  <c r="B25" i="13" l="1"/>
  <c r="V25" s="1"/>
  <c r="B40" i="47"/>
  <c r="B50" s="1"/>
  <c r="D23"/>
  <c r="E23"/>
  <c r="H25" i="49"/>
  <c r="B26" i="13" l="1"/>
  <c r="V26" s="1"/>
  <c r="G23" i="3"/>
  <c r="I23" s="1"/>
  <c r="D17" i="47"/>
  <c r="E17" s="1"/>
  <c r="D22"/>
  <c r="E22"/>
  <c r="H26" i="49"/>
  <c r="E31" i="69"/>
  <c r="M26"/>
  <c r="H17" i="66"/>
  <c r="D41"/>
  <c r="AF12" i="70"/>
  <c r="S27" i="69"/>
  <c r="N4" i="66"/>
  <c r="E4" i="65"/>
  <c r="E34"/>
  <c r="O20" i="121"/>
  <c r="O36" i="65"/>
  <c r="M33"/>
  <c r="K27" i="66"/>
  <c r="O24" i="69"/>
  <c r="H40" i="66"/>
  <c r="D19" i="121"/>
  <c r="S7"/>
  <c r="E17"/>
  <c r="AF21"/>
  <c r="V25" i="65"/>
  <c r="D38" i="69"/>
  <c r="Q26" i="66"/>
  <c r="AC27" i="65"/>
  <c r="Y5" i="121"/>
  <c r="AB7" i="120"/>
  <c r="AD29" i="70"/>
  <c r="U16" i="65"/>
  <c r="J36" i="121"/>
  <c r="M30" i="69"/>
  <c r="M30" i="121"/>
  <c r="F42" i="65"/>
  <c r="J39" i="121"/>
  <c r="B19" i="66"/>
  <c r="D30" i="65"/>
  <c r="AA17" i="66"/>
  <c r="U9" i="65"/>
  <c r="AC43" i="69"/>
  <c r="B4" i="119"/>
  <c r="I7" i="63"/>
  <c r="R37" i="66"/>
  <c r="R39" i="65"/>
  <c r="F38" i="66"/>
  <c r="D41" i="121"/>
  <c r="B20" i="66"/>
  <c r="C26" i="60"/>
  <c r="L45" i="69"/>
  <c r="I8"/>
  <c r="Z45"/>
  <c r="AD15" i="65"/>
  <c r="H16" i="69"/>
  <c r="C36"/>
  <c r="I30"/>
  <c r="W14" i="66"/>
  <c r="AE23" i="70"/>
  <c r="N30" i="69"/>
  <c r="AD30"/>
  <c r="AA4" i="121"/>
  <c r="Z33" i="66"/>
  <c r="R11" i="69"/>
  <c r="AC9" i="121"/>
  <c r="P27" i="65"/>
  <c r="B6" i="121"/>
  <c r="W6" i="63"/>
  <c r="K34" i="65"/>
  <c r="D8" i="60"/>
  <c r="Z43" i="69"/>
  <c r="B45" i="65"/>
  <c r="AD34"/>
  <c r="M34" i="69"/>
  <c r="AF13" i="65"/>
  <c r="B37"/>
  <c r="AF18"/>
  <c r="L28" i="69"/>
  <c r="G28" i="66"/>
  <c r="E28"/>
  <c r="B16" i="121"/>
  <c r="M20" i="69"/>
  <c r="Y35" i="65"/>
  <c r="K11" i="69"/>
  <c r="AF10" i="66"/>
  <c r="D18" i="69"/>
  <c r="AC33" i="70"/>
  <c r="AB18" i="69"/>
  <c r="X26" i="121"/>
  <c r="U38" i="65"/>
  <c r="F6" i="66"/>
  <c r="S36" i="65"/>
  <c r="AD8" i="70"/>
  <c r="AB24" i="65"/>
  <c r="AB35" i="69"/>
  <c r="G10"/>
  <c r="F43" i="66"/>
  <c r="X15" i="65"/>
  <c r="N6" i="69"/>
  <c r="J7" i="121"/>
  <c r="R9" i="66"/>
  <c r="S38"/>
  <c r="AF6" i="70"/>
  <c r="W44" i="69"/>
  <c r="H13"/>
  <c r="G38" i="66"/>
  <c r="AF43"/>
  <c r="X11" i="65"/>
  <c r="AC28" i="69"/>
  <c r="O31"/>
  <c r="S9"/>
  <c r="D41"/>
  <c r="S7" i="63"/>
  <c r="D8" i="65"/>
  <c r="W30" i="66"/>
  <c r="F22" i="69"/>
  <c r="AC15" i="65"/>
  <c r="E41" i="66"/>
  <c r="AD19" i="121"/>
  <c r="H24" i="65"/>
  <c r="T45" i="69"/>
  <c r="U32" i="65"/>
  <c r="AC13" i="70"/>
  <c r="AE20" i="69"/>
  <c r="T5" i="65"/>
  <c r="J31" i="69"/>
  <c r="J7" i="60"/>
  <c r="R33" i="65"/>
  <c r="AF20" i="69"/>
  <c r="V15" i="121"/>
  <c r="K4" i="64"/>
  <c r="AD20" i="65"/>
  <c r="X30" i="69"/>
  <c r="AB27" i="66"/>
  <c r="X41" i="121"/>
  <c r="W20"/>
  <c r="M38" i="65"/>
  <c r="V13"/>
  <c r="H16" i="121"/>
  <c r="S32" i="65"/>
  <c r="AA10" i="69"/>
  <c r="AD42" i="70"/>
  <c r="Z28" i="66"/>
  <c r="AE22" i="70"/>
  <c r="M6" i="63"/>
  <c r="W4" i="64"/>
  <c r="L26" i="121"/>
  <c r="O15" i="66"/>
  <c r="M15"/>
  <c r="F40" i="121"/>
  <c r="Q25" i="65"/>
  <c r="AB38"/>
  <c r="V6" i="63"/>
  <c r="Q5" i="66"/>
  <c r="M8" i="63"/>
  <c r="S18" i="121"/>
  <c r="V5" i="65"/>
  <c r="X13" i="121"/>
  <c r="K5" i="69"/>
  <c r="Z21" i="121"/>
  <c r="C23" i="66"/>
  <c r="P12" i="121"/>
  <c r="P23" i="65"/>
  <c r="AB42" i="70"/>
  <c r="Z10" i="121"/>
  <c r="E9"/>
  <c r="E10" i="63"/>
  <c r="Y13" i="69"/>
  <c r="AB41" i="66"/>
  <c r="Q30" i="65"/>
  <c r="K17" i="66"/>
  <c r="J40" i="69"/>
  <c r="AE12" i="66"/>
  <c r="B5"/>
  <c r="AE26"/>
  <c r="L31" i="65"/>
  <c r="M7" i="69"/>
  <c r="D12" i="60"/>
  <c r="D14"/>
  <c r="W27" i="69"/>
  <c r="U42" i="121"/>
  <c r="Z17" i="65"/>
  <c r="AF28" i="66"/>
  <c r="B31"/>
  <c r="G38" i="65"/>
  <c r="R33" i="69"/>
  <c r="J43" i="65"/>
  <c r="F29"/>
  <c r="J24" i="121"/>
  <c r="R24" i="65"/>
  <c r="G5" i="63"/>
  <c r="C33" i="66"/>
  <c r="AE34" i="121"/>
  <c r="P41"/>
  <c r="Y6"/>
  <c r="V35" i="65"/>
  <c r="T30" i="121"/>
  <c r="B13" i="60"/>
  <c r="L18" i="69"/>
  <c r="G9"/>
  <c r="AE26"/>
  <c r="W22" i="121"/>
  <c r="B35" i="65"/>
  <c r="T11"/>
  <c r="R25" i="66"/>
  <c r="AD29" i="121"/>
  <c r="M31"/>
  <c r="AD19" i="65"/>
  <c r="I30" i="66"/>
  <c r="C5" i="65"/>
  <c r="U23" i="66"/>
  <c r="AF27" i="65"/>
  <c r="O39" i="69"/>
  <c r="L35"/>
  <c r="U22" i="66"/>
  <c r="AF5" i="121"/>
  <c r="Z13" i="65"/>
  <c r="P12" i="66"/>
  <c r="Y26" i="69"/>
  <c r="AD39" i="121"/>
  <c r="L38" i="69"/>
  <c r="AE32"/>
  <c r="Q39" i="66"/>
  <c r="AE36" i="121"/>
  <c r="AB15" i="70"/>
  <c r="O9" i="121"/>
  <c r="F13"/>
  <c r="AC7" i="69"/>
  <c r="AB8" i="121"/>
  <c r="N31" i="65"/>
  <c r="T23" i="121"/>
  <c r="AE30" i="70"/>
  <c r="AE9" i="120"/>
  <c r="D7" i="121"/>
  <c r="G11" i="69"/>
  <c r="V36" i="65"/>
  <c r="X14" i="69"/>
  <c r="H11" i="66"/>
  <c r="AB34" i="69"/>
  <c r="AA21" i="65"/>
  <c r="AC29"/>
  <c r="G14" i="121"/>
  <c r="S11"/>
  <c r="M41"/>
  <c r="K25"/>
  <c r="F44"/>
  <c r="U10" i="65"/>
  <c r="D26" i="66"/>
  <c r="U19"/>
  <c r="Z7" i="69"/>
  <c r="L37" i="65"/>
  <c r="U4" i="64"/>
  <c r="D23" i="69"/>
  <c r="U15"/>
  <c r="L14" i="121"/>
  <c r="I24" i="66"/>
  <c r="L36" i="63"/>
  <c r="X22" i="121"/>
  <c r="AE31" i="70"/>
  <c r="Z19" i="121"/>
  <c r="F29" i="66"/>
  <c r="I43" i="65"/>
  <c r="R42" i="66"/>
  <c r="Z30" i="121"/>
  <c r="AA22" i="65"/>
  <c r="C25" i="121"/>
  <c r="AB25" i="70"/>
  <c r="U13" i="65"/>
  <c r="N4" i="120"/>
  <c r="V25" i="69"/>
  <c r="C32" i="65"/>
  <c r="E43"/>
  <c r="AG4" i="71"/>
  <c r="O25" i="121"/>
  <c r="X4" i="64"/>
  <c r="P28" i="121"/>
  <c r="N39" i="69"/>
  <c r="M43" i="66"/>
  <c r="D36" i="121"/>
  <c r="AC26" i="69"/>
  <c r="AE22" i="121"/>
  <c r="O40" i="65"/>
  <c r="AE26" i="121"/>
  <c r="V28"/>
  <c r="Y14"/>
  <c r="B7" i="65"/>
  <c r="AF30" i="70"/>
  <c r="K36" i="65"/>
  <c r="S41" i="121"/>
  <c r="J6" i="60"/>
  <c r="I14" i="69"/>
  <c r="AE43" i="65"/>
  <c r="M10" i="63"/>
  <c r="AF9" i="69"/>
  <c r="W8"/>
  <c r="D29" i="60"/>
  <c r="S15" i="121"/>
  <c r="B13"/>
  <c r="AE37" i="66"/>
  <c r="B33"/>
  <c r="Z26"/>
  <c r="AB4"/>
  <c r="I13" i="69"/>
  <c r="K9" i="66"/>
  <c r="W11"/>
  <c r="I10" i="69"/>
  <c r="AB16" i="121"/>
  <c r="X30" i="65"/>
  <c r="E34" i="69"/>
  <c r="O35" i="66"/>
  <c r="N43" i="69"/>
  <c r="O8" i="63"/>
  <c r="O13" i="69"/>
  <c r="F4" i="65"/>
  <c r="AA40" i="69"/>
  <c r="G30" i="65"/>
  <c r="M41" i="66"/>
  <c r="N4" i="119"/>
  <c r="L5" i="65"/>
  <c r="E26" i="121"/>
  <c r="AE32" i="65"/>
  <c r="X21"/>
  <c r="B18" i="60"/>
  <c r="K22" i="121"/>
  <c r="K31" i="66"/>
  <c r="S24" i="121"/>
  <c r="AE14"/>
  <c r="O7" i="69"/>
  <c r="M10" i="66"/>
  <c r="M16" i="65"/>
  <c r="J39"/>
  <c r="M20"/>
  <c r="AF14" i="69"/>
  <c r="Q27" i="65"/>
  <c r="F4" i="121"/>
  <c r="Y6" i="65"/>
  <c r="E11"/>
  <c r="J45" i="66"/>
  <c r="V8" i="121"/>
  <c r="S41" i="66"/>
  <c r="X41"/>
  <c r="I43"/>
  <c r="K17" i="121"/>
  <c r="AC11" i="70"/>
  <c r="AB11"/>
  <c r="Y30" i="65"/>
  <c r="X16" i="121"/>
  <c r="AA11" i="65"/>
  <c r="F4" i="64"/>
  <c r="N9" i="69"/>
  <c r="D9" i="60"/>
  <c r="AB4" i="71"/>
  <c r="AC39" i="69"/>
  <c r="AA37" i="70"/>
  <c r="AA4" i="68"/>
  <c r="T42" i="69"/>
  <c r="B11" i="60"/>
  <c r="AB33" i="121"/>
  <c r="U20" i="65"/>
  <c r="AA9" i="66"/>
  <c r="T36" i="69"/>
  <c r="D17" i="121"/>
  <c r="B19"/>
  <c r="V23"/>
  <c r="B11"/>
  <c r="G12" i="69"/>
  <c r="AB7"/>
  <c r="X7"/>
  <c r="AF29" i="70"/>
  <c r="C8" i="121"/>
  <c r="I35" i="69"/>
  <c r="E8" i="65"/>
  <c r="V40" i="69"/>
  <c r="O22" i="65"/>
  <c r="AC17" i="69"/>
  <c r="O20" i="65"/>
  <c r="R45" i="69"/>
  <c r="S42" i="66"/>
  <c r="AA17" i="121"/>
  <c r="R26" i="65"/>
  <c r="E15" i="66"/>
  <c r="I34" i="69"/>
  <c r="T15"/>
  <c r="AC40"/>
  <c r="P24" i="121"/>
  <c r="Z21" i="66"/>
  <c r="K22" i="65"/>
  <c r="L8"/>
  <c r="N23" i="69"/>
  <c r="D24" i="66"/>
  <c r="O24" i="121"/>
  <c r="M11" i="65"/>
  <c r="H38" i="66"/>
  <c r="C26"/>
  <c r="AE6" i="70"/>
  <c r="P36" i="65"/>
  <c r="C5" i="66"/>
  <c r="AA40" i="65"/>
  <c r="T32"/>
  <c r="T17"/>
  <c r="AF27" i="69"/>
  <c r="N38"/>
  <c r="D42" i="65"/>
  <c r="K17"/>
  <c r="K7"/>
  <c r="AB10" i="120"/>
  <c r="L19" i="69"/>
  <c r="N7"/>
  <c r="T42" i="65"/>
  <c r="J4" i="120"/>
  <c r="R9" i="65"/>
  <c r="S17" i="121"/>
  <c r="U39"/>
  <c r="R5" i="69"/>
  <c r="D33"/>
  <c r="Y44"/>
  <c r="AB13" i="65"/>
  <c r="M27" i="66"/>
  <c r="AA25" i="69"/>
  <c r="AE11" i="66"/>
  <c r="O38" i="121"/>
  <c r="S30" i="65"/>
  <c r="E39" i="66"/>
  <c r="H37" i="65"/>
  <c r="T37" i="121"/>
  <c r="C42"/>
  <c r="R35" i="66"/>
  <c r="F20" i="65"/>
  <c r="X33" i="121"/>
  <c r="P4" i="63"/>
  <c r="B11" i="69"/>
  <c r="L7" i="121"/>
  <c r="E9" i="69"/>
  <c r="C43" i="66"/>
  <c r="M4" i="121"/>
  <c r="S36" i="66"/>
  <c r="AC35" i="121"/>
  <c r="K14" i="65"/>
  <c r="O29" i="121"/>
  <c r="L38" i="63"/>
  <c r="P38" i="66"/>
  <c r="N32" i="69"/>
  <c r="C9" i="60"/>
  <c r="K14" i="69"/>
  <c r="P40" i="66"/>
  <c r="N13" i="65"/>
  <c r="N18"/>
  <c r="P33" i="121"/>
  <c r="R13"/>
  <c r="AA45" i="65"/>
  <c r="AC41" i="121"/>
  <c r="Y23"/>
  <c r="D20"/>
  <c r="T11" i="66"/>
  <c r="AE17" i="70"/>
  <c r="K5" i="65"/>
  <c r="F44" i="66"/>
  <c r="E23" i="121"/>
  <c r="B24" i="65"/>
  <c r="R18" i="66"/>
  <c r="Q10"/>
  <c r="H8" i="65"/>
  <c r="AB14"/>
  <c r="K37"/>
  <c r="G13" i="121"/>
  <c r="T28" i="69"/>
  <c r="W12" i="66"/>
  <c r="B26" i="60"/>
  <c r="J32"/>
  <c r="AD20" i="69"/>
  <c r="E20" i="66"/>
  <c r="O28" i="69"/>
  <c r="J13" i="66"/>
  <c r="X8" i="121"/>
  <c r="Z26" i="65"/>
  <c r="T7" i="69"/>
  <c r="L40" i="65"/>
  <c r="X28" i="69"/>
  <c r="M30" i="65"/>
  <c r="X5" i="69"/>
  <c r="N28"/>
  <c r="C44"/>
  <c r="C24" i="60"/>
  <c r="S42" i="69"/>
  <c r="Z7" i="121"/>
  <c r="AA42" i="66"/>
  <c r="AB14" i="121"/>
  <c r="C39" i="66"/>
  <c r="P9" i="121"/>
  <c r="J4" i="66"/>
  <c r="V32" i="65"/>
  <c r="E32" i="121"/>
  <c r="R16"/>
  <c r="E35" i="69"/>
  <c r="AF5"/>
  <c r="I27" i="121"/>
  <c r="X8" i="63"/>
  <c r="M7" i="121"/>
  <c r="AC27"/>
  <c r="D5"/>
  <c r="P10" i="66"/>
  <c r="W4"/>
  <c r="Z6" i="69"/>
  <c r="U32" i="66"/>
  <c r="AB32" i="70"/>
  <c r="D45" i="121"/>
  <c r="AE38" i="69"/>
  <c r="L11"/>
  <c r="J17" i="60"/>
  <c r="U9" i="121"/>
  <c r="V21"/>
  <c r="Y9"/>
  <c r="I19" i="69"/>
  <c r="J36" i="66"/>
  <c r="AB11" i="65"/>
  <c r="C14" i="66"/>
  <c r="J26" i="121"/>
  <c r="G17"/>
  <c r="AD19" i="69"/>
  <c r="I21" i="121"/>
  <c r="P35" i="66"/>
  <c r="M11" i="69"/>
  <c r="X27" i="65"/>
  <c r="C35" i="60"/>
  <c r="AB6" i="66"/>
  <c r="AF17" i="69"/>
  <c r="L22" i="121"/>
  <c r="O33"/>
  <c r="G33" i="66"/>
  <c r="W19"/>
  <c r="W32" i="69"/>
  <c r="AC21" i="70"/>
  <c r="AA37" i="121"/>
  <c r="U6"/>
  <c r="W38"/>
  <c r="E33"/>
  <c r="G16" i="69"/>
  <c r="K41" i="65"/>
  <c r="AF38" i="70"/>
  <c r="AC45" i="121"/>
  <c r="E11"/>
  <c r="M39"/>
  <c r="V9" i="69"/>
  <c r="V24" i="121"/>
  <c r="AC13" i="65"/>
  <c r="Y10" i="69"/>
  <c r="P37" i="121"/>
  <c r="D4" i="119"/>
  <c r="AE19" i="69"/>
  <c r="Z32"/>
  <c r="L10" i="121"/>
  <c r="C37"/>
  <c r="E18"/>
  <c r="AA36"/>
  <c r="X19"/>
  <c r="O26" i="65"/>
  <c r="N40" i="69"/>
  <c r="K5" i="121"/>
  <c r="AB28" i="69"/>
  <c r="R26"/>
  <c r="I15" i="65"/>
  <c r="H44" i="66"/>
  <c r="J6" i="65"/>
  <c r="AB44" i="69"/>
  <c r="AA41"/>
  <c r="Y5" i="66"/>
  <c r="J44" i="121"/>
  <c r="AC28"/>
  <c r="U26" i="65"/>
  <c r="AD13"/>
  <c r="F8" i="66"/>
  <c r="AA28" i="70"/>
  <c r="F7" i="66"/>
  <c r="F25" i="69"/>
  <c r="K23" i="121"/>
  <c r="AB30" i="70"/>
  <c r="B19" i="65"/>
  <c r="Z27"/>
  <c r="I18" i="66"/>
  <c r="X24"/>
  <c r="I42"/>
  <c r="C18" i="121"/>
  <c r="AE4"/>
  <c r="E40" i="65"/>
  <c r="I15" i="66"/>
  <c r="AA44" i="65"/>
  <c r="R8" i="69"/>
  <c r="U25"/>
  <c r="D20"/>
  <c r="R13"/>
  <c r="Y40" i="65"/>
  <c r="AC10"/>
  <c r="O16" i="66"/>
  <c r="P39" i="121"/>
  <c r="AB10" i="69"/>
  <c r="K18" i="121"/>
  <c r="O27"/>
  <c r="F27" i="66"/>
  <c r="B38" i="69"/>
  <c r="AE19" i="70"/>
  <c r="R34" i="66"/>
  <c r="C24" i="121"/>
  <c r="U27" i="65"/>
  <c r="B28" i="121"/>
  <c r="F32"/>
  <c r="AC35" i="70"/>
  <c r="P5" i="121"/>
  <c r="O8"/>
  <c r="D36" i="69"/>
  <c r="N6" i="63"/>
  <c r="AC18" i="121"/>
  <c r="H12"/>
  <c r="S11" i="66"/>
  <c r="U21" i="121"/>
  <c r="AB35" i="65"/>
  <c r="J29" i="69"/>
  <c r="AF20" i="66"/>
  <c r="C39" i="121"/>
  <c r="AF35" i="69"/>
  <c r="B42" i="121"/>
  <c r="AA41" i="66"/>
  <c r="X7" i="63"/>
  <c r="L16" i="121"/>
  <c r="AD7" i="70"/>
  <c r="T44" i="66"/>
  <c r="D36" i="65"/>
  <c r="E38" i="121"/>
  <c r="S23" i="65"/>
  <c r="K10" i="121"/>
  <c r="L4" i="63"/>
  <c r="E39" i="121"/>
  <c r="W45"/>
  <c r="Y10"/>
  <c r="Q28" i="65"/>
  <c r="AF33"/>
  <c r="D28" i="69"/>
  <c r="AE18" i="65"/>
  <c r="M17" i="69"/>
  <c r="S37" i="121"/>
  <c r="I26" i="65"/>
  <c r="AD20" i="121"/>
  <c r="F11"/>
  <c r="L13"/>
  <c r="AA17" i="70"/>
  <c r="G22" i="66"/>
  <c r="L38" i="121"/>
  <c r="D32" i="65"/>
  <c r="V14" i="121"/>
  <c r="H30" i="65"/>
  <c r="U31" i="121"/>
  <c r="B22"/>
  <c r="E14" i="65"/>
  <c r="P6"/>
  <c r="U8" i="69"/>
  <c r="I9" i="66"/>
  <c r="AD12" i="65"/>
  <c r="S13" i="66"/>
  <c r="AE11" i="120"/>
  <c r="X34" i="121"/>
  <c r="E30" i="65"/>
  <c r="Y7"/>
  <c r="F35" i="121"/>
  <c r="Y27" i="65"/>
  <c r="AE10" i="121"/>
  <c r="Q44" i="65"/>
  <c r="W24" i="121"/>
  <c r="M40"/>
  <c r="AF6" i="120"/>
  <c r="P15" i="66"/>
  <c r="K24"/>
  <c r="J22"/>
  <c r="D21" i="60"/>
  <c r="O8" i="69"/>
  <c r="AA32" i="66"/>
  <c r="R45"/>
  <c r="E11"/>
  <c r="D20" i="65"/>
  <c r="F40" i="69"/>
  <c r="U9" i="63"/>
  <c r="Z12" i="65"/>
  <c r="I32" i="69"/>
  <c r="Q16" i="65"/>
  <c r="X45" i="69"/>
  <c r="Y43" i="121"/>
  <c r="Z17" i="69"/>
  <c r="C44" i="121"/>
  <c r="AA12" i="69"/>
  <c r="E24" i="121"/>
  <c r="O6" i="63"/>
  <c r="C39" i="69"/>
  <c r="E35" i="121"/>
  <c r="J7" i="69"/>
  <c r="H18"/>
  <c r="L44" i="121"/>
  <c r="O28" i="66"/>
  <c r="AD4" i="69"/>
  <c r="L32" i="63"/>
  <c r="X5" i="121"/>
  <c r="AF4" i="66"/>
  <c r="AA42" i="69"/>
  <c r="T10" i="63"/>
  <c r="O9" i="66"/>
  <c r="B21" i="60"/>
  <c r="AE33" i="121"/>
  <c r="I34" i="66"/>
  <c r="C14" i="60"/>
  <c r="AF26" i="70"/>
  <c r="V8" i="65"/>
  <c r="AF33" i="69"/>
  <c r="V35" i="121"/>
  <c r="H7" i="69"/>
  <c r="G4" i="121"/>
  <c r="I42" i="65"/>
  <c r="B9" i="66"/>
  <c r="AE27" i="70"/>
  <c r="Y36" i="65"/>
  <c r="B36" i="66"/>
  <c r="Z33" i="69"/>
  <c r="AE8" i="70"/>
  <c r="AA35" i="69"/>
  <c r="D10"/>
  <c r="L17" i="63"/>
  <c r="P7"/>
  <c r="K31" i="121"/>
  <c r="AE15" i="65"/>
  <c r="Z44"/>
  <c r="U32" i="121"/>
  <c r="AA34"/>
  <c r="Z25" i="66"/>
  <c r="Z29"/>
  <c r="E32" i="65"/>
  <c r="U35" i="66"/>
  <c r="H34"/>
  <c r="G42" i="65"/>
  <c r="F43" i="121"/>
  <c r="C11"/>
  <c r="R35" i="69"/>
  <c r="D19" i="66"/>
  <c r="AB23"/>
  <c r="O14"/>
  <c r="T25" i="65"/>
  <c r="M29" i="66"/>
  <c r="L12" i="69"/>
  <c r="AF24" i="121"/>
  <c r="U26"/>
  <c r="M27" i="65"/>
  <c r="S8" i="69"/>
  <c r="N42" i="121"/>
  <c r="C7" i="63"/>
  <c r="AB21" i="121"/>
  <c r="AF19" i="66"/>
  <c r="T38" i="65"/>
  <c r="AF39" i="69"/>
  <c r="F34"/>
  <c r="S10" i="65"/>
  <c r="F42" i="69"/>
  <c r="B12" i="60"/>
  <c r="C36" i="65"/>
  <c r="B27" i="69"/>
  <c r="U24"/>
  <c r="AB42" i="66"/>
  <c r="D32"/>
  <c r="M28" i="65"/>
  <c r="AB38" i="121"/>
  <c r="F4" i="120"/>
  <c r="C17" i="121"/>
  <c r="T35" i="65"/>
  <c r="X16" i="69"/>
  <c r="J38" i="66"/>
  <c r="H31"/>
  <c r="P8" i="63"/>
  <c r="L11" i="121"/>
  <c r="R13" i="66"/>
  <c r="H15"/>
  <c r="I36" i="121"/>
  <c r="AB39" i="69"/>
  <c r="B8" i="63"/>
  <c r="AE30" i="65"/>
  <c r="J44" i="69"/>
  <c r="I27" i="66"/>
  <c r="D5" i="60"/>
  <c r="J17" i="66"/>
  <c r="X37" i="121"/>
  <c r="AA29" i="70"/>
  <c r="C6" i="121"/>
  <c r="U6" i="69"/>
  <c r="J11" i="121"/>
  <c r="H44" i="65"/>
  <c r="AA21" i="66"/>
  <c r="J20" i="65"/>
  <c r="L29" i="121"/>
  <c r="L30" i="65"/>
  <c r="L37" i="63"/>
  <c r="J43" i="69"/>
  <c r="AA38" i="66"/>
  <c r="R45" i="121"/>
  <c r="I23" i="69"/>
  <c r="AF5" i="120"/>
  <c r="N37" i="121"/>
  <c r="AB17" i="65"/>
  <c r="Z37" i="121"/>
  <c r="Z22" i="65"/>
  <c r="X32" i="69"/>
  <c r="AC18"/>
  <c r="R20" i="121"/>
  <c r="F30" i="69"/>
  <c r="I38" i="121"/>
  <c r="N8"/>
  <c r="M25" i="65"/>
  <c r="Z21" i="69"/>
  <c r="D39"/>
  <c r="B18" i="121"/>
  <c r="P5" i="69"/>
  <c r="E36"/>
  <c r="H27" i="65"/>
  <c r="AE12"/>
  <c r="AA44" i="70"/>
  <c r="AC22" i="65"/>
  <c r="D26" i="60"/>
  <c r="U41" i="69"/>
  <c r="AE30" i="121"/>
  <c r="H7" i="65"/>
  <c r="X5"/>
  <c r="K7" i="121"/>
  <c r="P39" i="66"/>
  <c r="AA42" i="65"/>
  <c r="D11"/>
  <c r="AE11"/>
  <c r="S19" i="69"/>
  <c r="AA29" i="66"/>
  <c r="X34"/>
  <c r="U35" i="65"/>
  <c r="Y7" i="63"/>
  <c r="U44" i="69"/>
  <c r="F11" i="65"/>
  <c r="C4" i="66"/>
  <c r="F13"/>
  <c r="J34" i="60"/>
  <c r="H15" i="121"/>
  <c r="Z8" i="120"/>
  <c r="K13" i="69"/>
  <c r="G20" i="66"/>
  <c r="U28" i="65"/>
  <c r="C6"/>
  <c r="I36" i="66"/>
  <c r="L18" i="63"/>
  <c r="I13" i="66"/>
  <c r="O6" i="65"/>
  <c r="I15" i="121"/>
  <c r="AF4" i="68"/>
  <c r="AC14" i="65"/>
  <c r="F41" i="66"/>
  <c r="AA11" i="69"/>
  <c r="K35" i="121"/>
  <c r="K4"/>
  <c r="H5"/>
  <c r="H7" i="66"/>
  <c r="E12" i="65"/>
  <c r="B42"/>
  <c r="G13" i="66"/>
  <c r="I28"/>
  <c r="T4" i="64"/>
  <c r="F14" i="65"/>
  <c r="AB4" i="64"/>
  <c r="H4" i="120"/>
  <c r="W5" i="121"/>
  <c r="W20" i="66"/>
  <c r="AB7" i="70"/>
  <c r="O42" i="69"/>
  <c r="X32" i="121"/>
  <c r="AD36" i="70"/>
  <c r="F5" i="121"/>
  <c r="U16" i="69"/>
  <c r="T16"/>
  <c r="N32" i="121"/>
  <c r="B10" i="65"/>
  <c r="H23" i="66"/>
  <c r="X45"/>
  <c r="B21"/>
  <c r="L29" i="69"/>
  <c r="AC18" i="70"/>
  <c r="E40" i="66"/>
  <c r="AA15" i="69"/>
  <c r="AC21"/>
  <c r="AA20" i="70"/>
  <c r="W26" i="66"/>
  <c r="Z9" i="65"/>
  <c r="J19" i="121"/>
  <c r="J4" i="64"/>
  <c r="K25" i="66"/>
  <c r="V5"/>
  <c r="I26" i="69"/>
  <c r="Z37"/>
  <c r="E28" i="65"/>
  <c r="AA43"/>
  <c r="W21" i="121"/>
  <c r="B9"/>
  <c r="AE5" i="66"/>
  <c r="S31" i="65"/>
  <c r="M10" i="69"/>
  <c r="Y4" i="121"/>
  <c r="V27" i="69"/>
  <c r="X43"/>
  <c r="T42" i="66"/>
  <c r="R39" i="69"/>
  <c r="Y41"/>
  <c r="R23" i="65"/>
  <c r="F17" i="121"/>
  <c r="X11" i="69"/>
  <c r="AA12" i="70"/>
  <c r="J40" i="66"/>
  <c r="S43"/>
  <c r="L10" i="65"/>
  <c r="U25" i="66"/>
  <c r="D21"/>
  <c r="L34" i="63"/>
  <c r="Z34" i="121"/>
  <c r="AE4" i="119"/>
  <c r="H26" i="65"/>
  <c r="AE4" i="68"/>
  <c r="G6" i="121"/>
  <c r="M8" i="69"/>
  <c r="Q19" i="65"/>
  <c r="C39"/>
  <c r="J34" i="121"/>
  <c r="S4" i="64"/>
  <c r="E9" i="65"/>
  <c r="R21" i="121"/>
  <c r="T37" i="69"/>
  <c r="B28" i="60"/>
  <c r="G6" i="65"/>
  <c r="O38" i="69"/>
  <c r="H25" i="66"/>
  <c r="AE21" i="70"/>
  <c r="T9" i="65"/>
  <c r="E4" i="63"/>
  <c r="AF16" i="70"/>
  <c r="X29" i="65"/>
  <c r="U4" i="120"/>
  <c r="G21" i="66"/>
  <c r="I6" i="63"/>
  <c r="R4" i="120"/>
  <c r="X31" i="66"/>
  <c r="V21" i="65"/>
  <c r="AF7" i="70"/>
  <c r="K27" i="69"/>
  <c r="Z17" i="66"/>
  <c r="L22" i="69"/>
  <c r="E5" i="66"/>
  <c r="X17" i="65"/>
  <c r="T39" i="121"/>
  <c r="X9"/>
  <c r="I45" i="66"/>
  <c r="B27" i="60"/>
  <c r="AB16" i="70"/>
  <c r="E18" i="65"/>
  <c r="V37"/>
  <c r="C33" i="69"/>
  <c r="W36"/>
  <c r="Q14" i="66"/>
  <c r="R4" i="63"/>
  <c r="F12" i="121"/>
  <c r="P20" i="66"/>
  <c r="AA7" i="121"/>
  <c r="D44" i="65"/>
  <c r="J9" i="69"/>
  <c r="S34"/>
  <c r="K25" i="65"/>
  <c r="AF29"/>
  <c r="AE45" i="69"/>
  <c r="AD21" i="70"/>
  <c r="U24" i="121"/>
  <c r="M17" i="66"/>
  <c r="AC32" i="65"/>
  <c r="T43" i="121"/>
  <c r="N25" i="69"/>
  <c r="N29"/>
  <c r="B20" i="121"/>
  <c r="G44" i="65"/>
  <c r="AA19" i="69"/>
  <c r="W28" i="66"/>
  <c r="AD14" i="65"/>
  <c r="O43" i="66"/>
  <c r="G17"/>
  <c r="AF28" i="70"/>
  <c r="M8" i="66"/>
  <c r="Z19" i="65"/>
  <c r="X34"/>
  <c r="Q33" i="66"/>
  <c r="S13" i="65"/>
  <c r="AC23" i="121"/>
  <c r="AA39" i="65"/>
  <c r="R32"/>
  <c r="AA24" i="66"/>
  <c r="AB36" i="121"/>
  <c r="K19" i="65"/>
  <c r="X13" i="66"/>
  <c r="I4" i="65"/>
  <c r="E44" i="66"/>
  <c r="F33" i="69"/>
  <c r="D4" i="66"/>
  <c r="U8" i="63"/>
  <c r="S13" i="69"/>
  <c r="D30"/>
  <c r="E13"/>
  <c r="L8"/>
  <c r="C18"/>
  <c r="B30" i="65"/>
  <c r="J20" i="66"/>
  <c r="C14" i="65"/>
  <c r="P6" i="121"/>
  <c r="S36"/>
  <c r="S6" i="65"/>
  <c r="V6"/>
  <c r="I39"/>
  <c r="U12" i="69"/>
  <c r="T29" i="65"/>
  <c r="Q5" i="69"/>
  <c r="C28" i="65"/>
  <c r="B13" i="69"/>
  <c r="J22"/>
  <c r="J8" i="60"/>
  <c r="AD22" i="69"/>
  <c r="H17"/>
  <c r="H15" i="65"/>
  <c r="J28" i="121"/>
  <c r="B15" i="69"/>
  <c r="Z44"/>
  <c r="Z38" i="66"/>
  <c r="Q37" i="65"/>
  <c r="Z15" i="121"/>
  <c r="O41"/>
  <c r="J10"/>
  <c r="W13" i="66"/>
  <c r="D24" i="69"/>
  <c r="AC27"/>
  <c r="C41" i="66"/>
  <c r="L17" i="69"/>
  <c r="I12" i="121"/>
  <c r="B23" i="69"/>
  <c r="AD17" i="65"/>
  <c r="AE5" i="120"/>
  <c r="AD38" i="69"/>
  <c r="O41" i="66"/>
  <c r="P11"/>
  <c r="AB24" i="69"/>
  <c r="AF38" i="66"/>
  <c r="K45" i="65"/>
  <c r="P43" i="121"/>
  <c r="U33"/>
  <c r="U29" i="66"/>
  <c r="AF6" i="69"/>
  <c r="R5" i="65"/>
  <c r="AF37" i="69"/>
  <c r="B45" i="66"/>
  <c r="S4" i="121"/>
  <c r="G9" i="66"/>
  <c r="B37" i="121"/>
  <c r="M29" i="65"/>
  <c r="Y31"/>
  <c r="M9"/>
  <c r="G6" i="66"/>
  <c r="B16" i="69"/>
  <c r="N29" i="65"/>
  <c r="Y24" i="69"/>
  <c r="P45" i="66"/>
  <c r="W10"/>
  <c r="H11" i="121"/>
  <c r="J45" i="65"/>
  <c r="U29" i="121"/>
  <c r="B8" i="66"/>
  <c r="AE12" i="120"/>
  <c r="F25" i="66"/>
  <c r="AB10"/>
  <c r="L15" i="121"/>
  <c r="AD25" i="69"/>
  <c r="G45" i="66"/>
  <c r="Y25" i="65"/>
  <c r="J44"/>
  <c r="Y40" i="69"/>
  <c r="V39"/>
  <c r="W10" i="63"/>
  <c r="S45" i="65"/>
  <c r="P45" i="121"/>
  <c r="X44" i="66"/>
  <c r="AC14" i="121"/>
  <c r="AA34" i="70"/>
  <c r="R36" i="65"/>
  <c r="E30" i="66"/>
  <c r="K42" i="69"/>
  <c r="AB25" i="66"/>
  <c r="AD17" i="121"/>
  <c r="AE5" i="70"/>
  <c r="L16" i="65"/>
  <c r="R16"/>
  <c r="B38" i="121"/>
  <c r="V35" i="69"/>
  <c r="C6" i="60"/>
  <c r="L21" i="65"/>
  <c r="U26" i="66"/>
  <c r="AA31"/>
  <c r="Z25" i="69"/>
  <c r="AE40" i="121"/>
  <c r="K13" i="65"/>
  <c r="AF37" i="121"/>
  <c r="O4"/>
  <c r="AC12" i="70"/>
  <c r="AF24"/>
  <c r="AD45" i="65"/>
  <c r="AD24" i="121"/>
  <c r="U27" i="66"/>
  <c r="AE41"/>
  <c r="AF26" i="121"/>
  <c r="G23" i="66"/>
  <c r="C23" i="60"/>
  <c r="S18" i="65"/>
  <c r="T9" i="69"/>
  <c r="F5" i="66"/>
  <c r="K44" i="65"/>
  <c r="B39"/>
  <c r="T44" i="121"/>
  <c r="P14"/>
  <c r="AB9"/>
  <c r="T5" i="69"/>
  <c r="G10" i="63"/>
  <c r="AA9" i="121"/>
  <c r="S28" i="69"/>
  <c r="N36" i="121"/>
  <c r="AF12"/>
  <c r="R4" i="64"/>
  <c r="AF8" i="65"/>
  <c r="E21"/>
  <c r="V6" i="121"/>
  <c r="I9" i="65"/>
  <c r="AE6" i="120"/>
  <c r="B29" i="66"/>
  <c r="M7" i="63"/>
  <c r="AB8" i="65"/>
  <c r="K44" i="69"/>
  <c r="AB5"/>
  <c r="E22" i="121"/>
  <c r="AB15" i="69"/>
  <c r="G7"/>
  <c r="D8"/>
  <c r="C28" i="66"/>
  <c r="X43" i="65"/>
  <c r="M16" i="121"/>
  <c r="AF32" i="70"/>
  <c r="R12" i="69"/>
  <c r="AD39"/>
  <c r="AE39"/>
  <c r="Z5" i="65"/>
  <c r="F31" i="69"/>
  <c r="AE31"/>
  <c r="AF9" i="121"/>
  <c r="V24" i="65"/>
  <c r="V12" i="121"/>
  <c r="O19" i="66"/>
  <c r="AB6" i="70"/>
  <c r="S35" i="65"/>
  <c r="P36" i="121"/>
  <c r="AC36" i="69"/>
  <c r="H20" i="65"/>
  <c r="Y23"/>
  <c r="P16"/>
  <c r="C40" i="121"/>
  <c r="X29" i="66"/>
  <c r="M10" i="121"/>
  <c r="R6" i="69"/>
  <c r="X10"/>
  <c r="U23"/>
  <c r="O43" i="121"/>
  <c r="B29"/>
  <c r="D14" i="65"/>
  <c r="W40" i="66"/>
  <c r="O34"/>
  <c r="Q38"/>
  <c r="AC40" i="65"/>
  <c r="H19"/>
  <c r="AF10" i="70"/>
  <c r="X25" i="69"/>
  <c r="G8" i="65"/>
  <c r="Z20" i="66"/>
  <c r="L23" i="65"/>
  <c r="U40" i="69"/>
  <c r="AD14" i="121"/>
  <c r="X7" i="66"/>
  <c r="F19" i="121"/>
  <c r="S25" i="66"/>
  <c r="K42" i="121"/>
  <c r="N40" i="65"/>
  <c r="AA16" i="121"/>
  <c r="AC14" i="69"/>
  <c r="S33" i="65"/>
  <c r="X21" i="66"/>
  <c r="H10" i="121"/>
  <c r="Y33"/>
  <c r="M36"/>
  <c r="AA18"/>
  <c r="F21" i="69"/>
  <c r="C42" i="65"/>
  <c r="AA8"/>
  <c r="F45" i="121"/>
  <c r="I30" i="65"/>
  <c r="S9" i="66"/>
  <c r="B43" i="65"/>
  <c r="K26" i="66"/>
  <c r="J5" i="121"/>
  <c r="AF39" i="66"/>
  <c r="AF31" i="69"/>
  <c r="R32" i="66"/>
  <c r="P5"/>
  <c r="J12" i="65"/>
  <c r="N15" i="121"/>
  <c r="L39"/>
  <c r="U11" i="69"/>
  <c r="AE24"/>
  <c r="G29" i="66"/>
  <c r="V28" i="69"/>
  <c r="T12" i="65"/>
  <c r="C32" i="121"/>
  <c r="S15" i="65"/>
  <c r="AE39"/>
  <c r="S33" i="69"/>
  <c r="AF16"/>
  <c r="C15" i="121"/>
  <c r="M21" i="69"/>
  <c r="AF41"/>
  <c r="C16" i="66"/>
  <c r="F31"/>
  <c r="H6" i="121"/>
  <c r="B25"/>
  <c r="J11" i="66"/>
  <c r="W25"/>
  <c r="K33"/>
  <c r="D43" i="121"/>
  <c r="Y28"/>
  <c r="M31" i="69"/>
  <c r="AF16" i="65"/>
  <c r="E28" i="121"/>
  <c r="V31" i="65"/>
  <c r="S34" i="121"/>
  <c r="Y29" i="65"/>
  <c r="N10" i="69"/>
  <c r="D22"/>
  <c r="AE18"/>
  <c r="B32" i="65"/>
  <c r="B7" i="69"/>
  <c r="H11"/>
  <c r="F41" i="121"/>
  <c r="K18" i="66"/>
  <c r="I33" i="65"/>
  <c r="C20" i="69"/>
  <c r="Q34" i="65"/>
  <c r="X31"/>
  <c r="K37" i="121"/>
  <c r="I44" i="69"/>
  <c r="S24" i="65"/>
  <c r="Z9" i="66"/>
  <c r="J32" i="121"/>
  <c r="K8" i="65"/>
  <c r="AD31" i="69"/>
  <c r="P28" i="65"/>
  <c r="AB5" i="121"/>
  <c r="J16"/>
  <c r="O45" i="65"/>
  <c r="W7" i="69"/>
  <c r="I32" i="66"/>
  <c r="R11" i="121"/>
  <c r="Z6" i="63"/>
  <c r="C21" i="60"/>
  <c r="AB43" i="65"/>
  <c r="R11"/>
  <c r="B14" i="60"/>
  <c r="O19" i="121"/>
  <c r="B12" i="66"/>
  <c r="T6" i="69"/>
  <c r="L34" i="65"/>
  <c r="L4" i="121"/>
  <c r="O9" i="65"/>
  <c r="AA4" i="63"/>
  <c r="AF7" i="65"/>
  <c r="J35" i="121"/>
  <c r="H40" i="65"/>
  <c r="P19" i="66"/>
  <c r="Q12" i="65"/>
  <c r="AE36" i="69"/>
  <c r="G24" i="65"/>
  <c r="P17" i="66"/>
  <c r="Y20" i="69"/>
  <c r="L18" i="65"/>
  <c r="U4" i="63"/>
  <c r="W15" i="66"/>
  <c r="B35" i="121"/>
  <c r="Q18" i="65"/>
  <c r="Y17" i="69"/>
  <c r="AA33" i="65"/>
  <c r="K29" i="69"/>
  <c r="W40"/>
  <c r="L7" i="65"/>
  <c r="K20" i="66"/>
  <c r="H38" i="65"/>
  <c r="Q20"/>
  <c r="AC37"/>
  <c r="I13" i="121"/>
  <c r="G13" i="65"/>
  <c r="K37" i="69"/>
  <c r="Y37" i="65"/>
  <c r="S21" i="121"/>
  <c r="T45"/>
  <c r="R25"/>
  <c r="J8" i="69"/>
  <c r="P21" i="65"/>
  <c r="M22" i="121"/>
  <c r="I8"/>
  <c r="E38" i="66"/>
  <c r="L15" i="65"/>
  <c r="AA20" i="121"/>
  <c r="N22" i="69"/>
  <c r="J21" i="66"/>
  <c r="Z36" i="121"/>
  <c r="AA4" i="65"/>
  <c r="S27"/>
  <c r="AB30" i="69"/>
  <c r="Y4" i="119"/>
  <c r="C22" i="69"/>
  <c r="AE44" i="65"/>
  <c r="AF11" i="69"/>
  <c r="C5" i="60"/>
  <c r="Z37" i="66"/>
  <c r="Y24" i="65"/>
  <c r="D36" i="66"/>
  <c r="Y37" i="121"/>
  <c r="G18" i="69"/>
  <c r="S9" i="121"/>
  <c r="I13" i="65"/>
  <c r="U9" i="66"/>
  <c r="B21" i="69"/>
  <c r="W5"/>
  <c r="N19" i="121"/>
  <c r="Y23" i="69"/>
  <c r="C37" i="66"/>
  <c r="G14" i="69"/>
  <c r="J35" i="65"/>
  <c r="H16" i="66"/>
  <c r="AC8" i="65"/>
  <c r="K16" i="69"/>
  <c r="O4" i="119"/>
  <c r="J21" i="121"/>
  <c r="AB36" i="65"/>
  <c r="N34" i="121"/>
  <c r="I45"/>
  <c r="T37" i="65"/>
  <c r="B24" i="121"/>
  <c r="AG5" i="70"/>
  <c r="AB12" i="69"/>
  <c r="G33" i="65"/>
  <c r="Y29" i="121"/>
  <c r="AA32" i="65"/>
  <c r="Y8" i="69"/>
  <c r="K18" i="65"/>
  <c r="F9" i="121"/>
  <c r="V42"/>
  <c r="O16" i="69"/>
  <c r="K35"/>
  <c r="M35"/>
  <c r="E28"/>
  <c r="AB25" i="121"/>
  <c r="D29" i="65"/>
  <c r="X6" i="121"/>
  <c r="I35" i="66"/>
  <c r="AE7"/>
  <c r="O11" i="65"/>
  <c r="G4" i="63"/>
  <c r="AE45" i="66"/>
  <c r="I16" i="65"/>
  <c r="C22"/>
  <c r="F36"/>
  <c r="U7" i="66"/>
  <c r="AF19" i="70"/>
  <c r="H13" i="121"/>
  <c r="AB8" i="63"/>
  <c r="R41" i="69"/>
  <c r="G32" i="66"/>
  <c r="E20" i="65"/>
  <c r="O5" i="63"/>
  <c r="Q13" i="65"/>
  <c r="AF18" i="66"/>
  <c r="AC11" i="69"/>
  <c r="G19" i="66"/>
  <c r="X30" i="121"/>
  <c r="AA41" i="70"/>
  <c r="Z23" i="69"/>
  <c r="H4" i="65"/>
  <c r="T18" i="121"/>
  <c r="AC30"/>
  <c r="H18" i="65"/>
  <c r="C22" i="121"/>
  <c r="AA6" i="66"/>
  <c r="AE4"/>
  <c r="R10" i="121"/>
  <c r="AF29" i="66"/>
  <c r="E4"/>
  <c r="AE36" i="70"/>
  <c r="P7" i="121"/>
  <c r="R36" i="69"/>
  <c r="I16"/>
  <c r="S20"/>
  <c r="AC8"/>
  <c r="AB17" i="121"/>
  <c r="AE33" i="65"/>
  <c r="I6" i="66"/>
  <c r="O37" i="65"/>
  <c r="T19" i="66"/>
  <c r="AC19" i="69"/>
  <c r="O24" i="66"/>
  <c r="AD31" i="65"/>
  <c r="F28" i="121"/>
  <c r="U38" i="69"/>
  <c r="B29"/>
  <c r="AA21" i="121"/>
  <c r="AA23" i="65"/>
  <c r="F32"/>
  <c r="X36" i="69"/>
  <c r="AA26" i="65"/>
  <c r="D38" i="121"/>
  <c r="U43" i="65"/>
  <c r="AD25" i="70"/>
  <c r="AD29" i="69"/>
  <c r="AA41" i="65"/>
  <c r="X26"/>
  <c r="D34" i="121"/>
  <c r="AB34" i="66"/>
  <c r="M23" i="121"/>
  <c r="D29" i="66"/>
  <c r="AD15" i="70"/>
  <c r="Y35" i="121"/>
  <c r="L26" i="65"/>
  <c r="F13" i="69"/>
  <c r="AE6"/>
  <c r="S25" i="121"/>
  <c r="AF35" i="70"/>
  <c r="H6" i="65"/>
  <c r="Z5" i="120"/>
  <c r="J15" i="121"/>
  <c r="AA34" i="65"/>
  <c r="B33" i="121"/>
  <c r="L36" i="69"/>
  <c r="B22"/>
  <c r="AA7" i="65"/>
  <c r="Z39" i="69"/>
  <c r="Z33" i="65"/>
  <c r="H35" i="66"/>
  <c r="AC36" i="121"/>
  <c r="AC32"/>
  <c r="L19" i="63"/>
  <c r="G41" i="66"/>
  <c r="M21" i="65"/>
  <c r="S39"/>
  <c r="L43" i="121"/>
  <c r="C4" i="119"/>
  <c r="F8" i="69"/>
  <c r="AE44" i="66"/>
  <c r="M19" i="69"/>
  <c r="G25" i="65"/>
  <c r="AC4" i="66"/>
  <c r="AB32"/>
  <c r="H11" i="65"/>
  <c r="F42" i="66"/>
  <c r="E14"/>
  <c r="AF13" i="121"/>
  <c r="M42" i="65"/>
  <c r="L32" i="69"/>
  <c r="C5"/>
  <c r="AE29" i="70"/>
  <c r="Y39" i="65"/>
  <c r="AB4" i="70"/>
  <c r="AD43"/>
  <c r="R24" i="121"/>
  <c r="C5" i="63"/>
  <c r="J18" i="69"/>
  <c r="AA6"/>
  <c r="F44"/>
  <c r="W5" i="65"/>
  <c r="R16" i="69"/>
  <c r="I35" i="121"/>
  <c r="AB4" i="69"/>
  <c r="AE28" i="70"/>
  <c r="AF41" i="65"/>
  <c r="AB10" i="70"/>
  <c r="C31" i="121"/>
  <c r="AB39" i="70"/>
  <c r="X39" i="65"/>
  <c r="B45" i="69"/>
  <c r="AB45"/>
  <c r="O29"/>
  <c r="S8" i="121"/>
  <c r="M23" i="65"/>
  <c r="F6"/>
  <c r="AA37" i="69"/>
  <c r="AB6" i="120"/>
  <c r="L44" i="63"/>
  <c r="M10" i="65"/>
  <c r="S44" i="121"/>
  <c r="T45" i="66"/>
  <c r="AB41" i="121"/>
  <c r="B7" i="63"/>
  <c r="O34" i="69"/>
  <c r="M18" i="121"/>
  <c r="AF43"/>
  <c r="E41" i="65"/>
  <c r="W4" i="121"/>
  <c r="V45" i="69"/>
  <c r="L45" i="63"/>
  <c r="E29" i="121"/>
  <c r="W14"/>
  <c r="N8" i="63"/>
  <c r="Q31" i="65"/>
  <c r="S5" i="66"/>
  <c r="R9" i="121"/>
  <c r="AA22" i="69"/>
  <c r="I12"/>
  <c r="K41" i="66"/>
  <c r="F36" i="121"/>
  <c r="R19" i="69"/>
  <c r="L25"/>
  <c r="P12" i="65"/>
  <c r="Q17" i="66"/>
  <c r="B20" i="69"/>
  <c r="C38" i="66"/>
  <c r="T41" i="121"/>
  <c r="S6" i="69"/>
  <c r="E19" i="121"/>
  <c r="T35"/>
  <c r="B15"/>
  <c r="AA26"/>
  <c r="L30"/>
  <c r="AB20" i="65"/>
  <c r="Y22"/>
  <c r="E34" i="66"/>
  <c r="Z5" i="63"/>
  <c r="T5" i="66"/>
  <c r="X37" i="69"/>
  <c r="AD41" i="70"/>
  <c r="X43" i="66"/>
  <c r="AF31"/>
  <c r="E17"/>
  <c r="P45" i="65"/>
  <c r="C13" i="121"/>
  <c r="X19" i="66"/>
  <c r="AC4" i="68"/>
  <c r="E31" i="66"/>
  <c r="AC6" i="69"/>
  <c r="W29" i="121"/>
  <c r="AB20" i="69"/>
  <c r="E5"/>
  <c r="E18" i="66"/>
  <c r="W25" i="69"/>
  <c r="S14" i="66"/>
  <c r="AF15" i="121"/>
  <c r="B31" i="69"/>
  <c r="V10" i="65"/>
  <c r="E45" i="121"/>
  <c r="C40" i="66"/>
  <c r="V17" i="69"/>
  <c r="AE36" i="66"/>
  <c r="Y13" i="121"/>
  <c r="C20" i="65"/>
  <c r="U42" i="69"/>
  <c r="AE43" i="70"/>
  <c r="Z32" i="66"/>
  <c r="B9" i="60"/>
  <c r="M25" i="69"/>
  <c r="M40"/>
  <c r="AB31"/>
  <c r="AE13" i="65"/>
  <c r="F29" i="69"/>
  <c r="E8" i="121"/>
  <c r="AE34" i="65"/>
  <c r="U21" i="69"/>
  <c r="AA14"/>
  <c r="F11" i="66"/>
  <c r="I5"/>
  <c r="AA45" i="70"/>
  <c r="E39" i="65"/>
  <c r="X24" i="69"/>
  <c r="X21"/>
  <c r="M18" i="65"/>
  <c r="O42" i="121"/>
  <c r="W37"/>
  <c r="AA36" i="65"/>
  <c r="M34" i="66"/>
  <c r="V12" i="69"/>
  <c r="U10" i="63"/>
  <c r="K40" i="69"/>
  <c r="AD32"/>
  <c r="P24" i="65"/>
  <c r="AB14" i="66"/>
  <c r="P26" i="121"/>
  <c r="D35" i="60"/>
  <c r="E34" i="121"/>
  <c r="V33"/>
  <c r="K10" i="65"/>
  <c r="C35" i="66"/>
  <c r="AE39"/>
  <c r="Z7" i="120"/>
  <c r="X41" i="69"/>
  <c r="AE45" i="65"/>
  <c r="X43" i="121"/>
  <c r="T26" i="69"/>
  <c r="D7" i="66"/>
  <c r="J25"/>
  <c r="Z36" i="69"/>
  <c r="N16" i="65"/>
  <c r="AD5" i="69"/>
  <c r="B16" i="65"/>
  <c r="H10" i="69"/>
  <c r="U15" i="65"/>
  <c r="C21"/>
  <c r="H8" i="69"/>
  <c r="C22" i="66"/>
  <c r="N10" i="121"/>
  <c r="X22" i="65"/>
  <c r="K9" i="121"/>
  <c r="T29" i="69"/>
  <c r="AD23" i="70"/>
  <c r="J30" i="60"/>
  <c r="AE18" i="70"/>
  <c r="S20" i="66"/>
  <c r="M9" i="121"/>
  <c r="D20" i="66"/>
  <c r="Y16" i="65"/>
  <c r="T17" i="69"/>
  <c r="AA43" i="70"/>
  <c r="D19" i="69"/>
  <c r="AC31"/>
  <c r="C30" i="60"/>
  <c r="K11" i="66"/>
  <c r="L9" i="65"/>
  <c r="Z17" i="121"/>
  <c r="R38"/>
  <c r="R35" i="65"/>
  <c r="O6" i="66"/>
  <c r="X23"/>
  <c r="Y38" i="69"/>
  <c r="AD4" i="66"/>
  <c r="P8"/>
  <c r="AE45" i="70"/>
  <c r="F28" i="65"/>
  <c r="L21" i="69"/>
  <c r="P44" i="66"/>
  <c r="U44" i="121"/>
  <c r="AF33" i="70"/>
  <c r="U7" i="69"/>
  <c r="L28" i="65"/>
  <c r="W44" i="121"/>
  <c r="J9"/>
  <c r="P13"/>
  <c r="H32" i="66"/>
  <c r="O44" i="69"/>
  <c r="X12" i="66"/>
  <c r="AD32" i="70"/>
  <c r="H28" i="66"/>
  <c r="F9"/>
  <c r="C10" i="69"/>
  <c r="T8" i="63"/>
  <c r="W39" i="69"/>
  <c r="Q34" i="66"/>
  <c r="AA40"/>
  <c r="AF34" i="70"/>
  <c r="U35" i="69"/>
  <c r="AD18" i="65"/>
  <c r="AC15" i="121"/>
  <c r="P36" i="66"/>
  <c r="R27" i="121"/>
  <c r="AB16" i="65"/>
  <c r="L40" i="69"/>
  <c r="AE14" i="65"/>
  <c r="Q8"/>
  <c r="I23"/>
  <c r="AE15" i="121"/>
  <c r="J32" i="65"/>
  <c r="AA5" i="66"/>
  <c r="W30" i="121"/>
  <c r="H23" i="65"/>
  <c r="S5" i="121"/>
  <c r="U22"/>
  <c r="V13"/>
  <c r="O33" i="69"/>
  <c r="Z29" i="65"/>
  <c r="AE4" i="63"/>
  <c r="P11" i="65"/>
  <c r="J14" i="121"/>
  <c r="V37" i="69"/>
  <c r="G15" i="121"/>
  <c r="S14" i="65"/>
  <c r="O9" i="69"/>
  <c r="V4" i="64"/>
  <c r="I16" i="121"/>
  <c r="J30" i="66"/>
  <c r="AA6" i="70"/>
  <c r="E22" i="69"/>
  <c r="H22" i="65"/>
  <c r="W36" i="121"/>
  <c r="Z9" i="120"/>
  <c r="U10" i="69"/>
  <c r="N44" i="121"/>
  <c r="L6" i="69"/>
  <c r="AA12" i="65"/>
  <c r="Q16" i="66"/>
  <c r="V11" i="63"/>
  <c r="T34" i="121"/>
  <c r="E27" i="66"/>
  <c r="L35" i="65"/>
  <c r="P42" i="66"/>
  <c r="AF15" i="69"/>
  <c r="O31" i="65"/>
  <c r="V23"/>
  <c r="AC39" i="70"/>
  <c r="H17" i="65"/>
  <c r="AD16" i="121"/>
  <c r="C21" i="69"/>
  <c r="AE20" i="121"/>
  <c r="D18" i="66"/>
  <c r="X35" i="121"/>
  <c r="AB9" i="66"/>
  <c r="AE4" i="67"/>
  <c r="R40" i="65"/>
  <c r="G16"/>
  <c r="T4" i="66"/>
  <c r="W20" i="69"/>
  <c r="X16" i="65"/>
  <c r="AA20" i="69"/>
  <c r="AC24"/>
  <c r="AE27"/>
  <c r="P4" i="121"/>
  <c r="P43" i="65"/>
  <c r="K7" i="66"/>
  <c r="E41" i="121"/>
  <c r="AB6" i="69"/>
  <c r="O20"/>
  <c r="AE12" i="70"/>
  <c r="Q43" i="66"/>
  <c r="E30" i="121"/>
  <c r="AA36" i="69"/>
  <c r="K19"/>
  <c r="G4" i="64"/>
  <c r="S38" i="69"/>
  <c r="D39" i="121"/>
  <c r="F19" i="65"/>
  <c r="V18" i="121"/>
  <c r="AE44" i="70"/>
  <c r="N5" i="69"/>
  <c r="M44" i="121"/>
  <c r="I31" i="69"/>
  <c r="AC34" i="65"/>
  <c r="I18" i="121"/>
  <c r="AD7" i="69"/>
  <c r="S11"/>
  <c r="Y13" i="65"/>
  <c r="L20"/>
  <c r="X23" i="121"/>
  <c r="Z24" i="65"/>
  <c r="R20" i="66"/>
  <c r="Y25" i="69"/>
  <c r="P9" i="66"/>
  <c r="U10" i="121"/>
  <c r="AF12" i="65"/>
  <c r="AD31" i="121"/>
  <c r="X12" i="69"/>
  <c r="AA31" i="65"/>
  <c r="J14" i="60"/>
  <c r="Z14" i="66"/>
  <c r="AF8" i="121"/>
  <c r="U30" i="66"/>
  <c r="M36" i="69"/>
  <c r="M9" i="66"/>
  <c r="K44"/>
  <c r="R6"/>
  <c r="J30" i="65"/>
  <c r="W17" i="66"/>
  <c r="F6" i="63"/>
  <c r="AC34" i="70"/>
  <c r="J31" i="60"/>
  <c r="AA17" i="65"/>
  <c r="T9" i="121"/>
  <c r="W6" i="65"/>
  <c r="AE10" i="69"/>
  <c r="Z45" i="121"/>
  <c r="L37"/>
  <c r="D5" i="69"/>
  <c r="AE15" i="70"/>
  <c r="C17" i="69"/>
  <c r="N17" i="65"/>
  <c r="X4" i="63"/>
  <c r="AE29" i="69"/>
  <c r="U4" i="121"/>
  <c r="AD22" i="65"/>
  <c r="O13" i="66"/>
  <c r="AF10" i="120"/>
  <c r="J39" i="66"/>
  <c r="AD28" i="69"/>
  <c r="F38" i="65"/>
  <c r="D20" i="60"/>
  <c r="AB8" i="69"/>
  <c r="J31" i="121"/>
  <c r="K28"/>
  <c r="G18" i="65"/>
  <c r="I22" i="121"/>
  <c r="N43"/>
  <c r="AC4" i="67"/>
  <c r="AD26" i="69"/>
  <c r="R14" i="66"/>
  <c r="AD38" i="70"/>
  <c r="J42" i="121"/>
  <c r="AC18" i="65"/>
  <c r="O13" i="121"/>
  <c r="W19"/>
  <c r="Z28" i="65"/>
  <c r="H4" i="63"/>
  <c r="R39" i="66"/>
  <c r="J6"/>
  <c r="AA8" i="69"/>
  <c r="H9"/>
  <c r="AC25" i="65"/>
  <c r="O19" i="69"/>
  <c r="O36"/>
  <c r="AA39" i="121"/>
  <c r="N35"/>
  <c r="D4" i="65"/>
  <c r="C29" i="121"/>
  <c r="O21" i="69"/>
  <c r="M5" i="121"/>
  <c r="J25"/>
  <c r="C8" i="66"/>
  <c r="AF7" i="120"/>
  <c r="U30" i="121"/>
  <c r="L19"/>
  <c r="B10" i="66"/>
  <c r="G10" i="121"/>
  <c r="W19" i="69"/>
  <c r="S10" i="121"/>
  <c r="L4" i="120"/>
  <c r="AE38" i="65"/>
  <c r="Z31" i="66"/>
  <c r="I40" i="65"/>
  <c r="Q25" i="66"/>
  <c r="L25" i="65"/>
  <c r="AB37" i="69"/>
  <c r="AF45" i="65"/>
  <c r="X23" i="69"/>
  <c r="S10"/>
  <c r="Y36"/>
  <c r="F11"/>
  <c r="M16" i="66"/>
  <c r="AF43" i="65"/>
  <c r="AA4" i="70"/>
  <c r="AA34" i="69"/>
  <c r="O24" i="65"/>
  <c r="AC6"/>
  <c r="AD14" i="69"/>
  <c r="AE21" i="65"/>
  <c r="K38" i="69"/>
  <c r="AD5" i="70"/>
  <c r="F22" i="66"/>
  <c r="K32" i="65"/>
  <c r="T10"/>
  <c r="Z11" i="69"/>
  <c r="AB28" i="121"/>
  <c r="J29"/>
  <c r="T4" i="63"/>
  <c r="X37" i="66"/>
  <c r="AA7" i="70"/>
  <c r="V44" i="121"/>
  <c r="Q35" i="66"/>
  <c r="AF26"/>
  <c r="S40" i="65"/>
  <c r="AF34" i="69"/>
  <c r="D26"/>
  <c r="W6"/>
  <c r="I31" i="66"/>
  <c r="B6"/>
  <c r="D5" i="65"/>
  <c r="AB21" i="69"/>
  <c r="U8" i="65"/>
  <c r="F10"/>
  <c r="D9" i="121"/>
  <c r="S5" i="63"/>
  <c r="L44" i="65"/>
  <c r="N7" i="121"/>
  <c r="V40" i="65"/>
  <c r="AC4" i="120"/>
  <c r="O22" i="69"/>
  <c r="D15"/>
  <c r="S37" i="66"/>
  <c r="Y4" i="65"/>
  <c r="T33" i="121"/>
  <c r="D6"/>
  <c r="AE37" i="70"/>
  <c r="W36" i="66"/>
  <c r="J41" i="69"/>
  <c r="AC9" i="65"/>
  <c r="AF43" i="70"/>
  <c r="D5" i="66"/>
  <c r="V5" i="63"/>
  <c r="W5"/>
  <c r="K45" i="121"/>
  <c r="D25" i="60"/>
  <c r="E27" i="121"/>
  <c r="C7" i="66"/>
  <c r="AD22" i="70"/>
  <c r="R38" i="66"/>
  <c r="Y19" i="121"/>
  <c r="O36" i="66"/>
  <c r="U40"/>
  <c r="X4" i="121"/>
  <c r="I22" i="69"/>
  <c r="AC30" i="70"/>
  <c r="W25" i="121"/>
  <c r="S35" i="69"/>
  <c r="AA39"/>
  <c r="AB40" i="66"/>
  <c r="Y20" i="65"/>
  <c r="G5" i="121"/>
  <c r="AB37" i="66"/>
  <c r="AE25" i="70"/>
  <c r="O26" i="121"/>
  <c r="B17" i="60"/>
  <c r="B34" i="65"/>
  <c r="E44"/>
  <c r="J36"/>
  <c r="AA7" i="69"/>
  <c r="F18" i="66"/>
  <c r="B14"/>
  <c r="B18" i="69"/>
  <c r="AF11" i="120"/>
  <c r="K33" i="65"/>
  <c r="M24" i="66"/>
  <c r="E33"/>
  <c r="AE37" i="69"/>
  <c r="M7" i="65"/>
  <c r="D4" i="120"/>
  <c r="U29" i="69"/>
  <c r="AD42"/>
  <c r="Z26" i="121"/>
  <c r="R21" i="69"/>
  <c r="AB42"/>
  <c r="W6" i="121"/>
  <c r="AE28" i="65"/>
  <c r="M4" i="66"/>
  <c r="AD27" i="70"/>
  <c r="Q12" i="66"/>
  <c r="AA15" i="121"/>
  <c r="AA30" i="70"/>
  <c r="AB30" i="66"/>
  <c r="R43"/>
  <c r="Q43" i="65"/>
  <c r="F4" i="119"/>
  <c r="Z8" i="69"/>
  <c r="O21" i="65"/>
  <c r="W7" i="121"/>
  <c r="AE37"/>
  <c r="AC17"/>
  <c r="X32" i="65"/>
  <c r="AE39" i="70"/>
  <c r="P18" i="121"/>
  <c r="Q22" i="66"/>
  <c r="J17" i="69"/>
  <c r="I20" i="121"/>
  <c r="J10" i="66"/>
  <c r="AA44"/>
  <c r="AC39" i="121"/>
  <c r="AA13" i="69"/>
  <c r="J9" i="60"/>
  <c r="B26" i="69"/>
  <c r="E24" i="66"/>
  <c r="AB17"/>
  <c r="P30" i="65"/>
  <c r="M14" i="121"/>
  <c r="AA4" i="120"/>
  <c r="H8" i="66"/>
  <c r="D12" i="69"/>
  <c r="B41" i="121"/>
  <c r="N6" i="65"/>
  <c r="AB35" i="66"/>
  <c r="H14" i="121"/>
  <c r="T20"/>
  <c r="AF35" i="65"/>
  <c r="AE42"/>
  <c r="AF25"/>
  <c r="AA45" i="66"/>
  <c r="J44"/>
  <c r="U43" i="69"/>
  <c r="H42" i="66"/>
  <c r="H22"/>
  <c r="AF25"/>
  <c r="O35" i="121"/>
  <c r="AE16" i="69"/>
  <c r="Q40" i="66"/>
  <c r="X33" i="69"/>
  <c r="Y4" i="64"/>
  <c r="AA22" i="121"/>
  <c r="E43" i="69"/>
  <c r="S21"/>
  <c r="AC9" i="70"/>
  <c r="C19" i="65"/>
  <c r="J24" i="60"/>
  <c r="X34" i="69"/>
  <c r="B28" i="66"/>
  <c r="E23" i="69"/>
  <c r="S45" i="121"/>
  <c r="I19"/>
  <c r="T17" i="66"/>
  <c r="AD35" i="69"/>
  <c r="L4" i="119"/>
  <c r="I7" i="121"/>
  <c r="M11"/>
  <c r="R21" i="65"/>
  <c r="K6" i="66"/>
  <c r="AD7" i="121"/>
  <c r="N38"/>
  <c r="B25" i="60"/>
  <c r="U5" i="65"/>
  <c r="R41" i="121"/>
  <c r="L20"/>
  <c r="Z4" i="66"/>
  <c r="Z12" i="69"/>
  <c r="W41"/>
  <c r="J45" i="121"/>
  <c r="E37" i="65"/>
  <c r="O10" i="66"/>
  <c r="S28"/>
  <c r="M39" i="65"/>
  <c r="AA9"/>
  <c r="E27"/>
  <c r="Z12" i="66"/>
  <c r="R17" i="121"/>
  <c r="F30" i="66"/>
  <c r="AB25" i="65"/>
  <c r="N15" i="69"/>
  <c r="H21" i="65"/>
  <c r="R38"/>
  <c r="I41" i="66"/>
  <c r="AC19" i="121"/>
  <c r="E17" i="69"/>
  <c r="C12"/>
  <c r="C30" i="66"/>
  <c r="Z31" i="121"/>
  <c r="N41"/>
  <c r="AC36" i="70"/>
  <c r="P31" i="65"/>
  <c r="J29" i="66"/>
  <c r="D39"/>
  <c r="L27" i="65"/>
  <c r="C35"/>
  <c r="AB21" i="66"/>
  <c r="AD4" i="67"/>
  <c r="Q36" i="65"/>
  <c r="AF36" i="121"/>
  <c r="U34" i="65"/>
  <c r="U31" i="69"/>
  <c r="I37" i="65"/>
  <c r="I33" i="69"/>
  <c r="N10" i="65"/>
  <c r="Q6" i="66"/>
  <c r="V26" i="65"/>
  <c r="AF8" i="69"/>
  <c r="D40"/>
  <c r="Z6" i="120"/>
  <c r="D22" i="66"/>
  <c r="X10" i="63"/>
  <c r="Q21" i="65"/>
  <c r="AA19" i="121"/>
  <c r="E21" i="69"/>
  <c r="O4" i="120"/>
  <c r="Q32" i="65"/>
  <c r="T12" i="69"/>
  <c r="C44" i="65"/>
  <c r="B24" i="69"/>
  <c r="X38" i="66"/>
  <c r="J45" i="69"/>
  <c r="Y9" i="65"/>
  <c r="AA14" i="66"/>
  <c r="Z19"/>
  <c r="L5" i="63"/>
  <c r="T4" i="121"/>
  <c r="I37"/>
  <c r="AF38"/>
  <c r="S23" i="66"/>
  <c r="V36" i="69"/>
  <c r="U6" i="66"/>
  <c r="P38" i="121"/>
  <c r="T18" i="66"/>
  <c r="AD6" i="69"/>
  <c r="X25" i="65"/>
  <c r="I4" i="66"/>
  <c r="K39"/>
  <c r="Y28" i="65"/>
  <c r="P32"/>
  <c r="V7" i="63"/>
  <c r="M42" i="69"/>
  <c r="R39" i="121"/>
  <c r="C18" i="60"/>
  <c r="K15" i="65"/>
  <c r="O11" i="69"/>
  <c r="N40" i="121"/>
  <c r="O22"/>
  <c r="I32" i="65"/>
  <c r="J31"/>
  <c r="AF23" i="69"/>
  <c r="R18" i="121"/>
  <c r="AD35" i="65"/>
  <c r="M39" i="66"/>
  <c r="AE44" i="69"/>
  <c r="D36" i="60"/>
  <c r="AE12" i="121"/>
  <c r="U25"/>
  <c r="W16" i="66"/>
  <c r="T12" i="121"/>
  <c r="L27" i="69"/>
  <c r="Y25" i="121"/>
  <c r="Z24" i="66"/>
  <c r="J19" i="69"/>
  <c r="X14" i="121"/>
  <c r="F21"/>
  <c r="E29" i="65"/>
  <c r="AA28" i="69"/>
  <c r="D33" i="66"/>
  <c r="J33" i="60"/>
  <c r="W23" i="66"/>
  <c r="C29" i="60"/>
  <c r="AC23" i="69"/>
  <c r="AC44" i="121"/>
  <c r="X9" i="65"/>
  <c r="AE14" i="70"/>
  <c r="M40" i="66"/>
  <c r="Z16" i="121"/>
  <c r="F40" i="66"/>
  <c r="J21" i="69"/>
  <c r="AF24" i="65"/>
  <c r="B26" i="121"/>
  <c r="AE16" i="65"/>
  <c r="P38"/>
  <c r="L43" i="69"/>
  <c r="I11" i="65"/>
  <c r="K36" i="121"/>
  <c r="P10"/>
  <c r="H39" i="65"/>
  <c r="M28" i="121"/>
  <c r="E24" i="69"/>
  <c r="C13"/>
  <c r="AD5" i="66"/>
  <c r="K6" i="63"/>
  <c r="D22" i="65"/>
  <c r="T31" i="69"/>
  <c r="AA24" i="121"/>
  <c r="P4" i="119"/>
  <c r="AF39" i="70"/>
  <c r="K12" i="65"/>
  <c r="L33" i="121"/>
  <c r="C7" i="69"/>
  <c r="AB29" i="66"/>
  <c r="G12"/>
  <c r="E29"/>
  <c r="F24" i="121"/>
  <c r="I30"/>
  <c r="R12"/>
  <c r="F16" i="65"/>
  <c r="AB26" i="70"/>
  <c r="K11" i="121"/>
  <c r="H6" i="66"/>
  <c r="K14" i="121"/>
  <c r="L11" i="65"/>
  <c r="T31" i="121"/>
  <c r="S17" i="66"/>
  <c r="B36" i="65"/>
  <c r="W37" i="69"/>
  <c r="B9" i="63"/>
  <c r="AE27" i="66"/>
  <c r="P29" i="65"/>
  <c r="L42" i="63"/>
  <c r="AE31" i="66"/>
  <c r="AA28" i="121"/>
  <c r="B8" i="69"/>
  <c r="N9" i="63"/>
  <c r="S30" i="121"/>
  <c r="I23" i="66"/>
  <c r="R4" i="65"/>
  <c r="R15" i="121"/>
  <c r="O39"/>
  <c r="M4" i="63"/>
  <c r="V38" i="69"/>
  <c r="AA10" i="70"/>
  <c r="M45" i="65"/>
  <c r="AE40" i="69"/>
  <c r="W41" i="66"/>
  <c r="AE24"/>
  <c r="K42" i="65"/>
  <c r="AD44" i="69"/>
  <c r="V4" i="66"/>
  <c r="G18"/>
  <c r="AB28" i="70"/>
  <c r="Z35" i="65"/>
  <c r="I22" i="66"/>
  <c r="M4" i="119"/>
  <c r="AE10" i="65"/>
  <c r="G5" i="69"/>
  <c r="E30"/>
  <c r="AF7"/>
  <c r="D40" i="65"/>
  <c r="E35" i="66"/>
  <c r="C41" i="69"/>
  <c r="S43"/>
  <c r="AE4" i="64"/>
  <c r="G15" i="69"/>
  <c r="Z8" i="66"/>
  <c r="M4" i="120"/>
  <c r="L9" i="69"/>
  <c r="K12" i="121"/>
  <c r="Z5" i="66"/>
  <c r="K25" i="69"/>
  <c r="AB8" i="70"/>
  <c r="B35" i="69"/>
  <c r="X37" i="65"/>
  <c r="AA20" i="66"/>
  <c r="AF9" i="70"/>
  <c r="U7" i="63"/>
  <c r="E41" i="69"/>
  <c r="V7" i="65"/>
  <c r="E25" i="66"/>
  <c r="AB18" i="70"/>
  <c r="D13" i="65"/>
  <c r="L12" i="121"/>
  <c r="AC10"/>
  <c r="Y4" i="63"/>
  <c r="P43" i="66"/>
  <c r="W8" i="121"/>
  <c r="AE30" i="69"/>
  <c r="AB22" i="70"/>
  <c r="F39" i="65"/>
  <c r="AA20"/>
  <c r="Z41" i="66"/>
  <c r="AB6" i="121"/>
  <c r="M26" i="65"/>
  <c r="R8"/>
  <c r="C15"/>
  <c r="O39" i="66"/>
  <c r="F19" i="69"/>
  <c r="AC8" i="70"/>
  <c r="Z23" i="66"/>
  <c r="AB7"/>
  <c r="Z15" i="69"/>
  <c r="L25" i="121"/>
  <c r="E16"/>
  <c r="V14" i="69"/>
  <c r="V34"/>
  <c r="K30"/>
  <c r="P24" i="66"/>
  <c r="W31" i="121"/>
  <c r="B32" i="69"/>
  <c r="B25" i="65"/>
  <c r="M40"/>
  <c r="AB33" i="66"/>
  <c r="N44" i="69"/>
  <c r="P26" i="65"/>
  <c r="H18" i="66"/>
  <c r="T35"/>
  <c r="C13" i="65"/>
  <c r="AC15" i="69"/>
  <c r="R23"/>
  <c r="Z31"/>
  <c r="C4" i="120"/>
  <c r="AC40" i="70"/>
  <c r="N14" i="65"/>
  <c r="AC12"/>
  <c r="E15" i="69"/>
  <c r="H43" i="65"/>
  <c r="Z28" i="69"/>
  <c r="J9" i="66"/>
  <c r="C8" i="65"/>
  <c r="AF42" i="66"/>
  <c r="R35" i="121"/>
  <c r="S27"/>
  <c r="AE41" i="69"/>
  <c r="AC26" i="121"/>
  <c r="AC42" i="69"/>
  <c r="R17"/>
  <c r="T44" i="65"/>
  <c r="S10" i="66"/>
  <c r="Y8" i="65"/>
  <c r="X18" i="69"/>
  <c r="C10" i="121"/>
  <c r="N41" i="69"/>
  <c r="B17"/>
  <c r="AC24" i="121"/>
  <c r="T5" i="63"/>
  <c r="J11" i="69"/>
  <c r="R30" i="66"/>
  <c r="AF19" i="121"/>
  <c r="S31"/>
  <c r="AE41" i="65"/>
  <c r="AF41" i="121"/>
  <c r="AA13" i="66"/>
  <c r="B17" i="121"/>
  <c r="P41" i="66"/>
  <c r="O28" i="65"/>
  <c r="O37" i="66"/>
  <c r="O43" i="69"/>
  <c r="D29" i="121"/>
  <c r="Y41" i="65"/>
  <c r="E12" i="66"/>
  <c r="J14" i="65"/>
  <c r="C12" i="60"/>
  <c r="AD39" i="70"/>
  <c r="B18" i="66"/>
  <c r="Q11" i="65"/>
  <c r="F34" i="66"/>
  <c r="AF37" i="70"/>
  <c r="Q45" i="66"/>
  <c r="J7" i="65"/>
  <c r="AB34"/>
  <c r="AA38" i="121"/>
  <c r="I20" i="66"/>
  <c r="AC26" i="70"/>
  <c r="N27" i="69"/>
  <c r="I21"/>
  <c r="X44" i="65"/>
  <c r="J33" i="121"/>
  <c r="O14" i="65"/>
  <c r="S19" i="66"/>
  <c r="Z42" i="121"/>
  <c r="AB6" i="63"/>
  <c r="AD45" i="121"/>
  <c r="D34" i="66"/>
  <c r="M5" i="63"/>
  <c r="AB28" i="66"/>
  <c r="F13" i="65"/>
  <c r="AE35" i="121"/>
  <c r="Q33" i="65"/>
  <c r="M6"/>
  <c r="S8" i="63"/>
  <c r="T34" i="65"/>
  <c r="H35"/>
  <c r="AA23" i="66"/>
  <c r="AD15" i="69"/>
  <c r="F27" i="121"/>
  <c r="M13"/>
  <c r="K13" i="66"/>
  <c r="AC41" i="65"/>
  <c r="E42" i="121"/>
  <c r="B20" i="65"/>
  <c r="J28" i="69"/>
  <c r="C4" i="65"/>
  <c r="AB40" i="69"/>
  <c r="I6" i="65"/>
  <c r="E14" i="121"/>
  <c r="AE35" i="65"/>
  <c r="J18" i="60"/>
  <c r="S37" i="65"/>
  <c r="N4"/>
  <c r="AE15" i="66"/>
  <c r="AE9"/>
  <c r="Z13" i="69"/>
  <c r="Z29" i="121"/>
  <c r="S12" i="69"/>
  <c r="X25" i="66"/>
  <c r="C34" i="69"/>
  <c r="W7" i="63"/>
  <c r="AE29" i="66"/>
  <c r="O26"/>
  <c r="P26"/>
  <c r="I14" i="65"/>
  <c r="AF5" i="70"/>
  <c r="F33" i="121"/>
  <c r="G5" i="66"/>
  <c r="F24" i="69"/>
  <c r="B9" i="65"/>
  <c r="G43" i="66"/>
  <c r="L27" i="63"/>
  <c r="V22" i="69"/>
  <c r="V43" i="65"/>
  <c r="Y4" i="66"/>
  <c r="Q11"/>
  <c r="C19"/>
  <c r="K19" i="121"/>
  <c r="AE40" i="66"/>
  <c r="Z25" i="121"/>
  <c r="K26" i="65"/>
  <c r="U42" i="66"/>
  <c r="N26" i="69"/>
  <c r="AD42" i="65"/>
  <c r="AB9" i="69"/>
  <c r="AA4"/>
  <c r="O5"/>
  <c r="M34" i="65"/>
  <c r="AF18" i="121"/>
  <c r="I38" i="66"/>
  <c r="AD9" i="69"/>
  <c r="AA6" i="121"/>
  <c r="M45"/>
  <c r="J37" i="66"/>
  <c r="AC42" i="70"/>
  <c r="U25" i="65"/>
  <c r="AC31" i="121"/>
  <c r="C45" i="65"/>
  <c r="K14" i="66"/>
  <c r="Y6" i="69"/>
  <c r="K5" i="66"/>
  <c r="I43" i="69"/>
  <c r="J35"/>
  <c r="AE29" i="121"/>
  <c r="O32" i="66"/>
  <c r="S9" i="63"/>
  <c r="R33" i="66"/>
  <c r="U30" i="65"/>
  <c r="X13"/>
  <c r="C45" i="66"/>
  <c r="J25" i="69"/>
  <c r="V29"/>
  <c r="M44" i="66"/>
  <c r="M6" i="121"/>
  <c r="S15" i="69"/>
  <c r="Z35" i="66"/>
  <c r="Q18"/>
  <c r="R28" i="121"/>
  <c r="J27"/>
  <c r="C7"/>
  <c r="D7" i="63"/>
  <c r="B36" i="121"/>
  <c r="W18" i="66"/>
  <c r="Z25" i="65"/>
  <c r="Z38" i="69"/>
  <c r="AE25" i="66"/>
  <c r="AF17" i="65"/>
  <c r="R32" i="121"/>
  <c r="D10" i="60"/>
  <c r="B39" i="69"/>
  <c r="O17"/>
  <c r="B33" i="65"/>
  <c r="Z43" i="66"/>
  <c r="AD41" i="69"/>
  <c r="T18" i="65"/>
  <c r="M27" i="121"/>
  <c r="AE32" i="70"/>
  <c r="X15" i="121"/>
  <c r="B10" i="63"/>
  <c r="AC43" i="121"/>
  <c r="U18"/>
  <c r="G15" i="66"/>
  <c r="AC10" i="69"/>
  <c r="R24" i="66"/>
  <c r="W17" i="69"/>
  <c r="B11" i="65"/>
  <c r="B27" i="66"/>
  <c r="AC45" i="70"/>
  <c r="F36" i="69"/>
  <c r="U4" i="65"/>
  <c r="T34" i="66"/>
  <c r="AC10" i="70"/>
  <c r="D6" i="60"/>
  <c r="AE9" i="69"/>
  <c r="P6" i="63"/>
  <c r="AC45" i="69"/>
  <c r="T14" i="65"/>
  <c r="P28" i="66"/>
  <c r="O8"/>
  <c r="L14" i="69"/>
  <c r="V31" i="121"/>
  <c r="S40" i="69"/>
  <c r="AA30" i="65"/>
  <c r="J25"/>
  <c r="AE19" i="121"/>
  <c r="AB45" i="65"/>
  <c r="AF44" i="66"/>
  <c r="AD13" i="70"/>
  <c r="Y19" i="65"/>
  <c r="R7" i="69"/>
  <c r="T41" i="66"/>
  <c r="AB34" i="121"/>
  <c r="AB40" i="70"/>
  <c r="P32" i="66"/>
  <c r="S16" i="121"/>
  <c r="Z39"/>
  <c r="T33" i="66"/>
  <c r="J40" i="121"/>
  <c r="AF31"/>
  <c r="M18" i="66"/>
  <c r="AD24" i="70"/>
  <c r="M9" i="63"/>
  <c r="V40" i="121"/>
  <c r="AA43" i="66"/>
  <c r="L15" i="69"/>
  <c r="T31" i="65"/>
  <c r="F37" i="121"/>
  <c r="M23" i="66"/>
  <c r="G27" i="65"/>
  <c r="T21" i="121"/>
  <c r="Z11" i="63"/>
  <c r="D35" i="66"/>
  <c r="F17" i="65"/>
  <c r="C31"/>
  <c r="U45" i="66"/>
  <c r="AC23" i="65"/>
  <c r="AF25" i="70"/>
  <c r="R37" i="69"/>
  <c r="K39" i="121"/>
  <c r="K32"/>
  <c r="U5" i="66"/>
  <c r="V4" i="65"/>
  <c r="AC29" i="69"/>
  <c r="K45"/>
  <c r="AE28"/>
  <c r="AC12"/>
  <c r="D9" i="63"/>
  <c r="AF13" i="66"/>
  <c r="Q9" i="65"/>
  <c r="AE6" i="66"/>
  <c r="L8" i="121"/>
  <c r="AB26" i="69"/>
  <c r="V39" i="121"/>
  <c r="G10" i="66"/>
  <c r="W9" i="63"/>
  <c r="AC4" i="71"/>
  <c r="K9" i="65"/>
  <c r="K15" i="66"/>
  <c r="U13" i="121"/>
  <c r="K4" i="63"/>
  <c r="T13" i="65"/>
  <c r="G11" i="66"/>
  <c r="AD32" i="65"/>
  <c r="M12" i="66"/>
  <c r="R30" i="121"/>
  <c r="I31"/>
  <c r="B4" i="66"/>
  <c r="L11" i="63"/>
  <c r="AD30" i="70"/>
  <c r="Y10" i="63"/>
  <c r="E36" i="66"/>
  <c r="AA11" i="121"/>
  <c r="Q20" i="66"/>
  <c r="O25" i="65"/>
  <c r="C11" i="69"/>
  <c r="C11" i="66"/>
  <c r="N16" i="69"/>
  <c r="AB36" i="70"/>
  <c r="AB29" i="65"/>
  <c r="X8" i="69"/>
  <c r="P16" i="121"/>
  <c r="N21"/>
  <c r="AD45" i="70"/>
  <c r="X39" i="66"/>
  <c r="J26" i="60"/>
  <c r="AB4" i="65"/>
  <c r="M15"/>
  <c r="L20" i="63"/>
  <c r="AC45" i="65"/>
  <c r="AF23" i="66"/>
  <c r="T8" i="69"/>
  <c r="AA32" i="70"/>
  <c r="AF45"/>
  <c r="AE7" i="121"/>
  <c r="D32" i="60"/>
  <c r="AD33" i="69"/>
  <c r="G36" i="65"/>
  <c r="V17"/>
  <c r="X45"/>
  <c r="R8" i="66"/>
  <c r="T41" i="69"/>
  <c r="W44" i="66"/>
  <c r="F31" i="65"/>
  <c r="AA45" i="121"/>
  <c r="C21"/>
  <c r="Y20"/>
  <c r="X19" i="65"/>
  <c r="B15"/>
  <c r="AE22"/>
  <c r="AF20"/>
  <c r="W37" i="66"/>
  <c r="U34" i="69"/>
  <c r="AB6" i="65"/>
  <c r="G4" i="120"/>
  <c r="AC43" i="70"/>
  <c r="C30" i="65"/>
  <c r="AB27" i="121"/>
  <c r="O12" i="69"/>
  <c r="AB4" i="119"/>
  <c r="D8" i="66"/>
  <c r="U11" i="121"/>
  <c r="E16" i="66"/>
  <c r="C25"/>
  <c r="Z24" i="69"/>
  <c r="J4" i="121"/>
  <c r="AC4" i="69"/>
  <c r="R34" i="121"/>
  <c r="B40" i="69"/>
  <c r="AB40" i="65"/>
  <c r="X6"/>
  <c r="X40" i="69"/>
  <c r="D26" i="121"/>
  <c r="D15" i="65"/>
  <c r="AC19"/>
  <c r="Z18" i="66"/>
  <c r="O12" i="121"/>
  <c r="D9" i="65"/>
  <c r="Z22" i="69"/>
  <c r="C15" i="60"/>
  <c r="U23" i="121"/>
  <c r="Q29" i="66"/>
  <c r="G37"/>
  <c r="N27" i="121"/>
  <c r="AA33" i="66"/>
  <c r="K8" i="63"/>
  <c r="J14" i="69"/>
  <c r="O5" i="121"/>
  <c r="C19" i="69"/>
  <c r="O19" i="65"/>
  <c r="V20"/>
  <c r="AD11" i="69"/>
  <c r="R7" i="63"/>
  <c r="Y10" i="65"/>
  <c r="Y44"/>
  <c r="C45" i="69"/>
  <c r="N35" i="65"/>
  <c r="K31" i="69"/>
  <c r="N31" i="121"/>
  <c r="AC4" i="65"/>
  <c r="E10" i="66"/>
  <c r="D40" i="121"/>
  <c r="R29" i="65"/>
  <c r="D32" i="69"/>
  <c r="J35" i="66"/>
  <c r="T18" i="69"/>
  <c r="C20" i="121"/>
  <c r="AD14" i="70"/>
  <c r="W13" i="121"/>
  <c r="D34" i="65"/>
  <c r="L28" i="121"/>
  <c r="U33" i="69"/>
  <c r="D4" i="64"/>
  <c r="Y34" i="69"/>
  <c r="AD44" i="70"/>
  <c r="Y38" i="121"/>
  <c r="K8" i="69"/>
  <c r="F23"/>
  <c r="R28" i="65"/>
  <c r="I5" i="69"/>
  <c r="R7" i="121"/>
  <c r="S40"/>
  <c r="V15" i="65"/>
  <c r="V30" i="121"/>
  <c r="Q23" i="66"/>
  <c r="AC33" i="69"/>
  <c r="Q31" i="66"/>
  <c r="AB19" i="65"/>
  <c r="E33"/>
  <c r="AF4" i="69"/>
  <c r="AA14" i="70"/>
  <c r="D12" i="65"/>
  <c r="AB19" i="66"/>
  <c r="M24" i="69"/>
  <c r="X12" i="121"/>
  <c r="AD23" i="69"/>
  <c r="S4" i="65"/>
  <c r="D15" i="60"/>
  <c r="T9" i="63"/>
  <c r="O28" i="121"/>
  <c r="T36" i="66"/>
  <c r="I39" i="121"/>
  <c r="D40" i="66"/>
  <c r="F26" i="69"/>
  <c r="I44" i="121"/>
  <c r="Y32" i="69"/>
  <c r="AC35"/>
  <c r="S33" i="66"/>
  <c r="L43" i="63"/>
  <c r="AA26" i="69"/>
  <c r="I22" i="65"/>
  <c r="X39" i="121"/>
  <c r="L35" i="63"/>
  <c r="AF19" i="65"/>
  <c r="R20"/>
  <c r="C42" i="66"/>
  <c r="E22" i="65"/>
  <c r="X26" i="69"/>
  <c r="AC20" i="65"/>
  <c r="AE27" i="121"/>
  <c r="G19"/>
  <c r="O34" i="65"/>
  <c r="AE33" i="66"/>
  <c r="C16" i="60"/>
  <c r="Z27" i="66"/>
  <c r="D9"/>
  <c r="D8" i="121"/>
  <c r="S13"/>
  <c r="Y24"/>
  <c r="P4" i="65"/>
  <c r="C16"/>
  <c r="O14" i="121"/>
  <c r="C27" i="60"/>
  <c r="Z39" i="66"/>
  <c r="F12" i="69"/>
  <c r="B34" i="66"/>
  <c r="P8" i="65"/>
  <c r="J16"/>
  <c r="X5" i="66"/>
  <c r="X4" i="120"/>
  <c r="R14" i="65"/>
  <c r="V43" i="121"/>
  <c r="Y42" i="69"/>
  <c r="AD5" i="121"/>
  <c r="AE38"/>
  <c r="AA22" i="66"/>
  <c r="U29" i="65"/>
  <c r="O41"/>
  <c r="Q29"/>
  <c r="R41"/>
  <c r="D27" i="60"/>
  <c r="G31" i="65"/>
  <c r="X21" i="121"/>
  <c r="V19" i="65"/>
  <c r="AE35" i="66"/>
  <c r="J41" i="121"/>
  <c r="O27" i="66"/>
  <c r="K19"/>
  <c r="AC16" i="70"/>
  <c r="E6" i="66"/>
  <c r="AA31" i="70"/>
  <c r="U27" i="69"/>
  <c r="I27"/>
  <c r="AB10" i="121"/>
  <c r="W28"/>
  <c r="C34" i="66"/>
  <c r="V20" i="121"/>
  <c r="S43" i="65"/>
  <c r="U36" i="121"/>
  <c r="K34" i="66"/>
  <c r="T11" i="121"/>
  <c r="C30"/>
  <c r="R40" i="66"/>
  <c r="K29"/>
  <c r="W15" i="121"/>
  <c r="G7" i="63"/>
  <c r="B14" i="121"/>
  <c r="Y12" i="65"/>
  <c r="N20" i="69"/>
  <c r="F19" i="66"/>
  <c r="Q15"/>
  <c r="AA17" i="69"/>
  <c r="AF44" i="70"/>
  <c r="M11" i="66"/>
  <c r="AF9" i="120"/>
  <c r="Q13" i="66"/>
  <c r="AA40" i="70"/>
  <c r="U38" i="66"/>
  <c r="Z7" i="63"/>
  <c r="H4" i="64"/>
  <c r="G19" i="65"/>
  <c r="D7"/>
  <c r="H4" i="66"/>
  <c r="U4" i="119"/>
  <c r="AF22" i="70"/>
  <c r="N17" i="69"/>
  <c r="B35" i="66"/>
  <c r="R31"/>
  <c r="O5" i="65"/>
  <c r="S9"/>
  <c r="J38"/>
  <c r="Z45" i="66"/>
  <c r="AF38" i="65"/>
  <c r="U6"/>
  <c r="V45"/>
  <c r="B15" i="60"/>
  <c r="X29" i="121"/>
  <c r="AC41" i="70"/>
  <c r="Z4" i="121"/>
  <c r="N32" i="65"/>
  <c r="Z4" i="119"/>
  <c r="L39" i="65"/>
  <c r="F16" i="66"/>
  <c r="I31" i="65"/>
  <c r="Y36" i="121"/>
  <c r="AE17" i="65"/>
  <c r="V7" i="69"/>
  <c r="U19" i="121"/>
  <c r="F15" i="65"/>
  <c r="J12" i="121"/>
  <c r="C6" i="69"/>
  <c r="W13"/>
  <c r="J23" i="60"/>
  <c r="AB33" i="70"/>
  <c r="Y33" i="65"/>
  <c r="X44" i="69"/>
  <c r="AC17" i="70"/>
  <c r="AC28" i="65"/>
  <c r="J37" i="121"/>
  <c r="AE41" i="70"/>
  <c r="F15" i="69"/>
  <c r="M16"/>
  <c r="L16" i="63"/>
  <c r="E13" i="65"/>
  <c r="W9" i="121"/>
  <c r="V26" i="69"/>
  <c r="C31" i="60"/>
  <c r="AA11" i="70"/>
  <c r="N7" i="65"/>
  <c r="F37" i="69"/>
  <c r="U24" i="66"/>
  <c r="S42" i="65"/>
  <c r="Q4" i="120"/>
  <c r="V10" i="63"/>
  <c r="V21" i="69"/>
  <c r="U28" i="66"/>
  <c r="Y26" i="121"/>
  <c r="AB11"/>
  <c r="P22"/>
  <c r="AF25" i="69"/>
  <c r="I34" i="121"/>
  <c r="D16" i="66"/>
  <c r="AD26" i="121"/>
  <c r="AB4" i="68"/>
  <c r="J36" i="60"/>
  <c r="F5" i="69"/>
  <c r="D25" i="66"/>
  <c r="Z6" i="121"/>
  <c r="B33" i="69"/>
  <c r="M29" i="121"/>
  <c r="D8" i="63"/>
  <c r="B5"/>
  <c r="N16" i="121"/>
  <c r="AB44" i="70"/>
  <c r="T22" i="69"/>
  <c r="AD37" i="65"/>
  <c r="AA10"/>
  <c r="AB13" i="66"/>
  <c r="Z34" i="65"/>
  <c r="P6" i="66"/>
  <c r="AC31" i="65"/>
  <c r="W45" i="69"/>
  <c r="AC43" i="65"/>
  <c r="R22" i="69"/>
  <c r="C27" i="121"/>
  <c r="X26" i="66"/>
  <c r="AB23" i="69"/>
  <c r="AF39" i="65"/>
  <c r="O23" i="69"/>
  <c r="AC4" i="64"/>
  <c r="Z12" i="121"/>
  <c r="J39" i="69"/>
  <c r="AA27"/>
  <c r="O45"/>
  <c r="U40" i="121"/>
  <c r="AB30"/>
  <c r="AC13" i="69"/>
  <c r="D42" i="121"/>
  <c r="L14" i="65"/>
  <c r="J13" i="60"/>
  <c r="Z19" i="69"/>
  <c r="U33" i="66"/>
  <c r="N22" i="121"/>
  <c r="C34"/>
  <c r="AF36" i="70"/>
  <c r="B21" i="121"/>
  <c r="F43" i="65"/>
  <c r="J27" i="69"/>
  <c r="I33" i="66"/>
  <c r="R44" i="121"/>
  <c r="T9" i="66"/>
  <c r="AE8" i="121"/>
  <c r="K6" i="65"/>
  <c r="U45" i="121"/>
  <c r="C27" i="65"/>
  <c r="L16" i="69"/>
  <c r="J32"/>
  <c r="AC11" i="121"/>
  <c r="B22" i="65"/>
  <c r="AD28" i="70"/>
  <c r="U14" i="69"/>
  <c r="P9" i="65"/>
  <c r="B43" i="121"/>
  <c r="Y18" i="69"/>
  <c r="L6" i="121"/>
  <c r="W43" i="66"/>
  <c r="Y22" i="121"/>
  <c r="I17" i="69"/>
  <c r="H19" i="66"/>
  <c r="D44" i="69"/>
  <c r="AA10" i="121"/>
  <c r="R8" i="63"/>
  <c r="L45" i="121"/>
  <c r="P15" i="65"/>
  <c r="R4" i="121"/>
  <c r="AF20" i="70"/>
  <c r="Y45" i="69"/>
  <c r="F4" i="63"/>
  <c r="AE36" i="65"/>
  <c r="I6" i="121"/>
  <c r="X23" i="65"/>
  <c r="M25" i="66"/>
  <c r="AC21" i="121"/>
  <c r="W42" i="66"/>
  <c r="D10" i="121"/>
  <c r="N24" i="65"/>
  <c r="AB31" i="70"/>
  <c r="O44" i="65"/>
  <c r="E35"/>
  <c r="C23" i="121"/>
  <c r="K16"/>
  <c r="P30" i="66"/>
  <c r="W33" i="69"/>
  <c r="I11"/>
  <c r="O5" i="66"/>
  <c r="T4" i="119"/>
  <c r="B30" i="121"/>
  <c r="D14"/>
  <c r="R44" i="69"/>
  <c r="AD30" i="121"/>
  <c r="AF22" i="65"/>
  <c r="I9" i="121"/>
  <c r="G9" i="65"/>
  <c r="M15" i="121"/>
  <c r="X30" i="66"/>
  <c r="F35" i="65"/>
  <c r="J28" i="66"/>
  <c r="R6" i="63"/>
  <c r="P44" i="65"/>
  <c r="X12"/>
  <c r="S4" i="120"/>
  <c r="AB21" i="65"/>
  <c r="Z39"/>
  <c r="AE19"/>
  <c r="K36" i="66"/>
  <c r="L5" i="121"/>
  <c r="AF29" i="69"/>
  <c r="E44" i="121"/>
  <c r="S45" i="66"/>
  <c r="AF21"/>
  <c r="G21" i="65"/>
  <c r="Y37" i="69"/>
  <c r="P27" i="121"/>
  <c r="R42"/>
  <c r="R13" i="65"/>
  <c r="F25" i="121"/>
  <c r="AF11" i="65"/>
  <c r="C24" i="69"/>
  <c r="H36" i="65"/>
  <c r="B27"/>
  <c r="J5" i="63"/>
  <c r="G4" i="66"/>
  <c r="S44"/>
  <c r="J38" i="121"/>
  <c r="J6" i="63"/>
  <c r="C12" i="121"/>
  <c r="O41" i="69"/>
  <c r="AD44" i="65"/>
  <c r="D37" i="121"/>
  <c r="C5"/>
  <c r="H29" i="66"/>
  <c r="V44" i="69"/>
  <c r="AB39" i="66"/>
  <c r="I24" i="65"/>
  <c r="Y16" i="121"/>
  <c r="L7" i="63"/>
  <c r="C8" i="69"/>
  <c r="K33"/>
  <c r="D44" i="121"/>
  <c r="M43" i="65"/>
  <c r="X22" i="69"/>
  <c r="K24" i="121"/>
  <c r="E6"/>
  <c r="B39" i="66"/>
  <c r="W9"/>
  <c r="AA8"/>
  <c r="U30" i="69"/>
  <c r="AA27" i="70"/>
  <c r="AA6" i="65"/>
  <c r="AF22" i="66"/>
  <c r="S7" i="69"/>
  <c r="F24" i="65"/>
  <c r="E9" i="66"/>
  <c r="N43" i="65"/>
  <c r="U36" i="69"/>
  <c r="G39" i="65"/>
  <c r="P29" i="121"/>
  <c r="F7" i="65"/>
  <c r="J26" i="66"/>
  <c r="M43" i="121"/>
  <c r="AD31" i="70"/>
  <c r="T40" i="121"/>
  <c r="T12" i="66"/>
  <c r="R14" i="121"/>
  <c r="F14"/>
  <c r="B41" i="65"/>
  <c r="R12" i="66"/>
  <c r="AA9" i="69"/>
  <c r="AA16" i="65"/>
  <c r="AB29" i="69"/>
  <c r="AF4" i="65"/>
  <c r="Z6"/>
  <c r="T8" i="121"/>
  <c r="K38" i="66"/>
  <c r="B8" i="65"/>
  <c r="P14"/>
  <c r="S19"/>
  <c r="AC6" i="70"/>
  <c r="H17" i="121"/>
  <c r="N31" i="69"/>
  <c r="M44"/>
  <c r="N33"/>
  <c r="AA15" i="65"/>
  <c r="I27"/>
  <c r="Z37"/>
  <c r="AD25"/>
  <c r="AD13" i="69"/>
  <c r="T28" i="66"/>
  <c r="I7"/>
  <c r="F29" i="121"/>
  <c r="M25"/>
  <c r="C19"/>
  <c r="AF15" i="65"/>
  <c r="AE11" i="70"/>
  <c r="R34" i="65"/>
  <c r="AC5" i="70"/>
  <c r="S36" i="69"/>
  <c r="B30"/>
  <c r="AF11" i="66"/>
  <c r="V19" i="121"/>
  <c r="C22" i="60"/>
  <c r="J27"/>
  <c r="R34" i="69"/>
  <c r="N21"/>
  <c r="C14" i="121"/>
  <c r="U32" i="69"/>
  <c r="AA26" i="66"/>
  <c r="Z38" i="65"/>
  <c r="S4" i="66"/>
  <c r="S6" i="63"/>
  <c r="R36" i="66"/>
  <c r="R4" i="119"/>
  <c r="B45" i="121"/>
  <c r="V28" i="65"/>
  <c r="T17" i="121"/>
  <c r="H4" i="119"/>
  <c r="Z10" i="65"/>
  <c r="AF17" i="70"/>
  <c r="F21" i="65"/>
  <c r="C36" i="66"/>
  <c r="M36" i="65"/>
  <c r="Z16" i="69"/>
  <c r="R38"/>
  <c r="T23" i="65"/>
  <c r="T22" i="121"/>
  <c r="R43"/>
  <c r="S23" i="69"/>
  <c r="AF27" i="121"/>
  <c r="O18" i="66"/>
  <c r="M38" i="69"/>
  <c r="V32"/>
  <c r="Q42" i="66"/>
  <c r="Y29" i="69"/>
  <c r="L9" i="63"/>
  <c r="O27" i="69"/>
  <c r="F17" i="66"/>
  <c r="AC44" i="69"/>
  <c r="O7" i="121"/>
  <c r="R26" i="66"/>
  <c r="I40" i="121"/>
  <c r="L6" i="66"/>
  <c r="E8" i="69"/>
  <c r="R12" i="65"/>
  <c r="AF14" i="66"/>
  <c r="S32" i="69"/>
  <c r="S39"/>
  <c r="AD23" i="65"/>
  <c r="L34" i="69"/>
  <c r="B7" i="66"/>
  <c r="H15" i="69"/>
  <c r="O6"/>
  <c r="S34" i="66"/>
  <c r="S6" i="121"/>
  <c r="E4" i="64"/>
  <c r="T44" i="69"/>
  <c r="M35" i="65"/>
  <c r="B27" i="121"/>
  <c r="R20" i="69"/>
  <c r="C4" i="64"/>
  <c r="V11" i="121"/>
  <c r="Z23" i="65"/>
  <c r="C32" i="69"/>
  <c r="C40"/>
  <c r="R5" i="121"/>
  <c r="M42" i="66"/>
  <c r="R40" i="69"/>
  <c r="H5" i="66"/>
  <c r="AE7" i="69"/>
  <c r="AD4" i="120"/>
  <c r="C21" i="66"/>
  <c r="F7" i="69"/>
  <c r="N25" i="65"/>
  <c r="R33" i="121"/>
  <c r="Y17" i="65"/>
  <c r="E42" i="66"/>
  <c r="C27"/>
  <c r="B13" i="65"/>
  <c r="M6" i="66"/>
  <c r="S16" i="65"/>
  <c r="S40" i="66"/>
  <c r="X25" i="121"/>
  <c r="C9" i="69"/>
  <c r="S21" i="66"/>
  <c r="K17" i="69"/>
  <c r="R28"/>
  <c r="R25" i="65"/>
  <c r="L31" i="69"/>
  <c r="D44" i="66"/>
  <c r="AD4" i="64"/>
  <c r="M21" i="66"/>
  <c r="AD37" i="121"/>
  <c r="AE42" i="66"/>
  <c r="L10" i="69"/>
  <c r="S22" i="66"/>
  <c r="AF10" i="65"/>
  <c r="AC37" i="69"/>
  <c r="Q4" i="65"/>
  <c r="R26" i="121"/>
  <c r="Z41" i="65"/>
  <c r="X18"/>
  <c r="I12" i="66"/>
  <c r="AE28"/>
  <c r="X27" i="69"/>
  <c r="Z36" i="65"/>
  <c r="P27" i="66"/>
  <c r="F9" i="69"/>
  <c r="G16" i="66"/>
  <c r="G34"/>
  <c r="U22" i="65"/>
  <c r="X36"/>
  <c r="U16" i="66"/>
  <c r="B26"/>
  <c r="T43"/>
  <c r="O34" i="121"/>
  <c r="D15" i="66"/>
  <c r="F10" i="69"/>
  <c r="R5" i="63"/>
  <c r="R14" i="69"/>
  <c r="R21" i="66"/>
  <c r="U45" i="65"/>
  <c r="O6" i="121"/>
  <c r="AC20" i="69"/>
  <c r="E36" i="121"/>
  <c r="AA38" i="65"/>
  <c r="S28"/>
  <c r="AA36" i="66"/>
  <c r="K32"/>
  <c r="S20" i="121"/>
  <c r="G17" i="65"/>
  <c r="N13" i="69"/>
  <c r="B38" i="65"/>
  <c r="AA34" i="66"/>
  <c r="AB33" i="65"/>
  <c r="T26" i="121"/>
  <c r="U37" i="65"/>
  <c r="Z42"/>
  <c r="AA41" i="121"/>
  <c r="H16" i="65"/>
  <c r="Y44" i="121"/>
  <c r="I7" i="69"/>
  <c r="Q30" i="66"/>
  <c r="Z42"/>
  <c r="K39" i="65"/>
  <c r="H45"/>
  <c r="N45"/>
  <c r="S25"/>
  <c r="U37" i="69"/>
  <c r="B17" i="65"/>
  <c r="AC7" i="70"/>
  <c r="S25" i="69"/>
  <c r="K34" i="121"/>
  <c r="C24" i="66"/>
  <c r="V42" i="69"/>
  <c r="V45" i="121"/>
  <c r="Y9" i="69"/>
  <c r="K45" i="66"/>
  <c r="AE6" i="65"/>
  <c r="D4" i="121"/>
  <c r="AB8" i="120"/>
  <c r="J30" i="69"/>
  <c r="AE21" i="66"/>
  <c r="O30" i="69"/>
  <c r="W7" i="66"/>
  <c r="AE33" i="70"/>
  <c r="G23" i="65"/>
  <c r="P18" i="66"/>
  <c r="V10" i="121"/>
  <c r="AC4" i="63"/>
  <c r="G22" i="65"/>
  <c r="Y12" i="121"/>
  <c r="AA29" i="65"/>
  <c r="O42" i="66"/>
  <c r="AF7" i="121"/>
  <c r="AE20" i="70"/>
  <c r="D13" i="66"/>
  <c r="E31" i="65"/>
  <c r="Z10" i="63"/>
  <c r="V18" i="65"/>
  <c r="AE27"/>
  <c r="AB15"/>
  <c r="E17"/>
  <c r="J42" i="66"/>
  <c r="T30" i="69"/>
  <c r="G6"/>
  <c r="O13" i="65"/>
  <c r="E37" i="66"/>
  <c r="AB22" i="121"/>
  <c r="P25" i="66"/>
  <c r="T34" i="69"/>
  <c r="E8" i="66"/>
  <c r="AC41" i="69"/>
  <c r="U5"/>
  <c r="AA18" i="70"/>
  <c r="T27" i="69"/>
  <c r="I29" i="66"/>
  <c r="AD20" i="70"/>
  <c r="Q8" i="66"/>
  <c r="N6" i="121"/>
  <c r="M24" i="65"/>
  <c r="N24" i="69"/>
  <c r="C28" i="60"/>
  <c r="C7" i="65"/>
  <c r="AE9" i="121"/>
  <c r="L15" i="63"/>
  <c r="Z20" i="121"/>
  <c r="AD32"/>
  <c r="M5" i="66"/>
  <c r="AA18" i="65"/>
  <c r="Z30"/>
  <c r="R6" i="121"/>
  <c r="T29" i="66"/>
  <c r="T10"/>
  <c r="B28" i="65"/>
  <c r="P22"/>
  <c r="W31" i="69"/>
  <c r="H36" i="66"/>
  <c r="T6" i="63"/>
  <c r="C37" i="65"/>
  <c r="K9" i="69"/>
  <c r="I40"/>
  <c r="R19" i="121"/>
  <c r="Q26" i="65"/>
  <c r="B7" i="121"/>
  <c r="AB45" i="70"/>
  <c r="B30" i="66"/>
  <c r="Y14" i="69"/>
  <c r="D39" i="65"/>
  <c r="AA7" i="66"/>
  <c r="K9" i="63"/>
  <c r="V29" i="121"/>
  <c r="J21" i="65"/>
  <c r="D35" i="121"/>
  <c r="AA5" i="65"/>
  <c r="R22" i="121"/>
  <c r="M35"/>
  <c r="L10" i="63"/>
  <c r="AA30" i="69"/>
  <c r="AE23" i="66"/>
  <c r="T6"/>
  <c r="AD4" i="65"/>
  <c r="AD4" i="119"/>
  <c r="AC15" i="70"/>
  <c r="AB43"/>
  <c r="O30" i="66"/>
  <c r="AC34" i="121"/>
  <c r="E24" i="65"/>
  <c r="J16" i="60"/>
  <c r="W39" i="66"/>
  <c r="O4" i="63"/>
  <c r="B44" i="69"/>
  <c r="AC4" i="70"/>
  <c r="X17" i="66"/>
  <c r="Z16"/>
  <c r="Y27" i="121"/>
  <c r="R5" i="66"/>
  <c r="K26" i="69"/>
  <c r="AA38"/>
  <c r="N19" i="65"/>
  <c r="V11"/>
  <c r="AA13" i="121"/>
  <c r="AF42" i="65"/>
  <c r="AA36" i="70"/>
  <c r="E25" i="69"/>
  <c r="C41" i="65"/>
  <c r="AE22" i="66"/>
  <c r="F15"/>
  <c r="AD5" i="65"/>
  <c r="AF34" i="121"/>
  <c r="T20" i="65"/>
  <c r="AA40" i="121"/>
  <c r="AD10"/>
  <c r="W12"/>
  <c r="F7" i="63"/>
  <c r="O10" i="121"/>
  <c r="P9" i="63"/>
  <c r="V6" i="69"/>
  <c r="G44" i="66"/>
  <c r="AG4" i="70"/>
  <c r="T7" i="63"/>
  <c r="L9" i="121"/>
  <c r="D32"/>
  <c r="C38"/>
  <c r="Q4" i="119"/>
  <c r="R44" i="65"/>
  <c r="B40" i="121"/>
  <c r="C37" i="69"/>
  <c r="W11" i="121"/>
  <c r="Y35" i="69"/>
  <c r="L38" i="65"/>
  <c r="Y11" i="69"/>
  <c r="AA5" i="121"/>
  <c r="X14" i="65"/>
  <c r="L39" i="69"/>
  <c r="AF6" i="121"/>
  <c r="AF42"/>
  <c r="AE18" i="66"/>
  <c r="AB21" i="70"/>
  <c r="Z34" i="69"/>
  <c r="R41" i="66"/>
  <c r="G5" i="65"/>
  <c r="Y11"/>
  <c r="AF5" i="66"/>
  <c r="AB4" i="121"/>
  <c r="G40" i="66"/>
  <c r="AE16" i="121"/>
  <c r="AA16" i="66"/>
  <c r="AE23" i="69"/>
  <c r="W32" i="66"/>
  <c r="X32"/>
  <c r="AB26"/>
  <c r="AF11" i="70"/>
  <c r="B24" i="66"/>
  <c r="W34" i="121"/>
  <c r="F45" i="69"/>
  <c r="Q32" i="66"/>
  <c r="L42" i="69"/>
  <c r="AF5" i="65"/>
  <c r="K34" i="69"/>
  <c r="T22" i="66"/>
  <c r="J15" i="65"/>
  <c r="S38"/>
  <c r="C35" i="121"/>
  <c r="M28" i="66"/>
  <c r="AC25" i="70"/>
  <c r="AD30" i="65"/>
  <c r="D42" i="66"/>
  <c r="R15" i="69"/>
  <c r="AD10" i="65"/>
  <c r="I23" i="121"/>
  <c r="F33" i="65"/>
  <c r="Z31"/>
  <c r="K13" i="121"/>
  <c r="W29" i="66"/>
  <c r="AE28" i="121"/>
  <c r="O7" i="66"/>
  <c r="B14" i="69"/>
  <c r="S44"/>
  <c r="J18" i="65"/>
  <c r="AF21" i="70"/>
  <c r="F30" i="121"/>
  <c r="M4" i="65"/>
  <c r="N27"/>
  <c r="D16" i="69"/>
  <c r="AD41" i="65"/>
  <c r="C6" i="66"/>
  <c r="B39" i="121"/>
  <c r="O44"/>
  <c r="AE6"/>
  <c r="W35" i="69"/>
  <c r="AE7" i="120"/>
  <c r="Y17" i="121"/>
  <c r="L36" i="65"/>
  <c r="I7"/>
  <c r="R25" i="69"/>
  <c r="W11"/>
  <c r="T8" i="66"/>
  <c r="I36" i="65"/>
  <c r="J23"/>
  <c r="AF44" i="69"/>
  <c r="I20" i="65"/>
  <c r="O23" i="121"/>
  <c r="X18"/>
  <c r="C18" i="65"/>
  <c r="K41" i="121"/>
  <c r="N33" i="65"/>
  <c r="C18" i="66"/>
  <c r="AE9" i="65"/>
  <c r="AE5"/>
  <c r="V31" i="69"/>
  <c r="AB35" i="121"/>
  <c r="Q4" i="64"/>
  <c r="C25" i="69"/>
  <c r="V12" i="65"/>
  <c r="J36" i="69"/>
  <c r="T14"/>
  <c r="U15" i="66"/>
  <c r="AD8" i="69"/>
  <c r="M26" i="121"/>
  <c r="I43"/>
  <c r="N36" i="65"/>
  <c r="I4" i="120"/>
  <c r="AB14" i="69"/>
  <c r="K4" i="119"/>
  <c r="N39" i="65"/>
  <c r="AE12" i="69"/>
  <c r="Z34" i="66"/>
  <c r="N14" i="121"/>
  <c r="AD34"/>
  <c r="F45" i="66"/>
  <c r="AD16" i="65"/>
  <c r="C36" i="121"/>
  <c r="Z45" i="65"/>
  <c r="G7" i="66"/>
  <c r="P25" i="65"/>
  <c r="AB27" i="70"/>
  <c r="S11" i="65"/>
  <c r="T10" i="121"/>
  <c r="J6" i="69"/>
  <c r="P20" i="65"/>
  <c r="V43" i="69"/>
  <c r="G11" i="121"/>
  <c r="D9" i="69"/>
  <c r="AF13"/>
  <c r="B10"/>
  <c r="AF42" i="70"/>
  <c r="AE38" i="66"/>
  <c r="V8" i="63"/>
  <c r="I15" i="69"/>
  <c r="M18"/>
  <c r="M33" i="66"/>
  <c r="P44" i="121"/>
  <c r="X17" i="69"/>
  <c r="U37" i="121"/>
  <c r="AF30" i="66"/>
  <c r="H27"/>
  <c r="J5" i="60"/>
  <c r="R16" i="66"/>
  <c r="R31" i="121"/>
  <c r="T23" i="66"/>
  <c r="P35" i="121"/>
  <c r="B28" i="69"/>
  <c r="B4" i="120"/>
  <c r="Z13" i="66"/>
  <c r="O16" i="121"/>
  <c r="I17" i="65"/>
  <c r="B40" i="66"/>
  <c r="G4" i="119"/>
  <c r="Q4" i="66"/>
  <c r="C34" i="65"/>
  <c r="W6" i="66"/>
  <c r="AA25" i="121"/>
  <c r="AA38" i="70"/>
  <c r="M24" i="121"/>
  <c r="D24" i="60"/>
  <c r="M41" i="69"/>
  <c r="T39"/>
  <c r="M41" i="65"/>
  <c r="W40" i="121"/>
  <c r="O29" i="66"/>
  <c r="AC4" i="119"/>
  <c r="AF17" i="121"/>
  <c r="AF36" i="69"/>
  <c r="R37" i="121"/>
  <c r="AB18" i="66"/>
  <c r="U7" i="121"/>
  <c r="Z20" i="69"/>
  <c r="C23"/>
  <c r="P39" i="65"/>
  <c r="N20"/>
  <c r="M22" i="66"/>
  <c r="AA28" i="65"/>
  <c r="R30" i="69"/>
  <c r="O30" i="121"/>
  <c r="AB7" i="65"/>
  <c r="T7" i="121"/>
  <c r="AC16" i="69"/>
  <c r="AD4" i="70"/>
  <c r="T41" i="65"/>
  <c r="Z32" i="121"/>
  <c r="C24" i="65"/>
  <c r="V37" i="121"/>
  <c r="B34"/>
  <c r="AG4" i="119"/>
  <c r="T32" i="69"/>
  <c r="AE20" i="66"/>
  <c r="S26"/>
  <c r="O37" i="121"/>
  <c r="V33" i="69"/>
  <c r="D45" i="65"/>
  <c r="N18" i="69"/>
  <c r="W18" i="121"/>
  <c r="AE40" i="65"/>
  <c r="Z8" i="63"/>
  <c r="C20" i="60"/>
  <c r="P20" i="121"/>
  <c r="D18"/>
  <c r="AB38" i="70"/>
  <c r="M32" i="121"/>
  <c r="C12" i="66"/>
  <c r="Z23" i="121"/>
  <c r="O33" i="66"/>
  <c r="M32" i="69"/>
  <c r="N25" i="121"/>
  <c r="T11" i="63"/>
  <c r="Z15" i="65"/>
  <c r="Y7" i="69"/>
  <c r="W5" i="66"/>
  <c r="N19" i="69"/>
  <c r="M45" i="66"/>
  <c r="AA24" i="69"/>
  <c r="AE23" i="121"/>
  <c r="M32" i="65"/>
  <c r="E37" i="69"/>
  <c r="AB24" i="70"/>
  <c r="N5" i="121"/>
  <c r="T23" i="69"/>
  <c r="AD27" i="121"/>
  <c r="AB14" i="70"/>
  <c r="C35" i="69"/>
  <c r="E22" i="66"/>
  <c r="C28" i="69"/>
  <c r="AB25"/>
  <c r="AB44" i="66"/>
  <c r="F26" i="121"/>
  <c r="T5"/>
  <c r="K11" i="65"/>
  <c r="Y39" i="69"/>
  <c r="O27" i="65"/>
  <c r="J24" i="69"/>
  <c r="O18"/>
  <c r="AA35" i="70"/>
  <c r="J15" i="69"/>
  <c r="J19" i="65"/>
  <c r="U14" i="66"/>
  <c r="X10" i="121"/>
  <c r="Z30" i="69"/>
  <c r="I25" i="65"/>
  <c r="S35" i="121"/>
  <c r="E38" i="65"/>
  <c r="S32" i="121"/>
  <c r="L41" i="69"/>
  <c r="D27" i="65"/>
  <c r="AB11" i="69"/>
  <c r="D28" i="65"/>
  <c r="J12" i="66"/>
  <c r="L24" i="69"/>
  <c r="AA19" i="65"/>
  <c r="H9" i="66"/>
  <c r="AE34"/>
  <c r="T14" i="121"/>
  <c r="AF23" i="70"/>
  <c r="T16" i="121"/>
  <c r="J11" i="65"/>
  <c r="B5"/>
  <c r="K33" i="121"/>
  <c r="N35" i="69"/>
  <c r="S12" i="121"/>
  <c r="AE16" i="70"/>
  <c r="Q24" i="66"/>
  <c r="B31" i="65"/>
  <c r="W10" i="69"/>
  <c r="K43" i="66"/>
  <c r="J23" i="69"/>
  <c r="L24" i="65"/>
  <c r="AB19" i="121"/>
  <c r="M8" i="65"/>
  <c r="C7" i="60"/>
  <c r="AF25" i="121"/>
  <c r="R4" i="66"/>
  <c r="J34"/>
  <c r="N37" i="69"/>
  <c r="D21" i="121"/>
  <c r="W31" i="66"/>
  <c r="D21" i="69"/>
  <c r="T38"/>
  <c r="I18" i="65"/>
  <c r="AA25" i="66"/>
  <c r="S12" i="65"/>
  <c r="W32" i="121"/>
  <c r="D7" i="60"/>
  <c r="H4" i="121"/>
  <c r="G8" i="69"/>
  <c r="U39"/>
  <c r="AC38" i="70"/>
  <c r="B26" i="65"/>
  <c r="O17"/>
  <c r="AF15" i="66"/>
  <c r="G20" i="65"/>
  <c r="O21" i="121"/>
  <c r="C9" i="66"/>
  <c r="D13" i="121"/>
  <c r="AF32" i="69"/>
  <c r="C12" i="65"/>
  <c r="G26" i="66"/>
  <c r="U43" i="121"/>
  <c r="B12" i="65"/>
  <c r="AD37" i="70"/>
  <c r="F39" i="69"/>
  <c r="C9" i="65"/>
  <c r="AF44" i="121"/>
  <c r="E33" i="69"/>
  <c r="AA19" i="66"/>
  <c r="N45" i="69"/>
  <c r="K29" i="65"/>
  <c r="O33"/>
  <c r="AA24"/>
  <c r="Q37" i="66"/>
  <c r="U7" i="65"/>
  <c r="S35" i="66"/>
  <c r="S4" i="119"/>
  <c r="K26" i="121"/>
  <c r="E38" i="69"/>
  <c r="E23" i="66"/>
  <c r="O35" i="69"/>
  <c r="D11" i="63"/>
  <c r="I34" i="65"/>
  <c r="AE13" i="66"/>
  <c r="T24" i="65"/>
  <c r="E7" i="69"/>
  <c r="M20" i="66"/>
  <c r="AD26" i="70"/>
  <c r="Y42" i="65"/>
  <c r="M44"/>
  <c r="J41" i="66"/>
  <c r="O26" i="69"/>
  <c r="AC5" i="65"/>
  <c r="AA32" i="69"/>
  <c r="L13" i="65"/>
  <c r="AB22" i="66"/>
  <c r="Q7"/>
  <c r="I39" i="69"/>
  <c r="Z11" i="65"/>
  <c r="D23" i="66"/>
  <c r="AC5" i="69"/>
  <c r="R28" i="66"/>
  <c r="X8" i="65"/>
  <c r="C16" i="69"/>
  <c r="Q36" i="66"/>
  <c r="K6" i="121"/>
  <c r="AB31"/>
  <c r="O10" i="69"/>
  <c r="C30"/>
  <c r="AA42" i="70"/>
  <c r="F14" i="66"/>
  <c r="AA39"/>
  <c r="N41" i="65"/>
  <c r="H41"/>
  <c r="L25" i="63"/>
  <c r="N23" i="65"/>
  <c r="I4" i="119"/>
  <c r="T16" i="66"/>
  <c r="B42" i="69"/>
  <c r="AA31"/>
  <c r="L40" i="63"/>
  <c r="S41" i="69"/>
  <c r="AD26" i="65"/>
  <c r="K31"/>
  <c r="N5" i="63"/>
  <c r="AE18" i="121"/>
  <c r="C41"/>
  <c r="AD35"/>
  <c r="Y7"/>
  <c r="AC33"/>
  <c r="AD43" i="65"/>
  <c r="K40"/>
  <c r="S17" i="69"/>
  <c r="G8" i="121"/>
  <c r="AF10" i="69"/>
  <c r="W35" i="121"/>
  <c r="K5" i="63"/>
  <c r="G12" i="121"/>
  <c r="AB41" i="70"/>
  <c r="M12" i="69"/>
  <c r="V29" i="65"/>
  <c r="J12" i="60"/>
  <c r="E12" i="69"/>
  <c r="Z18" i="121"/>
  <c r="X20"/>
  <c r="K4" i="120"/>
  <c r="L26" i="63"/>
  <c r="Y31" i="69"/>
  <c r="O45" i="66"/>
  <c r="E32" i="69"/>
  <c r="N29" i="121"/>
  <c r="F14" i="69"/>
  <c r="U39" i="66"/>
  <c r="D11" i="69"/>
  <c r="AD28" i="121"/>
  <c r="X13" i="69"/>
  <c r="W18"/>
  <c r="AB26" i="121"/>
  <c r="AD12" i="70"/>
  <c r="J26" i="65"/>
  <c r="AD22" i="121"/>
  <c r="T15" i="65"/>
  <c r="G7" i="121"/>
  <c r="P35" i="65"/>
  <c r="B16" i="66"/>
  <c r="AB11"/>
  <c r="Y43" i="65"/>
  <c r="G41"/>
  <c r="T10" i="69"/>
  <c r="K40" i="121"/>
  <c r="K23" i="65"/>
  <c r="N5"/>
  <c r="G43"/>
  <c r="AF40"/>
  <c r="AD33"/>
  <c r="D18"/>
  <c r="B6" i="63"/>
  <c r="AA30" i="66"/>
  <c r="AB41" i="65"/>
  <c r="N37"/>
  <c r="AE41" i="121"/>
  <c r="I4" i="64"/>
  <c r="K27" i="65"/>
  <c r="R22" i="66"/>
  <c r="E40" i="69"/>
  <c r="AD34" i="70"/>
  <c r="W43" i="121"/>
  <c r="AD27" i="65"/>
  <c r="J28" i="60"/>
  <c r="D16" i="65"/>
  <c r="AD24" i="69"/>
  <c r="U11" i="65"/>
  <c r="W27" i="121"/>
  <c r="AF14" i="70"/>
  <c r="B43" i="69"/>
  <c r="T21" i="66"/>
  <c r="P10" i="65"/>
  <c r="N11" i="69"/>
  <c r="AF8" i="120"/>
  <c r="L36" i="121"/>
  <c r="R29"/>
  <c r="E45" i="66"/>
  <c r="AB8"/>
  <c r="R30" i="65"/>
  <c r="Y43" i="69"/>
  <c r="S15" i="66"/>
  <c r="K44" i="121"/>
  <c r="E15" i="65"/>
  <c r="X40"/>
  <c r="S29" i="66"/>
  <c r="D31" i="65"/>
  <c r="Z41" i="121"/>
  <c r="K21" i="65"/>
  <c r="F31" i="121"/>
  <c r="AB10" i="63"/>
  <c r="L17" i="121"/>
  <c r="AD36"/>
  <c r="F18"/>
  <c r="D37" i="69"/>
  <c r="M19" i="121"/>
  <c r="Y45" i="65"/>
  <c r="AD45" i="69"/>
  <c r="G35" i="66"/>
  <c r="C20"/>
  <c r="V26" i="121"/>
  <c r="M35" i="66"/>
  <c r="AD9" i="70"/>
  <c r="Y30" i="121"/>
  <c r="E44" i="69"/>
  <c r="Y22"/>
  <c r="E43" i="66"/>
  <c r="AE24" i="121"/>
  <c r="W33" i="66"/>
  <c r="AB12" i="121"/>
  <c r="AC39" i="65"/>
  <c r="F32" i="66"/>
  <c r="AA21" i="70"/>
  <c r="Z8" i="121"/>
  <c r="V14" i="65"/>
  <c r="K29" i="121"/>
  <c r="X4" i="65"/>
  <c r="W27" i="66"/>
  <c r="J23" i="121"/>
  <c r="D17" i="65"/>
  <c r="AE4"/>
  <c r="AE43" i="121"/>
  <c r="Q41" i="66"/>
  <c r="Q21"/>
  <c r="C40" i="65"/>
  <c r="I29"/>
  <c r="W9" i="69"/>
  <c r="M21" i="121"/>
  <c r="X42" i="65"/>
  <c r="G16" i="121"/>
  <c r="B44"/>
  <c r="W24" i="69"/>
  <c r="N9" i="121"/>
  <c r="O32" i="65"/>
  <c r="X18" i="66"/>
  <c r="X29" i="69"/>
  <c r="D19" i="65"/>
  <c r="X31" i="121"/>
  <c r="I45" i="69"/>
  <c r="V4" i="121"/>
  <c r="D25"/>
  <c r="B14" i="65"/>
  <c r="U17" i="66"/>
  <c r="L20" i="69"/>
  <c r="T28" i="65"/>
  <c r="Z14" i="69"/>
  <c r="G45" i="65"/>
  <c r="G37"/>
  <c r="D6" i="69"/>
  <c r="AA35" i="65"/>
  <c r="Z29" i="69"/>
  <c r="K41"/>
  <c r="W4" i="63"/>
  <c r="S22" i="121"/>
  <c r="T14" i="66"/>
  <c r="D38" i="65"/>
  <c r="M38" i="66"/>
  <c r="D30" i="60"/>
  <c r="U35" i="121"/>
  <c r="B37" i="69"/>
  <c r="D41" i="65"/>
  <c r="K15" i="69"/>
  <c r="F30" i="65"/>
  <c r="U6" i="63"/>
  <c r="Z26" i="69"/>
  <c r="AE42" i="121"/>
  <c r="W33"/>
  <c r="AE21" i="69"/>
  <c r="B31" i="121"/>
  <c r="Z10" i="120"/>
  <c r="G14" i="66"/>
  <c r="O23"/>
  <c r="H29" i="65"/>
  <c r="Y34"/>
  <c r="AF8" i="70"/>
  <c r="L27" i="121"/>
  <c r="K43"/>
  <c r="U31" i="65"/>
  <c r="AE10" i="66"/>
  <c r="J22" i="121"/>
  <c r="M14" i="65"/>
  <c r="AF34" i="66"/>
  <c r="X20" i="69"/>
  <c r="AB12" i="70"/>
  <c r="P13" i="66"/>
  <c r="AB39" i="121"/>
  <c r="X20" i="65"/>
  <c r="B11" i="63"/>
  <c r="S33" i="121"/>
  <c r="N11"/>
  <c r="P11" i="63"/>
  <c r="K30" i="66"/>
  <c r="J5" i="65"/>
  <c r="AE11" i="121"/>
  <c r="AF8" i="66"/>
  <c r="P33" i="65"/>
  <c r="O38"/>
  <c r="AB42" i="121"/>
  <c r="AE13"/>
  <c r="Q9" i="66"/>
  <c r="AD34" i="69"/>
  <c r="P17" i="65"/>
  <c r="W16" i="121"/>
  <c r="L4" i="66"/>
  <c r="S26" i="65"/>
  <c r="K7" i="63"/>
  <c r="K43" i="65"/>
  <c r="H8" i="121"/>
  <c r="AA18" i="69"/>
  <c r="Y32" i="65"/>
  <c r="E45"/>
  <c r="E10" i="69"/>
  <c r="G4" i="65"/>
  <c r="U18" i="66"/>
  <c r="S43" i="121"/>
  <c r="N20"/>
  <c r="O29" i="65"/>
  <c r="C31" i="66"/>
  <c r="AD4" i="121"/>
  <c r="T13" i="66"/>
  <c r="C14" i="69"/>
  <c r="U9"/>
  <c r="B17" i="66"/>
  <c r="T40"/>
  <c r="AA22" i="70"/>
  <c r="Y19" i="69"/>
  <c r="W34" i="66"/>
  <c r="Z6"/>
  <c r="AC13" i="121"/>
  <c r="AE43" i="69"/>
  <c r="J9" i="65"/>
  <c r="D14" i="69"/>
  <c r="AA45"/>
  <c r="V16"/>
  <c r="C43" i="121"/>
  <c r="Q38" i="65"/>
  <c r="Z10" i="69"/>
  <c r="M19" i="65"/>
  <c r="N26" i="121"/>
  <c r="R15" i="65"/>
  <c r="I18" i="69"/>
  <c r="AF4" i="121"/>
  <c r="AF4" i="70"/>
  <c r="K7" i="69"/>
  <c r="S4" i="63"/>
  <c r="AE4" i="120"/>
  <c r="T36" i="121"/>
  <c r="AA11" i="66"/>
  <c r="F25" i="65"/>
  <c r="AB19" i="69"/>
  <c r="Y40" i="121"/>
  <c r="U20"/>
  <c r="Q7" i="65"/>
  <c r="T22"/>
  <c r="AB4" i="67"/>
  <c r="Z41" i="69"/>
  <c r="L41" i="63"/>
  <c r="I38" i="65"/>
  <c r="S29" i="121"/>
  <c r="H41" i="66"/>
  <c r="AD40" i="65"/>
  <c r="AE16" i="66"/>
  <c r="Y30" i="69"/>
  <c r="X42" i="121"/>
  <c r="Y32"/>
  <c r="H20" i="66"/>
  <c r="AB7" i="63"/>
  <c r="Y42" i="121"/>
  <c r="G32" i="65"/>
  <c r="B6"/>
  <c r="B21"/>
  <c r="J15" i="66"/>
  <c r="O4" i="65"/>
  <c r="R45"/>
  <c r="AB26"/>
  <c r="AA24" i="70"/>
  <c r="AA44" i="121"/>
  <c r="AE35" i="70"/>
  <c r="G18" i="121"/>
  <c r="I11"/>
  <c r="H10" i="65"/>
  <c r="Z43" i="121"/>
  <c r="AC34" i="69"/>
  <c r="B32" i="66"/>
  <c r="O38"/>
  <c r="J40" i="65"/>
  <c r="E45" i="69"/>
  <c r="AE7" i="70"/>
  <c r="O15" i="69"/>
  <c r="P15" i="121"/>
  <c r="AA16" i="70"/>
  <c r="V25" i="121"/>
  <c r="AC35" i="65"/>
  <c r="C23"/>
  <c r="B22" i="60"/>
  <c r="N7" i="63"/>
  <c r="B23" i="66"/>
  <c r="B24" i="60"/>
  <c r="X28" i="121"/>
  <c r="F24" i="66"/>
  <c r="H45"/>
  <c r="I45" i="65"/>
  <c r="N24" i="121"/>
  <c r="T24" i="69"/>
  <c r="I17" i="121"/>
  <c r="J19" i="66"/>
  <c r="S5" i="65"/>
  <c r="D14" i="66"/>
  <c r="R31" i="65"/>
  <c r="R10" i="69"/>
  <c r="M45"/>
  <c r="B4" i="121"/>
  <c r="C8" i="63"/>
  <c r="AA23" i="70"/>
  <c r="AB32" i="121"/>
  <c r="D30"/>
  <c r="L45" i="65"/>
  <c r="K22" i="66"/>
  <c r="L5" i="69"/>
  <c r="J17" i="65"/>
  <c r="J22"/>
  <c r="AF40" i="69"/>
  <c r="H42" i="65"/>
  <c r="X39" i="69"/>
  <c r="R31"/>
  <c r="R42" i="65"/>
  <c r="AA32" i="121"/>
  <c r="W21" i="69"/>
  <c r="O18" i="65"/>
  <c r="AB40" i="121"/>
  <c r="C29" i="65"/>
  <c r="I41"/>
  <c r="L22" i="63"/>
  <c r="AF28" i="121"/>
  <c r="D23" i="60"/>
  <c r="D31" i="121"/>
  <c r="P25"/>
  <c r="R7" i="65"/>
  <c r="T26" i="66"/>
  <c r="AF11" i="121"/>
  <c r="AD37" i="69"/>
  <c r="C33" i="121"/>
  <c r="Q44" i="66"/>
  <c r="I39"/>
  <c r="AE7" i="65"/>
  <c r="AB38" i="69"/>
  <c r="AD8" i="65"/>
  <c r="U42"/>
  <c r="AE33" i="69"/>
  <c r="I16" i="66"/>
  <c r="T45" i="65"/>
  <c r="N33" i="121"/>
  <c r="AA25" i="65"/>
  <c r="AD42" i="121"/>
  <c r="O17"/>
  <c r="AF9" i="65"/>
  <c r="C6" i="63"/>
  <c r="F35" i="66"/>
  <c r="T6" i="65"/>
  <c r="I21"/>
  <c r="M32" i="66"/>
  <c r="K35"/>
  <c r="AB9" i="65"/>
  <c r="N39" i="121"/>
  <c r="T30" i="66"/>
  <c r="K12" i="69"/>
  <c r="H5" i="65"/>
  <c r="AF36"/>
  <c r="S10" i="63"/>
  <c r="D45" i="66"/>
  <c r="AB4" i="63"/>
  <c r="V17" i="121"/>
  <c r="T36" i="65"/>
  <c r="F18"/>
  <c r="R10" i="63"/>
  <c r="S44" i="65"/>
  <c r="J29" i="60"/>
  <c r="AB13" i="70"/>
  <c r="B8" i="121"/>
  <c r="S8" i="65"/>
  <c r="AD40" i="70"/>
  <c r="Z38" i="121"/>
  <c r="AE37" i="65"/>
  <c r="E42"/>
  <c r="AD33" i="70"/>
  <c r="AA43" i="69"/>
  <c r="C17" i="66"/>
  <c r="N30" i="65"/>
  <c r="AD4" i="63"/>
  <c r="H14" i="65"/>
  <c r="E26" i="66"/>
  <c r="L5"/>
  <c r="AB31" i="65"/>
  <c r="AD17" i="69"/>
  <c r="AF31" i="65"/>
  <c r="O12"/>
  <c r="F28" i="66"/>
  <c r="K28"/>
  <c r="AF27"/>
  <c r="X28" i="65"/>
  <c r="C13" i="66"/>
  <c r="AA26" i="70"/>
  <c r="V24" i="69"/>
  <c r="J42" i="65"/>
  <c r="C31" i="69"/>
  <c r="Z40" i="121"/>
  <c r="I12" i="65"/>
  <c r="Z20"/>
  <c r="Z9" i="69"/>
  <c r="Q5" i="65"/>
  <c r="X11" i="66"/>
  <c r="P32" i="121"/>
  <c r="P31"/>
  <c r="R11" i="66"/>
  <c r="T30" i="65"/>
  <c r="P29" i="66"/>
  <c r="AB29" i="121"/>
  <c r="AD11" i="70"/>
  <c r="D10" i="66"/>
  <c r="O40" i="69"/>
  <c r="Q4" i="63"/>
  <c r="AE44" i="121"/>
  <c r="J41" i="65"/>
  <c r="AA4" i="67"/>
  <c r="AB37" i="70"/>
  <c r="K4" i="66"/>
  <c r="P31"/>
  <c r="J16" i="69"/>
  <c r="T31" i="66"/>
  <c r="J29" i="65"/>
  <c r="F22"/>
  <c r="L21" i="121"/>
  <c r="AB44" i="65"/>
  <c r="M27" i="69"/>
  <c r="AC44" i="65"/>
  <c r="D27" i="69"/>
  <c r="H33" i="65"/>
  <c r="Y14"/>
  <c r="W45" i="66"/>
  <c r="L17" i="65"/>
  <c r="AA37" i="66"/>
  <c r="B42"/>
  <c r="S27"/>
  <c r="D23" i="65"/>
  <c r="U14" i="121"/>
  <c r="J24" i="66"/>
  <c r="L4" i="64"/>
  <c r="K6" i="69"/>
  <c r="J16" i="66"/>
  <c r="AA4" i="119"/>
  <c r="K36" i="69"/>
  <c r="V38" i="121"/>
  <c r="AF45" i="69"/>
  <c r="O4" i="66"/>
  <c r="AF4" i="119"/>
  <c r="J8" i="66"/>
  <c r="U5" i="63"/>
  <c r="Y5" i="65"/>
  <c r="N12"/>
  <c r="R23" i="66"/>
  <c r="AE40" i="70"/>
  <c r="U36" i="65"/>
  <c r="J7" i="63"/>
  <c r="I29" i="69"/>
  <c r="R15" i="66"/>
  <c r="L30" i="63"/>
  <c r="X31" i="69"/>
  <c r="AB20" i="66"/>
  <c r="AC32" i="69"/>
  <c r="AC38" i="121"/>
  <c r="Q17" i="65"/>
  <c r="I25" i="121"/>
  <c r="AF40"/>
  <c r="Z44"/>
  <c r="I28" i="65"/>
  <c r="AE19" i="66"/>
  <c r="B23" i="65"/>
  <c r="S22" i="69"/>
  <c r="AB13"/>
  <c r="Z14" i="121"/>
  <c r="E4" i="120"/>
  <c r="V16" i="121"/>
  <c r="AF30" i="69"/>
  <c r="V33" i="65"/>
  <c r="G26"/>
  <c r="AC11"/>
  <c r="U28" i="121"/>
  <c r="B12"/>
  <c r="L18"/>
  <c r="D7" i="69"/>
  <c r="U11" i="66"/>
  <c r="L26" i="69"/>
  <c r="E42"/>
  <c r="M36" i="66"/>
  <c r="X9" i="69"/>
  <c r="L41" i="121"/>
  <c r="K21"/>
  <c r="Y5" i="69"/>
  <c r="C42"/>
  <c r="AA25" i="70"/>
  <c r="AD21" i="121"/>
  <c r="AC17" i="65"/>
  <c r="U41" i="121"/>
  <c r="N14" i="69"/>
  <c r="X24" i="65"/>
  <c r="D28" i="66"/>
  <c r="Z22"/>
  <c r="AD11" i="65"/>
  <c r="D33" i="121"/>
  <c r="AF17" i="66"/>
  <c r="K16"/>
  <c r="F34" i="121"/>
  <c r="O25" i="69"/>
  <c r="W22" i="66"/>
  <c r="M29" i="69"/>
  <c r="K20"/>
  <c r="I44" i="65"/>
  <c r="D21"/>
  <c r="V11" i="69"/>
  <c r="H5"/>
  <c r="F39" i="121"/>
  <c r="C16"/>
  <c r="B5"/>
  <c r="D24" i="65"/>
  <c r="F9"/>
  <c r="P4" i="120"/>
  <c r="J43" i="121"/>
  <c r="AE4" i="71"/>
  <c r="V8" i="69"/>
  <c r="Y16"/>
  <c r="B20" i="60"/>
  <c r="S5" i="69"/>
  <c r="U10" i="66"/>
  <c r="T27" i="65"/>
  <c r="AE17" i="121"/>
  <c r="K37" i="66"/>
  <c r="K18" i="69"/>
  <c r="D42"/>
  <c r="D31"/>
  <c r="I37"/>
  <c r="V15"/>
  <c r="B6"/>
  <c r="U22"/>
  <c r="I28"/>
  <c r="T24" i="121"/>
  <c r="U17"/>
  <c r="S14"/>
  <c r="AB35" i="70"/>
  <c r="T7" i="66"/>
  <c r="H7" i="121"/>
  <c r="D18" i="60"/>
  <c r="AF22" i="69"/>
  <c r="G28" i="65"/>
  <c r="T29" i="121"/>
  <c r="T15"/>
  <c r="AA14" i="65"/>
  <c r="V10" i="69"/>
  <c r="H12" i="66"/>
  <c r="K10" i="69"/>
  <c r="U40" i="65"/>
  <c r="M37" i="121"/>
  <c r="C36" i="60"/>
  <c r="X20" i="66"/>
  <c r="AF4" i="67"/>
  <c r="J30" i="121"/>
  <c r="K42" i="66"/>
  <c r="G14" i="65"/>
  <c r="E16" i="69"/>
  <c r="C43"/>
  <c r="C15"/>
  <c r="AF41" i="70"/>
  <c r="U31" i="66"/>
  <c r="AB36"/>
  <c r="P23" i="121"/>
  <c r="AF14"/>
  <c r="AD40" i="69"/>
  <c r="U34" i="121"/>
  <c r="AF15" i="70"/>
  <c r="Q14" i="65"/>
  <c r="C26"/>
  <c r="AE4" i="70"/>
  <c r="V9" i="65"/>
  <c r="B44"/>
  <c r="AF18" i="70"/>
  <c r="K27" i="121"/>
  <c r="O7" i="65"/>
  <c r="AE10" i="70"/>
  <c r="K23" i="69"/>
  <c r="AF41" i="66"/>
  <c r="I44"/>
  <c r="X28"/>
  <c r="J6" i="121"/>
  <c r="AF12" i="69"/>
  <c r="J20" i="121"/>
  <c r="I10" i="65"/>
  <c r="G10"/>
  <c r="AF4" i="63"/>
  <c r="D37" i="66"/>
  <c r="O32" i="69"/>
  <c r="AE23" i="65"/>
  <c r="I4" i="121"/>
  <c r="V9"/>
  <c r="L7" i="69"/>
  <c r="T43" i="65"/>
  <c r="Z15" i="66"/>
  <c r="X6"/>
  <c r="J4" i="63"/>
  <c r="K10" i="66"/>
  <c r="L32" i="65"/>
  <c r="AB43" i="66"/>
  <c r="I4" i="63"/>
  <c r="AE38" i="70"/>
  <c r="U38" i="121"/>
  <c r="AD16" i="69"/>
  <c r="AD19" i="70"/>
  <c r="P21" i="121"/>
  <c r="AA27" i="65"/>
  <c r="B8" i="60"/>
  <c r="E13" i="121"/>
  <c r="M39" i="69"/>
  <c r="C44" i="66"/>
  <c r="AD21" i="65"/>
  <c r="T16"/>
  <c r="J26" i="69"/>
  <c r="M6"/>
  <c r="AE31" i="121"/>
  <c r="T25" i="66"/>
  <c r="AF36"/>
  <c r="AF7"/>
  <c r="I35" i="65"/>
  <c r="O7" i="63"/>
  <c r="AE34" i="70"/>
  <c r="U23" i="65"/>
  <c r="M37" i="69"/>
  <c r="Z5"/>
  <c r="X33" i="66"/>
  <c r="AC9" i="69"/>
  <c r="S7" i="65"/>
  <c r="AE5" i="69"/>
  <c r="AB12" i="66"/>
  <c r="T25" i="121"/>
  <c r="E39" i="69"/>
  <c r="AB23" i="65"/>
  <c r="AC4" i="121"/>
  <c r="V18" i="69"/>
  <c r="AB32" i="65"/>
  <c r="U19"/>
  <c r="I10" i="63"/>
  <c r="W11"/>
  <c r="S11"/>
  <c r="J8"/>
  <c r="T12"/>
  <c r="AB11" i="120"/>
  <c r="P12" i="63"/>
  <c r="G40" i="65"/>
  <c r="E19" i="69"/>
  <c r="B19" i="60"/>
  <c r="AE15" i="69"/>
  <c r="P7" i="65"/>
  <c r="U24"/>
  <c r="D43"/>
  <c r="D17" i="66"/>
  <c r="AD41" i="121"/>
  <c r="AB9" i="120"/>
  <c r="Y8" i="121"/>
  <c r="K32" i="69"/>
  <c r="AC40" i="121"/>
  <c r="F16"/>
  <c r="R44" i="66"/>
  <c r="X36"/>
  <c r="O8" i="65"/>
  <c r="F6" i="69"/>
  <c r="AA4" i="71"/>
  <c r="S8" i="66"/>
  <c r="E21" i="121"/>
  <c r="D45" i="69"/>
  <c r="G11" i="65"/>
  <c r="Q40"/>
  <c r="P42"/>
  <c r="V30" i="69"/>
  <c r="S24" i="66"/>
  <c r="AB27" i="65"/>
  <c r="V23" i="69"/>
  <c r="I14" i="121"/>
  <c r="AA5" i="69"/>
  <c r="I24"/>
  <c r="R19" i="66"/>
  <c r="K4" i="65"/>
  <c r="W4"/>
  <c r="T13" i="69"/>
  <c r="Z40" i="65"/>
  <c r="H10" i="66"/>
  <c r="X12" i="63"/>
  <c r="R11"/>
  <c r="AE24" i="70"/>
  <c r="Z5" i="121"/>
  <c r="R23"/>
  <c r="J4" i="65"/>
  <c r="AC5" i="121"/>
  <c r="C10" i="60"/>
  <c r="W29" i="69"/>
  <c r="AD6" i="70"/>
  <c r="L37" i="69"/>
  <c r="E7" i="65"/>
  <c r="AF12" i="66"/>
  <c r="S32"/>
  <c r="D22" i="60"/>
  <c r="M43" i="69"/>
  <c r="B22" i="66"/>
  <c r="P21"/>
  <c r="B36" i="69"/>
  <c r="U18"/>
  <c r="AC37" i="121"/>
  <c r="W8" i="66"/>
  <c r="Y41" i="121"/>
  <c r="AB5" i="120"/>
  <c r="AA13" i="70"/>
  <c r="C19" i="60"/>
  <c r="S21" i="65"/>
  <c r="L23" i="63"/>
  <c r="AD28" i="65"/>
  <c r="D4" i="63"/>
  <c r="S22" i="65"/>
  <c r="J5" i="69"/>
  <c r="O23" i="65"/>
  <c r="Y5" i="63"/>
  <c r="F12" i="65"/>
  <c r="AA15" i="70"/>
  <c r="T4" i="65"/>
  <c r="H6" i="69"/>
  <c r="M22" i="65"/>
  <c r="AF43" i="69"/>
  <c r="AE24" i="65"/>
  <c r="AD11" i="121"/>
  <c r="G9"/>
  <c r="S37" i="69"/>
  <c r="AF45" i="66"/>
  <c r="E10" i="65"/>
  <c r="AF32"/>
  <c r="AE25" i="121"/>
  <c r="D10" i="65"/>
  <c r="AB15" i="66"/>
  <c r="H26"/>
  <c r="AF32"/>
  <c r="X17" i="121"/>
  <c r="AF28" i="69"/>
  <c r="P22" i="66"/>
  <c r="AC24" i="70"/>
  <c r="M31" i="66"/>
  <c r="N44" i="65"/>
  <c r="N36" i="69"/>
  <c r="H34" i="65"/>
  <c r="T27" i="121"/>
  <c r="T40" i="69"/>
  <c r="AB38" i="66"/>
  <c r="C29" i="69"/>
  <c r="U17" i="65"/>
  <c r="E18" i="69"/>
  <c r="O4" i="64"/>
  <c r="L33" i="69"/>
  <c r="Q27" i="66"/>
  <c r="AE10" i="120"/>
  <c r="X40" i="121"/>
  <c r="R17" i="65"/>
  <c r="AC22" i="69"/>
  <c r="D10" i="63"/>
  <c r="AD44" i="121"/>
  <c r="AB9" i="63"/>
  <c r="E5" i="121"/>
  <c r="Y39"/>
  <c r="Z40" i="66"/>
  <c r="O10" i="63"/>
  <c r="AA4" i="64"/>
  <c r="T24" i="66"/>
  <c r="AF4" i="120"/>
  <c r="J15" i="60"/>
  <c r="E19" i="66"/>
  <c r="U41"/>
  <c r="AB22" i="65"/>
  <c r="P18"/>
  <c r="M15" i="69"/>
  <c r="T19" i="65"/>
  <c r="X35"/>
  <c r="H24" i="66"/>
  <c r="AF26" i="65"/>
  <c r="E15" i="121"/>
  <c r="O45"/>
  <c r="J8"/>
  <c r="S24" i="69"/>
  <c r="Y18" i="65"/>
  <c r="I9" i="69"/>
  <c r="B12"/>
  <c r="I10" i="66"/>
  <c r="AC33" i="65"/>
  <c r="X11" i="63"/>
  <c r="AA43" i="121"/>
  <c r="S39" i="66"/>
  <c r="U45" i="69"/>
  <c r="AB5" i="63"/>
  <c r="D31" i="66"/>
  <c r="R29"/>
  <c r="M14" i="69"/>
  <c r="O25" i="66"/>
  <c r="H18" i="121"/>
  <c r="AE5"/>
  <c r="B41" i="69"/>
  <c r="AB9" i="70"/>
  <c r="AF39" i="121"/>
  <c r="AC25"/>
  <c r="T8" i="65"/>
  <c r="W23" i="121"/>
  <c r="X38" i="69"/>
  <c r="O9" i="63"/>
  <c r="AA33" i="69"/>
  <c r="X24" i="121"/>
  <c r="D19" i="60"/>
  <c r="J7" i="66"/>
  <c r="L21" i="63"/>
  <c r="AD6" i="121"/>
  <c r="J10" i="69"/>
  <c r="E27"/>
  <c r="Q35" i="65"/>
  <c r="AE9" i="70"/>
  <c r="D25" i="69"/>
  <c r="M17" i="65"/>
  <c r="AF23"/>
  <c r="F10" i="66"/>
  <c r="C17" i="60"/>
  <c r="AC6" i="121"/>
  <c r="X7" i="65"/>
  <c r="AF44"/>
  <c r="L42"/>
  <c r="W21" i="66"/>
  <c r="Y21" i="65"/>
  <c r="S19" i="121"/>
  <c r="AE32"/>
  <c r="Y11"/>
  <c r="E7"/>
  <c r="U33" i="65"/>
  <c r="T11" i="69"/>
  <c r="W10" i="121"/>
  <c r="G15" i="65"/>
  <c r="F26" i="66"/>
  <c r="AA14" i="121"/>
  <c r="B29" i="65"/>
  <c r="I33" i="121"/>
  <c r="Z35" i="69"/>
  <c r="M28"/>
  <c r="I41" i="121"/>
  <c r="AD18" i="70"/>
  <c r="W16" i="69"/>
  <c r="E12" i="121"/>
  <c r="E7" i="66"/>
  <c r="T39"/>
  <c r="F21"/>
  <c r="C15"/>
  <c r="AF34" i="65"/>
  <c r="P41"/>
  <c r="L42" i="121"/>
  <c r="AD33"/>
  <c r="J28" i="65"/>
  <c r="D38" i="66"/>
  <c r="M13" i="65"/>
  <c r="G30" i="66"/>
  <c r="O11" i="121"/>
  <c r="D15"/>
  <c r="G12" i="65"/>
  <c r="I6" i="69"/>
  <c r="Q19" i="66"/>
  <c r="L4" i="65"/>
  <c r="J33" i="66"/>
  <c r="AE11" i="69"/>
  <c r="M5" i="65"/>
  <c r="J27" i="66"/>
  <c r="P34" i="121"/>
  <c r="AB5" i="66"/>
  <c r="V41" i="65"/>
  <c r="I26" i="121"/>
  <c r="AF9" i="66"/>
  <c r="W15" i="69"/>
  <c r="Z4" i="65"/>
  <c r="AE26"/>
  <c r="AB43" i="121"/>
  <c r="O11" i="66"/>
  <c r="AB23" i="121"/>
  <c r="E26" i="69"/>
  <c r="I36"/>
  <c r="J33" i="65"/>
  <c r="F32" i="69"/>
  <c r="W30"/>
  <c r="AE8" i="65"/>
  <c r="S29" i="69"/>
  <c r="V22" i="65"/>
  <c r="D13" i="69"/>
  <c r="B4" i="65"/>
  <c r="I42" i="121"/>
  <c r="AE25" i="69"/>
  <c r="AF22" i="121"/>
  <c r="D17" i="69"/>
  <c r="W41" i="121"/>
  <c r="F17" i="69"/>
  <c r="AF38"/>
  <c r="X38" i="65"/>
  <c r="V38"/>
  <c r="J22" i="60"/>
  <c r="J18" i="121"/>
  <c r="Z10" i="66"/>
  <c r="I40"/>
  <c r="X9"/>
  <c r="AA28"/>
  <c r="W38"/>
  <c r="Y6" i="63"/>
  <c r="Z27" i="69"/>
  <c r="T21"/>
  <c r="Y33"/>
  <c r="C26" i="121"/>
  <c r="R36"/>
  <c r="O40" i="66"/>
  <c r="L33" i="63"/>
  <c r="J10" i="65"/>
  <c r="AD18" i="69"/>
  <c r="I21" i="66"/>
  <c r="N42" i="69"/>
  <c r="X8" i="66"/>
  <c r="W26" i="69"/>
  <c r="Z21" i="65"/>
  <c r="D37"/>
  <c r="E5"/>
  <c r="Y15"/>
  <c r="AE25"/>
  <c r="T27" i="66"/>
  <c r="N45" i="121"/>
  <c r="AC36" i="65"/>
  <c r="C26" i="69"/>
  <c r="C28" i="121"/>
  <c r="G29" i="65"/>
  <c r="L6" i="63"/>
  <c r="AA23" i="69"/>
  <c r="AB16" i="66"/>
  <c r="AA8" i="70"/>
  <c r="AE22" i="69"/>
  <c r="V27" i="65"/>
  <c r="R6"/>
  <c r="W34" i="69"/>
  <c r="Q4" i="121"/>
  <c r="I32"/>
  <c r="H43" i="66"/>
  <c r="Y28" i="69"/>
  <c r="Q45" i="65"/>
  <c r="AD36" i="69"/>
  <c r="E20" i="121"/>
  <c r="U12"/>
  <c r="O40"/>
  <c r="R17" i="66"/>
  <c r="O36" i="121"/>
  <c r="AF10"/>
  <c r="E20" i="69"/>
  <c r="T37" i="66"/>
  <c r="T6" i="121"/>
  <c r="J38" i="69"/>
  <c r="L8" i="63"/>
  <c r="O31" i="121"/>
  <c r="U13" i="69"/>
  <c r="U41" i="65"/>
  <c r="L32" i="121"/>
  <c r="R43" i="65"/>
  <c r="M9" i="69"/>
  <c r="X35" i="66"/>
  <c r="D6" i="65"/>
  <c r="E19"/>
  <c r="AA29" i="121"/>
  <c r="AF37" i="66"/>
  <c r="AC42" i="65"/>
  <c r="AA12" i="66"/>
  <c r="W39" i="121"/>
  <c r="AD43" i="69"/>
  <c r="H21" i="66"/>
  <c r="M33" i="121"/>
  <c r="C25" i="60"/>
  <c r="V39" i="65"/>
  <c r="I8" i="63"/>
  <c r="Y21" i="69"/>
  <c r="AD27"/>
  <c r="X42" i="66"/>
  <c r="J13" i="121"/>
  <c r="H37" i="66"/>
  <c r="Z24" i="121"/>
  <c r="M19" i="66"/>
  <c r="K38" i="121"/>
  <c r="U8"/>
  <c r="H19" i="69"/>
  <c r="T15" i="66"/>
  <c r="E37" i="121"/>
  <c r="L33" i="65"/>
  <c r="Z18" i="69"/>
  <c r="AB30" i="65"/>
  <c r="I24" i="121"/>
  <c r="L24" i="63"/>
  <c r="H9" i="65"/>
  <c r="K24"/>
  <c r="AE8" i="69"/>
  <c r="Y9" i="63"/>
  <c r="X19" i="69"/>
  <c r="P4" i="64"/>
  <c r="G31" i="66"/>
  <c r="D27"/>
  <c r="AC38" i="65"/>
  <c r="O32" i="121"/>
  <c r="F27" i="69"/>
  <c r="K8" i="66"/>
  <c r="U5" i="121"/>
  <c r="C13" i="60"/>
  <c r="D12" i="121"/>
  <c r="AE4" i="69"/>
  <c r="S30"/>
  <c r="F18"/>
  <c r="W4" i="119"/>
  <c r="E4" i="121"/>
  <c r="N26" i="65"/>
  <c r="X15" i="69"/>
  <c r="Z22" i="121"/>
  <c r="AB37" i="65"/>
  <c r="C38" i="69"/>
  <c r="Y15"/>
  <c r="Q5" i="121"/>
  <c r="X27"/>
  <c r="AC44" i="70"/>
  <c r="F40" i="65"/>
  <c r="N9"/>
  <c r="AB17" i="70"/>
  <c r="K30" i="121"/>
  <c r="C4" i="63"/>
  <c r="K21" i="66"/>
  <c r="F27" i="65"/>
  <c r="U16" i="121"/>
  <c r="D16" i="60"/>
  <c r="D24" i="121"/>
  <c r="AA37" i="65"/>
  <c r="AD18" i="121"/>
  <c r="S14" i="69"/>
  <c r="L23" i="121"/>
  <c r="X41" i="65"/>
  <c r="AC25" i="69"/>
  <c r="R32"/>
  <c r="V34" i="65"/>
  <c r="N4" i="63"/>
  <c r="M5" i="69"/>
  <c r="O22" i="66"/>
  <c r="AB23" i="70"/>
  <c r="S12" i="66"/>
  <c r="AC31" i="70"/>
  <c r="Q15" i="65"/>
  <c r="K28"/>
  <c r="C11"/>
  <c r="L29"/>
  <c r="AD16" i="70"/>
  <c r="R9" i="63"/>
  <c r="E11"/>
  <c r="AE13" i="120"/>
  <c r="O11" i="63"/>
  <c r="K11"/>
  <c r="M11"/>
  <c r="G11"/>
  <c r="V12"/>
  <c r="AC38" i="69"/>
  <c r="G7" i="65"/>
  <c r="O18" i="121"/>
  <c r="F44" i="65"/>
  <c r="J37" i="69"/>
  <c r="D33" i="65"/>
  <c r="Z11" i="120"/>
  <c r="E31" i="121"/>
  <c r="C43" i="65"/>
  <c r="AC20" i="70"/>
  <c r="O35" i="65"/>
  <c r="AF40" i="70"/>
  <c r="Z4" i="120"/>
  <c r="AA9" i="70"/>
  <c r="N30" i="121"/>
  <c r="W35" i="66"/>
  <c r="N13" i="121"/>
  <c r="AB22" i="69"/>
  <c r="U36" i="66"/>
  <c r="D30"/>
  <c r="D11" i="60"/>
  <c r="J13" i="69"/>
  <c r="T19"/>
  <c r="X6"/>
  <c r="G9" i="63"/>
  <c r="AA18" i="66"/>
  <c r="L41" i="65"/>
  <c r="AF4" i="71"/>
  <c r="N8" i="65"/>
  <c r="F38" i="69"/>
  <c r="O39" i="65"/>
  <c r="P19" i="121"/>
  <c r="D11"/>
  <c r="M12"/>
  <c r="D28"/>
  <c r="T20" i="66"/>
  <c r="I11" i="63"/>
  <c r="AB11"/>
  <c r="E25" i="121"/>
  <c r="W42"/>
  <c r="S26"/>
  <c r="S39"/>
  <c r="AF6" i="65"/>
  <c r="AD4" i="71"/>
  <c r="M38" i="121"/>
  <c r="AA12"/>
  <c r="Q24" i="65"/>
  <c r="W38" i="69"/>
  <c r="T25"/>
  <c r="L44"/>
  <c r="AC21" i="65"/>
  <c r="F23"/>
  <c r="E40" i="121"/>
  <c r="AC37" i="70"/>
  <c r="K40" i="66"/>
  <c r="O15" i="65"/>
  <c r="I38" i="69"/>
  <c r="AF4" i="64"/>
  <c r="O31" i="66"/>
  <c r="I17"/>
  <c r="B9" i="69"/>
  <c r="AF27" i="70"/>
  <c r="O17" i="66"/>
  <c r="L39" i="63"/>
  <c r="U28" i="69"/>
  <c r="V4" i="63"/>
  <c r="AC27" i="70"/>
  <c r="AB31" i="66"/>
  <c r="B23" i="121"/>
  <c r="L31"/>
  <c r="T32"/>
  <c r="AB20"/>
  <c r="T38" i="66"/>
  <c r="P5" i="63"/>
  <c r="I11" i="66"/>
  <c r="Y4" i="120"/>
  <c r="C29" i="66"/>
  <c r="S7"/>
  <c r="S6"/>
  <c r="F39"/>
  <c r="AB33" i="69"/>
  <c r="N11" i="65"/>
  <c r="K43" i="69"/>
  <c r="X7" i="121"/>
  <c r="K22" i="69"/>
  <c r="X16" i="66"/>
  <c r="U17" i="69"/>
  <c r="W28"/>
  <c r="AB42" i="65"/>
  <c r="O10"/>
  <c r="U18"/>
  <c r="L35" i="121"/>
  <c r="E21" i="66"/>
  <c r="AD36" i="65"/>
  <c r="T19" i="121"/>
  <c r="AF28" i="65"/>
  <c r="S18" i="69"/>
  <c r="I37" i="66"/>
  <c r="AE34" i="69"/>
  <c r="F37" i="66"/>
  <c r="M26"/>
  <c r="S42" i="121"/>
  <c r="O16" i="65"/>
  <c r="AA33" i="121"/>
  <c r="X10" i="65"/>
  <c r="AB10"/>
  <c r="AA44" i="69"/>
  <c r="I20"/>
  <c r="Z13" i="121"/>
  <c r="P14" i="66"/>
  <c r="AD25" i="121"/>
  <c r="N12" i="69"/>
  <c r="S31"/>
  <c r="W4" i="120"/>
  <c r="AC22" i="70"/>
  <c r="B19" i="69"/>
  <c r="M30" i="66"/>
  <c r="G36"/>
  <c r="AC7" i="65"/>
  <c r="Z11" i="66"/>
  <c r="AA35"/>
  <c r="AB43" i="69"/>
  <c r="K28"/>
  <c r="N12" i="121"/>
  <c r="R19" i="65"/>
  <c r="Z4" i="63"/>
  <c r="R40" i="121"/>
  <c r="H19"/>
  <c r="T33" i="65"/>
  <c r="P19"/>
  <c r="M22" i="69"/>
  <c r="C27"/>
  <c r="C11" i="60"/>
  <c r="AC26" i="65"/>
  <c r="AD40" i="121"/>
  <c r="AB15"/>
  <c r="AE21"/>
  <c r="AF30" i="65"/>
  <c r="J34"/>
  <c r="R43" i="69"/>
  <c r="H39" i="66"/>
  <c r="J32"/>
  <c r="K15" i="121"/>
  <c r="T13"/>
  <c r="T26" i="65"/>
  <c r="V36" i="121"/>
  <c r="AA23"/>
  <c r="L43" i="65"/>
  <c r="F15" i="121"/>
  <c r="AF29"/>
  <c r="F20" i="66"/>
  <c r="M34" i="121"/>
  <c r="M37" i="66"/>
  <c r="S29" i="65"/>
  <c r="S26" i="69"/>
  <c r="D29"/>
  <c r="B10" i="121"/>
  <c r="O21" i="66"/>
  <c r="N10" i="63"/>
  <c r="U21" i="65"/>
  <c r="Z30" i="66"/>
  <c r="H13" i="65"/>
  <c r="G42" i="66"/>
  <c r="F28" i="69"/>
  <c r="U21" i="66"/>
  <c r="X42" i="69"/>
  <c r="W22"/>
  <c r="U44" i="65"/>
  <c r="AD24"/>
  <c r="AD17" i="70"/>
  <c r="AA39"/>
  <c r="AE29" i="65"/>
  <c r="Q23"/>
  <c r="V32" i="121"/>
  <c r="AA29" i="69"/>
  <c r="E36" i="65"/>
  <c r="N23" i="121"/>
  <c r="AF6" i="66"/>
  <c r="Y18" i="121"/>
  <c r="O43" i="65"/>
  <c r="F41"/>
  <c r="F38" i="121"/>
  <c r="AC29"/>
  <c r="C10" i="66"/>
  <c r="S34" i="65"/>
  <c r="AD38" i="121"/>
  <c r="AB20" i="70"/>
  <c r="I19" i="66"/>
  <c r="D31" i="60"/>
  <c r="Z7" i="65"/>
  <c r="D17" i="60"/>
  <c r="H9" i="121"/>
  <c r="AA16" i="69"/>
  <c r="AB5" i="65"/>
  <c r="AB37" i="121"/>
  <c r="H31" i="65"/>
  <c r="Q39"/>
  <c r="S23" i="121"/>
  <c r="F20"/>
  <c r="I19" i="65"/>
  <c r="Z14"/>
  <c r="AF21" i="69"/>
  <c r="H12" i="65"/>
  <c r="B41" i="66"/>
  <c r="X4" i="119"/>
  <c r="Z16" i="65"/>
  <c r="S38" i="121"/>
  <c r="AF35" i="66"/>
  <c r="C10" i="65"/>
  <c r="AA27" i="66"/>
  <c r="D35" i="65"/>
  <c r="K30"/>
  <c r="E16"/>
  <c r="U37" i="66"/>
  <c r="T21" i="65"/>
  <c r="AA4" i="66"/>
  <c r="F43" i="69"/>
  <c r="J37" i="65"/>
  <c r="B34" i="69"/>
  <c r="D22" i="121"/>
  <c r="AA13" i="65"/>
  <c r="C38"/>
  <c r="AA10" i="66"/>
  <c r="C33" i="65"/>
  <c r="D16" i="121"/>
  <c r="AA30"/>
  <c r="S20" i="65"/>
  <c r="E14" i="69"/>
  <c r="Y6" i="66"/>
  <c r="T33" i="69"/>
  <c r="R9"/>
  <c r="X40" i="66"/>
  <c r="L40" i="121"/>
  <c r="E26" i="65"/>
  <c r="Z33" i="121"/>
  <c r="X38"/>
  <c r="Y15"/>
  <c r="AC32" i="70"/>
  <c r="I42" i="69"/>
  <c r="H12"/>
  <c r="AF20" i="121"/>
  <c r="Z27"/>
  <c r="J18" i="66"/>
  <c r="B11"/>
  <c r="W14" i="69"/>
  <c r="N8"/>
  <c r="Y38" i="65"/>
  <c r="AD35" i="70"/>
  <c r="V16" i="65"/>
  <c r="I14" i="66"/>
  <c r="P33"/>
  <c r="G13" i="69"/>
  <c r="M37" i="65"/>
  <c r="AC24"/>
  <c r="L30" i="69"/>
  <c r="S45"/>
  <c r="B18" i="65"/>
  <c r="F12" i="66"/>
  <c r="AC29" i="70"/>
  <c r="AB16" i="69"/>
  <c r="Z9" i="121"/>
  <c r="AF24" i="66"/>
  <c r="AC23" i="70"/>
  <c r="Z4" i="64"/>
  <c r="X36" i="121"/>
  <c r="R10" i="65"/>
  <c r="AF32" i="121"/>
  <c r="B38" i="66"/>
  <c r="V30" i="65"/>
  <c r="Z18"/>
  <c r="AD10" i="69"/>
  <c r="G27" i="66"/>
  <c r="D43"/>
  <c r="L13" i="69"/>
  <c r="AF45" i="121"/>
  <c r="E11" i="69"/>
  <c r="R27"/>
  <c r="W43"/>
  <c r="AC16" i="121"/>
  <c r="L14" i="63"/>
  <c r="G35" i="65"/>
  <c r="J25" i="60"/>
  <c r="W42" i="69"/>
  <c r="L13" i="63"/>
  <c r="AF42" i="69"/>
  <c r="L12" i="65"/>
  <c r="S30" i="66"/>
  <c r="AB17" i="69"/>
  <c r="K20" i="65"/>
  <c r="AC8" i="121"/>
  <c r="F7"/>
  <c r="J5" i="66"/>
  <c r="D6"/>
  <c r="X6" i="63"/>
  <c r="M4" i="64"/>
  <c r="AF18" i="69"/>
  <c r="W26" i="121"/>
  <c r="X14" i="66"/>
  <c r="J23"/>
  <c r="AE8" i="120"/>
  <c r="V34" i="121"/>
  <c r="F5" i="65"/>
  <c r="J27"/>
  <c r="Z44" i="66"/>
  <c r="AE8"/>
  <c r="U13"/>
  <c r="V20" i="69"/>
  <c r="M12" i="65"/>
  <c r="K24" i="69"/>
  <c r="R27" i="65"/>
  <c r="Y45" i="121"/>
  <c r="B43" i="66"/>
  <c r="D33" i="60"/>
  <c r="I41" i="69"/>
  <c r="AF30" i="121"/>
  <c r="AF33"/>
  <c r="H25" i="65"/>
  <c r="V7" i="121"/>
  <c r="F6"/>
  <c r="P30"/>
  <c r="H28" i="65"/>
  <c r="X15" i="66"/>
  <c r="AD7" i="65"/>
  <c r="AE14" i="66"/>
  <c r="Y12" i="69"/>
  <c r="I26" i="66"/>
  <c r="L22" i="65"/>
  <c r="T42" i="121"/>
  <c r="L19" i="65"/>
  <c r="Z9" i="63"/>
  <c r="Q10" i="65"/>
  <c r="U12"/>
  <c r="J21" i="60"/>
  <c r="R7" i="66"/>
  <c r="V42" i="65"/>
  <c r="AB24" i="66"/>
  <c r="E29" i="69"/>
  <c r="S17" i="65"/>
  <c r="Z36" i="66"/>
  <c r="AD12" i="69"/>
  <c r="F37" i="65"/>
  <c r="L23" i="69"/>
  <c r="V22" i="121"/>
  <c r="AG4" i="120"/>
  <c r="AC7" i="121"/>
  <c r="C25" i="65"/>
  <c r="Z43"/>
  <c r="B13" i="66"/>
  <c r="AD15" i="121"/>
  <c r="N4"/>
  <c r="E6" i="65"/>
  <c r="M13" i="69"/>
  <c r="AB7" i="121"/>
  <c r="J14" i="66"/>
  <c r="AF16" i="121"/>
  <c r="E25" i="65"/>
  <c r="M17" i="121"/>
  <c r="H14" i="69"/>
  <c r="S41" i="65"/>
  <c r="AB41" i="69"/>
  <c r="V4" i="120"/>
  <c r="P13" i="65"/>
  <c r="R8" i="121"/>
  <c r="C45"/>
  <c r="V41" i="69"/>
  <c r="C33" i="60"/>
  <c r="L29" i="63"/>
  <c r="J33" i="69"/>
  <c r="W12"/>
  <c r="M14" i="66"/>
  <c r="L12" i="63"/>
  <c r="AF19" i="69"/>
  <c r="AC19" i="70"/>
  <c r="AF40" i="66"/>
  <c r="W8" i="63"/>
  <c r="T39" i="65"/>
  <c r="B15" i="66"/>
  <c r="X35" i="69"/>
  <c r="G39" i="66"/>
  <c r="U19" i="69"/>
  <c r="E13" i="66"/>
  <c r="O15" i="121"/>
  <c r="G25" i="66"/>
  <c r="H33"/>
  <c r="X10"/>
  <c r="S18"/>
  <c r="Y26" i="65"/>
  <c r="D26"/>
  <c r="D25"/>
  <c r="AF23" i="121"/>
  <c r="AF26" i="69"/>
  <c r="Y11" i="63"/>
  <c r="AF16" i="66"/>
  <c r="AD43" i="121"/>
  <c r="K20"/>
  <c r="N18"/>
  <c r="U14" i="65"/>
  <c r="AC22" i="121"/>
  <c r="T7" i="65"/>
  <c r="N34"/>
  <c r="M23" i="69"/>
  <c r="D12" i="63"/>
  <c r="U11"/>
  <c r="C11"/>
  <c r="F9"/>
  <c r="AF12" i="120"/>
  <c r="Z13"/>
  <c r="M42" i="121"/>
  <c r="M7" i="66"/>
  <c r="K12"/>
  <c r="V13" i="69"/>
  <c r="G19"/>
  <c r="E4" i="119"/>
  <c r="J43" i="66"/>
  <c r="W24"/>
  <c r="AE42" i="70"/>
  <c r="S16" i="69"/>
  <c r="C9" i="121"/>
  <c r="U44" i="66"/>
  <c r="K38" i="65"/>
  <c r="AC30"/>
  <c r="AE14" i="69"/>
  <c r="V5" i="121"/>
  <c r="AE31" i="65"/>
  <c r="I10" i="121"/>
  <c r="J24" i="65"/>
  <c r="N22"/>
  <c r="AC28" i="70"/>
  <c r="AD21" i="69"/>
  <c r="L31" i="63"/>
  <c r="X44" i="121"/>
  <c r="Z32" i="65"/>
  <c r="AB27" i="69"/>
  <c r="S31" i="66"/>
  <c r="AA5" i="70"/>
  <c r="I29" i="121"/>
  <c r="AD9" i="65"/>
  <c r="AF14"/>
  <c r="J35" i="60"/>
  <c r="B32" i="121"/>
  <c r="D23"/>
  <c r="I25" i="66"/>
  <c r="O37" i="69"/>
  <c r="H32" i="65"/>
  <c r="F33" i="66"/>
  <c r="P11" i="121"/>
  <c r="J20" i="69"/>
  <c r="G6" i="63"/>
  <c r="Y34" i="121"/>
  <c r="K10" i="63"/>
  <c r="AF33" i="66"/>
  <c r="O14" i="69"/>
  <c r="N15" i="65"/>
  <c r="P42" i="121"/>
  <c r="D12" i="66"/>
  <c r="AE13" i="70"/>
  <c r="U8" i="66"/>
  <c r="N42" i="65"/>
  <c r="AB36" i="69"/>
  <c r="AA35" i="121"/>
  <c r="F45" i="65"/>
  <c r="P37"/>
  <c r="W17" i="121"/>
  <c r="N38" i="65"/>
  <c r="AA15" i="66"/>
  <c r="AD6" i="65"/>
  <c r="T32" i="66"/>
  <c r="O12"/>
  <c r="C10" i="63"/>
  <c r="X33" i="65"/>
  <c r="F23" i="121"/>
  <c r="Z11"/>
  <c r="M33" i="69"/>
  <c r="Q28" i="66"/>
  <c r="D28" i="60"/>
  <c r="AA33" i="70"/>
  <c r="U20" i="69"/>
  <c r="T38" i="121"/>
  <c r="AD38" i="65"/>
  <c r="E10" i="121"/>
  <c r="B37" i="66"/>
  <c r="AB45" i="121"/>
  <c r="P8"/>
  <c r="F10"/>
  <c r="B16" i="60"/>
  <c r="AB5" i="70"/>
  <c r="AC14"/>
  <c r="AB29"/>
  <c r="C34" i="60"/>
  <c r="AD12" i="121"/>
  <c r="AA27"/>
  <c r="F34" i="65"/>
  <c r="G17" i="69"/>
  <c r="B40" i="65"/>
  <c r="D13" i="60"/>
  <c r="B10"/>
  <c r="AE26" i="70"/>
  <c r="Z35" i="121"/>
  <c r="F42"/>
  <c r="V27"/>
  <c r="C17" i="65"/>
  <c r="E32" i="66"/>
  <c r="V41" i="121"/>
  <c r="P4" i="66"/>
  <c r="E43" i="121"/>
  <c r="Z40" i="69"/>
  <c r="T35"/>
  <c r="M31" i="65"/>
  <c r="U12" i="66"/>
  <c r="P17" i="121"/>
  <c r="J8" i="65"/>
  <c r="F8"/>
  <c r="U26" i="69"/>
  <c r="AB19" i="70"/>
  <c r="AD4" i="68"/>
  <c r="T40" i="65"/>
  <c r="F20" i="69"/>
  <c r="M8" i="121"/>
  <c r="J17"/>
  <c r="J42" i="69"/>
  <c r="F16"/>
  <c r="R37" i="65"/>
  <c r="U43" i="66"/>
  <c r="Y21" i="121"/>
  <c r="N28" i="65"/>
  <c r="D34" i="60"/>
  <c r="AD29" i="65"/>
  <c r="K35"/>
  <c r="R42" i="69"/>
  <c r="N4" i="64"/>
  <c r="T28" i="121"/>
  <c r="AB18" i="65"/>
  <c r="C32" i="66"/>
  <c r="Q42" i="65"/>
  <c r="Q22"/>
  <c r="J13"/>
  <c r="AD8" i="121"/>
  <c r="P34" i="66"/>
  <c r="J4" i="119"/>
  <c r="AC12" i="121"/>
  <c r="V9" i="63"/>
  <c r="M13" i="66"/>
  <c r="L6" i="65"/>
  <c r="F41" i="69"/>
  <c r="AE42"/>
  <c r="B25"/>
  <c r="T43"/>
  <c r="P23" i="66"/>
  <c r="R10"/>
  <c r="AF24" i="69"/>
  <c r="AC20" i="121"/>
  <c r="O20" i="66"/>
  <c r="M20" i="121"/>
  <c r="D27"/>
  <c r="P10" i="63"/>
  <c r="U27" i="121"/>
  <c r="J12" i="69"/>
  <c r="I5" i="65"/>
  <c r="X45" i="121"/>
  <c r="H13" i="66"/>
  <c r="I8"/>
  <c r="F35" i="69"/>
  <c r="Y8" i="63"/>
  <c r="AE43" i="66"/>
  <c r="U4"/>
  <c r="E6" i="69"/>
  <c r="W23"/>
  <c r="D11" i="66"/>
  <c r="I9" i="63"/>
  <c r="AB28" i="65"/>
  <c r="F36" i="66"/>
  <c r="Q41" i="65"/>
  <c r="AB13" i="121"/>
  <c r="D34" i="69"/>
  <c r="R24"/>
  <c r="B4" i="63"/>
  <c r="J34" i="69"/>
  <c r="AE35"/>
  <c r="T4" i="120"/>
  <c r="F26" i="65"/>
  <c r="L28" i="63"/>
  <c r="AF31" i="70"/>
  <c r="AE30" i="66"/>
  <c r="AF37" i="65"/>
  <c r="X9" i="63"/>
  <c r="U15" i="121"/>
  <c r="G8" i="66"/>
  <c r="AB34" i="70"/>
  <c r="K39" i="69"/>
  <c r="I25"/>
  <c r="AD23" i="121"/>
  <c r="K8"/>
  <c r="R22" i="65"/>
  <c r="L34" i="121"/>
  <c r="P5" i="65"/>
  <c r="O42"/>
  <c r="Z42" i="69"/>
  <c r="AE45" i="121"/>
  <c r="G8" i="63"/>
  <c r="K23" i="66"/>
  <c r="H14"/>
  <c r="AB44" i="121"/>
  <c r="AB32" i="69"/>
  <c r="C4" i="121"/>
  <c r="U39" i="65"/>
  <c r="R18"/>
  <c r="C9" i="63"/>
  <c r="P40" i="65"/>
  <c r="AA31" i="121"/>
  <c r="AA8"/>
  <c r="B44" i="66"/>
  <c r="AA42" i="121"/>
  <c r="P7" i="66"/>
  <c r="S28" i="121"/>
  <c r="C32" i="60"/>
  <c r="F23" i="66"/>
  <c r="AF21" i="65"/>
  <c r="AD39"/>
  <c r="AB45" i="66"/>
  <c r="X22"/>
  <c r="X27"/>
  <c r="C8" i="60"/>
  <c r="E23" i="65"/>
  <c r="AA19" i="70"/>
  <c r="AC42" i="121"/>
  <c r="P16" i="66"/>
  <c r="R18" i="69"/>
  <c r="V5"/>
  <c r="AD9" i="121"/>
  <c r="AB24"/>
  <c r="AC16" i="65"/>
  <c r="AB39"/>
  <c r="U34" i="66"/>
  <c r="Z8" i="65"/>
  <c r="K21" i="69"/>
  <c r="AD13" i="121"/>
  <c r="J31" i="66"/>
  <c r="P40" i="121"/>
  <c r="Q6" i="65"/>
  <c r="AF35" i="121"/>
  <c r="X5" i="63"/>
  <c r="N34" i="69"/>
  <c r="X11" i="121"/>
  <c r="D35" i="69"/>
  <c r="F8" i="63"/>
  <c r="P34" i="65"/>
  <c r="AD10" i="70"/>
  <c r="AF13"/>
  <c r="Z7" i="66"/>
  <c r="V4" i="119"/>
  <c r="Y27" i="69"/>
  <c r="L24" i="121"/>
  <c r="S16" i="66"/>
  <c r="V19" i="69"/>
  <c r="AC30"/>
  <c r="B25" i="66"/>
  <c r="R29" i="69"/>
  <c r="AB12" i="65"/>
  <c r="AE17" i="69"/>
  <c r="AA21"/>
  <c r="G34" i="65"/>
  <c r="G24" i="66"/>
  <c r="Z28" i="121"/>
  <c r="N17"/>
  <c r="I8" i="65"/>
  <c r="I28" i="121"/>
  <c r="F8"/>
  <c r="P37" i="66"/>
  <c r="O30" i="65"/>
  <c r="I5" i="63"/>
  <c r="N21" i="65"/>
  <c r="Z12" i="120"/>
  <c r="H30" i="66"/>
  <c r="AE20" i="65"/>
  <c r="D43" i="69"/>
  <c r="AB18" i="121"/>
  <c r="AE32" i="66"/>
  <c r="U20"/>
  <c r="AE13" i="69"/>
  <c r="T20"/>
  <c r="F4" i="66"/>
  <c r="F22" i="121"/>
  <c r="O44" i="66"/>
  <c r="R27"/>
  <c r="V44" i="65"/>
  <c r="Y31" i="121"/>
  <c r="AE39"/>
  <c r="B23" i="60"/>
  <c r="K16" i="65"/>
  <c r="N28" i="121"/>
  <c r="F5" i="63"/>
  <c r="I5" i="121"/>
  <c r="X4" i="66"/>
  <c r="AB4" i="120"/>
  <c r="AE17" i="66"/>
  <c r="B4" i="64"/>
  <c r="B12" i="63"/>
  <c r="Z12"/>
  <c r="AJ317" i="118" l="1"/>
  <c r="AQ306"/>
  <c r="AR377"/>
  <c r="AK293"/>
  <c r="AN361"/>
  <c r="AN329"/>
  <c r="AN321"/>
  <c r="AN309"/>
  <c r="AJ360"/>
  <c r="AF362"/>
  <c r="AP328"/>
  <c r="AF339"/>
  <c r="AH298"/>
  <c r="AR295"/>
  <c r="AU330"/>
  <c r="AM350"/>
  <c r="AH300"/>
  <c r="AV377"/>
  <c r="AR350"/>
  <c r="AJ323"/>
  <c r="AH341"/>
  <c r="AQ369"/>
  <c r="AR300"/>
  <c r="AT308"/>
  <c r="AM328"/>
  <c r="AQ371"/>
  <c r="AV371"/>
  <c r="AR339"/>
  <c r="AF354"/>
  <c r="AM312"/>
  <c r="AP324"/>
  <c r="AH372"/>
  <c r="AH343"/>
  <c r="AJ378"/>
  <c r="AI372"/>
  <c r="AJ342"/>
  <c r="AO344"/>
  <c r="AW291"/>
  <c r="AL347"/>
  <c r="AH347"/>
  <c r="AK328"/>
  <c r="AF302"/>
  <c r="AL296"/>
  <c r="AO293"/>
  <c r="AV362"/>
  <c r="AK344"/>
  <c r="AN322"/>
  <c r="AT320"/>
  <c r="AG320"/>
  <c r="AQ353"/>
  <c r="AT341"/>
  <c r="AP361"/>
  <c r="AG315"/>
  <c r="AR348"/>
  <c r="AP315"/>
  <c r="AT348"/>
  <c r="AI353"/>
  <c r="AV354"/>
  <c r="AR343"/>
  <c r="AJ353"/>
  <c r="AI293"/>
  <c r="AM291"/>
  <c r="AR323"/>
  <c r="AH325"/>
  <c r="AP348"/>
  <c r="AQ368"/>
  <c r="AL365"/>
  <c r="AI324"/>
  <c r="AN310"/>
  <c r="AP371"/>
  <c r="AL305"/>
  <c r="AN345"/>
  <c r="AL323"/>
  <c r="AJ338"/>
  <c r="AG350"/>
  <c r="AQ321"/>
  <c r="AT340"/>
  <c r="AV376"/>
  <c r="AG349"/>
  <c r="AL302"/>
  <c r="AG362"/>
  <c r="AL291"/>
  <c r="AK347"/>
  <c r="AJ340"/>
  <c r="AJ376"/>
  <c r="AR358"/>
  <c r="AR292"/>
  <c r="AR315"/>
  <c r="AR360"/>
  <c r="AR327"/>
  <c r="AT299"/>
  <c r="AG371"/>
  <c r="AV365"/>
  <c r="AR321"/>
  <c r="AV350"/>
  <c r="AM371"/>
  <c r="AT323"/>
  <c r="AH310"/>
  <c r="AF370"/>
  <c r="AH318"/>
  <c r="AU372"/>
  <c r="AJ310"/>
  <c r="AK376"/>
  <c r="AV361"/>
  <c r="AJ367"/>
  <c r="AT339"/>
  <c r="AK349"/>
  <c r="AT346"/>
  <c r="AF376"/>
  <c r="AV342"/>
  <c r="AJ292"/>
  <c r="AH345"/>
  <c r="AK371"/>
  <c r="AH340"/>
  <c r="AJ372"/>
  <c r="AL299"/>
  <c r="AT363"/>
  <c r="AK323"/>
  <c r="AG305"/>
  <c r="AP358"/>
  <c r="AJ316"/>
  <c r="AP326"/>
  <c r="AM368"/>
  <c r="AQ304"/>
  <c r="AI314"/>
  <c r="AG317"/>
  <c r="AQ320"/>
  <c r="AJ309"/>
  <c r="AQ352"/>
  <c r="AJ308"/>
  <c r="AR340"/>
  <c r="AI309"/>
  <c r="AV369"/>
  <c r="AH313"/>
  <c r="AI377"/>
  <c r="AV300"/>
  <c r="AK305"/>
  <c r="AG308"/>
  <c r="AP357"/>
  <c r="AU349"/>
  <c r="AI311"/>
  <c r="AJ327"/>
  <c r="AP346"/>
  <c r="AO360"/>
  <c r="AV301"/>
  <c r="AV303"/>
  <c r="AP352"/>
  <c r="AL362"/>
  <c r="AO294"/>
  <c r="AR364"/>
  <c r="AV307"/>
  <c r="AI297"/>
  <c r="AJ362"/>
  <c r="AM369"/>
  <c r="AQ374"/>
  <c r="AU313"/>
  <c r="AI321"/>
  <c r="AU291"/>
  <c r="AG351"/>
  <c r="AK308"/>
  <c r="AN330"/>
  <c r="AN363"/>
  <c r="AO359"/>
  <c r="AT349"/>
  <c r="AQ348"/>
  <c r="AI304"/>
  <c r="AN348"/>
  <c r="AK341"/>
  <c r="AJ293"/>
  <c r="AP295"/>
  <c r="AO350"/>
  <c r="AK372"/>
  <c r="AQ345"/>
  <c r="AI326"/>
  <c r="AL312"/>
  <c r="AT343"/>
  <c r="AU302"/>
  <c r="AV356"/>
  <c r="AV302"/>
  <c r="AK368"/>
  <c r="AG376"/>
  <c r="AR365"/>
  <c r="AF326"/>
  <c r="AH324"/>
  <c r="AV298"/>
  <c r="AI378"/>
  <c r="AG295"/>
  <c r="AI301"/>
  <c r="AU344"/>
  <c r="AV328"/>
  <c r="AH378"/>
  <c r="AF297"/>
  <c r="AT325"/>
  <c r="AH308"/>
  <c r="AQ342"/>
  <c r="AU322"/>
  <c r="AG361"/>
  <c r="AK316"/>
  <c r="AJ313"/>
  <c r="AN359"/>
  <c r="AO299"/>
  <c r="AP363"/>
  <c r="AG306"/>
  <c r="AO315"/>
  <c r="AH295"/>
  <c r="AP340"/>
  <c r="AL348"/>
  <c r="AL353"/>
  <c r="AN349"/>
  <c r="AF296"/>
  <c r="AK295"/>
  <c r="AM322"/>
  <c r="AJ341"/>
  <c r="AK312"/>
  <c r="AV314"/>
  <c r="AT354"/>
  <c r="AV346"/>
  <c r="AN313"/>
  <c r="AI299"/>
  <c r="AM347"/>
  <c r="AH294"/>
  <c r="AM376"/>
  <c r="AG357"/>
  <c r="AU347"/>
  <c r="AT297"/>
  <c r="AM354"/>
  <c r="AK301"/>
  <c r="AQ309"/>
  <c r="AT364"/>
  <c r="AT296"/>
  <c r="AJ318"/>
  <c r="AK298"/>
  <c r="AU310"/>
  <c r="AQ297"/>
  <c r="AP292"/>
  <c r="AM292"/>
  <c r="AI344"/>
  <c r="AI362"/>
  <c r="AL340"/>
  <c r="AQ315"/>
  <c r="AU350"/>
  <c r="AM377"/>
  <c r="AT322"/>
  <c r="AL301"/>
  <c r="AT369"/>
  <c r="AH309"/>
  <c r="AR366"/>
  <c r="AR342"/>
  <c r="AK331"/>
  <c r="AG348"/>
  <c r="AG314"/>
  <c r="AO363"/>
  <c r="AJ343"/>
  <c r="AG327"/>
  <c r="AK302"/>
  <c r="AL303"/>
  <c r="AH327"/>
  <c r="AF312"/>
  <c r="AG318"/>
  <c r="AK317"/>
  <c r="AX292"/>
  <c r="AN343"/>
  <c r="AP296"/>
  <c r="AR352"/>
  <c r="AF319"/>
  <c r="AU328"/>
  <c r="AL317"/>
  <c r="AZ338"/>
  <c r="AN324"/>
  <c r="AR363"/>
  <c r="AP293"/>
  <c r="AF375"/>
  <c r="AP376"/>
  <c r="AL343"/>
  <c r="AG325"/>
  <c r="AO331"/>
  <c r="AF292"/>
  <c r="AH360"/>
  <c r="AO327"/>
  <c r="AT329"/>
  <c r="AU307"/>
  <c r="AQ340"/>
  <c r="AT310"/>
  <c r="AO346"/>
  <c r="AP347"/>
  <c r="AF341"/>
  <c r="AK313"/>
  <c r="AN311"/>
  <c r="AG292"/>
  <c r="AG370"/>
  <c r="AJ355"/>
  <c r="AJ298"/>
  <c r="AG302"/>
  <c r="AH323"/>
  <c r="AU375"/>
  <c r="AT327"/>
  <c r="AV310"/>
  <c r="AL361"/>
  <c r="AJ291"/>
  <c r="AZ291"/>
  <c r="AN291"/>
  <c r="AM320"/>
  <c r="AG369"/>
  <c r="AU294"/>
  <c r="AF355"/>
  <c r="AL328"/>
  <c r="AQ372"/>
  <c r="AN293"/>
  <c r="AU340"/>
  <c r="AH331"/>
  <c r="AK356"/>
  <c r="AO377"/>
  <c r="AL341"/>
  <c r="AU303"/>
  <c r="AV308"/>
  <c r="AJ299"/>
  <c r="AQ363"/>
  <c r="AF378"/>
  <c r="AO362"/>
  <c r="AO370"/>
  <c r="AF369"/>
  <c r="AP359"/>
  <c r="AR316"/>
  <c r="AQ295"/>
  <c r="AQ291"/>
  <c r="AJ348"/>
  <c r="AU367"/>
  <c r="AN298"/>
  <c r="AU351"/>
  <c r="AK373"/>
  <c r="AM370"/>
  <c r="AV319"/>
  <c r="AR374"/>
  <c r="AF300"/>
  <c r="AH375"/>
  <c r="AK304"/>
  <c r="AH359"/>
  <c r="AT355"/>
  <c r="AN344"/>
  <c r="AR357"/>
  <c r="AT313"/>
  <c r="AK374"/>
  <c r="AK306"/>
  <c r="AF321"/>
  <c r="AK294"/>
  <c r="AM314"/>
  <c r="AF324"/>
  <c r="AT357"/>
  <c r="AR353"/>
  <c r="AH348"/>
  <c r="AT347"/>
  <c r="AO352"/>
  <c r="AK350"/>
  <c r="AI360"/>
  <c r="AF363"/>
  <c r="AN376"/>
  <c r="AJ300"/>
  <c r="AM324"/>
  <c r="AO369"/>
  <c r="AT376"/>
  <c r="AJ357"/>
  <c r="AG323"/>
  <c r="AF301"/>
  <c r="AG310"/>
  <c r="AP322"/>
  <c r="AF368"/>
  <c r="AF295"/>
  <c r="AQ313"/>
  <c r="AO357"/>
  <c r="AG322"/>
  <c r="AL322"/>
  <c r="AL329"/>
  <c r="AM355"/>
  <c r="AT300"/>
  <c r="AK340"/>
  <c r="AU354"/>
  <c r="AF310"/>
  <c r="AR311"/>
  <c r="AL326"/>
  <c r="AU306"/>
  <c r="AU361"/>
  <c r="AI352"/>
  <c r="AH357"/>
  <c r="AG359"/>
  <c r="AN366"/>
  <c r="AQ366"/>
  <c r="AN350"/>
  <c r="AO320"/>
  <c r="AR361"/>
  <c r="AJ312"/>
  <c r="AM295"/>
  <c r="AM378"/>
  <c r="AW292"/>
  <c r="AK358"/>
  <c r="AN370"/>
  <c r="AJ363"/>
  <c r="AO328"/>
  <c r="AF313"/>
  <c r="AH368"/>
  <c r="AG311"/>
  <c r="AO313"/>
  <c r="AU316"/>
  <c r="AI367"/>
  <c r="AR344"/>
  <c r="AJ296"/>
  <c r="AV296"/>
  <c r="AO347"/>
  <c r="AV344"/>
  <c r="AM316"/>
  <c r="AT304"/>
  <c r="AF347"/>
  <c r="AQ362"/>
  <c r="AQ339"/>
  <c r="AP325"/>
  <c r="AK314"/>
  <c r="AV343"/>
  <c r="AF314"/>
  <c r="AH326"/>
  <c r="AJ344"/>
  <c r="AT301"/>
  <c r="AF357"/>
  <c r="AM298"/>
  <c r="AG303"/>
  <c r="AR303"/>
  <c r="AR370"/>
  <c r="AL295"/>
  <c r="AQ311"/>
  <c r="AF345"/>
  <c r="AI294"/>
  <c r="AR351"/>
  <c r="AK291"/>
  <c r="AK315"/>
  <c r="AS292"/>
  <c r="AT303"/>
  <c r="AL349"/>
  <c r="AH311"/>
  <c r="AT302"/>
  <c r="AQ356"/>
  <c r="AO372"/>
  <c r="AH349"/>
  <c r="AF327"/>
  <c r="AP368"/>
  <c r="AQ302"/>
  <c r="AM303"/>
  <c r="AH374"/>
  <c r="AV331"/>
  <c r="AK296"/>
  <c r="AM365"/>
  <c r="AF309"/>
  <c r="AT365"/>
  <c r="AT305"/>
  <c r="AI312"/>
  <c r="AT328"/>
  <c r="AF294"/>
  <c r="AR302"/>
  <c r="AI296"/>
  <c r="AR312"/>
  <c r="AU325"/>
  <c r="AR314"/>
  <c r="AS339"/>
  <c r="AI348"/>
  <c r="AH346"/>
  <c r="AK321"/>
  <c r="AO329"/>
  <c r="AR356"/>
  <c r="AQ292"/>
  <c r="AQ357"/>
  <c r="AJ373"/>
  <c r="AT318"/>
  <c r="AO319"/>
  <c r="AY291"/>
  <c r="AO373"/>
  <c r="AR378"/>
  <c r="AO338"/>
  <c r="AN346"/>
  <c r="AN377"/>
  <c r="AN323"/>
  <c r="AO353"/>
  <c r="AI371"/>
  <c r="AO368"/>
  <c r="AI303"/>
  <c r="AO348"/>
  <c r="AM356"/>
  <c r="AU370"/>
  <c r="AF377"/>
  <c r="AU343"/>
  <c r="AM362"/>
  <c r="AN315"/>
  <c r="AM346"/>
  <c r="AR293"/>
  <c r="AO300"/>
  <c r="AU338"/>
  <c r="AN378"/>
  <c r="AQ341"/>
  <c r="AV375"/>
  <c r="AP373"/>
  <c r="AF315"/>
  <c r="AO374"/>
  <c r="AU346"/>
  <c r="AJ325"/>
  <c r="AJ375"/>
  <c r="AL293"/>
  <c r="AO351"/>
  <c r="AN357"/>
  <c r="AM297"/>
  <c r="AQ325"/>
  <c r="AV313"/>
  <c r="AG298"/>
  <c r="AI375"/>
  <c r="AN295"/>
  <c r="AW339"/>
  <c r="AG312"/>
  <c r="AO371"/>
  <c r="AP374"/>
  <c r="AF291"/>
  <c r="AR375"/>
  <c r="AQ373"/>
  <c r="AH304"/>
  <c r="AH363"/>
  <c r="AI323"/>
  <c r="AF361"/>
  <c r="AI300"/>
  <c r="AR372"/>
  <c r="AN331"/>
  <c r="AP354"/>
  <c r="AN305"/>
  <c r="AT316"/>
  <c r="AQ299"/>
  <c r="AU366"/>
  <c r="AN307"/>
  <c r="AT292"/>
  <c r="AQ308"/>
  <c r="AG344"/>
  <c r="AP314"/>
  <c r="AN301"/>
  <c r="AN352"/>
  <c r="AI350"/>
  <c r="AG355"/>
  <c r="AP312"/>
  <c r="AK361"/>
  <c r="AP367"/>
  <c r="AO312"/>
  <c r="AT342"/>
  <c r="AL363"/>
  <c r="AJ352"/>
  <c r="AQ376"/>
  <c r="AU304"/>
  <c r="AI349"/>
  <c r="AU299"/>
  <c r="AH356"/>
  <c r="AH376"/>
  <c r="AG326"/>
  <c r="AG329"/>
  <c r="AO356"/>
  <c r="AI308"/>
  <c r="AK292"/>
  <c r="AF331"/>
  <c r="AM329"/>
  <c r="AI361"/>
  <c r="AM361"/>
  <c r="AL351"/>
  <c r="AQ378"/>
  <c r="AM353"/>
  <c r="AF340"/>
  <c r="AM366"/>
  <c r="AU352"/>
  <c r="AU298"/>
  <c r="AP366"/>
  <c r="AN304"/>
  <c r="AM343"/>
  <c r="AF359"/>
  <c r="AR371"/>
  <c r="AH373"/>
  <c r="AO298"/>
  <c r="AG321"/>
  <c r="AR307"/>
  <c r="AL313"/>
  <c r="AP330"/>
  <c r="AX338"/>
  <c r="AO323"/>
  <c r="AI302"/>
  <c r="AK345"/>
  <c r="AH291"/>
  <c r="AL350"/>
  <c r="AU292"/>
  <c r="AP305"/>
  <c r="AM364"/>
  <c r="AF346"/>
  <c r="AQ317"/>
  <c r="AG309"/>
  <c r="AR294"/>
  <c r="AL373"/>
  <c r="AL327"/>
  <c r="AM296"/>
  <c r="AO295"/>
  <c r="AK364"/>
  <c r="AQ296"/>
  <c r="AI330"/>
  <c r="AU359"/>
  <c r="AL356"/>
  <c r="AL345"/>
  <c r="AK320"/>
  <c r="AF372"/>
  <c r="AV339"/>
  <c r="AT350"/>
  <c r="AL308"/>
  <c r="AK309"/>
  <c r="AH316"/>
  <c r="AK363"/>
  <c r="AH366"/>
  <c r="AI370"/>
  <c r="AV364"/>
  <c r="AP356"/>
  <c r="AH370"/>
  <c r="AJ366"/>
  <c r="AP360"/>
  <c r="AI363"/>
  <c r="AM319"/>
  <c r="AN375"/>
  <c r="AP309"/>
  <c r="AU326"/>
  <c r="AH354"/>
  <c r="AO355"/>
  <c r="AK378"/>
  <c r="AM345"/>
  <c r="AN358"/>
  <c r="AO341"/>
  <c r="AL330"/>
  <c r="AJ305"/>
  <c r="AN300"/>
  <c r="AQ318"/>
  <c r="AH319"/>
  <c r="AO366"/>
  <c r="AI357"/>
  <c r="AK377"/>
  <c r="AU305"/>
  <c r="AM299"/>
  <c r="AL298"/>
  <c r="AM294"/>
  <c r="AM327"/>
  <c r="AU348"/>
  <c r="AG364"/>
  <c r="AF352"/>
  <c r="AK370"/>
  <c r="AF311"/>
  <c r="AH329"/>
  <c r="AN302"/>
  <c r="AL368"/>
  <c r="AO297"/>
  <c r="AQ293"/>
  <c r="AP298"/>
  <c r="AU320"/>
  <c r="AP307"/>
  <c r="AT314"/>
  <c r="AJ350"/>
  <c r="AO361"/>
  <c r="AI295"/>
  <c r="AV326"/>
  <c r="AG301"/>
  <c r="AF323"/>
  <c r="AM305"/>
  <c r="AI339"/>
  <c r="AI369"/>
  <c r="AQ328"/>
  <c r="AG328"/>
  <c r="AG342"/>
  <c r="AF305"/>
  <c r="AJ302"/>
  <c r="AL364"/>
  <c r="AQ338"/>
  <c r="AJ374"/>
  <c r="AH320"/>
  <c r="AH344"/>
  <c r="AG360"/>
  <c r="AL371"/>
  <c r="AU357"/>
  <c r="AQ364"/>
  <c r="AO310"/>
  <c r="AH293"/>
  <c r="AT360"/>
  <c r="AO376"/>
  <c r="AQ346"/>
  <c r="AF325"/>
  <c r="AP338"/>
  <c r="AI298"/>
  <c r="AJ346"/>
  <c r="AV318"/>
  <c r="AN340"/>
  <c r="AM331"/>
  <c r="AV305"/>
  <c r="AP317"/>
  <c r="AR373"/>
  <c r="AN342"/>
  <c r="AM311"/>
  <c r="AJ359"/>
  <c r="AK362"/>
  <c r="AO325"/>
  <c r="AX339"/>
  <c r="AZ339"/>
  <c r="AQ349"/>
  <c r="AQ294"/>
  <c r="AF318"/>
  <c r="AN371"/>
  <c r="AG366"/>
  <c r="AU321"/>
  <c r="AH322"/>
  <c r="AP369"/>
  <c r="AI351"/>
  <c r="AU364"/>
  <c r="AR296"/>
  <c r="AP362"/>
  <c r="AG316"/>
  <c r="AF343"/>
  <c r="AV340"/>
  <c r="AP370"/>
  <c r="AV363"/>
  <c r="AN355"/>
  <c r="AN314"/>
  <c r="AV367"/>
  <c r="AP341"/>
  <c r="AL300"/>
  <c r="AK338"/>
  <c r="AV312"/>
  <c r="AQ350"/>
  <c r="AV372"/>
  <c r="AU323"/>
  <c r="AR306"/>
  <c r="AI342"/>
  <c r="AN297"/>
  <c r="AL339"/>
  <c r="AI354"/>
  <c r="AL294"/>
  <c r="AV355"/>
  <c r="AV327"/>
  <c r="AM307"/>
  <c r="AI345"/>
  <c r="AL378"/>
  <c r="AV293"/>
  <c r="AU331"/>
  <c r="AV366"/>
  <c r="AM338"/>
  <c r="AH314"/>
  <c r="AV292"/>
  <c r="AK299"/>
  <c r="AT371"/>
  <c r="AJ347"/>
  <c r="AR346"/>
  <c r="AU319"/>
  <c r="AG378"/>
  <c r="AR354"/>
  <c r="AI317"/>
  <c r="AG299"/>
  <c r="AK318"/>
  <c r="AL355"/>
  <c r="AN338"/>
  <c r="AN369"/>
  <c r="AJ306"/>
  <c r="AH315"/>
  <c r="AG293"/>
  <c r="AM321"/>
  <c r="AN292"/>
  <c r="AG340"/>
  <c r="AQ324"/>
  <c r="AL342"/>
  <c r="AT338"/>
  <c r="AO354"/>
  <c r="AP351"/>
  <c r="AP294"/>
  <c r="AQ307"/>
  <c r="AO311"/>
  <c r="AJ358"/>
  <c r="AF366"/>
  <c r="AV322"/>
  <c r="AV323"/>
  <c r="AR338"/>
  <c r="AY338"/>
  <c r="AP365"/>
  <c r="AM374"/>
  <c r="AF342"/>
  <c r="AF364"/>
  <c r="AV349"/>
  <c r="AO345"/>
  <c r="AN317"/>
  <c r="AR320"/>
  <c r="AT373"/>
  <c r="AP320"/>
  <c r="AK319"/>
  <c r="AJ377"/>
  <c r="AU308"/>
  <c r="AG304"/>
  <c r="AF356"/>
  <c r="AU353"/>
  <c r="AM301"/>
  <c r="AQ298"/>
  <c r="AT352"/>
  <c r="AQ365"/>
  <c r="AP375"/>
  <c r="AK297"/>
  <c r="AR308"/>
  <c r="AF374"/>
  <c r="AN365"/>
  <c r="AU378"/>
  <c r="AH302"/>
  <c r="AF353"/>
  <c r="AU295"/>
  <c r="AP303"/>
  <c r="AO305"/>
  <c r="AN308"/>
  <c r="AL292"/>
  <c r="AV341"/>
  <c r="AQ319"/>
  <c r="AV329"/>
  <c r="AU329"/>
  <c r="AP372"/>
  <c r="AU377"/>
  <c r="AV315"/>
  <c r="AU327"/>
  <c r="AR313"/>
  <c r="AL309"/>
  <c r="AG354"/>
  <c r="AM352"/>
  <c r="AT326"/>
  <c r="AO308"/>
  <c r="AF371"/>
  <c r="AM330"/>
  <c r="AN367"/>
  <c r="AT317"/>
  <c r="AM375"/>
  <c r="AO317"/>
  <c r="AM318"/>
  <c r="AU339"/>
  <c r="AT366"/>
  <c r="AL376"/>
  <c r="AH297"/>
  <c r="AM340"/>
  <c r="AR367"/>
  <c r="AQ375"/>
  <c r="AJ304"/>
  <c r="AO318"/>
  <c r="AO301"/>
  <c r="AT353"/>
  <c r="AJ354"/>
  <c r="AK355"/>
  <c r="AP350"/>
  <c r="AF330"/>
  <c r="AI329"/>
  <c r="AR297"/>
  <c r="AR305"/>
  <c r="AN351"/>
  <c r="AM315"/>
  <c r="AG375"/>
  <c r="AJ301"/>
  <c r="AN316"/>
  <c r="AP313"/>
  <c r="AL307"/>
  <c r="AU324"/>
  <c r="AL374"/>
  <c r="AL331"/>
  <c r="AP327"/>
  <c r="AR330"/>
  <c r="AI305"/>
  <c r="AO292"/>
  <c r="AF367"/>
  <c r="AU373"/>
  <c r="AG374"/>
  <c r="AF360"/>
  <c r="AG363"/>
  <c r="AF349"/>
  <c r="AT306"/>
  <c r="AN328"/>
  <c r="AL370"/>
  <c r="AG313"/>
  <c r="AH299"/>
  <c r="AP339"/>
  <c r="AT378"/>
  <c r="AI322"/>
  <c r="AG365"/>
  <c r="AT295"/>
  <c r="AU365"/>
  <c r="AH296"/>
  <c r="AF303"/>
  <c r="AK351"/>
  <c r="AT351"/>
  <c r="AI316"/>
  <c r="AU311"/>
  <c r="AJ370"/>
  <c r="AS338"/>
  <c r="AN374"/>
  <c r="AJ311"/>
  <c r="AH352"/>
  <c r="AM300"/>
  <c r="AK366"/>
  <c r="AP304"/>
  <c r="AM341"/>
  <c r="AL369"/>
  <c r="AI347"/>
  <c r="AY292"/>
  <c r="AP310"/>
  <c r="AO326"/>
  <c r="AR301"/>
  <c r="AF329"/>
  <c r="AG297"/>
  <c r="AV316"/>
  <c r="AQ367"/>
  <c r="AQ351"/>
  <c r="AQ330"/>
  <c r="AQ354"/>
  <c r="AH377"/>
  <c r="AL325"/>
  <c r="AQ359"/>
  <c r="AJ368"/>
  <c r="AR298"/>
  <c r="AF373"/>
  <c r="AH371"/>
  <c r="AT331"/>
  <c r="AH301"/>
  <c r="AR349"/>
  <c r="AU342"/>
  <c r="AK346"/>
  <c r="AN368"/>
  <c r="AI365"/>
  <c r="AV352"/>
  <c r="AF328"/>
  <c r="AT359"/>
  <c r="AP323"/>
  <c r="AU297"/>
  <c r="AU376"/>
  <c r="AI313"/>
  <c r="AV321"/>
  <c r="AR326"/>
  <c r="AR309"/>
  <c r="AH338"/>
  <c r="AJ297"/>
  <c r="AI320"/>
  <c r="AN353"/>
  <c r="AT311"/>
  <c r="AO349"/>
  <c r="AH305"/>
  <c r="AK339"/>
  <c r="AU369"/>
  <c r="AJ320"/>
  <c r="AO324"/>
  <c r="AI355"/>
  <c r="AK359"/>
  <c r="AG352"/>
  <c r="AO342"/>
  <c r="AV299"/>
  <c r="AG356"/>
  <c r="AP297"/>
  <c r="AV358"/>
  <c r="AK329"/>
  <c r="AT294"/>
  <c r="AN372"/>
  <c r="AQ312"/>
  <c r="AT344"/>
  <c r="AH350"/>
  <c r="AF350"/>
  <c r="AR299"/>
  <c r="AM326"/>
  <c r="AT330"/>
  <c r="AQ347"/>
  <c r="AL324"/>
  <c r="AO304"/>
  <c r="AU300"/>
  <c r="AN320"/>
  <c r="AM349"/>
  <c r="AV294"/>
  <c r="AI338"/>
  <c r="AG367"/>
  <c r="AT361"/>
  <c r="AR345"/>
  <c r="AR368"/>
  <c r="AI331"/>
  <c r="AQ301"/>
  <c r="AG319"/>
  <c r="AP301"/>
  <c r="AN306"/>
  <c r="AR359"/>
  <c r="AZ292"/>
  <c r="AT368"/>
  <c r="AV309"/>
  <c r="AQ358"/>
  <c r="AV360"/>
  <c r="AH353"/>
  <c r="AJ321"/>
  <c r="AM304"/>
  <c r="AI315"/>
  <c r="AI327"/>
  <c r="AJ328"/>
  <c r="AN303"/>
  <c r="AI340"/>
  <c r="AK322"/>
  <c r="AH364"/>
  <c r="AM351"/>
  <c r="AH328"/>
  <c r="AV330"/>
  <c r="AN373"/>
  <c r="AH317"/>
  <c r="AG307"/>
  <c r="AT307"/>
  <c r="AV304"/>
  <c r="AI325"/>
  <c r="AH306"/>
  <c r="AO340"/>
  <c r="AF317"/>
  <c r="AG330"/>
  <c r="AV378"/>
  <c r="AR341"/>
  <c r="AN341"/>
  <c r="AO375"/>
  <c r="AL297"/>
  <c r="AT345"/>
  <c r="AQ355"/>
  <c r="AO358"/>
  <c r="AV291"/>
  <c r="AK310"/>
  <c r="AH367"/>
  <c r="AU360"/>
  <c r="AJ351"/>
  <c r="AU356"/>
  <c r="AI364"/>
  <c r="AX291"/>
  <c r="AL358"/>
  <c r="AK348"/>
  <c r="AU362"/>
  <c r="AL372"/>
  <c r="AI373"/>
  <c r="AH369"/>
  <c r="AF344"/>
  <c r="AU318"/>
  <c r="AM358"/>
  <c r="AJ295"/>
  <c r="AK360"/>
  <c r="AG341"/>
  <c r="AU363"/>
  <c r="AK367"/>
  <c r="AL352"/>
  <c r="AM348"/>
  <c r="AP355"/>
  <c r="AT321"/>
  <c r="AI318"/>
  <c r="AI374"/>
  <c r="AG338"/>
  <c r="AQ360"/>
  <c r="AU374"/>
  <c r="AR369"/>
  <c r="AV373"/>
  <c r="AJ324"/>
  <c r="AI343"/>
  <c r="AG345"/>
  <c r="AN299"/>
  <c r="AS291"/>
  <c r="AH339"/>
  <c r="AQ300"/>
  <c r="AI328"/>
  <c r="AW338"/>
  <c r="AI358"/>
  <c r="AK353"/>
  <c r="AG294"/>
  <c r="AU345"/>
  <c r="AG353"/>
  <c r="AJ361"/>
  <c r="AK357"/>
  <c r="AT374"/>
  <c r="AH358"/>
  <c r="AL316"/>
  <c r="AM323"/>
  <c r="AH351"/>
  <c r="AU309"/>
  <c r="AM306"/>
  <c r="AO309"/>
  <c r="AQ314"/>
  <c r="AK325"/>
  <c r="AP344"/>
  <c r="AT367"/>
  <c r="AN360"/>
  <c r="AG300"/>
  <c r="AQ303"/>
  <c r="AV359"/>
  <c r="AL318"/>
  <c r="AU317"/>
  <c r="AJ315"/>
  <c r="AR362"/>
  <c r="AM367"/>
  <c r="AG346"/>
  <c r="AO339"/>
  <c r="AO343"/>
  <c r="AJ314"/>
  <c r="AF322"/>
  <c r="AQ361"/>
  <c r="AV311"/>
  <c r="AI356"/>
  <c r="AN318"/>
  <c r="AV295"/>
  <c r="AT358"/>
  <c r="AH342"/>
  <c r="AL310"/>
  <c r="AR331"/>
  <c r="AL344"/>
  <c r="AF307"/>
  <c r="AP302"/>
  <c r="AK327"/>
  <c r="AK311"/>
  <c r="AO330"/>
  <c r="AJ345"/>
  <c r="AP377"/>
  <c r="AU293"/>
  <c r="AG339"/>
  <c r="AL359"/>
  <c r="AP311"/>
  <c r="AQ323"/>
  <c r="AV324"/>
  <c r="AJ331"/>
  <c r="AF358"/>
  <c r="AL321"/>
  <c r="AJ326"/>
  <c r="AL367"/>
  <c r="AM372"/>
  <c r="AH330"/>
  <c r="AK330"/>
  <c r="AP318"/>
  <c r="AO302"/>
  <c r="AL315"/>
  <c r="AR322"/>
  <c r="AJ339"/>
  <c r="AV320"/>
  <c r="AK307"/>
  <c r="AL304"/>
  <c r="AR328"/>
  <c r="AO307"/>
  <c r="AN319"/>
  <c r="AL311"/>
  <c r="AM325"/>
  <c r="AN364"/>
  <c r="AR304"/>
  <c r="AV325"/>
  <c r="AV357"/>
  <c r="AP319"/>
  <c r="AV348"/>
  <c r="AV374"/>
  <c r="AO365"/>
  <c r="AH292"/>
  <c r="AI306"/>
  <c r="AG358"/>
  <c r="AO321"/>
  <c r="AM344"/>
  <c r="AQ305"/>
  <c r="AQ377"/>
  <c r="AT315"/>
  <c r="AI376"/>
  <c r="AJ364"/>
  <c r="AQ316"/>
  <c r="AU301"/>
  <c r="AG324"/>
  <c r="AH312"/>
  <c r="AH362"/>
  <c r="AH321"/>
  <c r="AF293"/>
  <c r="AL306"/>
  <c r="AK300"/>
  <c r="AV338"/>
  <c r="AU315"/>
  <c r="AR310"/>
  <c r="AO364"/>
  <c r="AH361"/>
  <c r="AK375"/>
  <c r="AI307"/>
  <c r="AK343"/>
  <c r="AF365"/>
  <c r="AV306"/>
  <c r="AR291"/>
  <c r="AG291"/>
  <c r="AR317"/>
  <c r="AI368"/>
  <c r="AJ322"/>
  <c r="AV345"/>
  <c r="AK342"/>
  <c r="AP316"/>
  <c r="AG331"/>
  <c r="AG372"/>
  <c r="AJ330"/>
  <c r="AQ344"/>
  <c r="AT319"/>
  <c r="AN347"/>
  <c r="AU314"/>
  <c r="AP345"/>
  <c r="AP364"/>
  <c r="AQ326"/>
  <c r="AM373"/>
  <c r="AT370"/>
  <c r="AF348"/>
  <c r="AP342"/>
  <c r="AM302"/>
  <c r="AM308"/>
  <c r="AQ327"/>
  <c r="AN312"/>
  <c r="AG377"/>
  <c r="AF304"/>
  <c r="AO314"/>
  <c r="AT362"/>
  <c r="AP349"/>
  <c r="AV368"/>
  <c r="AK354"/>
  <c r="AT375"/>
  <c r="AI346"/>
  <c r="AK326"/>
  <c r="AO303"/>
  <c r="AL375"/>
  <c r="AP291"/>
  <c r="AN325"/>
  <c r="AJ303"/>
  <c r="AN339"/>
  <c r="AP331"/>
  <c r="AF351"/>
  <c r="AM293"/>
  <c r="AR347"/>
  <c r="AI310"/>
  <c r="AG296"/>
  <c r="AV353"/>
  <c r="AU371"/>
  <c r="AY339"/>
  <c r="AI341"/>
  <c r="AM342"/>
  <c r="AP329"/>
  <c r="AT298"/>
  <c r="AO378"/>
  <c r="AP300"/>
  <c r="AF316"/>
  <c r="AL314"/>
  <c r="AL377"/>
  <c r="AR318"/>
  <c r="AR319"/>
  <c r="AV370"/>
  <c r="AR376"/>
  <c r="AM360"/>
  <c r="AL319"/>
  <c r="AK369"/>
  <c r="AH365"/>
  <c r="AK352"/>
  <c r="AQ322"/>
  <c r="AM309"/>
  <c r="AU341"/>
  <c r="AJ369"/>
  <c r="AJ307"/>
  <c r="AL366"/>
  <c r="AT324"/>
  <c r="AN296"/>
  <c r="AI359"/>
  <c r="AI366"/>
  <c r="AO316"/>
  <c r="AI292"/>
  <c r="AV317"/>
  <c r="AR324"/>
  <c r="AU355"/>
  <c r="AT309"/>
  <c r="AO296"/>
  <c r="AF306"/>
  <c r="AR325"/>
  <c r="AM310"/>
  <c r="AQ331"/>
  <c r="AO306"/>
  <c r="AL357"/>
  <c r="AU358"/>
  <c r="AV351"/>
  <c r="AH355"/>
  <c r="AT293"/>
  <c r="AJ294"/>
  <c r="AM363"/>
  <c r="AQ370"/>
  <c r="AP378"/>
  <c r="AF308"/>
  <c r="AN362"/>
  <c r="AR355"/>
  <c r="AP353"/>
  <c r="AH303"/>
  <c r="AG373"/>
  <c r="AP308"/>
  <c r="AI319"/>
  <c r="AO322"/>
  <c r="AJ371"/>
  <c r="AU368"/>
  <c r="AF299"/>
  <c r="AN354"/>
  <c r="AQ310"/>
  <c r="AP343"/>
  <c r="AJ356"/>
  <c r="AL354"/>
  <c r="AT377"/>
  <c r="AJ349"/>
  <c r="AQ329"/>
  <c r="AL346"/>
  <c r="AG347"/>
  <c r="AL320"/>
  <c r="AM313"/>
  <c r="AN294"/>
  <c r="AG368"/>
  <c r="AN327"/>
  <c r="AO291"/>
  <c r="AT356"/>
  <c r="AK365"/>
  <c r="AM339"/>
  <c r="AT372"/>
  <c r="AP321"/>
  <c r="AL360"/>
  <c r="AM357"/>
  <c r="AU312"/>
  <c r="AL338"/>
  <c r="AF320"/>
  <c r="AV347"/>
  <c r="AJ365"/>
  <c r="AT312"/>
  <c r="AU296"/>
  <c r="AK303"/>
  <c r="AF338"/>
  <c r="AK324"/>
  <c r="AT291"/>
  <c r="AV297"/>
  <c r="AG343"/>
  <c r="AH307"/>
  <c r="AR329"/>
  <c r="AM317"/>
  <c r="AF298"/>
  <c r="AM359"/>
  <c r="AJ319"/>
  <c r="AQ343"/>
  <c r="AN326"/>
  <c r="AI291"/>
  <c r="AO367"/>
  <c r="AJ329"/>
  <c r="AN356"/>
  <c r="AP299"/>
  <c r="AP306"/>
  <c r="AT199"/>
  <c r="AQ198"/>
  <c r="AP198"/>
  <c r="AN199"/>
  <c r="AL197"/>
  <c r="AM197"/>
  <c r="AR197"/>
  <c r="AP197"/>
  <c r="AS199"/>
  <c r="AK197"/>
  <c r="AN198"/>
  <c r="AW199"/>
  <c r="AR199"/>
  <c r="AH198"/>
  <c r="AQ197"/>
  <c r="AV199"/>
  <c r="AJ199"/>
  <c r="AI197"/>
  <c r="AL198"/>
  <c r="AH197"/>
  <c r="AM199"/>
  <c r="AQ199"/>
  <c r="AS200"/>
  <c r="AY199"/>
  <c r="AN197"/>
  <c r="AH199"/>
  <c r="AP200"/>
  <c r="AR198"/>
  <c r="AK198"/>
  <c r="AJ197"/>
  <c r="AM200"/>
  <c r="AP199"/>
  <c r="AJ198"/>
  <c r="AL199"/>
  <c r="AI198"/>
  <c r="AM198"/>
  <c r="AK200"/>
  <c r="AR200"/>
  <c r="AL200"/>
  <c r="AJ200"/>
  <c r="AT200"/>
  <c r="AV200"/>
  <c r="AK199"/>
  <c r="AH200"/>
  <c r="AN200"/>
  <c r="AI199"/>
  <c r="AX199"/>
  <c r="AI200"/>
  <c r="AQ200"/>
  <c r="J9" i="72"/>
  <c r="AF105" i="118"/>
  <c r="AO151"/>
  <c r="AF103"/>
  <c r="AN152"/>
  <c r="AL151"/>
  <c r="AI151"/>
  <c r="AJ151"/>
  <c r="AH152"/>
  <c r="AN150"/>
  <c r="AF152"/>
  <c r="AO150"/>
  <c r="AI105"/>
  <c r="AH150"/>
  <c r="AF151"/>
  <c r="AI104"/>
  <c r="AK105"/>
  <c r="AJ105"/>
  <c r="AL152"/>
  <c r="AH151"/>
  <c r="AF150"/>
  <c r="AK103"/>
  <c r="AI150"/>
  <c r="AK151"/>
  <c r="AL150"/>
  <c r="AI103"/>
  <c r="AM150"/>
  <c r="AK104"/>
  <c r="AM152"/>
  <c r="AJ152"/>
  <c r="AH104"/>
  <c r="AJ150"/>
  <c r="AK152"/>
  <c r="AH105"/>
  <c r="AJ103"/>
  <c r="AF104"/>
  <c r="AO152"/>
  <c r="AH103"/>
  <c r="AI152"/>
  <c r="AM151"/>
  <c r="AJ104"/>
  <c r="AN151"/>
  <c r="AK150"/>
  <c r="AW200"/>
  <c r="AY200"/>
  <c r="AX200"/>
  <c r="AH201"/>
  <c r="AJ201"/>
  <c r="AK201"/>
  <c r="AI201"/>
  <c r="AM201"/>
  <c r="AS201"/>
  <c r="AR201"/>
  <c r="AT201"/>
  <c r="AP201"/>
  <c r="AN201"/>
  <c r="AL201"/>
  <c r="AV201"/>
  <c r="AQ201"/>
  <c r="AH153"/>
  <c r="AK153"/>
  <c r="AN153"/>
  <c r="AF153"/>
  <c r="AM153"/>
  <c r="AL153"/>
  <c r="AO153"/>
  <c r="AJ153"/>
  <c r="AI153"/>
  <c r="AK106"/>
  <c r="AJ106"/>
  <c r="AH106"/>
  <c r="AI106"/>
  <c r="AF106"/>
  <c r="AL154"/>
  <c r="AO154"/>
  <c r="AJ154"/>
  <c r="AI154"/>
  <c r="AH154"/>
  <c r="AK154"/>
  <c r="AN154"/>
  <c r="AF154"/>
  <c r="AM154"/>
  <c r="AI107"/>
  <c r="AH107"/>
  <c r="AK107"/>
  <c r="AJ107"/>
  <c r="AF107"/>
  <c r="B27" i="13"/>
  <c r="V27" s="1"/>
  <c r="G22" i="3"/>
  <c r="I22" s="1"/>
  <c r="G17"/>
  <c r="I17" s="1"/>
  <c r="H27" i="49"/>
  <c r="Y13" i="63"/>
  <c r="S13"/>
  <c r="W14"/>
  <c r="Z13"/>
  <c r="AB12"/>
  <c r="B13"/>
  <c r="I12"/>
  <c r="G12"/>
  <c r="N11"/>
  <c r="U13"/>
  <c r="AF14" i="120"/>
  <c r="U12" i="63"/>
  <c r="AF13" i="120"/>
  <c r="M12" i="63"/>
  <c r="Z14" i="120"/>
  <c r="J9" i="63"/>
  <c r="D13"/>
  <c r="P14"/>
  <c r="P13"/>
  <c r="W13"/>
  <c r="B14"/>
  <c r="O12"/>
  <c r="E12"/>
  <c r="D14"/>
  <c r="S12"/>
  <c r="Y14"/>
  <c r="U14"/>
  <c r="K12"/>
  <c r="AB12" i="120"/>
  <c r="R12" i="63"/>
  <c r="W12"/>
  <c r="Z14"/>
  <c r="Y12"/>
  <c r="F10"/>
  <c r="AE14" i="120"/>
  <c r="S14" i="63"/>
  <c r="C12"/>
  <c r="AW201" i="118" l="1"/>
  <c r="AY201"/>
  <c r="AX201"/>
  <c r="AK202"/>
  <c r="AH202"/>
  <c r="AI202"/>
  <c r="AJ202"/>
  <c r="AP202"/>
  <c r="AS202"/>
  <c r="AT202"/>
  <c r="AR202"/>
  <c r="AM202"/>
  <c r="AL202"/>
  <c r="AQ202"/>
  <c r="AN202"/>
  <c r="AV202"/>
  <c r="AH155"/>
  <c r="AN155"/>
  <c r="AF155"/>
  <c r="AM155"/>
  <c r="AK155"/>
  <c r="AL155"/>
  <c r="AO155"/>
  <c r="AJ155"/>
  <c r="AI155"/>
  <c r="AH108"/>
  <c r="AI108"/>
  <c r="AJ108"/>
  <c r="AK108"/>
  <c r="AF108"/>
  <c r="B28" i="13"/>
  <c r="V28" s="1"/>
  <c r="H28" i="49"/>
  <c r="C13" i="63"/>
  <c r="N14"/>
  <c r="F11"/>
  <c r="T13"/>
  <c r="E14"/>
  <c r="V13"/>
  <c r="AB13"/>
  <c r="AB13" i="120"/>
  <c r="E13" i="63"/>
  <c r="Z15"/>
  <c r="N13"/>
  <c r="K14"/>
  <c r="J10"/>
  <c r="V14"/>
  <c r="I14"/>
  <c r="K13"/>
  <c r="N12"/>
  <c r="C14"/>
  <c r="M14"/>
  <c r="X14"/>
  <c r="O14"/>
  <c r="R13"/>
  <c r="T14"/>
  <c r="X13"/>
  <c r="O13"/>
  <c r="G13"/>
  <c r="AE15" i="120"/>
  <c r="R14" i="63"/>
  <c r="G14"/>
  <c r="M13"/>
  <c r="AB14"/>
  <c r="AB14" i="120"/>
  <c r="AW202" i="118" l="1"/>
  <c r="AY202"/>
  <c r="AX202"/>
  <c r="AL156"/>
  <c r="AO156"/>
  <c r="AJ156"/>
  <c r="AI156"/>
  <c r="AH156"/>
  <c r="AN156"/>
  <c r="AF156"/>
  <c r="AM156"/>
  <c r="AK156"/>
  <c r="AK109"/>
  <c r="AJ109"/>
  <c r="AI109"/>
  <c r="AH109"/>
  <c r="AF109"/>
  <c r="AH203"/>
  <c r="AJ203"/>
  <c r="AI203"/>
  <c r="AK203"/>
  <c r="AS203"/>
  <c r="AR203"/>
  <c r="AT203"/>
  <c r="AM203"/>
  <c r="AL203"/>
  <c r="AN203"/>
  <c r="AV203"/>
  <c r="AQ203"/>
  <c r="AP203"/>
  <c r="B29" i="13"/>
  <c r="V29" s="1"/>
  <c r="L17" i="3"/>
  <c r="H29" i="49"/>
  <c r="L22" i="3"/>
  <c r="AB15" i="63"/>
  <c r="Z15" i="120"/>
  <c r="AF15"/>
  <c r="Z17" i="63"/>
  <c r="B15"/>
  <c r="S15"/>
  <c r="Z16"/>
  <c r="U15"/>
  <c r="I13"/>
  <c r="J11"/>
  <c r="AE16" i="120"/>
  <c r="F12" i="63"/>
  <c r="D15"/>
  <c r="W15"/>
  <c r="P15"/>
  <c r="AW203" i="118" l="1"/>
  <c r="AY203"/>
  <c r="AX203"/>
  <c r="AJ204"/>
  <c r="AK204"/>
  <c r="AI204"/>
  <c r="AH204"/>
  <c r="AT204"/>
  <c r="AS204"/>
  <c r="AM204"/>
  <c r="AR204"/>
  <c r="AV204"/>
  <c r="AN204"/>
  <c r="AQ204"/>
  <c r="AL204"/>
  <c r="AP204"/>
  <c r="B30" i="13"/>
  <c r="V30" s="1"/>
  <c r="AM109" i="118"/>
  <c r="AL109"/>
  <c r="H30" i="49"/>
  <c r="L23" i="3"/>
  <c r="S17" i="63"/>
  <c r="B17"/>
  <c r="Z16" i="120"/>
  <c r="I15" i="63"/>
  <c r="Y15"/>
  <c r="V15"/>
  <c r="G15"/>
  <c r="D16"/>
  <c r="D5"/>
  <c r="AF16" i="120"/>
  <c r="P16" i="63"/>
  <c r="F13"/>
  <c r="P17"/>
  <c r="X15"/>
  <c r="F14"/>
  <c r="H10"/>
  <c r="AB15" i="120"/>
  <c r="U16" i="63"/>
  <c r="H11"/>
  <c r="D6"/>
  <c r="E15"/>
  <c r="C15"/>
  <c r="U17"/>
  <c r="B16"/>
  <c r="AF17" i="120"/>
  <c r="M15" i="63"/>
  <c r="W16"/>
  <c r="AE17" i="120"/>
  <c r="K15" i="63"/>
  <c r="T15"/>
  <c r="J12"/>
  <c r="O15"/>
  <c r="W17"/>
  <c r="R15"/>
  <c r="Z17" i="120"/>
  <c r="AV198" i="118" l="1"/>
  <c r="AV197"/>
  <c r="AT198"/>
  <c r="AT197"/>
  <c r="AW204"/>
  <c r="AW198"/>
  <c r="AW197"/>
  <c r="AS198"/>
  <c r="AY204"/>
  <c r="AS197"/>
  <c r="AY197"/>
  <c r="AY198"/>
  <c r="AX204"/>
  <c r="AH157"/>
  <c r="AN157"/>
  <c r="AF157"/>
  <c r="AM157"/>
  <c r="AK157"/>
  <c r="AL157"/>
  <c r="AO157"/>
  <c r="AJ157"/>
  <c r="AI157"/>
  <c r="AH110"/>
  <c r="AI110"/>
  <c r="AK110"/>
  <c r="AJ110"/>
  <c r="AF110"/>
  <c r="AI206"/>
  <c r="AK206"/>
  <c r="AH206"/>
  <c r="AJ206"/>
  <c r="AL206"/>
  <c r="AQ206"/>
  <c r="AN206"/>
  <c r="AM206"/>
  <c r="AT206"/>
  <c r="AR206"/>
  <c r="AP206"/>
  <c r="AS206"/>
  <c r="AV206"/>
  <c r="AK205"/>
  <c r="AJ205"/>
  <c r="AH205"/>
  <c r="AI205"/>
  <c r="AM205"/>
  <c r="AQ205"/>
  <c r="AN205"/>
  <c r="AT205"/>
  <c r="AL205"/>
  <c r="AS205"/>
  <c r="AR205"/>
  <c r="AP205"/>
  <c r="AV205"/>
  <c r="B31" i="13"/>
  <c r="V31" s="1"/>
  <c r="AN109" i="118"/>
  <c r="AX197"/>
  <c r="AX198"/>
  <c r="H31" i="49"/>
  <c r="H8" i="63"/>
  <c r="O17"/>
  <c r="H7"/>
  <c r="E16"/>
  <c r="K17"/>
  <c r="Y16"/>
  <c r="O16"/>
  <c r="N16"/>
  <c r="C16"/>
  <c r="K16"/>
  <c r="AB16" i="120"/>
  <c r="AB16" i="63"/>
  <c r="Y17"/>
  <c r="R16"/>
  <c r="T16"/>
  <c r="AA11" i="120"/>
  <c r="X16" i="63"/>
  <c r="Z18"/>
  <c r="V16"/>
  <c r="X17"/>
  <c r="G17"/>
  <c r="H9"/>
  <c r="AA11"/>
  <c r="T17"/>
  <c r="M17"/>
  <c r="S16"/>
  <c r="J14"/>
  <c r="C17"/>
  <c r="AA10"/>
  <c r="E17"/>
  <c r="AB17" i="120"/>
  <c r="AA10"/>
  <c r="R17" i="63"/>
  <c r="AB17"/>
  <c r="AE18" i="120"/>
  <c r="H12" i="63"/>
  <c r="N15"/>
  <c r="V17"/>
  <c r="J13"/>
  <c r="G16"/>
  <c r="M16"/>
  <c r="AW206" i="118" l="1"/>
  <c r="AW205"/>
  <c r="AY205"/>
  <c r="AY206"/>
  <c r="AX206"/>
  <c r="AX205"/>
  <c r="AL158"/>
  <c r="AO158"/>
  <c r="AJ158"/>
  <c r="AI158"/>
  <c r="AH158"/>
  <c r="AN158"/>
  <c r="AF158"/>
  <c r="AM158"/>
  <c r="AK158"/>
  <c r="AJ111"/>
  <c r="AH111"/>
  <c r="AI111"/>
  <c r="AK111"/>
  <c r="AF111"/>
  <c r="AH159"/>
  <c r="AN159"/>
  <c r="AF159"/>
  <c r="AM159"/>
  <c r="AK159"/>
  <c r="AL159"/>
  <c r="AO159"/>
  <c r="AJ159"/>
  <c r="AI159"/>
  <c r="AJ112"/>
  <c r="AK112"/>
  <c r="AH112"/>
  <c r="AI112"/>
  <c r="AF112"/>
  <c r="B32" i="13"/>
  <c r="V32" s="1"/>
  <c r="H32" i="49"/>
  <c r="AA9" i="63"/>
  <c r="Y18"/>
  <c r="D17"/>
  <c r="F15"/>
  <c r="V18"/>
  <c r="H5"/>
  <c r="Z18" i="120"/>
  <c r="AE19"/>
  <c r="AA7" i="63"/>
  <c r="AA12"/>
  <c r="P18"/>
  <c r="H14"/>
  <c r="AA8"/>
  <c r="Z19"/>
  <c r="I16"/>
  <c r="B18"/>
  <c r="AA12" i="120"/>
  <c r="T18" i="63"/>
  <c r="AA9" i="120"/>
  <c r="AF18"/>
  <c r="H13" i="63"/>
  <c r="H6"/>
  <c r="I17"/>
  <c r="AA8" i="120"/>
  <c r="N17" i="63"/>
  <c r="AA7" i="120"/>
  <c r="X18" i="63"/>
  <c r="AI207" i="118" l="1"/>
  <c r="AH207"/>
  <c r="AJ207"/>
  <c r="AK207"/>
  <c r="AT207"/>
  <c r="AQ207"/>
  <c r="AM207"/>
  <c r="AN207"/>
  <c r="AP207"/>
  <c r="AV207"/>
  <c r="AR207"/>
  <c r="AL207"/>
  <c r="AS207"/>
  <c r="B33" i="13"/>
  <c r="V33" s="1"/>
  <c r="H33" i="49"/>
  <c r="U19" i="63"/>
  <c r="AA6" i="120"/>
  <c r="F16" i="63"/>
  <c r="W19"/>
  <c r="AF19" i="120"/>
  <c r="F17" i="63"/>
  <c r="K18"/>
  <c r="AA6"/>
  <c r="B19"/>
  <c r="C18"/>
  <c r="O18"/>
  <c r="AA14"/>
  <c r="P19"/>
  <c r="M18"/>
  <c r="W18"/>
  <c r="Q7"/>
  <c r="J15"/>
  <c r="Z19" i="120"/>
  <c r="AB18" i="63"/>
  <c r="AA5" i="120"/>
  <c r="S18" i="63"/>
  <c r="U18"/>
  <c r="AA14" i="120"/>
  <c r="AA13"/>
  <c r="R18" i="63"/>
  <c r="E18"/>
  <c r="G18"/>
  <c r="AA13"/>
  <c r="AA5"/>
  <c r="I18"/>
  <c r="AB18" i="120"/>
  <c r="AG199" i="118" l="1"/>
  <c r="AW207"/>
  <c r="AY207"/>
  <c r="AX207"/>
  <c r="AH161"/>
  <c r="AN161"/>
  <c r="AF161"/>
  <c r="AM161"/>
  <c r="AK161"/>
  <c r="AL161"/>
  <c r="AO161"/>
  <c r="AJ161"/>
  <c r="AI161"/>
  <c r="AI114"/>
  <c r="AJ114"/>
  <c r="AK114"/>
  <c r="AH114"/>
  <c r="AM114"/>
  <c r="AF114"/>
  <c r="AN114"/>
  <c r="AL114"/>
  <c r="AJ208"/>
  <c r="AK208"/>
  <c r="AH208"/>
  <c r="AI208"/>
  <c r="AN208"/>
  <c r="AM208"/>
  <c r="AQ208"/>
  <c r="AT208"/>
  <c r="AV208"/>
  <c r="AP208"/>
  <c r="AS208"/>
  <c r="AR208"/>
  <c r="AL208"/>
  <c r="AL160"/>
  <c r="AO160"/>
  <c r="AJ160"/>
  <c r="AI160"/>
  <c r="AH160"/>
  <c r="AN160"/>
  <c r="AF160"/>
  <c r="AM160"/>
  <c r="AK160"/>
  <c r="AI113"/>
  <c r="AH113"/>
  <c r="AK113"/>
  <c r="AJ113"/>
  <c r="AF113"/>
  <c r="AM162"/>
  <c r="AO162"/>
  <c r="AL162"/>
  <c r="AN162"/>
  <c r="AI162"/>
  <c r="AJ162"/>
  <c r="AK162"/>
  <c r="AF162"/>
  <c r="AH162"/>
  <c r="AK115"/>
  <c r="AH115"/>
  <c r="AJ115"/>
  <c r="AI115"/>
  <c r="AF115"/>
  <c r="AM115"/>
  <c r="AN115"/>
  <c r="AL115"/>
  <c r="AH209"/>
  <c r="AK209"/>
  <c r="AJ209"/>
  <c r="AI209"/>
  <c r="AT209"/>
  <c r="AM209"/>
  <c r="AQ209"/>
  <c r="AN209"/>
  <c r="AV209"/>
  <c r="AL209"/>
  <c r="AR209"/>
  <c r="AS209"/>
  <c r="AP209"/>
  <c r="B34" i="13"/>
  <c r="V34" s="1"/>
  <c r="H34" i="49"/>
  <c r="R19" i="63"/>
  <c r="G19"/>
  <c r="M19"/>
  <c r="N18"/>
  <c r="X19"/>
  <c r="T19"/>
  <c r="D18"/>
  <c r="E19"/>
  <c r="O19"/>
  <c r="V19"/>
  <c r="H15"/>
  <c r="J16"/>
  <c r="E8"/>
  <c r="N19"/>
  <c r="S19"/>
  <c r="Q5"/>
  <c r="E9"/>
  <c r="I19"/>
  <c r="AB19" i="120"/>
  <c r="Y19" i="63"/>
  <c r="J17"/>
  <c r="E7"/>
  <c r="K19"/>
  <c r="Q6"/>
  <c r="C19"/>
  <c r="AB19"/>
  <c r="AG198" i="118" l="1"/>
  <c r="AG197"/>
  <c r="AW208"/>
  <c r="AW209"/>
  <c r="AY209"/>
  <c r="AY208"/>
  <c r="AX209"/>
  <c r="AX208"/>
  <c r="B35" i="13"/>
  <c r="V35" s="1"/>
  <c r="H35" i="49"/>
  <c r="AA15" i="120"/>
  <c r="AA15" i="63"/>
  <c r="E5"/>
  <c r="H16"/>
  <c r="F18"/>
  <c r="D19"/>
  <c r="E6"/>
  <c r="H17"/>
  <c r="AJ210" i="118" l="1"/>
  <c r="AK210"/>
  <c r="AI210"/>
  <c r="AH210"/>
  <c r="AL210"/>
  <c r="AS210"/>
  <c r="AM210"/>
  <c r="AT210"/>
  <c r="AR210"/>
  <c r="AN210"/>
  <c r="AV210"/>
  <c r="AP210"/>
  <c r="AQ210"/>
  <c r="B36" i="13"/>
  <c r="V36" s="1"/>
  <c r="H36" i="49"/>
  <c r="F19" i="63"/>
  <c r="AA17"/>
  <c r="AA17" i="120"/>
  <c r="J18" i="63"/>
  <c r="AA16" i="120"/>
  <c r="AA16" i="63"/>
  <c r="AW210" i="118" l="1"/>
  <c r="AY210"/>
  <c r="AX210"/>
  <c r="AK211"/>
  <c r="AJ211"/>
  <c r="AH211"/>
  <c r="AI211"/>
  <c r="AQ211"/>
  <c r="AM211"/>
  <c r="AT211"/>
  <c r="AN211"/>
  <c r="AL211"/>
  <c r="AP211"/>
  <c r="AR211"/>
  <c r="AS211"/>
  <c r="AV211"/>
  <c r="AI163"/>
  <c r="AN163"/>
  <c r="AF163"/>
  <c r="AH163"/>
  <c r="AK163"/>
  <c r="AL163"/>
  <c r="AM163"/>
  <c r="AJ163"/>
  <c r="AO163"/>
  <c r="AH116"/>
  <c r="AK116"/>
  <c r="AI116"/>
  <c r="AJ116"/>
  <c r="AF116"/>
  <c r="AM164"/>
  <c r="AO164"/>
  <c r="AL164"/>
  <c r="AN164"/>
  <c r="AI164"/>
  <c r="AJ164"/>
  <c r="AK164"/>
  <c r="AH164"/>
  <c r="AF164"/>
  <c r="AK117"/>
  <c r="AJ117"/>
  <c r="AI117"/>
  <c r="AH117"/>
  <c r="AF117"/>
  <c r="B37" i="13"/>
  <c r="V37" s="1"/>
  <c r="H37" i="49"/>
  <c r="J19" i="63"/>
  <c r="Q8"/>
  <c r="H18"/>
  <c r="AG200" i="118" l="1"/>
  <c r="AW211"/>
  <c r="AY211"/>
  <c r="AX211"/>
  <c r="B38" i="13"/>
  <c r="V38" s="1"/>
  <c r="H38" i="49"/>
  <c r="AA18" i="63"/>
  <c r="AA18" i="120"/>
  <c r="Q9" i="63"/>
  <c r="H19"/>
  <c r="AG201" i="118" l="1"/>
  <c r="B39" i="13"/>
  <c r="V39" s="1"/>
  <c r="H39" i="49"/>
  <c r="AA19" i="120"/>
  <c r="Q10" i="63"/>
  <c r="AA19"/>
  <c r="AG202" i="118" l="1"/>
  <c r="B40" i="13"/>
  <c r="V40" s="1"/>
  <c r="H40" i="49"/>
  <c r="Q11" i="63"/>
  <c r="AG203" i="118" l="1"/>
  <c r="B41" i="13"/>
  <c r="V41" s="1"/>
  <c r="H41" i="49"/>
  <c r="Q12" i="63"/>
  <c r="AG204" i="118" l="1"/>
  <c r="B42" i="13"/>
  <c r="V42" s="1"/>
  <c r="H42" i="49"/>
  <c r="Q14" i="63"/>
  <c r="Q13"/>
  <c r="AG206" i="118" l="1"/>
  <c r="AG205"/>
  <c r="B43" i="13"/>
  <c r="V43" s="1"/>
  <c r="H43" i="49"/>
  <c r="Q15" i="63"/>
  <c r="AG207" i="118" l="1"/>
  <c r="B44" i="13"/>
  <c r="V44" s="1"/>
  <c r="H44" i="49"/>
  <c r="B45" i="13" l="1"/>
  <c r="V45" s="1"/>
  <c r="H45" i="49"/>
  <c r="Q16" i="63"/>
  <c r="AG208" i="118" l="1"/>
  <c r="B46" i="13"/>
  <c r="V46" s="1"/>
  <c r="H46" i="49"/>
  <c r="B47" i="13" l="1"/>
  <c r="V47" s="1"/>
  <c r="AV23" i="72"/>
  <c r="AL21"/>
  <c r="AL14"/>
  <c r="M22"/>
  <c r="AR22"/>
  <c r="AI12"/>
  <c r="AW23"/>
  <c r="AO20"/>
  <c r="AW9"/>
  <c r="AL22"/>
  <c r="AJ19"/>
  <c r="AI20"/>
  <c r="AW14"/>
  <c r="AU21"/>
  <c r="AN13"/>
  <c r="AU10"/>
  <c r="AM16"/>
  <c r="AK9"/>
  <c r="AM21"/>
  <c r="AO9"/>
  <c r="AV22"/>
  <c r="AQ10"/>
  <c r="AN19"/>
  <c r="AU20"/>
  <c r="AJ9"/>
  <c r="M9"/>
  <c r="AL13"/>
  <c r="AU18"/>
  <c r="M23"/>
  <c r="AQ18"/>
  <c r="AW17"/>
  <c r="AJ11"/>
  <c r="AM15"/>
  <c r="AO11"/>
  <c r="AM12"/>
  <c r="AP11"/>
  <c r="AQ9"/>
  <c r="AJ14"/>
  <c r="AT17"/>
  <c r="AN16"/>
  <c r="AQ22"/>
  <c r="AK22"/>
  <c r="AI13"/>
  <c r="AM10"/>
  <c r="AR18"/>
  <c r="AR19"/>
  <c r="AP10"/>
  <c r="AK17"/>
  <c r="AM22"/>
  <c r="AI19"/>
  <c r="AI14"/>
  <c r="AJ10"/>
  <c r="AR9"/>
  <c r="M21"/>
  <c r="AM17"/>
  <c r="AS21"/>
  <c r="AM23"/>
  <c r="AW22"/>
  <c r="AW21"/>
  <c r="AJ15"/>
  <c r="AS22"/>
  <c r="AS17"/>
  <c r="AT10"/>
  <c r="AR23"/>
  <c r="AI15"/>
  <c r="AP22"/>
  <c r="AW18"/>
  <c r="AP20"/>
  <c r="AM9"/>
  <c r="AP14"/>
  <c r="AS14"/>
  <c r="AO19"/>
  <c r="M14"/>
  <c r="AQ21"/>
  <c r="AQ20"/>
  <c r="AQ23"/>
  <c r="AP18"/>
  <c r="AP17"/>
  <c r="AW16"/>
  <c r="AS20"/>
  <c r="AW11"/>
  <c r="AJ13"/>
  <c r="AQ17"/>
  <c r="AO13"/>
  <c r="AI21"/>
  <c r="AV17"/>
  <c r="AN12"/>
  <c r="AL10"/>
  <c r="AS10"/>
  <c r="AL20"/>
  <c r="AU15"/>
  <c r="AS23"/>
  <c r="AJ22"/>
  <c r="AT23"/>
  <c r="M19"/>
  <c r="M18"/>
  <c r="AO18"/>
  <c r="AU16"/>
  <c r="AT22"/>
  <c r="AL9"/>
  <c r="AP12"/>
  <c r="AI16"/>
  <c r="AR13"/>
  <c r="AR12"/>
  <c r="AQ12"/>
  <c r="AI9"/>
  <c r="AM14"/>
  <c r="AO16"/>
  <c r="AP23"/>
  <c r="AP19"/>
  <c r="AV9"/>
  <c r="AM11"/>
  <c r="AS11"/>
  <c r="AS19"/>
  <c r="AN22"/>
  <c r="AL17"/>
  <c r="M20"/>
  <c r="AV14"/>
  <c r="AV20"/>
  <c r="AL18"/>
  <c r="AM20"/>
  <c r="AN18"/>
  <c r="AK23"/>
  <c r="AN20"/>
  <c r="AR20"/>
  <c r="AU13"/>
  <c r="AS12"/>
  <c r="AV18"/>
  <c r="AK16"/>
  <c r="AS9"/>
  <c r="AT18"/>
  <c r="AJ17"/>
  <c r="AP13"/>
  <c r="AK20"/>
  <c r="AV15"/>
  <c r="AM13"/>
  <c r="AQ11"/>
  <c r="AP15"/>
  <c r="AK14"/>
  <c r="AS18"/>
  <c r="AJ21"/>
  <c r="AO14"/>
  <c r="AR14"/>
  <c r="AJ23"/>
  <c r="AV12"/>
  <c r="AM19"/>
  <c r="AW19"/>
  <c r="AL15"/>
  <c r="AW20"/>
  <c r="AK19"/>
  <c r="AK11"/>
  <c r="AR10"/>
  <c r="AK21"/>
  <c r="AV13"/>
  <c r="AV19"/>
  <c r="AK15"/>
  <c r="AN14"/>
  <c r="AV10"/>
  <c r="AO12"/>
  <c r="AN10"/>
  <c r="AW13"/>
  <c r="AQ14"/>
  <c r="AP21"/>
  <c r="AU9"/>
  <c r="AT15"/>
  <c r="AM18"/>
  <c r="AU22"/>
  <c r="AN17"/>
  <c r="AN11"/>
  <c r="AS13"/>
  <c r="AI10"/>
  <c r="AT14"/>
  <c r="M15"/>
  <c r="AI22"/>
  <c r="AT16"/>
  <c r="AR21"/>
  <c r="AQ19"/>
  <c r="AN23"/>
  <c r="AL11"/>
  <c r="AV16"/>
  <c r="M11"/>
  <c r="AR16"/>
  <c r="AU12"/>
  <c r="AJ20"/>
  <c r="AQ13"/>
  <c r="AQ15"/>
  <c r="AI18"/>
  <c r="AL16"/>
  <c r="AT11"/>
  <c r="AQ16"/>
  <c r="AK18"/>
  <c r="AI17"/>
  <c r="AN9"/>
  <c r="AP9"/>
  <c r="M10"/>
  <c r="AW12"/>
  <c r="AJ12"/>
  <c r="AL23"/>
  <c r="AS15"/>
  <c r="AU14"/>
  <c r="AJ16"/>
  <c r="AW15"/>
  <c r="AR15"/>
  <c r="AI23"/>
  <c r="AK12"/>
  <c r="AT21"/>
  <c r="AO17"/>
  <c r="AJ18"/>
  <c r="AU17"/>
  <c r="AU19"/>
  <c r="AT20"/>
  <c r="AN21"/>
  <c r="M13"/>
  <c r="AP16"/>
  <c r="AO10"/>
  <c r="AT19"/>
  <c r="AK10"/>
  <c r="AI11"/>
  <c r="AS16"/>
  <c r="AR17"/>
  <c r="AU11"/>
  <c r="AT12"/>
  <c r="AV11"/>
  <c r="AU23"/>
  <c r="AL19"/>
  <c r="AT13"/>
  <c r="AV21"/>
  <c r="AR11"/>
  <c r="AO15"/>
  <c r="AW10"/>
  <c r="AL12"/>
  <c r="M12"/>
  <c r="AK13"/>
  <c r="AN15"/>
  <c r="AT9"/>
  <c r="M17"/>
  <c r="M16"/>
  <c r="H47" i="49"/>
  <c r="B48" i="13" l="1"/>
  <c r="V48" s="1"/>
  <c r="H48" i="49"/>
  <c r="B49" i="13" l="1"/>
  <c r="V49" s="1"/>
  <c r="H49" i="49"/>
  <c r="AG210" i="118" l="1"/>
  <c r="AG209"/>
  <c r="B50" i="13"/>
  <c r="V50" s="1"/>
  <c r="H50" i="49"/>
  <c r="N15" i="70"/>
  <c r="P32"/>
  <c r="W28"/>
  <c r="L10"/>
  <c r="X4" i="71"/>
  <c r="H34" i="70"/>
  <c r="W41"/>
  <c r="E25"/>
  <c r="O24"/>
  <c r="D34"/>
  <c r="T41"/>
  <c r="F39"/>
  <c r="R38"/>
  <c r="H12"/>
  <c r="N27"/>
  <c r="N30"/>
  <c r="L41"/>
  <c r="J36"/>
  <c r="N29"/>
  <c r="O32"/>
  <c r="D42"/>
  <c r="U10"/>
  <c r="M16"/>
  <c r="I26"/>
  <c r="D33"/>
  <c r="I6"/>
  <c r="H35"/>
  <c r="E34"/>
  <c r="P4" i="69"/>
  <c r="O37" i="70"/>
  <c r="R32"/>
  <c r="P4" i="67"/>
  <c r="Z34" i="70"/>
  <c r="N41"/>
  <c r="T13"/>
  <c r="H23"/>
  <c r="O6"/>
  <c r="U38"/>
  <c r="U17"/>
  <c r="Z6"/>
  <c r="L36"/>
  <c r="I15"/>
  <c r="M9"/>
  <c r="I14"/>
  <c r="J13"/>
  <c r="E40"/>
  <c r="O38"/>
  <c r="R6"/>
  <c r="L30"/>
  <c r="M44"/>
  <c r="Y13"/>
  <c r="R21"/>
  <c r="H9"/>
  <c r="L18"/>
  <c r="U21"/>
  <c r="X8"/>
  <c r="B27"/>
  <c r="I27"/>
  <c r="U39"/>
  <c r="G40"/>
  <c r="B22"/>
  <c r="S20"/>
  <c r="G24"/>
  <c r="W24"/>
  <c r="T4" i="71"/>
  <c r="Z24" i="70"/>
  <c r="F19"/>
  <c r="K12"/>
  <c r="D5"/>
  <c r="X30"/>
  <c r="M14"/>
  <c r="S32"/>
  <c r="M25"/>
  <c r="O40"/>
  <c r="P39"/>
  <c r="Z16"/>
  <c r="Z4" i="71"/>
  <c r="T4" i="68"/>
  <c r="O13" i="70"/>
  <c r="F20"/>
  <c r="X33"/>
  <c r="R30"/>
  <c r="P35"/>
  <c r="B6"/>
  <c r="D22"/>
  <c r="P25"/>
  <c r="E22"/>
  <c r="N39"/>
  <c r="E4" i="71"/>
  <c r="Y4" i="67"/>
  <c r="D39" i="70"/>
  <c r="U11"/>
  <c r="U4"/>
  <c r="R4" i="67"/>
  <c r="W19" i="70"/>
  <c r="F42"/>
  <c r="G23"/>
  <c r="G39"/>
  <c r="D6"/>
  <c r="Y31"/>
  <c r="T10"/>
  <c r="X4" i="67"/>
  <c r="B26" i="70"/>
  <c r="S8"/>
  <c r="N37"/>
  <c r="G34"/>
  <c r="G4"/>
  <c r="N14"/>
  <c r="J39"/>
  <c r="Q4"/>
  <c r="K39"/>
  <c r="G29"/>
  <c r="U43"/>
  <c r="I29"/>
  <c r="X35"/>
  <c r="S30"/>
  <c r="W37"/>
  <c r="S12"/>
  <c r="M33"/>
  <c r="X43"/>
  <c r="M39"/>
  <c r="D19"/>
  <c r="H37"/>
  <c r="X4" i="68"/>
  <c r="H45" i="70"/>
  <c r="M8"/>
  <c r="D31"/>
  <c r="Z33"/>
  <c r="N6"/>
  <c r="S11"/>
  <c r="I42"/>
  <c r="K34"/>
  <c r="Y7"/>
  <c r="H4" i="71"/>
  <c r="Y4" i="69"/>
  <c r="R20" i="70"/>
  <c r="F4" i="68"/>
  <c r="T4" i="70"/>
  <c r="J22"/>
  <c r="Y9"/>
  <c r="C4"/>
  <c r="D8"/>
  <c r="N18"/>
  <c r="H10"/>
  <c r="H38"/>
  <c r="L9"/>
  <c r="I4" i="69"/>
  <c r="G22" i="70"/>
  <c r="Z4" i="67"/>
  <c r="G25" i="70"/>
  <c r="H4" i="68"/>
  <c r="U24" i="70"/>
  <c r="X37"/>
  <c r="U20"/>
  <c r="K42"/>
  <c r="J42"/>
  <c r="S4"/>
  <c r="P43"/>
  <c r="X42"/>
  <c r="O5"/>
  <c r="T24"/>
  <c r="K36"/>
  <c r="K13"/>
  <c r="M45"/>
  <c r="L4"/>
  <c r="R44"/>
  <c r="J26"/>
  <c r="K23"/>
  <c r="H32"/>
  <c r="K4" i="69"/>
  <c r="Y11" i="70"/>
  <c r="B15"/>
  <c r="U35"/>
  <c r="U14"/>
  <c r="S6"/>
  <c r="I4" i="68"/>
  <c r="B25" i="70"/>
  <c r="J6"/>
  <c r="Y18"/>
  <c r="G14"/>
  <c r="R28"/>
  <c r="P30"/>
  <c r="I37"/>
  <c r="R10"/>
  <c r="X40"/>
  <c r="Y6"/>
  <c r="Z36"/>
  <c r="F21"/>
  <c r="Z39"/>
  <c r="T43"/>
  <c r="E20"/>
  <c r="S45"/>
  <c r="L13"/>
  <c r="X38"/>
  <c r="T26"/>
  <c r="B14"/>
  <c r="J24"/>
  <c r="O41"/>
  <c r="H31"/>
  <c r="I10"/>
  <c r="Y29"/>
  <c r="R26"/>
  <c r="E8"/>
  <c r="Y8"/>
  <c r="I19"/>
  <c r="E13"/>
  <c r="N32"/>
  <c r="Y27"/>
  <c r="F26"/>
  <c r="G21"/>
  <c r="P21"/>
  <c r="S34"/>
  <c r="B35"/>
  <c r="G16"/>
  <c r="N38"/>
  <c r="Z29"/>
  <c r="Z7"/>
  <c r="R4" i="71"/>
  <c r="N44" i="70"/>
  <c r="N10"/>
  <c r="E11"/>
  <c r="P16"/>
  <c r="J10"/>
  <c r="E4"/>
  <c r="T33"/>
  <c r="G18"/>
  <c r="B36"/>
  <c r="I20"/>
  <c r="O36"/>
  <c r="M40"/>
  <c r="R34"/>
  <c r="U29"/>
  <c r="O29"/>
  <c r="H29"/>
  <c r="H18"/>
  <c r="J4" i="69"/>
  <c r="N43" i="70"/>
  <c r="O33"/>
  <c r="F23"/>
  <c r="O23"/>
  <c r="T35"/>
  <c r="Y40"/>
  <c r="B7"/>
  <c r="H41"/>
  <c r="P33"/>
  <c r="G5"/>
  <c r="G13"/>
  <c r="X13"/>
  <c r="W33"/>
  <c r="B11"/>
  <c r="U26"/>
  <c r="M38"/>
  <c r="B13"/>
  <c r="D23"/>
  <c r="E10"/>
  <c r="D35"/>
  <c r="T28"/>
  <c r="L14"/>
  <c r="G20"/>
  <c r="G45"/>
  <c r="U4" i="71"/>
  <c r="I5" i="70"/>
  <c r="K32"/>
  <c r="N45"/>
  <c r="S27"/>
  <c r="W34"/>
  <c r="G30"/>
  <c r="Z11"/>
  <c r="F37"/>
  <c r="M34"/>
  <c r="Y35"/>
  <c r="T4" i="67"/>
  <c r="M18" i="70"/>
  <c r="G33"/>
  <c r="L8"/>
  <c r="M4" i="67"/>
  <c r="J8" i="70"/>
  <c r="Y34"/>
  <c r="L4" i="68"/>
  <c r="X22" i="70"/>
  <c r="P8"/>
  <c r="E7"/>
  <c r="X44"/>
  <c r="N25"/>
  <c r="T44"/>
  <c r="B33"/>
  <c r="L29"/>
  <c r="W31"/>
  <c r="P15"/>
  <c r="F35"/>
  <c r="E30"/>
  <c r="L42"/>
  <c r="L31"/>
  <c r="Z28"/>
  <c r="H14"/>
  <c r="W42"/>
  <c r="G44"/>
  <c r="D4" i="69"/>
  <c r="S4" i="67"/>
  <c r="L21" i="70"/>
  <c r="R25"/>
  <c r="W17"/>
  <c r="M32"/>
  <c r="N4" i="71"/>
  <c r="Y22" i="70"/>
  <c r="Z25"/>
  <c r="D32"/>
  <c r="J44"/>
  <c r="T15"/>
  <c r="B29"/>
  <c r="S25"/>
  <c r="P22"/>
  <c r="R37"/>
  <c r="M11"/>
  <c r="H4"/>
  <c r="I32"/>
  <c r="U42"/>
  <c r="L45"/>
  <c r="H20"/>
  <c r="Z4" i="68"/>
  <c r="S24" i="70"/>
  <c r="T30"/>
  <c r="I33"/>
  <c r="B34"/>
  <c r="J27"/>
  <c r="B28"/>
  <c r="L40"/>
  <c r="O4" i="68"/>
  <c r="L24" i="70"/>
  <c r="T37"/>
  <c r="R5"/>
  <c r="R13"/>
  <c r="J9"/>
  <c r="H5"/>
  <c r="D24"/>
  <c r="D16"/>
  <c r="H25"/>
  <c r="K20"/>
  <c r="Y12"/>
  <c r="E23"/>
  <c r="P12"/>
  <c r="S18"/>
  <c r="W9"/>
  <c r="G19"/>
  <c r="E14"/>
  <c r="M22"/>
  <c r="R11"/>
  <c r="W35"/>
  <c r="O10"/>
  <c r="N24"/>
  <c r="O26"/>
  <c r="S33"/>
  <c r="N4" i="69"/>
  <c r="T12" i="70"/>
  <c r="H27"/>
  <c r="B17"/>
  <c r="S9"/>
  <c r="E19"/>
  <c r="L23"/>
  <c r="Z22"/>
  <c r="Z27"/>
  <c r="X24"/>
  <c r="K4" i="71"/>
  <c r="N5" i="70"/>
  <c r="U28"/>
  <c r="I4"/>
  <c r="Y23"/>
  <c r="T23"/>
  <c r="D41"/>
  <c r="O20"/>
  <c r="P11"/>
  <c r="U44"/>
  <c r="W4" i="71"/>
  <c r="Y21" i="70"/>
  <c r="B20"/>
  <c r="H43"/>
  <c r="I35"/>
  <c r="H17"/>
  <c r="W23"/>
  <c r="B39"/>
  <c r="N20"/>
  <c r="K18"/>
  <c r="P31"/>
  <c r="D45"/>
  <c r="U37"/>
  <c r="X28"/>
  <c r="G11"/>
  <c r="M4" i="71"/>
  <c r="D15" i="70"/>
  <c r="P34"/>
  <c r="T45"/>
  <c r="W6"/>
  <c r="U18"/>
  <c r="Z4"/>
  <c r="N22"/>
  <c r="K6"/>
  <c r="Z37"/>
  <c r="E41"/>
  <c r="F7"/>
  <c r="R40"/>
  <c r="K4" i="67"/>
  <c r="O25" i="70"/>
  <c r="I31"/>
  <c r="W18"/>
  <c r="X21"/>
  <c r="Z4" i="69"/>
  <c r="J37" i="70"/>
  <c r="Y45"/>
  <c r="S38"/>
  <c r="Y43"/>
  <c r="O4" i="69"/>
  <c r="K29" i="70"/>
  <c r="D44"/>
  <c r="X23"/>
  <c r="N13"/>
  <c r="X5"/>
  <c r="I39"/>
  <c r="R16"/>
  <c r="O18"/>
  <c r="X36"/>
  <c r="T8"/>
  <c r="R4"/>
  <c r="J45"/>
  <c r="X19"/>
  <c r="S14"/>
  <c r="K16"/>
  <c r="E12"/>
  <c r="X4"/>
  <c r="J19"/>
  <c r="M29"/>
  <c r="Z30"/>
  <c r="W4" i="67"/>
  <c r="S39" i="70"/>
  <c r="S13"/>
  <c r="K28"/>
  <c r="L26"/>
  <c r="Z8"/>
  <c r="V5"/>
  <c r="U40"/>
  <c r="F4"/>
  <c r="B4"/>
  <c r="I41"/>
  <c r="J11"/>
  <c r="G42"/>
  <c r="X14"/>
  <c r="X25"/>
  <c r="G6"/>
  <c r="L34"/>
  <c r="E21"/>
  <c r="U12"/>
  <c r="X31"/>
  <c r="O43"/>
  <c r="E42"/>
  <c r="G38"/>
  <c r="W26"/>
  <c r="F4" i="71"/>
  <c r="R42" i="70"/>
  <c r="Y5"/>
  <c r="F33"/>
  <c r="N9"/>
  <c r="Q5"/>
  <c r="L39"/>
  <c r="B43"/>
  <c r="K38"/>
  <c r="F43"/>
  <c r="Z9"/>
  <c r="J4" i="67"/>
  <c r="V4" i="70"/>
  <c r="M41"/>
  <c r="I43"/>
  <c r="Z41"/>
  <c r="Y17"/>
  <c r="K17"/>
  <c r="P4" i="68"/>
  <c r="L38" i="70"/>
  <c r="P20"/>
  <c r="M4"/>
  <c r="T39"/>
  <c r="B44"/>
  <c r="X15"/>
  <c r="I24"/>
  <c r="U6"/>
  <c r="X7"/>
  <c r="D40"/>
  <c r="G4" i="71"/>
  <c r="B16" i="70"/>
  <c r="H7"/>
  <c r="H16"/>
  <c r="G4" i="69"/>
  <c r="Z44" i="70"/>
  <c r="S28"/>
  <c r="Z23"/>
  <c r="K25"/>
  <c r="F18"/>
  <c r="O45"/>
  <c r="K26"/>
  <c r="F14"/>
  <c r="F13"/>
  <c r="J43"/>
  <c r="K24"/>
  <c r="H44"/>
  <c r="K10"/>
  <c r="E5"/>
  <c r="G41"/>
  <c r="O42"/>
  <c r="P5"/>
  <c r="J33"/>
  <c r="B30"/>
  <c r="N28"/>
  <c r="O4" i="67"/>
  <c r="E32" i="70"/>
  <c r="Y38"/>
  <c r="E44"/>
  <c r="O17"/>
  <c r="N12"/>
  <c r="F6"/>
  <c r="F9"/>
  <c r="R43"/>
  <c r="F11"/>
  <c r="Z17"/>
  <c r="J31"/>
  <c r="P18"/>
  <c r="W4" i="68"/>
  <c r="O30" i="70"/>
  <c r="L7"/>
  <c r="M30"/>
  <c r="P44"/>
  <c r="Y32"/>
  <c r="B23"/>
  <c r="D13"/>
  <c r="J40"/>
  <c r="W36"/>
  <c r="E26"/>
  <c r="F16"/>
  <c r="F8"/>
  <c r="F34"/>
  <c r="M7"/>
  <c r="J14"/>
  <c r="U4" i="69"/>
  <c r="K21" i="70"/>
  <c r="E27"/>
  <c r="O7"/>
  <c r="I17"/>
  <c r="B5" i="60"/>
  <c r="S29" i="70"/>
  <c r="X34"/>
  <c r="N33"/>
  <c r="Y4"/>
  <c r="J32"/>
  <c r="O22"/>
  <c r="U36"/>
  <c r="X6"/>
  <c r="G9"/>
  <c r="H26"/>
  <c r="W21"/>
  <c r="U23"/>
  <c r="K22"/>
  <c r="J12"/>
  <c r="C5"/>
  <c r="O4" i="71"/>
  <c r="U19" i="70"/>
  <c r="L6"/>
  <c r="P14"/>
  <c r="O34"/>
  <c r="Y28"/>
  <c r="T32"/>
  <c r="B4" i="69"/>
  <c r="J4" i="71"/>
  <c r="O12" i="70"/>
  <c r="I22"/>
  <c r="K40"/>
  <c r="D25"/>
  <c r="F17"/>
  <c r="F4" i="69"/>
  <c r="R33" i="70"/>
  <c r="E4" i="69"/>
  <c r="I18" i="70"/>
  <c r="T21"/>
  <c r="N21"/>
  <c r="P24"/>
  <c r="S10"/>
  <c r="Z10"/>
  <c r="D43"/>
  <c r="P13"/>
  <c r="C4" i="68"/>
  <c r="M12" i="70"/>
  <c r="W11"/>
  <c r="O39"/>
  <c r="D29"/>
  <c r="P4"/>
  <c r="I7"/>
  <c r="N31"/>
  <c r="X9"/>
  <c r="F12"/>
  <c r="H8"/>
  <c r="R15"/>
  <c r="X39"/>
  <c r="O9"/>
  <c r="W7"/>
  <c r="N35"/>
  <c r="B32"/>
  <c r="B45"/>
  <c r="D26"/>
  <c r="E4" i="68"/>
  <c r="C4" i="67"/>
  <c r="R36" i="70"/>
  <c r="R45"/>
  <c r="U45"/>
  <c r="X18"/>
  <c r="P26"/>
  <c r="U7"/>
  <c r="Y14"/>
  <c r="K35"/>
  <c r="U15"/>
  <c r="U27"/>
  <c r="Y15"/>
  <c r="Z14"/>
  <c r="W13"/>
  <c r="E33"/>
  <c r="Y33"/>
  <c r="E45"/>
  <c r="L20"/>
  <c r="R18"/>
  <c r="P4" i="71"/>
  <c r="N16" i="70"/>
  <c r="L4" i="71"/>
  <c r="F4" i="67"/>
  <c r="N8" i="70"/>
  <c r="J15"/>
  <c r="I12"/>
  <c r="X32"/>
  <c r="V4" i="67"/>
  <c r="P6" i="70"/>
  <c r="Y20"/>
  <c r="W14"/>
  <c r="G35"/>
  <c r="M31"/>
  <c r="H36"/>
  <c r="I34"/>
  <c r="X11"/>
  <c r="S5"/>
  <c r="M28"/>
  <c r="J4" i="68"/>
  <c r="Y39" i="70"/>
  <c r="N11"/>
  <c r="P45"/>
  <c r="S42"/>
  <c r="U22"/>
  <c r="L15"/>
  <c r="Z40"/>
  <c r="T20"/>
  <c r="K41"/>
  <c r="F10"/>
  <c r="S4" i="69"/>
  <c r="I11" i="70"/>
  <c r="B4" i="68"/>
  <c r="H22" i="70"/>
  <c r="F31"/>
  <c r="D37"/>
  <c r="S17"/>
  <c r="G4" i="68"/>
  <c r="N26" i="70"/>
  <c r="R27"/>
  <c r="R12"/>
  <c r="Q18" i="63"/>
  <c r="Z45" i="70"/>
  <c r="G28"/>
  <c r="D20"/>
  <c r="O27"/>
  <c r="T4" i="69"/>
  <c r="Q4"/>
  <c r="J17" i="70"/>
  <c r="Z15"/>
  <c r="D17"/>
  <c r="B6" i="60"/>
  <c r="F15" i="70"/>
  <c r="S31"/>
  <c r="P10"/>
  <c r="L28"/>
  <c r="H11"/>
  <c r="T31"/>
  <c r="L33"/>
  <c r="L4" i="67"/>
  <c r="N40" i="70"/>
  <c r="R19"/>
  <c r="E6"/>
  <c r="D38"/>
  <c r="D21"/>
  <c r="S22"/>
  <c r="U4" i="67"/>
  <c r="I38" i="70"/>
  <c r="K33"/>
  <c r="P19"/>
  <c r="K37"/>
  <c r="W20"/>
  <c r="R29"/>
  <c r="K8"/>
  <c r="D4" i="67"/>
  <c r="P29" i="70"/>
  <c r="I36"/>
  <c r="D27"/>
  <c r="Z31"/>
  <c r="G4" i="67"/>
  <c r="R35" i="70"/>
  <c r="W4"/>
  <c r="W39"/>
  <c r="M42"/>
  <c r="M37"/>
  <c r="G7"/>
  <c r="E16"/>
  <c r="T6"/>
  <c r="P17"/>
  <c r="L22"/>
  <c r="R39"/>
  <c r="G15"/>
  <c r="G43"/>
  <c r="O19"/>
  <c r="P9"/>
  <c r="K43"/>
  <c r="P38"/>
  <c r="Y37"/>
  <c r="S23"/>
  <c r="J4"/>
  <c r="R41"/>
  <c r="M6"/>
  <c r="U13"/>
  <c r="Z19"/>
  <c r="Q4" i="68"/>
  <c r="G17" i="70"/>
  <c r="L17"/>
  <c r="M10"/>
  <c r="N36"/>
  <c r="U30"/>
  <c r="O21"/>
  <c r="C4" i="71"/>
  <c r="T14" i="70"/>
  <c r="F45"/>
  <c r="Z13"/>
  <c r="I4" i="71"/>
  <c r="R8" i="70"/>
  <c r="D4" i="71"/>
  <c r="D9" i="70"/>
  <c r="W25"/>
  <c r="L4" i="69"/>
  <c r="W27" i="70"/>
  <c r="W16"/>
  <c r="M19"/>
  <c r="W44"/>
  <c r="F38"/>
  <c r="B40"/>
  <c r="F24"/>
  <c r="K19"/>
  <c r="U25"/>
  <c r="J16"/>
  <c r="S16"/>
  <c r="C4" i="69"/>
  <c r="L43" i="70"/>
  <c r="J34"/>
  <c r="Y4" i="68"/>
  <c r="R14" i="70"/>
  <c r="Q17" i="63"/>
  <c r="I16" i="70"/>
  <c r="X10"/>
  <c r="E31"/>
  <c r="W10"/>
  <c r="E17"/>
  <c r="U8"/>
  <c r="H21"/>
  <c r="E29"/>
  <c r="P7"/>
  <c r="K11"/>
  <c r="M21"/>
  <c r="S7"/>
  <c r="W15"/>
  <c r="M24"/>
  <c r="J41"/>
  <c r="N4" i="67"/>
  <c r="D36" i="70"/>
  <c r="E15"/>
  <c r="Y24"/>
  <c r="Q4" i="71"/>
  <c r="L19" i="70"/>
  <c r="I25"/>
  <c r="V4" i="69"/>
  <c r="M43" i="70"/>
  <c r="G10"/>
  <c r="K27"/>
  <c r="Z32"/>
  <c r="J18"/>
  <c r="L37"/>
  <c r="W32"/>
  <c r="S44"/>
  <c r="E43"/>
  <c r="O8"/>
  <c r="E36"/>
  <c r="K45"/>
  <c r="X17"/>
  <c r="S41"/>
  <c r="G12"/>
  <c r="T22"/>
  <c r="O4"/>
  <c r="E38"/>
  <c r="G26"/>
  <c r="M23"/>
  <c r="F41"/>
  <c r="X12"/>
  <c r="E18"/>
  <c r="X4" i="69"/>
  <c r="F5" i="70"/>
  <c r="Z20"/>
  <c r="O31"/>
  <c r="S26"/>
  <c r="Z5"/>
  <c r="J7"/>
  <c r="G31"/>
  <c r="F28"/>
  <c r="L44"/>
  <c r="H42"/>
  <c r="S15"/>
  <c r="S36"/>
  <c r="P41"/>
  <c r="B37"/>
  <c r="E35"/>
  <c r="H24"/>
  <c r="G8"/>
  <c r="P40"/>
  <c r="F25"/>
  <c r="H4" i="69"/>
  <c r="B4" i="71"/>
  <c r="J35" i="70"/>
  <c r="H6"/>
  <c r="Z26"/>
  <c r="I9"/>
  <c r="N42"/>
  <c r="B18"/>
  <c r="J30"/>
  <c r="S4" i="71"/>
  <c r="J28" i="70"/>
  <c r="W4" i="69"/>
  <c r="S35" i="70"/>
  <c r="H39"/>
  <c r="B31"/>
  <c r="B10"/>
  <c r="T9"/>
  <c r="N4" i="68"/>
  <c r="U16" i="70"/>
  <c r="N4"/>
  <c r="X29"/>
  <c r="X27"/>
  <c r="T17"/>
  <c r="W45"/>
  <c r="G36"/>
  <c r="N19"/>
  <c r="F44"/>
  <c r="Z42"/>
  <c r="O44"/>
  <c r="I40"/>
  <c r="D4"/>
  <c r="B5"/>
  <c r="F32"/>
  <c r="H19"/>
  <c r="Y42"/>
  <c r="M26"/>
  <c r="S4" i="68"/>
  <c r="D28" i="70"/>
  <c r="X41"/>
  <c r="T27"/>
  <c r="F22"/>
  <c r="N7"/>
  <c r="X16"/>
  <c r="I21"/>
  <c r="P23"/>
  <c r="L25"/>
  <c r="D14"/>
  <c r="T29"/>
  <c r="F29"/>
  <c r="T40"/>
  <c r="E24"/>
  <c r="M15"/>
  <c r="Z38"/>
  <c r="I28"/>
  <c r="K9"/>
  <c r="E4" i="67"/>
  <c r="Y41" i="70"/>
  <c r="B38"/>
  <c r="D11"/>
  <c r="Q4" i="67"/>
  <c r="K4" i="70"/>
  <c r="Y16"/>
  <c r="B7" i="60"/>
  <c r="D7" i="70"/>
  <c r="U5"/>
  <c r="Z12"/>
  <c r="J21"/>
  <c r="B21"/>
  <c r="F30"/>
  <c r="Z43"/>
  <c r="U41"/>
  <c r="M4" i="68"/>
  <c r="N23" i="70"/>
  <c r="L16"/>
  <c r="R9"/>
  <c r="L5"/>
  <c r="F36"/>
  <c r="O15"/>
  <c r="I13"/>
  <c r="J38"/>
  <c r="E39"/>
  <c r="J25"/>
  <c r="T16"/>
  <c r="H30"/>
  <c r="B24"/>
  <c r="D10"/>
  <c r="X45"/>
  <c r="F40"/>
  <c r="T38"/>
  <c r="W43"/>
  <c r="R23"/>
  <c r="P42"/>
  <c r="W5"/>
  <c r="K44"/>
  <c r="D4" i="68"/>
  <c r="K5" i="70"/>
  <c r="W12"/>
  <c r="I45"/>
  <c r="R24"/>
  <c r="Y10"/>
  <c r="N17"/>
  <c r="T7"/>
  <c r="S40"/>
  <c r="M5"/>
  <c r="K7"/>
  <c r="O16"/>
  <c r="M35"/>
  <c r="T42"/>
  <c r="U4" i="68"/>
  <c r="H4" i="67"/>
  <c r="T18" i="70"/>
  <c r="I8"/>
  <c r="B42"/>
  <c r="L12"/>
  <c r="M4" i="69"/>
  <c r="L35" i="70"/>
  <c r="M27"/>
  <c r="O28"/>
  <c r="G37"/>
  <c r="E9"/>
  <c r="M17"/>
  <c r="U32"/>
  <c r="T25"/>
  <c r="O14"/>
  <c r="O11"/>
  <c r="R31"/>
  <c r="R7"/>
  <c r="T36"/>
  <c r="Y26"/>
  <c r="W30"/>
  <c r="J5"/>
  <c r="U31"/>
  <c r="J20"/>
  <c r="B19"/>
  <c r="V4" i="71"/>
  <c r="I44" i="70"/>
  <c r="I4" i="67"/>
  <c r="P27" i="70"/>
  <c r="Y4" i="71"/>
  <c r="W22" i="70"/>
  <c r="P37"/>
  <c r="T34"/>
  <c r="Y19"/>
  <c r="D30"/>
  <c r="H13"/>
  <c r="H33"/>
  <c r="P28"/>
  <c r="Z21"/>
  <c r="H40"/>
  <c r="U34"/>
  <c r="L11"/>
  <c r="Y25"/>
  <c r="G32"/>
  <c r="K30"/>
  <c r="B9"/>
  <c r="K4" i="68"/>
  <c r="T11" i="70"/>
  <c r="J23"/>
  <c r="P36"/>
  <c r="Z35"/>
  <c r="B41"/>
  <c r="L27"/>
  <c r="H15"/>
  <c r="M20"/>
  <c r="R17"/>
  <c r="I30"/>
  <c r="G27"/>
  <c r="W38"/>
  <c r="Y36"/>
  <c r="K15"/>
  <c r="Z18"/>
  <c r="K14"/>
  <c r="Y44"/>
  <c r="K31"/>
  <c r="U33"/>
  <c r="M36"/>
  <c r="R4" i="68"/>
  <c r="S43" i="70"/>
  <c r="T19"/>
  <c r="E37"/>
  <c r="V4" i="68"/>
  <c r="X20" i="70"/>
  <c r="B12"/>
  <c r="F27"/>
  <c r="N34"/>
  <c r="Y30"/>
  <c r="S37"/>
  <c r="S19"/>
  <c r="U9"/>
  <c r="O35"/>
  <c r="W40"/>
  <c r="D18"/>
  <c r="L32"/>
  <c r="X26"/>
  <c r="W8"/>
  <c r="B8"/>
  <c r="T5"/>
  <c r="J29"/>
  <c r="M13"/>
  <c r="B4" i="67"/>
  <c r="S21" i="70"/>
  <c r="W29"/>
  <c r="R4" i="69"/>
  <c r="R22" i="70"/>
  <c r="H28"/>
  <c r="D12"/>
  <c r="E28"/>
  <c r="I23"/>
  <c r="AO21" i="72" l="1"/>
  <c r="AO22"/>
  <c r="B51" i="13"/>
  <c r="V51" s="1"/>
  <c r="H51" i="49"/>
  <c r="B52" i="13" l="1"/>
  <c r="V52" s="1"/>
  <c r="H52" i="49"/>
  <c r="V3" i="13" l="1"/>
  <c r="E15" i="7"/>
  <c r="E17"/>
  <c r="E19" l="1"/>
  <c r="D19"/>
  <c r="H11" i="1"/>
  <c r="I10"/>
  <c r="J10"/>
  <c r="I11" l="1"/>
  <c r="Z11"/>
  <c r="AC2" s="1"/>
  <c r="AC11" l="1"/>
  <c r="AC4"/>
  <c r="Z2"/>
  <c r="AB2"/>
  <c r="AA2"/>
  <c r="AC13" l="1"/>
  <c r="AC15"/>
  <c r="AC17"/>
  <c r="AC19"/>
  <c r="AC21"/>
  <c r="AC23"/>
  <c r="AC25"/>
  <c r="AC27"/>
  <c r="AC29"/>
  <c r="AC31"/>
  <c r="AC33"/>
  <c r="AC35"/>
  <c r="AC37"/>
  <c r="AC39"/>
  <c r="AC41"/>
  <c r="AC43"/>
  <c r="AC45"/>
  <c r="AC47"/>
  <c r="AC49"/>
  <c r="AC51"/>
  <c r="AC52"/>
  <c r="AC14"/>
  <c r="AC12"/>
  <c r="AC16"/>
  <c r="AC18"/>
  <c r="AC20"/>
  <c r="AC22"/>
  <c r="AC24"/>
  <c r="AC26"/>
  <c r="AC28"/>
  <c r="AC30"/>
  <c r="AC32"/>
  <c r="AC34"/>
  <c r="AC36"/>
  <c r="AC38"/>
  <c r="AC40"/>
  <c r="AC42"/>
  <c r="AC44"/>
  <c r="AC46"/>
  <c r="AC48"/>
  <c r="AC50"/>
  <c r="AA11"/>
  <c r="AA4"/>
  <c r="AB11"/>
  <c r="AB4"/>
  <c r="AB12" l="1"/>
  <c r="H12" s="1"/>
  <c r="AB15"/>
  <c r="H15" s="1"/>
  <c r="AB13"/>
  <c r="AB14"/>
  <c r="AB16"/>
  <c r="AB17"/>
  <c r="H17" s="1"/>
  <c r="AB18"/>
  <c r="AB19"/>
  <c r="AB20"/>
  <c r="H20" s="1"/>
  <c r="AB21"/>
  <c r="AB22"/>
  <c r="AB23"/>
  <c r="AB24"/>
  <c r="AB25"/>
  <c r="H25" s="1"/>
  <c r="AB26"/>
  <c r="AB27"/>
  <c r="AB28"/>
  <c r="H28" s="1"/>
  <c r="AB29"/>
  <c r="AB30"/>
  <c r="AB31"/>
  <c r="AB32"/>
  <c r="AB33"/>
  <c r="H33" s="1"/>
  <c r="AB34"/>
  <c r="AB35"/>
  <c r="AB36"/>
  <c r="H36" s="1"/>
  <c r="AB37"/>
  <c r="AB38"/>
  <c r="AB39"/>
  <c r="AB40"/>
  <c r="AB41"/>
  <c r="H41" s="1"/>
  <c r="AB42"/>
  <c r="AB43"/>
  <c r="AB44"/>
  <c r="H44" s="1"/>
  <c r="AB45"/>
  <c r="AB46"/>
  <c r="AB47"/>
  <c r="AB48"/>
  <c r="AB49"/>
  <c r="H49" s="1"/>
  <c r="AB50"/>
  <c r="AB51"/>
  <c r="AB52"/>
  <c r="H52" s="1"/>
  <c r="AA12"/>
  <c r="AA15"/>
  <c r="AA17"/>
  <c r="AA19"/>
  <c r="AA21"/>
  <c r="AA23"/>
  <c r="AA25"/>
  <c r="AA27"/>
  <c r="AA29"/>
  <c r="AA31"/>
  <c r="AA33"/>
  <c r="AA35"/>
  <c r="AA37"/>
  <c r="AA39"/>
  <c r="AA41"/>
  <c r="AA43"/>
  <c r="AA45"/>
  <c r="AA47"/>
  <c r="AA49"/>
  <c r="AA51"/>
  <c r="AA52"/>
  <c r="AA14"/>
  <c r="AA13"/>
  <c r="AA16"/>
  <c r="AA18"/>
  <c r="AA20"/>
  <c r="AA22"/>
  <c r="AA24"/>
  <c r="AA26"/>
  <c r="AA28"/>
  <c r="AA30"/>
  <c r="AA32"/>
  <c r="AA34"/>
  <c r="AA36"/>
  <c r="AA38"/>
  <c r="AA40"/>
  <c r="AA42"/>
  <c r="AA44"/>
  <c r="AA46"/>
  <c r="AA48"/>
  <c r="AA50"/>
  <c r="U11" i="49"/>
  <c r="W11" s="1"/>
  <c r="H48" i="1" l="1"/>
  <c r="I48" s="1"/>
  <c r="H40"/>
  <c r="I40" s="1"/>
  <c r="H32"/>
  <c r="H24"/>
  <c r="H16"/>
  <c r="I16" s="1"/>
  <c r="H50"/>
  <c r="J50" s="1"/>
  <c r="H46"/>
  <c r="H42"/>
  <c r="H38"/>
  <c r="I38" s="1"/>
  <c r="H34"/>
  <c r="J34" s="1"/>
  <c r="H30"/>
  <c r="H26"/>
  <c r="H22"/>
  <c r="I22" s="1"/>
  <c r="H18"/>
  <c r="J18" s="1"/>
  <c r="H13"/>
  <c r="H45"/>
  <c r="H37"/>
  <c r="J37" s="1"/>
  <c r="H29"/>
  <c r="J29" s="1"/>
  <c r="H21"/>
  <c r="H51"/>
  <c r="H47"/>
  <c r="I47" s="1"/>
  <c r="H43"/>
  <c r="I43" s="1"/>
  <c r="H39"/>
  <c r="H35"/>
  <c r="H31"/>
  <c r="I31" s="1"/>
  <c r="H27"/>
  <c r="I27" s="1"/>
  <c r="H23"/>
  <c r="H19"/>
  <c r="H14"/>
  <c r="I14" s="1"/>
  <c r="BH717" i="175"/>
  <c r="BH561"/>
  <c r="BB562"/>
  <c r="BB716"/>
  <c r="AX561"/>
  <c r="BF562"/>
  <c r="BD561"/>
  <c r="AZ716"/>
  <c r="BH562"/>
  <c r="AX562"/>
  <c r="BF561"/>
  <c r="AV562"/>
  <c r="BB561"/>
  <c r="BD717"/>
  <c r="AV717"/>
  <c r="AZ562"/>
  <c r="AX716"/>
  <c r="AV716"/>
  <c r="BD716"/>
  <c r="BH716"/>
  <c r="AZ717"/>
  <c r="BD562"/>
  <c r="AZ561"/>
  <c r="AV561"/>
  <c r="BF716"/>
  <c r="BB717"/>
  <c r="AX717"/>
  <c r="BF717"/>
  <c r="X11" i="49"/>
  <c r="P3" i="139"/>
  <c r="J12" i="1"/>
  <c r="O12" i="49" s="1"/>
  <c r="G12" i="1"/>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F12"/>
  <c r="F13" s="1"/>
  <c r="S12" i="49"/>
  <c r="S13" s="1"/>
  <c r="I52" i="1"/>
  <c r="J52"/>
  <c r="I50"/>
  <c r="J48"/>
  <c r="I46"/>
  <c r="J46"/>
  <c r="I44"/>
  <c r="J44"/>
  <c r="I42"/>
  <c r="J42"/>
  <c r="J40"/>
  <c r="I36"/>
  <c r="J36"/>
  <c r="I34"/>
  <c r="I32"/>
  <c r="J32"/>
  <c r="I30"/>
  <c r="J30"/>
  <c r="I28"/>
  <c r="J28"/>
  <c r="I26"/>
  <c r="J26"/>
  <c r="I24"/>
  <c r="J24"/>
  <c r="I20"/>
  <c r="J20"/>
  <c r="I18"/>
  <c r="J16"/>
  <c r="I13"/>
  <c r="J13"/>
  <c r="I51"/>
  <c r="J51"/>
  <c r="I49"/>
  <c r="J49"/>
  <c r="J47"/>
  <c r="I45"/>
  <c r="J45"/>
  <c r="J43"/>
  <c r="I41"/>
  <c r="J41"/>
  <c r="I39"/>
  <c r="J39"/>
  <c r="I35"/>
  <c r="J35"/>
  <c r="I33"/>
  <c r="J33"/>
  <c r="J31"/>
  <c r="I29"/>
  <c r="J27"/>
  <c r="I25"/>
  <c r="J25"/>
  <c r="I23"/>
  <c r="J23"/>
  <c r="I21"/>
  <c r="J21"/>
  <c r="I19"/>
  <c r="J19"/>
  <c r="I17"/>
  <c r="J17"/>
  <c r="J14"/>
  <c r="I15"/>
  <c r="J15"/>
  <c r="I12"/>
  <c r="N12" i="49" s="1"/>
  <c r="J15" i="51"/>
  <c r="AW15"/>
  <c r="AZ15"/>
  <c r="I37" i="1" l="1"/>
  <c r="F14"/>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J22"/>
  <c r="J38"/>
  <c r="S14" i="49"/>
  <c r="S15" s="1"/>
  <c r="S16" s="1"/>
  <c r="S17" s="1"/>
  <c r="S18" s="1"/>
  <c r="S19" s="1"/>
  <c r="S20" s="1"/>
  <c r="S21" s="1"/>
  <c r="S22" s="1"/>
  <c r="S23" s="1"/>
  <c r="S24" s="1"/>
  <c r="S25" s="1"/>
  <c r="S26" s="1"/>
  <c r="S27" s="1"/>
  <c r="S28" s="1"/>
  <c r="S29" s="1"/>
  <c r="S30" s="1"/>
  <c r="S31" s="1"/>
  <c r="S32" s="1"/>
  <c r="S33" s="1"/>
  <c r="S34" s="1"/>
  <c r="S35" s="1"/>
  <c r="S36" s="1"/>
  <c r="S37" s="1"/>
  <c r="S38" s="1"/>
  <c r="S39" s="1"/>
  <c r="S40" s="1"/>
  <c r="S41" s="1"/>
  <c r="S42" s="1"/>
  <c r="S43" s="1"/>
  <c r="S44" s="1"/>
  <c r="S45" s="1"/>
  <c r="S46" s="1"/>
  <c r="S47" s="1"/>
  <c r="S48" s="1"/>
  <c r="S49" s="1"/>
  <c r="S50" s="1"/>
  <c r="S51" s="1"/>
  <c r="S52" s="1"/>
  <c r="BF655" i="175"/>
  <c r="BD655"/>
  <c r="BH655"/>
  <c r="AV654"/>
  <c r="AX654"/>
  <c r="BB654"/>
  <c r="BB655"/>
  <c r="AZ655"/>
  <c r="BF654"/>
  <c r="AV655"/>
  <c r="BD654"/>
  <c r="AX655"/>
  <c r="AZ654"/>
  <c r="BH654"/>
  <c r="Y21" i="168"/>
  <c r="Y19" i="171"/>
  <c r="AB291" i="118"/>
  <c r="Q12" i="49"/>
  <c r="BA19" i="155" s="1"/>
  <c r="O13" i="49"/>
  <c r="O14" s="1"/>
  <c r="O15" s="1"/>
  <c r="O16" s="1"/>
  <c r="O17" s="1"/>
  <c r="O18" s="1"/>
  <c r="O19" s="1"/>
  <c r="O20" s="1"/>
  <c r="O21" s="1"/>
  <c r="G12"/>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N13"/>
  <c r="P12"/>
  <c r="Z20" i="167" s="1"/>
  <c r="V12" i="49"/>
  <c r="F12"/>
  <c r="F13" s="1"/>
  <c r="F14" s="1"/>
  <c r="J16" i="51"/>
  <c r="AA19" i="171" s="1"/>
  <c r="AZ16" i="51"/>
  <c r="AW16"/>
  <c r="O22" i="49" l="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AS340" i="118"/>
  <c r="AS293"/>
  <c r="AG211"/>
  <c r="AX340"/>
  <c r="AX293"/>
  <c r="AN20" i="167"/>
  <c r="AY340" i="118"/>
  <c r="AY293"/>
  <c r="AW340"/>
  <c r="AW293"/>
  <c r="Y22" i="168"/>
  <c r="Y20" i="171"/>
  <c r="BB19" i="154"/>
  <c r="BC19" i="155"/>
  <c r="BD19" s="1"/>
  <c r="Q13" i="49"/>
  <c r="BA20" i="155" s="1"/>
  <c r="AB292" i="118"/>
  <c r="N14" i="49"/>
  <c r="P13"/>
  <c r="Z21" i="167" s="1"/>
  <c r="V13" i="49"/>
  <c r="F15"/>
  <c r="AW17" i="51"/>
  <c r="J17"/>
  <c r="AA20" i="171" s="1"/>
  <c r="AZ17" i="51"/>
  <c r="AS341" i="118" l="1"/>
  <c r="AS294"/>
  <c r="AX294"/>
  <c r="AX341"/>
  <c r="AN21" i="167"/>
  <c r="AY341" i="118"/>
  <c r="AY294"/>
  <c r="AW341"/>
  <c r="AW294"/>
  <c r="Y23" i="168"/>
  <c r="AB293" i="118"/>
  <c r="Y21" i="171"/>
  <c r="BB20" i="154"/>
  <c r="BC20" i="155"/>
  <c r="BD20" s="1"/>
  <c r="Q14" i="49"/>
  <c r="BA21" i="155" s="1"/>
  <c r="N15" i="49"/>
  <c r="V14"/>
  <c r="P14"/>
  <c r="Z22" i="167" s="1"/>
  <c r="AZ18" i="51"/>
  <c r="J18"/>
  <c r="AA21" i="171" s="1"/>
  <c r="AW18" i="51"/>
  <c r="F16" i="49"/>
  <c r="AS342" i="118" l="1"/>
  <c r="AS295"/>
  <c r="AX342"/>
  <c r="AX295"/>
  <c r="AP20" i="167"/>
  <c r="AP21"/>
  <c r="AN22"/>
  <c r="AY295" i="118"/>
  <c r="AY342"/>
  <c r="AW295"/>
  <c r="AW342"/>
  <c r="Y24" i="168"/>
  <c r="AB294" i="118"/>
  <c r="Y22" i="171"/>
  <c r="BB21" i="154"/>
  <c r="BC21" i="155"/>
  <c r="Q15" i="49"/>
  <c r="BA22" i="155" s="1"/>
  <c r="N16" i="49"/>
  <c r="P15"/>
  <c r="Z23" i="167" s="1"/>
  <c r="V15" i="49"/>
  <c r="AQ24" i="72"/>
  <c r="M28"/>
  <c r="M27"/>
  <c r="M26"/>
  <c r="M24"/>
  <c r="M25"/>
  <c r="F17" i="49"/>
  <c r="AZ19" i="51"/>
  <c r="J19"/>
  <c r="AA22" i="171" s="1"/>
  <c r="AW19" i="51"/>
  <c r="AZ340" i="118" l="1"/>
  <c r="AZ293"/>
  <c r="AZ295"/>
  <c r="AZ342"/>
  <c r="AZ341"/>
  <c r="AZ294"/>
  <c r="AS296"/>
  <c r="AS343"/>
  <c r="AZ343"/>
  <c r="AZ296"/>
  <c r="AX296"/>
  <c r="AX343"/>
  <c r="AP22" i="167"/>
  <c r="AN23"/>
  <c r="AY343" i="118"/>
  <c r="AY296"/>
  <c r="AW296"/>
  <c r="AW343"/>
  <c r="Y25" i="168"/>
  <c r="AB295" i="118"/>
  <c r="Y23" i="171"/>
  <c r="BD21" i="155"/>
  <c r="Z21"/>
  <c r="BB22" i="154"/>
  <c r="BC22" i="155"/>
  <c r="BD21" i="154"/>
  <c r="Q16" i="49"/>
  <c r="BA23" i="155" s="1"/>
  <c r="N17" i="49"/>
  <c r="V16"/>
  <c r="P16"/>
  <c r="Z24" i="167" s="1"/>
  <c r="AQ25" i="72"/>
  <c r="M29"/>
  <c r="J20" i="51"/>
  <c r="AA23" i="171" s="1"/>
  <c r="AW20" i="51"/>
  <c r="AZ20"/>
  <c r="F18" i="49"/>
  <c r="AS297" i="118" l="1"/>
  <c r="AS344"/>
  <c r="AZ297"/>
  <c r="AZ344"/>
  <c r="AX297"/>
  <c r="AX344"/>
  <c r="AP23" i="167"/>
  <c r="AN24"/>
  <c r="AY344" i="118"/>
  <c r="AY297"/>
  <c r="AW344"/>
  <c r="AW297"/>
  <c r="Y26" i="168"/>
  <c r="AB296" i="118"/>
  <c r="Y24" i="171"/>
  <c r="BD22" i="155"/>
  <c r="Z22"/>
  <c r="BB23" i="154"/>
  <c r="BC23" i="155"/>
  <c r="BE21" i="154"/>
  <c r="Z21"/>
  <c r="BD22"/>
  <c r="Z22" s="1"/>
  <c r="Q17" i="49"/>
  <c r="BA24" i="155" s="1"/>
  <c r="N18" i="49"/>
  <c r="P17"/>
  <c r="Z25" i="167" s="1"/>
  <c r="V17" i="49"/>
  <c r="AQ26" i="72"/>
  <c r="M30"/>
  <c r="F19" i="49"/>
  <c r="AL13" i="175"/>
  <c r="AI96"/>
  <c r="AL218"/>
  <c r="AS540"/>
  <c r="S60"/>
  <c r="G347"/>
  <c r="O238"/>
  <c r="AF300"/>
  <c r="AK526"/>
  <c r="AC443"/>
  <c r="K8"/>
  <c r="S429"/>
  <c r="AK559"/>
  <c r="AS179"/>
  <c r="L434"/>
  <c r="Q512"/>
  <c r="U336"/>
  <c r="T535"/>
  <c r="Z316"/>
  <c r="AR90"/>
  <c r="AI302"/>
  <c r="AS428"/>
  <c r="AE623"/>
  <c r="AC444"/>
  <c r="AP350"/>
  <c r="L97"/>
  <c r="Q341"/>
  <c r="Y531"/>
  <c r="AF103"/>
  <c r="AT93"/>
  <c r="Y557"/>
  <c r="S365"/>
  <c r="N320"/>
  <c r="K240"/>
  <c r="N3"/>
  <c r="AA343"/>
  <c r="AS116"/>
  <c r="I317"/>
  <c r="L533"/>
  <c r="O617"/>
  <c r="AE445"/>
  <c r="AM684"/>
  <c r="AP432"/>
  <c r="R319"/>
  <c r="AH346"/>
  <c r="R155"/>
  <c r="T540"/>
  <c r="AG714"/>
  <c r="L183"/>
  <c r="V533"/>
  <c r="AL346"/>
  <c r="X22"/>
  <c r="AD521"/>
  <c r="AP327"/>
  <c r="X189"/>
  <c r="I459"/>
  <c r="AT455"/>
  <c r="AB447"/>
  <c r="AJ462"/>
  <c r="X538"/>
  <c r="Z429"/>
  <c r="AG374"/>
  <c r="U558"/>
  <c r="AH322"/>
  <c r="Q615"/>
  <c r="Q309"/>
  <c r="Z57"/>
  <c r="U609"/>
  <c r="I103"/>
  <c r="AJ32"/>
  <c r="K184"/>
  <c r="AP523"/>
  <c r="Z9"/>
  <c r="G20"/>
  <c r="X548"/>
  <c r="L216"/>
  <c r="G603"/>
  <c r="AL503"/>
  <c r="AH557"/>
  <c r="AO533"/>
  <c r="S503"/>
  <c r="W685"/>
  <c r="U469"/>
  <c r="Y542"/>
  <c r="AN13"/>
  <c r="AB346"/>
  <c r="Q319"/>
  <c r="P406"/>
  <c r="AG100"/>
  <c r="G3"/>
  <c r="AK350"/>
  <c r="AT454"/>
  <c r="Q715"/>
  <c r="AS185"/>
  <c r="AH218"/>
  <c r="G302"/>
  <c r="AO300"/>
  <c r="W246"/>
  <c r="V178"/>
  <c r="AJ244"/>
  <c r="Z610"/>
  <c r="AL624"/>
  <c r="AN596"/>
  <c r="AH715"/>
  <c r="M91"/>
  <c r="AA158"/>
  <c r="Q553"/>
  <c r="AA91"/>
  <c r="AA277"/>
  <c r="AO320"/>
  <c r="K338"/>
  <c r="AS524"/>
  <c r="P373"/>
  <c r="O13"/>
  <c r="AI179"/>
  <c r="J348"/>
  <c r="AE400"/>
  <c r="M327"/>
  <c r="K216"/>
  <c r="AN454"/>
  <c r="N343"/>
  <c r="AG686"/>
  <c r="I400"/>
  <c r="Y339"/>
  <c r="AQ430"/>
  <c r="K595"/>
  <c r="AJ538"/>
  <c r="P279"/>
  <c r="H601"/>
  <c r="AO316"/>
  <c r="M450"/>
  <c r="AJ304"/>
  <c r="W508"/>
  <c r="AT621"/>
  <c r="AM157"/>
  <c r="I60"/>
  <c r="AO463"/>
  <c r="AO16"/>
  <c r="Y459"/>
  <c r="AJ5"/>
  <c r="AE118"/>
  <c r="Y154"/>
  <c r="AM541"/>
  <c r="S464"/>
  <c r="AB31"/>
  <c r="O94"/>
  <c r="O318"/>
  <c r="H32"/>
  <c r="AL430"/>
  <c r="P552"/>
  <c r="AI528"/>
  <c r="AO63"/>
  <c r="X59"/>
  <c r="G216"/>
  <c r="AD113"/>
  <c r="AP361"/>
  <c r="AD352"/>
  <c r="X8"/>
  <c r="N554"/>
  <c r="AE123"/>
  <c r="L456"/>
  <c r="L528"/>
  <c r="J559"/>
  <c r="AS452"/>
  <c r="H21"/>
  <c r="V468"/>
  <c r="AJ335"/>
  <c r="I465"/>
  <c r="AL429"/>
  <c r="AC323"/>
  <c r="G510"/>
  <c r="W599"/>
  <c r="AC14"/>
  <c r="AH617"/>
  <c r="O220"/>
  <c r="AG18"/>
  <c r="AQ3"/>
  <c r="Y306"/>
  <c r="T683"/>
  <c r="R522"/>
  <c r="G27"/>
  <c r="I335"/>
  <c r="I282"/>
  <c r="AT615"/>
  <c r="AG251"/>
  <c r="P617"/>
  <c r="AQ613"/>
  <c r="AO448"/>
  <c r="AH330"/>
  <c r="V116"/>
  <c r="O624"/>
  <c r="L525"/>
  <c r="U428"/>
  <c r="L618"/>
  <c r="H179"/>
  <c r="AP90"/>
  <c r="S89"/>
  <c r="N7"/>
  <c r="T87"/>
  <c r="O6"/>
  <c r="AI533"/>
  <c r="O405"/>
  <c r="AM57"/>
  <c r="AB354"/>
  <c r="M519"/>
  <c r="I520"/>
  <c r="AT452"/>
  <c r="O712"/>
  <c r="AI526"/>
  <c r="R329"/>
  <c r="X450"/>
  <c r="AN121"/>
  <c r="W614"/>
  <c r="Y454"/>
  <c r="K404"/>
  <c r="AB13"/>
  <c r="K437"/>
  <c r="Z181"/>
  <c r="AT329"/>
  <c r="N352"/>
  <c r="AE330"/>
  <c r="AD348"/>
  <c r="AL539"/>
  <c r="P599"/>
  <c r="AK239"/>
  <c r="AC613"/>
  <c r="AK524"/>
  <c r="R437"/>
  <c r="U23"/>
  <c r="AC16"/>
  <c r="AB87"/>
  <c r="I551"/>
  <c r="AB125"/>
  <c r="N63"/>
  <c r="AM316"/>
  <c r="H332"/>
  <c r="AF611"/>
  <c r="Z90"/>
  <c r="AP617"/>
  <c r="AA438"/>
  <c r="AM356"/>
  <c r="U610"/>
  <c r="AN24"/>
  <c r="AD21"/>
  <c r="O321"/>
  <c r="T355"/>
  <c r="AJ685"/>
  <c r="U506"/>
  <c r="AS526"/>
  <c r="AR121"/>
  <c r="AL342"/>
  <c r="W216"/>
  <c r="AT555"/>
  <c r="Q362"/>
  <c r="U539"/>
  <c r="K337"/>
  <c r="L367"/>
  <c r="V238"/>
  <c r="AB519"/>
  <c r="AR63"/>
  <c r="N91"/>
  <c r="S28"/>
  <c r="AO554"/>
  <c r="G249"/>
  <c r="AC430"/>
  <c r="S58"/>
  <c r="G541"/>
  <c r="H5"/>
  <c r="K245"/>
  <c r="R455"/>
  <c r="AM181"/>
  <c r="AH305"/>
  <c r="Y620"/>
  <c r="AN100"/>
  <c r="AT184"/>
  <c r="AR360"/>
  <c r="AA92"/>
  <c r="P117"/>
  <c r="H107"/>
  <c r="AP428"/>
  <c r="AP304"/>
  <c r="S427"/>
  <c r="Q118"/>
  <c r="X323"/>
  <c r="AN19"/>
  <c r="N17"/>
  <c r="S600"/>
  <c r="AQ542"/>
  <c r="AL555"/>
  <c r="AP619"/>
  <c r="I118"/>
  <c r="AE542"/>
  <c r="S525"/>
  <c r="Y361"/>
  <c r="Z125"/>
  <c r="J429"/>
  <c r="AH609"/>
  <c r="AF238"/>
  <c r="H340"/>
  <c r="R187"/>
  <c r="AF4"/>
  <c r="H28"/>
  <c r="G62"/>
  <c r="AE27"/>
  <c r="M454"/>
  <c r="R25"/>
  <c r="Q529"/>
  <c r="AQ103"/>
  <c r="N531"/>
  <c r="AK32"/>
  <c r="AQ357"/>
  <c r="AO362"/>
  <c r="AS525"/>
  <c r="AL59"/>
  <c r="I244"/>
  <c r="AS57"/>
  <c r="P185"/>
  <c r="J516"/>
  <c r="Y450"/>
  <c r="AS372"/>
  <c r="AQ118"/>
  <c r="H246"/>
  <c r="G524"/>
  <c r="AL152"/>
  <c r="AH179"/>
  <c r="O540"/>
  <c r="AL595"/>
  <c r="L555"/>
  <c r="AS509"/>
  <c r="AH99"/>
  <c r="Z525"/>
  <c r="AA62"/>
  <c r="AT153"/>
  <c r="M320"/>
  <c r="Q363"/>
  <c r="K505"/>
  <c r="AK58"/>
  <c r="W713"/>
  <c r="I528"/>
  <c r="AN189"/>
  <c r="G360"/>
  <c r="AL367"/>
  <c r="U239"/>
  <c r="AQ367"/>
  <c r="AD508"/>
  <c r="L218"/>
  <c r="AB310"/>
  <c r="AR8"/>
  <c r="J10"/>
  <c r="AP518"/>
  <c r="G307"/>
  <c r="V352"/>
  <c r="AI620"/>
  <c r="AE359"/>
  <c r="K503"/>
  <c r="L462"/>
  <c r="K555"/>
  <c r="AK522"/>
  <c r="AT101"/>
  <c r="L600"/>
  <c r="AL89"/>
  <c r="L460"/>
  <c r="AE430"/>
  <c r="H556"/>
  <c r="T186"/>
  <c r="L621"/>
  <c r="AH25"/>
  <c r="AM518"/>
  <c r="L348"/>
  <c r="W451"/>
  <c r="AF467"/>
  <c r="AO103"/>
  <c r="AD595"/>
  <c r="K598"/>
  <c r="AL606"/>
  <c r="R683"/>
  <c r="V156"/>
  <c r="AM375"/>
  <c r="AB437"/>
  <c r="AF597"/>
  <c r="Y401"/>
  <c r="Z30"/>
  <c r="AR301"/>
  <c r="AR373"/>
  <c r="AB611"/>
  <c r="AB618"/>
  <c r="AM683"/>
  <c r="AL157"/>
  <c r="AP713"/>
  <c r="K431"/>
  <c r="H307"/>
  <c r="AO711"/>
  <c r="AK62"/>
  <c r="AJ7"/>
  <c r="AR559"/>
  <c r="N189"/>
  <c r="W462"/>
  <c r="K102"/>
  <c r="G607"/>
  <c r="AP307"/>
  <c r="K119"/>
  <c r="L682"/>
  <c r="X89"/>
  <c r="AK339"/>
  <c r="U32"/>
  <c r="K715"/>
  <c r="J615"/>
  <c r="AL437"/>
  <c r="AF464"/>
  <c r="AB363"/>
  <c r="AJ456"/>
  <c r="AN63"/>
  <c r="AS99"/>
  <c r="U598"/>
  <c r="V368"/>
  <c r="W99"/>
  <c r="Z454"/>
  <c r="X455"/>
  <c r="AM507"/>
  <c r="AJ505"/>
  <c r="AP99"/>
  <c r="AS323"/>
  <c r="AA240"/>
  <c r="V5"/>
  <c r="AS612"/>
  <c r="AE365"/>
  <c r="AG517"/>
  <c r="Y605"/>
  <c r="AO539"/>
  <c r="AL103"/>
  <c r="H545"/>
  <c r="AE26"/>
  <c r="U344"/>
  <c r="AK119"/>
  <c r="M527"/>
  <c r="AP60"/>
  <c r="AG599"/>
  <c r="U349"/>
  <c r="AP520"/>
  <c r="AR337"/>
  <c r="AD99"/>
  <c r="AD114"/>
  <c r="M24"/>
  <c r="G246"/>
  <c r="T551"/>
  <c r="AK711"/>
  <c r="AT523"/>
  <c r="I614"/>
  <c r="I321"/>
  <c r="AD332"/>
  <c r="L511"/>
  <c r="P105"/>
  <c r="Z558"/>
  <c r="AN464"/>
  <c r="AO556"/>
  <c r="AA342"/>
  <c r="AS529"/>
  <c r="W618"/>
  <c r="AC217"/>
  <c r="AK427"/>
  <c r="Q433"/>
  <c r="AB623"/>
  <c r="Y93"/>
  <c r="I214"/>
  <c r="T304"/>
  <c r="AD178"/>
  <c r="AK615"/>
  <c r="G313"/>
  <c r="J330"/>
  <c r="AT61"/>
  <c r="AI20"/>
  <c r="I468"/>
  <c r="L315"/>
  <c r="AS620"/>
  <c r="AN537"/>
  <c r="T57"/>
  <c r="O372"/>
  <c r="W316"/>
  <c r="T180"/>
  <c r="V239"/>
  <c r="AC337"/>
  <c r="AM555"/>
  <c r="AA528"/>
  <c r="Q99"/>
  <c r="AJ618"/>
  <c r="AE323"/>
  <c r="AS404"/>
  <c r="P88"/>
  <c r="AC180"/>
  <c r="O100"/>
  <c r="AO401"/>
  <c r="AP507"/>
  <c r="S23"/>
  <c r="AP214"/>
  <c r="Q605"/>
  <c r="O349"/>
  <c r="Q331"/>
  <c r="AR505"/>
  <c r="AT524"/>
  <c r="I555"/>
  <c r="Y368"/>
  <c r="U242"/>
  <c r="Y525"/>
  <c r="T461"/>
  <c r="AQ525"/>
  <c r="AO428"/>
  <c r="AL119"/>
  <c r="AH607"/>
  <c r="AR611"/>
  <c r="O600"/>
  <c r="AQ278"/>
  <c r="AS432"/>
  <c r="AD466"/>
  <c r="N117"/>
  <c r="Z400"/>
  <c r="G681"/>
  <c r="U712"/>
  <c r="H8"/>
  <c r="AG713"/>
  <c r="AD451"/>
  <c r="AF518"/>
  <c r="J357"/>
  <c r="AG321"/>
  <c r="X551"/>
  <c r="AG356"/>
  <c r="R30"/>
  <c r="AN58"/>
  <c r="AO27"/>
  <c r="P152"/>
  <c r="P340"/>
  <c r="L431"/>
  <c r="AB445"/>
  <c r="AR338"/>
  <c r="M683"/>
  <c r="AS427"/>
  <c r="S613"/>
  <c r="U357"/>
  <c r="AH323"/>
  <c r="AS353"/>
  <c r="Q241"/>
  <c r="Y343"/>
  <c r="U524"/>
  <c r="AC683"/>
  <c r="G340"/>
  <c r="AI428"/>
  <c r="H106"/>
  <c r="AR86"/>
  <c r="Z556"/>
  <c r="AC117"/>
  <c r="AS552"/>
  <c r="R220"/>
  <c r="AR214"/>
  <c r="G535"/>
  <c r="V241"/>
  <c r="H431"/>
  <c r="AQ453"/>
  <c r="P246"/>
  <c r="AE363"/>
  <c r="AG458"/>
  <c r="AH543"/>
  <c r="AS20"/>
  <c r="P400"/>
  <c r="H315"/>
  <c r="AO249"/>
  <c r="N356"/>
  <c r="T100"/>
  <c r="N118"/>
  <c r="N326"/>
  <c r="AG554"/>
  <c r="O595"/>
  <c r="Q333"/>
  <c r="AF158"/>
  <c r="S24"/>
  <c r="AC400"/>
  <c r="R280"/>
  <c r="H240"/>
  <c r="AO523"/>
  <c r="AP282"/>
  <c r="AN460"/>
  <c r="Y595"/>
  <c r="AL15"/>
  <c r="T317"/>
  <c r="I15"/>
  <c r="AH434"/>
  <c r="AK620"/>
  <c r="T367"/>
  <c r="M61"/>
  <c r="AF714"/>
  <c r="Z436"/>
  <c r="AD684"/>
  <c r="R684"/>
  <c r="AD316"/>
  <c r="J463"/>
  <c r="L428"/>
  <c r="V463"/>
  <c r="AM301"/>
  <c r="H335"/>
  <c r="AN556"/>
  <c r="AG26"/>
  <c r="AT610"/>
  <c r="W604"/>
  <c r="S103"/>
  <c r="AP622"/>
  <c r="H364"/>
  <c r="Z520"/>
  <c r="AK618"/>
  <c r="X312"/>
  <c r="AT683"/>
  <c r="I307"/>
  <c r="AH446"/>
  <c r="AA19"/>
  <c r="Z426"/>
  <c r="H96"/>
  <c r="X334"/>
  <c r="Q463"/>
  <c r="AI529"/>
  <c r="AL21"/>
  <c r="X188"/>
  <c r="AC336"/>
  <c r="AO344"/>
  <c r="AR437"/>
  <c r="AP603"/>
  <c r="AD86"/>
  <c r="AR519"/>
  <c r="H358"/>
  <c r="AL185"/>
  <c r="N400"/>
  <c r="AN5"/>
  <c r="X537"/>
  <c r="AF458"/>
  <c r="AQ348"/>
  <c r="H613"/>
  <c r="M715"/>
  <c r="AL370"/>
  <c r="AN353"/>
  <c r="H505"/>
  <c r="AA457"/>
  <c r="K326"/>
  <c r="Y622"/>
  <c r="AR220"/>
  <c r="U250"/>
  <c r="S555"/>
  <c r="L313"/>
  <c r="AS455"/>
  <c r="AJ324"/>
  <c r="AT447"/>
  <c r="AM469"/>
  <c r="AL623"/>
  <c r="AF523"/>
  <c r="AN306"/>
  <c r="W468"/>
  <c r="AM535"/>
  <c r="AE624"/>
  <c r="AB219"/>
  <c r="AA312"/>
  <c r="AL324"/>
  <c r="AP526"/>
  <c r="Z12"/>
  <c r="J346"/>
  <c r="AD459"/>
  <c r="AR23"/>
  <c r="AB374"/>
  <c r="AB189"/>
  <c r="AJ31"/>
  <c r="W186"/>
  <c r="U459"/>
  <c r="AF220"/>
  <c r="AQ559"/>
  <c r="AR94"/>
  <c r="P443"/>
  <c r="AI527"/>
  <c r="U340"/>
  <c r="AC113"/>
  <c r="Z467"/>
  <c r="I179"/>
  <c r="AN553"/>
  <c r="AC525"/>
  <c r="AE156"/>
  <c r="Z311"/>
  <c r="AP32"/>
  <c r="G5"/>
  <c r="AC13"/>
  <c r="T596"/>
  <c r="AK595"/>
  <c r="AB321"/>
  <c r="L427"/>
  <c r="AQ12"/>
  <c r="AL405"/>
  <c r="W362"/>
  <c r="AF17"/>
  <c r="AE527"/>
  <c r="V121"/>
  <c r="R186"/>
  <c r="O63"/>
  <c r="AK124"/>
  <c r="R6"/>
  <c r="AD531"/>
  <c r="P524"/>
  <c r="Q349"/>
  <c r="AL327"/>
  <c r="AC300"/>
  <c r="AC241"/>
  <c r="O448"/>
  <c r="M352"/>
  <c r="H370"/>
  <c r="AQ445"/>
  <c r="J242"/>
  <c r="AP97"/>
  <c r="AA318"/>
  <c r="M544"/>
  <c r="AT426"/>
  <c r="AT337"/>
  <c r="S29"/>
  <c r="AI82"/>
  <c r="Q8"/>
  <c r="N16"/>
  <c r="J245"/>
  <c r="AA248"/>
  <c r="H219"/>
  <c r="AS61"/>
  <c r="AL543"/>
  <c r="AS621"/>
  <c r="R312"/>
  <c r="AO322"/>
  <c r="AH606"/>
  <c r="AL116"/>
  <c r="V340"/>
  <c r="AP334"/>
  <c r="P10"/>
  <c r="AA93"/>
  <c r="Q434"/>
  <c r="U713"/>
  <c r="Z506"/>
  <c r="AS303"/>
  <c r="AP341"/>
  <c r="G520"/>
  <c r="AQ460"/>
  <c r="H157"/>
  <c r="AF15"/>
  <c r="R325"/>
  <c r="AP300"/>
  <c r="AA328"/>
  <c r="AK503"/>
  <c r="N427"/>
  <c r="AN452"/>
  <c r="T432"/>
  <c r="AK90"/>
  <c r="Z305"/>
  <c r="AD115"/>
  <c r="Y336"/>
  <c r="M427"/>
  <c r="I12"/>
  <c r="O430"/>
  <c r="AO535"/>
  <c r="AL180"/>
  <c r="AR403"/>
  <c r="AQ551"/>
  <c r="AD247"/>
  <c r="L614"/>
  <c r="X465"/>
  <c r="AK85"/>
  <c r="AA365"/>
  <c r="AS543"/>
  <c r="Y276"/>
  <c r="AH319"/>
  <c r="AM600"/>
  <c r="M180"/>
  <c r="AG124"/>
  <c r="AK451"/>
  <c r="AT432"/>
  <c r="AG609"/>
  <c r="O610"/>
  <c r="R601"/>
  <c r="I324"/>
  <c r="O334"/>
  <c r="AM618"/>
  <c r="AS443"/>
  <c r="AI328"/>
  <c r="AR310"/>
  <c r="O188"/>
  <c r="AE361"/>
  <c r="AG280"/>
  <c r="AK188"/>
  <c r="AG24"/>
  <c r="AD559"/>
  <c r="AP445"/>
  <c r="AT81"/>
  <c r="AH595"/>
  <c r="AN372"/>
  <c r="AB102"/>
  <c r="AO451"/>
  <c r="U621"/>
  <c r="M250"/>
  <c r="AD548"/>
  <c r="AP20"/>
  <c r="AH58"/>
  <c r="AL85"/>
  <c r="X302"/>
  <c r="AK361"/>
  <c r="P452"/>
  <c r="Y125"/>
  <c r="O685"/>
  <c r="P319"/>
  <c r="AR548"/>
  <c r="AF62"/>
  <c r="AN540"/>
  <c r="AT103"/>
  <c r="Z370"/>
  <c r="Z363"/>
  <c r="R403"/>
  <c r="L331"/>
  <c r="Q13"/>
  <c r="AS357"/>
  <c r="AC326"/>
  <c r="V526"/>
  <c r="AN307"/>
  <c r="Z60"/>
  <c r="R12"/>
  <c r="AS508"/>
  <c r="R82"/>
  <c r="S32"/>
  <c r="AI342"/>
  <c r="AE560"/>
  <c r="AG240"/>
  <c r="I432"/>
  <c r="AQ100"/>
  <c r="S433"/>
  <c r="AP517"/>
  <c r="T32"/>
  <c r="M526"/>
  <c r="AC509"/>
  <c r="AG186"/>
  <c r="J533"/>
  <c r="M370"/>
  <c r="O59"/>
  <c r="O185"/>
  <c r="AM461"/>
  <c r="M183"/>
  <c r="L219"/>
  <c r="S460"/>
  <c r="AQ615"/>
  <c r="AQ115"/>
  <c r="V404"/>
  <c r="N525"/>
  <c r="AH6"/>
  <c r="AS544"/>
  <c r="AF63"/>
  <c r="M614"/>
  <c r="O522"/>
  <c r="AK325"/>
  <c r="M464"/>
  <c r="AG58"/>
  <c r="AC537"/>
  <c r="G107"/>
  <c r="P596"/>
  <c r="AD427"/>
  <c r="Q348"/>
  <c r="O305"/>
  <c r="AK365"/>
  <c r="AL280"/>
  <c r="Y308"/>
  <c r="M115"/>
  <c r="L335"/>
  <c r="Y553"/>
  <c r="AA244"/>
  <c r="V503"/>
  <c r="Y246"/>
  <c r="M622"/>
  <c r="AR466"/>
  <c r="T21"/>
  <c r="AL29"/>
  <c r="AD321"/>
  <c r="I539"/>
  <c r="AO353"/>
  <c r="AS239"/>
  <c r="T17"/>
  <c r="S245"/>
  <c r="AM28"/>
  <c r="AL525"/>
  <c r="AI624"/>
  <c r="X219"/>
  <c r="AM88"/>
  <c r="AF247"/>
  <c r="J18"/>
  <c r="O300"/>
  <c r="AI400"/>
  <c r="W602"/>
  <c r="AT538"/>
  <c r="AP521"/>
  <c r="O554"/>
  <c r="J520"/>
  <c r="AJ154"/>
  <c r="W438"/>
  <c r="AO186"/>
  <c r="P469"/>
  <c r="G504"/>
  <c r="J13"/>
  <c r="R542"/>
  <c r="C21" i="63"/>
  <c r="X401" i="175"/>
  <c r="M282"/>
  <c r="AQ428"/>
  <c r="AH454"/>
  <c r="U319"/>
  <c r="AN623"/>
  <c r="AS520"/>
  <c r="AC453"/>
  <c r="I279"/>
  <c r="Z446"/>
  <c r="AE29"/>
  <c r="AA247"/>
  <c r="AF323"/>
  <c r="S321"/>
  <c r="AC356"/>
  <c r="I241"/>
  <c r="AP27"/>
  <c r="AR87"/>
  <c r="AM158"/>
  <c r="I334"/>
  <c r="AH361"/>
  <c r="AH335"/>
  <c r="V31"/>
  <c r="Q608"/>
  <c r="AK338"/>
  <c r="AG453"/>
  <c r="Q5"/>
  <c r="Q682"/>
  <c r="AD605"/>
  <c r="AN558"/>
  <c r="R448"/>
  <c r="W308"/>
  <c r="Y281"/>
  <c r="S306"/>
  <c r="I560"/>
  <c r="G334"/>
  <c r="AO686"/>
  <c r="U455"/>
  <c r="AB405"/>
  <c r="AI324"/>
  <c r="AH404"/>
  <c r="AH217"/>
  <c r="H434"/>
  <c r="AA512"/>
  <c r="Y463"/>
  <c r="H506"/>
  <c r="V105"/>
  <c r="Y242"/>
  <c r="S522"/>
  <c r="AR684"/>
  <c r="AB178"/>
  <c r="AL366"/>
  <c r="AK279"/>
  <c r="AB539"/>
  <c r="AI300"/>
  <c r="AD553"/>
  <c r="AS250"/>
  <c r="I533"/>
  <c r="L444"/>
  <c r="AL462"/>
  <c r="AR624"/>
  <c r="AS518"/>
  <c r="AG520"/>
  <c r="S614"/>
  <c r="H86"/>
  <c r="Z712"/>
  <c r="AP359"/>
  <c r="G460"/>
  <c r="AP62"/>
  <c r="M711"/>
  <c r="O89"/>
  <c r="AE244"/>
  <c r="O217"/>
  <c r="K359"/>
  <c r="U60"/>
  <c r="AI538"/>
  <c r="AS507"/>
  <c r="AC406"/>
  <c r="O406"/>
  <c r="AT118"/>
  <c r="AO405"/>
  <c r="Z92"/>
  <c r="AQ610"/>
  <c r="W219"/>
  <c r="AL333"/>
  <c r="M281"/>
  <c r="AT434"/>
  <c r="AN319"/>
  <c r="J545"/>
  <c r="W62"/>
  <c r="AL603"/>
  <c r="O114"/>
  <c r="AD62"/>
  <c r="R526"/>
  <c r="K116"/>
  <c r="M97"/>
  <c r="J310"/>
  <c r="AF14"/>
  <c r="O686"/>
  <c r="AI364"/>
  <c r="V58"/>
  <c r="K20"/>
  <c r="Q249"/>
  <c r="AR21"/>
  <c r="Y320"/>
  <c r="O503"/>
  <c r="AQ318"/>
  <c r="AE304"/>
  <c r="H278"/>
  <c r="I438"/>
  <c r="AN456"/>
  <c r="AS601"/>
  <c r="R311"/>
  <c r="O371"/>
  <c r="AI103"/>
  <c r="V120"/>
  <c r="K307"/>
  <c r="AO217"/>
  <c r="AI239"/>
  <c r="AJ354"/>
  <c r="L89"/>
  <c r="AQ241"/>
  <c r="AG91"/>
  <c r="P122"/>
  <c r="K462"/>
  <c r="AA363"/>
  <c r="Q63"/>
  <c r="N323"/>
  <c r="AH187"/>
  <c r="AK336"/>
  <c r="N680"/>
  <c r="U364"/>
  <c r="AR681"/>
  <c r="AG216"/>
  <c r="Y598"/>
  <c r="J466"/>
  <c r="AR512"/>
  <c r="AT600"/>
  <c r="X529"/>
  <c r="H360"/>
  <c r="AA308"/>
  <c r="AM558"/>
  <c r="J336"/>
  <c r="AT316"/>
  <c r="AR62"/>
  <c r="L602"/>
  <c r="AS466"/>
  <c r="W683"/>
  <c r="AB356"/>
  <c r="AD15"/>
  <c r="AC10"/>
  <c r="Q536"/>
  <c r="P368"/>
  <c r="U467"/>
  <c r="R622"/>
  <c r="N177"/>
  <c r="AJ610"/>
  <c r="X319"/>
  <c r="AC357"/>
  <c r="U119"/>
  <c r="P20"/>
  <c r="AD158"/>
  <c r="Y152"/>
  <c r="AQ467"/>
  <c r="X467"/>
  <c r="AJ325"/>
  <c r="O453"/>
  <c r="V595"/>
  <c r="AH531"/>
  <c r="AS322"/>
  <c r="O428"/>
  <c r="M152"/>
  <c r="K521"/>
  <c r="AN16"/>
  <c r="AI313"/>
  <c r="AD363"/>
  <c r="AN362"/>
  <c r="Q521"/>
  <c r="N242"/>
  <c r="AD92"/>
  <c r="AK351"/>
  <c r="AC26"/>
  <c r="AO425"/>
  <c r="L155"/>
  <c r="R27"/>
  <c r="M85"/>
  <c r="AJ277"/>
  <c r="V406"/>
  <c r="T606"/>
  <c r="AL178"/>
  <c r="K88"/>
  <c r="AI83"/>
  <c r="AF157"/>
  <c r="R605"/>
  <c r="L94"/>
  <c r="AR157"/>
  <c r="L548"/>
  <c r="H533"/>
  <c r="AE86"/>
  <c r="P155"/>
  <c r="S100"/>
  <c r="AE19"/>
  <c r="AA238"/>
  <c r="AR539"/>
  <c r="H623"/>
  <c r="N443"/>
  <c r="J686"/>
  <c r="AF93"/>
  <c r="X120"/>
  <c r="AT443"/>
  <c r="L344"/>
  <c r="Z346"/>
  <c r="AA429"/>
  <c r="P529"/>
  <c r="AQ601"/>
  <c r="R91"/>
  <c r="AH548"/>
  <c r="AQ340"/>
  <c r="AB432"/>
  <c r="AI86"/>
  <c r="S57"/>
  <c r="AS503"/>
  <c r="AP23"/>
  <c r="AR443"/>
  <c r="AQ315"/>
  <c r="AI183"/>
  <c r="AJ349"/>
  <c r="AI214"/>
  <c r="P616"/>
  <c r="AA337"/>
  <c r="X320"/>
  <c r="T524"/>
  <c r="M551"/>
  <c r="J556"/>
  <c r="AM542"/>
  <c r="X556"/>
  <c r="AM10"/>
  <c r="AT303"/>
  <c r="U324"/>
  <c r="AJ555"/>
  <c r="AN82"/>
  <c r="AR219"/>
  <c r="I711"/>
  <c r="X101"/>
  <c r="G515"/>
  <c r="O85"/>
  <c r="AJ463"/>
  <c r="V6"/>
  <c r="X11"/>
  <c r="T311"/>
  <c r="AQ347"/>
  <c r="AN180"/>
  <c r="AO20"/>
  <c r="AH354"/>
  <c r="R86"/>
  <c r="K468"/>
  <c r="AN447"/>
  <c r="AM331"/>
  <c r="AC506"/>
  <c r="AI405"/>
  <c r="X685"/>
  <c r="K238"/>
  <c r="V101"/>
  <c r="AI605"/>
  <c r="Y247"/>
  <c r="AD281"/>
  <c r="AI99"/>
  <c r="AL87"/>
  <c r="AH3"/>
  <c r="AQ461"/>
  <c r="Z177"/>
  <c r="AE315"/>
  <c r="N311"/>
  <c r="AL621"/>
  <c r="AC15"/>
  <c r="P337"/>
  <c r="AE305"/>
  <c r="AQ337"/>
  <c r="L519"/>
  <c r="Y617"/>
  <c r="V425"/>
  <c r="AD5"/>
  <c r="J157"/>
  <c r="AG301"/>
  <c r="AL311"/>
  <c r="AN617"/>
  <c r="AC682"/>
  <c r="AS598"/>
  <c r="AL63"/>
  <c r="AG602"/>
  <c r="AR406"/>
  <c r="X715"/>
  <c r="AN554"/>
  <c r="AQ351"/>
  <c r="X438"/>
  <c r="K456"/>
  <c r="J102"/>
  <c r="AT425"/>
  <c r="AA24"/>
  <c r="H338"/>
  <c r="M598"/>
  <c r="S94"/>
  <c r="P405"/>
  <c r="Q214"/>
  <c r="J123"/>
  <c r="AS103"/>
  <c r="S155"/>
  <c r="N599"/>
  <c r="X446"/>
  <c r="AA105"/>
  <c r="R400"/>
  <c r="AJ216"/>
  <c r="AO88"/>
  <c r="H123"/>
  <c r="AS278"/>
  <c r="AQ541"/>
  <c r="AT11"/>
  <c r="H713"/>
  <c r="T506"/>
  <c r="R604"/>
  <c r="G614"/>
  <c r="AF353"/>
  <c r="AI600"/>
  <c r="N154"/>
  <c r="AR354"/>
  <c r="AS120"/>
  <c r="AM16"/>
  <c r="S400"/>
  <c r="AB9"/>
  <c r="AS32"/>
  <c r="AK512"/>
  <c r="AN89"/>
  <c r="AC181"/>
  <c r="J680"/>
  <c r="AR427"/>
  <c r="P99"/>
  <c r="AT323"/>
  <c r="N282"/>
  <c r="Q373"/>
  <c r="AG3"/>
  <c r="I216"/>
  <c r="N183"/>
  <c r="Y433"/>
  <c r="S402"/>
  <c r="AN358"/>
  <c r="AE518"/>
  <c r="AH244"/>
  <c r="AM352"/>
  <c r="AF450"/>
  <c r="AQ427"/>
  <c r="AS7"/>
  <c r="AM241"/>
  <c r="R544"/>
  <c r="T60"/>
  <c r="M59"/>
  <c r="Q428"/>
  <c r="S216"/>
  <c r="AJ535"/>
  <c r="AN622"/>
  <c r="AM93"/>
  <c r="AD105"/>
  <c r="U333"/>
  <c r="AK621"/>
  <c r="AL331"/>
  <c r="X326"/>
  <c r="AK355"/>
  <c r="AF21"/>
  <c r="G9"/>
  <c r="J450"/>
  <c r="AE686"/>
  <c r="AE375"/>
  <c r="AQ17"/>
  <c r="R184"/>
  <c r="X615"/>
  <c r="AI458"/>
  <c r="AN281"/>
  <c r="O214"/>
  <c r="Y307"/>
  <c r="AN605"/>
  <c r="U279"/>
  <c r="AQ611"/>
  <c r="P329"/>
  <c r="AH60"/>
  <c r="T7"/>
  <c r="Z349"/>
  <c r="AK461"/>
  <c r="AH452"/>
  <c r="M607"/>
  <c r="AM537"/>
  <c r="P310"/>
  <c r="AI316"/>
  <c r="AM25"/>
  <c r="AL17"/>
  <c r="U623"/>
  <c r="AO403"/>
  <c r="Z313"/>
  <c r="AE57"/>
  <c r="AF246"/>
  <c r="O117"/>
  <c r="AD4"/>
  <c r="Z464"/>
  <c r="AI461"/>
  <c r="N119"/>
  <c r="AT598"/>
  <c r="R356"/>
  <c r="H460"/>
  <c r="AP374"/>
  <c r="Y446"/>
  <c r="G429"/>
  <c r="AK528"/>
  <c r="S328"/>
  <c r="W560"/>
  <c r="AH436"/>
  <c r="V401"/>
  <c r="AT9"/>
  <c r="W324"/>
  <c r="AA315"/>
  <c r="AQ431"/>
  <c r="AT517"/>
  <c r="AG357"/>
  <c r="G4"/>
  <c r="T217"/>
  <c r="AG116"/>
  <c r="H281"/>
  <c r="AD240"/>
  <c r="Z536"/>
  <c r="Q86"/>
  <c r="W404"/>
  <c r="AH352"/>
  <c r="AL91"/>
  <c r="AE595"/>
  <c r="O309"/>
  <c r="U247"/>
  <c r="AS343"/>
  <c r="Y29"/>
  <c r="R15"/>
  <c r="AO310"/>
  <c r="AN177"/>
  <c r="AP511"/>
  <c r="AK539"/>
  <c r="AK306"/>
  <c r="X462"/>
  <c r="S332"/>
  <c r="AD342"/>
  <c r="AH242"/>
  <c r="AL99"/>
  <c r="AA370"/>
  <c r="AD405"/>
  <c r="AB460"/>
  <c r="AO551"/>
  <c r="AA153"/>
  <c r="AA15"/>
  <c r="AB307"/>
  <c r="AC244"/>
  <c r="Z333"/>
  <c r="Y362"/>
  <c r="K341"/>
  <c r="AG711"/>
  <c r="H606"/>
  <c r="X117"/>
  <c r="AL458"/>
  <c r="AH527"/>
  <c r="AP59"/>
  <c r="Y469"/>
  <c r="AN15"/>
  <c r="AO30"/>
  <c r="G188"/>
  <c r="AD8"/>
  <c r="K370"/>
  <c r="Z120"/>
  <c r="J544"/>
  <c r="J609"/>
  <c r="AM401"/>
  <c r="Y505"/>
  <c r="AE506"/>
  <c r="V97"/>
  <c r="AH101"/>
  <c r="H114"/>
  <c r="AI322"/>
  <c r="AC62"/>
  <c r="M523"/>
  <c r="AT92"/>
  <c r="AQ608"/>
  <c r="AR682"/>
  <c r="AP303"/>
  <c r="AA543"/>
  <c r="M100"/>
  <c r="L522"/>
  <c r="AS242"/>
  <c r="L554"/>
  <c r="P90"/>
  <c r="AT614"/>
  <c r="H469"/>
  <c r="AN538"/>
  <c r="W456"/>
  <c r="Q445"/>
  <c r="Y613"/>
  <c r="W28"/>
  <c r="AM100"/>
  <c r="G308"/>
  <c r="AD453"/>
  <c r="U3"/>
  <c r="AJ537"/>
  <c r="AS91"/>
  <c r="AS238"/>
  <c r="AM595"/>
  <c r="AD624"/>
  <c r="AS81"/>
  <c r="AF244"/>
  <c r="G119"/>
  <c r="V618"/>
  <c r="X620"/>
  <c r="S121"/>
  <c r="AR526"/>
  <c r="K24"/>
  <c r="Y335"/>
  <c r="I16"/>
  <c r="Q524"/>
  <c r="H323"/>
  <c r="G445"/>
  <c r="AO218"/>
  <c r="J431"/>
  <c r="V122"/>
  <c r="J248"/>
  <c r="AG349"/>
  <c r="G609"/>
  <c r="O216"/>
  <c r="K322"/>
  <c r="V448"/>
  <c r="X367"/>
  <c r="P4"/>
  <c r="AO334"/>
  <c r="AN125"/>
  <c r="J537"/>
  <c r="AR342"/>
  <c r="AJ188"/>
  <c r="AH603"/>
  <c r="AI323"/>
  <c r="U310"/>
  <c r="S241"/>
  <c r="U303"/>
  <c r="X431"/>
  <c r="AD28"/>
  <c r="AF23"/>
  <c r="AS517"/>
  <c r="T684"/>
  <c r="AE327"/>
  <c r="AB338"/>
  <c r="W401"/>
  <c r="T365"/>
  <c r="W521"/>
  <c r="M681"/>
  <c r="P425"/>
  <c r="R355"/>
  <c r="AB119"/>
  <c r="AJ331"/>
  <c r="AR22"/>
  <c r="AT519"/>
  <c r="N538"/>
  <c r="V359"/>
  <c r="AG323"/>
  <c r="AB505"/>
  <c r="X331"/>
  <c r="I595"/>
  <c r="AD12"/>
  <c r="R712"/>
  <c r="AD276"/>
  <c r="M318"/>
  <c r="N539"/>
  <c r="H682"/>
  <c r="AP22"/>
  <c r="AI683"/>
  <c r="AA433"/>
  <c r="AG304"/>
  <c r="AE426"/>
  <c r="K92"/>
  <c r="AF58"/>
  <c r="S341"/>
  <c r="M360"/>
  <c r="U456"/>
  <c r="P551"/>
  <c r="AA557"/>
  <c r="AN61"/>
  <c r="J344"/>
  <c r="AH554"/>
  <c r="AM552"/>
  <c r="L713"/>
  <c r="AF301"/>
  <c r="U177"/>
  <c r="X27"/>
  <c r="L57"/>
  <c r="L623"/>
  <c r="K57"/>
  <c r="AD429"/>
  <c r="AH558"/>
  <c r="AK11"/>
  <c r="Z457"/>
  <c r="AE353"/>
  <c r="AT342"/>
  <c r="AG405"/>
  <c r="S152"/>
  <c r="R446"/>
  <c r="S305"/>
  <c r="AB507"/>
  <c r="Q430"/>
  <c r="I454"/>
  <c r="AF428"/>
  <c r="AB433"/>
  <c r="AK304"/>
  <c r="AT436"/>
  <c r="K530"/>
  <c r="AQ346"/>
  <c r="V534"/>
  <c r="T426"/>
  <c r="Q247"/>
  <c r="P608"/>
  <c r="AR277"/>
  <c r="T368"/>
  <c r="W531"/>
  <c r="S444"/>
  <c r="W454"/>
  <c r="S537"/>
  <c r="T216"/>
  <c r="G371"/>
  <c r="G25"/>
  <c r="AS327"/>
  <c r="N506"/>
  <c r="T338"/>
  <c r="S364"/>
  <c r="AN548"/>
  <c r="AO182"/>
  <c r="Q3"/>
  <c r="AF90"/>
  <c r="P684"/>
  <c r="S251"/>
  <c r="L506"/>
  <c r="AI25"/>
  <c r="H425"/>
  <c r="J324"/>
  <c r="AR102"/>
  <c r="AB154"/>
  <c r="S556"/>
  <c r="K156"/>
  <c r="R242"/>
  <c r="X435"/>
  <c r="Y328"/>
  <c r="U277"/>
  <c r="AQ375"/>
  <c r="AC346"/>
  <c r="O360"/>
  <c r="AP531"/>
  <c r="AJ308"/>
  <c r="M601"/>
  <c r="R63"/>
  <c r="Q12"/>
  <c r="AB250"/>
  <c r="Z684"/>
  <c r="AO114"/>
  <c r="I712"/>
  <c r="U714"/>
  <c r="P323"/>
  <c r="I351"/>
  <c r="H539"/>
  <c r="Z217"/>
  <c r="AN303"/>
  <c r="T363"/>
  <c r="Q216"/>
  <c r="AN461"/>
  <c r="AD539"/>
  <c r="R466"/>
  <c r="V457"/>
  <c r="AQ350"/>
  <c r="Q179"/>
  <c r="AJ527"/>
  <c r="Q25"/>
  <c r="AJ180"/>
  <c r="AB375"/>
  <c r="O711"/>
  <c r="AA552"/>
  <c r="P187"/>
  <c r="N179"/>
  <c r="AD543"/>
  <c r="T534"/>
  <c r="O429"/>
  <c r="AN28"/>
  <c r="AN243"/>
  <c r="AT684"/>
  <c r="AN17"/>
  <c r="J406"/>
  <c r="I526"/>
  <c r="X437"/>
  <c r="K328"/>
  <c r="AR543"/>
  <c r="Q243"/>
  <c r="Y61"/>
  <c r="AP466"/>
  <c r="N336"/>
  <c r="R59"/>
  <c r="N90"/>
  <c r="I542"/>
  <c r="AD318"/>
  <c r="L17"/>
  <c r="AR426"/>
  <c r="O60"/>
  <c r="S375"/>
  <c r="AH120"/>
  <c r="AD338"/>
  <c r="J508"/>
  <c r="AC507"/>
  <c r="AE538"/>
  <c r="AQ343"/>
  <c r="L280"/>
  <c r="Z334"/>
  <c r="AI100"/>
  <c r="Z342"/>
  <c r="M373"/>
  <c r="AS361"/>
  <c r="AR155"/>
  <c r="AD544"/>
  <c r="R553"/>
  <c r="AK681"/>
  <c r="AJ714"/>
  <c r="AN349"/>
  <c r="H57"/>
  <c r="AM81"/>
  <c r="AC431"/>
  <c r="P303"/>
  <c r="AR518"/>
  <c r="Y189"/>
  <c r="P348"/>
  <c r="N334"/>
  <c r="AP714"/>
  <c r="M539"/>
  <c r="Z325"/>
  <c r="M599"/>
  <c r="AJ551"/>
  <c r="P432"/>
  <c r="V247"/>
  <c r="P527"/>
  <c r="AN521"/>
  <c r="AF609"/>
  <c r="K300"/>
  <c r="AT5"/>
  <c r="V246"/>
  <c r="AG322"/>
  <c r="G456"/>
  <c r="G31"/>
  <c r="K115"/>
  <c r="V552"/>
  <c r="AA539"/>
  <c r="J711"/>
  <c r="AJ405"/>
  <c r="AE685"/>
  <c r="Q622"/>
  <c r="AC433"/>
  <c r="T536"/>
  <c r="AL321"/>
  <c r="N521"/>
  <c r="U447"/>
  <c r="T24"/>
  <c r="AD436"/>
  <c r="N452"/>
  <c r="H365"/>
  <c r="T27"/>
  <c r="G282"/>
  <c r="I304"/>
  <c r="J467"/>
  <c r="P19"/>
  <c r="O541"/>
  <c r="AS505"/>
  <c r="V360"/>
  <c r="AL28"/>
  <c r="AE303"/>
  <c r="M276"/>
  <c r="U522"/>
  <c r="AT308"/>
  <c r="AH365"/>
  <c r="AI92"/>
  <c r="R530"/>
  <c r="L463"/>
  <c r="AP372"/>
  <c r="AK320"/>
  <c r="AA597"/>
  <c r="W304"/>
  <c r="AH22"/>
  <c r="K363"/>
  <c r="O436"/>
  <c r="U12"/>
  <c r="AD11"/>
  <c r="AN29"/>
  <c r="AR370"/>
  <c r="AI432"/>
  <c r="K601"/>
  <c r="H548"/>
  <c r="AQ606"/>
  <c r="R152"/>
  <c r="Z682"/>
  <c r="AK309"/>
  <c r="AP187"/>
  <c r="AE508"/>
  <c r="AO517"/>
  <c r="O316"/>
  <c r="Z218"/>
  <c r="X458"/>
  <c r="V338"/>
  <c r="AH154"/>
  <c r="U93"/>
  <c r="AH602"/>
  <c r="W178"/>
  <c r="Y425"/>
  <c r="M323"/>
  <c r="S14"/>
  <c r="N340"/>
  <c r="AN603"/>
  <c r="Q401"/>
  <c r="G358"/>
  <c r="AT24"/>
  <c r="S603"/>
  <c r="G218"/>
  <c r="H97"/>
  <c r="AE548"/>
  <c r="AL16"/>
  <c r="AJ215"/>
  <c r="M506"/>
  <c r="AE684"/>
  <c r="H453"/>
  <c r="AC604"/>
  <c r="AL62"/>
  <c r="AL219"/>
  <c r="U457"/>
  <c r="O609"/>
  <c r="AL559"/>
  <c r="AA620"/>
  <c r="AM103"/>
  <c r="M528"/>
  <c r="W326"/>
  <c r="P214"/>
  <c r="AE88"/>
  <c r="T517"/>
  <c r="AF364"/>
  <c r="Y437"/>
  <c r="O246"/>
  <c r="Z5"/>
  <c r="AJ559"/>
  <c r="V13"/>
  <c r="M239"/>
  <c r="K452"/>
  <c r="AF366"/>
  <c r="I522"/>
  <c r="V559"/>
  <c r="AH427"/>
  <c r="AQ214"/>
  <c r="G545"/>
  <c r="AD331"/>
  <c r="Z680"/>
  <c r="AP328"/>
  <c r="AR357"/>
  <c r="AN178"/>
  <c r="V327"/>
  <c r="V335"/>
  <c r="S680"/>
  <c r="R24"/>
  <c r="I606"/>
  <c r="AE608"/>
  <c r="AE22"/>
  <c r="AQ10"/>
  <c r="W527"/>
  <c r="AF511"/>
  <c r="AG454"/>
  <c r="K600"/>
  <c r="L453"/>
  <c r="AS154"/>
  <c r="Q601"/>
  <c r="AB304"/>
  <c r="AM548"/>
  <c r="AK617"/>
  <c r="AP404"/>
  <c r="I31"/>
  <c r="N88"/>
  <c r="S92"/>
  <c r="K459"/>
  <c r="AP10"/>
  <c r="L425"/>
  <c r="N94"/>
  <c r="X456"/>
  <c r="AP529"/>
  <c r="H366"/>
  <c r="AH320"/>
  <c r="AD116"/>
  <c r="K526"/>
  <c r="M189"/>
  <c r="P460"/>
  <c r="AL533"/>
  <c r="AG217"/>
  <c r="AP309"/>
  <c r="P97"/>
  <c r="U102"/>
  <c r="AG125"/>
  <c r="G555"/>
  <c r="L429"/>
  <c r="AA361"/>
  <c r="AN551"/>
  <c r="G106"/>
  <c r="AF57"/>
  <c r="M22"/>
  <c r="H320"/>
  <c r="N464"/>
  <c r="L364"/>
  <c r="AB525"/>
  <c r="AA463"/>
  <c r="AN3"/>
  <c r="R241"/>
  <c r="K365"/>
  <c r="AK530"/>
  <c r="I531"/>
  <c r="I682"/>
  <c r="AJ328"/>
  <c r="AG364"/>
  <c r="P347"/>
  <c r="K250"/>
  <c r="Y512"/>
  <c r="X451"/>
  <c r="J8"/>
  <c r="T715"/>
  <c r="N557"/>
  <c r="N22"/>
  <c r="Y183"/>
  <c r="AL250"/>
  <c r="Z97"/>
  <c r="AH118"/>
  <c r="W682"/>
  <c r="AF506"/>
  <c r="AT541"/>
  <c r="S22"/>
  <c r="AN516"/>
  <c r="AO247"/>
  <c r="AG276"/>
  <c r="AN435"/>
  <c r="W601"/>
  <c r="X554"/>
  <c r="AA529"/>
  <c r="AA30"/>
  <c r="R428"/>
  <c r="AC21"/>
  <c r="AT509"/>
  <c r="Q438"/>
  <c r="AL332"/>
  <c r="K302"/>
  <c r="AM685"/>
  <c r="K538"/>
  <c r="H615"/>
  <c r="Z324"/>
  <c r="AF553"/>
  <c r="X279"/>
  <c r="G155"/>
  <c r="AS5"/>
  <c r="U4"/>
  <c r="AC503"/>
  <c r="AO82"/>
  <c r="I331"/>
  <c r="K249"/>
  <c r="AQ683"/>
  <c r="P17"/>
  <c r="AH177"/>
  <c r="AC309"/>
  <c r="W453"/>
  <c r="AK103"/>
  <c r="V318"/>
  <c r="G183"/>
  <c r="AG624"/>
  <c r="AM428"/>
  <c r="AD596"/>
  <c r="Q431"/>
  <c r="AF10"/>
  <c r="V431"/>
  <c r="O15"/>
  <c r="Q534"/>
  <c r="AH429"/>
  <c r="AG338"/>
  <c r="G528"/>
  <c r="S618"/>
  <c r="AD220"/>
  <c r="AR556"/>
  <c r="AR428"/>
  <c r="L360"/>
  <c r="AM239"/>
  <c r="J608"/>
  <c r="AQ123"/>
  <c r="AC328"/>
  <c r="V32"/>
  <c r="AT616"/>
  <c r="AO281"/>
  <c r="AK622"/>
  <c r="AM219"/>
  <c r="Z88"/>
  <c r="AF600"/>
  <c r="AB612"/>
  <c r="AC7"/>
  <c r="X26"/>
  <c r="AQ339"/>
  <c r="AL350"/>
  <c r="P681"/>
  <c r="AT544"/>
  <c r="X536"/>
  <c r="AH601"/>
  <c r="AB60"/>
  <c r="L304"/>
  <c r="N276"/>
  <c r="K5"/>
  <c r="S544"/>
  <c r="H518"/>
  <c r="T341"/>
  <c r="AC105"/>
  <c r="S682"/>
  <c r="AB559"/>
  <c r="AN20"/>
  <c r="S340"/>
  <c r="G712"/>
  <c r="AM617"/>
  <c r="G503"/>
  <c r="X240"/>
  <c r="AO368"/>
  <c r="T595"/>
  <c r="AG365"/>
  <c r="Z621"/>
  <c r="U517"/>
  <c r="AH428"/>
  <c r="AF430"/>
  <c r="AA402"/>
  <c r="AI220"/>
  <c r="AQ528"/>
  <c r="P358"/>
  <c r="AL188"/>
  <c r="V684"/>
  <c r="M96"/>
  <c r="I452"/>
  <c r="AF613"/>
  <c r="M536"/>
  <c r="AO214"/>
  <c r="AS89"/>
  <c r="U22"/>
  <c r="M365"/>
  <c r="AT335"/>
  <c r="Z309"/>
  <c r="AP249"/>
  <c r="AM118"/>
  <c r="O340"/>
  <c r="AL683"/>
  <c r="V466"/>
  <c r="AG113"/>
  <c r="K220"/>
  <c r="AQ537"/>
  <c r="AK335"/>
  <c r="AF307"/>
  <c r="N99"/>
  <c r="AD101"/>
  <c r="J605"/>
  <c r="P154"/>
  <c r="AM336"/>
  <c r="AS430"/>
  <c r="T158"/>
  <c r="K507"/>
  <c r="AL330"/>
  <c r="J100"/>
  <c r="AG325"/>
  <c r="AG620"/>
  <c r="I186"/>
  <c r="AK443"/>
  <c r="AR715"/>
  <c r="Q113"/>
  <c r="AJ281"/>
  <c r="W317"/>
  <c r="AB305"/>
  <c r="AB26"/>
  <c r="M540"/>
  <c r="AD402"/>
  <c r="AQ531"/>
  <c r="W526"/>
  <c r="AQ63"/>
  <c r="P362"/>
  <c r="AH125"/>
  <c r="J9"/>
  <c r="P57"/>
  <c r="AH360"/>
  <c r="AN116"/>
  <c r="AF85"/>
  <c r="U464"/>
  <c r="AI315"/>
  <c r="P426"/>
  <c r="AQ505"/>
  <c r="M543"/>
  <c r="AE616"/>
  <c r="AG324"/>
  <c r="J22"/>
  <c r="AG218"/>
  <c r="AI349"/>
  <c r="K617"/>
  <c r="AE618"/>
  <c r="V59"/>
  <c r="R451"/>
  <c r="AN619"/>
  <c r="V542"/>
  <c r="AS553"/>
  <c r="AI511"/>
  <c r="AF242"/>
  <c r="S469"/>
  <c r="G428"/>
  <c r="G512"/>
  <c r="X316"/>
  <c r="AT400"/>
  <c r="AJ14"/>
  <c r="L300"/>
  <c r="J240"/>
  <c r="L246"/>
  <c r="AB96"/>
  <c r="P353"/>
  <c r="W425"/>
  <c r="Q535"/>
  <c r="G240"/>
  <c r="T558"/>
  <c r="AF154"/>
  <c r="J246"/>
  <c r="J341"/>
  <c r="AN534"/>
  <c r="AS85"/>
  <c r="R685"/>
  <c r="H429"/>
  <c r="AM218"/>
  <c r="J116"/>
  <c r="G103"/>
  <c r="AK682"/>
  <c r="T615"/>
  <c r="O23"/>
  <c r="U306"/>
  <c r="Z282"/>
  <c r="R465"/>
  <c r="I180"/>
  <c r="I559"/>
  <c r="H350"/>
  <c r="AO120"/>
  <c r="J305"/>
  <c r="K516"/>
  <c r="AM340"/>
  <c r="AK369"/>
  <c r="AS12"/>
  <c r="H3"/>
  <c r="I10"/>
  <c r="AL217"/>
  <c r="Z554"/>
  <c r="L59"/>
  <c r="AJ372"/>
  <c r="U520"/>
  <c r="Z614"/>
  <c r="AC523"/>
  <c r="R517"/>
  <c r="H508"/>
  <c r="AG425"/>
  <c r="AO180"/>
  <c r="AQ603"/>
  <c r="AJ352"/>
  <c r="L543"/>
  <c r="Z320"/>
  <c r="V454"/>
  <c r="Z601"/>
  <c r="H16"/>
  <c r="Z528"/>
  <c r="P541"/>
  <c r="R620"/>
  <c r="AO311"/>
  <c r="AE13"/>
  <c r="H282"/>
  <c r="AJ519"/>
  <c r="AB457"/>
  <c r="X321"/>
  <c r="AQ404"/>
  <c r="J11"/>
  <c r="R315"/>
  <c r="AK552"/>
  <c r="AA16"/>
  <c r="AJ529"/>
  <c r="AD524"/>
  <c r="AQ249"/>
  <c r="X3"/>
  <c r="AB522"/>
  <c r="Y555"/>
  <c r="AG614"/>
  <c r="AO307"/>
  <c r="Q372"/>
  <c r="Z608"/>
  <c r="I338"/>
  <c r="AT446"/>
  <c r="AQ282"/>
  <c r="J434"/>
  <c r="AE319"/>
  <c r="AG367"/>
  <c r="AB521"/>
  <c r="X461"/>
  <c r="AG300"/>
  <c r="K463"/>
  <c r="G312"/>
  <c r="AC158"/>
  <c r="R93"/>
  <c r="T601"/>
  <c r="AM713"/>
  <c r="P543"/>
  <c r="AO464"/>
  <c r="AC452"/>
  <c r="W315"/>
  <c r="M453"/>
  <c r="AH455"/>
  <c r="J103"/>
  <c r="AR362"/>
  <c r="AJ523"/>
  <c r="AO462"/>
  <c r="AJ119"/>
  <c r="AJ350"/>
  <c r="AE155"/>
  <c r="Y445"/>
  <c r="AM29"/>
  <c r="U351"/>
  <c r="T602"/>
  <c r="AT620"/>
  <c r="Q184"/>
  <c r="AM405"/>
  <c r="AF459"/>
  <c r="P438"/>
  <c r="AL338"/>
  <c r="AO469"/>
  <c r="AO58"/>
  <c r="R713"/>
  <c r="AH121"/>
  <c r="AD609"/>
  <c r="AL246"/>
  <c r="O338"/>
  <c r="I366"/>
  <c r="AC601"/>
  <c r="AS363"/>
  <c r="T516"/>
  <c r="AA560"/>
  <c r="AG305"/>
  <c r="AP177"/>
  <c r="W457"/>
  <c r="AF540"/>
  <c r="J685"/>
  <c r="AR60"/>
  <c r="AF552"/>
  <c r="AH307"/>
  <c r="H609"/>
  <c r="R371"/>
  <c r="AS310"/>
  <c r="P445"/>
  <c r="AG523"/>
  <c r="R535"/>
  <c r="Z465"/>
  <c r="R361"/>
  <c r="Q303"/>
  <c r="S218"/>
  <c r="M321"/>
  <c r="H529"/>
  <c r="AI247"/>
  <c r="M713"/>
  <c r="AN364"/>
  <c r="AM317"/>
  <c r="AK525"/>
  <c r="G432"/>
  <c r="AD188"/>
  <c r="W432"/>
  <c r="P316"/>
  <c r="AN90"/>
  <c r="X373"/>
  <c r="AO509"/>
  <c r="AP551"/>
  <c r="U350"/>
  <c r="AK372"/>
  <c r="AS531"/>
  <c r="AJ343"/>
  <c r="J300"/>
  <c r="Z336"/>
  <c r="AP433"/>
  <c r="AQ96"/>
  <c r="AL326"/>
  <c r="AT360"/>
  <c r="X306"/>
  <c r="AL715"/>
  <c r="AO557"/>
  <c r="AE406"/>
  <c r="U154"/>
  <c r="AN369"/>
  <c r="O463"/>
  <c r="AB340"/>
  <c r="J373"/>
  <c r="AR239"/>
  <c r="T531"/>
  <c r="AE680"/>
  <c r="W603"/>
  <c r="U534"/>
  <c r="K512"/>
  <c r="AB557"/>
  <c r="L355"/>
  <c r="S187"/>
  <c r="M247"/>
  <c r="X340"/>
  <c r="AJ153"/>
  <c r="AM102"/>
  <c r="S247"/>
  <c r="AJ448"/>
  <c r="Z615"/>
  <c r="AI361"/>
  <c r="AS124"/>
  <c r="AR599"/>
  <c r="AQ713"/>
  <c r="AG32"/>
  <c r="AD119"/>
  <c r="X185"/>
  <c r="W460"/>
  <c r="I537"/>
  <c r="AJ57"/>
  <c r="AN606"/>
  <c r="AB533"/>
  <c r="R177"/>
  <c r="H101"/>
  <c r="AE154"/>
  <c r="AB430"/>
  <c r="AJ609"/>
  <c r="R548"/>
  <c r="R320"/>
  <c r="P113"/>
  <c r="AM115"/>
  <c r="AA518"/>
  <c r="AL189"/>
  <c r="AJ317"/>
  <c r="H681"/>
  <c r="S435"/>
  <c r="S611"/>
  <c r="S403"/>
  <c r="AN337"/>
  <c r="AT623"/>
  <c r="S219"/>
  <c r="S180"/>
  <c r="AH152"/>
  <c r="S307"/>
  <c r="R4"/>
  <c r="AM715"/>
  <c r="V317"/>
  <c r="AQ597"/>
  <c r="O10"/>
  <c r="W466"/>
  <c r="O553"/>
  <c r="Y18"/>
  <c r="T466"/>
  <c r="AJ351"/>
  <c r="M15"/>
  <c r="V511"/>
  <c r="AN543"/>
  <c r="AF438"/>
  <c r="AR615"/>
  <c r="AP426"/>
  <c r="Y458"/>
  <c r="AD368"/>
  <c r="P430"/>
  <c r="AR468"/>
  <c r="X622"/>
  <c r="AF466"/>
  <c r="AH507"/>
  <c r="AL122"/>
  <c r="Q102"/>
  <c r="R336"/>
  <c r="AS330"/>
  <c r="Z245"/>
  <c r="W684"/>
  <c r="AM445"/>
  <c r="R89"/>
  <c r="AQ90"/>
  <c r="AH405"/>
  <c r="O12"/>
  <c r="Z61"/>
  <c r="AR364"/>
  <c r="J94"/>
  <c r="Z117"/>
  <c r="Z371"/>
  <c r="H448"/>
  <c r="AE10"/>
  <c r="P242"/>
  <c r="AD60"/>
  <c r="G544"/>
  <c r="M20"/>
  <c r="AE25"/>
  <c r="AL32"/>
  <c r="G542"/>
  <c r="K60"/>
  <c r="AI102"/>
  <c r="AB120"/>
  <c r="L459"/>
  <c r="M57"/>
  <c r="AP344"/>
  <c r="AQ370"/>
  <c r="P83"/>
  <c r="AA325"/>
  <c r="AD351"/>
  <c r="AD623"/>
  <c r="Y538"/>
  <c r="W282"/>
  <c r="AN404"/>
  <c r="N239"/>
  <c r="AC12"/>
  <c r="AH332"/>
  <c r="AQ526"/>
  <c r="S188"/>
  <c r="AG343"/>
  <c r="N364"/>
  <c r="S16"/>
  <c r="AF83"/>
  <c r="O353"/>
  <c r="AS15"/>
  <c r="M447"/>
  <c r="AL436"/>
  <c r="O21"/>
  <c r="AM681"/>
  <c r="N115"/>
  <c r="AK86"/>
  <c r="N429"/>
  <c r="AG119"/>
  <c r="AN105"/>
  <c r="X552"/>
  <c r="AL354"/>
  <c r="G616"/>
  <c r="W371"/>
  <c r="T360"/>
  <c r="AA600"/>
  <c r="AK181"/>
  <c r="K27"/>
  <c r="K189"/>
  <c r="X87"/>
  <c r="AJ602"/>
  <c r="J59"/>
  <c r="Q560"/>
  <c r="X122"/>
  <c r="J312"/>
  <c r="AR541"/>
  <c r="W452"/>
  <c r="K529"/>
  <c r="O536"/>
  <c r="AB355"/>
  <c r="T437"/>
  <c r="P86"/>
  <c r="Q300"/>
  <c r="AM59"/>
  <c r="T450"/>
  <c r="X533"/>
  <c r="AA118"/>
  <c r="AB528"/>
  <c r="AC542"/>
  <c r="J526"/>
  <c r="AD319"/>
  <c r="K63"/>
  <c r="AG685"/>
  <c r="AO712"/>
  <c r="Z301"/>
  <c r="AL186"/>
  <c r="Q280"/>
  <c r="AN508"/>
  <c r="AL614"/>
  <c r="AL113"/>
  <c r="AK541"/>
  <c r="M332"/>
  <c r="K93"/>
  <c r="AA516"/>
  <c r="AL541"/>
  <c r="P371"/>
  <c r="AL279"/>
  <c r="T10"/>
  <c r="AK373"/>
  <c r="AH238"/>
  <c r="Q559"/>
  <c r="X557"/>
  <c r="AA303"/>
  <c r="AE311"/>
  <c r="AF360"/>
  <c r="R358"/>
  <c r="Z405"/>
  <c r="R618"/>
  <c r="S97"/>
  <c r="L153"/>
  <c r="AB101"/>
  <c r="X614"/>
  <c r="N89"/>
  <c r="W18"/>
  <c r="O508"/>
  <c r="K100"/>
  <c r="AT681"/>
  <c r="Z530"/>
  <c r="AD375"/>
  <c r="AN595"/>
  <c r="AO450"/>
  <c r="AS94"/>
  <c r="T436"/>
  <c r="J459"/>
  <c r="M343"/>
  <c r="AC320"/>
  <c r="AN469"/>
  <c r="Z681"/>
  <c r="AG303"/>
  <c r="U354"/>
  <c r="M26"/>
  <c r="O368"/>
  <c r="G105"/>
  <c r="AS342"/>
  <c r="V596"/>
  <c r="W181"/>
  <c r="AK599"/>
  <c r="Z353"/>
  <c r="AI599"/>
  <c r="AD406"/>
  <c r="AG15"/>
  <c r="P304"/>
  <c r="AR528"/>
  <c r="AP324"/>
  <c r="AT406"/>
  <c r="W518"/>
  <c r="AJ616"/>
  <c r="G26"/>
  <c r="AE83"/>
  <c r="N302"/>
  <c r="V517"/>
  <c r="AH88"/>
  <c r="AI320"/>
  <c r="I158"/>
  <c r="AK624"/>
  <c r="AH7"/>
  <c r="AC115"/>
  <c r="Z86"/>
  <c r="Q607"/>
  <c r="AR325"/>
  <c r="N310"/>
  <c r="S401"/>
  <c r="AA114"/>
  <c r="AK430"/>
  <c r="K426"/>
  <c r="G10"/>
  <c r="AL508"/>
  <c r="K21"/>
  <c r="AE466"/>
  <c r="P124"/>
  <c r="G436"/>
  <c r="Q713"/>
  <c r="AT63"/>
  <c r="X63"/>
  <c r="AO250"/>
  <c r="Z618"/>
  <c r="M188"/>
  <c r="W101"/>
  <c r="AJ467"/>
  <c r="Z187"/>
  <c r="AF61"/>
  <c r="L452"/>
  <c r="AL83"/>
  <c r="K183"/>
  <c r="M312"/>
  <c r="AD462"/>
  <c r="AI317"/>
  <c r="AF512"/>
  <c r="H102"/>
  <c r="P468"/>
  <c r="X459"/>
  <c r="Z23"/>
  <c r="AM556"/>
  <c r="K612"/>
  <c r="AO454"/>
  <c r="I451"/>
  <c r="AL238"/>
  <c r="AN609"/>
  <c r="AS218"/>
  <c r="AC9"/>
  <c r="AJ435"/>
  <c r="AI467"/>
  <c r="AB554"/>
  <c r="N711"/>
  <c r="R3"/>
  <c r="P93"/>
  <c r="AJ311"/>
  <c r="AN463"/>
  <c r="I597"/>
  <c r="K372"/>
  <c r="AF337"/>
  <c r="AA331"/>
  <c r="J180"/>
  <c r="I686"/>
  <c r="Q183"/>
  <c r="O365"/>
  <c r="W86"/>
  <c r="P332"/>
  <c r="U624"/>
  <c r="P540"/>
  <c r="Q461"/>
  <c r="N214"/>
  <c r="O20"/>
  <c r="W503"/>
  <c r="AO447"/>
  <c r="AK322"/>
  <c r="W359"/>
  <c r="J370"/>
  <c r="X25"/>
  <c r="M158"/>
  <c r="S373"/>
  <c r="AG462"/>
  <c r="AJ406"/>
  <c r="AK527"/>
  <c r="AJ528"/>
  <c r="AM597"/>
  <c r="AS333"/>
  <c r="AH367"/>
  <c r="AR617"/>
  <c r="AM454"/>
  <c r="N445"/>
  <c r="K556"/>
  <c r="AB608"/>
  <c r="T241"/>
  <c r="AQ157"/>
  <c r="AP12"/>
  <c r="AT595"/>
  <c r="G60"/>
  <c r="S115"/>
  <c r="Q455"/>
  <c r="Z544"/>
  <c r="AA216"/>
  <c r="AB249"/>
  <c r="AI505"/>
  <c r="AP181"/>
  <c r="AB503"/>
  <c r="AD246"/>
  <c r="AQ401"/>
  <c r="W117"/>
  <c r="AM120"/>
  <c r="N105"/>
  <c r="AG155"/>
  <c r="AH8"/>
  <c r="L552"/>
  <c r="T243"/>
  <c r="AD187"/>
  <c r="AA99"/>
  <c r="AI338"/>
  <c r="S343"/>
  <c r="AT468"/>
  <c r="O426"/>
  <c r="J433"/>
  <c r="S543"/>
  <c r="AC374"/>
  <c r="AQ436"/>
  <c r="AP464"/>
  <c r="AD334"/>
  <c r="I516"/>
  <c r="AI177"/>
  <c r="W25"/>
  <c r="O247"/>
  <c r="AM606"/>
  <c r="AP113"/>
  <c r="AP596"/>
  <c r="AT215"/>
  <c r="AS97"/>
  <c r="AP242"/>
  <c r="AB240"/>
  <c r="AQ88"/>
  <c r="Z527"/>
  <c r="X346"/>
  <c r="AT178"/>
  <c r="AN351"/>
  <c r="AH614"/>
  <c r="AR462"/>
  <c r="AS369"/>
  <c r="Q251"/>
  <c r="AM328"/>
  <c r="AS21"/>
  <c r="H711"/>
  <c r="O608"/>
  <c r="AF333"/>
  <c r="AH374"/>
  <c r="O683"/>
  <c r="K125"/>
  <c r="AO548"/>
  <c r="AL105"/>
  <c r="K18"/>
  <c r="AR344"/>
  <c r="N11"/>
  <c r="AS469"/>
  <c r="R302"/>
  <c r="AS433"/>
  <c r="AQ119"/>
  <c r="I521"/>
  <c r="H354"/>
  <c r="AF60"/>
  <c r="AP373"/>
  <c r="V612"/>
  <c r="I246"/>
  <c r="AQ59"/>
  <c r="P454"/>
  <c r="AH97"/>
  <c r="Q404"/>
  <c r="AN401"/>
  <c r="AJ507"/>
  <c r="AF614"/>
  <c r="U15"/>
  <c r="I245"/>
  <c r="W20"/>
  <c r="AI543"/>
  <c r="AP86"/>
  <c r="AR59"/>
  <c r="H250"/>
  <c r="AG334"/>
  <c r="AF425"/>
  <c r="H344"/>
  <c r="AR32"/>
  <c r="P680"/>
  <c r="AI339"/>
  <c r="AD305"/>
  <c r="E22" i="63"/>
  <c r="G96" i="175"/>
  <c r="U605"/>
  <c r="AJ102"/>
  <c r="P94"/>
  <c r="P522"/>
  <c r="I328"/>
  <c r="N622"/>
  <c r="K242"/>
  <c r="Q368"/>
  <c r="K528"/>
  <c r="J302"/>
  <c r="O606"/>
  <c r="N537"/>
  <c r="AP218"/>
  <c r="AR522"/>
  <c r="AK301"/>
  <c r="AP543"/>
  <c r="AE614"/>
  <c r="R310"/>
  <c r="N238"/>
  <c r="AN528"/>
  <c r="Q30"/>
  <c r="N24"/>
  <c r="AF156"/>
  <c r="T359"/>
  <c r="AE556"/>
  <c r="AQ216"/>
  <c r="AF455"/>
  <c r="AL451"/>
  <c r="L336"/>
  <c r="AP63"/>
  <c r="I215"/>
  <c r="AA427"/>
  <c r="I302"/>
  <c r="AG466"/>
  <c r="AA618"/>
  <c r="AG279"/>
  <c r="G179"/>
  <c r="AP370"/>
  <c r="L340"/>
  <c r="Z94"/>
  <c r="I339"/>
  <c r="AO113"/>
  <c r="AL93"/>
  <c r="AR339"/>
  <c r="AR459"/>
  <c r="N317"/>
  <c r="AM536"/>
  <c r="AS335"/>
  <c r="L350"/>
  <c r="S122"/>
  <c r="AP553"/>
  <c r="V603"/>
  <c r="R249"/>
  <c r="AS313"/>
  <c r="L120"/>
  <c r="Q62"/>
  <c r="AC553"/>
  <c r="AI341"/>
  <c r="S352"/>
  <c r="AR92"/>
  <c r="S683"/>
  <c r="AG370"/>
  <c r="AK251"/>
  <c r="AA31"/>
  <c r="AT180"/>
  <c r="AF215"/>
  <c r="N308"/>
  <c r="Z24"/>
  <c r="AN239"/>
  <c r="K597"/>
  <c r="AS360"/>
  <c r="K551"/>
  <c r="AS467"/>
  <c r="P618"/>
  <c r="AG612"/>
  <c r="N25"/>
  <c r="R503"/>
  <c r="AS356"/>
  <c r="U323"/>
  <c r="AS119"/>
  <c r="AC22"/>
  <c r="AD503"/>
  <c r="L328"/>
  <c r="AG372"/>
  <c r="AL57"/>
  <c r="AI684"/>
  <c r="N517"/>
  <c r="AL434"/>
  <c r="P183"/>
  <c r="AI614"/>
  <c r="AC355"/>
  <c r="AG327"/>
  <c r="J447"/>
  <c r="AK241"/>
  <c r="H186"/>
  <c r="AH511"/>
  <c r="AQ183"/>
  <c r="U335"/>
  <c r="J29"/>
  <c r="AD343"/>
  <c r="AB713"/>
  <c r="W158"/>
  <c r="J468"/>
  <c r="AD96"/>
  <c r="AT241"/>
  <c r="Q531"/>
  <c r="V607"/>
  <c r="AQ447"/>
  <c r="V88"/>
  <c r="AH24"/>
  <c r="H535"/>
  <c r="O598"/>
  <c r="AJ451"/>
  <c r="Z368"/>
  <c r="AL369"/>
  <c r="P558"/>
  <c r="AO467"/>
  <c r="AD306"/>
  <c r="Z7"/>
  <c r="Q616"/>
  <c r="R99"/>
  <c r="AT340"/>
  <c r="AF327"/>
  <c r="Z277"/>
  <c r="AC612"/>
  <c r="V523"/>
  <c r="AE529"/>
  <c r="AS603"/>
  <c r="AJ524"/>
  <c r="AR445"/>
  <c r="AR217"/>
  <c r="AG302"/>
  <c r="AS614"/>
  <c r="AC456"/>
  <c r="V324"/>
  <c r="K118"/>
  <c r="L448"/>
  <c r="I239"/>
  <c r="AO503"/>
  <c r="AT122"/>
  <c r="T122"/>
  <c r="AD302"/>
  <c r="AS241"/>
  <c r="Y184"/>
  <c r="U508"/>
  <c r="AT276"/>
  <c r="AK113"/>
  <c r="AT450"/>
  <c r="O86"/>
  <c r="AJ542"/>
  <c r="M714"/>
  <c r="AI539"/>
  <c r="N246"/>
  <c r="AG328"/>
  <c r="AO683"/>
  <c r="AK277"/>
  <c r="Q538"/>
  <c r="V154"/>
  <c r="T184"/>
  <c r="M555"/>
  <c r="AS548"/>
  <c r="N617"/>
  <c r="I116"/>
  <c r="I401"/>
  <c r="AT522"/>
  <c r="AP618"/>
  <c r="V538"/>
  <c r="P519"/>
  <c r="Q508"/>
  <c r="AL22"/>
  <c r="U363"/>
  <c r="AD525"/>
  <c r="AL560"/>
  <c r="AM539"/>
  <c r="M8"/>
  <c r="P24"/>
  <c r="AE443"/>
  <c r="G537"/>
  <c r="AH597"/>
  <c r="G121"/>
  <c r="AG14"/>
  <c r="AJ321"/>
  <c r="W517"/>
  <c r="M458"/>
  <c r="H372"/>
  <c r="AL456"/>
  <c r="J307"/>
  <c r="V355"/>
  <c r="AR300"/>
  <c r="N279"/>
  <c r="V524"/>
  <c r="X606"/>
  <c r="AM337"/>
  <c r="T113"/>
  <c r="AJ595"/>
  <c r="AF370"/>
  <c r="AJ92"/>
  <c r="AR178"/>
  <c r="Y157"/>
  <c r="AE326"/>
  <c r="AE434"/>
  <c r="AH181"/>
  <c r="S31"/>
  <c r="H312"/>
  <c r="AL540"/>
  <c r="N20"/>
  <c r="S311"/>
  <c r="AB280"/>
  <c r="Q305"/>
  <c r="S542"/>
  <c r="N121"/>
  <c r="U445"/>
  <c r="M340"/>
  <c r="L517"/>
  <c r="M465"/>
  <c r="AM521"/>
  <c r="AB682"/>
  <c r="K534"/>
  <c r="AK685"/>
  <c r="P238"/>
  <c r="AD443"/>
  <c r="K124"/>
  <c r="AC92"/>
  <c r="K87"/>
  <c r="AD516"/>
  <c r="X313"/>
  <c r="M118"/>
  <c r="R301"/>
  <c r="AN524"/>
  <c r="AS454"/>
  <c r="L551"/>
  <c r="O454"/>
  <c r="AR438"/>
  <c r="Z220"/>
  <c r="AN713"/>
  <c r="AE105"/>
  <c r="AI215"/>
  <c r="AP28"/>
  <c r="AM323"/>
  <c r="AA541"/>
  <c r="T613"/>
  <c r="AK352"/>
  <c r="X616"/>
  <c r="I308"/>
  <c r="G81"/>
  <c r="G511"/>
  <c r="J558"/>
  <c r="AC536"/>
  <c r="S596"/>
  <c r="AJ365"/>
  <c r="AQ355"/>
  <c r="O450"/>
  <c r="J464"/>
  <c r="AQ373"/>
  <c r="AC242"/>
  <c r="AT508"/>
  <c r="AD711"/>
  <c r="M251"/>
  <c r="P713"/>
  <c r="Y187"/>
  <c r="H153"/>
  <c r="K375"/>
  <c r="Y358"/>
  <c r="AN542"/>
  <c r="AL154"/>
  <c r="AJ320"/>
  <c r="AI28"/>
  <c r="N606"/>
  <c r="K320"/>
  <c r="S559"/>
  <c r="AJ302"/>
  <c r="AJ322"/>
  <c r="AO338"/>
  <c r="Z153"/>
  <c r="AB617"/>
  <c r="U217"/>
  <c r="AI348"/>
  <c r="AB156"/>
  <c r="N434"/>
  <c r="AK466"/>
  <c r="S351"/>
  <c r="AS86"/>
  <c r="AR328"/>
  <c r="AR318"/>
  <c r="R516"/>
  <c r="J158"/>
  <c r="T119"/>
  <c r="AS616"/>
  <c r="AR181"/>
  <c r="L302"/>
  <c r="K334"/>
  <c r="AP527"/>
  <c r="AL459"/>
  <c r="AF214"/>
  <c r="R308"/>
  <c r="Y452"/>
  <c r="AJ93"/>
  <c r="O521"/>
  <c r="AT157"/>
  <c r="AL598"/>
  <c r="Y321"/>
  <c r="J152"/>
  <c r="K406"/>
  <c r="AO308"/>
  <c r="AS19"/>
  <c r="K182"/>
  <c r="V367"/>
  <c r="S454"/>
  <c r="AH616"/>
  <c r="AG19"/>
  <c r="H600"/>
  <c r="AG115"/>
  <c r="S348"/>
  <c r="W242"/>
  <c r="Z339"/>
  <c r="M157"/>
  <c r="AL445"/>
  <c r="R313"/>
  <c r="AM534"/>
  <c r="AL19"/>
  <c r="AM509"/>
  <c r="AA524"/>
  <c r="Q220"/>
  <c r="Q603"/>
  <c r="H239"/>
  <c r="U683"/>
  <c r="AB371"/>
  <c r="AA320"/>
  <c r="W551"/>
  <c r="Z184"/>
  <c r="AE11"/>
  <c r="T326"/>
  <c r="AI438"/>
  <c r="L436"/>
  <c r="AT105"/>
  <c r="V541"/>
  <c r="G59"/>
  <c r="AS312"/>
  <c r="V322"/>
  <c r="AF155"/>
  <c r="G361"/>
  <c r="AJ512"/>
  <c r="AP712"/>
  <c r="Q457"/>
  <c r="I365"/>
  <c r="T560"/>
  <c r="AL249"/>
  <c r="T522"/>
  <c r="X325"/>
  <c r="AN527"/>
  <c r="S153"/>
  <c r="AD713"/>
  <c r="AN621"/>
  <c r="X528"/>
  <c r="AQ251"/>
  <c r="X339"/>
  <c r="Q152"/>
  <c r="AA59"/>
  <c r="AA680"/>
  <c r="T371"/>
  <c r="Q29"/>
  <c r="AL452"/>
  <c r="J428"/>
  <c r="L320"/>
  <c r="X511"/>
  <c r="AK598"/>
  <c r="V712"/>
  <c r="AB303"/>
  <c r="L523"/>
  <c r="Y403"/>
  <c r="K14"/>
  <c r="K609"/>
  <c r="X613"/>
  <c r="S610"/>
  <c r="AO366"/>
  <c r="L535"/>
  <c r="AF177"/>
  <c r="AC551"/>
  <c r="AC434"/>
  <c r="M359"/>
  <c r="Y251"/>
  <c r="R217"/>
  <c r="M346"/>
  <c r="W152"/>
  <c r="G318"/>
  <c r="AC152"/>
  <c r="AG241"/>
  <c r="AJ403"/>
  <c r="AD121"/>
  <c r="Z11"/>
  <c r="S714"/>
  <c r="G189"/>
  <c r="AA467"/>
  <c r="AG682"/>
  <c r="AE552"/>
  <c r="AT280"/>
  <c r="G115"/>
  <c r="AD27"/>
  <c r="Y334"/>
  <c r="AF119"/>
  <c r="Q469"/>
  <c r="AC539"/>
  <c r="AC534"/>
  <c r="AA239"/>
  <c r="U27"/>
  <c r="AF554"/>
  <c r="Z553"/>
  <c r="AD31"/>
  <c r="AL322"/>
  <c r="AC597"/>
  <c r="H279"/>
  <c r="Y96"/>
  <c r="AR279"/>
  <c r="AS453"/>
  <c r="AL528"/>
  <c r="M469"/>
  <c r="AH94"/>
  <c r="AK331"/>
  <c r="G338"/>
  <c r="AI374"/>
  <c r="X157"/>
  <c r="AQ181"/>
  <c r="H456"/>
  <c r="M335"/>
  <c r="J238"/>
  <c r="N248"/>
  <c r="AN91"/>
  <c r="N542"/>
  <c r="I529"/>
  <c r="P220"/>
  <c r="AH447"/>
  <c r="AE8"/>
  <c r="AF94"/>
  <c r="AJ157"/>
  <c r="AS152"/>
  <c r="G425"/>
  <c r="AB537"/>
  <c r="L358"/>
  <c r="Q316"/>
  <c r="T303"/>
  <c r="O329"/>
  <c r="K362"/>
  <c r="AL714"/>
  <c r="AO14"/>
  <c r="AE91"/>
  <c r="L613"/>
  <c r="AT465"/>
  <c r="AJ17"/>
  <c r="AR525"/>
  <c r="N543"/>
  <c r="K435"/>
  <c r="AG219"/>
  <c r="Z437"/>
  <c r="AK81"/>
  <c r="AR544"/>
  <c r="AQ450"/>
  <c r="M606"/>
  <c r="V602"/>
  <c r="L158"/>
  <c r="P247"/>
  <c r="G19"/>
  <c r="AL402"/>
  <c r="AD557"/>
  <c r="AF711"/>
  <c r="AA617"/>
  <c r="M278"/>
  <c r="J560"/>
  <c r="X526"/>
  <c r="AE596"/>
  <c r="AR340"/>
  <c r="AJ715"/>
  <c r="R276"/>
  <c r="AM608"/>
  <c r="Q103"/>
  <c r="AG712"/>
  <c r="AB239"/>
  <c r="W3"/>
  <c r="X597"/>
  <c r="AO453"/>
  <c r="AD534"/>
  <c r="AK319"/>
  <c r="AP438"/>
  <c r="K247"/>
  <c r="L406"/>
  <c r="AK97"/>
  <c r="AD541"/>
  <c r="U468"/>
  <c r="L541"/>
  <c r="S62"/>
  <c r="H183"/>
  <c r="AN181"/>
  <c r="Y621"/>
  <c r="AD154"/>
  <c r="AM347"/>
  <c r="R125"/>
  <c r="AB613"/>
  <c r="AK600"/>
  <c r="AR327"/>
  <c r="W153"/>
  <c r="R153"/>
  <c r="AQ218"/>
  <c r="U315"/>
  <c r="Q466"/>
  <c r="AQ618"/>
  <c r="N26"/>
  <c r="AJ61"/>
  <c r="AM277"/>
  <c r="AQ22"/>
  <c r="L370"/>
  <c r="AC624"/>
  <c r="V461"/>
  <c r="V215"/>
  <c r="N598"/>
  <c r="AC466"/>
  <c r="G446"/>
  <c r="Q336"/>
  <c r="Y310"/>
  <c r="O402"/>
  <c r="AM188"/>
  <c r="AC342"/>
  <c r="AL509"/>
  <c r="AF607"/>
  <c r="W248"/>
  <c r="AM178"/>
  <c r="T610"/>
  <c r="Z458"/>
  <c r="W609"/>
  <c r="AT14"/>
  <c r="AL465"/>
  <c r="AH18"/>
  <c r="AJ533"/>
  <c r="AH353"/>
  <c r="U446"/>
  <c r="M430"/>
  <c r="P308"/>
  <c r="AH59"/>
  <c r="J624"/>
  <c r="AG512"/>
  <c r="AA558"/>
  <c r="M279"/>
  <c r="AE523"/>
  <c r="R443"/>
  <c r="AP544"/>
  <c r="AA115"/>
  <c r="AK349"/>
  <c r="AJ364"/>
  <c r="AF367"/>
  <c r="AP94"/>
  <c r="AS340"/>
  <c r="AR508"/>
  <c r="J400"/>
  <c r="AO431"/>
  <c r="M326"/>
  <c r="AJ99"/>
  <c r="AI448"/>
  <c r="Z358"/>
  <c r="AN101"/>
  <c r="G185"/>
  <c r="Y543"/>
  <c r="O512"/>
  <c r="AA362"/>
  <c r="AO434"/>
  <c r="AS220"/>
  <c r="T9"/>
  <c r="V300"/>
  <c r="H305"/>
  <c r="AH553"/>
  <c r="AN355"/>
  <c r="AN519"/>
  <c r="H313"/>
  <c r="AP6"/>
  <c r="Z59"/>
  <c r="P333"/>
  <c r="AL453"/>
  <c r="M311"/>
  <c r="M306"/>
  <c r="AT243"/>
  <c r="AQ605"/>
  <c r="T608"/>
  <c r="L684"/>
  <c r="H322"/>
  <c r="I332"/>
  <c r="W102"/>
  <c r="AJ323"/>
  <c r="V509"/>
  <c r="AD621"/>
  <c r="AQ156"/>
  <c r="AO8"/>
  <c r="J453"/>
  <c r="O443"/>
  <c r="Z103"/>
  <c r="W553"/>
  <c r="T525"/>
  <c r="P121"/>
  <c r="AN333"/>
  <c r="AD282"/>
  <c r="S281"/>
  <c r="L530"/>
  <c r="AD598"/>
  <c r="L251"/>
  <c r="AQ117"/>
  <c r="V316"/>
  <c r="S356"/>
  <c r="Q322"/>
  <c r="AO12"/>
  <c r="O61"/>
  <c r="AM512"/>
  <c r="AN88"/>
  <c r="AQ543"/>
  <c r="AJ219"/>
  <c r="AB683"/>
  <c r="AE247"/>
  <c r="X503"/>
  <c r="Y179"/>
  <c r="AA82"/>
  <c r="H83"/>
  <c r="AE356"/>
  <c r="AI558"/>
  <c r="AS431"/>
  <c r="AQ681"/>
  <c r="T369"/>
  <c r="AF556"/>
  <c r="AP516"/>
  <c r="X610"/>
  <c r="AR250"/>
  <c r="T85"/>
  <c r="AG607"/>
  <c r="AO458"/>
  <c r="Y178"/>
  <c r="P714"/>
  <c r="W465"/>
  <c r="G454"/>
  <c r="AG306"/>
  <c r="AT125"/>
  <c r="AN250"/>
  <c r="AM309"/>
  <c r="T431"/>
  <c r="AT278"/>
  <c r="AO433"/>
  <c r="Z455"/>
  <c r="N102"/>
  <c r="G90"/>
  <c r="M446"/>
  <c r="S101"/>
  <c r="AR29"/>
  <c r="AN318"/>
  <c r="AS611"/>
  <c r="W429"/>
  <c r="AS180"/>
  <c r="V21"/>
  <c r="AO157"/>
  <c r="K23"/>
  <c r="Y371"/>
  <c r="AO352"/>
  <c r="J90"/>
  <c r="G430"/>
  <c r="G84"/>
  <c r="V119"/>
  <c r="X598"/>
  <c r="AJ20"/>
  <c r="G606"/>
  <c r="AE351"/>
  <c r="AI520"/>
  <c r="AH57"/>
  <c r="AH86"/>
  <c r="J28"/>
  <c r="AJ434"/>
  <c r="AF122"/>
  <c r="AA437"/>
  <c r="P715"/>
  <c r="AT403"/>
  <c r="Z425"/>
  <c r="AE431"/>
  <c r="AO601"/>
  <c r="P184"/>
  <c r="AR251"/>
  <c r="AT27"/>
  <c r="I714"/>
  <c r="P451"/>
  <c r="X371"/>
  <c r="X182"/>
  <c r="Y333"/>
  <c r="AL325"/>
  <c r="S300"/>
  <c r="U123"/>
  <c r="O277"/>
  <c r="T361"/>
  <c r="Y429"/>
  <c r="J83"/>
  <c r="I185"/>
  <c r="AN280"/>
  <c r="T278"/>
  <c r="J364"/>
  <c r="I280"/>
  <c r="AO6"/>
  <c r="V686"/>
  <c r="L624"/>
  <c r="AF469"/>
  <c r="N403"/>
  <c r="M461"/>
  <c r="I182"/>
  <c r="L683"/>
  <c r="R154"/>
  <c r="AK312"/>
  <c r="Z26"/>
  <c r="R434"/>
  <c r="AG105"/>
  <c r="R373"/>
  <c r="AI304"/>
  <c r="Z14"/>
  <c r="Z427"/>
  <c r="Z280"/>
  <c r="AA7"/>
  <c r="AE509"/>
  <c r="P85"/>
  <c r="X518"/>
  <c r="W366"/>
  <c r="G597"/>
  <c r="G247"/>
  <c r="H217"/>
  <c r="R330"/>
  <c r="AG85"/>
  <c r="S325"/>
  <c r="AP355"/>
  <c r="AB685"/>
  <c r="M405"/>
  <c r="AF277"/>
  <c r="H362"/>
  <c r="AF6"/>
  <c r="AS29"/>
  <c r="Y365"/>
  <c r="AT711"/>
  <c r="AG354"/>
  <c r="R468"/>
  <c r="U527"/>
  <c r="AS536"/>
  <c r="AG13"/>
  <c r="H433"/>
  <c r="AD94"/>
  <c r="AQ540"/>
  <c r="AF533"/>
  <c r="AF448"/>
  <c r="AL364"/>
  <c r="S605"/>
  <c r="AI29"/>
  <c r="AS465"/>
  <c r="H462"/>
  <c r="AG401"/>
  <c r="Q100"/>
  <c r="AB715"/>
  <c r="V23"/>
  <c r="AP220"/>
  <c r="Q405"/>
  <c r="AR434"/>
  <c r="U302"/>
  <c r="S622"/>
  <c r="AC308"/>
  <c r="P328"/>
  <c r="AS177"/>
  <c r="AE612"/>
  <c r="AD13"/>
  <c r="AQ598"/>
  <c r="AR336"/>
  <c r="N19"/>
  <c r="AC455"/>
  <c r="AL5"/>
  <c r="AB306"/>
  <c r="AF343"/>
  <c r="I336"/>
  <c r="G357"/>
  <c r="R537"/>
  <c r="G374"/>
  <c r="AJ608"/>
  <c r="AG358"/>
  <c r="K623"/>
  <c r="AP534"/>
  <c r="AF446"/>
  <c r="M374"/>
  <c r="T105"/>
  <c r="AG103"/>
  <c r="AB6"/>
  <c r="N404"/>
  <c r="AQ560"/>
  <c r="L467"/>
  <c r="AJ96"/>
  <c r="W27"/>
  <c r="AC94"/>
  <c r="AR436"/>
  <c r="Q460"/>
  <c r="AA348"/>
  <c r="AN305"/>
  <c r="AA405"/>
  <c r="N518"/>
  <c r="H712"/>
  <c r="J530"/>
  <c r="I155"/>
  <c r="M685"/>
  <c r="Z686"/>
  <c r="AO306"/>
  <c r="AC512"/>
  <c r="J616"/>
  <c r="AH443"/>
  <c r="K350"/>
  <c r="AQ89"/>
  <c r="AF123"/>
  <c r="AF374"/>
  <c r="AI8"/>
  <c r="AO369"/>
  <c r="AS216"/>
  <c r="T89"/>
  <c r="R425"/>
  <c r="AO349"/>
  <c r="AS437"/>
  <c r="AA454"/>
  <c r="H435"/>
  <c r="O468"/>
  <c r="AF443"/>
  <c r="AT315"/>
  <c r="R349"/>
  <c r="AQ612"/>
  <c r="AF278"/>
  <c r="AR606"/>
  <c r="Z329"/>
  <c r="AK463"/>
  <c r="AB451"/>
  <c r="N327"/>
  <c r="Q124"/>
  <c r="AN599"/>
  <c r="Q509"/>
  <c r="AG239"/>
  <c r="W436"/>
  <c r="L603"/>
  <c r="AS301"/>
  <c r="W364"/>
  <c r="AB543"/>
  <c r="M277"/>
  <c r="S5"/>
  <c r="AK366"/>
  <c r="AM7"/>
  <c r="AB604"/>
  <c r="I327"/>
  <c r="Y606"/>
  <c r="Q278"/>
  <c r="AE364"/>
  <c r="AE447"/>
  <c r="P516"/>
  <c r="X608"/>
  <c r="L243"/>
  <c r="AS551"/>
  <c r="AA711"/>
  <c r="AJ444"/>
  <c r="AH82"/>
  <c r="O121"/>
  <c r="L118"/>
  <c r="V506"/>
  <c r="AG6"/>
  <c r="AQ313"/>
  <c r="Q330"/>
  <c r="AQ86"/>
  <c r="N156"/>
  <c r="AA511"/>
  <c r="AJ118"/>
  <c r="AG336"/>
  <c r="P429"/>
  <c r="J454"/>
  <c r="W335"/>
  <c r="AB468"/>
  <c r="AT242"/>
  <c r="AG558"/>
  <c r="AO341"/>
  <c r="T99"/>
  <c r="Y216"/>
  <c r="AH282"/>
  <c r="AR13"/>
  <c r="G156"/>
  <c r="S310"/>
  <c r="AJ459"/>
  <c r="R556"/>
  <c r="AR343"/>
  <c r="R560"/>
  <c r="S347"/>
  <c r="AS28"/>
  <c r="AG326"/>
  <c r="R459"/>
  <c r="AE452"/>
  <c r="AN323"/>
  <c r="AF340"/>
  <c r="AG610"/>
  <c r="U596"/>
  <c r="AR465"/>
  <c r="AG181"/>
  <c r="AN97"/>
  <c r="AI7"/>
  <c r="AI351"/>
  <c r="AR153"/>
  <c r="R156"/>
  <c r="AD83"/>
  <c r="AA185"/>
  <c r="AN715"/>
  <c r="W458"/>
  <c r="L366"/>
  <c r="AH279"/>
  <c r="H444"/>
  <c r="R512"/>
  <c r="AL616"/>
  <c r="W559"/>
  <c r="AP349"/>
  <c r="V522"/>
  <c r="N8"/>
  <c r="X220"/>
  <c r="Q464"/>
  <c r="AS373"/>
  <c r="AF332"/>
  <c r="P509"/>
  <c r="AQ621"/>
  <c r="AR9"/>
  <c r="AI365"/>
  <c r="O452"/>
  <c r="AF344"/>
  <c r="P533"/>
  <c r="P623"/>
  <c r="W281"/>
  <c r="AE371"/>
  <c r="AQ9"/>
  <c r="I624"/>
  <c r="V505"/>
  <c r="AN300"/>
  <c r="G596"/>
  <c r="AE178"/>
  <c r="G7"/>
  <c r="AB544"/>
  <c r="AQ14"/>
  <c r="J465"/>
  <c r="AG28"/>
  <c r="AR25"/>
  <c r="AK118"/>
  <c r="AR555"/>
  <c r="J339"/>
  <c r="H610"/>
  <c r="Y248"/>
  <c r="Z540"/>
  <c r="AL308"/>
  <c r="T152"/>
  <c r="W188"/>
  <c r="J534"/>
  <c r="AD528"/>
  <c r="P300"/>
  <c r="G92"/>
  <c r="Z247"/>
  <c r="P431"/>
  <c r="AP338"/>
  <c r="S320"/>
  <c r="AD551"/>
  <c r="AR353"/>
  <c r="AE9"/>
  <c r="AO183"/>
  <c r="M542"/>
  <c r="U113"/>
  <c r="AK310"/>
  <c r="AT460"/>
  <c r="Q282"/>
  <c r="Q82"/>
  <c r="O612"/>
  <c r="AN246"/>
  <c r="S183"/>
  <c r="AC332"/>
  <c r="AM183"/>
  <c r="V326"/>
  <c r="AL123"/>
  <c r="O680"/>
  <c r="X93"/>
  <c r="AO333"/>
  <c r="Z535"/>
  <c r="T503"/>
  <c r="AM680"/>
  <c r="AF616"/>
  <c r="AA352"/>
  <c r="AG608"/>
  <c r="L157"/>
  <c r="I82"/>
  <c r="X404"/>
  <c r="H156"/>
  <c r="W598"/>
  <c r="Q624"/>
  <c r="I527"/>
  <c r="AQ304"/>
  <c r="O373"/>
  <c r="L556"/>
  <c r="I358"/>
  <c r="AB339"/>
  <c r="W540"/>
  <c r="I87"/>
  <c r="AH537"/>
  <c r="L534"/>
  <c r="AK152"/>
  <c r="H300"/>
  <c r="AM522"/>
  <c r="AM339"/>
  <c r="X342"/>
  <c r="S428"/>
  <c r="Q248"/>
  <c r="AQ180"/>
  <c r="AL158"/>
  <c r="Q370"/>
  <c r="Y119"/>
  <c r="AQ358"/>
  <c r="AK242"/>
  <c r="AS305"/>
  <c r="AO178"/>
  <c r="N406"/>
  <c r="K243"/>
  <c r="AS450"/>
  <c r="R559"/>
  <c r="AJ605"/>
  <c r="AM527"/>
  <c r="AE184"/>
  <c r="G243"/>
  <c r="R367"/>
  <c r="AJ85"/>
  <c r="AN533"/>
  <c r="P530"/>
  <c r="AK606"/>
  <c r="AD155"/>
  <c r="AI327"/>
  <c r="AO277"/>
  <c r="AT181"/>
  <c r="AE713"/>
  <c r="AA335"/>
  <c r="X123"/>
  <c r="AD529"/>
  <c r="AE332"/>
  <c r="T62"/>
  <c r="AO96"/>
  <c r="N553"/>
  <c r="M86"/>
  <c r="AL507"/>
  <c r="AI517"/>
  <c r="AR248"/>
  <c r="L187"/>
  <c r="R118"/>
  <c r="AQ219"/>
  <c r="AO117"/>
  <c r="X15"/>
  <c r="AA179"/>
  <c r="AO324"/>
  <c r="AE87"/>
  <c r="O120"/>
  <c r="AL454"/>
  <c r="W444"/>
  <c r="R508"/>
  <c r="S86"/>
  <c r="AI372"/>
  <c r="X433"/>
  <c r="P508"/>
  <c r="AR463"/>
  <c r="S539"/>
  <c r="AP318"/>
  <c r="J335"/>
  <c r="AE5"/>
  <c r="AI557"/>
  <c r="W6"/>
  <c r="AP403"/>
  <c r="R238"/>
  <c r="S374"/>
  <c r="O278"/>
  <c r="K539"/>
  <c r="AG362"/>
  <c r="P32"/>
  <c r="AJ506"/>
  <c r="T279"/>
  <c r="U614"/>
  <c r="N595"/>
  <c r="AA326"/>
  <c r="AN467"/>
  <c r="V115"/>
  <c r="AF179"/>
  <c r="AG616"/>
  <c r="AA10"/>
  <c r="AE216"/>
  <c r="AH318"/>
  <c r="AA443"/>
  <c r="AM554"/>
  <c r="AG606"/>
  <c r="H680"/>
  <c r="L103"/>
  <c r="R21"/>
  <c r="J438"/>
  <c r="AI307"/>
  <c r="AI30"/>
  <c r="O303"/>
  <c r="AD680"/>
  <c r="H61"/>
  <c r="AL315"/>
  <c r="AS316"/>
  <c r="I94"/>
  <c r="AH333"/>
  <c r="AH27"/>
  <c r="G238"/>
  <c r="AB361"/>
  <c r="G605"/>
  <c r="AK347"/>
  <c r="AK344"/>
  <c r="Z523"/>
  <c r="AM362"/>
  <c r="S18"/>
  <c r="AR18"/>
  <c r="I154"/>
  <c r="Y346"/>
  <c r="X309"/>
  <c r="AK448"/>
  <c r="AM344"/>
  <c r="AG81"/>
  <c r="AK537"/>
  <c r="I404"/>
  <c r="AC278"/>
  <c r="W180"/>
  <c r="R120"/>
  <c r="AP351"/>
  <c r="N309"/>
  <c r="N184"/>
  <c r="I125"/>
  <c r="J313"/>
  <c r="Q610"/>
  <c r="AO367"/>
  <c r="H597"/>
  <c r="Y680"/>
  <c r="S309"/>
  <c r="R401"/>
  <c r="AQ524"/>
  <c r="G359"/>
  <c r="AL90"/>
  <c r="AP326"/>
  <c r="AQ13"/>
  <c r="M185"/>
  <c r="AH31"/>
  <c r="AL428"/>
  <c r="AD30"/>
  <c r="AQ323"/>
  <c r="AO466"/>
  <c r="U523"/>
  <c r="AS31"/>
  <c r="AO240"/>
  <c r="AF217"/>
  <c r="W312"/>
  <c r="L316"/>
  <c r="O323"/>
  <c r="AJ366"/>
  <c r="AT89"/>
  <c r="AI355"/>
  <c r="AP87"/>
  <c r="AM533"/>
  <c r="K519"/>
  <c r="AD425"/>
  <c r="U611"/>
  <c r="AP243"/>
  <c r="T246"/>
  <c r="AP61"/>
  <c r="AD250"/>
  <c r="AO244"/>
  <c r="AQ245"/>
  <c r="T325"/>
  <c r="Y101"/>
  <c r="AO713"/>
  <c r="AF617"/>
  <c r="AS435"/>
  <c r="M219"/>
  <c r="K99"/>
  <c r="P402"/>
  <c r="I322"/>
  <c r="AI601"/>
  <c r="AA519"/>
  <c r="AQ4"/>
  <c r="J189"/>
  <c r="AL18"/>
  <c r="AE301"/>
  <c r="R445"/>
  <c r="Z96"/>
  <c r="G463"/>
  <c r="I99"/>
  <c r="X184"/>
  <c r="Z321"/>
  <c r="AN535"/>
  <c r="AB327"/>
  <c r="AP358"/>
  <c r="AB431"/>
  <c r="G328"/>
  <c r="AC81"/>
  <c r="Y366"/>
  <c r="S13"/>
  <c r="U400"/>
  <c r="X94"/>
  <c r="AP446"/>
  <c r="AO216"/>
  <c r="R405"/>
  <c r="X86"/>
  <c r="AM353"/>
  <c r="S462"/>
  <c r="AM11"/>
  <c r="AK523"/>
  <c r="AR553"/>
  <c r="T315"/>
  <c r="AP306"/>
  <c r="N250"/>
  <c r="AB542"/>
  <c r="T548"/>
  <c r="W249"/>
  <c r="AT155"/>
  <c r="AO156"/>
  <c r="AA242"/>
  <c r="AD619"/>
  <c r="V400"/>
  <c r="H552"/>
  <c r="AE528"/>
  <c r="AD455"/>
  <c r="T603"/>
  <c r="AM242"/>
  <c r="AP548"/>
  <c r="J469"/>
  <c r="AB114"/>
  <c r="AK249"/>
  <c r="AI682"/>
  <c r="W24"/>
  <c r="AC555"/>
  <c r="AC428"/>
  <c r="R105"/>
  <c r="Q686"/>
  <c r="AD362"/>
  <c r="K154"/>
  <c r="AL247"/>
  <c r="AP468"/>
  <c r="H403"/>
  <c r="AC119"/>
  <c r="AM462"/>
  <c r="AH460"/>
  <c r="I429"/>
  <c r="AB372"/>
  <c r="M218"/>
  <c r="K511"/>
  <c r="AQ121"/>
  <c r="AC277"/>
  <c r="AK607"/>
  <c r="AI60"/>
  <c r="AO115"/>
  <c r="R598"/>
  <c r="AH349"/>
  <c r="H686"/>
  <c r="AP444"/>
  <c r="AH426"/>
  <c r="AD249"/>
  <c r="P511"/>
  <c r="AP434"/>
  <c r="AK5"/>
  <c r="T327"/>
  <c r="H400"/>
  <c r="P118"/>
  <c r="M535"/>
  <c r="AL527"/>
  <c r="J215"/>
  <c r="U530"/>
  <c r="AG603"/>
  <c r="N124"/>
  <c r="L305"/>
  <c r="O605"/>
  <c r="AP541"/>
  <c r="AA243"/>
  <c r="AR363"/>
  <c r="AE558"/>
  <c r="P7"/>
  <c r="X713"/>
  <c r="AM116"/>
  <c r="AK558"/>
  <c r="AK597"/>
  <c r="Z469"/>
  <c r="AB369"/>
  <c r="R600"/>
  <c r="Y462"/>
  <c r="J14"/>
  <c r="AT405"/>
  <c r="AD446"/>
  <c r="AI57"/>
  <c r="AF433"/>
  <c r="AI622"/>
  <c r="T155"/>
  <c r="AO553"/>
  <c r="T544"/>
  <c r="N358"/>
  <c r="AQ325"/>
  <c r="AB463"/>
  <c r="AF100"/>
  <c r="AF680"/>
  <c r="I243"/>
  <c r="AT114"/>
  <c r="G180"/>
  <c r="AM215"/>
  <c r="AB215"/>
  <c r="I554"/>
  <c r="AJ508"/>
  <c r="O523"/>
  <c r="R81"/>
  <c r="AF92"/>
  <c r="AP330"/>
  <c r="AD622"/>
  <c r="AP342"/>
  <c r="X18"/>
  <c r="G517"/>
  <c r="AJ427"/>
  <c r="N597"/>
  <c r="L536"/>
  <c r="M524"/>
  <c r="T622"/>
  <c r="AG465"/>
  <c r="AL455"/>
  <c r="Z447"/>
  <c r="AR156"/>
  <c r="AO361"/>
  <c r="V535"/>
  <c r="AJ114"/>
  <c r="AR313"/>
  <c r="T313"/>
  <c r="AD216"/>
  <c r="V372"/>
  <c r="H59"/>
  <c r="AG445"/>
  <c r="X97"/>
  <c r="M533"/>
  <c r="M512"/>
  <c r="AJ611"/>
  <c r="O153"/>
  <c r="X544"/>
  <c r="AN462"/>
  <c r="U402"/>
  <c r="AM22"/>
  <c r="AF328"/>
  <c r="AA23"/>
  <c r="T102"/>
  <c r="Y342"/>
  <c r="AB116"/>
  <c r="AT339"/>
  <c r="S606"/>
  <c r="G356"/>
  <c r="AM505"/>
  <c r="J326"/>
  <c r="V357"/>
  <c r="P403"/>
  <c r="T239"/>
  <c r="H685"/>
  <c r="Z611"/>
  <c r="X711"/>
  <c r="AC469"/>
  <c r="AR15"/>
  <c r="AO278"/>
  <c r="R23"/>
  <c r="AI464"/>
  <c r="I356"/>
  <c r="O249"/>
  <c r="Q527"/>
  <c r="AM508"/>
  <c r="AE463"/>
  <c r="M621"/>
  <c r="AC448"/>
  <c r="AA334"/>
  <c r="I370"/>
  <c r="AC450"/>
  <c r="AS457"/>
  <c r="AL92"/>
  <c r="AT25"/>
  <c r="AC189"/>
  <c r="AN448"/>
  <c r="AS374"/>
  <c r="AJ185"/>
  <c r="M331"/>
  <c r="S61"/>
  <c r="AK367"/>
  <c r="O622"/>
  <c r="X522"/>
  <c r="S541"/>
  <c r="AE551"/>
  <c r="K621"/>
  <c r="N331"/>
  <c r="N619"/>
  <c r="R5"/>
  <c r="M531"/>
  <c r="H19"/>
  <c r="AN119"/>
  <c r="AJ240"/>
  <c r="G427"/>
  <c r="S336"/>
  <c r="AJ82"/>
  <c r="AQ330"/>
  <c r="AN450"/>
  <c r="Y619"/>
  <c r="AM280"/>
  <c r="G450"/>
  <c r="M317"/>
  <c r="L526"/>
  <c r="AH11"/>
  <c r="AP522"/>
  <c r="N462"/>
  <c r="O281"/>
  <c r="T83"/>
  <c r="R610"/>
  <c r="H242"/>
  <c r="AO90"/>
  <c r="AM245"/>
  <c r="AT552"/>
  <c r="O279"/>
  <c r="AF456"/>
  <c r="AP607"/>
  <c r="S371"/>
  <c r="Z401"/>
  <c r="X560"/>
  <c r="AI280"/>
  <c r="AM447"/>
  <c r="L711"/>
  <c r="AM326"/>
  <c r="AC365"/>
  <c r="C25" i="63"/>
  <c r="AN309" i="175"/>
  <c r="K315"/>
  <c r="X599"/>
  <c r="O359"/>
  <c r="H406"/>
  <c r="O619"/>
  <c r="AK340"/>
  <c r="AC157"/>
  <c r="AK308"/>
  <c r="L32"/>
  <c r="X343"/>
  <c r="AP302"/>
  <c r="O313"/>
  <c r="AO326"/>
  <c r="AS444"/>
  <c r="J359"/>
  <c r="AM529"/>
  <c r="S99"/>
  <c r="AM119"/>
  <c r="AO505"/>
  <c r="T362"/>
  <c r="AI451"/>
  <c r="AB527"/>
  <c r="H125"/>
  <c r="J125"/>
  <c r="R14"/>
  <c r="AH366"/>
  <c r="AE61"/>
  <c r="Z453"/>
  <c r="V521"/>
  <c r="AC505"/>
  <c r="AP461"/>
  <c r="T433"/>
  <c r="AO608"/>
  <c r="AK433"/>
  <c r="AE461"/>
  <c r="J455"/>
  <c r="H4"/>
  <c r="AF28"/>
  <c r="H317"/>
  <c r="AH372"/>
  <c r="AQ188"/>
  <c r="M324"/>
  <c r="AG8"/>
  <c r="AT279"/>
  <c r="AA616"/>
  <c r="Z119"/>
  <c r="W512"/>
  <c r="AG23"/>
  <c r="AT505"/>
  <c r="AL179"/>
  <c r="AC617"/>
  <c r="AS685"/>
  <c r="AR506"/>
  <c r="AS60"/>
  <c r="AA8"/>
  <c r="U30"/>
  <c r="AP456"/>
  <c r="AD180"/>
  <c r="T250"/>
  <c r="AP537"/>
  <c r="AT320"/>
  <c r="I513"/>
  <c r="G187"/>
  <c r="M348"/>
  <c r="U458"/>
  <c r="AD23"/>
  <c r="AI12"/>
  <c r="R460"/>
  <c r="AM607"/>
  <c r="AJ620"/>
  <c r="AD324"/>
  <c r="AM87"/>
  <c r="AA542"/>
  <c r="R340"/>
  <c r="N437"/>
  <c r="AR103"/>
  <c r="AO347"/>
  <c r="AS615"/>
  <c r="AO318"/>
  <c r="AH535"/>
  <c r="AE597"/>
  <c r="Y60"/>
  <c r="T249"/>
  <c r="G181"/>
  <c r="R323"/>
  <c r="R60"/>
  <c r="AK15"/>
  <c r="AI240"/>
  <c r="Q85"/>
  <c r="AM83"/>
  <c r="W542"/>
  <c r="U327"/>
  <c r="Q557"/>
  <c r="K105"/>
  <c r="AN598"/>
  <c r="G538"/>
  <c r="AB535"/>
  <c r="Y559"/>
  <c r="AJ280"/>
  <c r="O339"/>
  <c r="V86"/>
  <c r="AP347"/>
  <c r="O467"/>
  <c r="V214"/>
  <c r="AI278"/>
  <c r="N59"/>
  <c r="J600"/>
  <c r="U58"/>
  <c r="M308"/>
  <c r="Q279"/>
  <c r="G58"/>
  <c r="I57"/>
  <c r="AQ359"/>
  <c r="V348"/>
  <c r="AM329"/>
  <c r="AH325"/>
  <c r="AE349"/>
  <c r="AC248"/>
  <c r="AP305"/>
  <c r="M361"/>
  <c r="N359"/>
  <c r="Q308"/>
  <c r="AS11"/>
  <c r="AQ342"/>
  <c r="AF325"/>
  <c r="O180"/>
  <c r="K403"/>
  <c r="X374"/>
  <c r="AB62"/>
  <c r="V90"/>
  <c r="R461"/>
  <c r="O241"/>
  <c r="AI332"/>
  <c r="P62"/>
  <c r="M315"/>
  <c r="AK23"/>
  <c r="AH302"/>
  <c r="AH539"/>
  <c r="AL96"/>
  <c r="AT553"/>
  <c r="AE536"/>
  <c r="I469"/>
  <c r="U304"/>
  <c r="AD552"/>
  <c r="O362"/>
  <c r="AD185"/>
  <c r="AT603"/>
  <c r="AL101"/>
  <c r="AE370"/>
  <c r="AA85"/>
  <c r="AQ506"/>
  <c r="AA624"/>
  <c r="U373"/>
  <c r="R359"/>
  <c r="O156"/>
  <c r="AA101"/>
  <c r="AN430"/>
  <c r="AN321"/>
  <c r="W431"/>
  <c r="AS245"/>
  <c r="L282"/>
  <c r="N180"/>
  <c r="O158"/>
  <c r="AF87"/>
  <c r="N432"/>
  <c r="J542"/>
  <c r="I120"/>
  <c r="I604"/>
  <c r="G599"/>
  <c r="AI455"/>
  <c r="AJ124"/>
  <c r="S337"/>
  <c r="AA455"/>
  <c r="Q548"/>
  <c r="X152"/>
  <c r="J367"/>
  <c r="AA595"/>
  <c r="AJ239"/>
  <c r="AT404"/>
  <c r="AD277"/>
  <c r="AF322"/>
  <c r="W121"/>
  <c r="N185"/>
  <c r="AM85"/>
  <c r="R248"/>
  <c r="Z511"/>
  <c r="AH15"/>
  <c r="M518"/>
  <c r="AE620"/>
  <c r="AJ341"/>
  <c r="Y468"/>
  <c r="J405"/>
  <c r="L88"/>
  <c r="P434"/>
  <c r="AT331"/>
  <c r="T529"/>
  <c r="AE427"/>
  <c r="U617"/>
  <c r="AD426"/>
  <c r="AI453"/>
  <c r="AH280"/>
  <c r="N433"/>
  <c r="AP280"/>
  <c r="J553"/>
  <c r="AD537"/>
  <c r="O3"/>
  <c r="G123"/>
  <c r="K59"/>
  <c r="G469"/>
  <c r="X612"/>
  <c r="AR464"/>
  <c r="AK17"/>
  <c r="AJ684"/>
  <c r="X369"/>
  <c r="AF372"/>
  <c r="I156"/>
  <c r="P559"/>
  <c r="AI617"/>
  <c r="AK540"/>
  <c r="G441"/>
  <c r="AG559"/>
  <c r="AE317"/>
  <c r="N624"/>
  <c r="R18"/>
  <c r="V14"/>
  <c r="O29"/>
  <c r="AT28"/>
  <c r="U308"/>
  <c r="AH313"/>
  <c r="AF516"/>
  <c r="AO518"/>
  <c r="AH92"/>
  <c r="AM351"/>
  <c r="AG538"/>
  <c r="AS3"/>
  <c r="G329"/>
  <c r="Z25"/>
  <c r="AE320"/>
  <c r="W120"/>
  <c r="S244"/>
  <c r="AF681"/>
  <c r="O614"/>
  <c r="M554"/>
  <c r="R11"/>
  <c r="K310"/>
  <c r="W615"/>
  <c r="AG97"/>
  <c r="H540"/>
  <c r="AQ682"/>
  <c r="M16"/>
  <c r="X215"/>
  <c r="R375"/>
  <c r="W435"/>
  <c r="AS332"/>
  <c r="G99"/>
  <c r="AD371"/>
  <c r="Z185"/>
  <c r="G516"/>
  <c r="G244"/>
  <c r="M616"/>
  <c r="AQ307"/>
  <c r="Q239"/>
  <c r="AL303"/>
  <c r="AM154"/>
  <c r="O102"/>
  <c r="N374"/>
  <c r="AL3"/>
  <c r="Y238"/>
  <c r="Y431"/>
  <c r="P9"/>
  <c r="G83"/>
  <c r="H602"/>
  <c r="AO4"/>
  <c r="J523"/>
  <c r="P427"/>
  <c r="Y438"/>
  <c r="Q369"/>
  <c r="K610"/>
  <c r="AR351"/>
  <c r="AS337"/>
  <c r="Y59"/>
  <c r="AG57"/>
  <c r="AD336"/>
  <c r="W355"/>
  <c r="AF524"/>
  <c r="AI335"/>
  <c r="W443"/>
  <c r="AM30"/>
  <c r="T682"/>
  <c r="AB243"/>
  <c r="AK302"/>
  <c r="U280"/>
  <c r="W63"/>
  <c r="AM189"/>
  <c r="AL153"/>
  <c r="I300"/>
  <c r="AI512"/>
  <c r="W400"/>
  <c r="AP362"/>
  <c r="U24"/>
  <c r="AP310"/>
  <c r="K445"/>
  <c r="AI433"/>
  <c r="AF341"/>
  <c r="O312"/>
  <c r="AK509"/>
  <c r="H356"/>
  <c r="AA714"/>
  <c r="AM431"/>
  <c r="AD505"/>
  <c r="AH276"/>
  <c r="P505"/>
  <c r="P16"/>
  <c r="AN302"/>
  <c r="AE600"/>
  <c r="P281"/>
  <c r="J507"/>
  <c r="I113"/>
  <c r="G280"/>
  <c r="AJ612"/>
  <c r="AS608"/>
  <c r="AQ372"/>
  <c r="AJ318"/>
  <c r="M156"/>
  <c r="W681"/>
  <c r="W536"/>
  <c r="J618"/>
  <c r="M182"/>
  <c r="AE369"/>
  <c r="AD558"/>
  <c r="AS320"/>
  <c r="P11"/>
  <c r="AN600"/>
  <c r="AC511"/>
  <c r="AE329"/>
  <c r="AQ217"/>
  <c r="AL300"/>
  <c r="AM430"/>
  <c r="Y57"/>
  <c r="AM27"/>
  <c r="AE177"/>
  <c r="M342"/>
  <c r="AF712"/>
  <c r="AN339"/>
  <c r="AP611"/>
  <c r="AE544"/>
  <c r="AP186"/>
  <c r="AM187"/>
  <c r="P318"/>
  <c r="X28"/>
  <c r="AP239"/>
  <c r="R246"/>
  <c r="V309"/>
  <c r="AS451"/>
  <c r="AT277"/>
  <c r="V527"/>
  <c r="R316"/>
  <c r="X305"/>
  <c r="AJ123"/>
  <c r="AE539"/>
  <c r="N623"/>
  <c r="AC366"/>
  <c r="AT120"/>
  <c r="L598"/>
  <c r="AH87"/>
  <c r="AH220"/>
  <c r="U608"/>
  <c r="R681"/>
  <c r="AG59"/>
  <c r="X105"/>
  <c r="AP606"/>
  <c r="O551"/>
  <c r="AB401"/>
  <c r="AG601"/>
  <c r="AG621"/>
  <c r="W538"/>
  <c r="L356"/>
  <c r="AQ28"/>
  <c r="Y352"/>
  <c r="AM333"/>
  <c r="AE553"/>
  <c r="AK87"/>
  <c r="S279"/>
  <c r="AB455"/>
  <c r="AG522"/>
  <c r="AM23"/>
  <c r="H534"/>
  <c r="S354"/>
  <c r="H619"/>
  <c r="AR448"/>
  <c r="S324"/>
  <c r="Z312"/>
  <c r="Y89"/>
  <c r="AN356"/>
  <c r="M337"/>
  <c r="M242"/>
  <c r="AG96"/>
  <c r="K82"/>
  <c r="AO158"/>
  <c r="V81"/>
  <c r="U94"/>
  <c r="AA359"/>
  <c r="U356"/>
  <c r="AG332"/>
  <c r="AO336"/>
  <c r="AE458"/>
  <c r="AD89"/>
  <c r="AT556"/>
  <c r="AJ120"/>
  <c r="Q621"/>
  <c r="AS178"/>
  <c r="AJ282"/>
  <c r="X278"/>
  <c r="AQ97"/>
  <c r="I680"/>
  <c r="O8"/>
  <c r="I402"/>
  <c r="Z463"/>
  <c r="AH105"/>
  <c r="AI94"/>
  <c r="AI457"/>
  <c r="AP352"/>
  <c r="S367"/>
  <c r="AJ371"/>
  <c r="Q342"/>
  <c r="AO18"/>
  <c r="AI125"/>
  <c r="S447"/>
  <c r="AP21"/>
  <c r="G57"/>
  <c r="V543"/>
  <c r="AM86"/>
  <c r="R686"/>
  <c r="V12"/>
  <c r="AP14"/>
  <c r="P606"/>
  <c r="N97"/>
  <c r="X17"/>
  <c r="M87"/>
  <c r="AO329"/>
  <c r="AR218"/>
  <c r="T543"/>
  <c r="AM506"/>
  <c r="Q533"/>
  <c r="AD328"/>
  <c r="AT444"/>
  <c r="AD542"/>
  <c r="AP366"/>
  <c r="AI251"/>
  <c r="AH308"/>
  <c r="AF432"/>
  <c r="Y311"/>
  <c r="L595"/>
  <c r="AH117"/>
  <c r="L248"/>
  <c r="K554"/>
  <c r="X57"/>
  <c r="AC247"/>
  <c r="M330"/>
  <c r="Z22"/>
  <c r="AM155"/>
  <c r="M4"/>
  <c r="AQ554"/>
  <c r="AI711"/>
  <c r="L558"/>
  <c r="X58"/>
  <c r="Y456"/>
  <c r="AF309"/>
  <c r="AJ375"/>
  <c r="X605"/>
  <c r="P182"/>
  <c r="AA507"/>
  <c r="AC350"/>
  <c r="AH596"/>
  <c r="AQ602"/>
  <c r="N86"/>
  <c r="AP447"/>
  <c r="AG62"/>
  <c r="J371"/>
  <c r="G215"/>
  <c r="Y124"/>
  <c r="L338"/>
  <c r="AC608"/>
  <c r="AS516"/>
  <c r="AT606"/>
  <c r="L455"/>
  <c r="AH604"/>
  <c r="Y528"/>
  <c r="AO282"/>
  <c r="K308"/>
  <c r="AO93"/>
  <c r="AT351"/>
  <c r="Y521"/>
  <c r="AQ715"/>
  <c r="X517"/>
  <c r="R344"/>
  <c r="AH239"/>
  <c r="AB450"/>
  <c r="AE610"/>
  <c r="X619"/>
  <c r="AD215"/>
  <c r="AP711"/>
  <c r="AR24"/>
  <c r="I611"/>
  <c r="Q115"/>
  <c r="AI124"/>
  <c r="AR322"/>
  <c r="T5"/>
  <c r="J536"/>
  <c r="AQ94"/>
  <c r="S557"/>
  <c r="R596"/>
  <c r="X429"/>
  <c r="W463"/>
  <c r="AT516"/>
  <c r="P301"/>
  <c r="S25"/>
  <c r="AE503"/>
  <c r="I618"/>
  <c r="AA182"/>
  <c r="J188"/>
  <c r="AI436"/>
  <c r="AL312"/>
  <c r="T557"/>
  <c r="X349"/>
  <c r="AF715"/>
  <c r="AO102"/>
  <c r="AC339"/>
  <c r="I23"/>
  <c r="AH540"/>
  <c r="AS243"/>
  <c r="AH520"/>
  <c r="AM358"/>
  <c r="Y455"/>
  <c r="Q346"/>
  <c r="T469"/>
  <c r="U512"/>
  <c r="AK353"/>
  <c r="H63"/>
  <c r="K343"/>
  <c r="AQ321"/>
  <c r="R189"/>
  <c r="I514"/>
  <c r="J426"/>
  <c r="AO9"/>
  <c r="T523"/>
  <c r="AH600"/>
  <c r="L18"/>
  <c r="M30"/>
  <c r="N436"/>
  <c r="I460"/>
  <c r="AB16"/>
  <c r="V63"/>
  <c r="J25"/>
  <c r="K318"/>
  <c r="V330"/>
  <c r="L152"/>
  <c r="P114"/>
  <c r="P15"/>
  <c r="AC618"/>
  <c r="AA525"/>
  <c r="P6"/>
  <c r="G468"/>
  <c r="AH425"/>
  <c r="H330"/>
  <c r="K543"/>
  <c r="V339"/>
  <c r="W9"/>
  <c r="AF543"/>
  <c r="AQ520"/>
  <c r="L241"/>
  <c r="AC88"/>
  <c r="S102"/>
  <c r="O618"/>
  <c r="S406"/>
  <c r="AL240"/>
  <c r="J343"/>
  <c r="AE622"/>
  <c r="U443"/>
  <c r="AN444"/>
  <c r="G315"/>
  <c r="AE3"/>
  <c r="U601"/>
  <c r="AT300"/>
  <c r="P188"/>
  <c r="AQ518"/>
  <c r="S372"/>
  <c r="AO280"/>
  <c r="U7"/>
  <c r="AI154"/>
  <c r="AK332"/>
  <c r="AK614"/>
  <c r="Z364"/>
  <c r="AK374"/>
  <c r="N32"/>
  <c r="AS348"/>
  <c r="AO618"/>
  <c r="O603"/>
  <c r="Q327"/>
  <c r="W301"/>
  <c r="L326"/>
  <c r="AR405"/>
  <c r="O99"/>
  <c r="U548"/>
  <c r="N526"/>
  <c r="J328"/>
  <c r="AN115"/>
  <c r="AP154"/>
  <c r="X357"/>
  <c r="J349"/>
  <c r="M604"/>
  <c r="AC360"/>
  <c r="AO715"/>
  <c r="H524"/>
  <c r="AC619"/>
  <c r="Y428"/>
  <c r="AA96"/>
  <c r="X457"/>
  <c r="O333"/>
  <c r="AI456"/>
  <c r="AO680"/>
  <c r="I430"/>
  <c r="AH430"/>
  <c r="T323"/>
  <c r="U29"/>
  <c r="Q182"/>
  <c r="P61"/>
  <c r="AG448"/>
  <c r="X443"/>
  <c r="AF445"/>
  <c r="AE100"/>
  <c r="P309"/>
  <c r="AF8"/>
  <c r="AN509"/>
  <c r="AR119"/>
  <c r="H117"/>
  <c r="N559"/>
  <c r="AD464"/>
  <c r="O555"/>
  <c r="AL216"/>
  <c r="AK517"/>
  <c r="AG437"/>
  <c r="AF602"/>
  <c r="AQ451"/>
  <c r="U525"/>
  <c r="L81"/>
  <c r="AO524"/>
  <c r="M181"/>
  <c r="AK348"/>
  <c r="AO429"/>
  <c r="Z402"/>
  <c r="AJ178"/>
  <c r="U684"/>
  <c r="Y304"/>
  <c r="AR242"/>
  <c r="AH371"/>
  <c r="M243"/>
  <c r="AB92"/>
  <c r="S463"/>
  <c r="AC458"/>
  <c r="Q519"/>
  <c r="I303"/>
  <c r="AD118"/>
  <c r="G619"/>
  <c r="X13"/>
  <c r="AD367"/>
  <c r="AA183"/>
  <c r="Z180"/>
  <c r="AH556"/>
  <c r="M18"/>
  <c r="G310"/>
  <c r="AF447"/>
  <c r="P446"/>
  <c r="G601"/>
  <c r="AO404"/>
  <c r="J247"/>
  <c r="S711"/>
  <c r="M610"/>
  <c r="X375"/>
  <c r="W372"/>
  <c r="AD125"/>
  <c r="R178"/>
  <c r="AG433"/>
  <c r="AN248"/>
  <c r="AQ242"/>
  <c r="AT16"/>
  <c r="G327"/>
  <c r="AS600"/>
  <c r="AN328"/>
  <c r="Q27"/>
  <c r="Z250"/>
  <c r="AD437"/>
  <c r="T467"/>
  <c r="AK333"/>
  <c r="V180"/>
  <c r="P156"/>
  <c r="AA605"/>
  <c r="L90"/>
  <c r="AD686"/>
  <c r="AS249"/>
  <c r="AF535"/>
  <c r="AR307"/>
  <c r="Z322"/>
  <c r="AT220"/>
  <c r="W358"/>
  <c r="U551"/>
  <c r="AM557"/>
  <c r="K81"/>
  <c r="AA220"/>
  <c r="AC335"/>
  <c r="AJ338"/>
  <c r="H621"/>
  <c r="AT346"/>
  <c r="L309"/>
  <c r="AO600"/>
  <c r="Y355"/>
  <c r="AI91"/>
  <c r="AB427"/>
  <c r="S445"/>
  <c r="AD617"/>
  <c r="U92"/>
  <c r="G335"/>
  <c r="U246"/>
  <c r="H277"/>
  <c r="X329"/>
  <c r="AI445"/>
  <c r="I61"/>
  <c r="Q528"/>
  <c r="G680"/>
  <c r="L30"/>
  <c r="S120"/>
  <c r="AA686"/>
  <c r="AS535"/>
  <c r="AO242"/>
  <c r="AG93"/>
  <c r="T245"/>
  <c r="U114"/>
  <c r="AD333"/>
  <c r="Q88"/>
  <c r="K157"/>
  <c r="T220"/>
  <c r="AJ443"/>
  <c r="AE189"/>
  <c r="V554"/>
  <c r="AM17"/>
  <c r="AE347"/>
  <c r="J17"/>
  <c r="AE599"/>
  <c r="AO189"/>
  <c r="I62"/>
  <c r="AJ86"/>
  <c r="Y602"/>
  <c r="K347"/>
  <c r="X9"/>
  <c r="AS602"/>
  <c r="P601"/>
  <c r="AK30"/>
  <c r="O92"/>
  <c r="M13"/>
  <c r="J521"/>
  <c r="N85"/>
  <c r="AM456"/>
  <c r="AS248"/>
  <c r="AK341"/>
  <c r="AA125"/>
  <c r="L375"/>
  <c r="AJ60"/>
  <c r="AD444"/>
  <c r="X507"/>
  <c r="AB599"/>
  <c r="I346"/>
  <c r="AE437"/>
  <c r="K680"/>
  <c r="AF542"/>
  <c r="AS27"/>
  <c r="AO187"/>
  <c r="AO597"/>
  <c r="O529"/>
  <c r="Z622"/>
  <c r="M362"/>
  <c r="L712"/>
  <c r="S186"/>
  <c r="J552"/>
  <c r="AE219"/>
  <c r="AQ125"/>
  <c r="L507"/>
  <c r="L542"/>
  <c r="AO59"/>
  <c r="AJ15"/>
  <c r="V364"/>
  <c r="S30"/>
  <c r="AS556"/>
  <c r="L250"/>
  <c r="AI244"/>
  <c r="X304"/>
  <c r="V250"/>
  <c r="L521"/>
  <c r="K177"/>
  <c r="L447"/>
  <c r="AR521"/>
  <c r="T366"/>
  <c r="S604"/>
  <c r="AP450"/>
  <c r="T526"/>
  <c r="AB347"/>
  <c r="Z87"/>
  <c r="N122"/>
  <c r="AD251"/>
  <c r="AR375"/>
  <c r="R464"/>
  <c r="AN249"/>
  <c r="AO360"/>
  <c r="AM9"/>
  <c r="Y554"/>
  <c r="AL340"/>
  <c r="AF606"/>
  <c r="H432"/>
  <c r="AG158"/>
  <c r="V94"/>
  <c r="AG451"/>
  <c r="W250"/>
  <c r="AJ373"/>
  <c r="H316"/>
  <c r="Q14"/>
  <c r="R16"/>
  <c r="O432"/>
  <c r="AE362"/>
  <c r="AC343"/>
  <c r="AO528"/>
  <c r="U17"/>
  <c r="AS188"/>
  <c r="AF401"/>
  <c r="AC99"/>
  <c r="AN12"/>
  <c r="AG339"/>
  <c r="R219"/>
  <c r="AG541"/>
  <c r="AS325"/>
  <c r="O375"/>
  <c r="AK452"/>
  <c r="AS304"/>
  <c r="U180"/>
  <c r="AD614"/>
  <c r="AI216"/>
  <c r="AT154"/>
  <c r="AO25"/>
  <c r="J184"/>
  <c r="T611"/>
  <c r="AA123"/>
  <c r="AF241"/>
  <c r="K10"/>
  <c r="AG12"/>
  <c r="AK358"/>
  <c r="Y105"/>
  <c r="AR58"/>
  <c r="AJ88"/>
  <c r="V100"/>
  <c r="AR26"/>
  <c r="U622"/>
  <c r="R26"/>
  <c r="AG317"/>
  <c r="AQ433"/>
  <c r="AP448"/>
  <c r="H349"/>
  <c r="P123"/>
  <c r="I364"/>
  <c r="AM330"/>
  <c r="S20"/>
  <c r="J681"/>
  <c r="AC116"/>
  <c r="Q544"/>
  <c r="Z243"/>
  <c r="AQ444"/>
  <c r="W245"/>
  <c r="Z350"/>
  <c r="AM444"/>
  <c r="M333"/>
  <c r="I353"/>
  <c r="AI333"/>
  <c r="N448"/>
  <c r="Q375"/>
  <c r="W433"/>
  <c r="AL609"/>
  <c r="AF365"/>
  <c r="O544"/>
  <c r="R216"/>
  <c r="I6"/>
  <c r="T465"/>
  <c r="L323"/>
  <c r="AR30"/>
  <c r="AQ535"/>
  <c r="H614"/>
  <c r="AS468"/>
  <c r="AI186"/>
  <c r="N152"/>
  <c r="AL556"/>
  <c r="AH180"/>
  <c r="G405"/>
  <c r="P3"/>
  <c r="W177"/>
  <c r="AP343"/>
  <c r="U83"/>
  <c r="Z307"/>
  <c r="AC103"/>
  <c r="X12"/>
  <c r="G319"/>
  <c r="O538"/>
  <c r="V616"/>
  <c r="N541"/>
  <c r="AH448"/>
  <c r="AT238"/>
  <c r="AP240"/>
  <c r="W375"/>
  <c r="AQ435"/>
  <c r="AI346"/>
  <c r="U9"/>
  <c r="U301"/>
  <c r="AB118"/>
  <c r="AT559"/>
  <c r="X350"/>
  <c r="AB714"/>
  <c r="AP105"/>
  <c r="Z683"/>
  <c r="O530"/>
  <c r="AS115"/>
  <c r="AI615"/>
  <c r="AT20"/>
  <c r="AD102"/>
  <c r="AR714"/>
  <c r="AI443"/>
  <c r="AK27"/>
  <c r="N527"/>
  <c r="J241"/>
  <c r="T339"/>
  <c r="W405"/>
  <c r="T244"/>
  <c r="AS24"/>
  <c r="AP430"/>
  <c r="Y466"/>
  <c r="Q618"/>
  <c r="I153"/>
  <c r="X602"/>
  <c r="AO122"/>
  <c r="AN14"/>
  <c r="AT686"/>
  <c r="AM460"/>
  <c r="AK180"/>
  <c r="AH311"/>
  <c r="AE357"/>
  <c r="AC454"/>
  <c r="AE215"/>
  <c r="I320"/>
  <c r="Q105"/>
  <c r="W539"/>
  <c r="AR685"/>
  <c r="L29"/>
  <c r="R436"/>
  <c r="AT611"/>
  <c r="AG154"/>
  <c r="Y7"/>
  <c r="P462"/>
  <c r="AE310"/>
  <c r="Q23"/>
  <c r="AM622"/>
  <c r="K531"/>
  <c r="V85"/>
  <c r="M596"/>
  <c r="AS281"/>
  <c r="I318"/>
  <c r="U466"/>
  <c r="R247"/>
  <c r="AJ245"/>
  <c r="U406"/>
  <c r="AK623"/>
  <c r="U312"/>
  <c r="AT624"/>
  <c r="X239"/>
  <c r="S355"/>
  <c r="AR276"/>
  <c r="T456"/>
  <c r="AR355"/>
  <c r="AR451"/>
  <c r="G177"/>
  <c r="M612"/>
  <c r="Z157"/>
  <c r="T30"/>
  <c r="V30"/>
  <c r="AR324"/>
  <c r="AH624"/>
  <c r="AO457"/>
  <c r="AI337"/>
  <c r="AA11"/>
  <c r="AI609"/>
  <c r="N459"/>
  <c r="O516"/>
  <c r="G507"/>
  <c r="AI152"/>
  <c r="P157"/>
  <c r="AA602"/>
  <c r="AC218"/>
  <c r="AI114"/>
  <c r="AM82"/>
  <c r="U595"/>
  <c r="AI357"/>
  <c r="V444"/>
  <c r="L12"/>
  <c r="AI452"/>
  <c r="I329"/>
  <c r="T218"/>
  <c r="AG183"/>
  <c r="AP312"/>
  <c r="W351"/>
  <c r="AS309"/>
  <c r="AQ684"/>
  <c r="AP598"/>
  <c r="V682"/>
  <c r="AR241"/>
  <c r="AO356"/>
  <c r="Q520"/>
  <c r="AT520"/>
  <c r="AE153"/>
  <c r="P350"/>
  <c r="O558"/>
  <c r="Q219"/>
  <c r="AM156"/>
  <c r="AL619"/>
  <c r="AO276"/>
  <c r="Z219"/>
  <c r="AM308"/>
  <c r="AL531"/>
  <c r="AL187"/>
  <c r="H91"/>
  <c r="Q465"/>
  <c r="P96"/>
  <c r="M364"/>
  <c r="Y616"/>
  <c r="M114"/>
  <c r="T4"/>
  <c r="AT344"/>
  <c r="K618"/>
  <c r="AT336"/>
  <c r="AB406"/>
  <c r="AQ15"/>
  <c r="AB325"/>
  <c r="AT244"/>
  <c r="H348"/>
  <c r="U278"/>
  <c r="AR61"/>
  <c r="H537"/>
  <c r="AQ27"/>
  <c r="N14"/>
  <c r="K616"/>
  <c r="AG319"/>
  <c r="Q10"/>
  <c r="U188"/>
  <c r="AI685"/>
  <c r="Y369"/>
  <c r="G23"/>
  <c r="H105"/>
  <c r="AS156"/>
  <c r="AJ313"/>
  <c r="G97"/>
  <c r="J276"/>
  <c r="K324"/>
  <c r="M322"/>
  <c r="H459"/>
  <c r="AN30"/>
  <c r="AB153"/>
  <c r="AS157"/>
  <c r="AO614"/>
  <c r="R20"/>
  <c r="AO301"/>
  <c r="AT609"/>
  <c r="Z335"/>
  <c r="AJ556"/>
  <c r="AT461"/>
  <c r="AE606"/>
  <c r="AJ58"/>
  <c r="N353"/>
  <c r="AI18"/>
  <c r="AC239"/>
  <c r="Y100"/>
  <c r="AO89"/>
  <c r="AO339"/>
  <c r="J607"/>
  <c r="T310"/>
  <c r="S358"/>
  <c r="AG156"/>
  <c r="R8"/>
  <c r="P322"/>
  <c r="AB517"/>
  <c r="M310"/>
  <c r="AT457"/>
  <c r="AQ311"/>
  <c r="AE5" i="63"/>
  <c r="AN341" i="175"/>
  <c r="AC520"/>
  <c r="AG534"/>
  <c r="AL7"/>
  <c r="AQ185"/>
  <c r="AL81"/>
  <c r="AH712"/>
  <c r="AM511"/>
  <c r="Z114"/>
  <c r="AG30"/>
  <c r="N683"/>
  <c r="N301"/>
  <c r="I5"/>
  <c r="AC29"/>
  <c r="W621"/>
  <c r="S12"/>
  <c r="H301"/>
  <c r="S85"/>
  <c r="AK9"/>
  <c r="AT712"/>
  <c r="AT58"/>
  <c r="U427"/>
  <c r="I178"/>
  <c r="AL400"/>
  <c r="AP367"/>
  <c r="AB469"/>
  <c r="R333"/>
  <c r="S558"/>
  <c r="Y4"/>
  <c r="AB329"/>
  <c r="AC317"/>
  <c r="J366"/>
  <c r="J21"/>
  <c r="I685"/>
  <c r="H220"/>
  <c r="AF362"/>
  <c r="N360"/>
  <c r="AP612"/>
  <c r="AT249"/>
  <c r="H111"/>
  <c r="J518"/>
  <c r="T685"/>
  <c r="L557"/>
  <c r="AC153"/>
  <c r="S554"/>
  <c r="Z16"/>
  <c r="R113"/>
  <c r="AB601"/>
  <c r="AR85"/>
  <c r="AP123"/>
  <c r="AM60"/>
  <c r="AM182"/>
  <c r="V539"/>
  <c r="N446"/>
  <c r="AN216"/>
  <c r="AO682"/>
  <c r="Z100"/>
  <c r="M92"/>
  <c r="AA63"/>
  <c r="R307"/>
  <c r="AS459"/>
  <c r="AA622"/>
  <c r="AM466"/>
  <c r="K9"/>
  <c r="V537"/>
  <c r="T19"/>
  <c r="AS23"/>
  <c r="AI113"/>
  <c r="AR558"/>
  <c r="S430"/>
  <c r="Q437"/>
  <c r="AG463"/>
  <c r="AJ686"/>
  <c r="G549"/>
  <c r="AC90"/>
  <c r="N155"/>
  <c r="AF218"/>
  <c r="AA621"/>
  <c r="Z432"/>
  <c r="AM613"/>
  <c r="AE613"/>
  <c r="AB534"/>
  <c r="O526"/>
  <c r="AQ153"/>
  <c r="K460"/>
  <c r="U334"/>
  <c r="Q59"/>
  <c r="R369"/>
  <c r="AN329"/>
  <c r="AO555"/>
  <c r="AT365"/>
  <c r="AM250"/>
  <c r="AL155"/>
  <c r="AT116"/>
  <c r="Q612"/>
  <c r="AQ319"/>
  <c r="AK324"/>
  <c r="AL358"/>
  <c r="J683"/>
  <c r="AR189"/>
  <c r="G551"/>
  <c r="Q450"/>
  <c r="AL100"/>
  <c r="AH324"/>
  <c r="AP353"/>
  <c r="AN154"/>
  <c r="AS123"/>
  <c r="R277"/>
  <c r="S319"/>
  <c r="W406"/>
  <c r="J96"/>
  <c r="AK214"/>
  <c r="AO507"/>
  <c r="H6"/>
  <c r="AT179"/>
  <c r="X453"/>
  <c r="G30"/>
  <c r="AQ429"/>
  <c r="J81"/>
  <c r="AP322"/>
  <c r="S246"/>
  <c r="W154"/>
  <c r="AH326"/>
  <c r="AS541"/>
  <c r="AG518"/>
  <c r="X14"/>
  <c r="AI521"/>
  <c r="G442"/>
  <c r="J554"/>
  <c r="AD445"/>
  <c r="L185"/>
  <c r="AM402"/>
  <c r="AH445"/>
  <c r="Y214"/>
  <c r="N516"/>
  <c r="AI435"/>
  <c r="AK4"/>
  <c r="AT539"/>
  <c r="AB512"/>
  <c r="AH438"/>
  <c r="AG307"/>
  <c r="AN352"/>
  <c r="AF326"/>
  <c r="N528"/>
  <c r="M467"/>
  <c r="K355"/>
  <c r="I683"/>
  <c r="AT537"/>
  <c r="Q312"/>
  <c r="AL685"/>
  <c r="AL432"/>
  <c r="N325"/>
  <c r="AC316"/>
  <c r="AF308"/>
  <c r="AB245"/>
  <c r="I715"/>
  <c r="X363"/>
  <c r="AO602"/>
  <c r="Q447"/>
  <c r="AG117"/>
  <c r="AK619"/>
  <c r="N458"/>
  <c r="AP82"/>
  <c r="AK454"/>
  <c r="Y460"/>
  <c r="O527"/>
  <c r="R240"/>
  <c r="AD217"/>
  <c r="Q427"/>
  <c r="U156"/>
  <c r="AG464"/>
  <c r="S8"/>
  <c r="X29"/>
  <c r="T306"/>
  <c r="AH521"/>
  <c r="AN94"/>
  <c r="AT21"/>
  <c r="Y372"/>
  <c r="P372"/>
  <c r="J531"/>
  <c r="P339"/>
  <c r="X6"/>
  <c r="AH714"/>
  <c r="AR608"/>
  <c r="Y348"/>
  <c r="K446"/>
  <c r="W330"/>
  <c r="AD364"/>
  <c r="AB529"/>
  <c r="AC460"/>
  <c r="T337"/>
  <c r="AI217"/>
  <c r="AR89"/>
  <c r="L184"/>
  <c r="I310"/>
  <c r="X559"/>
  <c r="AK91"/>
  <c r="AM601"/>
  <c r="AA373"/>
  <c r="P87"/>
  <c r="AN185"/>
  <c r="AA103"/>
  <c r="I361"/>
  <c r="Q101"/>
  <c r="Y158"/>
  <c r="AF315"/>
  <c r="K15"/>
  <c r="N8" i="66"/>
  <c r="AD457" i="175"/>
  <c r="X103"/>
  <c r="AE339"/>
  <c r="W347"/>
  <c r="O543"/>
  <c r="AF454"/>
  <c r="AD527"/>
  <c r="W357"/>
  <c r="O330"/>
  <c r="S185"/>
  <c r="AH89"/>
  <c r="H25"/>
  <c r="P525"/>
  <c r="I152"/>
  <c r="W365"/>
  <c r="AL328"/>
  <c r="AT617"/>
  <c r="AL31"/>
  <c r="AD248"/>
  <c r="AB560"/>
  <c r="J445"/>
  <c r="Z541"/>
  <c r="AE280"/>
  <c r="H336"/>
  <c r="I434"/>
  <c r="AA29"/>
  <c r="K525"/>
  <c r="AE238"/>
  <c r="AN152"/>
  <c r="AL125"/>
  <c r="M31"/>
  <c r="O358"/>
  <c r="AF357"/>
  <c r="W14"/>
  <c r="AC427"/>
  <c r="L156"/>
  <c r="AP24"/>
  <c r="AK435"/>
  <c r="AJ614"/>
  <c r="AT353"/>
  <c r="U276"/>
  <c r="N13"/>
  <c r="AB606"/>
  <c r="W363"/>
  <c r="AL251"/>
  <c r="I601"/>
  <c r="AL553"/>
  <c r="H465"/>
  <c r="AH303"/>
  <c r="S551"/>
  <c r="AN373"/>
  <c r="Y427"/>
  <c r="I603"/>
  <c r="V371"/>
  <c r="AM605"/>
  <c r="AL524"/>
  <c r="AA366"/>
  <c r="AI27"/>
  <c r="I177"/>
  <c r="O315"/>
  <c r="H187"/>
  <c r="AH21"/>
  <c r="M402"/>
  <c r="AM278"/>
  <c r="AM520"/>
  <c r="AC526"/>
  <c r="AR711"/>
  <c r="S282"/>
  <c r="AF82"/>
  <c r="T427"/>
  <c r="AC508"/>
  <c r="M344"/>
  <c r="Y535"/>
  <c r="Q347"/>
  <c r="AJ597"/>
  <c r="AG684"/>
  <c r="L341"/>
  <c r="N281"/>
  <c r="Z542"/>
  <c r="AH509"/>
  <c r="AF349"/>
  <c r="U528"/>
  <c r="AR352"/>
  <c r="Y518"/>
  <c r="R354"/>
  <c r="AK178"/>
  <c r="G8"/>
  <c r="Q456"/>
  <c r="AF251"/>
  <c r="T214"/>
  <c r="X436"/>
  <c r="AG404"/>
  <c r="AI560"/>
  <c r="AQ335"/>
  <c r="AK406"/>
  <c r="L13"/>
  <c r="Y400"/>
  <c r="V435"/>
  <c r="U326"/>
  <c r="Z461"/>
  <c r="AF102"/>
  <c r="AS609"/>
  <c r="AR607"/>
  <c r="AD607"/>
  <c r="AP360"/>
  <c r="AC358"/>
  <c r="I117"/>
  <c r="Z344"/>
  <c r="AE468"/>
  <c r="P428"/>
  <c r="AN331"/>
  <c r="Z328"/>
  <c r="AS341"/>
  <c r="G539"/>
  <c r="AD20"/>
  <c r="AM503"/>
  <c r="AN518"/>
  <c r="AS9"/>
  <c r="M605"/>
  <c r="AJ428"/>
  <c r="X281"/>
  <c r="Q459"/>
  <c r="W83"/>
  <c r="AP102"/>
  <c r="AQ509"/>
  <c r="O361"/>
  <c r="Q518"/>
  <c r="AT361"/>
  <c r="O184"/>
  <c r="Y682"/>
  <c r="Q188"/>
  <c r="AL102"/>
  <c r="AP91"/>
  <c r="AJ521"/>
  <c r="M609"/>
  <c r="AL427"/>
  <c r="S83"/>
  <c r="AG503"/>
  <c r="Y599"/>
  <c r="AL530"/>
  <c r="AI598"/>
  <c r="U342"/>
  <c r="AP530"/>
  <c r="AR461"/>
  <c r="AA13"/>
  <c r="P12"/>
  <c r="AB711"/>
  <c r="AS684"/>
  <c r="AM315"/>
  <c r="V428"/>
  <c r="Y315"/>
  <c r="AQ316"/>
  <c r="AR712"/>
  <c r="AS367"/>
  <c r="I220"/>
  <c r="AB300"/>
  <c r="AR6"/>
  <c r="O348"/>
  <c r="J436"/>
  <c r="U320"/>
  <c r="AT602"/>
  <c r="AJ348"/>
  <c r="M347"/>
  <c r="X681"/>
  <c r="X540"/>
  <c r="M436"/>
  <c r="G373"/>
  <c r="AC282"/>
  <c r="I622"/>
  <c r="AA306"/>
  <c r="Z619"/>
  <c r="G111"/>
  <c r="AN608"/>
  <c r="AA608"/>
  <c r="AC315"/>
  <c r="I312"/>
  <c r="U321"/>
  <c r="Q540"/>
  <c r="AE307"/>
  <c r="AA122"/>
  <c r="O534"/>
  <c r="O445"/>
  <c r="AL522"/>
  <c r="N544"/>
  <c r="AP336"/>
  <c r="G330"/>
  <c r="AJ103"/>
  <c r="AA307"/>
  <c r="N466"/>
  <c r="AN680"/>
  <c r="W686"/>
  <c r="P5"/>
  <c r="AG542"/>
  <c r="T15"/>
  <c r="H503"/>
  <c r="P466"/>
  <c r="I530"/>
  <c r="AN526"/>
  <c r="L466"/>
  <c r="AJ100"/>
  <c r="Z604"/>
  <c r="AI613"/>
  <c r="Q313"/>
  <c r="AT97"/>
  <c r="G546"/>
  <c r="G530"/>
  <c r="S528"/>
  <c r="AL281"/>
  <c r="AG87"/>
  <c r="AH362"/>
  <c r="W617"/>
  <c r="U452"/>
  <c r="AD365"/>
  <c r="W334"/>
  <c r="O446"/>
  <c r="AN429"/>
  <c r="AK337"/>
  <c r="AI401"/>
  <c r="AC402"/>
  <c r="AL457"/>
  <c r="AI123"/>
  <c r="AE512"/>
  <c r="O242"/>
  <c r="R337"/>
  <c r="Y103"/>
  <c r="AR7"/>
  <c r="AK612"/>
  <c r="Q505"/>
  <c r="V507"/>
  <c r="AE246"/>
  <c r="AA324"/>
  <c r="AF81"/>
  <c r="S342"/>
  <c r="V469"/>
  <c r="Q311"/>
  <c r="AN114"/>
  <c r="T350"/>
  <c r="W302"/>
  <c r="Q83"/>
  <c r="AT354"/>
  <c r="G458"/>
  <c r="K619"/>
  <c r="Q157"/>
  <c r="AC684"/>
  <c r="AA555"/>
  <c r="AC558"/>
  <c r="AK450"/>
  <c r="AT512"/>
  <c r="AD122"/>
  <c r="AP533"/>
  <c r="Y240"/>
  <c r="V560"/>
  <c r="O533"/>
  <c r="AE251"/>
  <c r="N602"/>
  <c r="AB4"/>
  <c r="AJ29"/>
  <c r="L180"/>
  <c r="J337"/>
  <c r="AK330"/>
  <c r="AO685"/>
  <c r="AE322"/>
  <c r="K335"/>
  <c r="K344"/>
  <c r="AM94"/>
  <c r="L5"/>
  <c r="AS370"/>
  <c r="AR368"/>
  <c r="AE302"/>
  <c r="AJ62"/>
  <c r="AQ623"/>
  <c r="U240"/>
  <c r="G431"/>
  <c r="V601"/>
  <c r="AC599"/>
  <c r="AE601"/>
  <c r="K517"/>
  <c r="S82"/>
  <c r="U28"/>
  <c r="AQ437"/>
  <c r="M451"/>
  <c r="Y188"/>
  <c r="AT15"/>
  <c r="AM357"/>
  <c r="S344"/>
  <c r="AH348"/>
  <c r="AK602"/>
  <c r="AR333"/>
  <c r="K277"/>
  <c r="H308"/>
  <c r="AP31"/>
  <c r="T352"/>
  <c r="H461"/>
  <c r="AN426"/>
  <c r="AH23"/>
  <c r="Z155"/>
  <c r="I466"/>
  <c r="R303"/>
  <c r="AF610"/>
  <c r="M457"/>
  <c r="AC557"/>
  <c r="AK25"/>
  <c r="AG25"/>
  <c r="AA279"/>
  <c r="AR188"/>
  <c r="AD61"/>
  <c r="M88"/>
  <c r="AO153"/>
  <c r="AP685"/>
  <c r="O596"/>
  <c r="AQ246"/>
  <c r="X124"/>
  <c r="W88"/>
  <c r="S335"/>
  <c r="W4"/>
  <c r="Q597"/>
  <c r="AJ214"/>
  <c r="X177"/>
  <c r="AQ215"/>
  <c r="AN618"/>
  <c r="AN560"/>
  <c r="W461"/>
  <c r="Y217"/>
  <c r="Q681"/>
  <c r="AM320"/>
  <c r="V28"/>
  <c r="AJ340"/>
  <c r="Z188"/>
  <c r="AM311"/>
  <c r="X32"/>
  <c r="X81"/>
  <c r="AR154"/>
  <c r="N529"/>
  <c r="AG182"/>
  <c r="AM359"/>
  <c r="P366"/>
  <c r="G622"/>
  <c r="AD25"/>
  <c r="AF316"/>
  <c r="AE7" i="63"/>
  <c r="O116" i="175"/>
  <c r="AB555"/>
  <c r="I523"/>
  <c r="AF187"/>
  <c r="H87"/>
  <c r="AG337"/>
  <c r="AE526"/>
  <c r="AL20"/>
  <c r="L343"/>
  <c r="AH611"/>
  <c r="L220"/>
  <c r="H542"/>
  <c r="H468"/>
  <c r="X682"/>
  <c r="AR609"/>
  <c r="AJ242"/>
  <c r="O507"/>
  <c r="H62"/>
  <c r="AA113"/>
  <c r="AE181"/>
  <c r="AG521"/>
  <c r="AO455"/>
  <c r="AK10"/>
  <c r="J304"/>
  <c r="D21" i="63"/>
  <c r="T16" i="175"/>
  <c r="AJ117"/>
  <c r="H20"/>
  <c r="H218"/>
  <c r="R505"/>
  <c r="AS354"/>
  <c r="AQ469"/>
  <c r="AK611"/>
  <c r="AP555"/>
  <c r="P523"/>
  <c r="AI606"/>
  <c r="N551"/>
  <c r="AT333"/>
  <c r="U615"/>
  <c r="O124"/>
  <c r="N23"/>
  <c r="AJ712"/>
  <c r="AT90"/>
  <c r="AB312"/>
  <c r="AL310"/>
  <c r="AN503"/>
  <c r="T240"/>
  <c r="AH517"/>
  <c r="AP281"/>
  <c r="AB246"/>
  <c r="I605"/>
  <c r="Q92"/>
  <c r="Z319"/>
  <c r="Z460"/>
  <c r="W183"/>
  <c r="AS597"/>
  <c r="I602"/>
  <c r="AK182"/>
  <c r="Z430"/>
  <c r="AO443"/>
  <c r="AL544"/>
  <c r="AF306"/>
  <c r="AM598"/>
  <c r="M508"/>
  <c r="S601"/>
  <c r="AA404"/>
  <c r="Q526"/>
  <c r="AE59"/>
  <c r="AR453"/>
  <c r="U6"/>
  <c r="N178"/>
  <c r="AK529"/>
  <c r="AL520"/>
  <c r="L372"/>
  <c r="AS30"/>
  <c r="N511"/>
  <c r="W544"/>
  <c r="O456"/>
  <c r="AK521"/>
  <c r="AI680"/>
  <c r="Y302"/>
  <c r="T92"/>
  <c r="AB509"/>
  <c r="W373"/>
  <c r="G29"/>
  <c r="AN431"/>
  <c r="AD29"/>
  <c r="I81"/>
  <c r="AJ300"/>
  <c r="W320"/>
  <c r="I100"/>
  <c r="AN316"/>
  <c r="AO335"/>
  <c r="M371"/>
  <c r="S712"/>
  <c r="U505"/>
  <c r="AR537"/>
  <c r="U305"/>
  <c r="W327"/>
  <c r="AO375"/>
  <c r="AG430"/>
  <c r="N455"/>
  <c r="AB157"/>
  <c r="K467"/>
  <c r="J58"/>
  <c r="AE517"/>
  <c r="H369"/>
  <c r="P375"/>
  <c r="AB238"/>
  <c r="AO346"/>
  <c r="V624"/>
  <c r="AR312"/>
  <c r="AB316"/>
  <c r="R617"/>
  <c r="AJ113"/>
  <c r="X85"/>
  <c r="AM322"/>
  <c r="R350"/>
  <c r="M552"/>
  <c r="S530"/>
  <c r="AI121"/>
  <c r="AG444"/>
  <c r="G321"/>
  <c r="AP57"/>
  <c r="AL177"/>
  <c r="AF608"/>
  <c r="AS324"/>
  <c r="L249"/>
  <c r="AL244"/>
  <c r="Q406"/>
  <c r="AH528"/>
  <c r="I105"/>
  <c r="P351"/>
  <c r="X601"/>
  <c r="Y115"/>
  <c r="AQ301"/>
  <c r="AL214"/>
  <c r="AN361"/>
  <c r="AE505"/>
  <c r="O715"/>
  <c r="AO426"/>
  <c r="X460"/>
  <c r="K186"/>
  <c r="AD360"/>
  <c r="AJ24"/>
  <c r="AS519"/>
  <c r="Z251"/>
  <c r="N357"/>
  <c r="AG373"/>
  <c r="Q7"/>
  <c r="M215"/>
  <c r="AK184"/>
  <c r="AA400"/>
  <c r="AT363"/>
  <c r="AC437"/>
  <c r="Z366"/>
  <c r="AR331"/>
  <c r="O431"/>
  <c r="L349"/>
  <c r="AH451"/>
  <c r="R438"/>
  <c r="AR306"/>
  <c r="AC302"/>
  <c r="AS358"/>
  <c r="Q178"/>
  <c r="AE438"/>
  <c r="L31"/>
  <c r="G331"/>
  <c r="AS617"/>
  <c r="S182"/>
  <c r="J280"/>
  <c r="X505"/>
  <c r="AE60"/>
  <c r="AO613"/>
  <c r="AF338"/>
  <c r="Y681"/>
  <c r="AS599"/>
  <c r="AI536"/>
  <c r="U218"/>
  <c r="W605"/>
  <c r="G404"/>
  <c r="S450"/>
  <c r="AK102"/>
  <c r="AE94"/>
  <c r="AL361"/>
  <c r="Y685"/>
  <c r="T101"/>
  <c r="H251"/>
  <c r="M682"/>
  <c r="H510"/>
  <c r="AA682"/>
  <c r="AM530"/>
  <c r="P453"/>
  <c r="M557"/>
  <c r="AT448"/>
  <c r="AT427"/>
  <c r="AP188"/>
  <c r="Q352"/>
  <c r="AQ356"/>
  <c r="Q403"/>
  <c r="Z279"/>
  <c r="AF355"/>
  <c r="AI454"/>
  <c r="T370"/>
  <c r="S184"/>
  <c r="K332"/>
  <c r="AT326"/>
  <c r="AH623"/>
  <c r="P370"/>
  <c r="H182"/>
  <c r="P537"/>
  <c r="X19"/>
  <c r="AT13"/>
  <c r="AR16"/>
  <c r="I357"/>
  <c r="Z351"/>
  <c r="AG238"/>
  <c r="AK434"/>
  <c r="V683"/>
  <c r="H152"/>
  <c r="AE277"/>
  <c r="AI219"/>
  <c r="AG524"/>
  <c r="AA372"/>
  <c r="W123"/>
  <c r="Y58"/>
  <c r="I506"/>
  <c r="X355"/>
  <c r="AL349"/>
  <c r="AB320"/>
  <c r="AJ3"/>
  <c r="AJ558"/>
  <c r="N81"/>
  <c r="AF178"/>
  <c r="AR187"/>
  <c r="AN371"/>
  <c r="T6"/>
  <c r="O22"/>
  <c r="R351"/>
  <c r="AJ517"/>
  <c r="AI552"/>
  <c r="Y322"/>
  <c r="Q125"/>
  <c r="AB247"/>
  <c r="H103"/>
  <c r="AC529"/>
  <c r="AJ503"/>
  <c r="U715"/>
  <c r="AO86"/>
  <c r="J525"/>
  <c r="M611"/>
  <c r="AR17"/>
  <c r="AA88"/>
  <c r="I11"/>
  <c r="K187"/>
  <c r="L123"/>
  <c r="AL529"/>
  <c r="AS362"/>
  <c r="AB552"/>
  <c r="AK603"/>
  <c r="G324"/>
  <c r="I524"/>
  <c r="N116"/>
  <c r="AM403"/>
  <c r="AN350"/>
  <c r="AF605"/>
  <c r="O341"/>
  <c r="J510"/>
  <c r="AC251"/>
  <c r="AQ29"/>
  <c r="W17"/>
  <c r="U122"/>
  <c r="AO400"/>
  <c r="S512"/>
  <c r="AM249"/>
  <c r="AK60"/>
  <c r="AG618"/>
  <c r="Y88"/>
  <c r="X686"/>
  <c r="H367"/>
  <c r="S533"/>
  <c r="N21"/>
  <c r="X21"/>
  <c r="AE186"/>
  <c r="I92"/>
  <c r="AB602"/>
  <c r="AR425"/>
  <c r="AT430"/>
  <c r="AP540"/>
  <c r="M548"/>
  <c r="Q15"/>
  <c r="I509"/>
  <c r="W244"/>
  <c r="AR118"/>
  <c r="AE337"/>
  <c r="G620"/>
  <c r="T336"/>
  <c r="K552"/>
  <c r="AP178"/>
  <c r="Y558"/>
  <c r="AJ23"/>
  <c r="T14"/>
  <c r="V25"/>
  <c r="L339"/>
  <c r="AQ334"/>
  <c r="N6"/>
  <c r="AM370"/>
  <c r="W113"/>
  <c r="AP684"/>
  <c r="AP317"/>
  <c r="L124"/>
  <c r="S681"/>
  <c r="R352"/>
  <c r="J101"/>
  <c r="J120"/>
  <c r="AJ247"/>
  <c r="X362"/>
  <c r="P307"/>
  <c r="P181"/>
  <c r="Q537"/>
  <c r="U325"/>
  <c r="M5"/>
  <c r="AP122"/>
  <c r="AJ250"/>
  <c r="H325"/>
  <c r="AM363"/>
  <c r="H427"/>
  <c r="V18"/>
  <c r="T623"/>
  <c r="AN614"/>
  <c r="AN218"/>
  <c r="Q599"/>
  <c r="U463"/>
  <c r="I617"/>
  <c r="AB123"/>
  <c r="AP321"/>
  <c r="V310"/>
  <c r="AJ425"/>
  <c r="AB541"/>
  <c r="AM350"/>
  <c r="U604"/>
  <c r="AL684"/>
  <c r="AK278"/>
  <c r="J31"/>
  <c r="I374"/>
  <c r="S333"/>
  <c r="W251"/>
  <c r="AB58"/>
  <c r="S548"/>
  <c r="AE602"/>
  <c r="AI509"/>
  <c r="AJ469"/>
  <c r="AL612"/>
  <c r="S322"/>
  <c r="AA319"/>
  <c r="AP116"/>
  <c r="J121"/>
  <c r="AG346"/>
  <c r="J20"/>
  <c r="O182"/>
  <c r="Q321"/>
  <c r="Z434"/>
  <c r="J432"/>
  <c r="AT402"/>
  <c r="V611"/>
  <c r="AI308"/>
  <c r="M187"/>
  <c r="AM614"/>
  <c r="O105"/>
  <c r="I348"/>
  <c r="AJ402"/>
  <c r="K686"/>
  <c r="AM365"/>
  <c r="AF375"/>
  <c r="N328"/>
  <c r="N4"/>
  <c r="V363"/>
  <c r="X370"/>
  <c r="AA374"/>
  <c r="AD354"/>
  <c r="AI523"/>
  <c r="N313"/>
  <c r="AR280"/>
  <c r="AJ548"/>
  <c r="AM101"/>
  <c r="AM348"/>
  <c r="AE338"/>
  <c r="T520"/>
  <c r="AL425"/>
  <c r="AS100"/>
  <c r="M313"/>
  <c r="P313"/>
  <c r="P251"/>
  <c r="AJ522"/>
  <c r="AE372"/>
  <c r="AO11"/>
  <c r="V251"/>
  <c r="AA536"/>
  <c r="K312"/>
  <c r="AC544"/>
  <c r="V152"/>
  <c r="AG543"/>
  <c r="U462"/>
  <c r="I453"/>
  <c r="AG120"/>
  <c r="AI184"/>
  <c r="K3"/>
  <c r="AM346"/>
  <c r="V320"/>
  <c r="S105"/>
  <c r="AS219"/>
  <c r="AT352"/>
  <c r="AO445"/>
  <c r="O613"/>
  <c r="Z20"/>
  <c r="P342"/>
  <c r="AT536"/>
  <c r="R682"/>
  <c r="AG16"/>
  <c r="K117"/>
  <c r="H515"/>
  <c r="O599"/>
  <c r="AL599"/>
  <c r="AO374"/>
  <c r="J282"/>
  <c r="AQ438"/>
  <c r="AS279"/>
  <c r="L330"/>
  <c r="L538"/>
  <c r="J187"/>
  <c r="R615"/>
  <c r="AH466"/>
  <c r="I372"/>
  <c r="AM609"/>
  <c r="L433"/>
  <c r="AG153"/>
  <c r="AD403"/>
  <c r="AR601"/>
  <c r="AO327"/>
  <c r="U337"/>
  <c r="AQ406"/>
  <c r="AN432"/>
  <c r="AM319"/>
  <c r="R62"/>
  <c r="U554"/>
  <c r="W552"/>
  <c r="U371"/>
  <c r="AJ713"/>
  <c r="AT310"/>
  <c r="AE464"/>
  <c r="AJ22"/>
  <c r="AJ301"/>
  <c r="AO516"/>
  <c r="AI62"/>
  <c r="J91"/>
  <c r="AO606"/>
  <c r="AL82"/>
  <c r="G320"/>
  <c r="AS59"/>
  <c r="M29"/>
  <c r="M9"/>
  <c r="W353"/>
  <c r="X153"/>
  <c r="AJ426"/>
  <c r="H306"/>
  <c r="AC276"/>
  <c r="AL156"/>
  <c r="AS181"/>
  <c r="H512"/>
  <c r="AK536"/>
  <c r="I362"/>
  <c r="AC333"/>
  <c r="Q185"/>
  <c r="AI93"/>
  <c r="AJ446"/>
  <c r="J277"/>
  <c r="AR348"/>
  <c r="AT321"/>
  <c r="AO123"/>
  <c r="AK554"/>
  <c r="AE185"/>
  <c r="AT503"/>
  <c r="X250"/>
  <c r="AO188"/>
  <c r="H29"/>
  <c r="K239"/>
  <c r="O308"/>
  <c r="AJ711"/>
  <c r="U243"/>
  <c r="AM371"/>
  <c r="AN92"/>
  <c r="H88"/>
  <c r="AL438"/>
  <c r="I219"/>
  <c r="L61"/>
  <c r="G306"/>
  <c r="W125"/>
  <c r="AM300"/>
  <c r="V343"/>
  <c r="U118"/>
  <c r="AN522"/>
  <c r="T463"/>
  <c r="AR115"/>
  <c r="AJ454"/>
  <c r="AT507"/>
  <c r="AI531"/>
  <c r="U436"/>
  <c r="AN344"/>
  <c r="AC459"/>
  <c r="AN244"/>
  <c r="AE324"/>
  <c r="AG611"/>
  <c r="T91"/>
  <c r="AO219"/>
  <c r="AP458"/>
  <c r="S535"/>
  <c r="AM321"/>
  <c r="AC246"/>
  <c r="AT117"/>
  <c r="W313"/>
  <c r="X24"/>
  <c r="T542"/>
  <c r="O243"/>
  <c r="J551"/>
  <c r="AH328"/>
  <c r="AH468"/>
  <c r="H180"/>
  <c r="W459"/>
  <c r="AE121"/>
  <c r="AH247"/>
  <c r="X4"/>
  <c r="AQ459"/>
  <c r="S154"/>
  <c r="AF558"/>
  <c r="AR303"/>
  <c r="AK248"/>
  <c r="AK362"/>
  <c r="Q218"/>
  <c r="S123"/>
  <c r="W155"/>
  <c r="K450"/>
  <c r="AG342"/>
  <c r="AL682"/>
  <c r="S370"/>
  <c r="AG527"/>
  <c r="H519"/>
  <c r="AA218"/>
  <c r="AK460"/>
  <c r="AO526"/>
  <c r="AK238"/>
  <c r="AA350"/>
  <c r="AJ400"/>
  <c r="L308"/>
  <c r="AI90"/>
  <c r="AP247"/>
  <c r="H443"/>
  <c r="W356"/>
  <c r="U600"/>
  <c r="AR610"/>
  <c r="J403"/>
  <c r="J340"/>
  <c r="M437"/>
  <c r="K427"/>
  <c r="T340"/>
  <c r="AF359"/>
  <c r="AI277"/>
  <c r="Y250"/>
  <c r="Q181"/>
  <c r="AB426"/>
  <c r="Z555"/>
  <c r="AA332"/>
  <c r="L616"/>
  <c r="AT185"/>
  <c r="AH312"/>
  <c r="X83"/>
  <c r="AS118"/>
  <c r="AG525"/>
  <c r="J60"/>
  <c r="R558"/>
  <c r="N5" i="66"/>
  <c r="N215" i="175"/>
  <c r="AN445"/>
  <c r="AI122"/>
  <c r="U158"/>
  <c r="AC401"/>
  <c r="AE543"/>
  <c r="AB597"/>
  <c r="L311"/>
  <c r="G559"/>
  <c r="Z512"/>
  <c r="P595"/>
  <c r="AI542"/>
  <c r="AF685"/>
  <c r="T617"/>
  <c r="Q454"/>
  <c r="V362"/>
  <c r="W613"/>
  <c r="Q364"/>
  <c r="AH357"/>
  <c r="N82"/>
  <c r="AD597"/>
  <c r="W329"/>
  <c r="AH522"/>
  <c r="X245"/>
  <c r="AR81"/>
  <c r="AP301"/>
  <c r="K429"/>
  <c r="W189"/>
  <c r="S26"/>
  <c r="Y313"/>
  <c r="AA330"/>
  <c r="AH337"/>
  <c r="W306"/>
  <c r="Y318"/>
  <c r="G617"/>
  <c r="AT177"/>
  <c r="T559"/>
  <c r="S346"/>
  <c r="R328"/>
  <c r="AQ468"/>
  <c r="O427"/>
  <c r="O343"/>
  <c r="AI63"/>
  <c r="AK245"/>
  <c r="I447"/>
  <c r="AR686"/>
  <c r="Q444"/>
  <c r="AP467"/>
  <c r="W426"/>
  <c r="AA713"/>
  <c r="AD428"/>
  <c r="V427"/>
  <c r="AB81"/>
  <c r="Q119"/>
  <c r="Y82"/>
  <c r="AG118"/>
  <c r="V373"/>
  <c r="AD88"/>
  <c r="Y278"/>
  <c r="AS90"/>
  <c r="H244"/>
  <c r="I183"/>
  <c r="J301"/>
  <c r="K84"/>
  <c r="AL551"/>
  <c r="I359"/>
  <c r="G104"/>
  <c r="AF534"/>
  <c r="L443"/>
  <c r="AN604"/>
  <c r="AP436"/>
  <c r="U370"/>
  <c r="AN6"/>
  <c r="U620"/>
  <c r="J712"/>
  <c r="AJ342"/>
  <c r="J306"/>
  <c r="Q57"/>
  <c r="Y522"/>
  <c r="AN459"/>
  <c r="AB686"/>
  <c r="N548"/>
  <c r="AC363"/>
  <c r="AQ61"/>
  <c r="AD435"/>
  <c r="J251"/>
  <c r="AK601"/>
  <c r="AL277"/>
  <c r="N304"/>
  <c r="O19"/>
  <c r="M431"/>
  <c r="AT355"/>
  <c r="AK16"/>
  <c r="L512"/>
  <c r="AM96"/>
  <c r="M541"/>
  <c r="AB621"/>
  <c r="L520"/>
  <c r="J512"/>
  <c r="Y63"/>
  <c r="AT597"/>
  <c r="Z372"/>
  <c r="AT304"/>
  <c r="S7"/>
  <c r="U606"/>
  <c r="H402"/>
  <c r="W29"/>
  <c r="AF436"/>
  <c r="AJ621"/>
  <c r="AA280"/>
  <c r="P467"/>
  <c r="AK560"/>
  <c r="AF250"/>
  <c r="AN26"/>
  <c r="AJ465"/>
  <c r="P614"/>
  <c r="AQ7"/>
  <c r="L426"/>
  <c r="T316"/>
  <c r="AR349"/>
  <c r="X282"/>
  <c r="Y324"/>
  <c r="AC352"/>
  <c r="H118"/>
  <c r="O369"/>
  <c r="AB332"/>
  <c r="AO152"/>
  <c r="AA83"/>
  <c r="H94"/>
  <c r="AM185"/>
  <c r="AO184"/>
  <c r="P100"/>
  <c r="P531"/>
  <c r="AM105"/>
  <c r="AM468"/>
  <c r="AI330"/>
  <c r="Y28"/>
  <c r="I455"/>
  <c r="AG681"/>
  <c r="AQ619"/>
  <c r="N303"/>
  <c r="AR11"/>
  <c r="L179"/>
  <c r="N188"/>
  <c r="AH684"/>
  <c r="AH251"/>
  <c r="Z620"/>
  <c r="C23" i="63"/>
  <c r="AA282" i="175"/>
  <c r="I121"/>
  <c r="X403"/>
  <c r="AG281"/>
  <c r="AP368"/>
  <c r="AF25"/>
  <c r="AQ443"/>
  <c r="AT511"/>
  <c r="AT251"/>
  <c r="AB99"/>
  <c r="T114"/>
  <c r="AL97"/>
  <c r="AP155"/>
  <c r="AO330"/>
  <c r="AB615"/>
  <c r="AS105"/>
  <c r="AE103"/>
  <c r="H341"/>
  <c r="AS713"/>
  <c r="T333"/>
  <c r="I306"/>
  <c r="AC681"/>
  <c r="AM372"/>
  <c r="AA444"/>
  <c r="H455"/>
  <c r="K510"/>
  <c r="W623"/>
  <c r="AN62"/>
  <c r="G370"/>
  <c r="V610"/>
  <c r="L28"/>
  <c r="S516"/>
  <c r="AO354"/>
  <c r="AD434"/>
  <c r="O11"/>
  <c r="AL681"/>
  <c r="AI363"/>
  <c r="Y356"/>
  <c r="H346"/>
  <c r="AB86"/>
  <c r="O336"/>
  <c r="Z63"/>
  <c r="AM15"/>
  <c r="H215"/>
  <c r="H248"/>
  <c r="L242"/>
  <c r="Z278"/>
  <c r="I247"/>
  <c r="G365"/>
  <c r="I124"/>
  <c r="AT521"/>
  <c r="AT31"/>
  <c r="O331"/>
  <c r="K400"/>
  <c r="Y607"/>
  <c r="M507"/>
  <c r="AA116"/>
  <c r="J88"/>
  <c r="AA368"/>
  <c r="K313"/>
  <c r="AN615"/>
  <c r="AF536"/>
  <c r="AT557"/>
  <c r="H13"/>
  <c r="Z529"/>
  <c r="Y220"/>
  <c r="G612"/>
  <c r="X364"/>
  <c r="Y520"/>
  <c r="T429"/>
  <c r="G154"/>
  <c r="P538"/>
  <c r="J316"/>
  <c r="R123"/>
  <c r="AK400"/>
  <c r="N157"/>
  <c r="AD153"/>
  <c r="L544"/>
  <c r="AB428"/>
  <c r="R32"/>
  <c r="N533"/>
  <c r="AA614"/>
  <c r="AN311"/>
  <c r="AR3"/>
  <c r="AS155"/>
  <c r="T88"/>
  <c r="P215"/>
  <c r="M460"/>
  <c r="AP101"/>
  <c r="G98"/>
  <c r="AB359"/>
  <c r="AP13"/>
  <c r="AK94"/>
  <c r="AN342"/>
  <c r="J603"/>
  <c r="W331"/>
  <c r="P305"/>
  <c r="AD458"/>
  <c r="AN304"/>
  <c r="AB367"/>
  <c r="AC359"/>
  <c r="I21"/>
  <c r="AC187"/>
  <c r="AK715"/>
  <c r="AH338"/>
  <c r="AS117"/>
  <c r="AC436"/>
  <c r="AC184"/>
  <c r="AA57"/>
  <c r="H342"/>
  <c r="H122"/>
  <c r="I600"/>
  <c r="K31"/>
  <c r="AR329"/>
  <c r="V311"/>
  <c r="AM180"/>
  <c r="N5"/>
  <c r="AK156"/>
  <c r="AL181"/>
  <c r="AM604"/>
  <c r="AJ453"/>
  <c r="AG556"/>
  <c r="P457"/>
  <c r="Y323"/>
  <c r="X509"/>
  <c r="U249"/>
  <c r="Y349"/>
  <c r="Z598"/>
  <c r="AP559"/>
  <c r="AH350"/>
  <c r="M602"/>
  <c r="L116"/>
  <c r="AJ122"/>
  <c r="AD278"/>
  <c r="AB548"/>
  <c r="Z101"/>
  <c r="W57"/>
  <c r="T82"/>
  <c r="AE448"/>
  <c r="AG533"/>
  <c r="J527"/>
  <c r="O187"/>
  <c r="M11"/>
  <c r="AP369"/>
  <c r="AC602"/>
  <c r="AF431"/>
  <c r="I620"/>
  <c r="P367"/>
  <c r="S119"/>
  <c r="AO444"/>
  <c r="Y241"/>
  <c r="AT375"/>
  <c r="AG315"/>
  <c r="AA102"/>
  <c r="H436"/>
  <c r="U541"/>
  <c r="AN279"/>
  <c r="R595"/>
  <c r="AE335"/>
  <c r="AB520"/>
  <c r="Z315"/>
  <c r="V10"/>
  <c r="AH29"/>
  <c r="Y249"/>
  <c r="AJ404"/>
  <c r="AL309"/>
  <c r="AL521"/>
  <c r="AJ333"/>
  <c r="AN219"/>
  <c r="H352"/>
  <c r="AA219"/>
  <c r="R281"/>
  <c r="AP244"/>
  <c r="H93"/>
  <c r="AR619"/>
  <c r="AI187"/>
  <c r="AB619"/>
  <c r="AE101"/>
  <c r="AP620"/>
  <c r="AR316"/>
  <c r="H361"/>
  <c r="X468"/>
  <c r="W596"/>
  <c r="AJ599"/>
  <c r="J506"/>
  <c r="AS445"/>
  <c r="AR321"/>
  <c r="O123"/>
  <c r="S552"/>
  <c r="P245"/>
  <c r="AJ624"/>
  <c r="L508"/>
  <c r="W437"/>
  <c r="AT612"/>
  <c r="K356"/>
  <c r="AP121"/>
  <c r="AB508"/>
  <c r="Y360"/>
  <c r="AM279"/>
  <c r="S87"/>
  <c r="AE554"/>
  <c r="AL373"/>
  <c r="AK713"/>
  <c r="G369"/>
  <c r="AN686"/>
  <c r="Z308"/>
  <c r="AM276"/>
  <c r="S316"/>
  <c r="AE23"/>
  <c r="M452"/>
  <c r="AQ434"/>
  <c r="AG427"/>
  <c r="O327"/>
  <c r="AP542"/>
  <c r="K349"/>
  <c r="AI375"/>
  <c r="AO437"/>
  <c r="Q613"/>
  <c r="W430"/>
  <c r="W554"/>
  <c r="Z503"/>
  <c r="AT113"/>
  <c r="AQ92"/>
  <c r="S280"/>
  <c r="V447"/>
  <c r="H31"/>
  <c r="AF280"/>
  <c r="AO325"/>
  <c r="AK28"/>
  <c r="S11"/>
  <c r="AB113"/>
  <c r="G453"/>
  <c r="L524"/>
  <c r="AG443"/>
  <c r="Z10"/>
  <c r="AO534"/>
  <c r="V187"/>
  <c r="AP251"/>
  <c r="L322"/>
  <c r="N114"/>
  <c r="AC606"/>
  <c r="K558"/>
  <c r="AJ30"/>
  <c r="AQ548"/>
  <c r="AM62"/>
  <c r="K560"/>
  <c r="AI611"/>
  <c r="AF369"/>
  <c r="AI276"/>
  <c r="AA401"/>
  <c r="AP683"/>
  <c r="AJ218"/>
  <c r="AK359"/>
  <c r="AO116"/>
  <c r="K305"/>
  <c r="AR124"/>
  <c r="K13"/>
  <c r="AA86"/>
  <c r="AE250"/>
  <c r="AM538"/>
  <c r="L363"/>
  <c r="V9"/>
  <c r="AS125"/>
  <c r="AE617"/>
  <c r="L405"/>
  <c r="AB452"/>
  <c r="Q365"/>
  <c r="AE122"/>
  <c r="X181"/>
  <c r="I58"/>
  <c r="O713"/>
  <c r="AL506"/>
  <c r="X352"/>
  <c r="N339"/>
  <c r="X607"/>
  <c r="N454"/>
  <c r="V306"/>
  <c r="S239"/>
  <c r="K458"/>
  <c r="V181"/>
  <c r="O438"/>
  <c r="U538"/>
  <c r="I444"/>
  <c r="S455"/>
  <c r="H184"/>
  <c r="AL120"/>
  <c r="AD681"/>
  <c r="AJ466"/>
  <c r="Y464"/>
  <c r="G88"/>
  <c r="Y86"/>
  <c r="N321"/>
  <c r="M216"/>
  <c r="AN99"/>
  <c r="W218"/>
  <c r="AR614"/>
  <c r="AE218"/>
  <c r="AH4"/>
  <c r="P602"/>
  <c r="AQ519"/>
  <c r="N681"/>
  <c r="AT366"/>
  <c r="T464"/>
  <c r="AT608"/>
  <c r="AS458"/>
  <c r="AH505"/>
  <c r="G434"/>
  <c r="AM26"/>
  <c r="T154"/>
  <c r="J555"/>
  <c r="R300"/>
  <c r="AT358"/>
  <c r="N96"/>
  <c r="AE358"/>
  <c r="AF335"/>
  <c r="P240"/>
  <c r="G125"/>
  <c r="G241"/>
  <c r="G540"/>
  <c r="AI367"/>
  <c r="X23"/>
  <c r="AL433"/>
  <c r="S405"/>
  <c r="Q503"/>
  <c r="G178"/>
  <c r="L154"/>
  <c r="M617"/>
  <c r="AA327"/>
  <c r="L113"/>
  <c r="X684"/>
  <c r="AE334"/>
  <c r="K325"/>
  <c r="AH248"/>
  <c r="AP120"/>
  <c r="AB518"/>
  <c r="AC18"/>
  <c r="AG506"/>
  <c r="AI61"/>
  <c r="M248"/>
  <c r="AR431"/>
  <c r="AT525"/>
  <c r="AK8"/>
  <c r="R243"/>
  <c r="O119"/>
  <c r="M435"/>
  <c r="AE354"/>
  <c r="V622"/>
  <c r="AP277"/>
  <c r="S59"/>
  <c r="P364"/>
  <c r="AA526"/>
  <c r="AC607"/>
  <c r="AR401"/>
  <c r="AI250"/>
  <c r="AE187"/>
  <c r="V714"/>
  <c r="AH403"/>
  <c r="T614"/>
  <c r="S553"/>
  <c r="AA556"/>
  <c r="W122"/>
  <c r="X428"/>
  <c r="Q543"/>
  <c r="AG122"/>
  <c r="Z248"/>
  <c r="P101"/>
  <c r="AS511"/>
  <c r="S612"/>
  <c r="X180"/>
  <c r="AC82"/>
  <c r="O604"/>
  <c r="AO83"/>
  <c r="P686"/>
  <c r="L182"/>
  <c r="AM366"/>
  <c r="AE18"/>
  <c r="AS542"/>
  <c r="J26"/>
  <c r="AS338"/>
  <c r="AQ317"/>
  <c r="AF528"/>
  <c r="V7"/>
  <c r="Y511"/>
  <c r="AL534"/>
  <c r="T305"/>
  <c r="L527"/>
  <c r="V22"/>
  <c r="G24"/>
  <c r="AB117"/>
  <c r="AG220"/>
  <c r="S113"/>
  <c r="L178"/>
  <c r="L469"/>
  <c r="AL618"/>
  <c r="J462"/>
  <c r="AP715"/>
  <c r="I615"/>
  <c r="I88"/>
  <c r="W277"/>
  <c r="AE12"/>
  <c r="O245"/>
  <c r="AJ557"/>
  <c r="J535"/>
  <c r="L606"/>
  <c r="AO552"/>
  <c r="H99"/>
  <c r="AC404"/>
  <c r="AE428"/>
  <c r="X116"/>
  <c r="O251"/>
  <c r="J714"/>
  <c r="K469"/>
  <c r="H509"/>
  <c r="U602"/>
  <c r="S88"/>
  <c r="H445"/>
  <c r="AR613"/>
  <c r="U682"/>
  <c r="P82"/>
  <c r="AP81"/>
  <c r="AQ85"/>
  <c r="S158"/>
  <c r="I684"/>
  <c r="Y432"/>
  <c r="I540"/>
  <c r="AN555"/>
  <c r="AC438"/>
  <c r="V307"/>
  <c r="AI525"/>
  <c r="AB443"/>
  <c r="AI15"/>
  <c r="AN681"/>
  <c r="AL215"/>
  <c r="H188"/>
  <c r="P612"/>
  <c r="AH541"/>
  <c r="I545"/>
  <c r="AN157"/>
  <c r="AE242"/>
  <c r="T527"/>
  <c r="V113"/>
  <c r="H15"/>
  <c r="Z355"/>
  <c r="AS682"/>
  <c r="U453"/>
  <c r="AT540"/>
  <c r="I325"/>
  <c r="AC279"/>
  <c r="AA246"/>
  <c r="AR123"/>
  <c r="P685"/>
  <c r="AN335"/>
  <c r="AK346"/>
  <c r="K26"/>
  <c r="J97"/>
  <c r="AI427"/>
  <c r="W624"/>
  <c r="AO101"/>
  <c r="AK469"/>
  <c r="O16"/>
  <c r="J278"/>
  <c r="O714"/>
  <c r="AQ300"/>
  <c r="AA186"/>
  <c r="I277"/>
  <c r="AP425"/>
  <c r="Y367"/>
  <c r="G93"/>
  <c r="G447"/>
  <c r="AL118"/>
  <c r="AB88"/>
  <c r="AD103"/>
  <c r="AF30"/>
  <c r="AQ521"/>
  <c r="AI354"/>
  <c r="Y19"/>
  <c r="AP19"/>
  <c r="AP524"/>
  <c r="U330"/>
  <c r="W434"/>
  <c r="S317"/>
  <c r="AS339"/>
  <c r="W310"/>
  <c r="AF249"/>
  <c r="AB183"/>
  <c r="V61"/>
  <c r="H446"/>
  <c r="R244"/>
  <c r="AB556"/>
  <c r="AI359"/>
  <c r="AB335"/>
  <c r="X372"/>
  <c r="U367"/>
  <c r="AG540"/>
  <c r="P365"/>
  <c r="AG604"/>
  <c r="AD85"/>
  <c r="AI11"/>
  <c r="G556"/>
  <c r="V369"/>
  <c r="AR597"/>
  <c r="N58"/>
  <c r="L361"/>
  <c r="AO373"/>
  <c r="T680"/>
  <c r="AP509"/>
  <c r="P115"/>
  <c r="AB448"/>
  <c r="AK462"/>
  <c r="P520"/>
  <c r="O557"/>
  <c r="U503"/>
  <c r="AJ452"/>
  <c r="AH519"/>
  <c r="AL356"/>
  <c r="Q301"/>
  <c r="H428"/>
  <c r="Z526"/>
  <c r="X447"/>
  <c r="AF451"/>
  <c r="Y443"/>
  <c r="L10"/>
  <c r="V91"/>
  <c r="AP602"/>
  <c r="AL610"/>
  <c r="AA523"/>
  <c r="S363"/>
  <c r="AG531"/>
  <c r="AS557"/>
  <c r="AR341"/>
  <c r="L303"/>
  <c r="AQ714"/>
  <c r="AM374"/>
  <c r="AG428"/>
  <c r="K402"/>
  <c r="I456"/>
  <c r="AR531"/>
  <c r="AR308"/>
  <c r="AO124"/>
  <c r="N682"/>
  <c r="O177"/>
  <c r="AD123"/>
  <c r="Y303"/>
  <c r="AG114"/>
  <c r="AB115"/>
  <c r="AI516"/>
  <c r="P610"/>
  <c r="AG4"/>
  <c r="L119"/>
  <c r="G333"/>
  <c r="AO358"/>
  <c r="AE455"/>
  <c r="V342"/>
  <c r="G558"/>
  <c r="AH119"/>
  <c r="R519"/>
  <c r="Y21"/>
  <c r="AM599"/>
  <c r="N361"/>
  <c r="W90"/>
  <c r="U425"/>
  <c r="O602"/>
  <c r="AN436"/>
  <c r="AJ430"/>
  <c r="AN437"/>
  <c r="I122"/>
  <c r="N341"/>
  <c r="AS308"/>
  <c r="K218"/>
  <c r="AO681"/>
  <c r="AR600"/>
  <c r="AH83"/>
  <c r="L3"/>
  <c r="AG246"/>
  <c r="AJ184"/>
  <c r="J89"/>
  <c r="Y402"/>
  <c r="T330"/>
  <c r="X523"/>
  <c r="AM427"/>
  <c r="G94"/>
  <c r="X244"/>
  <c r="AJ540"/>
  <c r="AB531"/>
  <c r="S156"/>
  <c r="Q436"/>
  <c r="Q602"/>
  <c r="AF429"/>
  <c r="AM5"/>
  <c r="Z331"/>
  <c r="AL401"/>
  <c r="M179"/>
  <c r="AR10"/>
  <c r="AN455"/>
  <c r="T348"/>
  <c r="N603"/>
  <c r="AR82"/>
  <c r="Y94"/>
  <c r="AQ364"/>
  <c r="X186"/>
  <c r="AK511"/>
  <c r="AC620"/>
  <c r="AM24"/>
  <c r="AD218"/>
  <c r="AB90"/>
  <c r="Z462"/>
  <c r="N123"/>
  <c r="AG615"/>
  <c r="H89"/>
  <c r="AN102"/>
  <c r="AN9"/>
  <c r="AO321"/>
  <c r="AT332"/>
  <c r="AS403"/>
  <c r="AL680"/>
  <c r="AD340"/>
  <c r="AM711"/>
  <c r="AK446"/>
  <c r="AI430"/>
  <c r="AN7"/>
  <c r="AB181"/>
  <c r="AT305"/>
  <c r="X595"/>
  <c r="AP29"/>
  <c r="AS538"/>
  <c r="X402"/>
  <c r="O403"/>
  <c r="AR511"/>
  <c r="U91"/>
  <c r="AP152"/>
  <c r="J320"/>
  <c r="AD450"/>
  <c r="S459"/>
  <c r="AM244"/>
  <c r="AO605"/>
  <c r="AC31"/>
  <c r="AP17"/>
  <c r="AH20"/>
  <c r="Q453"/>
  <c r="AE454"/>
  <c r="AE530"/>
  <c r="R9"/>
  <c r="AL344"/>
  <c r="AL600"/>
  <c r="T541"/>
  <c r="AF508"/>
  <c r="AC313"/>
  <c r="J322"/>
  <c r="AF555"/>
  <c r="AM455"/>
  <c r="Z113"/>
  <c r="U105"/>
  <c r="M511"/>
  <c r="J218"/>
  <c r="AG27"/>
  <c r="V243"/>
  <c r="Y516"/>
  <c r="AL359"/>
  <c r="AD712"/>
  <c r="P153"/>
  <c r="S249"/>
  <c r="AD536"/>
  <c r="Q328"/>
  <c r="L11"/>
  <c r="W94"/>
  <c r="H18"/>
  <c r="H280"/>
  <c r="L608"/>
  <c r="AP153"/>
  <c r="AI321"/>
  <c r="AG535"/>
  <c r="W525"/>
  <c r="AI469"/>
  <c r="X512"/>
  <c r="AQ365"/>
  <c r="V455"/>
  <c r="H404"/>
  <c r="AB83"/>
  <c r="Z182"/>
  <c r="U343"/>
  <c r="AT330"/>
  <c r="O122"/>
  <c r="AS606"/>
  <c r="T312"/>
  <c r="AM525"/>
  <c r="AP558"/>
  <c r="AN428"/>
  <c r="H328"/>
  <c r="AS346"/>
  <c r="AC596"/>
  <c r="M351"/>
  <c r="G604"/>
  <c r="AH506"/>
  <c r="J87"/>
  <c r="I558"/>
  <c r="G506"/>
  <c r="K101"/>
  <c r="AT6"/>
  <c r="AM343"/>
  <c r="Y519"/>
  <c r="S457"/>
  <c r="AJ21"/>
  <c r="AH508"/>
  <c r="S595"/>
  <c r="Q250"/>
  <c r="AT682"/>
  <c r="V10" i="66"/>
  <c r="AF623" i="175"/>
  <c r="AG86"/>
  <c r="AL323"/>
  <c r="AA32"/>
  <c r="W124"/>
  <c r="W59"/>
  <c r="Z348"/>
  <c r="AS351"/>
  <c r="S465"/>
  <c r="S6"/>
  <c r="AS355"/>
  <c r="O181"/>
  <c r="S357"/>
  <c r="AF559"/>
  <c r="AE331"/>
  <c r="AK247"/>
  <c r="M559"/>
  <c r="AN453"/>
  <c r="X426"/>
  <c r="O83"/>
  <c r="V361"/>
  <c r="Y453"/>
  <c r="R360"/>
  <c r="AR179"/>
  <c r="L14"/>
  <c r="H309"/>
  <c r="W520"/>
  <c r="O363"/>
  <c r="Z438"/>
  <c r="AH96"/>
  <c r="J219"/>
  <c r="AQ360"/>
  <c r="P369"/>
  <c r="AA276"/>
  <c r="L177"/>
  <c r="P517"/>
  <c r="R158"/>
  <c r="AK26"/>
  <c r="I375"/>
  <c r="V337"/>
  <c r="L371"/>
  <c r="AF356"/>
  <c r="R157"/>
  <c r="M304"/>
  <c r="AQ523"/>
  <c r="R611"/>
  <c r="G61"/>
  <c r="AS82"/>
  <c r="M309"/>
  <c r="U300"/>
  <c r="N596"/>
  <c r="AJ464"/>
  <c r="AT83"/>
  <c r="AD214"/>
  <c r="AP463"/>
  <c r="Y540"/>
  <c r="V220"/>
  <c r="I713"/>
  <c r="AB29"/>
  <c r="U88"/>
  <c r="AR365"/>
  <c r="AQ328"/>
  <c r="AA458"/>
  <c r="U318"/>
  <c r="R96"/>
  <c r="Z105"/>
  <c r="W346"/>
  <c r="H158"/>
  <c r="L86"/>
  <c r="T711"/>
  <c r="O681"/>
  <c r="AP624"/>
  <c r="AD313"/>
  <c r="L189"/>
  <c r="M349"/>
  <c r="J4"/>
  <c r="AE182"/>
  <c r="M14"/>
  <c r="AK22"/>
  <c r="AQ363"/>
  <c r="M613"/>
  <c r="W187"/>
  <c r="V280"/>
  <c r="O24"/>
  <c r="AS446"/>
  <c r="AD361"/>
  <c r="S303"/>
  <c r="S81"/>
  <c r="W529"/>
  <c r="M300"/>
  <c r="AA302"/>
  <c r="AG457"/>
  <c r="AQ329"/>
  <c r="T518"/>
  <c r="AO446"/>
  <c r="AA464"/>
  <c r="AT451"/>
  <c r="I29"/>
  <c r="V282"/>
  <c r="I301"/>
  <c r="AK20"/>
  <c r="AN123"/>
  <c r="AE245"/>
  <c r="AG249"/>
  <c r="AJ10"/>
  <c r="AD301"/>
  <c r="P450"/>
  <c r="G21"/>
  <c r="Z616"/>
  <c r="AR529"/>
  <c r="W8"/>
  <c r="J333"/>
  <c r="L597"/>
  <c r="O219"/>
  <c r="W19"/>
  <c r="I249"/>
  <c r="L714"/>
  <c r="AS434"/>
  <c r="P59"/>
  <c r="K624"/>
  <c r="AS521"/>
  <c r="M456"/>
  <c r="L188"/>
  <c r="L352"/>
  <c r="AF13"/>
  <c r="AC17"/>
  <c r="M103"/>
  <c r="U16"/>
  <c r="AG438"/>
  <c r="G102"/>
  <c r="O505"/>
  <c r="AR560"/>
  <c r="AM624"/>
  <c r="AH339"/>
  <c r="L125"/>
  <c r="Z357"/>
  <c r="AM450"/>
  <c r="AN215"/>
  <c r="R450"/>
  <c r="AL220"/>
  <c r="AA603"/>
  <c r="AT216"/>
  <c r="AF601"/>
  <c r="AO452"/>
  <c r="AK518"/>
  <c r="N604"/>
  <c r="R317"/>
  <c r="AH215"/>
  <c r="O367"/>
  <c r="AE460"/>
  <c r="O542"/>
  <c r="N534"/>
  <c r="AR535"/>
  <c r="W307"/>
  <c r="AA509"/>
  <c r="W15"/>
  <c r="AA6"/>
  <c r="S715"/>
  <c r="N468"/>
  <c r="AC451"/>
  <c r="I19"/>
  <c r="W157"/>
  <c r="AF99"/>
  <c r="X680"/>
  <c r="N9"/>
  <c r="S526"/>
  <c r="AO19"/>
  <c r="J15"/>
  <c r="AG177"/>
  <c r="AQ31"/>
  <c r="I217"/>
  <c r="W241"/>
  <c r="AP613"/>
  <c r="AF527"/>
  <c r="H302"/>
  <c r="AC96"/>
  <c r="R357"/>
  <c r="AJ16"/>
  <c r="AT317"/>
  <c r="AB184"/>
  <c r="L596"/>
  <c r="V429"/>
  <c r="AB436"/>
  <c r="AB368"/>
  <c r="AD309"/>
  <c r="AF682"/>
  <c r="N351"/>
  <c r="I108"/>
  <c r="AD179"/>
  <c r="G714"/>
  <c r="AR534"/>
  <c r="R362"/>
  <c r="AC556"/>
  <c r="H304"/>
  <c r="W543"/>
  <c r="Y123"/>
  <c r="O601"/>
  <c r="Z367"/>
  <c r="AM117"/>
  <c r="T346"/>
  <c r="AD16"/>
  <c r="AF245"/>
  <c r="R528"/>
  <c r="AC325"/>
  <c r="M319"/>
  <c r="AG185"/>
  <c r="V329"/>
  <c r="S114"/>
  <c r="AH400"/>
  <c r="U317"/>
  <c r="AO357"/>
  <c r="AO544"/>
  <c r="P8"/>
  <c r="Y180"/>
  <c r="AN359"/>
  <c r="AF468"/>
  <c r="AF525"/>
  <c r="K371"/>
  <c r="AI325"/>
  <c r="T183"/>
  <c r="AO543"/>
  <c r="S538"/>
  <c r="K453"/>
  <c r="T598"/>
  <c r="AN507"/>
  <c r="AL611"/>
  <c r="R117"/>
  <c r="K123"/>
  <c r="AC100"/>
  <c r="AN184"/>
  <c r="AT715"/>
  <c r="T619"/>
  <c r="AF544"/>
  <c r="AO598"/>
  <c r="Q94"/>
  <c r="AS596"/>
  <c r="AI101"/>
  <c r="X425"/>
  <c r="V598"/>
  <c r="J604"/>
  <c r="AJ334"/>
  <c r="I462"/>
  <c r="K188"/>
  <c r="T219"/>
  <c r="AD311"/>
  <c r="AA329"/>
  <c r="AA317"/>
  <c r="H10"/>
  <c r="Z303"/>
  <c r="AD346"/>
  <c r="AN425"/>
  <c r="K278"/>
  <c r="AR620"/>
  <c r="K465"/>
  <c r="P436"/>
  <c r="H511"/>
  <c r="AH214"/>
  <c r="AE457"/>
  <c r="AF599"/>
  <c r="J334"/>
  <c r="AB402"/>
  <c r="T307"/>
  <c r="Y611"/>
  <c r="Q337"/>
  <c r="K61"/>
  <c r="S540"/>
  <c r="AD468"/>
  <c r="U96"/>
  <c r="H596"/>
  <c r="AQ458"/>
  <c r="I512"/>
  <c r="R429"/>
  <c r="AJ374"/>
  <c r="V334"/>
  <c r="AN86"/>
  <c r="AI437"/>
  <c r="AC616"/>
  <c r="AK185"/>
  <c r="R115"/>
  <c r="U613"/>
  <c r="U10"/>
  <c r="AH530"/>
  <c r="Y615"/>
  <c r="I349"/>
  <c r="P539"/>
  <c r="AP323"/>
  <c r="AK300"/>
  <c r="M525"/>
  <c r="AT601"/>
  <c r="AD10"/>
  <c r="AC89"/>
  <c r="Z332"/>
  <c r="S425"/>
  <c r="AO468"/>
  <c r="Q318"/>
  <c r="G554"/>
  <c r="AG316"/>
  <c r="AC311"/>
  <c r="AN529"/>
  <c r="AF402"/>
  <c r="J352"/>
  <c r="X307"/>
  <c r="AJ598"/>
  <c r="AB7"/>
  <c r="AG311"/>
  <c r="U403"/>
  <c r="AD430"/>
  <c r="G300"/>
  <c r="Z123"/>
  <c r="K121"/>
  <c r="AI117"/>
  <c r="AP405"/>
  <c r="G220"/>
  <c r="U518"/>
  <c r="V553"/>
  <c r="S312"/>
  <c r="Q177"/>
  <c r="AE318"/>
  <c r="T445"/>
  <c r="Q620"/>
  <c r="AO302"/>
  <c r="AN406"/>
  <c r="AD243"/>
  <c r="W427"/>
  <c r="X558"/>
  <c r="J528"/>
  <c r="AH5"/>
  <c r="AQ516"/>
  <c r="G711"/>
  <c r="AG278"/>
  <c r="AE619"/>
  <c r="Z310"/>
  <c r="AS464"/>
  <c r="S90"/>
  <c r="AN347"/>
  <c r="X464"/>
  <c r="AI425"/>
  <c r="AO522"/>
  <c r="J402"/>
  <c r="I552"/>
  <c r="AL711"/>
  <c r="Q467"/>
  <c r="P354"/>
  <c r="M62"/>
  <c r="O248"/>
  <c r="R453"/>
  <c r="J99"/>
  <c r="I30"/>
  <c r="U521"/>
  <c r="AA606"/>
  <c r="Y537"/>
  <c r="AI248"/>
  <c r="H624"/>
  <c r="Z158"/>
  <c r="AK534"/>
  <c r="AF363"/>
  <c r="Z249"/>
  <c r="AE217"/>
  <c r="AA461"/>
  <c r="AP219"/>
  <c r="AJ516"/>
  <c r="AQ178"/>
  <c r="AE350"/>
  <c r="W278"/>
  <c r="Y364"/>
  <c r="AB333"/>
  <c r="AQ555"/>
  <c r="H605"/>
  <c r="V328"/>
  <c r="W606"/>
  <c r="J557"/>
  <c r="I544"/>
  <c r="Q153"/>
  <c r="Y31"/>
  <c r="AI9"/>
  <c r="L6"/>
  <c r="AR603"/>
  <c r="S350"/>
  <c r="AC611"/>
  <c r="I406"/>
  <c r="AQ116"/>
  <c r="AF537"/>
  <c r="AM216"/>
  <c r="AG557"/>
  <c r="AP538"/>
  <c r="Q541"/>
  <c r="G350"/>
  <c r="Q522"/>
  <c r="AD374"/>
  <c r="AL117"/>
  <c r="AB538"/>
  <c r="AA435"/>
  <c r="O62"/>
  <c r="Q355"/>
  <c r="AT373"/>
  <c r="AP452"/>
  <c r="S96"/>
  <c r="AA281"/>
  <c r="AO456"/>
  <c r="AF302"/>
  <c r="V125"/>
  <c r="Z595"/>
  <c r="AS683"/>
  <c r="AB357"/>
  <c r="O425"/>
  <c r="AH681"/>
  <c r="AP621"/>
  <c r="V597"/>
  <c r="U26"/>
  <c r="AJ89"/>
  <c r="AO430"/>
  <c r="W8" i="65"/>
  <c r="M60" i="175"/>
  <c r="X10"/>
  <c r="AO99"/>
  <c r="AM114"/>
  <c r="S359"/>
  <c r="AO623"/>
  <c r="I433"/>
  <c r="AC306"/>
  <c r="T58"/>
  <c r="R324"/>
  <c r="V277"/>
  <c r="AF551"/>
  <c r="AK125"/>
  <c r="O401"/>
  <c r="O9"/>
  <c r="Z603"/>
  <c r="Q517"/>
  <c r="J511"/>
  <c r="AR350"/>
  <c r="S438"/>
  <c r="H247"/>
  <c r="AP276"/>
  <c r="AC432"/>
  <c r="O115"/>
  <c r="AP8"/>
  <c r="T320"/>
  <c r="AG361"/>
  <c r="AP278"/>
  <c r="K448"/>
  <c r="AG152"/>
  <c r="AB248"/>
  <c r="Z623"/>
  <c r="AN511"/>
  <c r="AN682"/>
  <c r="AS63"/>
  <c r="AE436"/>
  <c r="AB185"/>
  <c r="U519"/>
  <c r="T238"/>
  <c r="AJ539"/>
  <c r="Z281"/>
  <c r="J401"/>
  <c r="AK177"/>
  <c r="AG101"/>
  <c r="L539"/>
  <c r="O7"/>
  <c r="L312"/>
  <c r="P463"/>
  <c r="Y560"/>
  <c r="AH456"/>
  <c r="M108"/>
  <c r="L514"/>
  <c r="X430"/>
  <c r="H368"/>
  <c r="Z518"/>
  <c r="O531"/>
  <c r="R239"/>
  <c r="S686"/>
  <c r="AJ432"/>
  <c r="Z18"/>
  <c r="G514"/>
  <c r="AT218"/>
  <c r="X62"/>
  <c r="J713"/>
  <c r="AK240"/>
  <c r="L615"/>
  <c r="W522"/>
  <c r="M619"/>
  <c r="AT99"/>
  <c r="AF541"/>
  <c r="H447"/>
  <c r="Y353"/>
  <c r="AR557"/>
  <c r="AQ326"/>
  <c r="AK343"/>
  <c r="AF615"/>
  <c r="U178"/>
  <c r="AS534"/>
  <c r="V183"/>
  <c r="AC367"/>
  <c r="AO402"/>
  <c r="AI157"/>
  <c r="K367"/>
  <c r="Q338"/>
  <c r="H618"/>
  <c r="AN60"/>
  <c r="R711"/>
  <c r="Y5"/>
  <c r="AJ63"/>
  <c r="AH523"/>
  <c r="AC622"/>
  <c r="Y300"/>
  <c r="X463"/>
  <c r="T357"/>
  <c r="AI530"/>
  <c r="P557"/>
  <c r="X714"/>
  <c r="Z246"/>
  <c r="P526"/>
  <c r="AD326"/>
  <c r="I91"/>
  <c r="G248"/>
  <c r="V551"/>
  <c r="U454"/>
  <c r="R31"/>
  <c r="U686"/>
  <c r="AP552"/>
  <c r="AR335"/>
  <c r="N251"/>
  <c r="AR243"/>
  <c r="V315"/>
  <c r="AF219"/>
  <c r="AH156"/>
  <c r="AN552"/>
  <c r="AB318"/>
  <c r="P27"/>
  <c r="AA61"/>
  <c r="AR618"/>
  <c r="J437"/>
  <c r="AK519"/>
  <c r="AF282"/>
  <c r="AM13"/>
  <c r="K361"/>
  <c r="AP435"/>
  <c r="Z445"/>
  <c r="H543"/>
  <c r="AC680"/>
  <c r="H249"/>
  <c r="M438"/>
  <c r="AN282"/>
  <c r="L329"/>
  <c r="AS523"/>
  <c r="Y596"/>
  <c r="AM217"/>
  <c r="R334"/>
  <c r="AA615"/>
  <c r="AB20"/>
  <c r="AJ356"/>
  <c r="AT102"/>
  <c r="O155"/>
  <c r="AP601"/>
  <c r="AD327"/>
  <c r="AT217"/>
  <c r="N12"/>
  <c r="W58"/>
  <c r="AF317"/>
  <c r="K602"/>
  <c r="AP506"/>
  <c r="AO118"/>
  <c r="AQ344"/>
  <c r="AT607"/>
  <c r="AJ681"/>
  <c r="AD82"/>
  <c r="AF505"/>
  <c r="AL371"/>
  <c r="AC686"/>
  <c r="Q315"/>
  <c r="AK13"/>
  <c r="Q187"/>
  <c r="AN523"/>
  <c r="K373"/>
  <c r="AJ327"/>
  <c r="N245"/>
  <c r="AT121"/>
  <c r="AD7"/>
  <c r="W612"/>
  <c r="AM327"/>
  <c r="AI353"/>
  <c r="S511"/>
  <c r="AQ113"/>
  <c r="J342"/>
  <c r="AE30"/>
  <c r="AL341"/>
  <c r="I337"/>
  <c r="AG310"/>
  <c r="Q32"/>
  <c r="O434"/>
  <c r="N103"/>
  <c r="AT57"/>
  <c r="AS595"/>
  <c r="W680"/>
  <c r="U353"/>
  <c r="N507"/>
  <c r="AJ600"/>
  <c r="M353"/>
  <c r="AR622"/>
  <c r="AR456"/>
  <c r="Y218"/>
  <c r="AT306"/>
  <c r="AD335"/>
  <c r="AJ307"/>
  <c r="AA25"/>
  <c r="T599"/>
  <c r="M240"/>
  <c r="AM519"/>
  <c r="T353"/>
  <c r="AM238"/>
  <c r="G502"/>
  <c r="U552"/>
  <c r="AS276"/>
  <c r="M329"/>
  <c r="G182"/>
  <c r="AT318"/>
  <c r="I681"/>
  <c r="U183"/>
  <c r="L99"/>
  <c r="AQ711"/>
  <c r="N355"/>
  <c r="L559"/>
  <c r="H457"/>
  <c r="AP180"/>
  <c r="O539"/>
  <c r="K508"/>
  <c r="Q97"/>
  <c r="U433"/>
  <c r="O218"/>
  <c r="M3"/>
  <c r="G508"/>
  <c r="R444"/>
  <c r="R538"/>
  <c r="AL542"/>
  <c r="V536"/>
  <c r="H178"/>
  <c r="AO343"/>
  <c r="Z359"/>
  <c r="AP100"/>
  <c r="V518"/>
  <c r="AC214"/>
  <c r="AC61"/>
  <c r="AE14"/>
  <c r="AL339"/>
  <c r="AI554"/>
  <c r="M155"/>
  <c r="AA249"/>
  <c r="J446"/>
  <c r="T530"/>
  <c r="AL11"/>
  <c r="J596"/>
  <c r="AK183"/>
  <c r="I218"/>
  <c r="T3"/>
  <c r="AO246"/>
  <c r="AE456"/>
  <c r="AD438"/>
  <c r="AT685"/>
  <c r="Z306"/>
  <c r="AF24"/>
  <c r="AI26"/>
  <c r="J457"/>
  <c r="V430"/>
  <c r="U8"/>
  <c r="AH300"/>
  <c r="AR457"/>
  <c r="R404"/>
  <c r="AK357"/>
  <c r="K433"/>
  <c r="U117"/>
  <c r="AT338"/>
  <c r="X400"/>
  <c r="M369"/>
  <c r="AE360"/>
  <c r="Y25"/>
  <c r="AH552"/>
  <c r="P357"/>
  <c r="M521"/>
  <c r="AQ353"/>
  <c r="AM369"/>
  <c r="X121"/>
  <c r="AI347"/>
  <c r="W300"/>
  <c r="J606"/>
  <c r="AC280"/>
  <c r="P278"/>
  <c r="AK115"/>
  <c r="AE507"/>
  <c r="AP158"/>
  <c r="M21"/>
  <c r="AA462"/>
  <c r="AF117"/>
  <c r="AP179"/>
  <c r="N508"/>
  <c r="AN330"/>
  <c r="G11"/>
  <c r="AK88"/>
  <c r="O4"/>
  <c r="Z508"/>
  <c r="AH459"/>
  <c r="W22"/>
  <c r="P120"/>
  <c r="AB603"/>
  <c r="AH306"/>
  <c r="V188"/>
  <c r="AO342"/>
  <c r="I323"/>
  <c r="AO536"/>
  <c r="W323"/>
  <c r="AO684"/>
  <c r="V308"/>
  <c r="AQ11"/>
  <c r="L100"/>
  <c r="X115"/>
  <c r="AG363"/>
  <c r="AS62"/>
  <c r="AN601"/>
  <c r="O458"/>
  <c r="K712"/>
  <c r="AO105"/>
  <c r="R278"/>
  <c r="AH340"/>
  <c r="T301"/>
  <c r="R100"/>
  <c r="R214"/>
  <c r="X621"/>
  <c r="AA356"/>
  <c r="AD242"/>
  <c r="AS622"/>
  <c r="AN539"/>
  <c r="V341"/>
  <c r="AP453"/>
  <c r="AD19"/>
  <c r="J543"/>
  <c r="M517"/>
  <c r="Y503"/>
  <c r="R613"/>
  <c r="G598"/>
  <c r="W402"/>
  <c r="W619"/>
  <c r="O355"/>
  <c r="AF101"/>
  <c r="G519"/>
  <c r="W23"/>
  <c r="AI712"/>
  <c r="AS406"/>
  <c r="AG308"/>
  <c r="S278"/>
  <c r="O324"/>
  <c r="M560"/>
  <c r="AC548"/>
  <c r="S432"/>
  <c r="U365"/>
  <c r="H430"/>
  <c r="R57"/>
  <c r="M338"/>
  <c r="P604"/>
  <c r="Z374"/>
  <c r="W119"/>
  <c r="AD330"/>
  <c r="K94"/>
  <c r="AJ12"/>
  <c r="S431"/>
  <c r="Z534"/>
  <c r="AE433"/>
  <c r="Q516"/>
  <c r="AM8"/>
  <c r="V615"/>
  <c r="P349"/>
  <c r="W354"/>
  <c r="AB121"/>
  <c r="T182"/>
  <c r="V8"/>
  <c r="R368"/>
  <c r="AL505"/>
  <c r="Q340"/>
  <c r="K603"/>
  <c r="M444"/>
  <c r="AM91"/>
  <c r="Q154"/>
  <c r="AP525"/>
  <c r="X454"/>
  <c r="K158"/>
  <c r="AO714"/>
  <c r="AK215"/>
  <c r="AR596"/>
  <c r="AI369"/>
  <c r="I59"/>
  <c r="AE158"/>
  <c r="H12"/>
  <c r="AP241"/>
  <c r="N438"/>
  <c r="AK122"/>
  <c r="AR361"/>
  <c r="Y374"/>
  <c r="AR454"/>
  <c r="P356"/>
  <c r="AC28"/>
  <c r="V305"/>
  <c r="O511"/>
  <c r="S302"/>
  <c r="Q155"/>
  <c r="AT115"/>
  <c r="Y243"/>
  <c r="P244"/>
  <c r="AA155"/>
  <c r="AS368"/>
  <c r="AR14"/>
  <c r="AP248"/>
  <c r="AS365"/>
  <c r="AM6"/>
  <c r="Z83"/>
  <c r="AT301"/>
  <c r="Y16"/>
  <c r="N93"/>
  <c r="AB85"/>
  <c r="AQ426"/>
  <c r="R348"/>
  <c r="K120"/>
  <c r="T351"/>
  <c r="N83"/>
  <c r="AE405"/>
  <c r="Q359"/>
  <c r="AT369"/>
  <c r="AE31"/>
  <c r="W339"/>
  <c r="T686"/>
  <c r="L82"/>
  <c r="H516"/>
  <c r="O525"/>
  <c r="AL558"/>
  <c r="AN612"/>
  <c r="AB373"/>
  <c r="H523"/>
  <c r="N186"/>
  <c r="V529"/>
  <c r="X217"/>
  <c r="AA619"/>
  <c r="S63"/>
  <c r="G110"/>
  <c r="H452"/>
  <c r="AD58"/>
  <c r="AT100"/>
  <c r="AD87"/>
  <c r="AK305"/>
  <c r="G124"/>
  <c r="N330"/>
  <c r="AO508"/>
  <c r="AQ596"/>
  <c r="AM400"/>
  <c r="Y305"/>
  <c r="AM517"/>
  <c r="P712"/>
  <c r="Z330"/>
  <c r="AD370"/>
  <c r="AM435"/>
  <c r="AD349"/>
  <c r="AJ251"/>
  <c r="T321"/>
  <c r="U426"/>
  <c r="AQ432"/>
  <c r="AP519"/>
  <c r="R342"/>
  <c r="T308"/>
  <c r="AJ457"/>
  <c r="AJ332"/>
  <c r="AL9"/>
  <c r="AN458"/>
  <c r="T528"/>
  <c r="AK117"/>
  <c r="AH315"/>
  <c r="AB220"/>
  <c r="AP503"/>
  <c r="G116"/>
  <c r="AJ105"/>
  <c r="V350"/>
  <c r="Q22"/>
  <c r="G325"/>
  <c r="H684"/>
  <c r="O317"/>
  <c r="W96"/>
  <c r="AS328"/>
  <c r="Y122"/>
  <c r="AC24"/>
  <c r="AF437"/>
  <c r="Y182"/>
  <c r="Y32"/>
  <c r="S327"/>
  <c r="G120"/>
  <c r="L239"/>
  <c r="X179"/>
  <c r="W448"/>
  <c r="R321"/>
  <c r="AH9"/>
  <c r="W403"/>
  <c r="AF520"/>
  <c r="X102"/>
  <c r="AM92"/>
  <c r="AS347"/>
  <c r="AK96"/>
  <c r="N535"/>
  <c r="L16"/>
  <c r="O615"/>
  <c r="AK282"/>
  <c r="W10" i="65"/>
  <c r="Z596" i="175"/>
  <c r="AT188"/>
  <c r="AO154"/>
  <c r="AC711"/>
  <c r="AG536"/>
  <c r="AH281"/>
  <c r="X624"/>
  <c r="L247"/>
  <c r="O621"/>
  <c r="AH62"/>
  <c r="G153"/>
  <c r="J351"/>
  <c r="L24"/>
  <c r="AK458"/>
  <c r="Q343"/>
  <c r="AA12"/>
  <c r="T329"/>
  <c r="T609"/>
  <c r="AK14"/>
  <c r="G63"/>
  <c r="AQ333"/>
  <c r="R335"/>
  <c r="U338"/>
  <c r="T81"/>
  <c r="Z122"/>
  <c r="P31"/>
  <c r="AF239"/>
  <c r="Z606"/>
  <c r="AO61"/>
  <c r="T181"/>
  <c r="S620"/>
  <c r="AH453"/>
  <c r="J514"/>
  <c r="AL243"/>
  <c r="X427"/>
  <c r="U612"/>
  <c r="I556"/>
  <c r="P597"/>
  <c r="X336"/>
  <c r="I428"/>
  <c r="T443"/>
  <c r="W21"/>
  <c r="AT367"/>
  <c r="AI309"/>
  <c r="AL124"/>
  <c r="Z356"/>
  <c r="AR371"/>
  <c r="M113"/>
  <c r="AQ405"/>
  <c r="AR320"/>
  <c r="I403"/>
  <c r="S338"/>
  <c r="AE306"/>
  <c r="AQ361"/>
  <c r="AD533"/>
  <c r="O250"/>
  <c r="AO615"/>
  <c r="AS558"/>
  <c r="I313"/>
  <c r="AB315"/>
  <c r="AC524"/>
  <c r="AI518"/>
  <c r="O28"/>
  <c r="P553"/>
  <c r="AK121"/>
  <c r="K557"/>
  <c r="AN238"/>
  <c r="M7"/>
  <c r="J153"/>
  <c r="I508"/>
  <c r="Y8" i="66"/>
  <c r="M104" i="175"/>
  <c r="AC715"/>
  <c r="AR402"/>
  <c r="G251"/>
  <c r="AJ344"/>
  <c r="W367"/>
  <c r="AK508"/>
  <c r="V336"/>
  <c r="AG82"/>
  <c r="AS426"/>
  <c r="AE241"/>
  <c r="AI524"/>
  <c r="U544"/>
  <c r="AQ276"/>
  <c r="K364"/>
  <c r="I510"/>
  <c r="AB600"/>
  <c r="AI81"/>
  <c r="U25"/>
  <c r="AO350"/>
  <c r="AS244"/>
  <c r="AT282"/>
  <c r="X332"/>
  <c r="T434"/>
  <c r="AF620"/>
  <c r="X604"/>
  <c r="O506"/>
  <c r="AL615"/>
  <c r="AS307"/>
  <c r="X623"/>
  <c r="Y90"/>
  <c r="Z624"/>
  <c r="U556"/>
  <c r="AT245"/>
  <c r="S456"/>
  <c r="U607"/>
  <c r="K607"/>
  <c r="Q156"/>
  <c r="S177"/>
  <c r="AI544"/>
  <c r="U307"/>
  <c r="Q598"/>
  <c r="S117"/>
  <c r="AA530"/>
  <c r="K329"/>
  <c r="O154"/>
  <c r="AJ431"/>
  <c r="I436"/>
  <c r="Z602"/>
  <c r="I609"/>
  <c r="AP599"/>
  <c r="K685"/>
  <c r="O310"/>
  <c r="V158"/>
  <c r="AF32"/>
  <c r="P317"/>
  <c r="Z58"/>
  <c r="U368"/>
  <c r="AN117"/>
  <c r="R17"/>
  <c r="U451"/>
  <c r="G311"/>
  <c r="AE32"/>
  <c r="AA360"/>
  <c r="AI446"/>
  <c r="AS624"/>
  <c r="AT543"/>
  <c r="Z242"/>
  <c r="V623"/>
  <c r="O465"/>
  <c r="O433"/>
  <c r="AJ249"/>
  <c r="AD239"/>
  <c r="AF368"/>
  <c r="AQ366"/>
  <c r="AM528"/>
  <c r="T25"/>
  <c r="U120"/>
  <c r="T401"/>
  <c r="AS401"/>
  <c r="AD599"/>
  <c r="AN613"/>
  <c r="AP528"/>
  <c r="Q317"/>
  <c r="AD401"/>
  <c r="AB11"/>
  <c r="O186"/>
  <c r="U61"/>
  <c r="P243"/>
  <c r="O25"/>
  <c r="G322"/>
  <c r="L58"/>
  <c r="AK18"/>
  <c r="C24" i="63"/>
  <c r="T300" i="175"/>
  <c r="AB506"/>
  <c r="AI519"/>
  <c r="V516"/>
  <c r="AC123"/>
  <c r="T334"/>
  <c r="AN315"/>
  <c r="I123"/>
  <c r="Q116"/>
  <c r="I446"/>
  <c r="AB180"/>
  <c r="AH317"/>
  <c r="T324"/>
  <c r="X353"/>
  <c r="Y451"/>
  <c r="U437"/>
  <c r="AJ541"/>
  <c r="AL450"/>
  <c r="AT347"/>
  <c r="AH153"/>
  <c r="H7"/>
  <c r="AA506"/>
  <c r="AB553"/>
  <c r="AS88"/>
  <c r="Y245"/>
  <c r="AT401"/>
  <c r="AI623"/>
  <c r="Q329"/>
  <c r="AL362"/>
  <c r="AF351"/>
  <c r="AE117"/>
  <c r="AC362"/>
  <c r="AC600"/>
  <c r="J27"/>
  <c r="AJ179"/>
  <c r="J524"/>
  <c r="AL617"/>
  <c r="R469"/>
  <c r="AQ522"/>
  <c r="Y332"/>
  <c r="T556"/>
  <c r="M116"/>
  <c r="K90"/>
  <c r="J183"/>
  <c r="AI715"/>
  <c r="Y156"/>
  <c r="N15"/>
  <c r="K461"/>
  <c r="AP125"/>
  <c r="H525"/>
  <c r="AN23"/>
  <c r="AK456"/>
  <c r="AH81"/>
  <c r="AH615"/>
  <c r="Z186"/>
  <c r="K276"/>
  <c r="J104"/>
  <c r="AG184"/>
  <c r="L619"/>
  <c r="AP354"/>
  <c r="W534"/>
  <c r="AR623"/>
  <c r="K185"/>
  <c r="AC238"/>
  <c r="I97"/>
  <c r="U619"/>
  <c r="AA245"/>
  <c r="N373"/>
  <c r="X337"/>
  <c r="Y548"/>
  <c r="AJ319"/>
  <c r="H60"/>
  <c r="AD461"/>
  <c r="AK364"/>
  <c r="AA425"/>
  <c r="X251"/>
  <c r="AC334"/>
  <c r="AI426"/>
  <c r="AT30"/>
  <c r="J375"/>
  <c r="AA450"/>
  <c r="U346"/>
  <c r="M608"/>
  <c r="AB10"/>
  <c r="AQ306"/>
  <c r="Y9"/>
  <c r="P320"/>
  <c r="AH433"/>
  <c r="AF342"/>
  <c r="Y612"/>
  <c r="M121"/>
  <c r="S608"/>
  <c r="AS114"/>
  <c r="AL404"/>
  <c r="AD59"/>
  <c r="P125"/>
  <c r="X347"/>
  <c r="U359"/>
  <c r="AN531"/>
  <c r="AH359"/>
  <c r="W370"/>
  <c r="W712"/>
  <c r="AO91"/>
  <c r="M505"/>
  <c r="G715"/>
  <c r="AB453"/>
  <c r="S451"/>
  <c r="AL467"/>
  <c r="J279"/>
  <c r="O30"/>
  <c r="T318"/>
  <c r="AS302"/>
  <c r="I90"/>
  <c r="AO560"/>
  <c r="AR598"/>
  <c r="AF120"/>
  <c r="AL276"/>
  <c r="AJ359"/>
  <c r="X154"/>
  <c r="H353"/>
  <c r="AA607"/>
  <c r="X178"/>
  <c r="Q539"/>
  <c r="AR432"/>
  <c r="P560"/>
  <c r="AI153"/>
  <c r="Y6"/>
  <c r="U81"/>
  <c r="W715"/>
  <c r="AH122"/>
  <c r="I610"/>
  <c r="AT23"/>
  <c r="AC156"/>
  <c r="J612"/>
  <c r="G14"/>
  <c r="AH115"/>
  <c r="AJ238"/>
  <c r="AE119"/>
  <c r="AC83"/>
  <c r="G615"/>
  <c r="O509"/>
  <c r="AO622"/>
  <c r="W446"/>
  <c r="Q81"/>
  <c r="AA548"/>
  <c r="Z154"/>
  <c r="W32"/>
  <c r="I25"/>
  <c r="AQ530"/>
  <c r="T356"/>
  <c r="Q353"/>
  <c r="AM304"/>
  <c r="AP680"/>
  <c r="AJ156"/>
  <c r="AB97"/>
  <c r="AQ120"/>
  <c r="J444"/>
  <c r="L96"/>
  <c r="U85"/>
  <c r="AA309"/>
  <c r="N560"/>
  <c r="S524"/>
  <c r="AH321"/>
  <c r="J350"/>
  <c r="K114"/>
  <c r="AA81"/>
  <c r="AO31"/>
  <c r="AA250"/>
  <c r="T121"/>
  <c r="AJ436"/>
  <c r="T438"/>
  <c r="AE28"/>
  <c r="T251"/>
  <c r="P603"/>
  <c r="AL622"/>
  <c r="G595"/>
  <c r="P548"/>
  <c r="M122"/>
  <c r="J181"/>
  <c r="R29"/>
  <c r="AI460"/>
  <c r="L101"/>
  <c r="AM303"/>
  <c r="AD506"/>
  <c r="AR319"/>
  <c r="Q443"/>
  <c r="AJ438"/>
  <c r="Y317"/>
  <c r="AL23"/>
  <c r="AO438"/>
  <c r="M520"/>
  <c r="AN334"/>
  <c r="R525"/>
  <c r="X300"/>
  <c r="AC11"/>
  <c r="AD329"/>
  <c r="V621"/>
  <c r="K30"/>
  <c r="Y91"/>
  <c r="AH618"/>
  <c r="L435"/>
  <c r="G343"/>
  <c r="AI686"/>
  <c r="S609"/>
  <c r="S437"/>
  <c r="AS559"/>
  <c r="Q320"/>
  <c r="AI10"/>
  <c r="AA336"/>
  <c r="J452"/>
  <c r="AE21"/>
  <c r="AA535"/>
  <c r="R183"/>
  <c r="AJ101"/>
  <c r="AM602"/>
  <c r="AA508"/>
  <c r="AE535"/>
  <c r="R370"/>
  <c r="AA533"/>
  <c r="S531"/>
  <c r="K7"/>
  <c r="AE524"/>
  <c r="T459"/>
  <c r="V405"/>
  <c r="R119"/>
  <c r="W7"/>
  <c r="W374"/>
  <c r="AC463"/>
  <c r="K323"/>
  <c r="H321"/>
  <c r="AT530"/>
  <c r="AD57"/>
  <c r="Z240"/>
  <c r="AP93"/>
  <c r="AQ277"/>
  <c r="AL305"/>
  <c r="J185"/>
  <c r="AC8"/>
  <c r="N469"/>
  <c r="L102"/>
  <c r="Q307"/>
  <c r="AR186"/>
  <c r="AT17"/>
  <c r="AE276"/>
  <c r="AB610"/>
  <c r="M466"/>
  <c r="AA333"/>
  <c r="AJ468"/>
  <c r="AK244"/>
  <c r="AN4"/>
  <c r="AT156"/>
  <c r="AA544"/>
  <c r="AH358"/>
  <c r="O14"/>
  <c r="M368"/>
  <c r="AE116"/>
  <c r="AF529"/>
  <c r="AH344"/>
  <c r="AG537"/>
  <c r="AR99"/>
  <c r="AI444"/>
  <c r="AA681"/>
  <c r="Q117"/>
  <c r="U115"/>
  <c r="AJ450"/>
  <c r="R557"/>
  <c r="X406"/>
  <c r="AA712"/>
  <c r="Y509"/>
  <c r="G608"/>
  <c r="AB342"/>
  <c r="M249"/>
  <c r="AD366"/>
  <c r="AK356"/>
  <c r="O437"/>
  <c r="AB622"/>
  <c r="J595"/>
  <c r="AL431"/>
  <c r="K86"/>
  <c r="W318"/>
  <c r="AN188"/>
  <c r="G533"/>
  <c r="U311"/>
  <c r="I543"/>
  <c r="AG355"/>
  <c r="AD369"/>
  <c r="N348"/>
  <c r="T372"/>
  <c r="AJ554"/>
  <c r="Z337"/>
  <c r="AM152"/>
  <c r="AI537"/>
  <c r="AJ241"/>
  <c r="Q358"/>
  <c r="J156"/>
  <c r="V6" i="70"/>
  <c r="Z617" i="175"/>
  <c r="I341"/>
  <c r="O347"/>
  <c r="G547"/>
  <c r="AR507"/>
  <c r="J217"/>
  <c r="Q339"/>
  <c r="K683"/>
  <c r="Z183"/>
  <c r="K330"/>
  <c r="S684"/>
  <c r="AI352"/>
  <c r="S27"/>
  <c r="AP604"/>
  <c r="AK157"/>
  <c r="AE432"/>
  <c r="K11"/>
  <c r="S4"/>
  <c r="R332"/>
  <c r="N18"/>
  <c r="U31"/>
  <c r="L276"/>
  <c r="G250"/>
  <c r="AK405"/>
  <c r="AE6" i="63"/>
  <c r="AS506" i="175"/>
  <c r="V11"/>
  <c r="AC519"/>
  <c r="U187"/>
  <c r="AC177"/>
  <c r="Z178"/>
  <c r="L244"/>
  <c r="AA406"/>
  <c r="X214"/>
  <c r="AR247"/>
  <c r="AL516"/>
  <c r="AR516"/>
  <c r="AH533"/>
  <c r="P91"/>
  <c r="AJ59"/>
  <c r="AI282"/>
  <c r="G86"/>
  <c r="T430"/>
  <c r="AN320"/>
  <c r="AL435"/>
  <c r="AD448"/>
  <c r="AE7"/>
  <c r="N182"/>
  <c r="AL319"/>
  <c r="X466"/>
  <c r="AS438"/>
  <c r="K108"/>
  <c r="V681"/>
  <c r="R616"/>
  <c r="Z599"/>
  <c r="M89"/>
  <c r="W276"/>
  <c r="AO460"/>
  <c r="AQ609"/>
  <c r="AA323"/>
  <c r="I32"/>
  <c r="T451"/>
  <c r="T354"/>
  <c r="AC354"/>
  <c r="AQ368"/>
  <c r="W82"/>
  <c r="Z714"/>
  <c r="Z361"/>
  <c r="AG21"/>
  <c r="AK329"/>
  <c r="N609"/>
  <c r="AS619"/>
  <c r="AT324"/>
  <c r="AF604"/>
  <c r="I28"/>
  <c r="AA301"/>
  <c r="V184"/>
  <c r="I344"/>
  <c r="AK538"/>
  <c r="AL121"/>
  <c r="X525"/>
  <c r="AS246"/>
  <c r="H513"/>
  <c r="O152"/>
  <c r="W528"/>
  <c r="U97"/>
  <c r="AP85"/>
  <c r="AI434"/>
  <c r="U557"/>
  <c r="AL88"/>
  <c r="R619"/>
  <c r="AM559"/>
  <c r="O276"/>
  <c r="AS318"/>
  <c r="Z713"/>
  <c r="Y113"/>
  <c r="H355"/>
  <c r="R180"/>
  <c r="X218"/>
  <c r="AH458"/>
  <c r="P435"/>
  <c r="AM452"/>
  <c r="AQ371"/>
  <c r="AT281"/>
  <c r="L680"/>
  <c r="AM553"/>
  <c r="V608"/>
  <c r="AG189"/>
  <c r="AL27"/>
  <c r="AB152"/>
  <c r="X242"/>
  <c r="W179"/>
  <c r="AK313"/>
  <c r="K306"/>
  <c r="H454"/>
  <c r="S329"/>
  <c r="V434"/>
  <c r="AF517"/>
  <c r="W597"/>
  <c r="K537"/>
  <c r="AF312"/>
  <c r="X541"/>
  <c r="Z450"/>
  <c r="T428"/>
  <c r="AI311"/>
  <c r="U348"/>
  <c r="AQ30"/>
  <c r="W469"/>
  <c r="Q619"/>
  <c r="Q604"/>
  <c r="AT62"/>
  <c r="AC4"/>
  <c r="H598"/>
  <c r="AL406"/>
  <c r="AR444"/>
  <c r="AT362"/>
  <c r="AL535"/>
  <c r="N372"/>
  <c r="W344"/>
  <c r="AD350"/>
  <c r="AE8" i="63"/>
  <c r="U375" i="175"/>
  <c r="AS183"/>
  <c r="AL548"/>
  <c r="AC533"/>
  <c r="O469"/>
  <c r="AS402"/>
  <c r="AQ336"/>
  <c r="AE89"/>
  <c r="AO365"/>
  <c r="AG178"/>
  <c r="AI373"/>
  <c r="AB616"/>
  <c r="H466"/>
  <c r="AJ367"/>
  <c r="Y3"/>
  <c r="Y15"/>
  <c r="L357"/>
  <c r="V242"/>
  <c r="AC178"/>
  <c r="AT341"/>
  <c r="W616"/>
  <c r="M328"/>
  <c r="X618"/>
  <c r="AS277"/>
  <c r="I63"/>
  <c r="S9"/>
  <c r="AE300"/>
  <c r="AK686"/>
  <c r="AS93"/>
  <c r="V715"/>
  <c r="Z551"/>
  <c r="AF624"/>
  <c r="AH301"/>
  <c r="K85"/>
  <c r="AD512"/>
  <c r="AK459"/>
  <c r="AB241"/>
  <c r="AR683"/>
  <c r="AB17"/>
  <c r="G466"/>
  <c r="K405"/>
  <c r="Z509"/>
  <c r="AS306"/>
  <c r="S616"/>
  <c r="AT445"/>
  <c r="AK403"/>
  <c r="AP681"/>
  <c r="W607"/>
  <c r="R245"/>
  <c r="AK465"/>
  <c r="Q26"/>
  <c r="AP279"/>
  <c r="K351"/>
  <c r="P542"/>
  <c r="X555"/>
  <c r="Y712"/>
  <c r="AC368"/>
  <c r="AB251"/>
  <c r="AB22"/>
  <c r="P30"/>
  <c r="AT29"/>
  <c r="AC307"/>
  <c r="Q60"/>
  <c r="U57"/>
  <c r="Y325"/>
  <c r="AE609"/>
  <c r="AS359"/>
  <c r="K540"/>
  <c r="AN520"/>
  <c r="AK100"/>
  <c r="AP119"/>
  <c r="H557"/>
  <c r="AQ402"/>
  <c r="AC60"/>
  <c r="R467"/>
  <c r="AM248"/>
  <c r="X317"/>
  <c r="P444"/>
  <c r="AE24"/>
  <c r="Q17"/>
  <c r="T612"/>
  <c r="K358"/>
  <c r="K282"/>
  <c r="G317"/>
  <c r="S19"/>
  <c r="AN183"/>
  <c r="AD400"/>
  <c r="Q323"/>
  <c r="AP331"/>
  <c r="AJ552"/>
  <c r="S607"/>
  <c r="N354"/>
  <c r="AG436"/>
  <c r="AO13"/>
  <c r="AA521"/>
  <c r="S560"/>
  <c r="AD522"/>
  <c r="AP465"/>
  <c r="K535"/>
  <c r="G305"/>
  <c r="AL4"/>
  <c r="AS8"/>
  <c r="AQ369"/>
  <c r="AF9"/>
  <c r="AI468"/>
  <c r="W541"/>
  <c r="AR538"/>
  <c r="AE312"/>
  <c r="U116"/>
  <c r="AN322"/>
  <c r="AA94"/>
  <c r="AC243"/>
  <c r="AB466"/>
  <c r="V313"/>
  <c r="AH621"/>
  <c r="AE404"/>
  <c r="N247"/>
  <c r="AE282"/>
  <c r="AJ315"/>
  <c r="AP320"/>
  <c r="AD97"/>
  <c r="H343"/>
  <c r="AD608"/>
  <c r="AC329"/>
  <c r="L245"/>
  <c r="L540"/>
  <c r="M184"/>
  <c r="AB459"/>
  <c r="I464"/>
  <c r="J361"/>
  <c r="AG243"/>
  <c r="H82"/>
  <c r="AR430"/>
  <c r="AF444"/>
  <c r="H526"/>
  <c r="AM214"/>
  <c r="AL426"/>
  <c r="O548"/>
  <c r="AC301"/>
  <c r="Y14"/>
  <c r="R457"/>
  <c r="O57"/>
  <c r="G623"/>
  <c r="AD14"/>
  <c r="AQ400"/>
  <c r="Z517"/>
  <c r="AG331"/>
  <c r="G101"/>
  <c r="N349"/>
  <c r="M238"/>
  <c r="X520"/>
  <c r="AE16"/>
  <c r="O346"/>
  <c r="Z560"/>
  <c r="AI279"/>
  <c r="AF619"/>
  <c r="G16"/>
  <c r="AK432"/>
  <c r="M303"/>
  <c r="AO28"/>
  <c r="W60"/>
  <c r="AI21"/>
  <c r="AO331"/>
  <c r="G85"/>
  <c r="Q306"/>
  <c r="AC59"/>
  <c r="AA601"/>
  <c r="AP539"/>
  <c r="W535"/>
  <c r="AG309"/>
  <c r="I319"/>
  <c r="S458"/>
  <c r="Y434"/>
  <c r="AR369"/>
  <c r="AO364"/>
  <c r="Y614"/>
  <c r="AN57"/>
  <c r="Y23"/>
  <c r="AP437"/>
  <c r="AM531"/>
  <c r="AE435"/>
  <c r="AR244"/>
  <c r="AD280"/>
  <c r="J124"/>
  <c r="AM465"/>
  <c r="AL24"/>
  <c r="AG180"/>
  <c r="AA522"/>
  <c r="AG509"/>
  <c r="N31"/>
  <c r="M624"/>
  <c r="AC281"/>
  <c r="W247"/>
  <c r="AC97"/>
  <c r="AK613"/>
  <c r="AH216"/>
  <c r="M81"/>
  <c r="O528"/>
  <c r="AE17"/>
  <c r="N605"/>
  <c r="AO520"/>
  <c r="AN308"/>
  <c r="H189"/>
  <c r="AR93"/>
  <c r="K340"/>
  <c r="AB155"/>
  <c r="AM367"/>
  <c r="AN446"/>
  <c r="AI431"/>
  <c r="AO92"/>
  <c r="N524"/>
  <c r="AS83"/>
  <c r="M445"/>
  <c r="AI356"/>
  <c r="P186"/>
  <c r="AR315"/>
  <c r="AP30"/>
  <c r="AN85"/>
  <c r="R614"/>
  <c r="AG61"/>
  <c r="AJ278"/>
  <c r="AA4"/>
  <c r="AT613"/>
  <c r="AE401"/>
  <c r="AP455"/>
  <c r="W92"/>
  <c r="AR282"/>
  <c r="AR469"/>
  <c r="R606"/>
  <c r="AF310"/>
  <c r="AT359"/>
  <c r="AC467"/>
  <c r="AK155"/>
  <c r="K96"/>
  <c r="AS461"/>
  <c r="T507"/>
  <c r="G346"/>
  <c r="Q552"/>
  <c r="AF91"/>
  <c r="AN327"/>
  <c r="I536"/>
  <c r="S713"/>
  <c r="M595"/>
  <c r="I101"/>
  <c r="AO370"/>
  <c r="L63"/>
  <c r="AH612"/>
  <c r="G339"/>
  <c r="J331"/>
  <c r="H108"/>
  <c r="X82"/>
  <c r="S339"/>
  <c r="AP623"/>
  <c r="P555"/>
  <c r="AG598"/>
  <c r="AB309"/>
  <c r="J311"/>
  <c r="W31"/>
  <c r="AJ368"/>
  <c r="R540"/>
  <c r="AI312"/>
  <c r="AP96"/>
  <c r="I157"/>
  <c r="Z241"/>
  <c r="AE99"/>
  <c r="Y153"/>
  <c r="P507"/>
  <c r="AP124"/>
  <c r="AD320"/>
  <c r="AJ601"/>
  <c r="AA18"/>
  <c r="P312"/>
  <c r="AC245"/>
  <c r="Y309"/>
  <c r="W530"/>
  <c r="G523"/>
  <c r="AG277"/>
  <c r="W611"/>
  <c r="AJ155"/>
  <c r="N714"/>
  <c r="AL8"/>
  <c r="AJ90"/>
  <c r="AN8"/>
  <c r="M448"/>
  <c r="V353"/>
  <c r="O96"/>
  <c r="Q606"/>
  <c r="L437"/>
  <c r="P447"/>
  <c r="AM451"/>
  <c r="AI303"/>
  <c r="AI155"/>
  <c r="J623"/>
  <c r="Z300"/>
  <c r="P624"/>
  <c r="K434"/>
  <c r="AT534"/>
  <c r="AC319"/>
  <c r="V281"/>
  <c r="V456"/>
  <c r="AQ614"/>
  <c r="AQ302"/>
  <c r="T277"/>
  <c r="AO15"/>
  <c r="J82"/>
  <c r="AT548"/>
  <c r="T281"/>
  <c r="AA351"/>
  <c r="AN536"/>
  <c r="AB364"/>
  <c r="AF5"/>
  <c r="AM404"/>
  <c r="K614"/>
  <c r="J84"/>
  <c r="U531"/>
  <c r="S368"/>
  <c r="Q425"/>
  <c r="Q11"/>
  <c r="AO319"/>
  <c r="J308"/>
  <c r="AK218"/>
  <c r="AK323"/>
  <c r="T178"/>
  <c r="AJ520"/>
  <c r="U99"/>
  <c r="AO619"/>
  <c r="R87"/>
  <c r="T185"/>
  <c r="Y530"/>
  <c r="AJ177"/>
  <c r="K219"/>
  <c r="U597"/>
  <c r="I311"/>
  <c r="S443"/>
  <c r="U186"/>
  <c r="I507"/>
  <c r="AR605"/>
  <c r="AD341"/>
  <c r="AF519"/>
  <c r="AA120"/>
  <c r="AH113"/>
  <c r="Q525"/>
  <c r="AJ125"/>
  <c r="H507"/>
  <c r="AS613"/>
  <c r="AC361"/>
  <c r="AG94"/>
  <c r="X247"/>
  <c r="AD241"/>
  <c r="U152"/>
  <c r="AF7"/>
  <c r="AL517"/>
  <c r="AK31"/>
  <c r="J122"/>
  <c r="AE605"/>
  <c r="X158"/>
  <c r="AK516"/>
  <c r="AA375"/>
  <c r="G118"/>
  <c r="V8" i="66"/>
  <c r="M105" i="175"/>
  <c r="AP18"/>
  <c r="Z685"/>
  <c r="AG333"/>
  <c r="R523"/>
  <c r="AN113"/>
  <c r="O351"/>
  <c r="V182"/>
  <c r="AN118"/>
  <c r="AS215"/>
  <c r="AM603"/>
  <c r="W348"/>
  <c r="J443"/>
  <c r="G600"/>
  <c r="AQ101"/>
  <c r="AQ327"/>
  <c r="AT7"/>
  <c r="S157"/>
  <c r="AT560"/>
  <c r="R506"/>
  <c r="P544"/>
  <c r="T118"/>
  <c r="AM63"/>
  <c r="AI612"/>
  <c r="I188"/>
  <c r="H58"/>
  <c r="J598"/>
  <c r="N307"/>
  <c r="G278"/>
  <c r="AS618"/>
  <c r="AA503"/>
  <c r="X187"/>
  <c r="AP5"/>
  <c r="AI4"/>
  <c r="AB609"/>
  <c r="AM121"/>
  <c r="T20"/>
  <c r="L215"/>
  <c r="AN348"/>
  <c r="T508"/>
  <c r="V557"/>
  <c r="T96"/>
  <c r="Q332"/>
  <c r="K544"/>
  <c r="AK506"/>
  <c r="AF20"/>
  <c r="AS605"/>
  <c r="AS680"/>
  <c r="L505"/>
  <c r="I8"/>
  <c r="AC310"/>
  <c r="K605"/>
  <c r="X7"/>
  <c r="AG348"/>
  <c r="AB308"/>
  <c r="AB360"/>
  <c r="AB467"/>
  <c r="AL360"/>
  <c r="R28"/>
  <c r="AD618"/>
  <c r="AF184"/>
  <c r="AA364"/>
  <c r="L374"/>
  <c r="AT619"/>
  <c r="J427"/>
  <c r="X30"/>
  <c r="W220"/>
  <c r="Z85"/>
  <c r="AE93"/>
  <c r="K401"/>
  <c r="N87"/>
  <c r="AH605"/>
  <c r="L342"/>
  <c r="I17"/>
  <c r="AH711"/>
  <c r="AT4"/>
  <c r="Q281"/>
  <c r="M334"/>
  <c r="AJ6"/>
  <c r="AH182"/>
  <c r="P619"/>
  <c r="AN186"/>
  <c r="AS527"/>
  <c r="J369"/>
  <c r="AS331"/>
  <c r="G242"/>
  <c r="K217"/>
  <c r="AR356"/>
  <c r="AB523"/>
  <c r="H112"/>
  <c r="P554"/>
  <c r="AF248"/>
  <c r="AN22"/>
  <c r="P437"/>
  <c r="L281"/>
  <c r="AN616"/>
  <c r="AS92"/>
  <c r="AC102"/>
  <c r="AD602"/>
  <c r="AI503"/>
  <c r="W240"/>
  <c r="AG469"/>
  <c r="J315"/>
  <c r="L19"/>
  <c r="AB93"/>
  <c r="AJ83"/>
  <c r="AK316"/>
  <c r="AD682"/>
  <c r="AR4"/>
  <c r="AB605"/>
  <c r="K464"/>
  <c r="N249"/>
  <c r="AI358"/>
  <c r="T28"/>
  <c r="V354"/>
  <c r="AB350"/>
  <c r="P63"/>
  <c r="AE520"/>
  <c r="AD433"/>
  <c r="T344"/>
  <c r="K711"/>
  <c r="AA538"/>
  <c r="AD303"/>
  <c r="V351"/>
  <c r="AP462"/>
  <c r="AL596"/>
  <c r="W105"/>
  <c r="AD556"/>
  <c r="K58"/>
  <c r="V89"/>
  <c r="X16"/>
  <c r="AB63"/>
  <c r="AI89"/>
  <c r="X311"/>
  <c r="AH184"/>
  <c r="W239"/>
  <c r="P341"/>
  <c r="S598"/>
  <c r="Q31"/>
  <c r="AC20"/>
  <c r="AC541"/>
  <c r="AB598"/>
  <c r="AK505"/>
  <c r="K596"/>
  <c r="T521"/>
  <c r="L468"/>
  <c r="AA14"/>
  <c r="T322"/>
  <c r="H555"/>
  <c r="R61"/>
  <c r="AB30"/>
  <c r="AP184"/>
  <c r="AD555"/>
  <c r="AB330"/>
  <c r="K604"/>
  <c r="J610"/>
  <c r="AJ306"/>
  <c r="R306"/>
  <c r="R680"/>
  <c r="I26"/>
  <c r="AI553"/>
  <c r="AK280"/>
  <c r="K333"/>
  <c r="AG622"/>
  <c r="T616"/>
  <c r="K357"/>
  <c r="AK321"/>
  <c r="I458"/>
  <c r="AN684"/>
  <c r="AD189"/>
  <c r="Q96"/>
  <c r="AB446"/>
  <c r="AO332"/>
  <c r="AG247"/>
  <c r="AN370"/>
  <c r="AA612"/>
  <c r="O620"/>
  <c r="L553"/>
  <c r="AF96"/>
  <c r="AB712"/>
  <c r="S446"/>
  <c r="AH682"/>
  <c r="AC348"/>
  <c r="Y20"/>
  <c r="AT428"/>
  <c r="L105"/>
  <c r="AT309"/>
  <c r="T712"/>
  <c r="L332"/>
  <c r="AN31"/>
  <c r="L359"/>
  <c r="AB317"/>
  <c r="AP554"/>
  <c r="AB337"/>
  <c r="W455"/>
  <c r="O335"/>
  <c r="AG526"/>
  <c r="AG600"/>
  <c r="AN310"/>
  <c r="AC186"/>
  <c r="I427"/>
  <c r="AH401"/>
  <c r="Z537"/>
  <c r="Z62"/>
  <c r="Z435"/>
  <c r="AS604"/>
  <c r="AG352"/>
  <c r="V558"/>
  <c r="AG406"/>
  <c r="Q617"/>
  <c r="AP682"/>
  <c r="AO519"/>
  <c r="H327"/>
  <c r="AN363"/>
  <c r="AS448"/>
  <c r="AP189"/>
  <c r="AT85"/>
  <c r="W450"/>
  <c r="AG335"/>
  <c r="S10"/>
  <c r="N540"/>
  <c r="H26"/>
  <c r="Q452"/>
  <c r="AT3"/>
  <c r="Y177"/>
  <c r="U313"/>
  <c r="W116"/>
  <c r="H154"/>
  <c r="AA354"/>
  <c r="I548"/>
  <c r="V370"/>
  <c r="AJ312"/>
  <c r="AJ353"/>
  <c r="K518"/>
  <c r="Y83"/>
  <c r="AT527"/>
  <c r="AT328"/>
  <c r="Y280"/>
  <c r="H622"/>
  <c r="R458"/>
  <c r="G364"/>
  <c r="L15"/>
  <c r="AQ331"/>
  <c r="U90"/>
  <c r="X277"/>
  <c r="AO540"/>
  <c r="G461"/>
  <c r="AM526"/>
  <c r="AO119"/>
  <c r="G342"/>
  <c r="X712"/>
  <c r="R85"/>
  <c r="AO363"/>
  <c r="G513"/>
  <c r="N447"/>
  <c r="AO595"/>
  <c r="Q551"/>
  <c r="J325"/>
  <c r="AD307"/>
  <c r="Q429"/>
  <c r="AF373"/>
  <c r="AA537"/>
  <c r="AN466"/>
  <c r="AI714"/>
  <c r="P58"/>
  <c r="W523"/>
  <c r="O101"/>
  <c r="N306"/>
  <c r="V240"/>
  <c r="K62"/>
  <c r="AS537"/>
  <c r="AJ361"/>
  <c r="AC435"/>
  <c r="O524"/>
  <c r="N347"/>
  <c r="AC58"/>
  <c r="AR359"/>
  <c r="T335"/>
  <c r="AA355"/>
  <c r="Y329"/>
  <c r="AF189"/>
  <c r="I89"/>
  <c r="T447"/>
  <c r="AR177"/>
  <c r="O342"/>
  <c r="O552"/>
  <c r="AM682"/>
  <c r="I596"/>
  <c r="S366"/>
  <c r="AK354"/>
  <c r="AD431"/>
  <c r="AE243"/>
  <c r="AN365"/>
  <c r="AF320"/>
  <c r="I240"/>
  <c r="K251"/>
  <c r="R122"/>
  <c r="Z715"/>
  <c r="J281"/>
  <c r="AM251"/>
  <c r="AA684"/>
  <c r="AH713"/>
  <c r="AQ452"/>
  <c r="Z31"/>
  <c r="Y114"/>
  <c r="AS681"/>
  <c r="T512"/>
  <c r="R402"/>
  <c r="AR455"/>
  <c r="AO542"/>
  <c r="AO279"/>
  <c r="AT88"/>
  <c r="AG250"/>
  <c r="O518"/>
  <c r="Q558"/>
  <c r="H611"/>
  <c r="O357"/>
  <c r="AF183"/>
  <c r="AA189"/>
  <c r="O597"/>
  <c r="AN512"/>
  <c r="AP595"/>
  <c r="S453"/>
  <c r="AQ534"/>
  <c r="AK83"/>
  <c r="Z15"/>
  <c r="AK216"/>
  <c r="P276"/>
  <c r="I373"/>
  <c r="Z452"/>
  <c r="AO527"/>
  <c r="O520"/>
  <c r="P321"/>
  <c r="AG344"/>
  <c r="AB25"/>
  <c r="U341"/>
  <c r="AT459"/>
  <c r="AN217"/>
  <c r="AG242"/>
  <c r="AK548"/>
  <c r="Y62"/>
  <c r="AR113"/>
  <c r="AH364"/>
  <c r="G613"/>
  <c r="G32"/>
  <c r="X611"/>
  <c r="K541"/>
  <c r="AE239"/>
  <c r="AJ243"/>
  <c r="G158"/>
  <c r="AA554"/>
  <c r="AS214"/>
  <c r="AA3"/>
  <c r="AS187"/>
  <c r="T553"/>
  <c r="Y87"/>
  <c r="AH245"/>
  <c r="AD3"/>
  <c r="Z522"/>
  <c r="N621"/>
  <c r="G509"/>
  <c r="AL94"/>
  <c r="AT551"/>
  <c r="L60"/>
  <c r="Q435"/>
  <c r="I538"/>
  <c r="Y81"/>
  <c r="AP459"/>
  <c r="K443"/>
  <c r="AQ187"/>
  <c r="AT246"/>
  <c r="O464"/>
  <c r="AI120"/>
  <c r="J513"/>
  <c r="J614"/>
  <c r="AE325"/>
  <c r="H92"/>
  <c r="J178"/>
  <c r="AE511"/>
  <c r="AL336"/>
  <c r="Y435"/>
  <c r="AC331"/>
  <c r="AK684"/>
  <c r="O58"/>
  <c r="AJ25"/>
  <c r="H544"/>
  <c r="AO617"/>
  <c r="AL320"/>
  <c r="AD610"/>
  <c r="AH28"/>
  <c r="AF304"/>
  <c r="N315"/>
  <c r="K89"/>
  <c r="AS522"/>
  <c r="AI618"/>
  <c r="AH370"/>
  <c r="AE462"/>
  <c r="AE348"/>
  <c r="AA313"/>
  <c r="Q4"/>
  <c r="AH342"/>
  <c r="Q16"/>
  <c r="M25"/>
  <c r="N29"/>
  <c r="N346"/>
  <c r="AK114"/>
  <c r="AK6"/>
  <c r="W118"/>
  <c r="AT59"/>
  <c r="AB18"/>
  <c r="Y11"/>
  <c r="AN242"/>
  <c r="AQ238"/>
  <c r="P620"/>
  <c r="T554"/>
  <c r="L4"/>
  <c r="L347"/>
  <c r="AG403"/>
  <c r="AB336"/>
  <c r="AN241"/>
  <c r="U87"/>
  <c r="N332"/>
  <c r="AK531"/>
  <c r="AK428"/>
  <c r="V8" i="70"/>
  <c r="AM305" i="175"/>
  <c r="AM335"/>
  <c r="K153"/>
  <c r="X359"/>
  <c r="AK315"/>
  <c r="N84"/>
  <c r="AL365"/>
  <c r="N519"/>
  <c r="AM620"/>
  <c r="AN443"/>
  <c r="O354"/>
  <c r="W215"/>
  <c r="AB61"/>
  <c r="AO621"/>
  <c r="AK557"/>
  <c r="R552"/>
  <c r="R541"/>
  <c r="I450"/>
  <c r="AT462"/>
  <c r="AD604"/>
  <c r="AJ158"/>
  <c r="AH435"/>
  <c r="Z373"/>
  <c r="AS122"/>
  <c r="AJ458"/>
  <c r="AL30"/>
  <c r="U401"/>
  <c r="AP375"/>
  <c r="AE555"/>
  <c r="X341"/>
  <c r="AM616"/>
  <c r="AD509"/>
  <c r="AA436"/>
  <c r="R327"/>
  <c r="AQ8"/>
  <c r="AB282"/>
  <c r="AR91"/>
  <c r="AJ346"/>
  <c r="AH114"/>
  <c r="J622"/>
  <c r="AS371"/>
  <c r="M530"/>
  <c r="AN187"/>
  <c r="AB94"/>
  <c r="O337"/>
  <c r="W16"/>
  <c r="J61"/>
  <c r="AC429"/>
  <c r="T403"/>
  <c r="W5"/>
  <c r="AT357"/>
  <c r="AQ529"/>
  <c r="AM21"/>
  <c r="AT250"/>
  <c r="AN517"/>
  <c r="AS607"/>
  <c r="AE281"/>
  <c r="AP597"/>
  <c r="AB313"/>
  <c r="AK19"/>
  <c r="AA534"/>
  <c r="Q325"/>
  <c r="K12"/>
  <c r="N30"/>
  <c r="AK544"/>
  <c r="Y338"/>
  <c r="V531"/>
  <c r="AA715"/>
  <c r="N153"/>
  <c r="AN433"/>
  <c r="AQ466"/>
  <c r="AJ279"/>
  <c r="X88"/>
  <c r="Y457"/>
  <c r="AG330"/>
  <c r="AF621"/>
  <c r="AP512"/>
  <c r="U62"/>
  <c r="L93"/>
  <c r="P521"/>
  <c r="N402"/>
  <c r="AF186"/>
  <c r="AN182"/>
  <c r="T604"/>
  <c r="AL313"/>
  <c r="AK429"/>
  <c r="AE309"/>
  <c r="AE340"/>
  <c r="U244"/>
  <c r="P600"/>
  <c r="AJ310"/>
  <c r="AS364"/>
  <c r="AA9"/>
  <c r="AA468"/>
  <c r="AE402"/>
  <c r="P217"/>
  <c r="AQ455"/>
  <c r="L464"/>
  <c r="AH331"/>
  <c r="G113"/>
  <c r="AO57"/>
  <c r="T59"/>
  <c r="O125"/>
  <c r="AM355"/>
  <c r="G448"/>
  <c r="AA20"/>
  <c r="Y507"/>
  <c r="AQ62"/>
  <c r="Q351"/>
  <c r="AO238"/>
  <c r="V124"/>
  <c r="AP556"/>
  <c r="AJ116"/>
  <c r="AG434"/>
  <c r="AA305"/>
  <c r="AI181"/>
  <c r="X617"/>
  <c r="AM354"/>
  <c r="V325"/>
  <c r="AO616"/>
  <c r="H30"/>
  <c r="AD456"/>
  <c r="AA452"/>
  <c r="AM612"/>
  <c r="AQ124"/>
  <c r="AD714"/>
  <c r="AO304"/>
  <c r="U430"/>
  <c r="G354"/>
  <c r="W548"/>
  <c r="AL602"/>
  <c r="AL114"/>
  <c r="L612"/>
  <c r="AJ447"/>
  <c r="G157"/>
  <c r="AI366"/>
  <c r="AS329"/>
  <c r="AQ23"/>
  <c r="AT433"/>
  <c r="AE352"/>
  <c r="I467"/>
  <c r="Q61"/>
  <c r="R527"/>
  <c r="L9"/>
  <c r="AB323"/>
  <c r="AS711"/>
  <c r="U438"/>
  <c r="O404"/>
  <c r="AD530"/>
  <c r="AB218"/>
  <c r="AF188"/>
  <c r="AT453"/>
  <c r="X61"/>
  <c r="U529"/>
  <c r="V365"/>
  <c r="AE62"/>
  <c r="AT518"/>
  <c r="X5"/>
  <c r="Q120"/>
  <c r="L617"/>
  <c r="AH432"/>
  <c r="R322"/>
  <c r="P683"/>
  <c r="I623"/>
  <c r="AJ94"/>
  <c r="W342"/>
  <c r="Z538"/>
  <c r="AB558"/>
  <c r="AR467"/>
  <c r="U179"/>
  <c r="AH178"/>
  <c r="J117"/>
  <c r="Q402"/>
  <c r="Z375"/>
  <c r="K311"/>
  <c r="AE342"/>
  <c r="AM313"/>
  <c r="N457"/>
  <c r="J404"/>
  <c r="Q611"/>
  <c r="P334"/>
  <c r="P250"/>
  <c r="T22"/>
  <c r="AI534"/>
  <c r="V276"/>
  <c r="AO372"/>
  <c r="X508"/>
  <c r="AE715"/>
  <c r="AB277"/>
  <c r="S217"/>
  <c r="AO558"/>
  <c r="AG282"/>
  <c r="X318"/>
  <c r="X31"/>
  <c r="S318"/>
  <c r="AE343"/>
  <c r="N329"/>
  <c r="X542"/>
  <c r="L686"/>
  <c r="AQ21"/>
  <c r="V99"/>
  <c r="AT187"/>
  <c r="N715"/>
  <c r="AT214"/>
  <c r="E24" i="63"/>
  <c r="K91" i="175"/>
  <c r="AK105"/>
  <c r="AL307"/>
  <c r="AC321"/>
  <c r="AI331"/>
  <c r="AA180"/>
  <c r="K97"/>
  <c r="AI188"/>
  <c r="AB124"/>
  <c r="J30"/>
  <c r="Y118"/>
  <c r="AM342"/>
  <c r="AJ13"/>
  <c r="K553"/>
  <c r="AJ26"/>
  <c r="AH363"/>
  <c r="AK220"/>
  <c r="AP215"/>
  <c r="X358"/>
  <c r="W537"/>
  <c r="T309"/>
  <c r="H531"/>
  <c r="X238"/>
  <c r="AL12"/>
  <c r="I18"/>
  <c r="N300"/>
  <c r="AP560"/>
  <c r="K352"/>
  <c r="AG552"/>
  <c r="N607"/>
  <c r="U281"/>
  <c r="AG20"/>
  <c r="AC344"/>
  <c r="AJ683"/>
  <c r="U516"/>
  <c r="AC538"/>
  <c r="AJ316"/>
  <c r="J6"/>
  <c r="V19"/>
  <c r="AA215"/>
  <c r="I534"/>
  <c r="N460"/>
  <c r="K428"/>
  <c r="V82"/>
  <c r="AQ310"/>
  <c r="AR281"/>
  <c r="P622"/>
  <c r="AM186"/>
  <c r="AN367"/>
  <c r="AM124"/>
  <c r="AI713"/>
  <c r="W600"/>
  <c r="AL468"/>
  <c r="Q91"/>
  <c r="S189"/>
  <c r="M90"/>
  <c r="Z152"/>
  <c r="AE607"/>
  <c r="Q448"/>
  <c r="T448"/>
  <c r="AO436"/>
  <c r="T188"/>
  <c r="AA21"/>
  <c r="T280"/>
  <c r="Q186"/>
  <c r="Y601"/>
  <c r="AC219"/>
  <c r="W156"/>
  <c r="AM437"/>
  <c r="AB536"/>
  <c r="AE336"/>
  <c r="X527"/>
  <c r="AQ244"/>
  <c r="K113"/>
  <c r="AS317"/>
  <c r="AF400"/>
  <c r="AH14"/>
  <c r="AT186"/>
  <c r="S529"/>
  <c r="AK401"/>
  <c r="Y524"/>
  <c r="J505"/>
  <c r="AM312"/>
  <c r="AA184"/>
  <c r="AI429"/>
  <c r="AN465"/>
  <c r="AH100"/>
  <c r="Z338"/>
  <c r="AP183"/>
  <c r="G337"/>
  <c r="P103"/>
  <c r="AK250"/>
  <c r="N450"/>
  <c r="AR527"/>
  <c r="AN276"/>
  <c r="N614"/>
  <c r="I354"/>
  <c r="H84"/>
  <c r="M23"/>
  <c r="AJ181"/>
  <c r="S523"/>
  <c r="AQ617"/>
  <c r="N27"/>
  <c r="S93"/>
  <c r="AC3"/>
  <c r="AK608"/>
  <c r="AJ18"/>
  <c r="AK89"/>
  <c r="AA599"/>
  <c r="AD244"/>
  <c r="K684"/>
  <c r="AL318"/>
  <c r="P249"/>
  <c r="AK605"/>
  <c r="AH555"/>
  <c r="AH17"/>
  <c r="AC23"/>
  <c r="AS315"/>
  <c r="AF116"/>
  <c r="U560"/>
  <c r="L108"/>
  <c r="AP600"/>
  <c r="V520"/>
  <c r="R431"/>
  <c r="AI118"/>
  <c r="AH102"/>
  <c r="G112"/>
  <c r="J372"/>
  <c r="AA531"/>
  <c r="T124"/>
  <c r="AT374"/>
  <c r="G367"/>
  <c r="Q21"/>
  <c r="AI158"/>
  <c r="J111"/>
  <c r="L7" i="66"/>
  <c r="L8" i="175"/>
  <c r="AO243"/>
  <c r="AD279"/>
  <c r="AG102"/>
  <c r="W184"/>
  <c r="P22"/>
  <c r="AD182"/>
  <c r="AP346"/>
  <c r="AQ83"/>
  <c r="AK158"/>
  <c r="AR96"/>
  <c r="AK311"/>
  <c r="R432"/>
  <c r="X366"/>
  <c r="AB319"/>
  <c r="U241"/>
  <c r="AR332"/>
  <c r="AD600"/>
  <c r="AK334"/>
  <c r="AB32"/>
  <c r="AA349"/>
  <c r="AA598"/>
  <c r="AJ4"/>
  <c r="AB188"/>
  <c r="G557"/>
  <c r="P306"/>
  <c r="AP26"/>
  <c r="AR367"/>
  <c r="AI466"/>
  <c r="AE240"/>
  <c r="I426"/>
  <c r="H560"/>
  <c r="H374"/>
  <c r="AG455"/>
  <c r="X434"/>
  <c r="AF434"/>
  <c r="U155"/>
  <c r="AF303"/>
  <c r="AM448"/>
  <c r="S179"/>
  <c r="H451"/>
  <c r="N92"/>
  <c r="N344"/>
  <c r="Z179"/>
  <c r="AI24"/>
  <c r="AN607"/>
  <c r="V248"/>
  <c r="AN374"/>
  <c r="J114"/>
  <c r="AQ102"/>
  <c r="W305"/>
  <c r="AS186"/>
  <c r="J86"/>
  <c r="Z81"/>
  <c r="J3"/>
  <c r="AB365"/>
  <c r="P89"/>
  <c r="H616"/>
  <c r="Q523"/>
  <c r="U616"/>
  <c r="AD540"/>
  <c r="AR183"/>
  <c r="S361"/>
  <c r="Y544"/>
  <c r="Y405"/>
  <c r="AQ57"/>
  <c r="O435"/>
  <c r="AA451"/>
  <c r="N610"/>
  <c r="V117"/>
  <c r="AM31"/>
  <c r="U347"/>
  <c r="X338"/>
  <c r="L85"/>
  <c r="AF276"/>
  <c r="AP535"/>
  <c r="P464"/>
  <c r="Q367"/>
  <c r="H620"/>
  <c r="G683"/>
  <c r="AF26"/>
  <c r="AE615"/>
  <c r="AB103"/>
  <c r="AP115"/>
  <c r="L317"/>
  <c r="AG505"/>
  <c r="AH356"/>
  <c r="AQ24"/>
  <c r="Y527"/>
  <c r="S452"/>
  <c r="W100"/>
  <c r="AP182"/>
  <c r="S15"/>
  <c r="U316"/>
  <c r="P60"/>
  <c r="S125"/>
  <c r="AR116"/>
  <c r="T61"/>
  <c r="W505"/>
  <c r="R555"/>
  <c r="H559"/>
  <c r="AI370"/>
  <c r="AB404"/>
  <c r="G122"/>
  <c r="AC179"/>
  <c r="AT94"/>
  <c r="W428"/>
  <c r="H527"/>
  <c r="H245"/>
  <c r="H405"/>
  <c r="T458"/>
  <c r="AP406"/>
  <c r="AK464"/>
  <c r="T332"/>
  <c r="O447"/>
  <c r="AB27"/>
  <c r="AT26"/>
  <c r="Y277"/>
  <c r="AE531"/>
  <c r="M339"/>
  <c r="L445"/>
  <c r="AM619"/>
  <c r="V26"/>
  <c r="N366"/>
  <c r="I431"/>
  <c r="Q542"/>
  <c r="Q324"/>
  <c r="AD353"/>
  <c r="AL316"/>
  <c r="AK368"/>
  <c r="Y24"/>
  <c r="AO610"/>
  <c r="O374"/>
  <c r="T713"/>
  <c r="AT183"/>
  <c r="Y714"/>
  <c r="AH467"/>
  <c r="AL447"/>
  <c r="H438"/>
  <c r="K514"/>
  <c r="AA17"/>
  <c r="AG10"/>
  <c r="P302"/>
  <c r="S214"/>
  <c r="AD606"/>
  <c r="AH277"/>
  <c r="W556"/>
  <c r="G531"/>
  <c r="AI596"/>
  <c r="AC312"/>
  <c r="AQ179"/>
  <c r="G214"/>
  <c r="G22"/>
  <c r="V27"/>
  <c r="AS334"/>
  <c r="R304"/>
  <c r="P177"/>
  <c r="AQ26"/>
  <c r="W509"/>
  <c r="P180"/>
  <c r="AK371"/>
  <c r="AL335"/>
  <c r="P327"/>
  <c r="AI556"/>
  <c r="U355"/>
  <c r="AK82"/>
  <c r="Z466"/>
  <c r="J216"/>
  <c r="V452"/>
  <c r="M12"/>
  <c r="AT189"/>
  <c r="R102"/>
  <c r="P456"/>
  <c r="K83"/>
  <c r="U282"/>
  <c r="Q326"/>
  <c r="AA100"/>
  <c r="O26"/>
  <c r="Q28"/>
  <c r="J19"/>
  <c r="AG215"/>
  <c r="W309"/>
  <c r="P534"/>
  <c r="AG530"/>
  <c r="I112"/>
  <c r="AL347"/>
  <c r="AD372"/>
  <c r="AO624"/>
  <c r="AG617"/>
  <c r="AQ250"/>
  <c r="U13"/>
  <c r="AD463"/>
  <c r="U21"/>
  <c r="AO525"/>
  <c r="P326"/>
  <c r="AQ462"/>
  <c r="Z214"/>
  <c r="AO506"/>
  <c r="V605"/>
  <c r="AA117"/>
  <c r="AM516"/>
  <c r="AI555"/>
  <c r="L310"/>
  <c r="M372"/>
  <c r="P315"/>
  <c r="AA517"/>
  <c r="AR125"/>
  <c r="J303"/>
  <c r="P352"/>
  <c r="M615"/>
  <c r="AT535"/>
  <c r="AA89"/>
  <c r="I518"/>
  <c r="AK217"/>
  <c r="Y116"/>
  <c r="AQ600"/>
  <c r="AE63"/>
  <c r="I369"/>
  <c r="Y85"/>
  <c r="AS555"/>
  <c r="AS326"/>
  <c r="AH336"/>
  <c r="J515"/>
  <c r="AR31"/>
  <c r="AL613"/>
  <c r="AQ322"/>
  <c r="P528"/>
  <c r="AC713"/>
  <c r="AL329"/>
  <c r="AO596"/>
  <c r="S21"/>
  <c r="AH30"/>
  <c r="AF713"/>
  <c r="AF596"/>
  <c r="AF684"/>
  <c r="N101"/>
  <c r="S360"/>
  <c r="X448"/>
  <c r="H17"/>
  <c r="AQ6"/>
  <c r="R372"/>
  <c r="AT124"/>
  <c r="R533"/>
  <c r="H437"/>
  <c r="AP605"/>
  <c r="AR278"/>
  <c r="AK360"/>
  <c r="AQ552"/>
  <c r="H81"/>
  <c r="N463"/>
  <c r="AO21"/>
  <c r="G686"/>
  <c r="AG619"/>
  <c r="J327"/>
  <c r="U332"/>
  <c r="L400"/>
  <c r="G402"/>
  <c r="AG214"/>
  <c r="AF538"/>
  <c r="AF113"/>
  <c r="K279"/>
  <c r="Y10"/>
  <c r="S509"/>
  <c r="G117"/>
  <c r="AC324"/>
  <c r="T349"/>
  <c r="AP505"/>
  <c r="AF105"/>
  <c r="AO24"/>
  <c r="V711"/>
  <c r="P29"/>
  <c r="H458"/>
  <c r="AS13"/>
  <c r="AJ604"/>
  <c r="AP7"/>
  <c r="X609"/>
  <c r="K599"/>
  <c r="Z557"/>
  <c r="Y279"/>
  <c r="T519"/>
  <c r="V530"/>
  <c r="Z28"/>
  <c r="AA217"/>
  <c r="AP686"/>
  <c r="P355"/>
  <c r="AD323"/>
  <c r="AQ91"/>
  <c r="AH185"/>
  <c r="N461"/>
  <c r="Z156"/>
  <c r="P465"/>
  <c r="AO309"/>
  <c r="K104"/>
  <c r="AA610"/>
  <c r="AR334"/>
  <c r="G452"/>
  <c r="L333"/>
  <c r="N522"/>
  <c r="G109"/>
  <c r="AJ617"/>
  <c r="N158"/>
  <c r="O239"/>
  <c r="AA322"/>
  <c r="AB21"/>
  <c r="J250"/>
  <c r="V157"/>
  <c r="U431"/>
  <c r="AI87"/>
  <c r="L401"/>
  <c r="AN403"/>
  <c r="N363"/>
  <c r="T539"/>
  <c r="Q683"/>
  <c r="AG371"/>
  <c r="S404"/>
  <c r="R346"/>
  <c r="G438"/>
  <c r="I619"/>
  <c r="AB614"/>
  <c r="E21" i="63"/>
  <c r="AH525" i="175"/>
  <c r="AN557"/>
  <c r="T116"/>
  <c r="I102"/>
  <c r="AI318"/>
  <c r="AP557"/>
  <c r="AR429"/>
  <c r="P189"/>
  <c r="G403"/>
  <c r="AD603"/>
  <c r="G440"/>
  <c r="AM3"/>
  <c r="L454"/>
  <c r="AH431"/>
  <c r="AI58"/>
  <c r="J597"/>
  <c r="L214"/>
  <c r="T468"/>
  <c r="AQ114"/>
  <c r="AC370"/>
  <c r="AR122"/>
  <c r="AO531"/>
  <c r="AN312"/>
  <c r="C20" i="63"/>
  <c r="AM90" i="175"/>
  <c r="R433"/>
  <c r="I14"/>
  <c r="Y301"/>
  <c r="S599"/>
  <c r="V6" i="66"/>
  <c r="I24" i="175"/>
  <c r="AO607"/>
  <c r="AB607"/>
  <c r="M341"/>
  <c r="I445"/>
  <c r="AQ279"/>
  <c r="I599"/>
  <c r="M27"/>
  <c r="AD90"/>
  <c r="H604"/>
  <c r="AF16"/>
  <c r="AR238"/>
  <c r="V620"/>
  <c r="O240"/>
  <c r="AQ558"/>
  <c r="W91"/>
  <c r="Z189"/>
  <c r="AM177"/>
  <c r="M425"/>
  <c r="AT348"/>
  <c r="Z19"/>
  <c r="AO32"/>
  <c r="AK61"/>
  <c r="AL343"/>
  <c r="AH155"/>
  <c r="R715"/>
  <c r="AN87"/>
  <c r="V123"/>
  <c r="D23" i="63"/>
  <c r="AP4" i="175"/>
  <c r="J57"/>
  <c r="AE714"/>
  <c r="AH183"/>
  <c r="AN368"/>
  <c r="L217"/>
  <c r="AH90"/>
  <c r="AN278"/>
  <c r="H329"/>
  <c r="K339"/>
  <c r="Z302"/>
  <c r="T248"/>
  <c r="AG368"/>
  <c r="AQ464"/>
  <c r="AN240"/>
  <c r="S597"/>
  <c r="AI463"/>
  <c r="AT680"/>
  <c r="AC543"/>
  <c r="O451"/>
  <c r="G435"/>
  <c r="AC521"/>
  <c r="AJ613"/>
  <c r="I505"/>
  <c r="Q277"/>
  <c r="AA340"/>
  <c r="AQ512"/>
  <c r="AD157"/>
  <c r="N611"/>
  <c r="AN124"/>
  <c r="AF526"/>
  <c r="AT456"/>
  <c r="AQ82"/>
  <c r="T457"/>
  <c r="AI22"/>
  <c r="H98"/>
  <c r="AR347"/>
  <c r="R456"/>
  <c r="Y331"/>
  <c r="AA431"/>
  <c r="AC114"/>
  <c r="AE533"/>
  <c r="AN18"/>
  <c r="I251"/>
  <c r="AA214"/>
  <c r="AQ312"/>
  <c r="AF404"/>
  <c r="AP315"/>
  <c r="AE4"/>
  <c r="AP616"/>
  <c r="L104"/>
  <c r="N181"/>
  <c r="AN357"/>
  <c r="AK123"/>
  <c r="R94"/>
  <c r="P282"/>
  <c r="V613"/>
  <c r="K444"/>
  <c r="I13"/>
  <c r="AN712"/>
  <c r="Y370"/>
  <c r="AF521"/>
  <c r="AJ363"/>
  <c r="AE97"/>
  <c r="U543"/>
  <c r="AI218"/>
  <c r="AN685"/>
  <c r="P374"/>
  <c r="L599"/>
  <c r="AR520"/>
  <c r="P503"/>
  <c r="H121"/>
  <c r="M618"/>
  <c r="V301"/>
  <c r="S466"/>
  <c r="M468"/>
  <c r="O88"/>
  <c r="P359"/>
  <c r="N453"/>
  <c r="AT622"/>
  <c r="X683"/>
  <c r="AO406"/>
  <c r="AH26"/>
  <c r="H110"/>
  <c r="AC154"/>
  <c r="M428"/>
  <c r="N220"/>
  <c r="N60"/>
  <c r="AD322"/>
  <c r="AI59"/>
  <c r="L620"/>
  <c r="W114"/>
  <c r="AS715"/>
  <c r="AQ308"/>
  <c r="Y539"/>
  <c r="H14"/>
  <c r="R83"/>
  <c r="T374"/>
  <c r="AB278"/>
  <c r="AF329"/>
  <c r="AL14"/>
  <c r="AG359"/>
  <c r="N333"/>
  <c r="K622"/>
  <c r="AO611"/>
  <c r="AE58"/>
  <c r="Y351"/>
  <c r="AS447"/>
  <c r="AO185"/>
  <c r="V177"/>
  <c r="H375"/>
  <c r="AC465"/>
  <c r="AL375"/>
  <c r="AM434"/>
  <c r="M529"/>
  <c r="AI507"/>
  <c r="Q344"/>
  <c r="AC216"/>
  <c r="AH189"/>
  <c r="AN338"/>
  <c r="Q240"/>
  <c r="AS16"/>
  <c r="L438"/>
  <c r="AE125"/>
  <c r="AM19"/>
  <c r="AC517"/>
  <c r="M63"/>
  <c r="R103"/>
  <c r="O157"/>
  <c r="AT219"/>
  <c r="AI334"/>
  <c r="AQ93"/>
  <c r="AD357"/>
  <c r="AO432"/>
  <c r="AS336"/>
  <c r="N530"/>
  <c r="AE328"/>
  <c r="G521"/>
  <c r="R215"/>
  <c r="T187"/>
  <c r="V11" i="66"/>
  <c r="S534" i="175"/>
  <c r="Z116"/>
  <c r="AG595"/>
  <c r="AN220"/>
  <c r="AJ623"/>
  <c r="AC353"/>
  <c r="G548"/>
  <c r="AI406"/>
  <c r="V548"/>
  <c r="AQ154"/>
  <c r="AA553"/>
  <c r="N618"/>
  <c r="AM459"/>
  <c r="X328"/>
  <c r="AB24"/>
  <c r="M99"/>
  <c r="AJ606"/>
  <c r="I27"/>
  <c r="O81"/>
  <c r="AQ122"/>
  <c r="T347"/>
  <c r="U685"/>
  <c r="S250"/>
  <c r="N113"/>
  <c r="M363"/>
  <c r="AF358"/>
  <c r="U434"/>
  <c r="V460"/>
  <c r="J363"/>
  <c r="AS610"/>
  <c r="W9" i="65"/>
  <c r="AT82" i="175"/>
  <c r="AR304"/>
  <c r="AS182"/>
  <c r="AS623"/>
  <c r="H310"/>
  <c r="AJ543"/>
  <c r="G543"/>
  <c r="W595"/>
  <c r="AL60"/>
  <c r="AT19"/>
  <c r="U322"/>
  <c r="AP329"/>
  <c r="N217"/>
  <c r="AE114"/>
  <c r="AH10"/>
  <c r="H517"/>
  <c r="AG187"/>
  <c r="V402"/>
  <c r="AT605"/>
  <c r="L402"/>
  <c r="W714"/>
  <c r="AL115"/>
  <c r="AM97"/>
  <c r="AJ183"/>
  <c r="AN525"/>
  <c r="U603"/>
  <c r="AK328"/>
  <c r="T157"/>
  <c r="AR323"/>
  <c r="AF185"/>
  <c r="AK437"/>
  <c r="AD186"/>
  <c r="L604"/>
  <c r="AK468"/>
  <c r="Z404"/>
  <c r="AT86"/>
  <c r="AA278"/>
  <c r="AT554"/>
  <c r="H216"/>
  <c r="AC63"/>
  <c r="V437"/>
  <c r="T406"/>
  <c r="K613"/>
  <c r="O5"/>
  <c r="AE683"/>
  <c r="AH116"/>
  <c r="R114"/>
  <c r="AT604"/>
  <c r="G368"/>
  <c r="M120"/>
  <c r="M429"/>
  <c r="T600"/>
  <c r="AG596"/>
  <c r="W333"/>
  <c r="AF522"/>
  <c r="AA446"/>
  <c r="AO359"/>
  <c r="Y618"/>
  <c r="AE621"/>
  <c r="K303"/>
  <c r="AG347"/>
  <c r="AL184"/>
  <c r="AA251"/>
  <c r="Z238"/>
  <c r="AI310"/>
  <c r="AK426"/>
  <c r="AB186"/>
  <c r="Q123"/>
  <c r="AR184"/>
  <c r="P331"/>
  <c r="AT618"/>
  <c r="AH551"/>
  <c r="T607"/>
  <c r="Y508"/>
  <c r="AD685"/>
  <c r="AC621"/>
  <c r="H599"/>
  <c r="AF427"/>
  <c r="AF305"/>
  <c r="AE278"/>
  <c r="AI595"/>
  <c r="V323"/>
  <c r="G332"/>
  <c r="P18"/>
  <c r="M459"/>
  <c r="I316"/>
  <c r="AL317"/>
  <c r="AC518"/>
  <c r="AR83"/>
  <c r="AG341"/>
  <c r="Y406"/>
  <c r="J362"/>
  <c r="AP363"/>
  <c r="AQ5"/>
  <c r="AB458"/>
  <c r="AE444"/>
  <c r="S505"/>
  <c r="AQ454"/>
  <c r="M83"/>
  <c r="AC327"/>
  <c r="U86"/>
  <c r="AH686"/>
  <c r="AR680"/>
  <c r="I184"/>
  <c r="K615"/>
  <c r="O97"/>
  <c r="AH158"/>
  <c r="AR245"/>
  <c r="T276"/>
  <c r="AE124"/>
  <c r="Q244"/>
  <c r="P615"/>
  <c r="AF686"/>
  <c r="AE188"/>
  <c r="AQ539"/>
  <c r="AC457"/>
  <c r="AD337"/>
  <c r="AD467"/>
  <c r="X91"/>
  <c r="AI14"/>
  <c r="AD91"/>
  <c r="AD6"/>
  <c r="M600"/>
  <c r="W467"/>
  <c r="AM334"/>
  <c r="Y357"/>
  <c r="AF281"/>
  <c r="AL557"/>
  <c r="H522"/>
  <c r="AO181"/>
  <c r="N277"/>
  <c r="AH542"/>
  <c r="O282"/>
  <c r="Q506"/>
  <c r="T97"/>
  <c r="N367"/>
  <c r="AB464"/>
  <c r="AB216"/>
  <c r="AQ448"/>
  <c r="AB456"/>
  <c r="X155"/>
  <c r="AN27"/>
  <c r="AO7"/>
  <c r="AK445"/>
  <c r="AD63"/>
  <c r="O462"/>
  <c r="AB217"/>
  <c r="AJ330"/>
  <c r="AG429"/>
  <c r="N316"/>
  <c r="M522"/>
  <c r="X310"/>
  <c r="AT458"/>
  <c r="AJ339"/>
  <c r="Q9"/>
  <c r="AP429"/>
  <c r="AM432"/>
  <c r="Z406"/>
  <c r="AG402"/>
  <c r="AI326"/>
  <c r="G17"/>
  <c r="AO97"/>
  <c r="AN21"/>
  <c r="Y319"/>
  <c r="U542"/>
  <c r="AC122"/>
  <c r="AH103"/>
  <c r="Z89"/>
  <c r="AG157"/>
  <c r="AC30"/>
  <c r="S91"/>
  <c r="AA304"/>
  <c r="X524"/>
  <c r="V680"/>
  <c r="G89"/>
  <c r="Y22"/>
  <c r="Y99"/>
  <c r="W26"/>
  <c r="AG375"/>
  <c r="S508"/>
  <c r="Q121"/>
  <c r="Z362"/>
  <c r="L278"/>
  <c r="AN326"/>
  <c r="N342"/>
  <c r="AQ320"/>
  <c r="AP348"/>
  <c r="AE522"/>
  <c r="K181"/>
  <c r="J601"/>
  <c r="H371"/>
  <c r="E23" i="63"/>
  <c r="H359" i="175"/>
  <c r="AA445"/>
  <c r="Q530"/>
  <c r="O611"/>
  <c r="AC215"/>
  <c r="AQ536"/>
  <c r="AO351"/>
  <c r="AN153"/>
  <c r="AP401"/>
  <c r="AM457"/>
  <c r="AM307"/>
  <c r="V445"/>
  <c r="J522"/>
  <c r="AB100"/>
  <c r="AB526"/>
  <c r="I330"/>
  <c r="Z468"/>
  <c r="AM463"/>
  <c r="H554"/>
  <c r="K342"/>
  <c r="A20" i="48"/>
  <c r="V185" i="175"/>
  <c r="W337"/>
  <c r="Y610"/>
  <c r="J448"/>
  <c r="AH559"/>
  <c r="AH186"/>
  <c r="AJ560"/>
  <c r="AE220"/>
  <c r="AG446"/>
  <c r="AB19"/>
  <c r="AI450"/>
  <c r="AR503"/>
  <c r="AK535"/>
  <c r="AB348"/>
  <c r="AJ596"/>
  <c r="AT429"/>
  <c r="AM14"/>
  <c r="AA58"/>
  <c r="J355"/>
  <c r="R13"/>
  <c r="AT334"/>
  <c r="AR326"/>
  <c r="X114"/>
  <c r="AH351"/>
  <c r="AG9"/>
  <c r="AC185"/>
  <c r="AM361"/>
  <c r="AB12"/>
  <c r="O319"/>
  <c r="AM310"/>
  <c r="AG435"/>
  <c r="P13"/>
  <c r="AF324"/>
  <c r="AS528"/>
  <c r="G114"/>
  <c r="I553"/>
  <c r="AG31"/>
  <c r="R181"/>
  <c r="Q180"/>
  <c r="I437"/>
  <c r="X354"/>
  <c r="AD620"/>
  <c r="AJ220"/>
  <c r="G316"/>
  <c r="AM429"/>
  <c r="AL58"/>
  <c r="AJ326"/>
  <c r="R338"/>
  <c r="J682"/>
  <c r="AD465"/>
  <c r="W340"/>
  <c r="P116"/>
  <c r="AA466"/>
  <c r="Z276"/>
  <c r="Z365"/>
  <c r="AC322"/>
  <c r="AP246"/>
  <c r="U358"/>
  <c r="AD601"/>
  <c r="AG29"/>
  <c r="AH85"/>
  <c r="W89"/>
  <c r="T435"/>
  <c r="AJ534"/>
  <c r="H373"/>
  <c r="Y244"/>
  <c r="L560"/>
  <c r="AL536"/>
  <c r="AN247"/>
  <c r="K152"/>
  <c r="AG83"/>
  <c r="L450"/>
  <c r="G552"/>
  <c r="AS344"/>
  <c r="AE180"/>
  <c r="R58"/>
  <c r="J317"/>
  <c r="AN400"/>
  <c r="AB681"/>
  <c r="AA456"/>
  <c r="AC91"/>
  <c r="AP454"/>
  <c r="AE102"/>
  <c r="O517"/>
  <c r="AK246"/>
  <c r="K246"/>
  <c r="AR509"/>
  <c r="AK318"/>
  <c r="J106"/>
  <c r="AM596"/>
  <c r="R597"/>
  <c r="V332"/>
  <c r="V366"/>
  <c r="AB425"/>
  <c r="AD93"/>
  <c r="AO603"/>
  <c r="X444"/>
  <c r="AH13"/>
  <c r="AP58"/>
  <c r="Y436"/>
  <c r="AS58"/>
  <c r="AQ511"/>
  <c r="K4"/>
  <c r="AA520"/>
  <c r="AK101"/>
  <c r="AN375"/>
  <c r="H607"/>
  <c r="AS101"/>
  <c r="H85"/>
  <c r="AC101"/>
  <c r="Y375"/>
  <c r="AP25"/>
  <c r="H553"/>
  <c r="Y13"/>
  <c r="R309"/>
  <c r="AR185"/>
  <c r="AD300"/>
  <c r="L685"/>
  <c r="AF683"/>
  <c r="AC25"/>
  <c r="AC552"/>
  <c r="H595"/>
  <c r="U328"/>
  <c r="J360"/>
  <c r="AO323"/>
  <c r="Y350"/>
  <c r="AT528"/>
  <c r="AF453"/>
  <c r="AK59"/>
  <c r="N684"/>
  <c r="AB362"/>
  <c r="O400"/>
  <c r="AC5"/>
  <c r="W322"/>
  <c r="X452"/>
  <c r="H181"/>
  <c r="P21"/>
  <c r="AS247"/>
  <c r="R426"/>
  <c r="AJ525"/>
  <c r="Z543"/>
  <c r="AC712"/>
  <c r="AB343"/>
  <c r="G100"/>
  <c r="U450"/>
  <c r="AF539"/>
  <c r="K457"/>
  <c r="AD518"/>
  <c r="Q93"/>
  <c r="Q712"/>
  <c r="N401"/>
  <c r="AJ115"/>
  <c r="AK317"/>
  <c r="AI281"/>
  <c r="J220"/>
  <c r="AC155"/>
  <c r="V217"/>
  <c r="N62"/>
  <c r="K454"/>
  <c r="I22"/>
  <c r="T404"/>
  <c r="AO239"/>
  <c r="G467"/>
  <c r="AJ460"/>
  <c r="P25"/>
  <c r="X521"/>
  <c r="AL712"/>
  <c r="AJ246"/>
  <c r="V464"/>
  <c r="AF457"/>
  <c r="K6"/>
  <c r="U125"/>
  <c r="AB684"/>
  <c r="AB596"/>
  <c r="AO17"/>
  <c r="V4"/>
  <c r="AE459"/>
  <c r="G400"/>
  <c r="L353"/>
  <c r="Q623"/>
  <c r="K611"/>
  <c r="G525"/>
  <c r="AT467"/>
  <c r="X335"/>
  <c r="AR433"/>
  <c r="AI343"/>
  <c r="AR19"/>
  <c r="AD511"/>
  <c r="AO512"/>
  <c r="AN81"/>
  <c r="M245"/>
  <c r="Z505"/>
  <c r="V278"/>
  <c r="M406"/>
  <c r="AD404"/>
  <c r="AI5"/>
  <c r="V87"/>
  <c r="P536"/>
  <c r="AB400"/>
  <c r="AP83"/>
  <c r="T189"/>
  <c r="AA28"/>
  <c r="Q302"/>
  <c r="O366"/>
  <c r="AC598"/>
  <c r="AO26"/>
  <c r="P216"/>
  <c r="AM324"/>
  <c r="N613"/>
  <c r="AB349"/>
  <c r="W115"/>
  <c r="AS25"/>
  <c r="R363"/>
  <c r="Z428"/>
  <c r="L513"/>
  <c r="Z93"/>
  <c r="AQ341"/>
  <c r="H608"/>
  <c r="AJ362"/>
  <c r="AQ680"/>
  <c r="AP357"/>
  <c r="AI607"/>
  <c r="M401"/>
  <c r="P401"/>
  <c r="V599"/>
  <c r="AS240"/>
  <c r="AB301"/>
  <c r="AD238"/>
  <c r="R524"/>
  <c r="Y467"/>
  <c r="N503"/>
  <c r="AB344"/>
  <c r="AN438"/>
  <c r="H241"/>
  <c r="AE682"/>
  <c r="AP325"/>
  <c r="AN624"/>
  <c r="AN325"/>
  <c r="AH123"/>
  <c r="AD183"/>
  <c r="U216"/>
  <c r="AK404"/>
  <c r="AO435"/>
  <c r="AR152"/>
  <c r="M367"/>
  <c r="P239"/>
  <c r="Y506"/>
  <c r="AG560"/>
  <c r="W103"/>
  <c r="G13"/>
  <c r="AN544"/>
  <c r="X183"/>
  <c r="AM467"/>
  <c r="N324"/>
  <c r="AO604"/>
  <c r="K606"/>
  <c r="AC462"/>
  <c r="AK507"/>
  <c r="O535"/>
  <c r="AP308"/>
  <c r="AN103"/>
  <c r="Q245"/>
  <c r="AE81"/>
  <c r="P621"/>
  <c r="G152"/>
  <c r="Q310"/>
  <c r="AK610"/>
  <c r="AF503"/>
  <c r="L334"/>
  <c r="P335"/>
  <c r="AK327"/>
  <c r="AD32"/>
  <c r="P248"/>
  <c r="AE85"/>
  <c r="G245"/>
  <c r="AK712"/>
  <c r="AD526"/>
  <c r="AD554"/>
  <c r="K682"/>
  <c r="Z521"/>
  <c r="Q366"/>
  <c r="I181"/>
  <c r="J617"/>
  <c r="V713"/>
  <c r="AO340"/>
  <c r="R536"/>
  <c r="J85"/>
  <c r="AR100"/>
  <c r="AK303"/>
  <c r="L458"/>
  <c r="AN179"/>
  <c r="O322"/>
  <c r="AF313"/>
  <c r="AP333"/>
  <c r="AN83"/>
  <c r="AG519"/>
  <c r="AR542"/>
  <c r="K241"/>
  <c r="AI459"/>
  <c r="N216"/>
  <c r="L122"/>
  <c r="N520"/>
  <c r="AS184"/>
  <c r="Z431"/>
  <c r="AJ8"/>
  <c r="U63"/>
  <c r="V218"/>
  <c r="V312"/>
  <c r="Y600"/>
  <c r="AH249"/>
  <c r="AC371"/>
  <c r="H715"/>
  <c r="Y8"/>
  <c r="T373"/>
  <c r="U553"/>
  <c r="N713"/>
  <c r="AA604"/>
  <c r="AQ533"/>
  <c r="X118"/>
  <c r="M214"/>
  <c r="Q87"/>
  <c r="AT91"/>
  <c r="AF435"/>
  <c r="R343"/>
  <c r="AD325"/>
  <c r="AI404"/>
  <c r="AO371"/>
  <c r="I342"/>
  <c r="V432"/>
  <c r="J365"/>
  <c r="T247"/>
  <c r="AB91"/>
  <c r="K155"/>
  <c r="AH309"/>
  <c r="J93"/>
  <c r="L325"/>
  <c r="AH613"/>
  <c r="J329"/>
  <c r="O356"/>
  <c r="Y533"/>
  <c r="AP365"/>
  <c r="G348"/>
  <c r="AE344"/>
  <c r="AF114"/>
  <c r="I309"/>
  <c r="AI6"/>
  <c r="N509"/>
  <c r="AE366"/>
  <c r="R543"/>
  <c r="H530"/>
  <c r="O311"/>
  <c r="Z352"/>
  <c r="AC340"/>
  <c r="I107"/>
  <c r="L545"/>
  <c r="AC468"/>
  <c r="AN32"/>
  <c r="O607"/>
  <c r="X92"/>
  <c r="AM611"/>
  <c r="AB105"/>
  <c r="AE92"/>
  <c r="J108"/>
  <c r="H177"/>
  <c r="V16"/>
  <c r="AQ508"/>
  <c r="AP615"/>
  <c r="AN427"/>
  <c r="AB59"/>
  <c r="AH437"/>
  <c r="I7"/>
  <c r="R305"/>
  <c r="AS352"/>
  <c r="Y121"/>
  <c r="AQ362"/>
  <c r="V57"/>
  <c r="AC445"/>
  <c r="H214"/>
  <c r="S426"/>
  <c r="O18"/>
  <c r="G713"/>
  <c r="V118"/>
  <c r="N685"/>
  <c r="AQ604"/>
  <c r="AO355"/>
  <c r="AA338"/>
  <c r="M119"/>
  <c r="AK616"/>
  <c r="J119"/>
  <c r="AI610"/>
  <c r="AT529"/>
  <c r="Z456"/>
  <c r="Z354"/>
  <c r="S623"/>
  <c r="X156"/>
  <c r="O189"/>
  <c r="AK438"/>
  <c r="AQ303"/>
  <c r="AL241"/>
  <c r="AN597"/>
  <c r="G685"/>
  <c r="AH457"/>
  <c r="AF115"/>
  <c r="AC351"/>
  <c r="AF509"/>
  <c r="Q432"/>
  <c r="Q24"/>
  <c r="V302"/>
  <c r="L529"/>
  <c r="AF321"/>
  <c r="K360"/>
  <c r="Z13"/>
  <c r="H124"/>
  <c r="AT599"/>
  <c r="N368"/>
  <c r="AP92"/>
  <c r="T452"/>
  <c r="K316"/>
  <c r="AG597"/>
  <c r="N405"/>
  <c r="AB444"/>
  <c r="AM446"/>
  <c r="N7" i="66"/>
  <c r="L516" i="175"/>
  <c r="AJ511"/>
  <c r="N430"/>
  <c r="V375"/>
  <c r="AN155"/>
  <c r="X348"/>
  <c r="AO5"/>
  <c r="Z347"/>
  <c r="Z343"/>
  <c r="S323"/>
  <c r="AE316"/>
  <c r="AP431"/>
  <c r="AM623"/>
  <c r="AH622"/>
  <c r="Y354"/>
  <c r="AK455"/>
  <c r="T605"/>
  <c r="Q374"/>
  <c r="R279"/>
  <c r="Z605"/>
  <c r="U309"/>
  <c r="AI362"/>
  <c r="AC614"/>
  <c r="AK63"/>
  <c r="H326"/>
  <c r="Q114"/>
  <c r="AA428"/>
  <c r="M462"/>
  <c r="AE469"/>
  <c r="X246"/>
  <c r="AR524"/>
  <c r="Q6"/>
  <c r="AF279"/>
  <c r="AO317"/>
  <c r="AP9"/>
  <c r="Y26"/>
  <c r="AT350"/>
  <c r="AG551"/>
  <c r="AN25"/>
  <c r="P28"/>
  <c r="Z340"/>
  <c r="Q246"/>
  <c r="AP217"/>
  <c r="AE453"/>
  <c r="H514"/>
  <c r="K122"/>
  <c r="Q446"/>
  <c r="O623"/>
  <c r="AM32"/>
  <c r="T460"/>
  <c r="AQ457"/>
  <c r="G459"/>
  <c r="W338"/>
  <c r="Q361"/>
  <c r="AH512"/>
  <c r="AS10"/>
  <c r="AA434"/>
  <c r="AF243"/>
  <c r="AP156"/>
  <c r="V60"/>
  <c r="AT8"/>
  <c r="M177"/>
  <c r="AA347"/>
  <c r="AP451"/>
  <c r="M280"/>
  <c r="AB28"/>
  <c r="AQ517"/>
  <c r="H120"/>
  <c r="AC86"/>
  <c r="Q215"/>
  <c r="AB326"/>
  <c r="AL374"/>
  <c r="AT533"/>
  <c r="M123"/>
  <c r="X243"/>
  <c r="AC85"/>
  <c r="AL605"/>
  <c r="I104"/>
  <c r="X361"/>
  <c r="AN251"/>
  <c r="M325"/>
  <c r="AG555"/>
  <c r="AF19"/>
  <c r="AA188"/>
  <c r="AM302"/>
  <c r="Z533"/>
  <c r="K369"/>
  <c r="X100"/>
  <c r="I352"/>
  <c r="Y551"/>
  <c r="AN156"/>
  <c r="W280"/>
  <c r="AE446"/>
  <c r="AS460"/>
  <c r="J451"/>
  <c r="AN93"/>
  <c r="AQ189"/>
  <c r="AD9"/>
  <c r="AG99"/>
  <c r="AQ58"/>
  <c r="AC121"/>
  <c r="AG468"/>
  <c r="AT302"/>
  <c r="S521"/>
  <c r="V304"/>
  <c r="G443"/>
  <c r="W507"/>
  <c r="AO179"/>
  <c r="AG456"/>
  <c r="AK609"/>
  <c r="Y529"/>
  <c r="AK12"/>
  <c r="W325"/>
  <c r="AQ349"/>
  <c r="AF22"/>
  <c r="N125"/>
  <c r="M350"/>
  <c r="Y609"/>
  <c r="X60"/>
  <c r="AB15"/>
  <c r="AH526"/>
  <c r="R90"/>
  <c r="K374"/>
  <c r="L446"/>
  <c r="AP114"/>
  <c r="AF27"/>
  <c r="AQ620"/>
  <c r="AQ686"/>
  <c r="AJ186"/>
  <c r="AG507"/>
  <c r="AL448"/>
  <c r="T446"/>
  <c r="L368"/>
  <c r="AC527"/>
  <c r="T537"/>
  <c r="G449"/>
  <c r="AD117"/>
  <c r="W332"/>
  <c r="AE403"/>
  <c r="H303"/>
  <c r="AE540"/>
  <c r="AK92"/>
  <c r="O31"/>
  <c r="X301"/>
  <c r="U540"/>
  <c r="X333"/>
  <c r="AN505"/>
  <c r="AR460"/>
  <c r="I613"/>
  <c r="AB322"/>
  <c r="AL334"/>
  <c r="AB182"/>
  <c r="AH341"/>
  <c r="L240"/>
  <c r="S243"/>
  <c r="L365"/>
  <c r="L277"/>
  <c r="AA447"/>
  <c r="AI246"/>
  <c r="AT158"/>
  <c r="AG351"/>
  <c r="T331"/>
  <c r="N425"/>
  <c r="AP313"/>
  <c r="AI116"/>
  <c r="N338"/>
  <c r="U681"/>
  <c r="U618"/>
  <c r="AO537"/>
  <c r="AS539"/>
  <c r="Z607"/>
  <c r="AD535"/>
  <c r="Z443"/>
  <c r="U405"/>
  <c r="L518"/>
  <c r="W11" i="65"/>
  <c r="M556" i="175"/>
  <c r="V331"/>
  <c r="AR12"/>
  <c r="AO328"/>
  <c r="AO529"/>
  <c r="J179"/>
  <c r="AE557"/>
  <c r="AM425"/>
  <c r="N187"/>
  <c r="O32"/>
  <c r="H337"/>
  <c r="H541"/>
  <c r="O280"/>
  <c r="K301"/>
  <c r="AJ189"/>
  <c r="AM247"/>
  <c r="AQ712"/>
  <c r="AG680"/>
  <c r="AN317"/>
  <c r="AF11"/>
  <c r="AG511"/>
  <c r="AN506"/>
  <c r="AF461"/>
  <c r="M178"/>
  <c r="AQ19"/>
  <c r="K523"/>
  <c r="H347"/>
  <c r="R101"/>
  <c r="Y340"/>
  <c r="AT123"/>
  <c r="U372"/>
  <c r="V426"/>
  <c r="G610"/>
  <c r="AN277"/>
  <c r="AN59"/>
  <c r="G366"/>
  <c r="AN559"/>
  <c r="G276"/>
  <c r="O320"/>
  <c r="W352"/>
  <c r="V467"/>
  <c r="G457"/>
  <c r="AG605"/>
  <c r="N322"/>
  <c r="AS4"/>
  <c r="AH368"/>
  <c r="T552"/>
  <c r="AI88"/>
  <c r="AJ401"/>
  <c r="AO538"/>
  <c r="L354"/>
  <c r="V186"/>
  <c r="K455"/>
  <c r="W361"/>
  <c r="L181"/>
  <c r="X535"/>
  <c r="AL713"/>
  <c r="R612"/>
  <c r="X405"/>
  <c r="AB334"/>
  <c r="AG313"/>
  <c r="AK179"/>
  <c r="AT349"/>
  <c r="R365"/>
  <c r="Z102"/>
  <c r="AP88"/>
  <c r="AD312"/>
  <c r="AJ337"/>
  <c r="AG467"/>
  <c r="AB177"/>
  <c r="AL348"/>
  <c r="U89"/>
  <c r="AN11"/>
  <c r="K348"/>
  <c r="L91"/>
  <c r="G344"/>
  <c r="R521"/>
  <c r="K28"/>
  <c r="AR309"/>
  <c r="AH355"/>
  <c r="R520"/>
  <c r="AS456"/>
  <c r="K319"/>
  <c r="AH316"/>
  <c r="N100"/>
  <c r="Y363"/>
  <c r="AC338"/>
  <c r="AR28"/>
  <c r="V453"/>
  <c r="I111"/>
  <c r="I98"/>
  <c r="AB328"/>
  <c r="G560"/>
  <c r="W321"/>
  <c r="L186"/>
  <c r="Y552"/>
  <c r="T179"/>
  <c r="AJ544"/>
  <c r="AR216"/>
  <c r="AH524"/>
  <c r="AC6"/>
  <c r="AM99"/>
  <c r="V349"/>
  <c r="Z609"/>
  <c r="M154"/>
  <c r="S220"/>
  <c r="N305"/>
  <c r="AI681"/>
  <c r="AN714"/>
  <c r="AA310"/>
  <c r="M355"/>
  <c r="S536"/>
  <c r="H612"/>
  <c r="AK186"/>
  <c r="N556"/>
  <c r="H467"/>
  <c r="S349"/>
  <c r="I616"/>
  <c r="X519"/>
  <c r="N312"/>
  <c r="U19"/>
  <c r="O326"/>
  <c r="O328"/>
  <c r="AO251"/>
  <c r="M680"/>
  <c r="H243"/>
  <c r="H401"/>
  <c r="AQ446"/>
  <c r="M102"/>
  <c r="L531"/>
  <c r="T94"/>
  <c r="J509"/>
  <c r="N280"/>
  <c r="AF352"/>
  <c r="Z317"/>
  <c r="AL538"/>
  <c r="AT96"/>
  <c r="AJ81"/>
  <c r="U182"/>
  <c r="S507"/>
  <c r="AD355"/>
  <c r="L23"/>
  <c r="AL620"/>
  <c r="AI301"/>
  <c r="N612"/>
  <c r="J118"/>
  <c r="AH685"/>
  <c r="AO10"/>
  <c r="AR101"/>
  <c r="AN360"/>
  <c r="O183"/>
  <c r="H558"/>
  <c r="S313"/>
  <c r="Z539"/>
  <c r="AP443"/>
  <c r="AI371"/>
  <c r="H119"/>
  <c r="L351"/>
  <c r="AF452"/>
  <c r="I343"/>
  <c r="AN10"/>
  <c r="AC32"/>
  <c r="AE279"/>
  <c r="S468"/>
  <c r="AL353"/>
  <c r="G326"/>
  <c r="T555"/>
  <c r="AL607"/>
  <c r="AF530"/>
  <c r="AR602"/>
  <c r="AR616"/>
  <c r="R609"/>
  <c r="AG459"/>
  <c r="AH278"/>
  <c r="M553"/>
  <c r="U220"/>
  <c r="AT372"/>
  <c r="O304"/>
  <c r="Y608"/>
  <c r="H333"/>
  <c r="S434"/>
  <c r="AJ182"/>
  <c r="AL352"/>
  <c r="AK154"/>
  <c r="AK543"/>
  <c r="AK444"/>
  <c r="I4"/>
  <c r="R551"/>
  <c r="R251"/>
  <c r="AM615"/>
  <c r="K103"/>
  <c r="AK453"/>
  <c r="AK436"/>
  <c r="K438"/>
  <c r="M503"/>
  <c r="V96"/>
  <c r="AG400"/>
  <c r="Q122"/>
  <c r="AS18"/>
  <c r="K17"/>
  <c r="L451"/>
  <c r="K304"/>
  <c r="AT437"/>
  <c r="Z559"/>
  <c r="AH683"/>
  <c r="AC403"/>
  <c r="J115"/>
  <c r="AK307"/>
  <c r="AP536"/>
  <c r="AO312"/>
  <c r="AC375"/>
  <c r="V436"/>
  <c r="M153"/>
  <c r="U214"/>
  <c r="K309"/>
  <c r="AA341"/>
  <c r="I20"/>
  <c r="AM560"/>
  <c r="AN96"/>
  <c r="AF319"/>
  <c r="L503"/>
  <c r="T8"/>
  <c r="AH250"/>
  <c r="K281"/>
  <c r="AS533"/>
  <c r="N555"/>
  <c r="T302"/>
  <c r="AQ20"/>
  <c r="K336"/>
  <c r="U14"/>
  <c r="O27"/>
  <c r="M124"/>
  <c r="AQ16"/>
  <c r="H113"/>
  <c r="AC120"/>
  <c r="AE451"/>
  <c r="O350"/>
  <c r="R509"/>
  <c r="AE450"/>
  <c r="AE355"/>
  <c r="N444"/>
  <c r="I84"/>
  <c r="AH369"/>
  <c r="V465"/>
  <c r="AQ456"/>
  <c r="AL337"/>
  <c r="M404"/>
  <c r="T462"/>
  <c r="O444"/>
  <c r="Z304"/>
  <c r="AL554"/>
  <c r="AD317"/>
  <c r="H22"/>
  <c r="N465"/>
  <c r="H351"/>
  <c r="AL26"/>
  <c r="L605"/>
  <c r="S520"/>
  <c r="G279"/>
  <c r="AJ603"/>
  <c r="AA358"/>
  <c r="X360"/>
  <c r="N243"/>
  <c r="AA353"/>
  <c r="O113"/>
  <c r="AJ152"/>
  <c r="AO87"/>
  <c r="AC405"/>
  <c r="AN402"/>
  <c r="J684"/>
  <c r="H450"/>
  <c r="Z318"/>
  <c r="U18"/>
  <c r="AE467"/>
  <c r="P324"/>
  <c r="O302"/>
  <c r="N365"/>
  <c r="Z360"/>
  <c r="AC182"/>
  <c r="K520"/>
  <c r="AG63"/>
  <c r="V528"/>
  <c r="M426"/>
  <c r="V619"/>
  <c r="Q371"/>
  <c r="D22" i="63"/>
  <c r="AT714" i="175"/>
  <c r="AP364"/>
  <c r="G401"/>
  <c r="L362"/>
  <c r="M84"/>
  <c r="AD184"/>
  <c r="I350"/>
  <c r="AQ99"/>
  <c r="AF334"/>
  <c r="G536"/>
  <c r="AE15"/>
  <c r="AG623"/>
  <c r="K178"/>
  <c r="I242"/>
  <c r="AT18"/>
  <c r="Q217"/>
  <c r="P711"/>
  <c r="P344"/>
  <c r="AB341"/>
  <c r="M516"/>
  <c r="AG340"/>
  <c r="AL469"/>
  <c r="M316"/>
  <c r="AH375"/>
  <c r="L319"/>
  <c r="AR215"/>
  <c r="Q507"/>
  <c r="P280"/>
  <c r="AT466"/>
  <c r="K353"/>
  <c r="M28"/>
  <c r="H324"/>
  <c r="J356"/>
  <c r="Q304"/>
  <c r="G352"/>
  <c r="L321"/>
  <c r="AS14"/>
  <c r="AH329"/>
  <c r="Y461"/>
  <c r="G464"/>
  <c r="V544"/>
  <c r="K179"/>
  <c r="X330"/>
  <c r="AT311"/>
  <c r="L62"/>
  <c r="J540"/>
  <c r="AB187"/>
  <c r="R435"/>
  <c r="S242"/>
  <c r="AE214"/>
  <c r="P23"/>
  <c r="AM325"/>
  <c r="U103"/>
  <c r="AG432"/>
  <c r="AC240"/>
  <c r="AF31"/>
  <c r="K466"/>
  <c r="AB461"/>
  <c r="I305"/>
  <c r="AD177"/>
  <c r="V9" i="66"/>
  <c r="G303" i="175"/>
  <c r="G355"/>
  <c r="AG613"/>
  <c r="I515"/>
  <c r="X248"/>
  <c r="V303"/>
  <c r="U329"/>
  <c r="AP15"/>
  <c r="AK281"/>
  <c r="I612"/>
  <c r="V17"/>
  <c r="AA432"/>
  <c r="AC528"/>
  <c r="AC250"/>
  <c r="T681"/>
  <c r="AF426"/>
  <c r="AA87"/>
  <c r="AB89"/>
  <c r="AI31"/>
  <c r="V462"/>
  <c r="M302"/>
  <c r="X315"/>
  <c r="AS102"/>
  <c r="T13"/>
  <c r="AC305"/>
  <c r="H318"/>
  <c r="AS280"/>
  <c r="AO241"/>
  <c r="R353"/>
  <c r="U185"/>
  <c r="W217"/>
  <c r="AQ616"/>
  <c r="AQ332"/>
  <c r="V609"/>
  <c r="AL242"/>
  <c r="AH680"/>
  <c r="I114"/>
  <c r="AC461"/>
  <c r="AK116"/>
  <c r="D25" i="63"/>
  <c r="AQ403" i="175"/>
  <c r="AO599"/>
  <c r="J62"/>
  <c r="AM686"/>
  <c r="AT431"/>
  <c r="S181"/>
  <c r="AI85"/>
  <c r="AQ324"/>
  <c r="N712"/>
  <c r="AJ336"/>
  <c r="AI522"/>
  <c r="T618"/>
  <c r="AE308"/>
  <c r="S178"/>
  <c r="M356"/>
  <c r="Q19" i="63"/>
  <c r="H155" i="175"/>
  <c r="AG447"/>
  <c r="M244"/>
  <c r="AT469"/>
  <c r="Q680"/>
  <c r="AQ177"/>
  <c r="S124"/>
  <c r="AT307"/>
  <c r="AC605"/>
  <c r="Y347"/>
  <c r="AI305"/>
  <c r="AH347"/>
  <c r="J435"/>
  <c r="AC183"/>
  <c r="AG452"/>
  <c r="L21"/>
  <c r="AA465"/>
  <c r="AA5"/>
  <c r="AS462"/>
  <c r="AR452"/>
  <c r="AB179"/>
  <c r="AF405"/>
  <c r="N620"/>
  <c r="I621"/>
  <c r="AT327"/>
  <c r="H714"/>
  <c r="AS554"/>
  <c r="AO22"/>
  <c r="K29"/>
  <c r="AI3"/>
  <c r="AI32"/>
  <c r="U555"/>
  <c r="AF406"/>
  <c r="K506"/>
  <c r="I519"/>
  <c r="L509"/>
  <c r="AH157"/>
  <c r="S315"/>
  <c r="I541"/>
  <c r="AL597"/>
  <c r="O82"/>
  <c r="O244"/>
  <c r="W533"/>
  <c r="AE341"/>
  <c r="I281"/>
  <c r="AM58"/>
  <c r="AA623"/>
  <c r="AI602"/>
  <c r="G281"/>
  <c r="R554"/>
  <c r="AJ358"/>
  <c r="O90"/>
  <c r="AK683"/>
  <c r="W61"/>
  <c r="AC535"/>
  <c r="I511"/>
  <c r="T125"/>
  <c r="G526"/>
  <c r="Z124"/>
  <c r="AS375"/>
  <c r="Z326"/>
  <c r="AK714"/>
  <c r="AA685"/>
  <c r="AB434"/>
  <c r="AM438"/>
  <c r="K542"/>
  <c r="R116"/>
  <c r="AA611"/>
  <c r="K713"/>
  <c r="R188"/>
  <c r="AE465"/>
  <c r="AD373"/>
  <c r="M58"/>
  <c r="AA683"/>
  <c r="N241"/>
  <c r="AF330"/>
  <c r="W360"/>
  <c r="AQ556"/>
  <c r="AF465"/>
  <c r="T620"/>
  <c r="N240"/>
  <c r="AP89"/>
  <c r="AP400"/>
  <c r="M686"/>
  <c r="AJ680"/>
  <c r="W555"/>
  <c r="AF618"/>
  <c r="AT240"/>
  <c r="AG11"/>
  <c r="Q334"/>
  <c r="O93"/>
  <c r="V333"/>
  <c r="AM246"/>
  <c r="AO125"/>
  <c r="U369"/>
  <c r="AL466"/>
  <c r="AS714"/>
  <c r="O459"/>
  <c r="R124"/>
  <c r="G6"/>
  <c r="T597"/>
  <c r="W610"/>
  <c r="AE604"/>
  <c r="Y430"/>
  <c r="AH465"/>
  <c r="U360"/>
  <c r="AB352"/>
  <c r="N61"/>
  <c r="Z82"/>
  <c r="AT463"/>
  <c r="AK187"/>
  <c r="AT119"/>
  <c r="J611"/>
  <c r="S517"/>
  <c r="AA26"/>
  <c r="Z711"/>
  <c r="AF153"/>
  <c r="I371"/>
  <c r="AF361"/>
  <c r="O87"/>
  <c r="R507"/>
  <c r="AR517"/>
  <c r="I607"/>
  <c r="N120"/>
  <c r="AA121"/>
  <c r="U153"/>
  <c r="Q458"/>
  <c r="AM406"/>
  <c r="K354"/>
  <c r="G108"/>
  <c r="AE681"/>
  <c r="AT370"/>
  <c r="AG320"/>
  <c r="U429"/>
  <c r="AL523"/>
  <c r="AL182"/>
  <c r="M10"/>
  <c r="AD81"/>
  <c r="AP332"/>
  <c r="AD124"/>
  <c r="AA241"/>
  <c r="AR180"/>
  <c r="J309"/>
  <c r="AT322"/>
  <c r="AT12"/>
  <c r="AS153"/>
  <c r="AI535"/>
  <c r="AO459"/>
  <c r="AJ509"/>
  <c r="AD613"/>
  <c r="M117"/>
  <c r="V525"/>
  <c r="AB351"/>
  <c r="J249"/>
  <c r="H9"/>
  <c r="AO23"/>
  <c r="AM4"/>
  <c r="X113"/>
  <c r="AC330"/>
  <c r="R539"/>
  <c r="Z327"/>
  <c r="S467"/>
  <c r="AO62"/>
  <c r="U404"/>
  <c r="T375"/>
  <c r="AT247"/>
  <c r="K548"/>
  <c r="AL463"/>
  <c r="AA527"/>
  <c r="Y603"/>
  <c r="M433"/>
  <c r="L84"/>
  <c r="AP339"/>
  <c r="AQ599"/>
  <c r="AP319"/>
  <c r="H319"/>
  <c r="AO85"/>
  <c r="AN611"/>
  <c r="AR536"/>
  <c r="AK363"/>
  <c r="Y239"/>
  <c r="W12" i="65"/>
  <c r="K244" i="175"/>
  <c r="AK370"/>
  <c r="J177"/>
  <c r="AH310"/>
  <c r="AS366"/>
  <c r="AI245"/>
  <c r="AF86"/>
  <c r="AI621"/>
  <c r="AE248"/>
  <c r="AE249"/>
  <c r="AH63"/>
  <c r="N370"/>
  <c r="AJ536"/>
  <c r="AQ240"/>
  <c r="T242"/>
  <c r="AQ553"/>
  <c r="L324"/>
  <c r="AT435"/>
  <c r="AI16"/>
  <c r="V24"/>
  <c r="Y181"/>
  <c r="Z519"/>
  <c r="P609"/>
  <c r="AR523"/>
  <c r="AT10"/>
  <c r="AL282"/>
  <c r="U121"/>
  <c r="R714"/>
  <c r="AP337"/>
  <c r="AG188"/>
  <c r="AR358"/>
  <c r="V606"/>
  <c r="Z600"/>
  <c r="R19"/>
  <c r="K317"/>
  <c r="L306"/>
  <c r="AO612"/>
  <c r="Z27"/>
  <c r="K215"/>
  <c r="I535"/>
  <c r="AR612"/>
  <c r="Q238"/>
  <c r="J5"/>
  <c r="AF507"/>
  <c r="N278"/>
  <c r="AI241"/>
  <c r="AF181"/>
  <c r="AN346"/>
  <c r="AD538"/>
  <c r="T319"/>
  <c r="C26" i="63"/>
  <c r="AL552" i="175"/>
  <c r="AH188"/>
  <c r="Z448"/>
  <c r="M403"/>
  <c r="N451"/>
  <c r="Z4"/>
  <c r="AR240"/>
  <c r="AG312"/>
  <c r="AK326"/>
  <c r="AJ445"/>
  <c r="L611"/>
  <c r="AH469"/>
  <c r="AC522"/>
  <c r="AQ248"/>
  <c r="AL245"/>
  <c r="AL601"/>
  <c r="Z597"/>
  <c r="AF348"/>
  <c r="AS113"/>
  <c r="G18"/>
  <c r="Y523"/>
  <c r="T342"/>
  <c r="AJ437"/>
  <c r="N244"/>
  <c r="AE90"/>
  <c r="AF346"/>
  <c r="M125"/>
  <c r="T509"/>
  <c r="U461"/>
  <c r="AM368"/>
  <c r="Y597"/>
  <c r="AF354"/>
  <c r="K515"/>
  <c r="AR446"/>
  <c r="AO177"/>
  <c r="AJ615"/>
  <c r="AM240"/>
  <c r="R331"/>
  <c r="J113"/>
  <c r="AH402"/>
  <c r="S518"/>
  <c r="Y92"/>
  <c r="V20"/>
  <c r="AI306"/>
  <c r="L327"/>
  <c r="U444"/>
  <c r="AM360"/>
  <c r="U711"/>
  <c r="V450"/>
  <c r="AS282"/>
  <c r="N505"/>
  <c r="AI336"/>
  <c r="J98"/>
  <c r="AB620"/>
  <c r="AO348"/>
  <c r="H521"/>
  <c r="AN301"/>
  <c r="W238"/>
  <c r="AH464"/>
  <c r="T117"/>
  <c r="T90"/>
  <c r="AA124"/>
  <c r="AO541"/>
  <c r="G349"/>
  <c r="R531"/>
  <c r="AT312"/>
  <c r="Y541"/>
  <c r="H90"/>
  <c r="AG60"/>
  <c r="S506"/>
  <c r="J503"/>
  <c r="AN468"/>
  <c r="L373"/>
  <c r="J347"/>
  <c r="AT526"/>
  <c r="L301"/>
  <c r="N28"/>
  <c r="AE6"/>
  <c r="AF347"/>
  <c r="U339"/>
  <c r="G433"/>
  <c r="V443"/>
  <c r="M186"/>
  <c r="Z8"/>
  <c r="U101"/>
  <c r="S238"/>
  <c r="AL306"/>
  <c r="V15"/>
  <c r="V346"/>
  <c r="AE321"/>
  <c r="AH599"/>
  <c r="AK425"/>
  <c r="AB429"/>
  <c r="AR552"/>
  <c r="I435"/>
  <c r="AD219"/>
  <c r="T177"/>
  <c r="J243"/>
  <c r="U533"/>
  <c r="Z531"/>
  <c r="N608"/>
  <c r="W12"/>
  <c r="I333"/>
  <c r="AL686"/>
  <c r="W243"/>
  <c r="AR20"/>
  <c r="R339"/>
  <c r="U509"/>
  <c r="AS311"/>
  <c r="J63"/>
  <c r="AC447"/>
  <c r="J24"/>
  <c r="I276"/>
  <c r="M684"/>
  <c r="AC118"/>
  <c r="S118"/>
  <c r="AK93"/>
  <c r="M305"/>
  <c r="Z459"/>
  <c r="AM436"/>
  <c r="AP469"/>
  <c r="G336"/>
  <c r="AJ370"/>
  <c r="H683"/>
  <c r="Y536"/>
  <c r="AI462"/>
  <c r="AL248"/>
  <c r="AI368"/>
  <c r="U11"/>
  <c r="AP371"/>
  <c r="L609"/>
  <c r="AE541"/>
  <c r="AC685"/>
  <c r="Z451"/>
  <c r="AK21"/>
  <c r="S624"/>
  <c r="AP185"/>
  <c r="AK680"/>
  <c r="U251"/>
  <c r="AP3"/>
  <c r="AN245"/>
  <c r="S240"/>
  <c r="AB366"/>
  <c r="M400"/>
  <c r="S619"/>
  <c r="V319"/>
  <c r="AI242"/>
  <c r="I457"/>
  <c r="H551"/>
  <c r="Z115"/>
  <c r="M534"/>
  <c r="Y120"/>
  <c r="U5"/>
  <c r="AO81"/>
  <c r="N337"/>
  <c r="AB158"/>
  <c r="G426"/>
  <c r="AD507"/>
  <c r="AE516"/>
  <c r="AL10"/>
  <c r="X543"/>
  <c r="X249"/>
  <c r="AK24"/>
  <c r="Z613"/>
  <c r="G406"/>
  <c r="AG90"/>
  <c r="AL464"/>
  <c r="AA97"/>
  <c r="H528"/>
  <c r="J338"/>
  <c r="M603"/>
  <c r="P325"/>
  <c r="AS405"/>
  <c r="I360"/>
  <c r="Y27"/>
  <c r="J619"/>
  <c r="AD344"/>
  <c r="AR374"/>
  <c r="N552"/>
  <c r="AK553"/>
  <c r="S369"/>
  <c r="R454"/>
  <c r="Y556"/>
  <c r="AR447"/>
  <c r="J519"/>
  <c r="AI13"/>
  <c r="AT313"/>
  <c r="AK556"/>
  <c r="Q711"/>
  <c r="AH461"/>
  <c r="AP245"/>
  <c r="AH406"/>
  <c r="I119"/>
  <c r="H463"/>
  <c r="P598"/>
  <c r="U82"/>
  <c r="Q19"/>
  <c r="AP11"/>
  <c r="U599"/>
  <c r="J186"/>
  <c r="V92"/>
  <c r="M357"/>
  <c r="AF121"/>
  <c r="J368"/>
  <c r="T444"/>
  <c r="AE534"/>
  <c r="G522"/>
  <c r="AM179"/>
  <c r="J425"/>
  <c r="H536"/>
  <c r="AG450"/>
  <c r="AQ352"/>
  <c r="AC373"/>
  <c r="AG248"/>
  <c r="AL608"/>
  <c r="AI402"/>
  <c r="AF595"/>
  <c r="AI344"/>
  <c r="H464"/>
  <c r="Q354"/>
  <c r="AJ622"/>
  <c r="AF371"/>
  <c r="AH544"/>
  <c r="O301"/>
  <c r="G219"/>
  <c r="M354"/>
  <c r="Z3"/>
  <c r="AE373"/>
  <c r="AQ220"/>
  <c r="Q189"/>
  <c r="R462"/>
  <c r="N362"/>
  <c r="R185"/>
  <c r="AP16"/>
  <c r="X516"/>
  <c r="H100"/>
  <c r="Y686"/>
  <c r="AI465"/>
  <c r="W524"/>
  <c r="AQ338"/>
  <c r="N369"/>
  <c r="O684"/>
  <c r="Y117"/>
  <c r="M455"/>
  <c r="AG89"/>
  <c r="AQ281"/>
  <c r="H116"/>
  <c r="Z244"/>
  <c r="AP118"/>
  <c r="AA346"/>
  <c r="T93"/>
  <c r="H27"/>
  <c r="G618"/>
  <c r="AK120"/>
  <c r="AP117"/>
  <c r="AS87"/>
  <c r="I3"/>
  <c r="AM426"/>
  <c r="AH534"/>
  <c r="AN324"/>
  <c r="U100"/>
  <c r="O457"/>
  <c r="N600"/>
  <c r="AH620"/>
  <c r="AF612"/>
  <c r="AC341"/>
  <c r="X276"/>
  <c r="L515"/>
  <c r="X96"/>
  <c r="G28"/>
  <c r="O537"/>
  <c r="AC603"/>
  <c r="G12"/>
  <c r="AD339"/>
  <c r="V179"/>
  <c r="I517"/>
  <c r="AD683"/>
  <c r="AS300"/>
  <c r="AD245"/>
  <c r="V403"/>
  <c r="AJ11"/>
  <c r="AO313"/>
  <c r="AD358"/>
  <c r="J332"/>
  <c r="I315"/>
  <c r="X506"/>
  <c r="S277"/>
  <c r="AR621"/>
  <c r="N6" i="66"/>
  <c r="AN120" i="175"/>
  <c r="AM306"/>
  <c r="N512"/>
  <c r="V7" i="66"/>
  <c r="AN620" i="175"/>
  <c r="AL183"/>
  <c r="AQ463"/>
  <c r="AT542"/>
  <c r="AC425"/>
  <c r="AI603"/>
  <c r="AJ248"/>
  <c r="AS429"/>
  <c r="Q89"/>
  <c r="AJ305"/>
  <c r="Q18"/>
  <c r="AA453"/>
  <c r="P360"/>
  <c r="G375"/>
  <c r="R22"/>
  <c r="AF339"/>
  <c r="AC249"/>
  <c r="M82"/>
  <c r="AA426"/>
  <c r="W336"/>
  <c r="P556"/>
  <c r="AL604"/>
  <c r="I109"/>
  <c r="M220"/>
  <c r="R427"/>
  <c r="AB14"/>
  <c r="AQ354"/>
  <c r="I368"/>
  <c r="AJ347"/>
  <c r="S436"/>
  <c r="Q555"/>
  <c r="L715"/>
  <c r="AA339"/>
  <c r="AG92"/>
  <c r="S461"/>
  <c r="AH124"/>
  <c r="Z17"/>
  <c r="AD520"/>
  <c r="O556"/>
  <c r="AG366"/>
  <c r="P241"/>
  <c r="R88"/>
  <c r="Z524"/>
  <c r="H238"/>
  <c r="G239"/>
  <c r="AK3"/>
  <c r="S527"/>
  <c r="AB358"/>
  <c r="AI180"/>
  <c r="AQ624"/>
  <c r="O332"/>
  <c r="S353"/>
  <c r="AS349"/>
  <c r="G455"/>
  <c r="W303"/>
  <c r="AR302"/>
  <c r="AH610"/>
  <c r="AK29"/>
  <c r="AK596"/>
  <c r="AD359"/>
  <c r="AJ217"/>
  <c r="AD616"/>
  <c r="L369"/>
  <c r="L457"/>
  <c r="AN122"/>
  <c r="AB403"/>
  <c r="AR554"/>
  <c r="Y341"/>
  <c r="I405"/>
  <c r="H311"/>
  <c r="K447"/>
  <c r="AL239"/>
  <c r="AL363"/>
  <c r="AM281"/>
  <c r="V153"/>
  <c r="G91"/>
  <c r="T343"/>
  <c r="J599"/>
  <c r="Q596"/>
  <c r="AD304"/>
  <c r="AM712"/>
  <c r="G624"/>
  <c r="AD523"/>
  <c r="V155"/>
  <c r="P26"/>
  <c r="AM458"/>
  <c r="Y344"/>
  <c r="P512"/>
  <c r="J319"/>
  <c r="AE179"/>
  <c r="AK555"/>
  <c r="AG426"/>
  <c r="P607"/>
  <c r="P179"/>
  <c r="U238"/>
  <c r="AT32"/>
  <c r="AB57"/>
  <c r="J353"/>
  <c r="AI403"/>
  <c r="R624"/>
  <c r="Z21"/>
  <c r="AM184"/>
  <c r="AH246"/>
  <c r="U374"/>
  <c r="Z341"/>
  <c r="AF182"/>
  <c r="G518"/>
  <c r="AG539"/>
  <c r="L22"/>
  <c r="AG7"/>
  <c r="V244"/>
  <c r="AR713"/>
  <c r="AE611"/>
  <c r="R529"/>
  <c r="AN366"/>
  <c r="V508"/>
  <c r="U511"/>
  <c r="AB551"/>
  <c r="AT506"/>
  <c r="O344"/>
  <c r="AS686"/>
  <c r="J541"/>
  <c r="AJ682"/>
  <c r="I525"/>
  <c r="AC623"/>
  <c r="R250"/>
  <c r="AL368"/>
  <c r="AL461"/>
  <c r="AQ152"/>
  <c r="AH219"/>
  <c r="Q468"/>
  <c r="AJ97"/>
  <c r="AE559"/>
  <c r="AR540"/>
  <c r="AA154"/>
  <c r="AA559"/>
  <c r="AA156"/>
  <c r="AL278"/>
  <c r="AR450"/>
  <c r="AD519"/>
  <c r="Q609"/>
  <c r="K620"/>
  <c r="J456"/>
  <c r="K346"/>
  <c r="W608"/>
  <c r="AH518"/>
  <c r="K321"/>
  <c r="X324"/>
  <c r="AA448"/>
  <c r="AR435"/>
  <c r="AM123"/>
  <c r="G451"/>
  <c r="AA181"/>
  <c r="P611"/>
  <c r="T328"/>
  <c r="J374"/>
  <c r="AR551"/>
  <c r="AS121"/>
  <c r="AJ455"/>
  <c r="H24"/>
  <c r="Z507"/>
  <c r="AF124"/>
  <c r="T282"/>
  <c r="AI156"/>
  <c r="K248"/>
  <c r="W711"/>
  <c r="G351"/>
  <c r="AK57"/>
  <c r="AQ527"/>
  <c r="T400"/>
  <c r="AI119"/>
  <c r="J548"/>
  <c r="L8" i="66"/>
  <c r="AG318" i="175"/>
  <c r="AJ91"/>
  <c r="L115"/>
  <c r="U526"/>
  <c r="AL355"/>
  <c r="AD26"/>
  <c r="AT319"/>
  <c r="AM373"/>
  <c r="L461"/>
  <c r="V103"/>
  <c r="AR57"/>
  <c r="I367"/>
  <c r="M434"/>
  <c r="AG350"/>
  <c r="AR246"/>
  <c r="AI329"/>
  <c r="O519"/>
  <c r="AA60"/>
  <c r="N219"/>
  <c r="AL351"/>
  <c r="AF180"/>
  <c r="J239"/>
  <c r="O616"/>
  <c r="X241"/>
  <c r="P613"/>
  <c r="AO559"/>
  <c r="J244"/>
  <c r="S326"/>
  <c r="P404"/>
  <c r="E20" i="63"/>
  <c r="AN405" i="175"/>
  <c r="AI340"/>
  <c r="AK551"/>
  <c r="AB540"/>
  <c r="P459"/>
  <c r="AP460"/>
  <c r="AP356"/>
  <c r="L465"/>
  <c r="AA321"/>
  <c r="AQ685"/>
  <c r="AA311"/>
  <c r="S602"/>
  <c r="AC610"/>
  <c r="Z6"/>
  <c r="M375"/>
  <c r="U245"/>
  <c r="AQ305"/>
  <c r="AI604"/>
  <c r="J354"/>
  <c r="AK99"/>
  <c r="V9" i="70"/>
  <c r="AG88" i="175"/>
  <c r="Q276"/>
  <c r="W368"/>
  <c r="AM61"/>
  <c r="AQ425"/>
  <c r="N371"/>
  <c r="S3"/>
  <c r="W7" i="65"/>
  <c r="R452" i="175"/>
  <c r="S301"/>
  <c r="AA178"/>
  <c r="G301"/>
  <c r="T23"/>
  <c r="AB516"/>
  <c r="AH373"/>
  <c r="AE711"/>
  <c r="V189"/>
  <c r="AA505"/>
  <c r="AL357"/>
  <c r="AG683"/>
  <c r="Y715"/>
  <c r="G462"/>
  <c r="AI619"/>
  <c r="AS22"/>
  <c r="AD452"/>
  <c r="AH598"/>
  <c r="P336"/>
  <c r="AH61"/>
  <c r="AF152"/>
  <c r="AO3"/>
  <c r="G87"/>
  <c r="G15"/>
  <c r="AI249"/>
  <c r="AQ595"/>
  <c r="M432"/>
  <c r="AB214"/>
  <c r="T153"/>
  <c r="AK467"/>
  <c r="AB465"/>
  <c r="V555"/>
  <c r="Q356"/>
  <c r="P448"/>
  <c r="AM349"/>
  <c r="AG431"/>
  <c r="U352"/>
  <c r="AT368"/>
  <c r="AI185"/>
  <c r="AB595"/>
  <c r="J32"/>
  <c r="AJ19"/>
  <c r="X534"/>
  <c r="AE82"/>
  <c r="N428"/>
  <c r="AO155"/>
  <c r="I189"/>
  <c r="X216"/>
  <c r="AP508"/>
  <c r="AI506"/>
  <c r="S615"/>
  <c r="T533"/>
  <c r="AD356"/>
  <c r="U20"/>
  <c r="AE120"/>
  <c r="W81"/>
  <c r="Q511"/>
  <c r="Y337"/>
  <c r="M623"/>
  <c r="L7"/>
  <c r="AI350"/>
  <c r="AJ27"/>
  <c r="L83"/>
  <c r="AK153"/>
  <c r="AQ155"/>
  <c r="P330"/>
  <c r="V617"/>
  <c r="AE598"/>
  <c r="G82"/>
  <c r="V438"/>
  <c r="AM338"/>
  <c r="AE157"/>
  <c r="AQ32"/>
  <c r="AB680"/>
  <c r="U537"/>
  <c r="AE152"/>
  <c r="J155"/>
  <c r="AB242"/>
  <c r="G602"/>
  <c r="I106"/>
  <c r="AS512"/>
  <c r="L26"/>
  <c r="O306"/>
  <c r="I598"/>
  <c r="U361"/>
  <c r="AJ187"/>
  <c r="AF12"/>
  <c r="AG553"/>
  <c r="AG508"/>
  <c r="AQ81"/>
  <c r="P277"/>
  <c r="R121"/>
  <c r="J430"/>
  <c r="AJ309"/>
  <c r="W350"/>
  <c r="AA371"/>
  <c r="AC426"/>
  <c r="AH343"/>
  <c r="AF3"/>
  <c r="K366"/>
  <c r="Y683"/>
  <c r="N10"/>
  <c r="I9"/>
  <c r="AA344"/>
  <c r="AA187"/>
  <c r="AM540"/>
  <c r="AK431"/>
  <c r="R623"/>
  <c r="AG329"/>
  <c r="AT531"/>
  <c r="X469"/>
  <c r="AS6"/>
  <c r="AI559"/>
  <c r="V685"/>
  <c r="AQ622"/>
  <c r="AP457"/>
  <c r="AG369"/>
  <c r="AA316"/>
  <c r="V3"/>
  <c r="AQ280"/>
  <c r="Y186"/>
  <c r="AC57"/>
  <c r="AQ607"/>
  <c r="M19"/>
  <c r="Y624"/>
  <c r="AL511"/>
  <c r="R447"/>
  <c r="S330"/>
  <c r="AR366"/>
  <c r="W341"/>
  <c r="AL61"/>
  <c r="AR27"/>
  <c r="AH503"/>
  <c r="AB82"/>
  <c r="Z444"/>
  <c r="AJ531"/>
  <c r="AE525"/>
  <c r="AD17"/>
  <c r="G362"/>
  <c r="O352"/>
  <c r="AS158"/>
  <c r="AJ553"/>
  <c r="M93"/>
  <c r="AD517"/>
  <c r="K16"/>
  <c r="W311"/>
  <c r="P605"/>
  <c r="AR330"/>
  <c r="AG244"/>
  <c r="L403"/>
  <c r="AK402"/>
  <c r="R97"/>
  <c r="J214"/>
  <c r="AC559"/>
  <c r="J154"/>
  <c r="AI447"/>
  <c r="W185"/>
  <c r="H339"/>
  <c r="AA369"/>
  <c r="O179"/>
  <c r="J323"/>
  <c r="AQ544"/>
  <c r="AQ374"/>
  <c r="T215"/>
  <c r="AB5"/>
  <c r="R7"/>
  <c r="AO248"/>
  <c r="P535"/>
  <c r="W464"/>
  <c r="AN602"/>
  <c r="V62"/>
  <c r="AG22"/>
  <c r="O118"/>
  <c r="AG245"/>
  <c r="R182"/>
  <c r="AJ276"/>
  <c r="AF97"/>
  <c r="Y526"/>
  <c r="W511"/>
  <c r="N426"/>
  <c r="AL446"/>
  <c r="AR404"/>
  <c r="AS189"/>
  <c r="N318"/>
  <c r="AO215"/>
  <c r="AM714"/>
  <c r="V114"/>
  <c r="Y373"/>
  <c r="T358"/>
  <c r="AN711"/>
  <c r="I608"/>
  <c r="K559"/>
  <c r="Y316"/>
  <c r="AI182"/>
  <c r="AC516"/>
  <c r="AC615"/>
  <c r="W279"/>
  <c r="M17"/>
  <c r="K32"/>
  <c r="Y711"/>
  <c r="AR604"/>
  <c r="H331"/>
  <c r="AT438"/>
  <c r="AI178"/>
  <c r="K180"/>
  <c r="L307"/>
  <c r="AO245"/>
  <c r="P102"/>
  <c r="AI115"/>
  <c r="O215"/>
  <c r="O559"/>
  <c r="U181"/>
  <c r="AO521"/>
  <c r="AO100"/>
  <c r="AI548"/>
  <c r="AS712"/>
  <c r="AC714"/>
  <c r="AC188"/>
  <c r="L601"/>
  <c r="I248"/>
  <c r="AR346"/>
  <c r="X365"/>
  <c r="AM443"/>
  <c r="AG17"/>
  <c r="AJ429"/>
  <c r="M443"/>
  <c r="O461"/>
  <c r="AI19"/>
  <c r="X90"/>
  <c r="AN530"/>
  <c r="R366"/>
  <c r="R607"/>
  <c r="M217"/>
  <c r="I557"/>
  <c r="AN683"/>
  <c r="M6"/>
  <c r="I355"/>
  <c r="K545"/>
  <c r="Z239"/>
  <c r="I340"/>
  <c r="AI97"/>
  <c r="AD120"/>
  <c r="AT239"/>
  <c r="Z32"/>
  <c r="P682"/>
  <c r="Z216"/>
  <c r="AL301"/>
  <c r="K714"/>
  <c r="AR458"/>
  <c r="X20"/>
  <c r="AK533"/>
  <c r="S362"/>
  <c r="AQ557"/>
  <c r="Y404"/>
  <c r="I93"/>
  <c r="AN340"/>
  <c r="T455"/>
  <c r="AH243"/>
  <c r="W519"/>
  <c r="L432"/>
  <c r="AH608"/>
  <c r="AB281"/>
  <c r="AQ239"/>
  <c r="P219"/>
  <c r="AH240"/>
  <c r="U189"/>
  <c r="Y448"/>
  <c r="R218"/>
  <c r="Y12"/>
  <c r="H115"/>
  <c r="AC93"/>
  <c r="P363"/>
  <c r="R347"/>
  <c r="AA177"/>
  <c r="AK375"/>
  <c r="AB302"/>
  <c r="S248"/>
  <c r="L318"/>
  <c r="AE712"/>
  <c r="Q357"/>
  <c r="S519"/>
  <c r="V458"/>
  <c r="AJ303"/>
  <c r="J16"/>
  <c r="Y17"/>
  <c r="AN158"/>
  <c r="AD152"/>
  <c r="AD310"/>
  <c r="I83"/>
  <c r="V358"/>
  <c r="AT87"/>
  <c r="X344"/>
  <c r="M241"/>
  <c r="AI319"/>
  <c r="H603"/>
  <c r="AB244"/>
  <c r="AC540"/>
  <c r="AP335"/>
  <c r="AF59"/>
  <c r="AL304"/>
  <c r="J715"/>
  <c r="J105"/>
  <c r="AA90"/>
  <c r="R364"/>
  <c r="AS96"/>
  <c r="AO530"/>
  <c r="O466"/>
  <c r="Q335"/>
  <c r="Q714"/>
  <c r="Y713"/>
  <c r="AL25"/>
  <c r="AD156"/>
  <c r="X553"/>
  <c r="AB324"/>
  <c r="AM153"/>
  <c r="AF18"/>
  <c r="AF350"/>
  <c r="AH16"/>
  <c r="AF29"/>
  <c r="AO315"/>
  <c r="AD308"/>
  <c r="AC27"/>
  <c r="G529"/>
  <c r="AI540"/>
  <c r="AM332"/>
  <c r="AL526"/>
  <c r="Z612"/>
  <c r="V614"/>
  <c r="AJ9"/>
  <c r="N558"/>
  <c r="K527"/>
  <c r="Y623"/>
  <c r="AN343"/>
  <c r="U448"/>
  <c r="AS400"/>
  <c r="O178"/>
  <c r="P433"/>
  <c r="T454"/>
  <c r="I278"/>
  <c r="AL443"/>
  <c r="AB311"/>
  <c r="X99"/>
  <c r="M246"/>
  <c r="W516"/>
  <c r="G505"/>
  <c r="G363"/>
  <c r="X531"/>
  <c r="R599"/>
  <c r="AO609"/>
  <c r="Y684"/>
  <c r="AR372"/>
  <c r="AO427"/>
  <c r="AC554"/>
  <c r="U362"/>
  <c r="I110"/>
  <c r="S685"/>
  <c r="AO461"/>
  <c r="AB624"/>
  <c r="W319"/>
  <c r="I448"/>
  <c r="AP608"/>
  <c r="AQ105"/>
  <c r="AB279"/>
  <c r="X351"/>
  <c r="AD181"/>
  <c r="AH536"/>
  <c r="AJ360"/>
  <c r="V604"/>
  <c r="P158"/>
  <c r="AS436"/>
  <c r="AR97"/>
  <c r="T714"/>
  <c r="AM433"/>
  <c r="AP610"/>
  <c r="K214"/>
  <c r="T103"/>
  <c r="Q158"/>
  <c r="AN332"/>
  <c r="J318"/>
  <c r="K432"/>
  <c r="I238"/>
  <c r="AJ28"/>
  <c r="J92"/>
  <c r="AG360"/>
  <c r="Y465"/>
  <c r="AB276"/>
  <c r="AT558"/>
  <c r="L25"/>
  <c r="AS251"/>
  <c r="X356"/>
  <c r="AI597"/>
  <c r="AO121"/>
  <c r="V219"/>
  <c r="AC19"/>
  <c r="J12"/>
  <c r="AF531"/>
  <c r="AT248"/>
  <c r="R511"/>
  <c r="AN541"/>
  <c r="AE20"/>
  <c r="AJ121"/>
  <c r="AF403"/>
  <c r="K509"/>
  <c r="V249"/>
  <c r="AE346"/>
  <c r="P338"/>
  <c r="AA22"/>
  <c r="N615"/>
  <c r="H538"/>
  <c r="AT22"/>
  <c r="AJ526"/>
  <c r="T621"/>
  <c r="U215"/>
  <c r="W506"/>
  <c r="J358"/>
  <c r="G277"/>
  <c r="AG715"/>
  <c r="R430"/>
  <c r="Q242"/>
  <c r="W93"/>
  <c r="AC220"/>
  <c r="AA460"/>
  <c r="V556"/>
  <c r="P218"/>
  <c r="V446"/>
  <c r="AD315"/>
  <c r="O682"/>
  <c r="Q685"/>
  <c r="X125"/>
  <c r="AT464"/>
  <c r="AB331"/>
  <c r="H357"/>
  <c r="G527"/>
  <c r="AM12"/>
  <c r="AB353"/>
  <c r="X600"/>
  <c r="AB23"/>
  <c r="AR533"/>
  <c r="AT596"/>
  <c r="AA152"/>
  <c r="AR595"/>
  <c r="AS17"/>
  <c r="AC446"/>
  <c r="G684"/>
  <c r="AO60"/>
  <c r="AF118"/>
  <c r="W349"/>
  <c r="D20" i="63"/>
  <c r="AE113" i="175"/>
  <c r="AD715"/>
  <c r="T86"/>
  <c r="W30"/>
  <c r="I326"/>
  <c r="AK189"/>
  <c r="AM364"/>
  <c r="AG461"/>
  <c r="J109"/>
  <c r="M597"/>
  <c r="S276"/>
  <c r="L510"/>
  <c r="K280"/>
  <c r="T12"/>
  <c r="I503"/>
  <c r="AQ243"/>
  <c r="AB3"/>
  <c r="Y97"/>
  <c r="AC531"/>
  <c r="AA459"/>
  <c r="AD347"/>
  <c r="AC609"/>
  <c r="P343"/>
  <c r="L117"/>
  <c r="N319"/>
  <c r="N467"/>
  <c r="AJ530"/>
  <c r="Y604"/>
  <c r="N523"/>
  <c r="AQ503"/>
  <c r="S116"/>
  <c r="S334"/>
  <c r="K524"/>
  <c r="T115"/>
  <c r="AO511"/>
  <c r="Z516"/>
  <c r="N57"/>
  <c r="X432"/>
  <c r="N616"/>
  <c r="K536"/>
  <c r="AI189"/>
  <c r="L87"/>
  <c r="Z552"/>
  <c r="Z323"/>
  <c r="AD454"/>
  <c r="AF548"/>
  <c r="J613"/>
  <c r="AP609"/>
  <c r="V451"/>
  <c r="AK520"/>
  <c r="AF463"/>
  <c r="H185"/>
  <c r="J538"/>
  <c r="AI541"/>
  <c r="AC595"/>
  <c r="AM122"/>
  <c r="AC318"/>
  <c r="Z99"/>
  <c r="Z548"/>
  <c r="AG544"/>
  <c r="W558"/>
  <c r="J458"/>
  <c r="AF88"/>
  <c r="M558"/>
  <c r="AE115"/>
  <c r="P81"/>
  <c r="AL444"/>
  <c r="AF560"/>
  <c r="O307"/>
  <c r="AI238"/>
  <c r="V540"/>
  <c r="AE519"/>
  <c r="AF216"/>
  <c r="V433"/>
  <c r="AR311"/>
  <c r="I463"/>
  <c r="W85"/>
  <c r="M307"/>
  <c r="AP614"/>
  <c r="AL512"/>
  <c r="V83"/>
  <c r="U184"/>
  <c r="L430"/>
  <c r="AN214"/>
  <c r="M712"/>
  <c r="Q684"/>
  <c r="M620"/>
  <c r="L607"/>
  <c r="P119"/>
  <c r="H334"/>
  <c r="AL6"/>
  <c r="AA119"/>
  <c r="AQ465"/>
  <c r="P455"/>
  <c r="Y327"/>
  <c r="Y330"/>
  <c r="V344"/>
  <c r="AO465"/>
  <c r="I86"/>
  <c r="P92"/>
  <c r="AC303"/>
  <c r="S448"/>
  <c r="J621"/>
  <c r="AD432"/>
  <c r="H276"/>
  <c r="AK447"/>
  <c r="Y155"/>
  <c r="AI17"/>
  <c r="Z403"/>
  <c r="AM523"/>
  <c r="G184"/>
  <c r="T402"/>
  <c r="K430"/>
  <c r="AM544"/>
  <c r="Z121"/>
  <c r="AS560"/>
  <c r="AH327"/>
  <c r="AE521"/>
  <c r="AO29"/>
  <c r="W620"/>
  <c r="T120"/>
  <c r="AK342"/>
  <c r="Q462"/>
  <c r="L20"/>
  <c r="T18"/>
  <c r="AA596"/>
  <c r="L337"/>
  <c r="Y444"/>
  <c r="AP238"/>
  <c r="AR88"/>
  <c r="I425"/>
  <c r="X368"/>
  <c r="T26"/>
  <c r="W13"/>
  <c r="AN434"/>
  <c r="AP316"/>
  <c r="Q400"/>
  <c r="S331"/>
  <c r="AC560"/>
  <c r="AD469"/>
  <c r="AF125"/>
  <c r="AP311"/>
  <c r="Z91"/>
  <c r="U465"/>
  <c r="AH463"/>
  <c r="AM551"/>
  <c r="V512"/>
  <c r="AF89"/>
  <c r="W11"/>
  <c r="Y282"/>
  <c r="G304"/>
  <c r="AB438"/>
  <c r="M366"/>
  <c r="AK219"/>
  <c r="Q350"/>
  <c r="X308"/>
  <c r="Z118"/>
  <c r="Z369"/>
  <c r="M509"/>
  <c r="AC464"/>
  <c r="AL403"/>
  <c r="AA157"/>
  <c r="AT152"/>
  <c r="AN313"/>
  <c r="V321"/>
  <c r="P178"/>
  <c r="U460"/>
  <c r="I85"/>
  <c r="L27"/>
  <c r="K522"/>
  <c r="AA367"/>
  <c r="U157"/>
  <c r="I347"/>
  <c r="AJ87"/>
  <c r="G444"/>
  <c r="AA357"/>
  <c r="T364"/>
  <c r="N431"/>
  <c r="AK457"/>
  <c r="AN457"/>
  <c r="K25"/>
  <c r="AH560"/>
  <c r="Z29"/>
  <c r="Q426"/>
  <c r="V7" i="70"/>
  <c r="Q556" i="175"/>
  <c r="AA403"/>
  <c r="AG516"/>
  <c r="AQ184"/>
  <c r="R603"/>
  <c r="M463"/>
  <c r="O364"/>
  <c r="Y185"/>
  <c r="R282"/>
  <c r="U331"/>
  <c r="U559"/>
  <c r="Y7" i="66"/>
  <c r="AE368" i="175"/>
  <c r="X303"/>
  <c r="W343"/>
  <c r="AD460"/>
  <c r="H520"/>
  <c r="V216"/>
  <c r="AL86"/>
  <c r="AM621"/>
  <c r="AI551"/>
  <c r="N456"/>
  <c r="S617"/>
  <c r="T425"/>
  <c r="W97"/>
  <c r="AT182"/>
  <c r="V347"/>
  <c r="AL372"/>
  <c r="T538"/>
  <c r="G621"/>
  <c r="L537"/>
  <c r="AM453"/>
  <c r="Q600"/>
  <c r="T511"/>
  <c r="AG179"/>
  <c r="AH450"/>
  <c r="AF336"/>
  <c r="AM125"/>
  <c r="G534"/>
  <c r="AA430"/>
  <c r="AG121"/>
  <c r="U59"/>
  <c r="AH93"/>
  <c r="AM524"/>
  <c r="AP103"/>
  <c r="O460"/>
  <c r="AE313"/>
  <c r="X445"/>
  <c r="AQ60"/>
  <c r="AD615"/>
  <c r="X322"/>
  <c r="AE374"/>
  <c r="AC87"/>
  <c r="Q58"/>
  <c r="T11"/>
  <c r="U432"/>
  <c r="P346"/>
  <c r="AJ619"/>
  <c r="AQ538"/>
  <c r="AR105"/>
  <c r="AM89"/>
  <c r="AC125"/>
  <c r="H617"/>
  <c r="V459"/>
  <c r="AS319"/>
  <c r="AF331"/>
  <c r="U536"/>
  <c r="AC304"/>
  <c r="AK7"/>
  <c r="Q20"/>
  <c r="L610"/>
  <c r="AQ158"/>
  <c r="O17"/>
  <c r="S304"/>
  <c r="R621"/>
  <c r="AR5"/>
  <c r="N601"/>
  <c r="AS217"/>
  <c r="W10"/>
  <c r="R326"/>
  <c r="G323"/>
  <c r="L622"/>
  <c r="G217"/>
  <c r="P311"/>
  <c r="M32"/>
  <c r="AA27"/>
  <c r="Q451"/>
  <c r="P461"/>
  <c r="AT60"/>
  <c r="AJ433"/>
  <c r="Y534"/>
  <c r="AI508"/>
  <c r="O455"/>
  <c r="H23"/>
  <c r="AF462"/>
  <c r="K608"/>
  <c r="K425"/>
  <c r="AR317"/>
  <c r="AH19"/>
  <c r="O325"/>
  <c r="AD24"/>
  <c r="AH619"/>
  <c r="AB462"/>
  <c r="V356"/>
  <c r="AR120"/>
  <c r="AB435"/>
  <c r="AC369"/>
  <c r="AO94"/>
  <c r="G465"/>
  <c r="AK276"/>
  <c r="R406"/>
  <c r="X119"/>
  <c r="AE183"/>
  <c r="AP340"/>
  <c r="AI360"/>
  <c r="H363"/>
  <c r="AG123"/>
  <c r="N218"/>
  <c r="K436"/>
  <c r="J460"/>
  <c r="P518"/>
  <c r="K533"/>
  <c r="C22" i="63"/>
  <c r="AH12" i="175"/>
  <c r="AB122"/>
  <c r="AJ607"/>
  <c r="K19"/>
  <c r="J182"/>
  <c r="AB511"/>
  <c r="L114"/>
  <c r="AM543"/>
  <c r="AS321"/>
  <c r="W214"/>
  <c r="AT713"/>
  <c r="T123"/>
  <c r="P14"/>
  <c r="AH462"/>
  <c r="N536"/>
  <c r="Q614"/>
  <c r="AK604"/>
  <c r="G353"/>
  <c r="AO305"/>
  <c r="H104"/>
  <c r="AQ507"/>
  <c r="AM318"/>
  <c r="AN610"/>
  <c r="J539"/>
  <c r="N435"/>
  <c r="O103"/>
  <c r="AQ182"/>
  <c r="S308"/>
  <c r="AA469"/>
  <c r="AP427"/>
  <c r="AG529"/>
  <c r="AB530"/>
  <c r="V93"/>
  <c r="AG5"/>
  <c r="AJ461"/>
  <c r="AS425"/>
  <c r="S215"/>
  <c r="AE333"/>
  <c r="I363"/>
  <c r="X539"/>
  <c r="T156"/>
  <c r="AD560"/>
  <c r="S17"/>
  <c r="AF240"/>
  <c r="N686"/>
  <c r="K22"/>
  <c r="AP216"/>
  <c r="AF311"/>
  <c r="G372"/>
  <c r="AC347"/>
  <c r="AN354"/>
  <c r="W328"/>
  <c r="H109"/>
  <c r="AM220"/>
  <c r="AE425"/>
  <c r="R534"/>
  <c r="T505"/>
  <c r="AG353"/>
  <c r="G186"/>
  <c r="AB370"/>
  <c r="T31"/>
  <c r="K331"/>
  <c r="AJ369"/>
  <c r="T63"/>
  <c r="Z433"/>
  <c r="AA551"/>
  <c r="X327"/>
  <c r="AO303"/>
  <c r="AH91"/>
  <c r="AP157"/>
  <c r="J7"/>
  <c r="AD611"/>
  <c r="AH334"/>
  <c r="R318"/>
  <c r="O560"/>
  <c r="I96"/>
  <c r="Q360"/>
  <c r="J23"/>
  <c r="AR305"/>
  <c r="AR117"/>
  <c r="AC364"/>
  <c r="AH529"/>
  <c r="V519"/>
  <c r="AG548"/>
  <c r="L121"/>
  <c r="J110"/>
  <c r="AR114"/>
  <c r="V600"/>
  <c r="AQ186"/>
  <c r="AF318"/>
  <c r="AA540"/>
  <c r="Y517"/>
  <c r="M301"/>
  <c r="W87"/>
  <c r="T29"/>
  <c r="AQ87"/>
  <c r="L238"/>
  <c r="AC349"/>
  <c r="G611"/>
  <c r="S621"/>
  <c r="J461"/>
  <c r="AL518"/>
  <c r="K513"/>
  <c r="AG460"/>
  <c r="Y219"/>
  <c r="AM341"/>
  <c r="M336"/>
  <c r="T405"/>
  <c r="AL537"/>
  <c r="AB454"/>
  <c r="Y426"/>
  <c r="AM243"/>
  <c r="H11"/>
  <c r="AH538"/>
  <c r="AT356"/>
  <c r="AA613"/>
  <c r="L92"/>
  <c r="Y312"/>
  <c r="AH516"/>
  <c r="X530"/>
  <c r="AS463"/>
  <c r="AP402"/>
  <c r="AH444"/>
  <c r="O91"/>
  <c r="K681"/>
  <c r="X596"/>
  <c r="R463"/>
  <c r="M94"/>
  <c r="G309"/>
  <c r="AF460"/>
  <c r="P506"/>
  <c r="U680"/>
  <c r="AQ247"/>
  <c r="L279"/>
  <c r="AC530"/>
  <c r="R341"/>
  <c r="Y102"/>
  <c r="W557"/>
  <c r="AE603"/>
  <c r="L681"/>
  <c r="M538"/>
  <c r="G437"/>
  <c r="V374"/>
  <c r="AI243"/>
  <c r="AB8"/>
  <c r="P361"/>
  <c r="L404"/>
  <c r="AO620"/>
  <c r="AT325"/>
  <c r="Y447"/>
  <c r="AJ329"/>
  <c r="V279"/>
  <c r="V29"/>
  <c r="W445"/>
  <c r="G550"/>
  <c r="AD100"/>
  <c r="AS530"/>
  <c r="X280"/>
  <c r="Y215"/>
  <c r="AA609"/>
  <c r="AT371"/>
  <c r="AE367"/>
  <c r="J620"/>
  <c r="AL519"/>
  <c r="AC124"/>
  <c r="Y359"/>
  <c r="N335"/>
  <c r="AQ309"/>
  <c r="AQ25"/>
  <c r="AT364"/>
  <c r="AM282"/>
  <c r="AL302"/>
  <c r="W369"/>
  <c r="I461"/>
  <c r="AQ18"/>
  <c r="R10"/>
  <c r="K451"/>
  <c r="AN336"/>
  <c r="AJ355"/>
  <c r="AS26"/>
  <c r="AD22"/>
  <c r="AF603"/>
  <c r="G682"/>
  <c r="R179"/>
  <c r="AI608"/>
  <c r="AM20"/>
  <c r="U535"/>
  <c r="J112"/>
  <c r="Y30"/>
  <c r="K368"/>
  <c r="AI105"/>
  <c r="AI23"/>
  <c r="I250"/>
  <c r="W182"/>
  <c r="AE429"/>
  <c r="T624"/>
  <c r="AA300"/>
  <c r="AG528"/>
  <c r="AO220"/>
  <c r="J517"/>
  <c r="O370"/>
  <c r="R518"/>
  <c r="AR158"/>
  <c r="AO337"/>
  <c r="AD612"/>
  <c r="J529"/>
  <c r="AR182"/>
  <c r="AC372"/>
  <c r="AT343"/>
  <c r="AJ518"/>
  <c r="AR530"/>
  <c r="AB524"/>
  <c r="AE96"/>
  <c r="W447"/>
  <c r="AD18"/>
  <c r="AM610"/>
  <c r="Z215"/>
  <c r="I443"/>
  <c r="U219"/>
  <c r="AH304"/>
  <c r="AF598"/>
  <c r="AS350"/>
  <c r="AR400"/>
  <c r="AD447"/>
  <c r="U248"/>
  <c r="Q554"/>
  <c r="AI616"/>
  <c r="V245"/>
  <c r="Q90"/>
  <c r="R608"/>
  <c r="AM113"/>
  <c r="N375"/>
  <c r="I115"/>
  <c r="AJ357"/>
  <c r="AM18"/>
  <c r="U507"/>
  <c r="AE537"/>
  <c r="AP250"/>
  <c r="AH241"/>
  <c r="N350"/>
  <c r="N9" i="66"/>
  <c r="W622" i="175"/>
  <c r="I187"/>
  <c r="AF557"/>
  <c r="H426"/>
  <c r="K327"/>
  <c r="J602"/>
  <c r="V102"/>
  <c r="M358"/>
  <c r="R374"/>
  <c r="M101"/>
  <c r="G553"/>
  <c r="D24" i="63"/>
  <c r="L346" i="175"/>
  <c r="T453"/>
  <c r="AR249"/>
  <c r="U124"/>
  <c r="U435"/>
  <c r="AN451"/>
  <c r="AH32"/>
  <c r="X603"/>
  <c r="Q595"/>
  <c r="J107"/>
  <c r="AF622"/>
  <c r="G341"/>
  <c r="Y326"/>
  <c r="AK542"/>
  <c r="R92"/>
  <c r="AM464"/>
  <c r="U366"/>
  <c r="P458"/>
  <c r="AL460"/>
  <c r="R602"/>
  <c r="M537"/>
  <c r="AK243"/>
  <c r="J321"/>
  <c r="BD618" l="1"/>
  <c r="T784"/>
  <c r="Q61" i="189" s="1"/>
  <c r="BF370" i="175"/>
  <c r="AE50" i="190"/>
  <c r="I570" i="175"/>
  <c r="BD465"/>
  <c r="AK345"/>
  <c r="BF315"/>
  <c r="S47" i="190"/>
  <c r="AZ453" i="175"/>
  <c r="AI755"/>
  <c r="AF32" i="189" s="1"/>
  <c r="AG592" i="175"/>
  <c r="AG785" s="1"/>
  <c r="AD62" i="189" s="1"/>
  <c r="Z490" i="175"/>
  <c r="W22" i="190"/>
  <c r="J750" i="175"/>
  <c r="G27" i="189" s="1"/>
  <c r="AX21" i="175"/>
  <c r="F521"/>
  <c r="G583"/>
  <c r="BF99"/>
  <c r="K492"/>
  <c r="H24" i="190"/>
  <c r="AV312" i="175"/>
  <c r="F367"/>
  <c r="BF363"/>
  <c r="BF7"/>
  <c r="K750"/>
  <c r="AV121"/>
  <c r="BF116"/>
  <c r="H583"/>
  <c r="AZ15"/>
  <c r="H582"/>
  <c r="AV362"/>
  <c r="AV539"/>
  <c r="BF121"/>
  <c r="N592"/>
  <c r="N785" s="1"/>
  <c r="K62" i="189" s="1"/>
  <c r="F602" i="175"/>
  <c r="BF318"/>
  <c r="AO38" i="190"/>
  <c r="AO592" i="175"/>
  <c r="AO785" s="1"/>
  <c r="AL62" i="189" s="1"/>
  <c r="H592" i="175"/>
  <c r="H785" s="1"/>
  <c r="E62" i="189" s="1"/>
  <c r="BF177" i="175"/>
  <c r="AA593"/>
  <c r="AA786" s="1"/>
  <c r="X63" i="189" s="1"/>
  <c r="BB531" i="175"/>
  <c r="BF189"/>
  <c r="AL26" i="190"/>
  <c r="AO494" i="175"/>
  <c r="BH250"/>
  <c r="BF535"/>
  <c r="AC586"/>
  <c r="AN376"/>
  <c r="AQ589"/>
  <c r="AP50" i="190"/>
  <c r="AI33" i="175"/>
  <c r="AX28"/>
  <c r="AB345"/>
  <c r="F401"/>
  <c r="AH22" i="190"/>
  <c r="AK490" i="175"/>
  <c r="BF428"/>
  <c r="R582"/>
  <c r="Q49" i="190"/>
  <c r="AV7" i="175"/>
  <c r="F17"/>
  <c r="BF57"/>
  <c r="AV681"/>
  <c r="AO752"/>
  <c r="AL29" i="189" s="1"/>
  <c r="N571" i="175"/>
  <c r="BF531"/>
  <c r="AK593"/>
  <c r="AK786" s="1"/>
  <c r="AH63" i="189" s="1"/>
  <c r="AR565" i="175"/>
  <c r="BD612"/>
  <c r="AB782"/>
  <c r="Y59" i="189" s="1"/>
  <c r="BD181" i="175"/>
  <c r="AF778"/>
  <c r="AC55" i="189" s="1"/>
  <c r="AR571" i="175"/>
  <c r="AX604"/>
  <c r="BD331"/>
  <c r="BB100"/>
  <c r="N567"/>
  <c r="R493"/>
  <c r="O25" i="190"/>
  <c r="AB30"/>
  <c r="AE498" i="175"/>
  <c r="AE777"/>
  <c r="AB54" i="189" s="1"/>
  <c r="AZ519" i="175"/>
  <c r="F351"/>
  <c r="Y32" i="190"/>
  <c r="AB500" i="175"/>
  <c r="AX619"/>
  <c r="O754"/>
  <c r="L31" i="189" s="1"/>
  <c r="BH608" i="175"/>
  <c r="AO489"/>
  <c r="AL21" i="190"/>
  <c r="AX326" i="175"/>
  <c r="V582"/>
  <c r="AZ520"/>
  <c r="BH364"/>
  <c r="U569"/>
  <c r="AF44" i="190"/>
  <c r="R583" i="175"/>
  <c r="BH319"/>
  <c r="BH600"/>
  <c r="AJ495"/>
  <c r="AG27" i="190"/>
  <c r="BD330" i="175"/>
  <c r="H590"/>
  <c r="AN573"/>
  <c r="W649"/>
  <c r="BD114"/>
  <c r="F344"/>
  <c r="G781"/>
  <c r="D58" i="189" s="1"/>
  <c r="F184" i="175"/>
  <c r="AD653"/>
  <c r="BB357"/>
  <c r="O776"/>
  <c r="L53" i="189" s="1"/>
  <c r="AC579" i="175"/>
  <c r="AV91"/>
  <c r="AV96"/>
  <c r="AH591"/>
  <c r="AC625"/>
  <c r="AG749"/>
  <c r="AD26" i="189" s="1"/>
  <c r="J752" i="175"/>
  <c r="AJ26" i="190"/>
  <c r="AM494" i="175"/>
  <c r="M50" i="190"/>
  <c r="BD116" i="175"/>
  <c r="AX595"/>
  <c r="Q625"/>
  <c r="F348"/>
  <c r="AT652"/>
  <c r="G38" i="190"/>
  <c r="H42"/>
  <c r="AA488" i="175"/>
  <c r="BB426"/>
  <c r="X20" i="190"/>
  <c r="Q22"/>
  <c r="T490" i="175"/>
  <c r="F304"/>
  <c r="AS345"/>
  <c r="BH339"/>
  <c r="AZ609"/>
  <c r="BH278"/>
  <c r="BB90"/>
  <c r="F552"/>
  <c r="BB97"/>
  <c r="AI753"/>
  <c r="W44" i="190"/>
  <c r="I32"/>
  <c r="L500" i="175"/>
  <c r="AV438"/>
  <c r="BH365"/>
  <c r="AX302"/>
  <c r="AV347"/>
  <c r="AM23" i="190"/>
  <c r="AP491" i="175"/>
  <c r="BH429"/>
  <c r="BB369"/>
  <c r="AZ459"/>
  <c r="AD40" i="190"/>
  <c r="AM585" i="175"/>
  <c r="AV4"/>
  <c r="BB28"/>
  <c r="BH8"/>
  <c r="BD312"/>
  <c r="AX240"/>
  <c r="AV281"/>
  <c r="BD507"/>
  <c r="AF569"/>
  <c r="F42" i="190"/>
  <c r="AX9" i="175"/>
  <c r="I44" i="190"/>
  <c r="AV450" i="175"/>
  <c r="AZ356"/>
  <c r="AJ753"/>
  <c r="AG30" i="189" s="1"/>
  <c r="Z26" i="190"/>
  <c r="AC494" i="175"/>
  <c r="M31" i="190"/>
  <c r="P499" i="175"/>
  <c r="BF605"/>
  <c r="M495"/>
  <c r="J27" i="190"/>
  <c r="J498" i="175"/>
  <c r="G30" i="190"/>
  <c r="BD124" i="175"/>
  <c r="BH276"/>
  <c r="BB683"/>
  <c r="BB554"/>
  <c r="BD118"/>
  <c r="AZ450"/>
  <c r="S44" i="190"/>
  <c r="AM777" i="175"/>
  <c r="AJ54" i="189" s="1"/>
  <c r="BH83" i="175"/>
  <c r="BH680"/>
  <c r="Q37" i="190"/>
  <c r="F444" i="175"/>
  <c r="C38" i="190" s="1"/>
  <c r="D38"/>
  <c r="BF246" i="175"/>
  <c r="AZ311"/>
  <c r="P32" i="190"/>
  <c r="S500" i="175"/>
  <c r="I490"/>
  <c r="F22" i="190"/>
  <c r="H652" i="175"/>
  <c r="Z569"/>
  <c r="BF533"/>
  <c r="AX344"/>
  <c r="BH88"/>
  <c r="AX371"/>
  <c r="AI569"/>
  <c r="J573"/>
  <c r="G755"/>
  <c r="D32" i="189" s="1"/>
  <c r="F158" i="175"/>
  <c r="BB527"/>
  <c r="AA589"/>
  <c r="AX353"/>
  <c r="AX517"/>
  <c r="Q579"/>
  <c r="J653"/>
  <c r="BD517"/>
  <c r="AF579"/>
  <c r="M591"/>
  <c r="AR650"/>
  <c r="H782"/>
  <c r="E59" i="189" s="1"/>
  <c r="V750" i="175"/>
  <c r="S27" i="189" s="1"/>
  <c r="AZ153" i="175"/>
  <c r="BB599"/>
  <c r="F684"/>
  <c r="K749"/>
  <c r="BD248"/>
  <c r="W782"/>
  <c r="AM496"/>
  <c r="AJ28" i="190"/>
  <c r="AZ87" i="175"/>
  <c r="X489"/>
  <c r="U21" i="190"/>
  <c r="AE749" i="175"/>
  <c r="AB26" i="189" s="1"/>
  <c r="BF89" i="175"/>
  <c r="Y345"/>
  <c r="AV457"/>
  <c r="BB57"/>
  <c r="AG49" i="190"/>
  <c r="U782" i="175"/>
  <c r="R59" i="189" s="1"/>
  <c r="AH783" i="175"/>
  <c r="AE60" i="189" s="1"/>
  <c r="AK776" i="175"/>
  <c r="AH53" i="189" s="1"/>
  <c r="BF179" i="175"/>
  <c r="Z40" i="190"/>
  <c r="M584" i="175"/>
  <c r="S22" i="190"/>
  <c r="V490" i="175"/>
  <c r="AZ428"/>
  <c r="AX238"/>
  <c r="O579"/>
  <c r="AC781"/>
  <c r="Z58" i="189" s="1"/>
  <c r="AZ619" i="175"/>
  <c r="AQ592"/>
  <c r="AQ785" s="1"/>
  <c r="AN62" i="189" s="1"/>
  <c r="BF125" i="175"/>
  <c r="J576"/>
  <c r="BD339"/>
  <c r="U649"/>
  <c r="V496"/>
  <c r="AZ434"/>
  <c r="S28" i="190"/>
  <c r="AM488" i="175"/>
  <c r="AJ20" i="190"/>
  <c r="AM345" i="175"/>
  <c r="Z30" i="190"/>
  <c r="AC498" i="175"/>
  <c r="BF608"/>
  <c r="BD551"/>
  <c r="AE47" i="190"/>
  <c r="F406" i="175"/>
  <c r="BF327"/>
  <c r="AZ277"/>
  <c r="AB625"/>
  <c r="S46" i="190"/>
  <c r="AZ452" i="175"/>
  <c r="AC33"/>
  <c r="AB649"/>
  <c r="AF41" i="190"/>
  <c r="BD463" i="175"/>
  <c r="AZ177"/>
  <c r="T778"/>
  <c r="Q55" i="189" s="1"/>
  <c r="BH400" i="175"/>
  <c r="I33"/>
  <c r="N490"/>
  <c r="K22" i="190"/>
  <c r="BF715" i="175"/>
  <c r="AK653"/>
  <c r="AV369"/>
  <c r="AO782"/>
  <c r="AL59" i="189" s="1"/>
  <c r="K652" i="175"/>
  <c r="BB13"/>
  <c r="X593"/>
  <c r="X786" s="1"/>
  <c r="U63" i="189" s="1"/>
  <c r="AC784" i="175"/>
  <c r="AR625"/>
  <c r="AD23" i="190"/>
  <c r="AG491" i="175"/>
  <c r="M488"/>
  <c r="J20" i="190"/>
  <c r="BD89" i="175"/>
  <c r="AP41" i="190"/>
  <c r="AL651" i="175"/>
  <c r="AZ278"/>
  <c r="Z751"/>
  <c r="W28" i="189" s="1"/>
  <c r="I495" i="175"/>
  <c r="F27" i="190"/>
  <c r="BD239" i="175"/>
  <c r="BD59"/>
  <c r="AP592"/>
  <c r="AP785" s="1"/>
  <c r="AM62" i="189" s="1"/>
  <c r="BH530" i="175"/>
  <c r="BB311"/>
  <c r="G42" i="190"/>
  <c r="BB152" i="175"/>
  <c r="AA749"/>
  <c r="X26" i="189" s="1"/>
  <c r="S585" i="175"/>
  <c r="AK582"/>
  <c r="BF520"/>
  <c r="R776"/>
  <c r="O53" i="189" s="1"/>
  <c r="J751" i="175"/>
  <c r="G28" i="189" s="1"/>
  <c r="Z567" i="175"/>
  <c r="BB548"/>
  <c r="E48" i="190"/>
  <c r="L778" i="175"/>
  <c r="I55" i="189" s="1"/>
  <c r="AV181" i="175"/>
  <c r="AJ778"/>
  <c r="AG55" i="189" s="1"/>
  <c r="AC592" i="175"/>
  <c r="AC785" s="1"/>
  <c r="Z62" i="189" s="1"/>
  <c r="AI782" i="175"/>
  <c r="AF59" i="189" s="1"/>
  <c r="AB585" i="175"/>
  <c r="AX360"/>
  <c r="AL592"/>
  <c r="AL785" s="1"/>
  <c r="AI62" i="189" s="1"/>
  <c r="AV334" i="175"/>
  <c r="AX81"/>
  <c r="F375"/>
  <c r="AV560"/>
  <c r="AZ528"/>
  <c r="V590"/>
  <c r="BH117"/>
  <c r="Y752"/>
  <c r="H49" i="190"/>
  <c r="AG565" i="175"/>
  <c r="F363"/>
  <c r="BF24"/>
  <c r="T40" i="190"/>
  <c r="BH335" i="175"/>
  <c r="AZ512"/>
  <c r="V574"/>
  <c r="V783"/>
  <c r="S60" i="189" s="1"/>
  <c r="AZ186" i="175"/>
  <c r="AZ451"/>
  <c r="S45" i="190"/>
  <c r="BH89" i="175"/>
  <c r="BF243"/>
  <c r="AX90"/>
  <c r="AL489"/>
  <c r="AI21" i="190"/>
  <c r="AF565" i="175"/>
  <c r="BD503"/>
  <c r="AV354"/>
  <c r="AO574"/>
  <c r="AO492"/>
  <c r="AL24" i="190"/>
  <c r="BF14" i="175"/>
  <c r="BD405"/>
  <c r="BH454"/>
  <c r="AM48" i="190"/>
  <c r="BF120" i="175"/>
  <c r="BF94"/>
  <c r="AA778"/>
  <c r="X55" i="189" s="1"/>
  <c r="BB181" i="175"/>
  <c r="R38" i="190"/>
  <c r="F32" i="175"/>
  <c r="AJ583"/>
  <c r="BH13"/>
  <c r="AD573"/>
  <c r="O571"/>
  <c r="BF313"/>
  <c r="BD329"/>
  <c r="AV279"/>
  <c r="BH91"/>
  <c r="BB321"/>
  <c r="AR589"/>
  <c r="AZ597"/>
  <c r="BB12"/>
  <c r="G567"/>
  <c r="F505"/>
  <c r="D45" i="190"/>
  <c r="F451" i="175"/>
  <c r="C45" i="190" s="1"/>
  <c r="F618" i="175"/>
  <c r="BF610"/>
  <c r="F615"/>
  <c r="BH621"/>
  <c r="AX343"/>
  <c r="BB609"/>
  <c r="K44" i="190"/>
  <c r="BF445" i="175"/>
  <c r="AH39" i="190"/>
  <c r="AX188" i="175"/>
  <c r="BH609"/>
  <c r="BF447"/>
  <c r="AH41" i="190"/>
  <c r="BH101" i="175"/>
  <c r="AZ245"/>
  <c r="BF458"/>
  <c r="V782"/>
  <c r="S59" i="189" s="1"/>
  <c r="AZ185" i="175"/>
  <c r="F613"/>
  <c r="BF250"/>
  <c r="N45" i="190"/>
  <c r="AX451" i="175"/>
  <c r="K651"/>
  <c r="L19" i="190"/>
  <c r="O487" i="175"/>
  <c r="L68" i="190" s="1"/>
  <c r="AV24" i="175"/>
  <c r="AB776"/>
  <c r="Y53" i="189" s="1"/>
  <c r="W776" i="175"/>
  <c r="T53" i="189" s="1"/>
  <c r="O781" i="175"/>
  <c r="L58" i="189" s="1"/>
  <c r="BB453" i="175"/>
  <c r="X47" i="190"/>
  <c r="F242" i="175"/>
  <c r="K582"/>
  <c r="AX310"/>
  <c r="AR495"/>
  <c r="AO27" i="190"/>
  <c r="G750" i="175"/>
  <c r="D27" i="189" s="1"/>
  <c r="F153" i="175"/>
  <c r="F337"/>
  <c r="AX518"/>
  <c r="AV465"/>
  <c r="AS752"/>
  <c r="AP29" i="189" s="1"/>
  <c r="AO29" i="190"/>
  <c r="AR497" i="175"/>
  <c r="Z625"/>
  <c r="AV327"/>
  <c r="BH183"/>
  <c r="AP780"/>
  <c r="AM57" i="189" s="1"/>
  <c r="F682" i="175"/>
  <c r="AR33"/>
  <c r="AZ125"/>
  <c r="AK45" i="190"/>
  <c r="AQ571" i="175"/>
  <c r="U754"/>
  <c r="R31" i="189" s="1"/>
  <c r="BD302" i="175"/>
  <c r="AV247"/>
  <c r="F152"/>
  <c r="G749"/>
  <c r="D26" i="189" s="1"/>
  <c r="BB611" i="175"/>
  <c r="BB448"/>
  <c r="X42" i="190"/>
  <c r="BH102" i="175"/>
  <c r="AS653"/>
  <c r="AO46" i="190"/>
  <c r="BB614" i="175"/>
  <c r="F457"/>
  <c r="AL50" i="190"/>
  <c r="BF596" i="175"/>
  <c r="G589"/>
  <c r="F527"/>
  <c r="X752"/>
  <c r="AC779"/>
  <c r="Z56" i="189" s="1"/>
  <c r="AX18" i="175"/>
  <c r="P376"/>
  <c r="BB281"/>
  <c r="BH356"/>
  <c r="T497"/>
  <c r="Q29" i="190"/>
  <c r="AZ467" i="175"/>
  <c r="X345"/>
  <c r="AX459"/>
  <c r="G587"/>
  <c r="F525"/>
  <c r="F14"/>
  <c r="BD548"/>
  <c r="AB749"/>
  <c r="Y26" i="189" s="1"/>
  <c r="AV620" i="175"/>
  <c r="BB346"/>
  <c r="AA376"/>
  <c r="Y22" i="190"/>
  <c r="AB490" i="175"/>
  <c r="AF23" i="190"/>
  <c r="AI491" i="175"/>
  <c r="Y50" i="190"/>
  <c r="AM46"/>
  <c r="BH452" i="175"/>
  <c r="AC649"/>
  <c r="BF402"/>
  <c r="AX554"/>
  <c r="AG22" i="190"/>
  <c r="AJ490" i="175"/>
  <c r="X50" i="190"/>
  <c r="BB456" i="175"/>
  <c r="AV544"/>
  <c r="AO751"/>
  <c r="AL28" i="189" s="1"/>
  <c r="BB27" i="175"/>
  <c r="AQ31" i="190"/>
  <c r="AT499" i="175"/>
  <c r="AA781"/>
  <c r="X58" i="189" s="1"/>
  <c r="BB184" i="175"/>
  <c r="AD750"/>
  <c r="AX355"/>
  <c r="AV306"/>
  <c r="F276"/>
  <c r="AN42" i="190"/>
  <c r="AZ216" i="175"/>
  <c r="N754"/>
  <c r="K31" i="189" s="1"/>
  <c r="AX623" i="175"/>
  <c r="AC753"/>
  <c r="BH460"/>
  <c r="BF29"/>
  <c r="U494"/>
  <c r="R26" i="190"/>
  <c r="BH118" i="175"/>
  <c r="AG493"/>
  <c r="AD25" i="190"/>
  <c r="BF400" i="175"/>
  <c r="J567"/>
  <c r="X29" i="190"/>
  <c r="AA497" i="175"/>
  <c r="BB435"/>
  <c r="AS589"/>
  <c r="AM565"/>
  <c r="F366"/>
  <c r="AV353"/>
  <c r="BF282"/>
  <c r="AA48" i="190"/>
  <c r="AD494" i="175"/>
  <c r="AA26" i="190"/>
  <c r="Y586" i="175"/>
  <c r="AV403"/>
  <c r="BB367"/>
  <c r="BD603"/>
  <c r="J22" i="190"/>
  <c r="M490" i="175"/>
  <c r="AZ462"/>
  <c r="U497"/>
  <c r="R29" i="190"/>
  <c r="H41"/>
  <c r="BF548" i="175"/>
  <c r="F539"/>
  <c r="BF401"/>
  <c r="F400"/>
  <c r="AV16"/>
  <c r="AC751"/>
  <c r="Z28" i="189" s="1"/>
  <c r="BB5" i="175"/>
  <c r="G751"/>
  <c r="F154"/>
  <c r="S591"/>
  <c r="Q584"/>
  <c r="AX522"/>
  <c r="AX245"/>
  <c r="AZ20"/>
  <c r="AN783"/>
  <c r="AK60" i="189" s="1"/>
  <c r="P568" i="175"/>
  <c r="AX89"/>
  <c r="Q23" i="190"/>
  <c r="T491" i="175"/>
  <c r="F610"/>
  <c r="F350"/>
  <c r="BF96"/>
  <c r="AV325"/>
  <c r="AT783"/>
  <c r="AQ60" i="189" s="1"/>
  <c r="AD569" i="175"/>
  <c r="Y582"/>
  <c r="K376"/>
  <c r="AX541"/>
  <c r="AZ426"/>
  <c r="S20" i="190"/>
  <c r="V488" i="175"/>
  <c r="AX685"/>
  <c r="M22" i="190"/>
  <c r="P490" i="175"/>
  <c r="AZ4"/>
  <c r="W653"/>
  <c r="BH538"/>
  <c r="AZ608"/>
  <c r="AA41" i="190"/>
  <c r="F612" i="175"/>
  <c r="BD400"/>
  <c r="AZ525"/>
  <c r="V587"/>
  <c r="AM500"/>
  <c r="AJ32" i="190"/>
  <c r="G50"/>
  <c r="BB465" i="175"/>
  <c r="AF582"/>
  <c r="BD520"/>
  <c r="AP23" i="190"/>
  <c r="AS491" i="175"/>
  <c r="Z591"/>
  <c r="AX58"/>
  <c r="BD537"/>
  <c r="AI37" i="190"/>
  <c r="F426" i="175"/>
  <c r="C20" i="190" s="1"/>
  <c r="G488" i="175"/>
  <c r="D20" i="190"/>
  <c r="K47"/>
  <c r="BD460" i="175"/>
  <c r="BH360"/>
  <c r="AB496"/>
  <c r="Y28" i="190"/>
  <c r="AD345" i="175"/>
  <c r="Q568"/>
  <c r="AX506"/>
  <c r="BH308"/>
  <c r="M42" i="190"/>
  <c r="AH779" i="175"/>
  <c r="AE56" i="189" s="1"/>
  <c r="BB87" i="175"/>
  <c r="K584"/>
  <c r="BD536"/>
  <c r="AI750"/>
  <c r="AF27" i="189" s="1"/>
  <c r="T42" i="190"/>
  <c r="X589" i="175"/>
  <c r="BH157"/>
  <c r="AP754"/>
  <c r="AP816" s="1"/>
  <c r="AM93" i="189" s="1"/>
  <c r="AV21" i="175"/>
  <c r="P42" i="190"/>
  <c r="AX609" i="175"/>
  <c r="X776"/>
  <c r="U53" i="189" s="1"/>
  <c r="K585" i="175"/>
  <c r="S40" i="190"/>
  <c r="AZ446" i="175"/>
  <c r="AB588"/>
  <c r="AV239"/>
  <c r="BF551"/>
  <c r="AV680"/>
  <c r="BH311"/>
  <c r="BD102"/>
  <c r="BB368"/>
  <c r="AJ571"/>
  <c r="BD426"/>
  <c r="AF488"/>
  <c r="AC20" i="190"/>
  <c r="AV6" i="175"/>
  <c r="BH246"/>
  <c r="AB755"/>
  <c r="J49" i="190"/>
  <c r="BB685" i="175"/>
  <c r="M775"/>
  <c r="J52" i="189" s="1"/>
  <c r="AR494" i="175"/>
  <c r="AO26" i="190"/>
  <c r="AV87" i="175"/>
  <c r="D49" i="190"/>
  <c r="F455" i="175"/>
  <c r="C49" i="190" s="1"/>
  <c r="BF82" i="175"/>
  <c r="AM499"/>
  <c r="AJ31" i="190"/>
  <c r="AS592" i="175"/>
  <c r="AS785" s="1"/>
  <c r="AP62" i="189" s="1"/>
  <c r="AX356" i="175"/>
  <c r="BB116"/>
  <c r="AZ301"/>
  <c r="Q48" i="190"/>
  <c r="BD461" i="175"/>
  <c r="F309"/>
  <c r="AZ435"/>
  <c r="S29" i="190"/>
  <c r="V497" i="175"/>
  <c r="W753"/>
  <c r="T30" i="189" s="1"/>
  <c r="M569" i="175"/>
  <c r="BD457"/>
  <c r="AX539"/>
  <c r="AX153"/>
  <c r="Q750"/>
  <c r="N27" i="189" s="1"/>
  <c r="Y779" i="175"/>
  <c r="V56" i="189" s="1"/>
  <c r="AZ606" i="175"/>
  <c r="AO44" i="190"/>
  <c r="AN568" i="175"/>
  <c r="AD46" i="190"/>
  <c r="AZ556" i="175"/>
  <c r="AF499"/>
  <c r="AC31" i="190"/>
  <c r="BD437" i="175"/>
  <c r="BF507"/>
  <c r="AK569"/>
  <c r="AV13"/>
  <c r="AG573"/>
  <c r="AZ464"/>
  <c r="X775"/>
  <c r="U52" i="189" s="1"/>
  <c r="BF714" i="175"/>
  <c r="AK652"/>
  <c r="BF406"/>
  <c r="AZ555"/>
  <c r="P565"/>
  <c r="BD125"/>
  <c r="AZ358"/>
  <c r="BD11"/>
  <c r="BB460"/>
  <c r="AO778"/>
  <c r="AL55" i="189" s="1"/>
  <c r="Q783" i="175"/>
  <c r="N60" i="189" s="1"/>
  <c r="AX186" i="175"/>
  <c r="BB607"/>
  <c r="AZ328"/>
  <c r="J584"/>
  <c r="AR582"/>
  <c r="BD598"/>
  <c r="AT583"/>
  <c r="AS750"/>
  <c r="AP27" i="189" s="1"/>
  <c r="AV27" i="175"/>
  <c r="P495"/>
  <c r="M27" i="190"/>
  <c r="AX281" i="175"/>
  <c r="AA753"/>
  <c r="X30" i="189" s="1"/>
  <c r="BB156" i="175"/>
  <c r="AV599"/>
  <c r="AL650"/>
  <c r="AC780"/>
  <c r="Z57" i="189" s="1"/>
  <c r="Y782" i="175"/>
  <c r="V59" i="189" s="1"/>
  <c r="BB21" i="175"/>
  <c r="H584"/>
  <c r="X498"/>
  <c r="U30" i="190"/>
  <c r="F365" i="175"/>
  <c r="Z19" i="190"/>
  <c r="AC487" i="175"/>
  <c r="Z68" i="190" s="1"/>
  <c r="AQ650" i="175"/>
  <c r="AC590"/>
  <c r="AZ445"/>
  <c r="S39" i="190"/>
  <c r="X583" i="175"/>
  <c r="X751"/>
  <c r="F325"/>
  <c r="AJ46" i="190"/>
  <c r="BB559" i="175"/>
  <c r="BD251"/>
  <c r="AO498"/>
  <c r="AL30" i="190"/>
  <c r="AX22" i="175"/>
  <c r="AX511"/>
  <c r="Q573"/>
  <c r="N50" i="190"/>
  <c r="AX456" i="175"/>
  <c r="Q47" i="190"/>
  <c r="O775" i="175"/>
  <c r="L52" i="189" s="1"/>
  <c r="AV242" i="175"/>
  <c r="AZ350"/>
  <c r="Q42" i="190"/>
  <c r="F8" i="175"/>
  <c r="BB154"/>
  <c r="AA751"/>
  <c r="X28" i="189" s="1"/>
  <c r="X26" i="190"/>
  <c r="BB432" i="175"/>
  <c r="AA494"/>
  <c r="AQ775"/>
  <c r="AN52" i="189" s="1"/>
  <c r="AU24" i="72"/>
  <c r="BF467" i="175"/>
  <c r="AX242"/>
  <c r="BD281"/>
  <c r="AK775"/>
  <c r="AH52" i="189" s="1"/>
  <c r="BF178" i="175"/>
  <c r="AX448"/>
  <c r="N42" i="190"/>
  <c r="G29"/>
  <c r="J497" i="175"/>
  <c r="BB466"/>
  <c r="M29" i="190"/>
  <c r="P497" i="175"/>
  <c r="BH219"/>
  <c r="AP565"/>
  <c r="BH503"/>
  <c r="AH649"/>
  <c r="F467"/>
  <c r="BD120"/>
  <c r="BB461"/>
  <c r="F217"/>
  <c r="Z749"/>
  <c r="W26" i="189" s="1"/>
  <c r="O24" i="190"/>
  <c r="R492" i="175"/>
  <c r="AD579"/>
  <c r="AF583"/>
  <c r="BD521"/>
  <c r="AZ17"/>
  <c r="AH345"/>
  <c r="T750"/>
  <c r="Q27" i="189" s="1"/>
  <c r="O582" i="175"/>
  <c r="AR777"/>
  <c r="AO54" i="189" s="1"/>
  <c r="W586" i="175"/>
  <c r="U590"/>
  <c r="BH337"/>
  <c r="BB551"/>
  <c r="BF117"/>
  <c r="AZ344"/>
  <c r="AN592"/>
  <c r="AN785" s="1"/>
  <c r="AK62" i="189" s="1"/>
  <c r="BD349" i="175"/>
  <c r="R593"/>
  <c r="R786" s="1"/>
  <c r="O63" i="189" s="1"/>
  <c r="H376" i="175"/>
  <c r="AG653"/>
  <c r="BD363"/>
  <c r="T590"/>
  <c r="E44" i="190"/>
  <c r="AH571" i="175"/>
  <c r="AN650"/>
  <c r="N784"/>
  <c r="K61" i="189" s="1"/>
  <c r="BF534" i="175"/>
  <c r="AX91"/>
  <c r="BB241"/>
  <c r="X494"/>
  <c r="U26" i="190"/>
  <c r="Z755" i="175"/>
  <c r="W32" i="189" s="1"/>
  <c r="AD749" i="175"/>
  <c r="AA26" i="189" s="1"/>
  <c r="AO589" i="175"/>
  <c r="AJ19" i="190"/>
  <c r="AM487" i="175"/>
  <c r="AJ68" i="190" s="1"/>
  <c r="F277" i="175"/>
  <c r="AV346"/>
  <c r="L376"/>
  <c r="BH401"/>
  <c r="H38" i="190"/>
  <c r="F37"/>
  <c r="AV341" i="175"/>
  <c r="R42" i="190"/>
  <c r="AV342" i="175"/>
  <c r="Z495"/>
  <c r="W27" i="190"/>
  <c r="AX468" i="175"/>
  <c r="BF281"/>
  <c r="AZ613"/>
  <c r="R652"/>
  <c r="AA28" i="190"/>
  <c r="AD496" i="175"/>
  <c r="J776"/>
  <c r="G53" i="189" s="1"/>
  <c r="H48" i="190"/>
  <c r="AI651" i="175"/>
  <c r="J26" i="190"/>
  <c r="M494" i="175"/>
  <c r="U39" i="190"/>
  <c r="BB606" i="175"/>
  <c r="AL780"/>
  <c r="AI57" i="189" s="1"/>
  <c r="G588" i="175"/>
  <c r="F526"/>
  <c r="W46" i="190"/>
  <c r="AO591" i="175"/>
  <c r="BH332"/>
  <c r="AX347"/>
  <c r="U583"/>
  <c r="BH519"/>
  <c r="AN750"/>
  <c r="AK27" i="189" s="1"/>
  <c r="R777" i="175"/>
  <c r="O54" i="189" s="1"/>
  <c r="X780" i="175"/>
  <c r="U57" i="189" s="1"/>
  <c r="AV28" i="175"/>
  <c r="W568"/>
  <c r="AQ494"/>
  <c r="AN26" i="190"/>
  <c r="AN755" i="175"/>
  <c r="AK32" i="189" s="1"/>
  <c r="AI777" i="175"/>
  <c r="AF54" i="189" s="1"/>
  <c r="BH15" i="175"/>
  <c r="BF123"/>
  <c r="AV622"/>
  <c r="AO40" i="190"/>
  <c r="AZ610" i="175"/>
  <c r="AZ217"/>
  <c r="U488"/>
  <c r="R20" i="190"/>
  <c r="AM783" i="175"/>
  <c r="AJ60" i="189" s="1"/>
  <c r="AC570" i="175"/>
  <c r="AQ625"/>
  <c r="F370"/>
  <c r="AQ749"/>
  <c r="AN26" i="189" s="1"/>
  <c r="O47" i="190"/>
  <c r="AZ331" i="175"/>
  <c r="T489"/>
  <c r="Q21" i="190"/>
  <c r="M49"/>
  <c r="AC752" i="175"/>
  <c r="Z29" i="189" s="1"/>
  <c r="N778" i="175"/>
  <c r="K55" i="189" s="1"/>
  <c r="BD82" i="175"/>
  <c r="K572"/>
  <c r="AJ29" i="190"/>
  <c r="AM497" i="175"/>
  <c r="AZ375"/>
  <c r="AR649"/>
  <c r="AS755"/>
  <c r="AP32" i="189" s="1"/>
  <c r="E49" i="190"/>
  <c r="BH616" i="175"/>
  <c r="AS625"/>
  <c r="AX467"/>
  <c r="AV518"/>
  <c r="AC588"/>
  <c r="AZ82"/>
  <c r="AN649"/>
  <c r="X38" i="190"/>
  <c r="BB444" i="175"/>
  <c r="J37" i="190"/>
  <c r="AL649" i="175"/>
  <c r="AM582"/>
  <c r="AL779"/>
  <c r="AI56" i="189" s="1"/>
  <c r="K490" i="175"/>
  <c r="H22" i="190"/>
  <c r="AX400" i="175"/>
  <c r="P650"/>
  <c r="T39" i="190"/>
  <c r="F402" i="175"/>
  <c r="BH315"/>
  <c r="AP345"/>
  <c r="W37" i="190"/>
  <c r="N492" i="175"/>
  <c r="K24" i="190"/>
  <c r="P45"/>
  <c r="AM579" i="175"/>
  <c r="F13"/>
  <c r="K752"/>
  <c r="H29" i="189" s="1"/>
  <c r="BB521" i="175"/>
  <c r="AA583"/>
  <c r="BD404"/>
  <c r="AZ303"/>
  <c r="AO584"/>
  <c r="AR781"/>
  <c r="AO58" i="189" s="1"/>
  <c r="BF216" i="175"/>
  <c r="BH512"/>
  <c r="AP574"/>
  <c r="BH11"/>
  <c r="AJ588"/>
  <c r="AF19" i="190"/>
  <c r="AI487" i="175"/>
  <c r="AF68" i="190" s="1"/>
  <c r="W567" i="175"/>
  <c r="Z651"/>
  <c r="AV400"/>
  <c r="H45" i="190"/>
  <c r="H784" i="175"/>
  <c r="E61" i="189" s="1"/>
  <c r="AQ584" i="175"/>
  <c r="R585"/>
  <c r="AS651"/>
  <c r="BB215"/>
  <c r="O496"/>
  <c r="L28" i="190"/>
  <c r="BH16" i="175"/>
  <c r="BF22"/>
  <c r="BD354"/>
  <c r="O345"/>
  <c r="BB214"/>
  <c r="AX123"/>
  <c r="BF317"/>
  <c r="AE784"/>
  <c r="AB61" i="189" s="1"/>
  <c r="AJ573" i="175"/>
  <c r="Y47" i="190"/>
  <c r="BB537" i="175"/>
  <c r="AO570"/>
  <c r="AK779"/>
  <c r="AH56" i="189" s="1"/>
  <c r="BF182" i="175"/>
  <c r="AJ649"/>
  <c r="AZ19"/>
  <c r="AE779"/>
  <c r="AB56" i="189" s="1"/>
  <c r="BD621" i="175"/>
  <c r="I573"/>
  <c r="AL585"/>
  <c r="F601"/>
  <c r="AX32"/>
  <c r="AJ491"/>
  <c r="AG23" i="190"/>
  <c r="AM573" i="175"/>
  <c r="M40" i="190"/>
  <c r="F15" i="175"/>
  <c r="AX122"/>
  <c r="AH650"/>
  <c r="AV189"/>
  <c r="AD30" i="190"/>
  <c r="AG498" i="175"/>
  <c r="AZ348"/>
  <c r="BD373"/>
  <c r="AC41" i="190"/>
  <c r="BD447" i="175"/>
  <c r="AB783"/>
  <c r="Y60" i="189" s="1"/>
  <c r="AO573" i="175"/>
  <c r="W780"/>
  <c r="T57" i="189" s="1"/>
  <c r="AA588" i="175"/>
  <c r="BB526"/>
  <c r="S589"/>
  <c r="U784"/>
  <c r="BB366"/>
  <c r="AQ782"/>
  <c r="AN59" i="189" s="1"/>
  <c r="F310" i="175"/>
  <c r="BH624"/>
  <c r="BF305"/>
  <c r="AX19"/>
  <c r="F465"/>
  <c r="AT565"/>
  <c r="F362"/>
  <c r="AV516"/>
  <c r="BB119"/>
  <c r="AL586"/>
  <c r="AE782"/>
  <c r="AB59" i="189" s="1"/>
  <c r="T649" i="175"/>
  <c r="F715"/>
  <c r="G653"/>
  <c r="AX279"/>
  <c r="Q491"/>
  <c r="AX429"/>
  <c r="N23" i="190"/>
  <c r="AC582" i="175"/>
  <c r="F553"/>
  <c r="AX92"/>
  <c r="BF554"/>
  <c r="BH277"/>
  <c r="AV86"/>
  <c r="J586"/>
  <c r="Z777"/>
  <c r="W54" i="189" s="1"/>
  <c r="AP752" i="175"/>
  <c r="BH155"/>
  <c r="H755"/>
  <c r="E32" i="189" s="1"/>
  <c r="BH18" i="175"/>
  <c r="AZ622"/>
  <c r="BF426"/>
  <c r="AK488"/>
  <c r="AH20" i="190"/>
  <c r="P775" i="175"/>
  <c r="M52" i="189" s="1"/>
  <c r="BF83" i="175"/>
  <c r="BB183"/>
  <c r="AA780"/>
  <c r="W376"/>
  <c r="F349"/>
  <c r="N651"/>
  <c r="AZ371"/>
  <c r="R23" i="190"/>
  <c r="U491" i="175"/>
  <c r="AJ749"/>
  <c r="AG26" i="189" s="1"/>
  <c r="R782" i="175"/>
  <c r="O59" i="189" s="1"/>
  <c r="G649" i="175"/>
  <c r="F711"/>
  <c r="L11" i="72"/>
  <c r="BH281" i="175"/>
  <c r="X25" i="190"/>
  <c r="BB431" i="175"/>
  <c r="AA493"/>
  <c r="M497"/>
  <c r="J29" i="190"/>
  <c r="K589" i="175"/>
  <c r="AZ11"/>
  <c r="AP781"/>
  <c r="AM58" i="189" s="1"/>
  <c r="BH184" i="175"/>
  <c r="AG40" i="190"/>
  <c r="AH579" i="175"/>
  <c r="AJ776"/>
  <c r="AG53" i="189" s="1"/>
  <c r="AZ214" i="175"/>
  <c r="E46" i="190"/>
  <c r="AB579" i="175"/>
  <c r="BB508"/>
  <c r="AA570"/>
  <c r="F619"/>
  <c r="BB458"/>
  <c r="N345"/>
  <c r="V21" i="190"/>
  <c r="Y489" i="175"/>
  <c r="Q782"/>
  <c r="N59" i="189" s="1"/>
  <c r="AX185" i="175"/>
  <c r="BH313"/>
  <c r="M567"/>
  <c r="BH347"/>
  <c r="Z20" i="190"/>
  <c r="AC488" i="175"/>
  <c r="AN565"/>
  <c r="BF8"/>
  <c r="AH38" i="190"/>
  <c r="BF444" i="175"/>
  <c r="AZ86"/>
  <c r="AS568"/>
  <c r="BF303"/>
  <c r="AG753"/>
  <c r="O50" i="190"/>
  <c r="J590" i="175"/>
  <c r="AT587"/>
  <c r="N574"/>
  <c r="BF536"/>
  <c r="N487"/>
  <c r="K68" i="190" s="1"/>
  <c r="K19"/>
  <c r="AX519" i="175"/>
  <c r="BD347"/>
  <c r="BH103"/>
  <c r="AR493"/>
  <c r="AO25" i="190"/>
  <c r="H574" i="175"/>
  <c r="AT573"/>
  <c r="I651"/>
  <c r="BH316"/>
  <c r="AX551"/>
  <c r="BB619"/>
  <c r="AJ40" i="190"/>
  <c r="AS778" i="175"/>
  <c r="AP55" i="189" s="1"/>
  <c r="AZ220" i="175"/>
  <c r="BH623"/>
  <c r="AL753"/>
  <c r="AI30" i="189" s="1"/>
  <c r="AN37" i="190"/>
  <c r="AJ650" i="175"/>
  <c r="F538"/>
  <c r="W489"/>
  <c r="T21" i="190"/>
  <c r="N29"/>
  <c r="AX435" i="175"/>
  <c r="Q497"/>
  <c r="BH463"/>
  <c r="BF543"/>
  <c r="AX712"/>
  <c r="Q650"/>
  <c r="AG568"/>
  <c r="BD25"/>
  <c r="AO625"/>
  <c r="V591"/>
  <c r="AZ529"/>
  <c r="BH331"/>
  <c r="AJ488"/>
  <c r="AG20" i="190"/>
  <c r="AX557" i="175"/>
  <c r="BF405"/>
  <c r="AZ319"/>
  <c r="I587"/>
  <c r="X750"/>
  <c r="U27" i="189" s="1"/>
  <c r="BH368" i="175"/>
  <c r="BB375"/>
  <c r="N783"/>
  <c r="K60" i="189" s="1"/>
  <c r="F686" i="175"/>
  <c r="P47" i="190"/>
  <c r="AT755" i="175"/>
  <c r="AQ32" i="189" s="1"/>
  <c r="BB251" i="175"/>
  <c r="Y38" i="190"/>
  <c r="BH120" i="175"/>
  <c r="AE587"/>
  <c r="BF154"/>
  <c r="AK751"/>
  <c r="AH28" i="189" s="1"/>
  <c r="K41" i="190"/>
  <c r="H585" i="175"/>
  <c r="BF3"/>
  <c r="AK33"/>
  <c r="AX85"/>
  <c r="F250"/>
  <c r="S573"/>
  <c r="T41" i="190"/>
  <c r="AJ37"/>
  <c r="BF516" i="175"/>
  <c r="AX620"/>
  <c r="AX323"/>
  <c r="AZ29"/>
  <c r="R780"/>
  <c r="O57" i="189" s="1"/>
  <c r="F320" i="175"/>
  <c r="G21" i="190"/>
  <c r="J489" i="175"/>
  <c r="G783"/>
  <c r="D60" i="189" s="1"/>
  <c r="F186" i="175"/>
  <c r="AJ775"/>
  <c r="AG52" i="189" s="1"/>
  <c r="AZ114" i="175"/>
  <c r="BF15"/>
  <c r="BD304"/>
  <c r="P585"/>
  <c r="AX93"/>
  <c r="BB447"/>
  <c r="X41" i="190"/>
  <c r="AL781" i="175"/>
  <c r="W650"/>
  <c r="G575"/>
  <c r="Q39" i="190"/>
  <c r="F323" i="175"/>
  <c r="BH555"/>
  <c r="BH560"/>
  <c r="AQ585"/>
  <c r="AV276"/>
  <c r="BB353"/>
  <c r="AE593"/>
  <c r="AE786" s="1"/>
  <c r="AB63" i="189" s="1"/>
  <c r="AL23" i="190"/>
  <c r="AO491" i="175"/>
  <c r="BB282"/>
  <c r="AQ50" i="190"/>
  <c r="BF611" i="175"/>
  <c r="BD351"/>
  <c r="AE38" i="190"/>
  <c r="G778" i="175"/>
  <c r="D55" i="189" s="1"/>
  <c r="F181" i="175"/>
  <c r="X755"/>
  <c r="U32" i="189" s="1"/>
  <c r="AV113" i="175"/>
  <c r="AP625"/>
  <c r="BH595"/>
  <c r="AV277"/>
  <c r="BF348"/>
  <c r="R754"/>
  <c r="O31" i="189" s="1"/>
  <c r="AP779" i="175"/>
  <c r="AM56" i="189" s="1"/>
  <c r="BH182" i="175"/>
  <c r="AO33"/>
  <c r="S32" i="190"/>
  <c r="V500" i="175"/>
  <c r="AZ438"/>
  <c r="BB327"/>
  <c r="BB535"/>
  <c r="BD356"/>
  <c r="AE583"/>
  <c r="AX177"/>
  <c r="O587"/>
  <c r="M778"/>
  <c r="AS754"/>
  <c r="AP31" i="189" s="1"/>
  <c r="AR585" i="175"/>
  <c r="AF588"/>
  <c r="BD526"/>
  <c r="AV371"/>
  <c r="AV365"/>
  <c r="AB750"/>
  <c r="Y27" i="189" s="1"/>
  <c r="BB22" i="175"/>
  <c r="AO586"/>
  <c r="R567"/>
  <c r="AZ337"/>
  <c r="AV154"/>
  <c r="L751"/>
  <c r="I28" i="189" s="1"/>
  <c r="Q592" i="175"/>
  <c r="Q785" s="1"/>
  <c r="N62" i="189" s="1"/>
  <c r="AX530" i="175"/>
  <c r="AJ593"/>
  <c r="AJ786" s="1"/>
  <c r="AG63" i="189" s="1"/>
  <c r="AV81" i="175"/>
  <c r="AJ779"/>
  <c r="AG56" i="189" s="1"/>
  <c r="G775" i="175"/>
  <c r="D52" i="189" s="1"/>
  <c r="F178" i="175"/>
  <c r="BB14"/>
  <c r="BF26"/>
  <c r="AZ553"/>
  <c r="AV82"/>
  <c r="U587"/>
  <c r="AJ651"/>
  <c r="M783"/>
  <c r="J60" i="189" s="1"/>
  <c r="AX503" i="175"/>
  <c r="Q565"/>
  <c r="R755"/>
  <c r="O32" i="189" s="1"/>
  <c r="AN780" i="175"/>
  <c r="AK57" i="189" s="1"/>
  <c r="AM491" i="175"/>
  <c r="AJ23" i="190"/>
  <c r="AX329" i="175"/>
  <c r="AM586"/>
  <c r="AN45" i="190"/>
  <c r="P579" i="175"/>
  <c r="Y568"/>
  <c r="AN574"/>
  <c r="AV240"/>
  <c r="BD602"/>
  <c r="AV177"/>
  <c r="N499"/>
  <c r="K31" i="190"/>
  <c r="AH29"/>
  <c r="AK497" i="175"/>
  <c r="BF435"/>
  <c r="P28" i="190"/>
  <c r="S496" i="175"/>
  <c r="AL495"/>
  <c r="AI27" i="190"/>
  <c r="AV60" i="175"/>
  <c r="BB276"/>
  <c r="AN495"/>
  <c r="AK27" i="190"/>
  <c r="X650" i="175"/>
  <c r="F220"/>
  <c r="AD31" i="190"/>
  <c r="AG499" i="175"/>
  <c r="BB371"/>
  <c r="AD754"/>
  <c r="AA31" i="189" s="1"/>
  <c r="P46" i="190"/>
  <c r="BB542" i="175"/>
  <c r="BH24"/>
  <c r="AV468"/>
  <c r="AS753"/>
  <c r="AP30" i="189" s="1"/>
  <c r="BF517" i="175"/>
  <c r="AK579"/>
  <c r="AV179"/>
  <c r="L776"/>
  <c r="I53" i="189" s="1"/>
  <c r="H593" i="175"/>
  <c r="H786" s="1"/>
  <c r="E63" i="189" s="1"/>
  <c r="AN496" i="175"/>
  <c r="AK28" i="190"/>
  <c r="BF31" i="175"/>
  <c r="BH405"/>
  <c r="K586"/>
  <c r="G46" i="190"/>
  <c r="AK26"/>
  <c r="AN494" i="175"/>
  <c r="AV374"/>
  <c r="L753"/>
  <c r="AV156"/>
  <c r="AQ574"/>
  <c r="BF10"/>
  <c r="F23"/>
  <c r="F540"/>
  <c r="AB779"/>
  <c r="Y56" i="189" s="1"/>
  <c r="F339" i="175"/>
  <c r="F342"/>
  <c r="AZ458"/>
  <c r="AL49" i="190"/>
  <c r="F241" i="175"/>
  <c r="Z500"/>
  <c r="W32" i="190"/>
  <c r="F239" i="175"/>
  <c r="AC489"/>
  <c r="Z21" i="190"/>
  <c r="W38"/>
  <c r="BB340" i="175"/>
  <c r="AG583"/>
  <c r="AL579"/>
  <c r="AX359"/>
  <c r="Y589"/>
  <c r="T583"/>
  <c r="W582"/>
  <c r="N750"/>
  <c r="K27" i="189" s="1"/>
  <c r="AE778" i="175"/>
  <c r="AB55" i="189" s="1"/>
  <c r="AX10" i="175"/>
  <c r="AM652"/>
  <c r="T567"/>
  <c r="BB336"/>
  <c r="F317"/>
  <c r="F355"/>
  <c r="AZ321"/>
  <c r="BB113"/>
  <c r="AG750"/>
  <c r="AD27" i="189" s="1"/>
  <c r="AI496" i="175"/>
  <c r="AF28" i="190"/>
  <c r="AX277" i="175"/>
  <c r="BD335"/>
  <c r="AV14"/>
  <c r="F353"/>
  <c r="BD152"/>
  <c r="AF749"/>
  <c r="AC26" i="189" s="1"/>
  <c r="BD357" i="175"/>
  <c r="AV433"/>
  <c r="L495"/>
  <c r="I27" i="190"/>
  <c r="AR776" i="175"/>
  <c r="AO53" i="189" s="1"/>
  <c r="AX189" i="175"/>
  <c r="BD7"/>
  <c r="F300"/>
  <c r="BB364"/>
  <c r="AN571"/>
  <c r="F187"/>
  <c r="G784"/>
  <c r="D61" i="189" s="1"/>
  <c r="I567" i="175"/>
  <c r="O569"/>
  <c r="BD539"/>
  <c r="F49" i="190"/>
  <c r="V47"/>
  <c r="Q46"/>
  <c r="AN593" i="175"/>
  <c r="AN786" s="1"/>
  <c r="AK63" i="189" s="1"/>
  <c r="I575" i="175"/>
  <c r="AM588"/>
  <c r="AD492"/>
  <c r="AA24" i="190"/>
  <c r="BD8" i="175"/>
  <c r="BB445"/>
  <c r="X39" i="190"/>
  <c r="BH215" i="175"/>
  <c r="AZ361"/>
  <c r="F316"/>
  <c r="AE494"/>
  <c r="AB26" i="190"/>
  <c r="AR376" i="175"/>
  <c r="BH537"/>
  <c r="U749"/>
  <c r="R26" i="189" s="1"/>
  <c r="AV63" i="175"/>
  <c r="J784"/>
  <c r="G61" i="189" s="1"/>
  <c r="BB189" i="175"/>
  <c r="U20" i="190"/>
  <c r="X488" i="175"/>
  <c r="BF220"/>
  <c r="BB715"/>
  <c r="AA653"/>
  <c r="AE376"/>
  <c r="AV538"/>
  <c r="AK47" i="190"/>
  <c r="BD686" i="175"/>
  <c r="AD777"/>
  <c r="AA54" i="189" s="1"/>
  <c r="F461" i="175"/>
  <c r="BD445"/>
  <c r="AC39" i="190"/>
  <c r="AV330" i="175"/>
  <c r="BH85"/>
  <c r="AC583"/>
  <c r="T751"/>
  <c r="AQ781"/>
  <c r="AN58" i="189" s="1"/>
  <c r="AM50" i="190"/>
  <c r="BH456" i="175"/>
  <c r="BF157"/>
  <c r="AK754"/>
  <c r="AH31" i="189" s="1"/>
  <c r="AN749" i="175"/>
  <c r="AK26" i="189" s="1"/>
  <c r="AN567" i="175"/>
  <c r="BF505"/>
  <c r="AK567"/>
  <c r="BF360"/>
  <c r="U37" i="190"/>
  <c r="BF247" i="175"/>
  <c r="AX507"/>
  <c r="Q569"/>
  <c r="BH402"/>
  <c r="AQ488"/>
  <c r="AN20" i="190"/>
  <c r="AX320" i="175"/>
  <c r="AQ500"/>
  <c r="AN32" i="190"/>
  <c r="BD184" i="175"/>
  <c r="AF781"/>
  <c r="AD42" i="190"/>
  <c r="X40"/>
  <c r="BB446" i="175"/>
  <c r="T571"/>
  <c r="BB8"/>
  <c r="D29" i="190"/>
  <c r="G497" i="175"/>
  <c r="F435"/>
  <c r="C29" i="190" s="1"/>
  <c r="AV220" i="175"/>
  <c r="R44" i="190"/>
  <c r="G496" i="175"/>
  <c r="F434"/>
  <c r="C28" i="190" s="1"/>
  <c r="D28"/>
  <c r="BD559" i="175"/>
  <c r="AA568"/>
  <c r="BB506"/>
  <c r="BF6"/>
  <c r="AH567"/>
  <c r="BH92"/>
  <c r="BF683"/>
  <c r="AR568"/>
  <c r="BH604"/>
  <c r="K587"/>
  <c r="BB358"/>
  <c r="AG567"/>
  <c r="Q779"/>
  <c r="N56" i="189" s="1"/>
  <c r="AX182" i="175"/>
  <c r="P593"/>
  <c r="P786" s="1"/>
  <c r="M63" i="189" s="1"/>
  <c r="L45" i="190"/>
  <c r="AV343" i="175"/>
  <c r="O778"/>
  <c r="L55" i="189" s="1"/>
  <c r="AZ531" i="175"/>
  <c r="V593"/>
  <c r="V786" s="1"/>
  <c r="S63" i="189" s="1"/>
  <c r="F303" i="175"/>
  <c r="AF780"/>
  <c r="AC57" i="189" s="1"/>
  <c r="BD183" i="175"/>
  <c r="AN585"/>
  <c r="BB29"/>
  <c r="AF584"/>
  <c r="BD522"/>
  <c r="AL776"/>
  <c r="AI53" i="189" s="1"/>
  <c r="AE588" i="175"/>
  <c r="AT567"/>
  <c r="F28" i="190"/>
  <c r="I496" i="175"/>
  <c r="AZ249"/>
  <c r="AH492"/>
  <c r="AE24" i="190"/>
  <c r="AO781" i="175"/>
  <c r="BD402"/>
  <c r="AV317"/>
  <c r="AV83"/>
  <c r="AH565"/>
  <c r="I492"/>
  <c r="F24" i="190"/>
  <c r="Q784" i="175"/>
  <c r="N61" i="189" s="1"/>
  <c r="AX187" i="175"/>
  <c r="W574"/>
  <c r="AM782"/>
  <c r="AJ59" i="189" s="1"/>
  <c r="AN591" i="175"/>
  <c r="AX465"/>
  <c r="AH750"/>
  <c r="AE27" i="189" s="1"/>
  <c r="AF784" i="175"/>
  <c r="AC61" i="189" s="1"/>
  <c r="BD187" i="175"/>
  <c r="AV607"/>
  <c r="BB616"/>
  <c r="AE487"/>
  <c r="AB68" i="190" s="1"/>
  <c r="AB19"/>
  <c r="P31"/>
  <c r="S499" i="175"/>
  <c r="AB586"/>
  <c r="AF50" i="190"/>
  <c r="I585" i="175"/>
  <c r="BB32"/>
  <c r="AX17"/>
  <c r="AL784"/>
  <c r="AI61" i="189" s="1"/>
  <c r="BF13" i="175"/>
  <c r="AZ279"/>
  <c r="M625"/>
  <c r="BF92"/>
  <c r="AZ614"/>
  <c r="H653"/>
  <c r="AL593"/>
  <c r="AL786" s="1"/>
  <c r="AI63" i="189" s="1"/>
  <c r="AL39" i="190"/>
  <c r="BB83" i="175"/>
  <c r="BH115"/>
  <c r="BH605"/>
  <c r="W590"/>
  <c r="BD623"/>
  <c r="G39" i="190"/>
  <c r="AT568" i="175"/>
  <c r="BB96"/>
  <c r="AO749"/>
  <c r="AL26" i="189" s="1"/>
  <c r="K575" i="175"/>
  <c r="F554"/>
  <c r="BH248"/>
  <c r="AX315"/>
  <c r="Q345"/>
  <c r="AX680"/>
  <c r="Y490"/>
  <c r="V22" i="190"/>
  <c r="BD316" i="175"/>
  <c r="AZ320"/>
  <c r="S651"/>
  <c r="AX250"/>
  <c r="BF544"/>
  <c r="BD28"/>
  <c r="AV15"/>
  <c r="AX318"/>
  <c r="AM753"/>
  <c r="AJ30" i="189" s="1"/>
  <c r="AM376" i="175"/>
  <c r="BF371"/>
  <c r="S625"/>
  <c r="AI44" i="190"/>
  <c r="AX219" i="175"/>
  <c r="BF604"/>
  <c r="K571"/>
  <c r="H586"/>
  <c r="K33"/>
  <c r="F622"/>
  <c r="AH570"/>
  <c r="AX244"/>
  <c r="G49" i="190"/>
  <c r="H569" i="175"/>
  <c r="L10" i="72"/>
  <c r="AX31" i="175"/>
  <c r="AI781"/>
  <c r="AF58" i="189" s="1"/>
  <c r="AO653" i="175"/>
  <c r="H499"/>
  <c r="E31" i="190"/>
  <c r="BF433" i="175"/>
  <c r="AH27" i="190"/>
  <c r="AK495" i="175"/>
  <c r="F364"/>
  <c r="S487"/>
  <c r="P68" i="190" s="1"/>
  <c r="P19"/>
  <c r="BB155" i="175"/>
  <c r="AA752"/>
  <c r="X29" i="189" s="1"/>
  <c r="AE750" i="175"/>
  <c r="AB27" i="189" s="1"/>
  <c r="M38" i="190"/>
  <c r="AU27" i="72"/>
  <c r="F47" i="190"/>
  <c r="O749" i="175"/>
  <c r="L26" i="189" s="1"/>
  <c r="Z780" i="175"/>
  <c r="W57" i="189" s="1"/>
  <c r="AT582" i="175"/>
  <c r="AX458"/>
  <c r="AG779"/>
  <c r="AD56" i="189" s="1"/>
  <c r="AV601" i="175"/>
  <c r="T495"/>
  <c r="Q27" i="190"/>
  <c r="Q582" i="175"/>
  <c r="AX520"/>
  <c r="F279"/>
  <c r="BH461"/>
  <c r="N591"/>
  <c r="AC650"/>
  <c r="V749"/>
  <c r="AZ152"/>
  <c r="AC567"/>
  <c r="AX357"/>
  <c r="AR751"/>
  <c r="AO28" i="189" s="1"/>
  <c r="BB180" i="175"/>
  <c r="AA777"/>
  <c r="X54" i="189" s="1"/>
  <c r="G568" i="175"/>
  <c r="F506"/>
  <c r="U499"/>
  <c r="R31" i="190"/>
  <c r="AZ521" i="175"/>
  <c r="V583"/>
  <c r="AP33"/>
  <c r="BH3"/>
  <c r="F343"/>
  <c r="AZ682"/>
  <c r="AP751"/>
  <c r="AM28" i="189" s="1"/>
  <c r="BH154" i="175"/>
  <c r="M491"/>
  <c r="J23" i="190"/>
  <c r="W47"/>
  <c r="AX525" i="175"/>
  <c r="Q587"/>
  <c r="BH598"/>
  <c r="BD505"/>
  <c r="AF567"/>
  <c r="BB536"/>
  <c r="AX558"/>
  <c r="D43" i="190"/>
  <c r="Z586" i="175"/>
  <c r="I749"/>
  <c r="F26" i="189" s="1"/>
  <c r="BD26" i="175"/>
  <c r="BD403"/>
  <c r="AZ251"/>
  <c r="AH568"/>
  <c r="Q752"/>
  <c r="AX155"/>
  <c r="V45" i="190"/>
  <c r="H575" i="175"/>
  <c r="H781"/>
  <c r="F604"/>
  <c r="AX339"/>
  <c r="P587"/>
  <c r="AR592"/>
  <c r="AR785" s="1"/>
  <c r="N588"/>
  <c r="M587"/>
  <c r="P49" i="190"/>
  <c r="BH312" i="175"/>
  <c r="AR749"/>
  <c r="AO26" i="189" s="1"/>
  <c r="AV435" i="175"/>
  <c r="I29" i="190"/>
  <c r="L497" i="175"/>
  <c r="AJ584"/>
  <c r="AG780"/>
  <c r="AD57" i="189" s="1"/>
  <c r="F38" i="190"/>
  <c r="L488" i="175"/>
  <c r="AV426"/>
  <c r="I20" i="190"/>
  <c r="AC589" i="175"/>
  <c r="BD91"/>
  <c r="AS376"/>
  <c r="AB589"/>
  <c r="BF300"/>
  <c r="O573"/>
  <c r="AZ28"/>
  <c r="BF114"/>
  <c r="BD346"/>
  <c r="AF376"/>
  <c r="AF45" i="190"/>
  <c r="S582" i="175"/>
  <c r="F683"/>
  <c r="U750"/>
  <c r="AK22" i="190"/>
  <c r="AN490" i="175"/>
  <c r="Z33"/>
  <c r="BB120"/>
  <c r="BH323"/>
  <c r="AZ305"/>
  <c r="L32" i="190"/>
  <c r="O500" i="175"/>
  <c r="AF46" i="190"/>
  <c r="AV368" i="175"/>
  <c r="AV326"/>
  <c r="BH558"/>
  <c r="AO567"/>
  <c r="S782"/>
  <c r="P59" i="189" s="1"/>
  <c r="BF105" i="175"/>
  <c r="AX681"/>
  <c r="AV12"/>
  <c r="U573"/>
  <c r="V778"/>
  <c r="S55" i="189" s="1"/>
  <c r="AZ181" i="175"/>
  <c r="AL487"/>
  <c r="AI68" i="190" s="1"/>
  <c r="AI19"/>
  <c r="AM587" i="175"/>
  <c r="F368"/>
  <c r="S38" i="190"/>
  <c r="AZ444" i="175"/>
  <c r="T582"/>
  <c r="AR569"/>
  <c r="Q40" i="190"/>
  <c r="AX552" i="175"/>
  <c r="AX325"/>
  <c r="AX327"/>
  <c r="AM591"/>
  <c r="BD519"/>
  <c r="U625"/>
  <c r="Y778"/>
  <c r="V55" i="189" s="1"/>
  <c r="BB17" i="175"/>
  <c r="AV217"/>
  <c r="AJ587"/>
  <c r="AZ306"/>
  <c r="AI42" i="190"/>
  <c r="AH781" i="175"/>
  <c r="AE58" i="189" s="1"/>
  <c r="AV319" i="175"/>
  <c r="AP38" i="190"/>
  <c r="AT589" i="175"/>
  <c r="AO48" i="190"/>
  <c r="K498" i="175"/>
  <c r="H30" i="190"/>
  <c r="AU28" i="72"/>
  <c r="K48" i="190"/>
  <c r="AX684" i="175"/>
  <c r="AD589"/>
  <c r="BD250"/>
  <c r="Z779"/>
  <c r="W56" i="189" s="1"/>
  <c r="AH592" i="175"/>
  <c r="AH785" s="1"/>
  <c r="AE62" i="189" s="1"/>
  <c r="BB602" i="175"/>
  <c r="AF777"/>
  <c r="AC54" i="189" s="1"/>
  <c r="BD180" i="175"/>
  <c r="F346"/>
  <c r="G376"/>
  <c r="AG569"/>
  <c r="BD321"/>
  <c r="BH302"/>
  <c r="AC48" i="190"/>
  <c r="BD454" i="175"/>
  <c r="P754"/>
  <c r="M31" i="189" s="1"/>
  <c r="BD530" i="175"/>
  <c r="AF592"/>
  <c r="AF785" s="1"/>
  <c r="BB121"/>
  <c r="AI585"/>
  <c r="BF560"/>
  <c r="AV605"/>
  <c r="F509"/>
  <c r="G571"/>
  <c r="AX367"/>
  <c r="BF374"/>
  <c r="AI749"/>
  <c r="AF26" i="189" s="1"/>
  <c r="BB534" i="175"/>
  <c r="AE650"/>
  <c r="X587"/>
  <c r="AH780"/>
  <c r="AE57" i="189" s="1"/>
  <c r="S49" i="190"/>
  <c r="AZ455" i="175"/>
  <c r="AB777"/>
  <c r="Y54" i="189" s="1"/>
  <c r="AV32" i="175"/>
  <c r="AJ783"/>
  <c r="AG60" i="189" s="1"/>
  <c r="F507" i="175"/>
  <c r="G569"/>
  <c r="AX614"/>
  <c r="AZ508"/>
  <c r="V570"/>
  <c r="BB374"/>
  <c r="N653"/>
  <c r="AX597"/>
  <c r="BF308"/>
  <c r="BF122"/>
  <c r="AL568"/>
  <c r="BF680"/>
  <c r="BF614"/>
  <c r="X574"/>
  <c r="AC754"/>
  <c r="Z31" i="189" s="1"/>
  <c r="AE652" i="175"/>
  <c r="O20" i="190"/>
  <c r="R488" i="175"/>
  <c r="O651"/>
  <c r="AZ363"/>
  <c r="BB280"/>
  <c r="T569"/>
  <c r="BF340"/>
  <c r="K32" i="190"/>
  <c r="N500" i="175"/>
  <c r="BF332"/>
  <c r="AO497"/>
  <c r="AL29" i="190"/>
  <c r="P777" i="175"/>
  <c r="M54" i="189" s="1"/>
  <c r="AT784" i="175"/>
  <c r="AQ61" i="189" s="1"/>
  <c r="W587" i="175"/>
  <c r="L591"/>
  <c r="AV529"/>
  <c r="BB11"/>
  <c r="F40" i="190"/>
  <c r="AI751" i="175"/>
  <c r="AF28" i="189" s="1"/>
  <c r="BH506" i="175"/>
  <c r="AP568"/>
  <c r="I569"/>
  <c r="AK782"/>
  <c r="AH59" i="189" s="1"/>
  <c r="BF185" i="175"/>
  <c r="BH241"/>
  <c r="X778"/>
  <c r="U55" i="189" s="1"/>
  <c r="BD375" i="175"/>
  <c r="BF19"/>
  <c r="AL588"/>
  <c r="BH340"/>
  <c r="AZ99"/>
  <c r="BD436"/>
  <c r="AF498"/>
  <c r="AC30" i="190"/>
  <c r="AZ621" i="175"/>
  <c r="BH153"/>
  <c r="AP750"/>
  <c r="AM27" i="189" s="1"/>
  <c r="AC652" i="175"/>
  <c r="AQ565"/>
  <c r="BH4"/>
  <c r="AX365"/>
  <c r="AV608"/>
  <c r="AX116"/>
  <c r="I499"/>
  <c r="F31" i="190"/>
  <c r="K345" i="175"/>
  <c r="BD27"/>
  <c r="L565"/>
  <c r="AV503"/>
  <c r="X592"/>
  <c r="X785" s="1"/>
  <c r="U62" i="189" s="1"/>
  <c r="U783" i="175"/>
  <c r="R60" i="189" s="1"/>
  <c r="AF31" i="190"/>
  <c r="AI499" i="175"/>
  <c r="AE755"/>
  <c r="AB32" i="189" s="1"/>
  <c r="Y46" i="190"/>
  <c r="AZ30" i="175"/>
  <c r="L41" i="190"/>
  <c r="AA46"/>
  <c r="K576" i="175"/>
  <c r="L12" i="72"/>
  <c r="BH685" i="175"/>
  <c r="BH535"/>
  <c r="AV405"/>
  <c r="BH114"/>
  <c r="AZ302"/>
  <c r="Z754"/>
  <c r="W31" i="189" s="1"/>
  <c r="AO750" i="175"/>
  <c r="AL27" i="189" s="1"/>
  <c r="S26" i="190"/>
  <c r="AZ432" i="175"/>
  <c r="V494"/>
  <c r="AV686"/>
  <c r="AV11"/>
  <c r="BH119"/>
  <c r="AP782"/>
  <c r="AM59" i="189" s="1"/>
  <c r="BH185" i="175"/>
  <c r="M784"/>
  <c r="J61" i="189" s="1"/>
  <c r="AZ123" i="175"/>
  <c r="AX328"/>
  <c r="BD317"/>
  <c r="AV711"/>
  <c r="L649"/>
  <c r="P37" i="190"/>
  <c r="AZ334" i="175"/>
  <c r="F177"/>
  <c r="G774"/>
  <c r="D51" i="189" s="1"/>
  <c r="I40" i="190"/>
  <c r="AV446" i="175"/>
  <c r="F326"/>
  <c r="M650"/>
  <c r="AJ41" i="190"/>
  <c r="BD315" i="175"/>
  <c r="AF345"/>
  <c r="AO45" i="190"/>
  <c r="AZ9" i="175"/>
  <c r="AZ611"/>
  <c r="W498"/>
  <c r="T30" i="190"/>
  <c r="BD276" i="175"/>
  <c r="AH755"/>
  <c r="AE32" i="189" s="1"/>
  <c r="AZ370" i="175"/>
  <c r="AZ713"/>
  <c r="V651"/>
  <c r="AZ24"/>
  <c r="BF538"/>
  <c r="P750"/>
  <c r="AN345"/>
  <c r="J753"/>
  <c r="G30" i="189" s="1"/>
  <c r="Y755" i="175"/>
  <c r="V32" i="189" s="1"/>
  <c r="AE33" i="175"/>
  <c r="Q50" i="190"/>
  <c r="U42"/>
  <c r="BB430" i="175"/>
  <c r="X24" i="190"/>
  <c r="AA492" i="175"/>
  <c r="J494"/>
  <c r="G26" i="190"/>
  <c r="AX509" i="175"/>
  <c r="Q571"/>
  <c r="AD650"/>
  <c r="F219"/>
  <c r="R491"/>
  <c r="O23" i="190"/>
  <c r="BF215" i="175"/>
  <c r="AV318"/>
  <c r="Z496"/>
  <c r="W28" i="190"/>
  <c r="BF100" i="175"/>
  <c r="AX101"/>
  <c r="R653"/>
  <c r="AV363"/>
  <c r="AX321"/>
  <c r="AX124"/>
  <c r="AX24"/>
  <c r="BH607"/>
  <c r="I574"/>
  <c r="AO652"/>
  <c r="BF404"/>
  <c r="F511"/>
  <c r="G573"/>
  <c r="O779"/>
  <c r="L56" i="189" s="1"/>
  <c r="N376" i="175"/>
  <c r="AZ243"/>
  <c r="BH597"/>
  <c r="BD456"/>
  <c r="AC50" i="190"/>
  <c r="AX358" i="175"/>
  <c r="F315"/>
  <c r="G345"/>
  <c r="AH752"/>
  <c r="AE29" i="189" s="1"/>
  <c r="Y45" i="190"/>
  <c r="AS650" i="175"/>
  <c r="K755"/>
  <c r="H32" i="189" s="1"/>
  <c r="BB279" i="175"/>
  <c r="J492"/>
  <c r="G24" i="190"/>
  <c r="K778" i="175"/>
  <c r="H55" i="189" s="1"/>
  <c r="AG376" i="175"/>
  <c r="AH588"/>
  <c r="BF463"/>
  <c r="AN582"/>
  <c r="AZ96"/>
  <c r="BB103"/>
  <c r="BF623"/>
  <c r="AV85"/>
  <c r="R591"/>
  <c r="M573"/>
  <c r="BB354"/>
  <c r="U48" i="190"/>
  <c r="BH245" i="175"/>
  <c r="BF352"/>
  <c r="BH116"/>
  <c r="AX180"/>
  <c r="Q777"/>
  <c r="N54" i="189" s="1"/>
  <c r="AN782" i="175"/>
  <c r="AK59" i="189" s="1"/>
  <c r="AK38" i="190"/>
  <c r="R573" i="175"/>
  <c r="BB319"/>
  <c r="J574"/>
  <c r="BD278"/>
  <c r="Q494"/>
  <c r="N26" i="190"/>
  <c r="AX432" i="175"/>
  <c r="BH525"/>
  <c r="AP587"/>
  <c r="AT749"/>
  <c r="BB541"/>
  <c r="O41" i="190"/>
  <c r="AJ49"/>
  <c r="E32"/>
  <c r="H500" i="175"/>
  <c r="BF61"/>
  <c r="H778"/>
  <c r="E55" i="189" s="1"/>
  <c r="AV520" i="175"/>
  <c r="L582"/>
  <c r="BD555"/>
  <c r="BD342"/>
  <c r="H751"/>
  <c r="Q751"/>
  <c r="N28" i="189" s="1"/>
  <c r="AX154" i="175"/>
  <c r="AK752"/>
  <c r="AH29" i="189" s="1"/>
  <c r="BF155" i="175"/>
  <c r="N585"/>
  <c r="BH28"/>
  <c r="AV451"/>
  <c r="I45" i="190"/>
  <c r="AT345" i="175"/>
  <c r="BB373"/>
  <c r="F372"/>
  <c r="R37" i="190"/>
  <c r="AI571" i="175"/>
  <c r="BD443"/>
  <c r="AC37" i="190"/>
  <c r="AZ516" i="175"/>
  <c r="BF25"/>
  <c r="AD41" i="190"/>
  <c r="AO49"/>
  <c r="BD508" i="175"/>
  <c r="AF570"/>
  <c r="AP584"/>
  <c r="BH522"/>
  <c r="AZ312"/>
  <c r="BB86"/>
  <c r="AZ85"/>
  <c r="AR579"/>
  <c r="AN651"/>
  <c r="E29" i="190"/>
  <c r="H497" i="175"/>
  <c r="J38" i="190"/>
  <c r="K593" i="175"/>
  <c r="K786" s="1"/>
  <c r="H63" i="189" s="1"/>
  <c r="BD509" i="175"/>
  <c r="AF571"/>
  <c r="AZ184"/>
  <c r="V781"/>
  <c r="X48" i="190"/>
  <c r="BB454" i="175"/>
  <c r="BH601"/>
  <c r="BB403"/>
  <c r="L588"/>
  <c r="AV526"/>
  <c r="AM749"/>
  <c r="AJ26" i="189" s="1"/>
  <c r="BF91" i="175"/>
  <c r="AO32" i="190"/>
  <c r="AR500" i="175"/>
  <c r="AP31" i="190"/>
  <c r="AS499" i="175"/>
  <c r="Y592"/>
  <c r="Y785" s="1"/>
  <c r="V62" i="189" s="1"/>
  <c r="AX337" i="175"/>
  <c r="AX23"/>
  <c r="X568"/>
  <c r="L48" i="190"/>
  <c r="BF21" i="175"/>
  <c r="BB124"/>
  <c r="D44" i="190"/>
  <c r="F450" i="175"/>
  <c r="C44" i="190" s="1"/>
  <c r="U46"/>
  <c r="AV551" i="175"/>
  <c r="L574"/>
  <c r="AV512"/>
  <c r="O19" i="190"/>
  <c r="R487" i="175"/>
  <c r="O68" i="190" s="1"/>
  <c r="AE592" i="175"/>
  <c r="AE785" s="1"/>
  <c r="AB62" i="189" s="1"/>
  <c r="BD319" i="175"/>
  <c r="AH495"/>
  <c r="AE27" i="190"/>
  <c r="AX340" i="175"/>
  <c r="AZ89"/>
  <c r="AZ437"/>
  <c r="V499"/>
  <c r="S31" i="190"/>
  <c r="AP48"/>
  <c r="W571" i="175"/>
  <c r="AB48" i="190"/>
  <c r="O752" i="175"/>
  <c r="F281"/>
  <c r="AL573"/>
  <c r="AN586"/>
  <c r="BF278"/>
  <c r="BF16"/>
  <c r="J19" i="190"/>
  <c r="M487" i="175"/>
  <c r="J68" i="190" s="1"/>
  <c r="AX453" i="175"/>
  <c r="N47" i="190"/>
  <c r="BD684" i="175"/>
  <c r="AK44" i="190"/>
  <c r="T782" i="175"/>
  <c r="AL567"/>
  <c r="AG751"/>
  <c r="AD28" i="189" s="1"/>
  <c r="AB568" i="175"/>
  <c r="AE584"/>
  <c r="BD22"/>
  <c r="AG31" i="190"/>
  <c r="AJ499" i="175"/>
  <c r="L781"/>
  <c r="AV184"/>
  <c r="F534"/>
  <c r="BD311"/>
  <c r="BH17"/>
  <c r="R498"/>
  <c r="O30" i="190"/>
  <c r="BB301" i="175"/>
  <c r="BD374"/>
  <c r="R778"/>
  <c r="O55" i="189" s="1"/>
  <c r="AV29" i="175"/>
  <c r="AN579"/>
  <c r="R569"/>
  <c r="M493"/>
  <c r="J25" i="190"/>
  <c r="AE653" i="175"/>
  <c r="BD123"/>
  <c r="BD31"/>
  <c r="F427"/>
  <c r="C21" i="190" s="1"/>
  <c r="D21"/>
  <c r="G489" i="175"/>
  <c r="AZ8"/>
  <c r="BD610"/>
  <c r="AJ487"/>
  <c r="AG68" i="190" s="1"/>
  <c r="AG19"/>
  <c r="AI41"/>
  <c r="AZ310" i="175"/>
  <c r="AT33"/>
  <c r="BD599"/>
  <c r="T779"/>
  <c r="Q56" i="189" s="1"/>
  <c r="AX105" i="175"/>
  <c r="BH321"/>
  <c r="X570"/>
  <c r="AE37" i="190"/>
  <c r="AA44"/>
  <c r="AZ117" i="175"/>
  <c r="W45" i="190"/>
  <c r="BD596" i="175"/>
  <c r="AR651"/>
  <c r="AA37" i="190"/>
  <c r="M593" i="175"/>
  <c r="BD115"/>
  <c r="V41" i="190"/>
  <c r="T574" i="175"/>
  <c r="BF12"/>
  <c r="AC574"/>
  <c r="AP749"/>
  <c r="AM26" i="189" s="1"/>
  <c r="BH152" i="175"/>
  <c r="I24" i="190"/>
  <c r="L492" i="175"/>
  <c r="AV430"/>
  <c r="AZ218"/>
  <c r="Z48" i="190"/>
  <c r="AF593" i="175"/>
  <c r="AF786" s="1"/>
  <c r="AC63" i="189" s="1"/>
  <c r="BD531" i="175"/>
  <c r="BF685"/>
  <c r="I781"/>
  <c r="F58" i="189" s="1"/>
  <c r="N46" i="190"/>
  <c r="AX452" i="175"/>
  <c r="J565"/>
  <c r="AX599"/>
  <c r="AR573"/>
  <c r="AB591"/>
  <c r="Y591"/>
  <c r="BF601"/>
  <c r="AZ276"/>
  <c r="H573"/>
  <c r="AK777"/>
  <c r="AH54" i="189" s="1"/>
  <c r="BF180" i="175"/>
  <c r="BF18"/>
  <c r="H752"/>
  <c r="E29" i="189" s="1"/>
  <c r="AM583" i="175"/>
  <c r="L567"/>
  <c r="AV505"/>
  <c r="BH216"/>
  <c r="I752"/>
  <c r="F29" i="189" s="1"/>
  <c r="BF684" i="175"/>
  <c r="BF359"/>
  <c r="AI40" i="190"/>
  <c r="BF609" i="175"/>
  <c r="J592"/>
  <c r="J785" s="1"/>
  <c r="G62" i="189" s="1"/>
  <c r="AF651" i="175"/>
  <c r="BD713"/>
  <c r="M30" i="190"/>
  <c r="P498" i="175"/>
  <c r="AZ615"/>
  <c r="AD780"/>
  <c r="AA57" i="189" s="1"/>
  <c r="L579" i="175"/>
  <c r="AV517"/>
  <c r="AZ18"/>
  <c r="H650"/>
  <c r="BH29"/>
  <c r="BB615"/>
  <c r="X584"/>
  <c r="H489"/>
  <c r="E21" i="190"/>
  <c r="AD497" i="175"/>
  <c r="AA29" i="190"/>
  <c r="AZ620" i="175"/>
  <c r="X625"/>
  <c r="BD452"/>
  <c r="AC46" i="190"/>
  <c r="AJ582" i="175"/>
  <c r="Z752"/>
  <c r="W29" i="189" s="1"/>
  <c r="AX60" i="175"/>
  <c r="BH348"/>
  <c r="R39" i="190"/>
  <c r="AD50"/>
  <c r="BB405" i="175"/>
  <c r="AV58"/>
  <c r="BF367"/>
  <c r="H40" i="190"/>
  <c r="X45"/>
  <c r="BB451" i="175"/>
  <c r="AZ244"/>
  <c r="AB778"/>
  <c r="Y55" i="189" s="1"/>
  <c r="AX516" i="175"/>
  <c r="R587"/>
  <c r="I750"/>
  <c r="F27" i="189" s="1"/>
  <c r="BD604" i="175"/>
  <c r="BB348"/>
  <c r="AO776"/>
  <c r="AL53" i="189" s="1"/>
  <c r="AX618" i="175"/>
  <c r="BB278"/>
  <c r="AX305"/>
  <c r="BH122"/>
  <c r="AX460"/>
  <c r="AI492"/>
  <c r="AF24" i="190"/>
  <c r="AJ782" i="175"/>
  <c r="AG59" i="189" s="1"/>
  <c r="T775" i="175"/>
  <c r="Q52" i="189" s="1"/>
  <c r="AE495" i="175"/>
  <c r="AB27" i="190"/>
  <c r="F322" i="175"/>
  <c r="I345"/>
  <c r="AR498"/>
  <c r="AO30" i="190"/>
  <c r="AH40"/>
  <c r="BF446" i="175"/>
  <c r="F462"/>
  <c r="BD16"/>
  <c r="BH683"/>
  <c r="AM24" i="190"/>
  <c r="AP492" i="175"/>
  <c r="BH430"/>
  <c r="AV351"/>
  <c r="W569"/>
  <c r="AM649"/>
  <c r="AK42" i="190"/>
  <c r="AN487" i="175"/>
  <c r="AK68" i="190" s="1"/>
  <c r="AK19"/>
  <c r="O497" i="175"/>
  <c r="L29" i="190"/>
  <c r="AQ29"/>
  <c r="AT497" i="175"/>
  <c r="AX537"/>
  <c r="AZ443"/>
  <c r="S37" i="190"/>
  <c r="AH652" i="175"/>
  <c r="AV241"/>
  <c r="P778"/>
  <c r="M55" i="189" s="1"/>
  <c r="F685" i="175"/>
  <c r="BD371"/>
  <c r="BF323"/>
  <c r="AD376"/>
  <c r="P25" i="190"/>
  <c r="S493" i="175"/>
  <c r="AK20" i="190"/>
  <c r="AN488" i="175"/>
  <c r="F443"/>
  <c r="C37" i="190" s="1"/>
  <c r="D37"/>
  <c r="AV467" i="175"/>
  <c r="AQ591"/>
  <c r="U781"/>
  <c r="R58" i="189" s="1"/>
  <c r="AX611" i="175"/>
  <c r="BB401"/>
  <c r="BD361"/>
  <c r="AO583"/>
  <c r="BB60"/>
  <c r="AH778"/>
  <c r="AE55" i="189" s="1"/>
  <c r="Z44" i="190"/>
  <c r="AZ304" i="175"/>
  <c r="AQ582"/>
  <c r="N589"/>
  <c r="AB28" i="190"/>
  <c r="AE496" i="175"/>
  <c r="Y584"/>
  <c r="F19" i="190"/>
  <c r="I487" i="175"/>
  <c r="F68" i="190" s="1"/>
  <c r="BF218" i="175"/>
  <c r="BF27"/>
  <c r="AA754"/>
  <c r="X31" i="189" s="1"/>
  <c r="BB157" i="175"/>
  <c r="AX711"/>
  <c r="Q649"/>
  <c r="K487"/>
  <c r="H68" i="190" s="1"/>
  <c r="H19"/>
  <c r="BB334" i="175"/>
  <c r="J593"/>
  <c r="J786" s="1"/>
  <c r="G63" i="189" s="1"/>
  <c r="AF37" i="190"/>
  <c r="Y754" i="175"/>
  <c r="AX57"/>
  <c r="S583"/>
  <c r="Z42" i="190"/>
  <c r="T44"/>
  <c r="BB317" i="175"/>
  <c r="AR652"/>
  <c r="AR775"/>
  <c r="AO52" i="189" s="1"/>
  <c r="G591" i="175"/>
  <c r="F529"/>
  <c r="G563"/>
  <c r="F533"/>
  <c r="BD543"/>
  <c r="AS585"/>
  <c r="AV124"/>
  <c r="AC40" i="190"/>
  <c r="BD446" i="175"/>
  <c r="BB329"/>
  <c r="BD370"/>
  <c r="BH317"/>
  <c r="BH534"/>
  <c r="Y585"/>
  <c r="AM570"/>
  <c r="AE780"/>
  <c r="AB57" i="189" s="1"/>
  <c r="BD369" i="175"/>
  <c r="AR779"/>
  <c r="AO56" i="189" s="1"/>
  <c r="AJ625" i="175"/>
  <c r="BH684"/>
  <c r="Z593"/>
  <c r="Z786" s="1"/>
  <c r="AD26" i="190"/>
  <c r="AG494" i="175"/>
  <c r="Q589"/>
  <c r="AX527"/>
  <c r="K20" i="190"/>
  <c r="N488" i="175"/>
  <c r="AO23" i="72"/>
  <c r="AV329" i="175"/>
  <c r="O592"/>
  <c r="O785" s="1"/>
  <c r="L62" i="189" s="1"/>
  <c r="BF468" i="175"/>
  <c r="J650"/>
  <c r="O783"/>
  <c r="L60" i="189" s="1"/>
  <c r="BH31" i="175"/>
  <c r="AJ592"/>
  <c r="AJ785" s="1"/>
  <c r="AG62" i="189" s="1"/>
  <c r="BD20" i="175"/>
  <c r="F374"/>
  <c r="Y653"/>
  <c r="Y652"/>
  <c r="F39" i="190"/>
  <c r="BH105" i="175"/>
  <c r="AM37" i="190"/>
  <c r="BH443" i="175"/>
  <c r="AZ524"/>
  <c r="V586"/>
  <c r="BF511"/>
  <c r="AK573"/>
  <c r="BH189"/>
  <c r="BD310"/>
  <c r="AB652"/>
  <c r="AV339"/>
  <c r="F357"/>
  <c r="X783"/>
  <c r="U60" i="189" s="1"/>
  <c r="AX556" i="175"/>
  <c r="AH583"/>
  <c r="AV609"/>
  <c r="AZ339"/>
  <c r="AV22"/>
  <c r="AZ25"/>
  <c r="U778"/>
  <c r="R55" i="189" s="1"/>
  <c r="AX11" i="175"/>
  <c r="AZ355"/>
  <c r="AN46" i="190"/>
  <c r="BD343" i="175"/>
  <c r="AZ83"/>
  <c r="AV604"/>
  <c r="AZ219"/>
  <c r="X649"/>
  <c r="AP42" i="190"/>
  <c r="E24"/>
  <c r="H492" i="175"/>
  <c r="BF375"/>
  <c r="AI50" i="190"/>
  <c r="M500" i="175"/>
  <c r="J32" i="190"/>
  <c r="BB623" i="175"/>
  <c r="BD336"/>
  <c r="AP775"/>
  <c r="AM52" i="189" s="1"/>
  <c r="BH178" i="175"/>
  <c r="AP498"/>
  <c r="BH436"/>
  <c r="AM30" i="190"/>
  <c r="AX402" i="175"/>
  <c r="Z49" i="190"/>
  <c r="AV92" i="175"/>
  <c r="AX425"/>
  <c r="Q487"/>
  <c r="N68" i="190" s="1"/>
  <c r="N19"/>
  <c r="AI376" i="175"/>
  <c r="AK568"/>
  <c r="BF506"/>
  <c r="BD240"/>
  <c r="AK49" i="190"/>
  <c r="Y497" i="175"/>
  <c r="V29" i="190"/>
  <c r="BF59" i="175"/>
  <c r="W579"/>
  <c r="AQ497"/>
  <c r="AN29" i="190"/>
  <c r="U376" i="175"/>
  <c r="AZ598"/>
  <c r="S494"/>
  <c r="P26" i="190"/>
  <c r="AD783" i="175"/>
  <c r="AA60" i="189" s="1"/>
  <c r="AV324" i="175"/>
  <c r="AD582"/>
  <c r="AZ357"/>
  <c r="BH14"/>
  <c r="L38" i="190"/>
  <c r="F620" i="175"/>
  <c r="AF750"/>
  <c r="AC27" i="189" s="1"/>
  <c r="BD153" i="175"/>
  <c r="M776"/>
  <c r="J53" i="189" s="1"/>
  <c r="AV443" i="175"/>
  <c r="I37" i="190"/>
  <c r="AL493" i="175"/>
  <c r="AI25" i="190"/>
  <c r="AZ12" i="175"/>
  <c r="X487"/>
  <c r="U68" i="190" s="1"/>
  <c r="U19"/>
  <c r="BH240" i="175"/>
  <c r="AX317"/>
  <c r="AH651"/>
  <c r="F18"/>
  <c r="AM567"/>
  <c r="U753"/>
  <c r="R30" i="189" s="1"/>
  <c r="AH775" i="175"/>
  <c r="AE52" i="189" s="1"/>
  <c r="AR780" i="175"/>
  <c r="AO57" i="189" s="1"/>
  <c r="BD534" i="175"/>
  <c r="BH371"/>
  <c r="AC651"/>
  <c r="AX354"/>
  <c r="F356"/>
  <c r="M582"/>
  <c r="BF556"/>
  <c r="F537"/>
  <c r="M565"/>
  <c r="BF329"/>
  <c r="AE42" i="190"/>
  <c r="AZ543" i="175"/>
  <c r="N21" i="190"/>
  <c r="AX427" i="175"/>
  <c r="Q489"/>
  <c r="AH487"/>
  <c r="AE68" i="190" s="1"/>
  <c r="AE19"/>
  <c r="AH31"/>
  <c r="AK499" i="175"/>
  <c r="BF437"/>
  <c r="AB37" i="190"/>
  <c r="U776" i="175"/>
  <c r="R53" i="189" s="1"/>
  <c r="AH32" i="190"/>
  <c r="AK500" i="175"/>
  <c r="BF438"/>
  <c r="BF602"/>
  <c r="AP590"/>
  <c r="BH528"/>
  <c r="I571"/>
  <c r="Y783"/>
  <c r="V60" i="189" s="1"/>
  <c r="BD429" i="175"/>
  <c r="AF491"/>
  <c r="AC23" i="190"/>
  <c r="AC491" i="175"/>
  <c r="Z23" i="190"/>
  <c r="BH21" i="175"/>
  <c r="J625"/>
  <c r="BD453"/>
  <c r="AC47" i="190"/>
  <c r="AZ616" i="175"/>
  <c r="G45" i="190"/>
  <c r="AX15" i="175"/>
  <c r="Y650"/>
  <c r="X44" i="190"/>
  <c r="BB450" i="175"/>
  <c r="P41" i="190"/>
  <c r="AX94" i="175"/>
  <c r="AX602"/>
  <c r="U593"/>
  <c r="U786" s="1"/>
  <c r="R63" i="189" s="1"/>
  <c r="AR496" i="175"/>
  <c r="AO28" i="190"/>
  <c r="F468" i="175"/>
  <c r="J591"/>
  <c r="AX436"/>
  <c r="Q498"/>
  <c r="N30" i="190"/>
  <c r="AX405" i="175"/>
  <c r="AT780"/>
  <c r="AQ57" i="189" s="1"/>
  <c r="W573" i="175"/>
  <c r="BB23"/>
  <c r="F319"/>
  <c r="P590"/>
  <c r="AD587"/>
  <c r="BH540"/>
  <c r="BB684"/>
  <c r="BH220"/>
  <c r="S753"/>
  <c r="P30" i="189" s="1"/>
  <c r="BD328" i="175"/>
  <c r="AX342"/>
  <c r="O589"/>
  <c r="Z649"/>
  <c r="AZ23"/>
  <c r="AT492"/>
  <c r="AQ24" i="190"/>
  <c r="BD185" i="175"/>
  <c r="AF782"/>
  <c r="AC59" i="189" s="1"/>
  <c r="BD544" i="175"/>
  <c r="Z584"/>
  <c r="AB593"/>
  <c r="AB786" s="1"/>
  <c r="Y63" i="189" s="1"/>
  <c r="W39" i="190"/>
  <c r="AB653" i="175"/>
  <c r="O780"/>
  <c r="L57" i="189" s="1"/>
  <c r="AL574" i="175"/>
  <c r="AB40" i="190"/>
  <c r="AO19"/>
  <c r="AR487" i="175"/>
  <c r="AO68" i="190" s="1"/>
  <c r="G580" i="175"/>
  <c r="F518"/>
  <c r="Q570"/>
  <c r="AX508"/>
  <c r="AX100"/>
  <c r="BH352"/>
  <c r="AI650"/>
  <c r="AZ102"/>
  <c r="AX332"/>
  <c r="AH48" i="190"/>
  <c r="BF454" i="175"/>
  <c r="O27" i="190"/>
  <c r="R495" i="175"/>
  <c r="W25" i="190"/>
  <c r="Z493" i="175"/>
  <c r="AT590"/>
  <c r="AZ538"/>
  <c r="I780"/>
  <c r="F57" i="189" s="1"/>
  <c r="O750" i="175"/>
  <c r="L27" i="189" s="1"/>
  <c r="AT653" i="175"/>
  <c r="AM29" i="190"/>
  <c r="BH435" i="175"/>
  <c r="AP497"/>
  <c r="BH618"/>
  <c r="BH682"/>
  <c r="BH343"/>
  <c r="BH82"/>
  <c r="AA587"/>
  <c r="BB525"/>
  <c r="AE783"/>
  <c r="AB60" i="189" s="1"/>
  <c r="AT584" i="175"/>
  <c r="AM489"/>
  <c r="AJ21" i="190"/>
  <c r="L31"/>
  <c r="O499" i="175"/>
  <c r="M574"/>
  <c r="AN781"/>
  <c r="AK58" i="189" s="1"/>
  <c r="G581" i="175"/>
  <c r="F519"/>
  <c r="AN753"/>
  <c r="AK30" i="189" s="1"/>
  <c r="X585" i="175"/>
  <c r="AS590"/>
  <c r="Q585"/>
  <c r="AX523"/>
  <c r="AE44" i="190"/>
  <c r="P33" i="175"/>
  <c r="X753"/>
  <c r="BD101"/>
  <c r="AO500"/>
  <c r="AL32" i="190"/>
  <c r="BB177" i="175"/>
  <c r="AC42" i="190"/>
  <c r="BD448" i="175"/>
  <c r="F405"/>
  <c r="AD39" i="190"/>
  <c r="BF619" i="175"/>
  <c r="T754"/>
  <c r="Q31" i="189" s="1"/>
  <c r="BB26" i="175"/>
  <c r="BD533"/>
  <c r="AX617"/>
  <c r="AH777"/>
  <c r="AE54" i="189" s="1"/>
  <c r="AZ372" i="175"/>
  <c r="AV322"/>
  <c r="BF356"/>
  <c r="T781"/>
  <c r="Q58" i="189" s="1"/>
  <c r="AJ781" i="175"/>
  <c r="AG58" i="189" s="1"/>
  <c r="V751" i="175"/>
  <c r="S28" i="189" s="1"/>
  <c r="AZ154" i="175"/>
  <c r="E27" i="190"/>
  <c r="H495" i="175"/>
  <c r="N749"/>
  <c r="AS775"/>
  <c r="AP52" i="189" s="1"/>
  <c r="N41" i="190"/>
  <c r="AX447" i="175"/>
  <c r="AF779"/>
  <c r="AC56" i="189" s="1"/>
  <c r="BD182" i="175"/>
  <c r="AX538"/>
  <c r="AZ373"/>
  <c r="AO593"/>
  <c r="AO786" s="1"/>
  <c r="AL63" i="189" s="1"/>
  <c r="AV301" i="175"/>
  <c r="BB613"/>
  <c r="AX621"/>
  <c r="AI783"/>
  <c r="AF60" i="189" s="1"/>
  <c r="BF277" i="175"/>
  <c r="L33"/>
  <c r="AV3"/>
  <c r="BH251"/>
  <c r="BF328"/>
  <c r="V33"/>
  <c r="AZ3"/>
  <c r="U589"/>
  <c r="BF60"/>
  <c r="AN48" i="190"/>
  <c r="AZ535" i="175"/>
  <c r="AN569"/>
  <c r="F598"/>
  <c r="S775"/>
  <c r="P52" i="189" s="1"/>
  <c r="Z652" i="175"/>
  <c r="BD282"/>
  <c r="BH614"/>
  <c r="AE26" i="190"/>
  <c r="AH494" i="175"/>
  <c r="BD5"/>
  <c r="BH279"/>
  <c r="AR753"/>
  <c r="AO30" i="189" s="1"/>
  <c r="J45" i="190"/>
  <c r="S574" i="175"/>
  <c r="AZ557"/>
  <c r="T753"/>
  <c r="Q30" i="189" s="1"/>
  <c r="AT649" i="175"/>
  <c r="W41" i="190"/>
  <c r="I653" i="175"/>
  <c r="V784"/>
  <c r="S61" i="189" s="1"/>
  <c r="AZ187" i="175"/>
  <c r="T651"/>
  <c r="Y588"/>
  <c r="M652"/>
  <c r="AX119"/>
  <c r="AF20" i="190"/>
  <c r="AI488" i="175"/>
  <c r="AI49" i="190"/>
  <c r="H47"/>
  <c r="Y565" i="175"/>
  <c r="BH462"/>
  <c r="AV278"/>
  <c r="AZ558"/>
  <c r="AX16"/>
  <c r="AV617"/>
  <c r="AV323"/>
  <c r="BF519"/>
  <c r="AV152"/>
  <c r="L749"/>
  <c r="I26" i="189" s="1"/>
  <c r="S579" i="175"/>
  <c r="BD6"/>
  <c r="BB359"/>
  <c r="M579"/>
  <c r="AQ499"/>
  <c r="AN31" i="190"/>
  <c r="AM590" i="175"/>
  <c r="BH325"/>
  <c r="AQ44" i="190"/>
  <c r="Z653" i="175"/>
  <c r="AX26"/>
  <c r="BD348"/>
  <c r="M586"/>
  <c r="BD308"/>
  <c r="AX120"/>
  <c r="BF113"/>
  <c r="V489"/>
  <c r="AZ427"/>
  <c r="S21" i="190"/>
  <c r="BD277" i="175"/>
  <c r="AV536"/>
  <c r="AZ81"/>
  <c r="F611"/>
  <c r="AS781"/>
  <c r="AP58" i="189" s="1"/>
  <c r="J499" i="175"/>
  <c r="G31" i="190"/>
  <c r="BD324" i="175"/>
  <c r="AO755"/>
  <c r="AL32" i="189" s="1"/>
  <c r="BB188" i="175"/>
  <c r="AZ330"/>
  <c r="AN587"/>
  <c r="U570"/>
  <c r="AK31" i="190"/>
  <c r="AN499" i="175"/>
  <c r="AD490"/>
  <c r="AA22" i="190"/>
  <c r="S567" i="175"/>
  <c r="AG21" i="190"/>
  <c r="AJ489" i="175"/>
  <c r="T780"/>
  <c r="Q57" i="189" s="1"/>
  <c r="Y781" i="175"/>
  <c r="V58" i="189" s="1"/>
  <c r="J572" i="175"/>
  <c r="T570"/>
  <c r="BB316"/>
  <c r="BH355"/>
  <c r="AG24" i="190"/>
  <c r="AJ492" i="175"/>
  <c r="AA567"/>
  <c r="BB505"/>
  <c r="F517"/>
  <c r="G579"/>
  <c r="AV214"/>
  <c r="BD365"/>
  <c r="BB713"/>
  <c r="AA651"/>
  <c r="BD19"/>
  <c r="BF465"/>
  <c r="BH453"/>
  <c r="AM47" i="190"/>
  <c r="AK30"/>
  <c r="AN498" i="175"/>
  <c r="J33"/>
  <c r="BH342"/>
  <c r="AL494"/>
  <c r="AI26" i="190"/>
  <c r="BD605" i="175"/>
  <c r="W50" i="190"/>
  <c r="AG776" i="175"/>
  <c r="AD53" i="189" s="1"/>
  <c r="T20" i="190"/>
  <c r="W488" i="175"/>
  <c r="AE573"/>
  <c r="BH238"/>
  <c r="AZ341"/>
  <c r="T27" i="190"/>
  <c r="W495" i="175"/>
  <c r="AN784"/>
  <c r="AK61" i="189" s="1"/>
  <c r="R19" i="190"/>
  <c r="U487" i="175"/>
  <c r="R68" i="190" s="1"/>
  <c r="BD368" i="175"/>
  <c r="BH330"/>
  <c r="AD37" i="190"/>
  <c r="AO565" i="175"/>
  <c r="AX375"/>
  <c r="BH467"/>
  <c r="AN50" i="190"/>
  <c r="F247" i="175"/>
  <c r="AJ780"/>
  <c r="BD92"/>
  <c r="BD525"/>
  <c r="AF587"/>
  <c r="BF464"/>
  <c r="BB61"/>
  <c r="F608"/>
  <c r="F597"/>
  <c r="K42" i="190"/>
  <c r="AX312" i="175"/>
  <c r="AV448"/>
  <c r="I42" i="190"/>
  <c r="N38"/>
  <c r="AX444" i="175"/>
  <c r="AZ365"/>
  <c r="BB351"/>
  <c r="BD595"/>
  <c r="AF625"/>
  <c r="O585"/>
  <c r="AO42" i="190"/>
  <c r="BD468" i="175"/>
  <c r="K579"/>
  <c r="I586"/>
  <c r="AJ570"/>
  <c r="AH493"/>
  <c r="AE25" i="190"/>
  <c r="AV524" i="175"/>
  <c r="L586"/>
  <c r="AZ617"/>
  <c r="AT591"/>
  <c r="AZ324"/>
  <c r="F324"/>
  <c r="AZ351"/>
  <c r="Z50" i="190"/>
  <c r="W29"/>
  <c r="Z497" i="175"/>
  <c r="U591"/>
  <c r="AE571"/>
  <c r="AO345"/>
  <c r="AZ63"/>
  <c r="BF603"/>
  <c r="M592"/>
  <c r="M785" s="1"/>
  <c r="J62" i="189" s="1"/>
  <c r="AV25" i="175"/>
  <c r="F41" i="190"/>
  <c r="BB7" i="175"/>
  <c r="Y571"/>
  <c r="AB38" i="190"/>
  <c r="Y777" i="175"/>
  <c r="V54" i="189" s="1"/>
  <c r="BB356" i="175"/>
  <c r="AJ38" i="190"/>
  <c r="I48"/>
  <c r="AV454" i="175"/>
  <c r="F180"/>
  <c r="G777"/>
  <c r="D54" i="189" s="1"/>
  <c r="AG584" i="175"/>
  <c r="D47" i="190"/>
  <c r="F453" i="175"/>
  <c r="C47" i="190" s="1"/>
  <c r="AG570" i="175"/>
  <c r="BF245"/>
  <c r="W21" i="190"/>
  <c r="Z489" i="175"/>
  <c r="Y49" i="190"/>
  <c r="F558" i="175"/>
  <c r="AO39" i="190"/>
  <c r="BD97" i="175"/>
  <c r="AL591"/>
  <c r="AJ586"/>
  <c r="AZ342"/>
  <c r="AM33"/>
  <c r="BD680"/>
  <c r="BF87"/>
  <c r="AN38" i="190"/>
  <c r="AV117" i="175"/>
  <c r="AV123"/>
  <c r="AV215"/>
  <c r="AB49" i="190"/>
  <c r="L27"/>
  <c r="O495" i="175"/>
  <c r="N20" i="190"/>
  <c r="Q488" i="175"/>
  <c r="AX426"/>
  <c r="BD100"/>
  <c r="N590"/>
  <c r="BF613"/>
  <c r="AA650"/>
  <c r="BB712"/>
  <c r="BH681"/>
  <c r="H625"/>
  <c r="AE591"/>
  <c r="AQ47" i="190"/>
  <c r="K784" i="175"/>
  <c r="H61" i="189" s="1"/>
  <c r="X19" i="190"/>
  <c r="AA487" i="175"/>
  <c r="X68" i="190" s="1"/>
  <c r="BB425" i="175"/>
  <c r="AZ523"/>
  <c r="V585"/>
  <c r="AZ465"/>
  <c r="R496"/>
  <c r="O28" i="190"/>
  <c r="AX544" i="175"/>
  <c r="AS783"/>
  <c r="AP60" i="189" s="1"/>
  <c r="AZ189" i="175"/>
  <c r="BD326"/>
  <c r="G470"/>
  <c r="D51" i="190" s="1"/>
  <c r="D34"/>
  <c r="F333" i="175"/>
  <c r="L21" i="190"/>
  <c r="O489" i="175"/>
  <c r="N582"/>
  <c r="AZ601"/>
  <c r="AT651"/>
  <c r="BB88"/>
  <c r="BF312"/>
  <c r="AV119"/>
  <c r="AV356"/>
  <c r="BD188"/>
  <c r="BD327"/>
  <c r="W652"/>
  <c r="R751"/>
  <c r="O28" i="189" s="1"/>
  <c r="AH753" i="175"/>
  <c r="AE30" i="189" s="1"/>
  <c r="I778" i="175"/>
  <c r="F55" i="189" s="1"/>
  <c r="AV23" i="175"/>
  <c r="AV683"/>
  <c r="BF403"/>
  <c r="T573"/>
  <c r="T752"/>
  <c r="Q29" i="189" s="1"/>
  <c r="K30" i="190"/>
  <c r="N498" i="175"/>
  <c r="I779"/>
  <c r="F56" i="189" s="1"/>
  <c r="J587" i="175"/>
  <c r="AZ623"/>
  <c r="AH500"/>
  <c r="AE32" i="190"/>
  <c r="D25"/>
  <c r="G493" i="175"/>
  <c r="F431"/>
  <c r="C25" i="190" s="1"/>
  <c r="J775" i="175"/>
  <c r="G52" i="189" s="1"/>
  <c r="AX616" i="175"/>
  <c r="S376"/>
  <c r="BH457"/>
  <c r="AV89"/>
  <c r="BF364"/>
  <c r="AZ329"/>
  <c r="AC27" i="190"/>
  <c r="BD433" i="175"/>
  <c r="AF495"/>
  <c r="BD219"/>
  <c r="BF28"/>
  <c r="F403"/>
  <c r="AV402"/>
  <c r="BH606"/>
  <c r="AB574"/>
  <c r="U653"/>
  <c r="BB341"/>
  <c r="BF187"/>
  <c r="AK784"/>
  <c r="AH61" i="189" s="1"/>
  <c r="AQ39" i="190"/>
  <c r="AG782" i="175"/>
  <c r="AD59" i="189" s="1"/>
  <c r="K650" i="175"/>
  <c r="AX121"/>
  <c r="BD469"/>
  <c r="AJ565"/>
  <c r="BD320"/>
  <c r="AD592"/>
  <c r="AD785" s="1"/>
  <c r="AA62" i="189" s="1"/>
  <c r="AA40" i="190"/>
  <c r="AM781" i="175"/>
  <c r="AJ58" i="189" s="1"/>
  <c r="AM42" i="190"/>
  <c r="BH448" i="175"/>
  <c r="AC591"/>
  <c r="V345"/>
  <c r="AZ315"/>
  <c r="V38" i="190"/>
  <c r="AV624" i="175"/>
  <c r="Q45" i="190"/>
  <c r="AZ120" i="175"/>
  <c r="AQ495"/>
  <c r="AN27" i="190"/>
  <c r="BF616" i="175"/>
  <c r="AG497"/>
  <c r="AD29" i="190"/>
  <c r="BF4" i="175"/>
  <c r="AZ686"/>
  <c r="F617"/>
  <c r="I489"/>
  <c r="F21" i="190"/>
  <c r="AE649" i="175"/>
  <c r="AI497"/>
  <c r="AF29" i="190"/>
  <c r="AG571" i="175"/>
  <c r="AJ500"/>
  <c r="AG32" i="190"/>
  <c r="AG44"/>
  <c r="AR491" i="175"/>
  <c r="AO23" i="190"/>
  <c r="AX125" i="175"/>
  <c r="S569"/>
  <c r="AV598"/>
  <c r="R590"/>
  <c r="AV18"/>
  <c r="BD29"/>
  <c r="AG45" i="190"/>
  <c r="R32"/>
  <c r="U500" i="175"/>
  <c r="AR755"/>
  <c r="AO32" i="189" s="1"/>
  <c r="AA584" i="175"/>
  <c r="BB522"/>
  <c r="AK50" i="190"/>
  <c r="O29"/>
  <c r="R497" i="175"/>
  <c r="BD245"/>
  <c r="I500"/>
  <c r="F32" i="190"/>
  <c r="AR593" i="175"/>
  <c r="AR786" s="1"/>
  <c r="AO63" i="189" s="1"/>
  <c r="BH557" i="175"/>
  <c r="BD280"/>
  <c r="AC783"/>
  <c r="Z60" i="189" s="1"/>
  <c r="AZ100" i="175"/>
  <c r="AJ579"/>
  <c r="AZ402"/>
  <c r="BF597"/>
  <c r="F50" i="190"/>
  <c r="AM49"/>
  <c r="BH455" i="175"/>
  <c r="AG777"/>
  <c r="AD54" i="189" s="1"/>
  <c r="U779" i="175"/>
  <c r="R56" i="189" s="1"/>
  <c r="AE39" i="190"/>
  <c r="AS649" i="175"/>
  <c r="I782"/>
  <c r="F59" i="189" s="1"/>
  <c r="BF558" i="175"/>
  <c r="BB330"/>
  <c r="AV307"/>
  <c r="T376"/>
  <c r="AV100"/>
  <c r="AZ88"/>
  <c r="AJ376"/>
  <c r="AZ403"/>
  <c r="O565"/>
  <c r="AD22" i="190"/>
  <c r="AG490" i="175"/>
  <c r="AF40" i="190"/>
  <c r="AV122" i="175"/>
  <c r="BD683"/>
  <c r="AN41" i="190"/>
  <c r="AV238" i="175"/>
  <c r="V23" i="190"/>
  <c r="Y491" i="175"/>
  <c r="AZ527"/>
  <c r="V589"/>
  <c r="X651"/>
  <c r="AN500"/>
  <c r="AK32" i="190"/>
  <c r="BF358" i="175"/>
  <c r="AG784"/>
  <c r="AD61" i="189" s="1"/>
  <c r="BF542" i="175"/>
  <c r="AZ607"/>
  <c r="L782"/>
  <c r="I59" i="189" s="1"/>
  <c r="AV185" i="175"/>
  <c r="AQ652"/>
  <c r="AX249"/>
  <c r="AX117"/>
  <c r="BH363"/>
  <c r="AD33"/>
  <c r="AP45" i="190"/>
  <c r="AZ308" i="175"/>
  <c r="AX531"/>
  <c r="Q593"/>
  <c r="Q786" s="1"/>
  <c r="N63" i="189" s="1"/>
  <c r="Z571" i="175"/>
  <c r="S570"/>
  <c r="AR784"/>
  <c r="AV303"/>
  <c r="BB360"/>
  <c r="AZ309"/>
  <c r="AA39" i="190"/>
  <c r="AX215" i="175"/>
  <c r="T585"/>
  <c r="BB338"/>
  <c r="AX600"/>
  <c r="AV9"/>
  <c r="AZ58"/>
  <c r="BD178"/>
  <c r="AF775"/>
  <c r="AZ248"/>
  <c r="BH552"/>
  <c r="BB323"/>
  <c r="BD241"/>
  <c r="P649"/>
  <c r="BH239"/>
  <c r="BB243"/>
  <c r="H23" i="190"/>
  <c r="K491" i="175"/>
  <c r="H579"/>
  <c r="AB784"/>
  <c r="Y61" i="189" s="1"/>
  <c r="S41" i="190"/>
  <c r="AZ447" i="175"/>
  <c r="BB123"/>
  <c r="BD14"/>
  <c r="AG593"/>
  <c r="AG786" s="1"/>
  <c r="BH541"/>
  <c r="D36" i="190"/>
  <c r="BB538" i="175"/>
  <c r="BB681"/>
  <c r="AV685"/>
  <c r="W755"/>
  <c r="T32" i="189" s="1"/>
  <c r="BH301" i="175"/>
  <c r="R589"/>
  <c r="AJ33"/>
  <c r="AM784"/>
  <c r="AJ61" i="189" s="1"/>
  <c r="J28" i="190"/>
  <c r="M496" i="175"/>
  <c r="AZ456"/>
  <c r="S50" i="190"/>
  <c r="J781" i="175"/>
  <c r="G58" i="189" s="1"/>
  <c r="AB651" i="175"/>
  <c r="AP783"/>
  <c r="AM60" i="189" s="1"/>
  <c r="BH186" i="175"/>
  <c r="AI583"/>
  <c r="X779"/>
  <c r="AV305"/>
  <c r="AA585"/>
  <c r="BB523"/>
  <c r="K500"/>
  <c r="H32" i="190"/>
  <c r="AO41"/>
  <c r="AV404" i="175"/>
  <c r="AD493"/>
  <c r="AA25" i="190"/>
  <c r="R588" i="175"/>
  <c r="F311"/>
  <c r="BH611"/>
  <c r="AX61"/>
  <c r="AG588"/>
  <c r="AT751"/>
  <c r="AQ28" i="189" s="1"/>
  <c r="AZ685" i="175"/>
  <c r="M45" i="190"/>
  <c r="BH602" i="175"/>
  <c r="N37" i="190"/>
  <c r="AX443" i="175"/>
  <c r="AF38" i="190"/>
  <c r="AB29"/>
  <c r="AE497" i="175"/>
  <c r="AF650"/>
  <c r="BD712"/>
  <c r="AH587"/>
  <c r="I652"/>
  <c r="I568"/>
  <c r="F466"/>
  <c r="AJ47" i="190"/>
  <c r="U592" i="175"/>
  <c r="U785" s="1"/>
  <c r="R62" i="189" s="1"/>
  <c r="AZ91" i="175"/>
  <c r="AH584"/>
  <c r="AQ579"/>
  <c r="AZ281"/>
  <c r="K777"/>
  <c r="H54" i="189" s="1"/>
  <c r="G20" i="190"/>
  <c r="J488" i="175"/>
  <c r="AZ188"/>
  <c r="AQ780"/>
  <c r="AN57" i="189" s="1"/>
  <c r="AI584" i="175"/>
  <c r="BH5"/>
  <c r="AV10"/>
  <c r="R45" i="190"/>
  <c r="AM593" i="175"/>
  <c r="AM786" s="1"/>
  <c r="AJ63" i="189" s="1"/>
  <c r="AH573" i="175"/>
  <c r="U777"/>
  <c r="R54" i="189" s="1"/>
  <c r="AS487" i="175"/>
  <c r="AP68" i="190" s="1"/>
  <c r="AP19"/>
  <c r="R779" i="175"/>
  <c r="O56" i="189" s="1"/>
  <c r="AL589" i="175"/>
  <c r="V37" i="190"/>
  <c r="R48"/>
  <c r="AX4" i="175"/>
  <c r="AU25" i="72"/>
  <c r="BD462" i="175"/>
  <c r="H783"/>
  <c r="E60" i="189" s="1"/>
  <c r="P781" i="175"/>
  <c r="M58" i="189" s="1"/>
  <c r="BB372" i="175"/>
  <c r="AC45" i="190"/>
  <c r="BD451" i="175"/>
  <c r="AM31" i="190"/>
  <c r="BH437" i="175"/>
  <c r="AP499"/>
  <c r="AT496"/>
  <c r="AQ28" i="190"/>
  <c r="AV337" i="175"/>
  <c r="AM492"/>
  <c r="AJ24" i="190"/>
  <c r="G652" i="175"/>
  <c r="F714"/>
  <c r="BF241"/>
  <c r="AH46" i="190"/>
  <c r="BF452" i="175"/>
  <c r="AG586"/>
  <c r="BF354"/>
  <c r="U41" i="190"/>
  <c r="W751" i="175"/>
  <c r="T28" i="189" s="1"/>
  <c r="K38" i="190"/>
  <c r="I576" i="175"/>
  <c r="Z776"/>
  <c r="W53" i="189" s="1"/>
  <c r="G41" i="190"/>
  <c r="AB25"/>
  <c r="AE493" i="175"/>
  <c r="AD776"/>
  <c r="AA53" i="189" s="1"/>
  <c r="Z588" i="175"/>
  <c r="AV5"/>
  <c r="AZ551"/>
  <c r="W19" i="190"/>
  <c r="Z487" i="175"/>
  <c r="W68" i="190" s="1"/>
  <c r="H490" i="175"/>
  <c r="E22" i="190"/>
  <c r="AQ27"/>
  <c r="AT495" i="175"/>
  <c r="T49" i="190"/>
  <c r="AC573" i="175"/>
  <c r="H749"/>
  <c r="E26" i="189" s="1"/>
  <c r="X784" i="175"/>
  <c r="U61" i="189" s="1"/>
  <c r="F336" i="175"/>
  <c r="AX301"/>
  <c r="BF217"/>
  <c r="BF5"/>
  <c r="BH322"/>
  <c r="BD352"/>
  <c r="AR782"/>
  <c r="AO59" i="189" s="1"/>
  <c r="AX364" i="175"/>
  <c r="AZ683"/>
  <c r="P653"/>
  <c r="AM28" i="190"/>
  <c r="BH434" i="175"/>
  <c r="AP496"/>
  <c r="G495"/>
  <c r="D27" i="190"/>
  <c r="F433" i="175"/>
  <c r="C27" i="190" s="1"/>
  <c r="AM45"/>
  <c r="BH451" i="175"/>
  <c r="F248"/>
  <c r="P780"/>
  <c r="M57" i="189" s="1"/>
  <c r="BB437" i="175"/>
  <c r="AA499"/>
  <c r="X31" i="190"/>
  <c r="AH28"/>
  <c r="BF434" i="175"/>
  <c r="AK496"/>
  <c r="AX217"/>
  <c r="P573"/>
  <c r="BD682"/>
  <c r="Z570"/>
  <c r="AI28" i="190"/>
  <c r="AL496" i="175"/>
  <c r="BD122"/>
  <c r="AG46" i="190"/>
  <c r="BH329" i="175"/>
  <c r="BB339"/>
  <c r="AQ491"/>
  <c r="AN23" i="190"/>
  <c r="F438" i="175"/>
  <c r="C32" i="190" s="1"/>
  <c r="D32"/>
  <c r="G500" i="175"/>
  <c r="Z565"/>
  <c r="N579"/>
  <c r="AZ362"/>
  <c r="BB347"/>
  <c r="AS569"/>
  <c r="AI775"/>
  <c r="AF52" i="189" s="1"/>
  <c r="AJ496" i="175"/>
  <c r="AG28" i="190"/>
  <c r="M779" i="175"/>
  <c r="J56" i="189" s="1"/>
  <c r="AH488" i="175"/>
  <c r="AE20" i="190"/>
  <c r="U565" i="175"/>
  <c r="BD12"/>
  <c r="M571"/>
  <c r="K649"/>
  <c r="BD401"/>
  <c r="V495"/>
  <c r="S27" i="190"/>
  <c r="AZ433" i="175"/>
  <c r="F30"/>
  <c r="AM38" i="190"/>
  <c r="BH444" i="175"/>
  <c r="AX454"/>
  <c r="N48" i="190"/>
  <c r="H28"/>
  <c r="K496" i="175"/>
  <c r="BF88"/>
  <c r="AA565"/>
  <c r="BB503"/>
  <c r="R376"/>
  <c r="P582"/>
  <c r="BD350"/>
  <c r="U47" i="190"/>
  <c r="AT588" i="175"/>
  <c r="M753"/>
  <c r="J30" i="189" s="1"/>
  <c r="AB498" i="175"/>
  <c r="Y30" i="190"/>
  <c r="F11" i="175"/>
  <c r="BF462"/>
  <c r="AZ118"/>
  <c r="BH554"/>
  <c r="AZ27"/>
  <c r="AO590"/>
  <c r="J571"/>
  <c r="AV328"/>
  <c r="AT776"/>
  <c r="AQ53" i="189" s="1"/>
  <c r="AI582" i="175"/>
  <c r="Y42" i="190"/>
  <c r="BD685" i="175"/>
  <c r="V28" i="190"/>
  <c r="Y496" i="175"/>
  <c r="BD529"/>
  <c r="AF591"/>
  <c r="AZ429"/>
  <c r="S23" i="190"/>
  <c r="V491" i="175"/>
  <c r="AD565"/>
  <c r="X30" i="190"/>
  <c r="AA498" i="175"/>
  <c r="BB436"/>
  <c r="N565"/>
  <c r="M649"/>
  <c r="E45" i="190"/>
  <c r="BF459" i="175"/>
  <c r="AV537"/>
  <c r="G754"/>
  <c r="D31" i="189" s="1"/>
  <c r="F157" i="175"/>
  <c r="BH62"/>
  <c r="H779"/>
  <c r="E56" i="189" s="1"/>
  <c r="AV62" i="175"/>
  <c r="F606"/>
  <c r="AV596"/>
  <c r="N570"/>
  <c r="BH509"/>
  <c r="AP571"/>
  <c r="BF368"/>
  <c r="F460"/>
  <c r="O494"/>
  <c r="L26" i="190"/>
  <c r="AC584" i="175"/>
  <c r="F280"/>
  <c r="AO569"/>
  <c r="BH469"/>
  <c r="P588"/>
  <c r="BF607"/>
  <c r="P625"/>
  <c r="BH359"/>
  <c r="BD32"/>
  <c r="W492"/>
  <c r="T24" i="190"/>
  <c r="AB781" i="175"/>
  <c r="Y58" i="189" s="1"/>
  <c r="AP776" i="175"/>
  <c r="AM53" i="189" s="1"/>
  <c r="BH179" i="175"/>
  <c r="BB89"/>
  <c r="AZ60"/>
  <c r="Z650"/>
  <c r="J569"/>
  <c r="BF214"/>
  <c r="G651"/>
  <c r="F713"/>
  <c r="AX14"/>
  <c r="Z574"/>
  <c r="AG41" i="190"/>
  <c r="S776" i="175"/>
  <c r="P53" i="189" s="1"/>
  <c r="BB245" i="175"/>
  <c r="AZ119"/>
  <c r="BD117"/>
  <c r="AV361"/>
  <c r="AD574"/>
  <c r="AF497"/>
  <c r="AC29" i="190"/>
  <c r="BD435" i="175"/>
  <c r="R565"/>
  <c r="AX683"/>
  <c r="K573"/>
  <c r="F559"/>
  <c r="AG582"/>
  <c r="AZ158"/>
  <c r="V755"/>
  <c r="S32" i="189" s="1"/>
  <c r="AQ32" i="190"/>
  <c r="AT500" i="175"/>
  <c r="BB462"/>
  <c r="AD571"/>
  <c r="D24" i="190"/>
  <c r="F430" i="175"/>
  <c r="C24" i="190" s="1"/>
  <c r="G492" i="175"/>
  <c r="S781"/>
  <c r="P58" i="189" s="1"/>
  <c r="BH156" i="175"/>
  <c r="AP753"/>
  <c r="AV612"/>
  <c r="AX613"/>
  <c r="AV359"/>
  <c r="AV311"/>
  <c r="AV531"/>
  <c r="L593"/>
  <c r="L786" s="1"/>
  <c r="I63" i="189" s="1"/>
  <c r="P567" i="175"/>
  <c r="AZ369"/>
  <c r="BH406"/>
  <c r="AD45" i="190"/>
  <c r="AJ42"/>
  <c r="BD216" i="175"/>
  <c r="AF48" i="190"/>
  <c r="X652" i="175"/>
  <c r="F23" i="190"/>
  <c r="I491" i="175"/>
  <c r="F556"/>
  <c r="BD243"/>
  <c r="I38" i="190"/>
  <c r="AV444" i="175"/>
  <c r="BB596"/>
  <c r="BF353"/>
  <c r="AD567"/>
  <c r="BH158"/>
  <c r="AP755"/>
  <c r="AM32" i="189" s="1"/>
  <c r="AZ94" i="175"/>
  <c r="BD355"/>
  <c r="F278"/>
  <c r="AV715"/>
  <c r="L653"/>
  <c r="AJ25" i="190"/>
  <c r="AM493" i="175"/>
  <c r="BH539"/>
  <c r="AG755"/>
  <c r="AD32" i="189" s="1"/>
  <c r="AB44" i="190"/>
  <c r="AA652" i="175"/>
  <c r="BB714"/>
  <c r="AE569"/>
  <c r="W625"/>
  <c r="AL31" i="190"/>
  <c r="AO499" i="175"/>
  <c r="BB313"/>
  <c r="H494"/>
  <c r="E26" i="190"/>
  <c r="AA496" i="175"/>
  <c r="X28" i="190"/>
  <c r="BB434" i="175"/>
  <c r="AO754"/>
  <c r="AX403"/>
  <c r="BB601"/>
  <c r="I497"/>
  <c r="F29" i="190"/>
  <c r="AK571" i="175"/>
  <c r="BF509"/>
  <c r="AF589"/>
  <c r="BD527"/>
  <c r="BF115"/>
  <c r="BD606"/>
  <c r="AZ21"/>
  <c r="AN751"/>
  <c r="AJ30" i="190"/>
  <c r="AM498" i="175"/>
  <c r="U574"/>
  <c r="AI752"/>
  <c r="BD303"/>
  <c r="U755"/>
  <c r="R32" i="189" s="1"/>
  <c r="BF279" i="175"/>
  <c r="AX352"/>
  <c r="O48" i="190"/>
  <c r="AD44"/>
  <c r="AS777" i="175"/>
  <c r="AP54" i="189" s="1"/>
  <c r="BD341" i="175"/>
  <c r="BH613"/>
  <c r="BH468"/>
  <c r="BF330"/>
  <c r="F543"/>
  <c r="AF27" i="190"/>
  <c r="AI495" i="175"/>
  <c r="BH353"/>
  <c r="W491"/>
  <c r="T23" i="190"/>
  <c r="BH188" i="175"/>
  <c r="AI592"/>
  <c r="AI785" s="1"/>
  <c r="AF62" i="189" s="1"/>
  <c r="K494" i="175"/>
  <c r="H26" i="190"/>
  <c r="AB775" i="175"/>
  <c r="Y52" i="189" s="1"/>
  <c r="AV332" i="175"/>
  <c r="BH599"/>
  <c r="H39" i="190"/>
  <c r="P20"/>
  <c r="S488" i="175"/>
  <c r="AT489"/>
  <c r="AQ21" i="190"/>
  <c r="AN40"/>
  <c r="BD18" i="175"/>
  <c r="K751"/>
  <c r="H28" i="189" s="1"/>
  <c r="BH310" i="175"/>
  <c r="AX306"/>
  <c r="AD568"/>
  <c r="BH25"/>
  <c r="BD215"/>
  <c r="AK39" i="190"/>
  <c r="AV401" i="175"/>
  <c r="S584"/>
  <c r="AQ42" i="190"/>
  <c r="U752" i="175"/>
  <c r="R29" i="189" s="1"/>
  <c r="BD624" i="175"/>
  <c r="BB459"/>
  <c r="AE754"/>
  <c r="AB31" i="189" s="1"/>
  <c r="AH574" i="175"/>
  <c r="F301"/>
  <c r="AT777"/>
  <c r="AQ54" i="189" s="1"/>
  <c r="BH362" i="175"/>
  <c r="F354"/>
  <c r="F621"/>
  <c r="AX686"/>
  <c r="AZ105"/>
  <c r="BB31"/>
  <c r="AJ784"/>
  <c r="AG61" i="189" s="1"/>
  <c r="N650" i="175"/>
  <c r="M47" i="190"/>
  <c r="AZ93" i="175"/>
  <c r="H568"/>
  <c r="AI574"/>
  <c r="AX450"/>
  <c r="N44" i="190"/>
  <c r="T650" i="175"/>
  <c r="V24" i="190"/>
  <c r="Y492" i="175"/>
  <c r="BF251"/>
  <c r="L9" i="72"/>
  <c r="AX361" i="175"/>
  <c r="AM592"/>
  <c r="AM785" s="1"/>
  <c r="AJ62" i="189" s="1"/>
  <c r="J40" i="190"/>
  <c r="Z22"/>
  <c r="AC490" i="175"/>
  <c r="E20" i="190"/>
  <c r="H488" i="175"/>
  <c r="BB4"/>
  <c r="BB544"/>
  <c r="AZ681"/>
  <c r="AA574"/>
  <c r="BB512"/>
  <c r="AC28" i="190"/>
  <c r="BD434" i="175"/>
  <c r="AF496"/>
  <c r="AL750"/>
  <c r="AI27" i="189" s="1"/>
  <c r="F551" i="175"/>
  <c r="U492"/>
  <c r="R24" i="190"/>
  <c r="BB682" i="175"/>
  <c r="E40" i="190"/>
  <c r="R571" i="175"/>
  <c r="H496"/>
  <c r="E28" i="190"/>
  <c r="AJ45"/>
  <c r="AX346" i="175"/>
  <c r="Q376"/>
  <c r="H572"/>
  <c r="U493"/>
  <c r="R25" i="190"/>
  <c r="AZ61" i="175"/>
  <c r="AV180"/>
  <c r="L777"/>
  <c r="I54" i="189" s="1"/>
  <c r="W49" i="190"/>
  <c r="AB780" i="175"/>
  <c r="Y57" i="189" s="1"/>
  <c r="R586" i="175"/>
  <c r="BH542"/>
  <c r="F22"/>
  <c r="BF302"/>
  <c r="AL27" i="190"/>
  <c r="AO495" i="175"/>
  <c r="BF249"/>
  <c r="BD249"/>
  <c r="AG587"/>
  <c r="AT753"/>
  <c r="AQ30" i="189" s="1"/>
  <c r="F30" i="190"/>
  <c r="I498" i="175"/>
  <c r="AX366"/>
  <c r="S588"/>
  <c r="T588"/>
  <c r="V754"/>
  <c r="S31" i="189" s="1"/>
  <c r="AZ157" i="175"/>
  <c r="R49" i="190"/>
  <c r="U28"/>
  <c r="X496" i="175"/>
  <c r="AC782"/>
  <c r="Z59" i="189" s="1"/>
  <c r="F459" i="175"/>
  <c r="V49" i="190"/>
  <c r="M41"/>
  <c r="AZ715" i="175"/>
  <c r="V653"/>
  <c r="J579"/>
  <c r="AM44" i="190"/>
  <c r="BH450" i="175"/>
  <c r="AD652"/>
  <c r="T493"/>
  <c r="Q25" i="190"/>
  <c r="M583" i="175"/>
  <c r="Z39" i="190"/>
  <c r="J575" i="175"/>
  <c r="F334"/>
  <c r="AV611"/>
  <c r="AX62"/>
  <c r="T37" i="190"/>
  <c r="BF324" i="175"/>
  <c r="AT593"/>
  <c r="AT786" s="1"/>
  <c r="BH548"/>
  <c r="AV105"/>
  <c r="AJ493"/>
  <c r="AG25" i="190"/>
  <c r="AV120" i="175"/>
  <c r="BH375"/>
  <c r="W496"/>
  <c r="T28" i="190"/>
  <c r="AX555" i="175"/>
  <c r="BD524"/>
  <c r="AF586"/>
  <c r="AA27" i="190"/>
  <c r="AD495" i="175"/>
  <c r="M750"/>
  <c r="J27" i="189" s="1"/>
  <c r="AR583" i="175"/>
  <c r="BF102"/>
  <c r="AD49" i="190"/>
  <c r="K782" i="175"/>
  <c r="H59" i="189" s="1"/>
  <c r="BD99" i="175"/>
  <c r="AZ103"/>
  <c r="L499"/>
  <c r="AV437"/>
  <c r="I31" i="190"/>
  <c r="AB592" i="175"/>
  <c r="AB785" s="1"/>
  <c r="Y62" i="189" s="1"/>
  <c r="I41" i="190"/>
  <c r="AV447" i="175"/>
  <c r="AA775"/>
  <c r="X52" i="189" s="1"/>
  <c r="BB178" i="175"/>
  <c r="AX612"/>
  <c r="P44" i="190"/>
  <c r="AH585" i="175"/>
  <c r="P776"/>
  <c r="M53" i="189" s="1"/>
  <c r="AA49" i="190"/>
  <c r="BH524" i="175"/>
  <c r="AP586"/>
  <c r="AT782"/>
  <c r="AQ59" i="189" s="1"/>
  <c r="AK494" i="175"/>
  <c r="BF432"/>
  <c r="AH26" i="190"/>
  <c r="O42"/>
  <c r="O751" i="175"/>
  <c r="L28" i="189" s="1"/>
  <c r="W754" i="175"/>
  <c r="T31" i="189" s="1"/>
  <c r="AZ603" i="175"/>
  <c r="D48" i="190"/>
  <c r="F454" i="175"/>
  <c r="C48" i="190" s="1"/>
  <c r="F404" i="175"/>
  <c r="Q41" i="190"/>
  <c r="BH19" i="175"/>
  <c r="AS779"/>
  <c r="AP56" i="189" s="1"/>
  <c r="AM750" i="175"/>
  <c r="AJ27" i="189" s="1"/>
  <c r="AE590" i="175"/>
  <c r="AD21" i="190"/>
  <c r="AG489" i="175"/>
  <c r="AQ22" i="190"/>
  <c r="AT490" i="175"/>
  <c r="AZ57"/>
  <c r="BH553"/>
  <c r="AV521"/>
  <c r="L583"/>
  <c r="AV616"/>
  <c r="AC593"/>
  <c r="AC786" s="1"/>
  <c r="Z63" i="189" s="1"/>
  <c r="BF244" i="175"/>
  <c r="AS500"/>
  <c r="AP32" i="190"/>
  <c r="F16" i="175"/>
  <c r="AX682"/>
  <c r="AZ250"/>
  <c r="AZ540"/>
  <c r="AL752"/>
  <c r="AI29" i="189" s="1"/>
  <c r="BB322" i="175"/>
  <c r="P652"/>
  <c r="AZ400"/>
  <c r="BB332"/>
  <c r="AX5"/>
  <c r="AX606"/>
  <c r="K776"/>
  <c r="H53" i="189" s="1"/>
  <c r="AH582" i="175"/>
  <c r="Z45" i="190"/>
  <c r="AV350" i="175"/>
  <c r="Y775"/>
  <c r="V52" i="189" s="1"/>
  <c r="BB452" i="175"/>
  <c r="X46" i="190"/>
  <c r="AD47"/>
  <c r="AQ583" i="175"/>
  <c r="BF686"/>
  <c r="AX369"/>
  <c r="BD619"/>
  <c r="BF338"/>
  <c r="Y500"/>
  <c r="V32" i="190"/>
  <c r="BB242" i="175"/>
  <c r="BD30"/>
  <c r="AQ496"/>
  <c r="AN28" i="190"/>
  <c r="AX608" i="175"/>
  <c r="AV250"/>
  <c r="AA579"/>
  <c r="BB517"/>
  <c r="AI568"/>
  <c r="M21" i="190"/>
  <c r="P489" i="175"/>
  <c r="BB530"/>
  <c r="AA592"/>
  <c r="AA785" s="1"/>
  <c r="X62" i="189" s="1"/>
  <c r="AO753" i="175"/>
  <c r="AL30" i="189" s="1"/>
  <c r="AB488" i="175"/>
  <c r="Y20" i="190"/>
  <c r="AZ31" i="175"/>
  <c r="G19" i="190"/>
  <c r="J487" i="175"/>
  <c r="G68" i="190" s="1"/>
  <c r="J585" i="175"/>
  <c r="S653"/>
  <c r="BD338"/>
  <c r="AA50" i="190"/>
  <c r="AT752" i="175"/>
  <c r="AQ29" i="189" s="1"/>
  <c r="Q778" i="175"/>
  <c r="N55" i="189" s="1"/>
  <c r="AX181" i="175"/>
  <c r="N755"/>
  <c r="Y649"/>
  <c r="BB6"/>
  <c r="AZ364"/>
  <c r="AG39" i="190"/>
  <c r="N40"/>
  <c r="AX446" i="175"/>
  <c r="AX158"/>
  <c r="Q755"/>
  <c r="F447"/>
  <c r="C41" i="190" s="1"/>
  <c r="D41"/>
  <c r="AM755" i="175"/>
  <c r="AJ32" i="189" s="1"/>
  <c r="R649" i="175"/>
  <c r="J46" i="190"/>
  <c r="K495" i="175"/>
  <c r="H27" i="190"/>
  <c r="I579" i="175"/>
  <c r="BH516"/>
  <c r="X567"/>
  <c r="AG591"/>
  <c r="V25" i="190"/>
  <c r="Y493" i="175"/>
  <c r="O376"/>
  <c r="BB333"/>
  <c r="I488"/>
  <c r="F20" i="190"/>
  <c r="BH27" i="175"/>
  <c r="P345"/>
  <c r="BD556"/>
  <c r="BB509"/>
  <c r="AA571"/>
  <c r="BF357"/>
  <c r="K775"/>
  <c r="H52" i="189" s="1"/>
  <c r="AZ353" i="175"/>
  <c r="AV542"/>
  <c r="AL33"/>
  <c r="AX59"/>
  <c r="S779"/>
  <c r="P56" i="189" s="1"/>
  <c r="AX598" i="175"/>
  <c r="BH306"/>
  <c r="BH425"/>
  <c r="AM19" i="190"/>
  <c r="AP487" i="175"/>
  <c r="AM68" i="190" s="1"/>
  <c r="BD359" i="175"/>
  <c r="Y488"/>
  <c r="V20" i="190"/>
  <c r="AV507" i="175"/>
  <c r="L569"/>
  <c r="V42" i="190"/>
  <c r="BD189" i="175"/>
  <c r="AB45" i="190"/>
  <c r="T345" i="175"/>
  <c r="AV340"/>
  <c r="H576"/>
  <c r="BD323"/>
  <c r="F331"/>
  <c r="AZ544"/>
  <c r="AP25" i="190"/>
  <c r="AS493" i="175"/>
  <c r="AM751"/>
  <c r="AJ28" i="189" s="1"/>
  <c r="BB186" i="175"/>
  <c r="AA783"/>
  <c r="X60" i="189" s="1"/>
  <c r="AV461" i="175"/>
  <c r="AE582"/>
  <c r="X582"/>
  <c r="BB247"/>
  <c r="P30" i="190"/>
  <c r="S498" i="175"/>
  <c r="BH370"/>
  <c r="AZ325"/>
  <c r="AV31"/>
  <c r="AV114"/>
  <c r="AG488"/>
  <c r="AD20" i="190"/>
  <c r="AK585" i="175"/>
  <c r="BF523"/>
  <c r="K489"/>
  <c r="H21" i="190"/>
  <c r="BF93" i="175"/>
  <c r="J42" i="190"/>
  <c r="BF553" i="175"/>
  <c r="AM776"/>
  <c r="AJ53" i="189" s="1"/>
  <c r="AX239" i="175"/>
  <c r="G776"/>
  <c r="D53" i="189" s="1"/>
  <c r="F179" i="175"/>
  <c r="AB32" i="190"/>
  <c r="AE500" i="175"/>
  <c r="N584"/>
  <c r="W40" i="190"/>
  <c r="O652" i="175"/>
  <c r="AQ750"/>
  <c r="AN27" i="189" s="1"/>
  <c r="AZ560" i="175"/>
  <c r="AK498"/>
  <c r="BF436"/>
  <c r="AH30" i="190"/>
  <c r="S783" i="175"/>
  <c r="P60" i="189" s="1"/>
  <c r="M499" i="175"/>
  <c r="J31" i="190"/>
  <c r="AB47"/>
  <c r="Q775" i="175"/>
  <c r="AX178"/>
  <c r="BH354"/>
  <c r="P40" i="190"/>
  <c r="F214" i="175"/>
  <c r="Z47" i="190"/>
  <c r="L650" i="175"/>
  <c r="AV712"/>
  <c r="BB618"/>
  <c r="F244"/>
  <c r="O588"/>
  <c r="BB82"/>
  <c r="AS582"/>
  <c r="AV101"/>
  <c r="G578"/>
  <c r="F516"/>
  <c r="S24" i="190"/>
  <c r="V492" i="175"/>
  <c r="AZ430"/>
  <c r="AX338"/>
  <c r="AZ680"/>
  <c r="Y776"/>
  <c r="V53" i="189" s="1"/>
  <c r="AV333" i="175"/>
  <c r="BF469"/>
  <c r="AZ62"/>
  <c r="BF326"/>
  <c r="Z782"/>
  <c r="W59" i="189" s="1"/>
  <c r="BH217" i="175"/>
  <c r="X565"/>
  <c r="AX324"/>
  <c r="N779"/>
  <c r="K56" i="189" s="1"/>
  <c r="AE48" i="190"/>
  <c r="O591" i="175"/>
  <c r="X21" i="190"/>
  <c r="BB427" i="175"/>
  <c r="AA489"/>
  <c r="BH427"/>
  <c r="AP489"/>
  <c r="AM21" i="190"/>
  <c r="R500" i="175"/>
  <c r="O32" i="190"/>
  <c r="AZ436" i="175"/>
  <c r="S30" i="190"/>
  <c r="V498" i="175"/>
  <c r="F6"/>
  <c r="F452"/>
  <c r="C46" i="190" s="1"/>
  <c r="D46"/>
  <c r="AN22"/>
  <c r="AQ490" i="175"/>
  <c r="AB650"/>
  <c r="AV20"/>
  <c r="AE45" i="190"/>
  <c r="AX246" i="175"/>
  <c r="AI489"/>
  <c r="AF21" i="190"/>
  <c r="O46"/>
  <c r="BH446" i="175"/>
  <c r="AM40" i="190"/>
  <c r="T29"/>
  <c r="W497" i="175"/>
  <c r="AV310"/>
  <c r="BH63"/>
  <c r="AO784"/>
  <c r="AL61" i="189" s="1"/>
  <c r="AI778" i="175"/>
  <c r="AF55" i="189" s="1"/>
  <c r="AV349" i="175"/>
  <c r="AV619"/>
  <c r="BD24"/>
  <c r="BD557"/>
  <c r="AX87"/>
  <c r="AX156"/>
  <c r="Q753"/>
  <c r="N30" i="189" s="1"/>
  <c r="AV336" i="175"/>
  <c r="Z494"/>
  <c r="W26" i="190"/>
  <c r="L25"/>
  <c r="O493" i="175"/>
  <c r="BF555"/>
  <c r="Z579"/>
  <c r="AZ460"/>
  <c r="F464"/>
  <c r="BH533"/>
  <c r="AI45" i="190"/>
  <c r="BD542" i="175"/>
  <c r="AI754"/>
  <c r="AF31" i="189" s="1"/>
  <c r="V776" i="175"/>
  <c r="S53" i="189" s="1"/>
  <c r="AZ179" i="175"/>
  <c r="BB355"/>
  <c r="AK376"/>
  <c r="BF346"/>
  <c r="BB621"/>
  <c r="BB305"/>
  <c r="BD96"/>
  <c r="AC49" i="190"/>
  <c r="BD455" i="175"/>
  <c r="E37" i="190"/>
  <c r="G566" i="175"/>
  <c r="BH26"/>
  <c r="F332"/>
  <c r="AM574"/>
  <c r="BF518"/>
  <c r="AB491"/>
  <c r="Y23" i="190"/>
  <c r="AE499" i="175"/>
  <c r="AB31" i="190"/>
  <c r="S345" i="175"/>
  <c r="BD218"/>
  <c r="BB610"/>
  <c r="Z31" i="190"/>
  <c r="AC499" i="175"/>
  <c r="AG590"/>
  <c r="BH247"/>
  <c r="AO783"/>
  <c r="AL60" i="189" s="1"/>
  <c r="G584" i="175"/>
  <c r="F522"/>
  <c r="BD715"/>
  <c r="AF653"/>
  <c r="AL46" i="190"/>
  <c r="AD500" i="175"/>
  <c r="AA32" i="190"/>
  <c r="I376" i="175"/>
  <c r="AD28" i="190"/>
  <c r="AG496" i="175"/>
  <c r="T32" i="190"/>
  <c r="W500" i="175"/>
  <c r="AP570"/>
  <c r="BH508"/>
  <c r="F328"/>
  <c r="N752"/>
  <c r="K29" i="189" s="1"/>
  <c r="R28" i="190"/>
  <c r="U496" i="175"/>
  <c r="BF101"/>
  <c r="AK493"/>
  <c r="BF431"/>
  <c r="AH25" i="190"/>
  <c r="AJ751" i="175"/>
  <c r="AG28" i="189" s="1"/>
  <c r="BB400" i="175"/>
  <c r="AG781"/>
  <c r="AD58" i="189" s="1"/>
  <c r="AX322" i="175"/>
  <c r="BD601"/>
  <c r="AB50" i="190"/>
  <c r="Y25"/>
  <c r="AB493" i="175"/>
  <c r="BB246"/>
  <c r="AV553"/>
  <c r="J582"/>
  <c r="X569"/>
  <c r="AE29" i="190"/>
  <c r="AH497" i="175"/>
  <c r="AF753"/>
  <c r="BD156"/>
  <c r="BF184"/>
  <c r="AK781"/>
  <c r="AH58" i="189" s="1"/>
  <c r="BH358" i="175"/>
  <c r="AV308"/>
  <c r="F623"/>
  <c r="AR783"/>
  <c r="AO60" i="189" s="1"/>
  <c r="AA38" i="190"/>
  <c r="X586" i="175"/>
  <c r="AZ316"/>
  <c r="BH521"/>
  <c r="AP583"/>
  <c r="BD681"/>
  <c r="BB469"/>
  <c r="N652"/>
  <c r="AE776"/>
  <c r="AB53" i="189" s="1"/>
  <c r="AX30" i="175"/>
  <c r="AX7"/>
  <c r="Y48" i="190"/>
  <c r="BB603" i="175"/>
  <c r="T33"/>
  <c r="AT574"/>
  <c r="AA42" i="190"/>
  <c r="AV375" i="175"/>
  <c r="BD358"/>
  <c r="AN590"/>
  <c r="AV251"/>
  <c r="AZ183"/>
  <c r="V780"/>
  <c r="S57" i="189" s="1"/>
  <c r="BH610" i="175"/>
  <c r="R47" i="190"/>
  <c r="BB350" i="175"/>
  <c r="BH556"/>
  <c r="P50" i="190"/>
  <c r="AZ323" i="175"/>
  <c r="F369"/>
  <c r="BB125"/>
  <c r="AE31" i="190"/>
  <c r="AH499" i="175"/>
  <c r="R568"/>
  <c r="X781"/>
  <c r="U58" i="189" s="1"/>
  <c r="AX307" i="175"/>
  <c r="AJ755"/>
  <c r="AG32" i="189" s="1"/>
  <c r="AA582" i="175"/>
  <c r="BB520"/>
  <c r="BF341"/>
  <c r="BF238"/>
  <c r="F557"/>
  <c r="AV530"/>
  <c r="L592"/>
  <c r="L785" s="1"/>
  <c r="I62" i="189" s="1"/>
  <c r="F329" i="175"/>
  <c r="O44" i="190"/>
  <c r="AK780" i="175"/>
  <c r="BF183"/>
  <c r="AB33"/>
  <c r="AJ752"/>
  <c r="AG29" i="189" s="1"/>
  <c r="BD247" i="175"/>
  <c r="BD560"/>
  <c r="AS33"/>
  <c r="AX437"/>
  <c r="Q499"/>
  <c r="N31" i="190"/>
  <c r="AZ124" i="175"/>
  <c r="AZ347"/>
  <c r="F463"/>
  <c r="AO588"/>
  <c r="AX542"/>
  <c r="BF450"/>
  <c r="AH44" i="190"/>
  <c r="BH543" i="175"/>
  <c r="AJ50" i="190"/>
  <c r="S778" i="175"/>
  <c r="P55" i="189" s="1"/>
  <c r="AZ113" i="175"/>
  <c r="AB573"/>
  <c r="S492"/>
  <c r="P24" i="190"/>
  <c r="Z753" i="175"/>
  <c r="W30" i="189" s="1"/>
  <c r="BF713" i="175"/>
  <c r="AK651"/>
  <c r="BB612"/>
  <c r="BF301"/>
  <c r="BF460"/>
  <c r="BB117"/>
  <c r="AJ44" i="190"/>
  <c r="O39"/>
  <c r="T589" i="175"/>
  <c r="AQ755"/>
  <c r="AN32" i="189" s="1"/>
  <c r="AV102" i="175"/>
  <c r="AL497"/>
  <c r="AI29" i="190"/>
  <c r="AL587" i="175"/>
  <c r="J583"/>
  <c r="F341"/>
  <c r="AR584"/>
  <c r="K783"/>
  <c r="H60" i="189" s="1"/>
  <c r="BB218" i="175"/>
  <c r="U775"/>
  <c r="R52" i="189" s="1"/>
  <c r="BD516" i="175"/>
  <c r="T592"/>
  <c r="T785" s="1"/>
  <c r="Q62" i="189" s="1"/>
  <c r="BH218" i="175"/>
  <c r="Y579"/>
  <c r="T587"/>
  <c r="AN754"/>
  <c r="AK31" i="189" s="1"/>
  <c r="AC775" i="175"/>
  <c r="Z52" i="189" s="1"/>
  <c r="BH9" i="175"/>
  <c r="AL20" i="190"/>
  <c r="AO488" i="175"/>
  <c r="AV125"/>
  <c r="G40" i="190"/>
  <c r="BF186" i="175"/>
  <c r="AK783"/>
  <c r="AH60" i="189" s="1"/>
  <c r="AZ599" i="175"/>
  <c r="AQ776"/>
  <c r="AN53" i="189" s="1"/>
  <c r="AX351" i="175"/>
  <c r="BF30"/>
  <c r="O653"/>
  <c r="AJ27" i="190"/>
  <c r="AM495" i="175"/>
  <c r="AG589"/>
  <c r="AL488"/>
  <c r="AI20" i="190"/>
  <c r="BD615" i="175"/>
  <c r="AI625"/>
  <c r="BB249"/>
  <c r="BB304"/>
  <c r="L37" i="190"/>
  <c r="AE567" i="175"/>
  <c r="AH782"/>
  <c r="AE59" i="189" s="1"/>
  <c r="AZ605" i="175"/>
  <c r="AH754"/>
  <c r="AE31" i="189" s="1"/>
  <c r="BB519" i="175"/>
  <c r="AZ14"/>
  <c r="AF30" i="190"/>
  <c r="AI498" i="175"/>
  <c r="AZ242"/>
  <c r="BB300"/>
  <c r="K590"/>
  <c r="AX462"/>
  <c r="G47" i="190"/>
  <c r="M752" i="175"/>
  <c r="AK21" i="190"/>
  <c r="AN489" i="175"/>
  <c r="BD86"/>
  <c r="BB555"/>
  <c r="S33"/>
  <c r="AX368"/>
  <c r="AZ537"/>
  <c r="BF343"/>
  <c r="AS652"/>
  <c r="AQ753"/>
  <c r="AN30" i="189" s="1"/>
  <c r="S754" i="175"/>
  <c r="P31" i="189" s="1"/>
  <c r="BD279" i="175"/>
  <c r="H588"/>
  <c r="AH19" i="190"/>
  <c r="BF425" i="175"/>
  <c r="AK487"/>
  <c r="AH68" i="190" s="1"/>
  <c r="AQ573" i="175"/>
  <c r="Y569"/>
  <c r="BB598"/>
  <c r="Z783"/>
  <c r="W60" i="189" s="1"/>
  <c r="D35" i="190"/>
  <c r="O567" i="175"/>
  <c r="AV357"/>
  <c r="F523"/>
  <c r="G585"/>
  <c r="AI38" i="190"/>
  <c r="BF540" i="175"/>
  <c r="AZ509"/>
  <c r="V571"/>
  <c r="P574"/>
  <c r="Y37" i="190"/>
  <c r="H44"/>
  <c r="BD444" i="175"/>
  <c r="AC38" i="190"/>
  <c r="AZ503" i="175"/>
  <c r="V565"/>
  <c r="AQ752"/>
  <c r="AN29" i="189" s="1"/>
  <c r="Q38" i="190"/>
  <c r="P584" i="175"/>
  <c r="AO568"/>
  <c r="AX6"/>
  <c r="BB244"/>
  <c r="AI587"/>
  <c r="AS497"/>
  <c r="AP29" i="190"/>
  <c r="BB622" i="175"/>
  <c r="BB20"/>
  <c r="BH615"/>
  <c r="T652"/>
  <c r="W752"/>
  <c r="BB187"/>
  <c r="AA784"/>
  <c r="X61" i="189" s="1"/>
  <c r="F44" i="190"/>
  <c r="I753" i="175"/>
  <c r="F30" i="189" s="1"/>
  <c r="AG500" i="175"/>
  <c r="AD32" i="190"/>
  <c r="BD617" i="175"/>
  <c r="AZ307"/>
  <c r="J782"/>
  <c r="G59" i="189" s="1"/>
  <c r="T492" i="175"/>
  <c r="Q24" i="190"/>
  <c r="AR492" i="175"/>
  <c r="AO24" i="190"/>
  <c r="AV335" i="175"/>
  <c r="L49" i="190"/>
  <c r="BD372" i="175"/>
  <c r="AH590"/>
  <c r="BB349"/>
  <c r="AT779"/>
  <c r="AQ56" i="189" s="1"/>
  <c r="AO651" i="175"/>
  <c r="AC500"/>
  <c r="Z32" i="190"/>
  <c r="AR586" i="175"/>
  <c r="W592"/>
  <c r="W785" s="1"/>
  <c r="T62" i="189" s="1"/>
  <c r="AA779" i="175"/>
  <c r="X56" i="189" s="1"/>
  <c r="BB182" i="175"/>
  <c r="AQ25" i="190"/>
  <c r="AT493" i="175"/>
  <c r="AX406"/>
  <c r="D42" i="190"/>
  <c r="F448" i="175"/>
  <c r="C42" i="190" s="1"/>
  <c r="AD753" i="175"/>
  <c r="AA30" i="189" s="1"/>
  <c r="AX157" i="175"/>
  <c r="Q754"/>
  <c r="F25" i="190"/>
  <c r="I493" i="175"/>
  <c r="G126"/>
  <c r="AX218"/>
  <c r="AQ779"/>
  <c r="AN56" i="189" s="1"/>
  <c r="AV684" i="175"/>
  <c r="BF17"/>
  <c r="AZ518"/>
  <c r="Y40" i="190"/>
  <c r="BH686" i="175"/>
  <c r="BF365"/>
  <c r="AU26" i="72"/>
  <c r="BB63" i="175"/>
  <c r="AV249"/>
  <c r="AQ570"/>
  <c r="V26" i="190"/>
  <c r="Y494" i="175"/>
  <c r="BF362"/>
  <c r="BH100"/>
  <c r="AZ554"/>
  <c r="O586"/>
  <c r="AX348"/>
  <c r="Y33"/>
  <c r="F469"/>
  <c r="BF248"/>
  <c r="BB217"/>
  <c r="AD489"/>
  <c r="AA21" i="190"/>
  <c r="BD608" i="175"/>
  <c r="BD13"/>
  <c r="S755"/>
  <c r="P32" i="189" s="1"/>
  <c r="BB540" i="175"/>
  <c r="AV610"/>
  <c r="BH333"/>
  <c r="AG37" i="190"/>
  <c r="E41"/>
  <c r="BH61" i="175"/>
  <c r="AX96"/>
  <c r="J779"/>
  <c r="G56" i="189" s="1"/>
  <c r="BD305" i="175"/>
  <c r="O33"/>
  <c r="AV352"/>
  <c r="O568"/>
  <c r="BH57"/>
  <c r="BH81"/>
  <c r="Z583"/>
  <c r="BB310"/>
  <c r="V30" i="190"/>
  <c r="Y498" i="175"/>
  <c r="K754"/>
  <c r="H31" i="189" s="1"/>
  <c r="BD558" i="175"/>
  <c r="F321"/>
  <c r="AI47" i="190"/>
  <c r="AV188" i="175"/>
  <c r="H775"/>
  <c r="E52" i="189" s="1"/>
  <c r="BH243" i="175"/>
  <c r="BF334"/>
  <c r="F12"/>
  <c r="AE565"/>
  <c r="AX88"/>
  <c r="BD541"/>
  <c r="BD425"/>
  <c r="AF487"/>
  <c r="AC68" i="190" s="1"/>
  <c r="AC19"/>
  <c r="BH280" i="175"/>
  <c r="AD38" i="190"/>
  <c r="F536" i="175"/>
  <c r="S751"/>
  <c r="P28" i="189" s="1"/>
  <c r="BF325" i="175"/>
  <c r="AQ784"/>
  <c r="AN61" i="189" s="1"/>
  <c r="AZ16" i="175"/>
  <c r="F458"/>
  <c r="K27" i="190"/>
  <c r="N495" i="175"/>
  <c r="J50" i="190"/>
  <c r="AZ536" i="175"/>
  <c r="Z29" i="190"/>
  <c r="AC497" i="175"/>
  <c r="BB344"/>
  <c r="O584"/>
  <c r="AV509"/>
  <c r="L571"/>
  <c r="AA19" i="190"/>
  <c r="AD487" i="175"/>
  <c r="AA68" i="190" s="1"/>
  <c r="K40"/>
  <c r="AZ530" i="175"/>
  <c r="V592"/>
  <c r="V785" s="1"/>
  <c r="S62" i="189" s="1"/>
  <c r="AB570" i="175"/>
  <c r="AA490"/>
  <c r="X22" i="190"/>
  <c r="BB428" i="175"/>
  <c r="S592"/>
  <c r="S785" s="1"/>
  <c r="P62" i="189" s="1"/>
  <c r="BH6" i="175"/>
  <c r="AF47" i="190"/>
  <c r="AS583" i="175"/>
  <c r="E39" i="190"/>
  <c r="AZ354" i="175"/>
  <c r="BH93"/>
  <c r="M781"/>
  <c r="J58" i="189" s="1"/>
  <c r="BD63" i="175"/>
  <c r="AN652"/>
  <c r="AA20" i="190"/>
  <c r="AD488" i="175"/>
  <c r="AZ539"/>
  <c r="BF342"/>
  <c r="BH86"/>
  <c r="BD620"/>
  <c r="BH87"/>
  <c r="AE489"/>
  <c r="AB21" i="190"/>
  <c r="AM779" i="175"/>
  <c r="AJ56" i="189" s="1"/>
  <c r="AV540" i="175"/>
  <c r="BF276"/>
  <c r="BH58"/>
  <c r="AX114"/>
  <c r="N587"/>
  <c r="AH50" i="190"/>
  <c r="BF456" i="175"/>
  <c r="T591"/>
  <c r="O38" i="190"/>
  <c r="H571" i="175"/>
  <c r="AZ374"/>
  <c r="BH121"/>
  <c r="AZ404"/>
  <c r="K45" i="190"/>
  <c r="BF557" i="175"/>
  <c r="AP30" i="190"/>
  <c r="AS498" i="175"/>
  <c r="AV245"/>
  <c r="AF489"/>
  <c r="AC21" i="190"/>
  <c r="BD427" i="175"/>
  <c r="J778"/>
  <c r="G55" i="189" s="1"/>
  <c r="M28" i="190"/>
  <c r="P496" i="175"/>
  <c r="AS496"/>
  <c r="AP28" i="190"/>
  <c r="F508" i="175"/>
  <c r="G570"/>
  <c r="BB686"/>
  <c r="I565"/>
  <c r="J652"/>
  <c r="Q28" i="190"/>
  <c r="T496" i="175"/>
  <c r="AV88"/>
  <c r="BH123"/>
  <c r="BB18"/>
  <c r="AV321"/>
  <c r="AZ300"/>
  <c r="L652"/>
  <c r="AV714"/>
  <c r="M33"/>
  <c r="W584"/>
  <c r="AX83"/>
  <c r="AV219"/>
  <c r="AV30"/>
  <c r="AN19" i="190"/>
  <c r="AQ487" i="175"/>
  <c r="AN68" i="190" s="1"/>
  <c r="BD614" i="175"/>
  <c r="AO587"/>
  <c r="AV316"/>
  <c r="H777"/>
  <c r="E54" i="189" s="1"/>
  <c r="M780" i="175"/>
  <c r="J57" i="189" s="1"/>
  <c r="BD121" i="175"/>
  <c r="AJ569"/>
  <c r="F680"/>
  <c r="I784"/>
  <c r="F61" i="189" s="1"/>
  <c r="F600" i="175"/>
  <c r="BF63"/>
  <c r="AB22" i="190"/>
  <c r="AE490" i="175"/>
  <c r="BH30"/>
  <c r="Q590"/>
  <c r="AX528"/>
  <c r="AV464"/>
  <c r="O782"/>
  <c r="L59" i="189" s="1"/>
  <c r="AZ624" i="175"/>
  <c r="AL28" i="190"/>
  <c r="AO496" i="175"/>
  <c r="U495"/>
  <c r="R27" i="190"/>
  <c r="BD217" i="175"/>
  <c r="AV615"/>
  <c r="AX404"/>
  <c r="BB362"/>
  <c r="AO376"/>
  <c r="BD313"/>
  <c r="BD318"/>
  <c r="AI779"/>
  <c r="AF56" i="189" s="1"/>
  <c r="Z573" i="175"/>
  <c r="AX97"/>
  <c r="AF39" i="190"/>
  <c r="AV26" i="175"/>
  <c r="O574"/>
  <c r="AN49" i="190"/>
  <c r="BF321" i="175"/>
  <c r="P755"/>
  <c r="M32" i="189" s="1"/>
  <c r="M48" i="190"/>
  <c r="N497" i="175"/>
  <c r="K29" i="190"/>
  <c r="AG783" i="175"/>
  <c r="AD60" i="189" s="1"/>
  <c r="AV597" i="175"/>
  <c r="K570"/>
  <c r="U585"/>
  <c r="AV606"/>
  <c r="BF240"/>
  <c r="AT592"/>
  <c r="AT785" s="1"/>
  <c r="AQ62" i="189" s="1"/>
  <c r="AC571" i="175"/>
  <c r="AI570"/>
  <c r="J345"/>
  <c r="N782"/>
  <c r="K59" i="189" s="1"/>
  <c r="AS494" i="175"/>
  <c r="AP26" i="190"/>
  <c r="F185" i="175"/>
  <c r="G782"/>
  <c r="D59" i="189" s="1"/>
  <c r="W494" i="175"/>
  <c r="T26" i="190"/>
  <c r="AP649" i="175"/>
  <c r="BH711"/>
  <c r="BB118"/>
  <c r="AG775"/>
  <c r="AD52" i="189" s="1"/>
  <c r="AE491" i="175"/>
  <c r="AB23" i="190"/>
  <c r="J495" i="175"/>
  <c r="G27" i="190"/>
  <c r="AV506" i="175"/>
  <c r="L568"/>
  <c r="AV370"/>
  <c r="M588"/>
  <c r="AX362"/>
  <c r="G494"/>
  <c r="F432"/>
  <c r="C26" i="190" s="1"/>
  <c r="D26"/>
  <c r="AR750" i="175"/>
  <c r="BF310"/>
  <c r="BF525"/>
  <c r="AK587"/>
  <c r="L20" i="190"/>
  <c r="O488" i="175"/>
  <c r="AV595"/>
  <c r="L625"/>
  <c r="BF152"/>
  <c r="AK749"/>
  <c r="AH26" i="189" s="1"/>
  <c r="AE579" i="175"/>
  <c r="BD90"/>
  <c r="G37" i="190"/>
  <c r="AV304" i="175"/>
  <c r="Q33"/>
  <c r="AX3"/>
  <c r="BD177"/>
  <c r="AL22" i="190"/>
  <c r="AO490" i="175"/>
  <c r="BD322"/>
  <c r="AO779"/>
  <c r="AL56" i="189" s="1"/>
  <c r="BB457" i="175"/>
  <c r="AC750"/>
  <c r="Z27" i="189" s="1"/>
  <c r="M651" i="175"/>
  <c r="BH320"/>
  <c r="AV534"/>
  <c r="AS588"/>
  <c r="AQ587"/>
  <c r="H37" i="190"/>
  <c r="U38"/>
  <c r="AZ612" i="175"/>
  <c r="U568"/>
  <c r="F335"/>
  <c r="BB365"/>
  <c r="R781"/>
  <c r="O58" i="189" s="1"/>
  <c r="H567" i="175"/>
  <c r="H591"/>
  <c r="Q44" i="190"/>
  <c r="BH517" i="175"/>
  <c r="AP579"/>
  <c r="Y587"/>
  <c r="BD334"/>
  <c r="H587"/>
  <c r="AV535"/>
  <c r="BF85"/>
  <c r="N568"/>
  <c r="AP777"/>
  <c r="AM54" i="189" s="1"/>
  <c r="BH180" i="175"/>
  <c r="J500"/>
  <c r="G32" i="190"/>
  <c r="J651" i="175"/>
  <c r="AX303"/>
  <c r="AV116"/>
  <c r="T31" i="190"/>
  <c r="W499" i="175"/>
  <c r="G44" i="190"/>
  <c r="F25" i="175"/>
  <c r="BH7"/>
  <c r="P27" i="190"/>
  <c r="S495" i="175"/>
  <c r="AT586"/>
  <c r="F9"/>
  <c r="F371"/>
  <c r="BH373"/>
  <c r="AR567"/>
  <c r="AV614"/>
  <c r="BD21"/>
  <c r="M653"/>
  <c r="AV557"/>
  <c r="BB99"/>
  <c r="AO780"/>
  <c r="AL57" i="189" s="1"/>
  <c r="AF42" i="190"/>
  <c r="AX331" i="175"/>
  <c r="BF355"/>
  <c r="BH447"/>
  <c r="AM41" i="190"/>
  <c r="M751" i="175"/>
  <c r="J28" i="189" s="1"/>
  <c r="BD600" i="175"/>
  <c r="AG585"/>
  <c r="AV103"/>
  <c r="AX713"/>
  <c r="Q651"/>
  <c r="AL490"/>
  <c r="AI22" i="190"/>
  <c r="X32"/>
  <c r="AA500" i="175"/>
  <c r="BB438"/>
  <c r="T48" i="190"/>
  <c r="M39"/>
  <c r="AJ345" i="175"/>
  <c r="AX300"/>
  <c r="BF599"/>
  <c r="BH617"/>
  <c r="AX605"/>
  <c r="AD784"/>
  <c r="AA61" i="189" s="1"/>
  <c r="P38" i="190"/>
  <c r="F352" i="175"/>
  <c r="AX466"/>
  <c r="BH214"/>
  <c r="BF621"/>
  <c r="W593"/>
  <c r="W786" s="1"/>
  <c r="AR591"/>
  <c r="BF622"/>
  <c r="AG778"/>
  <c r="AD55" i="189" s="1"/>
  <c r="G498" i="175"/>
  <c r="D30" i="190"/>
  <c r="F436" i="175"/>
  <c r="C30" i="190" s="1"/>
  <c r="BD60" i="175"/>
  <c r="BD611"/>
  <c r="AG754"/>
  <c r="AD31" i="189" s="1"/>
  <c r="BD309" i="175"/>
  <c r="BH507"/>
  <c r="AP569"/>
  <c r="AB754"/>
  <c r="Y31" i="189" s="1"/>
  <c r="BD458" i="175"/>
  <c r="U345"/>
  <c r="W778"/>
  <c r="T55" i="189" s="1"/>
  <c r="AC495" i="175"/>
  <c r="Z27" i="190"/>
  <c r="F26"/>
  <c r="I494" i="175"/>
  <c r="F544"/>
  <c r="AZ32"/>
  <c r="BD552"/>
  <c r="AA625"/>
  <c r="BB595"/>
  <c r="AL777"/>
  <c r="AI54" i="189" s="1"/>
  <c r="AX247" i="175"/>
  <c r="Z41" i="190"/>
  <c r="AV552" i="175"/>
  <c r="AX622"/>
  <c r="X491"/>
  <c r="U23" i="190"/>
  <c r="AC777" i="175"/>
  <c r="Z54" i="189" s="1"/>
  <c r="BH124" i="175"/>
  <c r="T488"/>
  <c r="Q20" i="190"/>
  <c r="AZ155" i="175"/>
  <c r="V752"/>
  <c r="S29" i="189" s="1"/>
  <c r="AC345" i="175"/>
  <c r="P39" i="190"/>
  <c r="AZ534" i="175"/>
  <c r="BD540"/>
  <c r="Q31" i="190"/>
  <c r="T499" i="175"/>
  <c r="AZ596"/>
  <c r="K49" i="190"/>
  <c r="AX428" i="175"/>
  <c r="Q490"/>
  <c r="N22" i="190"/>
  <c r="AQ376" i="175"/>
  <c r="R750"/>
  <c r="O27" i="189" s="1"/>
  <c r="P48" i="190"/>
  <c r="O492" i="175"/>
  <c r="L24" i="190"/>
  <c r="K592" i="175"/>
  <c r="K785" s="1"/>
  <c r="AV360"/>
  <c r="BH177"/>
  <c r="AV559"/>
  <c r="X37" i="190"/>
  <c r="BB443" i="175"/>
  <c r="M782"/>
  <c r="J59" i="189" s="1"/>
  <c r="BH620" i="175"/>
  <c r="AT498"/>
  <c r="AQ30" i="190"/>
  <c r="AR490" i="175"/>
  <c r="AO22" i="190"/>
  <c r="AG752" i="175"/>
  <c r="AD29" i="189" s="1"/>
  <c r="O31" i="190"/>
  <c r="R499" i="175"/>
  <c r="AX99"/>
  <c r="AH47" i="190"/>
  <c r="BF453" i="175"/>
  <c r="BF304"/>
  <c r="AL782"/>
  <c r="AI59" i="189" s="1"/>
  <c r="BB560" i="175"/>
  <c r="W750"/>
  <c r="T27" i="189" s="1"/>
  <c r="J649" i="175"/>
  <c r="BF524"/>
  <c r="AK586"/>
  <c r="AA590"/>
  <c r="BB528"/>
  <c r="Y21" i="190"/>
  <c r="AB489" i="175"/>
  <c r="Y27" i="190"/>
  <c r="AB495" i="175"/>
  <c r="E42" i="190"/>
  <c r="J39"/>
  <c r="AZ367" i="175"/>
  <c r="AV556"/>
  <c r="I583"/>
  <c r="X749"/>
  <c r="J21" i="190"/>
  <c r="M489" i="175"/>
  <c r="AF490"/>
  <c r="BD428"/>
  <c r="AC22" i="190"/>
  <c r="BB539" i="175"/>
  <c r="AL25" i="190"/>
  <c r="AO493" i="175"/>
  <c r="BF239"/>
  <c r="AD24" i="190"/>
  <c r="AG492" i="175"/>
  <c r="AQ489"/>
  <c r="AN21" i="190"/>
  <c r="F48"/>
  <c r="G590" i="175"/>
  <c r="F528"/>
  <c r="AZ604"/>
  <c r="AO582"/>
  <c r="AZ239"/>
  <c r="AC44" i="190"/>
  <c r="BD450" i="175"/>
  <c r="N24" i="190"/>
  <c r="Q492" i="175"/>
  <c r="AX430"/>
  <c r="BB468"/>
  <c r="AZ552"/>
  <c r="T777"/>
  <c r="Q54" i="189" s="1"/>
  <c r="AB569" i="175"/>
  <c r="AE23" i="190"/>
  <c r="AH491" i="175"/>
  <c r="BF600"/>
  <c r="K779"/>
  <c r="H56" i="189" s="1"/>
  <c r="AV508" i="175"/>
  <c r="L570"/>
  <c r="AX548"/>
  <c r="F21"/>
  <c r="AX534"/>
  <c r="BB10"/>
  <c r="BD340"/>
  <c r="BH338"/>
  <c r="AE574"/>
  <c r="O40" i="190"/>
  <c r="BD432" i="175"/>
  <c r="AF494"/>
  <c r="AC26" i="190"/>
  <c r="V50"/>
  <c r="BD554" i="175"/>
  <c r="S749"/>
  <c r="P26" i="189" s="1"/>
  <c r="BH603" i="175"/>
  <c r="AZ431"/>
  <c r="V493"/>
  <c r="S25" i="190"/>
  <c r="K591" i="175"/>
  <c r="F31"/>
  <c r="BH715"/>
  <c r="AP653"/>
  <c r="BD10"/>
  <c r="R651"/>
  <c r="AV523"/>
  <c r="L585"/>
  <c r="BH326"/>
  <c r="Z778"/>
  <c r="W55" i="189" s="1"/>
  <c r="BB455" i="175"/>
  <c r="X49" i="190"/>
  <c r="BF90" i="175"/>
  <c r="V27" i="190"/>
  <c r="Y495" i="175"/>
  <c r="AO31" i="190"/>
  <c r="AR499" i="175"/>
  <c r="Q493"/>
  <c r="N25" i="190"/>
  <c r="AX431" i="175"/>
  <c r="M25" i="190"/>
  <c r="P493" i="175"/>
  <c r="F456"/>
  <c r="C50" i="190" s="1"/>
  <c r="D50"/>
  <c r="K499" i="175"/>
  <c r="H31" i="190"/>
  <c r="L345" i="175"/>
  <c r="AV315"/>
  <c r="N780"/>
  <c r="K57" i="189" s="1"/>
  <c r="BD179" i="175"/>
  <c r="AF776"/>
  <c r="AC53" i="189" s="1"/>
  <c r="BB608" i="175"/>
  <c r="AS495"/>
  <c r="AP27" i="190"/>
  <c r="T494" i="175"/>
  <c r="Q26" i="190"/>
  <c r="AJ22"/>
  <c r="AM490" i="175"/>
  <c r="T46" i="190"/>
  <c r="AG33" i="175"/>
  <c r="BF11"/>
  <c r="O26" i="190"/>
  <c r="R494" i="175"/>
  <c r="M32" i="190"/>
  <c r="P500" i="175"/>
  <c r="BH125"/>
  <c r="AR570"/>
  <c r="V48" i="190"/>
  <c r="AK46"/>
  <c r="AX373" i="175"/>
  <c r="M44" i="190"/>
  <c r="G780" i="175"/>
  <c r="D57" i="189" s="1"/>
  <c r="F183" i="175"/>
  <c r="BD459"/>
  <c r="AQ649"/>
  <c r="AZ115"/>
  <c r="AB46" i="190"/>
  <c r="AZ246" i="175"/>
  <c r="Y44" i="190"/>
  <c r="AD491" i="175"/>
  <c r="AA23" i="190"/>
  <c r="AZ318" i="175"/>
  <c r="AB565"/>
  <c r="AC25" i="190"/>
  <c r="BD431" i="175"/>
  <c r="AF493"/>
  <c r="F313"/>
  <c r="P569"/>
  <c r="N489"/>
  <c r="K21" i="190"/>
  <c r="BF103" i="175"/>
  <c r="Q781"/>
  <c r="N58" i="189" s="1"/>
  <c r="AX184" i="175"/>
  <c r="AD751"/>
  <c r="AA28" i="189" s="1"/>
  <c r="AS570" i="175"/>
  <c r="U44" i="190"/>
  <c r="BF615" i="175"/>
  <c r="AV623"/>
  <c r="T47" i="190"/>
  <c r="AZ712" i="175"/>
  <c r="V650"/>
  <c r="AD775"/>
  <c r="AA52" i="189" s="1"/>
  <c r="AK565" i="175"/>
  <c r="BF503"/>
  <c r="AR489"/>
  <c r="AO21" i="190"/>
  <c r="AV57" i="175"/>
  <c r="BB9"/>
  <c r="BH181"/>
  <c r="AP778"/>
  <c r="AM55" i="189" s="1"/>
  <c r="AI588" i="175"/>
  <c r="Q19" i="190"/>
  <c r="T487" i="175"/>
  <c r="Q68" i="190" s="1"/>
  <c r="BB326" i="175"/>
  <c r="AA33"/>
  <c r="BB3"/>
  <c r="AV466"/>
  <c r="F359"/>
  <c r="O650"/>
  <c r="BB328"/>
  <c r="AC778"/>
  <c r="Z55" i="189" s="1"/>
  <c r="AI591" i="175"/>
  <c r="BD609"/>
  <c r="AQ46" i="190"/>
  <c r="AZ26" i="175"/>
  <c r="AI567"/>
  <c r="BD301"/>
  <c r="AJ39" i="190"/>
  <c r="V39"/>
  <c r="AN778" i="175"/>
  <c r="AK55" i="189" s="1"/>
  <c r="J749" i="175"/>
  <c r="G26" i="189" s="1"/>
  <c r="BF598" i="175"/>
  <c r="AL570"/>
  <c r="AX311"/>
  <c r="I582"/>
  <c r="AF49" i="190"/>
  <c r="BH300" i="175"/>
  <c r="BF512"/>
  <c r="AK574"/>
  <c r="L651"/>
  <c r="AV713"/>
  <c r="AX463"/>
  <c r="AE752"/>
  <c r="AB29" i="189" s="1"/>
  <c r="AV99" i="175"/>
  <c r="N625"/>
  <c r="AN583"/>
  <c r="Q495"/>
  <c r="N27" i="190"/>
  <c r="AX433" i="175"/>
  <c r="AV309"/>
  <c r="BH536"/>
  <c r="BB239"/>
  <c r="BH94"/>
  <c r="BF427"/>
  <c r="AH21" i="190"/>
  <c r="AK489" i="175"/>
  <c r="AZ240"/>
  <c r="H780"/>
  <c r="E57" i="189" s="1"/>
  <c r="P589" i="175"/>
  <c r="AV469"/>
  <c r="AC565"/>
  <c r="Y651"/>
  <c r="X573"/>
  <c r="I589"/>
  <c r="AQ586"/>
  <c r="F599"/>
  <c r="BD15"/>
  <c r="H126"/>
  <c r="BH612"/>
  <c r="AJ585"/>
  <c r="BB216"/>
  <c r="AD590"/>
  <c r="AZ247"/>
  <c r="AS591"/>
  <c r="BB557"/>
  <c r="AZ333"/>
  <c r="E30" i="190"/>
  <c r="H498" i="175"/>
  <c r="BB342"/>
  <c r="AT376"/>
  <c r="H754"/>
  <c r="E31" i="189" s="1"/>
  <c r="Z488" i="175"/>
  <c r="W20" i="190"/>
  <c r="G752" i="175"/>
  <c r="F155"/>
  <c r="AX374"/>
  <c r="AX560"/>
  <c r="M26" i="190"/>
  <c r="P494" i="175"/>
  <c r="U567"/>
  <c r="N751"/>
  <c r="K28" i="189" s="1"/>
  <c r="R50" i="190"/>
  <c r="AZ349" i="175"/>
  <c r="AE49" i="190"/>
  <c r="AV541" i="175"/>
  <c r="AV320"/>
  <c r="F10"/>
  <c r="BD367"/>
  <c r="BB19"/>
  <c r="BD553"/>
  <c r="J47" i="190"/>
  <c r="U780" i="175"/>
  <c r="R57" i="189" s="1"/>
  <c r="AJ568" i="175"/>
  <c r="L775"/>
  <c r="I52" i="189" s="1"/>
  <c r="AV178" i="175"/>
  <c r="AI784"/>
  <c r="AF61" i="189" s="1"/>
  <c r="BD353" i="175"/>
  <c r="AX102"/>
  <c r="W345"/>
  <c r="N49" i="190"/>
  <c r="AX455" i="175"/>
  <c r="BH559"/>
  <c r="AR345"/>
  <c r="BH90"/>
  <c r="G582"/>
  <c r="F520"/>
  <c r="F614"/>
  <c r="BD58"/>
  <c r="AE40" i="190"/>
  <c r="Z46"/>
  <c r="AZ526" i="175"/>
  <c r="V588"/>
  <c r="H776"/>
  <c r="E53" i="189" s="1"/>
  <c r="AV511" i="175"/>
  <c r="L573"/>
  <c r="BF311"/>
  <c r="AT754"/>
  <c r="AQ31" i="189" s="1"/>
  <c r="G22" i="190"/>
  <c r="J490" i="175"/>
  <c r="AX624"/>
  <c r="AV618"/>
  <c r="BH341"/>
  <c r="T568"/>
  <c r="AE488"/>
  <c r="AB20" i="190"/>
  <c r="U490" i="175"/>
  <c r="R22" i="190"/>
  <c r="S650" i="175"/>
  <c r="H651"/>
  <c r="AH569"/>
  <c r="G576"/>
  <c r="AM651"/>
  <c r="AD585"/>
  <c r="AV525"/>
  <c r="L587"/>
  <c r="BB433"/>
  <c r="X27" i="190"/>
  <c r="AA495" i="175"/>
  <c r="BH458"/>
  <c r="AT585"/>
  <c r="Y750"/>
  <c r="V27" i="189" s="1"/>
  <c r="BD466" i="175"/>
  <c r="AX438"/>
  <c r="N32" i="190"/>
  <c r="Q500" i="175"/>
  <c r="AX304"/>
  <c r="BF97"/>
  <c r="O583"/>
  <c r="AI46" i="190"/>
  <c r="H20"/>
  <c r="K488" i="175"/>
  <c r="AZ116"/>
  <c r="BF711"/>
  <c r="AK649"/>
  <c r="Z568"/>
  <c r="BH22"/>
  <c r="AT571"/>
  <c r="AC755"/>
  <c r="Z32" i="189" s="1"/>
  <c r="T749" i="175"/>
  <c r="Q26" i="189" s="1"/>
  <c r="AP652" i="175"/>
  <c r="BH714"/>
  <c r="F312"/>
  <c r="AX20"/>
  <c r="AT625"/>
  <c r="AV558"/>
  <c r="BF349"/>
  <c r="AL42" i="190"/>
  <c r="F246" i="175"/>
  <c r="U651"/>
  <c r="BF618"/>
  <c r="O22" i="190"/>
  <c r="R490" i="175"/>
  <c r="AV406"/>
  <c r="AQ783"/>
  <c r="AN60" i="189" s="1"/>
  <c r="BB30" i="175"/>
  <c r="BF457"/>
  <c r="AX29"/>
  <c r="K26" i="190"/>
  <c r="N494" i="175"/>
  <c r="N28" i="190"/>
  <c r="Q496" i="175"/>
  <c r="AX434"/>
  <c r="Z582"/>
  <c r="BD362"/>
  <c r="AA591"/>
  <c r="BB529"/>
  <c r="AZ313"/>
  <c r="BH12"/>
  <c r="AZ469"/>
  <c r="BB105"/>
  <c r="R650"/>
  <c r="M24" i="190"/>
  <c r="P492" i="175"/>
  <c r="AB583"/>
  <c r="BB307"/>
  <c r="BB93"/>
  <c r="U40" i="190"/>
  <c r="T498" i="175"/>
  <c r="Q30" i="190"/>
  <c r="AX13" i="175"/>
  <c r="AP582"/>
  <c r="BH520"/>
  <c r="AQ754"/>
  <c r="AN31" i="189" s="1"/>
  <c r="I625" i="175"/>
  <c r="AK29" i="190"/>
  <c r="AN497" i="175"/>
  <c r="AP500"/>
  <c r="AM32" i="190"/>
  <c r="BH438" i="175"/>
  <c r="V46" i="190"/>
  <c r="BF430" i="175"/>
  <c r="AK492"/>
  <c r="AH24" i="190"/>
  <c r="BB115" i="175"/>
  <c r="BD87"/>
  <c r="S752"/>
  <c r="P29" i="189" s="1"/>
  <c r="BH622" i="175"/>
  <c r="G28" i="190"/>
  <c r="J496" i="175"/>
  <c r="F27"/>
  <c r="X579"/>
  <c r="AB567"/>
  <c r="BH369"/>
  <c r="AX469"/>
  <c r="R584"/>
  <c r="BH60"/>
  <c r="BH334"/>
  <c r="AQ40" i="190"/>
  <c r="BF319" i="175"/>
  <c r="AV331"/>
  <c r="M589"/>
  <c r="BB220"/>
  <c r="BH403"/>
  <c r="AX214"/>
  <c r="AZ359"/>
  <c r="AM20" i="190"/>
  <c r="AP488" i="175"/>
  <c r="BH426"/>
  <c r="W42" i="190"/>
  <c r="BB680" i="175"/>
  <c r="H753"/>
  <c r="E30" i="189" s="1"/>
  <c r="BF119" i="175"/>
  <c r="O755"/>
  <c r="L32" i="189" s="1"/>
  <c r="AZ340" i="175"/>
  <c r="AC493"/>
  <c r="Z25" i="190"/>
  <c r="BH544" i="175"/>
  <c r="AQ33"/>
  <c r="BD506"/>
  <c r="AF568"/>
  <c r="AX372"/>
  <c r="S586"/>
  <c r="BB81"/>
  <c r="AN588"/>
  <c r="F24"/>
  <c r="BF181"/>
  <c r="AK778"/>
  <c r="AH55" i="189" s="1"/>
  <c r="AL44" i="190"/>
  <c r="BD438" i="175"/>
  <c r="AC32" i="190"/>
  <c r="AF500" i="175"/>
  <c r="I572"/>
  <c r="AL47" i="190"/>
  <c r="BD214" i="175"/>
  <c r="BB59"/>
  <c r="BB114"/>
  <c r="S568"/>
  <c r="N777"/>
  <c r="K54" i="189" s="1"/>
  <c r="BB24" i="175"/>
  <c r="G779"/>
  <c r="D56" i="189" s="1"/>
  <c r="F182" i="175"/>
  <c r="G753"/>
  <c r="D30" i="189" s="1"/>
  <c r="F156" i="175"/>
  <c r="AT487"/>
  <c r="AQ68" i="190" s="1"/>
  <c r="AQ19"/>
  <c r="AB584" i="175"/>
  <c r="BH357"/>
  <c r="K39" i="190"/>
  <c r="BH366" i="175"/>
  <c r="AI649"/>
  <c r="BD119"/>
  <c r="O37" i="190"/>
  <c r="M19"/>
  <c r="P487" i="175"/>
  <c r="M68" i="190" s="1"/>
  <c r="Y780" i="175"/>
  <c r="V57" i="189" s="1"/>
  <c r="X33" i="175"/>
  <c r="AZ711"/>
  <c r="V649"/>
  <c r="BB600"/>
  <c r="AN625"/>
  <c r="G572"/>
  <c r="AG579"/>
  <c r="AZ22"/>
  <c r="H50" i="190"/>
  <c r="AZ511" i="175"/>
  <c r="V573"/>
  <c r="K568"/>
  <c r="AQ653"/>
  <c r="AX152"/>
  <c r="Q749"/>
  <c r="N26" i="189" s="1"/>
  <c r="AX610" i="175"/>
  <c r="AV282"/>
  <c r="U32" i="190"/>
  <c r="X500" i="175"/>
  <c r="W583"/>
  <c r="AD586"/>
  <c r="BF455"/>
  <c r="AH49" i="190"/>
  <c r="AJ48"/>
  <c r="AJ652" i="175"/>
  <c r="AI23" i="190"/>
  <c r="AL491" i="175"/>
  <c r="W33"/>
  <c r="T653"/>
  <c r="AJ591"/>
  <c r="W779"/>
  <c r="T56" i="189" s="1"/>
  <c r="BB102" i="175"/>
  <c r="AZ5"/>
  <c r="BB16"/>
  <c r="BF337"/>
  <c r="BF681"/>
  <c r="BB240"/>
  <c r="X653"/>
  <c r="U45" i="190"/>
  <c r="BF552" i="175"/>
  <c r="AZ92"/>
  <c r="AP589"/>
  <c r="BH527"/>
  <c r="AE585"/>
  <c r="AZ468"/>
  <c r="AZ463"/>
  <c r="BF20"/>
  <c r="Y574"/>
  <c r="R345"/>
  <c r="BH318"/>
  <c r="BH99"/>
  <c r="L589"/>
  <c r="AV527"/>
  <c r="BH244"/>
  <c r="AP46" i="190"/>
  <c r="AJ567" i="175"/>
  <c r="BH459"/>
  <c r="AS579"/>
  <c r="I22" i="190"/>
  <c r="L490" i="175"/>
  <c r="AV428"/>
  <c r="AG650"/>
  <c r="Z592"/>
  <c r="Z785" s="1"/>
  <c r="W62" i="189" s="1"/>
  <c r="AM569" i="175"/>
  <c r="BD23"/>
  <c r="AG26" i="190"/>
  <c r="AJ494" i="175"/>
  <c r="L590"/>
  <c r="AV528"/>
  <c r="U49" i="190"/>
  <c r="W493" i="175"/>
  <c r="T25" i="190"/>
  <c r="BF118" i="175"/>
  <c r="AR752"/>
  <c r="AO29" i="189" s="1"/>
  <c r="I50" i="190"/>
  <c r="AV456" i="175"/>
  <c r="W48" i="190"/>
  <c r="AX103" i="175"/>
  <c r="U25" i="190"/>
  <c r="X493" i="175"/>
  <c r="BB553"/>
  <c r="H589"/>
  <c r="BB248"/>
  <c r="I593"/>
  <c r="I786" s="1"/>
  <c r="F63" i="189" s="1"/>
  <c r="Y583" i="175"/>
  <c r="F616"/>
  <c r="AZ368"/>
  <c r="BF280"/>
  <c r="BF530"/>
  <c r="AK592"/>
  <c r="AK785" s="1"/>
  <c r="AH62" i="189" s="1"/>
  <c r="AC776" i="175"/>
  <c r="Z53" i="189" s="1"/>
  <c r="AV302" i="175"/>
  <c r="X590"/>
  <c r="J754"/>
  <c r="G31" i="189" s="1"/>
  <c r="P570" i="175"/>
  <c r="BD333"/>
  <c r="AK23" i="190"/>
  <c r="AN491" i="175"/>
  <c r="AK37" i="190"/>
  <c r="AJ590" i="175"/>
  <c r="BB558"/>
  <c r="BH361"/>
  <c r="S19" i="190"/>
  <c r="AZ425" i="175"/>
  <c r="V487"/>
  <c r="AN33"/>
  <c r="BD62"/>
  <c r="AG50" i="190"/>
  <c r="X495" i="175"/>
  <c r="U27" i="190"/>
  <c r="AS574" i="175"/>
  <c r="BB463"/>
  <c r="Z590"/>
  <c r="BB58"/>
  <c r="AR778"/>
  <c r="AO55" i="189" s="1"/>
  <c r="L754" i="175"/>
  <c r="I31" i="189" s="1"/>
  <c r="AV157" i="175"/>
  <c r="N781"/>
  <c r="K58" i="189" s="1"/>
  <c r="F216" i="175"/>
  <c r="AN492"/>
  <c r="AK24" i="190"/>
  <c r="AX8" i="175"/>
  <c r="AV519"/>
  <c r="W30" i="190"/>
  <c r="Z498" i="175"/>
  <c r="AB587"/>
  <c r="BB94"/>
  <c r="AK589"/>
  <c r="BF527"/>
  <c r="BD464"/>
  <c r="AJ653"/>
  <c r="AZ317"/>
  <c r="AV364"/>
  <c r="AB487"/>
  <c r="Y68" i="190" s="1"/>
  <c r="Y19"/>
  <c r="BB306" i="175"/>
  <c r="F330"/>
  <c r="AL499"/>
  <c r="AI31" i="190"/>
  <c r="BD714" i="175"/>
  <c r="AF652"/>
  <c r="S48" i="190"/>
  <c r="AZ454" i="175"/>
  <c r="O570"/>
  <c r="AI590"/>
  <c r="AM653"/>
  <c r="AD651"/>
  <c r="AG574"/>
  <c r="K653"/>
  <c r="BB101"/>
  <c r="AZ282"/>
  <c r="AV543"/>
  <c r="AV280"/>
  <c r="AL492"/>
  <c r="AI24" i="190"/>
  <c r="Y573" i="175"/>
  <c r="BF158"/>
  <c r="AK755"/>
  <c r="AH32" i="189" s="1"/>
  <c r="BD57" i="175"/>
  <c r="AX350"/>
  <c r="O784"/>
  <c r="L61" i="189" s="1"/>
  <c r="BF339" i="175"/>
  <c r="AZ448"/>
  <c r="S42" i="190"/>
  <c r="R570" i="175"/>
  <c r="AE345"/>
  <c r="AO777"/>
  <c r="AL54" i="189" s="1"/>
  <c r="BD88" i="175"/>
  <c r="L40" i="190"/>
  <c r="S750" i="175"/>
  <c r="P27" i="189" s="1"/>
  <c r="H649" i="175"/>
  <c r="AV682"/>
  <c r="O753"/>
  <c r="L30" i="189" s="1"/>
  <c r="AT488" i="175"/>
  <c r="AQ20" i="190"/>
  <c r="BF620" i="175"/>
  <c r="BB361"/>
  <c r="AG487"/>
  <c r="AD68" i="190" s="1"/>
  <c r="AD19"/>
  <c r="BD105" i="175"/>
  <c r="AK25" i="190"/>
  <c r="AN493" i="175"/>
  <c r="X588"/>
  <c r="F609"/>
  <c r="AH749"/>
  <c r="AV429"/>
  <c r="I23" i="190"/>
  <c r="L491" i="175"/>
  <c r="H570"/>
  <c r="F624"/>
  <c r="T38" i="190"/>
  <c r="I592" i="175"/>
  <c r="I785" s="1"/>
  <c r="F62" i="189" s="1"/>
  <c r="BH351" i="175"/>
  <c r="BH307"/>
  <c r="AZ7"/>
  <c r="AH33"/>
  <c r="AE28" i="190"/>
  <c r="AH496" i="175"/>
  <c r="F555"/>
  <c r="R579"/>
  <c r="BB219"/>
  <c r="AC569"/>
  <c r="F607"/>
  <c r="AV373"/>
  <c r="M755"/>
  <c r="J32" i="189" s="1"/>
  <c r="S777" i="175"/>
  <c r="P54" i="189" s="1"/>
  <c r="AC585" i="175"/>
  <c r="J755"/>
  <c r="G32" i="189" s="1"/>
  <c r="AN589" i="175"/>
  <c r="AX607"/>
  <c r="BD81"/>
  <c r="Y751"/>
  <c r="V28" i="189" s="1"/>
  <c r="BB318" i="175"/>
  <c r="AZ122"/>
  <c r="G532"/>
  <c r="G564"/>
  <c r="AI48" i="190"/>
  <c r="J570" i="175"/>
  <c r="N586"/>
  <c r="G25" i="190"/>
  <c r="J493" i="175"/>
  <c r="U582"/>
  <c r="U588"/>
  <c r="AQ38" i="190"/>
  <c r="F29" i="175"/>
  <c r="BH97"/>
  <c r="BH309"/>
  <c r="N491"/>
  <c r="K23" i="190"/>
  <c r="BD528" i="175"/>
  <c r="AF590"/>
  <c r="F445"/>
  <c r="C39" i="190" s="1"/>
  <c r="D39"/>
  <c r="AQ751" i="175"/>
  <c r="AN28" i="189" s="1"/>
  <c r="AV59" i="175"/>
  <c r="R489"/>
  <c r="O21" i="190"/>
  <c r="BB352" i="175"/>
  <c r="AZ101"/>
  <c r="F7"/>
  <c r="BF62"/>
  <c r="BB617"/>
  <c r="Q586"/>
  <c r="AX524"/>
  <c r="BH336"/>
  <c r="AG345"/>
  <c r="AO649"/>
  <c r="BD535"/>
  <c r="AN39" i="190"/>
  <c r="Y625" i="175"/>
  <c r="BF86"/>
  <c r="M46" i="190"/>
  <c r="AM754" i="175"/>
  <c r="AH586"/>
  <c r="K588"/>
  <c r="H33"/>
  <c r="Y570"/>
  <c r="BD711"/>
  <c r="AF649"/>
  <c r="T584"/>
  <c r="K493"/>
  <c r="H25" i="190"/>
  <c r="BB624" i="175"/>
  <c r="AC568"/>
  <c r="AQ45" i="190"/>
  <c r="G48"/>
  <c r="AE775" i="175"/>
  <c r="AB52" i="189" s="1"/>
  <c r="W777" i="175"/>
  <c r="T54" i="189" s="1"/>
  <c r="W570" i="175"/>
  <c r="AP651"/>
  <c r="BH713"/>
  <c r="AR588"/>
  <c r="BF369"/>
  <c r="BF322"/>
  <c r="X571"/>
  <c r="J589"/>
  <c r="AL754"/>
  <c r="AK41" i="190"/>
  <c r="BH282" i="175"/>
  <c r="L750"/>
  <c r="I27" i="189" s="1"/>
  <c r="AV153" i="175"/>
  <c r="AO20" i="190"/>
  <c r="AR488" i="175"/>
  <c r="BF361"/>
  <c r="J44" i="190"/>
  <c r="AA776" i="175"/>
  <c r="X53" i="189" s="1"/>
  <c r="BB179" i="175"/>
  <c r="S497"/>
  <c r="P29" i="190"/>
  <c r="BH529" i="175"/>
  <c r="AP591"/>
  <c r="BD616"/>
  <c r="AX251"/>
  <c r="AQ568"/>
  <c r="L42" i="190"/>
  <c r="AZ618" i="175"/>
  <c r="AO585"/>
  <c r="U50" i="190"/>
  <c r="AP567" i="175"/>
  <c r="BH505"/>
  <c r="AL41" i="190"/>
  <c r="P491" i="175"/>
  <c r="M23" i="190"/>
  <c r="F596" i="175"/>
  <c r="AV17"/>
  <c r="J24" i="190"/>
  <c r="M492" i="175"/>
  <c r="AB571"/>
  <c r="AV19"/>
  <c r="BD244"/>
  <c r="R30" i="190"/>
  <c r="U498" i="175"/>
  <c r="I19" i="190"/>
  <c r="L487" i="175"/>
  <c r="I68" i="190" s="1"/>
  <c r="AV425" i="175"/>
  <c r="I754"/>
  <c r="F31" i="189" s="1"/>
  <c r="W565" i="175"/>
  <c r="AN777"/>
  <c r="AK54" i="189" s="1"/>
  <c r="BH10" i="175"/>
  <c r="F19"/>
  <c r="K625"/>
  <c r="BB85"/>
  <c r="BB464"/>
  <c r="I777"/>
  <c r="F54" i="189" s="1"/>
  <c r="AQ492" i="175"/>
  <c r="AN24" i="190"/>
  <c r="AM625" i="175"/>
  <c r="AM752"/>
  <c r="AJ29" i="189" s="1"/>
  <c r="R40" i="190"/>
  <c r="BD597" i="175"/>
  <c r="Y31" i="190"/>
  <c r="AB499" i="175"/>
  <c r="AZ6"/>
  <c r="BB518"/>
  <c r="Q652"/>
  <c r="AX714"/>
  <c r="AX349"/>
  <c r="BH404"/>
  <c r="V567"/>
  <c r="AZ505"/>
  <c r="BB324"/>
  <c r="AZ156"/>
  <c r="V753"/>
  <c r="S30" i="189" s="1"/>
  <c r="AV158" i="175"/>
  <c r="L755"/>
  <c r="U33"/>
  <c r="AZ548"/>
  <c r="BF617"/>
  <c r="AZ366"/>
  <c r="AK48" i="190"/>
  <c r="AV90" i="175"/>
  <c r="P586"/>
  <c r="G577"/>
  <c r="AA47" i="190"/>
  <c r="AF755" i="175"/>
  <c r="AC32" i="189" s="1"/>
  <c r="BD158" i="175"/>
  <c r="AI593"/>
  <c r="AI786" s="1"/>
  <c r="AF63" i="189" s="1"/>
  <c r="BF682" i="175"/>
  <c r="AI30" i="190"/>
  <c r="AL498" i="175"/>
  <c r="AX461"/>
  <c r="F308"/>
  <c r="Y753"/>
  <c r="V30" i="189" s="1"/>
  <c r="AZ602" i="175"/>
  <c r="BF466"/>
  <c r="AX457"/>
  <c r="AD593"/>
  <c r="AD786" s="1"/>
  <c r="AA63" i="189" s="1"/>
  <c r="I649" i="175"/>
  <c r="AX333"/>
  <c r="AL40" i="190"/>
  <c r="AX601" i="175"/>
  <c r="AV187"/>
  <c r="L784"/>
  <c r="BB511"/>
  <c r="AA573"/>
  <c r="BH466"/>
  <c r="BF537"/>
  <c r="AD625"/>
  <c r="AS751"/>
  <c r="AP28" i="189" s="1"/>
  <c r="BB467" i="175"/>
  <c r="O625"/>
  <c r="AS584"/>
  <c r="AV453"/>
  <c r="I47" i="190"/>
  <c r="H491" i="175"/>
  <c r="E23" i="190"/>
  <c r="J41"/>
  <c r="BH20" i="175"/>
  <c r="AI776"/>
  <c r="AF53" i="189" s="1"/>
  <c r="BD467" i="175"/>
  <c r="BB605"/>
  <c r="N39" i="190"/>
  <c r="AX445" i="175"/>
  <c r="R46" i="190"/>
  <c r="N496" i="175"/>
  <c r="K28" i="190"/>
  <c r="BH712" i="175"/>
  <c r="AP650"/>
  <c r="T565"/>
  <c r="T45" i="190"/>
  <c r="BF124" i="175"/>
  <c r="T50" i="190"/>
  <c r="AD48"/>
  <c r="AP493" i="175"/>
  <c r="BH431"/>
  <c r="AM25" i="190"/>
  <c r="N753" i="175"/>
  <c r="K30" i="189" s="1"/>
  <c r="AX243" i="175"/>
  <c r="AV348"/>
  <c r="AN44" i="190"/>
  <c r="AI586" i="175"/>
  <c r="BD511"/>
  <c r="AF573"/>
  <c r="AX334"/>
  <c r="AI579"/>
  <c r="AS586"/>
  <c r="AT569"/>
  <c r="W589"/>
  <c r="BD360"/>
  <c r="AZ405"/>
  <c r="AB492"/>
  <c r="Y24" i="190"/>
  <c r="O593" i="175"/>
  <c r="O786" s="1"/>
  <c r="L63" i="189" s="1"/>
  <c r="AB753" i="175"/>
  <c r="Y30" i="189" s="1"/>
  <c r="AJ574" i="175"/>
  <c r="BF624"/>
  <c r="P783"/>
  <c r="M60" i="189" s="1"/>
  <c r="AV621" i="175"/>
  <c r="AD782"/>
  <c r="R783"/>
  <c r="O60" i="189" s="1"/>
  <c r="AF751" i="175"/>
  <c r="AC28" i="189" s="1"/>
  <c r="BD154" i="175"/>
  <c r="AL569"/>
  <c r="BB277"/>
  <c r="T783"/>
  <c r="Q60" i="189" s="1"/>
  <c r="P753" i="175"/>
  <c r="M30" i="189" s="1"/>
  <c r="AV554" i="175"/>
  <c r="AE751"/>
  <c r="AB28" i="189" s="1"/>
  <c r="BH346" i="175"/>
  <c r="AP376"/>
  <c r="AX533"/>
  <c r="F189"/>
  <c r="BB91"/>
  <c r="BF521"/>
  <c r="AK583"/>
  <c r="AZ121"/>
  <c r="W585"/>
  <c r="F240"/>
  <c r="BF429"/>
  <c r="AH23" i="190"/>
  <c r="AK491" i="175"/>
  <c r="BF81"/>
  <c r="X499"/>
  <c r="U31" i="190"/>
  <c r="AX553" i="175"/>
  <c r="AB24" i="190"/>
  <c r="AE492" i="175"/>
  <c r="T586"/>
  <c r="AV522"/>
  <c r="L584"/>
  <c r="AX535"/>
  <c r="Y590"/>
  <c r="F361"/>
  <c r="BB158"/>
  <c r="AA755"/>
  <c r="X32" i="189" s="1"/>
  <c r="AV460" i="175"/>
  <c r="AE589"/>
  <c r="T19" i="190"/>
  <c r="W487" i="175"/>
  <c r="T68" i="190" s="1"/>
  <c r="AX330" i="175"/>
  <c r="I588"/>
  <c r="BH96"/>
  <c r="W31" i="190"/>
  <c r="Z499" i="175"/>
  <c r="BB337"/>
  <c r="BB543"/>
  <c r="AZ600"/>
  <c r="AZ335"/>
  <c r="AM650"/>
  <c r="F373"/>
  <c r="AL584"/>
  <c r="AT775"/>
  <c r="AQ52" i="189" s="1"/>
  <c r="AH653" i="175"/>
  <c r="AV600"/>
  <c r="V777"/>
  <c r="AZ180"/>
  <c r="BD17"/>
  <c r="BH303"/>
  <c r="AG48" i="190"/>
  <c r="AZ327" i="175"/>
  <c r="BD83"/>
  <c r="BB303"/>
  <c r="L50" i="190"/>
  <c r="AX183" i="175"/>
  <c r="Q780"/>
  <c r="Q811" s="1"/>
  <c r="N88" i="189" s="1"/>
  <c r="AN775" i="175"/>
  <c r="AK52" i="189" s="1"/>
  <c r="AV246" i="175"/>
  <c r="AF752"/>
  <c r="AC29" i="189" s="1"/>
  <c r="BD155" i="175"/>
  <c r="I755"/>
  <c r="F32" i="189" s="1"/>
  <c r="BF522" i="175"/>
  <c r="AK584"/>
  <c r="H345"/>
  <c r="AH42" i="190"/>
  <c r="BF448" i="175"/>
  <c r="L779"/>
  <c r="I56" i="189" s="1"/>
  <c r="AV182" i="175"/>
  <c r="AL583"/>
  <c r="AI780"/>
  <c r="BH328"/>
  <c r="AV300"/>
  <c r="F28"/>
  <c r="AB42" i="190"/>
  <c r="S652" i="175"/>
  <c r="AV462"/>
  <c r="AN776"/>
  <c r="AK53" i="189" s="1"/>
  <c r="AQ345" i="175"/>
  <c r="M585"/>
  <c r="K497"/>
  <c r="H29" i="190"/>
  <c r="AL45"/>
  <c r="V775" i="175"/>
  <c r="S52" i="189" s="1"/>
  <c r="AZ178" i="175"/>
  <c r="K565"/>
  <c r="BF333"/>
  <c r="AO37" i="190"/>
  <c r="AZ322" i="175"/>
  <c r="X376"/>
  <c r="BH23"/>
  <c r="BH367"/>
  <c r="J777"/>
  <c r="G54" i="189" s="1"/>
  <c r="AS565" i="175"/>
  <c r="G574"/>
  <c r="F512"/>
  <c r="AD778"/>
  <c r="AA55" i="189" s="1"/>
  <c r="BB250" i="175"/>
  <c r="F302"/>
  <c r="AZ352"/>
  <c r="AV427"/>
  <c r="I21" i="190"/>
  <c r="L489" i="175"/>
  <c r="AH489"/>
  <c r="AE21" i="190"/>
  <c r="G490" i="175"/>
  <c r="F428"/>
  <c r="C22" i="190" s="1"/>
  <c r="D22"/>
  <c r="AX559" i="175"/>
  <c r="F307"/>
  <c r="BB331"/>
  <c r="AZ97"/>
  <c r="AZ559"/>
  <c r="AR587"/>
  <c r="Z750"/>
  <c r="W27" i="189" s="1"/>
  <c r="AP39" i="190"/>
  <c r="AS782" i="175"/>
  <c r="AP59" i="189" s="1"/>
  <c r="BH518" i="175"/>
  <c r="AB494"/>
  <c r="Y26" i="190"/>
  <c r="AE568" i="175"/>
  <c r="I584"/>
  <c r="BD242"/>
  <c r="BB25"/>
  <c r="AD591"/>
  <c r="AZ506"/>
  <c r="V568"/>
  <c r="BD344"/>
  <c r="O491"/>
  <c r="L23" i="190"/>
  <c r="Z589" i="175"/>
  <c r="Q653"/>
  <c r="AX715"/>
  <c r="Y567"/>
  <c r="X782"/>
  <c r="U59" i="189" s="1"/>
  <c r="BD366" i="175"/>
  <c r="AI573"/>
  <c r="BD337"/>
  <c r="AM568"/>
  <c r="AQ48" i="190"/>
  <c r="N573" i="175"/>
  <c r="BF595"/>
  <c r="AK625"/>
  <c r="AZ182"/>
  <c r="V779"/>
  <c r="S56" i="189" s="1"/>
  <c r="H46" i="190"/>
  <c r="BF350" i="175"/>
  <c r="BF307"/>
  <c r="AZ542"/>
  <c r="AX276"/>
  <c r="Y376"/>
  <c r="F3"/>
  <c r="AV218"/>
  <c r="AZ13"/>
  <c r="AV118"/>
  <c r="L46" i="190"/>
  <c r="AD570" i="175"/>
  <c r="P591"/>
  <c r="AD779"/>
  <c r="AA56" i="189" s="1"/>
  <c r="O45" i="190"/>
  <c r="AZ332" i="175"/>
  <c r="BB335"/>
  <c r="J30" i="190"/>
  <c r="M498" i="175"/>
  <c r="L39" i="190"/>
  <c r="BB507" i="175"/>
  <c r="AA569"/>
  <c r="AD499"/>
  <c r="AA31" i="190"/>
  <c r="X23"/>
  <c r="BB429" i="175"/>
  <c r="AA491"/>
  <c r="AN47" i="190"/>
  <c r="AZ59" i="175"/>
  <c r="BF373"/>
  <c r="N776"/>
  <c r="K53" i="189" s="1"/>
  <c r="AH625" i="175"/>
  <c r="AX319"/>
  <c r="Z376"/>
  <c r="AQ651"/>
  <c r="AI653"/>
  <c r="AV613"/>
  <c r="AZ541"/>
  <c r="AB376"/>
  <c r="F5"/>
  <c r="AV344"/>
  <c r="F188"/>
  <c r="E25" i="190"/>
  <c r="H493" i="175"/>
  <c r="BB302"/>
  <c r="V31" i="190"/>
  <c r="Y499" i="175"/>
  <c r="AE651"/>
  <c r="P784"/>
  <c r="M61" i="189" s="1"/>
  <c r="I751" i="175"/>
  <c r="F28" i="189" s="1"/>
  <c r="F360" i="175"/>
  <c r="AV455"/>
  <c r="I49" i="190"/>
  <c r="AQ37"/>
  <c r="BD364" i="175"/>
  <c r="BH32"/>
  <c r="AZ241"/>
  <c r="T579"/>
  <c r="AQ588"/>
  <c r="BB552"/>
  <c r="I590"/>
  <c r="AT778"/>
  <c r="AQ55" i="189" s="1"/>
  <c r="BD93" i="175"/>
  <c r="AS488"/>
  <c r="AP20" i="190"/>
  <c r="BD406" i="175"/>
  <c r="W651"/>
  <c r="BH59"/>
  <c r="F535"/>
  <c r="I775"/>
  <c r="F52" i="189" s="1"/>
  <c r="O649" i="175"/>
  <c r="S565"/>
  <c r="BF58"/>
  <c r="AV372"/>
  <c r="K37" i="190"/>
  <c r="AH589" i="175"/>
  <c r="AS780"/>
  <c r="AP57" i="189" s="1"/>
  <c r="W490" i="175"/>
  <c r="T22" i="190"/>
  <c r="H565" i="175"/>
  <c r="K567"/>
  <c r="AE753"/>
  <c r="AN584"/>
  <c r="M590"/>
  <c r="BD9"/>
  <c r="AM39" i="190"/>
  <c r="BH445" i="175"/>
  <c r="AX363"/>
  <c r="F548"/>
  <c r="AQ567"/>
  <c r="J783"/>
  <c r="G60" i="189" s="1"/>
  <c r="AL652" i="175"/>
  <c r="I30" i="190"/>
  <c r="AV436" i="175"/>
  <c r="L498"/>
  <c r="V579"/>
  <c r="AZ517"/>
  <c r="V569"/>
  <c r="AZ507"/>
  <c r="AL565"/>
  <c r="AC587"/>
  <c r="BB238"/>
  <c r="BB620"/>
  <c r="P488"/>
  <c r="M20" i="190"/>
  <c r="AG38"/>
  <c r="AJ777" i="175"/>
  <c r="AG54" i="189" s="1"/>
  <c r="BH242" i="175"/>
  <c r="F603"/>
  <c r="AT750"/>
  <c r="AX27"/>
  <c r="BF316"/>
  <c r="AG649"/>
  <c r="AG42" i="190"/>
  <c r="AI345" i="175"/>
  <c r="G499"/>
  <c r="D31" i="190"/>
  <c r="F437" i="175"/>
  <c r="C31" i="190" s="1"/>
  <c r="R33" i="175"/>
  <c r="AM775"/>
  <c r="AJ52" i="189" s="1"/>
  <c r="AV216" i="175"/>
  <c r="BB62"/>
  <c r="AL582"/>
  <c r="AX25"/>
  <c r="Z587"/>
  <c r="X777"/>
  <c r="U54" i="189" s="1"/>
  <c r="AD752" i="175"/>
  <c r="AA29" i="189" s="1"/>
  <c r="P752" i="175"/>
  <c r="M29" i="189" s="1"/>
  <c r="T776" i="175"/>
  <c r="Q53" i="189" s="1"/>
  <c r="BD85" i="175"/>
  <c r="AI500"/>
  <c r="AF32" i="190"/>
  <c r="F20" i="175"/>
  <c r="I776"/>
  <c r="U489"/>
  <c r="R21" i="190"/>
  <c r="S571" i="175"/>
  <c r="N649"/>
  <c r="BB711"/>
  <c r="AA649"/>
  <c r="P571"/>
  <c r="AJ589"/>
  <c r="J568"/>
  <c r="AS571"/>
  <c r="BF606"/>
  <c r="AP585"/>
  <c r="BH523"/>
  <c r="AV555"/>
  <c r="AV548"/>
  <c r="Q776"/>
  <c r="N53" i="189" s="1"/>
  <c r="AX179" i="175"/>
  <c r="K781"/>
  <c r="H58" i="189" s="1"/>
  <c r="AL625" i="175"/>
  <c r="BF529"/>
  <c r="AK591"/>
  <c r="AR754"/>
  <c r="AO31" i="189" s="1"/>
  <c r="BB15" i="175"/>
  <c r="AJ750"/>
  <c r="AG27" i="189" s="1"/>
  <c r="E47" i="190"/>
  <c r="BF23" i="175"/>
  <c r="AV94"/>
  <c r="AA750"/>
  <c r="X27" i="189" s="1"/>
  <c r="BB153" i="175"/>
  <c r="W591"/>
  <c r="P592"/>
  <c r="P785" s="1"/>
  <c r="M62" i="189" s="1"/>
  <c r="BD332" i="175"/>
  <c r="AH776"/>
  <c r="AE53" i="189" s="1"/>
  <c r="M568" i="175"/>
  <c r="AV568" s="1"/>
  <c r="AG47" i="190"/>
  <c r="AL749" i="175"/>
  <c r="AE586"/>
  <c r="BD157"/>
  <c r="AF754"/>
  <c r="AC31" i="189" s="1"/>
  <c r="BB406" i="175"/>
  <c r="AX316"/>
  <c r="BB516"/>
  <c r="AZ457"/>
  <c r="BF188"/>
  <c r="G586"/>
  <c r="F524"/>
  <c r="W588"/>
  <c r="Q32" i="190"/>
  <c r="T500" i="175"/>
  <c r="AZ326"/>
  <c r="AX309"/>
  <c r="M345"/>
  <c r="AI589"/>
  <c r="BB370"/>
  <c r="AI490"/>
  <c r="AF22" i="190"/>
  <c r="AQ593" i="175"/>
  <c r="AQ786" s="1"/>
  <c r="AN63" i="189" s="1"/>
  <c r="AN779" i="175"/>
  <c r="AK56" i="189" s="1"/>
  <c r="AG29" i="190"/>
  <c r="AJ497" i="175"/>
  <c r="AV243"/>
  <c r="BD607"/>
  <c r="AX615"/>
  <c r="N775"/>
  <c r="K52" i="189" s="1"/>
  <c r="AV358" i="175"/>
  <c r="AL775"/>
  <c r="AI52" i="189" s="1"/>
  <c r="S784" i="175"/>
  <c r="P61" i="189" s="1"/>
  <c r="AZ346" i="175"/>
  <c r="V376"/>
  <c r="AI565"/>
  <c r="AB752"/>
  <c r="Y29" i="189" s="1"/>
  <c r="Z585" i="175"/>
  <c r="AS573"/>
  <c r="M37" i="190"/>
  <c r="F340" i="175"/>
  <c r="AZ343"/>
  <c r="F218"/>
  <c r="U571"/>
  <c r="V44" i="190"/>
  <c r="AZ406" i="175"/>
  <c r="AV355"/>
  <c r="Z781"/>
  <c r="W58" i="189" s="1"/>
  <c r="AX115" i="175"/>
  <c r="AX464"/>
  <c r="BH596"/>
  <c r="Z491"/>
  <c r="W23" i="190"/>
  <c r="P782" i="175"/>
  <c r="M59" i="189" s="1"/>
  <c r="F327" i="175"/>
  <c r="S590"/>
  <c r="U24" i="190"/>
  <c r="X492" i="175"/>
  <c r="F358"/>
  <c r="AC749"/>
  <c r="Z26" i="189" s="1"/>
  <c r="AL571" i="175"/>
  <c r="BF306"/>
  <c r="U586"/>
  <c r="AX401"/>
  <c r="F425"/>
  <c r="C19" i="190" s="1"/>
  <c r="D19"/>
  <c r="G487" i="175"/>
  <c r="D68" i="190" s="1"/>
  <c r="AX216" i="175"/>
  <c r="F243"/>
  <c r="AV155"/>
  <c r="L752"/>
  <c r="I29" i="189" s="1"/>
  <c r="BF539" i="175"/>
  <c r="K574"/>
  <c r="AX113"/>
  <c r="BD622"/>
  <c r="AL751"/>
  <c r="AI28" i="189" s="1"/>
  <c r="AM780" i="175"/>
  <c r="AJ57" i="189" s="1"/>
  <c r="BF344" i="175"/>
  <c r="Y41" i="190"/>
  <c r="BD220" i="175"/>
  <c r="AO487"/>
  <c r="AL68" i="190" s="1"/>
  <c r="AL19"/>
  <c r="BH511" i="175"/>
  <c r="AP573"/>
  <c r="AT650"/>
  <c r="AR653"/>
  <c r="Q567"/>
  <c r="AX505"/>
  <c r="AQ49" i="190"/>
  <c r="AS587" i="175"/>
  <c r="BF153"/>
  <c r="AK750"/>
  <c r="AH27" i="189" s="1"/>
  <c r="AS749" i="175"/>
  <c r="AP26" i="189" s="1"/>
  <c r="AH37" i="190"/>
  <c r="BF443" i="175"/>
  <c r="AE781"/>
  <c r="AB58" i="189" s="1"/>
  <c r="BB122" i="175"/>
  <c r="P779"/>
  <c r="M56" i="189" s="1"/>
  <c r="BH113" i="175"/>
  <c r="BF351"/>
  <c r="AX241"/>
  <c r="I783"/>
  <c r="F60" i="189" s="1"/>
  <c r="AI493" i="175"/>
  <c r="AF25" i="190"/>
  <c r="BF541" i="175"/>
  <c r="AO47" i="190"/>
  <c r="Y487" i="175"/>
  <c r="V68" i="190" s="1"/>
  <c r="V19"/>
  <c r="J780" i="175"/>
  <c r="G57" i="189" s="1"/>
  <c r="AJ754" i="175"/>
  <c r="BB320"/>
  <c r="F26"/>
  <c r="BH327"/>
  <c r="BF32"/>
  <c r="W783"/>
  <c r="T60" i="189" s="1"/>
  <c r="W775" i="175"/>
  <c r="T52" i="189" s="1"/>
  <c r="AO50" i="190"/>
  <c r="AM589" i="175"/>
  <c r="AB41" i="190"/>
  <c r="BF347" i="175"/>
  <c r="AD583"/>
  <c r="N593"/>
  <c r="N786" s="1"/>
  <c r="K63" i="189" s="1"/>
  <c r="Q583" i="175"/>
  <c r="AX521"/>
  <c r="AZ336"/>
  <c r="AV115"/>
  <c r="F45" i="190"/>
  <c r="F318" i="175"/>
  <c r="F531"/>
  <c r="G593"/>
  <c r="G786" s="1"/>
  <c r="AF783"/>
  <c r="AC60" i="189" s="1"/>
  <c r="BD186" i="175"/>
  <c r="BD94"/>
  <c r="AL376"/>
  <c r="Q591"/>
  <c r="AX529"/>
  <c r="T593"/>
  <c r="T786" s="1"/>
  <c r="Q63" i="189" s="1"/>
  <c r="AH751" i="175"/>
  <c r="K569"/>
  <c r="AX335"/>
  <c r="G592"/>
  <c r="G785" s="1"/>
  <c r="D62" i="189" s="1"/>
  <c r="F530" i="175"/>
  <c r="AZ533"/>
  <c r="AE625"/>
  <c r="BF9"/>
  <c r="AZ338"/>
  <c r="T755"/>
  <c r="Q32" i="189" s="1"/>
  <c r="BD3" i="175"/>
  <c r="AF33"/>
  <c r="AL48" i="190"/>
  <c r="AZ522" i="175"/>
  <c r="V584"/>
  <c r="L780"/>
  <c r="I57" i="189" s="1"/>
  <c r="AV183" i="175"/>
  <c r="J48" i="190"/>
  <c r="W781" i="175"/>
  <c r="T58" i="189" s="1"/>
  <c r="AS492" i="175"/>
  <c r="AP24" i="190"/>
  <c r="BB309" i="175"/>
  <c r="F605"/>
  <c r="AG652"/>
  <c r="K583"/>
  <c r="AZ10"/>
  <c r="BB325"/>
  <c r="M749"/>
  <c r="P751"/>
  <c r="AE41" i="190"/>
  <c r="G625" i="175"/>
  <c r="F595"/>
  <c r="R752"/>
  <c r="AZ90"/>
  <c r="O490"/>
  <c r="L22" i="190"/>
  <c r="AX86" i="175"/>
  <c r="AS489"/>
  <c r="AP21" i="190"/>
  <c r="AO579" i="175"/>
  <c r="AP44" i="190"/>
  <c r="AX278" i="175"/>
  <c r="BH349"/>
  <c r="U652"/>
  <c r="AH376"/>
  <c r="BD4"/>
  <c r="AS784"/>
  <c r="AP61" i="189" s="1"/>
  <c r="AE570" i="175"/>
  <c r="W749"/>
  <c r="R784"/>
  <c r="O61" i="189" s="1"/>
  <c r="Q588" i="175"/>
  <c r="AX526"/>
  <c r="AH593"/>
  <c r="AH786" s="1"/>
  <c r="AI652"/>
  <c r="AP784"/>
  <c r="AM61" i="189" s="1"/>
  <c r="BH187" i="175"/>
  <c r="AN570"/>
  <c r="I650"/>
  <c r="AP37" i="190"/>
  <c r="AP494" i="175"/>
  <c r="BH432"/>
  <c r="AM26" i="190"/>
  <c r="AX543" i="175"/>
  <c r="V625"/>
  <c r="AZ595"/>
  <c r="BF508"/>
  <c r="AK570"/>
  <c r="BF309"/>
  <c r="BD307"/>
  <c r="AV338"/>
  <c r="H750"/>
  <c r="E27" i="189" s="1"/>
  <c r="S780" i="175"/>
  <c r="P57" i="189" s="1"/>
  <c r="BD238" i="175"/>
  <c r="J376"/>
  <c r="L47" i="190"/>
  <c r="BF335" i="175"/>
  <c r="AB39" i="190"/>
  <c r="I591" i="175"/>
  <c r="AV186"/>
  <c r="L783"/>
  <c r="R749"/>
  <c r="K50" i="190"/>
  <c r="AL38"/>
  <c r="J491" i="175"/>
  <c r="G23" i="190"/>
  <c r="AD27"/>
  <c r="AG495" i="175"/>
  <c r="F4"/>
  <c r="Y39" i="190"/>
  <c r="F306" i="175"/>
  <c r="AX280"/>
  <c r="AV533"/>
  <c r="BB404"/>
  <c r="U751"/>
  <c r="R28" i="189" s="1"/>
  <c r="Y784" i="175"/>
  <c r="V61" i="189" s="1"/>
  <c r="AX603" i="175"/>
  <c r="BH526"/>
  <c r="AP588"/>
  <c r="Y749"/>
  <c r="V26" i="189" s="1"/>
  <c r="AT579" i="175"/>
  <c r="I25" i="190"/>
  <c r="L493" i="175"/>
  <c r="AV431"/>
  <c r="AP40" i="190"/>
  <c r="AZ466" i="175"/>
  <c r="AO775"/>
  <c r="AL52" i="189" s="1"/>
  <c r="F238" i="175"/>
  <c r="S587"/>
  <c r="U22" i="190"/>
  <c r="X490" i="175"/>
  <c r="Z345"/>
  <c r="AD755"/>
  <c r="AA32" i="189" s="1"/>
  <c r="AN25" i="190"/>
  <c r="AQ493" i="175"/>
  <c r="AI494"/>
  <c r="AF26" i="190"/>
  <c r="AL778" i="175"/>
  <c r="AI55" i="189" s="1"/>
  <c r="M376" i="175"/>
  <c r="BF612"/>
  <c r="BB343"/>
  <c r="AV445"/>
  <c r="I39" i="190"/>
  <c r="BB315" i="175"/>
  <c r="AA345"/>
  <c r="AV244"/>
  <c r="F305"/>
  <c r="BH344"/>
  <c r="AL783"/>
  <c r="AI60" i="189" s="1"/>
  <c r="AX12" i="175"/>
  <c r="N33"/>
  <c r="R775"/>
  <c r="O52" i="189" s="1"/>
  <c r="AT491" i="175"/>
  <c r="AQ23" i="190"/>
  <c r="P651" i="175"/>
  <c r="AX220"/>
  <c r="BH619"/>
  <c r="BB312"/>
  <c r="P749"/>
  <c r="BH249"/>
  <c r="AQ569"/>
  <c r="R574"/>
  <c r="AX336"/>
  <c r="AZ401"/>
  <c r="AL653"/>
  <c r="BF242"/>
  <c r="O590"/>
  <c r="AD588"/>
  <c r="AH498"/>
  <c r="AE30" i="190"/>
  <c r="AV61" i="175"/>
  <c r="O498"/>
  <c r="L30" i="190"/>
  <c r="BD113" i="175"/>
  <c r="AF574"/>
  <c r="BD512"/>
  <c r="BB524"/>
  <c r="AA586"/>
  <c r="O777"/>
  <c r="L54" i="189" s="1"/>
  <c r="E38" i="190"/>
  <c r="BD103" i="175"/>
  <c r="AK590"/>
  <c r="BF528"/>
  <c r="AV248"/>
  <c r="D40" i="190"/>
  <c r="F446" i="175"/>
  <c r="C40" i="190" s="1"/>
  <c r="Y593" i="175"/>
  <c r="Y786" s="1"/>
  <c r="V63" i="189" s="1"/>
  <c r="M570" i="175"/>
  <c r="D23" i="190"/>
  <c r="G491" i="175"/>
  <c r="F429"/>
  <c r="C23" i="190" s="1"/>
  <c r="BB597" i="175"/>
  <c r="AV459"/>
  <c r="AO650"/>
  <c r="AP593"/>
  <c r="AP786" s="1"/>
  <c r="AP817" s="1"/>
  <c r="BH531"/>
  <c r="AX341"/>
  <c r="AX118"/>
  <c r="BB556"/>
  <c r="AX536"/>
  <c r="V40" i="190"/>
  <c r="BF320" i="175"/>
  <c r="AB582"/>
  <c r="AD649"/>
  <c r="AM571"/>
  <c r="AV97"/>
  <c r="S489"/>
  <c r="P21" i="190"/>
  <c r="BD325" i="175"/>
  <c r="BH374"/>
  <c r="BH372"/>
  <c r="BD613"/>
  <c r="BF366"/>
  <c r="BH350"/>
  <c r="BH304"/>
  <c r="S593"/>
  <c r="S786" s="1"/>
  <c r="P63" i="189" s="1"/>
  <c r="E50" i="190"/>
  <c r="AD781" i="175"/>
  <c r="AA58" i="189" s="1"/>
  <c r="AV463" i="175"/>
  <c r="F46" i="190"/>
  <c r="AX370" i="175"/>
  <c r="AX540"/>
  <c r="Z38" i="190"/>
  <c r="BH428" i="175"/>
  <c r="AM22" i="190"/>
  <c r="AP490" i="175"/>
  <c r="R592"/>
  <c r="R785" s="1"/>
  <c r="O62" i="189" s="1"/>
  <c r="P583" i="175"/>
  <c r="AG30" i="190"/>
  <c r="AJ498" i="175"/>
  <c r="AC376"/>
  <c r="BH433"/>
  <c r="AP495"/>
  <c r="AM27" i="190"/>
  <c r="AG625" i="175"/>
  <c r="AZ684"/>
  <c r="AQ778"/>
  <c r="AN55" i="189" s="1"/>
  <c r="AT570" i="175"/>
  <c r="BH324"/>
  <c r="AS490"/>
  <c r="AP22" i="190"/>
  <c r="BD523" i="175"/>
  <c r="AF585"/>
  <c r="AZ280"/>
  <c r="N569"/>
  <c r="AL755"/>
  <c r="AI32" i="189" s="1"/>
  <c r="AV366" i="175"/>
  <c r="BB92"/>
  <c r="F215"/>
  <c r="AV602"/>
  <c r="F560"/>
  <c r="AV432"/>
  <c r="L494"/>
  <c r="I26" i="190"/>
  <c r="K780" i="175"/>
  <c r="H57" i="189" s="1"/>
  <c r="BF156" i="175"/>
  <c r="AK753"/>
  <c r="AH30" i="189" s="1"/>
  <c r="BB604" i="175"/>
  <c r="U584"/>
  <c r="AQ590"/>
  <c r="X754"/>
  <c r="U31" i="189" s="1"/>
  <c r="AT781" i="175"/>
  <c r="AQ58" i="189" s="1"/>
  <c r="AQ777" i="175"/>
  <c r="AN54" i="189" s="1"/>
  <c r="F251" i="175"/>
  <c r="N493"/>
  <c r="K25" i="190"/>
  <c r="AX313" i="175"/>
  <c r="AX82"/>
  <c r="BH464"/>
  <c r="BD518"/>
  <c r="BB402"/>
  <c r="BD538"/>
  <c r="BD306"/>
  <c r="BD246"/>
  <c r="AC24" i="190"/>
  <c r="BD430" i="175"/>
  <c r="AF492"/>
  <c r="AX596"/>
  <c r="AX248"/>
  <c r="F245"/>
  <c r="BF712"/>
  <c r="AK650"/>
  <c r="AX512"/>
  <c r="Q574"/>
  <c r="AQ41" i="190"/>
  <c r="BB308" i="175"/>
  <c r="AA45" i="190"/>
  <c r="AI32"/>
  <c r="AL500" i="175"/>
  <c r="AZ360"/>
  <c r="AH490"/>
  <c r="AE22" i="190"/>
  <c r="BH465" i="175"/>
  <c r="X497"/>
  <c r="U29" i="190"/>
  <c r="AT494" i="175"/>
  <c r="AQ26" i="190"/>
  <c r="I28"/>
  <c r="L496" i="175"/>
  <c r="AV434"/>
  <c r="AM778"/>
  <c r="AJ55" i="189" s="1"/>
  <c r="AV458" i="175"/>
  <c r="I46" i="190"/>
  <c r="AV452" i="175"/>
  <c r="AS593"/>
  <c r="AS786" s="1"/>
  <c r="AP63" i="189" s="1"/>
  <c r="AS567" i="175"/>
  <c r="U579"/>
  <c r="F338"/>
  <c r="AR590"/>
  <c r="AS776"/>
  <c r="AP53" i="189" s="1"/>
  <c r="O49" i="190"/>
  <c r="AX308" i="175"/>
  <c r="X591"/>
  <c r="AG651"/>
  <c r="W784"/>
  <c r="T61" i="189" s="1"/>
  <c r="S490" i="175"/>
  <c r="P22" i="190"/>
  <c r="AN653" i="175"/>
  <c r="AQ498"/>
  <c r="AN30" i="190"/>
  <c r="BF559" i="175"/>
  <c r="AK40" i="190"/>
  <c r="BF372" i="175"/>
  <c r="BD61"/>
  <c r="AZ215"/>
  <c r="P23" i="190"/>
  <c r="S491" i="175"/>
  <c r="AP49" i="190"/>
  <c r="AR574" i="175"/>
  <c r="T625"/>
  <c r="AN752"/>
  <c r="AN814" s="1"/>
  <c r="AK91" i="189" s="1"/>
  <c r="BF331" i="175"/>
  <c r="F542"/>
  <c r="J588"/>
  <c r="K753"/>
  <c r="BF451"/>
  <c r="AH45" i="190"/>
  <c r="F541" i="175"/>
  <c r="AI39" i="190"/>
  <c r="AX282" i="175"/>
  <c r="AL345"/>
  <c r="Z37" i="190"/>
  <c r="AV313" i="175"/>
  <c r="U650"/>
  <c r="F282"/>
  <c r="AV93"/>
  <c r="Z784"/>
  <c r="W61" i="189" s="1"/>
  <c r="AA782" i="175"/>
  <c r="X59" i="189" s="1"/>
  <c r="BB185" i="175"/>
  <c r="AK588"/>
  <c r="BF526"/>
  <c r="Z24" i="190"/>
  <c r="AC492" i="175"/>
  <c r="BH551"/>
  <c r="G565"/>
  <c r="F503"/>
  <c r="BD300"/>
  <c r="F249"/>
  <c r="S649"/>
  <c r="F681"/>
  <c r="AB751"/>
  <c r="Y28" i="189" s="1"/>
  <c r="AL37" i="190"/>
  <c r="AO571" i="175"/>
  <c r="AV8"/>
  <c r="K46" i="190"/>
  <c r="F712" i="175"/>
  <c r="G650"/>
  <c r="L44" i="190"/>
  <c r="M754" i="175"/>
  <c r="J31" i="189" s="1"/>
  <c r="AZ461" i="175"/>
  <c r="F347"/>
  <c r="AE46" i="190"/>
  <c r="AA30"/>
  <c r="AD498" i="175"/>
  <c r="AM584"/>
  <c r="AZ714"/>
  <c r="V652"/>
  <c r="R625"/>
  <c r="BF336"/>
  <c r="BF461"/>
  <c r="BF219"/>
  <c r="Z28" i="190"/>
  <c r="AC496" i="175"/>
  <c r="BB533"/>
  <c r="AH784"/>
  <c r="AE61" i="189" s="1"/>
  <c r="Z775" i="175"/>
  <c r="W52" i="189" s="1"/>
  <c r="R41" i="190"/>
  <c r="AD584" i="175"/>
  <c r="AL590"/>
  <c r="AB590"/>
  <c r="M777"/>
  <c r="J54" i="189" s="1"/>
  <c r="AC653" i="175"/>
  <c r="N583"/>
  <c r="Y29" i="190"/>
  <c r="AB497" i="175"/>
  <c r="AZ238"/>
  <c r="BH305"/>
  <c r="AX63"/>
  <c r="AV603"/>
  <c r="R753"/>
  <c r="O30" i="189" s="1"/>
  <c r="E19" i="190"/>
  <c r="H487" i="175"/>
  <c r="E68" i="190" s="1"/>
  <c r="AV367" i="175"/>
  <c r="W24" i="190"/>
  <c r="Z492" i="175"/>
  <c r="AP47" i="190"/>
  <c r="BB363" i="175"/>
  <c r="AK812"/>
  <c r="AH89" i="189" s="1"/>
  <c r="L572" i="175"/>
  <c r="AS298" i="118"/>
  <c r="AS345"/>
  <c r="L576" i="175"/>
  <c r="L575"/>
  <c r="AZ345" i="118"/>
  <c r="AZ298"/>
  <c r="AX345"/>
  <c r="AX298"/>
  <c r="AP24" i="167"/>
  <c r="J126" i="175"/>
  <c r="I126"/>
  <c r="AN25" i="167"/>
  <c r="AY298" i="118"/>
  <c r="AY345"/>
  <c r="AW298"/>
  <c r="AW345"/>
  <c r="Y27" i="168"/>
  <c r="AB297" i="118"/>
  <c r="Y25" i="171"/>
  <c r="BD23" i="155"/>
  <c r="Z23"/>
  <c r="BB24" i="154"/>
  <c r="BC24" i="155"/>
  <c r="BE22" i="154"/>
  <c r="BD23"/>
  <c r="Q18" i="49"/>
  <c r="BA25" i="155" s="1"/>
  <c r="N19" i="49"/>
  <c r="L13" i="72"/>
  <c r="V18" i="49"/>
  <c r="P18"/>
  <c r="Z26" i="167" s="1"/>
  <c r="C28" i="7"/>
  <c r="D28"/>
  <c r="AQ27" i="72"/>
  <c r="F20" i="49"/>
  <c r="O84" i="175"/>
  <c r="M513"/>
  <c r="M545"/>
  <c r="C27" i="63"/>
  <c r="W13" i="65"/>
  <c r="AE9" i="63"/>
  <c r="V12" i="66"/>
  <c r="H20" i="121"/>
  <c r="M510" i="175"/>
  <c r="D26" i="63"/>
  <c r="E25"/>
  <c r="H21" i="121"/>
  <c r="V10" i="70"/>
  <c r="N108" i="175"/>
  <c r="H21" i="69"/>
  <c r="M515" i="175"/>
  <c r="H20" i="69"/>
  <c r="M514" i="175"/>
  <c r="N10" i="66"/>
  <c r="Y9"/>
  <c r="N104" i="175"/>
  <c r="D15" i="188" l="1"/>
  <c r="D10"/>
  <c r="D9"/>
  <c r="AS813" i="175"/>
  <c r="AP90" i="189" s="1"/>
  <c r="V815" i="175"/>
  <c r="S92" i="189" s="1"/>
  <c r="BD653" i="175"/>
  <c r="V816"/>
  <c r="S93" i="189" s="1"/>
  <c r="G594" i="175"/>
  <c r="Y815"/>
  <c r="V92" i="189" s="1"/>
  <c r="G813" i="175"/>
  <c r="D90" i="189" s="1"/>
  <c r="T816" i="175"/>
  <c r="Q93" i="189" s="1"/>
  <c r="M811" i="175"/>
  <c r="J88" i="189" s="1"/>
  <c r="M814" i="175"/>
  <c r="J91" i="189" s="1"/>
  <c r="AF815" i="175"/>
  <c r="AC92" i="189" s="1"/>
  <c r="AT817" i="175"/>
  <c r="AQ94" i="189" s="1"/>
  <c r="AB812" i="175"/>
  <c r="Y89" i="189" s="1"/>
  <c r="H817" i="175"/>
  <c r="E94" i="189" s="1"/>
  <c r="D28"/>
  <c r="U814" i="175"/>
  <c r="R91" i="189" s="1"/>
  <c r="G814" i="175"/>
  <c r="D91" i="189" s="1"/>
  <c r="H815" i="175"/>
  <c r="E92" i="189" s="1"/>
  <c r="AQ812" i="175"/>
  <c r="AN89" i="189" s="1"/>
  <c r="P814" i="175"/>
  <c r="M91" i="189" s="1"/>
  <c r="AG816" i="175"/>
  <c r="AD93" i="189" s="1"/>
  <c r="AN816" i="175"/>
  <c r="AK93" i="189" s="1"/>
  <c r="K815" i="175"/>
  <c r="H92" i="189" s="1"/>
  <c r="P811" i="175"/>
  <c r="M88" i="189" s="1"/>
  <c r="AS48" i="190"/>
  <c r="AX567" i="175"/>
  <c r="W817"/>
  <c r="T94" i="189" s="1"/>
  <c r="AR812" i="175"/>
  <c r="AO89" i="189" s="1"/>
  <c r="AV652" i="175"/>
  <c r="AX754"/>
  <c r="BE47" i="190"/>
  <c r="AY29"/>
  <c r="BF588" i="175"/>
  <c r="BE27" i="190"/>
  <c r="BE25"/>
  <c r="BF376" i="175"/>
  <c r="BC19" i="190"/>
  <c r="AZ569" i="175"/>
  <c r="AZ568"/>
  <c r="AU40" i="190"/>
  <c r="AU50"/>
  <c r="BF489" i="175"/>
  <c r="BC50" i="190"/>
  <c r="BF494" i="175"/>
  <c r="BD571"/>
  <c r="BF567"/>
  <c r="AC811"/>
  <c r="Z88" i="189" s="1"/>
  <c r="AE812" i="175"/>
  <c r="AB89" i="189" s="1"/>
  <c r="BA22" i="190"/>
  <c r="BF584" i="175"/>
  <c r="BD573"/>
  <c r="AV651"/>
  <c r="AV585"/>
  <c r="BC47" i="190"/>
  <c r="AX590" i="175"/>
  <c r="BE19" i="190"/>
  <c r="AZ584" i="175"/>
  <c r="BB490"/>
  <c r="AZ571"/>
  <c r="BH573"/>
  <c r="BH652"/>
  <c r="AX499"/>
  <c r="BD496"/>
  <c r="BB500"/>
  <c r="AX649"/>
  <c r="AS41" i="190"/>
  <c r="AX588" i="175"/>
  <c r="AX493"/>
  <c r="AP815"/>
  <c r="AM92" i="189" s="1"/>
  <c r="BB573" i="175"/>
  <c r="BH499"/>
  <c r="BA45" i="190"/>
  <c r="AU45"/>
  <c r="BD650" i="175"/>
  <c r="AW41" i="190"/>
  <c r="BD493" i="175"/>
  <c r="N811"/>
  <c r="K88" i="189" s="1"/>
  <c r="BA23" i="190"/>
  <c r="BH591" i="175"/>
  <c r="AY45" i="190"/>
  <c r="AV574" i="175"/>
  <c r="AZ496"/>
  <c r="AX491"/>
  <c r="BH568"/>
  <c r="AY54" i="189"/>
  <c r="AV488" i="175"/>
  <c r="BD565"/>
  <c r="BC28" i="190"/>
  <c r="AY26"/>
  <c r="AW29"/>
  <c r="Y814" i="175"/>
  <c r="V91" i="189" s="1"/>
  <c r="BC62"/>
  <c r="BB649" i="175"/>
  <c r="M26" i="189"/>
  <c r="AN811" i="175"/>
  <c r="AK88" i="189" s="1"/>
  <c r="BD491" i="175"/>
  <c r="BD587"/>
  <c r="BB568"/>
  <c r="Y812"/>
  <c r="V89" i="189" s="1"/>
  <c r="P815" i="175"/>
  <c r="M92" i="189" s="1"/>
  <c r="AS37" i="190"/>
  <c r="BB775" i="175"/>
  <c r="J815"/>
  <c r="G92" i="189" s="1"/>
  <c r="AW52"/>
  <c r="AS28" i="190"/>
  <c r="BF589" i="175"/>
  <c r="AU53" i="189"/>
  <c r="BF569" i="175"/>
  <c r="AS19" i="190"/>
  <c r="BC27"/>
  <c r="BF498" i="175"/>
  <c r="BE54" i="189"/>
  <c r="BE38" i="190"/>
  <c r="BF496" i="175"/>
  <c r="BF492"/>
  <c r="AX497"/>
  <c r="AX651"/>
  <c r="AX585"/>
  <c r="BB582"/>
  <c r="BB588"/>
  <c r="BH583"/>
  <c r="AU55" i="189"/>
  <c r="AG812" i="175"/>
  <c r="AD89" i="189" s="1"/>
  <c r="AD811" i="175"/>
  <c r="AA88" i="189" s="1"/>
  <c r="I811" i="175"/>
  <c r="F88" i="189" s="1"/>
  <c r="Z814" i="175"/>
  <c r="W91" i="189" s="1"/>
  <c r="BF499" i="175"/>
  <c r="AV589"/>
  <c r="AY55" i="189"/>
  <c r="AS21" i="190"/>
  <c r="BH649" i="175"/>
  <c r="AZ573"/>
  <c r="AV495"/>
  <c r="AS62" i="189"/>
  <c r="BF574" i="175"/>
  <c r="AU30" i="189"/>
  <c r="AZ649" i="175"/>
  <c r="AU44" i="190"/>
  <c r="BC30"/>
  <c r="AY31"/>
  <c r="AW19"/>
  <c r="BD579" i="175"/>
  <c r="BA37" i="190"/>
  <c r="BD588" i="175"/>
  <c r="AW38" i="190"/>
  <c r="BF573" i="175"/>
  <c r="AA816"/>
  <c r="X93" i="189" s="1"/>
  <c r="F625" i="175"/>
  <c r="AV489"/>
  <c r="AZ33"/>
  <c r="AX490"/>
  <c r="AU27" i="190"/>
  <c r="AX568" i="175"/>
  <c r="AW26" i="190"/>
  <c r="BC20"/>
  <c r="BH496" i="175"/>
  <c r="AW24" i="190"/>
  <c r="AX584" i="175"/>
  <c r="AV570"/>
  <c r="BB584"/>
  <c r="AY68" i="190"/>
  <c r="BA19"/>
  <c r="AY24"/>
  <c r="BD785" i="175"/>
  <c r="AU20" i="190"/>
  <c r="AL815" i="175"/>
  <c r="AI92" i="189" s="1"/>
  <c r="AM813" i="175"/>
  <c r="AJ90" i="189" s="1"/>
  <c r="AT813" i="175"/>
  <c r="AQ90" i="189" s="1"/>
  <c r="BB565" i="175"/>
  <c r="Z811"/>
  <c r="W88" i="189" s="1"/>
  <c r="AN815" i="175"/>
  <c r="AK92" i="189" s="1"/>
  <c r="AV592" i="175"/>
  <c r="BD625"/>
  <c r="BC56" i="189"/>
  <c r="W815" i="175"/>
  <c r="T92" i="189" s="1"/>
  <c r="AR811" i="175"/>
  <c r="AO88" i="189" s="1"/>
  <c r="AO815" i="175"/>
  <c r="AL92" i="189" s="1"/>
  <c r="BC37" i="190"/>
  <c r="AN812" i="175"/>
  <c r="AK89" i="189" s="1"/>
  <c r="BF497" i="175"/>
  <c r="AX487"/>
  <c r="S817"/>
  <c r="P94" i="189" s="1"/>
  <c r="AB814" i="175"/>
  <c r="Y91" i="189" s="1"/>
  <c r="N57"/>
  <c r="AU57" s="1"/>
  <c r="AG813" i="175"/>
  <c r="AD90" i="189" s="1"/>
  <c r="AZ591" i="175"/>
  <c r="AZ567"/>
  <c r="F496"/>
  <c r="F588"/>
  <c r="BH494"/>
  <c r="AS812"/>
  <c r="AP89" i="189" s="1"/>
  <c r="O811" i="175"/>
  <c r="L88" i="189" s="1"/>
  <c r="AW61"/>
  <c r="AX586" i="175"/>
  <c r="AZ345"/>
  <c r="AU46" i="190"/>
  <c r="BC68"/>
  <c r="AU56" i="189"/>
  <c r="BH488" i="175"/>
  <c r="U811"/>
  <c r="R88" i="189" s="1"/>
  <c r="AR814" i="175"/>
  <c r="AO91" i="189" s="1"/>
  <c r="AI817" i="175"/>
  <c r="AF94" i="189" s="1"/>
  <c r="AK29"/>
  <c r="BC29" s="1"/>
  <c r="BD776" i="175"/>
  <c r="T812"/>
  <c r="Q89" i="189" s="1"/>
  <c r="U817" i="175"/>
  <c r="R94" i="189" s="1"/>
  <c r="AY47" i="190"/>
  <c r="AW45"/>
  <c r="F573" i="175"/>
  <c r="BE44" i="190"/>
  <c r="BE21"/>
  <c r="AY46"/>
  <c r="BD497" i="175"/>
  <c r="BD584"/>
  <c r="BA40" i="190"/>
  <c r="R815" i="175"/>
  <c r="O92" i="189" s="1"/>
  <c r="O817" i="175"/>
  <c r="L94" i="189" s="1"/>
  <c r="AF814" i="175"/>
  <c r="AC91" i="189" s="1"/>
  <c r="T814" i="175"/>
  <c r="Q91" i="189" s="1"/>
  <c r="AO27"/>
  <c r="BH587" i="175"/>
  <c r="AV625"/>
  <c r="BA49" i="190"/>
  <c r="BD582" i="175"/>
  <c r="BB650"/>
  <c r="BB651"/>
  <c r="BA39" i="190"/>
  <c r="AW31"/>
  <c r="AX591" i="175"/>
  <c r="BA42" i="190"/>
  <c r="AW37"/>
  <c r="AZ582" i="175"/>
  <c r="AS29" i="190"/>
  <c r="F649" i="175"/>
  <c r="BA46" i="190"/>
  <c r="BE46"/>
  <c r="BH754" i="175"/>
  <c r="AU62" i="189"/>
  <c r="AY20" i="190"/>
  <c r="J812" i="175"/>
  <c r="G89" i="189" s="1"/>
  <c r="AM815" i="175"/>
  <c r="AJ92" i="189" s="1"/>
  <c r="J813" i="175"/>
  <c r="G90" i="189" s="1"/>
  <c r="AQ815" i="175"/>
  <c r="AN92" i="189" s="1"/>
  <c r="AC62"/>
  <c r="BA62" s="1"/>
  <c r="BD755" i="175"/>
  <c r="I815"/>
  <c r="F92" i="189" s="1"/>
  <c r="V817" i="175"/>
  <c r="S94" i="189" s="1"/>
  <c r="AJ813" i="175"/>
  <c r="AG90" i="189" s="1"/>
  <c r="AZ592" i="175"/>
  <c r="Z813"/>
  <c r="W90" i="189" s="1"/>
  <c r="H30"/>
  <c r="Q813" i="175"/>
  <c r="N90" i="189" s="1"/>
  <c r="BH653" i="175"/>
  <c r="AS40" i="190"/>
  <c r="AV499" i="175"/>
  <c r="BB652"/>
  <c r="AU21" i="190"/>
  <c r="BF495" i="175"/>
  <c r="BD570"/>
  <c r="BF651"/>
  <c r="AV751"/>
  <c r="BH651"/>
  <c r="W814"/>
  <c r="T91" i="189" s="1"/>
  <c r="AW32" i="190"/>
  <c r="AU41"/>
  <c r="AK816" i="175"/>
  <c r="AH93" i="189" s="1"/>
  <c r="AV487" i="175"/>
  <c r="AC817"/>
  <c r="Z94" i="189" s="1"/>
  <c r="H814" i="175"/>
  <c r="E91" i="189" s="1"/>
  <c r="R816" i="175"/>
  <c r="O93" i="189" s="1"/>
  <c r="AZ785" i="175"/>
  <c r="AM812"/>
  <c r="AJ89" i="189" s="1"/>
  <c r="AQ813" i="175"/>
  <c r="AN90" i="189" s="1"/>
  <c r="N812" i="175"/>
  <c r="K89" i="189" s="1"/>
  <c r="O26"/>
  <c r="AU26" s="1"/>
  <c r="AX749" i="175"/>
  <c r="AE63" i="189"/>
  <c r="AH817" i="175"/>
  <c r="AE94" i="189" s="1"/>
  <c r="T26"/>
  <c r="W811" i="175"/>
  <c r="T88" i="189" s="1"/>
  <c r="O29"/>
  <c r="R814" i="175"/>
  <c r="O91" i="189" s="1"/>
  <c r="AG31"/>
  <c r="BA31" s="1"/>
  <c r="AJ816" i="175"/>
  <c r="AG93" i="189" s="1"/>
  <c r="S54"/>
  <c r="AW54" s="1"/>
  <c r="AZ777" i="175"/>
  <c r="AA59" i="189"/>
  <c r="AY59" s="1"/>
  <c r="AD813" i="175"/>
  <c r="AA90" i="189" s="1"/>
  <c r="I32"/>
  <c r="L817" i="175"/>
  <c r="I94" i="189" s="1"/>
  <c r="AI31"/>
  <c r="BF754" i="175"/>
  <c r="AJ31" i="189"/>
  <c r="AM816" i="175"/>
  <c r="AJ93" i="189" s="1"/>
  <c r="AE26"/>
  <c r="BA26" s="1"/>
  <c r="AH811" i="175"/>
  <c r="AE88" i="189" s="1"/>
  <c r="U26"/>
  <c r="X811" i="175"/>
  <c r="U88" i="189" s="1"/>
  <c r="N32"/>
  <c r="AU32" s="1"/>
  <c r="Q817" i="175"/>
  <c r="N94" i="189" s="1"/>
  <c r="AX755" i="175"/>
  <c r="AF29" i="189"/>
  <c r="BA29" s="1"/>
  <c r="AI814" i="175"/>
  <c r="AF91" i="189" s="1"/>
  <c r="AM30"/>
  <c r="BE30" s="1"/>
  <c r="BH753" i="175"/>
  <c r="AO61" i="189"/>
  <c r="BE61" s="1"/>
  <c r="AR815" i="175"/>
  <c r="AO92" i="189" s="1"/>
  <c r="W63"/>
  <c r="Z817" i="175"/>
  <c r="W94" i="189" s="1"/>
  <c r="V31"/>
  <c r="AW31" s="1"/>
  <c r="Y816" i="175"/>
  <c r="V93" i="189" s="1"/>
  <c r="M786" i="175"/>
  <c r="AV593"/>
  <c r="S58" i="189"/>
  <c r="AW58" s="1"/>
  <c r="AZ781" i="175"/>
  <c r="AQ26" i="189"/>
  <c r="BE26" s="1"/>
  <c r="AT811" i="175"/>
  <c r="AQ88" i="189" s="1"/>
  <c r="R27"/>
  <c r="AU27" s="1"/>
  <c r="U812" i="175"/>
  <c r="R89" i="189" s="1"/>
  <c r="E58"/>
  <c r="H812" i="175"/>
  <c r="E89" i="189" s="1"/>
  <c r="S26"/>
  <c r="V811" i="175"/>
  <c r="S88" i="189" s="1"/>
  <c r="AZ749" i="175"/>
  <c r="AI58" i="189"/>
  <c r="BF781" i="175"/>
  <c r="AM29" i="189"/>
  <c r="BE29" s="1"/>
  <c r="AP814" i="175"/>
  <c r="AM91" i="189" s="1"/>
  <c r="U28"/>
  <c r="AW28" s="1"/>
  <c r="X813" i="175"/>
  <c r="U90" i="189" s="1"/>
  <c r="Z30"/>
  <c r="AC815" i="175"/>
  <c r="Z92" i="189" s="1"/>
  <c r="AA27"/>
  <c r="AY27" s="1"/>
  <c r="AD812" i="175"/>
  <c r="AA89" i="189" s="1"/>
  <c r="U29"/>
  <c r="X814" i="175"/>
  <c r="U91" i="189" s="1"/>
  <c r="Z61"/>
  <c r="AY61" s="1"/>
  <c r="BB784" i="175"/>
  <c r="G29" i="189"/>
  <c r="J814" i="175"/>
  <c r="G91" i="189" s="1"/>
  <c r="BH489" i="175"/>
  <c r="AZ491"/>
  <c r="AX570"/>
  <c r="AV565"/>
  <c r="AZ586"/>
  <c r="BA48" i="190"/>
  <c r="AX752" i="175"/>
  <c r="L815"/>
  <c r="I92" i="189" s="1"/>
  <c r="BD488" i="175"/>
  <c r="BE29" i="190"/>
  <c r="AY63" i="189"/>
  <c r="O816" i="175"/>
  <c r="L93" i="189" s="1"/>
  <c r="O812" i="175"/>
  <c r="L89" i="189" s="1"/>
  <c r="BB786" i="175"/>
  <c r="BE55" i="189"/>
  <c r="K26"/>
  <c r="K814" i="175"/>
  <c r="H91" i="189" s="1"/>
  <c r="AA817" i="175"/>
  <c r="X94" i="189" s="1"/>
  <c r="V813" i="175"/>
  <c r="S90" i="189" s="1"/>
  <c r="BC39" i="190"/>
  <c r="BH498" i="175"/>
  <c r="BA60" i="189"/>
  <c r="BD589" i="175"/>
  <c r="BB376"/>
  <c r="AX653"/>
  <c r="AW50" i="190"/>
  <c r="BE24"/>
  <c r="BH500" i="175"/>
  <c r="AV573"/>
  <c r="BF570"/>
  <c r="AY27" i="190"/>
  <c r="BB590" i="175"/>
  <c r="BB625"/>
  <c r="AW55" i="189"/>
  <c r="BE68" i="190"/>
  <c r="BA38"/>
  <c r="AU31"/>
  <c r="AV650" i="175"/>
  <c r="AU48" i="190"/>
  <c r="BB496" i="175"/>
  <c r="BE28" i="190"/>
  <c r="BE60" i="189"/>
  <c r="BB567" i="175"/>
  <c r="BE30" i="190"/>
  <c r="BE37"/>
  <c r="BD651" i="175"/>
  <c r="BC41" i="190"/>
  <c r="AU47"/>
  <c r="AV588" i="175"/>
  <c r="AV582"/>
  <c r="T813"/>
  <c r="Q90" i="189" s="1"/>
  <c r="AY39" i="190"/>
  <c r="AS53" i="189"/>
  <c r="BH345" i="175"/>
  <c r="AZ497"/>
  <c r="AY28" i="190"/>
  <c r="BH491" i="175"/>
  <c r="F582"/>
  <c r="D29" i="189"/>
  <c r="AC816" i="175"/>
  <c r="Z93" i="189" s="1"/>
  <c r="AX779" i="175"/>
  <c r="J816"/>
  <c r="G93" i="189" s="1"/>
  <c r="AQ814" i="175"/>
  <c r="AN91" i="189" s="1"/>
  <c r="N29"/>
  <c r="AL816" i="175"/>
  <c r="AI93" i="189" s="1"/>
  <c r="AV777" i="175"/>
  <c r="V812"/>
  <c r="S89" i="189" s="1"/>
  <c r="AG814" i="175"/>
  <c r="AD91" i="189" s="1"/>
  <c r="I812" i="175"/>
  <c r="F89" i="189" s="1"/>
  <c r="BB777" i="175"/>
  <c r="AS816"/>
  <c r="AP93" i="189" s="1"/>
  <c r="AY56"/>
  <c r="AA811" i="175"/>
  <c r="X88" i="189" s="1"/>
  <c r="I30"/>
  <c r="AS30" s="1"/>
  <c r="T815" i="175"/>
  <c r="Q92" i="189" s="1"/>
  <c r="BH751" i="175"/>
  <c r="AR813"/>
  <c r="AO90" i="189" s="1"/>
  <c r="Q814" i="175"/>
  <c r="N91" i="189" s="1"/>
  <c r="AK813" i="175"/>
  <c r="AH90" i="189" s="1"/>
  <c r="Z812" i="175"/>
  <c r="W89" i="189" s="1"/>
  <c r="R811" i="175"/>
  <c r="O88" i="189" s="1"/>
  <c r="AO813" i="175"/>
  <c r="AL90" i="189" s="1"/>
  <c r="M28"/>
  <c r="AS28" s="1"/>
  <c r="P813" i="175"/>
  <c r="M90" i="189" s="1"/>
  <c r="BD751" i="175"/>
  <c r="AE28" i="189"/>
  <c r="BA28" s="1"/>
  <c r="D63"/>
  <c r="G817" i="175"/>
  <c r="D94" i="189" s="1"/>
  <c r="AI26"/>
  <c r="BC26" s="1"/>
  <c r="AL811" i="175"/>
  <c r="AI88" i="189" s="1"/>
  <c r="F53"/>
  <c r="F776" i="175"/>
  <c r="C53" i="189" s="1"/>
  <c r="AQ27"/>
  <c r="AT812" i="175"/>
  <c r="AQ89" i="189" s="1"/>
  <c r="AB30"/>
  <c r="AE815" i="175"/>
  <c r="AB92" i="189" s="1"/>
  <c r="AF57"/>
  <c r="AI811" i="175"/>
  <c r="AF88" i="189" s="1"/>
  <c r="I61"/>
  <c r="AS61" s="1"/>
  <c r="F784" i="175"/>
  <c r="C61" i="189" s="1"/>
  <c r="S68" i="190"/>
  <c r="AW68" s="1"/>
  <c r="AZ487" i="175"/>
  <c r="H62" i="189"/>
  <c r="K816" i="175"/>
  <c r="H93" i="189" s="1"/>
  <c r="AH57"/>
  <c r="BC57" s="1"/>
  <c r="AK811" i="175"/>
  <c r="AH88" i="189" s="1"/>
  <c r="N817" i="175"/>
  <c r="K94" i="189" s="1"/>
  <c r="K32"/>
  <c r="AK28"/>
  <c r="BC28" s="1"/>
  <c r="AN813" i="175"/>
  <c r="AK90" i="189" s="1"/>
  <c r="AL31"/>
  <c r="AO816" i="175"/>
  <c r="AL93" i="189" s="1"/>
  <c r="U56"/>
  <c r="AW56" s="1"/>
  <c r="AZ779" i="175"/>
  <c r="AD63" i="189"/>
  <c r="AG817" i="175"/>
  <c r="AD94" i="189" s="1"/>
  <c r="AC52"/>
  <c r="BA52" s="1"/>
  <c r="BD775" i="175"/>
  <c r="AG57" i="189"/>
  <c r="AJ811" i="175"/>
  <c r="AG88" i="189" s="1"/>
  <c r="U30"/>
  <c r="AW30" s="1"/>
  <c r="X815" i="175"/>
  <c r="U92" i="189" s="1"/>
  <c r="I58"/>
  <c r="AS58" s="1"/>
  <c r="AV781" i="175"/>
  <c r="L812"/>
  <c r="I89" i="189" s="1"/>
  <c r="Q59"/>
  <c r="AU59" s="1"/>
  <c r="AX782" i="175"/>
  <c r="L29" i="189"/>
  <c r="O814" i="175"/>
  <c r="L91" i="189" s="1"/>
  <c r="E28"/>
  <c r="H813" i="175"/>
  <c r="E90" i="189" s="1"/>
  <c r="M27"/>
  <c r="AS27" s="1"/>
  <c r="P812" i="175"/>
  <c r="M89" i="189" s="1"/>
  <c r="BH750" i="175"/>
  <c r="AP812"/>
  <c r="AM89" i="189" s="1"/>
  <c r="AO62"/>
  <c r="BE62" s="1"/>
  <c r="AR816" i="175"/>
  <c r="AO93" i="189" s="1"/>
  <c r="AL58"/>
  <c r="AO812" i="175"/>
  <c r="AL89" i="189" s="1"/>
  <c r="AD30"/>
  <c r="AG815" i="175"/>
  <c r="AD92" i="189" s="1"/>
  <c r="Y32"/>
  <c r="AY32" s="1"/>
  <c r="AB817" i="175"/>
  <c r="Y94" i="189" s="1"/>
  <c r="T59"/>
  <c r="AW59" s="1"/>
  <c r="W813" i="175"/>
  <c r="T90" i="189" s="1"/>
  <c r="AF30"/>
  <c r="AI815" i="175"/>
  <c r="AF92" i="189" s="1"/>
  <c r="H27"/>
  <c r="K812" i="175"/>
  <c r="H89" i="189" s="1"/>
  <c r="AS25" i="190"/>
  <c r="BH567" i="175"/>
  <c r="F488"/>
  <c r="BD489"/>
  <c r="AU26" i="190"/>
  <c r="BE45"/>
  <c r="AV649" i="175"/>
  <c r="F569"/>
  <c r="BD376"/>
  <c r="BF33"/>
  <c r="AZ376"/>
  <c r="BF585"/>
  <c r="AY38" i="190"/>
  <c r="BF652" i="175"/>
  <c r="BE42" i="190"/>
  <c r="BE23"/>
  <c r="AL817" i="175"/>
  <c r="AI94" i="189" s="1"/>
  <c r="R817" i="175"/>
  <c r="O94" i="189" s="1"/>
  <c r="BB593" i="175"/>
  <c r="N815"/>
  <c r="K92" i="189" s="1"/>
  <c r="AA812" i="175"/>
  <c r="X89" i="189" s="1"/>
  <c r="V29"/>
  <c r="AO814" i="175"/>
  <c r="AL91" i="189" s="1"/>
  <c r="F565" i="175"/>
  <c r="AS39" i="190"/>
  <c r="AW22"/>
  <c r="AS56" i="189"/>
  <c r="AV755" i="175"/>
  <c r="AT815"/>
  <c r="AQ92" i="189" s="1"/>
  <c r="Z815" i="175"/>
  <c r="W92" i="189" s="1"/>
  <c r="K813" i="175"/>
  <c r="H90" i="189" s="1"/>
  <c r="AH814" i="175"/>
  <c r="AE91" i="189" s="1"/>
  <c r="AZ753" i="175"/>
  <c r="X812"/>
  <c r="U89" i="189" s="1"/>
  <c r="O815" i="175"/>
  <c r="L92" i="189" s="1"/>
  <c r="AV496" i="175"/>
  <c r="Y817"/>
  <c r="V94" i="189" s="1"/>
  <c r="W816" i="175"/>
  <c r="T93" i="189" s="1"/>
  <c r="BH783" i="175"/>
  <c r="AP811"/>
  <c r="AM88" i="189" s="1"/>
  <c r="AX778" i="175"/>
  <c r="H816"/>
  <c r="E93" i="189" s="1"/>
  <c r="T29"/>
  <c r="AI813" i="175"/>
  <c r="AF90" i="189" s="1"/>
  <c r="BH784" i="175"/>
  <c r="AS815"/>
  <c r="AP92" i="189" s="1"/>
  <c r="AT814" i="175"/>
  <c r="AQ91" i="189" s="1"/>
  <c r="N816" i="175"/>
  <c r="K93" i="189" s="1"/>
  <c r="AF817" i="175"/>
  <c r="AC94" i="189" s="1"/>
  <c r="AQ811" i="175"/>
  <c r="AN88" i="189" s="1"/>
  <c r="S812" i="175"/>
  <c r="P89" i="189" s="1"/>
  <c r="AX785" i="175"/>
  <c r="BH780"/>
  <c r="BF779"/>
  <c r="G812"/>
  <c r="D89" i="189" s="1"/>
  <c r="H811" i="175"/>
  <c r="E88" i="189" s="1"/>
  <c r="BC53"/>
  <c r="AP813" i="175"/>
  <c r="AM90" i="189" s="1"/>
  <c r="V814" i="175"/>
  <c r="S91" i="189" s="1"/>
  <c r="AA814" i="175"/>
  <c r="X91" i="189" s="1"/>
  <c r="AQ816" i="175"/>
  <c r="AN93" i="189" s="1"/>
  <c r="AZ492" i="175"/>
  <c r="BF590"/>
  <c r="BA61" i="189"/>
  <c r="AZ652" i="175"/>
  <c r="AY30" i="190"/>
  <c r="AS31" i="189"/>
  <c r="AS46" i="190"/>
  <c r="BB492" i="175"/>
  <c r="BF345"/>
  <c r="BC45" i="190"/>
  <c r="BH574" i="175"/>
  <c r="AU22" i="190"/>
  <c r="BH590" i="175"/>
  <c r="BE26" i="190"/>
  <c r="BF500" i="175"/>
  <c r="BD492"/>
  <c r="AV493"/>
  <c r="AV494"/>
  <c r="AV569"/>
  <c r="BH778"/>
  <c r="BH495"/>
  <c r="BD498"/>
  <c r="BF653"/>
  <c r="BH569"/>
  <c r="BB345"/>
  <c r="BA26" i="190"/>
  <c r="F587" i="175"/>
  <c r="BE40" i="190"/>
  <c r="AV783" i="175"/>
  <c r="AZ625"/>
  <c r="AX652"/>
  <c r="AS22" i="190"/>
  <c r="BD652" i="175"/>
  <c r="AS57" i="189"/>
  <c r="BD33" i="175"/>
  <c r="AU63" i="189"/>
  <c r="BB583" i="175"/>
  <c r="AW23" i="190"/>
  <c r="AW44"/>
  <c r="AY29" i="189"/>
  <c r="AZ588" i="175"/>
  <c r="BA47" i="190"/>
  <c r="BF625" i="175"/>
  <c r="AV571"/>
  <c r="AX571"/>
  <c r="AZ587"/>
  <c r="BD649"/>
  <c r="AS20" i="190"/>
  <c r="BB587" i="175"/>
  <c r="BE20" i="190"/>
  <c r="AS49"/>
  <c r="AY23"/>
  <c r="AS23"/>
  <c r="BH565" i="175"/>
  <c r="BF776"/>
  <c r="BF583"/>
  <c r="BC42" i="190"/>
  <c r="AV584" i="175"/>
  <c r="BH376"/>
  <c r="BB753"/>
  <c r="BH586"/>
  <c r="BH493"/>
  <c r="AU39" i="190"/>
  <c r="AS47"/>
  <c r="BB499" i="175"/>
  <c r="BB571"/>
  <c r="AW42" i="190"/>
  <c r="BD590" i="175"/>
  <c r="AW25" i="190"/>
  <c r="BD567" i="175"/>
  <c r="AZ574"/>
  <c r="AZ583"/>
  <c r="BB493"/>
  <c r="BC24" i="190"/>
  <c r="BH582" i="175"/>
  <c r="BB591"/>
  <c r="AX496"/>
  <c r="BC46" i="190"/>
  <c r="AW20"/>
  <c r="BC21"/>
  <c r="AX495" i="175"/>
  <c r="BB33"/>
  <c r="AW46" i="190"/>
  <c r="AU25"/>
  <c r="AX492" i="175"/>
  <c r="AY21" i="190"/>
  <c r="BF490" i="175"/>
  <c r="AU58" i="189"/>
  <c r="BB579" i="175"/>
  <c r="AZ494"/>
  <c r="AU38" i="190"/>
  <c r="Q816" i="175"/>
  <c r="N93" i="189" s="1"/>
  <c r="AY32" i="190"/>
  <c r="BH497" i="175"/>
  <c r="BF488"/>
  <c r="BD753"/>
  <c r="AW53" i="189"/>
  <c r="AY62"/>
  <c r="AW28" i="190"/>
  <c r="AS38"/>
  <c r="AW21"/>
  <c r="AS54" i="189"/>
  <c r="AU49" i="190"/>
  <c r="Z816" i="175"/>
  <c r="W93" i="189" s="1"/>
  <c r="AX592" i="175"/>
  <c r="BF592"/>
  <c r="BH487"/>
  <c r="BF785"/>
  <c r="AE817"/>
  <c r="AB94" i="189" s="1"/>
  <c r="BB779" i="175"/>
  <c r="AO817"/>
  <c r="AL94" i="189" s="1"/>
  <c r="BD780" i="175"/>
  <c r="AQ817"/>
  <c r="AN94" i="189" s="1"/>
  <c r="BA32"/>
  <c r="BC54"/>
  <c r="AZ784" i="175"/>
  <c r="AX753"/>
  <c r="AE813"/>
  <c r="AB90" i="189" s="1"/>
  <c r="BD783" i="175"/>
  <c r="Q28" i="189"/>
  <c r="AU28" s="1"/>
  <c r="T811" i="175"/>
  <c r="Q88" i="189" s="1"/>
  <c r="M812" i="175"/>
  <c r="J89" i="189" s="1"/>
  <c r="M813" i="175"/>
  <c r="J90" i="189" s="1"/>
  <c r="AE816" i="175"/>
  <c r="AB93" i="189" s="1"/>
  <c r="AH812" i="175"/>
  <c r="AE89" i="189" s="1"/>
  <c r="BD495" i="175"/>
  <c r="BE22" i="190"/>
  <c r="F491" i="175"/>
  <c r="F574"/>
  <c r="BF571"/>
  <c r="AS30" i="190"/>
  <c r="F567" i="175"/>
  <c r="F490"/>
  <c r="F589"/>
  <c r="BH588"/>
  <c r="AX489"/>
  <c r="AV491"/>
  <c r="BD574"/>
  <c r="AV590"/>
  <c r="AV490"/>
  <c r="BD500"/>
  <c r="AZ579"/>
  <c r="AW40" i="190"/>
  <c r="BH571" i="175"/>
  <c r="AX500"/>
  <c r="BB585"/>
  <c r="F651"/>
  <c r="BF565"/>
  <c r="AS44" i="190"/>
  <c r="BA53" i="189"/>
  <c r="AV345" i="175"/>
  <c r="AZ495"/>
  <c r="AZ493"/>
  <c r="F590"/>
  <c r="BD490"/>
  <c r="AS24" i="190"/>
  <c r="BD585" i="175"/>
  <c r="AX33"/>
  <c r="F585"/>
  <c r="AV33"/>
  <c r="AV587"/>
  <c r="BB570"/>
  <c r="BA32" i="190"/>
  <c r="AZ565" i="175"/>
  <c r="AW60" i="189"/>
  <c r="AV653" i="175"/>
  <c r="AY52" i="189"/>
  <c r="BC44" i="190"/>
  <c r="AU24"/>
  <c r="AY53" i="189"/>
  <c r="AY25" i="190"/>
  <c r="BH570" i="175"/>
  <c r="BA28" i="190"/>
  <c r="F584" i="175"/>
  <c r="AX345"/>
  <c r="BB491"/>
  <c r="BH490"/>
  <c r="AU32" i="190"/>
  <c r="AX775" i="175"/>
  <c r="AX498"/>
  <c r="BD591"/>
  <c r="BC32" i="189"/>
  <c r="BC30"/>
  <c r="BE32" i="190"/>
  <c r="BA21"/>
  <c r="BE59" i="189"/>
  <c r="AV583" i="175"/>
  <c r="F497"/>
  <c r="F494"/>
  <c r="BC25" i="190"/>
  <c r="AV567" i="175"/>
  <c r="BE53" i="189"/>
  <c r="AY42" i="190"/>
  <c r="F571" i="175"/>
  <c r="BB498"/>
  <c r="AX565"/>
  <c r="F500"/>
  <c r="AW49" i="190"/>
  <c r="BD586" i="175"/>
  <c r="F652"/>
  <c r="AU37" i="190"/>
  <c r="BE28" i="189"/>
  <c r="AS59"/>
  <c r="AZ589" i="175"/>
  <c r="AX376"/>
  <c r="BA54" i="189"/>
  <c r="AY60"/>
  <c r="AU29" i="190"/>
  <c r="BA44"/>
  <c r="F489" i="175"/>
  <c r="BA29" i="190"/>
  <c r="BC61" i="189"/>
  <c r="BB574" i="175"/>
  <c r="BA27" i="190"/>
  <c r="AV498" i="175"/>
  <c r="AZ585"/>
  <c r="AY19" i="190"/>
  <c r="D15" i="176"/>
  <c r="AX488" i="175"/>
  <c r="BE39" i="190"/>
  <c r="AV586" i="175"/>
  <c r="AS42" i="190"/>
  <c r="AW27"/>
  <c r="AZ488" i="175"/>
  <c r="AZ653"/>
  <c r="BE31" i="190"/>
  <c r="AS45"/>
  <c r="BD494" i="175"/>
  <c r="F495"/>
  <c r="BC48" i="190"/>
  <c r="AY40"/>
  <c r="AW39"/>
  <c r="BA59" i="189"/>
  <c r="AU30" i="190"/>
  <c r="AY44"/>
  <c r="BA68"/>
  <c r="BE57" i="189"/>
  <c r="BF493" i="175"/>
  <c r="AU19" i="190"/>
  <c r="AY49"/>
  <c r="F650" i="175"/>
  <c r="AX589"/>
  <c r="BA55" i="189"/>
  <c r="BH492" i="175"/>
  <c r="BB495"/>
  <c r="BA50" i="190"/>
  <c r="AV579" i="175"/>
  <c r="BF777"/>
  <c r="AX574"/>
  <c r="AY37" i="190"/>
  <c r="BD499" i="175"/>
  <c r="AS68" i="190"/>
  <c r="AY48"/>
  <c r="AZ499" i="175"/>
  <c r="AU68" i="190"/>
  <c r="BH579" i="175"/>
  <c r="BE49" i="190"/>
  <c r="BC49"/>
  <c r="AX494" i="175"/>
  <c r="AX573"/>
  <c r="AW48" i="190"/>
  <c r="BF582" i="175"/>
  <c r="AZ498"/>
  <c r="BD345"/>
  <c r="F499"/>
  <c r="AZ570"/>
  <c r="AX625"/>
  <c r="AX582"/>
  <c r="BF587"/>
  <c r="AS32" i="190"/>
  <c r="BB589" i="175"/>
  <c r="BD568"/>
  <c r="AX587"/>
  <c r="F568"/>
  <c r="AZ590"/>
  <c r="BF591"/>
  <c r="BA24" i="190"/>
  <c r="BD781" i="175"/>
  <c r="AX569"/>
  <c r="BE50" i="190"/>
  <c r="AS27"/>
  <c r="BA27" i="189"/>
  <c r="AX583" i="175"/>
  <c r="BD583"/>
  <c r="BB489"/>
  <c r="F586"/>
  <c r="BF579"/>
  <c r="AZ650"/>
  <c r="AU28" i="190"/>
  <c r="AS31"/>
  <c r="BF491" i="175"/>
  <c r="AV778"/>
  <c r="AZ500"/>
  <c r="BE56" i="189"/>
  <c r="BC23" i="190"/>
  <c r="BH585" i="175"/>
  <c r="AY41" i="190"/>
  <c r="BA20"/>
  <c r="AX650" i="175"/>
  <c r="AZ489"/>
  <c r="BC40" i="190"/>
  <c r="BC38"/>
  <c r="BE58" i="189"/>
  <c r="AV497" i="175"/>
  <c r="BB780"/>
  <c r="AU23" i="190"/>
  <c r="F653" i="175"/>
  <c r="BF586"/>
  <c r="U815"/>
  <c r="R92" i="189" s="1"/>
  <c r="AW57"/>
  <c r="BA41" i="190"/>
  <c r="BA30"/>
  <c r="BH584" i="175"/>
  <c r="AZ651"/>
  <c r="AV492"/>
  <c r="BF649"/>
  <c r="BC29" i="190"/>
  <c r="BH625" i="175"/>
  <c r="AS26" i="190"/>
  <c r="BF650" i="175"/>
  <c r="AU42" i="190"/>
  <c r="BE52" i="189"/>
  <c r="BH650" i="175"/>
  <c r="AW30" i="190"/>
  <c r="BA31"/>
  <c r="BF568" i="175"/>
  <c r="AX750"/>
  <c r="BC31" i="190"/>
  <c r="AS52" i="189"/>
  <c r="BA56"/>
  <c r="BC32" i="190"/>
  <c r="BB569" i="175"/>
  <c r="BB494"/>
  <c r="BB497"/>
  <c r="BA25" i="190"/>
  <c r="AY50"/>
  <c r="AY22"/>
  <c r="D10" i="176"/>
  <c r="BH33" i="175"/>
  <c r="BH589"/>
  <c r="BE48" i="190"/>
  <c r="BE41"/>
  <c r="AZ490" i="175"/>
  <c r="AV591"/>
  <c r="AX579"/>
  <c r="BD569"/>
  <c r="AV500"/>
  <c r="BB488"/>
  <c r="AS50" i="190"/>
  <c r="AG811" i="175"/>
  <c r="AD88" i="189" s="1"/>
  <c r="BB653" i="175"/>
  <c r="BC22" i="190"/>
  <c r="BB586" i="175"/>
  <c r="BC26" i="190"/>
  <c r="F583" i="175"/>
  <c r="AW47" i="190"/>
  <c r="F570" i="175"/>
  <c r="AV754"/>
  <c r="I60" i="189"/>
  <c r="AS60" s="1"/>
  <c r="F783" i="175"/>
  <c r="C60" i="189" s="1"/>
  <c r="BD784" i="175"/>
  <c r="F778"/>
  <c r="C55" i="189" s="1"/>
  <c r="BB755" i="175"/>
  <c r="D9" i="176"/>
  <c r="AZ754" i="175"/>
  <c r="F345"/>
  <c r="F498"/>
  <c r="BD754"/>
  <c r="F755"/>
  <c r="C32" i="189" s="1"/>
  <c r="AS817" i="175"/>
  <c r="AP94" i="189" s="1"/>
  <c r="AK815" i="175"/>
  <c r="AH92" i="189" s="1"/>
  <c r="AL812" i="175"/>
  <c r="AI89" i="189" s="1"/>
  <c r="G815" i="175"/>
  <c r="D92" i="189" s="1"/>
  <c r="F775" i="175"/>
  <c r="C52" i="189" s="1"/>
  <c r="Y813" i="175"/>
  <c r="V90" i="189" s="1"/>
  <c r="Y811" i="175"/>
  <c r="V88" i="189" s="1"/>
  <c r="U816" i="175"/>
  <c r="R93" i="189" s="1"/>
  <c r="AA815" i="175"/>
  <c r="X92" i="189" s="1"/>
  <c r="BH777" i="175"/>
  <c r="AZ778"/>
  <c r="N31" i="189"/>
  <c r="AU31" s="1"/>
  <c r="I813" i="175"/>
  <c r="F90" i="189" s="1"/>
  <c r="BD750" i="175"/>
  <c r="F782"/>
  <c r="C59" i="189" s="1"/>
  <c r="BH776" i="175"/>
  <c r="AF812"/>
  <c r="AC89" i="189" s="1"/>
  <c r="AD817" i="175"/>
  <c r="AA94" i="189" s="1"/>
  <c r="G811" i="175"/>
  <c r="D88" i="189" s="1"/>
  <c r="BH779" i="175"/>
  <c r="BH592"/>
  <c r="F753"/>
  <c r="C30" i="189" s="1"/>
  <c r="Q812" i="175"/>
  <c r="N89" i="189" s="1"/>
  <c r="AC813" i="175"/>
  <c r="Z90" i="189" s="1"/>
  <c r="F593" i="175"/>
  <c r="AA813"/>
  <c r="X90" i="189" s="1"/>
  <c r="BC63"/>
  <c r="AL813" i="175"/>
  <c r="AI90" i="189" s="1"/>
  <c r="AV784" i="175"/>
  <c r="AB815"/>
  <c r="Y92" i="189" s="1"/>
  <c r="L814" i="175"/>
  <c r="I91" i="189" s="1"/>
  <c r="BF487" i="175"/>
  <c r="AV753"/>
  <c r="F781"/>
  <c r="C58" i="189" s="1"/>
  <c r="AV749" i="175"/>
  <c r="I817"/>
  <c r="F94" i="189" s="1"/>
  <c r="AZ755" i="175"/>
  <c r="AZ776"/>
  <c r="AE811"/>
  <c r="AB88" i="189" s="1"/>
  <c r="AC814" i="175"/>
  <c r="Z91" i="189" s="1"/>
  <c r="BD749" i="175"/>
  <c r="BF593"/>
  <c r="BB752"/>
  <c r="BB487"/>
  <c r="AZ750"/>
  <c r="F752"/>
  <c r="C29" i="189" s="1"/>
  <c r="X57"/>
  <c r="AY57" s="1"/>
  <c r="J55"/>
  <c r="AS55" s="1"/>
  <c r="BE32"/>
  <c r="BF750" i="175"/>
  <c r="AX784"/>
  <c r="BH593"/>
  <c r="AV779"/>
  <c r="BD777"/>
  <c r="F779"/>
  <c r="C56" i="189" s="1"/>
  <c r="S815" i="175"/>
  <c r="P92" i="189" s="1"/>
  <c r="AV750" i="175"/>
  <c r="F493"/>
  <c r="BD778"/>
  <c r="BF786"/>
  <c r="F750"/>
  <c r="C27" i="189" s="1"/>
  <c r="F376" i="175"/>
  <c r="BF749"/>
  <c r="F579"/>
  <c r="AK814"/>
  <c r="AH91" i="189" s="1"/>
  <c r="G816" i="175"/>
  <c r="D93" i="189" s="1"/>
  <c r="F591" i="175"/>
  <c r="BH752"/>
  <c r="BD752"/>
  <c r="L816"/>
  <c r="I93" i="189" s="1"/>
  <c r="R61"/>
  <c r="AU61" s="1"/>
  <c r="J26"/>
  <c r="BC52"/>
  <c r="J817" i="175"/>
  <c r="G94" i="189" s="1"/>
  <c r="S816" i="175"/>
  <c r="P93" i="189" s="1"/>
  <c r="AF813" i="175"/>
  <c r="AC90" i="189" s="1"/>
  <c r="BH749" i="175"/>
  <c r="U813"/>
  <c r="R90" i="189" s="1"/>
  <c r="AT816" i="175"/>
  <c r="AQ93" i="189" s="1"/>
  <c r="I814" i="175"/>
  <c r="F91" i="189" s="1"/>
  <c r="AB811" i="175"/>
  <c r="Y88" i="189" s="1"/>
  <c r="AH813" i="175"/>
  <c r="AE90" i="189" s="1"/>
  <c r="AZ783" i="175"/>
  <c r="AD814"/>
  <c r="AA91" i="189" s="1"/>
  <c r="X816" i="175"/>
  <c r="U93" i="189" s="1"/>
  <c r="AX783" i="175"/>
  <c r="S813"/>
  <c r="P90" i="189" s="1"/>
  <c r="P816" i="175"/>
  <c r="M93" i="189" s="1"/>
  <c r="W812" i="175"/>
  <c r="T89" i="189" s="1"/>
  <c r="S811" i="175"/>
  <c r="P88" i="189" s="1"/>
  <c r="AF816" i="175"/>
  <c r="AC93" i="189" s="1"/>
  <c r="AX781" i="175"/>
  <c r="AE814"/>
  <c r="AB91" i="189" s="1"/>
  <c r="AV782" i="175"/>
  <c r="BD779"/>
  <c r="O813"/>
  <c r="L90" i="189" s="1"/>
  <c r="BH781" i="175"/>
  <c r="BB592"/>
  <c r="AH816"/>
  <c r="AE93" i="189" s="1"/>
  <c r="AJ812" i="175"/>
  <c r="AG89" i="189" s="1"/>
  <c r="BD782" i="175"/>
  <c r="AO811"/>
  <c r="AL88" i="189" s="1"/>
  <c r="M816" i="175"/>
  <c r="J93" i="189" s="1"/>
  <c r="BB776" i="175"/>
  <c r="BD593"/>
  <c r="L811"/>
  <c r="I88" i="189" s="1"/>
  <c r="BB781" i="175"/>
  <c r="AZ752"/>
  <c r="AM817"/>
  <c r="AJ94" i="189" s="1"/>
  <c r="AZ593" i="175"/>
  <c r="BF751"/>
  <c r="J29" i="189"/>
  <c r="AD815" i="175"/>
  <c r="AA92" i="189" s="1"/>
  <c r="BB754" i="175"/>
  <c r="AL814"/>
  <c r="AI91" i="189" s="1"/>
  <c r="BF755" i="175"/>
  <c r="BF784"/>
  <c r="I816"/>
  <c r="F93" i="189" s="1"/>
  <c r="AX593" i="175"/>
  <c r="AJ815"/>
  <c r="AG92" i="189" s="1"/>
  <c r="AY28"/>
  <c r="BC55"/>
  <c r="AU54"/>
  <c r="N52"/>
  <c r="AU52" s="1"/>
  <c r="AC58"/>
  <c r="BA58" s="1"/>
  <c r="AW27"/>
  <c r="AR817" i="175"/>
  <c r="AO94" i="189" s="1"/>
  <c r="BF783" i="175"/>
  <c r="AN817"/>
  <c r="AK94" i="189" s="1"/>
  <c r="AV785" i="175"/>
  <c r="Q815"/>
  <c r="N92" i="189" s="1"/>
  <c r="F492" i="175"/>
  <c r="AD816"/>
  <c r="AA93" i="189" s="1"/>
  <c r="AV376" i="175"/>
  <c r="N813"/>
  <c r="K90" i="189" s="1"/>
  <c r="BB783" i="175"/>
  <c r="BF775"/>
  <c r="X817"/>
  <c r="U94" i="189" s="1"/>
  <c r="AX751" i="175"/>
  <c r="AI812"/>
  <c r="AF89" i="189" s="1"/>
  <c r="AI816" i="175"/>
  <c r="AF93" i="189" s="1"/>
  <c r="BB785" i="175"/>
  <c r="AM31" i="189"/>
  <c r="BE31" s="1"/>
  <c r="AQ63"/>
  <c r="F751" i="175"/>
  <c r="C28" i="189" s="1"/>
  <c r="R812" i="175"/>
  <c r="O89" i="189" s="1"/>
  <c r="H26"/>
  <c r="K811" i="175"/>
  <c r="H88" i="189" s="1"/>
  <c r="AK817" i="175"/>
  <c r="AH94" i="189" s="1"/>
  <c r="BF780" i="175"/>
  <c r="AZ751"/>
  <c r="BH782"/>
  <c r="AX786"/>
  <c r="AZ782"/>
  <c r="BB749"/>
  <c r="BH775"/>
  <c r="BB750"/>
  <c r="BD487"/>
  <c r="F592"/>
  <c r="K817"/>
  <c r="H94" i="189" s="1"/>
  <c r="F785" i="175"/>
  <c r="C62" i="189" s="1"/>
  <c r="BB782" i="175"/>
  <c r="AC30" i="189"/>
  <c r="AY26"/>
  <c r="P817" i="175"/>
  <c r="M94" i="189" s="1"/>
  <c r="AM814" i="175"/>
  <c r="AJ91" i="189" s="1"/>
  <c r="AX780" i="175"/>
  <c r="AV752"/>
  <c r="F754"/>
  <c r="C31" i="189" s="1"/>
  <c r="F780" i="175"/>
  <c r="C57" i="189" s="1"/>
  <c r="BD786" i="175"/>
  <c r="AF811"/>
  <c r="AC88" i="189" s="1"/>
  <c r="BH755" i="175"/>
  <c r="BH785"/>
  <c r="BB751"/>
  <c r="F749"/>
  <c r="C26" i="189" s="1"/>
  <c r="BF752" i="175"/>
  <c r="AX776"/>
  <c r="AV776"/>
  <c r="AB813"/>
  <c r="Y90" i="189" s="1"/>
  <c r="F487" i="175"/>
  <c r="C68" i="190" s="1"/>
  <c r="AM811" i="175"/>
  <c r="AJ88" i="189" s="1"/>
  <c r="BF778" i="175"/>
  <c r="AH815"/>
  <c r="AE92" i="189" s="1"/>
  <c r="AX777" i="175"/>
  <c r="AJ817"/>
  <c r="AG94" i="189" s="1"/>
  <c r="AZ775" i="175"/>
  <c r="F777"/>
  <c r="C54" i="189" s="1"/>
  <c r="BD592" i="175"/>
  <c r="BF753"/>
  <c r="AZ780"/>
  <c r="AV780"/>
  <c r="AV775"/>
  <c r="AS814"/>
  <c r="AP91" i="189" s="1"/>
  <c r="N814" i="175"/>
  <c r="K91" i="189" s="1"/>
  <c r="T817" i="175"/>
  <c r="Q94" i="189" s="1"/>
  <c r="AB816" i="175"/>
  <c r="Y93" i="189" s="1"/>
  <c r="AC812" i="175"/>
  <c r="Z89" i="189" s="1"/>
  <c r="J811" i="175"/>
  <c r="G88" i="189" s="1"/>
  <c r="M815" i="175"/>
  <c r="J92" i="189" s="1"/>
  <c r="BF782" i="175"/>
  <c r="S814"/>
  <c r="P91" i="189" s="1"/>
  <c r="L813" i="175"/>
  <c r="I90" i="189" s="1"/>
  <c r="AS811" i="175"/>
  <c r="AP88" i="189" s="1"/>
  <c r="BB778" i="175"/>
  <c r="R813"/>
  <c r="O90" i="189" s="1"/>
  <c r="AJ814" i="175"/>
  <c r="AG91" i="189" s="1"/>
  <c r="BC27"/>
  <c r="AW62"/>
  <c r="AY58"/>
  <c r="AY31"/>
  <c r="BC59"/>
  <c r="AW32"/>
  <c r="AU60"/>
  <c r="AM94"/>
  <c r="BC60"/>
  <c r="AM63"/>
  <c r="BH786" i="175"/>
  <c r="T63" i="189"/>
  <c r="AZ786" i="175"/>
  <c r="M572"/>
  <c r="AS299" i="118"/>
  <c r="AS346"/>
  <c r="M576" i="175"/>
  <c r="M575"/>
  <c r="AZ299" i="118"/>
  <c r="AZ346"/>
  <c r="AX346"/>
  <c r="AX299"/>
  <c r="AP25" i="167"/>
  <c r="AN26"/>
  <c r="AY346" i="118"/>
  <c r="AY299"/>
  <c r="AW299"/>
  <c r="AW346"/>
  <c r="Y28" i="168"/>
  <c r="AB298" i="118"/>
  <c r="Y26" i="171"/>
  <c r="BD24" i="155"/>
  <c r="Z24"/>
  <c r="BB25" i="154"/>
  <c r="BC25" i="155"/>
  <c r="BE23" i="154"/>
  <c r="Z23"/>
  <c r="BD24"/>
  <c r="Z24" s="1"/>
  <c r="Q19" i="49"/>
  <c r="BA26" i="155" s="1"/>
  <c r="N20" i="49"/>
  <c r="L14" i="72"/>
  <c r="P19" i="49"/>
  <c r="Z27" i="167" s="1"/>
  <c r="V19" i="49"/>
  <c r="AQ28" i="72"/>
  <c r="AU29"/>
  <c r="AW24"/>
  <c r="AW25"/>
  <c r="AV24"/>
  <c r="AV25"/>
  <c r="M32"/>
  <c r="M31"/>
  <c r="F21" i="49"/>
  <c r="L106" i="175"/>
  <c r="Y10" i="66"/>
  <c r="L109" i="175"/>
  <c r="L112"/>
  <c r="K110"/>
  <c r="N513"/>
  <c r="N510"/>
  <c r="L9" i="66"/>
  <c r="C28" i="63"/>
  <c r="N545" i="175"/>
  <c r="AE10" i="63"/>
  <c r="L98" i="175"/>
  <c r="N11" i="66"/>
  <c r="L111" i="175"/>
  <c r="K112"/>
  <c r="D27" i="63"/>
  <c r="K107" i="175"/>
  <c r="K111"/>
  <c r="V13" i="66"/>
  <c r="W14" i="65"/>
  <c r="K109" i="175"/>
  <c r="K106"/>
  <c r="E26" i="63"/>
  <c r="L107" i="175"/>
  <c r="L10" i="66"/>
  <c r="V11" i="70"/>
  <c r="O108" i="175"/>
  <c r="K98"/>
  <c r="P84"/>
  <c r="L110"/>
  <c r="N514"/>
  <c r="N515"/>
  <c r="O104"/>
  <c r="AW63" i="189" l="1"/>
  <c r="AS26"/>
  <c r="BE27"/>
  <c r="AW92"/>
  <c r="BE89"/>
  <c r="AU91"/>
  <c r="AW89"/>
  <c r="AW29"/>
  <c r="BA92"/>
  <c r="AS29"/>
  <c r="BC92"/>
  <c r="BA94"/>
  <c r="AU93"/>
  <c r="AS89"/>
  <c r="BC93"/>
  <c r="BA88"/>
  <c r="AY30"/>
  <c r="AS88"/>
  <c r="AU88"/>
  <c r="AZ812" i="175"/>
  <c r="BA30" i="189"/>
  <c r="AU92"/>
  <c r="BC89"/>
  <c r="AW91"/>
  <c r="BE91"/>
  <c r="AW26"/>
  <c r="AS32"/>
  <c r="BE90"/>
  <c r="BD817" i="175"/>
  <c r="AY93" i="189"/>
  <c r="BC90"/>
  <c r="BE94"/>
  <c r="AY91"/>
  <c r="BE93"/>
  <c r="BH813" i="175"/>
  <c r="BF815"/>
  <c r="AZ816"/>
  <c r="BE92" i="189"/>
  <c r="AY89"/>
  <c r="BA57"/>
  <c r="BA63"/>
  <c r="BC31"/>
  <c r="AU29"/>
  <c r="AS90"/>
  <c r="BF816" i="175"/>
  <c r="BE63" i="189"/>
  <c r="F813" i="175"/>
  <c r="C90" i="189" s="1"/>
  <c r="AV812" i="175"/>
  <c r="AW93" i="189"/>
  <c r="AY88"/>
  <c r="AS93"/>
  <c r="AU89"/>
  <c r="AY90"/>
  <c r="AW88"/>
  <c r="J63"/>
  <c r="AS63" s="1"/>
  <c r="M817" i="175"/>
  <c r="J94" i="189" s="1"/>
  <c r="BD811" i="175"/>
  <c r="AX814"/>
  <c r="AZ814"/>
  <c r="BC58" i="189"/>
  <c r="AX815" i="175"/>
  <c r="BF812"/>
  <c r="BH812"/>
  <c r="AS91" i="189"/>
  <c r="AZ817" i="175"/>
  <c r="BH814"/>
  <c r="BH816"/>
  <c r="AZ811"/>
  <c r="BH815"/>
  <c r="BB812"/>
  <c r="AZ815"/>
  <c r="AZ813"/>
  <c r="AX817"/>
  <c r="BE88" i="189"/>
  <c r="AS92"/>
  <c r="AU94"/>
  <c r="AW94"/>
  <c r="AY94"/>
  <c r="AW90"/>
  <c r="BF817" i="175"/>
  <c r="BH817"/>
  <c r="BB811"/>
  <c r="AV786"/>
  <c r="F786"/>
  <c r="C63" i="189" s="1"/>
  <c r="AX816" i="175"/>
  <c r="BF814"/>
  <c r="BA91" i="189"/>
  <c r="AS94"/>
  <c r="BC94"/>
  <c r="BC88"/>
  <c r="BA89"/>
  <c r="AY92"/>
  <c r="BF813" i="175"/>
  <c r="BB814"/>
  <c r="AV811"/>
  <c r="F816"/>
  <c r="C93" i="189" s="1"/>
  <c r="BD814" i="175"/>
  <c r="AX811"/>
  <c r="BD812"/>
  <c r="AV813"/>
  <c r="BA93" i="189"/>
  <c r="AU90"/>
  <c r="BA90"/>
  <c r="BC91"/>
  <c r="BF811" i="175"/>
  <c r="BB816"/>
  <c r="AV814"/>
  <c r="F812"/>
  <c r="C89" i="189" s="1"/>
  <c r="BD815" i="175"/>
  <c r="BD813"/>
  <c r="BB813"/>
  <c r="AX813"/>
  <c r="BH811"/>
  <c r="BD816"/>
  <c r="F815"/>
  <c r="C92" i="189" s="1"/>
  <c r="BB817" i="175"/>
  <c r="F814"/>
  <c r="C91" i="189" s="1"/>
  <c r="F811" i="175"/>
  <c r="C88" i="189" s="1"/>
  <c r="AX812" i="175"/>
  <c r="AV815"/>
  <c r="AV816"/>
  <c r="BB815"/>
  <c r="N572"/>
  <c r="AS347" i="118"/>
  <c r="AS300"/>
  <c r="AV84" i="175"/>
  <c r="N576"/>
  <c r="N575"/>
  <c r="AZ300" i="118"/>
  <c r="AZ347"/>
  <c r="AX347"/>
  <c r="AX300"/>
  <c r="AP26" i="167"/>
  <c r="L126" i="175"/>
  <c r="K126"/>
  <c r="AN27" i="167"/>
  <c r="AY347" i="118"/>
  <c r="AY300"/>
  <c r="AW347"/>
  <c r="AW300"/>
  <c r="Y29" i="168"/>
  <c r="AB299" i="118"/>
  <c r="Y27" i="171"/>
  <c r="BD25" i="155"/>
  <c r="Z25"/>
  <c r="BB26" i="154"/>
  <c r="BC26" i="155"/>
  <c r="BE24" i="154"/>
  <c r="BD25"/>
  <c r="Z25" s="1"/>
  <c r="Q20" i="49"/>
  <c r="BA27" i="155" s="1"/>
  <c r="N21" i="49"/>
  <c r="L15" i="72"/>
  <c r="V20" i="49"/>
  <c r="P20"/>
  <c r="Z28" i="167" s="1"/>
  <c r="AQ29" i="72"/>
  <c r="AU30"/>
  <c r="AW26"/>
  <c r="AV26"/>
  <c r="F22" i="49"/>
  <c r="O513" i="175"/>
  <c r="H22" i="121"/>
  <c r="O514" i="175"/>
  <c r="D28" i="63"/>
  <c r="V14" i="66"/>
  <c r="H23" i="69"/>
  <c r="H23" i="121"/>
  <c r="M98" i="175"/>
  <c r="M110"/>
  <c r="M111"/>
  <c r="M107"/>
  <c r="O515"/>
  <c r="M109"/>
  <c r="L11" i="66"/>
  <c r="M106" i="175"/>
  <c r="P104"/>
  <c r="H22" i="69"/>
  <c r="O545" i="175"/>
  <c r="V12" i="70"/>
  <c r="P108" i="175"/>
  <c r="M112"/>
  <c r="W15" i="65"/>
  <c r="Y11" i="66"/>
  <c r="N12"/>
  <c r="Q84" i="175"/>
  <c r="C29" i="63"/>
  <c r="AE11"/>
  <c r="E27"/>
  <c r="O510" i="175"/>
  <c r="F817" l="1"/>
  <c r="C94" i="189" s="1"/>
  <c r="AV817" i="175"/>
  <c r="O572"/>
  <c r="AV104"/>
  <c r="AS348" i="118"/>
  <c r="AS301"/>
  <c r="O575" i="175"/>
  <c r="O576"/>
  <c r="AZ348" i="118"/>
  <c r="AZ301"/>
  <c r="AX301"/>
  <c r="AX348"/>
  <c r="AV108" i="175"/>
  <c r="AP27" i="167"/>
  <c r="M126" i="175"/>
  <c r="AN28" i="167"/>
  <c r="AY301" i="118"/>
  <c r="AY348"/>
  <c r="AW301"/>
  <c r="AW348"/>
  <c r="Y30" i="168"/>
  <c r="AB300" i="118"/>
  <c r="Y28" i="171"/>
  <c r="BD26" i="155"/>
  <c r="Z26"/>
  <c r="BB27" i="154"/>
  <c r="BC27" i="155"/>
  <c r="BE25" i="154"/>
  <c r="BD26"/>
  <c r="Z26" s="1"/>
  <c r="Q21" i="49"/>
  <c r="BA28" i="155" s="1"/>
  <c r="N22" i="49"/>
  <c r="L16" i="72"/>
  <c r="P21" i="49"/>
  <c r="Z29" i="167" s="1"/>
  <c r="V21" i="49"/>
  <c r="AQ30" i="72"/>
  <c r="AU31"/>
  <c r="M34"/>
  <c r="M33"/>
  <c r="F23" i="49"/>
  <c r="N13" i="66"/>
  <c r="H24" i="121"/>
  <c r="Q108" i="175"/>
  <c r="E28" i="63"/>
  <c r="R84" i="175"/>
  <c r="P513"/>
  <c r="N98"/>
  <c r="N111"/>
  <c r="V13" i="70"/>
  <c r="P514" i="175"/>
  <c r="P510"/>
  <c r="C30" i="63"/>
  <c r="H24" i="69"/>
  <c r="D29" i="63"/>
  <c r="P515" i="175"/>
  <c r="N106"/>
  <c r="L12" i="66"/>
  <c r="N107" i="175"/>
  <c r="V15" i="66"/>
  <c r="AE12" i="63"/>
  <c r="P545" i="175"/>
  <c r="Y12" i="66"/>
  <c r="Q104" i="175"/>
  <c r="N112"/>
  <c r="W16" i="65"/>
  <c r="N109" i="175"/>
  <c r="N110"/>
  <c r="P572" l="1"/>
  <c r="AV572" s="1"/>
  <c r="AV510"/>
  <c r="AS302" i="118"/>
  <c r="AS349"/>
  <c r="P576" i="175"/>
  <c r="P575"/>
  <c r="AV575" s="1"/>
  <c r="AZ302" i="118"/>
  <c r="AZ349"/>
  <c r="AV513" i="175"/>
  <c r="AX349" i="118"/>
  <c r="AX302"/>
  <c r="AV515" i="175"/>
  <c r="AV514"/>
  <c r="AV545"/>
  <c r="AP28" i="167"/>
  <c r="N126" i="175"/>
  <c r="AN29" i="167"/>
  <c r="AY349" i="118"/>
  <c r="AY302"/>
  <c r="AW349"/>
  <c r="AW302"/>
  <c r="Y31" i="168"/>
  <c r="AB301" i="118"/>
  <c r="Y29" i="171"/>
  <c r="BD27" i="155"/>
  <c r="Z27"/>
  <c r="BB28" i="154"/>
  <c r="BC28" i="155"/>
  <c r="BE26" i="154"/>
  <c r="BD27"/>
  <c r="Z27" s="1"/>
  <c r="Q22" i="49"/>
  <c r="BA29" i="155" s="1"/>
  <c r="N23" i="49"/>
  <c r="L17" i="72"/>
  <c r="V22" i="49"/>
  <c r="P22"/>
  <c r="Z30" i="167" s="1"/>
  <c r="AQ31" i="72"/>
  <c r="AU32"/>
  <c r="AW27"/>
  <c r="AV27"/>
  <c r="F24" i="49"/>
  <c r="N14" i="66"/>
  <c r="Q545" i="175"/>
  <c r="O112"/>
  <c r="Q513"/>
  <c r="O110"/>
  <c r="D30" i="63"/>
  <c r="R108" i="175"/>
  <c r="C31" i="63"/>
  <c r="E29"/>
  <c r="O98" i="175"/>
  <c r="R104"/>
  <c r="L13" i="66"/>
  <c r="W17" i="65"/>
  <c r="Y13" i="66"/>
  <c r="V14" i="70"/>
  <c r="Q514" i="175"/>
  <c r="V16" i="66"/>
  <c r="O107" i="175"/>
  <c r="S84"/>
  <c r="O109"/>
  <c r="Q510"/>
  <c r="O106"/>
  <c r="O111"/>
  <c r="AE13" i="63"/>
  <c r="Q515" i="175"/>
  <c r="Q572" l="1"/>
  <c r="AS303" i="118"/>
  <c r="AS350"/>
  <c r="Q575" i="175"/>
  <c r="Q576"/>
  <c r="AV576"/>
  <c r="AZ303" i="118"/>
  <c r="AZ350"/>
  <c r="AX303"/>
  <c r="AX350"/>
  <c r="AP29" i="167"/>
  <c r="O126" i="175"/>
  <c r="AN30" i="167"/>
  <c r="Y32" i="168"/>
  <c r="AY303" i="118"/>
  <c r="AY350"/>
  <c r="AW304"/>
  <c r="AW351"/>
  <c r="AW303"/>
  <c r="AW350"/>
  <c r="AB302"/>
  <c r="Y30" i="171"/>
  <c r="BD28" i="155"/>
  <c r="Z28"/>
  <c r="BB29" i="154"/>
  <c r="BC29" i="155"/>
  <c r="BE27" i="154"/>
  <c r="BD28"/>
  <c r="Z28" s="1"/>
  <c r="Q23" i="49"/>
  <c r="BA30" i="155" s="1"/>
  <c r="N24" i="49"/>
  <c r="L18" i="72"/>
  <c r="P23" i="49"/>
  <c r="Z31" i="167" s="1"/>
  <c r="V23" i="49"/>
  <c r="AQ32" i="72"/>
  <c r="AU33"/>
  <c r="AW29"/>
  <c r="AW28"/>
  <c r="AV28"/>
  <c r="AV29"/>
  <c r="M35"/>
  <c r="M36"/>
  <c r="F25" i="49"/>
  <c r="P106" i="175"/>
  <c r="R514"/>
  <c r="P109"/>
  <c r="P107"/>
  <c r="E30" i="63"/>
  <c r="H25" i="121"/>
  <c r="V15" i="70"/>
  <c r="AE14" i="63"/>
  <c r="N15" i="66"/>
  <c r="W18" i="65"/>
  <c r="R545" i="175"/>
  <c r="R510"/>
  <c r="D31" i="63"/>
  <c r="P98" i="175"/>
  <c r="P112"/>
  <c r="H25" i="69"/>
  <c r="P111" i="175"/>
  <c r="V17" i="66"/>
  <c r="C32" i="63"/>
  <c r="L14" i="66"/>
  <c r="R515" i="175"/>
  <c r="P110"/>
  <c r="R513"/>
  <c r="H26" i="69"/>
  <c r="T84" i="175"/>
  <c r="S108"/>
  <c r="S104"/>
  <c r="Y14" i="66"/>
  <c r="H26" i="121"/>
  <c r="R572" i="175" l="1"/>
  <c r="AV109"/>
  <c r="AV106"/>
  <c r="AS304" i="118"/>
  <c r="AS351"/>
  <c r="AV107" i="175"/>
  <c r="R576"/>
  <c r="R575"/>
  <c r="AZ351" i="118"/>
  <c r="AZ304"/>
  <c r="AV110" i="175"/>
  <c r="AX351" i="118"/>
  <c r="AX304"/>
  <c r="AV112" i="175"/>
  <c r="AV98"/>
  <c r="AV111"/>
  <c r="AP30" i="167"/>
  <c r="P126" i="175"/>
  <c r="AN31" i="167"/>
  <c r="AY304" i="118"/>
  <c r="AY351"/>
  <c r="Y33" i="168"/>
  <c r="AW305" i="118"/>
  <c r="AW352"/>
  <c r="AB303"/>
  <c r="Y31" i="171"/>
  <c r="BD29" i="155"/>
  <c r="Z29"/>
  <c r="BB30" i="154"/>
  <c r="BC30" i="155"/>
  <c r="BE28" i="154"/>
  <c r="BD29"/>
  <c r="Z29" s="1"/>
  <c r="Q24" i="49"/>
  <c r="BA31" i="155" s="1"/>
  <c r="N25" i="49"/>
  <c r="L19" i="72"/>
  <c r="V24" i="49"/>
  <c r="P24"/>
  <c r="Z32" i="167" s="1"/>
  <c r="AQ33" i="72"/>
  <c r="AU34"/>
  <c r="F26" i="49"/>
  <c r="T108" i="175"/>
  <c r="H27" i="121"/>
  <c r="N16" i="66"/>
  <c r="Q110" i="175"/>
  <c r="Y15" i="66"/>
  <c r="D32" i="63"/>
  <c r="L15" i="66"/>
  <c r="H27" i="69"/>
  <c r="Q107" i="175"/>
  <c r="T104"/>
  <c r="Q109"/>
  <c r="W19" i="65"/>
  <c r="S515" i="175"/>
  <c r="C33" i="63"/>
  <c r="V16" i="70"/>
  <c r="U84" i="175"/>
  <c r="E31" i="63"/>
  <c r="Q98" i="175"/>
  <c r="V18" i="66"/>
  <c r="Q111" i="175"/>
  <c r="AE15" i="63"/>
  <c r="Q106" i="175"/>
  <c r="S510"/>
  <c r="S513"/>
  <c r="Q112"/>
  <c r="S545"/>
  <c r="S514"/>
  <c r="S572" l="1"/>
  <c r="AS305" i="118"/>
  <c r="AS352"/>
  <c r="AX84" i="175"/>
  <c r="S576"/>
  <c r="S575"/>
  <c r="AZ305" i="118"/>
  <c r="AZ352"/>
  <c r="AX352"/>
  <c r="AX305"/>
  <c r="AV126" i="175"/>
  <c r="AP31" i="167"/>
  <c r="Q126" i="175"/>
  <c r="AN32" i="167"/>
  <c r="AY305" i="118"/>
  <c r="AY352"/>
  <c r="Y34" i="168"/>
  <c r="AW306" i="118"/>
  <c r="AW353"/>
  <c r="AB304"/>
  <c r="Y32" i="171"/>
  <c r="BD30" i="155"/>
  <c r="Z30"/>
  <c r="BB31" i="154"/>
  <c r="BC31" i="155"/>
  <c r="BE29" i="154"/>
  <c r="BD30"/>
  <c r="Q25" i="49"/>
  <c r="BA32" i="155" s="1"/>
  <c r="N26" i="49"/>
  <c r="L20" i="72"/>
  <c r="P25" i="49"/>
  <c r="Z33" i="167" s="1"/>
  <c r="V25" i="49"/>
  <c r="AQ34" i="72"/>
  <c r="AU35"/>
  <c r="AW30"/>
  <c r="AV30"/>
  <c r="M37"/>
  <c r="M38"/>
  <c r="F27" i="49"/>
  <c r="H28" i="69"/>
  <c r="T514" i="175"/>
  <c r="Y16" i="66"/>
  <c r="H28" i="121"/>
  <c r="V17" i="70"/>
  <c r="U104" i="175"/>
  <c r="T515"/>
  <c r="N17" i="66"/>
  <c r="V19"/>
  <c r="D33" i="63"/>
  <c r="V84" i="175"/>
  <c r="T545"/>
  <c r="AE16" i="63"/>
  <c r="T513" i="175"/>
  <c r="T510"/>
  <c r="E32" i="63"/>
  <c r="C34"/>
  <c r="W20" i="65"/>
  <c r="U108" i="175"/>
  <c r="T572" l="1"/>
  <c r="AX104"/>
  <c r="AS353" i="118"/>
  <c r="AS306"/>
  <c r="Y35" i="168"/>
  <c r="Y36" s="1"/>
  <c r="T576" i="175"/>
  <c r="T575"/>
  <c r="AZ306" i="118"/>
  <c r="AZ353"/>
  <c r="AX307"/>
  <c r="AX354"/>
  <c r="AX353"/>
  <c r="AX306"/>
  <c r="AX108" i="175"/>
  <c r="AP32" i="167"/>
  <c r="AN33"/>
  <c r="AY353" i="118"/>
  <c r="AY306"/>
  <c r="AY307"/>
  <c r="AY354"/>
  <c r="AW307"/>
  <c r="AW354"/>
  <c r="AB305"/>
  <c r="Y33" i="171"/>
  <c r="BD31" i="155"/>
  <c r="Z31"/>
  <c r="BB32" i="154"/>
  <c r="BC32" i="155"/>
  <c r="BE30" i="154"/>
  <c r="Z30"/>
  <c r="BD31"/>
  <c r="Q26" i="49"/>
  <c r="BA33" i="155" s="1"/>
  <c r="N27" i="49"/>
  <c r="L21" i="72"/>
  <c r="V26" i="49"/>
  <c r="P26"/>
  <c r="Z34" i="167" s="1"/>
  <c r="AQ35" i="72"/>
  <c r="AU36"/>
  <c r="AW31"/>
  <c r="AV31"/>
  <c r="M39"/>
  <c r="F28" i="49"/>
  <c r="E33" i="63"/>
  <c r="R107" i="175"/>
  <c r="W22" i="65"/>
  <c r="R112" i="175"/>
  <c r="R106"/>
  <c r="D34" i="63"/>
  <c r="R98" i="175"/>
  <c r="AE17" i="63"/>
  <c r="Y17" i="66"/>
  <c r="U514" i="175"/>
  <c r="X84"/>
  <c r="H29" i="69"/>
  <c r="C35" i="63"/>
  <c r="R109" i="175"/>
  <c r="U513"/>
  <c r="R110"/>
  <c r="W21" i="65"/>
  <c r="W84" i="175"/>
  <c r="U510"/>
  <c r="V104"/>
  <c r="V20" i="66"/>
  <c r="U545" i="175"/>
  <c r="V18" i="70"/>
  <c r="H29" i="121"/>
  <c r="R111" i="175"/>
  <c r="U515"/>
  <c r="N18" i="66"/>
  <c r="L16"/>
  <c r="V108" i="175"/>
  <c r="U572" l="1"/>
  <c r="AX572" s="1"/>
  <c r="AX510"/>
  <c r="AZ307" i="118"/>
  <c r="AZ354"/>
  <c r="AS308"/>
  <c r="AS355"/>
  <c r="AS354"/>
  <c r="AS307"/>
  <c r="U576" i="175"/>
  <c r="U575"/>
  <c r="AX575" s="1"/>
  <c r="AZ355" i="118"/>
  <c r="AZ308"/>
  <c r="AX513" i="175"/>
  <c r="AX355" i="118"/>
  <c r="AX308"/>
  <c r="AX515" i="175"/>
  <c r="AX514"/>
  <c r="AX545"/>
  <c r="AP33" i="167"/>
  <c r="R126" i="175"/>
  <c r="AN34" i="167"/>
  <c r="AY308" i="118"/>
  <c r="AY355"/>
  <c r="AW355"/>
  <c r="AW308"/>
  <c r="Y37" i="168"/>
  <c r="AB306" i="118"/>
  <c r="Y34" i="171"/>
  <c r="BD32" i="155"/>
  <c r="Z32"/>
  <c r="BB33" i="154"/>
  <c r="BC33" i="155"/>
  <c r="BE31" i="154"/>
  <c r="Z31"/>
  <c r="BD32"/>
  <c r="Q27" i="49"/>
  <c r="BA34" i="155" s="1"/>
  <c r="N28" i="49"/>
  <c r="L22" i="72"/>
  <c r="P27" i="49"/>
  <c r="Z35" i="167" s="1"/>
  <c r="V27" i="49"/>
  <c r="AQ36" i="72"/>
  <c r="AU37"/>
  <c r="AW33"/>
  <c r="AW32"/>
  <c r="AV32"/>
  <c r="AV33"/>
  <c r="M40"/>
  <c r="F29" i="49"/>
  <c r="D35" i="63"/>
  <c r="L17" i="66"/>
  <c r="S109" i="175"/>
  <c r="V545"/>
  <c r="W104"/>
  <c r="Y84"/>
  <c r="H30" i="69"/>
  <c r="Y18" i="66"/>
  <c r="W108" i="175"/>
  <c r="V513"/>
  <c r="V514"/>
  <c r="S112"/>
  <c r="H30" i="121"/>
  <c r="S98" i="175"/>
  <c r="V515"/>
  <c r="S110"/>
  <c r="S111"/>
  <c r="V19" i="70"/>
  <c r="E34" i="63"/>
  <c r="S107" i="175"/>
  <c r="AE18" i="63"/>
  <c r="W23" i="65"/>
  <c r="V21" i="66"/>
  <c r="N19"/>
  <c r="C36" i="63"/>
  <c r="V510" i="175"/>
  <c r="S106"/>
  <c r="V572" l="1"/>
  <c r="AS309" i="118"/>
  <c r="AS356"/>
  <c r="V576" i="175"/>
  <c r="V575"/>
  <c r="AX576"/>
  <c r="AZ356" i="118"/>
  <c r="AZ309"/>
  <c r="AX309"/>
  <c r="AX356"/>
  <c r="AP34" i="167"/>
  <c r="S126" i="175"/>
  <c r="AN35" i="167"/>
  <c r="AY356" i="118"/>
  <c r="AY309"/>
  <c r="AW356"/>
  <c r="AW309"/>
  <c r="Y38" i="168"/>
  <c r="AB307" i="118"/>
  <c r="Y35" i="171"/>
  <c r="BD33" i="155"/>
  <c r="Z33"/>
  <c r="BB34" i="154"/>
  <c r="BC34" i="155"/>
  <c r="BE32" i="154"/>
  <c r="Z32"/>
  <c r="BD33"/>
  <c r="Q28" i="49"/>
  <c r="BA35" i="155" s="1"/>
  <c r="N29" i="49"/>
  <c r="L23" i="72"/>
  <c r="V28" i="49"/>
  <c r="P28"/>
  <c r="Z36" i="167" s="1"/>
  <c r="AQ37" i="72"/>
  <c r="AU38"/>
  <c r="M41"/>
  <c r="F30" i="49"/>
  <c r="T110" i="175"/>
  <c r="E35" i="63"/>
  <c r="Z84" i="175"/>
  <c r="H31" i="121"/>
  <c r="T107" i="175"/>
  <c r="W515"/>
  <c r="L18" i="66"/>
  <c r="H31" i="69"/>
  <c r="X104" i="175"/>
  <c r="X108"/>
  <c r="AE19" i="63"/>
  <c r="T111" i="175"/>
  <c r="W545"/>
  <c r="T106"/>
  <c r="W510"/>
  <c r="Y19" i="66"/>
  <c r="D36" i="63"/>
  <c r="C37"/>
  <c r="T112" i="175"/>
  <c r="W24" i="65"/>
  <c r="N20" i="66"/>
  <c r="T109" i="175"/>
  <c r="W513"/>
  <c r="V20" i="70"/>
  <c r="W514" i="175"/>
  <c r="V22" i="66"/>
  <c r="T98" i="175"/>
  <c r="W572" l="1"/>
  <c r="AS357" i="118"/>
  <c r="AS310"/>
  <c r="AZ84" i="175"/>
  <c r="W576"/>
  <c r="W575"/>
  <c r="AZ357" i="118"/>
  <c r="AZ310"/>
  <c r="AX310"/>
  <c r="AX357"/>
  <c r="AP35" i="167"/>
  <c r="T126" i="175"/>
  <c r="AN36" i="167"/>
  <c r="AY357" i="118"/>
  <c r="AY310"/>
  <c r="AW310"/>
  <c r="AW357"/>
  <c r="Y39" i="168"/>
  <c r="AB308" i="118"/>
  <c r="Y36" i="171"/>
  <c r="BD34" i="155"/>
  <c r="Z34"/>
  <c r="BB35" i="154"/>
  <c r="BC35" i="155"/>
  <c r="BE33" i="154"/>
  <c r="Z33"/>
  <c r="BD34"/>
  <c r="Q29" i="49"/>
  <c r="BA36" i="155" s="1"/>
  <c r="N30" i="49"/>
  <c r="L24" i="72"/>
  <c r="P29" i="49"/>
  <c r="Z37" i="167" s="1"/>
  <c r="V29" i="49"/>
  <c r="AQ38" i="72"/>
  <c r="AU39"/>
  <c r="AW34"/>
  <c r="AV34"/>
  <c r="M42"/>
  <c r="F31" i="49"/>
  <c r="C38" i="63"/>
  <c r="E36"/>
  <c r="U98" i="175"/>
  <c r="H32" i="69"/>
  <c r="D37" i="63"/>
  <c r="H32" i="121"/>
  <c r="U107" i="175"/>
  <c r="V21" i="70"/>
  <c r="L19" i="66"/>
  <c r="N21"/>
  <c r="U109" i="175"/>
  <c r="X513"/>
  <c r="W25" i="65"/>
  <c r="AA84" i="175"/>
  <c r="AE20" i="63"/>
  <c r="X510" i="175"/>
  <c r="Y104"/>
  <c r="Y20" i="66"/>
  <c r="X515" i="175"/>
  <c r="U106"/>
  <c r="Y108"/>
  <c r="U112"/>
  <c r="V23" i="66"/>
  <c r="U110" i="175"/>
  <c r="X545"/>
  <c r="X514"/>
  <c r="U111"/>
  <c r="X572" l="1"/>
  <c r="AX109"/>
  <c r="AX106"/>
  <c r="AS311" i="118"/>
  <c r="AS358"/>
  <c r="AX107" i="175"/>
  <c r="X576"/>
  <c r="X575"/>
  <c r="AZ311" i="118"/>
  <c r="AZ358"/>
  <c r="AX110" i="175"/>
  <c r="AX311" i="118"/>
  <c r="AX358"/>
  <c r="AX112" i="175"/>
  <c r="AX98"/>
  <c r="AX111"/>
  <c r="AP36" i="167"/>
  <c r="U126" i="175"/>
  <c r="AN37" i="167"/>
  <c r="AY358" i="118"/>
  <c r="AY311"/>
  <c r="AW358"/>
  <c r="AW311"/>
  <c r="Y40" i="168"/>
  <c r="AB309" i="118"/>
  <c r="Y37" i="171"/>
  <c r="BD35" i="155"/>
  <c r="Z35"/>
  <c r="BB36" i="154"/>
  <c r="BC36" i="155"/>
  <c r="BE34" i="154"/>
  <c r="Z34"/>
  <c r="BD35"/>
  <c r="Q30" i="49"/>
  <c r="BA37" i="155" s="1"/>
  <c r="N31" i="49"/>
  <c r="L25" i="72"/>
  <c r="V30" i="49"/>
  <c r="P30"/>
  <c r="Z38" i="167" s="1"/>
  <c r="AQ39" i="72"/>
  <c r="AU40"/>
  <c r="AW35"/>
  <c r="AV35"/>
  <c r="F32" i="49"/>
  <c r="N22" i="66"/>
  <c r="V109" i="175"/>
  <c r="V106"/>
  <c r="V110"/>
  <c r="V112"/>
  <c r="V107"/>
  <c r="Y515"/>
  <c r="H33" i="69"/>
  <c r="V98" i="175"/>
  <c r="E37" i="63"/>
  <c r="Z108" i="175"/>
  <c r="V22" i="70"/>
  <c r="V24" i="66"/>
  <c r="Y514" i="175"/>
  <c r="V111"/>
  <c r="H33" i="121"/>
  <c r="Y545" i="175"/>
  <c r="W26" i="65"/>
  <c r="Y510" i="175"/>
  <c r="Y513"/>
  <c r="AE21" i="63"/>
  <c r="L20" i="66"/>
  <c r="AB84" i="175"/>
  <c r="D38" i="63"/>
  <c r="Y21" i="66"/>
  <c r="C39" i="63"/>
  <c r="Z104" i="175"/>
  <c r="AZ104" l="1"/>
  <c r="Y572"/>
  <c r="AS312" i="118"/>
  <c r="AS359"/>
  <c r="Y575" i="175"/>
  <c r="Y576"/>
  <c r="AZ312" i="118"/>
  <c r="AZ359"/>
  <c r="AX359"/>
  <c r="AX312"/>
  <c r="AX126" i="175"/>
  <c r="AZ108"/>
  <c r="AP37" i="167"/>
  <c r="V126" i="175"/>
  <c r="AN38" i="167"/>
  <c r="AY359" i="118"/>
  <c r="AY312"/>
  <c r="AW312"/>
  <c r="AW359"/>
  <c r="Y41" i="168"/>
  <c r="AB310" i="118"/>
  <c r="Y38" i="171"/>
  <c r="BD36" i="155"/>
  <c r="Z36"/>
  <c r="BB37" i="154"/>
  <c r="BC37" i="155"/>
  <c r="BE35" i="154"/>
  <c r="Z35"/>
  <c r="BD36"/>
  <c r="Q31" i="49"/>
  <c r="BA38" i="155" s="1"/>
  <c r="N32" i="49"/>
  <c r="L26" i="72"/>
  <c r="P31" i="49"/>
  <c r="Z39" i="167" s="1"/>
  <c r="V31" i="49"/>
  <c r="AQ40" i="72"/>
  <c r="AU41"/>
  <c r="AW36"/>
  <c r="AV36"/>
  <c r="M43"/>
  <c r="M44"/>
  <c r="F33" i="49"/>
  <c r="H34" i="69"/>
  <c r="W106" i="175"/>
  <c r="E38" i="63"/>
  <c r="AA108" i="175"/>
  <c r="D39" i="63"/>
  <c r="Z515" i="175"/>
  <c r="W107"/>
  <c r="AC84"/>
  <c r="Z510"/>
  <c r="H34" i="121"/>
  <c r="W111" i="175"/>
  <c r="W112"/>
  <c r="AA104"/>
  <c r="W27" i="65"/>
  <c r="C40" i="63"/>
  <c r="N23" i="66"/>
  <c r="Z513" i="175"/>
  <c r="L21" i="66"/>
  <c r="W109" i="175"/>
  <c r="Z514"/>
  <c r="V23" i="70"/>
  <c r="W110" i="175"/>
  <c r="AE22" i="63"/>
  <c r="W98" i="175"/>
  <c r="Y22" i="66"/>
  <c r="V25"/>
  <c r="Z545" i="175"/>
  <c r="Z572" l="1"/>
  <c r="AZ572" s="1"/>
  <c r="AZ510"/>
  <c r="AS313" i="118"/>
  <c r="AS360"/>
  <c r="Z575" i="175"/>
  <c r="AZ575" s="1"/>
  <c r="Z576"/>
  <c r="AZ313" i="118"/>
  <c r="AZ360"/>
  <c r="AZ513" i="175"/>
  <c r="AX313" i="118"/>
  <c r="AX360"/>
  <c r="AZ515" i="175"/>
  <c r="AZ514"/>
  <c r="AZ545"/>
  <c r="AP38" i="167"/>
  <c r="W126" i="175"/>
  <c r="AN39" i="167"/>
  <c r="AY360" i="118"/>
  <c r="AY313"/>
  <c r="AW313"/>
  <c r="AW360"/>
  <c r="Y42" i="168"/>
  <c r="AB311" i="118"/>
  <c r="Y39" i="171"/>
  <c r="BD37" i="155"/>
  <c r="Z37"/>
  <c r="BB38" i="154"/>
  <c r="BC38" i="155"/>
  <c r="BE36" i="154"/>
  <c r="Z36"/>
  <c r="BD37"/>
  <c r="Q32" i="49"/>
  <c r="BA39" i="155" s="1"/>
  <c r="N33" i="49"/>
  <c r="L27" i="72"/>
  <c r="V32" i="49"/>
  <c r="P32"/>
  <c r="Z40" i="167" s="1"/>
  <c r="AQ41" i="72"/>
  <c r="AU42"/>
  <c r="AW37"/>
  <c r="AV37"/>
  <c r="F34" i="49"/>
  <c r="AA545" i="175"/>
  <c r="X112"/>
  <c r="AB104"/>
  <c r="W28" i="65"/>
  <c r="AA513" i="175"/>
  <c r="AA515"/>
  <c r="D40" i="63"/>
  <c r="N24" i="66"/>
  <c r="AB108" i="175"/>
  <c r="AE23" i="63"/>
  <c r="X107" i="175"/>
  <c r="V24" i="70"/>
  <c r="X109" i="175"/>
  <c r="X110"/>
  <c r="X106"/>
  <c r="L22" i="66"/>
  <c r="AA510" i="175"/>
  <c r="X111"/>
  <c r="AD84"/>
  <c r="V26" i="66"/>
  <c r="H35" i="121"/>
  <c r="Y23" i="66"/>
  <c r="H35" i="69"/>
  <c r="X98" i="175"/>
  <c r="E39" i="63"/>
  <c r="C41"/>
  <c r="AA514" i="175"/>
  <c r="AA572" l="1"/>
  <c r="AS361" i="118"/>
  <c r="AS314"/>
  <c r="AA576" i="175"/>
  <c r="AA575"/>
  <c r="AZ576"/>
  <c r="AZ314" i="118"/>
  <c r="AZ361"/>
  <c r="AX361"/>
  <c r="AX314"/>
  <c r="AP39" i="167"/>
  <c r="X126" i="175"/>
  <c r="AN40" i="167"/>
  <c r="AY361" i="118"/>
  <c r="AY314"/>
  <c r="AW314"/>
  <c r="AW361"/>
  <c r="Y43" i="168"/>
  <c r="AB312" i="118"/>
  <c r="Y40" i="171"/>
  <c r="BD38" i="155"/>
  <c r="Z38"/>
  <c r="BB39" i="154"/>
  <c r="BC39" i="155"/>
  <c r="BE37" i="154"/>
  <c r="Z37"/>
  <c r="BD38"/>
  <c r="Q33" i="49"/>
  <c r="BA40" i="155" s="1"/>
  <c r="N34" i="49"/>
  <c r="L28" i="72"/>
  <c r="P33" i="49"/>
  <c r="Z41" i="167" s="1"/>
  <c r="V33" i="49"/>
  <c r="AQ42" i="72"/>
  <c r="AU43"/>
  <c r="AW39"/>
  <c r="AW38"/>
  <c r="AV38"/>
  <c r="AV39"/>
  <c r="M46"/>
  <c r="M45"/>
  <c r="F35" i="49"/>
  <c r="AE84" i="175"/>
  <c r="AB513"/>
  <c r="Y112"/>
  <c r="Y107"/>
  <c r="L23" i="66"/>
  <c r="Y110" i="175"/>
  <c r="Y106"/>
  <c r="AC104"/>
  <c r="AB515"/>
  <c r="V25" i="70"/>
  <c r="H36" i="121"/>
  <c r="W29" i="65"/>
  <c r="D41" i="63"/>
  <c r="Y109" i="175"/>
  <c r="AB514"/>
  <c r="AB545"/>
  <c r="H36" i="69"/>
  <c r="AC108" i="175"/>
  <c r="AB510"/>
  <c r="E40" i="63"/>
  <c r="Y24" i="66"/>
  <c r="V27"/>
  <c r="C42" i="63"/>
  <c r="AE24"/>
  <c r="Y111" i="175"/>
  <c r="Y98"/>
  <c r="N25" i="66"/>
  <c r="AB572" i="175" l="1"/>
  <c r="AS315" i="118"/>
  <c r="AS362"/>
  <c r="BB84" i="175"/>
  <c r="AB576"/>
  <c r="AB575"/>
  <c r="AZ362" i="118"/>
  <c r="AZ315"/>
  <c r="AX362"/>
  <c r="AX315"/>
  <c r="AP40" i="167"/>
  <c r="Y126" i="175"/>
  <c r="AN41" i="167"/>
  <c r="AY315" i="118"/>
  <c r="AY362"/>
  <c r="AW315"/>
  <c r="AW362"/>
  <c r="Y44" i="168"/>
  <c r="AB313" i="118"/>
  <c r="Y41" i="171"/>
  <c r="BD39" i="155"/>
  <c r="Z39"/>
  <c r="BB40" i="154"/>
  <c r="BC40" i="155"/>
  <c r="BE38" i="154"/>
  <c r="Z38"/>
  <c r="BD39"/>
  <c r="Q34" i="49"/>
  <c r="BA41" i="155" s="1"/>
  <c r="N35" i="49"/>
  <c r="L29" i="72"/>
  <c r="V34" i="49"/>
  <c r="P34"/>
  <c r="Z42" i="167" s="1"/>
  <c r="AQ43" i="72"/>
  <c r="AU44"/>
  <c r="F36" i="49"/>
  <c r="Z111" i="175"/>
  <c r="AD108"/>
  <c r="N26" i="66"/>
  <c r="Z98" i="175"/>
  <c r="AC515"/>
  <c r="Z109"/>
  <c r="L24" i="66"/>
  <c r="AE25" i="63"/>
  <c r="H37" i="69"/>
  <c r="C43" i="63"/>
  <c r="AC514" i="175"/>
  <c r="D42" i="63"/>
  <c r="Z112" i="175"/>
  <c r="AF84"/>
  <c r="AC510"/>
  <c r="V28" i="66"/>
  <c r="Z106" i="175"/>
  <c r="AC545"/>
  <c r="Z110"/>
  <c r="H37" i="121"/>
  <c r="Z107" i="175"/>
  <c r="AC513"/>
  <c r="W30" i="65"/>
  <c r="V26" i="70"/>
  <c r="E41" i="63"/>
  <c r="Y25" i="66"/>
  <c r="AD104" i="175"/>
  <c r="AC572" l="1"/>
  <c r="AZ109"/>
  <c r="AZ106"/>
  <c r="AS316" i="118"/>
  <c r="AS363"/>
  <c r="AZ107" i="175"/>
  <c r="AC576"/>
  <c r="AC575"/>
  <c r="AZ363" i="118"/>
  <c r="AZ316"/>
  <c r="AZ110" i="175"/>
  <c r="AX316" i="118"/>
  <c r="AX363"/>
  <c r="AZ112" i="175"/>
  <c r="AZ98"/>
  <c r="AZ111"/>
  <c r="AP41" i="167"/>
  <c r="Z126" i="175"/>
  <c r="AN42" i="167"/>
  <c r="AY316" i="118"/>
  <c r="AY363"/>
  <c r="AW316"/>
  <c r="AW363"/>
  <c r="Y45" i="168"/>
  <c r="AB314" i="118"/>
  <c r="Y42" i="171"/>
  <c r="BD40" i="155"/>
  <c r="Z40"/>
  <c r="BB41" i="154"/>
  <c r="BC41" i="155"/>
  <c r="BE39" i="154"/>
  <c r="Z39"/>
  <c r="BD40"/>
  <c r="Q35" i="49"/>
  <c r="BA42" i="155" s="1"/>
  <c r="N36" i="49"/>
  <c r="L30" i="72"/>
  <c r="P35" i="49"/>
  <c r="Z43" i="167" s="1"/>
  <c r="V35" i="49"/>
  <c r="AQ44" i="72"/>
  <c r="AU45"/>
  <c r="AW40"/>
  <c r="AV40"/>
  <c r="M47"/>
  <c r="M49"/>
  <c r="F37" i="49"/>
  <c r="C45" i="63"/>
  <c r="AA112" i="175"/>
  <c r="AA107"/>
  <c r="AD514"/>
  <c r="AA110"/>
  <c r="L25" i="66"/>
  <c r="AD513" i="175"/>
  <c r="V29" i="66"/>
  <c r="N27"/>
  <c r="AA106" i="175"/>
  <c r="AD545"/>
  <c r="Y26" i="66"/>
  <c r="V27" i="70"/>
  <c r="AD510" i="175"/>
  <c r="C44" i="63"/>
  <c r="E42"/>
  <c r="AA111" i="175"/>
  <c r="AD515"/>
  <c r="H38" i="121"/>
  <c r="H38" i="69"/>
  <c r="AE26" i="63"/>
  <c r="AA109" i="175"/>
  <c r="AE108"/>
  <c r="AE104"/>
  <c r="AG84"/>
  <c r="D43" i="63"/>
  <c r="W31" i="65"/>
  <c r="AA98" i="175"/>
  <c r="BB104" l="1"/>
  <c r="AD572"/>
  <c r="AS364" i="118"/>
  <c r="AS317"/>
  <c r="AD576" i="175"/>
  <c r="AD575"/>
  <c r="AZ364" i="118"/>
  <c r="AZ317"/>
  <c r="AX364"/>
  <c r="AX317"/>
  <c r="AZ126" i="175"/>
  <c r="BB108"/>
  <c r="AP42" i="167"/>
  <c r="AA126" i="175"/>
  <c r="AN43" i="167"/>
  <c r="AY317" i="118"/>
  <c r="AY364"/>
  <c r="AW364"/>
  <c r="AW317"/>
  <c r="Y46" i="168"/>
  <c r="AB315" i="118"/>
  <c r="Y43" i="171"/>
  <c r="BD41" i="155"/>
  <c r="Z41"/>
  <c r="BB42" i="154"/>
  <c r="BC42" i="155"/>
  <c r="BE40" i="154"/>
  <c r="Z40"/>
  <c r="BD41"/>
  <c r="Q36" i="49"/>
  <c r="BA43" i="155" s="1"/>
  <c r="N37" i="49"/>
  <c r="L31" i="72"/>
  <c r="V36" i="49"/>
  <c r="P36"/>
  <c r="Z44" i="167" s="1"/>
  <c r="AQ45" i="72"/>
  <c r="AU46"/>
  <c r="AW41"/>
  <c r="AV41"/>
  <c r="M48"/>
  <c r="F38" i="49"/>
  <c r="E43" i="63"/>
  <c r="AE513" i="175"/>
  <c r="AB111"/>
  <c r="AE514"/>
  <c r="AF104"/>
  <c r="D44" i="63"/>
  <c r="N28" i="66"/>
  <c r="AB109" i="175"/>
  <c r="AB112"/>
  <c r="AE515"/>
  <c r="AB106"/>
  <c r="AB98"/>
  <c r="AB110"/>
  <c r="V30" i="66"/>
  <c r="W32" i="65"/>
  <c r="AE27" i="63"/>
  <c r="Y27" i="66"/>
  <c r="AB107" i="175"/>
  <c r="L26" i="66"/>
  <c r="H39" i="69"/>
  <c r="H39" i="121"/>
  <c r="V28" i="70"/>
  <c r="AH84" i="175"/>
  <c r="AE510"/>
  <c r="D45" i="63"/>
  <c r="AE545" i="175"/>
  <c r="AF108"/>
  <c r="AE572" l="1"/>
  <c r="BB572" s="1"/>
  <c r="BB510"/>
  <c r="AS318" i="118"/>
  <c r="AS365"/>
  <c r="AE575" i="175"/>
  <c r="BB575" s="1"/>
  <c r="AE576"/>
  <c r="AZ365" i="118"/>
  <c r="AZ318"/>
  <c r="BB513" i="175"/>
  <c r="AX365" i="118"/>
  <c r="AX318"/>
  <c r="BB515" i="175"/>
  <c r="BB514"/>
  <c r="BB545"/>
  <c r="AP43" i="167"/>
  <c r="AB126" i="175"/>
  <c r="AN44" i="167"/>
  <c r="AY365" i="118"/>
  <c r="AY318"/>
  <c r="AW365"/>
  <c r="AW318"/>
  <c r="Y47" i="168"/>
  <c r="AB316" i="118"/>
  <c r="Y44" i="171"/>
  <c r="BD42" i="155"/>
  <c r="Z42"/>
  <c r="BB43" i="154"/>
  <c r="BC43" i="155"/>
  <c r="BE41" i="154"/>
  <c r="Z41"/>
  <c r="BD42"/>
  <c r="Q37" i="49"/>
  <c r="BA44" i="155" s="1"/>
  <c r="N38" i="49"/>
  <c r="L32" i="72"/>
  <c r="V37" i="49"/>
  <c r="P37"/>
  <c r="Z45" i="167" s="1"/>
  <c r="AQ46" i="72"/>
  <c r="AU47"/>
  <c r="AW43"/>
  <c r="AW42"/>
  <c r="AV42"/>
  <c r="AV43"/>
  <c r="F39" i="49"/>
  <c r="AG108" i="175"/>
  <c r="AI84"/>
  <c r="E44" i="63"/>
  <c r="L27" i="66"/>
  <c r="H40" i="121"/>
  <c r="AC111" i="175"/>
  <c r="AE28" i="63"/>
  <c r="Y28" i="66"/>
  <c r="AF514" i="175"/>
  <c r="AF545"/>
  <c r="AF510"/>
  <c r="W33" i="65"/>
  <c r="H40" i="69"/>
  <c r="AC110" i="175"/>
  <c r="AF515"/>
  <c r="AF513"/>
  <c r="AC112"/>
  <c r="AC106"/>
  <c r="AG104"/>
  <c r="AC109"/>
  <c r="V29" i="70"/>
  <c r="N29" i="66"/>
  <c r="V31"/>
  <c r="E45" i="63"/>
  <c r="AC98" i="175"/>
  <c r="AC107"/>
  <c r="AF572" l="1"/>
  <c r="AS319" i="118"/>
  <c r="AS366"/>
  <c r="AF575" i="175"/>
  <c r="AF576"/>
  <c r="BB576"/>
  <c r="AZ319" i="118"/>
  <c r="AZ366"/>
  <c r="AX366"/>
  <c r="AX319"/>
  <c r="AP44" i="167"/>
  <c r="AC126" i="175"/>
  <c r="AN45" i="167"/>
  <c r="AY319" i="118"/>
  <c r="AY366"/>
  <c r="AW319"/>
  <c r="AW366"/>
  <c r="Y48" i="168"/>
  <c r="AB317" i="118"/>
  <c r="Y45" i="171"/>
  <c r="BD43" i="155"/>
  <c r="Z43"/>
  <c r="BB44" i="154"/>
  <c r="BC44" i="155"/>
  <c r="BE42" i="154"/>
  <c r="Z42"/>
  <c r="BD43"/>
  <c r="Z43" s="1"/>
  <c r="Q38" i="49"/>
  <c r="BA45" i="155" s="1"/>
  <c r="N39" i="49"/>
  <c r="L33" i="72"/>
  <c r="P38" i="49"/>
  <c r="Z46" i="167" s="1"/>
  <c r="V38" i="49"/>
  <c r="AQ47" i="72"/>
  <c r="AU48"/>
  <c r="AU49"/>
  <c r="F40" i="49"/>
  <c r="AG514" i="175"/>
  <c r="AG510"/>
  <c r="AE111"/>
  <c r="Y29" i="66"/>
  <c r="L29"/>
  <c r="AE106" i="175"/>
  <c r="H41" i="121"/>
  <c r="AE110" i="175"/>
  <c r="AE107"/>
  <c r="AD98"/>
  <c r="AG545"/>
  <c r="AG513"/>
  <c r="AE109"/>
  <c r="AD110"/>
  <c r="AD112"/>
  <c r="N30" i="66"/>
  <c r="AD111" i="175"/>
  <c r="W34" i="65"/>
  <c r="AD107" i="175"/>
  <c r="V30" i="70"/>
  <c r="AD109" i="175"/>
  <c r="H41" i="69"/>
  <c r="AH108" i="175"/>
  <c r="AH104"/>
  <c r="AG515"/>
  <c r="L28" i="66"/>
  <c r="V32"/>
  <c r="AE112" i="175"/>
  <c r="AE98"/>
  <c r="AE29" i="63"/>
  <c r="AD106" i="175"/>
  <c r="AJ84"/>
  <c r="AG572" l="1"/>
  <c r="BB109"/>
  <c r="BB106"/>
  <c r="AS320" i="118"/>
  <c r="AS367"/>
  <c r="BB107" i="175"/>
  <c r="BD84"/>
  <c r="AG576"/>
  <c r="AG575"/>
  <c r="AZ320" i="118"/>
  <c r="AZ367"/>
  <c r="BB110" i="175"/>
  <c r="AX320" i="118"/>
  <c r="AX367"/>
  <c r="BB112" i="175"/>
  <c r="BB98"/>
  <c r="BB111"/>
  <c r="AP45" i="167"/>
  <c r="AD126" i="175"/>
  <c r="AE126"/>
  <c r="AN46" i="167"/>
  <c r="AY367" i="118"/>
  <c r="AY320"/>
  <c r="AW320"/>
  <c r="AW367"/>
  <c r="Y49" i="168"/>
  <c r="AB318" i="118"/>
  <c r="Y46" i="171"/>
  <c r="BD44" i="155"/>
  <c r="Z44"/>
  <c r="BB45" i="154"/>
  <c r="BE43"/>
  <c r="BC45" i="155"/>
  <c r="BD44" i="154"/>
  <c r="Q39" i="49"/>
  <c r="BA46" i="155" s="1"/>
  <c r="N40" i="49"/>
  <c r="L34" i="72"/>
  <c r="V39" i="49"/>
  <c r="P39"/>
  <c r="Z47" i="167" s="1"/>
  <c r="AQ49" i="72"/>
  <c r="AQ48"/>
  <c r="AW45"/>
  <c r="AW44"/>
  <c r="AV44"/>
  <c r="AV45"/>
  <c r="F41" i="49"/>
  <c r="AI104" i="175"/>
  <c r="H42" i="121"/>
  <c r="W35" i="65"/>
  <c r="AH514" i="175"/>
  <c r="AH545"/>
  <c r="V31" i="70"/>
  <c r="V33" i="66"/>
  <c r="H42" i="69"/>
  <c r="N31" i="66"/>
  <c r="AI108" i="175"/>
  <c r="AH510"/>
  <c r="AK84"/>
  <c r="AH515"/>
  <c r="AE30" i="63"/>
  <c r="AH513" i="175"/>
  <c r="Y30" i="66"/>
  <c r="AH572" i="175" l="1"/>
  <c r="AS321" i="118"/>
  <c r="AS368"/>
  <c r="AH576" i="175"/>
  <c r="AH575"/>
  <c r="AZ321" i="118"/>
  <c r="AZ368"/>
  <c r="AX321"/>
  <c r="AX368"/>
  <c r="BB126" i="175"/>
  <c r="AP46" i="167"/>
  <c r="AN47"/>
  <c r="AY368" i="118"/>
  <c r="AY321"/>
  <c r="AW321"/>
  <c r="AW368"/>
  <c r="Y50" i="168"/>
  <c r="AB319" i="118"/>
  <c r="Y47" i="171"/>
  <c r="BD45" i="155"/>
  <c r="Z45"/>
  <c r="BB46" i="154"/>
  <c r="BC46" i="155"/>
  <c r="BE44" i="154"/>
  <c r="Z44"/>
  <c r="BD45"/>
  <c r="Z45" s="1"/>
  <c r="Q40" i="49"/>
  <c r="BA47" i="155" s="1"/>
  <c r="N41" i="49"/>
  <c r="L35" i="72"/>
  <c r="P40" i="49"/>
  <c r="Z48" i="167" s="1"/>
  <c r="V40" i="49"/>
  <c r="F42"/>
  <c r="AJ108" i="175"/>
  <c r="AF109"/>
  <c r="AI513"/>
  <c r="N32" i="66"/>
  <c r="H43" i="69"/>
  <c r="AE31" i="63"/>
  <c r="AF107" i="175"/>
  <c r="AI514"/>
  <c r="V34" i="66"/>
  <c r="AF98" i="175"/>
  <c r="AG112"/>
  <c r="AF111"/>
  <c r="W36" i="65"/>
  <c r="AI515" i="175"/>
  <c r="AG110"/>
  <c r="AF112"/>
  <c r="L31" i="66"/>
  <c r="AJ104" i="175"/>
  <c r="Y31" i="66"/>
  <c r="AG98" i="175"/>
  <c r="AF110"/>
  <c r="AL84"/>
  <c r="AI510"/>
  <c r="AG109"/>
  <c r="AG111"/>
  <c r="AG106"/>
  <c r="AG107"/>
  <c r="H43" i="121"/>
  <c r="AF106" i="175"/>
  <c r="AI545"/>
  <c r="V32" i="70"/>
  <c r="L30" i="66"/>
  <c r="BD104" i="175" l="1"/>
  <c r="AI572"/>
  <c r="AS322" i="118"/>
  <c r="AS369"/>
  <c r="AI576" i="175"/>
  <c r="AI575"/>
  <c r="AZ322" i="118"/>
  <c r="AZ369"/>
  <c r="AX322"/>
  <c r="AX369"/>
  <c r="BD108" i="175"/>
  <c r="AP47" i="167"/>
  <c r="AG126" i="175"/>
  <c r="AF126"/>
  <c r="AN48" i="167"/>
  <c r="AY369" i="118"/>
  <c r="AY322"/>
  <c r="AW369"/>
  <c r="AW322"/>
  <c r="Y51" i="168"/>
  <c r="AB320" i="118"/>
  <c r="Y48" i="171"/>
  <c r="BD46" i="155"/>
  <c r="Z46"/>
  <c r="BB47" i="154"/>
  <c r="BC47" i="155"/>
  <c r="BE45" i="154"/>
  <c r="BD46"/>
  <c r="Z46" s="1"/>
  <c r="Q41" i="49"/>
  <c r="BA48" i="155" s="1"/>
  <c r="N42" i="49"/>
  <c r="L36" i="72"/>
  <c r="V41" i="49"/>
  <c r="P41"/>
  <c r="Z49" i="167" s="1"/>
  <c r="AW46" i="72"/>
  <c r="AW47"/>
  <c r="AV46"/>
  <c r="AV47"/>
  <c r="F43" i="49"/>
  <c r="V33" i="70"/>
  <c r="Y32" i="66"/>
  <c r="AH107" i="175"/>
  <c r="N33" i="66"/>
  <c r="AK104" i="175"/>
  <c r="AJ515"/>
  <c r="AE32" i="63"/>
  <c r="AH110" i="175"/>
  <c r="AH106"/>
  <c r="H44" i="121"/>
  <c r="AH98" i="175"/>
  <c r="AH109"/>
  <c r="W37" i="65"/>
  <c r="AJ514" i="175"/>
  <c r="AK108"/>
  <c r="H44" i="69"/>
  <c r="AH112" i="175"/>
  <c r="AJ545"/>
  <c r="AM84"/>
  <c r="L32" i="66"/>
  <c r="AJ513" i="175"/>
  <c r="AH111"/>
  <c r="V35" i="66"/>
  <c r="AJ510" i="175"/>
  <c r="AJ572" l="1"/>
  <c r="BD572" s="1"/>
  <c r="BD510"/>
  <c r="AS323" i="118"/>
  <c r="AS370"/>
  <c r="AJ575" i="175"/>
  <c r="BD575" s="1"/>
  <c r="AJ576"/>
  <c r="AZ323" i="118"/>
  <c r="AZ370"/>
  <c r="BD513" i="175"/>
  <c r="AX323" i="118"/>
  <c r="AX370"/>
  <c r="BD515" i="175"/>
  <c r="BD514"/>
  <c r="BD545"/>
  <c r="AP48" i="167"/>
  <c r="AH126" i="175"/>
  <c r="AN49" i="167"/>
  <c r="AY323" i="118"/>
  <c r="AY370"/>
  <c r="AW370"/>
  <c r="AW323"/>
  <c r="Y52" i="168"/>
  <c r="AB321" i="118"/>
  <c r="Y49" i="171"/>
  <c r="BD47" i="155"/>
  <c r="Z47"/>
  <c r="BB48" i="154"/>
  <c r="BC48" i="155"/>
  <c r="BE46" i="154"/>
  <c r="BD47"/>
  <c r="Z47" s="1"/>
  <c r="Q42" i="49"/>
  <c r="BA49" i="155" s="1"/>
  <c r="N43" i="49"/>
  <c r="L37" i="72"/>
  <c r="P42" i="49"/>
  <c r="Z50" i="167" s="1"/>
  <c r="V42" i="49"/>
  <c r="F44"/>
  <c r="AI110" i="175"/>
  <c r="Y33" i="66"/>
  <c r="V34" i="70"/>
  <c r="AL104" i="175"/>
  <c r="AK545"/>
  <c r="AI98"/>
  <c r="AK514"/>
  <c r="H45" i="69"/>
  <c r="AI106" i="175"/>
  <c r="AL108"/>
  <c r="AK513"/>
  <c r="AK510"/>
  <c r="H45" i="121"/>
  <c r="AI109" i="175"/>
  <c r="AE33" i="63"/>
  <c r="N34" i="66"/>
  <c r="V36"/>
  <c r="AI112" i="175"/>
  <c r="AI111"/>
  <c r="W38" i="65"/>
  <c r="AN84" i="175"/>
  <c r="AI107"/>
  <c r="AK515"/>
  <c r="L33" i="66"/>
  <c r="AK572" i="175" l="1"/>
  <c r="AS371" i="118"/>
  <c r="AS324"/>
  <c r="AK576" i="175"/>
  <c r="AK575"/>
  <c r="BD576"/>
  <c r="AZ324" i="118"/>
  <c r="AZ371"/>
  <c r="AX324"/>
  <c r="AX371"/>
  <c r="AP49" i="167"/>
  <c r="AI126" i="175"/>
  <c r="AN50" i="167"/>
  <c r="AY371" i="118"/>
  <c r="AY324"/>
  <c r="AW371"/>
  <c r="AW324"/>
  <c r="Y53" i="168"/>
  <c r="AB322" i="118"/>
  <c r="Y50" i="171"/>
  <c r="BD48" i="155"/>
  <c r="Z48"/>
  <c r="BB49" i="154"/>
  <c r="BC49" i="155"/>
  <c r="BE47" i="154"/>
  <c r="BD48"/>
  <c r="Q43" i="49"/>
  <c r="BA50" i="155" s="1"/>
  <c r="N44" i="49"/>
  <c r="L38" i="72"/>
  <c r="V43" i="49"/>
  <c r="P43"/>
  <c r="Z51" i="167" s="1"/>
  <c r="AW48" i="72"/>
  <c r="AV48"/>
  <c r="F45" i="49"/>
  <c r="AO84" i="175"/>
  <c r="AE34" i="63"/>
  <c r="V37" i="66"/>
  <c r="AL545" i="175"/>
  <c r="AL513"/>
  <c r="AL515"/>
  <c r="V35" i="70"/>
  <c r="Y34" i="66"/>
  <c r="W39" i="65"/>
  <c r="J11" i="60"/>
  <c r="AL510" i="175"/>
  <c r="AM104"/>
  <c r="N35" i="66"/>
  <c r="AM108" i="175"/>
  <c r="AL514"/>
  <c r="AL572" l="1"/>
  <c r="AS325" i="118"/>
  <c r="AS372"/>
  <c r="BF84" i="175"/>
  <c r="AL575"/>
  <c r="AL576"/>
  <c r="AZ325" i="118"/>
  <c r="AZ372"/>
  <c r="AX372"/>
  <c r="AX325"/>
  <c r="AP50" i="167"/>
  <c r="AN51"/>
  <c r="AY372" i="118"/>
  <c r="AY325"/>
  <c r="AW325"/>
  <c r="AW372"/>
  <c r="Y54" i="168"/>
  <c r="AB323" i="118"/>
  <c r="Y51" i="171"/>
  <c r="BD49" i="155"/>
  <c r="Z49"/>
  <c r="BB50" i="154"/>
  <c r="BC50" i="155"/>
  <c r="BE48" i="154"/>
  <c r="Z48"/>
  <c r="BD49"/>
  <c r="Q44" i="49"/>
  <c r="BA51" i="155" s="1"/>
  <c r="N45" i="49"/>
  <c r="L39" i="72"/>
  <c r="P44" i="49"/>
  <c r="Z52" i="167" s="1"/>
  <c r="V44" i="49"/>
  <c r="AW49" i="72"/>
  <c r="AV49"/>
  <c r="F46" i="49"/>
  <c r="AJ109" i="175"/>
  <c r="AN104"/>
  <c r="AJ107"/>
  <c r="N36" i="66"/>
  <c r="Y35"/>
  <c r="AM545" i="175"/>
  <c r="AE35" i="63"/>
  <c r="AJ111" i="175"/>
  <c r="L34" i="66"/>
  <c r="AM514" i="175"/>
  <c r="W40" i="65"/>
  <c r="AJ98" i="175"/>
  <c r="V38" i="66"/>
  <c r="AM515" i="175"/>
  <c r="AJ106"/>
  <c r="AN108"/>
  <c r="AJ112"/>
  <c r="AM513"/>
  <c r="AP84"/>
  <c r="AM510"/>
  <c r="V36" i="70"/>
  <c r="AJ110" i="175"/>
  <c r="AM572" l="1"/>
  <c r="BD109"/>
  <c r="BD106"/>
  <c r="AS326" i="118"/>
  <c r="AS373"/>
  <c r="BD107" i="175"/>
  <c r="AM575"/>
  <c r="AM576"/>
  <c r="AZ326" i="118"/>
  <c r="AZ373"/>
  <c r="BD110" i="175"/>
  <c r="AX326" i="118"/>
  <c r="AX373"/>
  <c r="BD112" i="175"/>
  <c r="BD98"/>
  <c r="BD111"/>
  <c r="AP51" i="167"/>
  <c r="AJ126" i="175"/>
  <c r="AN52" i="167"/>
  <c r="AY326" i="118"/>
  <c r="AY373"/>
  <c r="AW326"/>
  <c r="AW373"/>
  <c r="Y55" i="168"/>
  <c r="AB324" i="118"/>
  <c r="Y52" i="171"/>
  <c r="BD50" i="155"/>
  <c r="Z50"/>
  <c r="BB51" i="154"/>
  <c r="BC51" i="155"/>
  <c r="BE49" i="154"/>
  <c r="Z49"/>
  <c r="BD50"/>
  <c r="Q45" i="49"/>
  <c r="BA52" i="155" s="1"/>
  <c r="N46" i="49"/>
  <c r="L40" i="72"/>
  <c r="V45" i="49"/>
  <c r="P45"/>
  <c r="Z53" i="167" s="1"/>
  <c r="F47" i="49"/>
  <c r="AE36" i="63"/>
  <c r="AK109" i="175"/>
  <c r="V39" i="66"/>
  <c r="L35"/>
  <c r="Y36"/>
  <c r="AN514" i="175"/>
  <c r="AK110"/>
  <c r="AO108"/>
  <c r="AK106"/>
  <c r="V37" i="70"/>
  <c r="AK98" i="175"/>
  <c r="AN515"/>
  <c r="AK111"/>
  <c r="AK107"/>
  <c r="AO104"/>
  <c r="AK112"/>
  <c r="AN545"/>
  <c r="N37" i="66"/>
  <c r="W41" i="65"/>
  <c r="AN513" i="175"/>
  <c r="AQ84"/>
  <c r="AN510"/>
  <c r="BF104" l="1"/>
  <c r="AN572"/>
  <c r="AS327" i="118"/>
  <c r="AS374"/>
  <c r="AN575" i="175"/>
  <c r="AN576"/>
  <c r="AZ327" i="118"/>
  <c r="AZ374"/>
  <c r="AX374"/>
  <c r="AX327"/>
  <c r="BD126" i="175"/>
  <c r="BF108"/>
  <c r="AP52" i="167"/>
  <c r="AK126" i="175"/>
  <c r="AN53" i="167"/>
  <c r="AY327" i="118"/>
  <c r="AY374"/>
  <c r="AW374"/>
  <c r="AW327"/>
  <c r="Y56" i="168"/>
  <c r="AB325" i="118"/>
  <c r="Y53" i="171"/>
  <c r="BD51" i="155"/>
  <c r="Z51"/>
  <c r="BB52" i="154"/>
  <c r="BC52" i="155"/>
  <c r="BE50" i="154"/>
  <c r="Z50"/>
  <c r="BD51"/>
  <c r="Z51" s="1"/>
  <c r="Q46" i="49"/>
  <c r="BA53" i="155" s="1"/>
  <c r="N47" i="49"/>
  <c r="L41" i="72"/>
  <c r="P46" i="49"/>
  <c r="Z54" i="167" s="1"/>
  <c r="V46" i="49"/>
  <c r="F48"/>
  <c r="AL110" i="175"/>
  <c r="V40" i="66"/>
  <c r="AE37" i="63"/>
  <c r="AO510" i="175"/>
  <c r="AL109"/>
  <c r="AM110"/>
  <c r="AO545"/>
  <c r="AM98"/>
  <c r="W42" i="65"/>
  <c r="AL106" i="175"/>
  <c r="AR84"/>
  <c r="L37" i="66"/>
  <c r="AO513" i="175"/>
  <c r="AM109"/>
  <c r="V38" i="70"/>
  <c r="AM106" i="175"/>
  <c r="J10" i="60"/>
  <c r="N38" i="66"/>
  <c r="AP108" i="175"/>
  <c r="AO515"/>
  <c r="AP104"/>
  <c r="Y37" i="66"/>
  <c r="AL107" i="175"/>
  <c r="AL98"/>
  <c r="AM112"/>
  <c r="L36" i="66"/>
  <c r="AL111" i="175"/>
  <c r="AM107"/>
  <c r="AM111"/>
  <c r="AO514"/>
  <c r="AL112"/>
  <c r="AO572" l="1"/>
  <c r="BF572" s="1"/>
  <c r="BF510"/>
  <c r="AS375" i="118"/>
  <c r="AS328"/>
  <c r="AO576" i="175"/>
  <c r="AO575"/>
  <c r="BF575" s="1"/>
  <c r="AZ328" i="118"/>
  <c r="AZ375"/>
  <c r="BF513" i="175"/>
  <c r="AX375" i="118"/>
  <c r="AX328"/>
  <c r="BF515" i="175"/>
  <c r="BF514"/>
  <c r="BF545"/>
  <c r="AP53" i="167"/>
  <c r="AM126" i="175"/>
  <c r="AL126"/>
  <c r="AN54" i="167"/>
  <c r="AY328" i="118"/>
  <c r="AY375"/>
  <c r="AW375"/>
  <c r="AW328"/>
  <c r="Y57" i="168"/>
  <c r="AB326" i="118"/>
  <c r="Y54" i="171"/>
  <c r="BD52" i="155"/>
  <c r="Z52"/>
  <c r="BB53" i="154"/>
  <c r="BE51"/>
  <c r="BC53" i="155"/>
  <c r="BD52" i="154"/>
  <c r="Q47" i="49"/>
  <c r="BA54" i="155" s="1"/>
  <c r="N48" i="49"/>
  <c r="L42" i="72"/>
  <c r="V47" i="49"/>
  <c r="P47"/>
  <c r="Z55" i="167" s="1"/>
  <c r="F49" i="49"/>
  <c r="AQ108" i="175"/>
  <c r="V39" i="70"/>
  <c r="AS84" i="175"/>
  <c r="AP513"/>
  <c r="AE38" i="63"/>
  <c r="AP545" i="175"/>
  <c r="W43" i="65"/>
  <c r="AP514" i="175"/>
  <c r="AQ104"/>
  <c r="Y38" i="66"/>
  <c r="N39"/>
  <c r="AP515" i="175"/>
  <c r="AP510"/>
  <c r="V41" i="66"/>
  <c r="AP572" i="175" l="1"/>
  <c r="AS329" i="118"/>
  <c r="AS376"/>
  <c r="AP575" i="175"/>
  <c r="AP576"/>
  <c r="BF576"/>
  <c r="AZ376" i="118"/>
  <c r="AZ329"/>
  <c r="AX329"/>
  <c r="AX376"/>
  <c r="AP54" i="167"/>
  <c r="AN55"/>
  <c r="AY329" i="118"/>
  <c r="AY376"/>
  <c r="AW329"/>
  <c r="AW376"/>
  <c r="Y58" i="168"/>
  <c r="AB327" i="118"/>
  <c r="Y55" i="171"/>
  <c r="BD53" i="155"/>
  <c r="Z53"/>
  <c r="BB54" i="154"/>
  <c r="BC54" i="155"/>
  <c r="BE52" i="154"/>
  <c r="Z52"/>
  <c r="BD53"/>
  <c r="Z53" s="1"/>
  <c r="Q48" i="49"/>
  <c r="BA55" i="155" s="1"/>
  <c r="N49" i="49"/>
  <c r="L43" i="72"/>
  <c r="P48" i="49"/>
  <c r="Z56" i="167" s="1"/>
  <c r="V48" i="49"/>
  <c r="F50"/>
  <c r="AN109" i="175"/>
  <c r="V42" i="66"/>
  <c r="AQ513" i="175"/>
  <c r="W44" i="65"/>
  <c r="AR108" i="175"/>
  <c r="L39" i="66"/>
  <c r="V40" i="70"/>
  <c r="N40" i="66"/>
  <c r="AO111" i="175"/>
  <c r="AN112"/>
  <c r="AT84"/>
  <c r="AE39" i="63"/>
  <c r="AQ545" i="175"/>
  <c r="AO98"/>
  <c r="AO106"/>
  <c r="AO109"/>
  <c r="AO107"/>
  <c r="AN111"/>
  <c r="AQ510"/>
  <c r="AN106"/>
  <c r="AN107"/>
  <c r="AO112"/>
  <c r="AO110"/>
  <c r="L38" i="66"/>
  <c r="AN98" i="175"/>
  <c r="AN110"/>
  <c r="Y39" i="66"/>
  <c r="AQ515" i="175"/>
  <c r="AQ514"/>
  <c r="AR104"/>
  <c r="AQ572" l="1"/>
  <c r="BF109"/>
  <c r="BF106"/>
  <c r="AS330" i="118"/>
  <c r="AS377"/>
  <c r="BF107" i="175"/>
  <c r="BH84"/>
  <c r="AQ576"/>
  <c r="AQ575"/>
  <c r="AZ377" i="118"/>
  <c r="AZ330"/>
  <c r="BF110" i="175"/>
  <c r="AX330" i="118"/>
  <c r="AX377"/>
  <c r="BF112" i="175"/>
  <c r="BF98"/>
  <c r="BF111"/>
  <c r="AP55" i="167"/>
  <c r="AO126" i="175"/>
  <c r="AN126"/>
  <c r="AN56" i="167"/>
  <c r="AY330" i="118"/>
  <c r="AY377"/>
  <c r="AW377"/>
  <c r="AW330"/>
  <c r="Y59" i="168"/>
  <c r="AB328" i="118"/>
  <c r="Y56" i="171"/>
  <c r="BD54" i="155"/>
  <c r="Z54"/>
  <c r="BB55" i="154"/>
  <c r="BC55" i="155"/>
  <c r="BE53" i="154"/>
  <c r="BD54"/>
  <c r="Q49" i="49"/>
  <c r="BA56" i="155" s="1"/>
  <c r="N50" i="49"/>
  <c r="L44" i="72"/>
  <c r="V49" i="49"/>
  <c r="P49"/>
  <c r="Z57" i="167" s="1"/>
  <c r="F51" i="49"/>
  <c r="AR515" i="175"/>
  <c r="AS104"/>
  <c r="N41" i="66"/>
  <c r="AR513" i="175"/>
  <c r="V43" i="66"/>
  <c r="AR510" i="175"/>
  <c r="Y40" i="66"/>
  <c r="W45" i="65"/>
  <c r="AR514" i="175"/>
  <c r="AR545"/>
  <c r="V41" i="70"/>
  <c r="AE40" i="63"/>
  <c r="AS108" i="175"/>
  <c r="AR572" l="1"/>
  <c r="AS331" i="118"/>
  <c r="AS378"/>
  <c r="AR575" i="175"/>
  <c r="AR576"/>
  <c r="AZ331" i="118"/>
  <c r="AZ378"/>
  <c r="AX331"/>
  <c r="AX378"/>
  <c r="BF126" i="175"/>
  <c r="AP56" i="167"/>
  <c r="AN57"/>
  <c r="AY378" i="118"/>
  <c r="AY331"/>
  <c r="AW378"/>
  <c r="AW331"/>
  <c r="AB329"/>
  <c r="Y57" i="171"/>
  <c r="BD55" i="155"/>
  <c r="Z55"/>
  <c r="BB56" i="154"/>
  <c r="BC56" i="155"/>
  <c r="BE54" i="154"/>
  <c r="Z54"/>
  <c r="BD55"/>
  <c r="Z55" s="1"/>
  <c r="Q50" i="49"/>
  <c r="BA57" i="155" s="1"/>
  <c r="N51" i="49"/>
  <c r="L45" i="72"/>
  <c r="P50" i="49"/>
  <c r="Z58" i="167" s="1"/>
  <c r="V50" i="49"/>
  <c r="F52"/>
  <c r="AS514" i="175"/>
  <c r="AE41" i="63"/>
  <c r="AQ109" i="175"/>
  <c r="AS545"/>
  <c r="Y41" i="66"/>
  <c r="AS513" i="175"/>
  <c r="AQ111"/>
  <c r="AS510"/>
  <c r="AP106"/>
  <c r="AQ106"/>
  <c r="AT108"/>
  <c r="AS515"/>
  <c r="AP109"/>
  <c r="AP110"/>
  <c r="AQ107"/>
  <c r="AQ112"/>
  <c r="AT104"/>
  <c r="V44" i="66"/>
  <c r="L41"/>
  <c r="V42" i="70"/>
  <c r="AP112" i="175"/>
  <c r="L40" i="66"/>
  <c r="AQ110" i="175"/>
  <c r="AP98"/>
  <c r="AP107"/>
  <c r="N42" i="66"/>
  <c r="AQ98" i="175"/>
  <c r="AP111"/>
  <c r="BH104" l="1"/>
  <c r="AS572"/>
  <c r="AS576"/>
  <c r="AS575"/>
  <c r="BH108"/>
  <c r="AP57" i="167"/>
  <c r="AQ126" i="175"/>
  <c r="AP126"/>
  <c r="AN58" i="167"/>
  <c r="AB330" i="118"/>
  <c r="Y58" i="171"/>
  <c r="BD56" i="155"/>
  <c r="Z56"/>
  <c r="BB57" i="154"/>
  <c r="BC57" i="155"/>
  <c r="BE55" i="154"/>
  <c r="BD56"/>
  <c r="Q51" i="49"/>
  <c r="BA58" i="155" s="1"/>
  <c r="N52" i="49"/>
  <c r="L46" i="72"/>
  <c r="V51" i="49"/>
  <c r="P51"/>
  <c r="Z59" i="167" s="1"/>
  <c r="AN59" s="1"/>
  <c r="P40" i="51"/>
  <c r="AE42" i="63"/>
  <c r="AT510" i="175"/>
  <c r="V43" i="70"/>
  <c r="AT545" i="175"/>
  <c r="AT513"/>
  <c r="V45" i="66"/>
  <c r="N43"/>
  <c r="AT515" i="175"/>
  <c r="Y42" i="66"/>
  <c r="AT514" i="175"/>
  <c r="O6" i="167" l="1"/>
  <c r="AT572" i="175"/>
  <c r="F510"/>
  <c r="BH510"/>
  <c r="AT575"/>
  <c r="AT576"/>
  <c r="F514"/>
  <c r="F515"/>
  <c r="F545"/>
  <c r="F513"/>
  <c r="BH513"/>
  <c r="BH515"/>
  <c r="K7" i="167"/>
  <c r="BH514" i="175"/>
  <c r="BH545"/>
  <c r="AP58" i="167"/>
  <c r="AP59"/>
  <c r="K6"/>
  <c r="AB331" i="118"/>
  <c r="Y59" i="171"/>
  <c r="BD57" i="155"/>
  <c r="Z57"/>
  <c r="BB58" i="154"/>
  <c r="BC58" i="155"/>
  <c r="BE56" i="154"/>
  <c r="Z56"/>
  <c r="BD57"/>
  <c r="Q52" i="49"/>
  <c r="BA59" i="155" s="1"/>
  <c r="L47" i="72"/>
  <c r="P52" i="49"/>
  <c r="V52"/>
  <c r="R25" i="60"/>
  <c r="AR107" i="175"/>
  <c r="AR98"/>
  <c r="AR106"/>
  <c r="AR110"/>
  <c r="AR109"/>
  <c r="V44" i="70"/>
  <c r="AR111" i="175"/>
  <c r="Y43" i="66"/>
  <c r="N44"/>
  <c r="AE43" i="63"/>
  <c r="V45" i="70"/>
  <c r="AE45" i="63"/>
  <c r="L42" i="66"/>
  <c r="AR112" i="175"/>
  <c r="F572" l="1"/>
  <c r="BH572"/>
  <c r="F575"/>
  <c r="BH575"/>
  <c r="F576"/>
  <c r="BH576"/>
  <c r="AR126"/>
  <c r="BD58" i="155"/>
  <c r="Z58"/>
  <c r="BB59" i="154"/>
  <c r="BD59" s="1"/>
  <c r="BE57"/>
  <c r="Z57"/>
  <c r="BD58"/>
  <c r="L48" i="72"/>
  <c r="P42" i="51"/>
  <c r="B8" i="49"/>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N45" i="66"/>
  <c r="AS110" i="175"/>
  <c r="AS98"/>
  <c r="AS109"/>
  <c r="AE44" i="63"/>
  <c r="L43" i="66"/>
  <c r="Y44"/>
  <c r="AS107" i="175"/>
  <c r="AS112"/>
  <c r="AS111"/>
  <c r="AS106"/>
  <c r="AS126" l="1"/>
  <c r="BC59" i="155"/>
  <c r="BE58" i="154"/>
  <c r="Z58"/>
  <c r="BE59"/>
  <c r="Z59"/>
  <c r="L49" i="72"/>
  <c r="AT109" i="175"/>
  <c r="L44" i="66"/>
  <c r="AT107" i="175"/>
  <c r="AT111"/>
  <c r="AC5" i="66"/>
  <c r="AT112" i="175"/>
  <c r="AT98"/>
  <c r="AT106"/>
  <c r="L45" i="66"/>
  <c r="AT110" i="175"/>
  <c r="BH109" l="1"/>
  <c r="BH106"/>
  <c r="BH107"/>
  <c r="BH110"/>
  <c r="BH112"/>
  <c r="BH98"/>
  <c r="BH111"/>
  <c r="AT126"/>
  <c r="BD59" i="155"/>
  <c r="Z59"/>
  <c r="K9" i="72"/>
  <c r="AC6" i="120"/>
  <c r="Y45" i="66"/>
  <c r="AC6" i="63"/>
  <c r="AD6" i="66"/>
  <c r="AC6"/>
  <c r="BH126" i="175" l="1"/>
  <c r="AU198" i="118"/>
  <c r="J10" i="72"/>
  <c r="K10"/>
  <c r="AD6" i="120"/>
  <c r="AD6" i="63"/>
  <c r="AO198" i="118" l="1"/>
  <c r="AH10" i="72"/>
  <c r="AC7" i="120"/>
  <c r="AC7" i="66"/>
  <c r="AC7" i="63"/>
  <c r="AU199" i="118" l="1"/>
  <c r="AD7" i="66"/>
  <c r="AD7" i="63"/>
  <c r="AD7" i="120"/>
  <c r="AO199" i="118" l="1"/>
  <c r="K11" i="72"/>
  <c r="J11"/>
  <c r="AH11"/>
  <c r="AC8" i="66"/>
  <c r="AC8" i="120"/>
  <c r="AD8" i="66"/>
  <c r="AC8" i="63"/>
  <c r="AU200" i="118" l="1"/>
  <c r="J12" i="72"/>
  <c r="K12"/>
  <c r="AD8" i="120"/>
  <c r="AD8" i="63"/>
  <c r="AO200" i="118" l="1"/>
  <c r="AH12" i="72"/>
  <c r="AC9" i="63"/>
  <c r="AC9" i="66"/>
  <c r="AC9" i="120"/>
  <c r="AU201" i="118" l="1"/>
  <c r="AD9" i="66"/>
  <c r="AD9" i="120"/>
  <c r="AD9" i="63"/>
  <c r="AO201" i="118" l="1"/>
  <c r="K13" i="72"/>
  <c r="J13"/>
  <c r="AH13"/>
  <c r="AC10" i="66"/>
  <c r="AD10"/>
  <c r="AC10" i="120"/>
  <c r="AC10" i="63"/>
  <c r="AU202" i="118" l="1"/>
  <c r="J14" i="72"/>
  <c r="K14"/>
  <c r="AD10" i="120"/>
  <c r="AD10" i="63"/>
  <c r="AO202" i="118" l="1"/>
  <c r="AH14" i="72"/>
  <c r="AC11" i="66"/>
  <c r="AD11"/>
  <c r="AC11" i="63"/>
  <c r="AC11" i="120"/>
  <c r="AO109" i="118" l="1"/>
  <c r="AU203"/>
  <c r="J15" i="72"/>
  <c r="K15"/>
  <c r="AD11" i="120"/>
  <c r="AD11" i="63"/>
  <c r="AO203" i="118" l="1"/>
  <c r="AH15" i="72"/>
  <c r="AC12" i="120"/>
  <c r="AC12" i="63"/>
  <c r="AD12" i="66"/>
  <c r="AC12"/>
  <c r="AU204" i="118" l="1"/>
  <c r="J16" i="72"/>
  <c r="K16"/>
  <c r="AD12" i="120"/>
  <c r="AC13"/>
  <c r="AD12" i="63"/>
  <c r="AC13"/>
  <c r="AC13" i="66"/>
  <c r="AO204" i="118" l="1"/>
  <c r="AU205"/>
  <c r="AH16" i="72"/>
  <c r="AD13" i="63"/>
  <c r="AD13" i="120"/>
  <c r="AO205" i="118" l="1"/>
  <c r="AH17" i="72"/>
  <c r="AD13" i="66"/>
  <c r="K17" i="72" l="1"/>
  <c r="J17"/>
  <c r="AC14" i="63"/>
  <c r="AD14" i="66"/>
  <c r="AC14" i="120"/>
  <c r="AC14" i="66"/>
  <c r="AU206" i="118" l="1"/>
  <c r="J18" i="72"/>
  <c r="K18"/>
  <c r="AD14" i="63"/>
  <c r="AD14" i="120"/>
  <c r="AO206" i="118" l="1"/>
  <c r="AH18" i="72"/>
  <c r="AC15" i="120"/>
  <c r="AC15" i="66"/>
  <c r="AD15"/>
  <c r="AC15" i="63"/>
  <c r="AU207" i="118" l="1"/>
  <c r="J19" i="72"/>
  <c r="K19"/>
  <c r="AD15" i="63"/>
  <c r="AD15" i="120"/>
  <c r="AO207" i="118" l="1"/>
  <c r="AH19" i="72"/>
  <c r="AD16" i="66"/>
  <c r="AC16" i="63"/>
  <c r="AC16" i="66"/>
  <c r="AC16" i="120"/>
  <c r="AU208" i="118" l="1"/>
  <c r="AO114"/>
  <c r="J20" i="72"/>
  <c r="K20"/>
  <c r="AD16" i="63"/>
  <c r="AD16" i="120"/>
  <c r="AO208" i="118" l="1"/>
  <c r="AH20" i="72"/>
  <c r="AC17" i="120"/>
  <c r="AC17" i="66"/>
  <c r="AC17" i="63"/>
  <c r="AO115" i="118" l="1"/>
  <c r="AU209"/>
  <c r="AD17" i="63"/>
  <c r="AD17" i="120"/>
  <c r="AD17" i="66"/>
  <c r="AO209" i="118" l="1"/>
  <c r="K21" i="72"/>
  <c r="J21"/>
  <c r="AH21"/>
  <c r="AC18" i="66"/>
  <c r="AC18" i="63"/>
  <c r="AC18" i="120"/>
  <c r="AU210" i="118" l="1"/>
  <c r="AD18" i="63"/>
  <c r="AD18" i="120"/>
  <c r="AO210" i="118" l="1"/>
  <c r="AH22" i="72"/>
  <c r="AD18" i="66"/>
  <c r="K22" i="72" l="1"/>
  <c r="J22"/>
  <c r="AC19" i="66"/>
  <c r="AC19" i="120"/>
  <c r="AD19" i="66"/>
  <c r="AC19" i="63"/>
  <c r="AU211" i="118" l="1"/>
  <c r="J23" i="72"/>
  <c r="K23"/>
  <c r="AD19" i="120"/>
  <c r="AD19" i="63"/>
  <c r="AO211" i="118" l="1"/>
  <c r="AH23" i="72"/>
  <c r="AC20" i="66"/>
  <c r="AD20"/>
  <c r="K24" i="72" l="1"/>
  <c r="J24"/>
  <c r="AD21" i="66"/>
  <c r="AC21"/>
  <c r="J25" i="72" l="1"/>
  <c r="K25"/>
  <c r="AD22" i="66"/>
  <c r="AC22"/>
  <c r="K26" i="72" l="1"/>
  <c r="J26"/>
  <c r="AC23" i="66"/>
  <c r="AD23"/>
  <c r="K27" i="72" l="1"/>
  <c r="J27"/>
  <c r="AC24" i="66"/>
  <c r="AD24"/>
  <c r="J28" i="72" l="1"/>
  <c r="K28"/>
  <c r="AD25" i="66"/>
  <c r="AC25"/>
  <c r="K29" i="72" l="1"/>
  <c r="J29"/>
  <c r="AD27" i="66"/>
  <c r="AC27"/>
  <c r="AC26"/>
  <c r="J31" i="72" l="1"/>
  <c r="K31"/>
  <c r="AD26" i="66"/>
  <c r="K30" i="72" l="1"/>
  <c r="J30"/>
  <c r="AC28" i="66"/>
  <c r="AD29"/>
  <c r="AD28"/>
  <c r="AC29"/>
  <c r="J33" i="72" l="1"/>
  <c r="J32"/>
  <c r="K33"/>
  <c r="K32"/>
  <c r="AC32" i="66"/>
  <c r="AD32"/>
  <c r="AC30"/>
  <c r="J36" i="72" l="1"/>
  <c r="K36"/>
  <c r="AC31" i="66"/>
  <c r="AD31"/>
  <c r="AC33"/>
  <c r="AD33"/>
  <c r="J37" i="72" l="1"/>
  <c r="J35"/>
  <c r="K37"/>
  <c r="K35"/>
  <c r="AD30" i="66"/>
  <c r="K34" i="72" l="1"/>
  <c r="J34"/>
  <c r="AD34" i="66"/>
  <c r="AC34"/>
  <c r="J38" i="72" l="1"/>
  <c r="K38"/>
  <c r="AD36" i="66"/>
  <c r="AC36"/>
  <c r="AC35"/>
  <c r="J40" i="72" l="1"/>
  <c r="K40"/>
  <c r="AC37" i="66"/>
  <c r="AD35"/>
  <c r="K39" i="72" l="1"/>
  <c r="J39"/>
  <c r="AC39" i="66"/>
  <c r="AD39"/>
  <c r="AC38"/>
  <c r="J43" i="72" l="1"/>
  <c r="K43"/>
  <c r="AD37" i="66"/>
  <c r="K41" i="72" l="1"/>
  <c r="J41"/>
  <c r="AD38" i="66"/>
  <c r="AC40"/>
  <c r="K42" i="72" l="1"/>
  <c r="J42"/>
  <c r="AC41" i="66"/>
  <c r="AD40"/>
  <c r="AC42"/>
  <c r="K44" i="72" l="1"/>
  <c r="J44"/>
  <c r="AD42" i="66"/>
  <c r="AC43"/>
  <c r="AD41"/>
  <c r="AD43"/>
  <c r="K46" i="72" l="1"/>
  <c r="K45"/>
  <c r="J45"/>
  <c r="J46"/>
  <c r="J47"/>
  <c r="K47"/>
  <c r="AD44" i="66"/>
  <c r="AC44"/>
  <c r="J48" i="72" l="1"/>
  <c r="K48"/>
  <c r="AC45" i="66"/>
  <c r="AD45"/>
  <c r="J49" i="72" l="1"/>
  <c r="K49"/>
  <c r="AC5" i="63"/>
  <c r="AU197" i="118" l="1"/>
  <c r="AD5" i="120"/>
  <c r="AC5"/>
  <c r="AD5" i="63"/>
  <c r="AO197" i="118" l="1"/>
  <c r="AH9" i="72"/>
  <c r="D11" i="47" l="1"/>
  <c r="E11" l="1"/>
  <c r="G10" i="3"/>
  <c r="G11"/>
  <c r="I11" s="1"/>
  <c r="D13" i="47"/>
  <c r="E13" s="1"/>
  <c r="I10" i="3" l="1"/>
  <c r="F10"/>
  <c r="G13"/>
  <c r="I13" s="1"/>
  <c r="E10" i="47" l="1"/>
  <c r="K10" i="3"/>
  <c r="H10"/>
  <c r="E10"/>
  <c r="L10" l="1"/>
  <c r="M10" s="1"/>
  <c r="F10" i="47" s="1"/>
  <c r="L11" i="3"/>
  <c r="AN103" i="118"/>
  <c r="AM103"/>
  <c r="AL103"/>
  <c r="L13" i="3"/>
  <c r="Z11" i="49" l="1"/>
  <c r="AO103" i="118"/>
  <c r="AL105"/>
  <c r="G15" i="51" l="1"/>
  <c r="AM105" i="118"/>
  <c r="AN105"/>
  <c r="AC11" i="67"/>
  <c r="Z7"/>
  <c r="AC17"/>
  <c r="AC16"/>
  <c r="Z11"/>
  <c r="AD16"/>
  <c r="AC5"/>
  <c r="AD17"/>
  <c r="AB16"/>
  <c r="Z16"/>
  <c r="AB5"/>
  <c r="Z5"/>
  <c r="Z17"/>
  <c r="AB7"/>
  <c r="AD11"/>
  <c r="AB17"/>
  <c r="AB11"/>
  <c r="AJ15" i="118" l="1"/>
  <c r="AI15"/>
  <c r="AL15"/>
  <c r="AK15"/>
  <c r="AN15"/>
  <c r="AM15"/>
  <c r="AF15"/>
  <c r="AH15"/>
  <c r="AO15"/>
  <c r="AF20"/>
  <c r="AH20"/>
  <c r="AK20"/>
  <c r="AJ20"/>
  <c r="AM20"/>
  <c r="AL20"/>
  <c r="AN20"/>
  <c r="AI20"/>
  <c r="AO20"/>
  <c r="AN21"/>
  <c r="AM21"/>
  <c r="AH21"/>
  <c r="AF21"/>
  <c r="AJ21"/>
  <c r="AI21"/>
  <c r="AL21"/>
  <c r="AK21"/>
  <c r="AO21"/>
  <c r="AB8"/>
  <c r="AC8" s="1"/>
  <c r="B8" i="72"/>
  <c r="C8" s="1"/>
  <c r="AV15" i="51"/>
  <c r="AX15" s="1"/>
  <c r="AO105" i="118"/>
  <c r="AC7" i="67"/>
  <c r="AD5"/>
  <c r="AD7"/>
  <c r="AJ9" i="118" l="1"/>
  <c r="AF9"/>
  <c r="AI9"/>
  <c r="AH9"/>
  <c r="AK9"/>
  <c r="AN9"/>
  <c r="AL9"/>
  <c r="AM9"/>
  <c r="AO9"/>
  <c r="C9" i="72"/>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C46" s="1"/>
  <c r="C47" s="1"/>
  <c r="C48" s="1"/>
  <c r="AF11" i="118" l="1"/>
  <c r="AJ11"/>
  <c r="AI11"/>
  <c r="AK11"/>
  <c r="AH11"/>
  <c r="AL11"/>
  <c r="AN11"/>
  <c r="AM11"/>
  <c r="AO11"/>
  <c r="D19" i="47" l="1"/>
  <c r="D18"/>
  <c r="G18" i="3" s="1"/>
  <c r="D14" i="47"/>
  <c r="G14" i="3" s="1"/>
  <c r="D12" i="47"/>
  <c r="G12" i="3" s="1"/>
  <c r="G19"/>
  <c r="D25" i="47"/>
  <c r="D24"/>
  <c r="D21"/>
  <c r="D20"/>
  <c r="D15"/>
  <c r="D16"/>
  <c r="AA5" i="67"/>
  <c r="G16" i="3" l="1"/>
  <c r="G15"/>
  <c r="G20"/>
  <c r="G21"/>
  <c r="G25"/>
  <c r="G24"/>
  <c r="AA7" i="67"/>
  <c r="AA17"/>
  <c r="AA11"/>
  <c r="AA16"/>
  <c r="AM108" i="118" l="1"/>
  <c r="AM112"/>
  <c r="AM111"/>
  <c r="AM107"/>
  <c r="AM104"/>
  <c r="AM113"/>
  <c r="AM117"/>
  <c r="AM106"/>
  <c r="AM110"/>
  <c r="AM116"/>
  <c r="AN110" l="1"/>
  <c r="AN108"/>
  <c r="AN111"/>
  <c r="AN112"/>
  <c r="AN116"/>
  <c r="AN104"/>
  <c r="AN106"/>
  <c r="AN107"/>
  <c r="AN117"/>
  <c r="AN113"/>
  <c r="AL110" l="1"/>
  <c r="AL117"/>
  <c r="AL107"/>
  <c r="AL113"/>
  <c r="AL112"/>
  <c r="AL108"/>
  <c r="AL106"/>
  <c r="AL116"/>
  <c r="AL111"/>
  <c r="AL104"/>
  <c r="AO104" l="1"/>
  <c r="E29" i="60"/>
  <c r="AO106" i="118" l="1"/>
  <c r="AO107" l="1"/>
  <c r="E31" i="60"/>
  <c r="AO108" i="118" l="1"/>
  <c r="AO110" l="1"/>
  <c r="AO111" l="1"/>
  <c r="AO112" l="1"/>
  <c r="AO113" l="1"/>
  <c r="AO116" l="1"/>
  <c r="AO117" l="1"/>
  <c r="F32" i="60"/>
  <c r="F31"/>
  <c r="F33"/>
  <c r="K36"/>
  <c r="E32"/>
  <c r="E36"/>
  <c r="E33"/>
  <c r="F29"/>
  <c r="G33" l="1"/>
  <c r="G32"/>
  <c r="G31"/>
  <c r="G29"/>
  <c r="F36"/>
  <c r="G36" l="1"/>
  <c r="H32"/>
  <c r="H36"/>
  <c r="H33"/>
  <c r="I32"/>
  <c r="I31"/>
  <c r="H29"/>
  <c r="L36"/>
  <c r="I33"/>
  <c r="H31"/>
  <c r="I29"/>
  <c r="L25" i="3" l="1"/>
  <c r="L24"/>
  <c r="L20"/>
  <c r="L19"/>
  <c r="I20"/>
  <c r="L18"/>
  <c r="L21"/>
  <c r="I19"/>
  <c r="Z14" i="67"/>
  <c r="AD10"/>
  <c r="AC9"/>
  <c r="Z12"/>
  <c r="AC13"/>
  <c r="AC15"/>
  <c r="Z10"/>
  <c r="AD13"/>
  <c r="AC6"/>
  <c r="AD15"/>
  <c r="AB18"/>
  <c r="AD9"/>
  <c r="AB13"/>
  <c r="AC18"/>
  <c r="AD14"/>
  <c r="AC14"/>
  <c r="AD19"/>
  <c r="AC12"/>
  <c r="AC8"/>
  <c r="Z15"/>
  <c r="AB10"/>
  <c r="AB12"/>
  <c r="AB15"/>
  <c r="AD6"/>
  <c r="AD18"/>
  <c r="AC19"/>
  <c r="AB14"/>
  <c r="Z19"/>
  <c r="Z13"/>
  <c r="AB19"/>
  <c r="AA9"/>
  <c r="AD8"/>
  <c r="AD12"/>
  <c r="AC10"/>
  <c r="Z18"/>
  <c r="AJ23" i="118" l="1"/>
  <c r="AK23"/>
  <c r="AF23"/>
  <c r="AH23"/>
  <c r="AI23"/>
  <c r="AF14"/>
  <c r="AH14"/>
  <c r="AI14"/>
  <c r="AJ14"/>
  <c r="AK14"/>
  <c r="AI19"/>
  <c r="AK19"/>
  <c r="AF19"/>
  <c r="AH19"/>
  <c r="AJ19"/>
  <c r="AH17"/>
  <c r="AI17"/>
  <c r="AF17"/>
  <c r="AJ17"/>
  <c r="AK17"/>
  <c r="AH16"/>
  <c r="AK16"/>
  <c r="AF16"/>
  <c r="AJ16"/>
  <c r="AI16"/>
  <c r="AF18"/>
  <c r="AH18"/>
  <c r="AJ18"/>
  <c r="AI18"/>
  <c r="AK18"/>
  <c r="AI22"/>
  <c r="AH22"/>
  <c r="AK22"/>
  <c r="AJ22"/>
  <c r="AF22"/>
  <c r="AN17"/>
  <c r="AM14"/>
  <c r="AM16"/>
  <c r="AL22"/>
  <c r="AO22"/>
  <c r="AL18"/>
  <c r="AO17"/>
  <c r="AO14"/>
  <c r="AO23"/>
  <c r="AL16"/>
  <c r="AM19"/>
  <c r="AN16"/>
  <c r="AN22"/>
  <c r="AO18"/>
  <c r="AM23"/>
  <c r="AL23"/>
  <c r="AL17"/>
  <c r="AO16"/>
  <c r="AL14"/>
  <c r="AM22"/>
  <c r="AM18"/>
  <c r="AN18"/>
  <c r="AN19"/>
  <c r="AM17"/>
  <c r="AN14"/>
  <c r="AN23"/>
  <c r="AL19"/>
  <c r="AO19"/>
  <c r="I18" i="3"/>
  <c r="AB8" i="67"/>
  <c r="AA8"/>
  <c r="Z8"/>
  <c r="AB9"/>
  <c r="Z9"/>
  <c r="AF13" i="118" l="1"/>
  <c r="AJ13"/>
  <c r="AI13"/>
  <c r="AH13"/>
  <c r="AK13"/>
  <c r="AL13"/>
  <c r="AM13"/>
  <c r="AO13"/>
  <c r="AK12"/>
  <c r="AH12"/>
  <c r="AF12"/>
  <c r="AJ12"/>
  <c r="AI12"/>
  <c r="AO12"/>
  <c r="AL12"/>
  <c r="AN12"/>
  <c r="AM12"/>
  <c r="AN13"/>
  <c r="L16" i="3"/>
  <c r="I24"/>
  <c r="I21"/>
  <c r="I25"/>
  <c r="L15"/>
  <c r="I16"/>
  <c r="AA6" i="67"/>
  <c r="Z6"/>
  <c r="AB6"/>
  <c r="AH10" i="118" l="1"/>
  <c r="AI10"/>
  <c r="AF10"/>
  <c r="AJ10"/>
  <c r="AK10"/>
  <c r="AO10"/>
  <c r="AL10"/>
  <c r="AN10"/>
  <c r="AM10"/>
  <c r="L14" i="3"/>
  <c r="I15"/>
  <c r="I14"/>
  <c r="L12"/>
  <c r="I12"/>
  <c r="E25" i="47"/>
  <c r="E24"/>
  <c r="E21"/>
  <c r="E20"/>
  <c r="E19"/>
  <c r="E18"/>
  <c r="E16"/>
  <c r="E15"/>
  <c r="E14"/>
  <c r="E12"/>
  <c r="I30" i="60"/>
  <c r="AA12" i="67"/>
  <c r="AA18"/>
  <c r="H30" i="60"/>
  <c r="AA13" i="67"/>
  <c r="AA15"/>
  <c r="AA10"/>
  <c r="AA19"/>
  <c r="AA14"/>
  <c r="BA3" i="118" l="1"/>
  <c r="BA144" s="1"/>
  <c r="BB3"/>
  <c r="BB144" s="1"/>
  <c r="BC3"/>
  <c r="BC144" s="1"/>
  <c r="BD3"/>
  <c r="BD144" s="1"/>
  <c r="BE3"/>
  <c r="BE144" s="1"/>
  <c r="BF3"/>
  <c r="BF144" s="1"/>
  <c r="BG3"/>
  <c r="BG144" s="1"/>
  <c r="BH3"/>
  <c r="BH144" s="1"/>
  <c r="BI3"/>
  <c r="BI144" s="1"/>
  <c r="BJ3"/>
  <c r="BJ144" s="1"/>
  <c r="BK3"/>
  <c r="BK144" s="1"/>
  <c r="BL3"/>
  <c r="BL144" s="1"/>
  <c r="B28" l="1"/>
  <c r="B26"/>
  <c r="B29"/>
  <c r="B27"/>
  <c r="BK50"/>
  <c r="BK191"/>
  <c r="BK238"/>
  <c r="BK97"/>
  <c r="BK285"/>
  <c r="BK332"/>
  <c r="BI50"/>
  <c r="BI285"/>
  <c r="BI332"/>
  <c r="BI191"/>
  <c r="BI238"/>
  <c r="BI97"/>
  <c r="BG50"/>
  <c r="BG191"/>
  <c r="BG238"/>
  <c r="BG97"/>
  <c r="BG285"/>
  <c r="BG332"/>
  <c r="BE50"/>
  <c r="BE285"/>
  <c r="BE332"/>
  <c r="BE191"/>
  <c r="BE238"/>
  <c r="BE97"/>
  <c r="BC50"/>
  <c r="BC191"/>
  <c r="BC238"/>
  <c r="BC97"/>
  <c r="BC285"/>
  <c r="BC332"/>
  <c r="BA50"/>
  <c r="BA285"/>
  <c r="BA332"/>
  <c r="BA191"/>
  <c r="BA238"/>
  <c r="BA97"/>
  <c r="D47" i="121"/>
  <c r="T47"/>
  <c r="E47"/>
  <c r="U47"/>
  <c r="B47"/>
  <c r="R47"/>
  <c r="C47"/>
  <c r="S47"/>
  <c r="H47"/>
  <c r="X47"/>
  <c r="I47"/>
  <c r="Y47"/>
  <c r="N47"/>
  <c r="AD47"/>
  <c r="O47"/>
  <c r="AE47"/>
  <c r="L47"/>
  <c r="AB47"/>
  <c r="M47"/>
  <c r="AC47"/>
  <c r="J47"/>
  <c r="Z47"/>
  <c r="K47"/>
  <c r="AA47"/>
  <c r="P47"/>
  <c r="AF47"/>
  <c r="Q47"/>
  <c r="F47"/>
  <c r="V47"/>
  <c r="G47"/>
  <c r="W47"/>
  <c r="AF47" i="69"/>
  <c r="AF47" i="68"/>
  <c r="AA47" i="71"/>
  <c r="AB47"/>
  <c r="AF47"/>
  <c r="AF47" i="70"/>
  <c r="AE47"/>
  <c r="AD47"/>
  <c r="AA47" i="69"/>
  <c r="AD47"/>
  <c r="AB47"/>
  <c r="AC47" i="68"/>
  <c r="AB47"/>
  <c r="AD47" i="71"/>
  <c r="AC47"/>
  <c r="AE47"/>
  <c r="AB47" i="70"/>
  <c r="AC47"/>
  <c r="AA47"/>
  <c r="AC47" i="69"/>
  <c r="AE47"/>
  <c r="AA47" i="68"/>
  <c r="AE47"/>
  <c r="AD47"/>
  <c r="H47" i="71"/>
  <c r="R47"/>
  <c r="S47"/>
  <c r="Y47"/>
  <c r="Z47"/>
  <c r="D47"/>
  <c r="U47"/>
  <c r="X47"/>
  <c r="J47"/>
  <c r="I47"/>
  <c r="Q47"/>
  <c r="L47"/>
  <c r="O47" i="70"/>
  <c r="Q47"/>
  <c r="D47"/>
  <c r="L47"/>
  <c r="Y47"/>
  <c r="F47"/>
  <c r="J47"/>
  <c r="H47"/>
  <c r="P47"/>
  <c r="G47"/>
  <c r="I47"/>
  <c r="Z47"/>
  <c r="K47"/>
  <c r="I47" i="69"/>
  <c r="N47"/>
  <c r="T47"/>
  <c r="S47"/>
  <c r="E47"/>
  <c r="C47"/>
  <c r="Y47"/>
  <c r="U47"/>
  <c r="F47"/>
  <c r="H47"/>
  <c r="V47"/>
  <c r="O47"/>
  <c r="C47" i="68"/>
  <c r="F47"/>
  <c r="S47"/>
  <c r="E47"/>
  <c r="H47"/>
  <c r="N47"/>
  <c r="Y47"/>
  <c r="G47"/>
  <c r="W47"/>
  <c r="Z47"/>
  <c r="M47"/>
  <c r="I47"/>
  <c r="B47"/>
  <c r="W47" i="71"/>
  <c r="F47"/>
  <c r="C47"/>
  <c r="N47"/>
  <c r="B47"/>
  <c r="T47"/>
  <c r="M47"/>
  <c r="E47"/>
  <c r="G47"/>
  <c r="O47"/>
  <c r="V47"/>
  <c r="P47"/>
  <c r="K47"/>
  <c r="U47" i="70"/>
  <c r="B47"/>
  <c r="W47"/>
  <c r="S47"/>
  <c r="X47"/>
  <c r="N47"/>
  <c r="E47"/>
  <c r="C47"/>
  <c r="R47"/>
  <c r="M47"/>
  <c r="V47"/>
  <c r="T47"/>
  <c r="D47" i="69"/>
  <c r="J47"/>
  <c r="G47"/>
  <c r="X47"/>
  <c r="Q47"/>
  <c r="K47"/>
  <c r="M47"/>
  <c r="Z47"/>
  <c r="R47"/>
  <c r="W47"/>
  <c r="P47"/>
  <c r="L47"/>
  <c r="B47"/>
  <c r="O47" i="68"/>
  <c r="V47"/>
  <c r="P47"/>
  <c r="R47"/>
  <c r="T47"/>
  <c r="D47"/>
  <c r="Q47"/>
  <c r="U47"/>
  <c r="X47"/>
  <c r="J47"/>
  <c r="K47"/>
  <c r="L47"/>
  <c r="BL50" i="118"/>
  <c r="BL191"/>
  <c r="BL332"/>
  <c r="BL238"/>
  <c r="BL285"/>
  <c r="BL97"/>
  <c r="BJ50"/>
  <c r="BJ238"/>
  <c r="BJ285"/>
  <c r="BJ97"/>
  <c r="BJ191"/>
  <c r="BJ332"/>
  <c r="BH50"/>
  <c r="BH191"/>
  <c r="BH332"/>
  <c r="BH238"/>
  <c r="BH285"/>
  <c r="BH97"/>
  <c r="BF50"/>
  <c r="BF238"/>
  <c r="BF285"/>
  <c r="BF191"/>
  <c r="BF332"/>
  <c r="BF97"/>
  <c r="BD50"/>
  <c r="BD191"/>
  <c r="BD332"/>
  <c r="BD238"/>
  <c r="BD285"/>
  <c r="BD97"/>
  <c r="BB50"/>
  <c r="BB238"/>
  <c r="BB285"/>
  <c r="BB97"/>
  <c r="BB191"/>
  <c r="BB332"/>
  <c r="E30" i="60"/>
  <c r="AI380" i="118" l="1"/>
  <c r="AF380"/>
  <c r="AC380"/>
  <c r="BB292"/>
  <c r="BB339"/>
  <c r="BB340"/>
  <c r="BB338"/>
  <c r="BB291"/>
  <c r="BB293"/>
  <c r="BB294"/>
  <c r="BB341"/>
  <c r="BB295"/>
  <c r="BB342"/>
  <c r="BB296"/>
  <c r="BB343"/>
  <c r="BB297"/>
  <c r="BB344"/>
  <c r="BB298"/>
  <c r="BB345"/>
  <c r="BB299"/>
  <c r="BB346"/>
  <c r="BB300"/>
  <c r="BB347"/>
  <c r="BB301"/>
  <c r="BB348"/>
  <c r="BB302"/>
  <c r="BB349"/>
  <c r="BB303"/>
  <c r="BB350"/>
  <c r="BB304"/>
  <c r="BB351"/>
  <c r="BB305"/>
  <c r="BB352"/>
  <c r="BB306"/>
  <c r="BB353"/>
  <c r="BB307"/>
  <c r="BB354"/>
  <c r="BB308"/>
  <c r="BB355"/>
  <c r="BB309"/>
  <c r="BB356"/>
  <c r="BB357"/>
  <c r="BB310"/>
  <c r="BB358"/>
  <c r="BB311"/>
  <c r="BB359"/>
  <c r="BB312"/>
  <c r="BB360"/>
  <c r="BB313"/>
  <c r="BB361"/>
  <c r="BB314"/>
  <c r="BB362"/>
  <c r="BB315"/>
  <c r="BB363"/>
  <c r="BB316"/>
  <c r="BB317"/>
  <c r="BB364"/>
  <c r="BB318"/>
  <c r="BB365"/>
  <c r="BB319"/>
  <c r="BB366"/>
  <c r="BB320"/>
  <c r="BB367"/>
  <c r="BB321"/>
  <c r="BB368"/>
  <c r="BB322"/>
  <c r="BB369"/>
  <c r="BB323"/>
  <c r="BB370"/>
  <c r="BB324"/>
  <c r="BB371"/>
  <c r="BB325"/>
  <c r="BB372"/>
  <c r="BB326"/>
  <c r="BB373"/>
  <c r="BB327"/>
  <c r="BB374"/>
  <c r="BB328"/>
  <c r="BB375"/>
  <c r="BB329"/>
  <c r="BB376"/>
  <c r="BB377"/>
  <c r="BB330"/>
  <c r="BB331"/>
  <c r="BB378"/>
  <c r="BB202"/>
  <c r="BB205"/>
  <c r="BB206"/>
  <c r="BB203"/>
  <c r="BB199"/>
  <c r="BB204"/>
  <c r="BB201"/>
  <c r="BB207"/>
  <c r="BB200"/>
  <c r="BB209"/>
  <c r="BB197"/>
  <c r="BB198"/>
  <c r="BB208"/>
  <c r="BB210"/>
  <c r="BB211"/>
  <c r="BF291"/>
  <c r="BF340"/>
  <c r="BF292"/>
  <c r="BF338"/>
  <c r="BF339"/>
  <c r="BF293"/>
  <c r="BF294"/>
  <c r="BF341"/>
  <c r="BF295"/>
  <c r="BF342"/>
  <c r="BF296"/>
  <c r="BF343"/>
  <c r="BF297"/>
  <c r="BF344"/>
  <c r="BF298"/>
  <c r="BF345"/>
  <c r="BF299"/>
  <c r="BF346"/>
  <c r="BF300"/>
  <c r="BF347"/>
  <c r="BF301"/>
  <c r="BF348"/>
  <c r="BF302"/>
  <c r="BF349"/>
  <c r="BF350"/>
  <c r="BF303"/>
  <c r="BF304"/>
  <c r="BF351"/>
  <c r="BF305"/>
  <c r="BF352"/>
  <c r="BF306"/>
  <c r="BF353"/>
  <c r="BF307"/>
  <c r="BF354"/>
  <c r="BF308"/>
  <c r="BF355"/>
  <c r="BF309"/>
  <c r="BF356"/>
  <c r="BF310"/>
  <c r="BF357"/>
  <c r="BF311"/>
  <c r="BF358"/>
  <c r="BF312"/>
  <c r="BF359"/>
  <c r="BF360"/>
  <c r="BF313"/>
  <c r="BF314"/>
  <c r="BF361"/>
  <c r="BF315"/>
  <c r="BF362"/>
  <c r="BF316"/>
  <c r="BF363"/>
  <c r="BF317"/>
  <c r="BF364"/>
  <c r="BF318"/>
  <c r="BF365"/>
  <c r="BF319"/>
  <c r="BF366"/>
  <c r="BF320"/>
  <c r="BF367"/>
  <c r="BF321"/>
  <c r="BF368"/>
  <c r="BF322"/>
  <c r="BF369"/>
  <c r="BF323"/>
  <c r="BF370"/>
  <c r="BF324"/>
  <c r="BF371"/>
  <c r="BF372"/>
  <c r="BF325"/>
  <c r="BF326"/>
  <c r="BF373"/>
  <c r="BF327"/>
  <c r="BF374"/>
  <c r="BF328"/>
  <c r="BF375"/>
  <c r="BF329"/>
  <c r="BF376"/>
  <c r="BF330"/>
  <c r="BF377"/>
  <c r="BF331"/>
  <c r="BF378"/>
  <c r="BF197"/>
  <c r="BF199"/>
  <c r="BF198"/>
  <c r="BF200"/>
  <c r="BF201"/>
  <c r="BF202"/>
  <c r="BF203"/>
  <c r="BF204"/>
  <c r="BF205"/>
  <c r="BF206"/>
  <c r="BF207"/>
  <c r="BF209"/>
  <c r="BF208"/>
  <c r="BF210"/>
  <c r="BF211"/>
  <c r="BJ338"/>
  <c r="BJ292"/>
  <c r="BJ291"/>
  <c r="BJ339"/>
  <c r="BJ293"/>
  <c r="BJ340"/>
  <c r="BJ198"/>
  <c r="BJ199"/>
  <c r="BJ197"/>
  <c r="BJ294"/>
  <c r="BJ200"/>
  <c r="BJ341"/>
  <c r="BJ295"/>
  <c r="BJ201"/>
  <c r="BJ342"/>
  <c r="BJ202"/>
  <c r="BJ296"/>
  <c r="BJ343"/>
  <c r="BJ203"/>
  <c r="BJ297"/>
  <c r="BJ344"/>
  <c r="BJ298"/>
  <c r="BJ204"/>
  <c r="BJ345"/>
  <c r="BJ299"/>
  <c r="BJ205"/>
  <c r="BJ346"/>
  <c r="BJ206"/>
  <c r="BJ300"/>
  <c r="BJ347"/>
  <c r="BJ207"/>
  <c r="BJ301"/>
  <c r="BJ348"/>
  <c r="BJ302"/>
  <c r="BJ208"/>
  <c r="BJ349"/>
  <c r="BJ303"/>
  <c r="BJ350"/>
  <c r="BJ209"/>
  <c r="BJ304"/>
  <c r="BJ210"/>
  <c r="BJ351"/>
  <c r="BJ211"/>
  <c r="BJ305"/>
  <c r="BJ352"/>
  <c r="BJ306"/>
  <c r="BJ353"/>
  <c r="BJ307"/>
  <c r="BJ354"/>
  <c r="BJ308"/>
  <c r="BJ355"/>
  <c r="BJ309"/>
  <c r="BJ356"/>
  <c r="BJ357"/>
  <c r="BJ310"/>
  <c r="BJ358"/>
  <c r="BJ311"/>
  <c r="BJ312"/>
  <c r="BJ359"/>
  <c r="BJ313"/>
  <c r="BJ360"/>
  <c r="BJ361"/>
  <c r="BJ314"/>
  <c r="BJ362"/>
  <c r="BJ315"/>
  <c r="BJ363"/>
  <c r="BJ316"/>
  <c r="BJ317"/>
  <c r="BJ364"/>
  <c r="BJ318"/>
  <c r="BJ365"/>
  <c r="BJ319"/>
  <c r="BJ366"/>
  <c r="BJ320"/>
  <c r="BJ367"/>
  <c r="BJ321"/>
  <c r="BJ368"/>
  <c r="BJ322"/>
  <c r="BJ369"/>
  <c r="BJ323"/>
  <c r="BJ370"/>
  <c r="BJ324"/>
  <c r="BJ371"/>
  <c r="BJ325"/>
  <c r="BJ372"/>
  <c r="BJ326"/>
  <c r="BJ373"/>
  <c r="BJ327"/>
  <c r="BJ374"/>
  <c r="BJ328"/>
  <c r="BJ375"/>
  <c r="BJ329"/>
  <c r="BJ376"/>
  <c r="BJ377"/>
  <c r="BJ330"/>
  <c r="BJ331"/>
  <c r="BJ378"/>
  <c r="BC292"/>
  <c r="BC293"/>
  <c r="BC338"/>
  <c r="BC339"/>
  <c r="BC291"/>
  <c r="BC340"/>
  <c r="BC294"/>
  <c r="BC341"/>
  <c r="BC342"/>
  <c r="BC295"/>
  <c r="BC296"/>
  <c r="BC343"/>
  <c r="BC297"/>
  <c r="BC344"/>
  <c r="BC298"/>
  <c r="BC345"/>
  <c r="BC346"/>
  <c r="BC299"/>
  <c r="BC300"/>
  <c r="BC347"/>
  <c r="BC301"/>
  <c r="BC348"/>
  <c r="BC349"/>
  <c r="BC302"/>
  <c r="BC303"/>
  <c r="BC350"/>
  <c r="BC351"/>
  <c r="BC304"/>
  <c r="BC305"/>
  <c r="BC352"/>
  <c r="BC306"/>
  <c r="BC353"/>
  <c r="BC307"/>
  <c r="BC354"/>
  <c r="BC355"/>
  <c r="BC308"/>
  <c r="BC309"/>
  <c r="BC356"/>
  <c r="BC310"/>
  <c r="BC357"/>
  <c r="BC311"/>
  <c r="BC358"/>
  <c r="BC312"/>
  <c r="BC359"/>
  <c r="BC313"/>
  <c r="BC360"/>
  <c r="BC314"/>
  <c r="BC361"/>
  <c r="BC315"/>
  <c r="BC362"/>
  <c r="BC316"/>
  <c r="BC363"/>
  <c r="BC317"/>
  <c r="BC364"/>
  <c r="BC365"/>
  <c r="BC318"/>
  <c r="BC366"/>
  <c r="BC319"/>
  <c r="BC367"/>
  <c r="BC320"/>
  <c r="BC368"/>
  <c r="BC321"/>
  <c r="BC369"/>
  <c r="BC322"/>
  <c r="BC370"/>
  <c r="BC323"/>
  <c r="BC371"/>
  <c r="BC324"/>
  <c r="BC325"/>
  <c r="BC372"/>
  <c r="BC373"/>
  <c r="BC326"/>
  <c r="BC374"/>
  <c r="BC327"/>
  <c r="BC375"/>
  <c r="BC328"/>
  <c r="BC376"/>
  <c r="BC329"/>
  <c r="BC330"/>
  <c r="BC377"/>
  <c r="BC378"/>
  <c r="BC331"/>
  <c r="BC202"/>
  <c r="BC203"/>
  <c r="BC200"/>
  <c r="BC201"/>
  <c r="BC205"/>
  <c r="BC199"/>
  <c r="BC204"/>
  <c r="BC197"/>
  <c r="BC198"/>
  <c r="BC206"/>
  <c r="BC207"/>
  <c r="BC208"/>
  <c r="BC209"/>
  <c r="BC210"/>
  <c r="BC211"/>
  <c r="BG291"/>
  <c r="BG339"/>
  <c r="BG292"/>
  <c r="BG338"/>
  <c r="BG293"/>
  <c r="BG340"/>
  <c r="BG341"/>
  <c r="BG294"/>
  <c r="BG295"/>
  <c r="BG342"/>
  <c r="BG296"/>
  <c r="BG343"/>
  <c r="BG344"/>
  <c r="BG297"/>
  <c r="BG345"/>
  <c r="BG298"/>
  <c r="BG299"/>
  <c r="BG346"/>
  <c r="BG347"/>
  <c r="BG300"/>
  <c r="BG348"/>
  <c r="BG301"/>
  <c r="BG302"/>
  <c r="BG349"/>
  <c r="BG303"/>
  <c r="BG350"/>
  <c r="BG304"/>
  <c r="BG351"/>
  <c r="BG352"/>
  <c r="BG305"/>
  <c r="BG353"/>
  <c r="BG306"/>
  <c r="BG307"/>
  <c r="BG354"/>
  <c r="BG355"/>
  <c r="BG308"/>
  <c r="BG356"/>
  <c r="BG309"/>
  <c r="BG310"/>
  <c r="BG357"/>
  <c r="BG311"/>
  <c r="BG358"/>
  <c r="BG312"/>
  <c r="BG359"/>
  <c r="BG313"/>
  <c r="BG360"/>
  <c r="BG314"/>
  <c r="BG361"/>
  <c r="BG315"/>
  <c r="BG362"/>
  <c r="BG316"/>
  <c r="BG363"/>
  <c r="BG317"/>
  <c r="BG364"/>
  <c r="BG365"/>
  <c r="BG318"/>
  <c r="BG319"/>
  <c r="BG366"/>
  <c r="BG320"/>
  <c r="BG367"/>
  <c r="BG321"/>
  <c r="BG368"/>
  <c r="BG322"/>
  <c r="BG369"/>
  <c r="BG323"/>
  <c r="BG370"/>
  <c r="BG324"/>
  <c r="BG371"/>
  <c r="BG325"/>
  <c r="BG372"/>
  <c r="BG326"/>
  <c r="BG373"/>
  <c r="BG327"/>
  <c r="BG374"/>
  <c r="BG328"/>
  <c r="BG375"/>
  <c r="BG329"/>
  <c r="BG376"/>
  <c r="BG330"/>
  <c r="BG377"/>
  <c r="BG331"/>
  <c r="BG378"/>
  <c r="BG197"/>
  <c r="BG198"/>
  <c r="BG199"/>
  <c r="BG200"/>
  <c r="BG201"/>
  <c r="BG202"/>
  <c r="BG203"/>
  <c r="BG204"/>
  <c r="BG206"/>
  <c r="BG205"/>
  <c r="BG207"/>
  <c r="BG209"/>
  <c r="BG208"/>
  <c r="BG210"/>
  <c r="BG211"/>
  <c r="BK338"/>
  <c r="BK292"/>
  <c r="BK291"/>
  <c r="BK293"/>
  <c r="BK339"/>
  <c r="BK340"/>
  <c r="BK294"/>
  <c r="BK341"/>
  <c r="BK295"/>
  <c r="BK342"/>
  <c r="BK343"/>
  <c r="BK296"/>
  <c r="BK297"/>
  <c r="BK344"/>
  <c r="BK298"/>
  <c r="BK345"/>
  <c r="BK299"/>
  <c r="BK346"/>
  <c r="BK347"/>
  <c r="BK300"/>
  <c r="BK301"/>
  <c r="BK348"/>
  <c r="BK349"/>
  <c r="BK302"/>
  <c r="BK303"/>
  <c r="BK350"/>
  <c r="BK304"/>
  <c r="BK351"/>
  <c r="BK305"/>
  <c r="BK352"/>
  <c r="BK306"/>
  <c r="BK353"/>
  <c r="BK307"/>
  <c r="BK354"/>
  <c r="BK308"/>
  <c r="BK355"/>
  <c r="BK309"/>
  <c r="BK356"/>
  <c r="BK310"/>
  <c r="BK357"/>
  <c r="BK311"/>
  <c r="BK358"/>
  <c r="BK312"/>
  <c r="BK359"/>
  <c r="BK313"/>
  <c r="BK360"/>
  <c r="BK314"/>
  <c r="BK361"/>
  <c r="BK315"/>
  <c r="BK362"/>
  <c r="BK316"/>
  <c r="BK363"/>
  <c r="BK364"/>
  <c r="BK317"/>
  <c r="BK318"/>
  <c r="BK365"/>
  <c r="BK366"/>
  <c r="BK319"/>
  <c r="BK367"/>
  <c r="BK320"/>
  <c r="BK368"/>
  <c r="BK321"/>
  <c r="BK322"/>
  <c r="BK369"/>
  <c r="BK370"/>
  <c r="BK323"/>
  <c r="BK371"/>
  <c r="BK324"/>
  <c r="BK325"/>
  <c r="BK372"/>
  <c r="BK326"/>
  <c r="BK373"/>
  <c r="BK374"/>
  <c r="BK327"/>
  <c r="BK375"/>
  <c r="BK328"/>
  <c r="BK376"/>
  <c r="BK329"/>
  <c r="BK330"/>
  <c r="BK377"/>
  <c r="BK378"/>
  <c r="BK331"/>
  <c r="BK197"/>
  <c r="BK198"/>
  <c r="BK199"/>
  <c r="BK200"/>
  <c r="BK201"/>
  <c r="BK202"/>
  <c r="BK203"/>
  <c r="BK204"/>
  <c r="BK206"/>
  <c r="BK205"/>
  <c r="BK207"/>
  <c r="BK209"/>
  <c r="BK208"/>
  <c r="BK210"/>
  <c r="BK211"/>
  <c r="BD291"/>
  <c r="BD339"/>
  <c r="BD293"/>
  <c r="BD292"/>
  <c r="BD338"/>
  <c r="BD340"/>
  <c r="BD294"/>
  <c r="BD341"/>
  <c r="BD342"/>
  <c r="BD295"/>
  <c r="BD296"/>
  <c r="BD343"/>
  <c r="BD297"/>
  <c r="BD344"/>
  <c r="BD298"/>
  <c r="BD345"/>
  <c r="BD346"/>
  <c r="BD299"/>
  <c r="BD300"/>
  <c r="BD347"/>
  <c r="BD301"/>
  <c r="BD348"/>
  <c r="BD349"/>
  <c r="BD302"/>
  <c r="BD303"/>
  <c r="BD350"/>
  <c r="BD351"/>
  <c r="BD304"/>
  <c r="BD305"/>
  <c r="BD352"/>
  <c r="BD306"/>
  <c r="BD353"/>
  <c r="BD354"/>
  <c r="BD307"/>
  <c r="BD308"/>
  <c r="BD355"/>
  <c r="BD309"/>
  <c r="BD356"/>
  <c r="BD310"/>
  <c r="BD357"/>
  <c r="BD311"/>
  <c r="BD358"/>
  <c r="BD312"/>
  <c r="BD359"/>
  <c r="BD313"/>
  <c r="BD360"/>
  <c r="BD314"/>
  <c r="BD361"/>
  <c r="BD315"/>
  <c r="BD362"/>
  <c r="BD316"/>
  <c r="BD363"/>
  <c r="BD317"/>
  <c r="BD364"/>
  <c r="BD365"/>
  <c r="BD318"/>
  <c r="BD366"/>
  <c r="BD319"/>
  <c r="BD367"/>
  <c r="BD320"/>
  <c r="BD368"/>
  <c r="BD321"/>
  <c r="BD369"/>
  <c r="BD322"/>
  <c r="BD370"/>
  <c r="BD323"/>
  <c r="BD371"/>
  <c r="BD324"/>
  <c r="BD325"/>
  <c r="BD372"/>
  <c r="BD373"/>
  <c r="BD326"/>
  <c r="BD374"/>
  <c r="BD327"/>
  <c r="BD375"/>
  <c r="BD328"/>
  <c r="BD376"/>
  <c r="BD329"/>
  <c r="BD330"/>
  <c r="BD377"/>
  <c r="BD378"/>
  <c r="BD331"/>
  <c r="BD202"/>
  <c r="BD203"/>
  <c r="BD204"/>
  <c r="BD205"/>
  <c r="BD206"/>
  <c r="BD200"/>
  <c r="BD199"/>
  <c r="BD207"/>
  <c r="BD201"/>
  <c r="BD209"/>
  <c r="BD198"/>
  <c r="BD208"/>
  <c r="BD197"/>
  <c r="BD210"/>
  <c r="BD211"/>
  <c r="BH338"/>
  <c r="BH291"/>
  <c r="BH339"/>
  <c r="BH292"/>
  <c r="BH293"/>
  <c r="BH340"/>
  <c r="BH341"/>
  <c r="BH294"/>
  <c r="BH295"/>
  <c r="BH342"/>
  <c r="BH343"/>
  <c r="BH296"/>
  <c r="BH344"/>
  <c r="BH297"/>
  <c r="BH298"/>
  <c r="BH345"/>
  <c r="BH299"/>
  <c r="BH346"/>
  <c r="BH347"/>
  <c r="BH300"/>
  <c r="BH348"/>
  <c r="BH301"/>
  <c r="BH349"/>
  <c r="BH302"/>
  <c r="BH303"/>
  <c r="BH350"/>
  <c r="BH304"/>
  <c r="BH351"/>
  <c r="BH352"/>
  <c r="BH305"/>
  <c r="BH306"/>
  <c r="BH353"/>
  <c r="BH307"/>
  <c r="BH354"/>
  <c r="BH355"/>
  <c r="BH308"/>
  <c r="BH356"/>
  <c r="BH309"/>
  <c r="BH310"/>
  <c r="BH357"/>
  <c r="BH311"/>
  <c r="BH358"/>
  <c r="BH312"/>
  <c r="BH359"/>
  <c r="BH313"/>
  <c r="BH360"/>
  <c r="BH314"/>
  <c r="BH361"/>
  <c r="BH315"/>
  <c r="BH362"/>
  <c r="BH316"/>
  <c r="BH363"/>
  <c r="BH364"/>
  <c r="BH317"/>
  <c r="BH318"/>
  <c r="BH365"/>
  <c r="BH319"/>
  <c r="BH366"/>
  <c r="BH320"/>
  <c r="BH367"/>
  <c r="BH368"/>
  <c r="BH321"/>
  <c r="BH322"/>
  <c r="BH369"/>
  <c r="BH323"/>
  <c r="BH370"/>
  <c r="BH324"/>
  <c r="BH371"/>
  <c r="BH325"/>
  <c r="BH372"/>
  <c r="BH326"/>
  <c r="BH373"/>
  <c r="BH327"/>
  <c r="BH374"/>
  <c r="BH328"/>
  <c r="BH375"/>
  <c r="BH376"/>
  <c r="BH329"/>
  <c r="BH330"/>
  <c r="BH377"/>
  <c r="BH331"/>
  <c r="BH378"/>
  <c r="BH197"/>
  <c r="BH198"/>
  <c r="BH199"/>
  <c r="BH200"/>
  <c r="BH201"/>
  <c r="BH202"/>
  <c r="BH203"/>
  <c r="BH204"/>
  <c r="BH206"/>
  <c r="BH205"/>
  <c r="BH207"/>
  <c r="BH209"/>
  <c r="BH208"/>
  <c r="BH210"/>
  <c r="BH211"/>
  <c r="BL292"/>
  <c r="BL339"/>
  <c r="BL338"/>
  <c r="BL291"/>
  <c r="BL293"/>
  <c r="BL340"/>
  <c r="BL341"/>
  <c r="BL294"/>
  <c r="BL295"/>
  <c r="BL342"/>
  <c r="BL296"/>
  <c r="BL343"/>
  <c r="BL297"/>
  <c r="BL344"/>
  <c r="BL298"/>
  <c r="BL345"/>
  <c r="BL299"/>
  <c r="BL346"/>
  <c r="BL300"/>
  <c r="BL347"/>
  <c r="BL301"/>
  <c r="BL348"/>
  <c r="BL302"/>
  <c r="BL349"/>
  <c r="BL303"/>
  <c r="BL350"/>
  <c r="BL351"/>
  <c r="BL304"/>
  <c r="BL305"/>
  <c r="BL352"/>
  <c r="BL306"/>
  <c r="BL353"/>
  <c r="BL354"/>
  <c r="BL307"/>
  <c r="BL308"/>
  <c r="BL355"/>
  <c r="BL309"/>
  <c r="BL356"/>
  <c r="BL310"/>
  <c r="BL357"/>
  <c r="BL311"/>
  <c r="BL358"/>
  <c r="BL312"/>
  <c r="BL359"/>
  <c r="BL313"/>
  <c r="BL360"/>
  <c r="BL314"/>
  <c r="BL361"/>
  <c r="BL315"/>
  <c r="BL362"/>
  <c r="BL316"/>
  <c r="BL363"/>
  <c r="BL364"/>
  <c r="BL317"/>
  <c r="BL365"/>
  <c r="BL318"/>
  <c r="BL366"/>
  <c r="BL319"/>
  <c r="BL367"/>
  <c r="BL320"/>
  <c r="BL368"/>
  <c r="BL321"/>
  <c r="BL369"/>
  <c r="BL322"/>
  <c r="BL370"/>
  <c r="BL323"/>
  <c r="BL371"/>
  <c r="BL324"/>
  <c r="BL325"/>
  <c r="BL372"/>
  <c r="BL373"/>
  <c r="BL326"/>
  <c r="BL374"/>
  <c r="BL327"/>
  <c r="BL375"/>
  <c r="BL328"/>
  <c r="BL376"/>
  <c r="BL329"/>
  <c r="BL330"/>
  <c r="BL377"/>
  <c r="BL378"/>
  <c r="BL331"/>
  <c r="BL199"/>
  <c r="BL198"/>
  <c r="BL200"/>
  <c r="BL201"/>
  <c r="BL202"/>
  <c r="BL203"/>
  <c r="BL204"/>
  <c r="BL205"/>
  <c r="BL206"/>
  <c r="BL207"/>
  <c r="BL209"/>
  <c r="BL208"/>
  <c r="BL210"/>
  <c r="BL211"/>
  <c r="BL197"/>
  <c r="BA339"/>
  <c r="BA340"/>
  <c r="BA338"/>
  <c r="BA292"/>
  <c r="BA291"/>
  <c r="BA293"/>
  <c r="BA294"/>
  <c r="BA341"/>
  <c r="BA295"/>
  <c r="BA342"/>
  <c r="BA296"/>
  <c r="BA343"/>
  <c r="BA297"/>
  <c r="BA344"/>
  <c r="BA298"/>
  <c r="BA345"/>
  <c r="BA299"/>
  <c r="BA346"/>
  <c r="BA300"/>
  <c r="BA347"/>
  <c r="BA301"/>
  <c r="BA348"/>
  <c r="BA302"/>
  <c r="BA349"/>
  <c r="BA303"/>
  <c r="BA350"/>
  <c r="BA304"/>
  <c r="BA351"/>
  <c r="BA305"/>
  <c r="BA352"/>
  <c r="BA306"/>
  <c r="BA353"/>
  <c r="BA307"/>
  <c r="BA354"/>
  <c r="BA308"/>
  <c r="BA355"/>
  <c r="BA309"/>
  <c r="BA356"/>
  <c r="BA310"/>
  <c r="BA357"/>
  <c r="BA358"/>
  <c r="BA311"/>
  <c r="BA312"/>
  <c r="BA359"/>
  <c r="BA313"/>
  <c r="BA360"/>
  <c r="BA361"/>
  <c r="BA314"/>
  <c r="BA362"/>
  <c r="BA315"/>
  <c r="BA316"/>
  <c r="BA363"/>
  <c r="BA364"/>
  <c r="BA317"/>
  <c r="BA318"/>
  <c r="BA365"/>
  <c r="BA319"/>
  <c r="BA366"/>
  <c r="BA320"/>
  <c r="BA367"/>
  <c r="BA321"/>
  <c r="BA368"/>
  <c r="BA322"/>
  <c r="BA369"/>
  <c r="BA323"/>
  <c r="BA370"/>
  <c r="BA324"/>
  <c r="BA371"/>
  <c r="BA325"/>
  <c r="BA372"/>
  <c r="BA326"/>
  <c r="BA373"/>
  <c r="BA327"/>
  <c r="BA374"/>
  <c r="BA328"/>
  <c r="BA375"/>
  <c r="BA329"/>
  <c r="BA376"/>
  <c r="BA377"/>
  <c r="BA330"/>
  <c r="BA331"/>
  <c r="BA378"/>
  <c r="BA197"/>
  <c r="BA198"/>
  <c r="BA199"/>
  <c r="BA200"/>
  <c r="BA201"/>
  <c r="BA202"/>
  <c r="BA203"/>
  <c r="BA204"/>
  <c r="BA205"/>
  <c r="BA206"/>
  <c r="BA207"/>
  <c r="BA209"/>
  <c r="BA208"/>
  <c r="BA210"/>
  <c r="BA211"/>
  <c r="BE291"/>
  <c r="BE292"/>
  <c r="BE293"/>
  <c r="BE340"/>
  <c r="BE338"/>
  <c r="BE339"/>
  <c r="BE294"/>
  <c r="BE341"/>
  <c r="BE295"/>
  <c r="BE342"/>
  <c r="BE296"/>
  <c r="BE343"/>
  <c r="BE297"/>
  <c r="BE344"/>
  <c r="BE298"/>
  <c r="BE345"/>
  <c r="BE299"/>
  <c r="BE346"/>
  <c r="BE300"/>
  <c r="BE347"/>
  <c r="BE301"/>
  <c r="BE348"/>
  <c r="BE302"/>
  <c r="BE349"/>
  <c r="BE350"/>
  <c r="BE303"/>
  <c r="BE304"/>
  <c r="BE351"/>
  <c r="BE305"/>
  <c r="BE352"/>
  <c r="BE306"/>
  <c r="BE353"/>
  <c r="BE307"/>
  <c r="BE354"/>
  <c r="BE308"/>
  <c r="BE355"/>
  <c r="BE309"/>
  <c r="BE356"/>
  <c r="BE310"/>
  <c r="BE357"/>
  <c r="BE311"/>
  <c r="BE358"/>
  <c r="BE359"/>
  <c r="BE312"/>
  <c r="BE313"/>
  <c r="BE360"/>
  <c r="BE361"/>
  <c r="BE314"/>
  <c r="BE315"/>
  <c r="BE362"/>
  <c r="BE316"/>
  <c r="BE363"/>
  <c r="BE317"/>
  <c r="BE364"/>
  <c r="BE318"/>
  <c r="BE365"/>
  <c r="BE319"/>
  <c r="BE366"/>
  <c r="BE320"/>
  <c r="BE367"/>
  <c r="BE321"/>
  <c r="BE368"/>
  <c r="BE322"/>
  <c r="BE369"/>
  <c r="BE323"/>
  <c r="BE370"/>
  <c r="BE324"/>
  <c r="BE371"/>
  <c r="BE372"/>
  <c r="BE325"/>
  <c r="BE326"/>
  <c r="BE373"/>
  <c r="BE327"/>
  <c r="BE374"/>
  <c r="BE328"/>
  <c r="BE375"/>
  <c r="BE329"/>
  <c r="BE376"/>
  <c r="BE330"/>
  <c r="BE377"/>
  <c r="BE331"/>
  <c r="BE378"/>
  <c r="BE197"/>
  <c r="BE198"/>
  <c r="BE199"/>
  <c r="BE200"/>
  <c r="BE202"/>
  <c r="BE201"/>
  <c r="BE203"/>
  <c r="BE204"/>
  <c r="BE205"/>
  <c r="BE206"/>
  <c r="BE208"/>
  <c r="BE209"/>
  <c r="BE207"/>
  <c r="BE210"/>
  <c r="BE211"/>
  <c r="BI338"/>
  <c r="BI292"/>
  <c r="BI291"/>
  <c r="BI339"/>
  <c r="BI293"/>
  <c r="BI340"/>
  <c r="BI294"/>
  <c r="BI341"/>
  <c r="BI295"/>
  <c r="BI342"/>
  <c r="BI296"/>
  <c r="BI343"/>
  <c r="BI297"/>
  <c r="BI344"/>
  <c r="BI298"/>
  <c r="BI345"/>
  <c r="BI299"/>
  <c r="BI346"/>
  <c r="BI300"/>
  <c r="BI347"/>
  <c r="BI301"/>
  <c r="BI348"/>
  <c r="BI302"/>
  <c r="BI349"/>
  <c r="BI303"/>
  <c r="BI350"/>
  <c r="BI304"/>
  <c r="BI351"/>
  <c r="BI305"/>
  <c r="BI352"/>
  <c r="BI306"/>
  <c r="BI353"/>
  <c r="BI307"/>
  <c r="BI354"/>
  <c r="BI308"/>
  <c r="BI355"/>
  <c r="BI309"/>
  <c r="BI356"/>
  <c r="BI357"/>
  <c r="BI310"/>
  <c r="BI358"/>
  <c r="BI311"/>
  <c r="BI312"/>
  <c r="BI359"/>
  <c r="BI360"/>
  <c r="BI313"/>
  <c r="BI314"/>
  <c r="BI361"/>
  <c r="BI362"/>
  <c r="BI315"/>
  <c r="BI316"/>
  <c r="BI363"/>
  <c r="BI317"/>
  <c r="BI364"/>
  <c r="BI318"/>
  <c r="BI365"/>
  <c r="BI319"/>
  <c r="BI366"/>
  <c r="BI320"/>
  <c r="BI367"/>
  <c r="BI321"/>
  <c r="BI368"/>
  <c r="BI322"/>
  <c r="BI369"/>
  <c r="BI323"/>
  <c r="BI370"/>
  <c r="BI324"/>
  <c r="BI371"/>
  <c r="BI325"/>
  <c r="BI372"/>
  <c r="BI326"/>
  <c r="BI373"/>
  <c r="BI327"/>
  <c r="BI374"/>
  <c r="BI328"/>
  <c r="BI375"/>
  <c r="BI329"/>
  <c r="BI376"/>
  <c r="BI377"/>
  <c r="BI330"/>
  <c r="BI331"/>
  <c r="BI378"/>
  <c r="BI197"/>
  <c r="BI199"/>
  <c r="BI198"/>
  <c r="BI200"/>
  <c r="BI201"/>
  <c r="BI202"/>
  <c r="BI203"/>
  <c r="BI204"/>
  <c r="BI205"/>
  <c r="BI206"/>
  <c r="BI209"/>
  <c r="BI208"/>
  <c r="BI207"/>
  <c r="BI210"/>
  <c r="BI211"/>
  <c r="BC380" l="1"/>
  <c r="AY380"/>
  <c r="AU380"/>
  <c r="AQ380"/>
  <c r="AM380"/>
  <c r="BB380"/>
  <c r="AX380"/>
  <c r="AT380"/>
  <c r="AP380"/>
  <c r="AL380"/>
  <c r="AJ380"/>
  <c r="AE380" s="1"/>
  <c r="BA380"/>
  <c r="AW380"/>
  <c r="AS380"/>
  <c r="AO380"/>
  <c r="AK380"/>
  <c r="AZ380"/>
  <c r="AV380"/>
  <c r="AR380"/>
  <c r="AN380"/>
  <c r="AD330"/>
  <c r="BX48" s="1"/>
  <c r="AD317"/>
  <c r="BX35" s="1"/>
  <c r="AD315"/>
  <c r="BX33" s="1"/>
  <c r="AD314"/>
  <c r="BX32" s="1"/>
  <c r="AD311"/>
  <c r="BX29" s="1"/>
  <c r="AD293"/>
  <c r="BX11" s="1"/>
  <c r="AD292"/>
  <c r="BX10" s="1"/>
  <c r="AD331"/>
  <c r="AD329"/>
  <c r="BX47" s="1"/>
  <c r="AD328"/>
  <c r="BX46" s="1"/>
  <c r="AD327"/>
  <c r="BX45" s="1"/>
  <c r="AD326"/>
  <c r="BX44" s="1"/>
  <c r="AD325"/>
  <c r="BX43" s="1"/>
  <c r="AD324"/>
  <c r="BX42" s="1"/>
  <c r="AD323"/>
  <c r="BX41" s="1"/>
  <c r="AD322"/>
  <c r="BX40" s="1"/>
  <c r="AD321"/>
  <c r="BX39" s="1"/>
  <c r="AD320"/>
  <c r="BX38" s="1"/>
  <c r="AD319"/>
  <c r="BX37" s="1"/>
  <c r="AD318"/>
  <c r="BX36" s="1"/>
  <c r="AD316"/>
  <c r="BX34" s="1"/>
  <c r="AD313"/>
  <c r="BX31" s="1"/>
  <c r="AD312"/>
  <c r="BX30" s="1"/>
  <c r="AD310"/>
  <c r="BX28" s="1"/>
  <c r="AD309"/>
  <c r="BX27" s="1"/>
  <c r="AD308"/>
  <c r="BX26" s="1"/>
  <c r="AD307"/>
  <c r="BX25" s="1"/>
  <c r="AD306"/>
  <c r="BX24" s="1"/>
  <c r="AD305"/>
  <c r="BX23" s="1"/>
  <c r="AD304"/>
  <c r="BX22" s="1"/>
  <c r="AD303"/>
  <c r="BX21" s="1"/>
  <c r="AD302"/>
  <c r="BX20" s="1"/>
  <c r="AD301"/>
  <c r="BX19" s="1"/>
  <c r="AD300"/>
  <c r="BX18" s="1"/>
  <c r="AD299"/>
  <c r="BX17" s="1"/>
  <c r="AD298"/>
  <c r="BX16" s="1"/>
  <c r="AD297"/>
  <c r="BX15" s="1"/>
  <c r="AD296"/>
  <c r="BX14" s="1"/>
  <c r="AD295"/>
  <c r="BX13" s="1"/>
  <c r="AD294"/>
  <c r="BX12" s="1"/>
  <c r="AD291"/>
  <c r="BX9" s="1"/>
  <c r="AF15" i="63"/>
  <c r="AF6"/>
  <c r="AF9"/>
  <c r="AF17"/>
  <c r="AF7"/>
  <c r="AF12" i="67"/>
  <c r="AF10"/>
  <c r="AF7"/>
  <c r="AF9"/>
  <c r="AF14"/>
  <c r="AF11" i="63"/>
  <c r="AF19"/>
  <c r="AF8" i="67"/>
  <c r="AF16" i="63"/>
  <c r="AF13"/>
  <c r="AF10"/>
  <c r="AF14"/>
  <c r="AF19" i="67"/>
  <c r="AF17"/>
  <c r="AF13"/>
  <c r="AF18" i="63"/>
  <c r="AF18" i="67"/>
  <c r="AF16"/>
  <c r="AF11"/>
  <c r="AF12" i="63"/>
  <c r="AF15" i="67"/>
  <c r="AF8" i="63"/>
  <c r="AF5" i="67"/>
  <c r="AF5" i="63"/>
  <c r="AF6" i="67"/>
  <c r="N249" i="118" l="1"/>
  <c r="BX49"/>
  <c r="B250" s="1"/>
  <c r="U249"/>
  <c r="AZ197"/>
  <c r="AZ202"/>
  <c r="AZ198"/>
  <c r="AZ208"/>
  <c r="AZ204"/>
  <c r="AZ207"/>
  <c r="AZ206"/>
  <c r="AZ205"/>
  <c r="AZ200"/>
  <c r="AZ211"/>
  <c r="AZ209"/>
  <c r="AZ201"/>
  <c r="AZ210"/>
  <c r="AZ199"/>
  <c r="AZ203"/>
  <c r="AF202"/>
  <c r="AF198"/>
  <c r="AF208"/>
  <c r="AF204"/>
  <c r="AF207"/>
  <c r="AF206"/>
  <c r="AF205"/>
  <c r="AF200"/>
  <c r="AF211"/>
  <c r="AF209"/>
  <c r="AF201"/>
  <c r="AF210"/>
  <c r="AF199"/>
  <c r="AF203"/>
  <c r="AF197"/>
  <c r="I35" i="60"/>
  <c r="H35"/>
  <c r="E35"/>
  <c r="F35"/>
  <c r="G35" l="1"/>
  <c r="F30"/>
  <c r="G30" l="1"/>
  <c r="W4" i="13"/>
  <c r="W13" s="1"/>
  <c r="Y4"/>
  <c r="Y13" s="1"/>
  <c r="Y52" l="1"/>
  <c r="Y44"/>
  <c r="Y48"/>
  <c r="Y40"/>
  <c r="Y36"/>
  <c r="Y28"/>
  <c r="Y32"/>
  <c r="Y24"/>
  <c r="Y50"/>
  <c r="Y46"/>
  <c r="Y42"/>
  <c r="Y38"/>
  <c r="Y34"/>
  <c r="Y30"/>
  <c r="Y26"/>
  <c r="Y20"/>
  <c r="Y22"/>
  <c r="Y17"/>
  <c r="Y51"/>
  <c r="Y49"/>
  <c r="Y47"/>
  <c r="Y45"/>
  <c r="Y43"/>
  <c r="Y41"/>
  <c r="Y39"/>
  <c r="Y37"/>
  <c r="Y35"/>
  <c r="Y33"/>
  <c r="Y31"/>
  <c r="Y29"/>
  <c r="Y27"/>
  <c r="Y25"/>
  <c r="Y23"/>
  <c r="Y21"/>
  <c r="Y19"/>
  <c r="Y15"/>
  <c r="Y18"/>
  <c r="Y16"/>
  <c r="Y14"/>
  <c r="W52"/>
  <c r="W51"/>
  <c r="W50"/>
  <c r="W49"/>
  <c r="W48"/>
  <c r="W47"/>
  <c r="W46"/>
  <c r="W45"/>
  <c r="W44"/>
  <c r="W43"/>
  <c r="W42"/>
  <c r="W41"/>
  <c r="W40"/>
  <c r="W39"/>
  <c r="W38"/>
  <c r="W37"/>
  <c r="W36"/>
  <c r="W35"/>
  <c r="W34"/>
  <c r="W33"/>
  <c r="W32"/>
  <c r="W31"/>
  <c r="W30"/>
  <c r="W29"/>
  <c r="W28"/>
  <c r="W27"/>
  <c r="W26"/>
  <c r="W25"/>
  <c r="W24"/>
  <c r="W23"/>
  <c r="W22"/>
  <c r="W21"/>
  <c r="W20"/>
  <c r="W19"/>
  <c r="W18"/>
  <c r="W17"/>
  <c r="W16"/>
  <c r="W15"/>
  <c r="W12"/>
  <c r="W14"/>
  <c r="Y12"/>
  <c r="X4"/>
  <c r="X12" l="1"/>
  <c r="F12" s="1"/>
  <c r="X14"/>
  <c r="F14" s="1"/>
  <c r="BA21" i="162" s="1"/>
  <c r="BB21" s="1"/>
  <c r="X13" i="13"/>
  <c r="F13" s="1"/>
  <c r="BA20" i="162" s="1"/>
  <c r="BB20" s="1"/>
  <c r="X16" i="13"/>
  <c r="F16" s="1"/>
  <c r="BA23" i="162" s="1"/>
  <c r="BB23" s="1"/>
  <c r="X18" i="13"/>
  <c r="F18" s="1"/>
  <c r="BA25" i="162" s="1"/>
  <c r="BB25" s="1"/>
  <c r="X20" i="13"/>
  <c r="F20" s="1"/>
  <c r="BA27" i="162" s="1"/>
  <c r="BB27" s="1"/>
  <c r="X22" i="13"/>
  <c r="F22" s="1"/>
  <c r="BA29" i="162" s="1"/>
  <c r="BB29" s="1"/>
  <c r="X24" i="13"/>
  <c r="F24" s="1"/>
  <c r="BA31" i="162" s="1"/>
  <c r="BB31" s="1"/>
  <c r="X26" i="13"/>
  <c r="F26" s="1"/>
  <c r="BA33" i="162" s="1"/>
  <c r="BB33" s="1"/>
  <c r="X28" i="13"/>
  <c r="F28" s="1"/>
  <c r="BA35" i="162" s="1"/>
  <c r="BB35" s="1"/>
  <c r="X30" i="13"/>
  <c r="F30" s="1"/>
  <c r="BA37" i="162" s="1"/>
  <c r="BB37" s="1"/>
  <c r="X32" i="13"/>
  <c r="F32" s="1"/>
  <c r="BA39" i="162" s="1"/>
  <c r="BB39" s="1"/>
  <c r="X34" i="13"/>
  <c r="F34" s="1"/>
  <c r="BA41" i="162" s="1"/>
  <c r="BB41" s="1"/>
  <c r="X36" i="13"/>
  <c r="F36" s="1"/>
  <c r="BA43" i="162" s="1"/>
  <c r="BB43" s="1"/>
  <c r="X38" i="13"/>
  <c r="F38" s="1"/>
  <c r="BA45" i="162" s="1"/>
  <c r="BB45" s="1"/>
  <c r="X40" i="13"/>
  <c r="F40" s="1"/>
  <c r="BA47" i="162" s="1"/>
  <c r="BB47" s="1"/>
  <c r="X42" i="13"/>
  <c r="F42" s="1"/>
  <c r="BA49" i="162" s="1"/>
  <c r="BB49" s="1"/>
  <c r="X44" i="13"/>
  <c r="F44" s="1"/>
  <c r="BA51" i="162" s="1"/>
  <c r="BB51" s="1"/>
  <c r="X46" i="13"/>
  <c r="F46" s="1"/>
  <c r="BA53" i="162" s="1"/>
  <c r="BB53" s="1"/>
  <c r="X48" i="13"/>
  <c r="F48" s="1"/>
  <c r="BA55" i="162" s="1"/>
  <c r="BB55" s="1"/>
  <c r="X50" i="13"/>
  <c r="F50" s="1"/>
  <c r="BA57" i="162" s="1"/>
  <c r="BB57" s="1"/>
  <c r="X52" i="13"/>
  <c r="F52" s="1"/>
  <c r="X15"/>
  <c r="F15" s="1"/>
  <c r="BA22" i="162" s="1"/>
  <c r="BB22" s="1"/>
  <c r="X17" i="13"/>
  <c r="F17" s="1"/>
  <c r="BA24" i="162" s="1"/>
  <c r="BB24" s="1"/>
  <c r="X19" i="13"/>
  <c r="F19" s="1"/>
  <c r="BA26" i="162" s="1"/>
  <c r="BB26" s="1"/>
  <c r="X21" i="13"/>
  <c r="F21" s="1"/>
  <c r="BA28" i="162" s="1"/>
  <c r="BB28" s="1"/>
  <c r="X23" i="13"/>
  <c r="F23" s="1"/>
  <c r="BA30" i="162" s="1"/>
  <c r="BB30" s="1"/>
  <c r="X25" i="13"/>
  <c r="F25" s="1"/>
  <c r="BA32" i="162" s="1"/>
  <c r="BB32" s="1"/>
  <c r="X27" i="13"/>
  <c r="F27" s="1"/>
  <c r="BA34" i="162" s="1"/>
  <c r="BB34" s="1"/>
  <c r="X29" i="13"/>
  <c r="F29" s="1"/>
  <c r="BA36" i="162" s="1"/>
  <c r="BB36" s="1"/>
  <c r="X31" i="13"/>
  <c r="F31" s="1"/>
  <c r="BA38" i="162" s="1"/>
  <c r="BB38" s="1"/>
  <c r="X33" i="13"/>
  <c r="F33" s="1"/>
  <c r="BA40" i="162" s="1"/>
  <c r="BB40" s="1"/>
  <c r="X35" i="13"/>
  <c r="F35" s="1"/>
  <c r="BA42" i="162" s="1"/>
  <c r="BB42" s="1"/>
  <c r="X37" i="13"/>
  <c r="F37" s="1"/>
  <c r="BA44" i="162" s="1"/>
  <c r="BB44" s="1"/>
  <c r="X39" i="13"/>
  <c r="F39" s="1"/>
  <c r="BA46" i="162" s="1"/>
  <c r="BB46" s="1"/>
  <c r="X41" i="13"/>
  <c r="F41" s="1"/>
  <c r="BA48" i="162" s="1"/>
  <c r="BB48" s="1"/>
  <c r="X43" i="13"/>
  <c r="F43" s="1"/>
  <c r="BA50" i="162" s="1"/>
  <c r="BB50" s="1"/>
  <c r="X45" i="13"/>
  <c r="F45" s="1"/>
  <c r="BA52" i="162" s="1"/>
  <c r="BB52" s="1"/>
  <c r="X47" i="13"/>
  <c r="F47" s="1"/>
  <c r="BA54" i="162" s="1"/>
  <c r="BB54" s="1"/>
  <c r="X49" i="13"/>
  <c r="F49" s="1"/>
  <c r="BA56" i="162" s="1"/>
  <c r="BB56" s="1"/>
  <c r="X51" i="13"/>
  <c r="F51" s="1"/>
  <c r="BA58" i="162" s="1"/>
  <c r="BB58" s="1"/>
  <c r="BA59" l="1"/>
  <c r="BB59" s="1"/>
  <c r="E12" i="13"/>
  <c r="BA19" i="162"/>
  <c r="BB19" s="1"/>
  <c r="G47" i="13"/>
  <c r="AO54" i="171" s="1"/>
  <c r="AP54" s="1"/>
  <c r="G43" i="13"/>
  <c r="AO50" i="171" s="1"/>
  <c r="AP50" s="1"/>
  <c r="G39" i="13"/>
  <c r="AO46" i="171" s="1"/>
  <c r="AP46" s="1"/>
  <c r="G35" i="13"/>
  <c r="AO42" i="171" s="1"/>
  <c r="AP42" s="1"/>
  <c r="G31" i="13"/>
  <c r="AO38" i="171" s="1"/>
  <c r="AP38" s="1"/>
  <c r="G27" i="13"/>
  <c r="AO34" i="171" s="1"/>
  <c r="AP34" s="1"/>
  <c r="G23" i="13"/>
  <c r="AO30" i="171" s="1"/>
  <c r="AP30" s="1"/>
  <c r="G19" i="13"/>
  <c r="AO26" i="171" s="1"/>
  <c r="AP26" s="1"/>
  <c r="G15" i="13"/>
  <c r="AO22" i="171" s="1"/>
  <c r="AP22" s="1"/>
  <c r="G50" i="13"/>
  <c r="AO57" i="171" s="1"/>
  <c r="AP57" s="1"/>
  <c r="G46" i="13"/>
  <c r="AO53" i="171" s="1"/>
  <c r="AP53" s="1"/>
  <c r="G42" i="13"/>
  <c r="AO49" i="171" s="1"/>
  <c r="AP49" s="1"/>
  <c r="G38" i="13"/>
  <c r="AO45" i="171" s="1"/>
  <c r="AP45" s="1"/>
  <c r="G34" i="13"/>
  <c r="AO41" i="171" s="1"/>
  <c r="AP41" s="1"/>
  <c r="G30" i="13"/>
  <c r="AO37" i="171" s="1"/>
  <c r="AP37" s="1"/>
  <c r="G26" i="13"/>
  <c r="AO33" i="171" s="1"/>
  <c r="AP33" s="1"/>
  <c r="G22" i="13"/>
  <c r="AO29" i="171" s="1"/>
  <c r="AP29" s="1"/>
  <c r="G18" i="13"/>
  <c r="AO25" i="171" s="1"/>
  <c r="AP25" s="1"/>
  <c r="G13" i="13"/>
  <c r="AO20" i="171" s="1"/>
  <c r="AP20" s="1"/>
  <c r="G12" i="13"/>
  <c r="AO19" i="171" s="1"/>
  <c r="G51" i="13"/>
  <c r="AO58" i="171" s="1"/>
  <c r="AP58" s="1"/>
  <c r="G49" i="13"/>
  <c r="AO56" i="171" s="1"/>
  <c r="AP56" s="1"/>
  <c r="G45" i="13"/>
  <c r="AO52" i="171" s="1"/>
  <c r="AP52" s="1"/>
  <c r="G41" i="13"/>
  <c r="AO48" i="171" s="1"/>
  <c r="AP48" s="1"/>
  <c r="G37" i="13"/>
  <c r="AO44" i="171" s="1"/>
  <c r="AP44" s="1"/>
  <c r="G33" i="13"/>
  <c r="AO40" i="171" s="1"/>
  <c r="AP40" s="1"/>
  <c r="G29" i="13"/>
  <c r="AO36" i="171" s="1"/>
  <c r="AP36" s="1"/>
  <c r="G25" i="13"/>
  <c r="AO32" i="171" s="1"/>
  <c r="AP32" s="1"/>
  <c r="G21" i="13"/>
  <c r="AO28" i="171" s="1"/>
  <c r="AP28" s="1"/>
  <c r="G17" i="13"/>
  <c r="AO24" i="171" s="1"/>
  <c r="AP24" s="1"/>
  <c r="G52" i="13"/>
  <c r="AO59" i="171" s="1"/>
  <c r="AP59" s="1"/>
  <c r="G48" i="13"/>
  <c r="AO55" i="171" s="1"/>
  <c r="AP55" s="1"/>
  <c r="G44" i="13"/>
  <c r="AO51" i="171" s="1"/>
  <c r="AP51" s="1"/>
  <c r="G40" i="13"/>
  <c r="AO47" i="171" s="1"/>
  <c r="AP47" s="1"/>
  <c r="G36" i="13"/>
  <c r="AO43" i="171" s="1"/>
  <c r="AP43" s="1"/>
  <c r="G32" i="13"/>
  <c r="AO39" i="171" s="1"/>
  <c r="AP39" s="1"/>
  <c r="G28" i="13"/>
  <c r="AO35" i="171" s="1"/>
  <c r="AP35" s="1"/>
  <c r="G24" i="13"/>
  <c r="AO31" i="171" s="1"/>
  <c r="AP31" s="1"/>
  <c r="G20" i="13"/>
  <c r="AO27" i="171" s="1"/>
  <c r="AP27" s="1"/>
  <c r="G16" i="13"/>
  <c r="AO23" i="171" s="1"/>
  <c r="AP23" s="1"/>
  <c r="G14" i="13"/>
  <c r="AO21" i="171" s="1"/>
  <c r="AP21" s="1"/>
  <c r="AP19" l="1"/>
  <c r="K7"/>
  <c r="AX19" i="162"/>
  <c r="AW19"/>
  <c r="BC47"/>
  <c r="AN47" s="1"/>
  <c r="BA47" i="161"/>
  <c r="BC28" i="162"/>
  <c r="AN28" s="1"/>
  <c r="BA28" i="161"/>
  <c r="BC25" i="162"/>
  <c r="AN25" s="1"/>
  <c r="BA25" i="161"/>
  <c r="BC57" i="162"/>
  <c r="AN57" s="1"/>
  <c r="BA57" i="161"/>
  <c r="BC27" i="162"/>
  <c r="AN27" s="1"/>
  <c r="BA27" i="161"/>
  <c r="BC24" i="162"/>
  <c r="AN24" s="1"/>
  <c r="BA24" i="161"/>
  <c r="BC20" i="162"/>
  <c r="AN20" s="1"/>
  <c r="BA20" i="161"/>
  <c r="BC53" i="162"/>
  <c r="AN53" s="1"/>
  <c r="BA53" i="161"/>
  <c r="BC30" i="162"/>
  <c r="AN30" s="1"/>
  <c r="BA30" i="161"/>
  <c r="BC56" i="162"/>
  <c r="AN56" s="1"/>
  <c r="BA56" i="161"/>
  <c r="BC23" i="162"/>
  <c r="AN23" s="1"/>
  <c r="BA23" i="161"/>
  <c r="BC39" i="162"/>
  <c r="AN39" s="1"/>
  <c r="BA39" i="161"/>
  <c r="BC55" i="162"/>
  <c r="AN55" s="1"/>
  <c r="BA55" i="161"/>
  <c r="BC36" i="162"/>
  <c r="AN36" s="1"/>
  <c r="BA36" i="161"/>
  <c r="BC52" i="162"/>
  <c r="AN52" s="1"/>
  <c r="BA52" i="161"/>
  <c r="BC33" i="162"/>
  <c r="AN33" s="1"/>
  <c r="BA33" i="161"/>
  <c r="BC49" i="162"/>
  <c r="AN49" s="1"/>
  <c r="BA49" i="161"/>
  <c r="BC26" i="162"/>
  <c r="AN26" s="1"/>
  <c r="BA26" i="161"/>
  <c r="BC42" i="162"/>
  <c r="AN42" s="1"/>
  <c r="BA42" i="161"/>
  <c r="BC58" i="162"/>
  <c r="AN58" s="1"/>
  <c r="BA58" i="161"/>
  <c r="BC31" i="162"/>
  <c r="AN31" s="1"/>
  <c r="BA31" i="161"/>
  <c r="BC44" i="162"/>
  <c r="AN44" s="1"/>
  <c r="BA44" i="161"/>
  <c r="BC41" i="162"/>
  <c r="AN41" s="1"/>
  <c r="BA41" i="161"/>
  <c r="BC34" i="162"/>
  <c r="AN34" s="1"/>
  <c r="BA34" i="161"/>
  <c r="BC50" i="162"/>
  <c r="AN50" s="1"/>
  <c r="BA50" i="161"/>
  <c r="BC43" i="162"/>
  <c r="AN43" s="1"/>
  <c r="BA43" i="161"/>
  <c r="BC40" i="162"/>
  <c r="AN40" s="1"/>
  <c r="BA40" i="161"/>
  <c r="BC37" i="162"/>
  <c r="AN37" s="1"/>
  <c r="BA37" i="161"/>
  <c r="BC46" i="162"/>
  <c r="AN46" s="1"/>
  <c r="BA46" i="161"/>
  <c r="BC21" i="162"/>
  <c r="AN21" s="1"/>
  <c r="BA21" i="161"/>
  <c r="BC35" i="162"/>
  <c r="AN35" s="1"/>
  <c r="BA35" i="161"/>
  <c r="BC51" i="162"/>
  <c r="AN51" s="1"/>
  <c r="BA51" i="161"/>
  <c r="BC32" i="162"/>
  <c r="AN32" s="1"/>
  <c r="BA32" i="161"/>
  <c r="BC48" i="162"/>
  <c r="AN48" s="1"/>
  <c r="BA48" i="161"/>
  <c r="BC29" i="162"/>
  <c r="AN29" s="1"/>
  <c r="BA29" i="161"/>
  <c r="BC45" i="162"/>
  <c r="AN45" s="1"/>
  <c r="BA45" i="161"/>
  <c r="BC22" i="162"/>
  <c r="AN22" s="1"/>
  <c r="BA22" i="161"/>
  <c r="BC38" i="162"/>
  <c r="AN38" s="1"/>
  <c r="BA38" i="161"/>
  <c r="BC54" i="162"/>
  <c r="AN54" s="1"/>
  <c r="BA54" i="161"/>
  <c r="E13" i="13"/>
  <c r="R12" i="49"/>
  <c r="C12"/>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C46" s="1"/>
  <c r="C47" s="1"/>
  <c r="C48" s="1"/>
  <c r="C49" s="1"/>
  <c r="C50" s="1"/>
  <c r="C51" s="1"/>
  <c r="C52" s="1"/>
  <c r="D12"/>
  <c r="H20" i="13"/>
  <c r="H28"/>
  <c r="H36"/>
  <c r="H52"/>
  <c r="H21"/>
  <c r="H29"/>
  <c r="H45"/>
  <c r="H51"/>
  <c r="H16"/>
  <c r="H24"/>
  <c r="H32"/>
  <c r="H40"/>
  <c r="H48"/>
  <c r="H17"/>
  <c r="H25"/>
  <c r="H33"/>
  <c r="H41"/>
  <c r="H49"/>
  <c r="H12"/>
  <c r="H13"/>
  <c r="H22"/>
  <c r="H30"/>
  <c r="H38"/>
  <c r="H46"/>
  <c r="H15"/>
  <c r="H23"/>
  <c r="H31"/>
  <c r="H39"/>
  <c r="H47"/>
  <c r="H14"/>
  <c r="H44"/>
  <c r="H37"/>
  <c r="H18"/>
  <c r="H34"/>
  <c r="H42"/>
  <c r="H50"/>
  <c r="H19"/>
  <c r="H27"/>
  <c r="H35"/>
  <c r="H43"/>
  <c r="H26"/>
  <c r="R504" i="175"/>
  <c r="Q502"/>
  <c r="N502"/>
  <c r="L504"/>
  <c r="O502"/>
  <c r="J504"/>
  <c r="L502"/>
  <c r="K502"/>
  <c r="AD502"/>
  <c r="AR504"/>
  <c r="W502"/>
  <c r="AH502"/>
  <c r="I504"/>
  <c r="J502"/>
  <c r="AJ504"/>
  <c r="H502"/>
  <c r="AM502"/>
  <c r="AC504"/>
  <c r="I502"/>
  <c r="AR502"/>
  <c r="T504"/>
  <c r="Z504"/>
  <c r="AA502"/>
  <c r="AO504"/>
  <c r="S504"/>
  <c r="Z502"/>
  <c r="AG504"/>
  <c r="AE502"/>
  <c r="AQ502"/>
  <c r="AM504"/>
  <c r="AL502"/>
  <c r="S502"/>
  <c r="AS502"/>
  <c r="AO502"/>
  <c r="AH504"/>
  <c r="AF502"/>
  <c r="AT504"/>
  <c r="AB502"/>
  <c r="AL504"/>
  <c r="Q504"/>
  <c r="Y504"/>
  <c r="P504"/>
  <c r="AT502"/>
  <c r="M502"/>
  <c r="AF504"/>
  <c r="AB504"/>
  <c r="X504"/>
  <c r="U502"/>
  <c r="N504"/>
  <c r="X502"/>
  <c r="AA504"/>
  <c r="AI502"/>
  <c r="H504"/>
  <c r="P502"/>
  <c r="V502"/>
  <c r="R502"/>
  <c r="AN504"/>
  <c r="AP504"/>
  <c r="T502"/>
  <c r="AJ502"/>
  <c r="AD504"/>
  <c r="AS504"/>
  <c r="AE504"/>
  <c r="AI504"/>
  <c r="AQ504"/>
  <c r="AK502"/>
  <c r="V504"/>
  <c r="AC502"/>
  <c r="O504"/>
  <c r="AP502"/>
  <c r="AG502"/>
  <c r="K504"/>
  <c r="AK504"/>
  <c r="W504"/>
  <c r="M504"/>
  <c r="Y502"/>
  <c r="U504"/>
  <c r="AN502"/>
  <c r="J566" l="1"/>
  <c r="T566"/>
  <c r="AH566"/>
  <c r="AL566"/>
  <c r="AC566"/>
  <c r="AD566"/>
  <c r="AN566"/>
  <c r="K566"/>
  <c r="H566"/>
  <c r="F504"/>
  <c r="O566"/>
  <c r="M566"/>
  <c r="AI566"/>
  <c r="Z566"/>
  <c r="AG566"/>
  <c r="AJ566"/>
  <c r="AM566"/>
  <c r="I566"/>
  <c r="Y566"/>
  <c r="AE566"/>
  <c r="V566"/>
  <c r="AZ504"/>
  <c r="AF566"/>
  <c r="BD504"/>
  <c r="AT566"/>
  <c r="N566"/>
  <c r="U566"/>
  <c r="X566"/>
  <c r="AA566"/>
  <c r="BB504"/>
  <c r="AR566"/>
  <c r="AO566"/>
  <c r="L566"/>
  <c r="AV504"/>
  <c r="AS566"/>
  <c r="P566"/>
  <c r="AP566"/>
  <c r="BH504"/>
  <c r="Q566"/>
  <c r="AX504"/>
  <c r="W566"/>
  <c r="AB566"/>
  <c r="S566"/>
  <c r="AK566"/>
  <c r="BF504"/>
  <c r="AQ566"/>
  <c r="R566"/>
  <c r="M564"/>
  <c r="AE564"/>
  <c r="AD564"/>
  <c r="X564"/>
  <c r="AC564"/>
  <c r="S564"/>
  <c r="AH564"/>
  <c r="AP564"/>
  <c r="K564"/>
  <c r="AM564"/>
  <c r="AJ564"/>
  <c r="R564"/>
  <c r="AL564"/>
  <c r="AA564"/>
  <c r="AG564"/>
  <c r="J564"/>
  <c r="AR564"/>
  <c r="AQ564"/>
  <c r="W564"/>
  <c r="AO564"/>
  <c r="AT564"/>
  <c r="I564"/>
  <c r="AF564"/>
  <c r="P564"/>
  <c r="AS564"/>
  <c r="O564"/>
  <c r="Z564"/>
  <c r="AN564"/>
  <c r="AK564"/>
  <c r="Q564"/>
  <c r="H564"/>
  <c r="AB564"/>
  <c r="U564"/>
  <c r="L564"/>
  <c r="Y564"/>
  <c r="V564"/>
  <c r="N564"/>
  <c r="AI564"/>
  <c r="T564"/>
  <c r="F502"/>
  <c r="H532"/>
  <c r="J532"/>
  <c r="T532"/>
  <c r="AH532"/>
  <c r="AL532"/>
  <c r="S532"/>
  <c r="BF502"/>
  <c r="AK532"/>
  <c r="AQ532"/>
  <c r="K532"/>
  <c r="O532"/>
  <c r="M532"/>
  <c r="AI532"/>
  <c r="Z532"/>
  <c r="AG532"/>
  <c r="AJ532"/>
  <c r="AM532"/>
  <c r="I532"/>
  <c r="Y532"/>
  <c r="AE532"/>
  <c r="AZ502"/>
  <c r="V532"/>
  <c r="BD502"/>
  <c r="AF532"/>
  <c r="AT532"/>
  <c r="N532"/>
  <c r="U532"/>
  <c r="X532"/>
  <c r="BB502"/>
  <c r="AA532"/>
  <c r="AR532"/>
  <c r="AO532"/>
  <c r="AV502"/>
  <c r="L532"/>
  <c r="AS532"/>
  <c r="P532"/>
  <c r="BH502"/>
  <c r="AP532"/>
  <c r="AX502"/>
  <c r="Q532"/>
  <c r="W532"/>
  <c r="AB532"/>
  <c r="AC532"/>
  <c r="AD532"/>
  <c r="AN532"/>
  <c r="R532"/>
  <c r="AP22" i="162"/>
  <c r="AP32"/>
  <c r="AP46"/>
  <c r="AP50"/>
  <c r="AP31"/>
  <c r="AP49"/>
  <c r="AP55"/>
  <c r="AP23"/>
  <c r="AP27"/>
  <c r="AP25"/>
  <c r="AP47"/>
  <c r="AP38"/>
  <c r="AP45"/>
  <c r="AP48"/>
  <c r="AP51"/>
  <c r="AP21"/>
  <c r="AP37"/>
  <c r="AP43"/>
  <c r="AP34"/>
  <c r="AP44"/>
  <c r="AP58"/>
  <c r="AP26"/>
  <c r="AP33"/>
  <c r="AP36"/>
  <c r="AP39"/>
  <c r="AP56"/>
  <c r="AP53"/>
  <c r="AP24"/>
  <c r="AP57"/>
  <c r="AP28"/>
  <c r="AP54"/>
  <c r="AP29"/>
  <c r="AP35"/>
  <c r="AP40"/>
  <c r="AP41"/>
  <c r="AP42"/>
  <c r="AP52"/>
  <c r="AP30"/>
  <c r="BC59"/>
  <c r="AN59" s="1"/>
  <c r="AP59" s="1"/>
  <c r="AW20"/>
  <c r="BA59" i="161"/>
  <c r="BC19" i="162"/>
  <c r="BA19" i="161"/>
  <c r="AP20" i="162"/>
  <c r="E14" i="13"/>
  <c r="R13" i="49"/>
  <c r="E25" i="7"/>
  <c r="E12" i="49"/>
  <c r="Q18" i="70"/>
  <c r="Q40"/>
  <c r="Q9"/>
  <c r="Q34"/>
  <c r="Q22"/>
  <c r="Q10"/>
  <c r="Q26"/>
  <c r="Q43"/>
  <c r="Q42"/>
  <c r="Q8"/>
  <c r="Q44"/>
  <c r="Q27"/>
  <c r="Q31"/>
  <c r="Q32"/>
  <c r="Q24"/>
  <c r="Q38"/>
  <c r="Q30"/>
  <c r="Q20"/>
  <c r="Q16"/>
  <c r="Q41"/>
  <c r="Q15"/>
  <c r="Q35"/>
  <c r="Q33"/>
  <c r="Q11"/>
  <c r="Q17"/>
  <c r="Q37"/>
  <c r="Q21"/>
  <c r="Q25"/>
  <c r="Q28"/>
  <c r="Q29"/>
  <c r="Q36"/>
  <c r="Q14"/>
  <c r="Q23"/>
  <c r="Q7"/>
  <c r="Q6"/>
  <c r="Q39"/>
  <c r="Q12"/>
  <c r="Q45"/>
  <c r="Q13"/>
  <c r="Q19"/>
  <c r="D13" i="188" l="1"/>
  <c r="BH566" i="175"/>
  <c r="AZ566"/>
  <c r="AX566"/>
  <c r="F566"/>
  <c r="AV566"/>
  <c r="BF566"/>
  <c r="BB566"/>
  <c r="BD566"/>
  <c r="AV564"/>
  <c r="AX564"/>
  <c r="BB564"/>
  <c r="BD564"/>
  <c r="BF564"/>
  <c r="F564"/>
  <c r="AZ564"/>
  <c r="BH564"/>
  <c r="F532"/>
  <c r="BH532"/>
  <c r="AZ532"/>
  <c r="AX532"/>
  <c r="D13" i="176"/>
  <c r="AV532" i="175"/>
  <c r="BF532"/>
  <c r="BB532"/>
  <c r="BD532"/>
  <c r="L19" i="171"/>
  <c r="K6" i="162"/>
  <c r="BE45"/>
  <c r="BN45" s="1"/>
  <c r="BF25"/>
  <c r="AU27" i="161"/>
  <c r="BX19" s="1"/>
  <c r="BD52" i="162"/>
  <c r="BD54"/>
  <c r="BD32"/>
  <c r="BD50"/>
  <c r="BD40"/>
  <c r="BD42"/>
  <c r="BD25"/>
  <c r="BM25" s="1"/>
  <c r="BD21"/>
  <c r="BM21" s="1"/>
  <c r="BD34"/>
  <c r="BM34" s="1"/>
  <c r="BD48"/>
  <c r="BD58"/>
  <c r="BD43"/>
  <c r="BD30"/>
  <c r="BD28"/>
  <c r="BM28" s="1"/>
  <c r="BD20"/>
  <c r="BD35"/>
  <c r="BM35" s="1"/>
  <c r="BD22"/>
  <c r="BM22" s="1"/>
  <c r="BD27"/>
  <c r="BD46"/>
  <c r="BD29"/>
  <c r="BM29" s="1"/>
  <c r="BD36"/>
  <c r="BD38"/>
  <c r="BM38" s="1"/>
  <c r="BD55"/>
  <c r="BM55" s="1"/>
  <c r="BD41"/>
  <c r="BD23"/>
  <c r="BD57"/>
  <c r="BM57" s="1"/>
  <c r="BD31"/>
  <c r="BD49"/>
  <c r="BD33"/>
  <c r="BM33" s="1"/>
  <c r="BD56"/>
  <c r="BD45"/>
  <c r="BW46" s="1"/>
  <c r="BD24"/>
  <c r="BD51"/>
  <c r="BM51" s="1"/>
  <c r="BD53"/>
  <c r="BD39"/>
  <c r="BD44"/>
  <c r="BM44" s="1"/>
  <c r="BD47"/>
  <c r="BM47" s="1"/>
  <c r="BD26"/>
  <c r="BD37"/>
  <c r="BD59"/>
  <c r="BD19"/>
  <c r="E15" i="13"/>
  <c r="AB33" i="165"/>
  <c r="AB34"/>
  <c r="AB32"/>
  <c r="AB35"/>
  <c r="AB37"/>
  <c r="AB38"/>
  <c r="AB36"/>
  <c r="AB25"/>
  <c r="AB41"/>
  <c r="AB57"/>
  <c r="AB26"/>
  <c r="AB42"/>
  <c r="AB23"/>
  <c r="AB31"/>
  <c r="AB39"/>
  <c r="AB47"/>
  <c r="AB55"/>
  <c r="AB24"/>
  <c r="AB40"/>
  <c r="AB48"/>
  <c r="AB56"/>
  <c r="AB51"/>
  <c r="AB28"/>
  <c r="AB44"/>
  <c r="AB58"/>
  <c r="AB20"/>
  <c r="AB29"/>
  <c r="AB45"/>
  <c r="AB53"/>
  <c r="AB22"/>
  <c r="AB30"/>
  <c r="AB46"/>
  <c r="AB54"/>
  <c r="AB21"/>
  <c r="AB27"/>
  <c r="AB43"/>
  <c r="AB59"/>
  <c r="AB52"/>
  <c r="AB49"/>
  <c r="AB50"/>
  <c r="AB19" i="146"/>
  <c r="R14" i="49"/>
  <c r="E13"/>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D13"/>
  <c r="I12"/>
  <c r="W19" i="171" s="1"/>
  <c r="E26" i="7"/>
  <c r="E24"/>
  <c r="E27"/>
  <c r="L171" i="175"/>
  <c r="AQ171"/>
  <c r="X171"/>
  <c r="G233"/>
  <c r="G234"/>
  <c r="AR171"/>
  <c r="H171"/>
  <c r="W171"/>
  <c r="AT171"/>
  <c r="AG171"/>
  <c r="H233"/>
  <c r="H228"/>
  <c r="AJ171"/>
  <c r="H167"/>
  <c r="P171"/>
  <c r="G227"/>
  <c r="G230"/>
  <c r="AI171"/>
  <c r="H232"/>
  <c r="G165"/>
  <c r="H229"/>
  <c r="G162"/>
  <c r="AE171"/>
  <c r="V171"/>
  <c r="H230"/>
  <c r="H235"/>
  <c r="G164"/>
  <c r="AM171"/>
  <c r="G168"/>
  <c r="G231"/>
  <c r="AK171"/>
  <c r="AN171"/>
  <c r="I171"/>
  <c r="U171"/>
  <c r="AA171"/>
  <c r="G232"/>
  <c r="AP171"/>
  <c r="G237"/>
  <c r="AS171"/>
  <c r="J171"/>
  <c r="Z171"/>
  <c r="H234"/>
  <c r="G236"/>
  <c r="T171"/>
  <c r="M171"/>
  <c r="AH171"/>
  <c r="AF171"/>
  <c r="O171"/>
  <c r="H236"/>
  <c r="AO171"/>
  <c r="AL171"/>
  <c r="H231"/>
  <c r="H237"/>
  <c r="Q171"/>
  <c r="H227"/>
  <c r="S171"/>
  <c r="AD171"/>
  <c r="G229"/>
  <c r="AB171"/>
  <c r="AC171"/>
  <c r="R171"/>
  <c r="G235"/>
  <c r="Y171"/>
  <c r="K171"/>
  <c r="N171"/>
  <c r="BW23" i="162" l="1"/>
  <c r="BF171" i="175"/>
  <c r="AX171"/>
  <c r="BD171"/>
  <c r="BH171"/>
  <c r="AV171"/>
  <c r="AZ171"/>
  <c r="BB171"/>
  <c r="L21" i="171"/>
  <c r="L20"/>
  <c r="BF54" i="162"/>
  <c r="BO54" s="1"/>
  <c r="BF59"/>
  <c r="BO59" s="1"/>
  <c r="BF50"/>
  <c r="BO50" s="1"/>
  <c r="BF43"/>
  <c r="BO43" s="1"/>
  <c r="BF53"/>
  <c r="BO53" s="1"/>
  <c r="BF28"/>
  <c r="BO28" s="1"/>
  <c r="BF51"/>
  <c r="BO51" s="1"/>
  <c r="BF42"/>
  <c r="BF33"/>
  <c r="BO33" s="1"/>
  <c r="BE30"/>
  <c r="BN30" s="1"/>
  <c r="BE51"/>
  <c r="BN51" s="1"/>
  <c r="BF39"/>
  <c r="BO39" s="1"/>
  <c r="BF24"/>
  <c r="BY25" s="1"/>
  <c r="BF36"/>
  <c r="BO36" s="1"/>
  <c r="AU29" i="161"/>
  <c r="AU55" s="1"/>
  <c r="BF19" i="162"/>
  <c r="BY19" s="1"/>
  <c r="BW19"/>
  <c r="BX20" i="161"/>
  <c r="BM49" i="162"/>
  <c r="BW52"/>
  <c r="BM43"/>
  <c r="BM24"/>
  <c r="BM50"/>
  <c r="BE31"/>
  <c r="BN31" s="1"/>
  <c r="BM59"/>
  <c r="BE20"/>
  <c r="BN20" s="1"/>
  <c r="BM52"/>
  <c r="BM36"/>
  <c r="BM54"/>
  <c r="BW35"/>
  <c r="BE27"/>
  <c r="BN27" s="1"/>
  <c r="BF32"/>
  <c r="BF58"/>
  <c r="BF29"/>
  <c r="BF30"/>
  <c r="BE41"/>
  <c r="BN41" s="1"/>
  <c r="BF23"/>
  <c r="BF22"/>
  <c r="BF21"/>
  <c r="BE56"/>
  <c r="BF45"/>
  <c r="BO45" s="1"/>
  <c r="BF48"/>
  <c r="BW41"/>
  <c r="BW22"/>
  <c r="BM30"/>
  <c r="BE32"/>
  <c r="AU28" i="161"/>
  <c r="BE38" i="162"/>
  <c r="BN38" s="1"/>
  <c r="BW53"/>
  <c r="BM40"/>
  <c r="BM23"/>
  <c r="BW38"/>
  <c r="BF40"/>
  <c r="BF34"/>
  <c r="BF56"/>
  <c r="BF49"/>
  <c r="BF35"/>
  <c r="BO35" s="1"/>
  <c r="BE46"/>
  <c r="BN46" s="1"/>
  <c r="BF20"/>
  <c r="BF55"/>
  <c r="BE26"/>
  <c r="BW37"/>
  <c r="BW39"/>
  <c r="BW31"/>
  <c r="BW59"/>
  <c r="BW25"/>
  <c r="BE42"/>
  <c r="BE37"/>
  <c r="BE25"/>
  <c r="BE21"/>
  <c r="BE44"/>
  <c r="BE40"/>
  <c r="BE48"/>
  <c r="BE54"/>
  <c r="BE47"/>
  <c r="BE23"/>
  <c r="BE36"/>
  <c r="BE58"/>
  <c r="BE33"/>
  <c r="BE49"/>
  <c r="BE39"/>
  <c r="BE53"/>
  <c r="BF57"/>
  <c r="BF52"/>
  <c r="BF31"/>
  <c r="BF38"/>
  <c r="BF41"/>
  <c r="BF27"/>
  <c r="BF44"/>
  <c r="BF26"/>
  <c r="BY26" s="1"/>
  <c r="BF46"/>
  <c r="BF47"/>
  <c r="BF37"/>
  <c r="BW20"/>
  <c r="BM58"/>
  <c r="BM20"/>
  <c r="BW44"/>
  <c r="BE19"/>
  <c r="BX19" s="1"/>
  <c r="BE59"/>
  <c r="BE24"/>
  <c r="BE29"/>
  <c r="BE50"/>
  <c r="BE28"/>
  <c r="BE34"/>
  <c r="BW51"/>
  <c r="BW36"/>
  <c r="BW30"/>
  <c r="BM39"/>
  <c r="BM41"/>
  <c r="BW40"/>
  <c r="BE52"/>
  <c r="BE43"/>
  <c r="BE22"/>
  <c r="BE35"/>
  <c r="BE55"/>
  <c r="BE57"/>
  <c r="BN57" s="1"/>
  <c r="BW26"/>
  <c r="BW56"/>
  <c r="BW49"/>
  <c r="BW42"/>
  <c r="BW54"/>
  <c r="BW28"/>
  <c r="BM27"/>
  <c r="BW27"/>
  <c r="BW58"/>
  <c r="BO25"/>
  <c r="BM37"/>
  <c r="BM26"/>
  <c r="BM46"/>
  <c r="BM42"/>
  <c r="BM19"/>
  <c r="BM48"/>
  <c r="BW57"/>
  <c r="BW45"/>
  <c r="BW47"/>
  <c r="BW33"/>
  <c r="BW34"/>
  <c r="AU53" i="161"/>
  <c r="BM53" i="162"/>
  <c r="BW48"/>
  <c r="BW55"/>
  <c r="BW32"/>
  <c r="BM32"/>
  <c r="BM45"/>
  <c r="BM31"/>
  <c r="BM56"/>
  <c r="BW24"/>
  <c r="BW29"/>
  <c r="BW43"/>
  <c r="BW21"/>
  <c r="BW50"/>
  <c r="E16" i="13"/>
  <c r="BX21" i="161"/>
  <c r="AB19" i="165"/>
  <c r="AB20" i="146"/>
  <c r="R15" i="49"/>
  <c r="P39" i="51"/>
  <c r="AB197" i="118"/>
  <c r="AD197" s="1"/>
  <c r="BU9" s="1"/>
  <c r="D14" i="49"/>
  <c r="I13"/>
  <c r="W20" i="171" s="1"/>
  <c r="E23" i="7"/>
  <c r="E28" s="1"/>
  <c r="B28"/>
  <c r="I237" i="175"/>
  <c r="H170"/>
  <c r="G170"/>
  <c r="I227"/>
  <c r="H165"/>
  <c r="G225"/>
  <c r="G169"/>
  <c r="G224"/>
  <c r="I165"/>
  <c r="H163"/>
  <c r="G171"/>
  <c r="I226"/>
  <c r="I235"/>
  <c r="H162"/>
  <c r="I229"/>
  <c r="G163"/>
  <c r="Y5" i="120"/>
  <c r="I236" i="175"/>
  <c r="H166"/>
  <c r="H164"/>
  <c r="H168"/>
  <c r="I230"/>
  <c r="Y6" i="120"/>
  <c r="G226" i="175"/>
  <c r="G228"/>
  <c r="G167"/>
  <c r="G166"/>
  <c r="F171" l="1"/>
  <c r="BX26" i="162"/>
  <c r="BZ26" s="1"/>
  <c r="AK26" s="1"/>
  <c r="BY34"/>
  <c r="BO19"/>
  <c r="BY54"/>
  <c r="L22" i="171"/>
  <c r="AB21" i="146"/>
  <c r="BY29" i="162"/>
  <c r="BY20"/>
  <c r="BY55"/>
  <c r="BY50"/>
  <c r="BY59"/>
  <c r="BY44"/>
  <c r="BY28"/>
  <c r="BY43"/>
  <c r="BO42"/>
  <c r="BY40"/>
  <c r="BZ21" i="161"/>
  <c r="BY33" i="162"/>
  <c r="BP51"/>
  <c r="BN21" i="161"/>
  <c r="BN19"/>
  <c r="BX51" i="162"/>
  <c r="BY42"/>
  <c r="BN20" i="161"/>
  <c r="BY24" i="162"/>
  <c r="BY51"/>
  <c r="BZ19" i="161"/>
  <c r="BZ20"/>
  <c r="BX30" i="162"/>
  <c r="BO24"/>
  <c r="BZ19"/>
  <c r="BX32"/>
  <c r="BI31"/>
  <c r="BJ43"/>
  <c r="BN22"/>
  <c r="BO58"/>
  <c r="BL20" i="161"/>
  <c r="BM19"/>
  <c r="P51" i="162"/>
  <c r="BX36"/>
  <c r="BX58"/>
  <c r="BY56"/>
  <c r="BY36"/>
  <c r="BX21"/>
  <c r="BY49"/>
  <c r="BX20"/>
  <c r="BY48"/>
  <c r="BX23"/>
  <c r="BO48"/>
  <c r="BY30"/>
  <c r="BO34"/>
  <c r="BX55"/>
  <c r="BX59"/>
  <c r="BM20" i="161"/>
  <c r="BM21"/>
  <c r="BY31" i="162"/>
  <c r="BX31"/>
  <c r="BX41"/>
  <c r="BL21" i="161"/>
  <c r="BY21"/>
  <c r="BN24" i="162"/>
  <c r="BY35"/>
  <c r="AU40" i="161"/>
  <c r="BX35" i="162"/>
  <c r="BX22"/>
  <c r="BL19" i="161"/>
  <c r="BX46" i="162"/>
  <c r="AU54" i="161"/>
  <c r="BY19"/>
  <c r="BY20"/>
  <c r="BO21" i="162"/>
  <c r="BO30"/>
  <c r="BP30" s="1"/>
  <c r="BX27"/>
  <c r="BO20"/>
  <c r="BP20" s="1"/>
  <c r="BN56"/>
  <c r="BO55"/>
  <c r="BO49"/>
  <c r="BY23"/>
  <c r="BN26"/>
  <c r="BO40"/>
  <c r="BN32"/>
  <c r="BY22"/>
  <c r="BO22"/>
  <c r="BO29"/>
  <c r="BO56"/>
  <c r="BO23"/>
  <c r="BY21"/>
  <c r="BX24"/>
  <c r="BO32"/>
  <c r="BY32"/>
  <c r="BX53"/>
  <c r="BN52"/>
  <c r="BN28"/>
  <c r="BP28" s="1"/>
  <c r="BO46"/>
  <c r="BP46" s="1"/>
  <c r="BO41"/>
  <c r="BP41" s="1"/>
  <c r="BY57"/>
  <c r="BO57"/>
  <c r="BP57" s="1"/>
  <c r="BN33"/>
  <c r="BP33" s="1"/>
  <c r="BX33"/>
  <c r="BN47"/>
  <c r="BX47"/>
  <c r="BN42"/>
  <c r="BX42"/>
  <c r="BX40"/>
  <c r="BN40"/>
  <c r="BX50"/>
  <c r="BN50"/>
  <c r="BP50" s="1"/>
  <c r="BO26"/>
  <c r="BY39"/>
  <c r="BY38"/>
  <c r="BO38"/>
  <c r="BP38" s="1"/>
  <c r="BN53"/>
  <c r="BP53" s="1"/>
  <c r="BN58"/>
  <c r="BX54"/>
  <c r="BN54"/>
  <c r="BP54" s="1"/>
  <c r="BN21"/>
  <c r="BX52"/>
  <c r="BN59"/>
  <c r="BP59" s="1"/>
  <c r="BN19"/>
  <c r="BY46"/>
  <c r="BN44"/>
  <c r="BX44"/>
  <c r="BX45"/>
  <c r="BX43"/>
  <c r="BN43"/>
  <c r="BP43" s="1"/>
  <c r="BX34"/>
  <c r="BN34"/>
  <c r="BY47"/>
  <c r="BO47"/>
  <c r="BO27"/>
  <c r="BP27" s="1"/>
  <c r="BY27"/>
  <c r="BY52"/>
  <c r="BO52"/>
  <c r="BX49"/>
  <c r="BN49"/>
  <c r="BN23"/>
  <c r="BX37"/>
  <c r="BX38"/>
  <c r="BN37"/>
  <c r="BX57"/>
  <c r="BX29"/>
  <c r="BN29"/>
  <c r="BO37"/>
  <c r="BY37"/>
  <c r="BO44"/>
  <c r="BY45"/>
  <c r="BO31"/>
  <c r="BP31" s="1"/>
  <c r="BN39"/>
  <c r="BP39" s="1"/>
  <c r="BX39"/>
  <c r="BN36"/>
  <c r="BP36" s="1"/>
  <c r="BX48"/>
  <c r="BN48"/>
  <c r="BX25"/>
  <c r="BZ25" s="1"/>
  <c r="AK25" s="1"/>
  <c r="BN25"/>
  <c r="BP25" s="1"/>
  <c r="BP45"/>
  <c r="BX56"/>
  <c r="BN55"/>
  <c r="BY41"/>
  <c r="BX28"/>
  <c r="BN35"/>
  <c r="BP35" s="1"/>
  <c r="BY53"/>
  <c r="BY58"/>
  <c r="E17" i="13"/>
  <c r="BL22" i="161"/>
  <c r="BN22"/>
  <c r="BZ22"/>
  <c r="BY22"/>
  <c r="BX22"/>
  <c r="BM22"/>
  <c r="R16" i="49"/>
  <c r="AB198" i="118"/>
  <c r="AD198" s="1"/>
  <c r="BU10" s="1"/>
  <c r="D15" i="49"/>
  <c r="I14"/>
  <c r="W21" i="171" s="1"/>
  <c r="I164" i="175"/>
  <c r="H225"/>
  <c r="I231"/>
  <c r="I232"/>
  <c r="I166"/>
  <c r="Y7" i="120"/>
  <c r="Q11" i="121"/>
  <c r="I228" i="175"/>
  <c r="I167"/>
  <c r="Q12" i="121"/>
  <c r="I170" i="175"/>
  <c r="I163"/>
  <c r="I234"/>
  <c r="I168"/>
  <c r="H226"/>
  <c r="I162"/>
  <c r="H224"/>
  <c r="I233"/>
  <c r="BZ34" i="162" l="1"/>
  <c r="AK34" s="1"/>
  <c r="BP19"/>
  <c r="BZ28"/>
  <c r="AK28" s="1"/>
  <c r="BZ20"/>
  <c r="AK20" s="1"/>
  <c r="CA19" i="161"/>
  <c r="BZ54" i="162"/>
  <c r="AK54" s="1"/>
  <c r="BI25"/>
  <c r="BI50"/>
  <c r="BI40"/>
  <c r="L23" i="171"/>
  <c r="BZ29" i="162"/>
  <c r="AK29" s="1"/>
  <c r="BZ50"/>
  <c r="AK50" s="1"/>
  <c r="BP58"/>
  <c r="BI38"/>
  <c r="CA21" i="161"/>
  <c r="BI51" i="162"/>
  <c r="BI36"/>
  <c r="BI49"/>
  <c r="BI33"/>
  <c r="BZ55"/>
  <c r="AK55" s="1"/>
  <c r="BZ59"/>
  <c r="AK59" s="1"/>
  <c r="BP22"/>
  <c r="BI52"/>
  <c r="BI30"/>
  <c r="BZ33"/>
  <c r="AK33" s="1"/>
  <c r="BI48"/>
  <c r="BI39"/>
  <c r="BI29"/>
  <c r="BI34"/>
  <c r="BZ43"/>
  <c r="AK43" s="1"/>
  <c r="BI54"/>
  <c r="BI53"/>
  <c r="BI47"/>
  <c r="BI56"/>
  <c r="BI19"/>
  <c r="BI24"/>
  <c r="BI22"/>
  <c r="BI37"/>
  <c r="BI44"/>
  <c r="BI42"/>
  <c r="BI57"/>
  <c r="BI43"/>
  <c r="BZ44"/>
  <c r="AK44" s="1"/>
  <c r="BI59"/>
  <c r="BZ24"/>
  <c r="AK24" s="1"/>
  <c r="BI41"/>
  <c r="BI32"/>
  <c r="BI26"/>
  <c r="BI27"/>
  <c r="BI46"/>
  <c r="BZ51"/>
  <c r="AK51" s="1"/>
  <c r="BJ37"/>
  <c r="CA20" i="161"/>
  <c r="BP55" i="162"/>
  <c r="BJ52"/>
  <c r="BP42"/>
  <c r="BZ42"/>
  <c r="AK42" s="1"/>
  <c r="BJ41"/>
  <c r="BJ40"/>
  <c r="BJ23"/>
  <c r="BJ42"/>
  <c r="BZ36"/>
  <c r="AK36" s="1"/>
  <c r="BJ45"/>
  <c r="BZ21"/>
  <c r="AK21" s="1"/>
  <c r="BJ54"/>
  <c r="BZ40"/>
  <c r="AK40" s="1"/>
  <c r="BO19" i="161"/>
  <c r="BZ49" i="162"/>
  <c r="AK49" s="1"/>
  <c r="BJ31"/>
  <c r="BJ57"/>
  <c r="BJ46"/>
  <c r="BJ22"/>
  <c r="BJ56"/>
  <c r="BJ30"/>
  <c r="BJ47"/>
  <c r="BJ38"/>
  <c r="BJ29"/>
  <c r="BJ49"/>
  <c r="BJ36"/>
  <c r="BJ32"/>
  <c r="BJ51"/>
  <c r="BJ53"/>
  <c r="BJ48"/>
  <c r="BJ27"/>
  <c r="BJ59"/>
  <c r="BJ28"/>
  <c r="BJ34"/>
  <c r="BJ58"/>
  <c r="BJ44"/>
  <c r="BP49"/>
  <c r="BJ26"/>
  <c r="BJ55"/>
  <c r="BJ20"/>
  <c r="BJ21"/>
  <c r="BZ30"/>
  <c r="AK30" s="1"/>
  <c r="BJ35"/>
  <c r="BJ25"/>
  <c r="BJ24"/>
  <c r="BJ33"/>
  <c r="BJ19"/>
  <c r="BJ39"/>
  <c r="BJ50"/>
  <c r="BZ32"/>
  <c r="AK32" s="1"/>
  <c r="BZ31"/>
  <c r="AK31" s="1"/>
  <c r="BZ58"/>
  <c r="AK58" s="1"/>
  <c r="BZ56"/>
  <c r="AK56" s="1"/>
  <c r="BI35"/>
  <c r="BZ48"/>
  <c r="AK48" s="1"/>
  <c r="BI23"/>
  <c r="BI55"/>
  <c r="BI21"/>
  <c r="BI58"/>
  <c r="BI28"/>
  <c r="BP24"/>
  <c r="BI20"/>
  <c r="BI45"/>
  <c r="P31"/>
  <c r="P55"/>
  <c r="P49"/>
  <c r="L54"/>
  <c r="P46"/>
  <c r="P35"/>
  <c r="L35"/>
  <c r="P25"/>
  <c r="L48"/>
  <c r="L39"/>
  <c r="L31"/>
  <c r="L46"/>
  <c r="P22"/>
  <c r="P20"/>
  <c r="BZ46"/>
  <c r="AK46" s="1"/>
  <c r="P36"/>
  <c r="P53"/>
  <c r="P50"/>
  <c r="L24"/>
  <c r="L56"/>
  <c r="AB22" i="146"/>
  <c r="L25" i="162"/>
  <c r="P39"/>
  <c r="L57"/>
  <c r="P27"/>
  <c r="P54"/>
  <c r="P58"/>
  <c r="P42"/>
  <c r="P57"/>
  <c r="P41"/>
  <c r="P28"/>
  <c r="L51"/>
  <c r="P30"/>
  <c r="BO20" i="161"/>
  <c r="P45" i="162"/>
  <c r="L38"/>
  <c r="L42"/>
  <c r="L22"/>
  <c r="L30"/>
  <c r="P43"/>
  <c r="P59"/>
  <c r="P38"/>
  <c r="P33"/>
  <c r="P24"/>
  <c r="BZ23"/>
  <c r="AK23" s="1"/>
  <c r="BZ22"/>
  <c r="AK22" s="1"/>
  <c r="BZ41"/>
  <c r="AK41" s="1"/>
  <c r="BP34"/>
  <c r="BP26"/>
  <c r="BO21" i="161"/>
  <c r="BP48" i="162"/>
  <c r="BZ35"/>
  <c r="AK35" s="1"/>
  <c r="BP21"/>
  <c r="BZ45"/>
  <c r="AK45" s="1"/>
  <c r="BP29"/>
  <c r="BP23"/>
  <c r="BZ27"/>
  <c r="AK27" s="1"/>
  <c r="BP40"/>
  <c r="BP32"/>
  <c r="BZ39"/>
  <c r="AK39" s="1"/>
  <c r="BP37"/>
  <c r="BZ47"/>
  <c r="AK47" s="1"/>
  <c r="BZ52"/>
  <c r="AK52" s="1"/>
  <c r="BP56"/>
  <c r="AF386" i="118"/>
  <c r="AF387"/>
  <c r="BZ38" i="162"/>
  <c r="AK38" s="1"/>
  <c r="BP52"/>
  <c r="BZ57"/>
  <c r="AK57" s="1"/>
  <c r="BZ37"/>
  <c r="AK37" s="1"/>
  <c r="BP44"/>
  <c r="BP47"/>
  <c r="BZ53"/>
  <c r="AK53" s="1"/>
  <c r="CA22" i="161"/>
  <c r="BZ23"/>
  <c r="BY23"/>
  <c r="BX23"/>
  <c r="BL23"/>
  <c r="BN23"/>
  <c r="BM23"/>
  <c r="E18" i="13"/>
  <c r="BO22" i="161"/>
  <c r="R17" i="49"/>
  <c r="AB199" i="118"/>
  <c r="AD199" s="1"/>
  <c r="BU11" s="1"/>
  <c r="D16" i="49"/>
  <c r="I15"/>
  <c r="W22" i="171" s="1"/>
  <c r="J234" i="175"/>
  <c r="J170"/>
  <c r="Q19" i="121"/>
  <c r="Q18"/>
  <c r="Q29"/>
  <c r="AO222" i="175"/>
  <c r="Q43" i="121"/>
  <c r="Q23"/>
  <c r="Q7"/>
  <c r="AT222" i="175"/>
  <c r="AM222"/>
  <c r="Q33" i="121"/>
  <c r="J166" i="175"/>
  <c r="Q13" i="121"/>
  <c r="Q6"/>
  <c r="Q37"/>
  <c r="Q10"/>
  <c r="J163" i="175"/>
  <c r="J230"/>
  <c r="J165"/>
  <c r="Q8" i="121"/>
  <c r="Q21"/>
  <c r="Q38"/>
  <c r="Q27"/>
  <c r="Q40"/>
  <c r="Q31"/>
  <c r="AD222" i="175"/>
  <c r="G222"/>
  <c r="I224"/>
  <c r="Q22" i="121"/>
  <c r="Q30"/>
  <c r="Q44"/>
  <c r="Q34"/>
  <c r="Q15"/>
  <c r="J237" i="175"/>
  <c r="Q9" i="121"/>
  <c r="Q42"/>
  <c r="J226" i="175"/>
  <c r="J225"/>
  <c r="J164"/>
  <c r="Q28" i="121"/>
  <c r="Q14"/>
  <c r="M222" i="175"/>
  <c r="J228"/>
  <c r="J224"/>
  <c r="O222"/>
  <c r="Q20" i="121"/>
  <c r="J233" i="175"/>
  <c r="I225"/>
  <c r="Q24" i="121"/>
  <c r="J229" i="175"/>
  <c r="Q41" i="121"/>
  <c r="Q39"/>
  <c r="Q35"/>
  <c r="J231" i="175"/>
  <c r="Q45" i="121"/>
  <c r="Q32"/>
  <c r="J168" i="175"/>
  <c r="J236"/>
  <c r="Q25" i="121"/>
  <c r="AH222" i="175"/>
  <c r="J162"/>
  <c r="J235"/>
  <c r="J167"/>
  <c r="Q16" i="121"/>
  <c r="Q26"/>
  <c r="Q17"/>
  <c r="J227" i="175"/>
  <c r="Q36" i="121"/>
  <c r="J232" i="175"/>
  <c r="AF389" i="118" l="1"/>
  <c r="AF381"/>
  <c r="L24" i="171"/>
  <c r="AF390" i="118"/>
  <c r="AF385"/>
  <c r="AF394"/>
  <c r="AF382"/>
  <c r="AF391"/>
  <c r="AF393"/>
  <c r="AF392"/>
  <c r="AF384"/>
  <c r="L41" i="162"/>
  <c r="L52"/>
  <c r="P32"/>
  <c r="P23"/>
  <c r="P21"/>
  <c r="L23"/>
  <c r="L49"/>
  <c r="P26"/>
  <c r="AB23" i="146"/>
  <c r="L36" i="162"/>
  <c r="L33"/>
  <c r="P56"/>
  <c r="L40"/>
  <c r="L55"/>
  <c r="L20"/>
  <c r="P48"/>
  <c r="L53"/>
  <c r="L28"/>
  <c r="L43"/>
  <c r="P52"/>
  <c r="P37"/>
  <c r="L44"/>
  <c r="L26"/>
  <c r="L29"/>
  <c r="P34"/>
  <c r="L32"/>
  <c r="L59"/>
  <c r="P47"/>
  <c r="L47"/>
  <c r="P44"/>
  <c r="L37"/>
  <c r="L21"/>
  <c r="P40"/>
  <c r="P29"/>
  <c r="L27"/>
  <c r="L58"/>
  <c r="L34"/>
  <c r="L45"/>
  <c r="L50"/>
  <c r="AF383" i="118"/>
  <c r="AF388"/>
  <c r="K4" i="162"/>
  <c r="CA23" i="161"/>
  <c r="BM24"/>
  <c r="BZ24"/>
  <c r="BY24"/>
  <c r="BX24"/>
  <c r="BL24"/>
  <c r="BN24"/>
  <c r="E19" i="13"/>
  <c r="BO23" i="161"/>
  <c r="R18" i="49"/>
  <c r="AB200" i="118"/>
  <c r="AD200" s="1"/>
  <c r="BU12" s="1"/>
  <c r="D17" i="49"/>
  <c r="I16"/>
  <c r="W23" i="171" s="1"/>
  <c r="K235" i="175"/>
  <c r="Y8" i="120"/>
  <c r="G160" i="175"/>
  <c r="H222"/>
  <c r="K237"/>
  <c r="K236"/>
  <c r="L222"/>
  <c r="K228"/>
  <c r="U222"/>
  <c r="J222"/>
  <c r="AG222"/>
  <c r="K226"/>
  <c r="AQ222"/>
  <c r="Z222"/>
  <c r="K168"/>
  <c r="K167"/>
  <c r="K230"/>
  <c r="AK222"/>
  <c r="AE222"/>
  <c r="AP222"/>
  <c r="K224"/>
  <c r="W222"/>
  <c r="K163"/>
  <c r="X222"/>
  <c r="AN222"/>
  <c r="T222"/>
  <c r="K166"/>
  <c r="K165"/>
  <c r="Q222"/>
  <c r="AL222"/>
  <c r="K162"/>
  <c r="R222"/>
  <c r="K164"/>
  <c r="K170"/>
  <c r="AF222"/>
  <c r="K234"/>
  <c r="K231"/>
  <c r="I223"/>
  <c r="AC222"/>
  <c r="V222"/>
  <c r="S222"/>
  <c r="K232"/>
  <c r="AR222"/>
  <c r="AI222"/>
  <c r="K233"/>
  <c r="K225"/>
  <c r="AS222"/>
  <c r="K227"/>
  <c r="K229"/>
  <c r="AA222"/>
  <c r="G223"/>
  <c r="P222"/>
  <c r="BF222" l="1"/>
  <c r="BH222"/>
  <c r="AX222"/>
  <c r="G252"/>
  <c r="L25" i="171"/>
  <c r="AB24" i="146"/>
  <c r="BO24" i="161"/>
  <c r="BZ25"/>
  <c r="BY25"/>
  <c r="BX25"/>
  <c r="BM25"/>
  <c r="BL25"/>
  <c r="BN25"/>
  <c r="E20" i="13"/>
  <c r="CA24" i="161"/>
  <c r="R19" i="49"/>
  <c r="AB201" i="118"/>
  <c r="AD201" s="1"/>
  <c r="BU13" s="1"/>
  <c r="D18" i="49"/>
  <c r="I17"/>
  <c r="W24" i="171" s="1"/>
  <c r="L165" i="175"/>
  <c r="H223"/>
  <c r="AB222"/>
  <c r="L163"/>
  <c r="L164"/>
  <c r="L224"/>
  <c r="Y9" i="120"/>
  <c r="AJ222" i="175"/>
  <c r="L233"/>
  <c r="N222"/>
  <c r="L170"/>
  <c r="L232"/>
  <c r="K222"/>
  <c r="L230"/>
  <c r="L225"/>
  <c r="L228"/>
  <c r="L229"/>
  <c r="K223"/>
  <c r="L237"/>
  <c r="J223"/>
  <c r="L227"/>
  <c r="L167"/>
  <c r="I222"/>
  <c r="L166"/>
  <c r="L168"/>
  <c r="L226"/>
  <c r="L231"/>
  <c r="L162"/>
  <c r="Y222"/>
  <c r="F222" l="1"/>
  <c r="BB222"/>
  <c r="AV222"/>
  <c r="AZ222"/>
  <c r="BD222"/>
  <c r="J252"/>
  <c r="I252"/>
  <c r="K252"/>
  <c r="H252"/>
  <c r="L26" i="171"/>
  <c r="AB25" i="146"/>
  <c r="CA25" i="161"/>
  <c r="BL26"/>
  <c r="BN26"/>
  <c r="BZ26"/>
  <c r="BY26"/>
  <c r="BX26"/>
  <c r="BM26"/>
  <c r="BO25"/>
  <c r="E21" i="13"/>
  <c r="R20" i="49"/>
  <c r="AB202" i="118"/>
  <c r="AD202" s="1"/>
  <c r="BU14" s="1"/>
  <c r="D19" i="49"/>
  <c r="I18"/>
  <c r="W25" i="171" s="1"/>
  <c r="M167" i="175"/>
  <c r="M227"/>
  <c r="M230"/>
  <c r="M164"/>
  <c r="M228"/>
  <c r="M233"/>
  <c r="M170"/>
  <c r="M162"/>
  <c r="Y10" i="120"/>
  <c r="M165" i="175"/>
  <c r="M168"/>
  <c r="G161"/>
  <c r="M166"/>
  <c r="M232"/>
  <c r="M225"/>
  <c r="M224"/>
  <c r="M231"/>
  <c r="M237"/>
  <c r="M226"/>
  <c r="M163"/>
  <c r="M229"/>
  <c r="L27" i="171" l="1"/>
  <c r="AB26" i="146"/>
  <c r="CA26" i="161"/>
  <c r="BZ27"/>
  <c r="BY27"/>
  <c r="BX27"/>
  <c r="BL27"/>
  <c r="BN27"/>
  <c r="BM27"/>
  <c r="E22" i="13"/>
  <c r="BO26" i="161"/>
  <c r="R21" i="49"/>
  <c r="AB203" i="118"/>
  <c r="AD203" s="1"/>
  <c r="BU15" s="1"/>
  <c r="D20" i="49"/>
  <c r="I19"/>
  <c r="W26" i="171" s="1"/>
  <c r="N233" i="175"/>
  <c r="N232"/>
  <c r="N163"/>
  <c r="N167"/>
  <c r="N162"/>
  <c r="N231"/>
  <c r="N170"/>
  <c r="N168"/>
  <c r="L223"/>
  <c r="N166"/>
  <c r="N230"/>
  <c r="N225"/>
  <c r="N237"/>
  <c r="N224"/>
  <c r="N229"/>
  <c r="N228"/>
  <c r="N227"/>
  <c r="N164"/>
  <c r="Y11" i="120"/>
  <c r="N165" i="175"/>
  <c r="N226"/>
  <c r="L28" i="171" l="1"/>
  <c r="AB27" i="146"/>
  <c r="CA27" i="161"/>
  <c r="E23" i="13"/>
  <c r="BM28" i="161"/>
  <c r="BZ28"/>
  <c r="BY28"/>
  <c r="BX28"/>
  <c r="BL28"/>
  <c r="BN28"/>
  <c r="BO27"/>
  <c r="R22" i="49"/>
  <c r="AB204" i="118"/>
  <c r="AD204" s="1"/>
  <c r="BU16" s="1"/>
  <c r="D21" i="49"/>
  <c r="I20"/>
  <c r="W27" i="171" s="1"/>
  <c r="O231" i="175"/>
  <c r="O226"/>
  <c r="O168"/>
  <c r="O164"/>
  <c r="O227"/>
  <c r="O230"/>
  <c r="M223"/>
  <c r="O237"/>
  <c r="O233"/>
  <c r="O225"/>
  <c r="O163"/>
  <c r="O162"/>
  <c r="O165"/>
  <c r="O228"/>
  <c r="O229"/>
  <c r="O166"/>
  <c r="Y12" i="120"/>
  <c r="O170" i="175"/>
  <c r="O224"/>
  <c r="O232"/>
  <c r="O167"/>
  <c r="L29" i="171" l="1"/>
  <c r="AB28" i="146"/>
  <c r="BO28" i="161"/>
  <c r="E24" i="13"/>
  <c r="BZ29" i="161"/>
  <c r="BY29"/>
  <c r="BX29"/>
  <c r="BM29"/>
  <c r="BL29"/>
  <c r="BN29"/>
  <c r="CA28"/>
  <c r="R23" i="49"/>
  <c r="AB205" i="118"/>
  <c r="AD205" s="1"/>
  <c r="BU17" s="1"/>
  <c r="D22" i="49"/>
  <c r="I21"/>
  <c r="W28" i="171" s="1"/>
  <c r="P232" i="175"/>
  <c r="P228"/>
  <c r="P227"/>
  <c r="P162"/>
  <c r="Y13" i="120"/>
  <c r="P225" i="175"/>
  <c r="P231"/>
  <c r="P164"/>
  <c r="P165"/>
  <c r="P168"/>
  <c r="P229"/>
  <c r="P166"/>
  <c r="P170"/>
  <c r="N223"/>
  <c r="P163"/>
  <c r="P224"/>
  <c r="P230"/>
  <c r="P167"/>
  <c r="P226"/>
  <c r="P233"/>
  <c r="P237"/>
  <c r="AV167" l="1"/>
  <c r="AV164"/>
  <c r="AV170"/>
  <c r="AV166"/>
  <c r="AV168"/>
  <c r="AV162"/>
  <c r="AV163"/>
  <c r="AV165"/>
  <c r="AV230"/>
  <c r="AV226"/>
  <c r="AV231"/>
  <c r="AV227"/>
  <c r="AV225"/>
  <c r="AV233"/>
  <c r="AV229"/>
  <c r="AV237"/>
  <c r="AV232"/>
  <c r="AV228"/>
  <c r="AV224"/>
  <c r="L30" i="171"/>
  <c r="AB29" i="146"/>
  <c r="CA29" i="161"/>
  <c r="BL30"/>
  <c r="BN30"/>
  <c r="BZ30"/>
  <c r="BY30"/>
  <c r="BX30"/>
  <c r="BM30"/>
  <c r="BO29"/>
  <c r="E25" i="13"/>
  <c r="R24" i="49"/>
  <c r="AB206" i="118"/>
  <c r="AD206" s="1"/>
  <c r="BU18" s="1"/>
  <c r="D23" i="49"/>
  <c r="I22"/>
  <c r="W29" i="171" s="1"/>
  <c r="Y14" i="120"/>
  <c r="Q227" i="175"/>
  <c r="Q224"/>
  <c r="Q168"/>
  <c r="O223"/>
  <c r="Q167"/>
  <c r="Q231"/>
  <c r="Q228"/>
  <c r="Q164"/>
  <c r="Q170"/>
  <c r="Q162"/>
  <c r="Q226"/>
  <c r="Q237"/>
  <c r="Q229"/>
  <c r="Q232"/>
  <c r="Q163"/>
  <c r="Q225"/>
  <c r="Q165"/>
  <c r="Q233"/>
  <c r="Q166"/>
  <c r="Q230"/>
  <c r="L31" i="171" l="1"/>
  <c r="AB30" i="146"/>
  <c r="CA30" i="161"/>
  <c r="E26" i="13"/>
  <c r="BZ31" i="161"/>
  <c r="BY31"/>
  <c r="BX31"/>
  <c r="BL31"/>
  <c r="BN31"/>
  <c r="BM31"/>
  <c r="BO30"/>
  <c r="R25" i="49"/>
  <c r="AB207" i="118"/>
  <c r="AD207" s="1"/>
  <c r="BU19" s="1"/>
  <c r="D24" i="49"/>
  <c r="I23"/>
  <c r="W30" i="171" s="1"/>
  <c r="R228" i="175"/>
  <c r="Y15" i="120"/>
  <c r="R230" i="175"/>
  <c r="R162"/>
  <c r="R166"/>
  <c r="R168"/>
  <c r="R226"/>
  <c r="R227"/>
  <c r="R165"/>
  <c r="R237"/>
  <c r="R229"/>
  <c r="R163"/>
  <c r="R170"/>
  <c r="R233"/>
  <c r="R164"/>
  <c r="P223"/>
  <c r="R231"/>
  <c r="R225"/>
  <c r="R167"/>
  <c r="R224"/>
  <c r="R232"/>
  <c r="AV223" l="1"/>
  <c r="L32" i="171"/>
  <c r="AB31" i="146"/>
  <c r="CA31" i="161"/>
  <c r="BM32"/>
  <c r="BZ32"/>
  <c r="BY32"/>
  <c r="BX32"/>
  <c r="BL32"/>
  <c r="BN32"/>
  <c r="BO31"/>
  <c r="E27" i="13"/>
  <c r="R26" i="49"/>
  <c r="AB208" i="118"/>
  <c r="AD208" s="1"/>
  <c r="BU20" s="1"/>
  <c r="D25" i="49"/>
  <c r="I24"/>
  <c r="W31" i="171" s="1"/>
  <c r="S164" i="175"/>
  <c r="S230"/>
  <c r="S232"/>
  <c r="S163"/>
  <c r="S237"/>
  <c r="S229"/>
  <c r="S228"/>
  <c r="S231"/>
  <c r="Y16" i="120"/>
  <c r="Q223" i="175"/>
  <c r="S168"/>
  <c r="S166"/>
  <c r="S162"/>
  <c r="S233"/>
  <c r="S226"/>
  <c r="S224"/>
  <c r="S227"/>
  <c r="S165"/>
  <c r="S167"/>
  <c r="S225"/>
  <c r="S170"/>
  <c r="AB32" i="146" l="1"/>
  <c r="CA32" i="161"/>
  <c r="E28" i="13"/>
  <c r="BZ33" i="161"/>
  <c r="BY33"/>
  <c r="BX33"/>
  <c r="BM33"/>
  <c r="BL33"/>
  <c r="BN33"/>
  <c r="BO32"/>
  <c r="R27" i="49"/>
  <c r="AB209" i="118"/>
  <c r="AD209" s="1"/>
  <c r="BU21" s="1"/>
  <c r="D26" i="49"/>
  <c r="I25"/>
  <c r="W32" i="171" s="1"/>
  <c r="T224" i="175"/>
  <c r="T227"/>
  <c r="T164"/>
  <c r="T170"/>
  <c r="Y17" i="120"/>
  <c r="T165" i="175"/>
  <c r="T226"/>
  <c r="T229"/>
  <c r="T230"/>
  <c r="T225"/>
  <c r="T167"/>
  <c r="T233"/>
  <c r="T231"/>
  <c r="T168"/>
  <c r="T162"/>
  <c r="T237"/>
  <c r="T166"/>
  <c r="T228"/>
  <c r="T232"/>
  <c r="R223"/>
  <c r="T163"/>
  <c r="L34" i="171" l="1"/>
  <c r="L33"/>
  <c r="AB33" i="146"/>
  <c r="BO33" i="161"/>
  <c r="CA33"/>
  <c r="E29" i="13"/>
  <c r="BL34" i="161"/>
  <c r="BN34"/>
  <c r="BZ34"/>
  <c r="BY34"/>
  <c r="BX34"/>
  <c r="BM34"/>
  <c r="R28" i="49"/>
  <c r="AB210" i="118"/>
  <c r="AD210" s="1"/>
  <c r="BU22" s="1"/>
  <c r="D27" i="49"/>
  <c r="D28" s="1"/>
  <c r="D29" s="1"/>
  <c r="D30" s="1"/>
  <c r="D31" s="1"/>
  <c r="D32" s="1"/>
  <c r="D33" s="1"/>
  <c r="D34" s="1"/>
  <c r="D35" s="1"/>
  <c r="D36" s="1"/>
  <c r="D37" s="1"/>
  <c r="D38" s="1"/>
  <c r="D39" s="1"/>
  <c r="D40" s="1"/>
  <c r="D41" s="1"/>
  <c r="D42" s="1"/>
  <c r="D43" s="1"/>
  <c r="D44" s="1"/>
  <c r="D45" s="1"/>
  <c r="D46" s="1"/>
  <c r="D47" s="1"/>
  <c r="D48" s="1"/>
  <c r="D49" s="1"/>
  <c r="D50" s="1"/>
  <c r="D51" s="1"/>
  <c r="D52" s="1"/>
  <c r="P43" i="51" s="1"/>
  <c r="I26" i="49"/>
  <c r="W33" i="171" s="1"/>
  <c r="S223" i="175"/>
  <c r="U166"/>
  <c r="U226"/>
  <c r="U165"/>
  <c r="U167"/>
  <c r="U228"/>
  <c r="U237"/>
  <c r="U168"/>
  <c r="U170"/>
  <c r="U229"/>
  <c r="U224"/>
  <c r="U162"/>
  <c r="U233"/>
  <c r="U164"/>
  <c r="U227"/>
  <c r="Y18" i="120"/>
  <c r="U230" i="175"/>
  <c r="U232"/>
  <c r="U225"/>
  <c r="U163"/>
  <c r="U231"/>
  <c r="AX170" l="1"/>
  <c r="AX167"/>
  <c r="AX168"/>
  <c r="AX165"/>
  <c r="AX166"/>
  <c r="AX162"/>
  <c r="AX164"/>
  <c r="AX163"/>
  <c r="AX237"/>
  <c r="AX227"/>
  <c r="AX228"/>
  <c r="AX229"/>
  <c r="AX224"/>
  <c r="AX232"/>
  <c r="AX233"/>
  <c r="AX230"/>
  <c r="AX225"/>
  <c r="AX231"/>
  <c r="AX226"/>
  <c r="L35" i="171"/>
  <c r="AB34" i="146"/>
  <c r="CA34" i="161"/>
  <c r="BZ35"/>
  <c r="BY35"/>
  <c r="BX35"/>
  <c r="BL35"/>
  <c r="BN35"/>
  <c r="BM35"/>
  <c r="BO34"/>
  <c r="E30" i="13"/>
  <c r="R29" i="49"/>
  <c r="AB211" i="118"/>
  <c r="AD211" s="1"/>
  <c r="BU23" s="1"/>
  <c r="V232" i="175"/>
  <c r="V227"/>
  <c r="V226"/>
  <c r="Y19" i="120"/>
  <c r="V233" i="175"/>
  <c r="V168"/>
  <c r="V229"/>
  <c r="V162"/>
  <c r="V165"/>
  <c r="V224"/>
  <c r="V231"/>
  <c r="V225"/>
  <c r="V166"/>
  <c r="V163"/>
  <c r="T223"/>
  <c r="V167"/>
  <c r="V228"/>
  <c r="V170"/>
  <c r="V230"/>
  <c r="V237"/>
  <c r="V164"/>
  <c r="L36" i="171" l="1"/>
  <c r="AB35" i="146"/>
  <c r="BM36" i="161"/>
  <c r="BZ36"/>
  <c r="BY36"/>
  <c r="BX36"/>
  <c r="BL36"/>
  <c r="BN36"/>
  <c r="BO35"/>
  <c r="E31" i="13"/>
  <c r="CA35" i="161"/>
  <c r="R30" i="49"/>
  <c r="W230" i="175"/>
  <c r="W168"/>
  <c r="W227"/>
  <c r="W226"/>
  <c r="W237"/>
  <c r="W163"/>
  <c r="W224"/>
  <c r="W229"/>
  <c r="W232"/>
  <c r="W162"/>
  <c r="W166"/>
  <c r="W167"/>
  <c r="W233"/>
  <c r="W165"/>
  <c r="W231"/>
  <c r="U223"/>
  <c r="W164"/>
  <c r="W228"/>
  <c r="W170"/>
  <c r="AX223" l="1"/>
  <c r="L37" i="171"/>
  <c r="AB36" i="146"/>
  <c r="BO36" i="161"/>
  <c r="E32" i="13"/>
  <c r="CA36" i="161"/>
  <c r="BZ37"/>
  <c r="BY37"/>
  <c r="BX37"/>
  <c r="BM37"/>
  <c r="BL37"/>
  <c r="BN37"/>
  <c r="R31" i="49"/>
  <c r="X165" i="175"/>
  <c r="X170"/>
  <c r="X232"/>
  <c r="X231"/>
  <c r="X166"/>
  <c r="V223"/>
  <c r="X229"/>
  <c r="W225"/>
  <c r="X233"/>
  <c r="X227"/>
  <c r="X167"/>
  <c r="X228"/>
  <c r="X164"/>
  <c r="X162"/>
  <c r="X168"/>
  <c r="X226"/>
  <c r="X230"/>
  <c r="X224"/>
  <c r="X163"/>
  <c r="X237"/>
  <c r="X225"/>
  <c r="L38" i="171" l="1"/>
  <c r="AB37" i="146"/>
  <c r="E33" i="13"/>
  <c r="BL38" i="161"/>
  <c r="BN38"/>
  <c r="BZ38"/>
  <c r="BY38"/>
  <c r="BX38"/>
  <c r="BM38"/>
  <c r="BO37"/>
  <c r="CA37"/>
  <c r="R32" i="49"/>
  <c r="Y164" i="175"/>
  <c r="Y167"/>
  <c r="Y165"/>
  <c r="Y225"/>
  <c r="Y229"/>
  <c r="Y166"/>
  <c r="Y163"/>
  <c r="Y224"/>
  <c r="W223"/>
  <c r="Y231"/>
  <c r="Y232"/>
  <c r="Y237"/>
  <c r="Y170"/>
  <c r="Y233"/>
  <c r="Y230"/>
  <c r="Y162"/>
  <c r="Y227"/>
  <c r="Y226"/>
  <c r="Y228"/>
  <c r="Y168"/>
  <c r="L39" i="171" l="1"/>
  <c r="AB38" i="146"/>
  <c r="CA38" i="161"/>
  <c r="BZ39"/>
  <c r="BY39"/>
  <c r="BX39"/>
  <c r="BL39"/>
  <c r="BN39"/>
  <c r="BM39"/>
  <c r="E34" i="13"/>
  <c r="BO38" i="161"/>
  <c r="R33" i="49"/>
  <c r="Z225" i="175"/>
  <c r="Z227"/>
  <c r="Z237"/>
  <c r="Z224"/>
  <c r="Z163"/>
  <c r="Z232"/>
  <c r="Z165"/>
  <c r="Z226"/>
  <c r="Z233"/>
  <c r="Z228"/>
  <c r="Z230"/>
  <c r="Z170"/>
  <c r="Z162"/>
  <c r="Z168"/>
  <c r="Z231"/>
  <c r="Z167"/>
  <c r="Z164"/>
  <c r="X223"/>
  <c r="Z166"/>
  <c r="Z229"/>
  <c r="AZ166" l="1"/>
  <c r="AZ165"/>
  <c r="AZ170"/>
  <c r="AZ162"/>
  <c r="AZ168"/>
  <c r="AZ164"/>
  <c r="AZ167"/>
  <c r="AZ163"/>
  <c r="AZ228"/>
  <c r="AZ232"/>
  <c r="AZ227"/>
  <c r="AZ233"/>
  <c r="AZ229"/>
  <c r="AZ224"/>
  <c r="AZ226"/>
  <c r="AZ231"/>
  <c r="AZ225"/>
  <c r="AZ230"/>
  <c r="AZ237"/>
  <c r="AB39" i="146"/>
  <c r="CA39" i="161"/>
  <c r="E35" i="13"/>
  <c r="BM40" i="161"/>
  <c r="BZ40"/>
  <c r="BY40"/>
  <c r="BX40"/>
  <c r="BL40"/>
  <c r="BN40"/>
  <c r="BO39"/>
  <c r="R34" i="49"/>
  <c r="AA164" i="175"/>
  <c r="Y223"/>
  <c r="AA165"/>
  <c r="AA232"/>
  <c r="AA227"/>
  <c r="AA226"/>
  <c r="AA170"/>
  <c r="AA166"/>
  <c r="AA225"/>
  <c r="AA237"/>
  <c r="AA230"/>
  <c r="AA168"/>
  <c r="AA229"/>
  <c r="AA233"/>
  <c r="AA228"/>
  <c r="AA162"/>
  <c r="AA163"/>
  <c r="AA231"/>
  <c r="AA167"/>
  <c r="L41" i="171" l="1"/>
  <c r="L40"/>
  <c r="AB40" i="146"/>
  <c r="BO40" i="161"/>
  <c r="BZ41"/>
  <c r="BY41"/>
  <c r="BX41"/>
  <c r="BM41"/>
  <c r="BL41"/>
  <c r="BN41"/>
  <c r="CA40"/>
  <c r="E36" i="13"/>
  <c r="R35" i="49"/>
  <c r="AB231" i="175"/>
  <c r="AB164"/>
  <c r="AB166"/>
  <c r="AB167"/>
  <c r="AB226"/>
  <c r="AB170"/>
  <c r="AB232"/>
  <c r="AB225"/>
  <c r="AB237"/>
  <c r="AB230"/>
  <c r="AB163"/>
  <c r="AB165"/>
  <c r="AB224"/>
  <c r="AA224"/>
  <c r="Z223"/>
  <c r="AB233"/>
  <c r="AB228"/>
  <c r="AB227"/>
  <c r="AB162"/>
  <c r="AB229"/>
  <c r="AB168"/>
  <c r="AZ223" l="1"/>
  <c r="AB41" i="146"/>
  <c r="BO41" i="161"/>
  <c r="BL42"/>
  <c r="BN42"/>
  <c r="BZ42"/>
  <c r="BY42"/>
  <c r="BX42"/>
  <c r="BM42"/>
  <c r="E37" i="13"/>
  <c r="CA41" i="161"/>
  <c r="R36" i="49"/>
  <c r="AC230" i="175"/>
  <c r="AC224"/>
  <c r="AC165"/>
  <c r="AC163"/>
  <c r="AC166"/>
  <c r="AC227"/>
  <c r="AC162"/>
  <c r="AC232"/>
  <c r="AC226"/>
  <c r="AA223"/>
  <c r="AC228"/>
  <c r="AC168"/>
  <c r="AC167"/>
  <c r="AC233"/>
  <c r="AC231"/>
  <c r="AC164"/>
  <c r="AC170"/>
  <c r="AC225"/>
  <c r="AC229"/>
  <c r="AC237"/>
  <c r="L42" i="171" l="1"/>
  <c r="AB42" i="146"/>
  <c r="BZ43" i="161"/>
  <c r="BY43"/>
  <c r="BX43"/>
  <c r="BL43"/>
  <c r="BN43"/>
  <c r="BM43"/>
  <c r="CA42"/>
  <c r="BO42"/>
  <c r="E38" i="13"/>
  <c r="R37" i="49"/>
  <c r="AD230" i="175"/>
  <c r="AD224"/>
  <c r="AD232"/>
  <c r="AD165"/>
  <c r="AD231"/>
  <c r="AD233"/>
  <c r="AD228"/>
  <c r="AD229"/>
  <c r="AD225"/>
  <c r="AD166"/>
  <c r="AD226"/>
  <c r="AB223"/>
  <c r="AD168"/>
  <c r="AD237"/>
  <c r="AD170"/>
  <c r="AD163"/>
  <c r="AD227"/>
  <c r="AD167"/>
  <c r="AD164"/>
  <c r="AD162"/>
  <c r="L43" i="171" l="1"/>
  <c r="AB43" i="146"/>
  <c r="BO43" i="161"/>
  <c r="E39" i="13"/>
  <c r="BM44" i="161"/>
  <c r="BZ44"/>
  <c r="BY44"/>
  <c r="BX44"/>
  <c r="BL44"/>
  <c r="BN44"/>
  <c r="CA43"/>
  <c r="R38" i="49"/>
  <c r="F11" i="3"/>
  <c r="E11" s="1"/>
  <c r="M11"/>
  <c r="F11" i="47" s="1"/>
  <c r="F12" i="3"/>
  <c r="E12" s="1"/>
  <c r="M12"/>
  <c r="F12" i="47" s="1"/>
  <c r="F13" i="3"/>
  <c r="E13" s="1"/>
  <c r="M13"/>
  <c r="F13" i="47" s="1"/>
  <c r="F14" i="3"/>
  <c r="E14" s="1"/>
  <c r="M14"/>
  <c r="F14" i="47" s="1"/>
  <c r="F15" i="3"/>
  <c r="E15" s="1"/>
  <c r="M15"/>
  <c r="F15" i="47" s="1"/>
  <c r="F16" i="3"/>
  <c r="E16" s="1"/>
  <c r="M16"/>
  <c r="F16" i="47" s="1"/>
  <c r="F17" i="3"/>
  <c r="E17" s="1"/>
  <c r="M17"/>
  <c r="F17" i="47" s="1"/>
  <c r="F18" i="3"/>
  <c r="E18" s="1"/>
  <c r="M18"/>
  <c r="F18" i="47" s="1"/>
  <c r="F19" i="3"/>
  <c r="E19" s="1"/>
  <c r="M19"/>
  <c r="F19" i="47" s="1"/>
  <c r="F20" i="3"/>
  <c r="E20" s="1"/>
  <c r="M20"/>
  <c r="F20" i="47" s="1"/>
  <c r="F21" i="3"/>
  <c r="E21" s="1"/>
  <c r="M21"/>
  <c r="F21" i="47" s="1"/>
  <c r="F22" i="3"/>
  <c r="E22" s="1"/>
  <c r="M22"/>
  <c r="F22" i="47" s="1"/>
  <c r="F23" i="3"/>
  <c r="E23" s="1"/>
  <c r="M23"/>
  <c r="F23" i="47" s="1"/>
  <c r="F24" i="3"/>
  <c r="E24" s="1"/>
  <c r="M24"/>
  <c r="F24" i="47" s="1"/>
  <c r="F25" i="3"/>
  <c r="E25" s="1"/>
  <c r="M25"/>
  <c r="F25" i="47" s="1"/>
  <c r="C26"/>
  <c r="D26" i="3" s="1"/>
  <c r="C26" s="1"/>
  <c r="J26" s="1"/>
  <c r="D26" i="47"/>
  <c r="G26" i="3" s="1"/>
  <c r="C27" i="47"/>
  <c r="D27" i="3" s="1"/>
  <c r="C27" s="1"/>
  <c r="J27" s="1"/>
  <c r="D27" i="47"/>
  <c r="G27" i="3" s="1"/>
  <c r="C28" i="47"/>
  <c r="D28" i="3" s="1"/>
  <c r="C28" s="1"/>
  <c r="J28" s="1"/>
  <c r="D28" i="47"/>
  <c r="G28" i="3" s="1"/>
  <c r="C29" i="47"/>
  <c r="D29" i="3" s="1"/>
  <c r="C29" s="1"/>
  <c r="J29" s="1"/>
  <c r="D29" i="47"/>
  <c r="G29" i="3" s="1"/>
  <c r="C30" i="47"/>
  <c r="D30" i="3" s="1"/>
  <c r="C30" s="1"/>
  <c r="J30" s="1"/>
  <c r="D30" i="47"/>
  <c r="G30" i="3" s="1"/>
  <c r="C31" i="47"/>
  <c r="D31" i="3" s="1"/>
  <c r="C31" s="1"/>
  <c r="J31" s="1"/>
  <c r="D31" i="47"/>
  <c r="G31" i="3" s="1"/>
  <c r="C32" i="47"/>
  <c r="D32" i="3" s="1"/>
  <c r="C32" s="1"/>
  <c r="J32" s="1"/>
  <c r="D32" i="47"/>
  <c r="G32" i="3" s="1"/>
  <c r="C33" i="47"/>
  <c r="D33" i="3" s="1"/>
  <c r="C33" s="1"/>
  <c r="J33" s="1"/>
  <c r="D33" i="47"/>
  <c r="G33" i="3" s="1"/>
  <c r="C34" i="47"/>
  <c r="D34" i="3" s="1"/>
  <c r="C34" s="1"/>
  <c r="J34" s="1"/>
  <c r="D34" i="47"/>
  <c r="G34" i="3" s="1"/>
  <c r="C35" i="47"/>
  <c r="D35" i="3" s="1"/>
  <c r="C35" s="1"/>
  <c r="J35" s="1"/>
  <c r="D35" i="47"/>
  <c r="G35" i="3" s="1"/>
  <c r="C36" i="47"/>
  <c r="D36" i="3" s="1"/>
  <c r="C36" s="1"/>
  <c r="J36" s="1"/>
  <c r="D36" i="47"/>
  <c r="G36" i="3" s="1"/>
  <c r="C37" i="47"/>
  <c r="D37" i="3" s="1"/>
  <c r="C37" s="1"/>
  <c r="J37" s="1"/>
  <c r="D37" i="47"/>
  <c r="G37" i="3" s="1"/>
  <c r="C38" i="47"/>
  <c r="D38" i="3" s="1"/>
  <c r="C38" s="1"/>
  <c r="J38" s="1"/>
  <c r="D38" i="47"/>
  <c r="G38" i="3" s="1"/>
  <c r="C39" i="47"/>
  <c r="D39" i="3" s="1"/>
  <c r="C39" s="1"/>
  <c r="J39" s="1"/>
  <c r="D39" i="47"/>
  <c r="G39" i="3" s="1"/>
  <c r="C40" i="47"/>
  <c r="D40" i="3" s="1"/>
  <c r="C40" s="1"/>
  <c r="J40" s="1"/>
  <c r="D40" i="47"/>
  <c r="G40" i="3" s="1"/>
  <c r="C41" i="47"/>
  <c r="D41" i="3" s="1"/>
  <c r="C41" s="1"/>
  <c r="J41" s="1"/>
  <c r="D41" i="47"/>
  <c r="G41" i="3" s="1"/>
  <c r="C42" i="47"/>
  <c r="D42" i="3" s="1"/>
  <c r="C42" s="1"/>
  <c r="J42" s="1"/>
  <c r="D42" i="47"/>
  <c r="G42" i="3" s="1"/>
  <c r="C43" i="47"/>
  <c r="D43" i="3" s="1"/>
  <c r="C43" s="1"/>
  <c r="J43" s="1"/>
  <c r="D43" i="47"/>
  <c r="G43" i="3" s="1"/>
  <c r="C44" i="47"/>
  <c r="D44" i="3" s="1"/>
  <c r="C44" s="1"/>
  <c r="J44" s="1"/>
  <c r="D44" i="47"/>
  <c r="G44" i="3" s="1"/>
  <c r="C45" i="47"/>
  <c r="D45" i="3" s="1"/>
  <c r="C45" s="1"/>
  <c r="J45" s="1"/>
  <c r="D45" i="47"/>
  <c r="G45" i="3" s="1"/>
  <c r="C46" i="47"/>
  <c r="D46" i="3" s="1"/>
  <c r="C46" s="1"/>
  <c r="J46" s="1"/>
  <c r="D46" i="47"/>
  <c r="G46" i="3" s="1"/>
  <c r="C47" i="47"/>
  <c r="D47" i="3" s="1"/>
  <c r="C47" s="1"/>
  <c r="J47" s="1"/>
  <c r="D47" i="47"/>
  <c r="G47" i="3" s="1"/>
  <c r="C48" i="47"/>
  <c r="D48" i="3" s="1"/>
  <c r="C48" s="1"/>
  <c r="J48" s="1"/>
  <c r="D48" i="47"/>
  <c r="G48" i="3" s="1"/>
  <c r="C49" i="47"/>
  <c r="D49" i="3" s="1"/>
  <c r="C49" s="1"/>
  <c r="J49" s="1"/>
  <c r="D49" i="47"/>
  <c r="G49" i="3" s="1"/>
  <c r="C50" i="47"/>
  <c r="D50" i="3" s="1"/>
  <c r="C50" s="1"/>
  <c r="J50" s="1"/>
  <c r="D50" i="47"/>
  <c r="G50" i="3" s="1"/>
  <c r="C51" i="47"/>
  <c r="D51" i="3" s="1"/>
  <c r="C51" s="1"/>
  <c r="J51" s="1"/>
  <c r="D51" i="47"/>
  <c r="G51" i="3" s="1"/>
  <c r="AC223" i="175"/>
  <c r="AE168"/>
  <c r="AE230"/>
  <c r="AE226"/>
  <c r="AE170"/>
  <c r="AE231"/>
  <c r="AE167"/>
  <c r="AE228"/>
  <c r="AE163"/>
  <c r="AE227"/>
  <c r="AE233"/>
  <c r="AE237"/>
  <c r="AE165"/>
  <c r="AE229"/>
  <c r="AE166"/>
  <c r="AE232"/>
  <c r="AE225"/>
  <c r="AE164"/>
  <c r="AE162"/>
  <c r="E37" i="47" l="1"/>
  <c r="BB166" i="175"/>
  <c r="BB170"/>
  <c r="BB163"/>
  <c r="BB164"/>
  <c r="BB168"/>
  <c r="BB162"/>
  <c r="BB165"/>
  <c r="BB167"/>
  <c r="BB230"/>
  <c r="BB228"/>
  <c r="BB225"/>
  <c r="BB237"/>
  <c r="BB227"/>
  <c r="BB226"/>
  <c r="BB232"/>
  <c r="BB229"/>
  <c r="BB233"/>
  <c r="BB231"/>
  <c r="E39" i="47"/>
  <c r="E28"/>
  <c r="E27"/>
  <c r="L44" i="171"/>
  <c r="AB44" i="146"/>
  <c r="E51" i="47"/>
  <c r="E46"/>
  <c r="E41"/>
  <c r="E26"/>
  <c r="E50"/>
  <c r="E43"/>
  <c r="E31"/>
  <c r="BO44" i="161"/>
  <c r="BZ45"/>
  <c r="BY45"/>
  <c r="BX45"/>
  <c r="BM45"/>
  <c r="BL45"/>
  <c r="BN45"/>
  <c r="E40" i="13"/>
  <c r="CA44" i="161"/>
  <c r="E38" i="47"/>
  <c r="E34"/>
  <c r="E30"/>
  <c r="E32"/>
  <c r="E47"/>
  <c r="E42"/>
  <c r="E40"/>
  <c r="E36"/>
  <c r="E49"/>
  <c r="E45"/>
  <c r="E48"/>
  <c r="E44"/>
  <c r="E33"/>
  <c r="E29"/>
  <c r="R39" i="49"/>
  <c r="E35" i="47"/>
  <c r="K11" i="3"/>
  <c r="K19"/>
  <c r="K23"/>
  <c r="K15"/>
  <c r="K25"/>
  <c r="K21"/>
  <c r="K17"/>
  <c r="K13"/>
  <c r="H25"/>
  <c r="K24"/>
  <c r="H23"/>
  <c r="K22"/>
  <c r="H21"/>
  <c r="K20"/>
  <c r="H19"/>
  <c r="K18"/>
  <c r="H17"/>
  <c r="K16"/>
  <c r="H15"/>
  <c r="K14"/>
  <c r="H13"/>
  <c r="K12"/>
  <c r="H11"/>
  <c r="L51"/>
  <c r="M51" s="1"/>
  <c r="F51" i="47" s="1"/>
  <c r="I50" i="3"/>
  <c r="F50"/>
  <c r="L49"/>
  <c r="M49" s="1"/>
  <c r="F49" i="47" s="1"/>
  <c r="I48" i="3"/>
  <c r="F48"/>
  <c r="L47"/>
  <c r="M47" s="1"/>
  <c r="F47" i="47" s="1"/>
  <c r="I46" i="3"/>
  <c r="F46"/>
  <c r="L45"/>
  <c r="M45" s="1"/>
  <c r="F45" i="47" s="1"/>
  <c r="I44" i="3"/>
  <c r="F44"/>
  <c r="L43"/>
  <c r="M43" s="1"/>
  <c r="F43" i="47" s="1"/>
  <c r="I42" i="3"/>
  <c r="F42"/>
  <c r="L41"/>
  <c r="M41" s="1"/>
  <c r="F41" i="47" s="1"/>
  <c r="I40" i="3"/>
  <c r="F40"/>
  <c r="L39"/>
  <c r="M39" s="1"/>
  <c r="F39" i="47" s="1"/>
  <c r="I38" i="3"/>
  <c r="F38"/>
  <c r="L37"/>
  <c r="M37" s="1"/>
  <c r="F37" i="47" s="1"/>
  <c r="I36" i="3"/>
  <c r="F36"/>
  <c r="L35"/>
  <c r="M35" s="1"/>
  <c r="F35" i="47" s="1"/>
  <c r="I34" i="3"/>
  <c r="F34"/>
  <c r="L33"/>
  <c r="M33" s="1"/>
  <c r="F33" i="47" s="1"/>
  <c r="I32" i="3"/>
  <c r="F32"/>
  <c r="L31"/>
  <c r="M31" s="1"/>
  <c r="F31" i="47" s="1"/>
  <c r="I30" i="3"/>
  <c r="F30"/>
  <c r="L29"/>
  <c r="M29" s="1"/>
  <c r="F29" i="47" s="1"/>
  <c r="I28" i="3"/>
  <c r="F28"/>
  <c r="L27"/>
  <c r="M27" s="1"/>
  <c r="F27" i="47" s="1"/>
  <c r="I26" i="3"/>
  <c r="F26"/>
  <c r="F51"/>
  <c r="I51"/>
  <c r="L50"/>
  <c r="M50" s="1"/>
  <c r="F50" i="47" s="1"/>
  <c r="F49" i="3"/>
  <c r="I49"/>
  <c r="L48"/>
  <c r="M48" s="1"/>
  <c r="F48" i="47" s="1"/>
  <c r="F47" i="3"/>
  <c r="I47"/>
  <c r="L46"/>
  <c r="M46" s="1"/>
  <c r="F46" i="47" s="1"/>
  <c r="F45" i="3"/>
  <c r="I45"/>
  <c r="L44"/>
  <c r="M44" s="1"/>
  <c r="F44" i="47" s="1"/>
  <c r="F43" i="3"/>
  <c r="I43"/>
  <c r="L42"/>
  <c r="M42" s="1"/>
  <c r="F42" i="47" s="1"/>
  <c r="F41" i="3"/>
  <c r="I41"/>
  <c r="L40"/>
  <c r="M40" s="1"/>
  <c r="F40" i="47" s="1"/>
  <c r="F39" i="3"/>
  <c r="I39"/>
  <c r="L38"/>
  <c r="M38" s="1"/>
  <c r="F38" i="47" s="1"/>
  <c r="F37" i="3"/>
  <c r="I37"/>
  <c r="L36"/>
  <c r="M36" s="1"/>
  <c r="F36" i="47" s="1"/>
  <c r="F35" i="3"/>
  <c r="I35"/>
  <c r="L34"/>
  <c r="M34" s="1"/>
  <c r="F34" i="47" s="1"/>
  <c r="F33" i="3"/>
  <c r="I33"/>
  <c r="L32"/>
  <c r="M32" s="1"/>
  <c r="F32" i="47" s="1"/>
  <c r="F31" i="3"/>
  <c r="I31"/>
  <c r="L30"/>
  <c r="M30" s="1"/>
  <c r="F30" i="47" s="1"/>
  <c r="F29" i="3"/>
  <c r="I29"/>
  <c r="L28"/>
  <c r="M28" s="1"/>
  <c r="F28" i="47" s="1"/>
  <c r="F27" i="3"/>
  <c r="I27"/>
  <c r="L26"/>
  <c r="M26" s="1"/>
  <c r="F26" i="47" s="1"/>
  <c r="H24" i="3"/>
  <c r="H22"/>
  <c r="H20"/>
  <c r="H18"/>
  <c r="H16"/>
  <c r="H14"/>
  <c r="H12"/>
  <c r="G21" i="69"/>
  <c r="G40"/>
  <c r="G21" i="121"/>
  <c r="AF162" i="175"/>
  <c r="AF231"/>
  <c r="G36" i="121"/>
  <c r="G39" i="69"/>
  <c r="AF230" i="175"/>
  <c r="G28" i="121"/>
  <c r="G43"/>
  <c r="G20"/>
  <c r="G28" i="69"/>
  <c r="AD223" i="175"/>
  <c r="G32" i="69"/>
  <c r="G38"/>
  <c r="G37" i="121"/>
  <c r="AF164" i="175"/>
  <c r="G20" i="69"/>
  <c r="G26" i="121"/>
  <c r="G37" i="69"/>
  <c r="AF227" i="175"/>
  <c r="G35" i="121"/>
  <c r="G31" i="69"/>
  <c r="AF237" i="175"/>
  <c r="AF168"/>
  <c r="AF170"/>
  <c r="G24" i="121"/>
  <c r="G22" i="69"/>
  <c r="G31" i="121"/>
  <c r="AF163" i="175"/>
  <c r="AF167"/>
  <c r="G44" i="69"/>
  <c r="AF225" i="175"/>
  <c r="AF226"/>
  <c r="G26" i="69"/>
  <c r="G27" i="121"/>
  <c r="G38"/>
  <c r="G39"/>
  <c r="G27" i="69"/>
  <c r="G30"/>
  <c r="AF229" i="175"/>
  <c r="G43" i="69"/>
  <c r="G25" i="121"/>
  <c r="G42" i="69"/>
  <c r="G23" i="121"/>
  <c r="G35" i="69"/>
  <c r="G40" i="121"/>
  <c r="AF228" i="175"/>
  <c r="AF166"/>
  <c r="G29" i="121"/>
  <c r="G41"/>
  <c r="G34" i="69"/>
  <c r="G23"/>
  <c r="G36"/>
  <c r="G24"/>
  <c r="AF165" i="175"/>
  <c r="G33" i="121"/>
  <c r="G34"/>
  <c r="G42"/>
  <c r="G45" i="69"/>
  <c r="G41"/>
  <c r="G45" i="121"/>
  <c r="G22"/>
  <c r="AF232" i="175"/>
  <c r="G44" i="121"/>
  <c r="G32"/>
  <c r="G33" i="69"/>
  <c r="G25"/>
  <c r="AF233" i="175"/>
  <c r="G30" i="121"/>
  <c r="G29" i="69"/>
  <c r="AE224" i="175"/>
  <c r="BB224" l="1"/>
  <c r="L45" i="171"/>
  <c r="AB45" i="146"/>
  <c r="AF401" i="118"/>
  <c r="AF418"/>
  <c r="AF408"/>
  <c r="AF420"/>
  <c r="AF413"/>
  <c r="AF409"/>
  <c r="AF396"/>
  <c r="AF397"/>
  <c r="AF412"/>
  <c r="AF406"/>
  <c r="AF414"/>
  <c r="AF402"/>
  <c r="AF417"/>
  <c r="AF404"/>
  <c r="AF405"/>
  <c r="AF411"/>
  <c r="AF410"/>
  <c r="AF407"/>
  <c r="AF419"/>
  <c r="AF399"/>
  <c r="AF400"/>
  <c r="AF403"/>
  <c r="AF398"/>
  <c r="AF416"/>
  <c r="AF415"/>
  <c r="AF395"/>
  <c r="CA45" i="161"/>
  <c r="E41" i="13"/>
  <c r="BO45" i="161"/>
  <c r="BL46"/>
  <c r="BN46"/>
  <c r="BZ46"/>
  <c r="BY46"/>
  <c r="BX46"/>
  <c r="BM46"/>
  <c r="R40" i="49"/>
  <c r="H29" i="3"/>
  <c r="E29"/>
  <c r="K29"/>
  <c r="H33"/>
  <c r="E33"/>
  <c r="K33"/>
  <c r="H37"/>
  <c r="E37"/>
  <c r="K37"/>
  <c r="H41"/>
  <c r="E41"/>
  <c r="K41"/>
  <c r="I27" i="49"/>
  <c r="W34" i="171" s="1"/>
  <c r="H27" i="3"/>
  <c r="E27"/>
  <c r="K27"/>
  <c r="H31"/>
  <c r="E31"/>
  <c r="K31"/>
  <c r="H35"/>
  <c r="E35"/>
  <c r="K35"/>
  <c r="H39"/>
  <c r="E39"/>
  <c r="K39"/>
  <c r="H43"/>
  <c r="E43"/>
  <c r="K43"/>
  <c r="H45"/>
  <c r="E45"/>
  <c r="K45"/>
  <c r="H49"/>
  <c r="E49"/>
  <c r="K49"/>
  <c r="E26"/>
  <c r="K26"/>
  <c r="H26"/>
  <c r="E30"/>
  <c r="K30"/>
  <c r="H30"/>
  <c r="E34"/>
  <c r="K34"/>
  <c r="H34"/>
  <c r="E38"/>
  <c r="K38"/>
  <c r="H38"/>
  <c r="E42"/>
  <c r="K42"/>
  <c r="H42"/>
  <c r="E46"/>
  <c r="K46"/>
  <c r="H46"/>
  <c r="E50"/>
  <c r="K50"/>
  <c r="H50"/>
  <c r="H47"/>
  <c r="E47"/>
  <c r="K47"/>
  <c r="H51"/>
  <c r="E51"/>
  <c r="K51"/>
  <c r="E28"/>
  <c r="K28"/>
  <c r="H28"/>
  <c r="E32"/>
  <c r="K32"/>
  <c r="H32"/>
  <c r="E36"/>
  <c r="K36"/>
  <c r="H36"/>
  <c r="E40"/>
  <c r="K40"/>
  <c r="H40"/>
  <c r="E44"/>
  <c r="K44"/>
  <c r="H44"/>
  <c r="E48"/>
  <c r="K48"/>
  <c r="H48"/>
  <c r="AG225" i="175"/>
  <c r="AG167"/>
  <c r="AG170"/>
  <c r="AG162"/>
  <c r="AG227"/>
  <c r="AF224"/>
  <c r="AG168"/>
  <c r="AG226"/>
  <c r="AG229"/>
  <c r="AG231"/>
  <c r="AG163"/>
  <c r="AE223"/>
  <c r="AG232"/>
  <c r="AG224"/>
  <c r="AG230"/>
  <c r="AG237"/>
  <c r="AG228"/>
  <c r="AG165"/>
  <c r="AG233"/>
  <c r="AG166"/>
  <c r="AG164"/>
  <c r="BB223" l="1"/>
  <c r="L46" i="171"/>
  <c r="AB46" i="146"/>
  <c r="CA46" i="161"/>
  <c r="BZ47"/>
  <c r="BY47"/>
  <c r="BX47"/>
  <c r="BL47"/>
  <c r="BN47"/>
  <c r="BM47"/>
  <c r="BO46"/>
  <c r="E42" i="13"/>
  <c r="AI183" i="118"/>
  <c r="AN183"/>
  <c r="AF183"/>
  <c r="AK183"/>
  <c r="AH183"/>
  <c r="AM183"/>
  <c r="AJ183"/>
  <c r="AO183"/>
  <c r="AL183"/>
  <c r="AK136"/>
  <c r="AH136"/>
  <c r="AJ136"/>
  <c r="AI136"/>
  <c r="AF136"/>
  <c r="AN136"/>
  <c r="AM136"/>
  <c r="AL136"/>
  <c r="AO136"/>
  <c r="AM172"/>
  <c r="AJ172"/>
  <c r="AO172"/>
  <c r="AL172"/>
  <c r="AI172"/>
  <c r="AN172"/>
  <c r="AF172"/>
  <c r="AK172"/>
  <c r="AH172"/>
  <c r="AK125"/>
  <c r="AH125"/>
  <c r="AJ125"/>
  <c r="AI125"/>
  <c r="AF125"/>
  <c r="AL125"/>
  <c r="AN125"/>
  <c r="AM125"/>
  <c r="AO125"/>
  <c r="AM186"/>
  <c r="AJ186"/>
  <c r="AO186"/>
  <c r="AL186"/>
  <c r="AI186"/>
  <c r="AN186"/>
  <c r="AF186"/>
  <c r="AK186"/>
  <c r="AH186"/>
  <c r="AH139"/>
  <c r="AJ139"/>
  <c r="AI139"/>
  <c r="AK139"/>
  <c r="AM139"/>
  <c r="AN139"/>
  <c r="AL139"/>
  <c r="AF139"/>
  <c r="AO139"/>
  <c r="AM168"/>
  <c r="AJ168"/>
  <c r="AO168"/>
  <c r="AL168"/>
  <c r="AI168"/>
  <c r="AN168"/>
  <c r="AF168"/>
  <c r="AK168"/>
  <c r="AH168"/>
  <c r="AK121"/>
  <c r="AI121"/>
  <c r="AJ121"/>
  <c r="AH121"/>
  <c r="AN121"/>
  <c r="AF121"/>
  <c r="AM121"/>
  <c r="AL121"/>
  <c r="AO121"/>
  <c r="AI171"/>
  <c r="AN171"/>
  <c r="AF171"/>
  <c r="AK171"/>
  <c r="AH171"/>
  <c r="AM171"/>
  <c r="AJ171"/>
  <c r="AO171"/>
  <c r="AL171"/>
  <c r="AJ124"/>
  <c r="AI124"/>
  <c r="AH124"/>
  <c r="AK124"/>
  <c r="AL124"/>
  <c r="AN124"/>
  <c r="AF124"/>
  <c r="AM124"/>
  <c r="AO124"/>
  <c r="AH58"/>
  <c r="AI58"/>
  <c r="AK58"/>
  <c r="AJ58"/>
  <c r="AF58"/>
  <c r="AL58"/>
  <c r="AN58"/>
  <c r="AM58"/>
  <c r="AO58"/>
  <c r="AI187"/>
  <c r="AN187"/>
  <c r="AF187"/>
  <c r="AK187"/>
  <c r="AH187"/>
  <c r="AM187"/>
  <c r="AJ187"/>
  <c r="AO187"/>
  <c r="AL187"/>
  <c r="AJ140"/>
  <c r="AI140"/>
  <c r="AH140"/>
  <c r="AK140"/>
  <c r="AM140"/>
  <c r="AL140"/>
  <c r="AF140"/>
  <c r="AN140"/>
  <c r="AO140"/>
  <c r="AI70"/>
  <c r="AJ70"/>
  <c r="AH70"/>
  <c r="AK70"/>
  <c r="AM70"/>
  <c r="AN70"/>
  <c r="AO70"/>
  <c r="AL70"/>
  <c r="AF70"/>
  <c r="AH61"/>
  <c r="AK61"/>
  <c r="AJ61"/>
  <c r="AI61"/>
  <c r="AM61"/>
  <c r="AN61"/>
  <c r="AO61"/>
  <c r="AL61"/>
  <c r="AF61"/>
  <c r="AK66"/>
  <c r="AH66"/>
  <c r="AI66"/>
  <c r="AJ66"/>
  <c r="AM66"/>
  <c r="AN66"/>
  <c r="AO66"/>
  <c r="AL66"/>
  <c r="AF66"/>
  <c r="AI169"/>
  <c r="AN169"/>
  <c r="AF169"/>
  <c r="AK169"/>
  <c r="AH169"/>
  <c r="AM169"/>
  <c r="AJ169"/>
  <c r="AO169"/>
  <c r="AL169"/>
  <c r="AK122"/>
  <c r="AH122"/>
  <c r="AI122"/>
  <c r="AJ122"/>
  <c r="AF122"/>
  <c r="AM122"/>
  <c r="AN122"/>
  <c r="AL122"/>
  <c r="AO122"/>
  <c r="AM184"/>
  <c r="AJ184"/>
  <c r="AO184"/>
  <c r="AL184"/>
  <c r="AI184"/>
  <c r="AN184"/>
  <c r="AF184"/>
  <c r="AK184"/>
  <c r="AH184"/>
  <c r="AH137"/>
  <c r="AK137"/>
  <c r="AI137"/>
  <c r="AJ137"/>
  <c r="AF137"/>
  <c r="AN137"/>
  <c r="AM137"/>
  <c r="AL137"/>
  <c r="AO137"/>
  <c r="AK67"/>
  <c r="AJ67"/>
  <c r="AH67"/>
  <c r="AI67"/>
  <c r="AF67"/>
  <c r="AN67"/>
  <c r="AM67"/>
  <c r="AL67"/>
  <c r="AO67"/>
  <c r="AM174"/>
  <c r="AJ174"/>
  <c r="AO174"/>
  <c r="AL174"/>
  <c r="AI174"/>
  <c r="AN174"/>
  <c r="AF174"/>
  <c r="AK174"/>
  <c r="AH174"/>
  <c r="AH127"/>
  <c r="AK127"/>
  <c r="AJ127"/>
  <c r="AI127"/>
  <c r="AF127"/>
  <c r="AM127"/>
  <c r="AN127"/>
  <c r="AL127"/>
  <c r="AO127"/>
  <c r="AH64"/>
  <c r="AJ64"/>
  <c r="AK64"/>
  <c r="AI64"/>
  <c r="AM64"/>
  <c r="AN64"/>
  <c r="AO64"/>
  <c r="AL64"/>
  <c r="AF64"/>
  <c r="AM176"/>
  <c r="AF176"/>
  <c r="AK176"/>
  <c r="AH176"/>
  <c r="AI176"/>
  <c r="AN176"/>
  <c r="AO176"/>
  <c r="AL176"/>
  <c r="AJ176"/>
  <c r="AH129"/>
  <c r="AI129"/>
  <c r="AK129"/>
  <c r="AJ129"/>
  <c r="AL129"/>
  <c r="AM129"/>
  <c r="AF129"/>
  <c r="AN129"/>
  <c r="AO129"/>
  <c r="AI175"/>
  <c r="AN175"/>
  <c r="AF175"/>
  <c r="AK175"/>
  <c r="AH175"/>
  <c r="AM175"/>
  <c r="AJ175"/>
  <c r="AO175"/>
  <c r="AL175"/>
  <c r="AJ128"/>
  <c r="AI128"/>
  <c r="AH128"/>
  <c r="AK128"/>
  <c r="AF128"/>
  <c r="AM128"/>
  <c r="AN128"/>
  <c r="AL128"/>
  <c r="AO128"/>
  <c r="AI189"/>
  <c r="AN189"/>
  <c r="AF189"/>
  <c r="AK189"/>
  <c r="AH189"/>
  <c r="AM189"/>
  <c r="AJ189"/>
  <c r="AO189"/>
  <c r="AL189"/>
  <c r="AI142"/>
  <c r="AJ142"/>
  <c r="AH142"/>
  <c r="AK142"/>
  <c r="AM142"/>
  <c r="AF142"/>
  <c r="AL142"/>
  <c r="AN142"/>
  <c r="AO142"/>
  <c r="AM188"/>
  <c r="AJ188"/>
  <c r="AO188"/>
  <c r="AL188"/>
  <c r="AI188"/>
  <c r="AN188"/>
  <c r="AF188"/>
  <c r="AK188"/>
  <c r="AH188"/>
  <c r="AK141"/>
  <c r="AH141"/>
  <c r="AJ141"/>
  <c r="AI141"/>
  <c r="AL141"/>
  <c r="AF141"/>
  <c r="AN141"/>
  <c r="AM141"/>
  <c r="AO141"/>
  <c r="AK56"/>
  <c r="AI56"/>
  <c r="AJ56"/>
  <c r="AH56"/>
  <c r="AF56"/>
  <c r="AL56"/>
  <c r="AN56"/>
  <c r="AM56"/>
  <c r="AO56"/>
  <c r="AJ63"/>
  <c r="AI63"/>
  <c r="AH63"/>
  <c r="AK63"/>
  <c r="AM63"/>
  <c r="AN63"/>
  <c r="AO63"/>
  <c r="AL63"/>
  <c r="AF63"/>
  <c r="AM166"/>
  <c r="AJ166"/>
  <c r="AO166"/>
  <c r="AL166"/>
  <c r="AI166"/>
  <c r="AN166"/>
  <c r="AF166"/>
  <c r="AK166"/>
  <c r="AH166"/>
  <c r="AI119"/>
  <c r="AJ119"/>
  <c r="AH119"/>
  <c r="AK119"/>
  <c r="AM119"/>
  <c r="AN119"/>
  <c r="AL119"/>
  <c r="AF119"/>
  <c r="AO119"/>
  <c r="AI173"/>
  <c r="AN173"/>
  <c r="AF173"/>
  <c r="AK173"/>
  <c r="AH173"/>
  <c r="AM173"/>
  <c r="AJ173"/>
  <c r="AO173"/>
  <c r="AL173"/>
  <c r="AK126"/>
  <c r="AI126"/>
  <c r="AH126"/>
  <c r="AJ126"/>
  <c r="AF126"/>
  <c r="AM126"/>
  <c r="AL126"/>
  <c r="AN126"/>
  <c r="AO126"/>
  <c r="AI59"/>
  <c r="AH59"/>
  <c r="AJ59"/>
  <c r="AK59"/>
  <c r="AM59"/>
  <c r="AN59"/>
  <c r="AO59"/>
  <c r="AL59"/>
  <c r="AF59"/>
  <c r="AM170"/>
  <c r="AJ170"/>
  <c r="AO170"/>
  <c r="AL170"/>
  <c r="AI170"/>
  <c r="AN170"/>
  <c r="AF170"/>
  <c r="AK170"/>
  <c r="AH170"/>
  <c r="AJ123"/>
  <c r="AH123"/>
  <c r="AK123"/>
  <c r="AI123"/>
  <c r="AF123"/>
  <c r="AL123"/>
  <c r="AN123"/>
  <c r="AM123"/>
  <c r="AO123"/>
  <c r="AI177"/>
  <c r="AN177"/>
  <c r="AF177"/>
  <c r="AK177"/>
  <c r="AH177"/>
  <c r="AM177"/>
  <c r="AJ177"/>
  <c r="AO177"/>
  <c r="AL177"/>
  <c r="AJ130"/>
  <c r="AK130"/>
  <c r="AH130"/>
  <c r="AI130"/>
  <c r="AL130"/>
  <c r="AM130"/>
  <c r="AN130"/>
  <c r="AF130"/>
  <c r="AO130"/>
  <c r="AM178"/>
  <c r="AJ178"/>
  <c r="AO178"/>
  <c r="AL178"/>
  <c r="AI178"/>
  <c r="AN178"/>
  <c r="AF178"/>
  <c r="AK178"/>
  <c r="AH178"/>
  <c r="AJ131"/>
  <c r="AK131"/>
  <c r="AH131"/>
  <c r="AI131"/>
  <c r="AF131"/>
  <c r="AN131"/>
  <c r="AM131"/>
  <c r="AL131"/>
  <c r="AO131"/>
  <c r="AI167"/>
  <c r="AN167"/>
  <c r="AF167"/>
  <c r="AK167"/>
  <c r="AH167"/>
  <c r="AM167"/>
  <c r="AJ167"/>
  <c r="AO167"/>
  <c r="AL167"/>
  <c r="AJ120"/>
  <c r="AH120"/>
  <c r="AI120"/>
  <c r="AK120"/>
  <c r="AF120"/>
  <c r="AN120"/>
  <c r="AL120"/>
  <c r="AM120"/>
  <c r="AO120"/>
  <c r="AM182"/>
  <c r="AJ182"/>
  <c r="AO182"/>
  <c r="AL182"/>
  <c r="AI182"/>
  <c r="AN182"/>
  <c r="AF182"/>
  <c r="AK182"/>
  <c r="AH182"/>
  <c r="AH135"/>
  <c r="AJ135"/>
  <c r="AI135"/>
  <c r="AK135"/>
  <c r="AF135"/>
  <c r="AM135"/>
  <c r="AL135"/>
  <c r="AN135"/>
  <c r="AO135"/>
  <c r="AJ62"/>
  <c r="AI62"/>
  <c r="AK62"/>
  <c r="AH62"/>
  <c r="AF62"/>
  <c r="AL62"/>
  <c r="AM62"/>
  <c r="AN62"/>
  <c r="AO62"/>
  <c r="AK69"/>
  <c r="AH69"/>
  <c r="AI69"/>
  <c r="AJ69"/>
  <c r="AM69"/>
  <c r="AN69"/>
  <c r="AO69"/>
  <c r="AL69"/>
  <c r="AF69"/>
  <c r="AI65"/>
  <c r="AJ65"/>
  <c r="AH65"/>
  <c r="AK65"/>
  <c r="AM65"/>
  <c r="AN65"/>
  <c r="AO65"/>
  <c r="AL65"/>
  <c r="AF65"/>
  <c r="AM180"/>
  <c r="AJ180"/>
  <c r="AO180"/>
  <c r="AL180"/>
  <c r="AI180"/>
  <c r="AN180"/>
  <c r="AF180"/>
  <c r="AK180"/>
  <c r="AH180"/>
  <c r="AI133"/>
  <c r="AK133"/>
  <c r="AH133"/>
  <c r="AJ133"/>
  <c r="AL133"/>
  <c r="AF133"/>
  <c r="AM133"/>
  <c r="AN133"/>
  <c r="AO133"/>
  <c r="AI181"/>
  <c r="AN181"/>
  <c r="AF181"/>
  <c r="AK181"/>
  <c r="AH181"/>
  <c r="AM181"/>
  <c r="AJ181"/>
  <c r="AO181"/>
  <c r="AL181"/>
  <c r="AI134"/>
  <c r="AJ134"/>
  <c r="AH134"/>
  <c r="AK134"/>
  <c r="AN134"/>
  <c r="AL134"/>
  <c r="AF134"/>
  <c r="AM134"/>
  <c r="AO134"/>
  <c r="AK57"/>
  <c r="AI57"/>
  <c r="AJ57"/>
  <c r="AH57"/>
  <c r="AM57"/>
  <c r="AN57"/>
  <c r="AO57"/>
  <c r="AL57"/>
  <c r="AF57"/>
  <c r="AI185"/>
  <c r="AN185"/>
  <c r="AF185"/>
  <c r="AK185"/>
  <c r="AH185"/>
  <c r="AM185"/>
  <c r="AJ185"/>
  <c r="AO185"/>
  <c r="AL185"/>
  <c r="AI138"/>
  <c r="AH138"/>
  <c r="AK138"/>
  <c r="AJ138"/>
  <c r="AN138"/>
  <c r="AM138"/>
  <c r="AL138"/>
  <c r="AF138"/>
  <c r="AO138"/>
  <c r="AK190"/>
  <c r="AH190"/>
  <c r="AM190"/>
  <c r="AJ190"/>
  <c r="AO190"/>
  <c r="AL190"/>
  <c r="AI190"/>
  <c r="AN190"/>
  <c r="AF190"/>
  <c r="AK143"/>
  <c r="AH143"/>
  <c r="AJ143"/>
  <c r="AI143"/>
  <c r="AN143"/>
  <c r="AL143"/>
  <c r="AM143"/>
  <c r="AO143"/>
  <c r="AF143"/>
  <c r="AJ68"/>
  <c r="AK68"/>
  <c r="AH68"/>
  <c r="AI68"/>
  <c r="AF68"/>
  <c r="AL68"/>
  <c r="AN68"/>
  <c r="AM68"/>
  <c r="AO68"/>
  <c r="AI179"/>
  <c r="AN179"/>
  <c r="AF179"/>
  <c r="AK179"/>
  <c r="AH179"/>
  <c r="AM179"/>
  <c r="AJ179"/>
  <c r="AO179"/>
  <c r="AL179"/>
  <c r="AK132"/>
  <c r="AH132"/>
  <c r="AI132"/>
  <c r="AJ132"/>
  <c r="AF132"/>
  <c r="AL132"/>
  <c r="AN132"/>
  <c r="AM132"/>
  <c r="AO132"/>
  <c r="AI60"/>
  <c r="AJ60"/>
  <c r="AK60"/>
  <c r="AH60"/>
  <c r="AM60"/>
  <c r="AN60"/>
  <c r="AO60"/>
  <c r="AL60"/>
  <c r="AF60"/>
  <c r="R41" i="49"/>
  <c r="AB212" i="118"/>
  <c r="I28" i="49"/>
  <c r="W35" i="171" s="1"/>
  <c r="Y5" i="119"/>
  <c r="Z12"/>
  <c r="AB31" i="120"/>
  <c r="AB24"/>
  <c r="AH163" i="175"/>
  <c r="O38" i="63"/>
  <c r="AE18" i="119"/>
  <c r="AA17"/>
  <c r="P34" i="63"/>
  <c r="AF19" i="119"/>
  <c r="P26" i="63"/>
  <c r="P41"/>
  <c r="AA28" i="120"/>
  <c r="AF8" i="119"/>
  <c r="O27" i="63"/>
  <c r="O22"/>
  <c r="P44"/>
  <c r="AA13" i="119"/>
  <c r="AB19"/>
  <c r="Z36" i="120"/>
  <c r="Y31"/>
  <c r="Z21"/>
  <c r="AF34"/>
  <c r="AB37"/>
  <c r="AB41"/>
  <c r="AB35"/>
  <c r="AE12" i="119"/>
  <c r="P30" i="63"/>
  <c r="AB10" i="119"/>
  <c r="Y19"/>
  <c r="AB11"/>
  <c r="Z20" i="120"/>
  <c r="O44" i="63"/>
  <c r="AA20" i="120"/>
  <c r="AA8" i="119"/>
  <c r="AH167" i="175"/>
  <c r="Z23" i="120"/>
  <c r="Z26"/>
  <c r="AB18" i="119"/>
  <c r="AF7"/>
  <c r="P21" i="63"/>
  <c r="AB33" i="120"/>
  <c r="P35" i="63"/>
  <c r="AB23" i="120"/>
  <c r="AB45"/>
  <c r="AE7" i="119"/>
  <c r="AF11"/>
  <c r="AE15"/>
  <c r="AA40" i="120"/>
  <c r="AA41"/>
  <c r="Y30"/>
  <c r="P25" i="63"/>
  <c r="Y15" i="119"/>
  <c r="AF32" i="120"/>
  <c r="Y16" i="119"/>
  <c r="AH165" i="175"/>
  <c r="AA15" i="119"/>
  <c r="AB17"/>
  <c r="P39" i="63"/>
  <c r="P28"/>
  <c r="AB16" i="119"/>
  <c r="AF33" i="120"/>
  <c r="P45" i="63"/>
  <c r="AA42" i="120"/>
  <c r="AH227" i="175"/>
  <c r="AE6" i="119"/>
  <c r="P33" i="63"/>
  <c r="Z5" i="119"/>
  <c r="AB28" i="120"/>
  <c r="Z11" i="119"/>
  <c r="AF42" i="120"/>
  <c r="O36" i="63"/>
  <c r="AH229" i="175"/>
  <c r="AA14" i="119"/>
  <c r="O34" i="63"/>
  <c r="O45"/>
  <c r="AB42" i="120"/>
  <c r="AF38"/>
  <c r="Z45"/>
  <c r="AE11" i="119"/>
  <c r="O33" i="63"/>
  <c r="Y24" i="120"/>
  <c r="AH224" i="175"/>
  <c r="Z37" i="120"/>
  <c r="AA26"/>
  <c r="AA35"/>
  <c r="AF20"/>
  <c r="AF16" i="119"/>
  <c r="AA9"/>
  <c r="AF25" i="120"/>
  <c r="AA44"/>
  <c r="Z35"/>
  <c r="AA10" i="119"/>
  <c r="G27" i="63"/>
  <c r="O35"/>
  <c r="AH225" i="175"/>
  <c r="Z25" i="120"/>
  <c r="AB14" i="119"/>
  <c r="Y21" i="120"/>
  <c r="AB32"/>
  <c r="P40" i="63"/>
  <c r="Z44" i="120"/>
  <c r="AF17" i="119"/>
  <c r="AF13"/>
  <c r="AF36" i="120"/>
  <c r="AB20"/>
  <c r="AB12" i="119"/>
  <c r="AB5"/>
  <c r="AB6"/>
  <c r="AA27" i="120"/>
  <c r="Y7" i="119"/>
  <c r="Y25" i="120"/>
  <c r="Z16" i="119"/>
  <c r="Z8"/>
  <c r="P29" i="63"/>
  <c r="Y17" i="119"/>
  <c r="AB43" i="120"/>
  <c r="AF31"/>
  <c r="Y8" i="119"/>
  <c r="P37" i="63"/>
  <c r="Z15" i="119"/>
  <c r="O21" i="63"/>
  <c r="AA38" i="120"/>
  <c r="Z39"/>
  <c r="P36" i="63"/>
  <c r="AB9" i="119"/>
  <c r="P43" i="63"/>
  <c r="AH232" i="175"/>
  <c r="P24" i="63"/>
  <c r="Z34" i="120"/>
  <c r="O25" i="63"/>
  <c r="AH228" i="175"/>
  <c r="Z29" i="120"/>
  <c r="AH170" i="175"/>
  <c r="AB21" i="120"/>
  <c r="AF37"/>
  <c r="AF23"/>
  <c r="AH231" i="175"/>
  <c r="O32" i="63"/>
  <c r="Z42" i="120"/>
  <c r="Y12" i="119"/>
  <c r="AA30" i="120"/>
  <c r="Z18" i="119"/>
  <c r="AF29" i="120"/>
  <c r="AB36"/>
  <c r="O28" i="63"/>
  <c r="Y28" i="120"/>
  <c r="AF39"/>
  <c r="AE5" i="119"/>
  <c r="AE13"/>
  <c r="AA16"/>
  <c r="AF18"/>
  <c r="AE14"/>
  <c r="AB7"/>
  <c r="AF26" i="120"/>
  <c r="P20" i="63"/>
  <c r="AB39" i="120"/>
  <c r="O43" i="63"/>
  <c r="O40"/>
  <c r="AF10" i="119"/>
  <c r="Y9"/>
  <c r="O42" i="63"/>
  <c r="Z38" i="120"/>
  <c r="Y6" i="119"/>
  <c r="AB44" i="120"/>
  <c r="O20" i="63"/>
  <c r="Z32" i="120"/>
  <c r="AB15" i="119"/>
  <c r="AB40" i="120"/>
  <c r="P22" i="63"/>
  <c r="AA23" i="120"/>
  <c r="AA45"/>
  <c r="AH164" i="175"/>
  <c r="Z40" i="120"/>
  <c r="AF22"/>
  <c r="AF14" i="119"/>
  <c r="AF27" i="120"/>
  <c r="AB25"/>
  <c r="G45" i="63"/>
  <c r="AB30" i="120"/>
  <c r="AA34"/>
  <c r="AF41"/>
  <c r="AA12" i="119"/>
  <c r="Y23" i="120"/>
  <c r="AA25"/>
  <c r="Y18" i="119"/>
  <c r="AH162" i="175"/>
  <c r="AB8" i="119"/>
  <c r="Z41" i="120"/>
  <c r="Z31"/>
  <c r="AE10" i="119"/>
  <c r="Z17"/>
  <c r="Y29" i="120"/>
  <c r="AB22"/>
  <c r="AF30"/>
  <c r="O31" i="63"/>
  <c r="Z7" i="119"/>
  <c r="P23" i="63"/>
  <c r="O39"/>
  <c r="AH226" i="175"/>
  <c r="AH230"/>
  <c r="O41" i="63"/>
  <c r="AE9" i="119"/>
  <c r="AH237" i="175"/>
  <c r="AA22" i="120"/>
  <c r="AB27"/>
  <c r="AA33"/>
  <c r="Z27"/>
  <c r="AA5" i="119"/>
  <c r="Y10"/>
  <c r="Z13"/>
  <c r="AB38" i="120"/>
  <c r="Z6" i="119"/>
  <c r="Y11"/>
  <c r="AE17"/>
  <c r="Y20" i="120"/>
  <c r="Y26"/>
  <c r="O29" i="63"/>
  <c r="AF223" i="175"/>
  <c r="O26" i="63"/>
  <c r="Z22" i="120"/>
  <c r="AF45"/>
  <c r="Z19" i="119"/>
  <c r="AA39" i="120"/>
  <c r="Y14" i="119"/>
  <c r="Y27" i="120"/>
  <c r="AF21"/>
  <c r="AF35"/>
  <c r="AF40"/>
  <c r="AF15" i="119"/>
  <c r="AF5"/>
  <c r="AA19"/>
  <c r="P38" i="63"/>
  <c r="AA43" i="120"/>
  <c r="AA32"/>
  <c r="AE8" i="119"/>
  <c r="AA7"/>
  <c r="AH168" i="175"/>
  <c r="O30" i="63"/>
  <c r="AA29" i="120"/>
  <c r="P42" i="63"/>
  <c r="Z43" i="120"/>
  <c r="AB29"/>
  <c r="Z33"/>
  <c r="AA36"/>
  <c r="AF44"/>
  <c r="P27" i="63"/>
  <c r="Z10" i="119"/>
  <c r="P32" i="63"/>
  <c r="P31"/>
  <c r="AF43" i="120"/>
  <c r="AF9" i="119"/>
  <c r="O37" i="63"/>
  <c r="AE19" i="119"/>
  <c r="AE16"/>
  <c r="O23" i="63"/>
  <c r="AH233" i="175"/>
  <c r="AA21" i="120"/>
  <c r="Z9" i="119"/>
  <c r="AA37" i="120"/>
  <c r="Y13" i="119"/>
  <c r="AB34" i="120"/>
  <c r="AA11" i="119"/>
  <c r="O24" i="63"/>
  <c r="AB13" i="119"/>
  <c r="Z24" i="120"/>
  <c r="AA31"/>
  <c r="AA6" i="119"/>
  <c r="AF12"/>
  <c r="AF6"/>
  <c r="AH166" i="175"/>
  <c r="AF24" i="120"/>
  <c r="Z14" i="119"/>
  <c r="Z30" i="120"/>
  <c r="L48" i="171" l="1"/>
  <c r="L47"/>
  <c r="AB47" i="146"/>
  <c r="CA47" i="161"/>
  <c r="E43" i="13"/>
  <c r="BM48" i="161"/>
  <c r="BZ48"/>
  <c r="BY48"/>
  <c r="BX48"/>
  <c r="BL48"/>
  <c r="BN48"/>
  <c r="BO47"/>
  <c r="R42" i="49"/>
  <c r="AB213" i="118"/>
  <c r="I29" i="49"/>
  <c r="W36" i="171" s="1"/>
  <c r="AI225" i="175"/>
  <c r="AG223"/>
  <c r="AI237"/>
  <c r="AI229"/>
  <c r="AI232"/>
  <c r="AI233"/>
  <c r="AI230"/>
  <c r="AI165"/>
  <c r="AI162"/>
  <c r="AI228"/>
  <c r="AI168"/>
  <c r="AI170"/>
  <c r="AI231"/>
  <c r="AI166"/>
  <c r="AI227"/>
  <c r="Y32" i="120"/>
  <c r="AI226" i="175"/>
  <c r="AI163"/>
  <c r="AI224"/>
  <c r="AI167"/>
  <c r="AI164"/>
  <c r="L49" i="171" l="1"/>
  <c r="AB48" i="146"/>
  <c r="BO48" i="161"/>
  <c r="BZ49"/>
  <c r="BY49"/>
  <c r="BX49"/>
  <c r="BM49"/>
  <c r="BL49"/>
  <c r="BN49"/>
  <c r="CA48"/>
  <c r="E44" i="13"/>
  <c r="R43" i="49"/>
  <c r="AB214" i="118"/>
  <c r="I30" i="49"/>
  <c r="W37" i="171" s="1"/>
  <c r="AJ237" i="175"/>
  <c r="AJ163"/>
  <c r="AH223"/>
  <c r="AJ170"/>
  <c r="AJ166"/>
  <c r="AJ162"/>
  <c r="Y33" i="120"/>
  <c r="AJ230" i="175"/>
  <c r="AJ226"/>
  <c r="AJ231"/>
  <c r="AJ165"/>
  <c r="AJ233"/>
  <c r="AJ232"/>
  <c r="AJ229"/>
  <c r="AJ228"/>
  <c r="AJ225"/>
  <c r="AJ164"/>
  <c r="AJ224"/>
  <c r="AJ168"/>
  <c r="AJ227"/>
  <c r="AJ167"/>
  <c r="BD168" l="1"/>
  <c r="BD164"/>
  <c r="BD162"/>
  <c r="BD163"/>
  <c r="BD165"/>
  <c r="BD170"/>
  <c r="BD166"/>
  <c r="BD167"/>
  <c r="BD237"/>
  <c r="BD232"/>
  <c r="BD229"/>
  <c r="BD227"/>
  <c r="BD224"/>
  <c r="BD233"/>
  <c r="BD231"/>
  <c r="BD230"/>
  <c r="BD226"/>
  <c r="BD225"/>
  <c r="BD228"/>
  <c r="L50" i="171"/>
  <c r="AB49" i="146"/>
  <c r="CA49" i="161"/>
  <c r="E45" i="13"/>
  <c r="BO49" i="161"/>
  <c r="BL50"/>
  <c r="BN50"/>
  <c r="BZ50"/>
  <c r="BY50"/>
  <c r="BX50"/>
  <c r="BM50"/>
  <c r="R44" i="49"/>
  <c r="AB215" i="118"/>
  <c r="I31" i="49"/>
  <c r="W38" i="171" s="1"/>
  <c r="AK237" i="175"/>
  <c r="AK230"/>
  <c r="AK227"/>
  <c r="AK226"/>
  <c r="AK228"/>
  <c r="AK163"/>
  <c r="AK166"/>
  <c r="AK225"/>
  <c r="AK168"/>
  <c r="AK164"/>
  <c r="AK229"/>
  <c r="AK231"/>
  <c r="AK233"/>
  <c r="Y34" i="120"/>
  <c r="AK167" i="175"/>
  <c r="AI223"/>
  <c r="AK162"/>
  <c r="AK232"/>
  <c r="AK170"/>
  <c r="AK224"/>
  <c r="AK165"/>
  <c r="L51" i="171" l="1"/>
  <c r="AB50" i="146"/>
  <c r="BZ51" i="161"/>
  <c r="BY51"/>
  <c r="BX51"/>
  <c r="BL51"/>
  <c r="BN51"/>
  <c r="BM51"/>
  <c r="CA50"/>
  <c r="BO50"/>
  <c r="E46" i="13"/>
  <c r="R45" i="49"/>
  <c r="AB216" i="118"/>
  <c r="I32" i="49"/>
  <c r="W39" i="171" s="1"/>
  <c r="AL232" i="175"/>
  <c r="AL230"/>
  <c r="AL170"/>
  <c r="AL164"/>
  <c r="Y35" i="120"/>
  <c r="AL237" i="175"/>
  <c r="AL165"/>
  <c r="AL162"/>
  <c r="AL166"/>
  <c r="AL229"/>
  <c r="AL231"/>
  <c r="AL225"/>
  <c r="AL226"/>
  <c r="AL163"/>
  <c r="AJ223"/>
  <c r="AL167"/>
  <c r="AL168"/>
  <c r="AL233"/>
  <c r="AL227"/>
  <c r="AL228"/>
  <c r="AL224"/>
  <c r="BD223" l="1"/>
  <c r="L52" i="171"/>
  <c r="AB51" i="146"/>
  <c r="BO51" i="161"/>
  <c r="E47" i="13"/>
  <c r="BM52" i="161"/>
  <c r="BZ52"/>
  <c r="BY52"/>
  <c r="BX52"/>
  <c r="BL52"/>
  <c r="BN52"/>
  <c r="CA51"/>
  <c r="R46" i="49"/>
  <c r="AB217" i="118"/>
  <c r="I33" i="49"/>
  <c r="W40" i="171" s="1"/>
  <c r="AM237" i="175"/>
  <c r="AK223"/>
  <c r="Y36" i="120"/>
  <c r="AM233" i="175"/>
  <c r="AM226"/>
  <c r="AM225"/>
  <c r="AM166"/>
  <c r="AM230"/>
  <c r="AM163"/>
  <c r="AM164"/>
  <c r="AM162"/>
  <c r="AM167"/>
  <c r="AM170"/>
  <c r="AM227"/>
  <c r="AM229"/>
  <c r="AM168"/>
  <c r="AM232"/>
  <c r="AM231"/>
  <c r="AM224"/>
  <c r="AM228"/>
  <c r="AM165"/>
  <c r="L53" i="171" l="1"/>
  <c r="AB52" i="146"/>
  <c r="BO52" i="161"/>
  <c r="BZ53"/>
  <c r="BY53"/>
  <c r="BX53"/>
  <c r="BM53"/>
  <c r="BL53"/>
  <c r="BN53"/>
  <c r="E48" i="13"/>
  <c r="CA52" i="161"/>
  <c r="R47" i="49"/>
  <c r="AB218" i="118"/>
  <c r="I34" i="49"/>
  <c r="W41" i="171" s="1"/>
  <c r="AN163" i="175"/>
  <c r="AN237"/>
  <c r="AN166"/>
  <c r="AN230"/>
  <c r="AN232"/>
  <c r="AN227"/>
  <c r="AN162"/>
  <c r="AN228"/>
  <c r="AN224"/>
  <c r="AN226"/>
  <c r="AN225"/>
  <c r="AN167"/>
  <c r="AN164"/>
  <c r="AN165"/>
  <c r="Y37" i="120"/>
  <c r="AN233" i="175"/>
  <c r="AN231"/>
  <c r="AN168"/>
  <c r="AN170"/>
  <c r="AN229"/>
  <c r="AL223"/>
  <c r="L54" i="171" l="1"/>
  <c r="AB53" i="146"/>
  <c r="CA53" i="161"/>
  <c r="BL54"/>
  <c r="BN54"/>
  <c r="BZ54"/>
  <c r="BY54"/>
  <c r="BX54"/>
  <c r="BM54"/>
  <c r="E49" i="13"/>
  <c r="BO53" i="161"/>
  <c r="R48" i="49"/>
  <c r="AB219" i="118"/>
  <c r="I35" i="49"/>
  <c r="W42" i="171" s="1"/>
  <c r="AO231" i="175"/>
  <c r="AO224"/>
  <c r="AO237"/>
  <c r="Y38" i="120"/>
  <c r="AO170" i="175"/>
  <c r="AO165"/>
  <c r="AO163"/>
  <c r="AO230"/>
  <c r="AO229"/>
  <c r="AO232"/>
  <c r="AO227"/>
  <c r="AO168"/>
  <c r="AO166"/>
  <c r="AO162"/>
  <c r="AO167"/>
  <c r="AO233"/>
  <c r="AO226"/>
  <c r="AM223"/>
  <c r="AO164"/>
  <c r="AO225"/>
  <c r="AO228"/>
  <c r="BF163" l="1"/>
  <c r="BF167"/>
  <c r="BF162"/>
  <c r="BF168"/>
  <c r="BF165"/>
  <c r="BF164"/>
  <c r="BF166"/>
  <c r="BF170"/>
  <c r="BF227"/>
  <c r="BF231"/>
  <c r="BF237"/>
  <c r="BF225"/>
  <c r="BF229"/>
  <c r="BF224"/>
  <c r="BF232"/>
  <c r="BF230"/>
  <c r="BF228"/>
  <c r="BF226"/>
  <c r="BF233"/>
  <c r="L55" i="171"/>
  <c r="AB54" i="146"/>
  <c r="E50" i="13"/>
  <c r="CA54" i="161"/>
  <c r="BO54"/>
  <c r="BZ55"/>
  <c r="BY55"/>
  <c r="BX55"/>
  <c r="BL55"/>
  <c r="BN55"/>
  <c r="BM55"/>
  <c r="R49" i="49"/>
  <c r="AB220" i="118"/>
  <c r="I36" i="49"/>
  <c r="W43" i="171" s="1"/>
  <c r="AP237" i="175"/>
  <c r="AN223"/>
  <c r="AP162"/>
  <c r="AP229"/>
  <c r="AP226"/>
  <c r="AP231"/>
  <c r="AP230"/>
  <c r="AP168"/>
  <c r="AP228"/>
  <c r="AP232"/>
  <c r="AP167"/>
  <c r="AP163"/>
  <c r="AP165"/>
  <c r="AP225"/>
  <c r="Y39" i="120"/>
  <c r="AP170" i="175"/>
  <c r="AP227"/>
  <c r="AP164"/>
  <c r="AP166"/>
  <c r="AP233"/>
  <c r="AP224"/>
  <c r="L56" i="171" l="1"/>
  <c r="AB55" i="146"/>
  <c r="BO55" i="161"/>
  <c r="E51" i="13"/>
  <c r="CA55" i="161"/>
  <c r="BM56"/>
  <c r="BZ56"/>
  <c r="BY56"/>
  <c r="BX56"/>
  <c r="BL56"/>
  <c r="BN56"/>
  <c r="R50" i="49"/>
  <c r="AB221" i="118"/>
  <c r="I37" i="49"/>
  <c r="W44" i="171" s="1"/>
  <c r="AQ225" i="175"/>
  <c r="AQ170"/>
  <c r="AQ233"/>
  <c r="AQ167"/>
  <c r="Y40" i="120"/>
  <c r="AQ168" i="175"/>
  <c r="AQ224"/>
  <c r="AQ232"/>
  <c r="AQ229"/>
  <c r="AO223"/>
  <c r="AQ166"/>
  <c r="AQ163"/>
  <c r="AQ164"/>
  <c r="AQ165"/>
  <c r="AQ231"/>
  <c r="AQ228"/>
  <c r="AQ227"/>
  <c r="AQ237"/>
  <c r="AQ226"/>
  <c r="AQ162"/>
  <c r="AQ230"/>
  <c r="BF223" l="1"/>
  <c r="L57" i="171"/>
  <c r="E52" i="13"/>
  <c r="AB56" i="146"/>
  <c r="CA56" i="161"/>
  <c r="BZ57"/>
  <c r="BY57"/>
  <c r="BX57"/>
  <c r="BM57"/>
  <c r="BL57"/>
  <c r="BN57"/>
  <c r="BO56"/>
  <c r="R51" i="49"/>
  <c r="AB222" i="118"/>
  <c r="I38" i="49"/>
  <c r="W45" i="171" s="1"/>
  <c r="Y41" i="120"/>
  <c r="AR162" i="175"/>
  <c r="AR230"/>
  <c r="AR226"/>
  <c r="AR232"/>
  <c r="AR229"/>
  <c r="AR227"/>
  <c r="AR164"/>
  <c r="AR233"/>
  <c r="AR228"/>
  <c r="AR224"/>
  <c r="AR166"/>
  <c r="AR225"/>
  <c r="AR170"/>
  <c r="AR165"/>
  <c r="AR168"/>
  <c r="AR163"/>
  <c r="AR167"/>
  <c r="AP223"/>
  <c r="AR237"/>
  <c r="AR231"/>
  <c r="L58" i="171" l="1"/>
  <c r="AB57" i="146"/>
  <c r="BO57" i="161"/>
  <c r="BL58"/>
  <c r="BN58"/>
  <c r="BZ58"/>
  <c r="BY58"/>
  <c r="BX58"/>
  <c r="BM58"/>
  <c r="CA57"/>
  <c r="BZ59"/>
  <c r="BY59"/>
  <c r="BX59"/>
  <c r="BL59"/>
  <c r="BN59"/>
  <c r="BM59"/>
  <c r="R52" i="49"/>
  <c r="AB223" i="118"/>
  <c r="I39" i="49"/>
  <c r="W46" i="171" s="1"/>
  <c r="AS237" i="175"/>
  <c r="AS232"/>
  <c r="AS164"/>
  <c r="Y42" i="120"/>
  <c r="AS225" i="175"/>
  <c r="AS231"/>
  <c r="AS233"/>
  <c r="AS168"/>
  <c r="AS166"/>
  <c r="AS163"/>
  <c r="AS170"/>
  <c r="AS229"/>
  <c r="AQ223"/>
  <c r="AS230"/>
  <c r="AS165"/>
  <c r="AS226"/>
  <c r="AS162"/>
  <c r="AS228"/>
  <c r="AS224"/>
  <c r="AS227"/>
  <c r="AS167"/>
  <c r="L59" i="171" l="1"/>
  <c r="AB58" i="146"/>
  <c r="BO59" i="161"/>
  <c r="CA58"/>
  <c r="CA59"/>
  <c r="BO58"/>
  <c r="AB224" i="118"/>
  <c r="I40" i="49"/>
  <c r="W47" i="171" s="1"/>
  <c r="AT230" i="175"/>
  <c r="AT165"/>
  <c r="AR223"/>
  <c r="AT232"/>
  <c r="AT162"/>
  <c r="AT163"/>
  <c r="AT233"/>
  <c r="AT229"/>
  <c r="AT231"/>
  <c r="AT237"/>
  <c r="AT164"/>
  <c r="Y43" i="120"/>
  <c r="AT226" i="175"/>
  <c r="AT170"/>
  <c r="AT166"/>
  <c r="AT168"/>
  <c r="AT227"/>
  <c r="AT225"/>
  <c r="AT167"/>
  <c r="AT228"/>
  <c r="F170" l="1"/>
  <c r="F168"/>
  <c r="F163"/>
  <c r="F227"/>
  <c r="F237"/>
  <c r="F232"/>
  <c r="F165"/>
  <c r="F166"/>
  <c r="F231"/>
  <c r="F164"/>
  <c r="F225"/>
  <c r="F162"/>
  <c r="F228"/>
  <c r="F230"/>
  <c r="F229"/>
  <c r="F167"/>
  <c r="F226"/>
  <c r="F233"/>
  <c r="BH168"/>
  <c r="BH170"/>
  <c r="BH166"/>
  <c r="BH167"/>
  <c r="BH162"/>
  <c r="BH164"/>
  <c r="BH163"/>
  <c r="BH165"/>
  <c r="BH237"/>
  <c r="BH231"/>
  <c r="BH227"/>
  <c r="BH226"/>
  <c r="BH230"/>
  <c r="BH232"/>
  <c r="BH225"/>
  <c r="BH233"/>
  <c r="BH229"/>
  <c r="BH228"/>
  <c r="AB59" i="146"/>
  <c r="AB225" i="118"/>
  <c r="I41" i="49"/>
  <c r="W48" i="171" s="1"/>
  <c r="Y44" i="120"/>
  <c r="AS223" i="175"/>
  <c r="AT224"/>
  <c r="F224" l="1"/>
  <c r="BH224"/>
  <c r="AJ47" i="118"/>
  <c r="AI47"/>
  <c r="AK47"/>
  <c r="AF47"/>
  <c r="AH47"/>
  <c r="AN47"/>
  <c r="AL47"/>
  <c r="AM47"/>
  <c r="AO47"/>
  <c r="AH280"/>
  <c r="AK280"/>
  <c r="AI280"/>
  <c r="AJ280"/>
  <c r="AM280"/>
  <c r="AN280"/>
  <c r="AF280"/>
  <c r="AL280"/>
  <c r="AO280"/>
  <c r="AI80"/>
  <c r="AK80"/>
  <c r="AJ80"/>
  <c r="AH80"/>
  <c r="AM80"/>
  <c r="AN80"/>
  <c r="AF80"/>
  <c r="AL80"/>
  <c r="AO80"/>
  <c r="AJ272"/>
  <c r="AH272"/>
  <c r="AI272"/>
  <c r="AK272"/>
  <c r="AF272"/>
  <c r="AN272"/>
  <c r="AL272"/>
  <c r="AM272"/>
  <c r="AO272"/>
  <c r="AJ218"/>
  <c r="AK218"/>
  <c r="AH218"/>
  <c r="AI218"/>
  <c r="AN218"/>
  <c r="AL218"/>
  <c r="AM218"/>
  <c r="AO218"/>
  <c r="AF218"/>
  <c r="AH278"/>
  <c r="AK278"/>
  <c r="AJ278"/>
  <c r="AI278"/>
  <c r="AF278"/>
  <c r="AL278"/>
  <c r="AM278"/>
  <c r="AN278"/>
  <c r="AO278"/>
  <c r="AJ87"/>
  <c r="AK87"/>
  <c r="AH87"/>
  <c r="AI87"/>
  <c r="AF87"/>
  <c r="AL87"/>
  <c r="AN87"/>
  <c r="AM87"/>
  <c r="AO87"/>
  <c r="AK79"/>
  <c r="AH79"/>
  <c r="AJ79"/>
  <c r="AI79"/>
  <c r="AF79"/>
  <c r="AN79"/>
  <c r="AM79"/>
  <c r="AL79"/>
  <c r="AO79"/>
  <c r="AJ95"/>
  <c r="AK95"/>
  <c r="AI95"/>
  <c r="AH95"/>
  <c r="AF95"/>
  <c r="AM95"/>
  <c r="AN95"/>
  <c r="AL95"/>
  <c r="AO95"/>
  <c r="AI30"/>
  <c r="AF30"/>
  <c r="AH30"/>
  <c r="AK30"/>
  <c r="AJ30"/>
  <c r="AL30"/>
  <c r="AN30"/>
  <c r="AM30"/>
  <c r="AO30"/>
  <c r="AH258"/>
  <c r="AJ258"/>
  <c r="AI258"/>
  <c r="AK258"/>
  <c r="AM258"/>
  <c r="AN258"/>
  <c r="AL258"/>
  <c r="AO258"/>
  <c r="AF258"/>
  <c r="AK224"/>
  <c r="AI224"/>
  <c r="AH224"/>
  <c r="AJ224"/>
  <c r="AM224"/>
  <c r="AN224"/>
  <c r="AL224"/>
  <c r="AO224"/>
  <c r="AF224"/>
  <c r="AH75"/>
  <c r="AK75"/>
  <c r="AI75"/>
  <c r="AJ75"/>
  <c r="AF75"/>
  <c r="AM75"/>
  <c r="AN75"/>
  <c r="AL75"/>
  <c r="AO75"/>
  <c r="AH77"/>
  <c r="AK77"/>
  <c r="AJ77"/>
  <c r="AI77"/>
  <c r="AF77"/>
  <c r="AN77"/>
  <c r="AL77"/>
  <c r="AM77"/>
  <c r="AO77"/>
  <c r="AJ85"/>
  <c r="AI85"/>
  <c r="AK85"/>
  <c r="AH85"/>
  <c r="AF85"/>
  <c r="AL85"/>
  <c r="AN85"/>
  <c r="AM85"/>
  <c r="AO85"/>
  <c r="AH259"/>
  <c r="AI259"/>
  <c r="AK259"/>
  <c r="AJ259"/>
  <c r="AN259"/>
  <c r="AF259"/>
  <c r="AL259"/>
  <c r="AM259"/>
  <c r="AO259"/>
  <c r="AJ252"/>
  <c r="AH252"/>
  <c r="AI252"/>
  <c r="AK252"/>
  <c r="AM252"/>
  <c r="AN252"/>
  <c r="AL252"/>
  <c r="AO252"/>
  <c r="AF252"/>
  <c r="AJ49"/>
  <c r="AK49"/>
  <c r="AF49"/>
  <c r="AH49"/>
  <c r="AI49"/>
  <c r="AL49"/>
  <c r="AM49"/>
  <c r="AN49"/>
  <c r="AO49"/>
  <c r="AK86"/>
  <c r="AH86"/>
  <c r="AJ86"/>
  <c r="AI86"/>
  <c r="AN86"/>
  <c r="AF86"/>
  <c r="AL86"/>
  <c r="AM86"/>
  <c r="AO86"/>
  <c r="AJ237"/>
  <c r="AK237"/>
  <c r="AH237"/>
  <c r="AI237"/>
  <c r="AM237"/>
  <c r="AL237"/>
  <c r="AN237"/>
  <c r="AO237"/>
  <c r="AF237"/>
  <c r="AK246"/>
  <c r="AI246"/>
  <c r="AJ246"/>
  <c r="AH246"/>
  <c r="AF246"/>
  <c r="AL246"/>
  <c r="AM246"/>
  <c r="AN246"/>
  <c r="AO246"/>
  <c r="AF43"/>
  <c r="AJ43"/>
  <c r="AI43"/>
  <c r="AK43"/>
  <c r="AH43"/>
  <c r="AN43"/>
  <c r="AL43"/>
  <c r="AM43"/>
  <c r="AO43"/>
  <c r="AJ254"/>
  <c r="AK254"/>
  <c r="AH254"/>
  <c r="AI254"/>
  <c r="AM254"/>
  <c r="AN254"/>
  <c r="AL254"/>
  <c r="AO254"/>
  <c r="AF254"/>
  <c r="AI96"/>
  <c r="AK96"/>
  <c r="AH96"/>
  <c r="AJ96"/>
  <c r="AF96"/>
  <c r="AL96"/>
  <c r="AN96"/>
  <c r="AM96"/>
  <c r="AO96"/>
  <c r="AJ84"/>
  <c r="AH84"/>
  <c r="AK84"/>
  <c r="AI84"/>
  <c r="AF84"/>
  <c r="AN84"/>
  <c r="AL84"/>
  <c r="AM84"/>
  <c r="AO84"/>
  <c r="AJ284"/>
  <c r="AI284"/>
  <c r="AH284"/>
  <c r="AK284"/>
  <c r="AF284"/>
  <c r="AM284"/>
  <c r="AL284"/>
  <c r="AN284"/>
  <c r="AO284"/>
  <c r="AI40"/>
  <c r="AH40"/>
  <c r="AK40"/>
  <c r="AJ40"/>
  <c r="AF40"/>
  <c r="AL40"/>
  <c r="AN40"/>
  <c r="AM40"/>
  <c r="AO40"/>
  <c r="AJ90"/>
  <c r="AH90"/>
  <c r="AK90"/>
  <c r="AI90"/>
  <c r="AF90"/>
  <c r="AN90"/>
  <c r="AL90"/>
  <c r="AM90"/>
  <c r="AO90"/>
  <c r="AH234"/>
  <c r="AI234"/>
  <c r="AJ234"/>
  <c r="AK234"/>
  <c r="AL234"/>
  <c r="AN234"/>
  <c r="AM234"/>
  <c r="AO234"/>
  <c r="AF234"/>
  <c r="AJ283"/>
  <c r="AK283"/>
  <c r="AI283"/>
  <c r="AH283"/>
  <c r="AF283"/>
  <c r="AM283"/>
  <c r="AL283"/>
  <c r="AN283"/>
  <c r="AO283"/>
  <c r="AJ268"/>
  <c r="AH268"/>
  <c r="AK268"/>
  <c r="AI268"/>
  <c r="AN268"/>
  <c r="AL268"/>
  <c r="AM268"/>
  <c r="AF268"/>
  <c r="AO268"/>
  <c r="AH88"/>
  <c r="AK88"/>
  <c r="AI88"/>
  <c r="AJ88"/>
  <c r="AF88"/>
  <c r="AM88"/>
  <c r="AN88"/>
  <c r="AL88"/>
  <c r="AO88"/>
  <c r="AH38"/>
  <c r="AJ38"/>
  <c r="AI38"/>
  <c r="AF38"/>
  <c r="AK38"/>
  <c r="AL38"/>
  <c r="AM38"/>
  <c r="AN38"/>
  <c r="AO38"/>
  <c r="AI244"/>
  <c r="AJ244"/>
  <c r="AH244"/>
  <c r="AK244"/>
  <c r="AM244"/>
  <c r="AF244"/>
  <c r="AN244"/>
  <c r="AL244"/>
  <c r="AO244"/>
  <c r="AH275"/>
  <c r="AI275"/>
  <c r="AK275"/>
  <c r="AJ275"/>
  <c r="AN275"/>
  <c r="AF275"/>
  <c r="AL275"/>
  <c r="AM275"/>
  <c r="AO275"/>
  <c r="AK92"/>
  <c r="AI92"/>
  <c r="AH92"/>
  <c r="AJ92"/>
  <c r="AN92"/>
  <c r="AF92"/>
  <c r="AM92"/>
  <c r="AL92"/>
  <c r="AO92"/>
  <c r="AH273"/>
  <c r="AJ273"/>
  <c r="AI273"/>
  <c r="AK273"/>
  <c r="AF273"/>
  <c r="AL273"/>
  <c r="AN273"/>
  <c r="AM273"/>
  <c r="AO273"/>
  <c r="AF36"/>
  <c r="AI36"/>
  <c r="AH36"/>
  <c r="AK36"/>
  <c r="AJ36"/>
  <c r="AL36"/>
  <c r="AN36"/>
  <c r="AM36"/>
  <c r="AO36"/>
  <c r="AH248"/>
  <c r="AK248"/>
  <c r="AJ248"/>
  <c r="AI248"/>
  <c r="AM248"/>
  <c r="AN248"/>
  <c r="AL248"/>
  <c r="AO248"/>
  <c r="AF248"/>
  <c r="AH28"/>
  <c r="AF28"/>
  <c r="AJ28"/>
  <c r="AI28"/>
  <c r="AK28"/>
  <c r="AM28"/>
  <c r="AN28"/>
  <c r="AL28"/>
  <c r="AO28"/>
  <c r="AK93"/>
  <c r="AH93"/>
  <c r="AI93"/>
  <c r="AJ93"/>
  <c r="AF93"/>
  <c r="AM93"/>
  <c r="AL93"/>
  <c r="AN93"/>
  <c r="AO93"/>
  <c r="AH269"/>
  <c r="AK269"/>
  <c r="AJ269"/>
  <c r="AI269"/>
  <c r="AF269"/>
  <c r="AM269"/>
  <c r="AL269"/>
  <c r="AN269"/>
  <c r="AO269"/>
  <c r="AI73"/>
  <c r="AJ73"/>
  <c r="AH73"/>
  <c r="AK73"/>
  <c r="AF73"/>
  <c r="AL73"/>
  <c r="AM73"/>
  <c r="AN73"/>
  <c r="AO73"/>
  <c r="AK83"/>
  <c r="AH83"/>
  <c r="AI83"/>
  <c r="AJ83"/>
  <c r="AF83"/>
  <c r="AN83"/>
  <c r="AM83"/>
  <c r="AL83"/>
  <c r="AO83"/>
  <c r="AI271"/>
  <c r="AK271"/>
  <c r="AH271"/>
  <c r="AJ271"/>
  <c r="AF271"/>
  <c r="AM271"/>
  <c r="AN271"/>
  <c r="AL271"/>
  <c r="AO271"/>
  <c r="AK215"/>
  <c r="AH215"/>
  <c r="AJ215"/>
  <c r="AI215"/>
  <c r="AL215"/>
  <c r="AM215"/>
  <c r="AN215"/>
  <c r="AO215"/>
  <c r="AF215"/>
  <c r="AK250"/>
  <c r="AH250"/>
  <c r="AJ250"/>
  <c r="AI250"/>
  <c r="AF250"/>
  <c r="AL250"/>
  <c r="AM250"/>
  <c r="AN250"/>
  <c r="AO250"/>
  <c r="AF32"/>
  <c r="AH32"/>
  <c r="AJ32"/>
  <c r="AI32"/>
  <c r="AK32"/>
  <c r="AN32"/>
  <c r="AM32"/>
  <c r="AL32"/>
  <c r="AO32"/>
  <c r="AI256"/>
  <c r="AJ256"/>
  <c r="AH256"/>
  <c r="AK256"/>
  <c r="AF256"/>
  <c r="AM256"/>
  <c r="AN256"/>
  <c r="AL256"/>
  <c r="AO256"/>
  <c r="AH260"/>
  <c r="AK260"/>
  <c r="AJ260"/>
  <c r="AI260"/>
  <c r="AM260"/>
  <c r="AN260"/>
  <c r="AF260"/>
  <c r="AL260"/>
  <c r="AO260"/>
  <c r="AI26"/>
  <c r="AH26"/>
  <c r="AK26"/>
  <c r="AF26"/>
  <c r="AJ26"/>
  <c r="AM26"/>
  <c r="AN26"/>
  <c r="AL26"/>
  <c r="AO26"/>
  <c r="AI76"/>
  <c r="AH76"/>
  <c r="AJ76"/>
  <c r="AK76"/>
  <c r="AF76"/>
  <c r="AL76"/>
  <c r="AN76"/>
  <c r="AM76"/>
  <c r="AO76"/>
  <c r="AJ35"/>
  <c r="AI35"/>
  <c r="AF35"/>
  <c r="AK35"/>
  <c r="AH35"/>
  <c r="AN35"/>
  <c r="AL35"/>
  <c r="AM35"/>
  <c r="AO35"/>
  <c r="AI225"/>
  <c r="AK225"/>
  <c r="AJ225"/>
  <c r="AH225"/>
  <c r="AM225"/>
  <c r="AL225"/>
  <c r="AN225"/>
  <c r="AO225"/>
  <c r="AF225"/>
  <c r="AJ253"/>
  <c r="AI253"/>
  <c r="AK253"/>
  <c r="AH253"/>
  <c r="AM253"/>
  <c r="AN253"/>
  <c r="AL253"/>
  <c r="AO253"/>
  <c r="AF253"/>
  <c r="AH277"/>
  <c r="AI277"/>
  <c r="AJ277"/>
  <c r="AK277"/>
  <c r="AF277"/>
  <c r="AM277"/>
  <c r="AN277"/>
  <c r="AL277"/>
  <c r="AO277"/>
  <c r="AJ31"/>
  <c r="AK31"/>
  <c r="AF31"/>
  <c r="AH31"/>
  <c r="AI31"/>
  <c r="AM31"/>
  <c r="AL31"/>
  <c r="AN31"/>
  <c r="AO31"/>
  <c r="AI261"/>
  <c r="AK261"/>
  <c r="AH261"/>
  <c r="AJ261"/>
  <c r="AM261"/>
  <c r="AF261"/>
  <c r="AL261"/>
  <c r="AN261"/>
  <c r="AO261"/>
  <c r="AK262"/>
  <c r="AH262"/>
  <c r="AI262"/>
  <c r="AJ262"/>
  <c r="AL262"/>
  <c r="AF262"/>
  <c r="AN262"/>
  <c r="AM262"/>
  <c r="AO262"/>
  <c r="AF46"/>
  <c r="AH46"/>
  <c r="AJ46"/>
  <c r="AI46"/>
  <c r="AK46"/>
  <c r="AL46"/>
  <c r="AM46"/>
  <c r="AN46"/>
  <c r="AO46"/>
  <c r="AK265"/>
  <c r="AI265"/>
  <c r="AJ265"/>
  <c r="AH265"/>
  <c r="AN265"/>
  <c r="AL265"/>
  <c r="AF265"/>
  <c r="AM265"/>
  <c r="AO265"/>
  <c r="AH249"/>
  <c r="AK249"/>
  <c r="AJ249"/>
  <c r="AI249"/>
  <c r="AM249"/>
  <c r="AN249"/>
  <c r="AL249"/>
  <c r="AO249"/>
  <c r="AF249"/>
  <c r="AI165"/>
  <c r="AN165"/>
  <c r="AO165"/>
  <c r="AL165"/>
  <c r="AJ165"/>
  <c r="AM165"/>
  <c r="AF165"/>
  <c r="AK165"/>
  <c r="AH165"/>
  <c r="AK118"/>
  <c r="AI118"/>
  <c r="AJ118"/>
  <c r="AH118"/>
  <c r="AF118"/>
  <c r="AN118"/>
  <c r="AL118"/>
  <c r="AM118"/>
  <c r="AO118"/>
  <c r="AJ231"/>
  <c r="AI231"/>
  <c r="AK231"/>
  <c r="AH231"/>
  <c r="AN231"/>
  <c r="AL231"/>
  <c r="AM231"/>
  <c r="AO231"/>
  <c r="AF231"/>
  <c r="AK266"/>
  <c r="AH266"/>
  <c r="AJ266"/>
  <c r="AI266"/>
  <c r="AL266"/>
  <c r="AF266"/>
  <c r="AM266"/>
  <c r="AN266"/>
  <c r="AO266"/>
  <c r="AJ245"/>
  <c r="AI245"/>
  <c r="AK245"/>
  <c r="AH245"/>
  <c r="AM245"/>
  <c r="AN245"/>
  <c r="AL245"/>
  <c r="AO245"/>
  <c r="AF245"/>
  <c r="AH71"/>
  <c r="AJ71"/>
  <c r="AK71"/>
  <c r="AI71"/>
  <c r="AF71"/>
  <c r="AN71"/>
  <c r="AL71"/>
  <c r="AM71"/>
  <c r="AO71"/>
  <c r="AJ89"/>
  <c r="AH89"/>
  <c r="AK89"/>
  <c r="AI89"/>
  <c r="AF89"/>
  <c r="AM89"/>
  <c r="AN89"/>
  <c r="AL89"/>
  <c r="AO89"/>
  <c r="AJ270"/>
  <c r="AH270"/>
  <c r="AI270"/>
  <c r="AK270"/>
  <c r="AF270"/>
  <c r="AL270"/>
  <c r="AN270"/>
  <c r="AM270"/>
  <c r="AO270"/>
  <c r="AJ263"/>
  <c r="AH263"/>
  <c r="AI263"/>
  <c r="AK263"/>
  <c r="AM263"/>
  <c r="AN263"/>
  <c r="AF263"/>
  <c r="AL263"/>
  <c r="AO263"/>
  <c r="AI72"/>
  <c r="AH72"/>
  <c r="AK72"/>
  <c r="AJ72"/>
  <c r="AF72"/>
  <c r="AM72"/>
  <c r="AL72"/>
  <c r="AN72"/>
  <c r="AO72"/>
  <c r="AK232"/>
  <c r="AH232"/>
  <c r="AI232"/>
  <c r="AJ232"/>
  <c r="AM232"/>
  <c r="AN232"/>
  <c r="AL232"/>
  <c r="AO232"/>
  <c r="AF232"/>
  <c r="AH24"/>
  <c r="AJ24"/>
  <c r="AI24"/>
  <c r="AF24"/>
  <c r="AK24"/>
  <c r="AL24"/>
  <c r="AM24"/>
  <c r="AN24"/>
  <c r="AO24"/>
  <c r="AI48"/>
  <c r="AF48"/>
  <c r="AH48"/>
  <c r="AK48"/>
  <c r="AJ48"/>
  <c r="AM48"/>
  <c r="AL48"/>
  <c r="AN48"/>
  <c r="AO48"/>
  <c r="AJ230"/>
  <c r="AK230"/>
  <c r="AI230"/>
  <c r="AH230"/>
  <c r="AN230"/>
  <c r="AL230"/>
  <c r="AM230"/>
  <c r="AO230"/>
  <c r="AF230"/>
  <c r="AI282"/>
  <c r="AH282"/>
  <c r="AK282"/>
  <c r="AJ282"/>
  <c r="AN282"/>
  <c r="AF282"/>
  <c r="AL282"/>
  <c r="AM282"/>
  <c r="AO282"/>
  <c r="AF27"/>
  <c r="AJ27"/>
  <c r="AK27"/>
  <c r="AH27"/>
  <c r="AI27"/>
  <c r="AN27"/>
  <c r="AL27"/>
  <c r="AM27"/>
  <c r="AO27"/>
  <c r="AJ281"/>
  <c r="AK281"/>
  <c r="AI281"/>
  <c r="AH281"/>
  <c r="AM281"/>
  <c r="AL281"/>
  <c r="AN281"/>
  <c r="AF281"/>
  <c r="AO281"/>
  <c r="AJ267"/>
  <c r="AH267"/>
  <c r="AI267"/>
  <c r="AK267"/>
  <c r="AF267"/>
  <c r="AL267"/>
  <c r="AM267"/>
  <c r="AN267"/>
  <c r="AO267"/>
  <c r="AK94"/>
  <c r="AH94"/>
  <c r="AI94"/>
  <c r="AJ94"/>
  <c r="AF94"/>
  <c r="AN94"/>
  <c r="AL94"/>
  <c r="AM94"/>
  <c r="AO94"/>
  <c r="AJ221"/>
  <c r="AI221"/>
  <c r="AH221"/>
  <c r="AK221"/>
  <c r="AN221"/>
  <c r="AM221"/>
  <c r="AL221"/>
  <c r="AO221"/>
  <c r="AF221"/>
  <c r="AK233"/>
  <c r="AI233"/>
  <c r="AJ233"/>
  <c r="AH233"/>
  <c r="AM233"/>
  <c r="AN233"/>
  <c r="AL233"/>
  <c r="AO233"/>
  <c r="AF233"/>
  <c r="AI82"/>
  <c r="AJ82"/>
  <c r="AH82"/>
  <c r="AK82"/>
  <c r="AF82"/>
  <c r="AN82"/>
  <c r="AM82"/>
  <c r="AL82"/>
  <c r="AO82"/>
  <c r="AJ214"/>
  <c r="AH214"/>
  <c r="AK214"/>
  <c r="AI214"/>
  <c r="AM214"/>
  <c r="AN214"/>
  <c r="AL214"/>
  <c r="AO214"/>
  <c r="AF214"/>
  <c r="AK279"/>
  <c r="AJ279"/>
  <c r="AH279"/>
  <c r="AI279"/>
  <c r="AF279"/>
  <c r="AL279"/>
  <c r="AM279"/>
  <c r="AN279"/>
  <c r="AO279"/>
  <c r="AI251"/>
  <c r="AH251"/>
  <c r="AK251"/>
  <c r="AJ251"/>
  <c r="AM251"/>
  <c r="AN251"/>
  <c r="AL251"/>
  <c r="AO251"/>
  <c r="AF251"/>
  <c r="AI223"/>
  <c r="AH223"/>
  <c r="AJ223"/>
  <c r="AK223"/>
  <c r="AM223"/>
  <c r="AL223"/>
  <c r="AN223"/>
  <c r="AO223"/>
  <c r="AF223"/>
  <c r="AJ226"/>
  <c r="AH226"/>
  <c r="AK226"/>
  <c r="AI226"/>
  <c r="AM226"/>
  <c r="AL226"/>
  <c r="AN226"/>
  <c r="AO226"/>
  <c r="AF226"/>
  <c r="AI257"/>
  <c r="AH257"/>
  <c r="AJ257"/>
  <c r="AK257"/>
  <c r="AM257"/>
  <c r="AN257"/>
  <c r="AL257"/>
  <c r="AO257"/>
  <c r="AF257"/>
  <c r="AI216"/>
  <c r="AH216"/>
  <c r="AK216"/>
  <c r="AJ216"/>
  <c r="AL216"/>
  <c r="AM216"/>
  <c r="AN216"/>
  <c r="AO216"/>
  <c r="AF216"/>
  <c r="AH274"/>
  <c r="AI274"/>
  <c r="AJ274"/>
  <c r="AK274"/>
  <c r="AN274"/>
  <c r="AF274"/>
  <c r="AL274"/>
  <c r="AM274"/>
  <c r="AO274"/>
  <c r="AI219"/>
  <c r="AJ219"/>
  <c r="AK219"/>
  <c r="AH219"/>
  <c r="AM219"/>
  <c r="AL219"/>
  <c r="AN219"/>
  <c r="AO219"/>
  <c r="AF219"/>
  <c r="AJ33"/>
  <c r="AI33"/>
  <c r="AK33"/>
  <c r="AF33"/>
  <c r="AH33"/>
  <c r="AM33"/>
  <c r="AN33"/>
  <c r="AL33"/>
  <c r="AO33"/>
  <c r="AJ213"/>
  <c r="AH213"/>
  <c r="AK213"/>
  <c r="AI213"/>
  <c r="AL213"/>
  <c r="AM213"/>
  <c r="AN213"/>
  <c r="AO213"/>
  <c r="AF213"/>
  <c r="AK228"/>
  <c r="AH228"/>
  <c r="AI228"/>
  <c r="AJ228"/>
  <c r="AN228"/>
  <c r="AM228"/>
  <c r="AL228"/>
  <c r="AO228"/>
  <c r="AF228"/>
  <c r="AI236"/>
  <c r="AK236"/>
  <c r="AH236"/>
  <c r="AJ236"/>
  <c r="AL236"/>
  <c r="AN236"/>
  <c r="AM236"/>
  <c r="AO236"/>
  <c r="AF236"/>
  <c r="AJ41"/>
  <c r="AK41"/>
  <c r="AF41"/>
  <c r="AH41"/>
  <c r="AI41"/>
  <c r="AM41"/>
  <c r="AN41"/>
  <c r="AL41"/>
  <c r="AO41"/>
  <c r="AJ25"/>
  <c r="AF25"/>
  <c r="AI25"/>
  <c r="AK25"/>
  <c r="AH25"/>
  <c r="AL25"/>
  <c r="AM25"/>
  <c r="AN25"/>
  <c r="AO25"/>
  <c r="AF34"/>
  <c r="AH34"/>
  <c r="AJ34"/>
  <c r="AI34"/>
  <c r="AK34"/>
  <c r="AM34"/>
  <c r="AN34"/>
  <c r="AL34"/>
  <c r="AO34"/>
  <c r="AH91"/>
  <c r="AK91"/>
  <c r="AI91"/>
  <c r="AJ91"/>
  <c r="AF91"/>
  <c r="AM91"/>
  <c r="AN91"/>
  <c r="AL91"/>
  <c r="AO91"/>
  <c r="AF45"/>
  <c r="AJ45"/>
  <c r="AK45"/>
  <c r="AH45"/>
  <c r="AI45"/>
  <c r="AM45"/>
  <c r="AN45"/>
  <c r="AL45"/>
  <c r="AO45"/>
  <c r="AH42"/>
  <c r="AF42"/>
  <c r="AJ42"/>
  <c r="AI42"/>
  <c r="AK42"/>
  <c r="AM42"/>
  <c r="AN42"/>
  <c r="AL42"/>
  <c r="AO42"/>
  <c r="AJ264"/>
  <c r="AH264"/>
  <c r="AI264"/>
  <c r="AK264"/>
  <c r="AL264"/>
  <c r="AM264"/>
  <c r="AN264"/>
  <c r="AF264"/>
  <c r="AO264"/>
  <c r="AH220"/>
  <c r="AJ220"/>
  <c r="AK220"/>
  <c r="AI220"/>
  <c r="AL220"/>
  <c r="AM220"/>
  <c r="AN220"/>
  <c r="AO220"/>
  <c r="AF220"/>
  <c r="AK227"/>
  <c r="AI227"/>
  <c r="AJ227"/>
  <c r="AH227"/>
  <c r="AN227"/>
  <c r="AM227"/>
  <c r="AL227"/>
  <c r="AO227"/>
  <c r="AF227"/>
  <c r="AJ37"/>
  <c r="AK37"/>
  <c r="AF37"/>
  <c r="AH37"/>
  <c r="AI37"/>
  <c r="AL37"/>
  <c r="AM37"/>
  <c r="AN37"/>
  <c r="AO37"/>
  <c r="AJ39"/>
  <c r="AF39"/>
  <c r="AI39"/>
  <c r="AK39"/>
  <c r="AH39"/>
  <c r="AM39"/>
  <c r="AN39"/>
  <c r="AL39"/>
  <c r="AO39"/>
  <c r="AK255"/>
  <c r="AH255"/>
  <c r="AI255"/>
  <c r="AJ255"/>
  <c r="AM255"/>
  <c r="AF255"/>
  <c r="AN255"/>
  <c r="AL255"/>
  <c r="AO255"/>
  <c r="AK235"/>
  <c r="AI235"/>
  <c r="AJ235"/>
  <c r="AH235"/>
  <c r="AL235"/>
  <c r="AN235"/>
  <c r="AM235"/>
  <c r="AO235"/>
  <c r="AF235"/>
  <c r="AI222"/>
  <c r="AH222"/>
  <c r="AJ222"/>
  <c r="AK222"/>
  <c r="AL222"/>
  <c r="AN222"/>
  <c r="AM222"/>
  <c r="AO222"/>
  <c r="AF222"/>
  <c r="AK247"/>
  <c r="AJ247"/>
  <c r="AI247"/>
  <c r="AH247"/>
  <c r="AM247"/>
  <c r="AN247"/>
  <c r="AL247"/>
  <c r="AO247"/>
  <c r="AF247"/>
  <c r="AI276"/>
  <c r="AH276"/>
  <c r="AJ276"/>
  <c r="AK276"/>
  <c r="AM276"/>
  <c r="AF276"/>
  <c r="AN276"/>
  <c r="AL276"/>
  <c r="AO276"/>
  <c r="AK217"/>
  <c r="AH217"/>
  <c r="AJ217"/>
  <c r="AI217"/>
  <c r="AN217"/>
  <c r="AL217"/>
  <c r="AM217"/>
  <c r="AO217"/>
  <c r="AF217"/>
  <c r="AH212"/>
  <c r="AK212"/>
  <c r="AI212"/>
  <c r="AJ212"/>
  <c r="AM212"/>
  <c r="AN212"/>
  <c r="AL212"/>
  <c r="AO212"/>
  <c r="AF212"/>
  <c r="AH229"/>
  <c r="AJ229"/>
  <c r="AI229"/>
  <c r="AK229"/>
  <c r="AN229"/>
  <c r="AL229"/>
  <c r="AM229"/>
  <c r="AO229"/>
  <c r="AF229"/>
  <c r="AJ78"/>
  <c r="AH78"/>
  <c r="AK78"/>
  <c r="AI78"/>
  <c r="AF78"/>
  <c r="AN78"/>
  <c r="AL78"/>
  <c r="AM78"/>
  <c r="AO78"/>
  <c r="AH81"/>
  <c r="AI81"/>
  <c r="AK81"/>
  <c r="AJ81"/>
  <c r="AF81"/>
  <c r="AM81"/>
  <c r="AL81"/>
  <c r="AN81"/>
  <c r="AO81"/>
  <c r="AK74"/>
  <c r="AJ74"/>
  <c r="AI74"/>
  <c r="AH74"/>
  <c r="AF74"/>
  <c r="AM74"/>
  <c r="AL74"/>
  <c r="AN74"/>
  <c r="AO74"/>
  <c r="AI44"/>
  <c r="AH44"/>
  <c r="AK44"/>
  <c r="AF44"/>
  <c r="AJ44"/>
  <c r="AM44"/>
  <c r="AN44"/>
  <c r="AL44"/>
  <c r="AO44"/>
  <c r="AF29"/>
  <c r="AJ29"/>
  <c r="AI29"/>
  <c r="AK29"/>
  <c r="AH29"/>
  <c r="AL29"/>
  <c r="AM29"/>
  <c r="AN29"/>
  <c r="AO29"/>
  <c r="AB226"/>
  <c r="I42" i="49"/>
  <c r="W49" i="171" s="1"/>
  <c r="AT223" i="175"/>
  <c r="Y45" i="120"/>
  <c r="F223" i="175" l="1"/>
  <c r="BH223"/>
  <c r="AB227" i="118"/>
  <c r="I43" i="49"/>
  <c r="W50" i="171" s="1"/>
  <c r="AB228" i="118" l="1"/>
  <c r="I44" i="49"/>
  <c r="W51" i="171" s="1"/>
  <c r="AB229" i="118" l="1"/>
  <c r="I45" i="49"/>
  <c r="W52" i="171" s="1"/>
  <c r="AB230" i="118" l="1"/>
  <c r="I46" i="49"/>
  <c r="W53" i="171" s="1"/>
  <c r="AB231" i="118" l="1"/>
  <c r="I47" i="49"/>
  <c r="W54" i="171" s="1"/>
  <c r="AB232" i="118" l="1"/>
  <c r="I48" i="49"/>
  <c r="W55" i="171" s="1"/>
  <c r="AB233" i="118" l="1"/>
  <c r="I49" i="49"/>
  <c r="W56" i="171" s="1"/>
  <c r="AB234" i="118" l="1"/>
  <c r="I50" i="49"/>
  <c r="W57" i="171" s="1"/>
  <c r="AB235" i="118" l="1"/>
  <c r="I51" i="49"/>
  <c r="W58" i="171" s="1"/>
  <c r="AU213" i="118" l="1"/>
  <c r="AT227"/>
  <c r="AT212"/>
  <c r="AT222"/>
  <c r="AT225"/>
  <c r="AT217"/>
  <c r="AU235"/>
  <c r="AT229"/>
  <c r="AT213"/>
  <c r="AU234"/>
  <c r="AT215"/>
  <c r="AT226"/>
  <c r="AU223"/>
  <c r="AT236"/>
  <c r="AU219"/>
  <c r="AT214"/>
  <c r="AU217"/>
  <c r="AT216"/>
  <c r="AU228"/>
  <c r="AU236"/>
  <c r="AU226"/>
  <c r="AU220"/>
  <c r="AT221"/>
  <c r="AU232"/>
  <c r="AT235"/>
  <c r="AU221"/>
  <c r="AT237"/>
  <c r="AU237"/>
  <c r="AU229"/>
  <c r="AT219"/>
  <c r="AU225"/>
  <c r="AT233"/>
  <c r="AT231"/>
  <c r="AU222"/>
  <c r="AT232"/>
  <c r="AU212"/>
  <c r="AU230"/>
  <c r="AU214"/>
  <c r="AU224"/>
  <c r="AT220"/>
  <c r="AU231"/>
  <c r="AU218"/>
  <c r="AU233"/>
  <c r="AT234"/>
  <c r="AT223"/>
  <c r="AU216"/>
  <c r="AT224"/>
  <c r="AT218"/>
  <c r="AT230"/>
  <c r="AT228"/>
  <c r="AU227"/>
  <c r="AU215"/>
  <c r="AB236"/>
  <c r="I52" i="49"/>
  <c r="W59" i="171" s="1"/>
  <c r="AB237" i="118" l="1"/>
  <c r="I32" i="63"/>
  <c r="H30"/>
  <c r="Z23"/>
  <c r="AA28" i="67"/>
  <c r="W38" i="63"/>
  <c r="AA8" i="71"/>
  <c r="Y26" i="63"/>
  <c r="Q32"/>
  <c r="AA37" i="64"/>
  <c r="AA35" i="67"/>
  <c r="J45" i="63"/>
  <c r="R20"/>
  <c r="N32"/>
  <c r="AF6" i="64"/>
  <c r="J38" i="63"/>
  <c r="AA17" i="71"/>
  <c r="AE7" i="64"/>
  <c r="AF30" i="68"/>
  <c r="S38" i="63"/>
  <c r="AE35" i="67"/>
  <c r="AB28"/>
  <c r="Z12" i="68"/>
  <c r="AE31"/>
  <c r="AA28" i="63"/>
  <c r="Z20" i="64"/>
  <c r="AF6" i="68"/>
  <c r="AF31" i="119"/>
  <c r="AE37" i="67"/>
  <c r="Z36" i="68"/>
  <c r="AE5"/>
  <c r="AE23" i="67"/>
  <c r="AA36" i="64"/>
  <c r="H44" i="63"/>
  <c r="S21"/>
  <c r="AF39"/>
  <c r="AA16" i="71"/>
  <c r="AE33" i="67"/>
  <c r="AE28" i="68"/>
  <c r="F40" i="63"/>
  <c r="AF16" i="64"/>
  <c r="Z10" i="71"/>
  <c r="AE40" i="68"/>
  <c r="AE35" i="120"/>
  <c r="AF24" i="67"/>
  <c r="AA5" i="64"/>
  <c r="S31" i="63"/>
  <c r="F36"/>
  <c r="X33"/>
  <c r="AF24" i="68"/>
  <c r="AE17" i="67"/>
  <c r="AF25"/>
  <c r="AF22" i="119"/>
  <c r="AE35" i="64"/>
  <c r="G44" i="63"/>
  <c r="I20"/>
  <c r="AF41" i="64"/>
  <c r="AB36" i="71"/>
  <c r="S42" i="63"/>
  <c r="AE15" i="71"/>
  <c r="AA10" i="68"/>
  <c r="Z44" i="119"/>
  <c r="U41" i="63"/>
  <c r="U33"/>
  <c r="AE12" i="67"/>
  <c r="W32" i="63"/>
  <c r="Q34"/>
  <c r="AA37" i="67"/>
  <c r="K31" i="60"/>
  <c r="Y36" i="119"/>
  <c r="Z30" i="67"/>
  <c r="S28" i="63"/>
  <c r="Z43" i="64"/>
  <c r="AF33" i="63"/>
  <c r="AB26" i="120"/>
  <c r="AE19" i="71"/>
  <c r="G21" i="63"/>
  <c r="S32"/>
  <c r="AA7" i="68"/>
  <c r="AA44" i="119"/>
  <c r="AB38" i="63"/>
  <c r="S44"/>
  <c r="Z12" i="64"/>
  <c r="AE20"/>
  <c r="W42" i="63"/>
  <c r="AB10" i="68"/>
  <c r="N45" i="63"/>
  <c r="AE10" i="71"/>
  <c r="AE33" i="119"/>
  <c r="AB37" i="68"/>
  <c r="X37" i="63"/>
  <c r="AA34" i="67"/>
  <c r="Y38" i="63"/>
  <c r="AB31" i="68"/>
  <c r="Z14" i="64"/>
  <c r="J33" i="63"/>
  <c r="Z30" i="119"/>
  <c r="Z38" i="64"/>
  <c r="Z35"/>
  <c r="AF32" i="67"/>
  <c r="AA18" i="119"/>
  <c r="AB36"/>
  <c r="AA29" i="64"/>
  <c r="J20" i="63"/>
  <c r="AA36" i="71"/>
  <c r="AB40" i="63"/>
  <c r="Z20"/>
  <c r="AA30" i="119"/>
  <c r="F26" i="63"/>
  <c r="AA31" i="64"/>
  <c r="AF41" i="68"/>
  <c r="AE12"/>
  <c r="AE6" i="71"/>
  <c r="AA22" i="63"/>
  <c r="B34"/>
  <c r="T45"/>
  <c r="AB19" i="64"/>
  <c r="AB8" i="71"/>
  <c r="H34" i="60"/>
  <c r="AE32" i="120"/>
  <c r="V24" i="63"/>
  <c r="AA26"/>
  <c r="AE27" i="120"/>
  <c r="W41" i="63"/>
  <c r="Z35" i="67"/>
  <c r="AA30" i="63"/>
  <c r="W43"/>
  <c r="J40"/>
  <c r="Z41" i="64"/>
  <c r="U26" i="63"/>
  <c r="AF13" i="64"/>
  <c r="J29" i="63"/>
  <c r="V34"/>
  <c r="AF42" i="64"/>
  <c r="AF31" i="68"/>
  <c r="AE39" i="120"/>
  <c r="Z10" i="64"/>
  <c r="AB30" i="68"/>
  <c r="Z42" i="71"/>
  <c r="F24" i="63"/>
  <c r="AA20" i="71"/>
  <c r="Q28" i="63"/>
  <c r="V36"/>
  <c r="AF29" i="67"/>
  <c r="AB45" i="63"/>
  <c r="AA39" i="71"/>
  <c r="Z18"/>
  <c r="AF5"/>
  <c r="AB11" i="64"/>
  <c r="AB18" i="71"/>
  <c r="Z39" i="64"/>
  <c r="AA7" i="71"/>
  <c r="AA41"/>
  <c r="Q39" i="63"/>
  <c r="Z31" i="119"/>
  <c r="AF23" i="68"/>
  <c r="B22" i="63"/>
  <c r="Z40" i="119"/>
  <c r="Q20" i="63"/>
  <c r="Z22"/>
  <c r="AF6" i="71"/>
  <c r="Z38" i="67"/>
  <c r="X39" i="63"/>
  <c r="AF19" i="71"/>
  <c r="AF27" i="67"/>
  <c r="AA42"/>
  <c r="Z39" i="68"/>
  <c r="U29" i="63"/>
  <c r="AA33" i="71"/>
  <c r="AA30" i="67"/>
  <c r="AA27" i="71"/>
  <c r="Z24"/>
  <c r="AB38"/>
  <c r="AB33"/>
  <c r="AB44" i="68"/>
  <c r="G29" i="63"/>
  <c r="M23"/>
  <c r="H37"/>
  <c r="AB38" i="67"/>
  <c r="Z40" i="71"/>
  <c r="AA39" i="67"/>
  <c r="AA28" i="64"/>
  <c r="R31" i="63"/>
  <c r="Y40"/>
  <c r="Z25"/>
  <c r="W21"/>
  <c r="F37"/>
  <c r="X20"/>
  <c r="AE39" i="71"/>
  <c r="AE34" i="64"/>
  <c r="W20" i="63"/>
  <c r="X43"/>
  <c r="AF29" i="71"/>
  <c r="Y37" i="119"/>
  <c r="AF31" i="64"/>
  <c r="AA27" i="68"/>
  <c r="AA20" i="119"/>
  <c r="AA43"/>
  <c r="AB10" i="64"/>
  <c r="AB17"/>
  <c r="Z33" i="67"/>
  <c r="Y35" i="63"/>
  <c r="K29" i="60"/>
  <c r="AB11" i="68"/>
  <c r="AA23" i="63"/>
  <c r="AF11" i="64"/>
  <c r="AA45" i="68"/>
  <c r="G26" i="63"/>
  <c r="Z27" i="68"/>
  <c r="AB19" i="71"/>
  <c r="T43" i="63"/>
  <c r="K30"/>
  <c r="AA34" i="68"/>
  <c r="L29" i="60"/>
  <c r="AE44" i="120"/>
  <c r="AB40" i="67"/>
  <c r="Z37" i="71"/>
  <c r="AE38" i="68"/>
  <c r="Q35" i="63"/>
  <c r="Y23"/>
  <c r="AB21" i="64"/>
  <c r="AF28" i="119"/>
  <c r="AF26" i="68"/>
  <c r="N34" i="63"/>
  <c r="AA24" i="71"/>
  <c r="Z28" i="63"/>
  <c r="AA37" i="68"/>
  <c r="AF15"/>
  <c r="AE21"/>
  <c r="AA32" i="119"/>
  <c r="AB34" i="67"/>
  <c r="AF24" i="119"/>
  <c r="AE27" i="67"/>
  <c r="G36" i="63"/>
  <c r="AE32" i="67"/>
  <c r="U35" i="63"/>
  <c r="L34" i="60"/>
  <c r="AF30" i="119"/>
  <c r="Z37" i="63"/>
  <c r="AB20" i="67"/>
  <c r="AA29" i="119"/>
  <c r="Z38"/>
  <c r="AA28" i="71"/>
  <c r="G42" i="63"/>
  <c r="AA9" i="71"/>
  <c r="AA40" i="119"/>
  <c r="AE24" i="67"/>
  <c r="I33" i="63"/>
  <c r="Z34" i="119"/>
  <c r="AB44" i="71"/>
  <c r="AE23" i="64"/>
  <c r="AB42" i="63"/>
  <c r="F35"/>
  <c r="AF28" i="64"/>
  <c r="AF34"/>
  <c r="V31" i="63"/>
  <c r="AF44" i="119"/>
  <c r="Z40" i="63"/>
  <c r="N23"/>
  <c r="AE31" i="64"/>
  <c r="AB29" i="71"/>
  <c r="T24" i="63"/>
  <c r="R44"/>
  <c r="Z31" i="71"/>
  <c r="AF33" i="119"/>
  <c r="AE39"/>
  <c r="AA22" i="71"/>
  <c r="AB26" i="119"/>
  <c r="Z38" i="68"/>
  <c r="Y35" i="119"/>
  <c r="AF38" i="63"/>
  <c r="AE12" i="64"/>
  <c r="AE27" i="119"/>
  <c r="F41" i="63"/>
  <c r="V37"/>
  <c r="I35"/>
  <c r="Z44" i="71"/>
  <c r="S43" i="63"/>
  <c r="AE13" i="71"/>
  <c r="R23" i="63"/>
  <c r="X30"/>
  <c r="AB9" i="64"/>
  <c r="AA23" i="67"/>
  <c r="K44" i="63"/>
  <c r="K24"/>
  <c r="AE23" i="119"/>
  <c r="Z23" i="67"/>
  <c r="AE5"/>
  <c r="Y43" i="119"/>
  <c r="Z33"/>
  <c r="AA21" i="68"/>
  <c r="R33" i="63"/>
  <c r="H40"/>
  <c r="AB45" i="71"/>
  <c r="AE20" i="120"/>
  <c r="AE5" i="71"/>
  <c r="AB14"/>
  <c r="V25" i="63"/>
  <c r="H39"/>
  <c r="Z43" i="68"/>
  <c r="F22" i="63"/>
  <c r="AF45" i="119"/>
  <c r="AE29" i="120"/>
  <c r="U44" i="63"/>
  <c r="R26"/>
  <c r="AB12" i="71"/>
  <c r="AB23" i="63"/>
  <c r="Z19" i="71"/>
  <c r="AE10" i="64"/>
  <c r="Z16" i="71"/>
  <c r="AF35" i="68"/>
  <c r="Z35" i="63"/>
  <c r="AE22" i="68"/>
  <c r="AA45" i="71"/>
  <c r="W31" i="63"/>
  <c r="R28"/>
  <c r="Z31" i="64"/>
  <c r="B41" i="63"/>
  <c r="AF8" i="64"/>
  <c r="J34" i="63"/>
  <c r="AE41" i="120"/>
  <c r="AF36" i="63"/>
  <c r="AB44" i="119"/>
  <c r="AE43" i="64"/>
  <c r="AE37" i="71"/>
  <c r="T39" i="63"/>
  <c r="S23"/>
  <c r="I31"/>
  <c r="Y43"/>
  <c r="AB24"/>
  <c r="AE16" i="67"/>
  <c r="AB18" i="68"/>
  <c r="Y32" i="119"/>
  <c r="G28" i="63"/>
  <c r="Y22" i="120"/>
  <c r="AE22" i="67"/>
  <c r="B38" i="63"/>
  <c r="AB42" i="67"/>
  <c r="AF35" i="64"/>
  <c r="N22" i="63"/>
  <c r="K41"/>
  <c r="G38"/>
  <c r="AE41" i="71"/>
  <c r="AE24" i="64"/>
  <c r="AA25"/>
  <c r="M37" i="63"/>
  <c r="AE43" i="67"/>
  <c r="AF43" i="68"/>
  <c r="Y44" i="119"/>
  <c r="W30" i="63"/>
  <c r="Z27" i="71"/>
  <c r="Y31" i="63"/>
  <c r="Z31" i="67"/>
  <c r="AB41" i="63"/>
  <c r="AF21" i="71"/>
  <c r="AA39" i="63"/>
  <c r="AF10" i="64"/>
  <c r="Y38" i="119"/>
  <c r="Y45"/>
  <c r="AB20"/>
  <c r="N27" i="63"/>
  <c r="AA25" i="68"/>
  <c r="F34" i="60"/>
  <c r="L30"/>
  <c r="AE40" i="120"/>
  <c r="Z22" i="67"/>
  <c r="B37" i="63"/>
  <c r="H38"/>
  <c r="K33"/>
  <c r="T34"/>
  <c r="AE37" i="120"/>
  <c r="W36" i="63"/>
  <c r="AF34"/>
  <c r="AB33" i="64"/>
  <c r="AE25"/>
  <c r="Y26" i="119"/>
  <c r="B26" i="63"/>
  <c r="AA25" i="67"/>
  <c r="AB30" i="71"/>
  <c r="AA24" i="64"/>
  <c r="AB24" i="67"/>
  <c r="AB34" i="64"/>
  <c r="AE9" i="71"/>
  <c r="AE32" i="119"/>
  <c r="Z21" i="67"/>
  <c r="AF24" i="63"/>
  <c r="I25"/>
  <c r="AE21" i="119"/>
  <c r="AF37" i="68"/>
  <c r="U36" i="63"/>
  <c r="AE25" i="119"/>
  <c r="AA27"/>
  <c r="Y30" i="63"/>
  <c r="AF16" i="71"/>
  <c r="I42" i="63"/>
  <c r="N21"/>
  <c r="Q24"/>
  <c r="AF8" i="71"/>
  <c r="AF27"/>
  <c r="AE34" i="119"/>
  <c r="J27" i="63"/>
  <c r="V42"/>
  <c r="AB43" i="71"/>
  <c r="AA35" i="68"/>
  <c r="AE22" i="64"/>
  <c r="AB20"/>
  <c r="G33" i="63"/>
  <c r="Z24" i="119"/>
  <c r="Z44" i="67"/>
  <c r="AB39" i="68"/>
  <c r="AE8" i="71"/>
  <c r="AF17" i="64"/>
  <c r="AF39" i="68"/>
  <c r="AF32" i="71"/>
  <c r="X45" i="63"/>
  <c r="K35" i="60"/>
  <c r="Z28" i="120"/>
  <c r="AA21" i="63"/>
  <c r="AA15" i="64"/>
  <c r="AB36" i="68"/>
  <c r="AA38" i="63"/>
  <c r="B30"/>
  <c r="AE21" i="71"/>
  <c r="AA5" i="68"/>
  <c r="AF45" i="71"/>
  <c r="R32" i="63"/>
  <c r="AA7" i="64"/>
  <c r="Y20" i="119"/>
  <c r="AB35" i="68"/>
  <c r="AA38"/>
  <c r="G23" i="63"/>
  <c r="Z8" i="71"/>
  <c r="AA35"/>
  <c r="AA35" i="119"/>
  <c r="AB24" i="68"/>
  <c r="AE27" i="64"/>
  <c r="AA45" i="67"/>
  <c r="X29" i="63"/>
  <c r="AF28" i="67"/>
  <c r="AE36" i="119"/>
  <c r="AA37"/>
  <c r="M24" i="63"/>
  <c r="T35"/>
  <c r="AF20"/>
  <c r="AE45" i="68"/>
  <c r="AE43" i="119"/>
  <c r="AB34" i="71"/>
  <c r="AA26" i="119"/>
  <c r="G30" i="63"/>
  <c r="R35"/>
  <c r="Q43"/>
  <c r="AB27"/>
  <c r="T30"/>
  <c r="AA42" i="68"/>
  <c r="AB31" i="63"/>
  <c r="AF31" i="71"/>
  <c r="AF26" i="63"/>
  <c r="AB7" i="71"/>
  <c r="AF30" i="67"/>
  <c r="AA34" i="119"/>
  <c r="Z44" i="64"/>
  <c r="AF12"/>
  <c r="AB29" i="68"/>
  <c r="AF38"/>
  <c r="K40" i="63"/>
  <c r="AE36" i="71"/>
  <c r="AE16"/>
  <c r="AB33" i="67"/>
  <c r="AB33" i="68"/>
  <c r="X28" i="63"/>
  <c r="J24"/>
  <c r="N30"/>
  <c r="Q36"/>
  <c r="T42"/>
  <c r="M40"/>
  <c r="G39"/>
  <c r="N24"/>
  <c r="AF32"/>
  <c r="AF38" i="64"/>
  <c r="AB13"/>
  <c r="H31" i="63"/>
  <c r="S24"/>
  <c r="Z8" i="64"/>
  <c r="AA24" i="63"/>
  <c r="AF38" i="67"/>
  <c r="Z32" i="71"/>
  <c r="AF14"/>
  <c r="AB15" i="64"/>
  <c r="AB22" i="71"/>
  <c r="AA40" i="64"/>
  <c r="AE42" i="71"/>
  <c r="AE30" i="67"/>
  <c r="T23" i="63"/>
  <c r="AB41" i="71"/>
  <c r="AF13"/>
  <c r="AE25" i="120"/>
  <c r="B23" i="63"/>
  <c r="I26"/>
  <c r="AA36" i="67"/>
  <c r="AE23" i="68"/>
  <c r="N31" i="63"/>
  <c r="AB37" i="71"/>
  <c r="AF26" i="67"/>
  <c r="Z36" i="71"/>
  <c r="W39" i="63"/>
  <c r="Q29"/>
  <c r="AE43" i="120"/>
  <c r="AB20" i="63"/>
  <c r="AA10" i="64"/>
  <c r="U32" i="63"/>
  <c r="F45"/>
  <c r="AB36" i="64"/>
  <c r="AE41" i="68"/>
  <c r="U30" i="63"/>
  <c r="AA14" i="68"/>
  <c r="Z22" i="119"/>
  <c r="Y21" i="63"/>
  <c r="AA16" i="68"/>
  <c r="AB40"/>
  <c r="Z20" i="119"/>
  <c r="AA26" i="71"/>
  <c r="Y25" i="63"/>
  <c r="AE42" i="67"/>
  <c r="AA12" i="68"/>
  <c r="Z41"/>
  <c r="AE39"/>
  <c r="AE8" i="64"/>
  <c r="AE41" i="119"/>
  <c r="Z20" i="71"/>
  <c r="X44" i="63"/>
  <c r="J42"/>
  <c r="Q22"/>
  <c r="R41"/>
  <c r="AE28" i="119"/>
  <c r="AF40" i="67"/>
  <c r="Z45" i="71"/>
  <c r="AE42" i="120"/>
  <c r="Q31" i="63"/>
  <c r="Z31" i="68"/>
  <c r="R36" i="63"/>
  <c r="AB21" i="119"/>
  <c r="F34" i="63"/>
  <c r="Z29" i="119"/>
  <c r="Z15" i="71"/>
  <c r="AE9" i="64"/>
  <c r="AB14"/>
  <c r="F44" i="63"/>
  <c r="AB38" i="119"/>
  <c r="X22" i="63"/>
  <c r="S30"/>
  <c r="AE16" i="64"/>
  <c r="AF39" i="67"/>
  <c r="AE38" i="71"/>
  <c r="Z45" i="68"/>
  <c r="AF36" i="67"/>
  <c r="K37" i="63"/>
  <c r="AE29" i="68"/>
  <c r="S36" i="63"/>
  <c r="B31"/>
  <c r="I29"/>
  <c r="F33"/>
  <c r="Z21" i="71"/>
  <c r="Y45" i="63"/>
  <c r="Z20" i="67"/>
  <c r="AB45"/>
  <c r="Z21" i="64"/>
  <c r="AB45" i="119"/>
  <c r="AE16" i="68"/>
  <c r="Z25" i="64"/>
  <c r="AA18" i="68"/>
  <c r="AB7" i="64"/>
  <c r="AA41"/>
  <c r="M25" i="63"/>
  <c r="R27"/>
  <c r="U31"/>
  <c r="S20"/>
  <c r="T33"/>
  <c r="AA38" i="67"/>
  <c r="J35" i="63"/>
  <c r="AB5" i="68"/>
  <c r="I39" i="63"/>
  <c r="T25"/>
  <c r="Z28" i="119"/>
  <c r="AB16" i="68"/>
  <c r="AE43" i="71"/>
  <c r="Y27" i="63"/>
  <c r="Z6" i="64"/>
  <c r="X25" i="63"/>
  <c r="Z19" i="68"/>
  <c r="T21" i="63"/>
  <c r="AA10" i="71"/>
  <c r="AA45" i="119"/>
  <c r="B21" i="63"/>
  <c r="K39"/>
  <c r="AF20" i="71"/>
  <c r="AB41" i="64"/>
  <c r="AB20" i="68"/>
  <c r="AE14" i="71"/>
  <c r="Z18" i="68"/>
  <c r="Z30" i="71"/>
  <c r="T41" i="63"/>
  <c r="M41"/>
  <c r="AF9" i="64"/>
  <c r="AB26" i="71"/>
  <c r="Z42" i="119"/>
  <c r="AE30" i="120"/>
  <c r="U42" i="63"/>
  <c r="AE33" i="120"/>
  <c r="K35" i="63"/>
  <c r="W37"/>
  <c r="W25"/>
  <c r="AF19" i="68"/>
  <c r="AA44"/>
  <c r="K32" i="63"/>
  <c r="AB42" i="68"/>
  <c r="AA41" i="67"/>
  <c r="Z43" i="63"/>
  <c r="AA33" i="68"/>
  <c r="AB23" i="71"/>
  <c r="AE11"/>
  <c r="AE23" i="120"/>
  <c r="V44" i="63"/>
  <c r="Z27" i="119"/>
  <c r="AE35" i="71"/>
  <c r="AE26" i="67"/>
  <c r="AF32" i="64"/>
  <c r="AF5" i="68"/>
  <c r="AB29" i="119"/>
  <c r="U22" i="63"/>
  <c r="AF28" i="120"/>
  <c r="Z21" i="68"/>
  <c r="AF22" i="71"/>
  <c r="AF10" i="68"/>
  <c r="Z8"/>
  <c r="M27" i="63"/>
  <c r="W24"/>
  <c r="AE14" i="68"/>
  <c r="H35" i="63"/>
  <c r="H28"/>
  <c r="AA22" i="64"/>
  <c r="Z24" i="67"/>
  <c r="AB12" i="68"/>
  <c r="AA20" i="63"/>
  <c r="F28"/>
  <c r="Z20" i="68"/>
  <c r="X36" i="63"/>
  <c r="Q25"/>
  <c r="L31" i="60"/>
  <c r="AE35" i="119"/>
  <c r="Z22" i="71"/>
  <c r="AA32" i="64"/>
  <c r="AA15" i="68"/>
  <c r="AB16" i="64"/>
  <c r="Y24" i="119"/>
  <c r="AA34" i="64"/>
  <c r="Z41" i="71"/>
  <c r="S33" i="63"/>
  <c r="G34"/>
  <c r="AB35"/>
  <c r="AB32" i="71"/>
  <c r="K34" i="63"/>
  <c r="T38"/>
  <c r="Z30" i="68"/>
  <c r="R29" i="63"/>
  <c r="AF38" i="71"/>
  <c r="AA33" i="119"/>
  <c r="H22" i="63"/>
  <c r="AF43" i="119"/>
  <c r="Z22" i="68"/>
  <c r="AB22" i="67"/>
  <c r="AA26" i="64"/>
  <c r="T22" i="63"/>
  <c r="AE13" i="68"/>
  <c r="K25" i="63"/>
  <c r="Q42"/>
  <c r="AE6" i="68"/>
  <c r="Z11"/>
  <c r="AA30" i="71"/>
  <c r="AE26" i="64"/>
  <c r="AA44"/>
  <c r="I38" i="63"/>
  <c r="AB15" i="71"/>
  <c r="M42" i="63"/>
  <c r="V29"/>
  <c r="N33"/>
  <c r="S27"/>
  <c r="AA30" i="64"/>
  <c r="AA28" i="119"/>
  <c r="AB41"/>
  <c r="AA24" i="67"/>
  <c r="AA23" i="71"/>
  <c r="AB6"/>
  <c r="B35" i="63"/>
  <c r="M35"/>
  <c r="V39"/>
  <c r="AA18" i="71"/>
  <c r="AE9" i="68"/>
  <c r="Z15" i="64"/>
  <c r="J28" i="63"/>
  <c r="I34"/>
  <c r="AB45" i="64"/>
  <c r="AA43" i="67"/>
  <c r="Y27" i="119"/>
  <c r="AF23" i="71"/>
  <c r="AB31"/>
  <c r="Z28" i="68"/>
  <c r="AA13" i="71"/>
  <c r="N38" i="63"/>
  <c r="Z40" i="68"/>
  <c r="AE33" i="64"/>
  <c r="J32" i="63"/>
  <c r="AF45"/>
  <c r="I44"/>
  <c r="AF11" i="71"/>
  <c r="AE21" i="64"/>
  <c r="W35" i="63"/>
  <c r="AF30" i="71"/>
  <c r="W33" i="63"/>
  <c r="AF42"/>
  <c r="F23"/>
  <c r="H23"/>
  <c r="AA36"/>
  <c r="Z27" i="67"/>
  <c r="AF12" i="68"/>
  <c r="AE19" i="67"/>
  <c r="R40" i="63"/>
  <c r="Y39"/>
  <c r="Z5" i="64"/>
  <c r="AB9" i="68"/>
  <c r="AB30" i="63"/>
  <c r="AF30"/>
  <c r="AE31" i="67"/>
  <c r="Z29" i="64"/>
  <c r="Y20" i="63"/>
  <c r="Z6" i="71"/>
  <c r="AA38" i="64"/>
  <c r="N29" i="63"/>
  <c r="H26"/>
  <c r="AA37" i="71"/>
  <c r="AB28" i="63"/>
  <c r="AE24" i="68"/>
  <c r="AF13"/>
  <c r="I36" i="63"/>
  <c r="AE35" i="68"/>
  <c r="G35" i="63"/>
  <c r="AB27" i="119"/>
  <c r="Z36" i="63"/>
  <c r="AE33" i="68"/>
  <c r="AB43" i="64"/>
  <c r="G24" i="63"/>
  <c r="U45"/>
  <c r="AF31"/>
  <c r="J30"/>
  <c r="AF41" i="71"/>
  <c r="AE8" i="67"/>
  <c r="AF15" i="71"/>
  <c r="AF21" i="119"/>
  <c r="AB30" i="67"/>
  <c r="Z25" i="119"/>
  <c r="AF27" i="64"/>
  <c r="AB9" i="71"/>
  <c r="Q44" i="63"/>
  <c r="AF43"/>
  <c r="Z33" i="64"/>
  <c r="AE20" i="67"/>
  <c r="R37" i="63"/>
  <c r="AE7" i="68"/>
  <c r="Z26" i="67"/>
  <c r="AA40"/>
  <c r="Y32" i="63"/>
  <c r="AE32" i="71"/>
  <c r="AA16" i="64"/>
  <c r="I37" i="63"/>
  <c r="Z42"/>
  <c r="T29"/>
  <c r="AF37" i="67"/>
  <c r="Z44" i="68"/>
  <c r="AB13" i="71"/>
  <c r="AE8" i="68"/>
  <c r="S22" i="63"/>
  <c r="AA31" i="68"/>
  <c r="AF21" i="63"/>
  <c r="Z7" i="71"/>
  <c r="Z15" i="68"/>
  <c r="AA5" i="71"/>
  <c r="Y22" i="119"/>
  <c r="T20" i="63"/>
  <c r="J23"/>
  <c r="AA25" i="71"/>
  <c r="AB23" i="64"/>
  <c r="J31" i="63"/>
  <c r="Z28" i="67"/>
  <c r="AA8" i="68"/>
  <c r="B43" i="63"/>
  <c r="AB40" i="71"/>
  <c r="V30" i="63"/>
  <c r="Z34" i="64"/>
  <c r="AF45"/>
  <c r="AF39" i="71"/>
  <c r="AB27"/>
  <c r="Z24" i="68"/>
  <c r="AA40" i="63"/>
  <c r="AE31" i="119"/>
  <c r="Z35" i="68"/>
  <c r="AE27"/>
  <c r="AB28" i="119"/>
  <c r="R24" i="63"/>
  <c r="Z32" i="64"/>
  <c r="AF43" i="71"/>
  <c r="V38" i="63"/>
  <c r="AF43" i="64"/>
  <c r="AB30" i="119"/>
  <c r="AB39" i="71"/>
  <c r="AA6" i="64"/>
  <c r="U24" i="63"/>
  <c r="Z26"/>
  <c r="AA43"/>
  <c r="M38"/>
  <c r="Z43" i="119"/>
  <c r="AE6" i="64"/>
  <c r="AE17"/>
  <c r="AB15" i="68"/>
  <c r="Y30" i="119"/>
  <c r="AB42" i="64"/>
  <c r="Z29" i="68"/>
  <c r="AF43" i="67"/>
  <c r="N26" i="63"/>
  <c r="AE30" i="64"/>
  <c r="Z12" i="71"/>
  <c r="S40" i="63"/>
  <c r="B29"/>
  <c r="N35"/>
  <c r="Y23" i="119"/>
  <c r="AF40" i="64"/>
  <c r="Z34" i="71"/>
  <c r="W26" i="63"/>
  <c r="H41"/>
  <c r="AB37" i="64"/>
  <c r="AE36" i="67"/>
  <c r="Z43"/>
  <c r="I45" i="63"/>
  <c r="W40"/>
  <c r="Z9" i="71"/>
  <c r="AE24" i="119"/>
  <c r="W34" i="63"/>
  <c r="AA29" i="68"/>
  <c r="AA20" i="64"/>
  <c r="Z32" i="68"/>
  <c r="N28" i="63"/>
  <c r="Z13" i="71"/>
  <c r="AE31"/>
  <c r="AE12"/>
  <c r="AE15" i="68"/>
  <c r="X26" i="63"/>
  <c r="AB6" i="68"/>
  <c r="Q26" i="63"/>
  <c r="AF40" i="68"/>
  <c r="Z30" i="63"/>
  <c r="AB22" i="68"/>
  <c r="AF26" i="64"/>
  <c r="H34" i="63"/>
  <c r="Z45" i="64"/>
  <c r="Z31" i="63"/>
  <c r="AE14" i="64"/>
  <c r="N25" i="63"/>
  <c r="AB44" i="67"/>
  <c r="F38" i="63"/>
  <c r="AB11" i="71"/>
  <c r="AA45" i="64"/>
  <c r="AE20" i="119"/>
  <c r="AF40" i="71"/>
  <c r="R30" i="63"/>
  <c r="AF12" i="71"/>
  <c r="AE45" i="67"/>
  <c r="N41" i="63"/>
  <c r="AB27" i="68"/>
  <c r="U37" i="63"/>
  <c r="V23"/>
  <c r="Y31" i="119"/>
  <c r="Z26"/>
  <c r="AE22"/>
  <c r="AB5" i="64"/>
  <c r="Z37"/>
  <c r="AF25" i="68"/>
  <c r="F20" i="63"/>
  <c r="Z35" i="71"/>
  <c r="AF29" i="64"/>
  <c r="L35" i="60"/>
  <c r="AE42" i="64"/>
  <c r="AB45" i="68"/>
  <c r="AE40" i="64"/>
  <c r="AA32" i="68"/>
  <c r="AE30"/>
  <c r="G25" i="63"/>
  <c r="U23"/>
  <c r="AF31" i="67"/>
  <c r="AF25" i="63"/>
  <c r="F31"/>
  <c r="AB6" i="64"/>
  <c r="Y21" i="119"/>
  <c r="Z10" i="68"/>
  <c r="Z29" i="67"/>
  <c r="AA25" i="119"/>
  <c r="AA12" i="71"/>
  <c r="Z35" i="119"/>
  <c r="AF23"/>
  <c r="W45" i="63"/>
  <c r="AF29"/>
  <c r="Y42"/>
  <c r="M31"/>
  <c r="Z11" i="71"/>
  <c r="AB40" i="119"/>
  <c r="AF37" i="64"/>
  <c r="AA43" i="68"/>
  <c r="Z17" i="71"/>
  <c r="B33" i="63"/>
  <c r="Z23" i="71"/>
  <c r="V41" i="63"/>
  <c r="G40"/>
  <c r="AF34" i="68"/>
  <c r="AE26" i="120"/>
  <c r="H43" i="63"/>
  <c r="J36"/>
  <c r="U39"/>
  <c r="Z13" i="64"/>
  <c r="AA22" i="67"/>
  <c r="AA45" i="63"/>
  <c r="AF26" i="119"/>
  <c r="Z33" i="71"/>
  <c r="X42" i="63"/>
  <c r="G22"/>
  <c r="AA29" i="71"/>
  <c r="AF38" i="119"/>
  <c r="AF18" i="68"/>
  <c r="Y33" i="119"/>
  <c r="AE34" i="120"/>
  <c r="Z14" i="71"/>
  <c r="AA11"/>
  <c r="AB24" i="64"/>
  <c r="AE23" i="71"/>
  <c r="J41" i="63"/>
  <c r="AE36" i="68"/>
  <c r="Z39" i="63"/>
  <c r="AE24" i="120"/>
  <c r="M45" i="63"/>
  <c r="X27"/>
  <c r="AA42" i="64"/>
  <c r="AB25" i="63"/>
  <c r="AE37" i="68"/>
  <c r="B25" i="63"/>
  <c r="AE19" i="64"/>
  <c r="W28" i="63"/>
  <c r="I27"/>
  <c r="Z6" i="68"/>
  <c r="AB34" i="119"/>
  <c r="G43" i="63"/>
  <c r="AA42"/>
  <c r="T28"/>
  <c r="AB25" i="68"/>
  <c r="AB29" i="63"/>
  <c r="AF16" i="68"/>
  <c r="AE13" i="64"/>
  <c r="M44" i="63"/>
  <c r="AF20" i="64"/>
  <c r="J22" i="63"/>
  <c r="AB21"/>
  <c r="V45"/>
  <c r="AF18" i="71"/>
  <c r="B40" i="63"/>
  <c r="AE44" i="67"/>
  <c r="J44" i="63"/>
  <c r="AB28" i="68"/>
  <c r="AE7" i="71"/>
  <c r="G31" i="63"/>
  <c r="AF33" i="67"/>
  <c r="AF44" i="64"/>
  <c r="B36" i="63"/>
  <c r="AB23" i="119"/>
  <c r="I30" i="63"/>
  <c r="W29"/>
  <c r="Z41"/>
  <c r="AA29" i="67"/>
  <c r="AF20" i="119"/>
  <c r="AA24" i="120"/>
  <c r="W44" i="63"/>
  <c r="AF17" i="68"/>
  <c r="I41" i="63"/>
  <c r="H27"/>
  <c r="AE25" i="67"/>
  <c r="AB37"/>
  <c r="AF41"/>
  <c r="Y41" i="119"/>
  <c r="AE44"/>
  <c r="AF45" i="67"/>
  <c r="AB24" i="71"/>
  <c r="AA13" i="64"/>
  <c r="AA27"/>
  <c r="AB10" i="71"/>
  <c r="T40" i="63"/>
  <c r="AA6" i="71"/>
  <c r="AA31" i="119"/>
  <c r="S26" i="63"/>
  <c r="R21"/>
  <c r="AF23" i="67"/>
  <c r="AA36" i="68"/>
  <c r="T37" i="63"/>
  <c r="AE42" i="119"/>
  <c r="AA9" i="68"/>
  <c r="R45" i="63"/>
  <c r="AE45" i="71"/>
  <c r="AA18" i="64"/>
  <c r="AA21"/>
  <c r="AE15" i="67"/>
  <c r="W22" i="63"/>
  <c r="AF44" i="67"/>
  <c r="Z16" i="64"/>
  <c r="AB43" i="63"/>
  <c r="AF11" i="68"/>
  <c r="M28" i="63"/>
  <c r="AF41"/>
  <c r="N44"/>
  <c r="AB29" i="64"/>
  <c r="AA35"/>
  <c r="Z45" i="63"/>
  <c r="AF28"/>
  <c r="M32"/>
  <c r="Z33"/>
  <c r="S29"/>
  <c r="AF20" i="67"/>
  <c r="AA15" i="71"/>
  <c r="AE27"/>
  <c r="J25" i="63"/>
  <c r="AE10" i="68"/>
  <c r="AE15" i="64"/>
  <c r="AE33" i="71"/>
  <c r="AE11" i="64"/>
  <c r="Q27" i="63"/>
  <c r="K42"/>
  <c r="AE29" i="119"/>
  <c r="S37" i="63"/>
  <c r="Z23" i="64"/>
  <c r="AB32" i="119"/>
  <c r="AE22" i="71"/>
  <c r="AA40" i="68"/>
  <c r="AA39" i="119"/>
  <c r="AE19" i="68"/>
  <c r="Z17" i="64"/>
  <c r="Z40" i="67"/>
  <c r="AE34"/>
  <c r="F27" i="63"/>
  <c r="AE41" i="67"/>
  <c r="AE25" i="68"/>
  <c r="Z14"/>
  <c r="Y25" i="119"/>
  <c r="Z32" i="63"/>
  <c r="Y34" i="119"/>
  <c r="Q40" i="63"/>
  <c r="AA21" i="67"/>
  <c r="H42" i="63"/>
  <c r="AE34" i="68"/>
  <c r="Z17"/>
  <c r="R38" i="63"/>
  <c r="AA35"/>
  <c r="AF33" i="64"/>
  <c r="AB39" i="67"/>
  <c r="R43" i="63"/>
  <c r="Z9" i="68"/>
  <c r="AE30" i="71"/>
  <c r="AE36" i="64"/>
  <c r="Z25" i="68"/>
  <c r="AE13" i="67"/>
  <c r="AA27" i="63"/>
  <c r="AA34" i="71"/>
  <c r="AF14" i="68"/>
  <c r="AF36"/>
  <c r="AB41"/>
  <c r="AB36" i="63"/>
  <c r="AA44" i="67"/>
  <c r="AF41" i="119"/>
  <c r="AE39" i="64"/>
  <c r="AB32" i="68"/>
  <c r="Y36" i="63"/>
  <c r="I23"/>
  <c r="Z37" i="119"/>
  <c r="Y33" i="63"/>
  <c r="AE36" i="120"/>
  <c r="AA33" i="64"/>
  <c r="AE9" i="67"/>
  <c r="AB31" i="64"/>
  <c r="AA33" i="63"/>
  <c r="R39"/>
  <c r="AF9" i="68"/>
  <c r="B20" i="63"/>
  <c r="AF44" i="68"/>
  <c r="AA26"/>
  <c r="AA19"/>
  <c r="AA39" i="64"/>
  <c r="Z42"/>
  <c r="Z22"/>
  <c r="AB19" i="68"/>
  <c r="AA12" i="64"/>
  <c r="AF22"/>
  <c r="Z36" i="67"/>
  <c r="AA30" i="68"/>
  <c r="AB35" i="67"/>
  <c r="G20" i="63"/>
  <c r="N20"/>
  <c r="T27"/>
  <c r="AB27" i="67"/>
  <c r="M33" i="63"/>
  <c r="AE44" i="68"/>
  <c r="AF21"/>
  <c r="I28" i="63"/>
  <c r="X40"/>
  <c r="AA13" i="68"/>
  <c r="Z11" i="64"/>
  <c r="X38" i="63"/>
  <c r="AE45" i="64"/>
  <c r="Z40"/>
  <c r="AE43" i="68"/>
  <c r="AF39" i="119"/>
  <c r="X41" i="63"/>
  <c r="AB27" i="64"/>
  <c r="Z39" i="119"/>
  <c r="Z26" i="71"/>
  <c r="AF35" i="119"/>
  <c r="S34" i="63"/>
  <c r="B24"/>
  <c r="B28"/>
  <c r="AF32" i="68"/>
  <c r="Q33" i="63"/>
  <c r="K36"/>
  <c r="AA21" i="71"/>
  <c r="AF19" i="64"/>
  <c r="X31" i="63"/>
  <c r="AB32"/>
  <c r="AA34"/>
  <c r="AB44"/>
  <c r="AF22"/>
  <c r="AE29" i="64"/>
  <c r="AA41" i="119"/>
  <c r="AE28" i="67"/>
  <c r="AA43" i="71"/>
  <c r="AB23" i="68"/>
  <c r="AA44" i="63"/>
  <c r="U43"/>
  <c r="Z19" i="64"/>
  <c r="F30" i="63"/>
  <c r="AB12" i="64"/>
  <c r="AE24" i="71"/>
  <c r="AF21" i="64"/>
  <c r="AB25" i="71"/>
  <c r="J43" i="63"/>
  <c r="AE30" i="119"/>
  <c r="AF24" i="64"/>
  <c r="K38" i="63"/>
  <c r="AA22" i="119"/>
  <c r="AE28" i="64"/>
  <c r="AE40" i="119"/>
  <c r="AA39" i="68"/>
  <c r="Y29" i="119"/>
  <c r="AA37" i="63"/>
  <c r="T32"/>
  <c r="U27"/>
  <c r="AB20" i="71"/>
  <c r="Z28" i="64"/>
  <c r="AE25" i="71"/>
  <c r="AA36" i="119"/>
  <c r="AF22" i="68"/>
  <c r="AF39" i="64"/>
  <c r="M30" i="63"/>
  <c r="B44"/>
  <c r="F29"/>
  <c r="AF40" i="119"/>
  <c r="AE18" i="68"/>
  <c r="N42" i="63"/>
  <c r="AA24" i="68"/>
  <c r="AB28" i="64"/>
  <c r="AE40" i="67"/>
  <c r="AE38" i="120"/>
  <c r="Z42" i="67"/>
  <c r="Z16" i="68"/>
  <c r="AA6"/>
  <c r="B42" i="63"/>
  <c r="H25"/>
  <c r="X35"/>
  <c r="AA19" i="71"/>
  <c r="R25" i="63"/>
  <c r="AE32" i="68"/>
  <c r="AB26" i="63"/>
  <c r="AF25" i="64"/>
  <c r="Y40" i="119"/>
  <c r="K29" i="63"/>
  <c r="AE34" i="71"/>
  <c r="AB22" i="63"/>
  <c r="AF36" i="71"/>
  <c r="AF8" i="68"/>
  <c r="Q45" i="63"/>
  <c r="Z45" i="67"/>
  <c r="G32" i="63"/>
  <c r="AB35" i="71"/>
  <c r="Z36" i="64"/>
  <c r="AA38" i="71"/>
  <c r="AF29" i="68"/>
  <c r="AA32" i="63"/>
  <c r="AE6" i="67"/>
  <c r="AF35" i="63"/>
  <c r="AE45" i="120"/>
  <c r="AF45" i="68"/>
  <c r="R34" i="63"/>
  <c r="Z34" i="67"/>
  <c r="Z30" i="64"/>
  <c r="V32" i="63"/>
  <c r="AE38" i="67"/>
  <c r="Z26" i="68"/>
  <c r="AA14" i="64"/>
  <c r="AE14" i="67"/>
  <c r="AF44" i="71"/>
  <c r="B45" i="63"/>
  <c r="AB14" i="68"/>
  <c r="AF9" i="71"/>
  <c r="V43" i="63"/>
  <c r="K45"/>
  <c r="M22"/>
  <c r="F21"/>
  <c r="T36"/>
  <c r="AB34"/>
  <c r="Z34" i="68"/>
  <c r="F25" i="63"/>
  <c r="AB35" i="64"/>
  <c r="AA19"/>
  <c r="M39" i="63"/>
  <c r="AA42" i="71"/>
  <c r="J39" i="63"/>
  <c r="AE11" i="68"/>
  <c r="AB13"/>
  <c r="AF34" i="71"/>
  <c r="T26" i="63"/>
  <c r="F43"/>
  <c r="AF35" i="67"/>
  <c r="M20" i="63"/>
  <c r="Y42" i="119"/>
  <c r="K23" i="63"/>
  <c r="AB42" i="71"/>
  <c r="N39" i="63"/>
  <c r="AF42" i="67"/>
  <c r="Z21" i="63"/>
  <c r="AB43" i="67"/>
  <c r="AB18" i="64"/>
  <c r="Z26"/>
  <c r="AE38" i="119"/>
  <c r="AB25"/>
  <c r="S45" i="63"/>
  <c r="I43"/>
  <c r="AB8" i="68"/>
  <c r="U34" i="63"/>
  <c r="AB26" i="67"/>
  <c r="AF21"/>
  <c r="AB42" i="119"/>
  <c r="K20" i="63"/>
  <c r="AA27" i="67"/>
  <c r="AB30" i="64"/>
  <c r="AE26" i="68"/>
  <c r="Y24" i="63"/>
  <c r="Q38"/>
  <c r="Z32" i="67"/>
  <c r="AE28" i="120"/>
  <c r="F32" i="63"/>
  <c r="AE32" i="64"/>
  <c r="AB26" i="68"/>
  <c r="R22" i="63"/>
  <c r="Z38" i="71"/>
  <c r="AE29" i="67"/>
  <c r="Z44" i="63"/>
  <c r="AA9" i="64"/>
  <c r="AF37" i="71"/>
  <c r="AF27" i="63"/>
  <c r="Y29"/>
  <c r="Q37"/>
  <c r="AF7" i="68"/>
  <c r="Z25" i="71"/>
  <c r="AF28" i="68"/>
  <c r="AF37" i="63"/>
  <c r="I21"/>
  <c r="AF26" i="71"/>
  <c r="AB43" i="68"/>
  <c r="AF20"/>
  <c r="N43" i="63"/>
  <c r="AF22" i="67"/>
  <c r="AE5" i="64"/>
  <c r="AE42" i="68"/>
  <c r="J26" i="63"/>
  <c r="AE21" i="67"/>
  <c r="AF32" i="119"/>
  <c r="AA41" i="63"/>
  <c r="AF7" i="71"/>
  <c r="X24" i="63"/>
  <c r="Z7" i="68"/>
  <c r="AE37" i="119"/>
  <c r="M34" i="63"/>
  <c r="AF17" i="71"/>
  <c r="K43" i="63"/>
  <c r="Z36" i="119"/>
  <c r="AF23" i="64"/>
  <c r="Z29" i="71"/>
  <c r="AA31"/>
  <c r="Q21" i="63"/>
  <c r="Z18" i="64"/>
  <c r="AB31" i="119"/>
  <c r="AF40" i="63"/>
  <c r="Y44"/>
  <c r="I40"/>
  <c r="AE18" i="67"/>
  <c r="U40" i="63"/>
  <c r="AB5" i="71"/>
  <c r="B39" i="63"/>
  <c r="U20"/>
  <c r="V33"/>
  <c r="S25"/>
  <c r="AB22" i="64"/>
  <c r="AB21" i="67"/>
  <c r="AE28" i="71"/>
  <c r="AB7" i="68"/>
  <c r="AE21" i="120"/>
  <c r="AA20" i="67"/>
  <c r="AB31"/>
  <c r="Z37" i="68"/>
  <c r="Z24" i="64"/>
  <c r="AB26"/>
  <c r="Q41" i="63"/>
  <c r="Y39" i="119"/>
  <c r="AB16" i="71"/>
  <c r="AB28"/>
  <c r="AE11" i="67"/>
  <c r="AF42" i="71"/>
  <c r="F42" i="63"/>
  <c r="H32"/>
  <c r="AE22" i="120"/>
  <c r="V26" i="63"/>
  <c r="AF36" i="119"/>
  <c r="Z27" i="64"/>
  <c r="AB21" i="71"/>
  <c r="AA28" i="68"/>
  <c r="Q30" i="63"/>
  <c r="AF25" i="71"/>
  <c r="M21" i="63"/>
  <c r="K34" i="60"/>
  <c r="Z9" i="64"/>
  <c r="M26" i="63"/>
  <c r="V28"/>
  <c r="N36"/>
  <c r="AA24" i="119"/>
  <c r="H24" i="63"/>
  <c r="I22"/>
  <c r="H21"/>
  <c r="Y28"/>
  <c r="T31"/>
  <c r="AF44"/>
  <c r="AA17" i="68"/>
  <c r="AB39" i="119"/>
  <c r="AF29"/>
  <c r="Z43" i="71"/>
  <c r="E34" i="60"/>
  <c r="AF27" i="68"/>
  <c r="AE40" i="71"/>
  <c r="G41" i="63"/>
  <c r="Z23" i="68"/>
  <c r="AE38" i="64"/>
  <c r="N40" i="63"/>
  <c r="AB17" i="71"/>
  <c r="Q23" i="63"/>
  <c r="Z33" i="68"/>
  <c r="AF34" i="119"/>
  <c r="AF10" i="71"/>
  <c r="AB43" i="119"/>
  <c r="AA11" i="64"/>
  <c r="U21" i="63"/>
  <c r="W27"/>
  <c r="AB32" i="67"/>
  <c r="Z29" i="63"/>
  <c r="Z41" i="119"/>
  <c r="Z27" i="63"/>
  <c r="AB25" i="64"/>
  <c r="AA8"/>
  <c r="I24" i="63"/>
  <c r="K31"/>
  <c r="AB23" i="67"/>
  <c r="AA43" i="64"/>
  <c r="AA23"/>
  <c r="AE20" i="68"/>
  <c r="AB38" i="64"/>
  <c r="AA17"/>
  <c r="Z41" i="67"/>
  <c r="AF33" i="71"/>
  <c r="X34" i="63"/>
  <c r="Z7" i="64"/>
  <c r="AA22" i="68"/>
  <c r="AB33" i="63"/>
  <c r="AB37" i="119"/>
  <c r="AE44" i="64"/>
  <c r="H36" i="63"/>
  <c r="U28"/>
  <c r="Y28" i="119"/>
  <c r="AA32" i="67"/>
  <c r="F39" i="63"/>
  <c r="AB35" i="119"/>
  <c r="Z28" i="71"/>
  <c r="K26" i="63"/>
  <c r="H20"/>
  <c r="R42"/>
  <c r="AE7" i="67"/>
  <c r="Z39" i="71"/>
  <c r="AB29" i="67"/>
  <c r="S39" i="63"/>
  <c r="H33"/>
  <c r="AF23"/>
  <c r="AB22" i="119"/>
  <c r="AB21" i="68"/>
  <c r="AB24" i="119"/>
  <c r="AF34" i="67"/>
  <c r="Z24" i="63"/>
  <c r="Z13" i="68"/>
  <c r="J21" i="63"/>
  <c r="AE44" i="71"/>
  <c r="AF42" i="119"/>
  <c r="AB33"/>
  <c r="AA40" i="71"/>
  <c r="AF24"/>
  <c r="K28" i="63"/>
  <c r="I34" i="60"/>
  <c r="AA29" i="63"/>
  <c r="J37"/>
  <c r="AF36" i="64"/>
  <c r="G37" i="63"/>
  <c r="AE10" i="67"/>
  <c r="Z39"/>
  <c r="AF14" i="64"/>
  <c r="K30" i="60"/>
  <c r="AA20" i="68"/>
  <c r="Z38" i="63"/>
  <c r="X21"/>
  <c r="N37"/>
  <c r="AA11" i="68"/>
  <c r="AA14" i="71"/>
  <c r="AE37" i="64"/>
  <c r="AF30"/>
  <c r="AA42" i="119"/>
  <c r="Y34" i="63"/>
  <c r="AA31" i="67"/>
  <c r="Z32" i="119"/>
  <c r="AB36" i="67"/>
  <c r="AE26" i="71"/>
  <c r="AB44" i="64"/>
  <c r="Z37" i="67"/>
  <c r="Y22" i="63"/>
  <c r="AE41" i="64"/>
  <c r="AA25" i="63"/>
  <c r="AF7" i="64"/>
  <c r="K21" i="63"/>
  <c r="AB40" i="64"/>
  <c r="K22" i="63"/>
  <c r="AB41" i="67"/>
  <c r="V22" i="63"/>
  <c r="AE29" i="71"/>
  <c r="AA32"/>
  <c r="V35" i="63"/>
  <c r="M36"/>
  <c r="Z34"/>
  <c r="AE18" i="71"/>
  <c r="AA44"/>
  <c r="X32" i="63"/>
  <c r="AA21" i="119"/>
  <c r="AA26" i="67"/>
  <c r="V40" i="63"/>
  <c r="AE17" i="71"/>
  <c r="AB32" i="64"/>
  <c r="AE26" i="119"/>
  <c r="AB34" i="68"/>
  <c r="AB38"/>
  <c r="AE18" i="64"/>
  <c r="AA23" i="68"/>
  <c r="Z21" i="119"/>
  <c r="Y41" i="63"/>
  <c r="Z23" i="119"/>
  <c r="AA33" i="67"/>
  <c r="AB39" i="63"/>
  <c r="AF18" i="64"/>
  <c r="AE17" i="68"/>
  <c r="AF42"/>
  <c r="W23" i="63"/>
  <c r="S41"/>
  <c r="AF33" i="68"/>
  <c r="K27" i="63"/>
  <c r="Z5" i="71"/>
  <c r="AE20"/>
  <c r="Z45" i="119"/>
  <c r="AF5" i="64"/>
  <c r="AF37" i="119"/>
  <c r="M29" i="63"/>
  <c r="X23"/>
  <c r="AA41" i="68"/>
  <c r="AF15" i="64"/>
  <c r="Z5" i="68"/>
  <c r="AB25" i="67"/>
  <c r="B27" i="63"/>
  <c r="U38"/>
  <c r="Y37"/>
  <c r="AB39" i="64"/>
  <c r="V20" i="63"/>
  <c r="AA23" i="119"/>
  <c r="AA38"/>
  <c r="AF25"/>
  <c r="Z25" i="67"/>
  <c r="AF28" i="71"/>
  <c r="S35" i="63"/>
  <c r="U25"/>
  <c r="AF35" i="71"/>
  <c r="H45" i="63"/>
  <c r="M43"/>
  <c r="AA31"/>
  <c r="B32"/>
  <c r="AE39" i="67"/>
  <c r="AF27" i="119"/>
  <c r="V27" i="63"/>
  <c r="AE31" i="120"/>
  <c r="Z42" i="68"/>
  <c r="H29" i="63"/>
  <c r="AB8" i="64"/>
  <c r="AB37" i="63"/>
  <c r="T44"/>
  <c r="V21"/>
  <c r="AB17" i="68"/>
  <c r="AE45" i="119"/>
  <c r="BH237" i="118" l="1"/>
  <c r="BH219"/>
  <c r="AQ235"/>
  <c r="AS233"/>
  <c r="AP221"/>
  <c r="AR237"/>
  <c r="AQ232"/>
  <c r="AS220"/>
  <c r="AQ219"/>
  <c r="BJ221"/>
  <c r="AP212"/>
  <c r="AS228"/>
  <c r="AS212"/>
  <c r="AP229"/>
  <c r="BJ226"/>
  <c r="BJ231"/>
  <c r="BJ230"/>
  <c r="AP227"/>
  <c r="AS236"/>
  <c r="AS213"/>
  <c r="AP224"/>
  <c r="BJ215"/>
  <c r="AQ214"/>
  <c r="AS235"/>
  <c r="AP232"/>
  <c r="AQ230"/>
  <c r="AR219"/>
  <c r="AS226"/>
  <c r="AS223"/>
  <c r="AP219"/>
  <c r="AQ237"/>
  <c r="AQ224"/>
  <c r="AQ233"/>
  <c r="AR228"/>
  <c r="AS237"/>
  <c r="BJ227"/>
  <c r="AP218"/>
  <c r="AS219"/>
  <c r="AQ229"/>
  <c r="BJ224"/>
  <c r="AR226"/>
  <c r="AP234"/>
  <c r="AS221"/>
  <c r="AQ216"/>
  <c r="AR216"/>
  <c r="AP216"/>
  <c r="BJ222"/>
  <c r="AR218"/>
  <c r="AQ226"/>
  <c r="AP235"/>
  <c r="BJ220"/>
  <c r="AR229"/>
  <c r="AP213"/>
  <c r="BJ213"/>
  <c r="BJ232"/>
  <c r="BJ219"/>
  <c r="AQ220"/>
  <c r="AR235"/>
  <c r="AR233"/>
  <c r="AR236"/>
  <c r="AR230"/>
  <c r="AP237"/>
  <c r="AS225"/>
  <c r="AR220"/>
  <c r="AS229"/>
  <c r="BJ234"/>
  <c r="AQ217"/>
  <c r="AR234"/>
  <c r="AQ228"/>
  <c r="AS230"/>
  <c r="AP233"/>
  <c r="AP228"/>
  <c r="AR225"/>
  <c r="AP222"/>
  <c r="AP231"/>
  <c r="AS216"/>
  <c r="AS215"/>
  <c r="AP236"/>
  <c r="AP223"/>
  <c r="AR224"/>
  <c r="AS232"/>
  <c r="AP214"/>
  <c r="AP230"/>
  <c r="AR212"/>
  <c r="BJ233"/>
  <c r="AR217"/>
  <c r="AP225"/>
  <c r="BJ236"/>
  <c r="AQ221"/>
  <c r="BJ225"/>
  <c r="BJ212"/>
  <c r="AQ215"/>
  <c r="AQ231"/>
  <c r="AR231"/>
  <c r="AQ223"/>
  <c r="AS231"/>
  <c r="AQ213"/>
  <c r="AR232"/>
  <c r="BJ218"/>
  <c r="AS217"/>
  <c r="BJ223"/>
  <c r="AQ227"/>
  <c r="AR215"/>
  <c r="AS222"/>
  <c r="AP220"/>
  <c r="AR222"/>
  <c r="AS224"/>
  <c r="AR227"/>
  <c r="AQ222"/>
  <c r="AQ212"/>
  <c r="BJ235"/>
  <c r="AQ225"/>
  <c r="AR214"/>
  <c r="AQ218"/>
  <c r="AR221"/>
  <c r="AR213"/>
  <c r="AQ234"/>
  <c r="AP217"/>
  <c r="BJ217"/>
  <c r="AS227"/>
  <c r="AP215"/>
  <c r="AS234"/>
  <c r="BJ216"/>
  <c r="BJ229"/>
  <c r="AS218"/>
  <c r="AS214"/>
  <c r="BJ214"/>
  <c r="BJ237"/>
  <c r="AR223"/>
  <c r="AQ236"/>
  <c r="AP226"/>
  <c r="BJ228"/>
  <c r="AG235"/>
  <c r="AG221"/>
  <c r="AG214"/>
  <c r="AG223"/>
  <c r="AG216"/>
  <c r="AG218"/>
  <c r="AG213"/>
  <c r="AG225"/>
  <c r="AG233"/>
  <c r="AG215"/>
  <c r="AG231"/>
  <c r="AG237"/>
  <c r="AG226"/>
  <c r="AG232"/>
  <c r="AG229"/>
  <c r="AG234"/>
  <c r="AG217"/>
  <c r="AG212"/>
  <c r="AG236"/>
  <c r="AG224"/>
  <c r="AG222"/>
  <c r="AG220"/>
  <c r="AG228"/>
  <c r="AG227"/>
  <c r="AG230"/>
  <c r="AG219"/>
  <c r="BK235"/>
  <c r="BK221"/>
  <c r="BK214"/>
  <c r="BK223"/>
  <c r="BK216"/>
  <c r="BK218"/>
  <c r="BK213"/>
  <c r="BK225"/>
  <c r="BK233"/>
  <c r="BK215"/>
  <c r="BK231"/>
  <c r="BK237"/>
  <c r="BK226"/>
  <c r="BK232"/>
  <c r="BK229"/>
  <c r="BK234"/>
  <c r="BK217"/>
  <c r="BK212"/>
  <c r="BK236"/>
  <c r="BK224"/>
  <c r="BK222"/>
  <c r="BK220"/>
  <c r="BK228"/>
  <c r="BK227"/>
  <c r="BK230"/>
  <c r="BK219"/>
  <c r="AV216"/>
  <c r="BC234"/>
  <c r="BE222"/>
  <c r="AV227"/>
  <c r="AV234"/>
  <c r="AV219"/>
  <c r="BC216"/>
  <c r="AV232"/>
  <c r="AV230"/>
  <c r="AV213"/>
  <c r="BE226"/>
  <c r="BE233"/>
  <c r="BC219"/>
  <c r="BE231"/>
  <c r="BC236"/>
  <c r="BC215"/>
  <c r="BE213"/>
  <c r="BC226"/>
  <c r="BC220"/>
  <c r="AV229"/>
  <c r="BC223"/>
  <c r="BE224"/>
  <c r="BC217"/>
  <c r="BE229"/>
  <c r="BC227"/>
  <c r="BE220"/>
  <c r="AV236"/>
  <c r="BC230"/>
  <c r="BE216"/>
  <c r="BE223"/>
  <c r="AV226"/>
  <c r="AV228"/>
  <c r="BE215"/>
  <c r="AV215"/>
  <c r="BC232"/>
  <c r="BC237"/>
  <c r="BE212"/>
  <c r="BC224"/>
  <c r="AV221"/>
  <c r="BE219"/>
  <c r="AV218"/>
  <c r="AV235"/>
  <c r="BE236"/>
  <c r="BE234"/>
  <c r="BC225"/>
  <c r="BC233"/>
  <c r="AV225"/>
  <c r="BC235"/>
  <c r="BE214"/>
  <c r="BC214"/>
  <c r="BE218"/>
  <c r="AV224"/>
  <c r="BC213"/>
  <c r="BE221"/>
  <c r="BE237"/>
  <c r="AV237"/>
  <c r="AV212"/>
  <c r="AV231"/>
  <c r="BC212"/>
  <c r="BC228"/>
  <c r="AV223"/>
  <c r="AV214"/>
  <c r="BE232"/>
  <c r="AV220"/>
  <c r="BE228"/>
  <c r="BE227"/>
  <c r="AV217"/>
  <c r="BE217"/>
  <c r="BC229"/>
  <c r="BC218"/>
  <c r="BC222"/>
  <c r="BC231"/>
  <c r="BE230"/>
  <c r="AV233"/>
  <c r="AV222"/>
  <c r="BE235"/>
  <c r="BE225"/>
  <c r="BC221"/>
  <c r="AW216"/>
  <c r="AW227"/>
  <c r="AW234"/>
  <c r="AW219"/>
  <c r="AW232"/>
  <c r="AW230"/>
  <c r="AW213"/>
  <c r="AW229"/>
  <c r="AW236"/>
  <c r="AW226"/>
  <c r="AW228"/>
  <c r="AW215"/>
  <c r="AW221"/>
  <c r="AW218"/>
  <c r="AW235"/>
  <c r="AW225"/>
  <c r="AW224"/>
  <c r="AW237"/>
  <c r="AW212"/>
  <c r="AW231"/>
  <c r="AW223"/>
  <c r="AW214"/>
  <c r="AW220"/>
  <c r="AW217"/>
  <c r="AW233"/>
  <c r="AW222"/>
  <c r="BB216"/>
  <c r="BD234"/>
  <c r="BI231"/>
  <c r="BI216"/>
  <c r="AX219"/>
  <c r="BI233"/>
  <c r="BG230"/>
  <c r="BG218"/>
  <c r="BF222"/>
  <c r="BB227"/>
  <c r="AX237"/>
  <c r="BA228"/>
  <c r="AX232"/>
  <c r="BB234"/>
  <c r="AY223"/>
  <c r="BG232"/>
  <c r="AY227"/>
  <c r="AY230"/>
  <c r="BB219"/>
  <c r="BD216"/>
  <c r="BA237"/>
  <c r="BB232"/>
  <c r="BB230"/>
  <c r="BI235"/>
  <c r="AX226"/>
  <c r="BA232"/>
  <c r="BB213"/>
  <c r="BF226"/>
  <c r="BG236"/>
  <c r="AY214"/>
  <c r="BF233"/>
  <c r="AY217"/>
  <c r="BA215"/>
  <c r="BD219"/>
  <c r="BI223"/>
  <c r="BF231"/>
  <c r="BI237"/>
  <c r="BG227"/>
  <c r="BH229"/>
  <c r="AY236"/>
  <c r="BI226"/>
  <c r="BD236"/>
  <c r="BA216"/>
  <c r="AX231"/>
  <c r="BD215"/>
  <c r="BA224"/>
  <c r="BF213"/>
  <c r="BG215"/>
  <c r="BD226"/>
  <c r="AX215"/>
  <c r="BG214"/>
  <c r="BG219"/>
  <c r="BD220"/>
  <c r="BA231"/>
  <c r="BH236"/>
  <c r="BH218"/>
  <c r="AX223"/>
  <c r="BI221"/>
  <c r="AY213"/>
  <c r="BA221"/>
  <c r="BB229"/>
  <c r="BH231"/>
  <c r="BA229"/>
  <c r="BD223"/>
  <c r="BF224"/>
  <c r="BI234"/>
  <c r="BG212"/>
  <c r="BI228"/>
  <c r="BA223"/>
  <c r="BD217"/>
  <c r="BI227"/>
  <c r="BF229"/>
  <c r="BI222"/>
  <c r="BD227"/>
  <c r="AZ224"/>
  <c r="BF220"/>
  <c r="BB236"/>
  <c r="BA226"/>
  <c r="BA234"/>
  <c r="AZ214"/>
  <c r="AY224"/>
  <c r="BD230"/>
  <c r="BF216"/>
  <c r="BG231"/>
  <c r="AY216"/>
  <c r="BF223"/>
  <c r="BI214"/>
  <c r="AX224"/>
  <c r="BB226"/>
  <c r="AZ232"/>
  <c r="AY220"/>
  <c r="AY222"/>
  <c r="AY232"/>
  <c r="BI217"/>
  <c r="BB228"/>
  <c r="AZ230"/>
  <c r="BI215"/>
  <c r="BI236"/>
  <c r="AX213"/>
  <c r="BF215"/>
  <c r="BH215"/>
  <c r="AZ215"/>
  <c r="BB215"/>
  <c r="BA225"/>
  <c r="AX225"/>
  <c r="BD232"/>
  <c r="AZ221"/>
  <c r="BA213"/>
  <c r="BD237"/>
  <c r="BF212"/>
  <c r="AZ236"/>
  <c r="AY212"/>
  <c r="AY229"/>
  <c r="AX229"/>
  <c r="BG224"/>
  <c r="BD224"/>
  <c r="BG216"/>
  <c r="BB221"/>
  <c r="BG217"/>
  <c r="AZ219"/>
  <c r="AZ227"/>
  <c r="BG233"/>
  <c r="BF219"/>
  <c r="AX230"/>
  <c r="AZ233"/>
  <c r="BB218"/>
  <c r="BA222"/>
  <c r="BH223"/>
  <c r="BB235"/>
  <c r="BI219"/>
  <c r="BF236"/>
  <c r="AY237"/>
  <c r="BF234"/>
  <c r="BD225"/>
  <c r="BD233"/>
  <c r="BB225"/>
  <c r="AX228"/>
  <c r="BH220"/>
  <c r="AY218"/>
  <c r="AY234"/>
  <c r="BG213"/>
  <c r="BA217"/>
  <c r="BD235"/>
  <c r="AZ234"/>
  <c r="BH224"/>
  <c r="BA220"/>
  <c r="BA219"/>
  <c r="AY233"/>
  <c r="BF214"/>
  <c r="BH232"/>
  <c r="BH212"/>
  <c r="BH217"/>
  <c r="AY221"/>
  <c r="BH213"/>
  <c r="AZ225"/>
  <c r="AX212"/>
  <c r="AZ231"/>
  <c r="BG226"/>
  <c r="BD214"/>
  <c r="BG228"/>
  <c r="BI213"/>
  <c r="BG225"/>
  <c r="BH230"/>
  <c r="BH214"/>
  <c r="BH226"/>
  <c r="BF218"/>
  <c r="AY225"/>
  <c r="BA214"/>
  <c r="BB224"/>
  <c r="BH221"/>
  <c r="BG223"/>
  <c r="AX227"/>
  <c r="AX214"/>
  <c r="AY228"/>
  <c r="BD213"/>
  <c r="BG234"/>
  <c r="BF221"/>
  <c r="BF237"/>
  <c r="AX235"/>
  <c r="BG235"/>
  <c r="AX216"/>
  <c r="BH228"/>
  <c r="BH216"/>
  <c r="BA230"/>
  <c r="BI229"/>
  <c r="BB237"/>
  <c r="BB212"/>
  <c r="BB231"/>
  <c r="BH233"/>
  <c r="BH227"/>
  <c r="AZ228"/>
  <c r="BA218"/>
  <c r="BH235"/>
  <c r="BD212"/>
  <c r="AZ213"/>
  <c r="BH234"/>
  <c r="BI218"/>
  <c r="BD228"/>
  <c r="AZ229"/>
  <c r="BB223"/>
  <c r="BG237"/>
  <c r="AZ223"/>
  <c r="BB214"/>
  <c r="BA227"/>
  <c r="BI212"/>
  <c r="BF232"/>
  <c r="BB220"/>
  <c r="AX236"/>
  <c r="BF228"/>
  <c r="BF227"/>
  <c r="AY219"/>
  <c r="AX222"/>
  <c r="AY235"/>
  <c r="BA212"/>
  <c r="BG221"/>
  <c r="BA233"/>
  <c r="AZ226"/>
  <c r="BB217"/>
  <c r="AZ217"/>
  <c r="BF217"/>
  <c r="AX217"/>
  <c r="BG220"/>
  <c r="BD229"/>
  <c r="BG229"/>
  <c r="BA236"/>
  <c r="AZ216"/>
  <c r="AZ237"/>
  <c r="BD218"/>
  <c r="AY231"/>
  <c r="BI232"/>
  <c r="AX233"/>
  <c r="AX221"/>
  <c r="AZ222"/>
  <c r="BI220"/>
  <c r="BD222"/>
  <c r="BI230"/>
  <c r="BD231"/>
  <c r="AX234"/>
  <c r="AZ235"/>
  <c r="AZ212"/>
  <c r="AX220"/>
  <c r="AZ220"/>
  <c r="BG222"/>
  <c r="BF230"/>
  <c r="BI225"/>
  <c r="AY226"/>
  <c r="BA235"/>
  <c r="AZ218"/>
  <c r="AY215"/>
  <c r="BB233"/>
  <c r="BB222"/>
  <c r="BH225"/>
  <c r="BH222"/>
  <c r="BI224"/>
  <c r="BF235"/>
  <c r="AX218"/>
  <c r="BF225"/>
  <c r="BD221"/>
  <c r="BL224"/>
  <c r="G34" i="60"/>
  <c r="BL223" i="118"/>
  <c r="BL233"/>
  <c r="BL230"/>
  <c r="BL218"/>
  <c r="BL232"/>
  <c r="BL216"/>
  <c r="BL214"/>
  <c r="BL228"/>
  <c r="BL237"/>
  <c r="BL217"/>
  <c r="BL225"/>
  <c r="BL219"/>
  <c r="BL220"/>
  <c r="BL234"/>
  <c r="BL213"/>
  <c r="BL215"/>
  <c r="BL212"/>
  <c r="BL235"/>
  <c r="BL229"/>
  <c r="BL222"/>
  <c r="BL231"/>
  <c r="BL226"/>
  <c r="BL221"/>
  <c r="BL227"/>
  <c r="BL236"/>
  <c r="AD221" l="1"/>
  <c r="BU33" s="1"/>
  <c r="AD212"/>
  <c r="BU24" s="1"/>
  <c r="AD232"/>
  <c r="BU44" s="1"/>
  <c r="AD223"/>
  <c r="BU35" s="1"/>
  <c r="AD227"/>
  <c r="BU39" s="1"/>
  <c r="AD216"/>
  <c r="BU28" s="1"/>
  <c r="AD229"/>
  <c r="BU41" s="1"/>
  <c r="AD213"/>
  <c r="BU25" s="1"/>
  <c r="AD220"/>
  <c r="BU32" s="1"/>
  <c r="AD225"/>
  <c r="BU37" s="1"/>
  <c r="AD214"/>
  <c r="BU26" s="1"/>
  <c r="AD230"/>
  <c r="BU42" s="1"/>
  <c r="AD224"/>
  <c r="BU36" s="1"/>
  <c r="AD215"/>
  <c r="BU27" s="1"/>
  <c r="AD217"/>
  <c r="BU29" s="1"/>
  <c r="AD226"/>
  <c r="BU38" s="1"/>
  <c r="AD222"/>
  <c r="BU34" s="1"/>
  <c r="AD219"/>
  <c r="BU31" s="1"/>
  <c r="AD228"/>
  <c r="BU40" s="1"/>
  <c r="AD218"/>
  <c r="BU30" s="1"/>
  <c r="AD233"/>
  <c r="BU45" s="1"/>
  <c r="AD234"/>
  <c r="BU46" s="1"/>
  <c r="AD231"/>
  <c r="BU43" s="1"/>
  <c r="N9" i="72" l="1"/>
  <c r="O9"/>
  <c r="AX9"/>
  <c r="N10"/>
  <c r="O10"/>
  <c r="AX10"/>
  <c r="N11"/>
  <c r="O11"/>
  <c r="AX11"/>
  <c r="N12"/>
  <c r="O12"/>
  <c r="AX12"/>
  <c r="N13"/>
  <c r="O13"/>
  <c r="AX13"/>
  <c r="N14"/>
  <c r="O14"/>
  <c r="AX14"/>
  <c r="N15"/>
  <c r="O15"/>
  <c r="AX15"/>
  <c r="N16"/>
  <c r="O16"/>
  <c r="AX16"/>
  <c r="N17"/>
  <c r="O17"/>
  <c r="AX17"/>
  <c r="N18"/>
  <c r="O18"/>
  <c r="AX18"/>
  <c r="N19"/>
  <c r="O19"/>
  <c r="AX19"/>
  <c r="N20"/>
  <c r="O20"/>
  <c r="AX20"/>
  <c r="N21"/>
  <c r="O21"/>
  <c r="AX21"/>
  <c r="N22"/>
  <c r="O22"/>
  <c r="AX22"/>
  <c r="N23"/>
  <c r="O23"/>
  <c r="AX23"/>
  <c r="N24"/>
  <c r="O24"/>
  <c r="AH24"/>
  <c r="AI24"/>
  <c r="AJ24"/>
  <c r="AK24"/>
  <c r="AL24"/>
  <c r="AM24"/>
  <c r="AN24"/>
  <c r="AO24"/>
  <c r="AP24"/>
  <c r="AR24"/>
  <c r="AS24"/>
  <c r="AT24"/>
  <c r="AX24"/>
  <c r="N25"/>
  <c r="O25"/>
  <c r="AH25"/>
  <c r="AI25"/>
  <c r="AJ25"/>
  <c r="AK25"/>
  <c r="AL25"/>
  <c r="AM25"/>
  <c r="AN25"/>
  <c r="AO25"/>
  <c r="AP25"/>
  <c r="AR25"/>
  <c r="AS25"/>
  <c r="AT25"/>
  <c r="AX25"/>
  <c r="N26"/>
  <c r="O26"/>
  <c r="AH26"/>
  <c r="AI26"/>
  <c r="AJ26"/>
  <c r="AK26"/>
  <c r="AL26"/>
  <c r="AM26"/>
  <c r="AN26"/>
  <c r="AO26"/>
  <c r="AP26"/>
  <c r="AR26"/>
  <c r="AS26"/>
  <c r="AT26"/>
  <c r="AX26"/>
  <c r="N27"/>
  <c r="O27"/>
  <c r="AH27"/>
  <c r="AI27"/>
  <c r="AJ27"/>
  <c r="AK27"/>
  <c r="AL27"/>
  <c r="AM27"/>
  <c r="AN27"/>
  <c r="AO27"/>
  <c r="AP27"/>
  <c r="AR27"/>
  <c r="AS27"/>
  <c r="AT27"/>
  <c r="AX27"/>
  <c r="N28"/>
  <c r="O28"/>
  <c r="AH28"/>
  <c r="AI28"/>
  <c r="AJ28"/>
  <c r="AK28"/>
  <c r="AL28"/>
  <c r="AM28"/>
  <c r="AN28"/>
  <c r="AO28"/>
  <c r="AP28"/>
  <c r="AR28"/>
  <c r="AS28"/>
  <c r="AT28"/>
  <c r="AX28"/>
  <c r="N29"/>
  <c r="O29"/>
  <c r="AH29"/>
  <c r="AI29"/>
  <c r="AJ29"/>
  <c r="AK29"/>
  <c r="AL29"/>
  <c r="AM29"/>
  <c r="AN29"/>
  <c r="AO29"/>
  <c r="AP29"/>
  <c r="AR29"/>
  <c r="AS29"/>
  <c r="AT29"/>
  <c r="AX29"/>
  <c r="N30"/>
  <c r="O30"/>
  <c r="AH30"/>
  <c r="AI30"/>
  <c r="AJ30"/>
  <c r="AK30"/>
  <c r="AL30"/>
  <c r="AM30"/>
  <c r="AN30"/>
  <c r="AO30"/>
  <c r="AP30"/>
  <c r="AR30"/>
  <c r="AS30"/>
  <c r="AT30"/>
  <c r="AX30"/>
  <c r="N31"/>
  <c r="O31"/>
  <c r="AH31"/>
  <c r="AI31"/>
  <c r="AJ31"/>
  <c r="AK31"/>
  <c r="AL31"/>
  <c r="AM31"/>
  <c r="AN31"/>
  <c r="AO31"/>
  <c r="AP31"/>
  <c r="AR31"/>
  <c r="AS31"/>
  <c r="AT31"/>
  <c r="AX31"/>
  <c r="N32"/>
  <c r="O32"/>
  <c r="AH32"/>
  <c r="AI32"/>
  <c r="AJ32"/>
  <c r="AK32"/>
  <c r="AL32"/>
  <c r="AM32"/>
  <c r="AN32"/>
  <c r="AO32"/>
  <c r="AP32"/>
  <c r="AR32"/>
  <c r="AS32"/>
  <c r="AT32"/>
  <c r="AX32"/>
  <c r="N33"/>
  <c r="O33"/>
  <c r="AH33"/>
  <c r="AI33"/>
  <c r="AJ33"/>
  <c r="AK33"/>
  <c r="AL33"/>
  <c r="AM33"/>
  <c r="AN33"/>
  <c r="AO33"/>
  <c r="AP33"/>
  <c r="AR33"/>
  <c r="AS33"/>
  <c r="AT33"/>
  <c r="AX33"/>
  <c r="N34"/>
  <c r="O34"/>
  <c r="AH34"/>
  <c r="AI34"/>
  <c r="AJ34"/>
  <c r="AK34"/>
  <c r="AL34"/>
  <c r="AM34"/>
  <c r="AN34"/>
  <c r="AO34"/>
  <c r="AP34"/>
  <c r="AR34"/>
  <c r="AS34"/>
  <c r="AT34"/>
  <c r="AX34"/>
  <c r="N35"/>
  <c r="O35"/>
  <c r="AH35"/>
  <c r="AI35"/>
  <c r="AJ35"/>
  <c r="AK35"/>
  <c r="AL35"/>
  <c r="AM35"/>
  <c r="AN35"/>
  <c r="AO35"/>
  <c r="AP35"/>
  <c r="AR35"/>
  <c r="AS35"/>
  <c r="AT35"/>
  <c r="AX35"/>
  <c r="N36"/>
  <c r="O36"/>
  <c r="AH36"/>
  <c r="AI36"/>
  <c r="AJ36"/>
  <c r="AK36"/>
  <c r="AL36"/>
  <c r="AM36"/>
  <c r="AN36"/>
  <c r="AO36"/>
  <c r="AP36"/>
  <c r="AR36"/>
  <c r="AS36"/>
  <c r="AT36"/>
  <c r="AX36"/>
  <c r="N37"/>
  <c r="O37"/>
  <c r="AH37"/>
  <c r="AI37"/>
  <c r="AJ37"/>
  <c r="AK37"/>
  <c r="AL37"/>
  <c r="AM37"/>
  <c r="AN37"/>
  <c r="AO37"/>
  <c r="AP37"/>
  <c r="AR37"/>
  <c r="AS37"/>
  <c r="AT37"/>
  <c r="AX37"/>
  <c r="N38"/>
  <c r="O38"/>
  <c r="AH38"/>
  <c r="AI38"/>
  <c r="AJ38"/>
  <c r="AK38"/>
  <c r="AL38"/>
  <c r="AM38"/>
  <c r="AN38"/>
  <c r="AO38"/>
  <c r="AP38"/>
  <c r="AR38"/>
  <c r="AS38"/>
  <c r="AT38"/>
  <c r="AX38"/>
  <c r="N39"/>
  <c r="O39"/>
  <c r="AH39"/>
  <c r="AI39"/>
  <c r="AJ39"/>
  <c r="AK39"/>
  <c r="AL39"/>
  <c r="AM39"/>
  <c r="AN39"/>
  <c r="AO39"/>
  <c r="AP39"/>
  <c r="AR39"/>
  <c r="AS39"/>
  <c r="AT39"/>
  <c r="AX39"/>
  <c r="N40"/>
  <c r="O40"/>
  <c r="AH40"/>
  <c r="AI40"/>
  <c r="AJ40"/>
  <c r="AK40"/>
  <c r="AL40"/>
  <c r="AM40"/>
  <c r="AN40"/>
  <c r="AO40"/>
  <c r="AP40"/>
  <c r="AR40"/>
  <c r="AS40"/>
  <c r="AT40"/>
  <c r="AX40"/>
  <c r="N41"/>
  <c r="O41"/>
  <c r="AH41"/>
  <c r="AI41"/>
  <c r="AJ41"/>
  <c r="AK41"/>
  <c r="AL41"/>
  <c r="AM41"/>
  <c r="AN41"/>
  <c r="AO41"/>
  <c r="AP41"/>
  <c r="AR41"/>
  <c r="AS41"/>
  <c r="AT41"/>
  <c r="AX41"/>
  <c r="N42"/>
  <c r="O42"/>
  <c r="AH42"/>
  <c r="AI42"/>
  <c r="AJ42"/>
  <c r="AK42"/>
  <c r="AL42"/>
  <c r="AM42"/>
  <c r="AN42"/>
  <c r="AO42"/>
  <c r="AP42"/>
  <c r="AR42"/>
  <c r="AS42"/>
  <c r="AT42"/>
  <c r="AX42"/>
  <c r="N43"/>
  <c r="O43"/>
  <c r="AH43"/>
  <c r="AI43"/>
  <c r="AJ43"/>
  <c r="AK43"/>
  <c r="AL43"/>
  <c r="AM43"/>
  <c r="AN43"/>
  <c r="AO43"/>
  <c r="AP43"/>
  <c r="AR43"/>
  <c r="AS43"/>
  <c r="AT43"/>
  <c r="AX43"/>
  <c r="N44"/>
  <c r="O44"/>
  <c r="AH44"/>
  <c r="AI44"/>
  <c r="AJ44"/>
  <c r="AK44"/>
  <c r="AL44"/>
  <c r="AM44"/>
  <c r="AN44"/>
  <c r="AO44"/>
  <c r="AP44"/>
  <c r="AR44"/>
  <c r="AS44"/>
  <c r="AT44"/>
  <c r="AX44"/>
  <c r="N45"/>
  <c r="O45"/>
  <c r="AH45"/>
  <c r="AI45"/>
  <c r="AJ45"/>
  <c r="AK45"/>
  <c r="AL45"/>
  <c r="AM45"/>
  <c r="AN45"/>
  <c r="AO45"/>
  <c r="AP45"/>
  <c r="AR45"/>
  <c r="AS45"/>
  <c r="AT45"/>
  <c r="AX45"/>
  <c r="N46"/>
  <c r="O46"/>
  <c r="AH46"/>
  <c r="AI46"/>
  <c r="AJ46"/>
  <c r="AK46"/>
  <c r="AL46"/>
  <c r="AM46"/>
  <c r="AN46"/>
  <c r="AO46"/>
  <c r="AP46"/>
  <c r="AR46"/>
  <c r="AS46"/>
  <c r="AT46"/>
  <c r="AX46"/>
  <c r="N47"/>
  <c r="O47"/>
  <c r="AH47"/>
  <c r="AI47"/>
  <c r="AJ47"/>
  <c r="AK47"/>
  <c r="AL47"/>
  <c r="AM47"/>
  <c r="AN47"/>
  <c r="AO47"/>
  <c r="AP47"/>
  <c r="AR47"/>
  <c r="AS47"/>
  <c r="AT47"/>
  <c r="AX47"/>
  <c r="N48"/>
  <c r="O48"/>
  <c r="AH48"/>
  <c r="AI48"/>
  <c r="AJ48"/>
  <c r="AK48"/>
  <c r="AL48"/>
  <c r="AM48"/>
  <c r="AN48"/>
  <c r="AO48"/>
  <c r="AP48"/>
  <c r="AR48"/>
  <c r="AS48"/>
  <c r="AT48"/>
  <c r="AX48"/>
  <c r="N49"/>
  <c r="O49"/>
  <c r="AH49"/>
  <c r="AI49"/>
  <c r="AJ49"/>
  <c r="AK49"/>
  <c r="AL49"/>
  <c r="AM49"/>
  <c r="AN49"/>
  <c r="AO49"/>
  <c r="AP49"/>
  <c r="AR49"/>
  <c r="AS49"/>
  <c r="AT49"/>
  <c r="AX49"/>
  <c r="AG4" i="137" l="1"/>
  <c r="AG12" s="1"/>
  <c r="AD19" i="71"/>
  <c r="AC20" i="120"/>
  <c r="AD36" i="67"/>
  <c r="AC15" i="71"/>
  <c r="AD45" i="67"/>
  <c r="AD12" i="64"/>
  <c r="AD38" i="67"/>
  <c r="AC23" i="63"/>
  <c r="AD35" i="120"/>
  <c r="AD8" i="64"/>
  <c r="AC36"/>
  <c r="AC8" i="68"/>
  <c r="AD9" i="64"/>
  <c r="AD12" i="68"/>
  <c r="AD11"/>
  <c r="AD39" i="71"/>
  <c r="AD21" i="67"/>
  <c r="AC24" i="64"/>
  <c r="AC8" i="71"/>
  <c r="AC13" i="64"/>
  <c r="AC22" i="120"/>
  <c r="AC17" i="64"/>
  <c r="AD16"/>
  <c r="AC39"/>
  <c r="AD21" i="119"/>
  <c r="AD27" i="71"/>
  <c r="AC31"/>
  <c r="AC41" i="67"/>
  <c r="AC44" i="120"/>
  <c r="AC25" i="64"/>
  <c r="AC24" i="68"/>
  <c r="AD35" i="63"/>
  <c r="AD29" i="64"/>
  <c r="AC35" i="119"/>
  <c r="AC44" i="71"/>
  <c r="AC35" i="63"/>
  <c r="AC20" i="64"/>
  <c r="AD18" i="71"/>
  <c r="AD30" i="64"/>
  <c r="AC31" i="68"/>
  <c r="AD17" i="119"/>
  <c r="AD33" i="120"/>
  <c r="AC5" i="68"/>
  <c r="AD39" i="67"/>
  <c r="AC35" i="120"/>
  <c r="AC14" i="71"/>
  <c r="AD22" i="119"/>
  <c r="AC25" i="120"/>
  <c r="AC39" i="119"/>
  <c r="AC15" i="64"/>
  <c r="AD30" i="63"/>
  <c r="AD33" i="68"/>
  <c r="AD27"/>
  <c r="AC40" i="119"/>
  <c r="AC5" i="64"/>
  <c r="AD7" i="119"/>
  <c r="AD17" i="71"/>
  <c r="AD41" i="67"/>
  <c r="AD45" i="120"/>
  <c r="AC27" i="64"/>
  <c r="AC41" i="63"/>
  <c r="AD42" i="119"/>
  <c r="AC43" i="64"/>
  <c r="AC39" i="120"/>
  <c r="AC42" i="119"/>
  <c r="AD35" i="71"/>
  <c r="AD32"/>
  <c r="AC24"/>
  <c r="AD20" i="68"/>
  <c r="AD36" i="120"/>
  <c r="AD17" i="64"/>
  <c r="AC41" i="119"/>
  <c r="AD36"/>
  <c r="AC33"/>
  <c r="AD27" i="64"/>
  <c r="AC35" i="68"/>
  <c r="AD45" i="63"/>
  <c r="AC15" i="119"/>
  <c r="AC25" i="68"/>
  <c r="AD28" i="120"/>
  <c r="AC38" i="64"/>
  <c r="AC23" i="71"/>
  <c r="AC37" i="120"/>
  <c r="AC17" i="119"/>
  <c r="AD35" i="68"/>
  <c r="AD37" i="119"/>
  <c r="AC36" i="63"/>
  <c r="AD38" i="119"/>
  <c r="AD38" i="120"/>
  <c r="AC26" i="67"/>
  <c r="AC24" i="119"/>
  <c r="AC6" i="71"/>
  <c r="AC32" i="120"/>
  <c r="AD29" i="119"/>
  <c r="AC28" i="68"/>
  <c r="AC34" i="63"/>
  <c r="AC20"/>
  <c r="AC25" i="71"/>
  <c r="AD42"/>
  <c r="AD36" i="64"/>
  <c r="AC28"/>
  <c r="AC31" i="63"/>
  <c r="AD15" i="68"/>
  <c r="AD38" i="64"/>
  <c r="AD9" i="119"/>
  <c r="AC22" i="64"/>
  <c r="AC32" i="67"/>
  <c r="AC41" i="64"/>
  <c r="AC13" i="119"/>
  <c r="AD22" i="64"/>
  <c r="AD29" i="63"/>
  <c r="AD23" i="119"/>
  <c r="AC30"/>
  <c r="AD45" i="71"/>
  <c r="AD40" i="63"/>
  <c r="AC22" i="68"/>
  <c r="AD25" i="119"/>
  <c r="AC16"/>
  <c r="AD30" i="67"/>
  <c r="AD28" i="71"/>
  <c r="AD14" i="119"/>
  <c r="AD22" i="67"/>
  <c r="AC7" i="71"/>
  <c r="AD26" i="67"/>
  <c r="AD34" i="64"/>
  <c r="AD24" i="120"/>
  <c r="AC30" i="71"/>
  <c r="L33" i="60"/>
  <c r="AD33" i="63"/>
  <c r="AD26" i="119"/>
  <c r="AD31" i="120"/>
  <c r="AD25" i="64"/>
  <c r="AD33" i="67"/>
  <c r="AC38"/>
  <c r="AC36" i="120"/>
  <c r="AC44" i="119"/>
  <c r="AC28" i="120"/>
  <c r="AD44" i="64"/>
  <c r="AD24" i="68"/>
  <c r="AC25" i="63"/>
  <c r="AC35" i="67"/>
  <c r="AD16" i="71"/>
  <c r="AC13"/>
  <c r="L32" i="60"/>
  <c r="AD26" i="71"/>
  <c r="AD36"/>
  <c r="AD24"/>
  <c r="AD31" i="63"/>
  <c r="AD31" i="67"/>
  <c r="AC28"/>
  <c r="AC35" i="71"/>
  <c r="AD29" i="120"/>
  <c r="AC7" i="68"/>
  <c r="AD32" i="67"/>
  <c r="AD20"/>
  <c r="AC45"/>
  <c r="AC12" i="71"/>
  <c r="AC26" i="119"/>
  <c r="AC12"/>
  <c r="AC40" i="68"/>
  <c r="AC27" i="71"/>
  <c r="AD45" i="119"/>
  <c r="AC44" i="67"/>
  <c r="AD44" i="63"/>
  <c r="AC30" i="120"/>
  <c r="AD44" i="67"/>
  <c r="AD6" i="71"/>
  <c r="AC45" i="64"/>
  <c r="AC19" i="71"/>
  <c r="AD41" i="68"/>
  <c r="AC12"/>
  <c r="AC8" i="119"/>
  <c r="AD11" i="71"/>
  <c r="AC26" i="63"/>
  <c r="AC21" i="71"/>
  <c r="AD31" i="119"/>
  <c r="AC41" i="71"/>
  <c r="AD18" i="64"/>
  <c r="AD37" i="67"/>
  <c r="AD20" i="71"/>
  <c r="AC9"/>
  <c r="AD23" i="63"/>
  <c r="AC38" i="71"/>
  <c r="AC37" i="63"/>
  <c r="AC42" i="68"/>
  <c r="AC29" i="71"/>
  <c r="AD40" i="119"/>
  <c r="AC7"/>
  <c r="AC45"/>
  <c r="AD44" i="71"/>
  <c r="AD40" i="64"/>
  <c r="AD23" i="71"/>
  <c r="AC40" i="64"/>
  <c r="AD9" i="71"/>
  <c r="AD21" i="120"/>
  <c r="AD34" i="68"/>
  <c r="AC32" i="119"/>
  <c r="AD43" i="68"/>
  <c r="AD22" i="63"/>
  <c r="AC29" i="119"/>
  <c r="AC26" i="120"/>
  <c r="AD8" i="71"/>
  <c r="AD10"/>
  <c r="AC14" i="68"/>
  <c r="AD9"/>
  <c r="AC42" i="120"/>
  <c r="AC34" i="64"/>
  <c r="AD20"/>
  <c r="AC28" i="71"/>
  <c r="AC31" i="120"/>
  <c r="AC16" i="68"/>
  <c r="AD24" i="67"/>
  <c r="AD32" i="119"/>
  <c r="AD34"/>
  <c r="AC44" i="63"/>
  <c r="AD40" i="120"/>
  <c r="AC16" i="71"/>
  <c r="AC38" i="120"/>
  <c r="AD10" i="64"/>
  <c r="AD29" i="67"/>
  <c r="AC9" i="64"/>
  <c r="AC41" i="68"/>
  <c r="AC36" i="119"/>
  <c r="AC45" i="63"/>
  <c r="AC33" i="68"/>
  <c r="AD6"/>
  <c r="AC22" i="71"/>
  <c r="AC9" i="68"/>
  <c r="AD27" i="120"/>
  <c r="AD45" i="64"/>
  <c r="AC30"/>
  <c r="AD39"/>
  <c r="AD42" i="67"/>
  <c r="AC33" i="120"/>
  <c r="AC40" i="63"/>
  <c r="AD37"/>
  <c r="AC17" i="71"/>
  <c r="AD22"/>
  <c r="AC27" i="63"/>
  <c r="AC29" i="67"/>
  <c r="AD43" i="120"/>
  <c r="AD26" i="63"/>
  <c r="AC38" i="119"/>
  <c r="AD43"/>
  <c r="AD34" i="67"/>
  <c r="AC17" i="68"/>
  <c r="AC25" i="119"/>
  <c r="K33" i="60"/>
  <c r="AD5" i="119"/>
  <c r="AD42" i="68"/>
  <c r="AC37" i="71"/>
  <c r="AD43" i="63"/>
  <c r="AC37" i="67"/>
  <c r="AD35" i="64"/>
  <c r="AD33" i="119"/>
  <c r="AD42" i="63"/>
  <c r="AC43"/>
  <c r="AC19" i="68"/>
  <c r="AD6" i="64"/>
  <c r="AD38" i="68"/>
  <c r="AC13"/>
  <c r="AC43"/>
  <c r="AC22" i="119"/>
  <c r="AD40" i="68"/>
  <c r="AD14" i="71"/>
  <c r="AD37" i="120"/>
  <c r="AC20" i="71"/>
  <c r="AC21" i="119"/>
  <c r="AD44" i="68"/>
  <c r="AC20"/>
  <c r="AC30"/>
  <c r="AC28" i="119"/>
  <c r="AC14"/>
  <c r="AC34" i="67"/>
  <c r="AD7" i="68"/>
  <c r="AC30" i="67"/>
  <c r="AC27" i="120"/>
  <c r="AD41" i="64"/>
  <c r="AD28" i="67"/>
  <c r="AC34" i="71"/>
  <c r="AD6" i="119"/>
  <c r="AD21" i="68"/>
  <c r="AC44" i="64"/>
  <c r="AD39" i="119"/>
  <c r="AD20" i="120"/>
  <c r="AC23" i="64"/>
  <c r="AC21"/>
  <c r="AC40" i="120"/>
  <c r="AC27" i="67"/>
  <c r="AD34" i="71"/>
  <c r="AD41"/>
  <c r="AD28" i="63"/>
  <c r="AC23" i="67"/>
  <c r="AD13" i="71"/>
  <c r="AD30" i="68"/>
  <c r="AD19" i="64"/>
  <c r="AC29" i="63"/>
  <c r="AC21" i="67"/>
  <c r="AD21" i="64"/>
  <c r="AC26" i="68"/>
  <c r="AD26" i="64"/>
  <c r="AC9" i="119"/>
  <c r="AC10"/>
  <c r="AD17" i="68"/>
  <c r="AC18"/>
  <c r="AC32" i="71"/>
  <c r="AD29" i="68"/>
  <c r="AD34" i="63"/>
  <c r="AD7" i="64"/>
  <c r="AD25" i="67"/>
  <c r="AC38" i="68"/>
  <c r="AD28" i="119"/>
  <c r="AC34" i="120"/>
  <c r="AD24" i="64"/>
  <c r="AC42"/>
  <c r="AD5"/>
  <c r="AD44" i="120"/>
  <c r="AC33" i="63"/>
  <c r="AC22" i="67"/>
  <c r="AC18" i="119"/>
  <c r="AC23" i="68"/>
  <c r="AD31"/>
  <c r="AC18" i="64"/>
  <c r="AD35" i="119"/>
  <c r="AC28" i="63"/>
  <c r="AC21"/>
  <c r="AC24" i="120"/>
  <c r="AD23" i="67"/>
  <c r="AC30" i="63"/>
  <c r="AD16" i="119"/>
  <c r="AC33" i="67"/>
  <c r="AC21" i="120"/>
  <c r="AD21" i="63"/>
  <c r="AC6" i="119"/>
  <c r="AD43" i="64"/>
  <c r="AD15" i="71"/>
  <c r="AC37" i="64"/>
  <c r="AD21" i="71"/>
  <c r="AC10"/>
  <c r="AD33"/>
  <c r="AD27" i="119"/>
  <c r="AC42" i="67"/>
  <c r="AD35"/>
  <c r="AD30" i="119"/>
  <c r="AD23" i="64"/>
  <c r="AD14" i="68"/>
  <c r="AD5" i="71"/>
  <c r="AD11" i="64"/>
  <c r="AD37" i="68"/>
  <c r="AC45" i="71"/>
  <c r="AC36" i="68"/>
  <c r="AC23" i="120"/>
  <c r="AC11" i="64"/>
  <c r="AD30" i="120"/>
  <c r="AD23"/>
  <c r="AC43" i="71"/>
  <c r="AD40"/>
  <c r="AC32" i="64"/>
  <c r="AD32" i="120"/>
  <c r="AC32" i="68"/>
  <c r="AD42" i="120"/>
  <c r="AD32" i="63"/>
  <c r="AC45" i="120"/>
  <c r="AD23" i="68"/>
  <c r="AD36"/>
  <c r="AC11" i="71"/>
  <c r="AC26"/>
  <c r="AD32" i="64"/>
  <c r="AD41" i="63"/>
  <c r="AC38"/>
  <c r="AC40" i="67"/>
  <c r="AD43" i="71"/>
  <c r="AD13" i="68"/>
  <c r="AC24" i="67"/>
  <c r="AC19" i="119"/>
  <c r="AD39" i="63"/>
  <c r="AC21" i="68"/>
  <c r="AD37" i="71"/>
  <c r="AC22" i="63"/>
  <c r="AD30" i="71"/>
  <c r="AC32" i="63"/>
  <c r="AC39"/>
  <c r="AC10" i="64"/>
  <c r="AC23" i="119"/>
  <c r="AD45" i="68"/>
  <c r="AD34" i="120"/>
  <c r="AD8" i="119"/>
  <c r="AD18" i="68"/>
  <c r="AD36" i="63"/>
  <c r="AC43" i="120"/>
  <c r="AD39" i="68"/>
  <c r="AD37" i="64"/>
  <c r="AD25" i="71"/>
  <c r="AC24" i="63"/>
  <c r="AD44" i="119"/>
  <c r="AC19" i="64"/>
  <c r="AD26" i="68"/>
  <c r="AD8"/>
  <c r="AD31" i="64"/>
  <c r="AD39" i="120"/>
  <c r="AC31" i="64"/>
  <c r="AC42" i="71"/>
  <c r="AD25" i="120"/>
  <c r="AC35" i="64"/>
  <c r="AC20" i="119"/>
  <c r="AD12" i="71"/>
  <c r="AD15" i="119"/>
  <c r="AD20"/>
  <c r="AC31"/>
  <c r="AC5" i="71"/>
  <c r="AC8" i="64"/>
  <c r="AC18" i="71"/>
  <c r="AD42" i="64"/>
  <c r="AC34" i="68"/>
  <c r="AC40" i="71"/>
  <c r="AC36"/>
  <c r="AD14" i="64"/>
  <c r="AC15" i="68"/>
  <c r="AD10"/>
  <c r="AC29" i="64"/>
  <c r="AC27" i="68"/>
  <c r="AC5" i="119"/>
  <c r="AC33" i="71"/>
  <c r="AD27" i="63"/>
  <c r="AD43" i="67"/>
  <c r="AD24" i="119"/>
  <c r="AD20" i="63"/>
  <c r="AC43" i="67"/>
  <c r="AC27" i="119"/>
  <c r="AC29" i="68"/>
  <c r="AC39"/>
  <c r="AC14" i="64"/>
  <c r="AC42" i="63"/>
  <c r="AD41" i="120"/>
  <c r="AD41" i="119"/>
  <c r="AD38" i="63"/>
  <c r="AD12" i="119"/>
  <c r="AC43"/>
  <c r="AC12" i="64"/>
  <c r="AC37" i="68"/>
  <c r="AD38" i="71"/>
  <c r="AD19" i="68"/>
  <c r="AD5"/>
  <c r="AC20" i="67"/>
  <c r="AD22" i="68"/>
  <c r="AD19" i="119"/>
  <c r="AD7" i="71"/>
  <c r="K32" i="60"/>
  <c r="AD40" i="67"/>
  <c r="AD11" i="119"/>
  <c r="AC11" i="68"/>
  <c r="AC6"/>
  <c r="AC36" i="67"/>
  <c r="AD31" i="71"/>
  <c r="AC41" i="120"/>
  <c r="AD25" i="63"/>
  <c r="AD18" i="119"/>
  <c r="AD22" i="120"/>
  <c r="AC44" i="68"/>
  <c r="AC45"/>
  <c r="AC11" i="119"/>
  <c r="AD29" i="71"/>
  <c r="AC29" i="120"/>
  <c r="AD26"/>
  <c r="AD10" i="119"/>
  <c r="AC25" i="67"/>
  <c r="AD25" i="68"/>
  <c r="AC37" i="119"/>
  <c r="AC10" i="68"/>
  <c r="AC39" i="67"/>
  <c r="AC7" i="64"/>
  <c r="AD27" i="67"/>
  <c r="AC39" i="71"/>
  <c r="AD15" i="64"/>
  <c r="AD24" i="63"/>
  <c r="AD28" i="68"/>
  <c r="AC34" i="119"/>
  <c r="AC16" i="64"/>
  <c r="AC26"/>
  <c r="AC31" i="67"/>
  <c r="AD28" i="64"/>
  <c r="AD16" i="68"/>
  <c r="AD33" i="64"/>
  <c r="AD32" i="68"/>
  <c r="AD13" i="119"/>
  <c r="AC33" i="64"/>
  <c r="AC6"/>
  <c r="AD13"/>
  <c r="AG17" i="137" l="1"/>
  <c r="AG35"/>
  <c r="AG37"/>
  <c r="AG21"/>
  <c r="AG46"/>
  <c r="AG51"/>
  <c r="AG45"/>
  <c r="AG29"/>
  <c r="AG13"/>
  <c r="AG30"/>
  <c r="AG49"/>
  <c r="AG33"/>
  <c r="AG42"/>
  <c r="AG41"/>
  <c r="AG25"/>
  <c r="AG50"/>
  <c r="AG26"/>
  <c r="AG14"/>
  <c r="AG34"/>
  <c r="AG18"/>
  <c r="AG43"/>
  <c r="AG38"/>
  <c r="AG22"/>
  <c r="AG47"/>
  <c r="AG27"/>
  <c r="AG52"/>
  <c r="AG19"/>
  <c r="AG44"/>
  <c r="AG39"/>
  <c r="AG31"/>
  <c r="AG23"/>
  <c r="AG15"/>
  <c r="AG48"/>
  <c r="AG40"/>
  <c r="AG36"/>
  <c r="AG24"/>
  <c r="AG28"/>
  <c r="AG32"/>
  <c r="AG20"/>
  <c r="AG16"/>
  <c r="Y75" i="175"/>
  <c r="BS20" i="162" l="1"/>
  <c r="BS24"/>
  <c r="BS28"/>
  <c r="BS32"/>
  <c r="BS36"/>
  <c r="BS40"/>
  <c r="BS44"/>
  <c r="BS48"/>
  <c r="BS52"/>
  <c r="BS56"/>
  <c r="BS19"/>
  <c r="BS23"/>
  <c r="BS27"/>
  <c r="BS31"/>
  <c r="BS35"/>
  <c r="BS39"/>
  <c r="BS43"/>
  <c r="BS47"/>
  <c r="BS51"/>
  <c r="BS55"/>
  <c r="BS59"/>
  <c r="BS22"/>
  <c r="BS26"/>
  <c r="BS30"/>
  <c r="BS34"/>
  <c r="BS38"/>
  <c r="BS42"/>
  <c r="BS46"/>
  <c r="BS50"/>
  <c r="BS54"/>
  <c r="BS58"/>
  <c r="BS21"/>
  <c r="BS25"/>
  <c r="BS29"/>
  <c r="BS33"/>
  <c r="BS37"/>
  <c r="BS41"/>
  <c r="BS45"/>
  <c r="BS49"/>
  <c r="BS53"/>
  <c r="BS57"/>
  <c r="BT20"/>
  <c r="BT24"/>
  <c r="BT28"/>
  <c r="BT32"/>
  <c r="BT36"/>
  <c r="BT40"/>
  <c r="BT44"/>
  <c r="BT48"/>
  <c r="BT52"/>
  <c r="BT56"/>
  <c r="BT21"/>
  <c r="BT25"/>
  <c r="BT29"/>
  <c r="BT33"/>
  <c r="BT37"/>
  <c r="BT41"/>
  <c r="BT45"/>
  <c r="BT49"/>
  <c r="BT53"/>
  <c r="BT57"/>
  <c r="BT22"/>
  <c r="BT26"/>
  <c r="BT30"/>
  <c r="BT34"/>
  <c r="BT38"/>
  <c r="BT42"/>
  <c r="BT46"/>
  <c r="BT50"/>
  <c r="BT54"/>
  <c r="BT58"/>
  <c r="BT19"/>
  <c r="BT23"/>
  <c r="BT27"/>
  <c r="BT31"/>
  <c r="BT35"/>
  <c r="BT39"/>
  <c r="BT43"/>
  <c r="BT47"/>
  <c r="BT51"/>
  <c r="BT55"/>
  <c r="BT59"/>
  <c r="I75" i="175"/>
  <c r="AR75"/>
  <c r="T75"/>
  <c r="Y42" i="140"/>
  <c r="AO76" i="175"/>
  <c r="Y30" i="140"/>
  <c r="Y36"/>
  <c r="Y39"/>
  <c r="Y26"/>
  <c r="Y14"/>
  <c r="AG75" i="175"/>
  <c r="Y45" i="140"/>
  <c r="Y15"/>
  <c r="Y23"/>
  <c r="AS76" i="175"/>
  <c r="AC75"/>
  <c r="AS75"/>
  <c r="AG76"/>
  <c r="AN75"/>
  <c r="AT75"/>
  <c r="Y34" i="140"/>
  <c r="AB75" i="175"/>
  <c r="L76"/>
  <c r="L75"/>
  <c r="Y20" i="140"/>
  <c r="Y31"/>
  <c r="Y6"/>
  <c r="Y10"/>
  <c r="AF75" i="175"/>
  <c r="AK76"/>
  <c r="AD75"/>
  <c r="AJ75"/>
  <c r="Y19" i="140"/>
  <c r="Y76" i="175"/>
  <c r="H76"/>
  <c r="Y18" i="140"/>
  <c r="Y294" i="175"/>
  <c r="AO75"/>
  <c r="Y5" i="140"/>
  <c r="U75" i="175"/>
  <c r="AC76"/>
  <c r="Y43" i="140"/>
  <c r="Y11"/>
  <c r="Y40"/>
  <c r="Y27"/>
  <c r="Y22"/>
  <c r="X75" i="175"/>
  <c r="M75"/>
  <c r="Y35" i="140"/>
  <c r="AK75" i="175"/>
  <c r="H75"/>
  <c r="P76"/>
  <c r="AP75"/>
  <c r="V75"/>
  <c r="P75"/>
  <c r="Y28" i="140"/>
  <c r="Q75" i="175"/>
  <c r="AL75"/>
  <c r="Y38" i="140"/>
  <c r="Y7"/>
  <c r="Y44"/>
  <c r="Y767" i="175" l="1"/>
  <c r="V44" i="189" s="1"/>
  <c r="T49" i="162"/>
  <c r="T33"/>
  <c r="T23" l="1"/>
  <c r="T32"/>
  <c r="T37"/>
  <c r="T50"/>
  <c r="T39"/>
  <c r="T22"/>
  <c r="T43"/>
  <c r="T25"/>
  <c r="T52"/>
  <c r="T44"/>
  <c r="T30"/>
  <c r="T51"/>
  <c r="T40"/>
  <c r="T34"/>
  <c r="T54"/>
  <c r="T57"/>
  <c r="T45"/>
  <c r="T42"/>
  <c r="T31"/>
  <c r="T27"/>
  <c r="T48"/>
  <c r="T36"/>
  <c r="T28"/>
  <c r="T53"/>
  <c r="T35"/>
  <c r="T24"/>
  <c r="T55"/>
  <c r="T26"/>
  <c r="T58"/>
  <c r="T47"/>
  <c r="T20"/>
  <c r="T38"/>
  <c r="T59"/>
  <c r="T41"/>
  <c r="T29"/>
  <c r="T21"/>
  <c r="T46"/>
  <c r="T56"/>
  <c r="BL23" i="165" l="1"/>
  <c r="BL24"/>
  <c r="N9" i="58"/>
  <c r="M9" s="1"/>
  <c r="N10"/>
  <c r="M10" s="1"/>
  <c r="BL26" i="165" l="1"/>
  <c r="BL25"/>
  <c r="N12" i="58"/>
  <c r="M12" s="1"/>
  <c r="N11"/>
  <c r="M11" s="1"/>
  <c r="BL30" i="165" l="1"/>
  <c r="BL34"/>
  <c r="BL38"/>
  <c r="BL42"/>
  <c r="BL46"/>
  <c r="BL50"/>
  <c r="BL54"/>
  <c r="BL58"/>
  <c r="BL28"/>
  <c r="BL36"/>
  <c r="BL44"/>
  <c r="BL52"/>
  <c r="BL27"/>
  <c r="BL35"/>
  <c r="BL43"/>
  <c r="BL51"/>
  <c r="BL59"/>
  <c r="BL29"/>
  <c r="BL33"/>
  <c r="BL37"/>
  <c r="BL41"/>
  <c r="BL45"/>
  <c r="BL49"/>
  <c r="BL53"/>
  <c r="BL57"/>
  <c r="BL32"/>
  <c r="BL40"/>
  <c r="BL48"/>
  <c r="BL56"/>
  <c r="BL31"/>
  <c r="BL39"/>
  <c r="BL47"/>
  <c r="BL55"/>
  <c r="N16" i="58"/>
  <c r="M16" s="1"/>
  <c r="N20"/>
  <c r="M20" s="1"/>
  <c r="N24"/>
  <c r="M24" s="1"/>
  <c r="N28"/>
  <c r="M28" s="1"/>
  <c r="N32"/>
  <c r="M32" s="1"/>
  <c r="N36"/>
  <c r="M36" s="1"/>
  <c r="N40"/>
  <c r="M40" s="1"/>
  <c r="N44"/>
  <c r="M44" s="1"/>
  <c r="N14"/>
  <c r="M14" s="1"/>
  <c r="N18"/>
  <c r="M18" s="1"/>
  <c r="N26"/>
  <c r="M26" s="1"/>
  <c r="N34"/>
  <c r="M34" s="1"/>
  <c r="N42"/>
  <c r="M42" s="1"/>
  <c r="N13"/>
  <c r="M13" s="1"/>
  <c r="N17"/>
  <c r="M17" s="1"/>
  <c r="N21"/>
  <c r="M21" s="1"/>
  <c r="N25"/>
  <c r="M25" s="1"/>
  <c r="N29"/>
  <c r="M29" s="1"/>
  <c r="N33"/>
  <c r="M33" s="1"/>
  <c r="N37"/>
  <c r="M37" s="1"/>
  <c r="N41"/>
  <c r="M41" s="1"/>
  <c r="N45"/>
  <c r="M45" s="1"/>
  <c r="N15"/>
  <c r="M15" s="1"/>
  <c r="N19"/>
  <c r="M19" s="1"/>
  <c r="N23"/>
  <c r="M23" s="1"/>
  <c r="N27"/>
  <c r="M27" s="1"/>
  <c r="N31"/>
  <c r="M31" s="1"/>
  <c r="N35"/>
  <c r="M35" s="1"/>
  <c r="N39"/>
  <c r="M39" s="1"/>
  <c r="N43"/>
  <c r="M43" s="1"/>
  <c r="N22"/>
  <c r="M22" s="1"/>
  <c r="N30"/>
  <c r="M30" s="1"/>
  <c r="N38"/>
  <c r="M38" s="1"/>
  <c r="BL20" i="165" l="1"/>
  <c r="AR5" i="76" l="1"/>
  <c r="R70" i="175"/>
  <c r="S68"/>
  <c r="T291"/>
  <c r="AI422"/>
  <c r="AQ294"/>
  <c r="M77"/>
  <c r="J68"/>
  <c r="AJ293"/>
  <c r="R66"/>
  <c r="X298"/>
  <c r="N418"/>
  <c r="AK290"/>
  <c r="Y80"/>
  <c r="Y25" i="67"/>
  <c r="AG78" i="175"/>
  <c r="AB295"/>
  <c r="I409"/>
  <c r="K297"/>
  <c r="AD76"/>
  <c r="AL299"/>
  <c r="AI74"/>
  <c r="Y21" i="64"/>
  <c r="AD80" i="175"/>
  <c r="AT287"/>
  <c r="Y6" i="64"/>
  <c r="AF410" i="175"/>
  <c r="AQ66"/>
  <c r="AD421"/>
  <c r="AA68"/>
  <c r="AR420"/>
  <c r="L79"/>
  <c r="Z78"/>
  <c r="AJ79"/>
  <c r="O413"/>
  <c r="AQ290"/>
  <c r="AS424"/>
  <c r="AL67"/>
  <c r="H67"/>
  <c r="H421"/>
  <c r="AQ67"/>
  <c r="X69"/>
  <c r="AS285"/>
  <c r="AO409"/>
  <c r="AC294"/>
  <c r="M284"/>
  <c r="Y26" i="64"/>
  <c r="AB417" i="175"/>
  <c r="W69"/>
  <c r="AP79"/>
  <c r="Q66"/>
  <c r="AQ68"/>
  <c r="Z421"/>
  <c r="AR69"/>
  <c r="R297"/>
  <c r="AM415"/>
  <c r="Y22" i="71"/>
  <c r="AJ161" i="175"/>
  <c r="W75"/>
  <c r="AB422"/>
  <c r="H77"/>
  <c r="AT299"/>
  <c r="Z420"/>
  <c r="AS409"/>
  <c r="AT297"/>
  <c r="L77"/>
  <c r="AT293"/>
  <c r="W66"/>
  <c r="AP421"/>
  <c r="J286"/>
  <c r="Y17" i="64"/>
  <c r="R160" i="175"/>
  <c r="AE299"/>
  <c r="AH424"/>
  <c r="AB78"/>
  <c r="AI77"/>
  <c r="I297"/>
  <c r="R78"/>
  <c r="AG289"/>
  <c r="AO288"/>
  <c r="AA293"/>
  <c r="U71"/>
  <c r="R417"/>
  <c r="H28" i="60"/>
  <c r="AO296" i="175"/>
  <c r="W421"/>
  <c r="AM69"/>
  <c r="P65"/>
  <c r="L74"/>
  <c r="O66"/>
  <c r="H294"/>
  <c r="J423"/>
  <c r="Y39" i="68"/>
  <c r="Z69" i="175"/>
  <c r="AI75"/>
  <c r="AC79"/>
  <c r="V67"/>
  <c r="N294"/>
  <c r="Y41" i="71"/>
  <c r="AJ286" i="175"/>
  <c r="S298"/>
  <c r="AB424"/>
  <c r="G299"/>
  <c r="S286"/>
  <c r="O409"/>
  <c r="AI417"/>
  <c r="AC72"/>
  <c r="AK422"/>
  <c r="AD295"/>
  <c r="H296"/>
  <c r="AT67"/>
  <c r="L288"/>
  <c r="AN77"/>
  <c r="Y7" i="71"/>
  <c r="S287" i="175"/>
  <c r="AC74"/>
  <c r="J160"/>
  <c r="I70"/>
  <c r="AP412"/>
  <c r="P69"/>
  <c r="V418"/>
  <c r="AL74"/>
  <c r="Y18" i="67"/>
  <c r="V73" i="175"/>
  <c r="K287"/>
  <c r="AM286"/>
  <c r="AM67"/>
  <c r="Y288"/>
  <c r="Z68"/>
  <c r="AK298"/>
  <c r="AP420"/>
  <c r="AG161"/>
  <c r="M65"/>
  <c r="AE72"/>
  <c r="AL295"/>
  <c r="AM420"/>
  <c r="X71"/>
  <c r="AE80"/>
  <c r="AJ77"/>
  <c r="AN423"/>
  <c r="AO161"/>
  <c r="AO420"/>
  <c r="S75"/>
  <c r="H422"/>
  <c r="H295"/>
  <c r="Y37" i="140"/>
  <c r="V76" i="175"/>
  <c r="L416"/>
  <c r="O69"/>
  <c r="AR421"/>
  <c r="AQ292"/>
  <c r="AT69"/>
  <c r="U424"/>
  <c r="AJ410"/>
  <c r="M293"/>
  <c r="Q415"/>
  <c r="AP416"/>
  <c r="S77"/>
  <c r="Y40" i="71"/>
  <c r="AH292" i="175"/>
  <c r="L70"/>
  <c r="AB292"/>
  <c r="K67"/>
  <c r="H288"/>
  <c r="AD69"/>
  <c r="P413"/>
  <c r="AI73"/>
  <c r="AH75"/>
  <c r="AL412"/>
  <c r="R69"/>
  <c r="W290"/>
  <c r="M69"/>
  <c r="N416"/>
  <c r="AT292"/>
  <c r="K65"/>
  <c r="AN293"/>
  <c r="AO73"/>
  <c r="N77"/>
  <c r="R161"/>
  <c r="O289"/>
  <c r="I420"/>
  <c r="P423"/>
  <c r="T70"/>
  <c r="AG79"/>
  <c r="AD285"/>
  <c r="AB416"/>
  <c r="Y291"/>
  <c r="AK297"/>
  <c r="Z417"/>
  <c r="N78"/>
  <c r="Y410"/>
  <c r="AI409"/>
  <c r="AD292"/>
  <c r="Y21" i="67"/>
  <c r="G418" i="175"/>
  <c r="S288"/>
  <c r="AM74"/>
  <c r="AL71"/>
  <c r="AN294"/>
  <c r="O79"/>
  <c r="AR160"/>
  <c r="P71"/>
  <c r="AM73"/>
  <c r="U292"/>
  <c r="M80"/>
  <c r="T417"/>
  <c r="V286"/>
  <c r="AA422"/>
  <c r="Y24" i="140"/>
  <c r="AN414" i="175"/>
  <c r="V416"/>
  <c r="K284"/>
  <c r="AD71"/>
  <c r="AS77"/>
  <c r="I415"/>
  <c r="Y27" i="68"/>
  <c r="Y409" i="175"/>
  <c r="AL415"/>
  <c r="Z67"/>
  <c r="AK296"/>
  <c r="Z160"/>
  <c r="AA75"/>
  <c r="AR299"/>
  <c r="AA299"/>
  <c r="L292"/>
  <c r="AT418"/>
  <c r="K418"/>
  <c r="O72"/>
  <c r="Y295"/>
  <c r="AF68"/>
  <c r="AH417"/>
  <c r="G410"/>
  <c r="J291"/>
  <c r="G291"/>
  <c r="AL298"/>
  <c r="Y34" i="68"/>
  <c r="AF411" i="175"/>
  <c r="L411"/>
  <c r="AG287"/>
  <c r="X297"/>
  <c r="Y28" i="64"/>
  <c r="K161" i="175"/>
  <c r="G73"/>
  <c r="Y13" i="71"/>
  <c r="AB423" i="175"/>
  <c r="AJ78"/>
  <c r="G65"/>
  <c r="M422"/>
  <c r="Y296"/>
  <c r="W424"/>
  <c r="AI290"/>
  <c r="AG295"/>
  <c r="W285"/>
  <c r="P421"/>
  <c r="I424"/>
  <c r="AA80"/>
  <c r="N411"/>
  <c r="AK72"/>
  <c r="AE79"/>
  <c r="S297"/>
  <c r="U418"/>
  <c r="AO289"/>
  <c r="Y16" i="140"/>
  <c r="J415" i="175"/>
  <c r="AA409"/>
  <c r="Y38" i="71"/>
  <c r="AB290" i="175"/>
  <c r="AM294"/>
  <c r="AS289"/>
  <c r="I72"/>
  <c r="G289"/>
  <c r="H73"/>
  <c r="AT415"/>
  <c r="AD415"/>
  <c r="J71"/>
  <c r="W293"/>
  <c r="U70"/>
  <c r="AL414"/>
  <c r="K413"/>
  <c r="AD290"/>
  <c r="N410"/>
  <c r="AE409"/>
  <c r="AR80"/>
  <c r="AC416"/>
  <c r="AF417"/>
  <c r="AQ287"/>
  <c r="Y14" i="71"/>
  <c r="Q418" i="175"/>
  <c r="Y71"/>
  <c r="V69"/>
  <c r="V72"/>
  <c r="Q298"/>
  <c r="G290"/>
  <c r="Y12" i="140"/>
  <c r="AT74" i="175"/>
  <c r="AO419"/>
  <c r="T411"/>
  <c r="Y17" i="71"/>
  <c r="AF292" i="175"/>
  <c r="K79"/>
  <c r="AP161"/>
  <c r="J72"/>
  <c r="AN68"/>
  <c r="AE160"/>
  <c r="U74"/>
  <c r="AO68"/>
  <c r="AJ69"/>
  <c r="W420"/>
  <c r="H298"/>
  <c r="O68"/>
  <c r="Y28" i="71"/>
  <c r="AQ412" i="175"/>
  <c r="W410"/>
  <c r="K411"/>
  <c r="Y412"/>
  <c r="AG417"/>
  <c r="AD65"/>
  <c r="Y6" i="68"/>
  <c r="P70" i="175"/>
  <c r="P284"/>
  <c r="Y35" i="67"/>
  <c r="Y66" i="175"/>
  <c r="AS296"/>
  <c r="X292"/>
  <c r="AD296"/>
  <c r="Y14" i="68"/>
  <c r="AR409" i="175"/>
  <c r="AG410"/>
  <c r="P79"/>
  <c r="AH290"/>
  <c r="AE410"/>
  <c r="AF67"/>
  <c r="Q160"/>
  <c r="N74"/>
  <c r="Y18" i="71"/>
  <c r="J74" i="175"/>
  <c r="AF421"/>
  <c r="Q73"/>
  <c r="O73"/>
  <c r="AT72"/>
  <c r="AJ67"/>
  <c r="AR293"/>
  <c r="I67"/>
  <c r="J418"/>
  <c r="V74"/>
  <c r="V296"/>
  <c r="W419"/>
  <c r="O423"/>
  <c r="AP66"/>
  <c r="AA423"/>
  <c r="AA421"/>
  <c r="R414"/>
  <c r="AR422"/>
  <c r="AT71"/>
  <c r="X77"/>
  <c r="AE65"/>
  <c r="L28" i="60"/>
  <c r="AJ66" i="175"/>
  <c r="V70"/>
  <c r="Y284"/>
  <c r="Y72"/>
  <c r="H68"/>
  <c r="AB414"/>
  <c r="I74"/>
  <c r="X410"/>
  <c r="AG422"/>
  <c r="AD418"/>
  <c r="AB410"/>
  <c r="AC422"/>
  <c r="Y5" i="67"/>
  <c r="AS71" i="175"/>
  <c r="AR295"/>
  <c r="W417"/>
  <c r="Y29" i="140"/>
  <c r="AL297" i="175"/>
  <c r="S412"/>
  <c r="AI416"/>
  <c r="AO422"/>
  <c r="AN76"/>
  <c r="L71"/>
  <c r="AG69"/>
  <c r="AL422"/>
  <c r="AN417"/>
  <c r="AI72"/>
  <c r="Y422"/>
  <c r="R421"/>
  <c r="AA67"/>
  <c r="AN71"/>
  <c r="Y44" i="64"/>
  <c r="AN161" i="175"/>
  <c r="G71"/>
  <c r="Z74"/>
  <c r="AK295"/>
  <c r="U284"/>
  <c r="R294"/>
  <c r="W77"/>
  <c r="AT422"/>
  <c r="AQ76"/>
  <c r="Y29" i="64"/>
  <c r="M296" i="175"/>
  <c r="AF424"/>
  <c r="J295"/>
  <c r="N67"/>
  <c r="AJ73"/>
  <c r="AL160"/>
  <c r="M420"/>
  <c r="S67"/>
  <c r="S284"/>
  <c r="AH294"/>
  <c r="Y419"/>
  <c r="N414"/>
  <c r="J161"/>
  <c r="R79"/>
  <c r="AR298"/>
  <c r="AC287"/>
  <c r="T161"/>
  <c r="S415"/>
  <c r="AQ297"/>
  <c r="AK65"/>
  <c r="Y32" i="140"/>
  <c r="G296" i="175"/>
  <c r="AB418"/>
  <c r="AB419"/>
  <c r="I161"/>
  <c r="O284"/>
  <c r="U409"/>
  <c r="AB79"/>
  <c r="AN160"/>
  <c r="AM409"/>
  <c r="AP289"/>
  <c r="X285"/>
  <c r="M414"/>
  <c r="S409"/>
  <c r="R415"/>
  <c r="AG420"/>
  <c r="Y34" i="71"/>
  <c r="AA418" i="175"/>
  <c r="X415"/>
  <c r="AF415"/>
  <c r="X409"/>
  <c r="Z71"/>
  <c r="AD419"/>
  <c r="AD417"/>
  <c r="AO72"/>
  <c r="L424"/>
  <c r="R287"/>
  <c r="M297"/>
  <c r="Q65"/>
  <c r="AD411"/>
  <c r="J298"/>
  <c r="S295"/>
  <c r="Y42" i="71"/>
  <c r="I293" i="175"/>
  <c r="AJ294"/>
  <c r="AK420"/>
  <c r="Y42" i="67"/>
  <c r="O291" i="175"/>
  <c r="AA298"/>
  <c r="AJ70"/>
  <c r="AR411"/>
  <c r="AR77"/>
  <c r="Y22" i="67"/>
  <c r="AG299" i="175"/>
  <c r="AA74"/>
  <c r="AO69"/>
  <c r="AG292"/>
  <c r="AG298"/>
  <c r="Y30" i="68"/>
  <c r="Z161" i="175"/>
  <c r="AR410"/>
  <c r="L418"/>
  <c r="AH285"/>
  <c r="AH409"/>
  <c r="Y16" i="71"/>
  <c r="AC290" i="175"/>
  <c r="Y11" i="68"/>
  <c r="S419" i="175"/>
  <c r="AG297"/>
  <c r="AJ291"/>
  <c r="N65"/>
  <c r="O298"/>
  <c r="N295"/>
  <c r="Y32" i="64"/>
  <c r="AQ286" i="175"/>
  <c r="O77"/>
  <c r="AQ415"/>
  <c r="N284"/>
  <c r="AQ72"/>
  <c r="O290"/>
  <c r="J288"/>
  <c r="AC299"/>
  <c r="P73"/>
  <c r="AP293"/>
  <c r="X67"/>
  <c r="AI411"/>
  <c r="Y30" i="67"/>
  <c r="AJ284" i="175"/>
  <c r="AF419"/>
  <c r="Y34" i="67"/>
  <c r="AH414" i="175"/>
  <c r="AG284"/>
  <c r="AI289"/>
  <c r="AI413"/>
  <c r="M417"/>
  <c r="M411"/>
  <c r="W289"/>
  <c r="X293"/>
  <c r="AM79"/>
  <c r="Q411"/>
  <c r="AA71"/>
  <c r="J417"/>
  <c r="AT291"/>
  <c r="AR294"/>
  <c r="H80"/>
  <c r="Y414"/>
  <c r="P74"/>
  <c r="P66"/>
  <c r="AS412"/>
  <c r="AE414"/>
  <c r="Q423"/>
  <c r="AJ421"/>
  <c r="AO292"/>
  <c r="AO65"/>
  <c r="I292"/>
  <c r="K286"/>
  <c r="AK418"/>
  <c r="AF414"/>
  <c r="V422"/>
  <c r="R412"/>
  <c r="T420"/>
  <c r="AG285"/>
  <c r="AL66"/>
  <c r="O65"/>
  <c r="AK294"/>
  <c r="AD293"/>
  <c r="M292"/>
  <c r="K416"/>
  <c r="V288"/>
  <c r="Z414"/>
  <c r="AQ288"/>
  <c r="I69"/>
  <c r="K80"/>
  <c r="AS411"/>
  <c r="X161"/>
  <c r="AD424"/>
  <c r="AR72"/>
  <c r="I412"/>
  <c r="AI293"/>
  <c r="K293"/>
  <c r="AH67"/>
  <c r="Y65"/>
  <c r="AT414"/>
  <c r="Y8" i="68"/>
  <c r="AN295" i="175"/>
  <c r="AR419"/>
  <c r="Q80"/>
  <c r="G75"/>
  <c r="AI70"/>
  <c r="M291"/>
  <c r="AE417"/>
  <c r="AS288"/>
  <c r="AK69"/>
  <c r="AQ420"/>
  <c r="N297"/>
  <c r="N420"/>
  <c r="K76"/>
  <c r="N80"/>
  <c r="AM160"/>
  <c r="AI421"/>
  <c r="AM416"/>
  <c r="AH295"/>
  <c r="AE419"/>
  <c r="AS294"/>
  <c r="U288"/>
  <c r="S416"/>
  <c r="Y17" i="67"/>
  <c r="U421" i="175"/>
  <c r="U73"/>
  <c r="N289"/>
  <c r="AC417"/>
  <c r="Y14" i="64"/>
  <c r="I285" i="175"/>
  <c r="Y293"/>
  <c r="AN297"/>
  <c r="W416"/>
  <c r="T422"/>
  <c r="AL290"/>
  <c r="L285"/>
  <c r="Y24" i="71"/>
  <c r="AD416" i="175"/>
  <c r="AM284"/>
  <c r="Z70"/>
  <c r="P160"/>
  <c r="R285"/>
  <c r="AL78"/>
  <c r="P419"/>
  <c r="S417"/>
  <c r="AJ414"/>
  <c r="F28" i="60"/>
  <c r="R292" i="175"/>
  <c r="R424"/>
  <c r="O161"/>
  <c r="AK288"/>
  <c r="I77"/>
  <c r="AJ419"/>
  <c r="L286"/>
  <c r="X68"/>
  <c r="S418"/>
  <c r="G414"/>
  <c r="AP67"/>
  <c r="AJ417"/>
  <c r="O416"/>
  <c r="AR284"/>
  <c r="R419"/>
  <c r="Y23" i="64"/>
  <c r="Y13" i="67"/>
  <c r="AT161" i="175"/>
  <c r="AB299"/>
  <c r="AC411"/>
  <c r="H417"/>
  <c r="Y10" i="71"/>
  <c r="Z73" i="175"/>
  <c r="U419"/>
  <c r="V419"/>
  <c r="AB420"/>
  <c r="AG71"/>
  <c r="K74"/>
  <c r="AD286"/>
  <c r="AE286"/>
  <c r="Z292"/>
  <c r="AT410"/>
  <c r="Z424"/>
  <c r="Y18" i="68"/>
  <c r="AN284" i="175"/>
  <c r="Y9" i="140"/>
  <c r="H71" i="175"/>
  <c r="O288"/>
  <c r="AP160"/>
  <c r="H69"/>
  <c r="O286"/>
  <c r="AR413"/>
  <c r="Y32" i="71"/>
  <c r="AS420" i="175"/>
  <c r="R295"/>
  <c r="AD294"/>
  <c r="Q289"/>
  <c r="AP72"/>
  <c r="AP418"/>
  <c r="AC412"/>
  <c r="M74"/>
  <c r="V423"/>
  <c r="Y44" i="71"/>
  <c r="AP288" i="175"/>
  <c r="AT420"/>
  <c r="R416"/>
  <c r="Z294"/>
  <c r="AS416"/>
  <c r="I73"/>
  <c r="AL76"/>
  <c r="Y29" i="71"/>
  <c r="AI65" i="175"/>
  <c r="G295"/>
  <c r="AS292"/>
  <c r="P161"/>
  <c r="M70"/>
  <c r="Y7" i="67"/>
  <c r="U297" i="175"/>
  <c r="U415"/>
  <c r="T423"/>
  <c r="K291"/>
  <c r="W70"/>
  <c r="AD74"/>
  <c r="Y25" i="64"/>
  <c r="AP78" i="175"/>
  <c r="Y285"/>
  <c r="AF296"/>
  <c r="AA414"/>
  <c r="AI414"/>
  <c r="AQ410"/>
  <c r="G409"/>
  <c r="G284"/>
  <c r="AN285"/>
  <c r="L68"/>
  <c r="K160"/>
  <c r="AM291"/>
  <c r="I421"/>
  <c r="AP286"/>
  <c r="AH77"/>
  <c r="AO416"/>
  <c r="AF295"/>
  <c r="P288"/>
  <c r="AL410"/>
  <c r="AM293"/>
  <c r="Q286"/>
  <c r="AM424"/>
  <c r="AL296"/>
  <c r="Y15" i="67"/>
  <c r="Y36" i="68"/>
  <c r="AH80" i="175"/>
  <c r="AP409"/>
  <c r="U410"/>
  <c r="X294"/>
  <c r="AR79"/>
  <c r="AK70"/>
  <c r="AR296"/>
  <c r="AI298"/>
  <c r="AQ416"/>
  <c r="AP295"/>
  <c r="AS161"/>
  <c r="AK412"/>
  <c r="Y287"/>
  <c r="I296"/>
  <c r="K298"/>
  <c r="Y31" i="64"/>
  <c r="Y40" i="68"/>
  <c r="P410" i="175"/>
  <c r="AP68"/>
  <c r="AM299"/>
  <c r="P78"/>
  <c r="AK410"/>
  <c r="AM161"/>
  <c r="S292"/>
  <c r="Q287"/>
  <c r="N70"/>
  <c r="W160"/>
  <c r="G297"/>
  <c r="O417"/>
  <c r="AF422"/>
  <c r="K409"/>
  <c r="Q417"/>
  <c r="AA77"/>
  <c r="AH69"/>
  <c r="AQ299"/>
  <c r="AP299"/>
  <c r="AC297"/>
  <c r="T419"/>
  <c r="O67"/>
  <c r="AC286"/>
  <c r="AL287"/>
  <c r="AQ298"/>
  <c r="AO291"/>
  <c r="O76"/>
  <c r="Y38" i="67"/>
  <c r="R72" i="175"/>
  <c r="V409"/>
  <c r="AK78"/>
  <c r="J80"/>
  <c r="X423"/>
  <c r="AP285"/>
  <c r="Y21" i="140"/>
  <c r="Y43" i="71"/>
  <c r="I414" i="175"/>
  <c r="N419"/>
  <c r="AA415"/>
  <c r="G420"/>
  <c r="L420"/>
  <c r="AJ412"/>
  <c r="M419"/>
  <c r="Y24" i="67"/>
  <c r="AE295" i="175"/>
  <c r="Y67"/>
  <c r="AB287"/>
  <c r="P422"/>
  <c r="T287"/>
  <c r="Z412"/>
  <c r="AC285"/>
  <c r="AD284"/>
  <c r="V412"/>
  <c r="AC418"/>
  <c r="P418"/>
  <c r="T65"/>
  <c r="AL70"/>
  <c r="AC296"/>
  <c r="U68"/>
  <c r="AM285"/>
  <c r="H287"/>
  <c r="AA424"/>
  <c r="AE161"/>
  <c r="M286"/>
  <c r="AE69"/>
  <c r="Y42" i="68"/>
  <c r="Y26" i="71"/>
  <c r="AB413" i="175"/>
  <c r="AF286"/>
  <c r="N409"/>
  <c r="AM419"/>
  <c r="S66"/>
  <c r="AF287"/>
  <c r="AM68"/>
  <c r="AF65"/>
  <c r="O412"/>
  <c r="AQ289"/>
  <c r="AD287"/>
  <c r="AT298"/>
  <c r="X412"/>
  <c r="AI296"/>
  <c r="AL294"/>
  <c r="AC65"/>
  <c r="W295"/>
  <c r="AK293"/>
  <c r="AE66"/>
  <c r="AC413"/>
  <c r="Y21" i="71"/>
  <c r="AP417" i="175"/>
  <c r="W411"/>
  <c r="AI423"/>
  <c r="K292"/>
  <c r="H414"/>
  <c r="Y417"/>
  <c r="AR70"/>
  <c r="N413"/>
  <c r="G423"/>
  <c r="J75"/>
  <c r="AB411"/>
  <c r="V65"/>
  <c r="AF77"/>
  <c r="AE71"/>
  <c r="R413"/>
  <c r="AT284"/>
  <c r="AN66"/>
  <c r="I299"/>
  <c r="M68"/>
  <c r="H297"/>
  <c r="U67"/>
  <c r="AO421"/>
  <c r="AA290"/>
  <c r="AL288"/>
  <c r="AS78"/>
  <c r="O80"/>
  <c r="AC420"/>
  <c r="AP292"/>
  <c r="AN411"/>
  <c r="R68"/>
  <c r="AH297"/>
  <c r="AK287"/>
  <c r="AH422"/>
  <c r="AN299"/>
  <c r="U77"/>
  <c r="AF76"/>
  <c r="T296"/>
  <c r="T71"/>
  <c r="AN298"/>
  <c r="X288"/>
  <c r="AD77"/>
  <c r="X413"/>
  <c r="AG70"/>
  <c r="AT76"/>
  <c r="AS295"/>
  <c r="P415"/>
  <c r="AF66"/>
  <c r="AB421"/>
  <c r="AC69"/>
  <c r="Y39" i="67"/>
  <c r="AA65" i="175"/>
  <c r="W284"/>
  <c r="N69"/>
  <c r="AA78"/>
  <c r="AI420"/>
  <c r="AA72"/>
  <c r="W65"/>
  <c r="AK73"/>
  <c r="Y41" i="140"/>
  <c r="W68" i="175"/>
  <c r="AR73"/>
  <c r="U290"/>
  <c r="V285"/>
  <c r="AN420"/>
  <c r="AH288"/>
  <c r="Q78"/>
  <c r="Y25" i="68"/>
  <c r="AS66" i="175"/>
  <c r="AE75"/>
  <c r="AN422"/>
  <c r="AO294"/>
  <c r="K295"/>
  <c r="I418"/>
  <c r="AA285"/>
  <c r="AK414"/>
  <c r="AM295"/>
  <c r="AL65"/>
  <c r="X73"/>
  <c r="X424"/>
  <c r="T409"/>
  <c r="J292"/>
  <c r="AD66"/>
  <c r="O415"/>
  <c r="AI295"/>
  <c r="N75"/>
  <c r="T68"/>
  <c r="AN74"/>
  <c r="AK74"/>
  <c r="L296"/>
  <c r="Y10" i="68"/>
  <c r="T410" i="175"/>
  <c r="AG288"/>
  <c r="X76"/>
  <c r="AL291"/>
  <c r="Z415"/>
  <c r="R73"/>
  <c r="T415"/>
  <c r="AR67"/>
  <c r="AC292"/>
  <c r="AP69"/>
  <c r="Y77"/>
  <c r="Y41" i="64"/>
  <c r="AH421" i="175"/>
  <c r="Y44" i="68"/>
  <c r="AI69" i="175"/>
  <c r="H289"/>
  <c r="AP298"/>
  <c r="K420"/>
  <c r="R67"/>
  <c r="AE76"/>
  <c r="AA286"/>
  <c r="AJ411"/>
  <c r="X411"/>
  <c r="T289"/>
  <c r="AG409"/>
  <c r="W413"/>
  <c r="AD413"/>
  <c r="Y424"/>
  <c r="AE293"/>
  <c r="AO410"/>
  <c r="AG416"/>
  <c r="Y421"/>
  <c r="AI286"/>
  <c r="G412"/>
  <c r="Y33" i="140"/>
  <c r="Q424" i="175"/>
  <c r="Q296"/>
  <c r="L417"/>
  <c r="I65"/>
  <c r="AO78"/>
  <c r="AO297"/>
  <c r="AG412"/>
  <c r="M161"/>
  <c r="O70"/>
  <c r="AO66"/>
  <c r="AE74"/>
  <c r="T297"/>
  <c r="AJ76"/>
  <c r="AC423"/>
  <c r="O74"/>
  <c r="L66"/>
  <c r="Y37" i="68"/>
  <c r="J409" i="175"/>
  <c r="AR286"/>
  <c r="AN290"/>
  <c r="AA284"/>
  <c r="J412"/>
  <c r="AB71"/>
  <c r="J79"/>
  <c r="H416"/>
  <c r="AE77"/>
  <c r="AB409"/>
  <c r="AO71"/>
  <c r="AJ80"/>
  <c r="AO414"/>
  <c r="AB297"/>
  <c r="AJ418"/>
  <c r="S79"/>
  <c r="Y45" i="71"/>
  <c r="L289" i="175"/>
  <c r="AK421"/>
  <c r="Y33" i="68"/>
  <c r="AN421" i="175"/>
  <c r="R423"/>
  <c r="AR418"/>
  <c r="AL411"/>
  <c r="L297"/>
  <c r="S294"/>
  <c r="K77"/>
  <c r="R65"/>
  <c r="AJ424"/>
  <c r="Y9" i="64"/>
  <c r="L419" i="175"/>
  <c r="AN289"/>
  <c r="AT290"/>
  <c r="T160"/>
  <c r="AA411"/>
  <c r="Y25" i="140"/>
  <c r="AF73" i="175"/>
  <c r="I298"/>
  <c r="AI418"/>
  <c r="AE422"/>
  <c r="N285"/>
  <c r="AI294"/>
  <c r="U416"/>
  <c r="AQ161"/>
  <c r="AO290"/>
  <c r="G80"/>
  <c r="AE288"/>
  <c r="V68"/>
  <c r="I287"/>
  <c r="K69"/>
  <c r="Y39" i="64"/>
  <c r="P411" i="175"/>
  <c r="W423"/>
  <c r="AH420"/>
  <c r="AO417"/>
  <c r="AH293"/>
  <c r="W418"/>
  <c r="Y297"/>
  <c r="T292"/>
  <c r="AF80"/>
  <c r="AI160"/>
  <c r="I28" i="60"/>
  <c r="K417" i="175"/>
  <c r="Y43" i="68"/>
  <c r="AF288" i="175"/>
  <c r="S78"/>
  <c r="AD298"/>
  <c r="Y15" i="71"/>
  <c r="T78" i="175"/>
  <c r="V293"/>
  <c r="AP77"/>
  <c r="AS410"/>
  <c r="G72"/>
  <c r="AD289"/>
  <c r="Y44" i="67"/>
  <c r="I411" i="175"/>
  <c r="V160"/>
  <c r="AJ295"/>
  <c r="Y79"/>
  <c r="P292"/>
  <c r="X416"/>
  <c r="N79"/>
  <c r="AK80"/>
  <c r="AA288"/>
  <c r="S420"/>
  <c r="J420"/>
  <c r="L299"/>
  <c r="AK68"/>
  <c r="AA297"/>
  <c r="AB67"/>
  <c r="Q409"/>
  <c r="W299"/>
  <c r="AO295"/>
  <c r="Z299"/>
  <c r="L73"/>
  <c r="K289"/>
  <c r="R420"/>
  <c r="Y32" i="67"/>
  <c r="Y35" i="68"/>
  <c r="Y19"/>
  <c r="H410" i="175"/>
  <c r="M418"/>
  <c r="AS79"/>
  <c r="T295"/>
  <c r="AJ68"/>
  <c r="L421"/>
  <c r="Z290"/>
  <c r="P293"/>
  <c r="Y27" i="71"/>
  <c r="AD67" i="175"/>
  <c r="M413"/>
  <c r="H411"/>
  <c r="AK416"/>
  <c r="M294"/>
  <c r="V79"/>
  <c r="O285"/>
  <c r="AH299"/>
  <c r="AT423"/>
  <c r="Q419"/>
  <c r="S289"/>
  <c r="P417"/>
  <c r="Y13" i="140"/>
  <c r="AB74" i="175"/>
  <c r="V297"/>
  <c r="AJ290"/>
  <c r="AS423"/>
  <c r="AT286"/>
  <c r="AB70"/>
  <c r="Q299"/>
  <c r="AJ415"/>
  <c r="AB69"/>
  <c r="J297"/>
  <c r="H65"/>
  <c r="AA79"/>
  <c r="R289"/>
  <c r="AC66"/>
  <c r="AB293"/>
  <c r="AK299"/>
  <c r="AQ69"/>
  <c r="U79"/>
  <c r="Y26" i="68"/>
  <c r="J67" i="175"/>
  <c r="AK77"/>
  <c r="AQ422"/>
  <c r="M298"/>
  <c r="AL424"/>
  <c r="AM71"/>
  <c r="Y15" i="68"/>
  <c r="Y36" i="67"/>
  <c r="AJ160" i="175"/>
  <c r="Y16" i="67"/>
  <c r="AN78" i="175"/>
  <c r="AL68"/>
  <c r="AS415"/>
  <c r="J66"/>
  <c r="M79"/>
  <c r="AA419"/>
  <c r="L78"/>
  <c r="AR161"/>
  <c r="Z413"/>
  <c r="W73"/>
  <c r="I160"/>
  <c r="W76"/>
  <c r="AB285"/>
  <c r="P297"/>
  <c r="I410"/>
  <c r="S73"/>
  <c r="AH419"/>
  <c r="Y8" i="140"/>
  <c r="AP71" i="175"/>
  <c r="AT77"/>
  <c r="O422"/>
  <c r="AH413"/>
  <c r="AK67"/>
  <c r="U293"/>
  <c r="AH284"/>
  <c r="AN416"/>
  <c r="Y160"/>
  <c r="AI284"/>
  <c r="AR74"/>
  <c r="X419"/>
  <c r="S291"/>
  <c r="AQ293"/>
  <c r="AT424"/>
  <c r="P77"/>
  <c r="AE423"/>
  <c r="Z418"/>
  <c r="S76"/>
  <c r="G288"/>
  <c r="J411"/>
  <c r="AH72"/>
  <c r="AM287"/>
  <c r="U423"/>
  <c r="AC161"/>
  <c r="G285"/>
  <c r="J413"/>
  <c r="W296"/>
  <c r="AL293"/>
  <c r="G286"/>
  <c r="Y27" i="64"/>
  <c r="AT78" i="175"/>
  <c r="Y14" i="67"/>
  <c r="Y9" i="71"/>
  <c r="M424" i="175"/>
  <c r="AH287"/>
  <c r="AD410"/>
  <c r="K68"/>
  <c r="R291"/>
  <c r="Q410"/>
  <c r="N72"/>
  <c r="S70"/>
  <c r="AI288"/>
  <c r="U72"/>
  <c r="AA70"/>
  <c r="AB296"/>
  <c r="Y22" i="64"/>
  <c r="H424" i="175"/>
  <c r="AR66"/>
  <c r="AI287"/>
  <c r="AR65"/>
  <c r="N68"/>
  <c r="AT412"/>
  <c r="AC298"/>
  <c r="AQ70"/>
  <c r="G77"/>
  <c r="AM289"/>
  <c r="V161"/>
  <c r="Y23" i="67"/>
  <c r="N299" i="175"/>
  <c r="W71"/>
  <c r="Y12" i="71"/>
  <c r="AK413" i="175"/>
  <c r="AC424"/>
  <c r="N417"/>
  <c r="V295"/>
  <c r="R296"/>
  <c r="AT79"/>
  <c r="O296"/>
  <c r="Y43" i="67"/>
  <c r="Y9"/>
  <c r="AI78" i="175"/>
  <c r="AT421"/>
  <c r="Y36" i="71"/>
  <c r="AA417" i="175"/>
  <c r="Y5" i="64"/>
  <c r="AN409" i="175"/>
  <c r="L72"/>
  <c r="AL413"/>
  <c r="I78"/>
  <c r="T286"/>
  <c r="AK285"/>
  <c r="AS73"/>
  <c r="AN73"/>
  <c r="AO411"/>
  <c r="Y16" i="64"/>
  <c r="AE289" i="175"/>
  <c r="AC284"/>
  <c r="AL286"/>
  <c r="P286"/>
  <c r="Y13" i="64"/>
  <c r="AA412" i="175"/>
  <c r="AQ409"/>
  <c r="AH291"/>
  <c r="AF290"/>
  <c r="I290"/>
  <c r="U160"/>
  <c r="U289"/>
  <c r="AO423"/>
  <c r="I423"/>
  <c r="Z295"/>
  <c r="V291"/>
  <c r="Y8" i="64"/>
  <c r="AH74" i="175"/>
  <c r="J69"/>
  <c r="I79"/>
  <c r="AB289"/>
  <c r="AI424"/>
  <c r="R286"/>
  <c r="AE67"/>
  <c r="AQ71"/>
  <c r="AN418"/>
  <c r="AM421"/>
  <c r="Z419"/>
  <c r="AT80"/>
  <c r="H293"/>
  <c r="AT417"/>
  <c r="AB415"/>
  <c r="L293"/>
  <c r="AB284"/>
  <c r="H160"/>
  <c r="I66"/>
  <c r="Y12" i="68"/>
  <c r="U411" i="175"/>
  <c r="V421"/>
  <c r="AF297"/>
  <c r="I294"/>
  <c r="AS70"/>
  <c r="O414"/>
  <c r="AA294"/>
  <c r="AE415"/>
  <c r="AP76"/>
  <c r="AN67"/>
  <c r="AT296"/>
  <c r="AC415"/>
  <c r="AB66"/>
  <c r="X289"/>
  <c r="AT409"/>
  <c r="U298"/>
  <c r="AK289"/>
  <c r="S293"/>
  <c r="AI79"/>
  <c r="AM66"/>
  <c r="AC73"/>
  <c r="I286"/>
  <c r="G421"/>
  <c r="AD412"/>
  <c r="AO298"/>
  <c r="AB291"/>
  <c r="AO160"/>
  <c r="K296"/>
  <c r="P414"/>
  <c r="X78"/>
  <c r="AQ79"/>
  <c r="Z287"/>
  <c r="J70"/>
  <c r="L423"/>
  <c r="AA416"/>
  <c r="K28" i="60"/>
  <c r="AR287" i="175"/>
  <c r="U66"/>
  <c r="AS298"/>
  <c r="O287"/>
  <c r="AS414"/>
  <c r="W291"/>
  <c r="O160"/>
  <c r="L414"/>
  <c r="AQ80"/>
  <c r="X421"/>
  <c r="Y78"/>
  <c r="AG74"/>
  <c r="AQ284"/>
  <c r="AT68"/>
  <c r="Q79"/>
  <c r="AG77"/>
  <c r="AB72"/>
  <c r="U294"/>
  <c r="AG68"/>
  <c r="AH68"/>
  <c r="Z411"/>
  <c r="Q70"/>
  <c r="L161"/>
  <c r="X414"/>
  <c r="M409"/>
  <c r="AG293"/>
  <c r="M71"/>
  <c r="AI76"/>
  <c r="AH66"/>
  <c r="AS290"/>
  <c r="Z416"/>
  <c r="AO299"/>
  <c r="Z65"/>
  <c r="S423"/>
  <c r="Y32" i="68"/>
  <c r="AJ416" i="175"/>
  <c r="K414"/>
  <c r="S160"/>
  <c r="AC414"/>
  <c r="Y413"/>
  <c r="AG65"/>
  <c r="AP419"/>
  <c r="AC78"/>
  <c r="Q421"/>
  <c r="AQ78"/>
  <c r="O411"/>
  <c r="M412"/>
  <c r="Y5" i="71"/>
  <c r="O419" i="175"/>
  <c r="L65"/>
  <c r="N293"/>
  <c r="AH79"/>
  <c r="AM410"/>
  <c r="O410"/>
  <c r="AC291"/>
  <c r="G287"/>
  <c r="Y41" i="67"/>
  <c r="K71" i="175"/>
  <c r="H290"/>
  <c r="K285"/>
  <c r="AF418"/>
  <c r="AA289"/>
  <c r="AQ74"/>
  <c r="Y41" i="68"/>
  <c r="AC77" i="175"/>
  <c r="O418"/>
  <c r="AB161"/>
  <c r="AL420"/>
  <c r="AL409"/>
  <c r="Y33" i="71"/>
  <c r="Y29" i="68"/>
  <c r="S422" i="175"/>
  <c r="I295"/>
  <c r="AA295"/>
  <c r="AM412"/>
  <c r="M423"/>
  <c r="AC160"/>
  <c r="AK411"/>
  <c r="AD297"/>
  <c r="AA410"/>
  <c r="V71"/>
  <c r="AB286"/>
  <c r="AE298"/>
  <c r="AM413"/>
  <c r="U413"/>
  <c r="AC409"/>
  <c r="Y70"/>
  <c r="J65"/>
  <c r="AG294"/>
  <c r="R411"/>
  <c r="G66"/>
  <c r="J284"/>
  <c r="AR292"/>
  <c r="V284"/>
  <c r="H418"/>
  <c r="U296"/>
  <c r="R290"/>
  <c r="AF293"/>
  <c r="AB73"/>
  <c r="J410"/>
  <c r="Y10" i="67"/>
  <c r="AN65" i="175"/>
  <c r="I284"/>
  <c r="AL73"/>
  <c r="AM411"/>
  <c r="T414"/>
  <c r="AJ289"/>
  <c r="Y24" i="68"/>
  <c r="U285" i="175"/>
  <c r="AA66"/>
  <c r="X66"/>
  <c r="H74"/>
  <c r="AO77"/>
  <c r="AB298"/>
  <c r="AM290"/>
  <c r="Q291"/>
  <c r="AB294"/>
  <c r="AR414"/>
  <c r="AE292"/>
  <c r="AI161"/>
  <c r="AF71"/>
  <c r="AI291"/>
  <c r="X420"/>
  <c r="Y33" i="64"/>
  <c r="AN70" i="175"/>
  <c r="M295"/>
  <c r="H291"/>
  <c r="AG291"/>
  <c r="AS72"/>
  <c r="P298"/>
  <c r="Q67"/>
  <c r="R293"/>
  <c r="AH415"/>
  <c r="AH286"/>
  <c r="U65"/>
  <c r="Z422"/>
  <c r="J76"/>
  <c r="AC421"/>
  <c r="K75"/>
  <c r="L295"/>
  <c r="AS418"/>
  <c r="AD79"/>
  <c r="AG418"/>
  <c r="AE78"/>
  <c r="S414"/>
  <c r="Y74"/>
  <c r="X284"/>
  <c r="AP287"/>
  <c r="AE412"/>
  <c r="AK419"/>
  <c r="Z297"/>
  <c r="X80"/>
  <c r="AD422"/>
  <c r="U69"/>
  <c r="M410"/>
  <c r="AS293"/>
  <c r="AN415"/>
  <c r="AK160"/>
  <c r="Y31" i="67"/>
  <c r="AJ297" i="175"/>
  <c r="AE416"/>
  <c r="AF160"/>
  <c r="N415"/>
  <c r="AN79"/>
  <c r="U78"/>
  <c r="AK423"/>
  <c r="AL285"/>
  <c r="AQ77"/>
  <c r="T80"/>
  <c r="AD78"/>
  <c r="W72"/>
  <c r="Y28" i="68"/>
  <c r="Q76" i="175"/>
  <c r="Y31" i="68"/>
  <c r="Y6" i="67"/>
  <c r="AN80" i="175"/>
  <c r="Y416"/>
  <c r="S65"/>
  <c r="X290"/>
  <c r="Y286"/>
  <c r="N424"/>
  <c r="AQ421"/>
  <c r="T421"/>
  <c r="P420"/>
  <c r="AS422"/>
  <c r="I413"/>
  <c r="Y12" i="64"/>
  <c r="AQ160" i="175"/>
  <c r="G68"/>
  <c r="R299"/>
  <c r="AM418"/>
  <c r="AM292"/>
  <c r="W79"/>
  <c r="AE70"/>
  <c r="Y27" i="67"/>
  <c r="AA161" i="175"/>
  <c r="AE418"/>
  <c r="Z291"/>
  <c r="AL80"/>
  <c r="J294"/>
  <c r="AN292"/>
  <c r="R288"/>
  <c r="O295"/>
  <c r="P424"/>
  <c r="T416"/>
  <c r="AO415"/>
  <c r="T298"/>
  <c r="S424"/>
  <c r="AF412"/>
  <c r="AO424"/>
  <c r="AP73"/>
  <c r="O420"/>
  <c r="AT289"/>
  <c r="J424"/>
  <c r="AO412"/>
  <c r="N286"/>
  <c r="Y73"/>
  <c r="Y37" i="67"/>
  <c r="AK71" i="175"/>
  <c r="AP413"/>
  <c r="M421"/>
  <c r="AS69"/>
  <c r="R418"/>
  <c r="T79"/>
  <c r="W414"/>
  <c r="AJ422"/>
  <c r="AH418"/>
  <c r="I416"/>
  <c r="M73"/>
  <c r="AT416"/>
  <c r="AK284"/>
  <c r="Q422"/>
  <c r="S411"/>
  <c r="I80"/>
  <c r="AM80"/>
  <c r="I76"/>
  <c r="Y20" i="67"/>
  <c r="Y31" i="71"/>
  <c r="P409" i="175"/>
  <c r="M285"/>
  <c r="AF285"/>
  <c r="S413"/>
  <c r="P80"/>
  <c r="AJ288"/>
  <c r="AO287"/>
  <c r="W297"/>
  <c r="L412"/>
  <c r="AH160"/>
  <c r="AH161"/>
  <c r="Y35" i="64"/>
  <c r="P296" i="175"/>
  <c r="AF74"/>
  <c r="AL418"/>
  <c r="AM422"/>
  <c r="AL421"/>
  <c r="G69"/>
  <c r="O421"/>
  <c r="L410"/>
  <c r="AP80"/>
  <c r="Y18" i="64"/>
  <c r="AN288" i="175"/>
  <c r="AH65"/>
  <c r="M416"/>
  <c r="X72"/>
  <c r="S296"/>
  <c r="AP422"/>
  <c r="N76"/>
  <c r="I68"/>
  <c r="Z288"/>
  <c r="AP424"/>
  <c r="M288"/>
  <c r="AS291"/>
  <c r="AK292"/>
  <c r="AE291"/>
  <c r="AG419"/>
  <c r="H409"/>
  <c r="AC68"/>
  <c r="T74"/>
  <c r="P72"/>
  <c r="L160"/>
  <c r="R410"/>
  <c r="AT419"/>
  <c r="AM298"/>
  <c r="AM423"/>
  <c r="AO80"/>
  <c r="AQ73"/>
  <c r="Y19" i="71"/>
  <c r="J421" i="175"/>
  <c r="AT285"/>
  <c r="J293"/>
  <c r="H415"/>
  <c r="AR71"/>
  <c r="H299"/>
  <c r="Y17" i="140"/>
  <c r="U286" i="175"/>
  <c r="AR424"/>
  <c r="AH73"/>
  <c r="P287"/>
  <c r="T288"/>
  <c r="H412"/>
  <c r="AE285"/>
  <c r="G293"/>
  <c r="Z79"/>
  <c r="Q412"/>
  <c r="X70"/>
  <c r="AE73"/>
  <c r="Y23" i="71"/>
  <c r="W74" i="175"/>
  <c r="AA291"/>
  <c r="AI66"/>
  <c r="H285"/>
  <c r="U299"/>
  <c r="Y20" i="68"/>
  <c r="AD414" i="175"/>
  <c r="M290"/>
  <c r="AA73"/>
  <c r="Y24" i="64"/>
  <c r="AE420" i="175"/>
  <c r="J77"/>
  <c r="AI299"/>
  <c r="R298"/>
  <c r="Y298"/>
  <c r="R75"/>
  <c r="AQ411"/>
  <c r="AD409"/>
  <c r="AC295"/>
  <c r="Y33" i="67"/>
  <c r="AG414" i="175"/>
  <c r="AN291"/>
  <c r="AJ287"/>
  <c r="AJ420"/>
  <c r="W287"/>
  <c r="R422"/>
  <c r="Y6" i="71"/>
  <c r="AT413" i="175"/>
  <c r="AR76"/>
  <c r="Z293"/>
  <c r="AR291"/>
  <c r="U420"/>
  <c r="AQ295"/>
  <c r="V289"/>
  <c r="V298"/>
  <c r="AC293"/>
  <c r="AP74"/>
  <c r="T413"/>
  <c r="X286"/>
  <c r="U291"/>
  <c r="AL77"/>
  <c r="S72"/>
  <c r="AI292"/>
  <c r="I422"/>
  <c r="R80"/>
  <c r="AG413"/>
  <c r="AP291"/>
  <c r="Y290"/>
  <c r="AR78"/>
  <c r="AJ65"/>
  <c r="AF423"/>
  <c r="Z423"/>
  <c r="T67"/>
  <c r="Y15" i="64"/>
  <c r="AO67" i="175"/>
  <c r="J285"/>
  <c r="AM297"/>
  <c r="AR290"/>
  <c r="AH296"/>
  <c r="AQ419"/>
  <c r="W422"/>
  <c r="K73"/>
  <c r="S69"/>
  <c r="Y36" i="64"/>
  <c r="Y9" i="68"/>
  <c r="N422" i="175"/>
  <c r="K410"/>
  <c r="AB412"/>
  <c r="Y30" i="71"/>
  <c r="K423" i="175"/>
  <c r="AG80"/>
  <c r="AJ72"/>
  <c r="W409"/>
  <c r="AQ413"/>
  <c r="AI68"/>
  <c r="T284"/>
  <c r="AF413"/>
  <c r="AN410"/>
  <c r="Y40" i="67"/>
  <c r="AE287" i="175"/>
  <c r="Z77"/>
  <c r="AR412"/>
  <c r="AI71"/>
  <c r="Y43" i="64"/>
  <c r="M66" i="175"/>
  <c r="U412"/>
  <c r="P412"/>
  <c r="AL284"/>
  <c r="Y45" i="64"/>
  <c r="O75" i="175"/>
  <c r="T418"/>
  <c r="AM78"/>
  <c r="W288"/>
  <c r="Y13" i="68"/>
  <c r="AH411" i="175"/>
  <c r="M160"/>
  <c r="X418"/>
  <c r="AB68"/>
  <c r="M287"/>
  <c r="G294"/>
  <c r="U422"/>
  <c r="AJ74"/>
  <c r="AR415"/>
  <c r="H292"/>
  <c r="Y23" i="68"/>
  <c r="N412" i="175"/>
  <c r="Z296"/>
  <c r="M72"/>
  <c r="AE284"/>
  <c r="AO413"/>
  <c r="AM70"/>
  <c r="R409"/>
  <c r="Y28" i="67"/>
  <c r="L291" i="175"/>
  <c r="Q297"/>
  <c r="AK79"/>
  <c r="AM414"/>
  <c r="G419"/>
  <c r="Y26" i="67"/>
  <c r="N160" i="175"/>
  <c r="Z298"/>
  <c r="Y38" i="68"/>
  <c r="O299" i="175"/>
  <c r="AD299"/>
  <c r="L422"/>
  <c r="H419"/>
  <c r="Q285"/>
  <c r="Y42" i="64"/>
  <c r="AK66" i="175"/>
  <c r="W161"/>
  <c r="J289"/>
  <c r="AE411"/>
  <c r="AS417"/>
  <c r="T285"/>
  <c r="AJ299"/>
  <c r="V66"/>
  <c r="X160"/>
  <c r="H72"/>
  <c r="Q290"/>
  <c r="L415"/>
  <c r="AJ409"/>
  <c r="M67"/>
  <c r="J290"/>
  <c r="AL423"/>
  <c r="H413"/>
  <c r="AD423"/>
  <c r="AS68"/>
  <c r="L69"/>
  <c r="R74"/>
  <c r="N423"/>
  <c r="AG423"/>
  <c r="H66"/>
  <c r="AJ71"/>
  <c r="AO79"/>
  <c r="AQ424"/>
  <c r="AE296"/>
  <c r="AK417"/>
  <c r="AM77"/>
  <c r="Y11" i="67"/>
  <c r="AT288" i="175"/>
  <c r="AC419"/>
  <c r="N161"/>
  <c r="AA296"/>
  <c r="K70"/>
  <c r="K421"/>
  <c r="L284"/>
  <c r="N421"/>
  <c r="W78"/>
  <c r="G298"/>
  <c r="S161"/>
  <c r="T293"/>
  <c r="Y20" i="71"/>
  <c r="S285" i="175"/>
  <c r="AS299"/>
  <c r="K72"/>
  <c r="M76"/>
  <c r="R76"/>
  <c r="AG415"/>
  <c r="Y17" i="68"/>
  <c r="H161" i="175"/>
  <c r="AN286"/>
  <c r="Q161"/>
  <c r="V417"/>
  <c r="AF72"/>
  <c r="K66"/>
  <c r="Y35" i="71"/>
  <c r="AT411" i="175"/>
  <c r="AA413"/>
  <c r="AD70"/>
  <c r="O297"/>
  <c r="Y11" i="64"/>
  <c r="AC288" i="175"/>
  <c r="Y161"/>
  <c r="V287"/>
  <c r="Y7" i="68"/>
  <c r="V78" i="175"/>
  <c r="AE413"/>
  <c r="AO74"/>
  <c r="W415"/>
  <c r="Q288"/>
  <c r="L287"/>
  <c r="AJ423"/>
  <c r="Y11" i="71"/>
  <c r="AL161" i="175"/>
  <c r="AD161"/>
  <c r="L298"/>
  <c r="AS65"/>
  <c r="G292"/>
  <c r="AS287"/>
  <c r="I289"/>
  <c r="Y40" i="64"/>
  <c r="Z75" i="175"/>
  <c r="T69"/>
  <c r="G70"/>
  <c r="AT294"/>
  <c r="K78"/>
  <c r="AC67"/>
  <c r="U417"/>
  <c r="E28" i="60"/>
  <c r="AH289" i="175"/>
  <c r="U80"/>
  <c r="AJ285"/>
  <c r="AC70"/>
  <c r="R284"/>
  <c r="AJ413"/>
  <c r="AR423"/>
  <c r="AF294"/>
  <c r="AN413"/>
  <c r="V424"/>
  <c r="X65"/>
  <c r="AH76"/>
  <c r="Y418"/>
  <c r="AO418"/>
  <c r="AQ423"/>
  <c r="P68"/>
  <c r="AG73"/>
  <c r="Z80"/>
  <c r="J299"/>
  <c r="Q71"/>
  <c r="AD420"/>
  <c r="AD291"/>
  <c r="U287"/>
  <c r="AS297"/>
  <c r="AQ285"/>
  <c r="Y22" i="68"/>
  <c r="Y289" i="175"/>
  <c r="U414"/>
  <c r="AG411"/>
  <c r="O78"/>
  <c r="N291"/>
  <c r="K419"/>
  <c r="AM417"/>
  <c r="AT160"/>
  <c r="AJ298"/>
  <c r="AO285"/>
  <c r="Y292"/>
  <c r="H420"/>
  <c r="AG290"/>
  <c r="AH71"/>
  <c r="AR285"/>
  <c r="AG67"/>
  <c r="AP414"/>
  <c r="AL417"/>
  <c r="AS74"/>
  <c r="M78"/>
  <c r="J416"/>
  <c r="I419"/>
  <c r="AI419"/>
  <c r="I71"/>
  <c r="O293"/>
  <c r="K294"/>
  <c r="U76"/>
  <c r="AR289"/>
  <c r="Y20" i="64"/>
  <c r="Y39" i="71"/>
  <c r="AB288" i="175"/>
  <c r="T73"/>
  <c r="AL416"/>
  <c r="J73"/>
  <c r="AN296"/>
  <c r="AG421"/>
  <c r="AG72"/>
  <c r="AA76"/>
  <c r="AL69"/>
  <c r="AK415"/>
  <c r="AN69"/>
  <c r="AP70"/>
  <c r="I417"/>
  <c r="AF298"/>
  <c r="L67"/>
  <c r="AS413"/>
  <c r="V294"/>
  <c r="Y21" i="68"/>
  <c r="AD73" i="175"/>
  <c r="P290"/>
  <c r="Y299"/>
  <c r="AB160"/>
  <c r="AT70"/>
  <c r="P285"/>
  <c r="AC80"/>
  <c r="X295"/>
  <c r="W294"/>
  <c r="AD68"/>
  <c r="AM288"/>
  <c r="T290"/>
  <c r="AK291"/>
  <c r="AG286"/>
  <c r="AC410"/>
  <c r="AK161"/>
  <c r="Y12" i="67"/>
  <c r="AS421" i="175"/>
  <c r="G74"/>
  <c r="AN419"/>
  <c r="I288"/>
  <c r="Y5" i="68"/>
  <c r="AP294" i="175"/>
  <c r="R77"/>
  <c r="AD288"/>
  <c r="AP296"/>
  <c r="AH423"/>
  <c r="AH416"/>
  <c r="AG160"/>
  <c r="X299"/>
  <c r="Y69"/>
  <c r="AI285"/>
  <c r="H284"/>
  <c r="AI412"/>
  <c r="Q69"/>
  <c r="AH70"/>
  <c r="P299"/>
  <c r="AJ292"/>
  <c r="AL72"/>
  <c r="Y16" i="68"/>
  <c r="Y30" i="64"/>
  <c r="AP284" i="175"/>
  <c r="Z72"/>
  <c r="X422"/>
  <c r="X296"/>
  <c r="Z285"/>
  <c r="AO293"/>
  <c r="J422"/>
  <c r="N66"/>
  <c r="AF69"/>
  <c r="AF284"/>
  <c r="V80"/>
  <c r="AE290"/>
  <c r="S410"/>
  <c r="Y7" i="64"/>
  <c r="AJ296" i="175"/>
  <c r="AN72"/>
  <c r="Y19" i="67"/>
  <c r="AF289" i="175"/>
  <c r="V292"/>
  <c r="AM72"/>
  <c r="N296"/>
  <c r="AA69"/>
  <c r="AF409"/>
  <c r="T412"/>
  <c r="Y29" i="67"/>
  <c r="Q295" i="175"/>
  <c r="Y37" i="71"/>
  <c r="AF78" i="175"/>
  <c r="Z284"/>
  <c r="P295"/>
  <c r="Y423"/>
  <c r="Y45" i="68"/>
  <c r="AH410" i="175"/>
  <c r="U161"/>
  <c r="AF291"/>
  <c r="AQ414"/>
  <c r="K422"/>
  <c r="Q293"/>
  <c r="AQ65"/>
  <c r="AS284"/>
  <c r="AT65"/>
  <c r="AP297"/>
  <c r="Y68"/>
  <c r="Q420"/>
  <c r="S71"/>
  <c r="Q284"/>
  <c r="AP410"/>
  <c r="H286"/>
  <c r="AI67"/>
  <c r="AK409"/>
  <c r="P67"/>
  <c r="G79"/>
  <c r="AE294"/>
  <c r="AO284"/>
  <c r="Y415"/>
  <c r="Z410"/>
  <c r="AH298"/>
  <c r="O294"/>
  <c r="Q414"/>
  <c r="K290"/>
  <c r="Z66"/>
  <c r="X74"/>
  <c r="Y34" i="64"/>
  <c r="AM76" i="175"/>
  <c r="L294"/>
  <c r="AA420"/>
  <c r="T77"/>
  <c r="G67"/>
  <c r="AP411"/>
  <c r="AB65"/>
  <c r="AF299"/>
  <c r="V411"/>
  <c r="AN424"/>
  <c r="G416"/>
  <c r="K424"/>
  <c r="AS286"/>
  <c r="N288"/>
  <c r="AN412"/>
  <c r="L80"/>
  <c r="AG424"/>
  <c r="Y45" i="67"/>
  <c r="AK424" i="175"/>
  <c r="AP290"/>
  <c r="AB76"/>
  <c r="X291"/>
  <c r="Q292"/>
  <c r="N73"/>
  <c r="J414"/>
  <c r="AI297"/>
  <c r="Z76"/>
  <c r="AC289"/>
  <c r="O71"/>
  <c r="AE297"/>
  <c r="AM75"/>
  <c r="AM65"/>
  <c r="Y10" i="64"/>
  <c r="X79" i="175"/>
  <c r="X417"/>
  <c r="Q77"/>
  <c r="AN287"/>
  <c r="AS80"/>
  <c r="AS160"/>
  <c r="AB77"/>
  <c r="T424"/>
  <c r="AO286"/>
  <c r="G411"/>
  <c r="AF70"/>
  <c r="P416"/>
  <c r="W298"/>
  <c r="AG66"/>
  <c r="P289"/>
  <c r="Y38" i="64"/>
  <c r="H423" i="175"/>
  <c r="K415"/>
  <c r="N298"/>
  <c r="Q74"/>
  <c r="M299"/>
  <c r="Y37" i="64"/>
  <c r="Z289" i="175"/>
  <c r="V77"/>
  <c r="AB80"/>
  <c r="AR417"/>
  <c r="V420"/>
  <c r="Y411"/>
  <c r="W67"/>
  <c r="Y8" i="71"/>
  <c r="AF420" i="175"/>
  <c r="O292"/>
  <c r="V413"/>
  <c r="AE424"/>
  <c r="Y19" i="64"/>
  <c r="AR297" i="175"/>
  <c r="G78"/>
  <c r="AP415"/>
  <c r="K288"/>
  <c r="AQ418"/>
  <c r="N290"/>
  <c r="Q416"/>
  <c r="V410"/>
  <c r="Y25" i="71"/>
  <c r="AQ291" i="175"/>
  <c r="N71"/>
  <c r="AI415"/>
  <c r="AQ296"/>
  <c r="V290"/>
  <c r="K299"/>
  <c r="Q72"/>
  <c r="AI410"/>
  <c r="AG296"/>
  <c r="AD160"/>
  <c r="AF79"/>
  <c r="G76"/>
  <c r="M289"/>
  <c r="AF161"/>
  <c r="G422"/>
  <c r="AA292"/>
  <c r="O424"/>
  <c r="AS419"/>
  <c r="T72"/>
  <c r="AE421"/>
  <c r="AM296"/>
  <c r="R71"/>
  <c r="T66"/>
  <c r="L413"/>
  <c r="AT73"/>
  <c r="Q413"/>
  <c r="AL419"/>
  <c r="L290"/>
  <c r="H78"/>
  <c r="Z409"/>
  <c r="Z286"/>
  <c r="V299"/>
  <c r="G417"/>
  <c r="Q294"/>
  <c r="J78"/>
  <c r="G424"/>
  <c r="AE68"/>
  <c r="AT66"/>
  <c r="AR288"/>
  <c r="U295"/>
  <c r="H79"/>
  <c r="AO70"/>
  <c r="W80"/>
  <c r="T299"/>
  <c r="I291"/>
  <c r="X287"/>
  <c r="AI80"/>
  <c r="AQ417"/>
  <c r="AL292"/>
  <c r="L409"/>
  <c r="W286"/>
  <c r="AC71"/>
  <c r="N287"/>
  <c r="AF416"/>
  <c r="AD72"/>
  <c r="AA160"/>
  <c r="Y8" i="67"/>
  <c r="AQ75" i="175"/>
  <c r="S421"/>
  <c r="AK286"/>
  <c r="K412"/>
  <c r="P291"/>
  <c r="AS67"/>
  <c r="AA287"/>
  <c r="M415"/>
  <c r="N292"/>
  <c r="AP423"/>
  <c r="V414"/>
  <c r="AR68"/>
  <c r="J419"/>
  <c r="H70"/>
  <c r="Q68"/>
  <c r="AT295"/>
  <c r="AR416"/>
  <c r="S299"/>
  <c r="S80"/>
  <c r="G415"/>
  <c r="J296"/>
  <c r="AP65"/>
  <c r="W412"/>
  <c r="S290"/>
  <c r="T294"/>
  <c r="T76"/>
  <c r="W292"/>
  <c r="J287"/>
  <c r="P294"/>
  <c r="S74"/>
  <c r="AL289"/>
  <c r="V415"/>
  <c r="Y420"/>
  <c r="AL79"/>
  <c r="G413"/>
  <c r="AH78"/>
  <c r="AH412"/>
  <c r="AT768" l="1"/>
  <c r="AQ45" i="189" s="1"/>
  <c r="S3" i="190"/>
  <c r="AZ409" i="175"/>
  <c r="V439"/>
  <c r="P439"/>
  <c r="M33" i="190" s="1"/>
  <c r="M3"/>
  <c r="G3"/>
  <c r="J439" i="175"/>
  <c r="G33" i="190" s="1"/>
  <c r="AF3"/>
  <c r="AI439" i="175"/>
  <c r="AF33" i="190" s="1"/>
  <c r="AI3"/>
  <c r="AL439" i="175"/>
  <c r="AI33" i="190" s="1"/>
  <c r="AN3"/>
  <c r="AQ439" i="175"/>
  <c r="AN33" i="190" s="1"/>
  <c r="AO439" i="175"/>
  <c r="AL33" i="190" s="1"/>
  <c r="AL3"/>
  <c r="R439" i="175"/>
  <c r="O33" i="190" s="1"/>
  <c r="O3"/>
  <c r="Z3"/>
  <c r="AC439" i="175"/>
  <c r="Z33" i="190" s="1"/>
  <c r="AH439" i="175"/>
  <c r="AE33" i="190" s="1"/>
  <c r="AE3"/>
  <c r="AB3"/>
  <c r="AE439" i="175"/>
  <c r="AB33" i="190" s="1"/>
  <c r="J3"/>
  <c r="M439" i="175"/>
  <c r="J33" i="190" s="1"/>
  <c r="U3"/>
  <c r="X439" i="175"/>
  <c r="U33" i="190" s="1"/>
  <c r="O439" i="175"/>
  <c r="L33" i="190" s="1"/>
  <c r="L3"/>
  <c r="AP3"/>
  <c r="AS439" i="175"/>
  <c r="AP33" i="190" s="1"/>
  <c r="AS768" i="175"/>
  <c r="AP45" i="189" s="1"/>
  <c r="K3" i="190"/>
  <c r="N439" i="175"/>
  <c r="K33" i="190" s="1"/>
  <c r="K439" i="175"/>
  <c r="H33" i="190" s="1"/>
  <c r="H3"/>
  <c r="R3"/>
  <c r="U439" i="175"/>
  <c r="R33" i="190" s="1"/>
  <c r="AO3"/>
  <c r="AR439" i="175"/>
  <c r="AO33" i="190" s="1"/>
  <c r="AA3"/>
  <c r="AD439" i="175"/>
  <c r="AA33" i="190" s="1"/>
  <c r="V3"/>
  <c r="Y439" i="175"/>
  <c r="V33" i="190" s="1"/>
  <c r="Z439" i="175"/>
  <c r="W33" i="190" s="1"/>
  <c r="W3"/>
  <c r="AM3"/>
  <c r="BH409" i="175"/>
  <c r="AP439"/>
  <c r="F3" i="190"/>
  <c r="I439" i="175"/>
  <c r="F33" i="190" s="1"/>
  <c r="T439" i="175"/>
  <c r="Q33" i="190" s="1"/>
  <c r="Q3"/>
  <c r="AG3"/>
  <c r="AJ439" i="175"/>
  <c r="AG33" i="190" s="1"/>
  <c r="I3"/>
  <c r="AV409" i="175"/>
  <c r="L439"/>
  <c r="AX409"/>
  <c r="N3" i="190"/>
  <c r="Q439" i="175"/>
  <c r="AT439"/>
  <c r="AQ33" i="190" s="1"/>
  <c r="AQ3"/>
  <c r="AK439" i="175"/>
  <c r="AH3" i="190"/>
  <c r="BF409" i="175"/>
  <c r="W439"/>
  <c r="T33" i="190" s="1"/>
  <c r="T3"/>
  <c r="P3"/>
  <c r="S439" i="175"/>
  <c r="P33" i="190" s="1"/>
  <c r="AJ3"/>
  <c r="AM439" i="175"/>
  <c r="AJ33" i="190" s="1"/>
  <c r="AD3"/>
  <c r="AG439" i="175"/>
  <c r="AD33" i="190" s="1"/>
  <c r="BB409" i="175"/>
  <c r="X3" i="190"/>
  <c r="AA439" i="175"/>
  <c r="BD409"/>
  <c r="AF439"/>
  <c r="AC3" i="190"/>
  <c r="E3"/>
  <c r="H439" i="175"/>
  <c r="E33" i="190" s="1"/>
  <c r="AN439" i="175"/>
  <c r="AK33" i="190" s="1"/>
  <c r="AK3"/>
  <c r="Y3"/>
  <c r="AB439" i="175"/>
  <c r="Y33" i="190" s="1"/>
  <c r="AR95" i="175"/>
  <c r="AZ65"/>
  <c r="V95"/>
  <c r="AM95"/>
  <c r="M757"/>
  <c r="J34" i="189" s="1"/>
  <c r="T95" i="175"/>
  <c r="V757"/>
  <c r="AZ160"/>
  <c r="BD65"/>
  <c r="AF95"/>
  <c r="AI95"/>
  <c r="AD95"/>
  <c r="S757"/>
  <c r="P34" i="189" s="1"/>
  <c r="AJ757" i="175"/>
  <c r="AG34" i="189" s="1"/>
  <c r="AQ757" i="175"/>
  <c r="AN34" i="189" s="1"/>
  <c r="I95" i="175"/>
  <c r="AH757"/>
  <c r="AE34" i="189" s="1"/>
  <c r="O95" i="175"/>
  <c r="H95"/>
  <c r="K95"/>
  <c r="U95"/>
  <c r="AM757"/>
  <c r="AJ34" i="189" s="1"/>
  <c r="K757" i="175"/>
  <c r="H34" i="189" s="1"/>
  <c r="AN95" i="175"/>
  <c r="AJ95"/>
  <c r="T757"/>
  <c r="Q34" i="189" s="1"/>
  <c r="AB95" i="175"/>
  <c r="Y757"/>
  <c r="V34" i="189" s="1"/>
  <c r="I757" i="175"/>
  <c r="F34" i="189" s="1"/>
  <c r="U757" i="175"/>
  <c r="R34" i="189" s="1"/>
  <c r="AD757" i="175"/>
  <c r="AA34" i="189" s="1"/>
  <c r="AB757" i="175"/>
  <c r="Y34" i="189" s="1"/>
  <c r="AF757" i="175"/>
  <c r="BD160"/>
  <c r="AL95"/>
  <c r="P95"/>
  <c r="AE95"/>
  <c r="AL757"/>
  <c r="AI34" i="189" s="1"/>
  <c r="X757" i="175"/>
  <c r="U34" i="189" s="1"/>
  <c r="AT757" i="175"/>
  <c r="AQ34" i="189" s="1"/>
  <c r="AR768" i="175"/>
  <c r="AO45" i="189" s="1"/>
  <c r="AP757" i="175"/>
  <c r="BH160"/>
  <c r="AR757"/>
  <c r="AO34" i="189" s="1"/>
  <c r="X95" i="175"/>
  <c r="M95"/>
  <c r="J757"/>
  <c r="G34" i="189" s="1"/>
  <c r="AQ95" i="175"/>
  <c r="AO95"/>
  <c r="AH95"/>
  <c r="P757"/>
  <c r="M34" i="189" s="1"/>
  <c r="AS757" i="175"/>
  <c r="AP34" i="189" s="1"/>
  <c r="H757" i="175"/>
  <c r="E34" i="189" s="1"/>
  <c r="F160" i="175"/>
  <c r="Y95"/>
  <c r="AI757"/>
  <c r="AF34" i="189" s="1"/>
  <c r="W757" i="175"/>
  <c r="T34" i="189" s="1"/>
  <c r="AE757" i="175"/>
  <c r="AB34" i="189" s="1"/>
  <c r="R95" i="175"/>
  <c r="AS95"/>
  <c r="AK757"/>
  <c r="BF160"/>
  <c r="AG757"/>
  <c r="AD34" i="189" s="1"/>
  <c r="S95" i="175"/>
  <c r="BB160"/>
  <c r="AA757"/>
  <c r="Z757"/>
  <c r="W34" i="189" s="1"/>
  <c r="AC95" i="175"/>
  <c r="BH65"/>
  <c r="AP95"/>
  <c r="BF65"/>
  <c r="AK95"/>
  <c r="N95"/>
  <c r="L757"/>
  <c r="AV160"/>
  <c r="N757"/>
  <c r="K34" i="189" s="1"/>
  <c r="AC757" i="175"/>
  <c r="Z34" i="189" s="1"/>
  <c r="AN757" i="175"/>
  <c r="AK34" i="189" s="1"/>
  <c r="R757" i="175"/>
  <c r="O34" i="189" s="1"/>
  <c r="Z95" i="175"/>
  <c r="J95"/>
  <c r="AG95"/>
  <c r="Q95"/>
  <c r="AX65"/>
  <c r="O757"/>
  <c r="L34" i="189" s="1"/>
  <c r="AO757" i="175"/>
  <c r="AL34" i="189" s="1"/>
  <c r="BB65" i="175"/>
  <c r="AA95"/>
  <c r="W95"/>
  <c r="AX160"/>
  <c r="Q757"/>
  <c r="AV65"/>
  <c r="L95"/>
  <c r="AT95"/>
  <c r="AQ768"/>
  <c r="AN45" i="189" s="1"/>
  <c r="AP768" i="175"/>
  <c r="BH295"/>
  <c r="O482"/>
  <c r="L63" i="190" s="1"/>
  <c r="L14"/>
  <c r="AV78" i="175"/>
  <c r="P760"/>
  <c r="M37" i="189" s="1"/>
  <c r="P10" i="72"/>
  <c r="U483" i="175"/>
  <c r="R64" i="190" s="1"/>
  <c r="R15"/>
  <c r="P765" i="175"/>
  <c r="M42" i="189" s="1"/>
  <c r="N477" i="175"/>
  <c r="K58" i="190" s="1"/>
  <c r="K9"/>
  <c r="AK486" i="175"/>
  <c r="BF424"/>
  <c r="AH18" i="190"/>
  <c r="AQ9"/>
  <c r="AT477" i="175"/>
  <c r="AQ58" i="190" s="1"/>
  <c r="N758" i="175"/>
  <c r="K35" i="189" s="1"/>
  <c r="Z314" i="175"/>
  <c r="Y768"/>
  <c r="V45" i="189" s="1"/>
  <c r="AA17" i="190"/>
  <c r="AD485" i="175"/>
  <c r="AA66" i="190" s="1"/>
  <c r="BF285" i="175"/>
  <c r="AA761"/>
  <c r="BB288"/>
  <c r="AN763"/>
  <c r="AK40" i="189" s="1"/>
  <c r="AO5" i="190"/>
  <c r="J758" i="175"/>
  <c r="G35" i="189" s="1"/>
  <c r="D15" i="190"/>
  <c r="F421" i="175"/>
  <c r="C15" i="190" s="1"/>
  <c r="G483" i="175"/>
  <c r="P45" i="72"/>
  <c r="N6" i="190"/>
  <c r="Q474" i="175"/>
  <c r="AX412"/>
  <c r="N15" i="190"/>
  <c r="AX421" i="175"/>
  <c r="Q483"/>
  <c r="AK4" i="190"/>
  <c r="P11"/>
  <c r="S479" i="175"/>
  <c r="P60" i="190" s="1"/>
  <c r="BB292" i="175"/>
  <c r="AA765"/>
  <c r="T13" i="190"/>
  <c r="W481" i="175"/>
  <c r="T62" i="190" s="1"/>
  <c r="T763" i="175"/>
  <c r="Q40" i="189" s="1"/>
  <c r="AG13" i="190"/>
  <c r="AJ481" i="175"/>
  <c r="AG62" i="190" s="1"/>
  <c r="BH299" i="175"/>
  <c r="AS759"/>
  <c r="AP36" i="189" s="1"/>
  <c r="J7" i="190"/>
  <c r="M475" i="175"/>
  <c r="J56" i="190" s="1"/>
  <c r="O6"/>
  <c r="R474" i="175"/>
  <c r="O55" i="190" s="1"/>
  <c r="J9"/>
  <c r="M477" i="175"/>
  <c r="J58" i="190" s="1"/>
  <c r="O476" i="175"/>
  <c r="L57" i="190" s="1"/>
  <c r="L8"/>
  <c r="AR763" i="175"/>
  <c r="AO40" i="189" s="1"/>
  <c r="M764" i="175"/>
  <c r="J41" i="189" s="1"/>
  <c r="Q11" i="190"/>
  <c r="T479" i="175"/>
  <c r="Q60" i="190" s="1"/>
  <c r="M474" i="175"/>
  <c r="J55" i="190" s="1"/>
  <c r="J6"/>
  <c r="AV284" i="175"/>
  <c r="L314"/>
  <c r="AI764"/>
  <c r="AF41" i="189" s="1"/>
  <c r="AI485" i="175"/>
  <c r="AF66" i="190" s="1"/>
  <c r="AF17"/>
  <c r="V5"/>
  <c r="AQ476" i="175"/>
  <c r="AN57" i="190" s="1"/>
  <c r="AN8"/>
  <c r="AQ13"/>
  <c r="AT481" i="175"/>
  <c r="AQ62" i="190" s="1"/>
  <c r="AN764" i="175"/>
  <c r="AK41" i="189" s="1"/>
  <c r="AX289" i="175"/>
  <c r="Q762"/>
  <c r="AB760"/>
  <c r="Y37" i="189" s="1"/>
  <c r="P46" i="72"/>
  <c r="AZ77" i="175"/>
  <c r="AL764"/>
  <c r="AI41" i="189" s="1"/>
  <c r="G28" i="60"/>
  <c r="AJ767" i="175"/>
  <c r="AG44" i="189" s="1"/>
  <c r="AZ285" i="175"/>
  <c r="M7" i="190"/>
  <c r="P475" i="175"/>
  <c r="M56" i="190" s="1"/>
  <c r="AT767" i="175"/>
  <c r="AQ44" i="189" s="1"/>
  <c r="AC14" i="190"/>
  <c r="BD420" i="175"/>
  <c r="AF482"/>
  <c r="M4" i="190"/>
  <c r="K482" i="175"/>
  <c r="H63" i="190" s="1"/>
  <c r="H14"/>
  <c r="BB66" i="175"/>
  <c r="AR767"/>
  <c r="AO44" i="189" s="1"/>
  <c r="G10" i="190"/>
  <c r="J478" i="175"/>
  <c r="G59" i="190" s="1"/>
  <c r="F11"/>
  <c r="I479" i="175"/>
  <c r="F60" i="190" s="1"/>
  <c r="G8"/>
  <c r="J476" i="175"/>
  <c r="G57" i="190" s="1"/>
  <c r="AD13"/>
  <c r="AG481" i="175"/>
  <c r="AD62" i="190" s="1"/>
  <c r="AI768" i="175"/>
  <c r="AF45" i="189" s="1"/>
  <c r="AE759" i="175"/>
  <c r="AB36" i="189" s="1"/>
  <c r="K4" i="190"/>
  <c r="O5"/>
  <c r="F285" i="175"/>
  <c r="G758"/>
  <c r="AC5" i="190"/>
  <c r="BD411" i="175"/>
  <c r="E12" i="190"/>
  <c r="X9"/>
  <c r="AA477" i="175"/>
  <c r="BB415"/>
  <c r="AZ68"/>
  <c r="AG765"/>
  <c r="AD42" i="189" s="1"/>
  <c r="P18" i="190"/>
  <c r="S486" i="175"/>
  <c r="P67" i="190" s="1"/>
  <c r="BF294" i="175"/>
  <c r="AK767"/>
  <c r="J767"/>
  <c r="G44" i="189" s="1"/>
  <c r="AR483" i="175"/>
  <c r="AO64" i="190" s="1"/>
  <c r="AO15"/>
  <c r="AG485" i="175"/>
  <c r="AD66" i="190" s="1"/>
  <c r="AD17"/>
  <c r="AE482" i="175"/>
  <c r="AB63" i="190" s="1"/>
  <c r="AB14"/>
  <c r="AL482" i="175"/>
  <c r="AI63" i="190" s="1"/>
  <c r="AI14"/>
  <c r="Y759" i="175"/>
  <c r="V36" i="189" s="1"/>
  <c r="AZ296" i="175"/>
  <c r="I761"/>
  <c r="F38" i="189" s="1"/>
  <c r="U8" i="190"/>
  <c r="X476" i="175"/>
  <c r="U57" i="190" s="1"/>
  <c r="AR314" i="175"/>
  <c r="S759"/>
  <c r="P36" i="189" s="1"/>
  <c r="AV71" i="175"/>
  <c r="BD66"/>
  <c r="D7" i="190"/>
  <c r="F413" i="175"/>
  <c r="C7" i="190" s="1"/>
  <c r="G475" i="175"/>
  <c r="AB768"/>
  <c r="Y45" i="189" s="1"/>
  <c r="S476" i="175"/>
  <c r="P57" i="190" s="1"/>
  <c r="P8"/>
  <c r="V4"/>
  <c r="AE8"/>
  <c r="AH476" i="175"/>
  <c r="AE57" i="190" s="1"/>
  <c r="AX161" i="175"/>
  <c r="Q758"/>
  <c r="X762"/>
  <c r="U39" i="189" s="1"/>
  <c r="Z760" i="175"/>
  <c r="W37" i="189" s="1"/>
  <c r="AL760" i="175"/>
  <c r="AI37" i="189" s="1"/>
  <c r="AE762" i="175"/>
  <c r="AB39" i="189" s="1"/>
  <c r="G9" i="190"/>
  <c r="J477" i="175"/>
  <c r="G58" i="190" s="1"/>
  <c r="AG764" i="175"/>
  <c r="AD41" i="189" s="1"/>
  <c r="AI760" i="175"/>
  <c r="AF37" i="189" s="1"/>
  <c r="Y5" i="190"/>
  <c r="Y314" i="175"/>
  <c r="AE5" i="190"/>
  <c r="M12"/>
  <c r="AJ17"/>
  <c r="AM485" i="175"/>
  <c r="AJ66" i="190" s="1"/>
  <c r="BD285" i="175"/>
  <c r="S10" i="190"/>
  <c r="V478" i="175"/>
  <c r="AZ416"/>
  <c r="W762"/>
  <c r="T39" i="189" s="1"/>
  <c r="W12" i="190"/>
  <c r="Y483" i="175"/>
  <c r="V64" i="190" s="1"/>
  <c r="V15"/>
  <c r="AI10"/>
  <c r="AL478" i="175"/>
  <c r="AI59" i="190" s="1"/>
  <c r="G18"/>
  <c r="J486" i="175"/>
  <c r="G67" i="190" s="1"/>
  <c r="AT765" i="175"/>
  <c r="AQ42" i="189" s="1"/>
  <c r="AV68" i="175"/>
  <c r="AZ413"/>
  <c r="S7" i="190"/>
  <c r="V475" i="175"/>
  <c r="BH293"/>
  <c r="S5" i="190"/>
  <c r="AZ411" i="175"/>
  <c r="F418"/>
  <c r="C12" i="190" s="1"/>
  <c r="D12"/>
  <c r="G480" i="175"/>
  <c r="D61" i="190" s="1"/>
  <c r="AL483" i="175"/>
  <c r="AI64" i="190" s="1"/>
  <c r="AI15"/>
  <c r="AJ314" i="175"/>
  <c r="AM768"/>
  <c r="AJ45" i="189" s="1"/>
  <c r="BF75" i="175"/>
  <c r="AZ66"/>
  <c r="AJ11" i="190"/>
  <c r="AM479" i="175"/>
  <c r="AJ60" i="190" s="1"/>
  <c r="O761" i="175"/>
  <c r="L38" i="189" s="1"/>
  <c r="BH75" i="175"/>
  <c r="AE12" i="190"/>
  <c r="BH66" i="175"/>
  <c r="AX68"/>
  <c r="AH482"/>
  <c r="AE63" i="190" s="1"/>
  <c r="AE14"/>
  <c r="AB314" i="175"/>
  <c r="AV298"/>
  <c r="H4" i="190"/>
  <c r="L16"/>
  <c r="O484" i="175"/>
  <c r="L65" i="190" s="1"/>
  <c r="U4"/>
  <c r="X761" i="175"/>
  <c r="U38" i="189" s="1"/>
  <c r="AL14" i="190"/>
  <c r="AO482" i="175"/>
  <c r="AL63" i="190" s="1"/>
  <c r="AL767" i="175"/>
  <c r="AI44" i="189" s="1"/>
  <c r="AN5" i="190"/>
  <c r="AJ764" i="175"/>
  <c r="AG41" i="189" s="1"/>
  <c r="AX294" i="175"/>
  <c r="Q767"/>
  <c r="M485"/>
  <c r="J66" i="190" s="1"/>
  <c r="J17"/>
  <c r="P21" i="72"/>
  <c r="BH294" i="175"/>
  <c r="AP767"/>
  <c r="O10" i="190"/>
  <c r="R478" i="175"/>
  <c r="O59" i="190" s="1"/>
  <c r="AL763" i="175"/>
  <c r="AI40" i="189" s="1"/>
  <c r="AH768" i="175"/>
  <c r="AE45" i="189" s="1"/>
  <c r="BB69" i="175"/>
  <c r="W760"/>
  <c r="T37" i="189" s="1"/>
  <c r="U482" i="175"/>
  <c r="R63" i="190" s="1"/>
  <c r="R14"/>
  <c r="AQ478" i="175"/>
  <c r="AN59" i="190" s="1"/>
  <c r="AN10"/>
  <c r="BB419" i="175"/>
  <c r="AA481"/>
  <c r="X13" i="190"/>
  <c r="AI762" i="175"/>
  <c r="AF39" i="189" s="1"/>
  <c r="AT760" i="175"/>
  <c r="AQ37" i="189" s="1"/>
  <c r="AN6" i="190"/>
  <c r="AQ474" i="175"/>
  <c r="AN55" i="190" s="1"/>
  <c r="AV415" i="175"/>
  <c r="L477"/>
  <c r="I9" i="190"/>
  <c r="AX291" i="175"/>
  <c r="Q764"/>
  <c r="P16" i="72"/>
  <c r="Y476" i="175"/>
  <c r="V57" i="190" s="1"/>
  <c r="V8"/>
  <c r="AP12"/>
  <c r="E11"/>
  <c r="H479" i="175"/>
  <c r="E60" i="190" s="1"/>
  <c r="BF71" i="175"/>
  <c r="AH759"/>
  <c r="AE36" i="189" s="1"/>
  <c r="AV288" i="175"/>
  <c r="L761"/>
  <c r="AR477"/>
  <c r="AO58" i="190" s="1"/>
  <c r="AO9"/>
  <c r="AZ161" i="175"/>
  <c r="V758"/>
  <c r="R314"/>
  <c r="AR760"/>
  <c r="AO37" i="189" s="1"/>
  <c r="K758" i="175"/>
  <c r="H35" i="189" s="1"/>
  <c r="AL18" i="190"/>
  <c r="AO486" i="175"/>
  <c r="AL67" i="190" s="1"/>
  <c r="I11"/>
  <c r="AV417" i="175"/>
  <c r="L479"/>
  <c r="AA14" i="190"/>
  <c r="AD482" i="175"/>
  <c r="AA63" i="190" s="1"/>
  <c r="K8"/>
  <c r="N476" i="175"/>
  <c r="K57" i="190" s="1"/>
  <c r="I759" i="175"/>
  <c r="F36" i="189" s="1"/>
  <c r="AX414" i="175"/>
  <c r="N8" i="190"/>
  <c r="Q476" i="175"/>
  <c r="P761"/>
  <c r="M38" i="189" s="1"/>
  <c r="M17" i="190"/>
  <c r="P485" i="175"/>
  <c r="M66" i="190" s="1"/>
  <c r="AC482" i="175"/>
  <c r="Z63" i="190" s="1"/>
  <c r="Z14"/>
  <c r="BD422" i="175"/>
  <c r="AF484"/>
  <c r="AC16" i="190"/>
  <c r="AF481" i="175"/>
  <c r="AC13" i="190"/>
  <c r="BD419" i="175"/>
  <c r="H763"/>
  <c r="E40" i="189" s="1"/>
  <c r="AN761" i="175"/>
  <c r="AK38" i="189" s="1"/>
  <c r="AX418" i="175"/>
  <c r="N12" i="190"/>
  <c r="AM761" i="175"/>
  <c r="AJ38" i="189" s="1"/>
  <c r="BF74" i="175"/>
  <c r="Y17" i="190"/>
  <c r="AB485" i="175"/>
  <c r="Y66" i="190" s="1"/>
  <c r="E4"/>
  <c r="M6"/>
  <c r="P474" i="175"/>
  <c r="M55" i="190" s="1"/>
  <c r="AO765" i="175"/>
  <c r="AL42" i="189" s="1"/>
  <c r="BB421" i="175"/>
  <c r="AA483"/>
  <c r="X15" i="190"/>
  <c r="BD80" i="175"/>
  <c r="BD76"/>
  <c r="AK15" i="190"/>
  <c r="AN483" i="175"/>
  <c r="AK64" i="190" s="1"/>
  <c r="AZ299" i="175"/>
  <c r="BB72"/>
  <c r="T5" i="190"/>
  <c r="AZ75" i="175"/>
  <c r="AF764"/>
  <c r="BD291"/>
  <c r="D18" i="190"/>
  <c r="G486" i="175"/>
  <c r="F424"/>
  <c r="C18" i="190" s="1"/>
  <c r="G473" i="175"/>
  <c r="D5" i="190"/>
  <c r="F411" i="175"/>
  <c r="C5" i="190" s="1"/>
  <c r="AD767" i="175"/>
  <c r="AA44" i="189" s="1"/>
  <c r="AG762" i="175"/>
  <c r="AD39" i="189" s="1"/>
  <c r="AX285" i="175"/>
  <c r="P9" i="72"/>
  <c r="AK10" i="190"/>
  <c r="AN478" i="175"/>
  <c r="AK59" i="190" s="1"/>
  <c r="AV294" i="175"/>
  <c r="L767"/>
  <c r="O15" i="190"/>
  <c r="R483" i="175"/>
  <c r="O64" i="190" s="1"/>
  <c r="BD67" i="175"/>
  <c r="AA474"/>
  <c r="BB412"/>
  <c r="X6" i="190"/>
  <c r="AV66" i="175"/>
  <c r="U764"/>
  <c r="R41" i="189" s="1"/>
  <c r="BD78" i="175"/>
  <c r="X12" i="190"/>
  <c r="BB418" i="175"/>
  <c r="AK12" i="190"/>
  <c r="AX76" i="175"/>
  <c r="J16" i="190"/>
  <c r="M484" i="175"/>
  <c r="J65" i="190" s="1"/>
  <c r="BH70" i="175"/>
  <c r="AE764"/>
  <c r="AB41" i="189" s="1"/>
  <c r="AE474" i="175"/>
  <c r="AB55" i="190" s="1"/>
  <c r="AB6"/>
  <c r="AD759" i="175"/>
  <c r="AA36" i="189" s="1"/>
  <c r="AD763" i="175"/>
  <c r="AA40" i="189" s="1"/>
  <c r="AD761" i="175"/>
  <c r="AA38" i="189" s="1"/>
  <c r="AC758" i="175"/>
  <c r="Z35" i="189" s="1"/>
  <c r="M483" i="175"/>
  <c r="J64" i="190" s="1"/>
  <c r="J15"/>
  <c r="V486" i="175"/>
  <c r="AZ424"/>
  <c r="S18" i="190"/>
  <c r="AG758" i="175"/>
  <c r="AD35" i="189" s="1"/>
  <c r="AA11" i="190"/>
  <c r="AD479" i="175"/>
  <c r="AA60" i="190" s="1"/>
  <c r="D16"/>
  <c r="G484" i="175"/>
  <c r="F422"/>
  <c r="C16" i="190" s="1"/>
  <c r="M15"/>
  <c r="P483" i="175"/>
  <c r="M64" i="190" s="1"/>
  <c r="P767" i="175"/>
  <c r="M44" i="189" s="1"/>
  <c r="AB7" i="190"/>
  <c r="AE475" i="175"/>
  <c r="AB56" i="190" s="1"/>
  <c r="W764" i="175"/>
  <c r="T41" i="189" s="1"/>
  <c r="AB764" i="175"/>
  <c r="Y41" i="189" s="1"/>
  <c r="AO474" i="175"/>
  <c r="AL55" i="190" s="1"/>
  <c r="AL6"/>
  <c r="AB758" i="175"/>
  <c r="Y35" i="189" s="1"/>
  <c r="W4" i="190"/>
  <c r="AZ74" i="175"/>
  <c r="AL7" i="190"/>
  <c r="AO475" i="175"/>
  <c r="AL56" i="190" s="1"/>
  <c r="AZ69" i="175"/>
  <c r="AZ295"/>
  <c r="V768"/>
  <c r="L758"/>
  <c r="AV161"/>
  <c r="O478"/>
  <c r="L59" i="190" s="1"/>
  <c r="L10"/>
  <c r="F299" i="175"/>
  <c r="AI763"/>
  <c r="AF40" i="189" s="1"/>
  <c r="BD71" i="175"/>
  <c r="S16" i="190"/>
  <c r="AZ422" i="175"/>
  <c r="V484"/>
  <c r="F416"/>
  <c r="C10" i="190" s="1"/>
  <c r="G478" i="175"/>
  <c r="D10" i="190"/>
  <c r="AO477" i="175"/>
  <c r="AL58" i="190" s="1"/>
  <c r="AL9"/>
  <c r="V477" i="175"/>
  <c r="AZ415"/>
  <c r="S9" i="190"/>
  <c r="BF68" i="175"/>
  <c r="AN759"/>
  <c r="AK36" i="189" s="1"/>
  <c r="K761" i="175"/>
  <c r="H38" i="189" s="1"/>
  <c r="Y11" i="190"/>
  <c r="AB479" i="175"/>
  <c r="Y60" i="190" s="1"/>
  <c r="H477" i="175"/>
  <c r="E58" i="190" s="1"/>
  <c r="E9"/>
  <c r="W484" i="175"/>
  <c r="T65" i="190" s="1"/>
  <c r="T16"/>
  <c r="BF287" i="175"/>
  <c r="AK760"/>
  <c r="U763"/>
  <c r="R40" i="189" s="1"/>
  <c r="L763" i="175"/>
  <c r="AV290"/>
  <c r="P762"/>
  <c r="M39" i="189" s="1"/>
  <c r="Z12" i="190"/>
  <c r="E7"/>
  <c r="H475" i="175"/>
  <c r="E56" i="190" s="1"/>
  <c r="T759" i="175"/>
  <c r="Q36" i="189" s="1"/>
  <c r="AI16" i="190"/>
  <c r="AL484" i="175"/>
  <c r="AI65" i="190" s="1"/>
  <c r="Z482" i="175"/>
  <c r="W63" i="190" s="1"/>
  <c r="W14"/>
  <c r="P478" i="175"/>
  <c r="M59" i="190" s="1"/>
  <c r="M10"/>
  <c r="K10"/>
  <c r="N478" i="175"/>
  <c r="K59" i="190" s="1"/>
  <c r="AX73" i="175"/>
  <c r="AF477"/>
  <c r="BD415"/>
  <c r="AC9" i="190"/>
  <c r="Y763" i="175"/>
  <c r="V40" i="189" s="1"/>
  <c r="AF475" i="175"/>
  <c r="BD413"/>
  <c r="AC7" i="190"/>
  <c r="Z6"/>
  <c r="AC474" i="175"/>
  <c r="Z55" i="190" s="1"/>
  <c r="AI767" i="175"/>
  <c r="AF44" i="189" s="1"/>
  <c r="AE761" i="175"/>
  <c r="AB38" i="189" s="1"/>
  <c r="P763" i="175"/>
  <c r="M40" i="189" s="1"/>
  <c r="Z13" i="190"/>
  <c r="AC481" i="175"/>
  <c r="Z62" i="190" s="1"/>
  <c r="AK476" i="175"/>
  <c r="AH8" i="190"/>
  <c r="BF414" i="175"/>
  <c r="W483"/>
  <c r="T64" i="190" s="1"/>
  <c r="T15"/>
  <c r="K481" i="175"/>
  <c r="H62" i="190" s="1"/>
  <c r="H13"/>
  <c r="U479" i="175"/>
  <c r="R60" i="190" s="1"/>
  <c r="R11"/>
  <c r="X486" i="175"/>
  <c r="U67" i="190" s="1"/>
  <c r="U18"/>
  <c r="P28" i="72"/>
  <c r="AN760" i="175"/>
  <c r="AK37" i="189" s="1"/>
  <c r="AV293" i="175"/>
  <c r="Q760"/>
  <c r="AX287"/>
  <c r="AM10" i="190"/>
  <c r="BH416" i="175"/>
  <c r="AP478"/>
  <c r="AD758"/>
  <c r="AA35" i="189" s="1"/>
  <c r="BH289" i="175"/>
  <c r="AP762"/>
  <c r="I763"/>
  <c r="F40" i="189" s="1"/>
  <c r="BH285" i="175"/>
  <c r="AQ759"/>
  <c r="AN36" i="189" s="1"/>
  <c r="F419" i="175"/>
  <c r="C13" i="190" s="1"/>
  <c r="G481" i="175"/>
  <c r="D13" i="190"/>
  <c r="AJ6"/>
  <c r="AM474" i="175"/>
  <c r="AJ55" i="190" s="1"/>
  <c r="O12"/>
  <c r="J759" i="175"/>
  <c r="G36" i="189" s="1"/>
  <c r="Z478" i="175"/>
  <c r="W59" i="190" s="1"/>
  <c r="W10"/>
  <c r="AX298" i="175"/>
  <c r="F4" i="190"/>
  <c r="P18" i="72"/>
  <c r="AN17" i="190"/>
  <c r="AQ485" i="175"/>
  <c r="AN66" i="190" s="1"/>
  <c r="BH296" i="175"/>
  <c r="BF296"/>
  <c r="H764"/>
  <c r="E41" i="189" s="1"/>
  <c r="R477" i="175"/>
  <c r="O58" i="190" s="1"/>
  <c r="O9"/>
  <c r="AR764" i="175"/>
  <c r="AO41" i="189" s="1"/>
  <c r="M11" i="190"/>
  <c r="P479" i="175"/>
  <c r="M60" i="190" s="1"/>
  <c r="P12" i="72"/>
  <c r="AE758" i="175"/>
  <c r="AB35" i="189" s="1"/>
  <c r="N485" i="175"/>
  <c r="K66" i="190" s="1"/>
  <c r="K17"/>
  <c r="AP18"/>
  <c r="AS486" i="175"/>
  <c r="AP67" i="190" s="1"/>
  <c r="Q18"/>
  <c r="T486" i="175"/>
  <c r="Q67" i="190" s="1"/>
  <c r="AD10"/>
  <c r="AG478" i="175"/>
  <c r="AD59" i="190" s="1"/>
  <c r="F289" i="175"/>
  <c r="G762"/>
  <c r="L768"/>
  <c r="AV295"/>
  <c r="Z5" i="190"/>
  <c r="E17"/>
  <c r="H485" i="175"/>
  <c r="E66" i="190" s="1"/>
  <c r="H12"/>
  <c r="AM762" i="175"/>
  <c r="AJ39" i="189" s="1"/>
  <c r="U7" i="190"/>
  <c r="X475" i="175"/>
  <c r="U56" i="190" s="1"/>
  <c r="AK759" i="175"/>
  <c r="BF286"/>
  <c r="W15" i="190"/>
  <c r="Z483" i="175"/>
  <c r="W64" i="190" s="1"/>
  <c r="AJ16"/>
  <c r="AM484" i="175"/>
  <c r="AJ65" i="190" s="1"/>
  <c r="AQ16"/>
  <c r="AT484" i="175"/>
  <c r="AQ65" i="190" s="1"/>
  <c r="S764" i="175"/>
  <c r="P41" i="189" s="1"/>
  <c r="V13" i="190"/>
  <c r="Y481" i="175"/>
  <c r="V62" i="190" s="1"/>
  <c r="X7"/>
  <c r="BB413" i="175"/>
  <c r="AA475"/>
  <c r="AC484"/>
  <c r="Z65" i="190" s="1"/>
  <c r="Z16"/>
  <c r="BD295" i="175"/>
  <c r="AF768"/>
  <c r="F14" i="190"/>
  <c r="I482" i="175"/>
  <c r="F63" i="190" s="1"/>
  <c r="S12"/>
  <c r="AZ418" i="175"/>
  <c r="T17" i="190"/>
  <c r="W485" i="175"/>
  <c r="T66" i="190" s="1"/>
  <c r="U768" i="175"/>
  <c r="R45" i="189" s="1"/>
  <c r="BF288" i="175"/>
  <c r="AK761"/>
  <c r="AD484"/>
  <c r="AA65" i="190" s="1"/>
  <c r="AA16"/>
  <c r="AC759" i="175"/>
  <c r="Z36" i="189" s="1"/>
  <c r="P20" i="72"/>
  <c r="AJ5" i="190"/>
  <c r="N768" i="175"/>
  <c r="K45" i="189" s="1"/>
  <c r="AX75" i="175"/>
  <c r="I767"/>
  <c r="F44" i="189" s="1"/>
  <c r="AV418" i="175"/>
  <c r="I12" i="190"/>
  <c r="U10"/>
  <c r="X478" i="175"/>
  <c r="U59" i="190" s="1"/>
  <c r="AK8"/>
  <c r="AN476" i="175"/>
  <c r="AK57" i="190" s="1"/>
  <c r="Q4"/>
  <c r="P481" i="175"/>
  <c r="M62" i="190" s="1"/>
  <c r="M13"/>
  <c r="AM11"/>
  <c r="BH417" i="175"/>
  <c r="AP479"/>
  <c r="U758"/>
  <c r="R35" i="189" s="1"/>
  <c r="N4" i="190"/>
  <c r="AX410" i="175"/>
  <c r="AN9" i="190"/>
  <c r="AQ477" i="175"/>
  <c r="AN58" i="190" s="1"/>
  <c r="AD8"/>
  <c r="AG476" i="175"/>
  <c r="AD57" i="190" s="1"/>
  <c r="R768" i="175"/>
  <c r="O45" i="189" s="1"/>
  <c r="AE768" i="175"/>
  <c r="AB45" i="189" s="1"/>
  <c r="H481" i="175"/>
  <c r="E62" i="190" s="1"/>
  <c r="E13"/>
  <c r="H5"/>
  <c r="W9"/>
  <c r="Z477" i="175"/>
  <c r="W58" i="190" s="1"/>
  <c r="AF314" i="175"/>
  <c r="BD284"/>
  <c r="F7" i="190"/>
  <c r="I475" i="175"/>
  <c r="F56" i="190" s="1"/>
  <c r="S482" i="175"/>
  <c r="P63" i="190" s="1"/>
  <c r="P14"/>
  <c r="H761" i="175"/>
  <c r="E38" i="189" s="1"/>
  <c r="X759" i="175"/>
  <c r="U36" i="189" s="1"/>
  <c r="AE9" i="190"/>
  <c r="AH477" i="175"/>
  <c r="AE58" i="190" s="1"/>
  <c r="AV297" i="175"/>
  <c r="P35" i="72"/>
  <c r="K16" i="190"/>
  <c r="N484" i="175"/>
  <c r="K65" i="190" s="1"/>
  <c r="AF759" i="175"/>
  <c r="BD286"/>
  <c r="AJ10" i="190"/>
  <c r="AM478" i="175"/>
  <c r="AJ59" i="190" s="1"/>
  <c r="K483" i="175"/>
  <c r="H64" i="190" s="1"/>
  <c r="H15"/>
  <c r="AX296" i="175"/>
  <c r="BF292"/>
  <c r="AK765"/>
  <c r="K475"/>
  <c r="H56" i="190" s="1"/>
  <c r="H7"/>
  <c r="R17"/>
  <c r="U485" i="175"/>
  <c r="R66" i="190" s="1"/>
  <c r="AQ14"/>
  <c r="AT482" i="175"/>
  <c r="AQ63" i="190" s="1"/>
  <c r="T484" i="175"/>
  <c r="Q65" i="190" s="1"/>
  <c r="Q16"/>
  <c r="AX290" i="175"/>
  <c r="Q763"/>
  <c r="AF4" i="190"/>
  <c r="P22" i="72"/>
  <c r="AR474" i="175"/>
  <c r="AO55" i="190" s="1"/>
  <c r="AO6"/>
  <c r="AQ761" i="175"/>
  <c r="AN38" i="189" s="1"/>
  <c r="AZ78" i="175"/>
  <c r="AV79"/>
  <c r="L478"/>
  <c r="I10" i="190"/>
  <c r="AV416" i="175"/>
  <c r="N763"/>
  <c r="K40" i="189" s="1"/>
  <c r="AN18" i="190"/>
  <c r="AQ486" i="175"/>
  <c r="AN67" i="190" s="1"/>
  <c r="I13"/>
  <c r="L481" i="175"/>
  <c r="AV419"/>
  <c r="K13" i="190"/>
  <c r="N481" i="175"/>
  <c r="K62" i="190" s="1"/>
  <c r="AG15"/>
  <c r="AJ483" i="175"/>
  <c r="AG64" i="190" s="1"/>
  <c r="L12"/>
  <c r="AB16"/>
  <c r="AE484" i="175"/>
  <c r="AB65" i="190" s="1"/>
  <c r="G12"/>
  <c r="AE314" i="175"/>
  <c r="T765"/>
  <c r="Q42" i="189" s="1"/>
  <c r="N479" i="175"/>
  <c r="K60" i="190" s="1"/>
  <c r="K11"/>
  <c r="AX70" i="175"/>
  <c r="AJ479"/>
  <c r="AG60" i="190" s="1"/>
  <c r="AG11"/>
  <c r="AB486" i="175"/>
  <c r="Y67" i="190" s="1"/>
  <c r="Y18"/>
  <c r="I18"/>
  <c r="L486" i="175"/>
  <c r="AV424"/>
  <c r="AM759"/>
  <c r="AJ36" i="189" s="1"/>
  <c r="O479" i="175"/>
  <c r="L60" i="190" s="1"/>
  <c r="L11"/>
  <c r="BB80" i="175"/>
  <c r="AI482"/>
  <c r="AF63" i="190" s="1"/>
  <c r="AF14"/>
  <c r="D9"/>
  <c r="F415" i="175"/>
  <c r="C9" i="190" s="1"/>
  <c r="G477" i="175"/>
  <c r="K764"/>
  <c r="H41" i="189" s="1"/>
  <c r="T478" i="175"/>
  <c r="Q59" i="190" s="1"/>
  <c r="Q10"/>
  <c r="T758" i="175"/>
  <c r="Q35" i="189" s="1"/>
  <c r="Z479" i="175"/>
  <c r="W60" i="190" s="1"/>
  <c r="W11"/>
  <c r="U759" i="175"/>
  <c r="R36" i="189" s="1"/>
  <c r="H758" i="175"/>
  <c r="E35" i="189" s="1"/>
  <c r="F161" i="175"/>
  <c r="AC477"/>
  <c r="Z58" i="190" s="1"/>
  <c r="Z9"/>
  <c r="J314" i="175"/>
  <c r="F10" i="190"/>
  <c r="I478" i="175"/>
  <c r="F59" i="190" s="1"/>
  <c r="H8"/>
  <c r="K476" i="175"/>
  <c r="H57" i="190" s="1"/>
  <c r="AD14"/>
  <c r="AG482" i="175"/>
  <c r="AD63" i="190" s="1"/>
  <c r="AO762" i="175"/>
  <c r="AL39" i="189" s="1"/>
  <c r="AB4" i="190"/>
  <c r="AX71" i="175"/>
  <c r="AL481"/>
  <c r="AI62" i="190" s="1"/>
  <c r="AI13"/>
  <c r="F296" i="175"/>
  <c r="H486"/>
  <c r="E67" i="190" s="1"/>
  <c r="E18"/>
  <c r="F423" i="175"/>
  <c r="C17" i="190" s="1"/>
  <c r="D17"/>
  <c r="G485" i="175"/>
  <c r="J4" i="190"/>
  <c r="W761" i="175"/>
  <c r="T38" i="189" s="1"/>
  <c r="V474" i="175"/>
  <c r="S6" i="190"/>
  <c r="AZ412" i="175"/>
  <c r="V7" i="190"/>
  <c r="Y475" i="175"/>
  <c r="V56" i="190" s="1"/>
  <c r="AG486" i="175"/>
  <c r="AD67" i="190" s="1"/>
  <c r="AD18"/>
  <c r="AM765" i="175"/>
  <c r="AJ42" i="189" s="1"/>
  <c r="O481" i="175"/>
  <c r="L62" i="190" s="1"/>
  <c r="L13"/>
  <c r="J765" i="175"/>
  <c r="G42" i="189" s="1"/>
  <c r="AJ477" i="175"/>
  <c r="AG58" i="190" s="1"/>
  <c r="AG9"/>
  <c r="N482" i="175"/>
  <c r="K63" i="190" s="1"/>
  <c r="K14"/>
  <c r="G314" i="175"/>
  <c r="F284"/>
  <c r="G757"/>
  <c r="BH291"/>
  <c r="AP764"/>
  <c r="AH314"/>
  <c r="Z475"/>
  <c r="W56" i="190" s="1"/>
  <c r="W7"/>
  <c r="AB17"/>
  <c r="AE485" i="175"/>
  <c r="AB66" i="190" s="1"/>
  <c r="BB298" i="175"/>
  <c r="BB285"/>
  <c r="M758"/>
  <c r="J35" i="189" s="1"/>
  <c r="N764" i="175"/>
  <c r="K41" i="189" s="1"/>
  <c r="AA479" i="175"/>
  <c r="BB417"/>
  <c r="X11" i="190"/>
  <c r="AP482" i="175"/>
  <c r="AM14" i="190"/>
  <c r="BH420" i="175"/>
  <c r="S760"/>
  <c r="P37" i="189" s="1"/>
  <c r="T7" i="190"/>
  <c r="W475" i="175"/>
  <c r="T56" i="190" s="1"/>
  <c r="BD161" i="175"/>
  <c r="AF758"/>
  <c r="AJ758"/>
  <c r="AG35" i="189" s="1"/>
  <c r="AX77" i="175"/>
  <c r="Y9" i="190"/>
  <c r="AB477" i="175"/>
  <c r="Y58" i="190" s="1"/>
  <c r="BH422" i="175"/>
  <c r="AP484"/>
  <c r="AM16" i="190"/>
  <c r="S765" i="175"/>
  <c r="P42" i="189" s="1"/>
  <c r="AI474" i="175"/>
  <c r="AF55" i="190" s="1"/>
  <c r="AF6"/>
  <c r="AX415" i="175"/>
  <c r="Q477"/>
  <c r="N9" i="190"/>
  <c r="AL758" i="175"/>
  <c r="AI35" i="189" s="1"/>
  <c r="K762" i="175"/>
  <c r="H39" i="189" s="1"/>
  <c r="BB71" i="175"/>
  <c r="AG5" i="190"/>
  <c r="U6"/>
  <c r="X474" i="175"/>
  <c r="U55" i="190" s="1"/>
  <c r="BD414" i="175"/>
  <c r="AC8" i="190"/>
  <c r="AF476" i="175"/>
  <c r="P17" i="72"/>
  <c r="P13" i="190"/>
  <c r="S481" i="175"/>
  <c r="P62" i="190" s="1"/>
  <c r="AP4"/>
  <c r="AM476" i="175"/>
  <c r="AJ57" i="190" s="1"/>
  <c r="AJ8"/>
  <c r="AA768" i="175"/>
  <c r="BB295"/>
  <c r="AM15" i="190"/>
  <c r="BH421" i="175"/>
  <c r="AP483"/>
  <c r="AS763"/>
  <c r="AP40" i="189" s="1"/>
  <c r="AL15" i="190"/>
  <c r="AO483" i="175"/>
  <c r="AL64" i="190" s="1"/>
  <c r="AN767" i="175"/>
  <c r="AK44" i="189" s="1"/>
  <c r="BF76" i="175"/>
  <c r="AP8" i="190"/>
  <c r="AS476" i="175"/>
  <c r="AP57" i="190" s="1"/>
  <c r="AO758" i="175"/>
  <c r="AL35" i="189" s="1"/>
  <c r="AI758" i="175"/>
  <c r="AF35" i="189" s="1"/>
  <c r="AG14" i="190"/>
  <c r="AJ482" i="175"/>
  <c r="AG63" i="190" s="1"/>
  <c r="T767" i="175"/>
  <c r="Q44" i="189" s="1"/>
  <c r="V764" i="175"/>
  <c r="AZ291"/>
  <c r="P25" i="72"/>
  <c r="AJ762" i="175"/>
  <c r="AG39" i="189" s="1"/>
  <c r="AN475" i="175"/>
  <c r="AK56" i="190" s="1"/>
  <c r="AK7"/>
  <c r="I764" i="175"/>
  <c r="F41" i="189" s="1"/>
  <c r="AX79" i="175"/>
  <c r="AN758"/>
  <c r="AK35" i="189" s="1"/>
  <c r="I477" i="175"/>
  <c r="F58" i="190" s="1"/>
  <c r="F9"/>
  <c r="AB481" i="175"/>
  <c r="Y62" i="190" s="1"/>
  <c r="Y13"/>
  <c r="AF483" i="175"/>
  <c r="AC15" i="190"/>
  <c r="BD421" i="175"/>
  <c r="AQ12" i="190"/>
  <c r="U484" i="175"/>
  <c r="R65" i="190" s="1"/>
  <c r="R16"/>
  <c r="AO760" i="175"/>
  <c r="AL37" i="189" s="1"/>
  <c r="AH758" i="175"/>
  <c r="AE35" i="189" s="1"/>
  <c r="AX292" i="175"/>
  <c r="Q765"/>
  <c r="AD16" i="190"/>
  <c r="AG484" i="175"/>
  <c r="AD65" i="190" s="1"/>
  <c r="AH767" i="175"/>
  <c r="AE44" i="189" s="1"/>
  <c r="AQ5" i="190"/>
  <c r="BF299" i="175"/>
  <c r="Z764"/>
  <c r="W41" i="189" s="1"/>
  <c r="AC765" i="175"/>
  <c r="Z42" i="189" s="1"/>
  <c r="AO478" i="175"/>
  <c r="AL59" i="190" s="1"/>
  <c r="AL10"/>
  <c r="O762" i="175"/>
  <c r="L39" i="189" s="1"/>
  <c r="P10" i="190"/>
  <c r="S478" i="175"/>
  <c r="P59" i="190" s="1"/>
  <c r="AP765" i="175"/>
  <c r="BH292"/>
  <c r="T314"/>
  <c r="G14" i="190"/>
  <c r="J482" i="175"/>
  <c r="G63" i="190" s="1"/>
  <c r="BB74" i="175"/>
  <c r="AF761"/>
  <c r="BD288"/>
  <c r="W767"/>
  <c r="T44" i="189" s="1"/>
  <c r="J761" i="175"/>
  <c r="G38" i="189" s="1"/>
  <c r="O758" i="175"/>
  <c r="L35" i="189" s="1"/>
  <c r="AG763" i="175"/>
  <c r="AD40" i="189" s="1"/>
  <c r="AM4" i="190"/>
  <c r="BH410" i="175"/>
  <c r="AI478"/>
  <c r="AF59" i="190" s="1"/>
  <c r="AF10"/>
  <c r="P30" i="72"/>
  <c r="P758" i="175"/>
  <c r="M35" i="189" s="1"/>
  <c r="AN13" i="190"/>
  <c r="AQ481" i="175"/>
  <c r="AN62" i="190" s="1"/>
  <c r="AZ293" i="175"/>
  <c r="BB73"/>
  <c r="AZ79"/>
  <c r="AM314"/>
  <c r="AQ767"/>
  <c r="AN44" i="189" s="1"/>
  <c r="BD297" i="175"/>
  <c r="AB15" i="190"/>
  <c r="AE483" i="175"/>
  <c r="AB64" i="190" s="1"/>
  <c r="AX80" i="175"/>
  <c r="AI17" i="190"/>
  <c r="AL485" i="175"/>
  <c r="AI66" i="190" s="1"/>
  <c r="L5"/>
  <c r="U474" i="175"/>
  <c r="R55" i="190" s="1"/>
  <c r="R6"/>
  <c r="P11" i="72"/>
  <c r="AT761" i="175"/>
  <c r="AQ38" i="189" s="1"/>
  <c r="AE4" i="190"/>
  <c r="R764" i="175"/>
  <c r="O41" i="189" s="1"/>
  <c r="AD762" i="175"/>
  <c r="AA39" i="189" s="1"/>
  <c r="AS482" i="175"/>
  <c r="AP63" i="190" s="1"/>
  <c r="AP14"/>
  <c r="L484" i="175"/>
  <c r="I16" i="190"/>
  <c r="AV422" i="175"/>
  <c r="AM5" i="190"/>
  <c r="BH411" i="175"/>
  <c r="AL12" i="190"/>
  <c r="N765" i="175"/>
  <c r="K42" i="189" s="1"/>
  <c r="AL4" i="190"/>
  <c r="M768" i="175"/>
  <c r="J45" i="189" s="1"/>
  <c r="T762" i="175"/>
  <c r="Q39" i="189" s="1"/>
  <c r="AC485" i="175"/>
  <c r="Z66" i="190" s="1"/>
  <c r="Z17"/>
  <c r="Q7"/>
  <c r="T475" i="175"/>
  <c r="Q56" i="190" s="1"/>
  <c r="AX422" i="175"/>
  <c r="N16" i="190"/>
  <c r="Q484" i="175"/>
  <c r="AF13" i="190"/>
  <c r="AI481" i="175"/>
  <c r="AF62" i="190" s="1"/>
  <c r="U765" i="175"/>
  <c r="R42" i="189" s="1"/>
  <c r="P764" i="175"/>
  <c r="M41" i="189" s="1"/>
  <c r="AM12" i="190"/>
  <c r="BH418" i="175"/>
  <c r="BH78"/>
  <c r="AK477"/>
  <c r="AH9" i="190"/>
  <c r="BF415" i="175"/>
  <c r="U17" i="190"/>
  <c r="X485" i="175"/>
  <c r="U66" i="190" s="1"/>
  <c r="AS764" i="175"/>
  <c r="AP41" i="189" s="1"/>
  <c r="AR484" i="175"/>
  <c r="AO65" i="190" s="1"/>
  <c r="AO16"/>
  <c r="AI8"/>
  <c r="AL476" i="175"/>
  <c r="AI57" i="190" s="1"/>
  <c r="AL761" i="175"/>
  <c r="AI38" i="189" s="1"/>
  <c r="AM760" i="175"/>
  <c r="AJ37" i="189" s="1"/>
  <c r="G764" i="175"/>
  <c r="F291"/>
  <c r="O314"/>
  <c r="L762"/>
  <c r="AV289"/>
  <c r="K767"/>
  <c r="H44" i="189" s="1"/>
  <c r="BD292" i="175"/>
  <c r="AF765"/>
  <c r="AI12" i="190"/>
  <c r="M5"/>
  <c r="R485" i="175"/>
  <c r="O66" i="190" s="1"/>
  <c r="O17"/>
  <c r="J760" i="175"/>
  <c r="G37" i="189" s="1"/>
  <c r="Z476" i="175"/>
  <c r="W57" i="190" s="1"/>
  <c r="W8"/>
  <c r="AR482" i="175"/>
  <c r="AO63" i="190" s="1"/>
  <c r="AO14"/>
  <c r="AZ76" i="175"/>
  <c r="AL486"/>
  <c r="AI67" i="190" s="1"/>
  <c r="AI18"/>
  <c r="AE767" i="175"/>
  <c r="AB44" i="189" s="1"/>
  <c r="AH474" i="175"/>
  <c r="AE55" i="190" s="1"/>
  <c r="AE6"/>
  <c r="G13"/>
  <c r="J481" i="175"/>
  <c r="G62" i="190" s="1"/>
  <c r="X481" i="175"/>
  <c r="U62" i="190" s="1"/>
  <c r="U13"/>
  <c r="R7"/>
  <c r="U475" i="175"/>
  <c r="R56" i="190" s="1"/>
  <c r="AO4"/>
  <c r="Z18"/>
  <c r="AC486" i="175"/>
  <c r="Z67" i="190" s="1"/>
  <c r="W5"/>
  <c r="BH67" i="175"/>
  <c r="AT763"/>
  <c r="AQ40" i="189" s="1"/>
  <c r="AC479" i="175"/>
  <c r="Z60" i="190" s="1"/>
  <c r="Z11"/>
  <c r="AG479" i="175"/>
  <c r="AD60" i="190" s="1"/>
  <c r="AD11"/>
  <c r="R763" i="175"/>
  <c r="O40" i="189" s="1"/>
  <c r="X765" i="175"/>
  <c r="U42" i="189" s="1"/>
  <c r="M18" i="190"/>
  <c r="P486" i="175"/>
  <c r="M67" i="190" s="1"/>
  <c r="BB284" i="175"/>
  <c r="AA314"/>
  <c r="BF297"/>
  <c r="AL765"/>
  <c r="AI42" i="189" s="1"/>
  <c r="AL5" i="190"/>
  <c r="R12"/>
  <c r="AJ14"/>
  <c r="AM482" i="175"/>
  <c r="AJ63" i="190" s="1"/>
  <c r="P26" i="72"/>
  <c r="N475" i="175"/>
  <c r="K56" i="190" s="1"/>
  <c r="K7"/>
  <c r="AD314" i="175"/>
  <c r="F5" i="190"/>
  <c r="P32" i="72"/>
  <c r="AS484" i="175"/>
  <c r="AP65" i="190" s="1"/>
  <c r="AP16"/>
  <c r="N18"/>
  <c r="AX424" i="175"/>
  <c r="Q486"/>
  <c r="I6" i="190"/>
  <c r="L474" i="175"/>
  <c r="AV412"/>
  <c r="Q475"/>
  <c r="AX413"/>
  <c r="N7" i="190"/>
  <c r="AX299" i="175"/>
  <c r="W763"/>
  <c r="T40" i="189" s="1"/>
  <c r="G439" i="175"/>
  <c r="G471"/>
  <c r="D52" i="190" s="1"/>
  <c r="D3"/>
  <c r="F409" i="175"/>
  <c r="AD7" i="190"/>
  <c r="AG475" i="175"/>
  <c r="AD56" i="190" s="1"/>
  <c r="V10"/>
  <c r="Y478" i="175"/>
  <c r="V59" i="190" s="1"/>
  <c r="AQ763" i="175"/>
  <c r="AN40" i="189" s="1"/>
  <c r="BD290" i="175"/>
  <c r="AF763"/>
  <c r="AX72"/>
  <c r="U15" i="190"/>
  <c r="X483" i="175"/>
  <c r="U64" i="190" s="1"/>
  <c r="AT762" i="175"/>
  <c r="AQ39" i="189" s="1"/>
  <c r="J768" i="175"/>
  <c r="G45" i="189" s="1"/>
  <c r="AP11" i="190"/>
  <c r="AS479" i="175"/>
  <c r="AP60" i="190" s="1"/>
  <c r="P31" i="72"/>
  <c r="AN314" i="175"/>
  <c r="J483"/>
  <c r="G64" i="190" s="1"/>
  <c r="G15"/>
  <c r="AX293" i="175"/>
  <c r="N17" i="190"/>
  <c r="AX423" i="175"/>
  <c r="Q485"/>
  <c r="BH80"/>
  <c r="F12" i="190"/>
  <c r="AT479" i="175"/>
  <c r="AQ60" i="190" s="1"/>
  <c r="AQ11"/>
  <c r="F6"/>
  <c r="I474" i="175"/>
  <c r="F55" i="190" s="1"/>
  <c r="AM758" i="175"/>
  <c r="AJ35" i="189" s="1"/>
  <c r="P24" i="72"/>
  <c r="P314" i="175"/>
  <c r="BB287"/>
  <c r="AA760"/>
  <c r="AQ760"/>
  <c r="AN37" i="189" s="1"/>
  <c r="BF79" i="175"/>
  <c r="I768"/>
  <c r="F45" i="189" s="1"/>
  <c r="BH288" i="175"/>
  <c r="AP761"/>
  <c r="W478"/>
  <c r="T59" i="190" s="1"/>
  <c r="T10"/>
  <c r="BB78" i="175"/>
  <c r="AH763"/>
  <c r="AE40" i="189" s="1"/>
  <c r="X479" i="175"/>
  <c r="U60" i="190" s="1"/>
  <c r="U11"/>
  <c r="BF70" i="175"/>
  <c r="S762"/>
  <c r="P39" i="189" s="1"/>
  <c r="AS477" i="175"/>
  <c r="AP58" i="190" s="1"/>
  <c r="AP9"/>
  <c r="Z768" i="175"/>
  <c r="W45" i="189" s="1"/>
  <c r="W759" i="175"/>
  <c r="T36" i="189" s="1"/>
  <c r="BH284" i="175"/>
  <c r="AP314"/>
  <c r="BH71"/>
  <c r="AD765"/>
  <c r="AA42" i="189" s="1"/>
  <c r="N486" i="175"/>
  <c r="K67" i="190" s="1"/>
  <c r="K18"/>
  <c r="AV80" i="175"/>
  <c r="AS762"/>
  <c r="AP39" i="189" s="1"/>
  <c r="AT758" i="175"/>
  <c r="AQ35" i="189" s="1"/>
  <c r="Q768" i="175"/>
  <c r="AX295"/>
  <c r="AD768"/>
  <c r="AA45" i="189" s="1"/>
  <c r="AV292" i="175"/>
  <c r="L765"/>
  <c r="G767"/>
  <c r="F294"/>
  <c r="G95"/>
  <c r="S4" i="190"/>
  <c r="AZ410" i="175"/>
  <c r="AR759"/>
  <c r="AO36" i="189" s="1"/>
  <c r="O764" i="175"/>
  <c r="L41" i="189" s="1"/>
  <c r="AJ12" i="190"/>
  <c r="T485" i="175"/>
  <c r="Q66" i="190" s="1"/>
  <c r="Q17"/>
  <c r="Y482" i="175"/>
  <c r="V63" i="190" s="1"/>
  <c r="V14"/>
  <c r="AG474" i="175"/>
  <c r="AD55" i="190" s="1"/>
  <c r="AD6"/>
  <c r="R758" i="175"/>
  <c r="O35" i="189" s="1"/>
  <c r="K760" i="175"/>
  <c r="H37" i="189" s="1"/>
  <c r="J5" i="190"/>
  <c r="AA12"/>
  <c r="F287" i="175"/>
  <c r="G760"/>
  <c r="M762"/>
  <c r="J39" i="189" s="1"/>
  <c r="AT314" i="175"/>
  <c r="AP15" i="190"/>
  <c r="AS483" i="175"/>
  <c r="AP64" i="190" s="1"/>
  <c r="G17"/>
  <c r="J485" i="175"/>
  <c r="G66" i="190" s="1"/>
  <c r="X768" i="175"/>
  <c r="U45" i="189" s="1"/>
  <c r="AJ768" i="175"/>
  <c r="AG45" i="189" s="1"/>
  <c r="O18" i="190"/>
  <c r="R486" i="175"/>
  <c r="O67" i="190" s="1"/>
  <c r="E14"/>
  <c r="H482" i="175"/>
  <c r="E63" i="190" s="1"/>
  <c r="BH298" i="175"/>
  <c r="AO11" i="190"/>
  <c r="AR479" i="175"/>
  <c r="AO60" i="190" s="1"/>
  <c r="AF15"/>
  <c r="AI483" i="175"/>
  <c r="AF64" i="190" s="1"/>
  <c r="AH12"/>
  <c r="BF418" i="175"/>
  <c r="AC483"/>
  <c r="Z64" i="190" s="1"/>
  <c r="Z15"/>
  <c r="AF16"/>
  <c r="AI484" i="175"/>
  <c r="AF65" i="190" s="1"/>
  <c r="AZ421" i="175"/>
  <c r="V483"/>
  <c r="S15" i="190"/>
  <c r="P19" i="72"/>
  <c r="S758" i="175"/>
  <c r="P35" i="189" s="1"/>
  <c r="AR481" i="175"/>
  <c r="AO62" i="190" s="1"/>
  <c r="AO13"/>
  <c r="AE17"/>
  <c r="AH485" i="175"/>
  <c r="AE66" i="190" s="1"/>
  <c r="BB416" i="175"/>
  <c r="X10" i="190"/>
  <c r="AA478" i="175"/>
  <c r="AT764"/>
  <c r="AQ41" i="189" s="1"/>
  <c r="AF9" i="190"/>
  <c r="AI477" i="175"/>
  <c r="AF58" i="190" s="1"/>
  <c r="AE765" i="175"/>
  <c r="AB42" i="189" s="1"/>
  <c r="Z7" i="190"/>
  <c r="AC475" i="175"/>
  <c r="Z56" i="190" s="1"/>
  <c r="S314" i="175"/>
  <c r="O4" i="190"/>
  <c r="M481" i="175"/>
  <c r="J62" i="190" s="1"/>
  <c r="J13"/>
  <c r="P48" i="72"/>
  <c r="AB765" i="175"/>
  <c r="Y42" i="189" s="1"/>
  <c r="BH74" i="175"/>
  <c r="P44" i="72"/>
  <c r="R759" i="175"/>
  <c r="O36" i="189" s="1"/>
  <c r="X5" i="190"/>
  <c r="BB411" i="175"/>
  <c r="P477"/>
  <c r="M58" i="190" s="1"/>
  <c r="M9"/>
  <c r="F297" i="175"/>
  <c r="X764"/>
  <c r="U41" i="189" s="1"/>
  <c r="P759" i="175"/>
  <c r="M36" i="189" s="1"/>
  <c r="AZ71" i="175"/>
  <c r="L9" i="190"/>
  <c r="O477" i="175"/>
  <c r="L58" i="190" s="1"/>
  <c r="Y14"/>
  <c r="AB482" i="175"/>
  <c r="Y63" i="190" s="1"/>
  <c r="AG767" i="175"/>
  <c r="AD44" i="189" s="1"/>
  <c r="J764" i="175"/>
  <c r="G41" i="189" s="1"/>
  <c r="AL8" i="190"/>
  <c r="AO476" i="175"/>
  <c r="AL57" i="190" s="1"/>
  <c r="H17"/>
  <c r="K485" i="175"/>
  <c r="H66" i="190" s="1"/>
  <c r="BF298" i="175"/>
  <c r="P41" i="72"/>
  <c r="I476" i="175"/>
  <c r="F57" i="190" s="1"/>
  <c r="F8"/>
  <c r="AO763" i="175"/>
  <c r="AL40" i="189" s="1"/>
  <c r="X763" i="175"/>
  <c r="U40" i="189" s="1"/>
  <c r="V761" i="175"/>
  <c r="AZ288"/>
  <c r="V760"/>
  <c r="AZ287"/>
  <c r="AB12" i="190"/>
  <c r="BB68" i="175"/>
  <c r="AK485"/>
  <c r="BF423"/>
  <c r="AH17" i="190"/>
  <c r="O760" i="175"/>
  <c r="L37" i="189" s="1"/>
  <c r="M763" i="175"/>
  <c r="J40" i="189" s="1"/>
  <c r="AK13" i="190"/>
  <c r="AN481" i="175"/>
  <c r="AK62" i="190" s="1"/>
  <c r="BF413" i="175"/>
  <c r="AK475"/>
  <c r="AH7" i="190"/>
  <c r="D8"/>
  <c r="F414" i="175"/>
  <c r="C8" i="190" s="1"/>
  <c r="G476" i="175"/>
  <c r="AJ759"/>
  <c r="AG36" i="189" s="1"/>
  <c r="T18" i="190"/>
  <c r="W486" i="175"/>
  <c r="T67" i="190" s="1"/>
  <c r="AR758" i="175"/>
  <c r="AO35" i="189" s="1"/>
  <c r="AO12" i="190"/>
  <c r="P4"/>
  <c r="M767" i="175"/>
  <c r="J44" i="189" s="1"/>
  <c r="AQ764" i="175"/>
  <c r="AN41" i="189" s="1"/>
  <c r="AM486" i="175"/>
  <c r="AJ67" i="190" s="1"/>
  <c r="AJ18"/>
  <c r="BF290" i="175"/>
  <c r="AK763"/>
  <c r="S763"/>
  <c r="P40" i="189" s="1"/>
  <c r="Y764" i="175"/>
  <c r="V41" i="189" s="1"/>
  <c r="AG477" i="175"/>
  <c r="AD58" i="190" s="1"/>
  <c r="AD9"/>
  <c r="AG761" i="175"/>
  <c r="AD38" i="189" s="1"/>
  <c r="BD294" i="175"/>
  <c r="AF767"/>
  <c r="AF5" i="190"/>
  <c r="AK758" i="175"/>
  <c r="BF161"/>
  <c r="N759"/>
  <c r="K36" i="189" s="1"/>
  <c r="AZ70" i="175"/>
  <c r="Q12" i="190"/>
  <c r="U761" i="175"/>
  <c r="R38" i="189" s="1"/>
  <c r="BD299" i="175"/>
  <c r="O485"/>
  <c r="L66" i="190" s="1"/>
  <c r="L17"/>
  <c r="R767" i="175"/>
  <c r="O44" i="189" s="1"/>
  <c r="AA10" i="190"/>
  <c r="AD478" i="175"/>
  <c r="AA59" i="190" s="1"/>
  <c r="M761" i="175"/>
  <c r="J38" i="189" s="1"/>
  <c r="AX78" i="175"/>
  <c r="AQ482"/>
  <c r="AN63" i="190" s="1"/>
  <c r="AN14"/>
  <c r="AN4"/>
  <c r="O765" i="175"/>
  <c r="L42" i="189" s="1"/>
  <c r="X18" i="190"/>
  <c r="BB424" i="175"/>
  <c r="AA486"/>
  <c r="AR765"/>
  <c r="AO42" i="189" s="1"/>
  <c r="AA6" i="190"/>
  <c r="AD474" i="175"/>
  <c r="AA55" i="190" s="1"/>
  <c r="BD74" i="175"/>
  <c r="AZ294"/>
  <c r="V767"/>
  <c r="BD70"/>
  <c r="O11" i="190"/>
  <c r="R479" i="175"/>
  <c r="O60" i="190" s="1"/>
  <c r="AV75" i="175"/>
  <c r="AC762"/>
  <c r="Z39" i="189" s="1"/>
  <c r="AB5" i="190"/>
  <c r="AD5"/>
  <c r="G759" i="175"/>
  <c r="F286"/>
  <c r="J763"/>
  <c r="G40" i="189" s="1"/>
  <c r="U16" i="190"/>
  <c r="X484" i="175"/>
  <c r="U65" i="190" s="1"/>
  <c r="AS765" i="175"/>
  <c r="AP42" i="189" s="1"/>
  <c r="AA13" i="190"/>
  <c r="AD481" i="175"/>
  <c r="AA62" i="190" s="1"/>
  <c r="AK17"/>
  <c r="AN485" i="175"/>
  <c r="AK66" i="190" s="1"/>
  <c r="P43" i="72"/>
  <c r="Z758" i="175"/>
  <c r="W35" i="189" s="1"/>
  <c r="AH4" i="190"/>
  <c r="BF410" i="175"/>
  <c r="AH484"/>
  <c r="AE65" i="190" s="1"/>
  <c r="AE16"/>
  <c r="AG4"/>
  <c r="AG17"/>
  <c r="AJ485" i="175"/>
  <c r="AG66" i="190" s="1"/>
  <c r="M314" i="175"/>
  <c r="AA5" i="190"/>
  <c r="AD760" i="175"/>
  <c r="AA37" i="189" s="1"/>
  <c r="AC11" i="190"/>
  <c r="AF479" i="175"/>
  <c r="BD417"/>
  <c r="F417"/>
  <c r="C11" i="190" s="1"/>
  <c r="D11"/>
  <c r="G479" i="175"/>
  <c r="AX297"/>
  <c r="P16" i="190"/>
  <c r="S484" i="175"/>
  <c r="P65" i="190" s="1"/>
  <c r="AG12"/>
  <c r="AL475" i="175"/>
  <c r="AI56" i="190" s="1"/>
  <c r="AI7"/>
  <c r="AF474" i="175"/>
  <c r="BD412"/>
  <c r="AC6" i="190"/>
  <c r="AZ292" i="175"/>
  <c r="V765"/>
  <c r="AM481"/>
  <c r="AJ62" i="190" s="1"/>
  <c r="AJ13"/>
  <c r="O768" i="175"/>
  <c r="L45" i="189" s="1"/>
  <c r="AT475" i="175"/>
  <c r="AQ56" i="190" s="1"/>
  <c r="AQ7"/>
  <c r="BH73" i="175"/>
  <c r="F17" i="190"/>
  <c r="I485" i="175"/>
  <c r="F66" i="190" s="1"/>
  <c r="AG314" i="175"/>
  <c r="BB77"/>
  <c r="V12" i="190"/>
  <c r="AG10"/>
  <c r="AJ478" i="175"/>
  <c r="AG59" i="190" s="1"/>
  <c r="P482" i="175"/>
  <c r="M63" i="190" s="1"/>
  <c r="M14"/>
  <c r="AM767" i="175"/>
  <c r="AJ44" i="189" s="1"/>
  <c r="AX67" i="175"/>
  <c r="AK484"/>
  <c r="AH16" i="190"/>
  <c r="BF422" i="175"/>
  <c r="BB299"/>
  <c r="M760"/>
  <c r="J37" i="189" s="1"/>
  <c r="AM9" i="190"/>
  <c r="BH415" i="175"/>
  <c r="AP477"/>
  <c r="Y7" i="190"/>
  <c r="AB475" i="175"/>
  <c r="Y56" i="190" s="1"/>
  <c r="BH72" i="175"/>
  <c r="AF486"/>
  <c r="BD424"/>
  <c r="AC18" i="190"/>
  <c r="O767" i="175"/>
  <c r="L44" i="189" s="1"/>
  <c r="BH286" i="175"/>
  <c r="AP759"/>
  <c r="W476"/>
  <c r="T57" i="190" s="1"/>
  <c r="T8"/>
  <c r="AB476" i="175"/>
  <c r="Y57" i="190" s="1"/>
  <c r="Y8"/>
  <c r="AK5"/>
  <c r="AC764" i="175"/>
  <c r="Z41" i="189" s="1"/>
  <c r="AV410" i="175"/>
  <c r="I4" i="190"/>
  <c r="AB483" i="175"/>
  <c r="Y64" i="190" s="1"/>
  <c r="Y15"/>
  <c r="O7"/>
  <c r="R475" i="175"/>
  <c r="O56" i="190" s="1"/>
  <c r="H767" i="175"/>
  <c r="E44" i="189" s="1"/>
  <c r="R765" i="175"/>
  <c r="O42" i="189" s="1"/>
  <c r="Y765" i="175"/>
  <c r="V42" i="189" s="1"/>
  <c r="Z8" i="190"/>
  <c r="AC476" i="175"/>
  <c r="Z57" i="190" s="1"/>
  <c r="P7"/>
  <c r="S475" i="175"/>
  <c r="P56" i="190" s="1"/>
  <c r="AX66" i="175"/>
  <c r="AO768"/>
  <c r="AL45" i="189" s="1"/>
  <c r="Z759" i="175"/>
  <c r="W36" i="189" s="1"/>
  <c r="AB8" i="190"/>
  <c r="AE476" i="175"/>
  <c r="AB57" i="190" s="1"/>
  <c r="AL768" i="175"/>
  <c r="AI45" i="189" s="1"/>
  <c r="K768" i="175"/>
  <c r="H45" i="189" s="1"/>
  <c r="T764" i="175"/>
  <c r="Q41" i="189" s="1"/>
  <c r="R5" i="190"/>
  <c r="T12"/>
  <c r="F298" i="175"/>
  <c r="AN768"/>
  <c r="AK45" i="189" s="1"/>
  <c r="N762" i="175"/>
  <c r="K39" i="189" s="1"/>
  <c r="H18" i="190"/>
  <c r="K486" i="175"/>
  <c r="H67" i="190" s="1"/>
  <c r="AA4"/>
  <c r="AL762" i="175"/>
  <c r="AI39" i="189" s="1"/>
  <c r="AO7" i="190"/>
  <c r="AR475" i="175"/>
  <c r="AO56" i="190" s="1"/>
  <c r="AG6"/>
  <c r="AJ474" i="175"/>
  <c r="AG55" i="190" s="1"/>
  <c r="AM6"/>
  <c r="AP474" i="175"/>
  <c r="BH412"/>
  <c r="AV69"/>
  <c r="O475"/>
  <c r="L56" i="190" s="1"/>
  <c r="L7"/>
  <c r="AK6"/>
  <c r="AN474" i="175"/>
  <c r="AK55" i="190" s="1"/>
  <c r="AN486" i="175"/>
  <c r="AK67" i="190" s="1"/>
  <c r="AK18"/>
  <c r="AC763" i="175"/>
  <c r="Z40" i="189" s="1"/>
  <c r="AV70" i="175"/>
  <c r="I762"/>
  <c r="F39" i="189" s="1"/>
  <c r="AI486" i="175"/>
  <c r="AF67" i="190" s="1"/>
  <c r="AF18"/>
  <c r="Y760" i="175"/>
  <c r="V37" i="189" s="1"/>
  <c r="M8" i="190"/>
  <c r="P476" i="175"/>
  <c r="M57" i="190" s="1"/>
  <c r="BH419" i="175"/>
  <c r="AP481"/>
  <c r="AM13" i="190"/>
  <c r="BB422" i="175"/>
  <c r="AA484"/>
  <c r="X16" i="190"/>
  <c r="P29" i="72"/>
  <c r="BB76" i="175"/>
  <c r="X760"/>
  <c r="U37" i="189" s="1"/>
  <c r="X4" i="190"/>
  <c r="BB410" i="175"/>
  <c r="AP760"/>
  <c r="BH287"/>
  <c r="AZ419"/>
  <c r="V481"/>
  <c r="S13" i="190"/>
  <c r="G5"/>
  <c r="F410" i="175"/>
  <c r="C4" i="190" s="1"/>
  <c r="G472" i="175"/>
  <c r="D53" i="190" s="1"/>
  <c r="D4"/>
  <c r="AP475" i="175"/>
  <c r="BH413"/>
  <c r="AM7" i="190"/>
  <c r="Q13"/>
  <c r="T481" i="175"/>
  <c r="Q62" i="190" s="1"/>
  <c r="AZ297" i="175"/>
  <c r="S768"/>
  <c r="P45" i="189" s="1"/>
  <c r="AS314" i="175"/>
  <c r="H10" i="190"/>
  <c r="K478" i="175"/>
  <c r="H59" i="190" s="1"/>
  <c r="Y758" i="175"/>
  <c r="V35" i="189" s="1"/>
  <c r="AD483" i="175"/>
  <c r="AA64" i="190" s="1"/>
  <c r="AA15"/>
  <c r="H768" i="175"/>
  <c r="E45" i="189" s="1"/>
  <c r="K763" i="175"/>
  <c r="H40" i="189" s="1"/>
  <c r="AQ484" i="175"/>
  <c r="AN65" i="190" s="1"/>
  <c r="AN16"/>
  <c r="AH15"/>
  <c r="BF421" i="175"/>
  <c r="AK483"/>
  <c r="AO314"/>
  <c r="Z763"/>
  <c r="W40" i="189" s="1"/>
  <c r="K6" i="190"/>
  <c r="N474" i="175"/>
  <c r="K55" i="190" s="1"/>
  <c r="P12"/>
  <c r="P40" i="72"/>
  <c r="U760" i="175"/>
  <c r="R37" i="189" s="1"/>
  <c r="AR476" i="175"/>
  <c r="AO57" i="190" s="1"/>
  <c r="AO8"/>
  <c r="K759" i="175"/>
  <c r="H36" i="189" s="1"/>
  <c r="AE760" i="175"/>
  <c r="AB37" i="189" s="1"/>
  <c r="AX286" i="175"/>
  <c r="Q759"/>
  <c r="K12" i="190"/>
  <c r="Q481" i="175"/>
  <c r="N13" i="190"/>
  <c r="AX419" i="175"/>
  <c r="AB478"/>
  <c r="Y59" i="190" s="1"/>
  <c r="Y10"/>
  <c r="AV299" i="175"/>
  <c r="BH76"/>
  <c r="P15" i="190"/>
  <c r="S483" i="175"/>
  <c r="P64" i="190" s="1"/>
  <c r="BD73" i="175"/>
  <c r="P13" i="72"/>
  <c r="R9" i="190"/>
  <c r="U477" i="175"/>
  <c r="R58" i="190" s="1"/>
  <c r="Z4"/>
  <c r="BB70" i="175"/>
  <c r="Y479"/>
  <c r="V60" i="190" s="1"/>
  <c r="V11"/>
  <c r="AV296" i="175"/>
  <c r="W6" i="190"/>
  <c r="Z474" i="175"/>
  <c r="W55" i="190" s="1"/>
  <c r="AZ73" i="175"/>
  <c r="E6" i="190"/>
  <c r="H474" i="175"/>
  <c r="E55" i="190" s="1"/>
  <c r="H11"/>
  <c r="K479" i="175"/>
  <c r="H60" i="190" s="1"/>
  <c r="AT759" i="175"/>
  <c r="AQ36" i="189" s="1"/>
  <c r="AI6" i="190"/>
  <c r="AL474" i="175"/>
  <c r="AI55" i="190" s="1"/>
  <c r="BF69" i="175"/>
  <c r="AF8" i="190"/>
  <c r="AI476" i="175"/>
  <c r="AF57" i="190" s="1"/>
  <c r="U9"/>
  <c r="X477" i="175"/>
  <c r="U58" i="190" s="1"/>
  <c r="F16"/>
  <c r="I484" i="175"/>
  <c r="F65" i="190" s="1"/>
  <c r="AO481" i="175"/>
  <c r="AL62" i="190" s="1"/>
  <c r="AL13"/>
  <c r="I17"/>
  <c r="L485" i="175"/>
  <c r="AV423"/>
  <c r="AQ758"/>
  <c r="AN35" i="189" s="1"/>
  <c r="AP7" i="190"/>
  <c r="AS475" i="175"/>
  <c r="AP56" i="190" s="1"/>
  <c r="J12"/>
  <c r="S477" i="175"/>
  <c r="P58" i="190" s="1"/>
  <c r="P9"/>
  <c r="AK481" i="175"/>
  <c r="AH13" i="190"/>
  <c r="BF419" i="175"/>
  <c r="BB161"/>
  <c r="AA758"/>
  <c r="J762"/>
  <c r="G39" i="189" s="1"/>
  <c r="U476" i="175"/>
  <c r="R57" i="190" s="1"/>
  <c r="R8"/>
  <c r="W18"/>
  <c r="Z486" i="175"/>
  <c r="W67" i="190" s="1"/>
  <c r="T4"/>
  <c r="AO764" i="175"/>
  <c r="AL41" i="189" s="1"/>
  <c r="AD476" i="175"/>
  <c r="AA57" i="190" s="1"/>
  <c r="AA8"/>
  <c r="V17"/>
  <c r="Y485" i="175"/>
  <c r="V66" i="190" s="1"/>
  <c r="AA18"/>
  <c r="AD486" i="175"/>
  <c r="AA67" i="190" s="1"/>
  <c r="AP13"/>
  <c r="AS481" i="175"/>
  <c r="AP62" i="190" s="1"/>
  <c r="BD293" i="175"/>
  <c r="U486"/>
  <c r="R67" i="190" s="1"/>
  <c r="R18"/>
  <c r="AV287" i="175"/>
  <c r="L760"/>
  <c r="E15" i="190"/>
  <c r="H483" i="175"/>
  <c r="E64" i="190" s="1"/>
  <c r="AH764" i="175"/>
  <c r="AE41" i="189" s="1"/>
  <c r="AQ762" i="175"/>
  <c r="AN39" i="189" s="1"/>
  <c r="AH10" i="190"/>
  <c r="BF416" i="175"/>
  <c r="AK478"/>
  <c r="AJ9" i="190"/>
  <c r="AM477" i="175"/>
  <c r="AJ58" i="190" s="1"/>
  <c r="Z10"/>
  <c r="AC478" i="175"/>
  <c r="Z59" i="190" s="1"/>
  <c r="P36" i="72"/>
  <c r="AV291" i="175"/>
  <c r="L764"/>
  <c r="AV77"/>
  <c r="AZ72"/>
  <c r="AA482"/>
  <c r="BB420"/>
  <c r="X14" i="190"/>
  <c r="M476" i="175"/>
  <c r="J57" i="190" s="1"/>
  <c r="J8"/>
  <c r="AE763" i="175"/>
  <c r="AB40" i="189" s="1"/>
  <c r="P37" i="72"/>
  <c r="AL759" i="175"/>
  <c r="AI36" i="189" s="1"/>
  <c r="X767" i="175"/>
  <c r="U44" i="189" s="1"/>
  <c r="AC768" i="175"/>
  <c r="Z45" i="189" s="1"/>
  <c r="AO485" i="175"/>
  <c r="AL66" i="190" s="1"/>
  <c r="AL17"/>
  <c r="BB297" i="175"/>
  <c r="AQ15" i="190"/>
  <c r="AT483" i="175"/>
  <c r="AQ64" i="190" s="1"/>
  <c r="BF67" i="175"/>
  <c r="BD416"/>
  <c r="AC10" i="190"/>
  <c r="AF478" i="175"/>
  <c r="T768"/>
  <c r="Q45" i="189" s="1"/>
  <c r="Y486" i="175"/>
  <c r="V67" i="190" s="1"/>
  <c r="V18"/>
  <c r="AB763" i="175"/>
  <c r="Y40" i="189" s="1"/>
  <c r="AM18" i="190"/>
  <c r="AP486" i="175"/>
  <c r="BH424"/>
  <c r="P27" i="72"/>
  <c r="P42"/>
  <c r="AH761" i="175"/>
  <c r="AE38" i="189" s="1"/>
  <c r="AQ6" i="190"/>
  <c r="AT474" i="175"/>
  <c r="AQ55" i="190" s="1"/>
  <c r="I481" i="175"/>
  <c r="F62" i="190" s="1"/>
  <c r="F13"/>
  <c r="AP10"/>
  <c r="AS478" i="175"/>
  <c r="AP59" i="190" s="1"/>
  <c r="AI9"/>
  <c r="AL477" i="175"/>
  <c r="AI58" i="190" s="1"/>
  <c r="U314" i="175"/>
  <c r="AJ760"/>
  <c r="AG37" i="189" s="1"/>
  <c r="BD72" i="175"/>
  <c r="R762"/>
  <c r="O39" i="189" s="1"/>
  <c r="AK762" i="175"/>
  <c r="BF289"/>
  <c r="Y4" i="190"/>
  <c r="F15"/>
  <c r="I483" i="175"/>
  <c r="F64" i="190" s="1"/>
  <c r="AR485" i="175"/>
  <c r="AO66" i="190" s="1"/>
  <c r="AO17"/>
  <c r="W482" i="175"/>
  <c r="T63" i="190" s="1"/>
  <c r="T14"/>
  <c r="L4"/>
  <c r="AE478" i="175"/>
  <c r="AB59" i="190" s="1"/>
  <c r="AB10"/>
  <c r="AR761" i="175"/>
  <c r="AO38" i="189" s="1"/>
  <c r="Q9" i="190"/>
  <c r="T477" i="175"/>
  <c r="Q58" i="190" s="1"/>
  <c r="V476" i="175"/>
  <c r="S8" i="190"/>
  <c r="AZ414" i="175"/>
  <c r="W17" i="190"/>
  <c r="Z485" i="175"/>
  <c r="W66" i="190" s="1"/>
  <c r="G4"/>
  <c r="AN477" i="175"/>
  <c r="AK58" i="190" s="1"/>
  <c r="AK9"/>
  <c r="AH478" i="175"/>
  <c r="AE59" i="190" s="1"/>
  <c r="AE10"/>
  <c r="AA759" i="175"/>
  <c r="BB286"/>
  <c r="P23" i="72"/>
  <c r="AM763" i="175"/>
  <c r="AJ40" i="189" s="1"/>
  <c r="BF293" i="175"/>
  <c r="AN479"/>
  <c r="AK60" i="190" s="1"/>
  <c r="AK11"/>
  <c r="R761" i="175"/>
  <c r="O38" i="189" s="1"/>
  <c r="AH760" i="175"/>
  <c r="AE37" i="189" s="1"/>
  <c r="AO759" i="175"/>
  <c r="AL36" i="189" s="1"/>
  <c r="O759" i="175"/>
  <c r="L36" i="189" s="1"/>
  <c r="L482" i="175"/>
  <c r="I14" i="190"/>
  <c r="AV420" i="175"/>
  <c r="AH486"/>
  <c r="AE67" i="190" s="1"/>
  <c r="AE18"/>
  <c r="AS767" i="175"/>
  <c r="AP44" i="189" s="1"/>
  <c r="AC767" i="175"/>
  <c r="Z44" i="189" s="1"/>
  <c r="BF80" i="175"/>
  <c r="T483"/>
  <c r="Q64" i="190" s="1"/>
  <c r="Q15"/>
  <c r="AF762" i="175"/>
  <c r="BD289"/>
  <c r="I7" i="190"/>
  <c r="AV413" i="175"/>
  <c r="L475"/>
  <c r="AH765"/>
  <c r="AE42" i="189" s="1"/>
  <c r="AZ298" i="175"/>
  <c r="AS760"/>
  <c r="AP37" i="189" s="1"/>
  <c r="AI5" i="190"/>
  <c r="AB762" i="175"/>
  <c r="Y39" i="189" s="1"/>
  <c r="AK474" i="175"/>
  <c r="BF412"/>
  <c r="AH6" i="190"/>
  <c r="AV73" i="175"/>
  <c r="AV72"/>
  <c r="AR762"/>
  <c r="AO39" i="189" s="1"/>
  <c r="M479" i="175"/>
  <c r="J60" i="190" s="1"/>
  <c r="J11"/>
  <c r="X314" i="175"/>
  <c r="F412"/>
  <c r="C6" i="190" s="1"/>
  <c r="D6"/>
  <c r="G474" i="175"/>
  <c r="AB761"/>
  <c r="Y38" i="189" s="1"/>
  <c r="BH297" i="175"/>
  <c r="R13" i="190"/>
  <c r="U481" i="175"/>
  <c r="R62" i="190" s="1"/>
  <c r="F290" i="175"/>
  <c r="G763"/>
  <c r="F288"/>
  <c r="G761"/>
  <c r="AE11" i="190"/>
  <c r="AH479" i="175"/>
  <c r="AE60" i="190" s="1"/>
  <c r="H9"/>
  <c r="K477" i="175"/>
  <c r="H58" i="190" s="1"/>
  <c r="AN12"/>
  <c r="AN7"/>
  <c r="AQ475" i="175"/>
  <c r="AN56" i="190" s="1"/>
  <c r="F18"/>
  <c r="I486" i="175"/>
  <c r="F67" i="190" s="1"/>
  <c r="AZ290" i="175"/>
  <c r="V763"/>
  <c r="O483"/>
  <c r="L64" i="190" s="1"/>
  <c r="L15"/>
  <c r="BF78" i="175"/>
  <c r="X17" i="190"/>
  <c r="BB423" i="175"/>
  <c r="AA485"/>
  <c r="M765"/>
  <c r="J42" i="189" s="1"/>
  <c r="AC761" i="175"/>
  <c r="Z38" i="189" s="1"/>
  <c r="E16" i="190"/>
  <c r="H484" i="175"/>
  <c r="E65" i="190" s="1"/>
  <c r="BF77" i="175"/>
  <c r="AX417"/>
  <c r="Q479"/>
  <c r="N11" i="190"/>
  <c r="G768" i="175"/>
  <c r="F295"/>
  <c r="P38" i="72"/>
  <c r="BB296" i="175"/>
  <c r="AS474"/>
  <c r="AP55" i="190" s="1"/>
  <c r="AP6"/>
  <c r="BB289" i="175"/>
  <c r="AA762"/>
  <c r="V482"/>
  <c r="S14" i="190"/>
  <c r="AZ420" i="175"/>
  <c r="AO767"/>
  <c r="AL44" i="189" s="1"/>
  <c r="U767" i="175"/>
  <c r="R44" i="189" s="1"/>
  <c r="N767" i="175"/>
  <c r="K44" i="189" s="1"/>
  <c r="Q8" i="190"/>
  <c r="T476" i="175"/>
  <c r="Q57" i="190" s="1"/>
  <c r="AJ761" i="175"/>
  <c r="AG38" i="189" s="1"/>
  <c r="AI11" i="190"/>
  <c r="AL479" i="175"/>
  <c r="AI60" i="190" s="1"/>
  <c r="W314" i="175"/>
  <c r="AR478"/>
  <c r="AO59" i="190" s="1"/>
  <c r="AO10"/>
  <c r="AI314" i="175"/>
  <c r="P14" i="72"/>
  <c r="T6" i="190"/>
  <c r="W474" i="175"/>
  <c r="T55" i="190" s="1"/>
  <c r="AV76" i="175"/>
  <c r="AE477"/>
  <c r="AB58" i="190" s="1"/>
  <c r="AB9"/>
  <c r="Z762" i="175"/>
  <c r="W39" i="189" s="1"/>
  <c r="AT478" i="175"/>
  <c r="AQ59" i="190" s="1"/>
  <c r="AQ10"/>
  <c r="BF72" i="175"/>
  <c r="AD4" i="190"/>
  <c r="AF12"/>
  <c r="AG759" i="175"/>
  <c r="AD36" i="189" s="1"/>
  <c r="E8" i="190"/>
  <c r="H476" i="175"/>
  <c r="E57" i="190" s="1"/>
  <c r="P49" i="72"/>
  <c r="T760" i="175"/>
  <c r="Q37" i="189" s="1"/>
  <c r="N314" i="175"/>
  <c r="N5" i="190"/>
  <c r="AX411" i="175"/>
  <c r="V314"/>
  <c r="AZ284"/>
  <c r="V16" i="190"/>
  <c r="Y484" i="175"/>
  <c r="V65" i="190" s="1"/>
  <c r="N761" i="175"/>
  <c r="K38" i="189" s="1"/>
  <c r="AP17" i="190"/>
  <c r="AS485" i="175"/>
  <c r="AP66" i="190" s="1"/>
  <c r="BD75" i="175"/>
  <c r="Q6" i="190"/>
  <c r="T474" i="175"/>
  <c r="Q55" i="190" s="1"/>
  <c r="AS761" i="175"/>
  <c r="AP38" i="189" s="1"/>
  <c r="X8" i="190"/>
  <c r="BB414" i="175"/>
  <c r="AA476"/>
  <c r="S767"/>
  <c r="P44" i="189" s="1"/>
  <c r="AI765" i="175"/>
  <c r="AF42" i="189" s="1"/>
  <c r="H6" i="190"/>
  <c r="K474" i="175"/>
  <c r="H55" i="190" s="1"/>
  <c r="I314" i="175"/>
  <c r="AD12" i="190"/>
  <c r="BF420" i="175"/>
  <c r="AH14" i="190"/>
  <c r="AK482" i="175"/>
  <c r="AV67"/>
  <c r="AV414"/>
  <c r="L476"/>
  <c r="I8" i="190"/>
  <c r="W765" i="175"/>
  <c r="T42" i="189" s="1"/>
  <c r="BB293" i="175"/>
  <c r="N14" i="190"/>
  <c r="Q482" i="175"/>
  <c r="AX420"/>
  <c r="W758"/>
  <c r="T35" i="189" s="1"/>
  <c r="Y762" i="175"/>
  <c r="V39" i="189" s="1"/>
  <c r="AQ4" i="190"/>
  <c r="BH79" i="175"/>
  <c r="AG760"/>
  <c r="AD37" i="189" s="1"/>
  <c r="AT486" i="175"/>
  <c r="AQ67" i="190" s="1"/>
  <c r="AQ18"/>
  <c r="L483" i="175"/>
  <c r="I15" i="190"/>
  <c r="AV421" i="175"/>
  <c r="BD79"/>
  <c r="W16" i="190"/>
  <c r="Z484" i="175"/>
  <c r="W65" i="190" s="1"/>
  <c r="W13"/>
  <c r="Z481" i="175"/>
  <c r="W62" i="190" s="1"/>
  <c r="X758" i="175"/>
  <c r="U35" i="189" s="1"/>
  <c r="M478" i="175"/>
  <c r="J59" i="190" s="1"/>
  <c r="J10"/>
  <c r="H314" i="175"/>
  <c r="AX288"/>
  <c r="Q761"/>
  <c r="T11" i="190"/>
  <c r="W479" i="175"/>
  <c r="T60" i="190" s="1"/>
  <c r="L6"/>
  <c r="O474" i="175"/>
  <c r="L55" i="190" s="1"/>
  <c r="I765" i="175"/>
  <c r="F42" i="189" s="1"/>
  <c r="BH77" i="175"/>
  <c r="AX74"/>
  <c r="S474"/>
  <c r="P55" i="190" s="1"/>
  <c r="P6"/>
  <c r="AJ484" i="175"/>
  <c r="AG65" i="190" s="1"/>
  <c r="AG16"/>
  <c r="Y474" i="175"/>
  <c r="V55" i="190" s="1"/>
  <c r="V6"/>
  <c r="AG18"/>
  <c r="AJ486" i="175"/>
  <c r="AG67" i="190" s="1"/>
  <c r="AB767" i="175"/>
  <c r="Y44" i="189" s="1"/>
  <c r="BF73" i="175"/>
  <c r="AA764"/>
  <c r="BB291"/>
  <c r="J14" i="190"/>
  <c r="M482" i="175"/>
  <c r="J63" i="190" s="1"/>
  <c r="O16"/>
  <c r="R484" i="175"/>
  <c r="O65" i="190" s="1"/>
  <c r="R4"/>
  <c r="Q14"/>
  <c r="T482" i="175"/>
  <c r="Q63" i="190" s="1"/>
  <c r="U762" i="175"/>
  <c r="R39" i="189" s="1"/>
  <c r="AO18" i="190"/>
  <c r="AR486" i="175"/>
  <c r="AO67" i="190" s="1"/>
  <c r="V759" i="175"/>
  <c r="AZ286"/>
  <c r="T761"/>
  <c r="Q38" i="189" s="1"/>
  <c r="BB67" i="175"/>
  <c r="R481"/>
  <c r="O62" i="190" s="1"/>
  <c r="O13"/>
  <c r="Y12"/>
  <c r="AF11"/>
  <c r="AI479" i="175"/>
  <c r="AF60" i="190" s="1"/>
  <c r="BB75" i="175"/>
  <c r="U12" i="190"/>
  <c r="AE13"/>
  <c r="AH481" i="175"/>
  <c r="AE62" i="190" s="1"/>
  <c r="AQ314" i="175"/>
  <c r="R10" i="190"/>
  <c r="U478" i="175"/>
  <c r="R59" i="190" s="1"/>
  <c r="AP763" i="175"/>
  <c r="BH290"/>
  <c r="G16" i="190"/>
  <c r="J484" i="175"/>
  <c r="G65" i="190" s="1"/>
  <c r="G6"/>
  <c r="J474" i="175"/>
  <c r="G55" i="190" s="1"/>
  <c r="V479" i="175"/>
  <c r="S11" i="190"/>
  <c r="AZ417" i="175"/>
  <c r="BB79"/>
  <c r="AM764"/>
  <c r="AJ41" i="189" s="1"/>
  <c r="AN762" i="175"/>
  <c r="AK39" i="189" s="1"/>
  <c r="AJ765" i="175"/>
  <c r="AG42" i="189" s="1"/>
  <c r="AJ4" i="190"/>
  <c r="BD77" i="175"/>
  <c r="AB759"/>
  <c r="Y36" i="189" s="1"/>
  <c r="AV74" i="175"/>
  <c r="O763"/>
  <c r="L40" i="189" s="1"/>
  <c r="AJ476" i="175"/>
  <c r="AG57" i="190" s="1"/>
  <c r="AG8"/>
  <c r="AX284" i="175"/>
  <c r="Q314"/>
  <c r="S17" i="190"/>
  <c r="V485" i="175"/>
  <c r="AZ423"/>
  <c r="AH483"/>
  <c r="AE64" i="190" s="1"/>
  <c r="AE15"/>
  <c r="E5"/>
  <c r="AG768" i="175"/>
  <c r="AD45" i="189" s="1"/>
  <c r="P768" i="175"/>
  <c r="M45" i="189" s="1"/>
  <c r="L18" i="190"/>
  <c r="O486" i="175"/>
  <c r="L67" i="190" s="1"/>
  <c r="AF485" i="175"/>
  <c r="AC17" i="190"/>
  <c r="BD423" i="175"/>
  <c r="N483"/>
  <c r="K64" i="190" s="1"/>
  <c r="K15"/>
  <c r="AX69" i="175"/>
  <c r="AT476"/>
  <c r="AQ57" i="190" s="1"/>
  <c r="AQ8"/>
  <c r="AH762" i="175"/>
  <c r="AE39" i="189" s="1"/>
  <c r="AZ80" i="175"/>
  <c r="W768"/>
  <c r="T45" i="189" s="1"/>
  <c r="J18" i="190"/>
  <c r="M486" i="175"/>
  <c r="J67" i="190" s="1"/>
  <c r="AQ17"/>
  <c r="AT485" i="175"/>
  <c r="AQ66" i="190" s="1"/>
  <c r="F420" i="175"/>
  <c r="C14" i="190" s="1"/>
  <c r="D14"/>
  <c r="G482" i="175"/>
  <c r="S485"/>
  <c r="P66" i="190" s="1"/>
  <c r="P17"/>
  <c r="P47" i="72"/>
  <c r="AA7" i="190"/>
  <c r="AD475" i="175"/>
  <c r="AA56" i="190" s="1"/>
  <c r="U14"/>
  <c r="X482" i="175"/>
  <c r="U63" i="190" s="1"/>
  <c r="Z761" i="175"/>
  <c r="W38" i="189" s="1"/>
  <c r="AZ289" i="175"/>
  <c r="V762"/>
  <c r="AN482"/>
  <c r="AK63" i="190" s="1"/>
  <c r="AK14"/>
  <c r="F292" i="175"/>
  <c r="G765"/>
  <c r="BF284"/>
  <c r="AK314"/>
  <c r="AS758"/>
  <c r="AP35" i="189" s="1"/>
  <c r="F293" i="175"/>
  <c r="G766"/>
  <c r="D43" i="189" s="1"/>
  <c r="AB474" i="175"/>
  <c r="Y55" i="190" s="1"/>
  <c r="Y6"/>
  <c r="N760" i="175"/>
  <c r="K37" i="189" s="1"/>
  <c r="AG483" i="175"/>
  <c r="AD64" i="190" s="1"/>
  <c r="AD15"/>
  <c r="AK768" i="175"/>
  <c r="BF295"/>
  <c r="U5" i="190"/>
  <c r="BF411" i="175"/>
  <c r="AH5" i="190"/>
  <c r="O8"/>
  <c r="R476" i="175"/>
  <c r="O57" i="190" s="1"/>
  <c r="AD477" i="175"/>
  <c r="AA58" i="190" s="1"/>
  <c r="AA9"/>
  <c r="AA763" i="175"/>
  <c r="BB290"/>
  <c r="BD68"/>
  <c r="I758"/>
  <c r="F35" i="189" s="1"/>
  <c r="R760" i="175"/>
  <c r="O37" i="189" s="1"/>
  <c r="P39" i="72"/>
  <c r="I760" i="175"/>
  <c r="F37" i="189" s="1"/>
  <c r="AC314" i="175"/>
  <c r="P15" i="72"/>
  <c r="BD410" i="175"/>
  <c r="AC4" i="190"/>
  <c r="BH69" i="175"/>
  <c r="Z767"/>
  <c r="W44" i="189" s="1"/>
  <c r="AE7" i="190"/>
  <c r="AH475" i="175"/>
  <c r="AE56" i="190" s="1"/>
  <c r="BD287" i="175"/>
  <c r="AF760"/>
  <c r="AP485"/>
  <c r="AM17" i="190"/>
  <c r="BH423" i="175"/>
  <c r="AC12" i="190"/>
  <c r="BD418" i="175"/>
  <c r="K314"/>
  <c r="H765"/>
  <c r="E42" i="189" s="1"/>
  <c r="AJ7" i="190"/>
  <c r="AM475" i="175"/>
  <c r="AJ56" i="190" s="1"/>
  <c r="L759" i="175"/>
  <c r="AV286"/>
  <c r="AZ67"/>
  <c r="H760"/>
  <c r="E37" i="189" s="1"/>
  <c r="AJ475" i="175"/>
  <c r="AG56" i="190" s="1"/>
  <c r="AG7"/>
  <c r="N10"/>
  <c r="Q478" i="175"/>
  <c r="AX416"/>
  <c r="AM8" i="190"/>
  <c r="BH414" i="175"/>
  <c r="AP476"/>
  <c r="AD764"/>
  <c r="AA41" i="189" s="1"/>
  <c r="AN765" i="175"/>
  <c r="AK42" i="189" s="1"/>
  <c r="AI4" i="190"/>
  <c r="AC760" i="175"/>
  <c r="Z37" i="189" s="1"/>
  <c r="AN11" i="190"/>
  <c r="AQ479" i="175"/>
  <c r="AN60" i="190" s="1"/>
  <c r="BB294" i="175"/>
  <c r="AA767"/>
  <c r="S761"/>
  <c r="P38" i="189" s="1"/>
  <c r="O14" i="190"/>
  <c r="R482" i="175"/>
  <c r="O63" i="190" s="1"/>
  <c r="Y761" i="175"/>
  <c r="V38" i="189" s="1"/>
  <c r="AB18" i="190"/>
  <c r="AE486" i="175"/>
  <c r="AB67" i="190" s="1"/>
  <c r="H16"/>
  <c r="K484" i="175"/>
  <c r="H65" i="190" s="1"/>
  <c r="K5"/>
  <c r="Y477" i="175"/>
  <c r="V58" i="190" s="1"/>
  <c r="V9"/>
  <c r="AK764" i="175"/>
  <c r="BF291"/>
  <c r="H478"/>
  <c r="E59" i="190" s="1"/>
  <c r="E10"/>
  <c r="AI761" i="175"/>
  <c r="AF38" i="189" s="1"/>
  <c r="K765" i="175"/>
  <c r="H42" i="189" s="1"/>
  <c r="H759" i="175"/>
  <c r="E36" i="189" s="1"/>
  <c r="AL314" i="175"/>
  <c r="M16" i="190"/>
  <c r="P484" i="175"/>
  <c r="M65" i="190" s="1"/>
  <c r="P34" i="72"/>
  <c r="M759" i="175"/>
  <c r="J36" i="189" s="1"/>
  <c r="AF7" i="190"/>
  <c r="AI475" i="175"/>
  <c r="AF56" i="190" s="1"/>
  <c r="BD69" i="175"/>
  <c r="AQ483"/>
  <c r="AN64" i="190" s="1"/>
  <c r="AN15"/>
  <c r="AI759" i="175"/>
  <c r="AF36" i="189" s="1"/>
  <c r="AV285" i="175"/>
  <c r="AJ763"/>
  <c r="AG40" i="189" s="1"/>
  <c r="AE479" i="175"/>
  <c r="AB60" i="190" s="1"/>
  <c r="AB11"/>
  <c r="BD296" i="175"/>
  <c r="P5" i="190"/>
  <c r="J479" i="175"/>
  <c r="G60" i="190" s="1"/>
  <c r="G11"/>
  <c r="AP758" i="175"/>
  <c r="BH161"/>
  <c r="BD298"/>
  <c r="AO761"/>
  <c r="AL38" i="189" s="1"/>
  <c r="P33" i="72"/>
  <c r="BF66" i="175"/>
  <c r="G7" i="190"/>
  <c r="J475" i="175"/>
  <c r="G56" i="190" s="1"/>
  <c r="Z765" i="175"/>
  <c r="W42" i="189" s="1"/>
  <c r="H762" i="175"/>
  <c r="E39" i="189" s="1"/>
  <c r="Q5" i="190"/>
  <c r="AV411" i="175"/>
  <c r="I5" i="190"/>
  <c r="Y16"/>
  <c r="AB484" i="175"/>
  <c r="Y65" i="190" s="1"/>
  <c r="AH11"/>
  <c r="AK479" i="175"/>
  <c r="BF417"/>
  <c r="AK16" i="190"/>
  <c r="AN484" i="175"/>
  <c r="AK65" i="190" s="1"/>
  <c r="AM483" i="175"/>
  <c r="AJ64" i="190" s="1"/>
  <c r="AJ15"/>
  <c r="AP5"/>
  <c r="AO479" i="175"/>
  <c r="AL60" i="190" s="1"/>
  <c r="AL11"/>
  <c r="BH68" i="175"/>
  <c r="AQ765"/>
  <c r="AN42" i="189" s="1"/>
  <c r="T9" i="190"/>
  <c r="W477" i="175"/>
  <c r="T58" i="190" s="1"/>
  <c r="AE481" i="175"/>
  <c r="AB62" i="190" s="1"/>
  <c r="AB13"/>
  <c r="AL16"/>
  <c r="AO484" i="175"/>
  <c r="AL65" i="190" s="1"/>
  <c r="AS5" i="76"/>
  <c r="AQ5"/>
  <c r="AS7" i="190" l="1"/>
  <c r="BE17"/>
  <c r="AX314" i="175"/>
  <c r="D8" i="188"/>
  <c r="BC6" i="190"/>
  <c r="AW8"/>
  <c r="BC12"/>
  <c r="AU5"/>
  <c r="BA17"/>
  <c r="AZ314" i="175"/>
  <c r="AU10" i="190"/>
  <c r="AY8"/>
  <c r="BA10"/>
  <c r="AU13"/>
  <c r="BA6"/>
  <c r="AY18"/>
  <c r="BC7"/>
  <c r="AY5"/>
  <c r="BB314" i="175"/>
  <c r="BE5" i="190"/>
  <c r="BA15"/>
  <c r="BE16"/>
  <c r="AY7"/>
  <c r="AW9"/>
  <c r="BA13"/>
  <c r="AU8"/>
  <c r="AU6"/>
  <c r="BC18"/>
  <c r="BA3"/>
  <c r="AY3"/>
  <c r="AU3"/>
  <c r="AS3"/>
  <c r="AU14"/>
  <c r="BB95" i="175"/>
  <c r="BF95"/>
  <c r="AM66" i="190"/>
  <c r="BE66" s="1"/>
  <c r="BH485" i="175"/>
  <c r="AH45" i="189"/>
  <c r="BC45" s="1"/>
  <c r="BF768" i="175"/>
  <c r="I64" i="190"/>
  <c r="AS64" s="1"/>
  <c r="AV483" i="175"/>
  <c r="S57" i="190"/>
  <c r="AW57" s="1"/>
  <c r="AZ476" i="175"/>
  <c r="AH64" i="190"/>
  <c r="BC64" s="1"/>
  <c r="BF483" i="175"/>
  <c r="AM62" i="190"/>
  <c r="BE62" s="1"/>
  <c r="BH481" i="175"/>
  <c r="S64" i="190"/>
  <c r="AW64" s="1"/>
  <c r="AZ483" i="175"/>
  <c r="N42" i="189"/>
  <c r="AU42" s="1"/>
  <c r="AX765" i="175"/>
  <c r="AM64" i="190"/>
  <c r="BE64" s="1"/>
  <c r="BH483" i="175"/>
  <c r="AC57" i="190"/>
  <c r="BA57" s="1"/>
  <c r="BD476" i="175"/>
  <c r="I62" i="190"/>
  <c r="AS62" s="1"/>
  <c r="AV481" i="175"/>
  <c r="AH36" i="189"/>
  <c r="BC36" s="1"/>
  <c r="BF759" i="175"/>
  <c r="N37" i="189"/>
  <c r="AU37" s="1"/>
  <c r="AX760" i="175"/>
  <c r="AH57" i="190"/>
  <c r="BC57" s="1"/>
  <c r="BF476" i="175"/>
  <c r="D54" i="190"/>
  <c r="I58"/>
  <c r="AS58" s="1"/>
  <c r="AV477" i="175"/>
  <c r="S56" i="190"/>
  <c r="AW56" s="1"/>
  <c r="AZ475" i="175"/>
  <c r="AH33" i="190"/>
  <c r="BC33" s="1"/>
  <c r="BF439" i="175"/>
  <c r="X44" i="189"/>
  <c r="AY44" s="1"/>
  <c r="BB767" i="175"/>
  <c r="S40" i="189"/>
  <c r="AW40" s="1"/>
  <c r="AZ763" i="175"/>
  <c r="AH39" i="189"/>
  <c r="BC39" s="1"/>
  <c r="BF762" i="175"/>
  <c r="AC59" i="190"/>
  <c r="BA59" s="1"/>
  <c r="BD478" i="175"/>
  <c r="AH59" i="190"/>
  <c r="BC59" s="1"/>
  <c r="BF478" i="175"/>
  <c r="N36" i="189"/>
  <c r="AU36" s="1"/>
  <c r="AX759" i="175"/>
  <c r="AM56" i="190"/>
  <c r="BE56" s="1"/>
  <c r="BH475" i="175"/>
  <c r="AM58" i="190"/>
  <c r="BE58" s="1"/>
  <c r="BH477" i="175"/>
  <c r="AH65" i="190"/>
  <c r="BC65" s="1"/>
  <c r="BF484" i="175"/>
  <c r="AH35" i="189"/>
  <c r="BC35" s="1"/>
  <c r="BF758" i="175"/>
  <c r="S38" i="189"/>
  <c r="AW38" s="1"/>
  <c r="AZ761" i="175"/>
  <c r="I42" i="189"/>
  <c r="AS42" s="1"/>
  <c r="AV765" i="175"/>
  <c r="N45" i="189"/>
  <c r="AU45" s="1"/>
  <c r="AX768" i="175"/>
  <c r="C3" i="190"/>
  <c r="D11" i="188"/>
  <c r="AC42" i="189"/>
  <c r="BA42" s="1"/>
  <c r="BD765" i="175"/>
  <c r="I39" i="189"/>
  <c r="AS39" s="1"/>
  <c r="AV762" i="175"/>
  <c r="I65" i="190"/>
  <c r="AS65" s="1"/>
  <c r="AV484" i="175"/>
  <c r="AC38" i="189"/>
  <c r="BA38" s="1"/>
  <c r="BD761" i="175"/>
  <c r="S41" i="189"/>
  <c r="AW41" s="1"/>
  <c r="AZ764" i="175"/>
  <c r="N58" i="190"/>
  <c r="AU58" s="1"/>
  <c r="AX477" i="175"/>
  <c r="AC35" i="189"/>
  <c r="BA35" s="1"/>
  <c r="BD758" i="175"/>
  <c r="AM41" i="189"/>
  <c r="BE41" s="1"/>
  <c r="BH764" i="175"/>
  <c r="I59" i="190"/>
  <c r="AS59" s="1"/>
  <c r="AV478" i="175"/>
  <c r="N40" i="189"/>
  <c r="AU40" s="1"/>
  <c r="AX763" i="175"/>
  <c r="AM60" i="190"/>
  <c r="BE60" s="1"/>
  <c r="BH479" i="175"/>
  <c r="D39" i="189"/>
  <c r="F762" i="175"/>
  <c r="C39" i="189" s="1"/>
  <c r="I40"/>
  <c r="AS40" s="1"/>
  <c r="AV763" i="175"/>
  <c r="S45" i="189"/>
  <c r="AW45" s="1"/>
  <c r="AZ768" i="175"/>
  <c r="AC65" i="190"/>
  <c r="BA65" s="1"/>
  <c r="BD484" i="175"/>
  <c r="N57" i="190"/>
  <c r="AU57" s="1"/>
  <c r="AX476" i="175"/>
  <c r="I60" i="190"/>
  <c r="AS60" s="1"/>
  <c r="AV479" i="175"/>
  <c r="S35" i="189"/>
  <c r="AW35" s="1"/>
  <c r="AZ758" i="175"/>
  <c r="I38" i="189"/>
  <c r="AS38" s="1"/>
  <c r="AV761" i="175"/>
  <c r="X62" i="190"/>
  <c r="AY62" s="1"/>
  <c r="BB481" i="175"/>
  <c r="AM44" i="189"/>
  <c r="BE44" s="1"/>
  <c r="BH767" i="175"/>
  <c r="AH44" i="189"/>
  <c r="BC44" s="1"/>
  <c r="BF767" i="175"/>
  <c r="N64" i="190"/>
  <c r="AU64" s="1"/>
  <c r="AX483" i="175"/>
  <c r="N55" i="190"/>
  <c r="AU55" s="1"/>
  <c r="AX474" i="175"/>
  <c r="N34" i="189"/>
  <c r="AU34" s="1"/>
  <c r="AX757" i="175"/>
  <c r="S34" i="189"/>
  <c r="AW34" s="1"/>
  <c r="AZ757" i="175"/>
  <c r="X33" i="190"/>
  <c r="AY33" s="1"/>
  <c r="BB439" i="175"/>
  <c r="N33" i="190"/>
  <c r="AU33" s="1"/>
  <c r="AX439" i="175"/>
  <c r="AM33" i="190"/>
  <c r="BE33" s="1"/>
  <c r="BH439" i="175"/>
  <c r="AY6" i="190"/>
  <c r="AY15"/>
  <c r="BD95" i="175"/>
  <c r="AY17" i="190"/>
  <c r="AY14"/>
  <c r="AS17"/>
  <c r="AY4"/>
  <c r="BE13"/>
  <c r="BE6"/>
  <c r="AS4"/>
  <c r="BC17"/>
  <c r="AY10"/>
  <c r="AW15"/>
  <c r="F314" i="175"/>
  <c r="AW4" i="190"/>
  <c r="BH314" i="175"/>
  <c r="AU17" i="190"/>
  <c r="AS6"/>
  <c r="AU16"/>
  <c r="AY11"/>
  <c r="D8" i="176"/>
  <c r="BD314" i="175"/>
  <c r="AW12" i="190"/>
  <c r="BC8"/>
  <c r="AU12"/>
  <c r="AS9"/>
  <c r="AW10"/>
  <c r="AY9"/>
  <c r="BA5"/>
  <c r="AX95" i="175"/>
  <c r="AZ95"/>
  <c r="BC3" i="190"/>
  <c r="AW3"/>
  <c r="AM40" i="189"/>
  <c r="BE40" s="1"/>
  <c r="BH763" i="175"/>
  <c r="S36" i="189"/>
  <c r="AW36" s="1"/>
  <c r="AZ759" i="175"/>
  <c r="AC39" i="189"/>
  <c r="BA39" s="1"/>
  <c r="BD762" i="175"/>
  <c r="AC40" i="189"/>
  <c r="BA40" s="1"/>
  <c r="BD763" i="175"/>
  <c r="AH38" i="189"/>
  <c r="BC38" s="1"/>
  <c r="BF761" i="175"/>
  <c r="S67" i="190"/>
  <c r="AW67" s="1"/>
  <c r="AZ486" i="175"/>
  <c r="I34" i="189"/>
  <c r="AS34" s="1"/>
  <c r="AV757" i="175"/>
  <c r="AM34" i="189"/>
  <c r="BE34" s="1"/>
  <c r="BH757" i="175"/>
  <c r="S39" i="189"/>
  <c r="AW39" s="1"/>
  <c r="AZ762" i="175"/>
  <c r="D63" i="190"/>
  <c r="F482" i="175"/>
  <c r="C63" i="190" s="1"/>
  <c r="S60"/>
  <c r="AW60" s="1"/>
  <c r="AZ479" i="175"/>
  <c r="X57" i="190"/>
  <c r="AY57" s="1"/>
  <c r="BB476" i="175"/>
  <c r="N60" i="190"/>
  <c r="AU60" s="1"/>
  <c r="AX479" i="175"/>
  <c r="S62" i="190"/>
  <c r="AW62" s="1"/>
  <c r="AZ481" i="175"/>
  <c r="AM55" i="190"/>
  <c r="BE55" s="1"/>
  <c r="BH474" i="175"/>
  <c r="AC67" i="190"/>
  <c r="BA67" s="1"/>
  <c r="BD486" i="175"/>
  <c r="S42" i="189"/>
  <c r="AW42" s="1"/>
  <c r="AZ765" i="175"/>
  <c r="AC55" i="190"/>
  <c r="BA55" s="1"/>
  <c r="BD474" i="175"/>
  <c r="D36" i="189"/>
  <c r="F759" i="175"/>
  <c r="C36" i="189" s="1"/>
  <c r="X67" i="190"/>
  <c r="AY67" s="1"/>
  <c r="BB486" i="175"/>
  <c r="AC44" i="189"/>
  <c r="BA44" s="1"/>
  <c r="BD767" i="175"/>
  <c r="X59" i="190"/>
  <c r="AY59" s="1"/>
  <c r="BB478" i="175"/>
  <c r="D37" i="189"/>
  <c r="F760" i="175"/>
  <c r="C37" i="189" s="1"/>
  <c r="D44"/>
  <c r="F767" i="175"/>
  <c r="C44" i="189" s="1"/>
  <c r="X37"/>
  <c r="AY37" s="1"/>
  <c r="BB760" i="175"/>
  <c r="D33" i="190"/>
  <c r="G501" i="175"/>
  <c r="D69" i="190" s="1"/>
  <c r="F439" i="175"/>
  <c r="C33" i="190" s="1"/>
  <c r="D11" i="176"/>
  <c r="I55" i="190"/>
  <c r="AS55" s="1"/>
  <c r="AV474" i="175"/>
  <c r="D41" i="189"/>
  <c r="F764" i="175"/>
  <c r="C41" i="189" s="1"/>
  <c r="AH58" i="190"/>
  <c r="BC58" s="1"/>
  <c r="BF477" i="175"/>
  <c r="N65" i="190"/>
  <c r="AU65" s="1"/>
  <c r="AX484" i="175"/>
  <c r="AM63" i="190"/>
  <c r="BE63" s="1"/>
  <c r="BH482" i="175"/>
  <c r="S55" i="190"/>
  <c r="AW55" s="1"/>
  <c r="AZ474" i="175"/>
  <c r="D58" i="190"/>
  <c r="F477" i="175"/>
  <c r="C58" i="190" s="1"/>
  <c r="AC45" i="189"/>
  <c r="BA45" s="1"/>
  <c r="BD768" i="175"/>
  <c r="X56" i="190"/>
  <c r="AY56" s="1"/>
  <c r="BB475" i="175"/>
  <c r="I45" i="189"/>
  <c r="AS45" s="1"/>
  <c r="AV768" i="175"/>
  <c r="AC56" i="190"/>
  <c r="BA56" s="1"/>
  <c r="BD475" i="175"/>
  <c r="AC58" i="190"/>
  <c r="BA58" s="1"/>
  <c r="BD477" i="175"/>
  <c r="S58" i="190"/>
  <c r="AW58" s="1"/>
  <c r="AZ477" i="175"/>
  <c r="D59" i="190"/>
  <c r="F478" i="175"/>
  <c r="C59" i="190" s="1"/>
  <c r="I35" i="189"/>
  <c r="AS35" s="1"/>
  <c r="AV758" i="175"/>
  <c r="X55" i="190"/>
  <c r="AY55" s="1"/>
  <c r="BB474" i="175"/>
  <c r="I44" i="189"/>
  <c r="AS44" s="1"/>
  <c r="AV767" i="175"/>
  <c r="D67" i="190"/>
  <c r="F486" i="175"/>
  <c r="C67" i="190" s="1"/>
  <c r="S59"/>
  <c r="AW59" s="1"/>
  <c r="AZ478" i="175"/>
  <c r="D56" i="190"/>
  <c r="F475" i="175"/>
  <c r="C56" i="190" s="1"/>
  <c r="X58"/>
  <c r="AY58" s="1"/>
  <c r="BB477" i="175"/>
  <c r="X42" i="189"/>
  <c r="AY42" s="1"/>
  <c r="BB765" i="175"/>
  <c r="D64" i="190"/>
  <c r="F483" i="175"/>
  <c r="C64" i="190" s="1"/>
  <c r="X38" i="189"/>
  <c r="AY38" s="1"/>
  <c r="BB761" i="175"/>
  <c r="AH67" i="190"/>
  <c r="BC67" s="1"/>
  <c r="BF486" i="175"/>
  <c r="AM45" i="189"/>
  <c r="BE45" s="1"/>
  <c r="BH768" i="175"/>
  <c r="I33" i="190"/>
  <c r="AS33" s="1"/>
  <c r="AV439" i="175"/>
  <c r="BA18" i="190"/>
  <c r="BA4"/>
  <c r="BC5"/>
  <c r="AW17"/>
  <c r="BC14"/>
  <c r="BC15"/>
  <c r="BC16"/>
  <c r="BA11"/>
  <c r="BC4"/>
  <c r="AU7"/>
  <c r="AU18"/>
  <c r="AS16"/>
  <c r="BE15"/>
  <c r="AU9"/>
  <c r="AS10"/>
  <c r="BE10"/>
  <c r="AW16"/>
  <c r="AW18"/>
  <c r="BA16"/>
  <c r="AY13"/>
  <c r="AW5"/>
  <c r="BA14"/>
  <c r="X41" i="189"/>
  <c r="AY41" s="1"/>
  <c r="BB764" i="175"/>
  <c r="S63" i="190"/>
  <c r="AW63" s="1"/>
  <c r="AZ482" i="175"/>
  <c r="D45" i="189"/>
  <c r="F768" i="175"/>
  <c r="C45" i="189" s="1"/>
  <c r="D40"/>
  <c r="F763" i="175"/>
  <c r="C40" i="189" s="1"/>
  <c r="I56" i="190"/>
  <c r="AS56" s="1"/>
  <c r="AV475" i="175"/>
  <c r="I41" i="189"/>
  <c r="AS41" s="1"/>
  <c r="AV764" i="175"/>
  <c r="S44" i="189"/>
  <c r="AW44" s="1"/>
  <c r="AZ767" i="175"/>
  <c r="N56" i="190"/>
  <c r="AU56" s="1"/>
  <c r="AX475" i="175"/>
  <c r="N67" i="190"/>
  <c r="AU67" s="1"/>
  <c r="AX486" i="175"/>
  <c r="I67" i="190"/>
  <c r="AS67" s="1"/>
  <c r="AV486" i="175"/>
  <c r="D62" i="190"/>
  <c r="F481" i="175"/>
  <c r="C62" i="190" s="1"/>
  <c r="AM59"/>
  <c r="BE59" s="1"/>
  <c r="BH478" i="175"/>
  <c r="S65" i="190"/>
  <c r="AW65" s="1"/>
  <c r="AZ484" i="175"/>
  <c r="D35" i="189"/>
  <c r="F758" i="175"/>
  <c r="C35" i="189" s="1"/>
  <c r="AC63" i="190"/>
  <c r="BA63" s="1"/>
  <c r="BD482" i="175"/>
  <c r="X34" i="189"/>
  <c r="AY34" s="1"/>
  <c r="BB757" i="175"/>
  <c r="AM35" i="189"/>
  <c r="BE35" s="1"/>
  <c r="BH758" i="175"/>
  <c r="AM57" i="190"/>
  <c r="BE57" s="1"/>
  <c r="BH476" i="175"/>
  <c r="AX478"/>
  <c r="N59" i="190"/>
  <c r="AU59" s="1"/>
  <c r="D42" i="189"/>
  <c r="F765" i="175"/>
  <c r="C42" i="189" s="1"/>
  <c r="AC66" i="190"/>
  <c r="BA66" s="1"/>
  <c r="BD485" i="175"/>
  <c r="AH41" i="189"/>
  <c r="BC41" s="1"/>
  <c r="BF764" i="175"/>
  <c r="I36" i="189"/>
  <c r="AS36" s="1"/>
  <c r="AV759" i="175"/>
  <c r="N38" i="189"/>
  <c r="AU38" s="1"/>
  <c r="AX761" i="175"/>
  <c r="I57" i="190"/>
  <c r="AS57" s="1"/>
  <c r="AV476" i="175"/>
  <c r="D38" i="189"/>
  <c r="F761" i="175"/>
  <c r="C38" i="189" s="1"/>
  <c r="D55" i="190"/>
  <c r="F474" i="175"/>
  <c r="C55" i="190" s="1"/>
  <c r="I63"/>
  <c r="AS63" s="1"/>
  <c r="AV482" i="175"/>
  <c r="I37" i="189"/>
  <c r="AS37" s="1"/>
  <c r="AV760" i="175"/>
  <c r="X35" i="189"/>
  <c r="AY35" s="1"/>
  <c r="BB758" i="175"/>
  <c r="AH62" i="190"/>
  <c r="BC62" s="1"/>
  <c r="BF481" i="175"/>
  <c r="I66" i="190"/>
  <c r="AS66" s="1"/>
  <c r="AV485" i="175"/>
  <c r="AH60" i="190"/>
  <c r="BC60" s="1"/>
  <c r="BF479" i="175"/>
  <c r="AC37" i="189"/>
  <c r="BA37" s="1"/>
  <c r="BD760" i="175"/>
  <c r="X40" i="189"/>
  <c r="AY40" s="1"/>
  <c r="BB763" i="175"/>
  <c r="S66" i="190"/>
  <c r="AW66" s="1"/>
  <c r="AZ485" i="175"/>
  <c r="N63" i="190"/>
  <c r="AU63" s="1"/>
  <c r="AX482" i="175"/>
  <c r="AH63" i="190"/>
  <c r="BC63" s="1"/>
  <c r="BF482" i="175"/>
  <c r="X39" i="189"/>
  <c r="AY39" s="1"/>
  <c r="BB762" i="175"/>
  <c r="X66" i="190"/>
  <c r="AY66" s="1"/>
  <c r="BB485" i="175"/>
  <c r="AH55" i="190"/>
  <c r="BC55" s="1"/>
  <c r="BF474" i="175"/>
  <c r="X36" i="189"/>
  <c r="AY36" s="1"/>
  <c r="BB759" i="175"/>
  <c r="AM67" i="190"/>
  <c r="BE67" s="1"/>
  <c r="BH486" i="175"/>
  <c r="X63" i="190"/>
  <c r="AY63" s="1"/>
  <c r="BB482" i="175"/>
  <c r="N62" i="190"/>
  <c r="AU62" s="1"/>
  <c r="AX481" i="175"/>
  <c r="AM37" i="189"/>
  <c r="BE37" s="1"/>
  <c r="BH760" i="175"/>
  <c r="X65" i="190"/>
  <c r="AY65" s="1"/>
  <c r="BB484" i="175"/>
  <c r="AM36" i="189"/>
  <c r="BE36" s="1"/>
  <c r="BH759" i="175"/>
  <c r="D60" i="190"/>
  <c r="F479" i="175"/>
  <c r="C60" i="190" s="1"/>
  <c r="AC60"/>
  <c r="BA60" s="1"/>
  <c r="BD479" i="175"/>
  <c r="AH40" i="189"/>
  <c r="BC40" s="1"/>
  <c r="BF763" i="175"/>
  <c r="D57" i="190"/>
  <c r="F476" i="175"/>
  <c r="C57" i="190" s="1"/>
  <c r="AH56"/>
  <c r="BC56" s="1"/>
  <c r="BF475" i="175"/>
  <c r="AH66" i="190"/>
  <c r="BC66" s="1"/>
  <c r="BF485" i="175"/>
  <c r="S37" i="189"/>
  <c r="AW37" s="1"/>
  <c r="AZ760" i="175"/>
  <c r="AM38" i="189"/>
  <c r="BE38" s="1"/>
  <c r="BH761" i="175"/>
  <c r="N66" i="190"/>
  <c r="AU66" s="1"/>
  <c r="AX485" i="175"/>
  <c r="AM42" i="189"/>
  <c r="BE42" s="1"/>
  <c r="BH765" i="175"/>
  <c r="AC64" i="190"/>
  <c r="BA64" s="1"/>
  <c r="BD483" i="175"/>
  <c r="X45" i="189"/>
  <c r="AY45" s="1"/>
  <c r="BB768" i="175"/>
  <c r="AM65" i="190"/>
  <c r="BE65" s="1"/>
  <c r="BH484" i="175"/>
  <c r="X60" i="190"/>
  <c r="AY60" s="1"/>
  <c r="BB479" i="175"/>
  <c r="D34" i="189"/>
  <c r="F757" i="175"/>
  <c r="C34" i="189" s="1"/>
  <c r="D66" i="190"/>
  <c r="F485" i="175"/>
  <c r="C66" i="190" s="1"/>
  <c r="AH42" i="189"/>
  <c r="BC42" s="1"/>
  <c r="BF765" i="175"/>
  <c r="AC36" i="189"/>
  <c r="BA36" s="1"/>
  <c r="BD759" i="175"/>
  <c r="AM39" i="189"/>
  <c r="BE39" s="1"/>
  <c r="BH762" i="175"/>
  <c r="AH37" i="189"/>
  <c r="BC37" s="1"/>
  <c r="BF760" i="175"/>
  <c r="D65" i="190"/>
  <c r="F484" i="175"/>
  <c r="C65" i="190" s="1"/>
  <c r="AC41" i="189"/>
  <c r="BA41" s="1"/>
  <c r="BD764" i="175"/>
  <c r="X64" i="190"/>
  <c r="AY64" s="1"/>
  <c r="BB483" i="175"/>
  <c r="AC62" i="190"/>
  <c r="BA62" s="1"/>
  <c r="BD481" i="175"/>
  <c r="N41" i="189"/>
  <c r="AU41" s="1"/>
  <c r="AX764" i="175"/>
  <c r="N44" i="189"/>
  <c r="AU44" s="1"/>
  <c r="AX767" i="175"/>
  <c r="N35" i="189"/>
  <c r="AU35" s="1"/>
  <c r="AX758" i="175"/>
  <c r="N39" i="189"/>
  <c r="AU39" s="1"/>
  <c r="AX762" i="175"/>
  <c r="AH34" i="189"/>
  <c r="BC34" s="1"/>
  <c r="BF757" i="175"/>
  <c r="AC34" i="189"/>
  <c r="BA34" s="1"/>
  <c r="BD757" i="175"/>
  <c r="AC33" i="190"/>
  <c r="BA33" s="1"/>
  <c r="BD439" i="175"/>
  <c r="S33" i="190"/>
  <c r="AW33" s="1"/>
  <c r="AZ439" i="175"/>
  <c r="AY16" i="190"/>
  <c r="BA7"/>
  <c r="BA9"/>
  <c r="AY12"/>
  <c r="BH95" i="175"/>
  <c r="AS15" i="190"/>
  <c r="AW14"/>
  <c r="BC11"/>
  <c r="BE18"/>
  <c r="AS5"/>
  <c r="BE8"/>
  <c r="BA12"/>
  <c r="BF314" i="175"/>
  <c r="AW11" i="190"/>
  <c r="AS8"/>
  <c r="AU11"/>
  <c r="AS14"/>
  <c r="BC10"/>
  <c r="BC13"/>
  <c r="BE7"/>
  <c r="AW13"/>
  <c r="BE9"/>
  <c r="BC9"/>
  <c r="BE12"/>
  <c r="BE4"/>
  <c r="BA8"/>
  <c r="BE14"/>
  <c r="AW6"/>
  <c r="AS18"/>
  <c r="AS13"/>
  <c r="AU4"/>
  <c r="BE11"/>
  <c r="AS12"/>
  <c r="AS11"/>
  <c r="AW7"/>
  <c r="AV314" i="175"/>
  <c r="AU15" i="190"/>
  <c r="AV95" i="175"/>
  <c r="BE3" i="190"/>
  <c r="AT5" i="76"/>
  <c r="AV5" l="1"/>
  <c r="AW5" l="1"/>
  <c r="AX5" l="1"/>
  <c r="AZ5" l="1"/>
  <c r="BB5" l="1"/>
  <c r="BD5" l="1"/>
  <c r="BE5" l="1"/>
  <c r="BH5" l="1"/>
  <c r="BJ5" l="1"/>
  <c r="BL5" l="1"/>
  <c r="BM5" l="1"/>
  <c r="BN5" l="1"/>
  <c r="BO5" l="1"/>
  <c r="BP5" l="1"/>
  <c r="BQ5" l="1"/>
  <c r="BR5" l="1"/>
  <c r="AU5"/>
  <c r="AG169" i="175"/>
  <c r="I169"/>
  <c r="Y169"/>
  <c r="M169"/>
  <c r="AO169"/>
  <c r="AC169"/>
  <c r="I766" l="1"/>
  <c r="F43" i="189" s="1"/>
  <c r="Y766" i="175"/>
  <c r="V43" i="189" s="1"/>
  <c r="M766" i="175"/>
  <c r="J43" i="189" s="1"/>
  <c r="AC766" i="175"/>
  <c r="Z43" i="189" s="1"/>
  <c r="AG766" i="175"/>
  <c r="AD43" i="189" s="1"/>
  <c r="AO766" i="175"/>
  <c r="AL43" i="189" s="1"/>
  <c r="H169" i="175"/>
  <c r="AL169"/>
  <c r="AE169"/>
  <c r="AJ169"/>
  <c r="P169"/>
  <c r="AA169"/>
  <c r="AI169"/>
  <c r="AQ169"/>
  <c r="Z169"/>
  <c r="AT169"/>
  <c r="S169"/>
  <c r="W169"/>
  <c r="AF169"/>
  <c r="U169"/>
  <c r="J169"/>
  <c r="AB169"/>
  <c r="AP169"/>
  <c r="AS169"/>
  <c r="Q169"/>
  <c r="AK169"/>
  <c r="O169"/>
  <c r="K169"/>
  <c r="V169"/>
  <c r="AN169"/>
  <c r="AH169"/>
  <c r="AM169"/>
  <c r="X169"/>
  <c r="AR169"/>
  <c r="L169"/>
  <c r="T169"/>
  <c r="N169"/>
  <c r="R169"/>
  <c r="AD169"/>
  <c r="AL766" l="1"/>
  <c r="AI43" i="189" s="1"/>
  <c r="R766" i="175"/>
  <c r="O43" i="189" s="1"/>
  <c r="AH766" i="175"/>
  <c r="AE43" i="189" s="1"/>
  <c r="X766" i="175"/>
  <c r="U43" i="189" s="1"/>
  <c r="S766" i="175"/>
  <c r="P43" i="189" s="1"/>
  <c r="AN766" i="175"/>
  <c r="AK43" i="189" s="1"/>
  <c r="J766" i="175"/>
  <c r="G43" i="189" s="1"/>
  <c r="Z766" i="175"/>
  <c r="W43" i="189" s="1"/>
  <c r="K766" i="175"/>
  <c r="H43" i="189" s="1"/>
  <c r="AK766" i="175"/>
  <c r="AH43" i="189" s="1"/>
  <c r="Q766" i="175"/>
  <c r="N43" i="189" s="1"/>
  <c r="AR766" i="175"/>
  <c r="AO43" i="189" s="1"/>
  <c r="AM766" i="175"/>
  <c r="AJ43" i="189" s="1"/>
  <c r="AS766" i="175"/>
  <c r="AP43" i="189" s="1"/>
  <c r="O766" i="175"/>
  <c r="L43" i="189" s="1"/>
  <c r="N766" i="175"/>
  <c r="K43" i="189" s="1"/>
  <c r="P766" i="175"/>
  <c r="M43" i="189" s="1"/>
  <c r="AD766" i="175"/>
  <c r="AA43" i="189" s="1"/>
  <c r="AJ766" i="175"/>
  <c r="AG43" i="189" s="1"/>
  <c r="H766" i="175"/>
  <c r="E43" i="189" s="1"/>
  <c r="AQ766" i="175"/>
  <c r="AN43" i="189" s="1"/>
  <c r="T766" i="175"/>
  <c r="Q43" i="189" s="1"/>
  <c r="AF766" i="175"/>
  <c r="AC43" i="189" s="1"/>
  <c r="AI766" i="175"/>
  <c r="AF43" i="189" s="1"/>
  <c r="V766" i="175"/>
  <c r="S43" i="189" s="1"/>
  <c r="AE766" i="175"/>
  <c r="AB43" i="189" s="1"/>
  <c r="W766" i="175"/>
  <c r="T43" i="189" s="1"/>
  <c r="AT766" i="175"/>
  <c r="AQ43" i="189" s="1"/>
  <c r="L766" i="175"/>
  <c r="I43" i="189" s="1"/>
  <c r="AB766" i="175"/>
  <c r="Y43" i="189" s="1"/>
  <c r="AA766" i="175"/>
  <c r="X43" i="189" s="1"/>
  <c r="U766" i="175"/>
  <c r="R43" i="189" s="1"/>
  <c r="AP766" i="175"/>
  <c r="AM43" i="189" s="1"/>
  <c r="F169" i="175"/>
  <c r="BH169"/>
  <c r="BD169"/>
  <c r="BB169"/>
  <c r="BF169"/>
  <c r="AV169"/>
  <c r="AX169"/>
  <c r="AZ169"/>
  <c r="BA43" i="189" l="1"/>
  <c r="BE43"/>
  <c r="AS43"/>
  <c r="AW43"/>
  <c r="AY43"/>
  <c r="BC43"/>
  <c r="AU43"/>
  <c r="BH766" i="175"/>
  <c r="AZ766"/>
  <c r="BB766"/>
  <c r="BD766"/>
  <c r="AX766"/>
  <c r="AV766"/>
  <c r="BF766"/>
  <c r="F766"/>
  <c r="C43" i="189" s="1"/>
  <c r="G33" i="175"/>
  <c r="BK5" i="76" l="1"/>
  <c r="BI5"/>
  <c r="BG5"/>
  <c r="BA5"/>
  <c r="AU46" i="162"/>
  <c r="AU42" s="1"/>
  <c r="AU32" l="1"/>
  <c r="BR59"/>
  <c r="BU59" s="1"/>
  <c r="BR22"/>
  <c r="BU22" s="1"/>
  <c r="BR45"/>
  <c r="BU45" s="1"/>
  <c r="BR21"/>
  <c r="BU21" s="1"/>
  <c r="BR23"/>
  <c r="BU23" s="1"/>
  <c r="BR26"/>
  <c r="BU26" s="1"/>
  <c r="BR50"/>
  <c r="BU50" s="1"/>
  <c r="BR55"/>
  <c r="BU55" s="1"/>
  <c r="BR51"/>
  <c r="BU51" s="1"/>
  <c r="BR28"/>
  <c r="BU28" s="1"/>
  <c r="BR43"/>
  <c r="BU43" s="1"/>
  <c r="BR47"/>
  <c r="BU47" s="1"/>
  <c r="BR53"/>
  <c r="BU53" s="1"/>
  <c r="BR20"/>
  <c r="BU20" s="1"/>
  <c r="BR38"/>
  <c r="BU38" s="1"/>
  <c r="BR57"/>
  <c r="BU57" s="1"/>
  <c r="BR52"/>
  <c r="BU52" s="1"/>
  <c r="BR30"/>
  <c r="BU30" s="1"/>
  <c r="BR32"/>
  <c r="BU32" s="1"/>
  <c r="BR33"/>
  <c r="BU33" s="1"/>
  <c r="BR40"/>
  <c r="BU40" s="1"/>
  <c r="BR29"/>
  <c r="BU29" s="1"/>
  <c r="BR48"/>
  <c r="BU48" s="1"/>
  <c r="BR42"/>
  <c r="BU42" s="1"/>
  <c r="BR56"/>
  <c r="BU56" s="1"/>
  <c r="BR27"/>
  <c r="BU27" s="1"/>
  <c r="BR58"/>
  <c r="BU58" s="1"/>
  <c r="BR37"/>
  <c r="BU37" s="1"/>
  <c r="BR41"/>
  <c r="BU41" s="1"/>
  <c r="BR35"/>
  <c r="BU35" s="1"/>
  <c r="BR46"/>
  <c r="BU46" s="1"/>
  <c r="BR25"/>
  <c r="BU25" s="1"/>
  <c r="BR31"/>
  <c r="BU31" s="1"/>
  <c r="BR36"/>
  <c r="BU36" s="1"/>
  <c r="BR54"/>
  <c r="BU54" s="1"/>
  <c r="BR34"/>
  <c r="BU34" s="1"/>
  <c r="BR49"/>
  <c r="BU49" s="1"/>
  <c r="BR19"/>
  <c r="BU19" s="1"/>
  <c r="BR44"/>
  <c r="BU44" s="1"/>
  <c r="BR39"/>
  <c r="BU39" s="1"/>
  <c r="BR24"/>
  <c r="BU24" s="1"/>
  <c r="BH59" l="1"/>
  <c r="BK59" s="1"/>
  <c r="BH43"/>
  <c r="BK43" s="1"/>
  <c r="BH25"/>
  <c r="BK25" s="1"/>
  <c r="BH37"/>
  <c r="BK37" s="1"/>
  <c r="BH56"/>
  <c r="BK56" s="1"/>
  <c r="BH20"/>
  <c r="BK20" s="1"/>
  <c r="BH40"/>
  <c r="BK40" s="1"/>
  <c r="BH38"/>
  <c r="BK38" s="1"/>
  <c r="BH23"/>
  <c r="BK23" s="1"/>
  <c r="BH51"/>
  <c r="BK51" s="1"/>
  <c r="BH55"/>
  <c r="BK55" s="1"/>
  <c r="BH27"/>
  <c r="BK27" s="1"/>
  <c r="BH42"/>
  <c r="BK42" s="1"/>
  <c r="BH26"/>
  <c r="BK26" s="1"/>
  <c r="BH50"/>
  <c r="BK50" s="1"/>
  <c r="BH31"/>
  <c r="BK31" s="1"/>
  <c r="BH35"/>
  <c r="BK35" s="1"/>
  <c r="BH28"/>
  <c r="BK28" s="1"/>
  <c r="BH47"/>
  <c r="BK47" s="1"/>
  <c r="BH36"/>
  <c r="BK36" s="1"/>
  <c r="BH45"/>
  <c r="BK45" s="1"/>
  <c r="BH48"/>
  <c r="BK48" s="1"/>
  <c r="BH46"/>
  <c r="BK46" s="1"/>
  <c r="BH30"/>
  <c r="BK30" s="1"/>
  <c r="BH21"/>
  <c r="BK21" s="1"/>
  <c r="BH53"/>
  <c r="BK53" s="1"/>
  <c r="BH32"/>
  <c r="BK32" s="1"/>
  <c r="BH57"/>
  <c r="BK57" s="1"/>
  <c r="BH22"/>
  <c r="BK22" s="1"/>
  <c r="BH39"/>
  <c r="BK39" s="1"/>
  <c r="BH29"/>
  <c r="BK29" s="1"/>
  <c r="BH24"/>
  <c r="BK24" s="1"/>
  <c r="BH49"/>
  <c r="BK49" s="1"/>
  <c r="BH54"/>
  <c r="BK54" s="1"/>
  <c r="BH19"/>
  <c r="BK19" s="1"/>
  <c r="BH33"/>
  <c r="BK33" s="1"/>
  <c r="BH34"/>
  <c r="BK34" s="1"/>
  <c r="BH41"/>
  <c r="BK41" s="1"/>
  <c r="BH44"/>
  <c r="BK44" s="1"/>
  <c r="BH52"/>
  <c r="BK52" s="1"/>
  <c r="BH58"/>
  <c r="BK58" s="1"/>
  <c r="L16" i="137" l="1"/>
  <c r="L15" s="1"/>
  <c r="AU24" i="161" l="1"/>
  <c r="L13" i="137"/>
  <c r="AU44" i="161" l="1"/>
  <c r="AU43"/>
  <c r="AU42"/>
  <c r="AU22"/>
  <c r="BR49" l="1"/>
  <c r="BR42"/>
  <c r="BR24"/>
  <c r="BR26"/>
  <c r="BR20"/>
  <c r="BR37"/>
  <c r="BR38"/>
  <c r="BR40"/>
  <c r="BR56"/>
  <c r="BR59"/>
  <c r="BR30"/>
  <c r="BR34"/>
  <c r="BR23"/>
  <c r="BR19"/>
  <c r="BR41"/>
  <c r="BR31"/>
  <c r="BR52"/>
  <c r="BR44"/>
  <c r="BR45"/>
  <c r="BR29"/>
  <c r="AU45"/>
  <c r="BR21"/>
  <c r="BR50"/>
  <c r="BR48"/>
  <c r="BR54"/>
  <c r="BR27"/>
  <c r="BR28"/>
  <c r="BR53"/>
  <c r="BR22"/>
  <c r="BR43"/>
  <c r="BR25"/>
  <c r="BR46"/>
  <c r="BR55"/>
  <c r="BR32"/>
  <c r="BR35"/>
  <c r="BR36"/>
  <c r="BR58"/>
  <c r="BR39"/>
  <c r="BR47"/>
  <c r="BR51"/>
  <c r="BR33"/>
  <c r="BR57"/>
  <c r="BS20"/>
  <c r="BS44"/>
  <c r="BS43"/>
  <c r="BS48"/>
  <c r="BS42"/>
  <c r="BS26"/>
  <c r="BS28"/>
  <c r="BS46"/>
  <c r="BS21"/>
  <c r="BS34"/>
  <c r="BS27"/>
  <c r="BS37"/>
  <c r="BS25"/>
  <c r="BS41"/>
  <c r="BS32"/>
  <c r="BS59"/>
  <c r="BS50"/>
  <c r="BS47"/>
  <c r="BS56"/>
  <c r="BS53"/>
  <c r="BS38"/>
  <c r="BS45"/>
  <c r="BS22"/>
  <c r="BS40"/>
  <c r="BS58"/>
  <c r="BS23"/>
  <c r="BS24"/>
  <c r="BS33"/>
  <c r="BS57"/>
  <c r="BS19"/>
  <c r="BS55"/>
  <c r="BS29"/>
  <c r="BS30"/>
  <c r="BS31"/>
  <c r="BS39"/>
  <c r="BS49"/>
  <c r="BS36"/>
  <c r="BS51"/>
  <c r="BS54"/>
  <c r="BS52"/>
  <c r="BS35"/>
  <c r="BT43"/>
  <c r="BT24"/>
  <c r="BT39"/>
  <c r="BT42"/>
  <c r="BT37"/>
  <c r="BT25"/>
  <c r="BT47"/>
  <c r="BT48"/>
  <c r="BT56"/>
  <c r="BT33"/>
  <c r="BT21"/>
  <c r="BT19"/>
  <c r="BT29"/>
  <c r="BT53"/>
  <c r="BT40"/>
  <c r="BT49"/>
  <c r="BT58"/>
  <c r="BT32"/>
  <c r="BT45"/>
  <c r="BT52"/>
  <c r="BT27"/>
  <c r="BT28"/>
  <c r="BT46"/>
  <c r="BT51"/>
  <c r="BT30"/>
  <c r="BT35"/>
  <c r="BT23"/>
  <c r="BT50"/>
  <c r="BT44"/>
  <c r="BT54"/>
  <c r="BT41"/>
  <c r="BT20"/>
  <c r="BT59"/>
  <c r="BT55"/>
  <c r="BT36"/>
  <c r="BT38"/>
  <c r="BT34"/>
  <c r="BT31"/>
  <c r="BT22"/>
  <c r="BT57"/>
  <c r="BT26"/>
  <c r="BB50"/>
  <c r="BB23"/>
  <c r="BB34"/>
  <c r="BB36"/>
  <c r="BB29"/>
  <c r="BB26"/>
  <c r="BB54"/>
  <c r="BB47"/>
  <c r="BB40"/>
  <c r="BB27"/>
  <c r="BB28"/>
  <c r="BB45"/>
  <c r="BB43"/>
  <c r="BB21"/>
  <c r="BB57"/>
  <c r="BB53"/>
  <c r="BB48"/>
  <c r="BB24"/>
  <c r="BB41"/>
  <c r="BB33"/>
  <c r="BB30"/>
  <c r="BB39"/>
  <c r="BB20"/>
  <c r="BB59"/>
  <c r="BB32"/>
  <c r="BB51"/>
  <c r="BB22"/>
  <c r="BB37"/>
  <c r="BB38"/>
  <c r="BB42"/>
  <c r="BB52"/>
  <c r="BB55"/>
  <c r="BB46"/>
  <c r="BB19"/>
  <c r="BB58"/>
  <c r="BB44"/>
  <c r="BB56"/>
  <c r="BB25"/>
  <c r="BB35"/>
  <c r="BB31"/>
  <c r="BB49"/>
  <c r="AU34"/>
  <c r="AU33"/>
  <c r="AU32"/>
  <c r="BU38" l="1"/>
  <c r="BU46"/>
  <c r="BU57"/>
  <c r="BU21"/>
  <c r="BU34"/>
  <c r="BU54"/>
  <c r="BU30"/>
  <c r="BU40"/>
  <c r="BU44"/>
  <c r="BU24"/>
  <c r="AU35"/>
  <c r="BF40"/>
  <c r="BF46"/>
  <c r="BF45"/>
  <c r="BF52"/>
  <c r="BF29"/>
  <c r="BF47"/>
  <c r="BF20"/>
  <c r="BF19"/>
  <c r="BF22"/>
  <c r="BF43"/>
  <c r="BF23"/>
  <c r="BF27"/>
  <c r="BF21"/>
  <c r="BF33"/>
  <c r="BF37"/>
  <c r="BF58"/>
  <c r="BF59"/>
  <c r="BF44"/>
  <c r="BF24"/>
  <c r="BF49"/>
  <c r="BF57"/>
  <c r="BF38"/>
  <c r="BF42"/>
  <c r="BF48"/>
  <c r="BF31"/>
  <c r="BF30"/>
  <c r="BF34"/>
  <c r="BF36"/>
  <c r="BF41"/>
  <c r="BF28"/>
  <c r="BF56"/>
  <c r="BF26"/>
  <c r="BF32"/>
  <c r="BF55"/>
  <c r="BF50"/>
  <c r="BF51"/>
  <c r="BF35"/>
  <c r="BF25"/>
  <c r="BF53"/>
  <c r="BF39"/>
  <c r="BF54"/>
  <c r="BU58"/>
  <c r="BU22"/>
  <c r="BU19"/>
  <c r="BU59"/>
  <c r="BG25"/>
  <c r="BG43"/>
  <c r="BG37"/>
  <c r="BG22"/>
  <c r="BG47"/>
  <c r="BG40"/>
  <c r="BG34"/>
  <c r="BG58"/>
  <c r="BG50"/>
  <c r="BG35"/>
  <c r="BG21"/>
  <c r="BG30"/>
  <c r="BG23"/>
  <c r="BG51"/>
  <c r="BG42"/>
  <c r="BG44"/>
  <c r="BG39"/>
  <c r="BG41"/>
  <c r="BG24"/>
  <c r="BG19"/>
  <c r="BG57"/>
  <c r="BG27"/>
  <c r="BG29"/>
  <c r="BG38"/>
  <c r="BG48"/>
  <c r="BG28"/>
  <c r="BG45"/>
  <c r="BG36"/>
  <c r="BG56"/>
  <c r="BG26"/>
  <c r="BG31"/>
  <c r="BG49"/>
  <c r="BG32"/>
  <c r="BG20"/>
  <c r="BG54"/>
  <c r="BG55"/>
  <c r="BG52"/>
  <c r="BG33"/>
  <c r="BG53"/>
  <c r="BG46"/>
  <c r="BG59"/>
  <c r="BH23"/>
  <c r="BH19"/>
  <c r="BH30"/>
  <c r="BH20"/>
  <c r="BH57"/>
  <c r="BH44"/>
  <c r="BH53"/>
  <c r="BH51"/>
  <c r="BH32"/>
  <c r="BH37"/>
  <c r="BH45"/>
  <c r="BH54"/>
  <c r="BH22"/>
  <c r="BH59"/>
  <c r="BH47"/>
  <c r="BH21"/>
  <c r="BH56"/>
  <c r="BH46"/>
  <c r="BH26"/>
  <c r="BH33"/>
  <c r="BH42"/>
  <c r="BH39"/>
  <c r="BH25"/>
  <c r="BH24"/>
  <c r="BH40"/>
  <c r="BH41"/>
  <c r="BH55"/>
  <c r="BH49"/>
  <c r="BH31"/>
  <c r="BH35"/>
  <c r="BH27"/>
  <c r="BH29"/>
  <c r="BH48"/>
  <c r="BH50"/>
  <c r="BH52"/>
  <c r="BH43"/>
  <c r="BH28"/>
  <c r="BH34"/>
  <c r="BH38"/>
  <c r="BH58"/>
  <c r="BH36"/>
  <c r="BU43"/>
  <c r="BU45"/>
  <c r="BU26"/>
  <c r="BU51"/>
  <c r="BU32"/>
  <c r="BU25"/>
  <c r="BU53"/>
  <c r="BU27"/>
  <c r="BU48"/>
  <c r="BU29"/>
  <c r="BU31"/>
  <c r="BU41"/>
  <c r="BU56"/>
  <c r="BU20"/>
  <c r="BU49"/>
  <c r="BU39"/>
  <c r="BU55"/>
  <c r="BU50"/>
  <c r="BU33"/>
  <c r="BU47"/>
  <c r="BU36"/>
  <c r="BU35"/>
  <c r="BU28"/>
  <c r="BU52"/>
  <c r="BU23"/>
  <c r="BU37"/>
  <c r="BU42"/>
  <c r="BI34" l="1"/>
  <c r="BI42"/>
  <c r="BI44"/>
  <c r="BI19"/>
  <c r="BI45"/>
  <c r="BI32"/>
  <c r="BI57"/>
  <c r="BI33"/>
  <c r="BI51"/>
  <c r="BI41"/>
  <c r="BI53"/>
  <c r="BI28"/>
  <c r="BI31"/>
  <c r="BI23"/>
  <c r="BI39"/>
  <c r="BI35"/>
  <c r="BI50"/>
  <c r="BI56"/>
  <c r="BI30"/>
  <c r="BI49"/>
  <c r="BI37"/>
  <c r="BI27"/>
  <c r="BI22"/>
  <c r="BI52"/>
  <c r="BI46"/>
  <c r="BI25"/>
  <c r="BI55"/>
  <c r="BI47"/>
  <c r="BI40"/>
  <c r="BI54"/>
  <c r="BI26"/>
  <c r="BI36"/>
  <c r="BI48"/>
  <c r="BI38"/>
  <c r="BI24"/>
  <c r="BI59"/>
  <c r="BI58"/>
  <c r="BI21"/>
  <c r="BI43"/>
  <c r="BI20"/>
  <c r="BI29"/>
  <c r="AD237" i="118" l="1"/>
  <c r="AD236"/>
  <c r="BU48" s="1"/>
  <c r="AD235"/>
  <c r="BU47" s="1"/>
  <c r="J11" i="13"/>
  <c r="AU50" i="162" s="1"/>
  <c r="N247" i="118" l="1"/>
  <c r="BU49"/>
  <c r="B248" s="1"/>
  <c r="U247"/>
  <c r="D12" i="13"/>
  <c r="AL19" i="171" s="1"/>
  <c r="CC45" i="161"/>
  <c r="CC23"/>
  <c r="CC46"/>
  <c r="CC33"/>
  <c r="CC41"/>
  <c r="CC26"/>
  <c r="CC43"/>
  <c r="CC42"/>
  <c r="CC57"/>
  <c r="CC34"/>
  <c r="CC32"/>
  <c r="CC36"/>
  <c r="CC50"/>
  <c r="CC48"/>
  <c r="CC27"/>
  <c r="CC58"/>
  <c r="CC55"/>
  <c r="CC47"/>
  <c r="CC28"/>
  <c r="CC38"/>
  <c r="CC52"/>
  <c r="CC37"/>
  <c r="CC21"/>
  <c r="CC25"/>
  <c r="CC31"/>
  <c r="CC51"/>
  <c r="CC35"/>
  <c r="CC59"/>
  <c r="CC56"/>
  <c r="CC49"/>
  <c r="CC30"/>
  <c r="CC20"/>
  <c r="CC40"/>
  <c r="CC29"/>
  <c r="CC24"/>
  <c r="CC53"/>
  <c r="CC39"/>
  <c r="CC19"/>
  <c r="CC54"/>
  <c r="CC22"/>
  <c r="CC44"/>
  <c r="C12" i="13" l="1"/>
  <c r="E12" i="137" s="1"/>
  <c r="D13" i="13"/>
  <c r="D14" s="1"/>
  <c r="CB19" i="162"/>
  <c r="CD19" s="1"/>
  <c r="G19" s="1"/>
  <c r="DA24" i="161"/>
  <c r="CI24"/>
  <c r="CV24"/>
  <c r="CJ24"/>
  <c r="CH24"/>
  <c r="DB24"/>
  <c r="CP24"/>
  <c r="CU24"/>
  <c r="CD24"/>
  <c r="CO24"/>
  <c r="CT24"/>
  <c r="CF24"/>
  <c r="CZ24"/>
  <c r="CN24"/>
  <c r="CE24"/>
  <c r="DB35"/>
  <c r="DA35"/>
  <c r="CP35"/>
  <c r="CJ35"/>
  <c r="CI35"/>
  <c r="CO35"/>
  <c r="CH35"/>
  <c r="CV35"/>
  <c r="CD35"/>
  <c r="CU35"/>
  <c r="CF35"/>
  <c r="CT35"/>
  <c r="CZ35"/>
  <c r="DC35" s="1"/>
  <c r="AL35" s="1"/>
  <c r="CE35"/>
  <c r="CN35"/>
  <c r="CQ35" s="1"/>
  <c r="CO21"/>
  <c r="DB21"/>
  <c r="DA21"/>
  <c r="CU21"/>
  <c r="CP21"/>
  <c r="CI21"/>
  <c r="CJ21"/>
  <c r="CD21"/>
  <c r="CV21"/>
  <c r="CH21"/>
  <c r="CK21" s="1"/>
  <c r="CF21"/>
  <c r="CT21"/>
  <c r="CZ21"/>
  <c r="CE21"/>
  <c r="CN21"/>
  <c r="CV27"/>
  <c r="CJ27"/>
  <c r="CD27"/>
  <c r="DB27"/>
  <c r="CU27"/>
  <c r="CH27"/>
  <c r="CO27"/>
  <c r="CP27"/>
  <c r="DA27"/>
  <c r="CI27"/>
  <c r="CT27"/>
  <c r="CF27"/>
  <c r="CZ27"/>
  <c r="DC27" s="1"/>
  <c r="AL27" s="1"/>
  <c r="CN27"/>
  <c r="CE27"/>
  <c r="DB43"/>
  <c r="CV43"/>
  <c r="CU43"/>
  <c r="CI43"/>
  <c r="CO43"/>
  <c r="CD43"/>
  <c r="CP43"/>
  <c r="DA43"/>
  <c r="CH43"/>
  <c r="CJ43"/>
  <c r="CT43"/>
  <c r="CF43"/>
  <c r="CZ43"/>
  <c r="CE43"/>
  <c r="CN43"/>
  <c r="CQ43" s="1"/>
  <c r="CO53"/>
  <c r="CI53"/>
  <c r="CP53"/>
  <c r="CJ53"/>
  <c r="CH53"/>
  <c r="CV53"/>
  <c r="DB53"/>
  <c r="DA53"/>
  <c r="CD53"/>
  <c r="CU53"/>
  <c r="CT53"/>
  <c r="CW53" s="1"/>
  <c r="CF53"/>
  <c r="CZ53"/>
  <c r="CN53"/>
  <c r="CE53"/>
  <c r="DB59"/>
  <c r="CJ59"/>
  <c r="CI59"/>
  <c r="CD59"/>
  <c r="CO59"/>
  <c r="DA59"/>
  <c r="CV59"/>
  <c r="CH59"/>
  <c r="CU59"/>
  <c r="CP59"/>
  <c r="CF59"/>
  <c r="CT59"/>
  <c r="CZ59"/>
  <c r="CN59"/>
  <c r="CE59"/>
  <c r="CO38"/>
  <c r="CI38"/>
  <c r="CD38"/>
  <c r="CJ38"/>
  <c r="CV38"/>
  <c r="DB38"/>
  <c r="CU38"/>
  <c r="CP38"/>
  <c r="DA38"/>
  <c r="CH38"/>
  <c r="CK38" s="1"/>
  <c r="CT38"/>
  <c r="CF38"/>
  <c r="CZ38"/>
  <c r="DC38" s="1"/>
  <c r="AL38" s="1"/>
  <c r="CN38"/>
  <c r="CE38"/>
  <c r="CV58"/>
  <c r="DB58"/>
  <c r="DA58"/>
  <c r="CI58"/>
  <c r="CU58"/>
  <c r="CO58"/>
  <c r="CD58"/>
  <c r="CJ58"/>
  <c r="CP58"/>
  <c r="CH58"/>
  <c r="CT58"/>
  <c r="CW58" s="1"/>
  <c r="CF58"/>
  <c r="CZ58"/>
  <c r="CN58"/>
  <c r="CQ58" s="1"/>
  <c r="CE58"/>
  <c r="CO36"/>
  <c r="CP36"/>
  <c r="CD36"/>
  <c r="DB36"/>
  <c r="CI36"/>
  <c r="CH36"/>
  <c r="CV36"/>
  <c r="CU36"/>
  <c r="DA36"/>
  <c r="CJ36"/>
  <c r="CF36"/>
  <c r="CT36"/>
  <c r="CZ36"/>
  <c r="CN36"/>
  <c r="CE36"/>
  <c r="DA42"/>
  <c r="DB42"/>
  <c r="CD42"/>
  <c r="CI42"/>
  <c r="CO42"/>
  <c r="CJ42"/>
  <c r="CP42"/>
  <c r="CU42"/>
  <c r="CV42"/>
  <c r="CH42"/>
  <c r="CT42"/>
  <c r="CF42"/>
  <c r="CZ42"/>
  <c r="CE42"/>
  <c r="CN42"/>
  <c r="CG19" i="162"/>
  <c r="CE19"/>
  <c r="J19" s="1"/>
  <c r="CP44" i="161"/>
  <c r="DB44"/>
  <c r="DA44"/>
  <c r="CH44"/>
  <c r="CJ44"/>
  <c r="CO44"/>
  <c r="CV44"/>
  <c r="CD44"/>
  <c r="CI44"/>
  <c r="CU44"/>
  <c r="CT44"/>
  <c r="CF44"/>
  <c r="CZ44"/>
  <c r="CE44"/>
  <c r="CN44"/>
  <c r="CV39"/>
  <c r="CI39"/>
  <c r="CH39"/>
  <c r="CD39"/>
  <c r="DB39"/>
  <c r="CJ39"/>
  <c r="CP39"/>
  <c r="CU39"/>
  <c r="DA39"/>
  <c r="CO39"/>
  <c r="CF39"/>
  <c r="CT39"/>
  <c r="CZ39"/>
  <c r="DC39" s="1"/>
  <c r="AL39" s="1"/>
  <c r="CE39"/>
  <c r="CN39"/>
  <c r="CJ40"/>
  <c r="CU40"/>
  <c r="DB40"/>
  <c r="CH40"/>
  <c r="DA40"/>
  <c r="CV40"/>
  <c r="CI40"/>
  <c r="CD40"/>
  <c r="CO40"/>
  <c r="CP40"/>
  <c r="CF40"/>
  <c r="CT40"/>
  <c r="CZ40"/>
  <c r="CN40"/>
  <c r="CE40"/>
  <c r="DA56"/>
  <c r="CU56"/>
  <c r="CH56"/>
  <c r="CP56"/>
  <c r="CI56"/>
  <c r="CO56"/>
  <c r="DB56"/>
  <c r="CD56"/>
  <c r="CV56"/>
  <c r="CJ56"/>
  <c r="CT56"/>
  <c r="CF56"/>
  <c r="CZ56"/>
  <c r="CN56"/>
  <c r="CE56"/>
  <c r="CO31"/>
  <c r="CJ31"/>
  <c r="CH31"/>
  <c r="CV31"/>
  <c r="DB31"/>
  <c r="CU31"/>
  <c r="CI31"/>
  <c r="DA31"/>
  <c r="CP31"/>
  <c r="CD31"/>
  <c r="CT31"/>
  <c r="CF31"/>
  <c r="CZ31"/>
  <c r="CE31"/>
  <c r="CN31"/>
  <c r="CO52"/>
  <c r="CV52"/>
  <c r="CU52"/>
  <c r="DA52"/>
  <c r="CI52"/>
  <c r="CD52"/>
  <c r="CH52"/>
  <c r="CP52"/>
  <c r="CJ52"/>
  <c r="DB52"/>
  <c r="CF52"/>
  <c r="CT52"/>
  <c r="CZ52"/>
  <c r="CE52"/>
  <c r="CN52"/>
  <c r="CO55"/>
  <c r="DB55"/>
  <c r="CJ55"/>
  <c r="CU55"/>
  <c r="CD55"/>
  <c r="CV55"/>
  <c r="DA55"/>
  <c r="CP55"/>
  <c r="CH55"/>
  <c r="CI55"/>
  <c r="CT55"/>
  <c r="CF55"/>
  <c r="CZ55"/>
  <c r="CN55"/>
  <c r="CE55"/>
  <c r="DB50"/>
  <c r="DA50"/>
  <c r="CD50"/>
  <c r="CV50"/>
  <c r="CJ50"/>
  <c r="CI50"/>
  <c r="CO50"/>
  <c r="CU50"/>
  <c r="CH50"/>
  <c r="CP50"/>
  <c r="CT50"/>
  <c r="CF50"/>
  <c r="CZ50"/>
  <c r="CE50"/>
  <c r="CN50"/>
  <c r="CO57"/>
  <c r="CJ57"/>
  <c r="CD57"/>
  <c r="DA57"/>
  <c r="CP57"/>
  <c r="DB57"/>
  <c r="CV57"/>
  <c r="CU57"/>
  <c r="CI57"/>
  <c r="CH57"/>
  <c r="CT57"/>
  <c r="CF57"/>
  <c r="CZ57"/>
  <c r="CE57"/>
  <c r="CN57"/>
  <c r="CJ41"/>
  <c r="CU41"/>
  <c r="CH41"/>
  <c r="CV41"/>
  <c r="DA41"/>
  <c r="CO41"/>
  <c r="CP41"/>
  <c r="CD41"/>
  <c r="CI41"/>
  <c r="DB41"/>
  <c r="CT41"/>
  <c r="CF41"/>
  <c r="CZ41"/>
  <c r="CN41"/>
  <c r="CE41"/>
  <c r="CP45"/>
  <c r="DB45"/>
  <c r="CI45"/>
  <c r="CV45"/>
  <c r="CO45"/>
  <c r="CH45"/>
  <c r="DA45"/>
  <c r="CU45"/>
  <c r="CD45"/>
  <c r="CJ45"/>
  <c r="CF45"/>
  <c r="CT45"/>
  <c r="CW45" s="1"/>
  <c r="CZ45"/>
  <c r="CN45"/>
  <c r="CE45"/>
  <c r="CO54"/>
  <c r="CU54"/>
  <c r="CP54"/>
  <c r="CI54"/>
  <c r="CD54"/>
  <c r="CJ54"/>
  <c r="CV54"/>
  <c r="DB54"/>
  <c r="DA54"/>
  <c r="CH54"/>
  <c r="CT54"/>
  <c r="CF54"/>
  <c r="CZ54"/>
  <c r="CE54"/>
  <c r="CN54"/>
  <c r="CO30"/>
  <c r="DB30"/>
  <c r="CH30"/>
  <c r="CV30"/>
  <c r="DA30"/>
  <c r="CD30"/>
  <c r="CU30"/>
  <c r="CP30"/>
  <c r="CI30"/>
  <c r="CJ30"/>
  <c r="CT30"/>
  <c r="CF30"/>
  <c r="CZ30"/>
  <c r="CE30"/>
  <c r="CN30"/>
  <c r="CV28"/>
  <c r="CJ28"/>
  <c r="CH28"/>
  <c r="CI28"/>
  <c r="CD28"/>
  <c r="CP28"/>
  <c r="CO28"/>
  <c r="CU28"/>
  <c r="DA28"/>
  <c r="DB28"/>
  <c r="CT28"/>
  <c r="CF28"/>
  <c r="CZ28"/>
  <c r="CE28"/>
  <c r="CN28"/>
  <c r="CU32"/>
  <c r="CO32"/>
  <c r="CI32"/>
  <c r="CJ32"/>
  <c r="CP32"/>
  <c r="CH32"/>
  <c r="CD32"/>
  <c r="CV32"/>
  <c r="DB32"/>
  <c r="DA32"/>
  <c r="CF32"/>
  <c r="CT32"/>
  <c r="CZ32"/>
  <c r="CN32"/>
  <c r="CE32"/>
  <c r="CU46"/>
  <c r="CO46"/>
  <c r="CJ46"/>
  <c r="CP46"/>
  <c r="CI46"/>
  <c r="DA46"/>
  <c r="CH46"/>
  <c r="CV46"/>
  <c r="CD46"/>
  <c r="DB46"/>
  <c r="CT46"/>
  <c r="CF46"/>
  <c r="CZ46"/>
  <c r="CN46"/>
  <c r="CE46"/>
  <c r="CU22"/>
  <c r="CO22"/>
  <c r="CD22"/>
  <c r="CH22"/>
  <c r="CI22"/>
  <c r="CP22"/>
  <c r="DA22"/>
  <c r="CJ22"/>
  <c r="CV22"/>
  <c r="DB22"/>
  <c r="CF22"/>
  <c r="CT22"/>
  <c r="CZ22"/>
  <c r="CE22"/>
  <c r="CN22"/>
  <c r="CJ20"/>
  <c r="CO20"/>
  <c r="CH20"/>
  <c r="DA20"/>
  <c r="CD20"/>
  <c r="CI20"/>
  <c r="CV20"/>
  <c r="CU20"/>
  <c r="DB20"/>
  <c r="CP20"/>
  <c r="CF20"/>
  <c r="CT20"/>
  <c r="CZ20"/>
  <c r="CE20"/>
  <c r="CN20"/>
  <c r="CO25"/>
  <c r="DB25"/>
  <c r="DA25"/>
  <c r="CD25"/>
  <c r="CI25"/>
  <c r="CH25"/>
  <c r="CP25"/>
  <c r="CJ25"/>
  <c r="CU25"/>
  <c r="CV25"/>
  <c r="CF25"/>
  <c r="CT25"/>
  <c r="CZ25"/>
  <c r="CN25"/>
  <c r="CE25"/>
  <c r="CJ33"/>
  <c r="CU33"/>
  <c r="CD33"/>
  <c r="CP33"/>
  <c r="CV33"/>
  <c r="DA33"/>
  <c r="CO33"/>
  <c r="CI33"/>
  <c r="CH33"/>
  <c r="DB33"/>
  <c r="CF33"/>
  <c r="CT33"/>
  <c r="CZ33"/>
  <c r="CE33"/>
  <c r="CN33"/>
  <c r="AM19" i="171"/>
  <c r="CO19" i="161"/>
  <c r="CP19"/>
  <c r="DA19"/>
  <c r="CU19"/>
  <c r="CV19"/>
  <c r="CJ19"/>
  <c r="CI19"/>
  <c r="CH19"/>
  <c r="DB19"/>
  <c r="CD19"/>
  <c r="CF19"/>
  <c r="CT19"/>
  <c r="CE19"/>
  <c r="CN19"/>
  <c r="CZ19"/>
  <c r="CJ29"/>
  <c r="DA29"/>
  <c r="CI29"/>
  <c r="CU29"/>
  <c r="CH29"/>
  <c r="DB29"/>
  <c r="CV29"/>
  <c r="CP29"/>
  <c r="CO29"/>
  <c r="CD29"/>
  <c r="CF29"/>
  <c r="CT29"/>
  <c r="CZ29"/>
  <c r="CN29"/>
  <c r="CE29"/>
  <c r="DB49"/>
  <c r="CP49"/>
  <c r="CD49"/>
  <c r="CH49"/>
  <c r="CJ49"/>
  <c r="DA49"/>
  <c r="CO49"/>
  <c r="CU49"/>
  <c r="CV49"/>
  <c r="CI49"/>
  <c r="CF49"/>
  <c r="CT49"/>
  <c r="CZ49"/>
  <c r="CE49"/>
  <c r="CN49"/>
  <c r="CU51"/>
  <c r="CI51"/>
  <c r="CD51"/>
  <c r="DB51"/>
  <c r="CO51"/>
  <c r="CV51"/>
  <c r="CJ51"/>
  <c r="CH51"/>
  <c r="DA51"/>
  <c r="CP51"/>
  <c r="CF51"/>
  <c r="CT51"/>
  <c r="CZ51"/>
  <c r="CE51"/>
  <c r="CN51"/>
  <c r="DA37"/>
  <c r="CP37"/>
  <c r="CH37"/>
  <c r="CO37"/>
  <c r="CV37"/>
  <c r="CU37"/>
  <c r="CI37"/>
  <c r="CD37"/>
  <c r="DB37"/>
  <c r="CJ37"/>
  <c r="CT37"/>
  <c r="CF37"/>
  <c r="CZ37"/>
  <c r="DC37" s="1"/>
  <c r="AL37" s="1"/>
  <c r="CN37"/>
  <c r="CE37"/>
  <c r="CJ47"/>
  <c r="DB47"/>
  <c r="CD47"/>
  <c r="DA47"/>
  <c r="CI47"/>
  <c r="CO47"/>
  <c r="CV47"/>
  <c r="CP47"/>
  <c r="CU47"/>
  <c r="CH47"/>
  <c r="CT47"/>
  <c r="CF47"/>
  <c r="CZ47"/>
  <c r="CE47"/>
  <c r="CN47"/>
  <c r="CV48"/>
  <c r="CI48"/>
  <c r="CD48"/>
  <c r="CP48"/>
  <c r="CJ48"/>
  <c r="CO48"/>
  <c r="DA48"/>
  <c r="CU48"/>
  <c r="DB48"/>
  <c r="CH48"/>
  <c r="CT48"/>
  <c r="CF48"/>
  <c r="CZ48"/>
  <c r="CE48"/>
  <c r="CN48"/>
  <c r="DB34"/>
  <c r="CV34"/>
  <c r="CO34"/>
  <c r="CI34"/>
  <c r="CP34"/>
  <c r="CJ34"/>
  <c r="CU34"/>
  <c r="CD34"/>
  <c r="CH34"/>
  <c r="DA34"/>
  <c r="CF34"/>
  <c r="CT34"/>
  <c r="CZ34"/>
  <c r="CE34"/>
  <c r="CN34"/>
  <c r="CO26"/>
  <c r="CJ26"/>
  <c r="CU26"/>
  <c r="DB26"/>
  <c r="DA26"/>
  <c r="CP26"/>
  <c r="CI26"/>
  <c r="CV26"/>
  <c r="CD26"/>
  <c r="CH26"/>
  <c r="CF26"/>
  <c r="CT26"/>
  <c r="CZ26"/>
  <c r="CE26"/>
  <c r="CN26"/>
  <c r="CV23"/>
  <c r="CP23"/>
  <c r="CD23"/>
  <c r="CO23"/>
  <c r="CU23"/>
  <c r="CH23"/>
  <c r="DB23"/>
  <c r="CJ23"/>
  <c r="DA23"/>
  <c r="CI23"/>
  <c r="CT23"/>
  <c r="CF23"/>
  <c r="CZ23"/>
  <c r="CN23"/>
  <c r="CE23"/>
  <c r="P23" i="69"/>
  <c r="AR449" i="175"/>
  <c r="Z449"/>
  <c r="H449"/>
  <c r="U449"/>
  <c r="AA441"/>
  <c r="P21" i="69"/>
  <c r="AH449" i="175"/>
  <c r="O441"/>
  <c r="P24" i="69"/>
  <c r="Y441" i="175"/>
  <c r="O449"/>
  <c r="P13" i="69"/>
  <c r="Z441" i="175"/>
  <c r="S449"/>
  <c r="Y449"/>
  <c r="AA449"/>
  <c r="P25" i="69"/>
  <c r="W449" i="175"/>
  <c r="W441"/>
  <c r="DC20" i="161" l="1"/>
  <c r="AL20" s="1"/>
  <c r="DC31"/>
  <c r="AL31" s="1"/>
  <c r="AM31" s="1"/>
  <c r="DC33"/>
  <c r="AL33" s="1"/>
  <c r="DC46"/>
  <c r="AL46" s="1"/>
  <c r="DC56"/>
  <c r="AL56" s="1"/>
  <c r="CW35"/>
  <c r="CX35" s="1"/>
  <c r="CQ32"/>
  <c r="CR32" s="1"/>
  <c r="CW32"/>
  <c r="CW57"/>
  <c r="CX57" s="1"/>
  <c r="CW39"/>
  <c r="CX39" s="1"/>
  <c r="CW59"/>
  <c r="CX59" s="1"/>
  <c r="CR43"/>
  <c r="CW21"/>
  <c r="CX21" s="1"/>
  <c r="CQ24"/>
  <c r="CR24" s="1"/>
  <c r="CW55"/>
  <c r="CX55" s="1"/>
  <c r="CK41"/>
  <c r="CL41" s="1"/>
  <c r="CK52"/>
  <c r="CL52" s="1"/>
  <c r="CW40"/>
  <c r="CX40" s="1"/>
  <c r="CC19" i="162"/>
  <c r="D19" s="1"/>
  <c r="AB19" s="1"/>
  <c r="V43" i="190"/>
  <c r="Y480" i="175"/>
  <c r="V61" i="190" s="1"/>
  <c r="R43"/>
  <c r="U480" i="175"/>
  <c r="R61" i="190" s="1"/>
  <c r="AE43"/>
  <c r="AH480" i="175"/>
  <c r="AE61" i="190" s="1"/>
  <c r="AO43"/>
  <c r="AR480" i="175"/>
  <c r="AO61" i="190" s="1"/>
  <c r="T43"/>
  <c r="W480" i="175"/>
  <c r="T61" i="190" s="1"/>
  <c r="P43"/>
  <c r="S480" i="175"/>
  <c r="P61" i="190" s="1"/>
  <c r="W43"/>
  <c r="Z480" i="175"/>
  <c r="W61" i="190" s="1"/>
  <c r="L43"/>
  <c r="O480" i="175"/>
  <c r="L61" i="190" s="1"/>
  <c r="E43"/>
  <c r="H480" i="175"/>
  <c r="X43" i="190"/>
  <c r="AA480" i="175"/>
  <c r="G12" i="137"/>
  <c r="H19" i="151" s="1"/>
  <c r="DC19" i="161"/>
  <c r="C12" i="137"/>
  <c r="D12" s="1"/>
  <c r="DC29" i="161"/>
  <c r="AL29" s="1"/>
  <c r="CW19"/>
  <c r="CX19" s="1"/>
  <c r="CQ33"/>
  <c r="CR33" s="1"/>
  <c r="CQ25"/>
  <c r="CR25" s="1"/>
  <c r="CW22"/>
  <c r="CX22" s="1"/>
  <c r="CW54"/>
  <c r="CX54" s="1"/>
  <c r="CQ26"/>
  <c r="CR26" s="1"/>
  <c r="DC48"/>
  <c r="AL48" s="1"/>
  <c r="CW37"/>
  <c r="CX37" s="1"/>
  <c r="DC49"/>
  <c r="AL49" s="1"/>
  <c r="CW29"/>
  <c r="CX29" s="1"/>
  <c r="AL20" i="171"/>
  <c r="AM20" s="1"/>
  <c r="DC23" i="161"/>
  <c r="AL23" s="1"/>
  <c r="CQ34"/>
  <c r="CR34" s="1"/>
  <c r="CK29"/>
  <c r="CL29" s="1"/>
  <c r="CK25"/>
  <c r="CL25" s="1"/>
  <c r="CW46"/>
  <c r="CX46" s="1"/>
  <c r="CK46"/>
  <c r="CL46" s="1"/>
  <c r="CK32"/>
  <c r="CL32" s="1"/>
  <c r="DC28"/>
  <c r="AL28" s="1"/>
  <c r="CQ54"/>
  <c r="CR54" s="1"/>
  <c r="CX45"/>
  <c r="CQ41"/>
  <c r="CR41" s="1"/>
  <c r="DC57"/>
  <c r="AL57" s="1"/>
  <c r="DC44"/>
  <c r="AL44" s="1"/>
  <c r="CK58"/>
  <c r="CL58" s="1"/>
  <c r="CK59"/>
  <c r="CL59" s="1"/>
  <c r="CL21"/>
  <c r="CK35"/>
  <c r="CL35" s="1"/>
  <c r="C13" i="13"/>
  <c r="G13" i="137" s="1"/>
  <c r="CW33" i="161"/>
  <c r="CX33" s="1"/>
  <c r="DC22"/>
  <c r="AL22" s="1"/>
  <c r="AM22" s="1"/>
  <c r="CX32"/>
  <c r="DC30"/>
  <c r="AL30" s="1"/>
  <c r="CB20" i="162"/>
  <c r="CG20" s="1"/>
  <c r="AL20" s="1"/>
  <c r="DC50" i="161"/>
  <c r="AL50" s="1"/>
  <c r="CK50"/>
  <c r="CL50" s="1"/>
  <c r="CQ52"/>
  <c r="CR52" s="1"/>
  <c r="DC42"/>
  <c r="AL42" s="1"/>
  <c r="DC59"/>
  <c r="AL59" s="1"/>
  <c r="CQ27"/>
  <c r="CR27" s="1"/>
  <c r="DC21"/>
  <c r="AL21" s="1"/>
  <c r="CW24"/>
  <c r="CX24" s="1"/>
  <c r="V35" i="190"/>
  <c r="Y472" i="175"/>
  <c r="V53" i="190" s="1"/>
  <c r="T35"/>
  <c r="W472" i="175"/>
  <c r="T53" i="190" s="1"/>
  <c r="W35"/>
  <c r="Z472" i="175"/>
  <c r="W53" i="190" s="1"/>
  <c r="L35"/>
  <c r="O472" i="175"/>
  <c r="L53" i="190" s="1"/>
  <c r="AA472" i="175"/>
  <c r="X35" i="190"/>
  <c r="C13" i="137"/>
  <c r="AM37" i="161"/>
  <c r="AM33"/>
  <c r="AM46"/>
  <c r="AF19" i="162"/>
  <c r="AM35" i="161"/>
  <c r="CK37"/>
  <c r="CL37" s="1"/>
  <c r="CK22"/>
  <c r="CL22" s="1"/>
  <c r="CW26"/>
  <c r="CX26" s="1"/>
  <c r="CK19"/>
  <c r="CL19" s="1"/>
  <c r="CW41"/>
  <c r="CX41" s="1"/>
  <c r="CK57"/>
  <c r="CL57" s="1"/>
  <c r="CQ39"/>
  <c r="CR39" s="1"/>
  <c r="CW36"/>
  <c r="CX36" s="1"/>
  <c r="CR58"/>
  <c r="CQ38"/>
  <c r="CR38" s="1"/>
  <c r="CX53"/>
  <c r="CW43"/>
  <c r="CX43" s="1"/>
  <c r="CK27"/>
  <c r="CL27" s="1"/>
  <c r="DC26"/>
  <c r="AL26" s="1"/>
  <c r="CQ48"/>
  <c r="CR48" s="1"/>
  <c r="CW51"/>
  <c r="CX51" s="1"/>
  <c r="CK33"/>
  <c r="CL33" s="1"/>
  <c r="CW25"/>
  <c r="CX25" s="1"/>
  <c r="CQ20"/>
  <c r="CR20" s="1"/>
  <c r="CK20"/>
  <c r="CL20" s="1"/>
  <c r="CQ28"/>
  <c r="CR28" s="1"/>
  <c r="CW28"/>
  <c r="CX28" s="1"/>
  <c r="CK28"/>
  <c r="CL28" s="1"/>
  <c r="DC54"/>
  <c r="AL54" s="1"/>
  <c r="DC45"/>
  <c r="AL45" s="1"/>
  <c r="CQ57"/>
  <c r="CR57" s="1"/>
  <c r="DC55"/>
  <c r="AL55" s="1"/>
  <c r="CK55"/>
  <c r="CL55" s="1"/>
  <c r="CW52"/>
  <c r="CX52" s="1"/>
  <c r="CQ31"/>
  <c r="CR31" s="1"/>
  <c r="CW31"/>
  <c r="CX31" s="1"/>
  <c r="CK31"/>
  <c r="CL31" s="1"/>
  <c r="CQ56"/>
  <c r="CR56" s="1"/>
  <c r="DC40"/>
  <c r="AL40" s="1"/>
  <c r="CQ44"/>
  <c r="CR44" s="1"/>
  <c r="CW44"/>
  <c r="CX44" s="1"/>
  <c r="CK42"/>
  <c r="CL42" s="1"/>
  <c r="DC36"/>
  <c r="AL36" s="1"/>
  <c r="CX58"/>
  <c r="CW38"/>
  <c r="CX38" s="1"/>
  <c r="CL38"/>
  <c r="CQ59"/>
  <c r="CR59" s="1"/>
  <c r="DC53"/>
  <c r="AL53" s="1"/>
  <c r="CK53"/>
  <c r="CL53" s="1"/>
  <c r="CW27"/>
  <c r="CX27" s="1"/>
  <c r="AM38"/>
  <c r="AM27"/>
  <c r="K12" i="49"/>
  <c r="AB103" i="118"/>
  <c r="E19" i="144"/>
  <c r="E19" i="154"/>
  <c r="E19" i="165"/>
  <c r="E19" i="167"/>
  <c r="E19" i="162"/>
  <c r="F19" s="1"/>
  <c r="E19" i="166"/>
  <c r="F12" i="137"/>
  <c r="BC19" i="161" s="1"/>
  <c r="BP19" s="1"/>
  <c r="E19" i="151"/>
  <c r="E19" i="145"/>
  <c r="E19" i="153"/>
  <c r="E19" i="168"/>
  <c r="E19" i="149"/>
  <c r="E19" i="164"/>
  <c r="E19" i="158"/>
  <c r="E19" i="56"/>
  <c r="E19" i="150"/>
  <c r="E19" i="155"/>
  <c r="E19" i="143"/>
  <c r="E19" i="159"/>
  <c r="E19" i="171"/>
  <c r="C14" i="13"/>
  <c r="AL21" i="171"/>
  <c r="D15" i="13"/>
  <c r="CB21" i="162"/>
  <c r="AM39" i="161"/>
  <c r="AD19" i="162"/>
  <c r="CK48" i="161"/>
  <c r="CL48" s="1"/>
  <c r="DC47"/>
  <c r="AL47" s="1"/>
  <c r="CQ51"/>
  <c r="CR51" s="1"/>
  <c r="CK40"/>
  <c r="CL40" s="1"/>
  <c r="CK39"/>
  <c r="CL39" s="1"/>
  <c r="CQ23"/>
  <c r="CR23" s="1"/>
  <c r="CK23"/>
  <c r="CL23" s="1"/>
  <c r="CW34"/>
  <c r="CX34" s="1"/>
  <c r="CW48"/>
  <c r="CX48" s="1"/>
  <c r="CK47"/>
  <c r="CL47" s="1"/>
  <c r="CK51"/>
  <c r="CL51" s="1"/>
  <c r="CQ49"/>
  <c r="CR49" s="1"/>
  <c r="CQ29"/>
  <c r="CR29" s="1"/>
  <c r="CW23"/>
  <c r="CX23" s="1"/>
  <c r="CK26"/>
  <c r="CL26" s="1"/>
  <c r="DC34"/>
  <c r="AL34" s="1"/>
  <c r="CK34"/>
  <c r="CL34" s="1"/>
  <c r="CQ47"/>
  <c r="CR47" s="1"/>
  <c r="CW47"/>
  <c r="CX47" s="1"/>
  <c r="CQ37"/>
  <c r="CR37" s="1"/>
  <c r="DC51"/>
  <c r="AL51" s="1"/>
  <c r="CW49"/>
  <c r="CX49" s="1"/>
  <c r="CK49"/>
  <c r="CL49" s="1"/>
  <c r="CQ19"/>
  <c r="CR19" s="1"/>
  <c r="DC25"/>
  <c r="AL25" s="1"/>
  <c r="CW20"/>
  <c r="CX20" s="1"/>
  <c r="CQ22"/>
  <c r="CR22" s="1"/>
  <c r="CQ46"/>
  <c r="CR46" s="1"/>
  <c r="DC32"/>
  <c r="AL32" s="1"/>
  <c r="CQ30"/>
  <c r="CR30" s="1"/>
  <c r="CW30"/>
  <c r="CX30" s="1"/>
  <c r="CK30"/>
  <c r="CL30" s="1"/>
  <c r="CK54"/>
  <c r="CL54" s="1"/>
  <c r="CQ45"/>
  <c r="CR45" s="1"/>
  <c r="CK45"/>
  <c r="CL45" s="1"/>
  <c r="DC41"/>
  <c r="AL41" s="1"/>
  <c r="CQ50"/>
  <c r="CR50" s="1"/>
  <c r="CW50"/>
  <c r="CX50" s="1"/>
  <c r="CQ55"/>
  <c r="CR55" s="1"/>
  <c r="DC52"/>
  <c r="AL52" s="1"/>
  <c r="CW56"/>
  <c r="CX56" s="1"/>
  <c r="CK56"/>
  <c r="CL56" s="1"/>
  <c r="CQ40"/>
  <c r="CR40" s="1"/>
  <c r="CK44"/>
  <c r="CL44" s="1"/>
  <c r="CQ42"/>
  <c r="CR42" s="1"/>
  <c r="CW42"/>
  <c r="CX42" s="1"/>
  <c r="CQ36"/>
  <c r="CR36" s="1"/>
  <c r="CK36"/>
  <c r="CL36" s="1"/>
  <c r="DC58"/>
  <c r="AL58" s="1"/>
  <c r="CQ53"/>
  <c r="CR53" s="1"/>
  <c r="DC43"/>
  <c r="AL43" s="1"/>
  <c r="CK43"/>
  <c r="CL43" s="1"/>
  <c r="CQ21"/>
  <c r="CR21" s="1"/>
  <c r="CR35"/>
  <c r="DC24"/>
  <c r="AL24" s="1"/>
  <c r="CK24"/>
  <c r="CL24" s="1"/>
  <c r="AD441" i="175"/>
  <c r="AB441"/>
  <c r="I449"/>
  <c r="P8" i="69"/>
  <c r="AJ449" i="175"/>
  <c r="AF441"/>
  <c r="AF449"/>
  <c r="Q449"/>
  <c r="P14" i="69"/>
  <c r="AO449" i="175"/>
  <c r="P449"/>
  <c r="K449"/>
  <c r="P22" i="69"/>
  <c r="P36"/>
  <c r="U441" i="175"/>
  <c r="P10" i="69"/>
  <c r="X441" i="175"/>
  <c r="AR441"/>
  <c r="V449"/>
  <c r="Q441"/>
  <c r="P27" i="69"/>
  <c r="P44"/>
  <c r="AO441" i="175"/>
  <c r="AP441"/>
  <c r="P39" i="69"/>
  <c r="P28"/>
  <c r="P41"/>
  <c r="T449" i="175"/>
  <c r="P43" i="69"/>
  <c r="AQ441" i="175"/>
  <c r="AM441"/>
  <c r="P17" i="69"/>
  <c r="AT449" i="175"/>
  <c r="J449"/>
  <c r="P26" i="69"/>
  <c r="S441" i="175"/>
  <c r="AG449"/>
  <c r="P11" i="69"/>
  <c r="P42"/>
  <c r="AE449" i="175"/>
  <c r="AC449"/>
  <c r="R449"/>
  <c r="N449"/>
  <c r="H440"/>
  <c r="AL441"/>
  <c r="P32" i="69"/>
  <c r="X449" i="175"/>
  <c r="P19" i="69"/>
  <c r="P37"/>
  <c r="P20"/>
  <c r="H441" i="175"/>
  <c r="AQ449"/>
  <c r="P35" i="69"/>
  <c r="P45"/>
  <c r="P31"/>
  <c r="AP449" i="175"/>
  <c r="T441"/>
  <c r="AN449"/>
  <c r="AM449"/>
  <c r="P441"/>
  <c r="AK449"/>
  <c r="P40" i="69"/>
  <c r="AN441" i="175"/>
  <c r="AJ441"/>
  <c r="AS441"/>
  <c r="AI449"/>
  <c r="P15" i="69"/>
  <c r="P29"/>
  <c r="AG441" i="175"/>
  <c r="J441"/>
  <c r="AI441"/>
  <c r="P18" i="69"/>
  <c r="R441" i="175"/>
  <c r="L449"/>
  <c r="AD449"/>
  <c r="M449"/>
  <c r="P6" i="69"/>
  <c r="N441" i="175"/>
  <c r="P12" i="69"/>
  <c r="P30"/>
  <c r="E19" i="161"/>
  <c r="P16" i="69"/>
  <c r="I441" i="175"/>
  <c r="P38" i="69"/>
  <c r="AC441" i="175"/>
  <c r="P34" i="69"/>
  <c r="P7"/>
  <c r="K441" i="175"/>
  <c r="AS449"/>
  <c r="H442"/>
  <c r="L441"/>
  <c r="Q6" i="69"/>
  <c r="AK441" i="175"/>
  <c r="AE441"/>
  <c r="M441"/>
  <c r="AT441"/>
  <c r="AB449"/>
  <c r="P33" i="69"/>
  <c r="V441" i="175"/>
  <c r="P9" i="69"/>
  <c r="AL449" i="175"/>
  <c r="AH441"/>
  <c r="E35" i="190" l="1"/>
  <c r="H472" i="175"/>
  <c r="E53" i="190" s="1"/>
  <c r="R35"/>
  <c r="U472" i="175"/>
  <c r="R53" i="190" s="1"/>
  <c r="E36"/>
  <c r="H473" i="175"/>
  <c r="AO35" i="190"/>
  <c r="AR472" i="175"/>
  <c r="AO53" i="190" s="1"/>
  <c r="P35"/>
  <c r="S472" i="175"/>
  <c r="P53" i="190" s="1"/>
  <c r="AH472" i="175"/>
  <c r="AE53" i="190" s="1"/>
  <c r="AE35"/>
  <c r="AM20" i="161"/>
  <c r="CE20" i="162"/>
  <c r="J20" s="1"/>
  <c r="AM56" i="161"/>
  <c r="B19" i="150"/>
  <c r="D19" s="1"/>
  <c r="T12" i="49"/>
  <c r="T13" s="1"/>
  <c r="AB56" i="118"/>
  <c r="B19" i="153"/>
  <c r="D19" s="1"/>
  <c r="B19" i="165"/>
  <c r="K19" s="1"/>
  <c r="N19" s="1"/>
  <c r="B19" i="159"/>
  <c r="D19" s="1"/>
  <c r="K19" s="1"/>
  <c r="N19" s="1"/>
  <c r="H19" i="145"/>
  <c r="J19" s="1"/>
  <c r="AF19" s="1"/>
  <c r="H19" i="171"/>
  <c r="J19" s="1"/>
  <c r="AF19" s="1"/>
  <c r="AQ43" i="190"/>
  <c r="AT480" i="175"/>
  <c r="AQ61" i="190" s="1"/>
  <c r="AJ43"/>
  <c r="AM480" i="175"/>
  <c r="AJ61" i="190" s="1"/>
  <c r="AG43"/>
  <c r="AJ480" i="175"/>
  <c r="AG61" i="190" s="1"/>
  <c r="I43"/>
  <c r="AV449" i="175"/>
  <c r="L480"/>
  <c r="U43" i="190"/>
  <c r="X480" i="175"/>
  <c r="U61" i="190" s="1"/>
  <c r="Y43"/>
  <c r="AB480" i="175"/>
  <c r="Y61" i="190" s="1"/>
  <c r="BB449" i="175"/>
  <c r="N43" i="190"/>
  <c r="AX449" i="175"/>
  <c r="Q480"/>
  <c r="J43" i="190"/>
  <c r="M480" i="175"/>
  <c r="J61" i="190" s="1"/>
  <c r="AL43"/>
  <c r="AO480" i="175"/>
  <c r="AL61" i="190" s="1"/>
  <c r="AN43"/>
  <c r="AQ480" i="175"/>
  <c r="AN61" i="190" s="1"/>
  <c r="AM43"/>
  <c r="BH449" i="175"/>
  <c r="AP480"/>
  <c r="G43" i="190"/>
  <c r="J480" i="175"/>
  <c r="G61" i="190" s="1"/>
  <c r="BF449" i="175"/>
  <c r="AH43" i="190"/>
  <c r="AK480" i="175"/>
  <c r="F43" i="190"/>
  <c r="I480" i="175"/>
  <c r="F61" i="190" s="1"/>
  <c r="F449" i="175"/>
  <c r="C43" i="190" s="1"/>
  <c r="AA43"/>
  <c r="AD480" i="175"/>
  <c r="AA61" i="190" s="1"/>
  <c r="AI43"/>
  <c r="AL480" i="175"/>
  <c r="AI61" i="190" s="1"/>
  <c r="BD449" i="175"/>
  <c r="AC43" i="190"/>
  <c r="AF480" i="175"/>
  <c r="AB43" i="190"/>
  <c r="AE480" i="175"/>
  <c r="AB61" i="190" s="1"/>
  <c r="Z43"/>
  <c r="AC480" i="175"/>
  <c r="Z61" i="190" s="1"/>
  <c r="AP43"/>
  <c r="AS480" i="175"/>
  <c r="AP61" i="190" s="1"/>
  <c r="M43"/>
  <c r="P480" i="175"/>
  <c r="M61" i="190" s="1"/>
  <c r="AK43"/>
  <c r="AN480" i="175"/>
  <c r="AK61" i="190" s="1"/>
  <c r="H43"/>
  <c r="K480" i="175"/>
  <c r="H61" i="190" s="1"/>
  <c r="Q43"/>
  <c r="T480" i="175"/>
  <c r="Q61" i="190" s="1"/>
  <c r="AZ449" i="175"/>
  <c r="S43" i="190"/>
  <c r="V480" i="175"/>
  <c r="AF43" i="190"/>
  <c r="AI480" i="175"/>
  <c r="AF61" i="190" s="1"/>
  <c r="AD43"/>
  <c r="AG480" i="175"/>
  <c r="AD61" i="190" s="1"/>
  <c r="K43"/>
  <c r="N480" i="175"/>
  <c r="K61" i="190" s="1"/>
  <c r="O43"/>
  <c r="R480" i="175"/>
  <c r="O61" i="190" s="1"/>
  <c r="AM21" i="161"/>
  <c r="X61" i="190"/>
  <c r="AM42" i="161"/>
  <c r="AM50"/>
  <c r="AM44"/>
  <c r="E61" i="190"/>
  <c r="B19" i="158"/>
  <c r="D19" s="1"/>
  <c r="K19" s="1"/>
  <c r="N19" s="1"/>
  <c r="B19" i="167"/>
  <c r="D19" s="1"/>
  <c r="K19" s="1"/>
  <c r="N19" s="1"/>
  <c r="B19" i="144"/>
  <c r="AM8" i="142" s="1"/>
  <c r="AE8" s="1"/>
  <c r="AG8" s="1"/>
  <c r="AI12" i="137"/>
  <c r="AM48" i="161"/>
  <c r="B19" i="171"/>
  <c r="D19" s="1"/>
  <c r="AB19" s="1"/>
  <c r="B19" i="143"/>
  <c r="D19" s="1"/>
  <c r="K19" s="1"/>
  <c r="N19" s="1"/>
  <c r="B19" i="155"/>
  <c r="D19" s="1"/>
  <c r="B19" i="162"/>
  <c r="K19" s="1"/>
  <c r="N19" s="1"/>
  <c r="B19" i="154"/>
  <c r="D19" s="1"/>
  <c r="K19" s="1"/>
  <c r="N19" s="1"/>
  <c r="B19" i="166"/>
  <c r="D19" s="1"/>
  <c r="K19" s="1"/>
  <c r="N19" s="1"/>
  <c r="AM30" i="161"/>
  <c r="B19" i="149"/>
  <c r="D19" s="1"/>
  <c r="K19" s="1"/>
  <c r="N19" s="1"/>
  <c r="B19" i="151"/>
  <c r="D19" s="1"/>
  <c r="CC20" i="162"/>
  <c r="D20" s="1"/>
  <c r="AB20" s="1"/>
  <c r="AM29" i="161"/>
  <c r="B19" i="164"/>
  <c r="D19" s="1"/>
  <c r="K19" s="1"/>
  <c r="N19" s="1"/>
  <c r="B19" i="168"/>
  <c r="D19" s="1"/>
  <c r="K19" s="1"/>
  <c r="N19" s="1"/>
  <c r="B19" i="56"/>
  <c r="D19" s="1"/>
  <c r="K19" s="1"/>
  <c r="N19" s="1"/>
  <c r="J12" i="49"/>
  <c r="J13" s="1"/>
  <c r="B19" i="145"/>
  <c r="D19" s="1"/>
  <c r="H19" i="168"/>
  <c r="J19" s="1"/>
  <c r="AF19" s="1"/>
  <c r="H19" i="158"/>
  <c r="J19" s="1"/>
  <c r="AF19" s="1"/>
  <c r="H19" i="155"/>
  <c r="J19" s="1"/>
  <c r="AF19" s="1"/>
  <c r="H12" i="137"/>
  <c r="BD19" i="161" s="1"/>
  <c r="BV19" s="1"/>
  <c r="Q472" i="175"/>
  <c r="N53" i="190" s="1"/>
  <c r="N35"/>
  <c r="H19" i="143"/>
  <c r="J19" s="1"/>
  <c r="H19" i="149"/>
  <c r="J19" s="1"/>
  <c r="AF19" s="1"/>
  <c r="H19" i="166"/>
  <c r="J19" s="1"/>
  <c r="AF19" s="1"/>
  <c r="E13" i="137"/>
  <c r="E20" i="144" s="1"/>
  <c r="H19" i="164"/>
  <c r="J19" s="1"/>
  <c r="AF19" s="1"/>
  <c r="H19" i="56"/>
  <c r="J19" s="1"/>
  <c r="AF19" s="1"/>
  <c r="H19" i="165"/>
  <c r="I19" s="1"/>
  <c r="H19" i="144"/>
  <c r="J19" s="1"/>
  <c r="AF19" s="1"/>
  <c r="H19" i="167"/>
  <c r="J19" s="1"/>
  <c r="AF19" s="1"/>
  <c r="CD20" i="162"/>
  <c r="G20" s="1"/>
  <c r="AD20" s="1"/>
  <c r="AB150" i="118"/>
  <c r="H19" i="159"/>
  <c r="J19" s="1"/>
  <c r="AF19" s="1"/>
  <c r="H19" i="154"/>
  <c r="J19" s="1"/>
  <c r="AF19" s="1"/>
  <c r="I12" i="137"/>
  <c r="J12" s="1"/>
  <c r="H19" i="150"/>
  <c r="L12" i="49"/>
  <c r="L13" s="1"/>
  <c r="H19" i="162"/>
  <c r="S19" s="1"/>
  <c r="V19" s="1"/>
  <c r="H19" i="153"/>
  <c r="J19" s="1"/>
  <c r="AF19" s="1"/>
  <c r="AS472" i="175"/>
  <c r="AP53" i="190" s="1"/>
  <c r="AP35"/>
  <c r="P472" i="175"/>
  <c r="M53" i="190" s="1"/>
  <c r="M35"/>
  <c r="K472" i="175"/>
  <c r="H53" i="190" s="1"/>
  <c r="H35"/>
  <c r="AH35"/>
  <c r="AK472" i="175"/>
  <c r="AH53" i="190" s="1"/>
  <c r="R472" i="175"/>
  <c r="O53" i="190" s="1"/>
  <c r="O35"/>
  <c r="F35"/>
  <c r="I472" i="175"/>
  <c r="F53" i="190" s="1"/>
  <c r="AJ472" i="175"/>
  <c r="AG53" i="190" s="1"/>
  <c r="AG35"/>
  <c r="AD472" i="175"/>
  <c r="AA53" i="190" s="1"/>
  <c r="AA35"/>
  <c r="AL472" i="175"/>
  <c r="AI53" i="190" s="1"/>
  <c r="AI35"/>
  <c r="J472" i="175"/>
  <c r="G53" i="190" s="1"/>
  <c r="G35"/>
  <c r="AC35"/>
  <c r="AF472" i="175"/>
  <c r="AC53" i="190" s="1"/>
  <c r="AM23" i="161"/>
  <c r="AM49"/>
  <c r="K5"/>
  <c r="AM57"/>
  <c r="AM59"/>
  <c r="AM28"/>
  <c r="AF35" i="190"/>
  <c r="AI472" i="175"/>
  <c r="AF53" i="190" s="1"/>
  <c r="Y35"/>
  <c r="AB472" i="175"/>
  <c r="Y53" i="190" s="1"/>
  <c r="BB441" i="175"/>
  <c r="AB35" i="190"/>
  <c r="AE472" i="175"/>
  <c r="AB53" i="190" s="1"/>
  <c r="AK35"/>
  <c r="AN472" i="175"/>
  <c r="AK53" i="190" s="1"/>
  <c r="AZ441" i="175"/>
  <c r="V472"/>
  <c r="S35" i="190"/>
  <c r="U35"/>
  <c r="X472" i="175"/>
  <c r="U53" i="190" s="1"/>
  <c r="K35"/>
  <c r="N472" i="175"/>
  <c r="K53" i="190" s="1"/>
  <c r="AQ35"/>
  <c r="AT472" i="175"/>
  <c r="AQ53" i="190" s="1"/>
  <c r="Z35"/>
  <c r="AC472" i="175"/>
  <c r="Z53" i="190" s="1"/>
  <c r="AI381" i="118"/>
  <c r="E34" i="190"/>
  <c r="H471" i="175"/>
  <c r="H470"/>
  <c r="G19" i="161"/>
  <c r="AL35" i="190"/>
  <c r="AO472" i="175"/>
  <c r="AL53" i="190" s="1"/>
  <c r="AN35"/>
  <c r="AQ472" i="175"/>
  <c r="AN53" i="190" s="1"/>
  <c r="J35"/>
  <c r="M472" i="175"/>
  <c r="J53" i="190" s="1"/>
  <c r="AJ35"/>
  <c r="AM472" i="175"/>
  <c r="AJ53" i="190" s="1"/>
  <c r="BF441" i="175"/>
  <c r="AD35" i="190"/>
  <c r="AG472" i="175"/>
  <c r="AD53" i="190" s="1"/>
  <c r="BD441" i="175"/>
  <c r="L472"/>
  <c r="AV441"/>
  <c r="I35" i="190"/>
  <c r="F441" i="175"/>
  <c r="C35" i="190" s="1"/>
  <c r="Q35"/>
  <c r="T472" i="175"/>
  <c r="Q53" i="190" s="1"/>
  <c r="AX441" i="175"/>
  <c r="AP472"/>
  <c r="BH441"/>
  <c r="AM35" i="190"/>
  <c r="AM47" i="161"/>
  <c r="CC21" i="162"/>
  <c r="D21" s="1"/>
  <c r="CE21"/>
  <c r="J21" s="1"/>
  <c r="CD21"/>
  <c r="G21" s="1"/>
  <c r="CG21"/>
  <c r="AL21" s="1"/>
  <c r="G19" i="155"/>
  <c r="AD19" s="1"/>
  <c r="AM40" i="161"/>
  <c r="AM43"/>
  <c r="G19" i="143"/>
  <c r="AD19" s="1"/>
  <c r="G19" i="158"/>
  <c r="AD19" s="1"/>
  <c r="G19" i="153"/>
  <c r="AD19" s="1"/>
  <c r="G19" i="166"/>
  <c r="AD19" s="1"/>
  <c r="G19" i="154"/>
  <c r="AD19" s="1"/>
  <c r="AM52" i="161"/>
  <c r="AM34"/>
  <c r="AM21" i="171"/>
  <c r="AF20" i="162"/>
  <c r="G19" i="159"/>
  <c r="AD19" s="1"/>
  <c r="G19" i="56"/>
  <c r="AD19" s="1"/>
  <c r="G19" i="168"/>
  <c r="AD19" s="1"/>
  <c r="G19" i="165"/>
  <c r="AM36" i="161"/>
  <c r="AM26"/>
  <c r="AM58"/>
  <c r="AM41"/>
  <c r="J19" i="151"/>
  <c r="AF19" s="1"/>
  <c r="AM20" i="162"/>
  <c r="BK19" i="164"/>
  <c r="BL19" s="1"/>
  <c r="G19"/>
  <c r="AD19" s="1"/>
  <c r="G19" i="145"/>
  <c r="AD19" s="1"/>
  <c r="O19" i="162"/>
  <c r="R19" s="1"/>
  <c r="G19" i="144"/>
  <c r="AD19" s="1"/>
  <c r="AM53" i="161"/>
  <c r="AM55"/>
  <c r="H13" i="137"/>
  <c r="BD20" i="161" s="1"/>
  <c r="H20" i="144"/>
  <c r="H20" i="154"/>
  <c r="H20" i="167"/>
  <c r="H20" i="168"/>
  <c r="H20" i="164"/>
  <c r="H20" i="145"/>
  <c r="H20" i="153"/>
  <c r="H20" i="165"/>
  <c r="H20" i="166"/>
  <c r="H20" i="162"/>
  <c r="I20" s="1"/>
  <c r="H20" i="151"/>
  <c r="H20" i="171"/>
  <c r="H20" i="155"/>
  <c r="AB151" i="118"/>
  <c r="H20" i="56"/>
  <c r="H20" i="143"/>
  <c r="H20" i="159"/>
  <c r="H20" i="150"/>
  <c r="H20" i="158"/>
  <c r="H20" i="149"/>
  <c r="AM25" i="161"/>
  <c r="AM51"/>
  <c r="G14" i="137"/>
  <c r="C14"/>
  <c r="E14"/>
  <c r="AJ19" i="162"/>
  <c r="AM45" i="161"/>
  <c r="D13" i="137"/>
  <c r="AI13"/>
  <c r="AB57" i="118"/>
  <c r="B20" i="168"/>
  <c r="B20" i="151"/>
  <c r="B20" i="166"/>
  <c r="B20" i="143"/>
  <c r="B20" i="167"/>
  <c r="B20" i="158"/>
  <c r="B20" i="165"/>
  <c r="B20" i="154"/>
  <c r="B20" i="145"/>
  <c r="B20" i="144"/>
  <c r="B20" i="155"/>
  <c r="B20" i="153"/>
  <c r="B20" i="56"/>
  <c r="B20" i="162"/>
  <c r="B20" i="149"/>
  <c r="B20" i="150"/>
  <c r="B20" i="159"/>
  <c r="B20" i="164"/>
  <c r="B20" i="171"/>
  <c r="X53" i="190"/>
  <c r="AM24" i="161"/>
  <c r="AM32"/>
  <c r="C15" i="13"/>
  <c r="AL22" i="171"/>
  <c r="AM22" s="1"/>
  <c r="D16" i="13"/>
  <c r="CB22" i="162"/>
  <c r="G19" i="171"/>
  <c r="AD19" s="1"/>
  <c r="G19" i="150"/>
  <c r="AD19" s="1"/>
  <c r="BC19" i="149"/>
  <c r="BB19"/>
  <c r="G19"/>
  <c r="AD19" s="1"/>
  <c r="G19" i="151"/>
  <c r="AD19" s="1"/>
  <c r="G19" i="167"/>
  <c r="AD19" s="1"/>
  <c r="AM54" i="161"/>
  <c r="G206" i="175"/>
  <c r="Q5" i="120"/>
  <c r="G273" i="175"/>
  <c r="G210"/>
  <c r="Q7" i="69"/>
  <c r="B19" i="163"/>
  <c r="Q5" i="140"/>
  <c r="V5" i="119"/>
  <c r="H19" i="161"/>
  <c r="T5" i="119"/>
  <c r="G211" i="175"/>
  <c r="G272"/>
  <c r="H20" i="163"/>
  <c r="H5" i="119"/>
  <c r="B5"/>
  <c r="B19" i="161"/>
  <c r="Q5" i="119"/>
  <c r="E19" i="163"/>
  <c r="G205" i="175"/>
  <c r="O19" i="161"/>
  <c r="G274" i="175"/>
  <c r="U5" i="119"/>
  <c r="M5"/>
  <c r="G271" i="175"/>
  <c r="G264"/>
  <c r="G212"/>
  <c r="G213"/>
  <c r="B20" i="163"/>
  <c r="I440" i="175"/>
  <c r="N5" i="119"/>
  <c r="L5"/>
  <c r="I442" i="175"/>
  <c r="E19" i="146"/>
  <c r="J19" i="60"/>
  <c r="H19" i="163"/>
  <c r="G209" i="175"/>
  <c r="S5" i="119"/>
  <c r="Q5" i="68"/>
  <c r="G267" i="175"/>
  <c r="H20" i="161"/>
  <c r="G208" i="175"/>
  <c r="W5" i="119"/>
  <c r="G270" i="175"/>
  <c r="B20" i="161"/>
  <c r="G275" i="175"/>
  <c r="F36" i="190" l="1"/>
  <c r="I473" i="175"/>
  <c r="F54" i="190" s="1"/>
  <c r="E54"/>
  <c r="C19" i="165"/>
  <c r="U12" i="49"/>
  <c r="AB338" i="118" s="1"/>
  <c r="AD338" s="1"/>
  <c r="D19" i="163"/>
  <c r="AB19" s="1"/>
  <c r="E20" i="154"/>
  <c r="G20" s="1"/>
  <c r="AD20" s="1"/>
  <c r="BJ19" i="161"/>
  <c r="E20" i="166"/>
  <c r="G20" s="1"/>
  <c r="AD20" s="1"/>
  <c r="E20" i="168"/>
  <c r="G20" s="1"/>
  <c r="AD20" s="1"/>
  <c r="AF8" i="142"/>
  <c r="AI8" s="1"/>
  <c r="AY43" i="190"/>
  <c r="Z12" i="49"/>
  <c r="AW43" i="190"/>
  <c r="AY61"/>
  <c r="D19" i="161"/>
  <c r="AB19" s="1"/>
  <c r="AZ480" i="175"/>
  <c r="S61" i="190"/>
  <c r="AW61" s="1"/>
  <c r="AM61"/>
  <c r="BE61" s="1"/>
  <c r="BH480" i="175"/>
  <c r="C19" i="162"/>
  <c r="BF480" i="175"/>
  <c r="AH61" i="190"/>
  <c r="BC61" s="1"/>
  <c r="E20" i="155"/>
  <c r="G20" s="1"/>
  <c r="AD20" s="1"/>
  <c r="E20" i="167"/>
  <c r="G20" s="1"/>
  <c r="AD20" s="1"/>
  <c r="F480" i="175"/>
  <c r="C61" i="190" s="1"/>
  <c r="BC43"/>
  <c r="N15" i="44"/>
  <c r="BP42" i="118" s="1"/>
  <c r="D19" i="144"/>
  <c r="K19" s="1"/>
  <c r="N19" s="1"/>
  <c r="E20" i="158"/>
  <c r="G20" s="1"/>
  <c r="AD20" s="1"/>
  <c r="E20" i="151"/>
  <c r="G20" s="1"/>
  <c r="AD20" s="1"/>
  <c r="AU43" i="190"/>
  <c r="AS43"/>
  <c r="BD480" i="175"/>
  <c r="AC61" i="190"/>
  <c r="BA61" s="1"/>
  <c r="AX480" i="175"/>
  <c r="N61" i="190"/>
  <c r="AU61" s="1"/>
  <c r="AV480" i="175"/>
  <c r="I61" i="190"/>
  <c r="AS61" s="1"/>
  <c r="E20" i="145"/>
  <c r="G20" s="1"/>
  <c r="AD20" s="1"/>
  <c r="E20" i="56"/>
  <c r="G20" s="1"/>
  <c r="AD20" s="1"/>
  <c r="E20" i="153"/>
  <c r="G20" s="1"/>
  <c r="AD20" s="1"/>
  <c r="AB104" i="118"/>
  <c r="K13" i="49"/>
  <c r="K14" s="1"/>
  <c r="BB480" i="175"/>
  <c r="BA43" i="190"/>
  <c r="BE43"/>
  <c r="AK9" i="142"/>
  <c r="AH9"/>
  <c r="AL9" s="1"/>
  <c r="AB8"/>
  <c r="AC8" s="1"/>
  <c r="T8" s="1"/>
  <c r="AM9"/>
  <c r="AS56" i="118"/>
  <c r="AP56"/>
  <c r="AR56"/>
  <c r="AQ56"/>
  <c r="AG150"/>
  <c r="AG103"/>
  <c r="AG56"/>
  <c r="AU35" i="190"/>
  <c r="F472" i="175"/>
  <c r="C53" i="190" s="1"/>
  <c r="M12" i="49"/>
  <c r="H16" i="51" s="1"/>
  <c r="AW35" i="190"/>
  <c r="BC35"/>
  <c r="S19" i="167"/>
  <c r="V19" s="1"/>
  <c r="O19" i="158"/>
  <c r="R19" s="1"/>
  <c r="J19" i="163"/>
  <c r="J19" i="161"/>
  <c r="AF19" i="143"/>
  <c r="S19"/>
  <c r="V19" s="1"/>
  <c r="BA35" i="190"/>
  <c r="O19" i="168"/>
  <c r="R19" s="1"/>
  <c r="BD472" i="175"/>
  <c r="AJ19" i="171"/>
  <c r="AR19" s="1"/>
  <c r="O19" i="150"/>
  <c r="R19" s="1"/>
  <c r="L14" i="49"/>
  <c r="S19" i="171"/>
  <c r="V19" s="1"/>
  <c r="J19" i="150"/>
  <c r="AF19" s="1"/>
  <c r="E20" i="159"/>
  <c r="G20" s="1"/>
  <c r="AD20" s="1"/>
  <c r="E20" i="150"/>
  <c r="G20" s="1"/>
  <c r="AD20" s="1"/>
  <c r="E20" i="171"/>
  <c r="G20" s="1"/>
  <c r="AD20" s="1"/>
  <c r="F13" i="137"/>
  <c r="BC20" i="161" s="1"/>
  <c r="BP20" s="1"/>
  <c r="G20" s="1"/>
  <c r="AD20" s="1"/>
  <c r="E20" i="165"/>
  <c r="G20" s="1"/>
  <c r="O20" s="1"/>
  <c r="R20" s="1"/>
  <c r="O19" i="154"/>
  <c r="R19" s="1"/>
  <c r="S19" i="155"/>
  <c r="V19" s="1"/>
  <c r="I19" i="162"/>
  <c r="S19" i="165"/>
  <c r="V19" s="1"/>
  <c r="I13" i="137"/>
  <c r="J13" s="1"/>
  <c r="S19" i="151"/>
  <c r="V19" s="1"/>
  <c r="E20" i="164"/>
  <c r="BK20" s="1"/>
  <c r="BL20" s="1"/>
  <c r="E20" i="149"/>
  <c r="BC20" s="1"/>
  <c r="E20" i="143"/>
  <c r="G20" s="1"/>
  <c r="AD20" s="1"/>
  <c r="E20" i="162"/>
  <c r="S19" i="154"/>
  <c r="V19" s="1"/>
  <c r="BE35" i="190"/>
  <c r="AY35"/>
  <c r="O19" i="145"/>
  <c r="R19" s="1"/>
  <c r="BA53" i="190"/>
  <c r="BF472" i="175"/>
  <c r="O19" i="149"/>
  <c r="R19" s="1"/>
  <c r="O19" i="151"/>
  <c r="R19" s="1"/>
  <c r="O19" i="171"/>
  <c r="R19" s="1"/>
  <c r="BB472" i="175"/>
  <c r="S19" i="149"/>
  <c r="V19" s="1"/>
  <c r="O19" i="153"/>
  <c r="R19" s="1"/>
  <c r="S19" i="168"/>
  <c r="V19" s="1"/>
  <c r="O19" i="155"/>
  <c r="R19" s="1"/>
  <c r="R19" i="161"/>
  <c r="G19" i="146"/>
  <c r="F34" i="190"/>
  <c r="I470" i="175"/>
  <c r="I471"/>
  <c r="F52" i="190" s="1"/>
  <c r="AI382" i="118"/>
  <c r="G19" i="163"/>
  <c r="D20"/>
  <c r="J20"/>
  <c r="AB19" i="155"/>
  <c r="AJ19" s="1"/>
  <c r="CC22" i="162"/>
  <c r="D22" s="1"/>
  <c r="CE22"/>
  <c r="J22" s="1"/>
  <c r="CD22"/>
  <c r="G22" s="1"/>
  <c r="CG22"/>
  <c r="AL22" s="1"/>
  <c r="Z19" i="171"/>
  <c r="K20" i="162"/>
  <c r="N20" s="1"/>
  <c r="D20" i="158"/>
  <c r="K20" s="1"/>
  <c r="N20" s="1"/>
  <c r="AB58" i="118"/>
  <c r="D14" i="137"/>
  <c r="AI14"/>
  <c r="B21" i="150"/>
  <c r="B21" i="153"/>
  <c r="B21" i="151"/>
  <c r="B21" i="144"/>
  <c r="B21" i="154"/>
  <c r="B21" i="56"/>
  <c r="B21" i="145"/>
  <c r="B21" i="162"/>
  <c r="C21" s="1"/>
  <c r="B21" i="155"/>
  <c r="B21" i="167"/>
  <c r="B21" i="165"/>
  <c r="B21" i="166"/>
  <c r="B21" i="168"/>
  <c r="B21" i="158"/>
  <c r="B21" i="164"/>
  <c r="B21" i="143"/>
  <c r="B21" i="159"/>
  <c r="B21" i="149"/>
  <c r="B21" i="171"/>
  <c r="I14" i="137"/>
  <c r="J14" s="1"/>
  <c r="AB19" i="145"/>
  <c r="J20" i="158"/>
  <c r="AF20" s="1"/>
  <c r="J20" i="151"/>
  <c r="AF20" s="1"/>
  <c r="J20" i="167"/>
  <c r="AF20" s="1"/>
  <c r="BT19" i="164"/>
  <c r="BP19"/>
  <c r="BM19"/>
  <c r="AC19" i="151"/>
  <c r="AB19" i="153"/>
  <c r="AB19" i="150"/>
  <c r="AD19" i="161"/>
  <c r="G15" i="137"/>
  <c r="C15"/>
  <c r="E15"/>
  <c r="D20" i="171"/>
  <c r="AB20" s="1"/>
  <c r="D20" i="155"/>
  <c r="K20" s="1"/>
  <c r="N20" s="1"/>
  <c r="D20" i="166"/>
  <c r="K20" s="1"/>
  <c r="N20" s="1"/>
  <c r="AB105" i="118"/>
  <c r="E21" i="165"/>
  <c r="E21" i="144"/>
  <c r="E21" i="154"/>
  <c r="E21" i="167"/>
  <c r="E21" i="162"/>
  <c r="F21" s="1"/>
  <c r="F14" i="137"/>
  <c r="BC21" i="161" s="1"/>
  <c r="BP21" s="1"/>
  <c r="G21" s="1"/>
  <c r="E21" i="151"/>
  <c r="E21" i="149"/>
  <c r="E21" i="153"/>
  <c r="E21" i="164"/>
  <c r="E21" i="168"/>
  <c r="E21" i="56"/>
  <c r="E21" i="166"/>
  <c r="E21" i="143"/>
  <c r="E21" i="150"/>
  <c r="E21" i="155"/>
  <c r="E21" i="158"/>
  <c r="E21" i="159"/>
  <c r="E21" i="171"/>
  <c r="E21" i="145"/>
  <c r="J20" i="149"/>
  <c r="AF20" s="1"/>
  <c r="J20" i="171"/>
  <c r="AF20" s="1"/>
  <c r="J20" i="168"/>
  <c r="AF20" s="1"/>
  <c r="G20" i="144"/>
  <c r="AD20" s="1"/>
  <c r="AJ20" i="162"/>
  <c r="AB19" i="166"/>
  <c r="AC19" i="143"/>
  <c r="AB19"/>
  <c r="AB19" i="159"/>
  <c r="D20" i="150"/>
  <c r="K20" s="1"/>
  <c r="N20" s="1"/>
  <c r="D20" i="153"/>
  <c r="D20" i="154"/>
  <c r="K20" s="1"/>
  <c r="N20" s="1"/>
  <c r="D20" i="143"/>
  <c r="K20" s="1"/>
  <c r="Z13" i="49"/>
  <c r="J14"/>
  <c r="AB19" i="164"/>
  <c r="J20" i="159"/>
  <c r="AF20" s="1"/>
  <c r="J20" i="155"/>
  <c r="AF20" s="1"/>
  <c r="J20" i="166"/>
  <c r="AF20" s="1"/>
  <c r="J20" i="164"/>
  <c r="AF20" s="1"/>
  <c r="J20" i="144"/>
  <c r="AF20" s="1"/>
  <c r="AB19" i="168"/>
  <c r="AM21" i="162"/>
  <c r="H501" i="175"/>
  <c r="E51" i="190"/>
  <c r="C20" i="162"/>
  <c r="K19" i="155"/>
  <c r="N19" s="1"/>
  <c r="K19" i="171"/>
  <c r="N19" s="1"/>
  <c r="BD19" i="149"/>
  <c r="O19" i="56"/>
  <c r="R19" s="1"/>
  <c r="S19" i="166"/>
  <c r="V19" s="1"/>
  <c r="K19" i="153"/>
  <c r="N19" s="1"/>
  <c r="O19" i="166"/>
  <c r="R19" s="1"/>
  <c r="O19" i="167"/>
  <c r="R19" s="1"/>
  <c r="S19" i="144"/>
  <c r="V19" s="1"/>
  <c r="S19" i="56"/>
  <c r="V19" s="1"/>
  <c r="S19" i="145"/>
  <c r="V19" s="1"/>
  <c r="O19" i="144"/>
  <c r="R19" s="1"/>
  <c r="O19" i="159"/>
  <c r="R19" s="1"/>
  <c r="S19"/>
  <c r="V19" s="1"/>
  <c r="AX472" i="175"/>
  <c r="O19" i="143"/>
  <c r="R19" s="1"/>
  <c r="S19" i="153"/>
  <c r="V19" s="1"/>
  <c r="D20" i="164"/>
  <c r="K20" s="1"/>
  <c r="N20" s="1"/>
  <c r="D20" i="144"/>
  <c r="K20" s="1"/>
  <c r="N20" s="1"/>
  <c r="D20" i="151"/>
  <c r="K20" s="1"/>
  <c r="N20" s="1"/>
  <c r="AB19" i="56"/>
  <c r="AJ19" s="1"/>
  <c r="J20"/>
  <c r="AF20" s="1"/>
  <c r="J20" i="153"/>
  <c r="AF20" s="1"/>
  <c r="AD19" i="165"/>
  <c r="AF21" i="162"/>
  <c r="AZ472" i="175"/>
  <c r="S53" i="190"/>
  <c r="AW53" s="1"/>
  <c r="D20" i="149"/>
  <c r="K20" s="1"/>
  <c r="N20" s="1"/>
  <c r="C20" i="165"/>
  <c r="K20"/>
  <c r="N20" s="1"/>
  <c r="J20" i="143"/>
  <c r="AF20" s="1"/>
  <c r="I20" i="165"/>
  <c r="S20"/>
  <c r="V20" s="1"/>
  <c r="BJ20" i="161"/>
  <c r="D20" s="1"/>
  <c r="BV20"/>
  <c r="J20" s="1"/>
  <c r="AB19" i="167"/>
  <c r="AB19" i="158"/>
  <c r="AD21" i="162"/>
  <c r="I53" i="190"/>
  <c r="AS53" s="1"/>
  <c r="AV472" i="175"/>
  <c r="E52" i="190"/>
  <c r="AB19" i="154"/>
  <c r="C16" i="13"/>
  <c r="AL23" i="171"/>
  <c r="AM23" s="1"/>
  <c r="D17" i="13"/>
  <c r="CB23" i="162"/>
  <c r="T14" i="49"/>
  <c r="U13"/>
  <c r="D20" i="159"/>
  <c r="K20" s="1"/>
  <c r="N20" s="1"/>
  <c r="D20" i="56"/>
  <c r="D20" i="145"/>
  <c r="K20" s="1"/>
  <c r="N20" s="1"/>
  <c r="D20" i="167"/>
  <c r="K20" s="1"/>
  <c r="N20" s="1"/>
  <c r="D20" i="168"/>
  <c r="K20" s="1"/>
  <c r="N20" s="1"/>
  <c r="H14" i="137"/>
  <c r="BD21" i="161" s="1"/>
  <c r="H21" i="151"/>
  <c r="H21" i="154"/>
  <c r="H21" i="144"/>
  <c r="H21" i="164"/>
  <c r="H21" i="159"/>
  <c r="H21" i="168"/>
  <c r="H21" i="145"/>
  <c r="H21" i="162"/>
  <c r="I21" s="1"/>
  <c r="H21" i="165"/>
  <c r="H21" i="166"/>
  <c r="H21" i="153"/>
  <c r="H21" i="167"/>
  <c r="H21" i="171"/>
  <c r="H21" i="143"/>
  <c r="H21" i="150"/>
  <c r="AB152" i="118"/>
  <c r="H21" i="56"/>
  <c r="H21" i="158"/>
  <c r="H21" i="155"/>
  <c r="H21" i="149"/>
  <c r="J20" i="150"/>
  <c r="AF20" s="1"/>
  <c r="S20" i="162"/>
  <c r="V20" s="1"/>
  <c r="J20" i="145"/>
  <c r="AF20" s="1"/>
  <c r="J20" i="154"/>
  <c r="AF20" s="1"/>
  <c r="AB19" i="149"/>
  <c r="AJ19" s="1"/>
  <c r="AB21" i="162"/>
  <c r="BH472" i="175"/>
  <c r="AM53" i="190"/>
  <c r="BE53" s="1"/>
  <c r="BA381" i="118"/>
  <c r="BD381"/>
  <c r="AZ381"/>
  <c r="BC381"/>
  <c r="BB381"/>
  <c r="AY381"/>
  <c r="AX381"/>
  <c r="AW381"/>
  <c r="AV381"/>
  <c r="AU381"/>
  <c r="AT381"/>
  <c r="AS381"/>
  <c r="AR381"/>
  <c r="AQ381"/>
  <c r="AP381"/>
  <c r="AO381"/>
  <c r="AL381"/>
  <c r="AN381"/>
  <c r="AK381"/>
  <c r="AE381" s="1"/>
  <c r="AM381"/>
  <c r="O19" i="165"/>
  <c r="R19" s="1"/>
  <c r="K19" i="150"/>
  <c r="N19" s="1"/>
  <c r="S19" i="164"/>
  <c r="V19" s="1"/>
  <c r="AY53" i="190"/>
  <c r="S19" i="158"/>
  <c r="V19" s="1"/>
  <c r="K19" i="145"/>
  <c r="N19" s="1"/>
  <c r="O19" i="164"/>
  <c r="R19" s="1"/>
  <c r="BC53" i="190"/>
  <c r="K19" i="151"/>
  <c r="N19" s="1"/>
  <c r="AU53" i="190"/>
  <c r="AS35"/>
  <c r="G175" i="175"/>
  <c r="W5" i="120"/>
  <c r="I5" i="119"/>
  <c r="H272" i="175"/>
  <c r="H213"/>
  <c r="K5" i="119"/>
  <c r="G138" i="175"/>
  <c r="G142"/>
  <c r="H270"/>
  <c r="H209"/>
  <c r="C5" i="140"/>
  <c r="G200" i="175"/>
  <c r="U5" i="120"/>
  <c r="H5" i="140"/>
  <c r="D5" i="119"/>
  <c r="S5" i="140"/>
  <c r="B21" i="163"/>
  <c r="L5" i="120"/>
  <c r="C5"/>
  <c r="G140" i="175"/>
  <c r="G173"/>
  <c r="G176"/>
  <c r="T5" i="120"/>
  <c r="K5"/>
  <c r="K19" i="163"/>
  <c r="H211" i="175"/>
  <c r="H271"/>
  <c r="Q6" i="119"/>
  <c r="H268" i="175"/>
  <c r="G202"/>
  <c r="I5" i="120"/>
  <c r="W5" i="140"/>
  <c r="Q6" i="68"/>
  <c r="S20" i="161"/>
  <c r="B21"/>
  <c r="H21" i="163"/>
  <c r="S19" i="161"/>
  <c r="D5" i="140"/>
  <c r="D5" i="120"/>
  <c r="K20" i="161"/>
  <c r="H19" i="146"/>
  <c r="S6" i="119"/>
  <c r="H208" i="175"/>
  <c r="H5" i="68"/>
  <c r="V5" i="140"/>
  <c r="M5" i="120"/>
  <c r="J440" i="175"/>
  <c r="W6" i="119"/>
  <c r="V5" i="120"/>
  <c r="H6" i="119"/>
  <c r="I6"/>
  <c r="J442" i="175"/>
  <c r="H275"/>
  <c r="K19" i="161"/>
  <c r="J5" i="120"/>
  <c r="G147" i="175"/>
  <c r="H267"/>
  <c r="P5" i="120"/>
  <c r="T6" i="140"/>
  <c r="C5" i="119"/>
  <c r="O20" i="161"/>
  <c r="S5" i="120"/>
  <c r="K20" i="163"/>
  <c r="J6" i="119"/>
  <c r="H212" i="175"/>
  <c r="G151"/>
  <c r="K5" i="140"/>
  <c r="J5" i="119"/>
  <c r="N6"/>
  <c r="O21" i="161"/>
  <c r="Q8" i="69"/>
  <c r="G174" i="175"/>
  <c r="B5" i="120"/>
  <c r="U5" i="140"/>
  <c r="G149" i="175"/>
  <c r="D6" i="119"/>
  <c r="E21" i="161"/>
  <c r="M5" i="140"/>
  <c r="H264" i="175"/>
  <c r="S20" i="163"/>
  <c r="G131" i="175"/>
  <c r="S19" i="163"/>
  <c r="T6" i="119"/>
  <c r="V6"/>
  <c r="H206" i="175"/>
  <c r="H210"/>
  <c r="B20" i="146"/>
  <c r="C6" i="119"/>
  <c r="H273" i="175"/>
  <c r="H21" i="161"/>
  <c r="G150" i="175"/>
  <c r="H200"/>
  <c r="Q6" i="140"/>
  <c r="G148" i="175"/>
  <c r="G192"/>
  <c r="M6" i="119"/>
  <c r="E19" i="147"/>
  <c r="G268" i="175"/>
  <c r="K20" i="146"/>
  <c r="G139" i="175"/>
  <c r="H20" i="146"/>
  <c r="U6" i="119"/>
  <c r="G144" i="175"/>
  <c r="N5" i="120"/>
  <c r="B19" i="146"/>
  <c r="G172" i="175"/>
  <c r="K19" i="146"/>
  <c r="L5" i="140"/>
  <c r="E20" i="163"/>
  <c r="N5" i="140"/>
  <c r="O19" i="146"/>
  <c r="G141" i="175"/>
  <c r="O19" i="163"/>
  <c r="E20" i="161"/>
  <c r="B5" i="140"/>
  <c r="T6" i="120"/>
  <c r="J5" i="140"/>
  <c r="T5"/>
  <c r="H274" i="175"/>
  <c r="L6" i="119"/>
  <c r="G130" i="175"/>
  <c r="H5" i="120"/>
  <c r="G772" i="175" l="1"/>
  <c r="G36" i="190"/>
  <c r="J473" i="175"/>
  <c r="BP36" i="118"/>
  <c r="N19" i="163"/>
  <c r="X21" i="165"/>
  <c r="X33"/>
  <c r="X30"/>
  <c r="X39"/>
  <c r="X34"/>
  <c r="BP22" i="118"/>
  <c r="X50" i="165"/>
  <c r="X55"/>
  <c r="BP25" i="118"/>
  <c r="X40" i="165"/>
  <c r="X54"/>
  <c r="X52"/>
  <c r="AA52" s="1"/>
  <c r="BP43" i="118"/>
  <c r="AB19" i="144"/>
  <c r="X56" i="165"/>
  <c r="X51"/>
  <c r="X24"/>
  <c r="X36"/>
  <c r="X43"/>
  <c r="BP14" i="118"/>
  <c r="BP49"/>
  <c r="BP40"/>
  <c r="X26" i="165"/>
  <c r="X38"/>
  <c r="X49"/>
  <c r="X29"/>
  <c r="X22"/>
  <c r="BP17" i="118"/>
  <c r="BP32"/>
  <c r="BP38"/>
  <c r="BP9"/>
  <c r="X19" i="149" s="1"/>
  <c r="AA19" s="1"/>
  <c r="X44" i="165"/>
  <c r="X19"/>
  <c r="X47"/>
  <c r="X45"/>
  <c r="X25"/>
  <c r="X27"/>
  <c r="X42"/>
  <c r="X57"/>
  <c r="X48"/>
  <c r="X28"/>
  <c r="BP18" i="118"/>
  <c r="BP26"/>
  <c r="N13" i="44"/>
  <c r="BP41" i="118"/>
  <c r="BP31"/>
  <c r="BP10"/>
  <c r="X20" i="167" s="1"/>
  <c r="X37" i="165"/>
  <c r="X20"/>
  <c r="X53"/>
  <c r="X32"/>
  <c r="X41"/>
  <c r="X23"/>
  <c r="X58"/>
  <c r="X31"/>
  <c r="X35"/>
  <c r="BP13" i="118"/>
  <c r="BP21"/>
  <c r="BP44"/>
  <c r="AA54" i="165" s="1"/>
  <c r="BP37" i="118"/>
  <c r="BP34"/>
  <c r="N19" i="161"/>
  <c r="N19" i="146"/>
  <c r="X59" i="165"/>
  <c r="M3" s="1"/>
  <c r="BP12" i="118"/>
  <c r="X22" i="162" s="1"/>
  <c r="BP16" i="118"/>
  <c r="BP20"/>
  <c r="AA30" i="165" s="1"/>
  <c r="BP24" i="118"/>
  <c r="BP28"/>
  <c r="BP47"/>
  <c r="BP35"/>
  <c r="AA45" i="165" s="1"/>
  <c r="BP30" i="118"/>
  <c r="BP39"/>
  <c r="BP33"/>
  <c r="M13" i="49"/>
  <c r="X20" i="171" s="1"/>
  <c r="X46" i="165"/>
  <c r="BP11" i="118"/>
  <c r="X21" i="162" s="1"/>
  <c r="BP15" i="118"/>
  <c r="BP19"/>
  <c r="BP23"/>
  <c r="BP27"/>
  <c r="BP48"/>
  <c r="BP29"/>
  <c r="BP45"/>
  <c r="AA55" i="165" s="1"/>
  <c r="BP46" i="118"/>
  <c r="M21" i="144"/>
  <c r="L21" s="1"/>
  <c r="AM10" i="142"/>
  <c r="G770" i="175"/>
  <c r="BA56" i="118"/>
  <c r="W12" i="49"/>
  <c r="G16" i="51" s="1"/>
  <c r="AT103" i="118"/>
  <c r="AT150"/>
  <c r="AR103"/>
  <c r="AR150"/>
  <c r="AP57"/>
  <c r="AW56"/>
  <c r="AU103"/>
  <c r="AU150"/>
  <c r="AT56"/>
  <c r="AU56"/>
  <c r="AS57"/>
  <c r="AT57"/>
  <c r="AQ103"/>
  <c r="AQ150"/>
  <c r="AR57"/>
  <c r="AP103"/>
  <c r="AP150"/>
  <c r="AQ57"/>
  <c r="AU57"/>
  <c r="AS103"/>
  <c r="AS150"/>
  <c r="G746" i="175"/>
  <c r="G769"/>
  <c r="G745"/>
  <c r="G773"/>
  <c r="G744"/>
  <c r="G747"/>
  <c r="G748"/>
  <c r="AJ19" i="158"/>
  <c r="AJ19" i="164"/>
  <c r="AJ19" i="159"/>
  <c r="K15" i="49"/>
  <c r="AG57" i="118"/>
  <c r="AG11"/>
  <c r="AG246"/>
  <c r="G20" i="164"/>
  <c r="AD20" s="1"/>
  <c r="X19" i="171"/>
  <c r="S20" i="143"/>
  <c r="V20" s="1"/>
  <c r="S20" i="159"/>
  <c r="V20" s="1"/>
  <c r="BB20" i="149"/>
  <c r="BD20" s="1"/>
  <c r="S20" i="166"/>
  <c r="V20" s="1"/>
  <c r="AB244" i="118"/>
  <c r="O20" i="143"/>
  <c r="R20" s="1"/>
  <c r="S20" i="154"/>
  <c r="V20" s="1"/>
  <c r="F20" i="149"/>
  <c r="O20" i="150"/>
  <c r="R20" s="1"/>
  <c r="O20" i="149"/>
  <c r="R20" s="1"/>
  <c r="S20" i="150"/>
  <c r="V20" s="1"/>
  <c r="AJ19" i="143"/>
  <c r="L15" i="49"/>
  <c r="V19" i="163"/>
  <c r="AW150" i="118"/>
  <c r="AW103"/>
  <c r="R20" i="161"/>
  <c r="J19" i="146"/>
  <c r="V19" i="161"/>
  <c r="AF19" i="163"/>
  <c r="F20" i="161"/>
  <c r="AJ19" i="150"/>
  <c r="O20" i="155"/>
  <c r="R20" s="1"/>
  <c r="S20" i="151"/>
  <c r="V20" s="1"/>
  <c r="F20" i="162"/>
  <c r="S19" i="150"/>
  <c r="V19" s="1"/>
  <c r="O20" i="162"/>
  <c r="R20" s="1"/>
  <c r="O20" i="158"/>
  <c r="R20" s="1"/>
  <c r="O20" i="56"/>
  <c r="R20" s="1"/>
  <c r="AF19" i="161"/>
  <c r="AX103" i="118"/>
  <c r="AX150"/>
  <c r="S20" i="56"/>
  <c r="V20" s="1"/>
  <c r="AJ20" i="171"/>
  <c r="AR20" s="1"/>
  <c r="S20" i="145"/>
  <c r="V20" s="1"/>
  <c r="S20" i="155"/>
  <c r="V20" s="1"/>
  <c r="O20" i="144"/>
  <c r="R20" s="1"/>
  <c r="S20" i="167"/>
  <c r="V20" s="1"/>
  <c r="BA57" i="118"/>
  <c r="BJ56"/>
  <c r="BA150"/>
  <c r="BA103"/>
  <c r="BB56"/>
  <c r="BC103"/>
  <c r="BC150"/>
  <c r="R19" i="163"/>
  <c r="N20" i="161"/>
  <c r="C20" i="146"/>
  <c r="N20"/>
  <c r="G190" i="175"/>
  <c r="G771"/>
  <c r="G741"/>
  <c r="V20" i="161"/>
  <c r="G20" i="163"/>
  <c r="V20"/>
  <c r="AX56" i="118"/>
  <c r="AW57"/>
  <c r="BK103"/>
  <c r="BK150"/>
  <c r="R19" i="146"/>
  <c r="G19" i="147"/>
  <c r="J21" i="163"/>
  <c r="G737" i="175"/>
  <c r="N20" i="163"/>
  <c r="R21" i="161"/>
  <c r="D21" i="163"/>
  <c r="G34" i="190"/>
  <c r="J470" i="175"/>
  <c r="J471"/>
  <c r="G52" i="190" s="1"/>
  <c r="AI383" i="118"/>
  <c r="J21" i="149"/>
  <c r="AF21" s="1"/>
  <c r="J21" i="167"/>
  <c r="AF21" s="1"/>
  <c r="J21" i="164"/>
  <c r="AF21" s="1"/>
  <c r="BJ21" i="161"/>
  <c r="D21" s="1"/>
  <c r="BV21"/>
  <c r="J21" s="1"/>
  <c r="AB20" i="56"/>
  <c r="AJ20" s="1"/>
  <c r="C16" i="137"/>
  <c r="G16"/>
  <c r="E16"/>
  <c r="AJ19" i="167"/>
  <c r="J15" i="49"/>
  <c r="Z14"/>
  <c r="M14"/>
  <c r="AB20" i="153"/>
  <c r="AJ19" i="166"/>
  <c r="G21" i="159"/>
  <c r="AD21" s="1"/>
  <c r="G21" i="164"/>
  <c r="AD21" s="1"/>
  <c r="BK21"/>
  <c r="BL21" s="1"/>
  <c r="F21" i="161"/>
  <c r="AD21"/>
  <c r="G21" i="144"/>
  <c r="AD21" s="1"/>
  <c r="AJ19" i="153"/>
  <c r="D21" i="166"/>
  <c r="K21" s="1"/>
  <c r="N21" s="1"/>
  <c r="D21" i="144"/>
  <c r="AB22" i="162"/>
  <c r="AD19" i="163"/>
  <c r="J21" i="171"/>
  <c r="AF21" s="1"/>
  <c r="J21" i="159"/>
  <c r="AF21" s="1"/>
  <c r="AB20" i="167"/>
  <c r="C20" i="161"/>
  <c r="AB20"/>
  <c r="BP20" i="164"/>
  <c r="BM20"/>
  <c r="BT20"/>
  <c r="G21" i="150"/>
  <c r="AD21" s="1"/>
  <c r="G21" i="151"/>
  <c r="AD21" s="1"/>
  <c r="AJ19"/>
  <c r="D21" i="168"/>
  <c r="D21" i="154"/>
  <c r="K21" s="1"/>
  <c r="N21" s="1"/>
  <c r="AJ21" i="162"/>
  <c r="J21" i="158"/>
  <c r="AF21" s="1"/>
  <c r="J21" i="143"/>
  <c r="AF21" s="1"/>
  <c r="J21" i="166"/>
  <c r="AF21" s="1"/>
  <c r="J21" i="168"/>
  <c r="AF21" s="1"/>
  <c r="J21" i="154"/>
  <c r="AF21" s="1"/>
  <c r="AB20" i="145"/>
  <c r="AB20" i="159"/>
  <c r="C17" i="13"/>
  <c r="AL24" i="171"/>
  <c r="D18" i="13"/>
  <c r="CB24" i="162"/>
  <c r="AJ19" i="154"/>
  <c r="I20" i="161"/>
  <c r="AF20"/>
  <c r="AB20" i="149"/>
  <c r="AJ20" s="1"/>
  <c r="AB20" i="164"/>
  <c r="AD20" i="165"/>
  <c r="AB20" i="154"/>
  <c r="AB20" i="150"/>
  <c r="AJ20" s="1"/>
  <c r="G21" i="145"/>
  <c r="AD21" s="1"/>
  <c r="G21" i="155"/>
  <c r="AD21" s="1"/>
  <c r="G21" i="56"/>
  <c r="AD21" s="1"/>
  <c r="BC21" i="149"/>
  <c r="BB21"/>
  <c r="G21" i="167"/>
  <c r="AD21" s="1"/>
  <c r="D15" i="137"/>
  <c r="AI15"/>
  <c r="AB59" i="118"/>
  <c r="B22" i="144"/>
  <c r="B22" i="151"/>
  <c r="B22" i="168"/>
  <c r="B22" i="167"/>
  <c r="B22" i="154"/>
  <c r="B22" i="166"/>
  <c r="B22" i="153"/>
  <c r="B22" i="155"/>
  <c r="B22" i="56"/>
  <c r="B22" i="165"/>
  <c r="B22" i="145"/>
  <c r="B22" i="162"/>
  <c r="C22" s="1"/>
  <c r="B22" i="143"/>
  <c r="B22" i="149"/>
  <c r="B22" i="164"/>
  <c r="B22" i="150"/>
  <c r="B22" i="158"/>
  <c r="B22" i="159"/>
  <c r="B22" i="171"/>
  <c r="I15" i="137"/>
  <c r="J15" s="1"/>
  <c r="AJ19" i="145"/>
  <c r="D21" i="149"/>
  <c r="D21" i="158"/>
  <c r="K21" s="1"/>
  <c r="N21" s="1"/>
  <c r="D21" i="167"/>
  <c r="K21" s="1"/>
  <c r="N21" s="1"/>
  <c r="D21" i="56"/>
  <c r="K21" s="1"/>
  <c r="N21" s="1"/>
  <c r="D21" i="153"/>
  <c r="K21" s="1"/>
  <c r="N21" s="1"/>
  <c r="AD22" i="162"/>
  <c r="AF20" i="163"/>
  <c r="AY382" i="118"/>
  <c r="AZ382"/>
  <c r="BC382"/>
  <c r="AQ382"/>
  <c r="AU382"/>
  <c r="AO382"/>
  <c r="AW382"/>
  <c r="BD382"/>
  <c r="AX382"/>
  <c r="AM382"/>
  <c r="AS382"/>
  <c r="AL382"/>
  <c r="AE382" s="1"/>
  <c r="BB382"/>
  <c r="BE382"/>
  <c r="AP382"/>
  <c r="AV382"/>
  <c r="AT382"/>
  <c r="AN382"/>
  <c r="BA382"/>
  <c r="AR382"/>
  <c r="O20" i="151"/>
  <c r="R20" s="1"/>
  <c r="S20" i="144"/>
  <c r="V20" s="1"/>
  <c r="K20" i="153"/>
  <c r="N20" s="1"/>
  <c r="K20" i="171"/>
  <c r="N20" s="1"/>
  <c r="O20" i="154"/>
  <c r="R20" s="1"/>
  <c r="O20" i="166"/>
  <c r="R20" s="1"/>
  <c r="O20" i="168"/>
  <c r="R20" s="1"/>
  <c r="O20" i="171"/>
  <c r="R20" s="1"/>
  <c r="O20" i="159"/>
  <c r="R20" s="1"/>
  <c r="S20" i="164"/>
  <c r="V20" s="1"/>
  <c r="S20" i="171"/>
  <c r="V20" s="1"/>
  <c r="O20" i="167"/>
  <c r="R20" s="1"/>
  <c r="O20" i="145"/>
  <c r="R20" s="1"/>
  <c r="S21" i="162"/>
  <c r="V21" s="1"/>
  <c r="T15" i="49"/>
  <c r="U14"/>
  <c r="AJ19" i="168"/>
  <c r="G21" i="143"/>
  <c r="AD21" s="1"/>
  <c r="D21"/>
  <c r="K21" i="162"/>
  <c r="N21" s="1"/>
  <c r="AD19" i="146"/>
  <c r="G20"/>
  <c r="J21" i="56"/>
  <c r="AF21" s="1"/>
  <c r="I21" i="165"/>
  <c r="BK21"/>
  <c r="S21"/>
  <c r="V21" s="1"/>
  <c r="J21" i="151"/>
  <c r="AF21" s="1"/>
  <c r="Z20" i="171"/>
  <c r="AB339" i="118"/>
  <c r="AD339" s="1"/>
  <c r="AJ19" i="165"/>
  <c r="AS19" i="171"/>
  <c r="E69" i="190"/>
  <c r="G21" i="171"/>
  <c r="AD21" s="1"/>
  <c r="G21" i="168"/>
  <c r="AD21" s="1"/>
  <c r="G21" i="154"/>
  <c r="AD21" s="1"/>
  <c r="AB20" i="166"/>
  <c r="H15" i="137"/>
  <c r="BD22" i="161" s="1"/>
  <c r="H22" i="167"/>
  <c r="H22" i="153"/>
  <c r="H22" i="144"/>
  <c r="H22" i="154"/>
  <c r="H22" i="145"/>
  <c r="H22" i="151"/>
  <c r="H22" i="150"/>
  <c r="H22" i="158"/>
  <c r="H22" i="149"/>
  <c r="H22" i="162"/>
  <c r="H22" i="166"/>
  <c r="H22" i="168"/>
  <c r="H22" i="165"/>
  <c r="H22" i="171"/>
  <c r="H22" i="164"/>
  <c r="H22" i="159"/>
  <c r="H22" i="155"/>
  <c r="AB153" i="118"/>
  <c r="H22" i="56"/>
  <c r="H22" i="143"/>
  <c r="D21" i="159"/>
  <c r="K21" s="1"/>
  <c r="N21" s="1"/>
  <c r="D21" i="155"/>
  <c r="K21" s="1"/>
  <c r="N21" s="1"/>
  <c r="D21" i="150"/>
  <c r="K21" s="1"/>
  <c r="N21" s="1"/>
  <c r="AB20" i="158"/>
  <c r="AF22" i="162"/>
  <c r="AB20" i="163"/>
  <c r="J21" i="155"/>
  <c r="AF21" s="1"/>
  <c r="J21" i="150"/>
  <c r="AF21" s="1"/>
  <c r="J21" i="153"/>
  <c r="AF21" s="1"/>
  <c r="J21" i="145"/>
  <c r="AF21" s="1"/>
  <c r="J21" i="144"/>
  <c r="AF21" s="1"/>
  <c r="AB20" i="168"/>
  <c r="CC23" i="162"/>
  <c r="D23" s="1"/>
  <c r="CE23"/>
  <c r="J23" s="1"/>
  <c r="CD23"/>
  <c r="G23" s="1"/>
  <c r="CG23"/>
  <c r="AL23" s="1"/>
  <c r="AC20" i="151"/>
  <c r="G21" i="158"/>
  <c r="AD21" s="1"/>
  <c r="G21" i="166"/>
  <c r="AD21" s="1"/>
  <c r="G21" i="153"/>
  <c r="AD21" s="1"/>
  <c r="O21" i="162"/>
  <c r="R21" s="1"/>
  <c r="G21" i="165"/>
  <c r="AB20" i="155"/>
  <c r="AJ20" s="1"/>
  <c r="AB106" i="118"/>
  <c r="E22" i="165"/>
  <c r="E22" i="144"/>
  <c r="E22" i="154"/>
  <c r="E22" i="167"/>
  <c r="E22" i="162"/>
  <c r="F22" s="1"/>
  <c r="E22" i="151"/>
  <c r="F15" i="137"/>
  <c r="BC22" i="161" s="1"/>
  <c r="BP22" s="1"/>
  <c r="G22" s="1"/>
  <c r="E22" i="149"/>
  <c r="E22" i="166"/>
  <c r="E22" i="153"/>
  <c r="E22" i="145"/>
  <c r="E22" i="158"/>
  <c r="E22" i="150"/>
  <c r="E22" i="168"/>
  <c r="E22" i="159"/>
  <c r="E22" i="56"/>
  <c r="E22" i="155"/>
  <c r="E22" i="143"/>
  <c r="E22" i="164"/>
  <c r="E22" i="171"/>
  <c r="BN19" i="164"/>
  <c r="BU19" s="1"/>
  <c r="BV19" s="1"/>
  <c r="D21" i="171"/>
  <c r="AB21" s="1"/>
  <c r="D21" i="164"/>
  <c r="C21" i="165"/>
  <c r="K21"/>
  <c r="N21" s="1"/>
  <c r="D21" i="145"/>
  <c r="D21" i="151"/>
  <c r="AM22" i="162"/>
  <c r="F51" i="190"/>
  <c r="I501" i="175"/>
  <c r="F69" i="190" s="1"/>
  <c r="K20" i="56"/>
  <c r="N20" s="1"/>
  <c r="O20" i="153"/>
  <c r="R20" s="1"/>
  <c r="S20"/>
  <c r="V20" s="1"/>
  <c r="S20" i="168"/>
  <c r="V20" s="1"/>
  <c r="S20" i="149"/>
  <c r="V20" s="1"/>
  <c r="S20" i="158"/>
  <c r="V20" s="1"/>
  <c r="H175" i="175"/>
  <c r="I7" i="119"/>
  <c r="H150" i="175"/>
  <c r="H5" i="71"/>
  <c r="T41" i="64"/>
  <c r="T31" i="67"/>
  <c r="B22" i="163"/>
  <c r="T23" i="67"/>
  <c r="V6"/>
  <c r="T5" i="68"/>
  <c r="G52" i="175"/>
  <c r="H143"/>
  <c r="B5" i="68"/>
  <c r="T9" i="64"/>
  <c r="H147" i="175"/>
  <c r="T35" i="64"/>
  <c r="G399" i="175"/>
  <c r="T25" i="67"/>
  <c r="T13" i="64"/>
  <c r="J5" i="68"/>
  <c r="T16" i="67"/>
  <c r="I211" i="175"/>
  <c r="H173"/>
  <c r="H265"/>
  <c r="T34" i="67"/>
  <c r="Q8"/>
  <c r="S19" i="146"/>
  <c r="I6" i="68"/>
  <c r="K6" i="140"/>
  <c r="C6"/>
  <c r="T33" i="67"/>
  <c r="U5" i="68"/>
  <c r="T24" i="64"/>
  <c r="E21" i="163"/>
  <c r="T15" i="67"/>
  <c r="O22" i="161"/>
  <c r="I275" i="175"/>
  <c r="R6" i="119"/>
  <c r="T43" i="67"/>
  <c r="T29" i="64"/>
  <c r="T37"/>
  <c r="K442" i="175"/>
  <c r="H151"/>
  <c r="G204"/>
  <c r="G397"/>
  <c r="L6" i="120"/>
  <c r="T38" i="64"/>
  <c r="M6" i="120"/>
  <c r="I272" i="175"/>
  <c r="H56"/>
  <c r="G388"/>
  <c r="H22" i="161"/>
  <c r="B6" i="120"/>
  <c r="T6" i="64"/>
  <c r="T15"/>
  <c r="T23"/>
  <c r="E21" i="146"/>
  <c r="S6" i="140"/>
  <c r="T43" i="64"/>
  <c r="L5" i="68"/>
  <c r="T28" i="64"/>
  <c r="T31"/>
  <c r="T36" i="67"/>
  <c r="H262" i="175"/>
  <c r="H6" i="120"/>
  <c r="S21" i="161"/>
  <c r="D6" i="140"/>
  <c r="K6" i="119"/>
  <c r="O20" i="163"/>
  <c r="G146" i="175"/>
  <c r="Q7" i="68"/>
  <c r="J6" i="120"/>
  <c r="G254" i="175"/>
  <c r="H149"/>
  <c r="I5" i="68"/>
  <c r="H5" i="64"/>
  <c r="T45"/>
  <c r="S5" i="68"/>
  <c r="T31" i="71"/>
  <c r="B6" i="140"/>
  <c r="W6"/>
  <c r="T22" i="67"/>
  <c r="H142" i="175"/>
  <c r="T12" i="67"/>
  <c r="I268" i="175"/>
  <c r="G203"/>
  <c r="G143"/>
  <c r="H266"/>
  <c r="G54"/>
  <c r="H130"/>
  <c r="I6" i="140"/>
  <c r="V6"/>
  <c r="G398" i="175"/>
  <c r="G55"/>
  <c r="T13" i="67"/>
  <c r="R5" i="120"/>
  <c r="H6" i="140"/>
  <c r="I6" i="120"/>
  <c r="H19" i="147"/>
  <c r="H52" i="175"/>
  <c r="P5" i="140"/>
  <c r="Q7" i="119"/>
  <c r="G265" i="175"/>
  <c r="H269"/>
  <c r="T20" i="67"/>
  <c r="E6" i="119"/>
  <c r="H145" i="175"/>
  <c r="I208"/>
  <c r="I270"/>
  <c r="O20" i="146"/>
  <c r="U6" i="140"/>
  <c r="R5"/>
  <c r="I267" i="175"/>
  <c r="K6" i="120"/>
  <c r="H22" i="163"/>
  <c r="G53" i="175"/>
  <c r="I271"/>
  <c r="T24" i="67"/>
  <c r="P6" i="119"/>
  <c r="T17" i="64"/>
  <c r="N5" i="68"/>
  <c r="Q7" i="67"/>
  <c r="I212" i="175"/>
  <c r="T6" i="67"/>
  <c r="T10"/>
  <c r="E22" i="161"/>
  <c r="H131" i="175"/>
  <c r="T41" i="67"/>
  <c r="P7" i="120"/>
  <c r="T29" i="67"/>
  <c r="T36" i="64"/>
  <c r="T44" i="67"/>
  <c r="T18" i="64"/>
  <c r="I209" i="175"/>
  <c r="W6" i="120"/>
  <c r="T5" i="67"/>
  <c r="H55" i="175"/>
  <c r="T16" i="64"/>
  <c r="K440" i="175"/>
  <c r="M6" i="140"/>
  <c r="B20" i="147"/>
  <c r="H192" i="175"/>
  <c r="T7" i="67"/>
  <c r="H139" i="175"/>
  <c r="T16" i="71"/>
  <c r="Q7" i="140"/>
  <c r="K7" i="119"/>
  <c r="G193" i="175"/>
  <c r="G395"/>
  <c r="J6" i="140"/>
  <c r="T8" i="67"/>
  <c r="T7" i="64"/>
  <c r="G145" i="175"/>
  <c r="S21" i="163"/>
  <c r="T21" i="67"/>
  <c r="H21" i="146"/>
  <c r="E20"/>
  <c r="T38" i="71"/>
  <c r="T21" i="64"/>
  <c r="G266" i="175"/>
  <c r="T28" i="67"/>
  <c r="T18"/>
  <c r="R6" i="140"/>
  <c r="Q9" i="69"/>
  <c r="G263" i="175"/>
  <c r="H174"/>
  <c r="T9" i="67"/>
  <c r="G201" i="175"/>
  <c r="T11" i="64"/>
  <c r="T10"/>
  <c r="I273" i="175"/>
  <c r="T32" i="64"/>
  <c r="T33"/>
  <c r="H146" i="175"/>
  <c r="G56"/>
  <c r="H148"/>
  <c r="T34" i="64"/>
  <c r="T39"/>
  <c r="B19" i="147"/>
  <c r="V5" i="68"/>
  <c r="H144" i="175"/>
  <c r="H5" i="67"/>
  <c r="P5" i="119"/>
  <c r="H205" i="175"/>
  <c r="T32" i="67"/>
  <c r="U7" i="119"/>
  <c r="M5" i="68"/>
  <c r="C6" i="120"/>
  <c r="I205" i="175"/>
  <c r="K21" i="163"/>
  <c r="G396" i="175"/>
  <c r="H6" i="68"/>
  <c r="H141" i="175"/>
  <c r="H263"/>
  <c r="T40" i="71"/>
  <c r="T25" i="64"/>
  <c r="V6"/>
  <c r="K21" i="146"/>
  <c r="T30" i="67"/>
  <c r="T40"/>
  <c r="G391" i="175"/>
  <c r="T40" i="64"/>
  <c r="T42"/>
  <c r="T7" i="140"/>
  <c r="T14" i="67"/>
  <c r="U6" i="120"/>
  <c r="H138" i="175"/>
  <c r="I210"/>
  <c r="L7" i="119"/>
  <c r="V7"/>
  <c r="E19" i="148"/>
  <c r="B21" i="146"/>
  <c r="T27" i="67"/>
  <c r="I213" i="175"/>
  <c r="G262"/>
  <c r="N7" i="119"/>
  <c r="H202" i="175"/>
  <c r="Q7" i="64"/>
  <c r="G269" i="175"/>
  <c r="T35" i="67"/>
  <c r="T19" i="64"/>
  <c r="T26" i="67"/>
  <c r="T19"/>
  <c r="N6" i="140"/>
  <c r="T20" i="64"/>
  <c r="Q8"/>
  <c r="T7" i="119"/>
  <c r="H53" i="175"/>
  <c r="M7" i="119"/>
  <c r="H254" i="175"/>
  <c r="L6" i="140"/>
  <c r="W5" i="68"/>
  <c r="T11" i="67"/>
  <c r="T5" i="64"/>
  <c r="E5" i="120"/>
  <c r="T26" i="64"/>
  <c r="P6" i="140"/>
  <c r="Q7" i="120"/>
  <c r="H54" i="175"/>
  <c r="P6" i="120"/>
  <c r="T38" i="67"/>
  <c r="T17"/>
  <c r="R5" i="119"/>
  <c r="B22" i="161"/>
  <c r="T27" i="64"/>
  <c r="I206" i="175"/>
  <c r="Q6" i="120"/>
  <c r="H140" i="175"/>
  <c r="T45" i="67"/>
  <c r="T8" i="64"/>
  <c r="T30"/>
  <c r="G207" i="175"/>
  <c r="D6" i="120"/>
  <c r="I5" i="140"/>
  <c r="O19" i="147"/>
  <c r="H172" i="175"/>
  <c r="I200"/>
  <c r="I264"/>
  <c r="K21" i="161"/>
  <c r="V6" i="120"/>
  <c r="K5" i="68"/>
  <c r="E5" i="119"/>
  <c r="T14" i="64"/>
  <c r="T44"/>
  <c r="T22"/>
  <c r="I274" i="175"/>
  <c r="N6" i="120"/>
  <c r="T42" i="67"/>
  <c r="T12" i="64"/>
  <c r="D5" i="68"/>
  <c r="T41" i="71"/>
  <c r="G392" i="175"/>
  <c r="T39" i="67"/>
  <c r="T37"/>
  <c r="H772" i="175" l="1"/>
  <c r="E49" i="189" s="1"/>
  <c r="D49"/>
  <c r="L2" i="165"/>
  <c r="L4" s="1"/>
  <c r="H36" i="190"/>
  <c r="K473" i="175"/>
  <c r="H54" i="190" s="1"/>
  <c r="G54"/>
  <c r="AZ57" i="118"/>
  <c r="AZ56"/>
  <c r="AZ103"/>
  <c r="AZ150"/>
  <c r="G738" i="175"/>
  <c r="G800" s="1"/>
  <c r="G743"/>
  <c r="G805" s="1"/>
  <c r="AJ19" i="144"/>
  <c r="AV56" i="118"/>
  <c r="AX57"/>
  <c r="BK56"/>
  <c r="AA46" i="165"/>
  <c r="AA50"/>
  <c r="AY56" i="118"/>
  <c r="AA34" i="165"/>
  <c r="U11" i="72"/>
  <c r="U23"/>
  <c r="X20" i="168"/>
  <c r="AA20" s="1"/>
  <c r="AA32" i="165"/>
  <c r="X19" i="168"/>
  <c r="AA33" i="165"/>
  <c r="AA40"/>
  <c r="AA53"/>
  <c r="U29" i="72"/>
  <c r="U24"/>
  <c r="U20"/>
  <c r="AA39" i="165"/>
  <c r="U45" i="72"/>
  <c r="U44"/>
  <c r="U40"/>
  <c r="U42"/>
  <c r="U30"/>
  <c r="AA43" i="165"/>
  <c r="G740" i="175"/>
  <c r="D17" i="189" s="1"/>
  <c r="X19" i="159"/>
  <c r="X19" i="161"/>
  <c r="X19" i="150"/>
  <c r="AA19" s="1"/>
  <c r="X20" i="151"/>
  <c r="AA20" s="1"/>
  <c r="X20" i="144"/>
  <c r="X20" i="153"/>
  <c r="AA20" s="1"/>
  <c r="X19" i="154"/>
  <c r="AA19" s="1"/>
  <c r="X20" i="162"/>
  <c r="AA20" s="1"/>
  <c r="X20" i="166"/>
  <c r="X19"/>
  <c r="X19" i="167"/>
  <c r="AA19" s="1"/>
  <c r="X20" i="158"/>
  <c r="AA20" s="1"/>
  <c r="X19" i="144"/>
  <c r="X19" i="145"/>
  <c r="AA19" s="1"/>
  <c r="X20" i="154"/>
  <c r="AA20" s="1"/>
  <c r="X20" i="149"/>
  <c r="X20" i="159"/>
  <c r="AA20" s="1"/>
  <c r="X20" i="161"/>
  <c r="X19" i="146"/>
  <c r="AA56" i="165"/>
  <c r="AA20"/>
  <c r="X19" i="56"/>
  <c r="X19" i="151"/>
  <c r="X19" i="164"/>
  <c r="AA19" s="1"/>
  <c r="X19" i="153"/>
  <c r="AA19" s="1"/>
  <c r="X20" i="56"/>
  <c r="AA20" s="1"/>
  <c r="AR20" s="1"/>
  <c r="X19" i="158"/>
  <c r="AA19" s="1"/>
  <c r="X20" i="155"/>
  <c r="AA20" s="1"/>
  <c r="AR20" s="1"/>
  <c r="X19"/>
  <c r="AA19" s="1"/>
  <c r="X19" i="143"/>
  <c r="AA19" s="1"/>
  <c r="X19" i="163"/>
  <c r="X20" i="150"/>
  <c r="X20" i="145"/>
  <c r="AA20" s="1"/>
  <c r="X19" i="162"/>
  <c r="X20" i="163"/>
  <c r="AA20" s="1"/>
  <c r="AA57" i="165"/>
  <c r="AA26"/>
  <c r="AA31"/>
  <c r="AA36"/>
  <c r="D19" i="147"/>
  <c r="AA58" i="165"/>
  <c r="AA29"/>
  <c r="AA47"/>
  <c r="AA41"/>
  <c r="AA21"/>
  <c r="AA42"/>
  <c r="U28" i="72"/>
  <c r="U41"/>
  <c r="U39"/>
  <c r="U14"/>
  <c r="U12"/>
  <c r="U16"/>
  <c r="U33"/>
  <c r="U46"/>
  <c r="U19"/>
  <c r="U26"/>
  <c r="AA27" i="165"/>
  <c r="AA24"/>
  <c r="AA23"/>
  <c r="AA51"/>
  <c r="AA49"/>
  <c r="AA38"/>
  <c r="AA59"/>
  <c r="AA25"/>
  <c r="U25" i="72"/>
  <c r="U31"/>
  <c r="U27"/>
  <c r="U38"/>
  <c r="U34"/>
  <c r="U18"/>
  <c r="U9"/>
  <c r="U21"/>
  <c r="U22"/>
  <c r="U47"/>
  <c r="U35"/>
  <c r="U15"/>
  <c r="U13"/>
  <c r="U10"/>
  <c r="U17"/>
  <c r="U48"/>
  <c r="U43"/>
  <c r="U32"/>
  <c r="U37"/>
  <c r="AA35" i="165"/>
  <c r="AB245" i="118"/>
  <c r="W13" i="49"/>
  <c r="G17" i="51" s="1"/>
  <c r="H17"/>
  <c r="AA48" i="165"/>
  <c r="AA44"/>
  <c r="AA28"/>
  <c r="AA19"/>
  <c r="AR19" s="1"/>
  <c r="AA37"/>
  <c r="BC56" i="118"/>
  <c r="W11" i="72"/>
  <c r="U36"/>
  <c r="U49"/>
  <c r="AA22" i="165"/>
  <c r="AA21" i="162"/>
  <c r="AR21" s="1"/>
  <c r="AY103" i="118"/>
  <c r="AY150"/>
  <c r="G739" i="175"/>
  <c r="G801" s="1"/>
  <c r="AM11" i="142"/>
  <c r="D47" i="189"/>
  <c r="X12" i="49"/>
  <c r="AQ104" i="118"/>
  <c r="AQ151"/>
  <c r="AR244"/>
  <c r="AS151"/>
  <c r="AS104"/>
  <c r="AP9"/>
  <c r="AR10"/>
  <c r="AP244"/>
  <c r="AP245"/>
  <c r="AQ10"/>
  <c r="AT10"/>
  <c r="BB103"/>
  <c r="BB150"/>
  <c r="AP58"/>
  <c r="AP10"/>
  <c r="AS9"/>
  <c r="AT245"/>
  <c r="AT244"/>
  <c r="AQ244"/>
  <c r="AS244"/>
  <c r="AR245"/>
  <c r="AS10"/>
  <c r="AT104"/>
  <c r="AT151"/>
  <c r="AQ58"/>
  <c r="AR58"/>
  <c r="BC57"/>
  <c r="AT9"/>
  <c r="BB57"/>
  <c r="AR151"/>
  <c r="AR104"/>
  <c r="AS245"/>
  <c r="AQ245"/>
  <c r="AY57"/>
  <c r="AP104"/>
  <c r="AP151"/>
  <c r="AR9"/>
  <c r="AQ9"/>
  <c r="BA151"/>
  <c r="BA104"/>
  <c r="AU104"/>
  <c r="AU151"/>
  <c r="H746" i="175"/>
  <c r="H743"/>
  <c r="H744"/>
  <c r="G736"/>
  <c r="D13" i="189" s="1"/>
  <c r="G735" i="175"/>
  <c r="G797" s="1"/>
  <c r="H769"/>
  <c r="E46" i="189" s="1"/>
  <c r="H740" i="175"/>
  <c r="E17" i="189" s="1"/>
  <c r="H745" i="175"/>
  <c r="H747"/>
  <c r="H748"/>
  <c r="D24" i="189"/>
  <c r="G809" i="175"/>
  <c r="AJ19" i="161"/>
  <c r="D21" i="189"/>
  <c r="G806" i="175"/>
  <c r="D50" i="189"/>
  <c r="D46"/>
  <c r="D23"/>
  <c r="G808" i="175"/>
  <c r="D25" i="189"/>
  <c r="G810" i="175"/>
  <c r="D22" i="189"/>
  <c r="G807" i="175"/>
  <c r="AJ20" i="158"/>
  <c r="AJ20" i="159"/>
  <c r="L16" i="49"/>
  <c r="K16"/>
  <c r="AG10" i="118"/>
  <c r="AG151"/>
  <c r="AG104"/>
  <c r="AG12"/>
  <c r="AG247"/>
  <c r="AG9"/>
  <c r="AG244"/>
  <c r="AG58"/>
  <c r="AG105"/>
  <c r="AG152"/>
  <c r="AG245"/>
  <c r="X20" i="164"/>
  <c r="O20"/>
  <c r="R20" s="1"/>
  <c r="AJ20"/>
  <c r="AF19" i="146"/>
  <c r="AJ19" s="1"/>
  <c r="J20"/>
  <c r="AF20" s="1"/>
  <c r="O21" i="154"/>
  <c r="R21" s="1"/>
  <c r="S21" i="150"/>
  <c r="V21" s="1"/>
  <c r="S21" i="166"/>
  <c r="V21" s="1"/>
  <c r="S21" i="171"/>
  <c r="V21" s="1"/>
  <c r="AJ19" i="163"/>
  <c r="G727" i="175"/>
  <c r="D4" i="189" s="1"/>
  <c r="J19" i="147"/>
  <c r="V19" i="146"/>
  <c r="BK151" i="118"/>
  <c r="BK104"/>
  <c r="BQ19" i="164"/>
  <c r="BR19" s="1"/>
  <c r="O21" i="166"/>
  <c r="R21" s="1"/>
  <c r="O21" i="145"/>
  <c r="R21" s="1"/>
  <c r="S21" i="154"/>
  <c r="V21" s="1"/>
  <c r="O21" i="159"/>
  <c r="R21" s="1"/>
  <c r="K21" i="171"/>
  <c r="N21" s="1"/>
  <c r="S21" i="145"/>
  <c r="V21" s="1"/>
  <c r="S21" i="155"/>
  <c r="V21" s="1"/>
  <c r="O21" i="171"/>
  <c r="R21" s="1"/>
  <c r="S21" i="158"/>
  <c r="V21" s="1"/>
  <c r="O21" i="144"/>
  <c r="R21" s="1"/>
  <c r="S21" i="167"/>
  <c r="V21" s="1"/>
  <c r="BK57" i="118"/>
  <c r="BC104"/>
  <c r="BC151"/>
  <c r="BJ57"/>
  <c r="D22" i="163"/>
  <c r="H737" i="175"/>
  <c r="S10" i="72"/>
  <c r="R20" i="146"/>
  <c r="V21" i="163"/>
  <c r="H735" i="175"/>
  <c r="AV150" i="118"/>
  <c r="AV103"/>
  <c r="BJ103"/>
  <c r="BJ150"/>
  <c r="AW104"/>
  <c r="AW151"/>
  <c r="G742" i="175"/>
  <c r="H727"/>
  <c r="W12" i="72"/>
  <c r="N21" i="163"/>
  <c r="G21"/>
  <c r="X21" s="1"/>
  <c r="K470" i="175"/>
  <c r="H34" i="190"/>
  <c r="K471" i="175"/>
  <c r="AI384" i="118"/>
  <c r="H741" i="175"/>
  <c r="N21" i="161"/>
  <c r="C21" i="146"/>
  <c r="N21"/>
  <c r="R20" i="163"/>
  <c r="R22" i="161"/>
  <c r="J22" i="163"/>
  <c r="V21" i="161"/>
  <c r="R19" i="147"/>
  <c r="G19" i="148"/>
  <c r="X21" i="145"/>
  <c r="AB21"/>
  <c r="X21" i="164"/>
  <c r="AB21"/>
  <c r="BK22"/>
  <c r="BL22" s="1"/>
  <c r="G22"/>
  <c r="AD22" s="1"/>
  <c r="AD22" i="161"/>
  <c r="F22"/>
  <c r="G22" i="154"/>
  <c r="AD22" s="1"/>
  <c r="AJ20" i="168"/>
  <c r="J22" i="166"/>
  <c r="AF22" s="1"/>
  <c r="AR19" i="149"/>
  <c r="D22" i="159"/>
  <c r="K22" s="1"/>
  <c r="N22" s="1"/>
  <c r="C22" i="165"/>
  <c r="K22"/>
  <c r="N22" s="1"/>
  <c r="D22" i="151"/>
  <c r="AJ20" i="165"/>
  <c r="X21" i="168"/>
  <c r="AB21"/>
  <c r="AA20" i="167"/>
  <c r="G22" i="171"/>
  <c r="AD22" s="1"/>
  <c r="G22" i="158"/>
  <c r="AD22" s="1"/>
  <c r="G22" i="167"/>
  <c r="AD22" s="1"/>
  <c r="AD20" i="146"/>
  <c r="F20"/>
  <c r="G21"/>
  <c r="D22" i="171"/>
  <c r="AB22" s="1"/>
  <c r="D22" i="145"/>
  <c r="K22" s="1"/>
  <c r="N22" s="1"/>
  <c r="D22" i="168"/>
  <c r="K22" s="1"/>
  <c r="N22" s="1"/>
  <c r="AV16" i="51"/>
  <c r="AB9" i="118"/>
  <c r="AK16" i="51"/>
  <c r="AM6" s="1"/>
  <c r="B9" i="72"/>
  <c r="D9" s="1"/>
  <c r="I9" s="1"/>
  <c r="H9" s="1"/>
  <c r="G9" s="1"/>
  <c r="F9" s="1"/>
  <c r="E9" s="1"/>
  <c r="AM383" i="118"/>
  <c r="AE383" s="1"/>
  <c r="AX383"/>
  <c r="AU383"/>
  <c r="AT383"/>
  <c r="BF383"/>
  <c r="AO383"/>
  <c r="BE383"/>
  <c r="AR383"/>
  <c r="AP383"/>
  <c r="AN383"/>
  <c r="AV383"/>
  <c r="BA383"/>
  <c r="BC383"/>
  <c r="BD383"/>
  <c r="BB383"/>
  <c r="AY383"/>
  <c r="AZ383"/>
  <c r="AS383"/>
  <c r="AW383"/>
  <c r="AQ383"/>
  <c r="G799" i="175"/>
  <c r="D14" i="189"/>
  <c r="AF21" i="163"/>
  <c r="D18" i="189"/>
  <c r="G803" i="175"/>
  <c r="X21" i="151"/>
  <c r="AC21"/>
  <c r="G22" i="143"/>
  <c r="AD22" s="1"/>
  <c r="G22" i="168"/>
  <c r="AD22" s="1"/>
  <c r="G22" i="153"/>
  <c r="AD22" s="1"/>
  <c r="G22" i="151"/>
  <c r="AD22" s="1"/>
  <c r="G22" i="144"/>
  <c r="AD22" s="1"/>
  <c r="AJ20" i="151"/>
  <c r="AF23" i="162"/>
  <c r="J22" i="171"/>
  <c r="AF22" s="1"/>
  <c r="S22" i="162"/>
  <c r="V22" s="1"/>
  <c r="J22" i="151"/>
  <c r="AF22" s="1"/>
  <c r="J22" i="153"/>
  <c r="AF22" s="1"/>
  <c r="AJ20" i="166"/>
  <c r="AJ20" i="144"/>
  <c r="T16" i="49"/>
  <c r="U15"/>
  <c r="D22" i="158"/>
  <c r="K22" s="1"/>
  <c r="N22" s="1"/>
  <c r="D22" i="143"/>
  <c r="K22" s="1"/>
  <c r="D22" i="56"/>
  <c r="K22" s="1"/>
  <c r="N22" s="1"/>
  <c r="D22" i="154"/>
  <c r="K22" s="1"/>
  <c r="N22" s="1"/>
  <c r="D22" i="144"/>
  <c r="AM24" i="171"/>
  <c r="AJ20" i="145"/>
  <c r="X21" i="166"/>
  <c r="AB21"/>
  <c r="Z15" i="49"/>
  <c r="J16"/>
  <c r="M15"/>
  <c r="AB107" i="118"/>
  <c r="E23" i="165"/>
  <c r="E23" i="144"/>
  <c r="E23" i="154"/>
  <c r="E23" i="167"/>
  <c r="E23" i="162"/>
  <c r="F23" s="1"/>
  <c r="E23" i="149"/>
  <c r="E23" i="151"/>
  <c r="F16" i="137"/>
  <c r="BC23" i="161" s="1"/>
  <c r="BP23" s="1"/>
  <c r="G23" s="1"/>
  <c r="E23" i="153"/>
  <c r="E23" i="168"/>
  <c r="E23" i="166"/>
  <c r="E23" i="145"/>
  <c r="E23" i="171"/>
  <c r="E23" i="56"/>
  <c r="E23" i="158"/>
  <c r="E23" i="150"/>
  <c r="E23" i="159"/>
  <c r="E23" i="143"/>
  <c r="E23" i="164"/>
  <c r="E23" i="155"/>
  <c r="K21" i="145"/>
  <c r="N21" s="1"/>
  <c r="BD21" i="149"/>
  <c r="G21" s="1"/>
  <c r="X21" s="1"/>
  <c r="K21" i="168"/>
  <c r="N21" s="1"/>
  <c r="O21"/>
  <c r="R21" s="1"/>
  <c r="S21" i="151"/>
  <c r="V21" s="1"/>
  <c r="O21" i="143"/>
  <c r="R21" s="1"/>
  <c r="O21" i="155"/>
  <c r="R21" s="1"/>
  <c r="O21" i="150"/>
  <c r="R21" s="1"/>
  <c r="O21" i="164"/>
  <c r="R21" s="1"/>
  <c r="S21"/>
  <c r="V21" s="1"/>
  <c r="S21" i="149"/>
  <c r="V21" s="1"/>
  <c r="G22" i="159"/>
  <c r="AD22" s="1"/>
  <c r="G22" i="145"/>
  <c r="AD22" s="1"/>
  <c r="AD23" i="162"/>
  <c r="J22" i="56"/>
  <c r="AF22" s="1"/>
  <c r="J22" i="164"/>
  <c r="AF22" s="1"/>
  <c r="J22" i="150"/>
  <c r="AF22" s="1"/>
  <c r="J22" i="144"/>
  <c r="AF22" s="1"/>
  <c r="W14" i="49"/>
  <c r="Z21" i="171"/>
  <c r="AB340" i="118"/>
  <c r="AD340" s="1"/>
  <c r="X21" i="167"/>
  <c r="AB21"/>
  <c r="AB21" i="149"/>
  <c r="D22"/>
  <c r="K22" s="1"/>
  <c r="N22" s="1"/>
  <c r="D22" i="166"/>
  <c r="K22" s="1"/>
  <c r="N22" s="1"/>
  <c r="C18" i="13"/>
  <c r="AL25" i="171"/>
  <c r="AM25" s="1"/>
  <c r="D19" i="13"/>
  <c r="CB25" i="162"/>
  <c r="BN20" i="164"/>
  <c r="BQ20" s="1"/>
  <c r="BR20" s="1"/>
  <c r="AJ20" i="161"/>
  <c r="AA22" i="162"/>
  <c r="AB21" i="163"/>
  <c r="G22" i="56"/>
  <c r="AD22" s="1"/>
  <c r="BB22" i="149"/>
  <c r="BC22"/>
  <c r="AD21" i="165"/>
  <c r="AM23" i="162"/>
  <c r="X21" i="155"/>
  <c r="AA21" s="1"/>
  <c r="AB21"/>
  <c r="AJ21" s="1"/>
  <c r="J22" i="143"/>
  <c r="AF22" s="1"/>
  <c r="J22" i="159"/>
  <c r="AF22" s="1"/>
  <c r="J22" i="168"/>
  <c r="AF22" s="1"/>
  <c r="J22" i="158"/>
  <c r="AF22" s="1"/>
  <c r="J22" i="154"/>
  <c r="AF22" s="1"/>
  <c r="BJ22" i="161"/>
  <c r="D22" s="1"/>
  <c r="BV22"/>
  <c r="J22" s="1"/>
  <c r="X21" i="153"/>
  <c r="AB21"/>
  <c r="D22" i="164"/>
  <c r="D22" i="153"/>
  <c r="AJ20" i="154"/>
  <c r="CC24" i="162"/>
  <c r="D24" s="1"/>
  <c r="CE24"/>
  <c r="J24" s="1"/>
  <c r="CD24"/>
  <c r="G24" s="1"/>
  <c r="CG24"/>
  <c r="AL24" s="1"/>
  <c r="AJ20" i="167"/>
  <c r="AJ22" i="162"/>
  <c r="X21" i="144"/>
  <c r="BP21" i="164"/>
  <c r="BT21"/>
  <c r="BM21"/>
  <c r="AB246" i="118"/>
  <c r="H18" i="51"/>
  <c r="X21" i="171"/>
  <c r="D16" i="137"/>
  <c r="AB60" i="118"/>
  <c r="AI16" i="137"/>
  <c r="B23" i="144"/>
  <c r="B23" i="151"/>
  <c r="B23" i="143"/>
  <c r="B23" i="153"/>
  <c r="B23" i="168"/>
  <c r="B23" i="154"/>
  <c r="B23" i="166"/>
  <c r="B23" i="167"/>
  <c r="B23" i="162"/>
  <c r="C23" s="1"/>
  <c r="B23" i="155"/>
  <c r="B23" i="165"/>
  <c r="B23" i="145"/>
  <c r="B23" i="56"/>
  <c r="B23" i="158"/>
  <c r="B23" i="149"/>
  <c r="B23" i="164"/>
  <c r="B23" i="150"/>
  <c r="B23" i="159"/>
  <c r="B23" i="171"/>
  <c r="I16" i="137"/>
  <c r="J16" s="1"/>
  <c r="AB21" i="161"/>
  <c r="C21"/>
  <c r="X21"/>
  <c r="AD20" i="163"/>
  <c r="G22" i="155"/>
  <c r="AD22" s="1"/>
  <c r="G22" i="150"/>
  <c r="AD22" s="1"/>
  <c r="G22" i="166"/>
  <c r="AD22" s="1"/>
  <c r="O22" i="162"/>
  <c r="R22" s="1"/>
  <c r="G22" i="165"/>
  <c r="X23" i="162"/>
  <c r="AB23"/>
  <c r="AB21" i="150"/>
  <c r="AJ21" s="1"/>
  <c r="X21"/>
  <c r="X21" i="159"/>
  <c r="AB21"/>
  <c r="J22" i="155"/>
  <c r="AF22" s="1"/>
  <c r="I22" i="165"/>
  <c r="BK22"/>
  <c r="S22"/>
  <c r="V22" s="1"/>
  <c r="J22" i="149"/>
  <c r="AF22" s="1"/>
  <c r="J22" i="145"/>
  <c r="AF22" s="1"/>
  <c r="J22" i="167"/>
  <c r="AF22" s="1"/>
  <c r="X21" i="56"/>
  <c r="AA21" s="1"/>
  <c r="AB21"/>
  <c r="AJ21" s="1"/>
  <c r="X21" i="158"/>
  <c r="AB21"/>
  <c r="D22" i="150"/>
  <c r="K22" i="162"/>
  <c r="N22" s="1"/>
  <c r="D22" i="155"/>
  <c r="K22" s="1"/>
  <c r="N22" s="1"/>
  <c r="D22" i="167"/>
  <c r="G17" i="137"/>
  <c r="C17"/>
  <c r="E17"/>
  <c r="AB21" i="154"/>
  <c r="X21"/>
  <c r="AJ20" i="153"/>
  <c r="H16" i="137"/>
  <c r="BD23" i="161" s="1"/>
  <c r="H23" i="154"/>
  <c r="H23" i="151"/>
  <c r="H23" i="144"/>
  <c r="H23" i="167"/>
  <c r="H23" i="158"/>
  <c r="H23" i="143"/>
  <c r="H23" i="153"/>
  <c r="H23" i="162"/>
  <c r="H23" i="168"/>
  <c r="H23" i="166"/>
  <c r="H23" i="145"/>
  <c r="H23" i="165"/>
  <c r="H23" i="159"/>
  <c r="H23" i="171"/>
  <c r="H23" i="150"/>
  <c r="H23" i="164"/>
  <c r="H23" i="155"/>
  <c r="H23" i="149"/>
  <c r="AB154" i="118"/>
  <c r="H23" i="56"/>
  <c r="AF21" i="161"/>
  <c r="I21"/>
  <c r="G51" i="190"/>
  <c r="J501" i="175"/>
  <c r="AD19" i="147"/>
  <c r="G20"/>
  <c r="G787" i="175"/>
  <c r="D48" i="189"/>
  <c r="K21" i="164"/>
  <c r="N21" s="1"/>
  <c r="K21" i="149"/>
  <c r="N21" s="1"/>
  <c r="AS20" i="171"/>
  <c r="K21" i="151"/>
  <c r="N21" s="1"/>
  <c r="AJ21" i="171"/>
  <c r="O21" i="165"/>
  <c r="R21" s="1"/>
  <c r="O21" i="153"/>
  <c r="R21" s="1"/>
  <c r="O21" i="158"/>
  <c r="R21" s="1"/>
  <c r="S21" i="144"/>
  <c r="V21" s="1"/>
  <c r="S21" i="153"/>
  <c r="V21" s="1"/>
  <c r="I22" i="162"/>
  <c r="S21" i="56"/>
  <c r="V21" s="1"/>
  <c r="K21" i="143"/>
  <c r="O21" i="167"/>
  <c r="R21" s="1"/>
  <c r="O21" i="56"/>
  <c r="R21" s="1"/>
  <c r="S21" i="168"/>
  <c r="V21" s="1"/>
  <c r="S21" i="143"/>
  <c r="V21" s="1"/>
  <c r="O21" i="151"/>
  <c r="R21" s="1"/>
  <c r="S21" i="159"/>
  <c r="V21" s="1"/>
  <c r="K21" i="144"/>
  <c r="N21" s="1"/>
  <c r="I175" i="175"/>
  <c r="T6" i="71"/>
  <c r="I7" i="64"/>
  <c r="H395" i="175"/>
  <c r="J7" i="120"/>
  <c r="H667" i="175"/>
  <c r="M6" i="71"/>
  <c r="D7" i="119"/>
  <c r="H23" i="163"/>
  <c r="B22" i="146"/>
  <c r="R7" i="67"/>
  <c r="I56" i="175"/>
  <c r="U6" i="67"/>
  <c r="U6" i="64"/>
  <c r="B5" i="67"/>
  <c r="K6" i="68"/>
  <c r="G668" i="175"/>
  <c r="I52"/>
  <c r="H207"/>
  <c r="T7" i="71"/>
  <c r="M7" i="64"/>
  <c r="I130" i="175"/>
  <c r="D7" i="64"/>
  <c r="L7" i="67"/>
  <c r="L6"/>
  <c r="W6"/>
  <c r="V7" i="120"/>
  <c r="H676" i="175"/>
  <c r="H7" i="64"/>
  <c r="S7" i="119"/>
  <c r="H386" i="175"/>
  <c r="E22" i="146"/>
  <c r="I7" i="67"/>
  <c r="N7" i="120"/>
  <c r="J267" i="175"/>
  <c r="Q5" i="67"/>
  <c r="R5"/>
  <c r="H396" i="175"/>
  <c r="J6" i="64"/>
  <c r="C6"/>
  <c r="W8" i="119"/>
  <c r="G49" i="175"/>
  <c r="I174"/>
  <c r="G677"/>
  <c r="E7" i="119"/>
  <c r="T35" i="71"/>
  <c r="T5"/>
  <c r="R7" i="140"/>
  <c r="K7" i="67"/>
  <c r="H20" i="147"/>
  <c r="D5" i="67"/>
  <c r="L5"/>
  <c r="M7" i="140"/>
  <c r="C5" i="64"/>
  <c r="I262" i="175"/>
  <c r="I23" i="60"/>
  <c r="H201" i="175"/>
  <c r="W7" i="140"/>
  <c r="I49" i="175"/>
  <c r="I54"/>
  <c r="P7" i="64"/>
  <c r="G43" i="175"/>
  <c r="O23" i="161"/>
  <c r="I150" i="175"/>
  <c r="H7" i="119"/>
  <c r="H35" i="175"/>
  <c r="H678"/>
  <c r="L6" i="68"/>
  <c r="C5" i="67"/>
  <c r="D5" i="71"/>
  <c r="K7" i="140"/>
  <c r="G48" i="175"/>
  <c r="I269"/>
  <c r="S7" i="120"/>
  <c r="N6" i="67"/>
  <c r="T17" i="71"/>
  <c r="H255" i="175"/>
  <c r="G44"/>
  <c r="H49"/>
  <c r="J270"/>
  <c r="T24" i="71"/>
  <c r="O21" i="163"/>
  <c r="Q8" i="120"/>
  <c r="Q8" i="68"/>
  <c r="G255" i="175"/>
  <c r="T34" i="71"/>
  <c r="G47" i="175"/>
  <c r="J7" i="64"/>
  <c r="S5" i="67"/>
  <c r="G36" i="175"/>
  <c r="B5" i="64"/>
  <c r="Q6"/>
  <c r="Q6" i="71"/>
  <c r="Q10" i="69"/>
  <c r="P5" i="68"/>
  <c r="R5" i="64"/>
  <c r="T22" i="71"/>
  <c r="G50" i="175"/>
  <c r="H23" i="161"/>
  <c r="Q6" i="67"/>
  <c r="P7"/>
  <c r="J5" i="64"/>
  <c r="G394" i="175"/>
  <c r="O20" i="147"/>
  <c r="T7" i="120"/>
  <c r="I192" i="175"/>
  <c r="G46"/>
  <c r="K6" i="67"/>
  <c r="J264" i="175"/>
  <c r="S7" i="64"/>
  <c r="I7" i="120"/>
  <c r="O19" i="148"/>
  <c r="T12" i="71"/>
  <c r="T43"/>
  <c r="H23" i="60"/>
  <c r="S6" i="120"/>
  <c r="P8"/>
  <c r="S6" i="64"/>
  <c r="T25" i="71"/>
  <c r="N6" i="68"/>
  <c r="W6" i="71"/>
  <c r="W7" i="64"/>
  <c r="D6" i="71"/>
  <c r="V7" i="67"/>
  <c r="I5" i="71"/>
  <c r="V7" i="64"/>
  <c r="R6" i="71"/>
  <c r="Q8" i="119"/>
  <c r="T37" i="71"/>
  <c r="I5" i="67"/>
  <c r="J7"/>
  <c r="J268" i="175"/>
  <c r="L440"/>
  <c r="H679"/>
  <c r="L442"/>
  <c r="C6" i="68"/>
  <c r="Q9" i="67"/>
  <c r="N5" i="64"/>
  <c r="L6"/>
  <c r="I47" i="175"/>
  <c r="I43"/>
  <c r="M5" i="64"/>
  <c r="N7"/>
  <c r="G378" i="175"/>
  <c r="J200"/>
  <c r="V6" i="71"/>
  <c r="N6"/>
  <c r="D5" i="64"/>
  <c r="D7" i="140"/>
  <c r="I173" i="175"/>
  <c r="I149"/>
  <c r="U7" i="64"/>
  <c r="H43" i="175"/>
  <c r="K7" i="64"/>
  <c r="E21" i="147"/>
  <c r="W6" i="64"/>
  <c r="W5"/>
  <c r="G393" i="175"/>
  <c r="Q5" i="64"/>
  <c r="N7" i="67"/>
  <c r="B5" i="71"/>
  <c r="D6" i="67"/>
  <c r="N6" i="64"/>
  <c r="G45" i="175"/>
  <c r="G35"/>
  <c r="C7" i="64"/>
  <c r="C6" i="67"/>
  <c r="J273" i="175"/>
  <c r="I263"/>
  <c r="I48"/>
  <c r="B23" i="163"/>
  <c r="J272" i="175"/>
  <c r="W7" i="120"/>
  <c r="J6" i="71"/>
  <c r="I55" i="175"/>
  <c r="T8" i="140"/>
  <c r="F5" i="120"/>
  <c r="R6" i="64"/>
  <c r="J274" i="175"/>
  <c r="B21" i="147"/>
  <c r="I44" i="175"/>
  <c r="L8" i="119"/>
  <c r="L5" i="71"/>
  <c r="T11"/>
  <c r="E6" i="120"/>
  <c r="L6" i="71"/>
  <c r="H675" i="175"/>
  <c r="T42" i="71"/>
  <c r="T6" i="68"/>
  <c r="I7" i="140"/>
  <c r="S7" i="67"/>
  <c r="K22" i="163"/>
  <c r="S6" i="68"/>
  <c r="U6"/>
  <c r="H7" i="67"/>
  <c r="K5" i="64"/>
  <c r="E5" i="67"/>
  <c r="B7" i="140"/>
  <c r="I139" i="175"/>
  <c r="H388"/>
  <c r="G675"/>
  <c r="I138"/>
  <c r="T10" i="71"/>
  <c r="B19" i="148"/>
  <c r="V7" i="140"/>
  <c r="H47" i="175"/>
  <c r="I145"/>
  <c r="T33" i="71"/>
  <c r="H397" i="175"/>
  <c r="W6" i="68"/>
  <c r="J275" i="175"/>
  <c r="I45"/>
  <c r="H7" i="140"/>
  <c r="H51" i="175"/>
  <c r="J209"/>
  <c r="E5" i="140"/>
  <c r="I51" i="175"/>
  <c r="H8" i="119"/>
  <c r="E23" i="161"/>
  <c r="H378" i="175"/>
  <c r="T27" i="71"/>
  <c r="D6" i="64"/>
  <c r="I141" i="175"/>
  <c r="G667"/>
  <c r="T30" i="71"/>
  <c r="H44" i="175"/>
  <c r="T28" i="71"/>
  <c r="I151" i="175"/>
  <c r="U7" i="140"/>
  <c r="L7"/>
  <c r="D6" i="68"/>
  <c r="E19" i="152"/>
  <c r="S7" i="140"/>
  <c r="J213" i="175"/>
  <c r="V6" i="68"/>
  <c r="I265" i="175"/>
  <c r="C7" i="140"/>
  <c r="O21" i="146"/>
  <c r="E22" i="163"/>
  <c r="P6" i="67"/>
  <c r="M6"/>
  <c r="I146" i="175"/>
  <c r="M5" i="71"/>
  <c r="N7" i="140"/>
  <c r="W7" i="119"/>
  <c r="G386" i="175"/>
  <c r="R6" i="67"/>
  <c r="G51" i="175"/>
  <c r="I144"/>
  <c r="M7" i="120"/>
  <c r="T19" i="71"/>
  <c r="S5" i="64"/>
  <c r="P6" i="68"/>
  <c r="H19" i="148"/>
  <c r="E5" i="68"/>
  <c r="W5" i="67"/>
  <c r="T21" i="71"/>
  <c r="S20" i="146"/>
  <c r="T44" i="71"/>
  <c r="E5" i="64"/>
  <c r="I142" i="175"/>
  <c r="M8" i="119"/>
  <c r="Q7" i="71"/>
  <c r="I266" i="175"/>
  <c r="K6" i="64"/>
  <c r="T15" i="71"/>
  <c r="C7" i="67"/>
  <c r="P6" i="64"/>
  <c r="K5" i="71"/>
  <c r="K7" i="120"/>
  <c r="I148" i="175"/>
  <c r="Q8" i="140"/>
  <c r="D7" i="67"/>
  <c r="L7" i="120"/>
  <c r="T39" i="71"/>
  <c r="H193" i="175"/>
  <c r="J210"/>
  <c r="P7" i="119"/>
  <c r="J212" i="175"/>
  <c r="J206"/>
  <c r="M5" i="67"/>
  <c r="S6"/>
  <c r="V5"/>
  <c r="P5" i="64"/>
  <c r="N5" i="67"/>
  <c r="J208" i="175"/>
  <c r="I5" i="64"/>
  <c r="B23" i="161"/>
  <c r="U7" i="67"/>
  <c r="Q8" i="71"/>
  <c r="U8" i="119"/>
  <c r="L5" i="64"/>
  <c r="H203" i="175"/>
  <c r="H204"/>
  <c r="T9" i="71"/>
  <c r="T36"/>
  <c r="S22" i="161"/>
  <c r="H677" i="175"/>
  <c r="T8" i="119"/>
  <c r="I140" i="175"/>
  <c r="S5" i="71"/>
  <c r="T14"/>
  <c r="R7" i="64"/>
  <c r="I172" i="175"/>
  <c r="J6" i="68"/>
  <c r="H6" i="64"/>
  <c r="U5"/>
  <c r="H6" i="67"/>
  <c r="I143" i="175"/>
  <c r="R6" i="120"/>
  <c r="T45" i="71"/>
  <c r="W7" i="67"/>
  <c r="G389" i="175"/>
  <c r="U7" i="120"/>
  <c r="H398" i="175"/>
  <c r="N8" i="119"/>
  <c r="K19" i="147"/>
  <c r="H45" i="175"/>
  <c r="L7" i="64"/>
  <c r="G379" i="175"/>
  <c r="G387"/>
  <c r="M7" i="67"/>
  <c r="J5"/>
  <c r="I35" i="175"/>
  <c r="H391"/>
  <c r="G676"/>
  <c r="K5" i="67"/>
  <c r="J211" i="175"/>
  <c r="K22" i="146"/>
  <c r="T8" i="71"/>
  <c r="M6" i="64"/>
  <c r="T23" i="71"/>
  <c r="G678" i="175"/>
  <c r="S19" i="147"/>
  <c r="E20"/>
  <c r="C7" i="120"/>
  <c r="T18" i="71"/>
  <c r="J7" i="119"/>
  <c r="M6" i="68"/>
  <c r="I6" i="67"/>
  <c r="J6"/>
  <c r="T29" i="71"/>
  <c r="R7" i="119"/>
  <c r="G390" i="175"/>
  <c r="V5" i="64"/>
  <c r="T13" i="71"/>
  <c r="V5"/>
  <c r="G679" i="175"/>
  <c r="C5" i="68"/>
  <c r="H48" i="175"/>
  <c r="S22" i="163"/>
  <c r="U5" i="67"/>
  <c r="R5" i="68"/>
  <c r="T26" i="71"/>
  <c r="Q9" i="64"/>
  <c r="H399" i="175"/>
  <c r="H22" i="146"/>
  <c r="G671" i="175"/>
  <c r="T32" i="71"/>
  <c r="K6"/>
  <c r="K22" i="161"/>
  <c r="J271" i="175"/>
  <c r="I7" i="68"/>
  <c r="C7" i="119"/>
  <c r="H46" i="175"/>
  <c r="D7" i="120"/>
  <c r="H666" i="175"/>
  <c r="T20" i="71"/>
  <c r="D8" i="119"/>
  <c r="I254" i="175"/>
  <c r="H394"/>
  <c r="I46"/>
  <c r="I53"/>
  <c r="P5" i="67"/>
  <c r="H392" i="175"/>
  <c r="I6" i="64"/>
  <c r="I131" i="175"/>
  <c r="P7" i="140"/>
  <c r="J205" i="175"/>
  <c r="I147"/>
  <c r="B7" i="120"/>
  <c r="J7" i="140"/>
  <c r="AW58" i="118" l="1"/>
  <c r="I772" i="175"/>
  <c r="F49" i="189" s="1"/>
  <c r="AA19" i="162"/>
  <c r="AA19" i="56"/>
  <c r="AR19" s="1"/>
  <c r="AA19" i="146"/>
  <c r="AA19" i="151"/>
  <c r="I36" i="190"/>
  <c r="L473" i="175"/>
  <c r="D15" i="189"/>
  <c r="H738" i="175"/>
  <c r="H800" s="1"/>
  <c r="E77" i="189" s="1"/>
  <c r="AU10" i="118"/>
  <c r="AU9"/>
  <c r="AU244"/>
  <c r="AU245"/>
  <c r="AA19" i="144"/>
  <c r="D20" i="189"/>
  <c r="AV244" i="118"/>
  <c r="AV9"/>
  <c r="AA19" i="163"/>
  <c r="AR19" s="1"/>
  <c r="AW244" i="118"/>
  <c r="AW9"/>
  <c r="AW10"/>
  <c r="AW245"/>
  <c r="AA19" i="166"/>
  <c r="AZ151" i="118"/>
  <c r="AZ104"/>
  <c r="BK10"/>
  <c r="BK244"/>
  <c r="BK9"/>
  <c r="BK245"/>
  <c r="AA20" i="161"/>
  <c r="AR20" s="1"/>
  <c r="AZ10" i="118"/>
  <c r="R10" i="72"/>
  <c r="AZ245" i="118"/>
  <c r="R9" i="72"/>
  <c r="AZ244" i="118"/>
  <c r="AZ9"/>
  <c r="AA19" i="168"/>
  <c r="AR19" s="1"/>
  <c r="G802" i="175"/>
  <c r="D79" i="189" s="1"/>
  <c r="AF10" i="72"/>
  <c r="Z10"/>
  <c r="AA10"/>
  <c r="BC9" i="118"/>
  <c r="BC244"/>
  <c r="X9" i="72"/>
  <c r="AA19" i="159"/>
  <c r="AR19" s="1"/>
  <c r="AA20" i="144"/>
  <c r="AA19" i="161"/>
  <c r="Z9" i="72"/>
  <c r="T10"/>
  <c r="AY244" i="118"/>
  <c r="AY9"/>
  <c r="AA9" i="72"/>
  <c r="AD9"/>
  <c r="Y10"/>
  <c r="BB245" i="118"/>
  <c r="BB10"/>
  <c r="BJ244"/>
  <c r="S9" i="72"/>
  <c r="BJ9" i="118"/>
  <c r="BB244"/>
  <c r="Y9" i="72"/>
  <c r="BB9" i="118"/>
  <c r="V9" i="72"/>
  <c r="W10"/>
  <c r="BA245" i="118"/>
  <c r="AE10" i="72"/>
  <c r="BA10" i="118"/>
  <c r="AX9"/>
  <c r="AF9" i="72"/>
  <c r="AX244" i="118"/>
  <c r="W9" i="72"/>
  <c r="AG9"/>
  <c r="BC10" i="118"/>
  <c r="BC245"/>
  <c r="X10" i="72"/>
  <c r="AE9"/>
  <c r="BA244" i="118"/>
  <c r="BA9"/>
  <c r="T9" i="72"/>
  <c r="AA20" i="149"/>
  <c r="AA20" i="150"/>
  <c r="AR20" s="1"/>
  <c r="AA20" i="166"/>
  <c r="N19" i="147"/>
  <c r="D19" i="148"/>
  <c r="D20" i="147"/>
  <c r="AB19"/>
  <c r="D16" i="189"/>
  <c r="X13" i="49"/>
  <c r="K2" i="165"/>
  <c r="K14" s="1"/>
  <c r="H739" i="175"/>
  <c r="E16" i="189" s="1"/>
  <c r="AY245" i="118"/>
  <c r="AY151"/>
  <c r="AY104"/>
  <c r="AY10"/>
  <c r="AM12" i="142"/>
  <c r="BA58" i="118"/>
  <c r="D12" i="189"/>
  <c r="G798" i="175"/>
  <c r="D75" i="189" s="1"/>
  <c r="AX151" i="118"/>
  <c r="AX104"/>
  <c r="AS59"/>
  <c r="AP11"/>
  <c r="AT246"/>
  <c r="BA246"/>
  <c r="AR152"/>
  <c r="AR105"/>
  <c r="AP246"/>
  <c r="AQ11"/>
  <c r="AT11"/>
  <c r="AQ246"/>
  <c r="AS11"/>
  <c r="AT59"/>
  <c r="BC58"/>
  <c r="AS152"/>
  <c r="AS105"/>
  <c r="BK105"/>
  <c r="BK152"/>
  <c r="AU11"/>
  <c r="AQ59"/>
  <c r="AR246"/>
  <c r="AU58"/>
  <c r="AS58"/>
  <c r="AU246"/>
  <c r="AU152"/>
  <c r="AU105"/>
  <c r="AS246"/>
  <c r="AT105"/>
  <c r="AT152"/>
  <c r="AP152"/>
  <c r="AP105"/>
  <c r="AR59"/>
  <c r="BB151"/>
  <c r="BB104"/>
  <c r="AQ105"/>
  <c r="AQ152"/>
  <c r="AR11"/>
  <c r="AP59"/>
  <c r="AT58"/>
  <c r="BA11"/>
  <c r="AZ58"/>
  <c r="AX10"/>
  <c r="AX245"/>
  <c r="I745" i="175"/>
  <c r="I744"/>
  <c r="I746"/>
  <c r="I743"/>
  <c r="I769"/>
  <c r="I748"/>
  <c r="I747"/>
  <c r="H736"/>
  <c r="E13" i="189" s="1"/>
  <c r="I740" i="175"/>
  <c r="F17" i="189" s="1"/>
  <c r="AA20" i="164"/>
  <c r="D84" i="189"/>
  <c r="E24"/>
  <c r="H809" i="175"/>
  <c r="E86" i="189" s="1"/>
  <c r="AJ21" i="159"/>
  <c r="D82" i="189"/>
  <c r="D83"/>
  <c r="H810" i="175"/>
  <c r="E87" i="189" s="1"/>
  <c r="E25"/>
  <c r="D86"/>
  <c r="E21"/>
  <c r="H806" i="175"/>
  <c r="E83" i="189" s="1"/>
  <c r="AJ21" i="158"/>
  <c r="AJ20" i="163"/>
  <c r="AJ21" i="164"/>
  <c r="D87" i="189"/>
  <c r="D85"/>
  <c r="E22"/>
  <c r="H807" i="175"/>
  <c r="E84" i="189" s="1"/>
  <c r="E20"/>
  <c r="H808" i="175"/>
  <c r="E85" i="189" s="1"/>
  <c r="E23"/>
  <c r="L17" i="49"/>
  <c r="G789" i="175"/>
  <c r="D66" i="189" s="1"/>
  <c r="AG59" i="118"/>
  <c r="AG13"/>
  <c r="AG106"/>
  <c r="AG153"/>
  <c r="AG248"/>
  <c r="V10" i="72"/>
  <c r="O22" i="158"/>
  <c r="R22" s="1"/>
  <c r="I20" i="146"/>
  <c r="G728" i="175"/>
  <c r="D5" i="189" s="1"/>
  <c r="J21" i="146"/>
  <c r="AF21" s="1"/>
  <c r="X20"/>
  <c r="AA20" s="1"/>
  <c r="S22" i="166"/>
  <c r="V22" s="1"/>
  <c r="V20" i="146"/>
  <c r="O22" i="56"/>
  <c r="R22" s="1"/>
  <c r="O22" i="159"/>
  <c r="R22" s="1"/>
  <c r="S22" i="158"/>
  <c r="V22" s="1"/>
  <c r="AW152" i="118"/>
  <c r="AW105"/>
  <c r="O22" i="150"/>
  <c r="R22" s="1"/>
  <c r="O22" i="143"/>
  <c r="R22" s="1"/>
  <c r="O22" i="155"/>
  <c r="R22" s="1"/>
  <c r="S22" i="153"/>
  <c r="V22" s="1"/>
  <c r="J19" i="148"/>
  <c r="AF19" s="1"/>
  <c r="V19" i="147"/>
  <c r="BC152" i="118"/>
  <c r="BC105"/>
  <c r="X19" i="147"/>
  <c r="S22" i="159"/>
  <c r="V22" s="1"/>
  <c r="O22" i="145"/>
  <c r="R22" s="1"/>
  <c r="O22" i="151"/>
  <c r="R22" s="1"/>
  <c r="AF19" i="147"/>
  <c r="AR21" i="155"/>
  <c r="S22" i="171"/>
  <c r="V22" s="1"/>
  <c r="AJ22"/>
  <c r="AR22" s="1"/>
  <c r="J20" i="147"/>
  <c r="I20" s="1"/>
  <c r="S22" i="144"/>
  <c r="V22" s="1"/>
  <c r="S22" i="164"/>
  <c r="V22" s="1"/>
  <c r="S22" i="167"/>
  <c r="V22" s="1"/>
  <c r="AR21" i="56"/>
  <c r="S22" i="145"/>
  <c r="V22" s="1"/>
  <c r="S22" i="168"/>
  <c r="V22" s="1"/>
  <c r="S22" i="143"/>
  <c r="V22" s="1"/>
  <c r="BD22" i="149"/>
  <c r="G22" s="1"/>
  <c r="O22" s="1"/>
  <c r="R22" s="1"/>
  <c r="S22" i="150"/>
  <c r="V22" s="1"/>
  <c r="S22" i="56"/>
  <c r="V22" s="1"/>
  <c r="S22" i="151"/>
  <c r="V22" s="1"/>
  <c r="O22" i="144"/>
  <c r="R22" s="1"/>
  <c r="O22" i="153"/>
  <c r="R22" s="1"/>
  <c r="BB58" i="118"/>
  <c r="AV104"/>
  <c r="AV151"/>
  <c r="H742" i="175"/>
  <c r="AY58" i="118"/>
  <c r="BA59"/>
  <c r="BK58"/>
  <c r="AY246"/>
  <c r="R11" i="72"/>
  <c r="AY11" i="118"/>
  <c r="N22" i="163"/>
  <c r="R19" i="148"/>
  <c r="G19" i="152"/>
  <c r="V22" i="163"/>
  <c r="I741" i="175"/>
  <c r="G22" i="163"/>
  <c r="X22" s="1"/>
  <c r="L471" i="175"/>
  <c r="L470"/>
  <c r="I34" i="190"/>
  <c r="AI385" i="118"/>
  <c r="Z11" i="72"/>
  <c r="N22" i="161"/>
  <c r="C22" i="146"/>
  <c r="N22"/>
  <c r="H728" i="175"/>
  <c r="AE11" i="72"/>
  <c r="R21" i="163"/>
  <c r="BJ58" i="118"/>
  <c r="BJ104"/>
  <c r="BJ151"/>
  <c r="AX58"/>
  <c r="AX152"/>
  <c r="AX105"/>
  <c r="J23" i="163"/>
  <c r="I735" i="175"/>
  <c r="R21" i="146"/>
  <c r="V11" i="72"/>
  <c r="R20" i="147"/>
  <c r="X11" i="72"/>
  <c r="BK246" i="118"/>
  <c r="BK11"/>
  <c r="D23" i="163"/>
  <c r="Y11" i="72"/>
  <c r="AW246" i="118"/>
  <c r="AW11"/>
  <c r="W13" i="72"/>
  <c r="I727" i="175"/>
  <c r="BB11" i="118"/>
  <c r="AF11" i="72"/>
  <c r="BB246" i="118"/>
  <c r="V22" i="161"/>
  <c r="AZ246" i="118"/>
  <c r="S11" i="72"/>
  <c r="AZ11" i="118"/>
  <c r="R23" i="161"/>
  <c r="BC246" i="118"/>
  <c r="T11" i="72"/>
  <c r="BC11" i="118"/>
  <c r="AA11" i="72"/>
  <c r="AX246" i="118"/>
  <c r="AX11"/>
  <c r="AA21" i="149"/>
  <c r="J23" i="164"/>
  <c r="AF23" s="1"/>
  <c r="S23" i="162"/>
  <c r="V23" s="1"/>
  <c r="BJ23" i="161"/>
  <c r="D23" s="1"/>
  <c r="BV23"/>
  <c r="J23" s="1"/>
  <c r="AR20" i="154"/>
  <c r="AR20" i="151"/>
  <c r="D23" i="159"/>
  <c r="D23" i="155"/>
  <c r="D23" i="151"/>
  <c r="K23" s="1"/>
  <c r="N23" s="1"/>
  <c r="AF24" i="162"/>
  <c r="X22" i="164"/>
  <c r="AB22"/>
  <c r="CC25" i="162"/>
  <c r="D25" s="1"/>
  <c r="CE25"/>
  <c r="J25" s="1"/>
  <c r="CD25"/>
  <c r="G25" s="1"/>
  <c r="CG25"/>
  <c r="AL25" s="1"/>
  <c r="X22" i="171"/>
  <c r="AB247" i="118"/>
  <c r="H19" i="51"/>
  <c r="AJ21" i="151"/>
  <c r="AX16" i="51"/>
  <c r="AA21" i="168"/>
  <c r="AB22" i="163"/>
  <c r="D64" i="189"/>
  <c r="J23" i="159"/>
  <c r="AF23" s="1"/>
  <c r="J23" i="158"/>
  <c r="AF23" s="1"/>
  <c r="AR20" i="145"/>
  <c r="X22" i="155"/>
  <c r="AA22" s="1"/>
  <c r="AB22"/>
  <c r="AJ22" s="1"/>
  <c r="AB22" i="150"/>
  <c r="AJ22" s="1"/>
  <c r="X22"/>
  <c r="D23" i="171"/>
  <c r="AB23" s="1"/>
  <c r="D23" i="166"/>
  <c r="K23" s="1"/>
  <c r="N23" s="1"/>
  <c r="G18" i="137"/>
  <c r="C18"/>
  <c r="E18"/>
  <c r="AR20" i="158"/>
  <c r="G23"/>
  <c r="AD23" s="1"/>
  <c r="G23" i="151"/>
  <c r="AD23" s="1"/>
  <c r="AR19" i="153"/>
  <c r="X22" i="168"/>
  <c r="AB22"/>
  <c r="AR20"/>
  <c r="AJ21"/>
  <c r="AR19" i="167"/>
  <c r="AD19" i="148"/>
  <c r="G20"/>
  <c r="AF22" i="163"/>
  <c r="J23" i="149"/>
  <c r="AF23" s="1"/>
  <c r="J23" i="166"/>
  <c r="AF23" s="1"/>
  <c r="J23" i="143"/>
  <c r="AF23" s="1"/>
  <c r="AJ21" i="154"/>
  <c r="H17" i="137"/>
  <c r="BD24" i="161" s="1"/>
  <c r="H24" i="168"/>
  <c r="H24" i="154"/>
  <c r="H24" i="167"/>
  <c r="H24" i="151"/>
  <c r="H24" i="144"/>
  <c r="H24" i="153"/>
  <c r="H24" i="166"/>
  <c r="H24" i="145"/>
  <c r="H24" i="162"/>
  <c r="H24" i="165"/>
  <c r="H24" i="158"/>
  <c r="H24" i="149"/>
  <c r="H24" i="155"/>
  <c r="H24" i="143"/>
  <c r="H24" i="171"/>
  <c r="H24" i="159"/>
  <c r="H24" i="56"/>
  <c r="H24" i="150"/>
  <c r="H24" i="164"/>
  <c r="AB155" i="118"/>
  <c r="X22" i="167"/>
  <c r="AB22"/>
  <c r="AD22" i="165"/>
  <c r="D23" i="164"/>
  <c r="D23" i="145"/>
  <c r="K23" s="1"/>
  <c r="N23" s="1"/>
  <c r="D23" i="167"/>
  <c r="D23" i="153"/>
  <c r="K23" s="1"/>
  <c r="N23" s="1"/>
  <c r="BN21" i="164"/>
  <c r="BU21" s="1"/>
  <c r="BV21" s="1"/>
  <c r="AJ21" i="144"/>
  <c r="AM24" i="162"/>
  <c r="X22" i="153"/>
  <c r="AB22"/>
  <c r="AA21"/>
  <c r="AB22" i="161"/>
  <c r="X22"/>
  <c r="C22"/>
  <c r="AA21" i="163"/>
  <c r="AS19" i="165"/>
  <c r="X14" i="49"/>
  <c r="G18" i="51"/>
  <c r="G23" i="155"/>
  <c r="AD23" s="1"/>
  <c r="G23" i="150"/>
  <c r="AD23" s="1"/>
  <c r="G23" i="145"/>
  <c r="AD23" s="1"/>
  <c r="AD23" i="161"/>
  <c r="F23"/>
  <c r="G23" i="167"/>
  <c r="AD23" s="1"/>
  <c r="AR19" i="164"/>
  <c r="AR19" i="155"/>
  <c r="AR20" i="162"/>
  <c r="D76" i="189"/>
  <c r="AN20" i="51"/>
  <c r="AN42"/>
  <c r="AM48"/>
  <c r="AN43"/>
  <c r="AN24"/>
  <c r="AN49"/>
  <c r="AN50"/>
  <c r="AN28"/>
  <c r="AN54"/>
  <c r="AM21"/>
  <c r="AM35"/>
  <c r="AM25"/>
  <c r="AN33"/>
  <c r="AM34"/>
  <c r="AM19"/>
  <c r="AN40"/>
  <c r="AM17"/>
  <c r="AM46"/>
  <c r="AN34"/>
  <c r="AN37"/>
  <c r="AN17"/>
  <c r="AM38"/>
  <c r="AM29"/>
  <c r="AN32"/>
  <c r="AM39"/>
  <c r="AN56"/>
  <c r="AN51"/>
  <c r="AM41"/>
  <c r="AM56"/>
  <c r="AN41"/>
  <c r="AM28"/>
  <c r="AN47"/>
  <c r="AN35"/>
  <c r="AN31"/>
  <c r="AN30"/>
  <c r="AM50"/>
  <c r="AN38"/>
  <c r="AN26"/>
  <c r="AM45"/>
  <c r="AM42"/>
  <c r="AM23"/>
  <c r="AN19"/>
  <c r="AN22"/>
  <c r="AM44"/>
  <c r="AM20"/>
  <c r="AM32"/>
  <c r="AM16"/>
  <c r="AM24"/>
  <c r="AM55"/>
  <c r="AM33"/>
  <c r="AN18"/>
  <c r="AM37"/>
  <c r="AN39"/>
  <c r="AN16"/>
  <c r="AM26"/>
  <c r="AM27"/>
  <c r="AM51"/>
  <c r="AN48"/>
  <c r="AN36"/>
  <c r="AN53"/>
  <c r="AN45"/>
  <c r="AN44"/>
  <c r="AM52"/>
  <c r="AN52"/>
  <c r="AM18"/>
  <c r="AN27"/>
  <c r="AM40"/>
  <c r="AM47"/>
  <c r="AM22"/>
  <c r="AM53"/>
  <c r="AN23"/>
  <c r="AM49"/>
  <c r="AN21"/>
  <c r="AM30"/>
  <c r="AN55"/>
  <c r="AN29"/>
  <c r="AN25"/>
  <c r="AM43"/>
  <c r="AM54"/>
  <c r="AN46"/>
  <c r="AM36"/>
  <c r="AM31"/>
  <c r="AB22" i="145"/>
  <c r="X22"/>
  <c r="AJ20" i="146"/>
  <c r="AR19" i="158"/>
  <c r="AR19" i="145"/>
  <c r="AA21"/>
  <c r="AD21" i="163"/>
  <c r="H789" i="175"/>
  <c r="E66" i="189" s="1"/>
  <c r="E4"/>
  <c r="E12"/>
  <c r="H797" i="175"/>
  <c r="E74" i="189" s="1"/>
  <c r="S22" i="154"/>
  <c r="V22" s="1"/>
  <c r="K22" i="150"/>
  <c r="N22" s="1"/>
  <c r="BU20" i="164"/>
  <c r="BV20" s="1"/>
  <c r="O22" i="167"/>
  <c r="R22" s="1"/>
  <c r="O22" i="171"/>
  <c r="R22" s="1"/>
  <c r="O22" i="164"/>
  <c r="R22" s="1"/>
  <c r="J23" i="56"/>
  <c r="AF23" s="1"/>
  <c r="I23" i="165"/>
  <c r="BK23"/>
  <c r="S23"/>
  <c r="V23" s="1"/>
  <c r="J23" i="167"/>
  <c r="AF23" s="1"/>
  <c r="AB108" i="118"/>
  <c r="E24" i="154"/>
  <c r="E24" i="144"/>
  <c r="E24" i="165"/>
  <c r="E24" i="167"/>
  <c r="E24" i="166"/>
  <c r="E24" i="153"/>
  <c r="E24" i="162"/>
  <c r="F24" s="1"/>
  <c r="E24" i="168"/>
  <c r="E24" i="149"/>
  <c r="E24" i="145"/>
  <c r="E24" i="151"/>
  <c r="F17" i="137"/>
  <c r="BC24" i="161" s="1"/>
  <c r="BP24" s="1"/>
  <c r="G24" s="1"/>
  <c r="E24" i="159"/>
  <c r="E24" i="150"/>
  <c r="E24" i="158"/>
  <c r="E24" i="56"/>
  <c r="E24" i="164"/>
  <c r="E24" i="171"/>
  <c r="E24" i="143"/>
  <c r="E24" i="155"/>
  <c r="AA21" i="159"/>
  <c r="D23" i="158"/>
  <c r="D23" i="154"/>
  <c r="K23" s="1"/>
  <c r="N23" s="1"/>
  <c r="AR19" i="143"/>
  <c r="AJ21" i="167"/>
  <c r="G23" i="143"/>
  <c r="AD23" s="1"/>
  <c r="G23" i="56"/>
  <c r="AD23" s="1"/>
  <c r="G23" i="168"/>
  <c r="AD23" s="1"/>
  <c r="BC23" i="149"/>
  <c r="BB23"/>
  <c r="G23" i="144"/>
  <c r="AD23" s="1"/>
  <c r="AJ21" i="166"/>
  <c r="T17" i="49"/>
  <c r="U16"/>
  <c r="AR19" i="154"/>
  <c r="F21" i="146"/>
  <c r="AD21"/>
  <c r="G22"/>
  <c r="AC22" i="151"/>
  <c r="X22"/>
  <c r="AS19" i="149"/>
  <c r="AA21" i="164"/>
  <c r="G21" i="147"/>
  <c r="F20"/>
  <c r="AD20"/>
  <c r="G69" i="190"/>
  <c r="J23" i="155"/>
  <c r="AF23" s="1"/>
  <c r="J23" i="168"/>
  <c r="AF23" s="1"/>
  <c r="J23" i="154"/>
  <c r="AF23" s="1"/>
  <c r="AJ23" i="162"/>
  <c r="AA21" i="161"/>
  <c r="D23" i="149"/>
  <c r="K23" s="1"/>
  <c r="N23" s="1"/>
  <c r="C23" i="165"/>
  <c r="K23"/>
  <c r="N23" s="1"/>
  <c r="D23" i="143"/>
  <c r="K23" s="1"/>
  <c r="AD24" i="162"/>
  <c r="AJ21" i="165"/>
  <c r="D74" i="189"/>
  <c r="AR22" i="162"/>
  <c r="X22" i="166"/>
  <c r="AB22"/>
  <c r="F21" i="149"/>
  <c r="AD21"/>
  <c r="O21"/>
  <c r="R21" s="1"/>
  <c r="D77" i="189"/>
  <c r="BK23" i="164"/>
  <c r="BL23" s="1"/>
  <c r="G23"/>
  <c r="AD23" s="1"/>
  <c r="G23" i="166"/>
  <c r="AD23" s="1"/>
  <c r="G23" i="154"/>
  <c r="AD23" s="1"/>
  <c r="AR20" i="153"/>
  <c r="X22" i="154"/>
  <c r="AB22"/>
  <c r="AR19" i="150"/>
  <c r="Z22" i="171"/>
  <c r="W15" i="49"/>
  <c r="AB341" i="118"/>
  <c r="AD341" s="1"/>
  <c r="AC9"/>
  <c r="H52" i="190"/>
  <c r="E14" i="189"/>
  <c r="H799" i="175"/>
  <c r="E76" i="189" s="1"/>
  <c r="J23" i="171"/>
  <c r="AF23" s="1"/>
  <c r="J23" i="151"/>
  <c r="AF23" s="1"/>
  <c r="AR21" i="171"/>
  <c r="J23" i="150"/>
  <c r="AF23" s="1"/>
  <c r="J23" i="145"/>
  <c r="AF23" s="1"/>
  <c r="J23" i="153"/>
  <c r="AF23" s="1"/>
  <c r="J23" i="144"/>
  <c r="AF23" s="1"/>
  <c r="AA21" i="154"/>
  <c r="AI17" i="137"/>
  <c r="D17"/>
  <c r="AB61" i="118"/>
  <c r="B24" i="154"/>
  <c r="B24" i="145"/>
  <c r="B24" i="151"/>
  <c r="B24" i="150"/>
  <c r="B24" i="164"/>
  <c r="B24" i="149"/>
  <c r="B24" i="144"/>
  <c r="B24" i="153"/>
  <c r="B24" i="166"/>
  <c r="B24" i="155"/>
  <c r="B24" i="56"/>
  <c r="B24" i="168"/>
  <c r="B24" i="162"/>
  <c r="C24" s="1"/>
  <c r="B24" i="167"/>
  <c r="B24" i="165"/>
  <c r="B24" i="158"/>
  <c r="B24" i="143"/>
  <c r="B24" i="159"/>
  <c r="B24" i="171"/>
  <c r="I17" i="137"/>
  <c r="J17" s="1"/>
  <c r="AA21" i="158"/>
  <c r="AK17" i="51"/>
  <c r="AB10" i="118"/>
  <c r="AV17" i="51"/>
  <c r="AX17" s="1"/>
  <c r="B10" i="72"/>
  <c r="D10" s="1"/>
  <c r="I10" s="1"/>
  <c r="H10" s="1"/>
  <c r="G10" s="1"/>
  <c r="F10" s="1"/>
  <c r="E10" s="1"/>
  <c r="AA21" i="150"/>
  <c r="AA23" i="162"/>
  <c r="AJ21" i="161"/>
  <c r="D23" i="150"/>
  <c r="K23" s="1"/>
  <c r="N23" s="1"/>
  <c r="D23" i="56"/>
  <c r="K23" s="1"/>
  <c r="N23" s="1"/>
  <c r="K23" i="162"/>
  <c r="N23" s="1"/>
  <c r="D23" i="168"/>
  <c r="K23" s="1"/>
  <c r="N23" s="1"/>
  <c r="D23" i="144"/>
  <c r="K23" s="1"/>
  <c r="AA21"/>
  <c r="X24" i="162"/>
  <c r="AB24"/>
  <c r="AJ21" i="153"/>
  <c r="I22" i="161"/>
  <c r="AF22"/>
  <c r="C19" i="13"/>
  <c r="AL26" i="171"/>
  <c r="AM26" s="1"/>
  <c r="D20" i="13"/>
  <c r="CB26" i="162"/>
  <c r="AB22" i="149"/>
  <c r="AA21" i="167"/>
  <c r="D78" i="189"/>
  <c r="G23" i="159"/>
  <c r="AD23" s="1"/>
  <c r="G23" i="171"/>
  <c r="AD23" s="1"/>
  <c r="G23" i="153"/>
  <c r="AD23" s="1"/>
  <c r="O23" i="162"/>
  <c r="R23" s="1"/>
  <c r="G23" i="165"/>
  <c r="O23" s="1"/>
  <c r="R23" s="1"/>
  <c r="M16" i="49"/>
  <c r="Z16"/>
  <c r="J17"/>
  <c r="AA21" i="166"/>
  <c r="X22" i="56"/>
  <c r="AB22"/>
  <c r="AJ22" s="1"/>
  <c r="X22" i="158"/>
  <c r="AB22"/>
  <c r="AA21" i="151"/>
  <c r="D80" i="189"/>
  <c r="AR20" i="159"/>
  <c r="AR20" i="167"/>
  <c r="X22" i="159"/>
  <c r="AB22"/>
  <c r="BP22" i="164"/>
  <c r="BT22"/>
  <c r="BM22"/>
  <c r="AJ21" i="145"/>
  <c r="H803" i="175"/>
  <c r="E80" i="189" s="1"/>
  <c r="E18"/>
  <c r="AT384" i="118"/>
  <c r="BA384"/>
  <c r="BF384"/>
  <c r="AY384"/>
  <c r="BG384"/>
  <c r="AR384"/>
  <c r="AS384"/>
  <c r="BD384"/>
  <c r="BC384"/>
  <c r="AX384"/>
  <c r="AZ384"/>
  <c r="AV384"/>
  <c r="AO384"/>
  <c r="AQ384"/>
  <c r="AP384"/>
  <c r="BB384"/>
  <c r="AN384"/>
  <c r="AE384" s="1"/>
  <c r="AW384"/>
  <c r="BE384"/>
  <c r="AU384"/>
  <c r="H51" i="190"/>
  <c r="K501" i="175"/>
  <c r="H69" i="190" s="1"/>
  <c r="G804" i="175"/>
  <c r="D19" i="189"/>
  <c r="K17" i="49"/>
  <c r="I23" i="162"/>
  <c r="K22" i="164"/>
  <c r="N22" s="1"/>
  <c r="K22" i="171"/>
  <c r="N22" s="1"/>
  <c r="K22" i="167"/>
  <c r="N22" s="1"/>
  <c r="S22" i="149"/>
  <c r="V22" s="1"/>
  <c r="S22" i="155"/>
  <c r="V22" s="1"/>
  <c r="O22" i="165"/>
  <c r="R22" s="1"/>
  <c r="O22" i="166"/>
  <c r="R22" s="1"/>
  <c r="K22" i="153"/>
  <c r="N22" s="1"/>
  <c r="AR20" i="165"/>
  <c r="K22" i="144"/>
  <c r="O22" i="168"/>
  <c r="R22" s="1"/>
  <c r="K22" i="151"/>
  <c r="N22" s="1"/>
  <c r="O22" i="154"/>
  <c r="R22" s="1"/>
  <c r="J175" i="175"/>
  <c r="I675"/>
  <c r="K7" i="68"/>
  <c r="E21" i="148"/>
  <c r="Q9" i="119"/>
  <c r="K7" i="71"/>
  <c r="M8" i="64"/>
  <c r="J148" i="175"/>
  <c r="N7" i="68"/>
  <c r="U6" i="71"/>
  <c r="T9" i="140"/>
  <c r="E6" i="68"/>
  <c r="M8" i="140"/>
  <c r="C5" i="71"/>
  <c r="H671" i="175"/>
  <c r="K23" i="163"/>
  <c r="J9" i="119"/>
  <c r="I398" i="175"/>
  <c r="F6" i="120"/>
  <c r="T9"/>
  <c r="H387" i="175"/>
  <c r="Q9" i="71"/>
  <c r="J52" i="175"/>
  <c r="W8" i="64"/>
  <c r="I8" i="68"/>
  <c r="O22" i="163"/>
  <c r="J55" i="175"/>
  <c r="N8" i="67"/>
  <c r="K23" i="146"/>
  <c r="J7" i="68"/>
  <c r="F5" i="119"/>
  <c r="I670" i="175"/>
  <c r="J8" i="120"/>
  <c r="E24" i="161"/>
  <c r="K211" i="175"/>
  <c r="I667"/>
  <c r="G698"/>
  <c r="S23" i="161"/>
  <c r="J5" i="71"/>
  <c r="G699" i="175"/>
  <c r="G672"/>
  <c r="N8" i="120"/>
  <c r="G707" i="175"/>
  <c r="J141"/>
  <c r="H658"/>
  <c r="W8" i="140"/>
  <c r="E20" i="148"/>
  <c r="L9" i="119"/>
  <c r="U8" i="120"/>
  <c r="D8" i="140"/>
  <c r="I658" i="175"/>
  <c r="M8" i="67"/>
  <c r="U7" i="68"/>
  <c r="P8" i="64"/>
  <c r="W7" i="68"/>
  <c r="H668" i="175"/>
  <c r="H36"/>
  <c r="H24" i="161"/>
  <c r="G669" i="175"/>
  <c r="C6" i="71"/>
  <c r="J44" i="175"/>
  <c r="J130"/>
  <c r="E23" i="163"/>
  <c r="H19" i="152"/>
  <c r="S19" i="148"/>
  <c r="E23" i="146"/>
  <c r="J266" i="175"/>
  <c r="I9" i="119"/>
  <c r="W9"/>
  <c r="R8"/>
  <c r="I8"/>
  <c r="W8" i="67"/>
  <c r="I378" i="175"/>
  <c r="J7" i="71"/>
  <c r="B23" i="146"/>
  <c r="J269" i="175"/>
  <c r="C7" i="71"/>
  <c r="J43" i="175"/>
  <c r="R8" i="64"/>
  <c r="B24" i="161"/>
  <c r="G709" i="175"/>
  <c r="O19" i="152"/>
  <c r="K275" i="175"/>
  <c r="G666"/>
  <c r="H7" i="71"/>
  <c r="O20" i="148"/>
  <c r="J147" i="175"/>
  <c r="I6" i="71"/>
  <c r="H9" i="119"/>
  <c r="G673" i="175"/>
  <c r="L8" i="64"/>
  <c r="I255" i="175"/>
  <c r="O21" i="147"/>
  <c r="H659" i="175"/>
  <c r="I202"/>
  <c r="U9" i="119"/>
  <c r="E5" i="71"/>
  <c r="F5" i="64"/>
  <c r="G697" i="175"/>
  <c r="I203"/>
  <c r="H6" i="71"/>
  <c r="I201" i="175"/>
  <c r="V8" i="67"/>
  <c r="U8" i="64"/>
  <c r="I676" i="175"/>
  <c r="D7" i="68"/>
  <c r="M440" i="175"/>
  <c r="C8" i="120"/>
  <c r="J54" i="175"/>
  <c r="N5" i="71"/>
  <c r="H8" i="120"/>
  <c r="L8" i="67"/>
  <c r="I678" i="175"/>
  <c r="J49"/>
  <c r="B24" i="163"/>
  <c r="J138" i="175"/>
  <c r="S7" i="71"/>
  <c r="P8" i="67"/>
  <c r="I7" i="71"/>
  <c r="I679" i="175"/>
  <c r="K205"/>
  <c r="H8" i="140"/>
  <c r="C8"/>
  <c r="V8" i="64"/>
  <c r="I8" i="140"/>
  <c r="S8" i="120"/>
  <c r="I395" i="175"/>
  <c r="R5" i="71"/>
  <c r="H7" i="120"/>
  <c r="J144" i="175"/>
  <c r="E6" i="71"/>
  <c r="G706" i="175"/>
  <c r="G670"/>
  <c r="B8" i="140"/>
  <c r="G261" i="175"/>
  <c r="K270"/>
  <c r="U8" i="140"/>
  <c r="G5" i="120"/>
  <c r="P6" i="71"/>
  <c r="H708" i="175"/>
  <c r="G700"/>
  <c r="S21" i="146"/>
  <c r="I8" i="64"/>
  <c r="K273" i="175"/>
  <c r="I399"/>
  <c r="W8" i="120"/>
  <c r="U8" i="67"/>
  <c r="M442" i="175"/>
  <c r="I391"/>
  <c r="H697"/>
  <c r="J35"/>
  <c r="H23" i="146"/>
  <c r="K212" i="175"/>
  <c r="H379"/>
  <c r="H689"/>
  <c r="M7" i="68"/>
  <c r="J8" i="67"/>
  <c r="H389" i="175"/>
  <c r="T8" i="120"/>
  <c r="K271" i="175"/>
  <c r="K8" i="64"/>
  <c r="N8"/>
  <c r="Q5" i="71"/>
  <c r="J150" i="175"/>
  <c r="I386"/>
  <c r="J140"/>
  <c r="H21" i="147"/>
  <c r="V8" i="120"/>
  <c r="I8" i="67"/>
  <c r="K200" i="175"/>
  <c r="I392"/>
  <c r="S7" i="68"/>
  <c r="K20" i="147"/>
  <c r="J263" i="175"/>
  <c r="Q9" i="120"/>
  <c r="J56" i="175"/>
  <c r="B22" i="147"/>
  <c r="S8" i="119"/>
  <c r="I204" i="175"/>
  <c r="P7" i="68"/>
  <c r="K268" i="175"/>
  <c r="G674"/>
  <c r="R7" i="71"/>
  <c r="I672" i="175"/>
  <c r="E6" i="64"/>
  <c r="J131" i="175"/>
  <c r="J172"/>
  <c r="F5" i="140"/>
  <c r="K264" i="175"/>
  <c r="E6" i="67"/>
  <c r="H390" i="175"/>
  <c r="C7" i="68"/>
  <c r="K274" i="175"/>
  <c r="S8" i="64"/>
  <c r="T9" i="119"/>
  <c r="J192" i="175"/>
  <c r="O24" i="161"/>
  <c r="H707" i="175"/>
  <c r="K19" i="148"/>
  <c r="H709" i="175"/>
  <c r="T7" i="68"/>
  <c r="B19" i="152"/>
  <c r="I8" i="120"/>
  <c r="K272" i="175"/>
  <c r="K210"/>
  <c r="D8" i="120"/>
  <c r="E22" i="147"/>
  <c r="F5" i="67"/>
  <c r="H670" i="175"/>
  <c r="Q9" i="140"/>
  <c r="E19" i="160"/>
  <c r="K8" i="140"/>
  <c r="K8" i="120"/>
  <c r="I394" i="175"/>
  <c r="H706"/>
  <c r="M7" i="71"/>
  <c r="H669" i="175"/>
  <c r="D8" i="64"/>
  <c r="B8" i="120"/>
  <c r="V7" i="68"/>
  <c r="R8" i="140"/>
  <c r="R7" i="120"/>
  <c r="O22" i="146"/>
  <c r="P8" i="119"/>
  <c r="J139" i="175"/>
  <c r="J173"/>
  <c r="P7" i="71"/>
  <c r="I193" i="175"/>
  <c r="N8" i="140"/>
  <c r="H20" i="148"/>
  <c r="U5" i="71"/>
  <c r="B20" i="148"/>
  <c r="L8" i="140"/>
  <c r="J254" i="175"/>
  <c r="L7" i="68"/>
  <c r="V8" i="140"/>
  <c r="J149" i="175"/>
  <c r="P8" i="140"/>
  <c r="S23" i="163"/>
  <c r="I396" i="175"/>
  <c r="S20" i="147"/>
  <c r="I397" i="175"/>
  <c r="J151"/>
  <c r="P9" i="120"/>
  <c r="E8" i="119"/>
  <c r="D9"/>
  <c r="H698" i="175"/>
  <c r="L7" i="71"/>
  <c r="P5"/>
  <c r="F23" i="60"/>
  <c r="J146" i="175"/>
  <c r="K213"/>
  <c r="Q11" i="69"/>
  <c r="J8" i="140"/>
  <c r="J8" i="119"/>
  <c r="M8" i="120"/>
  <c r="Q10" i="64"/>
  <c r="I668" i="175"/>
  <c r="L8" i="120"/>
  <c r="J174" i="175"/>
  <c r="I671"/>
  <c r="R8" i="67"/>
  <c r="D7" i="71"/>
  <c r="Q10" i="67"/>
  <c r="W5" i="71"/>
  <c r="I666" i="175"/>
  <c r="K267"/>
  <c r="U7" i="71"/>
  <c r="W7"/>
  <c r="K23" i="161"/>
  <c r="E7" i="120"/>
  <c r="R6" i="68"/>
  <c r="V7" i="71"/>
  <c r="K206" i="175"/>
  <c r="J46"/>
  <c r="S8" i="67"/>
  <c r="H674" i="175"/>
  <c r="G708"/>
  <c r="I207"/>
  <c r="G199"/>
  <c r="K8" i="67"/>
  <c r="Q9" i="68"/>
  <c r="S8" i="140"/>
  <c r="I677" i="175"/>
  <c r="K208"/>
  <c r="K9" i="119"/>
  <c r="J145" i="175"/>
  <c r="N7" i="71"/>
  <c r="V8" i="119"/>
  <c r="I669" i="175"/>
  <c r="H24" i="163"/>
  <c r="G702" i="175"/>
  <c r="J262"/>
  <c r="H710"/>
  <c r="J53"/>
  <c r="J265"/>
  <c r="E6" i="140"/>
  <c r="G659" i="175"/>
  <c r="S6" i="71"/>
  <c r="G658" i="175"/>
  <c r="J8" i="64"/>
  <c r="K209" i="175"/>
  <c r="G710"/>
  <c r="K8" i="119"/>
  <c r="D8" i="67"/>
  <c r="J143" i="175"/>
  <c r="I674"/>
  <c r="H672"/>
  <c r="J772" l="1"/>
  <c r="G49" i="189" s="1"/>
  <c r="AR19" i="162"/>
  <c r="AS19" s="1"/>
  <c r="AS20" s="1"/>
  <c r="AS21" s="1"/>
  <c r="AS22" s="1"/>
  <c r="E15" i="189"/>
  <c r="AR19" i="146"/>
  <c r="AS19" s="1"/>
  <c r="AR19" i="151"/>
  <c r="J36" i="190"/>
  <c r="M473" i="175"/>
  <c r="J54" i="190" s="1"/>
  <c r="I54"/>
  <c r="AZ105" i="118"/>
  <c r="AZ152"/>
  <c r="I738" i="175"/>
  <c r="F15" i="189" s="1"/>
  <c r="AR19" i="144"/>
  <c r="AR20" i="166"/>
  <c r="AR19"/>
  <c r="AS19" s="1"/>
  <c r="BA105" i="118"/>
  <c r="BA152"/>
  <c r="I737" i="175"/>
  <c r="F14" i="189" s="1"/>
  <c r="AR20" i="149"/>
  <c r="AS20" s="1"/>
  <c r="AR19" i="161"/>
  <c r="AS19" s="1"/>
  <c r="AS20" s="1"/>
  <c r="N19" i="148"/>
  <c r="D19" i="152"/>
  <c r="N20" i="147"/>
  <c r="AB19" i="148"/>
  <c r="AJ19" s="1"/>
  <c r="D20"/>
  <c r="AB20" i="147"/>
  <c r="C20"/>
  <c r="D21"/>
  <c r="L18" i="49"/>
  <c r="AY105" i="118"/>
  <c r="AY152"/>
  <c r="I739" i="175"/>
  <c r="F16" i="189" s="1"/>
  <c r="AR20" i="163"/>
  <c r="AM13" i="142"/>
  <c r="H798" i="175"/>
  <c r="E75" i="189" s="1"/>
  <c r="AQ12" i="118"/>
  <c r="BK153"/>
  <c r="BK106"/>
  <c r="AQ247"/>
  <c r="AP12"/>
  <c r="AS12"/>
  <c r="AR60"/>
  <c r="BC59"/>
  <c r="BB152"/>
  <c r="BB105"/>
  <c r="AQ153"/>
  <c r="AQ106"/>
  <c r="AR247"/>
  <c r="AP106"/>
  <c r="AP153"/>
  <c r="BD103"/>
  <c r="BD150"/>
  <c r="AT247"/>
  <c r="AT60"/>
  <c r="AS60"/>
  <c r="AP247"/>
  <c r="AT12"/>
  <c r="AS247"/>
  <c r="AW59"/>
  <c r="AS106"/>
  <c r="AS153"/>
  <c r="AR106"/>
  <c r="AR153"/>
  <c r="AR12"/>
  <c r="AT106"/>
  <c r="AT153"/>
  <c r="AU106"/>
  <c r="AU153"/>
  <c r="G644" i="175"/>
  <c r="H648"/>
  <c r="J769"/>
  <c r="G46" i="189" s="1"/>
  <c r="G637" i="175"/>
  <c r="G647"/>
  <c r="G648"/>
  <c r="J747"/>
  <c r="J740"/>
  <c r="G17" i="189" s="1"/>
  <c r="I736" i="175"/>
  <c r="I798" s="1"/>
  <c r="F75" i="189" s="1"/>
  <c r="J744" i="175"/>
  <c r="G646"/>
  <c r="J745"/>
  <c r="J743"/>
  <c r="G645"/>
  <c r="H646"/>
  <c r="J746"/>
  <c r="H645"/>
  <c r="H647"/>
  <c r="H644"/>
  <c r="J748"/>
  <c r="AJ19" i="147"/>
  <c r="F21" i="189"/>
  <c r="I806" i="175"/>
  <c r="AJ22" i="158"/>
  <c r="AJ22" i="164"/>
  <c r="F25" i="189"/>
  <c r="I810" i="175"/>
  <c r="F46" i="189"/>
  <c r="F20"/>
  <c r="AJ22" i="159"/>
  <c r="F24" i="189"/>
  <c r="I809" i="175"/>
  <c r="F86" i="189" s="1"/>
  <c r="F23"/>
  <c r="I808" i="175"/>
  <c r="F85" i="189" s="1"/>
  <c r="I807" i="175"/>
  <c r="F84" i="189" s="1"/>
  <c r="F22"/>
  <c r="AR20" i="164"/>
  <c r="AG249" i="118"/>
  <c r="AG60"/>
  <c r="AG14"/>
  <c r="AG154"/>
  <c r="AG107"/>
  <c r="AJ21" i="149"/>
  <c r="X21" i="146"/>
  <c r="AA21" s="1"/>
  <c r="AR22" i="155"/>
  <c r="G790" i="175"/>
  <c r="D67" i="189" s="1"/>
  <c r="AF20" i="147"/>
  <c r="S23" i="158"/>
  <c r="V23" s="1"/>
  <c r="V21" i="146"/>
  <c r="BJ10" i="118"/>
  <c r="BJ245"/>
  <c r="AD10" i="72"/>
  <c r="I21" i="146"/>
  <c r="O23" i="159"/>
  <c r="R23" s="1"/>
  <c r="X22" i="149"/>
  <c r="J22" i="146"/>
  <c r="X22" s="1"/>
  <c r="S23" i="166"/>
  <c r="V23" s="1"/>
  <c r="J21" i="147"/>
  <c r="AF21" s="1"/>
  <c r="S23" i="144"/>
  <c r="V23" s="1"/>
  <c r="F22" i="149"/>
  <c r="AX153" i="118"/>
  <c r="AX106"/>
  <c r="J19" i="152"/>
  <c r="V19" i="148"/>
  <c r="AC9" i="72"/>
  <c r="V20" i="147"/>
  <c r="X19" i="148"/>
  <c r="AD22" i="149"/>
  <c r="AA19" i="147"/>
  <c r="BQ21" i="164"/>
  <c r="BR21" s="1"/>
  <c r="J20" i="148"/>
  <c r="I20" s="1"/>
  <c r="X20" i="147"/>
  <c r="O23" i="153"/>
  <c r="R23" s="1"/>
  <c r="S23" i="145"/>
  <c r="V23" s="1"/>
  <c r="O23" i="166"/>
  <c r="R23" s="1"/>
  <c r="S23" i="168"/>
  <c r="V23" s="1"/>
  <c r="S23" i="56"/>
  <c r="V23" s="1"/>
  <c r="O23" i="150"/>
  <c r="R23" s="1"/>
  <c r="BK107" i="118"/>
  <c r="BK154"/>
  <c r="BC153"/>
  <c r="BC106"/>
  <c r="BJ152"/>
  <c r="BJ105"/>
  <c r="BJ59"/>
  <c r="D24" i="163"/>
  <c r="J735" i="175"/>
  <c r="R22" i="146"/>
  <c r="AE12" i="72"/>
  <c r="G638" i="175"/>
  <c r="V12" i="72"/>
  <c r="R19" i="152"/>
  <c r="G19" i="160"/>
  <c r="W14" i="72"/>
  <c r="H627" i="175"/>
  <c r="J727"/>
  <c r="V23" i="163"/>
  <c r="H635" i="175"/>
  <c r="G23" i="163"/>
  <c r="X23" s="1"/>
  <c r="J741" i="175"/>
  <c r="T12" i="72"/>
  <c r="BC247" i="118"/>
  <c r="BC12"/>
  <c r="AA12" i="72"/>
  <c r="I728" i="175"/>
  <c r="G640"/>
  <c r="V23" i="161"/>
  <c r="N23" i="163"/>
  <c r="AW153" i="118"/>
  <c r="AW106"/>
  <c r="AW60"/>
  <c r="BB59"/>
  <c r="BA60"/>
  <c r="BK59"/>
  <c r="BA153"/>
  <c r="BA106"/>
  <c r="AZ59"/>
  <c r="I742" i="175"/>
  <c r="AV152" i="118"/>
  <c r="AV105"/>
  <c r="G636" i="175"/>
  <c r="AZ12" i="118"/>
  <c r="S12" i="72"/>
  <c r="AZ247" i="118"/>
  <c r="R21" i="147"/>
  <c r="Z12" i="72"/>
  <c r="J24" i="163"/>
  <c r="H636" i="175"/>
  <c r="BB247" i="118"/>
  <c r="BB12"/>
  <c r="J34" i="190"/>
  <c r="M470" i="175"/>
  <c r="M471"/>
  <c r="AI386" i="118"/>
  <c r="AW247"/>
  <c r="Y12" i="72"/>
  <c r="AW12" i="118"/>
  <c r="R24" i="161"/>
  <c r="G635" i="175"/>
  <c r="X12" i="72"/>
  <c r="BK247" i="118"/>
  <c r="BK12"/>
  <c r="R20" i="148"/>
  <c r="R12" i="72"/>
  <c r="N23" i="161"/>
  <c r="C23" i="146"/>
  <c r="N23"/>
  <c r="R22" i="163"/>
  <c r="AS20" i="165"/>
  <c r="AR21" i="166"/>
  <c r="AR23" i="162"/>
  <c r="C24" i="165"/>
  <c r="K24"/>
  <c r="N24" s="1"/>
  <c r="D24" i="144"/>
  <c r="K24" s="1"/>
  <c r="D24" i="151"/>
  <c r="K24" s="1"/>
  <c r="N24" s="1"/>
  <c r="AJ22" i="166"/>
  <c r="AD22" i="146"/>
  <c r="F22"/>
  <c r="G23"/>
  <c r="AR21" i="159"/>
  <c r="BK24" i="164"/>
  <c r="BL24" s="1"/>
  <c r="G24"/>
  <c r="AD24" s="1"/>
  <c r="BC24" i="149"/>
  <c r="BB24"/>
  <c r="G24" i="166"/>
  <c r="AD24" s="1"/>
  <c r="G24" i="154"/>
  <c r="AD24" s="1"/>
  <c r="AA22" i="145"/>
  <c r="J24" i="56"/>
  <c r="AF24" s="1"/>
  <c r="S24" i="162"/>
  <c r="V24" s="1"/>
  <c r="J24" i="168"/>
  <c r="AF24" s="1"/>
  <c r="AS19" i="167"/>
  <c r="AS20" s="1"/>
  <c r="AS19" i="153"/>
  <c r="AS20" s="1"/>
  <c r="AB62" i="118"/>
  <c r="AI18" i="137"/>
  <c r="D18"/>
  <c r="B25" i="151"/>
  <c r="B25" i="145"/>
  <c r="B25" i="153"/>
  <c r="B25" i="144"/>
  <c r="B25" i="154"/>
  <c r="B25" i="166"/>
  <c r="B25" i="162"/>
  <c r="C25" s="1"/>
  <c r="B25" i="167"/>
  <c r="B25" i="155"/>
  <c r="B25" i="56"/>
  <c r="B25" i="165"/>
  <c r="B25" i="168"/>
  <c r="B25" i="149"/>
  <c r="B25" i="158"/>
  <c r="B25" i="143"/>
  <c r="B25" i="150"/>
  <c r="B25" i="164"/>
  <c r="B25" i="159"/>
  <c r="B25" i="171"/>
  <c r="I18" i="137"/>
  <c r="J18" s="1"/>
  <c r="AA22" i="150"/>
  <c r="AD25" i="162"/>
  <c r="AA22" i="164"/>
  <c r="X23" i="159"/>
  <c r="AB23"/>
  <c r="F12" i="189"/>
  <c r="I797" i="175"/>
  <c r="F18" i="189"/>
  <c r="I803" i="175"/>
  <c r="AD19" i="152"/>
  <c r="AR21" i="151"/>
  <c r="AR21" i="167"/>
  <c r="CC26" i="162"/>
  <c r="D26" s="1"/>
  <c r="CE26"/>
  <c r="J26" s="1"/>
  <c r="CD26"/>
  <c r="G26" s="1"/>
  <c r="CG26"/>
  <c r="AL26" s="1"/>
  <c r="AA24"/>
  <c r="D24" i="158"/>
  <c r="K24" s="1"/>
  <c r="N24" s="1"/>
  <c r="D24" i="153"/>
  <c r="D24" i="150"/>
  <c r="K24" s="1"/>
  <c r="N24" s="1"/>
  <c r="AC10" i="118"/>
  <c r="AC11" s="1"/>
  <c r="AC12" s="1"/>
  <c r="AC13" s="1"/>
  <c r="AC14" s="1"/>
  <c r="AC15" s="1"/>
  <c r="AC16" s="1"/>
  <c r="AC17" s="1"/>
  <c r="AC18" s="1"/>
  <c r="AC19" s="1"/>
  <c r="AC20" s="1"/>
  <c r="AC21" s="1"/>
  <c r="AC22" s="1"/>
  <c r="AC23" s="1"/>
  <c r="AC24" s="1"/>
  <c r="AC25" s="1"/>
  <c r="AC26" s="1"/>
  <c r="AC27" s="1"/>
  <c r="AC28" s="1"/>
  <c r="AC29" s="1"/>
  <c r="AC30" s="1"/>
  <c r="AC31" s="1"/>
  <c r="AC32" s="1"/>
  <c r="AC33" s="1"/>
  <c r="AC34" s="1"/>
  <c r="AC35" s="1"/>
  <c r="AC36" s="1"/>
  <c r="AC37" s="1"/>
  <c r="AC38" s="1"/>
  <c r="AC39" s="1"/>
  <c r="AC40" s="1"/>
  <c r="AC41" s="1"/>
  <c r="AC42" s="1"/>
  <c r="AC43" s="1"/>
  <c r="AC44" s="1"/>
  <c r="AC45" s="1"/>
  <c r="AC46" s="1"/>
  <c r="AC47" s="1"/>
  <c r="AC48" s="1"/>
  <c r="AR21" i="161"/>
  <c r="AS19" i="154"/>
  <c r="AS20" s="1"/>
  <c r="X23" i="158"/>
  <c r="AB23"/>
  <c r="G24" i="145"/>
  <c r="AD24" s="1"/>
  <c r="G24" i="144"/>
  <c r="AD24" s="1"/>
  <c r="AS19" i="145"/>
  <c r="AS20" s="1"/>
  <c r="AJ22" i="161"/>
  <c r="AJ22" i="167"/>
  <c r="J24" i="143"/>
  <c r="AF24" s="1"/>
  <c r="J24" i="153"/>
  <c r="AF24" s="1"/>
  <c r="AF23" i="163"/>
  <c r="AA22" i="158"/>
  <c r="M17" i="49"/>
  <c r="Z17"/>
  <c r="J18"/>
  <c r="AD23" i="165"/>
  <c r="AR21" i="150"/>
  <c r="D24" i="159"/>
  <c r="K24" s="1"/>
  <c r="N24" s="1"/>
  <c r="D24" i="167"/>
  <c r="K24" s="1"/>
  <c r="N24" s="1"/>
  <c r="D24" i="155"/>
  <c r="K24" s="1"/>
  <c r="N24" s="1"/>
  <c r="D24" i="149"/>
  <c r="K24" s="1"/>
  <c r="N24" s="1"/>
  <c r="D24" i="145"/>
  <c r="K24" s="1"/>
  <c r="N24" s="1"/>
  <c r="AJ22" i="154"/>
  <c r="BP23" i="164"/>
  <c r="BT23"/>
  <c r="BM23"/>
  <c r="AA22" i="166"/>
  <c r="AR21" i="165"/>
  <c r="AA22" i="151"/>
  <c r="AJ21" i="146"/>
  <c r="Z23" i="171"/>
  <c r="W16" i="49"/>
  <c r="AB342" i="118"/>
  <c r="AD342" s="1"/>
  <c r="X23" i="154"/>
  <c r="AB23"/>
  <c r="G24" i="155"/>
  <c r="AD24" s="1"/>
  <c r="G24" i="56"/>
  <c r="AD24" s="1"/>
  <c r="AD24" i="161"/>
  <c r="F24"/>
  <c r="G24" i="168"/>
  <c r="AD24" s="1"/>
  <c r="G24" i="167"/>
  <c r="AD24" s="1"/>
  <c r="AR20" i="146"/>
  <c r="AR21" i="145"/>
  <c r="AS19" i="158"/>
  <c r="AS20" s="1"/>
  <c r="AJ22" i="145"/>
  <c r="AS19" i="155"/>
  <c r="AR21" i="153"/>
  <c r="X23" i="145"/>
  <c r="AB23"/>
  <c r="J24" i="159"/>
  <c r="AF24" s="1"/>
  <c r="J24" i="149"/>
  <c r="AF24" s="1"/>
  <c r="J24" i="145"/>
  <c r="AF24" s="1"/>
  <c r="J24" i="151"/>
  <c r="AF24" s="1"/>
  <c r="BJ24" i="161"/>
  <c r="D24" s="1"/>
  <c r="BV24"/>
  <c r="J24" s="1"/>
  <c r="AS19" i="56"/>
  <c r="AJ22" i="168"/>
  <c r="H18" i="137"/>
  <c r="BD25" i="161" s="1"/>
  <c r="H25" i="151"/>
  <c r="H25" i="168"/>
  <c r="H25" i="166"/>
  <c r="H25" i="154"/>
  <c r="H25" i="144"/>
  <c r="H25" i="158"/>
  <c r="H25" i="150"/>
  <c r="H25" i="164"/>
  <c r="H25" i="145"/>
  <c r="H25" i="165"/>
  <c r="H25" i="162"/>
  <c r="I25" s="1"/>
  <c r="H25" i="167"/>
  <c r="H25" i="153"/>
  <c r="H25" i="155"/>
  <c r="H25" i="56"/>
  <c r="H25" i="149"/>
  <c r="AB156" i="118"/>
  <c r="H25" i="159"/>
  <c r="H25" i="143"/>
  <c r="H25" i="171"/>
  <c r="X23" i="166"/>
  <c r="AB23"/>
  <c r="AA22" i="163"/>
  <c r="AS19" i="159"/>
  <c r="AS20" s="1"/>
  <c r="AF25" i="162"/>
  <c r="X23" i="155"/>
  <c r="AA23" s="1"/>
  <c r="AB23"/>
  <c r="AJ23" s="1"/>
  <c r="AF23" i="161"/>
  <c r="I23"/>
  <c r="AB23" i="163"/>
  <c r="E5" i="189"/>
  <c r="H790" i="175"/>
  <c r="E67" i="189" s="1"/>
  <c r="I52" i="190"/>
  <c r="O23" i="56"/>
  <c r="R23" s="1"/>
  <c r="O23" i="154"/>
  <c r="R23" s="1"/>
  <c r="O23" i="144"/>
  <c r="R23" s="1"/>
  <c r="O23" i="167"/>
  <c r="R23" s="1"/>
  <c r="O23" i="145"/>
  <c r="R23" s="1"/>
  <c r="O23" i="155"/>
  <c r="R23" s="1"/>
  <c r="O23" i="158"/>
  <c r="R23" s="1"/>
  <c r="S23" i="159"/>
  <c r="V23" s="1"/>
  <c r="S23" i="164"/>
  <c r="V23" s="1"/>
  <c r="C20" i="13"/>
  <c r="D21"/>
  <c r="AL27" i="171"/>
  <c r="AM27" s="1"/>
  <c r="CB27" i="162"/>
  <c r="X23" i="168"/>
  <c r="AB23"/>
  <c r="X23" i="56"/>
  <c r="AA23" s="1"/>
  <c r="AB23"/>
  <c r="AJ23" s="1"/>
  <c r="D24" i="171"/>
  <c r="AB24" s="1"/>
  <c r="D24" i="56"/>
  <c r="AS21" i="171"/>
  <c r="G24" i="159"/>
  <c r="AD24" s="1"/>
  <c r="X23" i="153"/>
  <c r="AB23"/>
  <c r="AA22" i="167"/>
  <c r="J24" i="155"/>
  <c r="AF24" s="1"/>
  <c r="J24" i="144"/>
  <c r="AF24" s="1"/>
  <c r="AR21" i="168"/>
  <c r="BF385" i="118"/>
  <c r="AR385"/>
  <c r="AY385"/>
  <c r="BD385"/>
  <c r="AT385"/>
  <c r="AV385"/>
  <c r="AQ385"/>
  <c r="AZ385"/>
  <c r="BA385"/>
  <c r="BG385"/>
  <c r="AS385"/>
  <c r="BB385"/>
  <c r="AU385"/>
  <c r="AW385"/>
  <c r="BH385"/>
  <c r="BE385"/>
  <c r="AX385"/>
  <c r="AP385"/>
  <c r="AO385"/>
  <c r="AE385" s="1"/>
  <c r="BC385"/>
  <c r="AA22" i="159"/>
  <c r="AA22" i="56"/>
  <c r="H20" i="51"/>
  <c r="X23" i="171"/>
  <c r="AB248" i="118"/>
  <c r="D24" i="168"/>
  <c r="K24" s="1"/>
  <c r="N24" s="1"/>
  <c r="X15" i="49"/>
  <c r="G19" i="51"/>
  <c r="G22" i="147"/>
  <c r="F21"/>
  <c r="AD21"/>
  <c r="AS19" i="143"/>
  <c r="G24" i="171"/>
  <c r="AD24" s="1"/>
  <c r="G24" i="150"/>
  <c r="AD24" s="1"/>
  <c r="G24" i="153"/>
  <c r="AD24" s="1"/>
  <c r="AS19" i="164"/>
  <c r="AA22" i="153"/>
  <c r="X23" i="167"/>
  <c r="AB23"/>
  <c r="AB23" i="164"/>
  <c r="X23"/>
  <c r="J24" i="150"/>
  <c r="AF24" s="1"/>
  <c r="BK24" i="165"/>
  <c r="I24"/>
  <c r="S24"/>
  <c r="V24" s="1"/>
  <c r="J24" i="154"/>
  <c r="AF24" s="1"/>
  <c r="AS19" i="163"/>
  <c r="AB109" i="118"/>
  <c r="E25" i="154"/>
  <c r="E25" i="165"/>
  <c r="E25" i="144"/>
  <c r="E25" i="167"/>
  <c r="E25" i="162"/>
  <c r="F25" s="1"/>
  <c r="E25" i="149"/>
  <c r="E25" i="151"/>
  <c r="F18" i="137"/>
  <c r="BC25" i="161" s="1"/>
  <c r="BP25" s="1"/>
  <c r="G25" s="1"/>
  <c r="E25" i="145"/>
  <c r="E25" i="166"/>
  <c r="E25" i="153"/>
  <c r="E25" i="168"/>
  <c r="E25" i="155"/>
  <c r="E25" i="56"/>
  <c r="E25" i="159"/>
  <c r="E25" i="150"/>
  <c r="E25" i="143"/>
  <c r="E25" i="171"/>
  <c r="E25" i="158"/>
  <c r="E25" i="164"/>
  <c r="AM25" i="162"/>
  <c r="AC23" i="151"/>
  <c r="X23"/>
  <c r="AS19" i="168"/>
  <c r="AS20" s="1"/>
  <c r="L501" i="175"/>
  <c r="I51" i="190"/>
  <c r="D81" i="189"/>
  <c r="BN22" i="164"/>
  <c r="BU22" s="1"/>
  <c r="BV22" s="1"/>
  <c r="G19" i="137"/>
  <c r="C19"/>
  <c r="E19"/>
  <c r="AJ24" i="162"/>
  <c r="X23" i="150"/>
  <c r="AB23"/>
  <c r="AJ23" s="1"/>
  <c r="AR21" i="158"/>
  <c r="D24" i="143"/>
  <c r="K24" i="162"/>
  <c r="N24" s="1"/>
  <c r="D24" i="166"/>
  <c r="K24" s="1"/>
  <c r="N24" s="1"/>
  <c r="D24" i="164"/>
  <c r="D24" i="154"/>
  <c r="K24" s="1"/>
  <c r="N24" s="1"/>
  <c r="AR21"/>
  <c r="AS19" i="150"/>
  <c r="AA22" i="154"/>
  <c r="AB23" i="149"/>
  <c r="AR21" i="164"/>
  <c r="AJ22" i="151"/>
  <c r="T18" i="49"/>
  <c r="U17"/>
  <c r="G24" i="143"/>
  <c r="AD24" s="1"/>
  <c r="G24" i="158"/>
  <c r="AD24" s="1"/>
  <c r="G24" i="151"/>
  <c r="AD24" s="1"/>
  <c r="O24" i="162"/>
  <c r="R24" s="1"/>
  <c r="G24" i="165"/>
  <c r="AK18" i="51"/>
  <c r="AB11" i="118"/>
  <c r="AV18" i="51"/>
  <c r="AX18" s="1"/>
  <c r="B11" i="72"/>
  <c r="D11" s="1"/>
  <c r="I11" s="1"/>
  <c r="H11" s="1"/>
  <c r="G11" s="1"/>
  <c r="F11" s="1"/>
  <c r="E11" s="1"/>
  <c r="AA22" i="161"/>
  <c r="AJ22" i="153"/>
  <c r="AJ22" i="165"/>
  <c r="J24" i="164"/>
  <c r="AF24" s="1"/>
  <c r="J24" i="171"/>
  <c r="AF24" s="1"/>
  <c r="J24" i="158"/>
  <c r="AF24" s="1"/>
  <c r="J24" i="166"/>
  <c r="AF24" s="1"/>
  <c r="J24" i="167"/>
  <c r="AF24" s="1"/>
  <c r="F20" i="148"/>
  <c r="G21"/>
  <c r="AD20"/>
  <c r="AA22" i="168"/>
  <c r="X25" i="162"/>
  <c r="AB25"/>
  <c r="C23" i="161"/>
  <c r="AB23"/>
  <c r="X23"/>
  <c r="F4" i="189"/>
  <c r="I789" i="175"/>
  <c r="F66" i="189" s="1"/>
  <c r="AD22" i="163"/>
  <c r="E19" i="189"/>
  <c r="S23" i="171"/>
  <c r="V23" s="1"/>
  <c r="AJ23"/>
  <c r="K23" i="159"/>
  <c r="N23" s="1"/>
  <c r="K18" i="49"/>
  <c r="O23" i="171"/>
  <c r="R23" s="1"/>
  <c r="S23" i="153"/>
  <c r="V23" s="1"/>
  <c r="S23" i="150"/>
  <c r="V23" s="1"/>
  <c r="S23" i="151"/>
  <c r="V23" s="1"/>
  <c r="O23" i="164"/>
  <c r="R23" s="1"/>
  <c r="S23" i="154"/>
  <c r="V23" s="1"/>
  <c r="S23" i="155"/>
  <c r="V23" s="1"/>
  <c r="BD23" i="149"/>
  <c r="G23" s="1"/>
  <c r="X23" s="1"/>
  <c r="O23" i="168"/>
  <c r="R23" s="1"/>
  <c r="O23" i="143"/>
  <c r="R23" s="1"/>
  <c r="K23" i="158"/>
  <c r="N23" s="1"/>
  <c r="S23" i="167"/>
  <c r="V23" s="1"/>
  <c r="K23"/>
  <c r="N23" s="1"/>
  <c r="K23" i="164"/>
  <c r="N23" s="1"/>
  <c r="S23" i="143"/>
  <c r="V23" s="1"/>
  <c r="S23" i="149"/>
  <c r="V23" s="1"/>
  <c r="O23" i="151"/>
  <c r="R23" s="1"/>
  <c r="AJ21" i="163"/>
  <c r="K23" i="171"/>
  <c r="N23" s="1"/>
  <c r="I24" i="162"/>
  <c r="K23" i="155"/>
  <c r="N23" s="1"/>
  <c r="L268" i="175"/>
  <c r="W10" i="119"/>
  <c r="K21" i="147"/>
  <c r="S9" i="64"/>
  <c r="K138" i="175"/>
  <c r="K254"/>
  <c r="H21" i="148"/>
  <c r="E22"/>
  <c r="K131" i="175"/>
  <c r="T10" i="140"/>
  <c r="I9" i="68"/>
  <c r="E7" i="67"/>
  <c r="L213" i="175"/>
  <c r="K44"/>
  <c r="L212"/>
  <c r="E7" i="71"/>
  <c r="L200" i="175"/>
  <c r="Q12" i="69"/>
  <c r="E8" i="67"/>
  <c r="E23" i="147"/>
  <c r="U10" i="119"/>
  <c r="G689" i="175"/>
  <c r="U9" i="67"/>
  <c r="K24" i="161"/>
  <c r="K49" i="175"/>
  <c r="H9" i="64"/>
  <c r="V8" i="68"/>
  <c r="K43" i="175"/>
  <c r="S24" i="163"/>
  <c r="S24" i="161"/>
  <c r="L8" i="68"/>
  <c r="S22" i="146"/>
  <c r="L271" i="175"/>
  <c r="K45"/>
  <c r="N442"/>
  <c r="K35"/>
  <c r="N440"/>
  <c r="K139"/>
  <c r="R8" i="71"/>
  <c r="I9" i="120"/>
  <c r="T8" i="68"/>
  <c r="N9" i="67"/>
  <c r="H25" i="161"/>
  <c r="J666" i="175"/>
  <c r="D8" i="68"/>
  <c r="H20" i="152"/>
  <c r="I708" i="175"/>
  <c r="I659"/>
  <c r="S9" i="67"/>
  <c r="K262" i="175"/>
  <c r="K24" i="146"/>
  <c r="K19" i="152"/>
  <c r="G42" i="175"/>
  <c r="K149"/>
  <c r="H24" i="146"/>
  <c r="H22" i="147"/>
  <c r="H199" i="175"/>
  <c r="B23" i="147"/>
  <c r="S8" i="71"/>
  <c r="V9" i="64"/>
  <c r="O21" i="148"/>
  <c r="K9" i="120"/>
  <c r="I8" i="71"/>
  <c r="H10" i="119"/>
  <c r="N8" i="68"/>
  <c r="L209" i="175"/>
  <c r="B20" i="152"/>
  <c r="J386" i="175"/>
  <c r="E7" i="140"/>
  <c r="J679" i="175"/>
  <c r="Q11" i="67"/>
  <c r="G705" i="175"/>
  <c r="F7" i="120"/>
  <c r="B19" i="160"/>
  <c r="L275" i="175"/>
  <c r="N9" i="119"/>
  <c r="L211" i="175"/>
  <c r="G690"/>
  <c r="L210"/>
  <c r="C9" i="140"/>
  <c r="L9" i="120"/>
  <c r="H703" i="175"/>
  <c r="B9" i="140"/>
  <c r="K24" i="163"/>
  <c r="G5" i="119"/>
  <c r="L267" i="175"/>
  <c r="L208"/>
  <c r="R9" i="119"/>
  <c r="J45" i="175"/>
  <c r="O22" i="147"/>
  <c r="J658" i="175"/>
  <c r="D8" i="71"/>
  <c r="J396" i="175"/>
  <c r="K143"/>
  <c r="P9" i="119"/>
  <c r="L205" i="175"/>
  <c r="K150"/>
  <c r="J10" i="119"/>
  <c r="I379" i="175"/>
  <c r="J399"/>
  <c r="I9" i="140"/>
  <c r="M9"/>
  <c r="I697" i="175"/>
  <c r="L206"/>
  <c r="V9" i="120"/>
  <c r="J675" i="175"/>
  <c r="E24" i="163"/>
  <c r="J378" i="175"/>
  <c r="K55"/>
  <c r="I709"/>
  <c r="L274"/>
  <c r="K46"/>
  <c r="R7" i="68"/>
  <c r="O23" i="146"/>
  <c r="J398" i="175"/>
  <c r="P8" i="68"/>
  <c r="K140" i="175"/>
  <c r="E7" i="68"/>
  <c r="K8" i="71"/>
  <c r="K174" i="175"/>
  <c r="S9" i="120"/>
  <c r="L9" i="64"/>
  <c r="L273" i="175"/>
  <c r="I388"/>
  <c r="J207"/>
  <c r="H8" i="67"/>
  <c r="F5" i="71"/>
  <c r="G5" i="67"/>
  <c r="D9" i="64"/>
  <c r="J9" i="67"/>
  <c r="H9"/>
  <c r="N9" i="120"/>
  <c r="Q10" i="119"/>
  <c r="J677" i="175"/>
  <c r="D10" i="119"/>
  <c r="B9" i="120"/>
  <c r="E8"/>
  <c r="K172" i="175"/>
  <c r="H9" i="140"/>
  <c r="J36" i="175"/>
  <c r="V9" i="140"/>
  <c r="M9" i="67"/>
  <c r="K175" i="175"/>
  <c r="G704"/>
  <c r="S9" i="140"/>
  <c r="K144" i="175"/>
  <c r="K148"/>
  <c r="E24" i="146"/>
  <c r="K53" i="175"/>
  <c r="G135"/>
  <c r="G701"/>
  <c r="P8" i="71"/>
  <c r="V10" i="119"/>
  <c r="K54" i="175"/>
  <c r="K56"/>
  <c r="M10" i="119"/>
  <c r="R9" i="67"/>
  <c r="O19" i="160"/>
  <c r="G6" i="120"/>
  <c r="K9" i="64"/>
  <c r="U8" i="68"/>
  <c r="R9" i="64"/>
  <c r="M9" i="120"/>
  <c r="L9" i="67"/>
  <c r="E9" i="119"/>
  <c r="L264" i="175"/>
  <c r="I9" i="64"/>
  <c r="J9" i="120"/>
  <c r="E25" i="161"/>
  <c r="B25" i="163"/>
  <c r="O25" i="161"/>
  <c r="E20" i="152"/>
  <c r="M8" i="71"/>
  <c r="J9" i="140"/>
  <c r="N9"/>
  <c r="P9" i="67"/>
  <c r="I10" i="119"/>
  <c r="L272" i="175"/>
  <c r="I703"/>
  <c r="G5" i="68"/>
  <c r="K52" i="175"/>
  <c r="F6" i="67"/>
  <c r="G5" i="64"/>
  <c r="K145" i="175"/>
  <c r="K263"/>
  <c r="V8" i="71"/>
  <c r="M8" i="68"/>
  <c r="J201" i="175"/>
  <c r="K146"/>
  <c r="W8" i="71"/>
  <c r="M9" i="119"/>
  <c r="J669" i="175"/>
  <c r="J8" i="71"/>
  <c r="P9" i="64"/>
  <c r="L10" i="119"/>
  <c r="K269" i="175"/>
  <c r="U9" i="140"/>
  <c r="I387" i="175"/>
  <c r="P9" i="140"/>
  <c r="K141" i="175"/>
  <c r="J203"/>
  <c r="R9" i="140"/>
  <c r="I707" i="175"/>
  <c r="H19" i="160"/>
  <c r="E8" i="64"/>
  <c r="Q11"/>
  <c r="G5" i="140"/>
  <c r="J667" i="175"/>
  <c r="G191"/>
  <c r="X5" i="120"/>
  <c r="U8" i="71"/>
  <c r="I706" i="175"/>
  <c r="I689"/>
  <c r="O23" i="163"/>
  <c r="D9" i="140"/>
  <c r="J202" i="175"/>
  <c r="T10" i="119"/>
  <c r="J9" i="64"/>
  <c r="S20" i="148"/>
  <c r="J392" i="175"/>
  <c r="H700"/>
  <c r="Q10" i="120"/>
  <c r="K151" i="175"/>
  <c r="I710"/>
  <c r="J676"/>
  <c r="J397"/>
  <c r="F5" i="68"/>
  <c r="H7"/>
  <c r="J8"/>
  <c r="J193" i="175"/>
  <c r="G385"/>
  <c r="F6" i="119"/>
  <c r="N9" i="64"/>
  <c r="K173" i="175"/>
  <c r="K130"/>
  <c r="W9" i="64"/>
  <c r="Q10" i="71"/>
  <c r="U9" i="120"/>
  <c r="G134" i="175"/>
  <c r="U9" i="64"/>
  <c r="J672" i="175"/>
  <c r="H699"/>
  <c r="J204"/>
  <c r="K266"/>
  <c r="W9" i="120"/>
  <c r="G703" i="175"/>
  <c r="E21" i="152"/>
  <c r="D9" i="67"/>
  <c r="B21" i="148"/>
  <c r="W9" i="140"/>
  <c r="R8" i="120"/>
  <c r="G137" i="175"/>
  <c r="Q10" i="68"/>
  <c r="E7" i="64"/>
  <c r="H690" i="175"/>
  <c r="K147"/>
  <c r="N10" i="119"/>
  <c r="Q10" i="140"/>
  <c r="I36" i="175"/>
  <c r="C9" i="120"/>
  <c r="H8" i="64"/>
  <c r="K20" i="148"/>
  <c r="B25" i="161"/>
  <c r="D9" i="120"/>
  <c r="K9" i="67"/>
  <c r="F6" i="64"/>
  <c r="S21" i="147"/>
  <c r="J678" i="175"/>
  <c r="I9" i="67"/>
  <c r="S19" i="152"/>
  <c r="K8" i="68"/>
  <c r="K192" i="175"/>
  <c r="N8" i="71"/>
  <c r="K9" i="140"/>
  <c r="B24" i="146"/>
  <c r="L9" i="140"/>
  <c r="F6"/>
  <c r="S8" i="68"/>
  <c r="P10" i="120"/>
  <c r="H25" i="163"/>
  <c r="V9" i="119"/>
  <c r="I389" i="175"/>
  <c r="W8" i="68"/>
  <c r="V9" i="67"/>
  <c r="G195" i="175"/>
  <c r="I390"/>
  <c r="W9" i="67"/>
  <c r="J395" i="175"/>
  <c r="L8" i="71"/>
  <c r="S9" i="119"/>
  <c r="M9" i="64"/>
  <c r="L270" i="175"/>
  <c r="K265"/>
  <c r="K772" l="1"/>
  <c r="H49" i="189" s="1"/>
  <c r="G628" i="175"/>
  <c r="G639"/>
  <c r="AS19" i="151"/>
  <c r="K36" i="190"/>
  <c r="N473" i="175"/>
  <c r="G642"/>
  <c r="AS19" i="144"/>
  <c r="I800" i="175"/>
  <c r="F77" i="189" s="1"/>
  <c r="G20" i="152"/>
  <c r="AZ153" i="118"/>
  <c r="AZ106"/>
  <c r="J738" i="175"/>
  <c r="J800" s="1"/>
  <c r="G77" i="189" s="1"/>
  <c r="G643" i="175"/>
  <c r="AS20" i="166"/>
  <c r="AS21" s="1"/>
  <c r="H641" i="175"/>
  <c r="G641"/>
  <c r="I799"/>
  <c r="F76" i="189" s="1"/>
  <c r="H638" i="175"/>
  <c r="BA247" i="118"/>
  <c r="BA12"/>
  <c r="J737" i="175"/>
  <c r="G14" i="189" s="1"/>
  <c r="H637" i="175"/>
  <c r="AR21" i="149"/>
  <c r="G627" i="175"/>
  <c r="X19" i="152"/>
  <c r="L19" i="49"/>
  <c r="AS20" i="163"/>
  <c r="D20" i="152"/>
  <c r="BD56" i="118"/>
  <c r="G734" i="175"/>
  <c r="G796" s="1"/>
  <c r="D73" i="189" s="1"/>
  <c r="N21" i="147"/>
  <c r="N19" i="152"/>
  <c r="D19" i="160"/>
  <c r="N20" i="148"/>
  <c r="D22" i="147"/>
  <c r="AB21"/>
  <c r="AJ21" s="1"/>
  <c r="C21"/>
  <c r="AB19" i="152"/>
  <c r="C20" i="148"/>
  <c r="D21"/>
  <c r="AB20"/>
  <c r="AY153" i="118"/>
  <c r="AY106"/>
  <c r="AM14" i="142"/>
  <c r="BH103" i="118"/>
  <c r="BH150"/>
  <c r="F13" i="189"/>
  <c r="AS20" i="164"/>
  <c r="AS21" s="1"/>
  <c r="AQ60" i="118"/>
  <c r="AS154"/>
  <c r="AS107"/>
  <c r="BA248"/>
  <c r="AS13"/>
  <c r="AP60"/>
  <c r="AQ107"/>
  <c r="AQ154"/>
  <c r="AR107"/>
  <c r="AR154"/>
  <c r="AR61"/>
  <c r="AR248"/>
  <c r="BB106"/>
  <c r="BB153"/>
  <c r="AQ61"/>
  <c r="BD244"/>
  <c r="AQ248"/>
  <c r="BD104"/>
  <c r="BD151"/>
  <c r="AS61"/>
  <c r="AU154"/>
  <c r="AU107"/>
  <c r="AP248"/>
  <c r="BA13"/>
  <c r="BB60"/>
  <c r="AT248"/>
  <c r="AT154"/>
  <c r="AT107"/>
  <c r="AS248"/>
  <c r="AT13"/>
  <c r="AR13"/>
  <c r="AP154"/>
  <c r="AP107"/>
  <c r="AT61"/>
  <c r="BD9"/>
  <c r="BC60"/>
  <c r="AQ13"/>
  <c r="AP61"/>
  <c r="AP13"/>
  <c r="I647" i="175"/>
  <c r="I648"/>
  <c r="I645"/>
  <c r="I644"/>
  <c r="I646"/>
  <c r="K748"/>
  <c r="J736"/>
  <c r="G13" i="189" s="1"/>
  <c r="K747" i="175"/>
  <c r="K743"/>
  <c r="K746"/>
  <c r="K744"/>
  <c r="K769"/>
  <c r="H46" i="189" s="1"/>
  <c r="K745" i="175"/>
  <c r="K740"/>
  <c r="H17" i="189" s="1"/>
  <c r="AJ23" i="159"/>
  <c r="F83" i="189"/>
  <c r="AJ22" i="163"/>
  <c r="F87" i="189"/>
  <c r="J809" i="175"/>
  <c r="G86" i="189" s="1"/>
  <c r="G24"/>
  <c r="AJ23" i="158"/>
  <c r="G21" i="189"/>
  <c r="J806" i="175"/>
  <c r="G83" i="189" s="1"/>
  <c r="AJ23" i="164"/>
  <c r="AR19" i="147"/>
  <c r="AS19" s="1"/>
  <c r="G25" i="189"/>
  <c r="J810" i="175"/>
  <c r="G87" i="189" s="1"/>
  <c r="J808" i="175"/>
  <c r="G23" i="189"/>
  <c r="G20"/>
  <c r="G22"/>
  <c r="J807" i="175"/>
  <c r="G84" i="189" s="1"/>
  <c r="AG250" i="118"/>
  <c r="AG15"/>
  <c r="AG61"/>
  <c r="AG108"/>
  <c r="AG155"/>
  <c r="BL150"/>
  <c r="BL103"/>
  <c r="BG56"/>
  <c r="AJ22" i="149"/>
  <c r="AA22"/>
  <c r="O24" i="158"/>
  <c r="R24" s="1"/>
  <c r="O24" i="171"/>
  <c r="R24" s="1"/>
  <c r="J23" i="146"/>
  <c r="AF23" s="1"/>
  <c r="J21" i="148"/>
  <c r="J22" s="1"/>
  <c r="I22" i="146"/>
  <c r="AD11" i="72"/>
  <c r="BJ246" i="118"/>
  <c r="BJ11"/>
  <c r="AF19" i="152"/>
  <c r="AF22" i="146"/>
  <c r="AJ20" i="147"/>
  <c r="V22" i="146"/>
  <c r="I21" i="147"/>
  <c r="X21"/>
  <c r="J22"/>
  <c r="J23" s="1"/>
  <c r="V21"/>
  <c r="S24" i="171"/>
  <c r="V24" s="1"/>
  <c r="O24" i="155"/>
  <c r="R24" s="1"/>
  <c r="AR23" i="56"/>
  <c r="O24"/>
  <c r="R24" s="1"/>
  <c r="J19" i="160"/>
  <c r="AF19" s="1"/>
  <c r="V19" i="152"/>
  <c r="J20"/>
  <c r="AF20" s="1"/>
  <c r="V20" i="148"/>
  <c r="AC10" i="72"/>
  <c r="AB9"/>
  <c r="BQ22" i="164"/>
  <c r="BR22" s="1"/>
  <c r="S24" i="158"/>
  <c r="V24" s="1"/>
  <c r="S24" i="164"/>
  <c r="V24" s="1"/>
  <c r="S24" i="144"/>
  <c r="V24" s="1"/>
  <c r="O24" i="159"/>
  <c r="R24" s="1"/>
  <c r="K24" i="171"/>
  <c r="N24" s="1"/>
  <c r="X20" i="148"/>
  <c r="AA20" i="147"/>
  <c r="AA19" i="148"/>
  <c r="AF20"/>
  <c r="BC154" i="118"/>
  <c r="BC107"/>
  <c r="S24" i="159"/>
  <c r="V24" s="1"/>
  <c r="O24" i="154"/>
  <c r="R24" s="1"/>
  <c r="K19" i="49"/>
  <c r="BD24" i="149"/>
  <c r="G24" s="1"/>
  <c r="O24" s="1"/>
  <c r="R24" s="1"/>
  <c r="O24" i="143"/>
  <c r="R24" s="1"/>
  <c r="S24" i="149"/>
  <c r="V24" s="1"/>
  <c r="S24" i="168"/>
  <c r="V24" s="1"/>
  <c r="S24" i="56"/>
  <c r="V24" s="1"/>
  <c r="AW61" i="118"/>
  <c r="AV153"/>
  <c r="AV106"/>
  <c r="BJ60"/>
  <c r="BF56"/>
  <c r="AZ60"/>
  <c r="AX107"/>
  <c r="AX154"/>
  <c r="BB13"/>
  <c r="BB248"/>
  <c r="W15" i="72"/>
  <c r="BJ12" i="118"/>
  <c r="AD12" i="72"/>
  <c r="BJ247" i="118"/>
  <c r="I635" i="175"/>
  <c r="R21" i="148"/>
  <c r="G21" i="152"/>
  <c r="AA13" i="72"/>
  <c r="AZ13" i="118"/>
  <c r="S13" i="72"/>
  <c r="AZ248" i="118"/>
  <c r="R22" i="147"/>
  <c r="K735" i="175"/>
  <c r="J25" i="163"/>
  <c r="K741" i="175"/>
  <c r="I627"/>
  <c r="K34" i="190"/>
  <c r="N470" i="175"/>
  <c r="N471"/>
  <c r="K52" i="190" s="1"/>
  <c r="AI387" i="118"/>
  <c r="V24" i="163"/>
  <c r="R19" i="160"/>
  <c r="AW107" i="118"/>
  <c r="AW154"/>
  <c r="J742" i="175"/>
  <c r="BA61" i="118"/>
  <c r="BK60"/>
  <c r="BJ153"/>
  <c r="BJ106"/>
  <c r="N24" i="161"/>
  <c r="C24" i="146"/>
  <c r="N24"/>
  <c r="AE13" i="72"/>
  <c r="R23" i="146"/>
  <c r="K727" i="175"/>
  <c r="G24" i="163"/>
  <c r="I641" i="175"/>
  <c r="R25" i="161"/>
  <c r="Z13" i="72"/>
  <c r="V24" i="161"/>
  <c r="R23" i="163"/>
  <c r="BK13" i="118"/>
  <c r="X13" i="72"/>
  <c r="BK248" i="118"/>
  <c r="V13" i="72"/>
  <c r="R13"/>
  <c r="BC248" i="118"/>
  <c r="T13" i="72"/>
  <c r="BC13" i="118"/>
  <c r="H628" i="175"/>
  <c r="AW248" i="118"/>
  <c r="Y13" i="72"/>
  <c r="AW13" i="118"/>
  <c r="D25" i="163"/>
  <c r="N24"/>
  <c r="AA23" i="149"/>
  <c r="G25" i="150"/>
  <c r="AD25" s="1"/>
  <c r="AD25" i="161"/>
  <c r="F25"/>
  <c r="G25" i="167"/>
  <c r="AD25" s="1"/>
  <c r="AJ23"/>
  <c r="AR22" i="159"/>
  <c r="X24" i="56"/>
  <c r="AB24"/>
  <c r="AJ24" s="1"/>
  <c r="AA23" i="163"/>
  <c r="J25" i="56"/>
  <c r="AF25" s="1"/>
  <c r="J25" i="150"/>
  <c r="AF25" s="1"/>
  <c r="BN23" i="164"/>
  <c r="BQ23" s="1"/>
  <c r="BR23" s="1"/>
  <c r="M18" i="49"/>
  <c r="J19"/>
  <c r="Z18"/>
  <c r="AR24" i="162"/>
  <c r="AR22" i="150"/>
  <c r="D25" i="149"/>
  <c r="K25" s="1"/>
  <c r="N25" s="1"/>
  <c r="D25" i="154"/>
  <c r="K25" s="1"/>
  <c r="N25" s="1"/>
  <c r="BT24" i="164"/>
  <c r="BM24"/>
  <c r="BP24"/>
  <c r="J51" i="190"/>
  <c r="M501" i="175"/>
  <c r="J69" i="190" s="1"/>
  <c r="AA25" i="162"/>
  <c r="AA23" i="150"/>
  <c r="G25" i="143"/>
  <c r="AD25" s="1"/>
  <c r="G25" i="145"/>
  <c r="AD25" s="1"/>
  <c r="G25" i="154"/>
  <c r="AD25" s="1"/>
  <c r="AR22" i="153"/>
  <c r="AR23" i="155"/>
  <c r="J25" i="149"/>
  <c r="AF25" s="1"/>
  <c r="J25" i="154"/>
  <c r="AF25" s="1"/>
  <c r="D25" i="158"/>
  <c r="AR22" i="145"/>
  <c r="AA22" i="146"/>
  <c r="J803" i="175"/>
  <c r="G80" i="189" s="1"/>
  <c r="G18"/>
  <c r="AR23" i="171"/>
  <c r="AJ25" i="162"/>
  <c r="F21" i="148"/>
  <c r="G22"/>
  <c r="AD21"/>
  <c r="AR22" i="165"/>
  <c r="AB24" i="166"/>
  <c r="X24"/>
  <c r="AI19" i="137"/>
  <c r="D19"/>
  <c r="AB63" i="118"/>
  <c r="B26" i="167"/>
  <c r="B26" i="145"/>
  <c r="B26" i="151"/>
  <c r="B26" i="154"/>
  <c r="B26" i="165"/>
  <c r="B26" i="144"/>
  <c r="B26" i="153"/>
  <c r="B26" i="166"/>
  <c r="B26" i="56"/>
  <c r="B26" i="168"/>
  <c r="B26" i="162"/>
  <c r="C26" s="1"/>
  <c r="B26" i="150"/>
  <c r="B26" i="164"/>
  <c r="B26" i="143"/>
  <c r="B26" i="159"/>
  <c r="B26" i="158"/>
  <c r="B26" i="149"/>
  <c r="B26" i="155"/>
  <c r="B26" i="171"/>
  <c r="I19" i="137"/>
  <c r="J19" s="1"/>
  <c r="AA23" i="151"/>
  <c r="G25" i="158"/>
  <c r="AD25" s="1"/>
  <c r="G25" i="159"/>
  <c r="AD25" s="1"/>
  <c r="G25" i="153"/>
  <c r="AD25" s="1"/>
  <c r="G25" i="151"/>
  <c r="AD25" s="1"/>
  <c r="G25" i="144"/>
  <c r="AD25" s="1"/>
  <c r="AA23" i="167"/>
  <c r="F22" i="147"/>
  <c r="G23"/>
  <c r="AD22"/>
  <c r="AS21" i="168"/>
  <c r="AR22" i="167"/>
  <c r="AJ23" i="168"/>
  <c r="C21" i="13"/>
  <c r="D22"/>
  <c r="AL28" i="171"/>
  <c r="AM28" s="1"/>
  <c r="CB28" i="162"/>
  <c r="AJ23" i="166"/>
  <c r="J25" i="159"/>
  <c r="AF25" s="1"/>
  <c r="J25" i="155"/>
  <c r="AF25" s="1"/>
  <c r="BK25" i="165"/>
  <c r="I25"/>
  <c r="S25"/>
  <c r="V25" s="1"/>
  <c r="J25" i="158"/>
  <c r="AF25" s="1"/>
  <c r="J25" i="168"/>
  <c r="AF25" s="1"/>
  <c r="AS21" i="153"/>
  <c r="AJ23" i="154"/>
  <c r="AS21" i="165"/>
  <c r="X24" i="145"/>
  <c r="AB24"/>
  <c r="AS21" i="161"/>
  <c r="AB24" i="150"/>
  <c r="AJ24" s="1"/>
  <c r="X24"/>
  <c r="AM26" i="162"/>
  <c r="AS21" i="167"/>
  <c r="D25" i="150"/>
  <c r="D25" i="168"/>
  <c r="D25" i="167"/>
  <c r="D25" i="144"/>
  <c r="BE386" i="118"/>
  <c r="BH386"/>
  <c r="BF386"/>
  <c r="AY386"/>
  <c r="BI386"/>
  <c r="AS386"/>
  <c r="AU386"/>
  <c r="AR386"/>
  <c r="BG386"/>
  <c r="BC386"/>
  <c r="AX386"/>
  <c r="AP386"/>
  <c r="AE386" s="1"/>
  <c r="AV386"/>
  <c r="BB386"/>
  <c r="AZ386"/>
  <c r="AW386"/>
  <c r="BD386"/>
  <c r="AT386"/>
  <c r="BA386"/>
  <c r="AQ386"/>
  <c r="AF24" i="163"/>
  <c r="F19" i="189"/>
  <c r="G4"/>
  <c r="J789" i="175"/>
  <c r="G66" i="189" s="1"/>
  <c r="AD19" i="160"/>
  <c r="G20"/>
  <c r="S24" i="167"/>
  <c r="V24" s="1"/>
  <c r="S24" i="154"/>
  <c r="V24" s="1"/>
  <c r="K24" i="56"/>
  <c r="N24" s="1"/>
  <c r="O24" i="167"/>
  <c r="R24" s="1"/>
  <c r="O24" i="145"/>
  <c r="R24" s="1"/>
  <c r="S24" i="166"/>
  <c r="V24" s="1"/>
  <c r="O24" i="151"/>
  <c r="R24" s="1"/>
  <c r="AS21" i="158"/>
  <c r="S24" i="150"/>
  <c r="V24" s="1"/>
  <c r="O24"/>
  <c r="R24" s="1"/>
  <c r="AJ24" i="171"/>
  <c r="AS20" i="151"/>
  <c r="AS21" s="1"/>
  <c r="S24"/>
  <c r="V24" s="1"/>
  <c r="O24" i="168"/>
  <c r="R24" s="1"/>
  <c r="S24" i="143"/>
  <c r="V24" s="1"/>
  <c r="O24" i="144"/>
  <c r="R24" s="1"/>
  <c r="AR21" i="163"/>
  <c r="O24" i="164"/>
  <c r="R24" s="1"/>
  <c r="AD23" i="149"/>
  <c r="F23"/>
  <c r="O23"/>
  <c r="R23" s="1"/>
  <c r="T19" i="49"/>
  <c r="U18"/>
  <c r="X24" i="154"/>
  <c r="AB24"/>
  <c r="AB110" i="118"/>
  <c r="E26" i="165"/>
  <c r="E26" i="144"/>
  <c r="E26" i="154"/>
  <c r="E26" i="167"/>
  <c r="E26" i="162"/>
  <c r="F26" s="1"/>
  <c r="E26" i="149"/>
  <c r="E26" i="151"/>
  <c r="F19" i="137"/>
  <c r="BC26" i="161" s="1"/>
  <c r="BP26" s="1"/>
  <c r="G26" s="1"/>
  <c r="E26" i="153"/>
  <c r="E26" i="145"/>
  <c r="E26" i="168"/>
  <c r="E26" i="166"/>
  <c r="E26" i="171"/>
  <c r="E26" i="56"/>
  <c r="E26" i="143"/>
  <c r="E26" i="159"/>
  <c r="E26" i="155"/>
  <c r="E26" i="164"/>
  <c r="E26" i="158"/>
  <c r="E26" i="150"/>
  <c r="BK25" i="164"/>
  <c r="BL25" s="1"/>
  <c r="G25"/>
  <c r="AD25" s="1"/>
  <c r="G25" i="168"/>
  <c r="AD25" s="1"/>
  <c r="AR22" i="56"/>
  <c r="J25" i="143"/>
  <c r="AF25" s="1"/>
  <c r="S25" i="162"/>
  <c r="V25" s="1"/>
  <c r="J25" i="166"/>
  <c r="AF25" s="1"/>
  <c r="AB24" i="161"/>
  <c r="C24"/>
  <c r="X24"/>
  <c r="AA23" i="145"/>
  <c r="AS21"/>
  <c r="AB24" i="167"/>
  <c r="X24"/>
  <c r="AB24" i="153"/>
  <c r="X24"/>
  <c r="X26" i="162"/>
  <c r="AB26"/>
  <c r="AR22" i="164"/>
  <c r="D25"/>
  <c r="K25" s="1"/>
  <c r="N25" s="1"/>
  <c r="D25" i="155"/>
  <c r="D25" i="151"/>
  <c r="K25" s="1"/>
  <c r="N25" s="1"/>
  <c r="AD23" i="146"/>
  <c r="F23"/>
  <c r="G24"/>
  <c r="J797" i="175"/>
  <c r="G74" i="189" s="1"/>
  <c r="G12"/>
  <c r="AJ23" i="161"/>
  <c r="AD24" i="165"/>
  <c r="W17" i="49"/>
  <c r="Z24" i="171"/>
  <c r="AB343" i="118"/>
  <c r="AD343" s="1"/>
  <c r="AR22" i="154"/>
  <c r="AS21"/>
  <c r="AB24" i="164"/>
  <c r="G25" i="155"/>
  <c r="AD25" s="1"/>
  <c r="O25" i="162"/>
  <c r="R25" s="1"/>
  <c r="AB12" i="118"/>
  <c r="AK19" i="51"/>
  <c r="B12" i="72"/>
  <c r="D12" s="1"/>
  <c r="I12" s="1"/>
  <c r="H12" s="1"/>
  <c r="G12" s="1"/>
  <c r="F12" s="1"/>
  <c r="E12" s="1"/>
  <c r="AV19" i="51"/>
  <c r="AX19" s="1"/>
  <c r="AA23" i="153"/>
  <c r="CC27" i="162"/>
  <c r="D27" s="1"/>
  <c r="CE27"/>
  <c r="J27" s="1"/>
  <c r="CD27"/>
  <c r="G27" s="1"/>
  <c r="CG27"/>
  <c r="AL27" s="1"/>
  <c r="J25" i="171"/>
  <c r="AF25" s="1"/>
  <c r="J25" i="167"/>
  <c r="AF25" s="1"/>
  <c r="J25" i="164"/>
  <c r="AF25" s="1"/>
  <c r="BJ25" i="161"/>
  <c r="D25" s="1"/>
  <c r="BV25"/>
  <c r="J25" s="1"/>
  <c r="I24"/>
  <c r="AF24"/>
  <c r="AJ23" i="145"/>
  <c r="AR22" i="166"/>
  <c r="AB24" i="149"/>
  <c r="AR22" i="158"/>
  <c r="AF26" i="162"/>
  <c r="F80" i="189"/>
  <c r="AA23" i="159"/>
  <c r="D25"/>
  <c r="D25" i="56"/>
  <c r="D25" i="166"/>
  <c r="K25" s="1"/>
  <c r="N25" s="1"/>
  <c r="D25" i="145"/>
  <c r="K25" s="1"/>
  <c r="N25" s="1"/>
  <c r="J52" i="190"/>
  <c r="AD23" i="163"/>
  <c r="AA23" i="161"/>
  <c r="AR22" i="168"/>
  <c r="AR22" i="161"/>
  <c r="H19" i="137"/>
  <c r="BD26" i="161" s="1"/>
  <c r="H26" i="166"/>
  <c r="H26" i="167"/>
  <c r="H26" i="145"/>
  <c r="H26" i="153"/>
  <c r="H26" i="154"/>
  <c r="H26" i="144"/>
  <c r="H26" i="168"/>
  <c r="H26" i="150"/>
  <c r="H26" i="162"/>
  <c r="H26" i="165"/>
  <c r="H26" i="151"/>
  <c r="H26" i="158"/>
  <c r="H26" i="155"/>
  <c r="H26" i="159"/>
  <c r="H26" i="56"/>
  <c r="H26" i="149"/>
  <c r="H26" i="164"/>
  <c r="H26" i="143"/>
  <c r="H26" i="171"/>
  <c r="AB157" i="118"/>
  <c r="I69" i="190"/>
  <c r="AJ23" i="151"/>
  <c r="G25" i="171"/>
  <c r="AD25" s="1"/>
  <c r="G25" i="56"/>
  <c r="AD25" s="1"/>
  <c r="G25" i="166"/>
  <c r="AD25" s="1"/>
  <c r="BC25" i="149"/>
  <c r="BB25"/>
  <c r="G25" i="165"/>
  <c r="AA23" i="164"/>
  <c r="AR21" i="146"/>
  <c r="X24" i="168"/>
  <c r="AB24"/>
  <c r="AJ23" i="153"/>
  <c r="AS22" i="171"/>
  <c r="AA23" i="168"/>
  <c r="C20" i="137"/>
  <c r="G20"/>
  <c r="E20"/>
  <c r="AA23" i="166"/>
  <c r="J25" i="153"/>
  <c r="AF25" s="1"/>
  <c r="J25" i="145"/>
  <c r="AF25" s="1"/>
  <c r="J25" i="144"/>
  <c r="AF25" s="1"/>
  <c r="J25" i="151"/>
  <c r="AF25" s="1"/>
  <c r="AS20" i="56"/>
  <c r="AS21" s="1"/>
  <c r="AS20" i="155"/>
  <c r="AS21" s="1"/>
  <c r="AS22" s="1"/>
  <c r="AS20" i="146"/>
  <c r="AA23" i="154"/>
  <c r="X16" i="49"/>
  <c r="G20" i="51"/>
  <c r="AR22" i="151"/>
  <c r="X24" i="155"/>
  <c r="AB24"/>
  <c r="AJ24" s="1"/>
  <c r="X24" i="159"/>
  <c r="AB24"/>
  <c r="AJ23" i="165"/>
  <c r="X24" i="171"/>
  <c r="AB249" i="118"/>
  <c r="H21" i="51"/>
  <c r="I21" s="1"/>
  <c r="AA23" i="158"/>
  <c r="X24"/>
  <c r="AB24"/>
  <c r="AD26" i="162"/>
  <c r="F74" i="189"/>
  <c r="D25" i="171"/>
  <c r="AB25" s="1"/>
  <c r="D25" i="143"/>
  <c r="K25" s="1"/>
  <c r="C25" i="165"/>
  <c r="K25"/>
  <c r="N25" s="1"/>
  <c r="K25" i="162"/>
  <c r="N25" s="1"/>
  <c r="D25" i="153"/>
  <c r="X24" i="151"/>
  <c r="AC24"/>
  <c r="AS23" i="162"/>
  <c r="F5" i="189"/>
  <c r="I790" i="175"/>
  <c r="AB24" i="163"/>
  <c r="AS20" i="150"/>
  <c r="AS21" s="1"/>
  <c r="K24" i="143"/>
  <c r="S24" i="145"/>
  <c r="V24" s="1"/>
  <c r="K24" i="153"/>
  <c r="N24" s="1"/>
  <c r="O24" i="165"/>
  <c r="R24" s="1"/>
  <c r="K24" i="164"/>
  <c r="N24" s="1"/>
  <c r="O24" i="153"/>
  <c r="R24" s="1"/>
  <c r="S24" i="155"/>
  <c r="V24" s="1"/>
  <c r="S24" i="153"/>
  <c r="V24" s="1"/>
  <c r="O24" i="166"/>
  <c r="R24" s="1"/>
  <c r="AS21" i="159"/>
  <c r="L53" i="175"/>
  <c r="I10" i="140"/>
  <c r="H9" i="71"/>
  <c r="K9"/>
  <c r="I10" i="120"/>
  <c r="I10" i="67"/>
  <c r="G7" i="120"/>
  <c r="E24" i="147"/>
  <c r="J697" i="175"/>
  <c r="J11" i="119"/>
  <c r="B22" i="148"/>
  <c r="M9" i="71"/>
  <c r="L144" i="175"/>
  <c r="L172"/>
  <c r="O440"/>
  <c r="E8" i="71"/>
  <c r="U10" i="67"/>
  <c r="L145" i="175"/>
  <c r="P9" i="71"/>
  <c r="G6" i="140"/>
  <c r="U10" i="64"/>
  <c r="J387" i="175"/>
  <c r="K21" i="148"/>
  <c r="K204" i="175"/>
  <c r="S23" i="147"/>
  <c r="E20" i="160"/>
  <c r="F7" i="68"/>
  <c r="G197" i="175"/>
  <c r="Q11" i="140"/>
  <c r="S25" i="161"/>
  <c r="L55" i="175"/>
  <c r="L138"/>
  <c r="W10" i="64"/>
  <c r="F7" i="140"/>
  <c r="R8" i="68"/>
  <c r="X5" i="64"/>
  <c r="B21" i="152"/>
  <c r="L269" i="175"/>
  <c r="L151"/>
  <c r="W9" i="71"/>
  <c r="M211" i="175"/>
  <c r="L149"/>
  <c r="H21" i="152"/>
  <c r="B10" i="140"/>
  <c r="M213" i="175"/>
  <c r="G6" i="67"/>
  <c r="N9" i="71"/>
  <c r="I698" i="175"/>
  <c r="G198"/>
  <c r="W10" i="140"/>
  <c r="M205" i="175"/>
  <c r="J708"/>
  <c r="L10" i="140"/>
  <c r="S22" i="147"/>
  <c r="G129" i="175"/>
  <c r="E25" i="146"/>
  <c r="G259" i="175"/>
  <c r="Q11" i="120"/>
  <c r="B26" i="163"/>
  <c r="O442" i="175"/>
  <c r="J706"/>
  <c r="S20" i="152"/>
  <c r="Q13" i="69"/>
  <c r="X5" i="119"/>
  <c r="N10" i="140"/>
  <c r="K678" i="175"/>
  <c r="E26" i="161"/>
  <c r="O23" i="147"/>
  <c r="P10" i="140"/>
  <c r="M268" i="175"/>
  <c r="K193"/>
  <c r="O24" i="163"/>
  <c r="L266" i="175"/>
  <c r="M212"/>
  <c r="K20" i="152"/>
  <c r="S21" i="148"/>
  <c r="S11" i="119"/>
  <c r="K19" i="160"/>
  <c r="W10" i="120"/>
  <c r="J659" i="175"/>
  <c r="O20" i="160"/>
  <c r="F7" i="119"/>
  <c r="J703" i="175"/>
  <c r="D9" i="68"/>
  <c r="K207" i="175"/>
  <c r="M10" i="140"/>
  <c r="M208" i="175"/>
  <c r="L139"/>
  <c r="L52"/>
  <c r="N10" i="64"/>
  <c r="H261" i="175"/>
  <c r="F6" i="71"/>
  <c r="L141" i="175"/>
  <c r="S9" i="71"/>
  <c r="L130" i="175"/>
  <c r="U10" i="120"/>
  <c r="V10"/>
  <c r="H134" i="175"/>
  <c r="H26" i="161"/>
  <c r="P10" i="64"/>
  <c r="D10" i="120"/>
  <c r="J698" i="175"/>
  <c r="G6" i="64"/>
  <c r="K386" i="175"/>
  <c r="K10" i="64"/>
  <c r="L9" i="71"/>
  <c r="L254" i="175"/>
  <c r="L147"/>
  <c r="H195"/>
  <c r="M10" i="120"/>
  <c r="G6" i="119"/>
  <c r="M210" i="175"/>
  <c r="P10" i="67"/>
  <c r="V10"/>
  <c r="K666" i="175"/>
  <c r="M274"/>
  <c r="S25" i="163"/>
  <c r="M9" i="68"/>
  <c r="E23" i="148"/>
  <c r="K668" i="175"/>
  <c r="V10" i="140"/>
  <c r="J389" i="175"/>
  <c r="Q12" i="64"/>
  <c r="G665" i="175"/>
  <c r="Q11" i="68"/>
  <c r="L174" i="175"/>
  <c r="K397"/>
  <c r="O5" i="120"/>
  <c r="M209" i="175"/>
  <c r="G5" i="71"/>
  <c r="H135" i="175"/>
  <c r="H10" i="140"/>
  <c r="E8"/>
  <c r="J255" i="175"/>
  <c r="L262"/>
  <c r="T10" i="120"/>
  <c r="P10" i="119"/>
  <c r="F7" i="67"/>
  <c r="K202" i="175"/>
  <c r="K25" i="161"/>
  <c r="E25" i="163"/>
  <c r="K676" i="175"/>
  <c r="O26" i="161"/>
  <c r="R9" i="71"/>
  <c r="F8" i="120"/>
  <c r="K658" i="175"/>
  <c r="N10" i="120"/>
  <c r="K677" i="175"/>
  <c r="B20" i="160"/>
  <c r="L43" i="175"/>
  <c r="T9" i="68"/>
  <c r="O24" i="146"/>
  <c r="G260" i="175"/>
  <c r="M200"/>
  <c r="O21" i="152"/>
  <c r="K255" i="175"/>
  <c r="H9" i="120"/>
  <c r="G133" i="175"/>
  <c r="F7" i="64"/>
  <c r="J9" i="68"/>
  <c r="L54" i="175"/>
  <c r="B26" i="161"/>
  <c r="W10" i="67"/>
  <c r="Q11" i="71"/>
  <c r="Q12" i="67"/>
  <c r="R10" i="119"/>
  <c r="S23" i="146"/>
  <c r="K675" i="175"/>
  <c r="S10" i="119"/>
  <c r="K392" i="175"/>
  <c r="H25" i="146"/>
  <c r="I199" i="175"/>
  <c r="J388"/>
  <c r="K25" i="163"/>
  <c r="M10" i="64"/>
  <c r="D10" i="67"/>
  <c r="P11" i="120"/>
  <c r="V9" i="71"/>
  <c r="V9" i="68"/>
  <c r="T11" i="119"/>
  <c r="K672" i="175"/>
  <c r="S22" i="148"/>
  <c r="M272" i="175"/>
  <c r="H10" i="120"/>
  <c r="H137" i="175"/>
  <c r="T11" i="140"/>
  <c r="J10" i="64"/>
  <c r="N9" i="68"/>
  <c r="M206" i="175"/>
  <c r="I700"/>
  <c r="K398"/>
  <c r="B24" i="147"/>
  <c r="K667" i="175"/>
  <c r="L131"/>
  <c r="L192"/>
  <c r="L265"/>
  <c r="K201"/>
  <c r="D9" i="71"/>
  <c r="J9"/>
  <c r="J710" i="175"/>
  <c r="K399"/>
  <c r="H11" i="119"/>
  <c r="L35" i="175"/>
  <c r="J689"/>
  <c r="U9" i="68"/>
  <c r="H20" i="160"/>
  <c r="L140" i="175"/>
  <c r="G194"/>
  <c r="S19" i="160"/>
  <c r="K22" i="147"/>
  <c r="L10" i="120"/>
  <c r="B10"/>
  <c r="U9" i="71"/>
  <c r="X5" i="140"/>
  <c r="C10"/>
  <c r="J10" i="120"/>
  <c r="L143" i="175"/>
  <c r="L175"/>
  <c r="K10" i="120"/>
  <c r="J10" i="67"/>
  <c r="N10"/>
  <c r="R10" i="140"/>
  <c r="O22" i="148"/>
  <c r="R9" i="120"/>
  <c r="L146" i="175"/>
  <c r="H22" i="148"/>
  <c r="K10" i="140"/>
  <c r="K25" i="146"/>
  <c r="L49" i="175"/>
  <c r="L56"/>
  <c r="M270"/>
  <c r="D10" i="140"/>
  <c r="X5" i="67"/>
  <c r="L9" i="68"/>
  <c r="H8"/>
  <c r="H23" i="147"/>
  <c r="G34" i="175"/>
  <c r="V10" i="64"/>
  <c r="J707" i="175"/>
  <c r="P9" i="68"/>
  <c r="K669" i="175"/>
  <c r="L10" i="67"/>
  <c r="M275" i="175"/>
  <c r="S9" i="68"/>
  <c r="Q11" i="119"/>
  <c r="D10" i="64"/>
  <c r="M273" i="175"/>
  <c r="M264"/>
  <c r="L11" i="119"/>
  <c r="L10" i="64"/>
  <c r="U11" i="119"/>
  <c r="L148" i="175"/>
  <c r="J709"/>
  <c r="M267"/>
  <c r="W9" i="68"/>
  <c r="H253" i="175"/>
  <c r="S10" i="140"/>
  <c r="K378" i="175"/>
  <c r="M10" i="67"/>
  <c r="E9" i="120"/>
  <c r="K203" i="175"/>
  <c r="I9" i="71"/>
  <c r="E10" i="119"/>
  <c r="L263" i="175"/>
  <c r="G38"/>
  <c r="L173"/>
  <c r="G258"/>
  <c r="H8" i="71"/>
  <c r="D11" i="119"/>
  <c r="J668" i="175"/>
  <c r="I10" i="64"/>
  <c r="G253" i="175"/>
  <c r="U10" i="140"/>
  <c r="G257" i="175"/>
  <c r="E22" i="152"/>
  <c r="L150" i="175"/>
  <c r="J10" i="140"/>
  <c r="K395" i="175"/>
  <c r="O20" i="152"/>
  <c r="M271" i="175"/>
  <c r="K10" i="119"/>
  <c r="K10" i="67"/>
  <c r="H257" i="175"/>
  <c r="F6" i="68"/>
  <c r="I10"/>
  <c r="K9"/>
  <c r="H42" i="175"/>
  <c r="G256"/>
  <c r="K679"/>
  <c r="I690"/>
  <c r="H26" i="163"/>
  <c r="C10" i="120"/>
  <c r="K396" i="175"/>
  <c r="B25" i="146"/>
  <c r="S10" i="120"/>
  <c r="E21" i="160"/>
  <c r="I699" i="175"/>
  <c r="G196"/>
  <c r="L772" l="1"/>
  <c r="AA24" i="56"/>
  <c r="AR24" s="1"/>
  <c r="L36" i="190"/>
  <c r="O473" i="175"/>
  <c r="K54" i="190"/>
  <c r="R20" i="152"/>
  <c r="AD20"/>
  <c r="G15" i="189"/>
  <c r="AZ154" i="118"/>
  <c r="AZ107"/>
  <c r="I638" i="175"/>
  <c r="K738"/>
  <c r="H15" i="189" s="1"/>
  <c r="AR22" i="163"/>
  <c r="J799" i="175"/>
  <c r="G76" i="189" s="1"/>
  <c r="AZ61" i="118"/>
  <c r="BA107"/>
  <c r="BA154"/>
  <c r="K737" i="175"/>
  <c r="H14" i="189" s="1"/>
  <c r="I637" i="175"/>
  <c r="AS21" i="149"/>
  <c r="BE150" i="118"/>
  <c r="BE103"/>
  <c r="BL244"/>
  <c r="BL9"/>
  <c r="BL56"/>
  <c r="D11" i="189"/>
  <c r="Q9" i="72"/>
  <c r="BH244" i="118"/>
  <c r="BH9"/>
  <c r="AA19" i="152"/>
  <c r="L20" i="49"/>
  <c r="BH56" i="118"/>
  <c r="N20" i="152"/>
  <c r="N22" i="147"/>
  <c r="D21" i="152"/>
  <c r="N21" i="148"/>
  <c r="N19" i="160"/>
  <c r="BD57" i="118"/>
  <c r="AB20" i="152"/>
  <c r="D23" i="147"/>
  <c r="X23" s="1"/>
  <c r="AB22"/>
  <c r="C22"/>
  <c r="D22" i="148"/>
  <c r="X22" s="1"/>
  <c r="C21"/>
  <c r="AB21"/>
  <c r="D20" i="160"/>
  <c r="AB19"/>
  <c r="AY107" i="118"/>
  <c r="AY154"/>
  <c r="AM15" i="142"/>
  <c r="BH104" i="118"/>
  <c r="BH151"/>
  <c r="G730" i="175"/>
  <c r="J798"/>
  <c r="G75" i="189" s="1"/>
  <c r="X20" i="152"/>
  <c r="AS108" i="118"/>
  <c r="AS155"/>
  <c r="BD105"/>
  <c r="BD152"/>
  <c r="AT62"/>
  <c r="AQ249"/>
  <c r="AP108"/>
  <c r="AP155"/>
  <c r="AS249"/>
  <c r="AQ108"/>
  <c r="AQ155"/>
  <c r="AR14"/>
  <c r="AT14"/>
  <c r="AQ14"/>
  <c r="BI150"/>
  <c r="BI103"/>
  <c r="AS14"/>
  <c r="BB154"/>
  <c r="BB107"/>
  <c r="BD10"/>
  <c r="BK108"/>
  <c r="BK155"/>
  <c r="BB61"/>
  <c r="AP14"/>
  <c r="AR108"/>
  <c r="AR155"/>
  <c r="AT249"/>
  <c r="BC61"/>
  <c r="AU155"/>
  <c r="AU108"/>
  <c r="AR249"/>
  <c r="AR62"/>
  <c r="BD245"/>
  <c r="AP249"/>
  <c r="AT108"/>
  <c r="AT155"/>
  <c r="J647" i="175"/>
  <c r="J644"/>
  <c r="L746"/>
  <c r="L747"/>
  <c r="K736"/>
  <c r="H13" i="189" s="1"/>
  <c r="L745" i="175"/>
  <c r="I636"/>
  <c r="L743"/>
  <c r="J648"/>
  <c r="J645"/>
  <c r="J646"/>
  <c r="L740"/>
  <c r="I17" i="189" s="1"/>
  <c r="L744" i="175"/>
  <c r="L748"/>
  <c r="H734"/>
  <c r="AR19" i="148"/>
  <c r="AS19" s="1"/>
  <c r="K806" i="175"/>
  <c r="H21" i="189"/>
  <c r="H20"/>
  <c r="AJ24" i="158"/>
  <c r="AJ23" i="163"/>
  <c r="AJ24" i="159"/>
  <c r="H22" i="189"/>
  <c r="K807" i="175"/>
  <c r="H24" i="189"/>
  <c r="K809" i="175"/>
  <c r="AJ20" i="148"/>
  <c r="H25" i="189"/>
  <c r="K810" i="175"/>
  <c r="H87" i="189" s="1"/>
  <c r="G85"/>
  <c r="H23"/>
  <c r="K808" i="175"/>
  <c r="H85" i="189" s="1"/>
  <c r="AG251" i="118"/>
  <c r="AG16"/>
  <c r="AG109"/>
  <c r="AG156"/>
  <c r="AG62"/>
  <c r="BG103"/>
  <c r="BG150"/>
  <c r="BG57"/>
  <c r="G726" i="175"/>
  <c r="AJ23" i="149"/>
  <c r="AR22"/>
  <c r="AS22" i="158"/>
  <c r="J24" i="146"/>
  <c r="J25" s="1"/>
  <c r="I22" i="147"/>
  <c r="X23" i="146"/>
  <c r="X21" i="148"/>
  <c r="AF21"/>
  <c r="I21"/>
  <c r="J21" i="152"/>
  <c r="AF21" s="1"/>
  <c r="V21" i="148"/>
  <c r="V23" i="146"/>
  <c r="I23"/>
  <c r="X24" i="149"/>
  <c r="G731" i="175"/>
  <c r="D8" i="189" s="1"/>
  <c r="AJ19" i="152"/>
  <c r="J728" i="175"/>
  <c r="J790" s="1"/>
  <c r="G67" i="189" s="1"/>
  <c r="AJ22" i="146"/>
  <c r="F24" i="149"/>
  <c r="AF22" i="147"/>
  <c r="X22"/>
  <c r="O25" i="167"/>
  <c r="R25" s="1"/>
  <c r="O25" i="150"/>
  <c r="R25" s="1"/>
  <c r="AC11" i="72"/>
  <c r="V22" i="147"/>
  <c r="AA21"/>
  <c r="AD24" i="149"/>
  <c r="S25" i="145"/>
  <c r="V25" s="1"/>
  <c r="O25" i="158"/>
  <c r="R25" s="1"/>
  <c r="S25" i="167"/>
  <c r="V25" s="1"/>
  <c r="AB10" i="72"/>
  <c r="V20" i="152"/>
  <c r="V19" i="160"/>
  <c r="AA20" i="148"/>
  <c r="O25" i="151"/>
  <c r="R25" s="1"/>
  <c r="S25" i="164"/>
  <c r="V25" s="1"/>
  <c r="AR20" i="147"/>
  <c r="J20" i="160"/>
  <c r="J21" s="1"/>
  <c r="X19"/>
  <c r="O25" i="168"/>
  <c r="R25" s="1"/>
  <c r="AW155" i="118"/>
  <c r="AW108"/>
  <c r="O25" i="155"/>
  <c r="R25" s="1"/>
  <c r="S25" i="143"/>
  <c r="V25" s="1"/>
  <c r="S25" i="155"/>
  <c r="V25" s="1"/>
  <c r="O25" i="144"/>
  <c r="R25" s="1"/>
  <c r="O25" i="153"/>
  <c r="R25" s="1"/>
  <c r="S25" i="150"/>
  <c r="V25" s="1"/>
  <c r="S25" i="144"/>
  <c r="V25" s="1"/>
  <c r="S25" i="153"/>
  <c r="V25" s="1"/>
  <c r="O25" i="164"/>
  <c r="R25" s="1"/>
  <c r="S25" i="159"/>
  <c r="V25" s="1"/>
  <c r="O25" i="145"/>
  <c r="R25" s="1"/>
  <c r="BU23" i="164"/>
  <c r="BV23" s="1"/>
  <c r="S25" i="56"/>
  <c r="V25" s="1"/>
  <c r="BC108" i="118"/>
  <c r="BC155"/>
  <c r="AX108"/>
  <c r="AX155"/>
  <c r="AV107"/>
  <c r="AV154"/>
  <c r="BA62"/>
  <c r="G25" i="163"/>
  <c r="X25" s="1"/>
  <c r="S14" i="72"/>
  <c r="X14"/>
  <c r="BK249" i="118"/>
  <c r="BK14"/>
  <c r="R20" i="160"/>
  <c r="V22" i="148"/>
  <c r="R24" i="163"/>
  <c r="W16" i="72"/>
  <c r="R26" i="161"/>
  <c r="L741" i="175"/>
  <c r="D26" i="163"/>
  <c r="L727" i="175"/>
  <c r="V25" i="163"/>
  <c r="K742" i="175"/>
  <c r="BJ154" i="118"/>
  <c r="BJ107"/>
  <c r="BK61"/>
  <c r="BF150"/>
  <c r="BF103"/>
  <c r="BA108"/>
  <c r="BA155"/>
  <c r="G221" i="175"/>
  <c r="G732"/>
  <c r="G283"/>
  <c r="BJ61" i="118"/>
  <c r="BF57"/>
  <c r="N25" i="161"/>
  <c r="C25" i="146"/>
  <c r="N25"/>
  <c r="AW249" i="118"/>
  <c r="Y14" i="72"/>
  <c r="AW14" i="118"/>
  <c r="J636" i="175"/>
  <c r="BC249" i="118"/>
  <c r="T14" i="72"/>
  <c r="BC14" i="118"/>
  <c r="R21" i="152"/>
  <c r="R14" i="72"/>
  <c r="J635" i="175"/>
  <c r="V25" i="161"/>
  <c r="L34" i="190"/>
  <c r="O470" i="175"/>
  <c r="O471"/>
  <c r="AI388" i="118"/>
  <c r="J641" i="175"/>
  <c r="K728"/>
  <c r="R23" i="147"/>
  <c r="R22" i="148"/>
  <c r="G22" i="152"/>
  <c r="V23" i="147"/>
  <c r="AA14" i="72"/>
  <c r="I628" i="175"/>
  <c r="J26" i="163"/>
  <c r="J627" i="175"/>
  <c r="R24" i="146"/>
  <c r="Z14" i="72"/>
  <c r="AE14"/>
  <c r="L735" i="175"/>
  <c r="N25" i="163"/>
  <c r="AJ24" i="151"/>
  <c r="AR23" i="158"/>
  <c r="AR23" i="165"/>
  <c r="AK20" i="51"/>
  <c r="AB13" i="118"/>
  <c r="AV20" i="51"/>
  <c r="AX20" s="1"/>
  <c r="B13" i="72"/>
  <c r="D13" s="1"/>
  <c r="I13" s="1"/>
  <c r="H13" s="1"/>
  <c r="G13" s="1"/>
  <c r="F13" s="1"/>
  <c r="E13" s="1"/>
  <c r="AI20" i="137"/>
  <c r="AB64" i="118"/>
  <c r="D20" i="137"/>
  <c r="B27" i="145"/>
  <c r="B27" i="154"/>
  <c r="B27" i="144"/>
  <c r="B27" i="153"/>
  <c r="B27" i="168"/>
  <c r="B27" i="151"/>
  <c r="B27" i="166"/>
  <c r="B27" i="155"/>
  <c r="B27" i="162"/>
  <c r="B27" i="165"/>
  <c r="B27" i="167"/>
  <c r="B27" i="159"/>
  <c r="B27" i="149"/>
  <c r="B27" i="150"/>
  <c r="B27" i="158"/>
  <c r="B27" i="143"/>
  <c r="B27" i="164"/>
  <c r="B27" i="56"/>
  <c r="B27" i="171"/>
  <c r="I20" i="137"/>
  <c r="J20" s="1"/>
  <c r="AD25" i="165"/>
  <c r="J26" i="56"/>
  <c r="AF26" s="1"/>
  <c r="J26" i="168"/>
  <c r="AF26" s="1"/>
  <c r="AA24" i="167"/>
  <c r="AA24" i="161"/>
  <c r="G26" i="150"/>
  <c r="AD26" s="1"/>
  <c r="G26" i="159"/>
  <c r="AD26" s="1"/>
  <c r="G26" i="166"/>
  <c r="AD26" s="1"/>
  <c r="G26" i="167"/>
  <c r="AD26" s="1"/>
  <c r="G21" i="160"/>
  <c r="F20"/>
  <c r="AD20"/>
  <c r="X25" i="167"/>
  <c r="AB25"/>
  <c r="AB25" i="150"/>
  <c r="AJ25" s="1"/>
  <c r="X25"/>
  <c r="AJ24" i="145"/>
  <c r="D26" i="150"/>
  <c r="K26" s="1"/>
  <c r="N26" s="1"/>
  <c r="D26" i="166"/>
  <c r="J23" i="148"/>
  <c r="I22"/>
  <c r="AF22"/>
  <c r="AR23" i="150"/>
  <c r="AB250" i="118"/>
  <c r="X25" i="171"/>
  <c r="H22" i="51"/>
  <c r="I22" s="1"/>
  <c r="AS22" i="159"/>
  <c r="AD24" i="163"/>
  <c r="K797" i="175"/>
  <c r="H12" i="189"/>
  <c r="F67"/>
  <c r="AR23" i="154"/>
  <c r="H20" i="137"/>
  <c r="BD27" i="161" s="1"/>
  <c r="H27" i="144"/>
  <c r="H27" i="167"/>
  <c r="H27" i="154"/>
  <c r="H27" i="168"/>
  <c r="H27" i="151"/>
  <c r="H27" i="158"/>
  <c r="H27" i="166"/>
  <c r="H27" i="162"/>
  <c r="I27" s="1"/>
  <c r="H27" i="145"/>
  <c r="H27" i="165"/>
  <c r="H27" i="153"/>
  <c r="H27" i="159"/>
  <c r="H27" i="143"/>
  <c r="AB158" i="118"/>
  <c r="H27" i="164"/>
  <c r="H27" i="56"/>
  <c r="H27" i="171"/>
  <c r="H27" i="149"/>
  <c r="H27" i="155"/>
  <c r="H27" i="150"/>
  <c r="J26" i="149"/>
  <c r="AF26" s="1"/>
  <c r="J26" i="150"/>
  <c r="AF26" s="1"/>
  <c r="J26" i="153"/>
  <c r="AF26" s="1"/>
  <c r="BJ26" i="161"/>
  <c r="D26" s="1"/>
  <c r="BV26"/>
  <c r="J26" s="1"/>
  <c r="AR23" i="153"/>
  <c r="AJ24" i="165"/>
  <c r="AA26" i="162"/>
  <c r="AR23" i="145"/>
  <c r="G26" i="155"/>
  <c r="AD26" s="1"/>
  <c r="G26" i="153"/>
  <c r="AD26" s="1"/>
  <c r="O26" i="162"/>
  <c r="R26" s="1"/>
  <c r="AJ24" i="154"/>
  <c r="AS21" i="163"/>
  <c r="D26" i="164"/>
  <c r="K26" s="1"/>
  <c r="N26" s="1"/>
  <c r="C26" i="165"/>
  <c r="K26"/>
  <c r="N26" s="1"/>
  <c r="X25" i="158"/>
  <c r="AB25"/>
  <c r="AS23" i="155"/>
  <c r="AS22" i="153"/>
  <c r="AW387" i="118"/>
  <c r="BF387"/>
  <c r="BI387"/>
  <c r="AS387"/>
  <c r="AR387"/>
  <c r="AQ387"/>
  <c r="AE387" s="1"/>
  <c r="BC387"/>
  <c r="BH387"/>
  <c r="AY387"/>
  <c r="AX387"/>
  <c r="BD387"/>
  <c r="BB387"/>
  <c r="BE387"/>
  <c r="BA387"/>
  <c r="AT387"/>
  <c r="BG387"/>
  <c r="AZ387"/>
  <c r="BJ387"/>
  <c r="AV387"/>
  <c r="AU387"/>
  <c r="AA24" i="158"/>
  <c r="AB111" i="118"/>
  <c r="E27" i="165"/>
  <c r="E27" i="144"/>
  <c r="E27" i="154"/>
  <c r="E27" i="167"/>
  <c r="E27" i="162"/>
  <c r="E27" i="149"/>
  <c r="E27" i="151"/>
  <c r="F20" i="137"/>
  <c r="BC27" i="161" s="1"/>
  <c r="BP27" s="1"/>
  <c r="G27" s="1"/>
  <c r="E27" i="145"/>
  <c r="E27" i="153"/>
  <c r="E27" i="166"/>
  <c r="E27" i="158"/>
  <c r="E27" i="150"/>
  <c r="E27" i="155"/>
  <c r="E27" i="168"/>
  <c r="E27" i="159"/>
  <c r="E27" i="56"/>
  <c r="E27" i="164"/>
  <c r="E27" i="171"/>
  <c r="E27" i="143"/>
  <c r="AR23" i="168"/>
  <c r="AJ24"/>
  <c r="AR23" i="164"/>
  <c r="J26"/>
  <c r="AF26" s="1"/>
  <c r="J26" i="155"/>
  <c r="AF26" s="1"/>
  <c r="S26" i="162"/>
  <c r="V26" s="1"/>
  <c r="J26" i="154"/>
  <c r="AF26" s="1"/>
  <c r="J26" i="166"/>
  <c r="AF26" s="1"/>
  <c r="AS22" i="168"/>
  <c r="X25" i="56"/>
  <c r="AA25" s="1"/>
  <c r="AB25"/>
  <c r="AJ25" s="1"/>
  <c r="X27" i="162"/>
  <c r="AB27"/>
  <c r="X17" i="49"/>
  <c r="G21" i="51"/>
  <c r="AC25" i="151"/>
  <c r="X25"/>
  <c r="AJ26" i="162"/>
  <c r="AJ24" i="153"/>
  <c r="AJ24" i="161"/>
  <c r="AS22" i="56"/>
  <c r="BM25" i="164"/>
  <c r="BP25"/>
  <c r="BT25"/>
  <c r="BK26"/>
  <c r="BL26" s="1"/>
  <c r="G26"/>
  <c r="AD26" s="1"/>
  <c r="G26" i="56"/>
  <c r="AD26" s="1"/>
  <c r="G26" i="145"/>
  <c r="AD26" s="1"/>
  <c r="BC26" i="149"/>
  <c r="BB26"/>
  <c r="G26" i="144"/>
  <c r="AD26" s="1"/>
  <c r="T20" i="49"/>
  <c r="U19"/>
  <c r="X25" i="168"/>
  <c r="AB25"/>
  <c r="C21" i="137"/>
  <c r="G21"/>
  <c r="E21"/>
  <c r="D26" i="155"/>
  <c r="D26" i="143"/>
  <c r="K26" s="1"/>
  <c r="D26" i="168"/>
  <c r="D26" i="144"/>
  <c r="K26" s="1"/>
  <c r="D26" i="145"/>
  <c r="K26" s="1"/>
  <c r="N26" s="1"/>
  <c r="BN24" i="164"/>
  <c r="BQ24" s="1"/>
  <c r="BR24" s="1"/>
  <c r="AE24" s="1"/>
  <c r="N501" i="175"/>
  <c r="K51" i="190"/>
  <c r="H18" i="189"/>
  <c r="K803" i="175"/>
  <c r="AF25" i="163"/>
  <c r="AS22" i="150"/>
  <c r="AJ25" i="171"/>
  <c r="O25" i="165"/>
  <c r="R25" s="1"/>
  <c r="K25" i="167"/>
  <c r="N25" s="1"/>
  <c r="X24" i="163"/>
  <c r="K25" i="171"/>
  <c r="N25" s="1"/>
  <c r="O25" i="56"/>
  <c r="R25" s="1"/>
  <c r="S25" i="168"/>
  <c r="V25" s="1"/>
  <c r="K25" i="158"/>
  <c r="N25" s="1"/>
  <c r="S25" i="154"/>
  <c r="V25" s="1"/>
  <c r="X25" i="153"/>
  <c r="AB25"/>
  <c r="J26" i="171"/>
  <c r="AF26" s="1"/>
  <c r="J26" i="151"/>
  <c r="AF26" s="1"/>
  <c r="J26" i="145"/>
  <c r="AF26" s="1"/>
  <c r="AB25" i="166"/>
  <c r="X25"/>
  <c r="X25" i="159"/>
  <c r="AB25"/>
  <c r="AB25" i="161"/>
  <c r="C25"/>
  <c r="X25"/>
  <c r="AD27" i="162"/>
  <c r="X25" i="155"/>
  <c r="AA25" s="1"/>
  <c r="AB25"/>
  <c r="AJ25" s="1"/>
  <c r="AS22" i="164"/>
  <c r="AD26" i="161"/>
  <c r="F26"/>
  <c r="AA24" i="154"/>
  <c r="AA24" i="150"/>
  <c r="AS22" i="167"/>
  <c r="D26" i="158"/>
  <c r="K26" s="1"/>
  <c r="N26" s="1"/>
  <c r="D26" i="154"/>
  <c r="K26" s="1"/>
  <c r="N26" s="1"/>
  <c r="AA24" i="166"/>
  <c r="AD21" i="152"/>
  <c r="AA24" i="159"/>
  <c r="AS22" i="151"/>
  <c r="AA24" i="168"/>
  <c r="J26" i="158"/>
  <c r="AF26" s="1"/>
  <c r="AR23" i="161"/>
  <c r="AS22" i="166"/>
  <c r="I25" i="161"/>
  <c r="AF25"/>
  <c r="AM27" i="162"/>
  <c r="AS22" i="154"/>
  <c r="AJ23" i="146"/>
  <c r="AB25" i="164"/>
  <c r="G26" i="171"/>
  <c r="AD26" s="1"/>
  <c r="G26" i="165"/>
  <c r="O26" s="1"/>
  <c r="R26" s="1"/>
  <c r="CC28" i="162"/>
  <c r="D28" s="1"/>
  <c r="CE28"/>
  <c r="J28" s="1"/>
  <c r="CD28"/>
  <c r="G28" s="1"/>
  <c r="CG28"/>
  <c r="AL28" s="1"/>
  <c r="F23" i="147"/>
  <c r="G24"/>
  <c r="AD23"/>
  <c r="D26" i="149"/>
  <c r="K26" s="1"/>
  <c r="N26" s="1"/>
  <c r="D26" i="56"/>
  <c r="K26" s="1"/>
  <c r="N26" s="1"/>
  <c r="D26" i="167"/>
  <c r="F22" i="148"/>
  <c r="G23"/>
  <c r="AD22"/>
  <c r="AS23" i="171"/>
  <c r="J24" i="147"/>
  <c r="I23"/>
  <c r="AF23"/>
  <c r="AB25" i="149"/>
  <c r="M19" i="49"/>
  <c r="Z19"/>
  <c r="J20"/>
  <c r="H4" i="189"/>
  <c r="K789" i="175"/>
  <c r="H66" i="189" s="1"/>
  <c r="AA24" i="151"/>
  <c r="AZ21" i="51"/>
  <c r="AW21"/>
  <c r="J21"/>
  <c r="AA24" i="155"/>
  <c r="AR23" i="166"/>
  <c r="AS21" i="146"/>
  <c r="J26" i="143"/>
  <c r="AF26" s="1"/>
  <c r="J26" i="159"/>
  <c r="AF26" s="1"/>
  <c r="BK26" i="165"/>
  <c r="I26"/>
  <c r="S26"/>
  <c r="V26" s="1"/>
  <c r="J26" i="144"/>
  <c r="AF26" s="1"/>
  <c r="J26" i="167"/>
  <c r="AF26" s="1"/>
  <c r="AS22" i="161"/>
  <c r="AB25" i="145"/>
  <c r="X25"/>
  <c r="AR23" i="159"/>
  <c r="AF27" i="162"/>
  <c r="F24" i="146"/>
  <c r="AD24"/>
  <c r="G25"/>
  <c r="AA24" i="153"/>
  <c r="AJ24" i="167"/>
  <c r="G26" i="158"/>
  <c r="AD26" s="1"/>
  <c r="G26" i="143"/>
  <c r="AD26" s="1"/>
  <c r="G26" i="168"/>
  <c r="AD26" s="1"/>
  <c r="G26" i="151"/>
  <c r="AD26" s="1"/>
  <c r="G26" i="154"/>
  <c r="AD26" s="1"/>
  <c r="Z25" i="171"/>
  <c r="W18" i="49"/>
  <c r="AB344" i="118"/>
  <c r="AD344" s="1"/>
  <c r="AA24" i="145"/>
  <c r="C22" i="13"/>
  <c r="AL29" i="171"/>
  <c r="AM29" s="1"/>
  <c r="D23" i="13"/>
  <c r="CB29" i="162"/>
  <c r="AR23" i="167"/>
  <c r="AR23" i="151"/>
  <c r="D26" i="171"/>
  <c r="AB26" s="1"/>
  <c r="D26" i="159"/>
  <c r="K26" s="1"/>
  <c r="N26" s="1"/>
  <c r="K26" i="162"/>
  <c r="N26" s="1"/>
  <c r="D26" i="153"/>
  <c r="K26" s="1"/>
  <c r="N26" s="1"/>
  <c r="D26" i="151"/>
  <c r="AJ24" i="166"/>
  <c r="AS22" i="165"/>
  <c r="AS22" i="145"/>
  <c r="AR25" i="162"/>
  <c r="AB25" i="154"/>
  <c r="X25"/>
  <c r="AS24" i="162"/>
  <c r="AB25" i="163"/>
  <c r="G19" i="189"/>
  <c r="K25" i="153"/>
  <c r="N25" s="1"/>
  <c r="K25" i="159"/>
  <c r="N25" s="1"/>
  <c r="K25" i="150"/>
  <c r="N25" s="1"/>
  <c r="K20" i="49"/>
  <c r="S25" i="151"/>
  <c r="V25" s="1"/>
  <c r="BD25" i="149"/>
  <c r="G25" s="1"/>
  <c r="X25" s="1"/>
  <c r="O25" i="166"/>
  <c r="R25" s="1"/>
  <c r="O25" i="171"/>
  <c r="R25" s="1"/>
  <c r="K25" i="56"/>
  <c r="N25" s="1"/>
  <c r="I26" i="162"/>
  <c r="S25" i="171"/>
  <c r="V25" s="1"/>
  <c r="K25" i="155"/>
  <c r="N25" s="1"/>
  <c r="S25" i="166"/>
  <c r="V25" s="1"/>
  <c r="K25" i="144"/>
  <c r="K25" i="168"/>
  <c r="N25" s="1"/>
  <c r="S25" i="158"/>
  <c r="V25" s="1"/>
  <c r="O25" i="159"/>
  <c r="R25" s="1"/>
  <c r="S25" i="149"/>
  <c r="V25" s="1"/>
  <c r="O25" i="154"/>
  <c r="R25" s="1"/>
  <c r="O25" i="143"/>
  <c r="R25" s="1"/>
  <c r="M12" i="119"/>
  <c r="K707" i="175"/>
  <c r="R10" i="67"/>
  <c r="M172" i="175"/>
  <c r="S26" i="163"/>
  <c r="K10" i="68"/>
  <c r="M43" i="175"/>
  <c r="M150"/>
  <c r="X6" i="64"/>
  <c r="H191" i="175"/>
  <c r="N212"/>
  <c r="F9" i="140"/>
  <c r="L658" i="175"/>
  <c r="N274"/>
  <c r="X6" i="120"/>
  <c r="M254" i="175"/>
  <c r="L201"/>
  <c r="H10" i="67"/>
  <c r="K20" i="160"/>
  <c r="M11" i="67"/>
  <c r="M35" i="175"/>
  <c r="L399"/>
  <c r="G696"/>
  <c r="J690"/>
  <c r="Q12" i="120"/>
  <c r="N210" i="175"/>
  <c r="H24" i="147"/>
  <c r="K659" i="175"/>
  <c r="G381"/>
  <c r="U11" i="140"/>
  <c r="E9" i="68"/>
  <c r="M10" i="71"/>
  <c r="X7" i="120"/>
  <c r="S11"/>
  <c r="L45" i="175"/>
  <c r="N10" i="71"/>
  <c r="L202" i="175"/>
  <c r="S24" i="146"/>
  <c r="I137" i="175"/>
  <c r="G661"/>
  <c r="L676"/>
  <c r="V10" i="71"/>
  <c r="I11" i="140"/>
  <c r="I11" i="67"/>
  <c r="J199" i="175"/>
  <c r="J10" i="68"/>
  <c r="L11" i="140"/>
  <c r="N271" i="175"/>
  <c r="B25" i="147"/>
  <c r="G136" i="175"/>
  <c r="W11" i="64"/>
  <c r="B26" i="146"/>
  <c r="I195" i="175"/>
  <c r="N11" i="64"/>
  <c r="H10"/>
  <c r="M56" i="175"/>
  <c r="Q13" i="67"/>
  <c r="N209" i="175"/>
  <c r="B22" i="152"/>
  <c r="J700" i="175"/>
  <c r="V11" i="67"/>
  <c r="L397" i="175"/>
  <c r="F8" i="119"/>
  <c r="H21" i="160"/>
  <c r="I11" i="120"/>
  <c r="K706" i="175"/>
  <c r="W11" i="120"/>
  <c r="M147" i="175"/>
  <c r="T12" i="140"/>
  <c r="M265" i="175"/>
  <c r="J11" i="140"/>
  <c r="M143" i="175"/>
  <c r="S20" i="160"/>
  <c r="H129" i="175"/>
  <c r="O6" i="120"/>
  <c r="X6" i="119"/>
  <c r="W11"/>
  <c r="M11"/>
  <c r="F8" i="64"/>
  <c r="N275" i="175"/>
  <c r="S25" i="146"/>
  <c r="K11" i="120"/>
  <c r="O25" i="146"/>
  <c r="I10" i="71"/>
  <c r="D11" i="64"/>
  <c r="M262" i="175"/>
  <c r="K11" i="140"/>
  <c r="W10" i="68"/>
  <c r="U10" i="71"/>
  <c r="R11" i="119"/>
  <c r="Q12"/>
  <c r="O5" i="64"/>
  <c r="L236" i="175"/>
  <c r="F9" i="64"/>
  <c r="M144" i="175"/>
  <c r="L207"/>
  <c r="M138"/>
  <c r="H25" i="147"/>
  <c r="E27" i="161"/>
  <c r="N10" i="68"/>
  <c r="H194" i="175"/>
  <c r="X5" i="71"/>
  <c r="G380" i="175"/>
  <c r="M11" i="140"/>
  <c r="N11" i="119"/>
  <c r="P11" i="67"/>
  <c r="E8" i="68"/>
  <c r="L678" i="175"/>
  <c r="G6" i="71"/>
  <c r="P11" i="119"/>
  <c r="H11" i="67"/>
  <c r="G657" i="175"/>
  <c r="G7" i="64"/>
  <c r="I253" i="175"/>
  <c r="G382"/>
  <c r="K10" i="71"/>
  <c r="M130" i="175"/>
  <c r="H9" i="68"/>
  <c r="K689" i="175"/>
  <c r="R11" i="140"/>
  <c r="R9" i="68"/>
  <c r="P12" i="120"/>
  <c r="J699" i="175"/>
  <c r="K379"/>
  <c r="D10" i="68"/>
  <c r="H34" i="175"/>
  <c r="I134"/>
  <c r="I191"/>
  <c r="Q12" i="140"/>
  <c r="H22" i="152"/>
  <c r="L193" i="175"/>
  <c r="P440"/>
  <c r="D10" i="71"/>
  <c r="S26" i="161"/>
  <c r="G40" i="175"/>
  <c r="H197"/>
  <c r="M145"/>
  <c r="S12" i="119"/>
  <c r="K389" i="175"/>
  <c r="V11" i="64"/>
  <c r="M11"/>
  <c r="L679" i="175"/>
  <c r="D12" i="119"/>
  <c r="V11"/>
  <c r="O24" i="147"/>
  <c r="J11" i="120"/>
  <c r="M175" i="175"/>
  <c r="T12" i="120"/>
  <c r="K11" i="64"/>
  <c r="N11" i="120"/>
  <c r="F9" i="67"/>
  <c r="O21" i="160"/>
  <c r="K709" i="175"/>
  <c r="M53"/>
  <c r="L235"/>
  <c r="I257"/>
  <c r="H381"/>
  <c r="B21" i="160"/>
  <c r="E9" i="64"/>
  <c r="M55" i="175"/>
  <c r="P442"/>
  <c r="L204"/>
  <c r="K11" i="67"/>
  <c r="G7" i="119"/>
  <c r="B23" i="148"/>
  <c r="I42" i="175"/>
  <c r="P11" i="64"/>
  <c r="E23" i="152"/>
  <c r="Q14" i="69"/>
  <c r="N273" i="175"/>
  <c r="M151"/>
  <c r="O27" i="161"/>
  <c r="H11" i="140"/>
  <c r="K12" i="119"/>
  <c r="D11" i="140"/>
  <c r="S23" i="148"/>
  <c r="L398" i="175"/>
  <c r="J10" i="71"/>
  <c r="E24" i="148"/>
  <c r="M140" i="175"/>
  <c r="Q12" i="68"/>
  <c r="X6" i="140"/>
  <c r="M139" i="175"/>
  <c r="K387"/>
  <c r="K26" i="146"/>
  <c r="M49" i="175"/>
  <c r="N208"/>
  <c r="M146"/>
  <c r="K388"/>
  <c r="I11" i="64"/>
  <c r="G383" i="175"/>
  <c r="E9" i="67"/>
  <c r="H27" i="161"/>
  <c r="H665" i="175"/>
  <c r="L378"/>
  <c r="M44"/>
  <c r="B11" i="120"/>
  <c r="R10" i="64"/>
  <c r="J261" i="175"/>
  <c r="J11" i="64"/>
  <c r="U11" i="67"/>
  <c r="O5" i="119"/>
  <c r="M10" i="68"/>
  <c r="M131" i="175"/>
  <c r="Q12" i="71"/>
  <c r="N264" i="175"/>
  <c r="H38"/>
  <c r="P10" i="71"/>
  <c r="F8" i="67"/>
  <c r="M52" i="175"/>
  <c r="K703"/>
  <c r="L395"/>
  <c r="E9" i="140"/>
  <c r="M173" i="175"/>
  <c r="V11" i="140"/>
  <c r="V11" i="120"/>
  <c r="M269" i="175"/>
  <c r="L677"/>
  <c r="J42"/>
  <c r="K26" i="163"/>
  <c r="K36" i="175"/>
  <c r="M266"/>
  <c r="L386"/>
  <c r="N11" i="140"/>
  <c r="L675" i="175"/>
  <c r="E22" i="160"/>
  <c r="Q13" i="64"/>
  <c r="L11" i="120"/>
  <c r="N12" i="119"/>
  <c r="M263" i="175"/>
  <c r="P11" i="140"/>
  <c r="I261" i="175"/>
  <c r="M45"/>
  <c r="I135"/>
  <c r="L392"/>
  <c r="T11" i="120"/>
  <c r="O5" i="140"/>
  <c r="G7" i="67"/>
  <c r="D11" i="120"/>
  <c r="K22" i="148"/>
  <c r="J11" i="67"/>
  <c r="N211" i="175"/>
  <c r="O5" i="67"/>
  <c r="K26" i="161"/>
  <c r="S11" i="140"/>
  <c r="S21" i="160"/>
  <c r="C11" i="140"/>
  <c r="G37" i="175"/>
  <c r="L234"/>
  <c r="K697"/>
  <c r="R11" i="64"/>
  <c r="H385" i="175"/>
  <c r="L10" i="68"/>
  <c r="L12" i="119"/>
  <c r="N267" i="175"/>
  <c r="N272"/>
  <c r="C11" i="120"/>
  <c r="H26" i="146"/>
  <c r="M148" i="175"/>
  <c r="U11" i="64"/>
  <c r="D11" i="67"/>
  <c r="R10" i="120"/>
  <c r="F9"/>
  <c r="O23" i="148"/>
  <c r="H133" i="175"/>
  <c r="X6" i="67"/>
  <c r="H198" i="175"/>
  <c r="B27" i="163"/>
  <c r="T10" i="68"/>
  <c r="U11" i="120"/>
  <c r="K710" i="175"/>
  <c r="M174"/>
  <c r="L11" i="64"/>
  <c r="N11" i="67"/>
  <c r="G39" i="175"/>
  <c r="L11" i="67"/>
  <c r="F8" i="140"/>
  <c r="G377" i="175"/>
  <c r="M54"/>
  <c r="O22" i="152"/>
  <c r="H27" i="163"/>
  <c r="S21" i="152"/>
  <c r="B27" i="161"/>
  <c r="L203" i="175"/>
  <c r="M141"/>
  <c r="M192"/>
  <c r="N205"/>
  <c r="N206"/>
  <c r="K11" i="119"/>
  <c r="L396" i="175"/>
  <c r="V10" i="68"/>
  <c r="K21" i="152"/>
  <c r="G41" i="175"/>
  <c r="L666"/>
  <c r="W11" i="140"/>
  <c r="G7"/>
  <c r="U10" i="68"/>
  <c r="O25" i="163"/>
  <c r="N268" i="175"/>
  <c r="N200"/>
  <c r="N270"/>
  <c r="H12" i="119"/>
  <c r="E10" i="120"/>
  <c r="N213" i="175"/>
  <c r="H196"/>
  <c r="W11" i="67"/>
  <c r="W10" i="71"/>
  <c r="I12" i="119"/>
  <c r="G8" i="67"/>
  <c r="S24" i="147"/>
  <c r="G8" i="64"/>
  <c r="K23" i="147"/>
  <c r="E11" i="119"/>
  <c r="G6" i="68"/>
  <c r="T12" i="119"/>
  <c r="E26" i="146"/>
  <c r="L672" i="175"/>
  <c r="H23" i="148"/>
  <c r="G8" i="120"/>
  <c r="K708" i="175"/>
  <c r="E25" i="147"/>
  <c r="J379" i="175"/>
  <c r="I11" i="119"/>
  <c r="R11" i="67"/>
  <c r="G8" i="140"/>
  <c r="M11" i="120"/>
  <c r="M149" i="175"/>
  <c r="X5" i="68"/>
  <c r="E26" i="163"/>
  <c r="L44" i="175"/>
  <c r="L10" i="71"/>
  <c r="G132" i="175"/>
  <c r="B11" i="140"/>
  <c r="P10" i="68"/>
  <c r="F7" i="71"/>
  <c r="I11" i="68"/>
  <c r="H11" i="64"/>
  <c r="M772" i="175" l="1"/>
  <c r="J49" i="189" s="1"/>
  <c r="I49"/>
  <c r="AR22" i="146"/>
  <c r="AS22" s="1"/>
  <c r="AA23"/>
  <c r="AR23" s="1"/>
  <c r="M36" i="190"/>
  <c r="AS36" s="1"/>
  <c r="P473" i="175"/>
  <c r="AV473" s="1"/>
  <c r="AV442"/>
  <c r="L54" i="190"/>
  <c r="K800" i="175"/>
  <c r="H77" i="189" s="1"/>
  <c r="BL104" i="118"/>
  <c r="BL151"/>
  <c r="AZ155"/>
  <c r="AZ108"/>
  <c r="L738" i="175"/>
  <c r="I15" i="189" s="1"/>
  <c r="J638" i="175"/>
  <c r="AS22" i="163"/>
  <c r="K799" i="175"/>
  <c r="H76" i="189" s="1"/>
  <c r="L21" i="49"/>
  <c r="K21"/>
  <c r="L769" i="175"/>
  <c r="I46" i="189" s="1"/>
  <c r="BA14" i="118"/>
  <c r="BA249"/>
  <c r="L737" i="175"/>
  <c r="L799" s="1"/>
  <c r="J637"/>
  <c r="AS22" i="149"/>
  <c r="AR23"/>
  <c r="BE9" i="118"/>
  <c r="BE151"/>
  <c r="BE104"/>
  <c r="BE244"/>
  <c r="BE56"/>
  <c r="G733" i="175"/>
  <c r="AJ19" i="160"/>
  <c r="BL57" i="118"/>
  <c r="BL245"/>
  <c r="BL10"/>
  <c r="H726" i="175"/>
  <c r="E3" i="189" s="1"/>
  <c r="AJ20" i="152"/>
  <c r="BD58" i="118"/>
  <c r="BH57"/>
  <c r="N20" i="160"/>
  <c r="G159" i="175"/>
  <c r="G729"/>
  <c r="G791" s="1"/>
  <c r="D68" i="189" s="1"/>
  <c r="H730" i="175"/>
  <c r="E7" i="189" s="1"/>
  <c r="BI56" i="118"/>
  <c r="N22" i="148"/>
  <c r="D22" i="152"/>
  <c r="J22"/>
  <c r="AF22" s="1"/>
  <c r="N23" i="147"/>
  <c r="N21" i="152"/>
  <c r="D21" i="160"/>
  <c r="X21" s="1"/>
  <c r="C20"/>
  <c r="AB20"/>
  <c r="D23" i="148"/>
  <c r="X23" s="1"/>
  <c r="AB22"/>
  <c r="AJ22" s="1"/>
  <c r="C22"/>
  <c r="AB23" i="147"/>
  <c r="AJ23" s="1"/>
  <c r="D24"/>
  <c r="X24" s="1"/>
  <c r="C23"/>
  <c r="AB21" i="152"/>
  <c r="AY155" i="118"/>
  <c r="AY108"/>
  <c r="AM16" i="142"/>
  <c r="BH105" i="118"/>
  <c r="BH152"/>
  <c r="BH245"/>
  <c r="BH10"/>
  <c r="D7" i="189"/>
  <c r="G792" i="175"/>
  <c r="D69" i="189" s="1"/>
  <c r="Q10" i="72"/>
  <c r="K798" i="175"/>
  <c r="H75" i="189" s="1"/>
  <c r="AA20" i="152"/>
  <c r="AQ250" i="118"/>
  <c r="AP250"/>
  <c r="BA15"/>
  <c r="AR15"/>
  <c r="BI9"/>
  <c r="BD246"/>
  <c r="BD11"/>
  <c r="AQ62"/>
  <c r="BD12"/>
  <c r="AQ63"/>
  <c r="AS109"/>
  <c r="AS156"/>
  <c r="AT250"/>
  <c r="AS250"/>
  <c r="BC62"/>
  <c r="AP156"/>
  <c r="AP109"/>
  <c r="AP63"/>
  <c r="AP15"/>
  <c r="AS15"/>
  <c r="AT109"/>
  <c r="AT156"/>
  <c r="BD153"/>
  <c r="BD106"/>
  <c r="AQ156"/>
  <c r="AQ109"/>
  <c r="BB155"/>
  <c r="BB108"/>
  <c r="AS62"/>
  <c r="AQ15"/>
  <c r="AP62"/>
  <c r="BI151"/>
  <c r="BI104"/>
  <c r="BK156"/>
  <c r="BK109"/>
  <c r="AT15"/>
  <c r="AR250"/>
  <c r="BD247"/>
  <c r="BI244"/>
  <c r="AW62"/>
  <c r="BB14"/>
  <c r="AT63"/>
  <c r="AR109"/>
  <c r="AR156"/>
  <c r="BB249"/>
  <c r="BA250"/>
  <c r="AU156"/>
  <c r="AU109"/>
  <c r="K648" i="175"/>
  <c r="M745"/>
  <c r="M744"/>
  <c r="M740"/>
  <c r="J17" i="189" s="1"/>
  <c r="M743" i="175"/>
  <c r="K645"/>
  <c r="L252"/>
  <c r="M748"/>
  <c r="L736"/>
  <c r="L798" s="1"/>
  <c r="K646"/>
  <c r="K644"/>
  <c r="K647"/>
  <c r="M746"/>
  <c r="G634"/>
  <c r="M747"/>
  <c r="I734"/>
  <c r="AA22" i="148"/>
  <c r="I23" i="189"/>
  <c r="L808" i="175"/>
  <c r="AJ24" i="164"/>
  <c r="AJ22" i="147"/>
  <c r="I20" i="189"/>
  <c r="AJ25" i="159"/>
  <c r="AJ24" i="163"/>
  <c r="H83" i="189"/>
  <c r="I25"/>
  <c r="L810" i="175"/>
  <c r="AA21" i="148"/>
  <c r="H86" i="189"/>
  <c r="E11"/>
  <c r="H796" i="175"/>
  <c r="E73" i="189" s="1"/>
  <c r="L806" i="175"/>
  <c r="I21" i="189"/>
  <c r="I24"/>
  <c r="L809" i="175"/>
  <c r="AJ25" i="158"/>
  <c r="AJ21" i="148"/>
  <c r="H84" i="189"/>
  <c r="I22"/>
  <c r="L807" i="175"/>
  <c r="AR23" i="163"/>
  <c r="AG157" i="118"/>
  <c r="AG110"/>
  <c r="AG252"/>
  <c r="AG63"/>
  <c r="AG17"/>
  <c r="AD103"/>
  <c r="X21" i="152"/>
  <c r="BG9" i="118"/>
  <c r="BG58"/>
  <c r="BG151"/>
  <c r="BG104"/>
  <c r="BG244"/>
  <c r="BL152"/>
  <c r="BL105"/>
  <c r="AJ24" i="149"/>
  <c r="AA24"/>
  <c r="D3" i="189"/>
  <c r="G788" i="175"/>
  <c r="D65" i="189" s="1"/>
  <c r="AR19" i="152"/>
  <c r="AD150" i="118"/>
  <c r="AS23" i="158"/>
  <c r="V24" i="146"/>
  <c r="I24"/>
  <c r="X24"/>
  <c r="AA24" s="1"/>
  <c r="AF24"/>
  <c r="AJ24" s="1"/>
  <c r="AD13" i="72"/>
  <c r="BJ248" i="118"/>
  <c r="BJ13"/>
  <c r="AB11" i="72"/>
  <c r="G5" i="189"/>
  <c r="V21" i="152"/>
  <c r="G793" i="175"/>
  <c r="D70" i="189" s="1"/>
  <c r="O26" i="154"/>
  <c r="R26" s="1"/>
  <c r="AC12" i="72"/>
  <c r="AA22" i="147"/>
  <c r="S26" i="144"/>
  <c r="V26" s="1"/>
  <c r="AR25" i="56"/>
  <c r="S26" i="145"/>
  <c r="V26" s="1"/>
  <c r="AR21" i="147"/>
  <c r="O26" i="153"/>
  <c r="R26" s="1"/>
  <c r="V20" i="160"/>
  <c r="AX109" i="118"/>
  <c r="AX156"/>
  <c r="BF9"/>
  <c r="BF244"/>
  <c r="G64" i="175"/>
  <c r="G127" s="1"/>
  <c r="O26" i="168"/>
  <c r="R26" s="1"/>
  <c r="AS23" i="159"/>
  <c r="I20" i="160"/>
  <c r="X20"/>
  <c r="BU24" i="164"/>
  <c r="BV24" s="1"/>
  <c r="X24" s="1"/>
  <c r="S26"/>
  <c r="V26" s="1"/>
  <c r="S26" i="149"/>
  <c r="V26" s="1"/>
  <c r="AA19" i="160"/>
  <c r="AS20" i="147"/>
  <c r="AR20" i="148"/>
  <c r="AJ26" i="171"/>
  <c r="AF20" i="160"/>
  <c r="O26" i="167"/>
  <c r="R26" s="1"/>
  <c r="AB12" i="72"/>
  <c r="O26" i="151"/>
  <c r="R26" s="1"/>
  <c r="S26" i="167"/>
  <c r="V26" s="1"/>
  <c r="S26" i="159"/>
  <c r="V26" s="1"/>
  <c r="S26" i="171"/>
  <c r="V26" s="1"/>
  <c r="O26" i="144"/>
  <c r="R26" s="1"/>
  <c r="S26" i="154"/>
  <c r="V26" s="1"/>
  <c r="S26" i="153"/>
  <c r="V26" s="1"/>
  <c r="S26" i="168"/>
  <c r="V26" s="1"/>
  <c r="O26" i="158"/>
  <c r="R26" s="1"/>
  <c r="O26" i="159"/>
  <c r="R26" s="1"/>
  <c r="BF58" i="118"/>
  <c r="BK157"/>
  <c r="BK110"/>
  <c r="BA63"/>
  <c r="H221" i="175"/>
  <c r="BJ155" i="118"/>
  <c r="BJ108"/>
  <c r="BB62"/>
  <c r="AZ62"/>
  <c r="AV155"/>
  <c r="AV108"/>
  <c r="K627" i="175"/>
  <c r="J628"/>
  <c r="BK15" i="118"/>
  <c r="X15" i="72"/>
  <c r="BK250" i="118"/>
  <c r="W17" i="72"/>
  <c r="R25" i="146"/>
  <c r="R24" i="147"/>
  <c r="AA15" i="72"/>
  <c r="V26" i="163"/>
  <c r="M741" i="175"/>
  <c r="K635"/>
  <c r="R23" i="148"/>
  <c r="G23" i="152"/>
  <c r="V21" i="160"/>
  <c r="M727" i="175"/>
  <c r="M735"/>
  <c r="Z15" i="72"/>
  <c r="N26" i="161"/>
  <c r="C26" i="146"/>
  <c r="N26"/>
  <c r="K641" i="175"/>
  <c r="S15" i="72"/>
  <c r="D27" i="163"/>
  <c r="R22" i="152"/>
  <c r="R25" i="163"/>
  <c r="AW156" i="118"/>
  <c r="AW109"/>
  <c r="BJ62"/>
  <c r="BC156"/>
  <c r="BC109"/>
  <c r="L742" i="175"/>
  <c r="BK62" i="118"/>
  <c r="BF104"/>
  <c r="BF151"/>
  <c r="AE15" i="72"/>
  <c r="R27" i="161"/>
  <c r="AC13" i="72"/>
  <c r="G26" i="163"/>
  <c r="X26" s="1"/>
  <c r="BB15" i="118"/>
  <c r="BB250"/>
  <c r="J27" i="163"/>
  <c r="AW15" i="118"/>
  <c r="Y15" i="72"/>
  <c r="AW250" i="118"/>
  <c r="V25" i="146"/>
  <c r="V24" i="147"/>
  <c r="P470" i="175"/>
  <c r="AV470" s="1"/>
  <c r="M34" i="190"/>
  <c r="AS34" s="1"/>
  <c r="P471" i="175"/>
  <c r="M52" i="190" s="1"/>
  <c r="AV440" i="175"/>
  <c r="AI389" i="118"/>
  <c r="BC15"/>
  <c r="BC250"/>
  <c r="T15" i="72"/>
  <c r="R15"/>
  <c r="V26" i="161"/>
  <c r="V23" i="148"/>
  <c r="R21" i="160"/>
  <c r="N26" i="163"/>
  <c r="AC26" i="151"/>
  <c r="X26"/>
  <c r="C23" i="13"/>
  <c r="D24"/>
  <c r="AL30" i="171"/>
  <c r="AM30" s="1"/>
  <c r="CB30" i="162"/>
  <c r="AR24" i="155"/>
  <c r="X28" i="162"/>
  <c r="AB28"/>
  <c r="AS23" i="161"/>
  <c r="AA25"/>
  <c r="AB26" i="168"/>
  <c r="X26"/>
  <c r="X26" i="155"/>
  <c r="AB26"/>
  <c r="AJ26" s="1"/>
  <c r="AJ25" i="168"/>
  <c r="T21" i="49"/>
  <c r="U20"/>
  <c r="AJ25" i="151"/>
  <c r="AA27" i="162"/>
  <c r="G27" i="150"/>
  <c r="AD27" s="1"/>
  <c r="AR24" i="158"/>
  <c r="AR26" i="162"/>
  <c r="J27" i="171"/>
  <c r="AF27" s="1"/>
  <c r="J27" i="151"/>
  <c r="AF27" s="1"/>
  <c r="D27" i="143"/>
  <c r="D27" i="155"/>
  <c r="K27" s="1"/>
  <c r="N27" s="1"/>
  <c r="AS23" i="165"/>
  <c r="L789" i="175"/>
  <c r="I4" i="189"/>
  <c r="CC29" i="162"/>
  <c r="D29" s="1"/>
  <c r="CE29"/>
  <c r="J29" s="1"/>
  <c r="CD29"/>
  <c r="G29" s="1"/>
  <c r="CG29"/>
  <c r="AL29" s="1"/>
  <c r="F25" i="146"/>
  <c r="AD25"/>
  <c r="G26"/>
  <c r="X25"/>
  <c r="AD24" i="147"/>
  <c r="F24"/>
  <c r="G25"/>
  <c r="AR24" i="168"/>
  <c r="D21" i="137"/>
  <c r="AI21"/>
  <c r="AB65" i="118"/>
  <c r="B28" i="167"/>
  <c r="B28" i="145"/>
  <c r="B28" i="158"/>
  <c r="B28" i="164"/>
  <c r="B28" i="153"/>
  <c r="B28" i="165"/>
  <c r="B28" i="144"/>
  <c r="B28" i="168"/>
  <c r="B28" i="154"/>
  <c r="B28" i="151"/>
  <c r="B28" i="162"/>
  <c r="C28" s="1"/>
  <c r="B28" i="166"/>
  <c r="B28" i="155"/>
  <c r="B28" i="56"/>
  <c r="B28" i="159"/>
  <c r="B28" i="149"/>
  <c r="B28" i="143"/>
  <c r="B28" i="150"/>
  <c r="B28" i="171"/>
  <c r="I21" i="137"/>
  <c r="J21" s="1"/>
  <c r="W19" i="49"/>
  <c r="Z26" i="171"/>
  <c r="AB345" i="118"/>
  <c r="AD345" s="1"/>
  <c r="AA25" i="151"/>
  <c r="BK27" i="164"/>
  <c r="BL27" s="1"/>
  <c r="G27"/>
  <c r="AD27" s="1"/>
  <c r="G27" i="155"/>
  <c r="AD27" s="1"/>
  <c r="BC27" i="149"/>
  <c r="BB27"/>
  <c r="G27" i="144"/>
  <c r="AD27" s="1"/>
  <c r="J27" i="158"/>
  <c r="AF27" s="1"/>
  <c r="AB26" i="166"/>
  <c r="X26"/>
  <c r="D27" i="164"/>
  <c r="K27" s="1"/>
  <c r="N27" s="1"/>
  <c r="D27" i="149"/>
  <c r="K27" i="162"/>
  <c r="N27" s="1"/>
  <c r="D27" i="168"/>
  <c r="K27" s="1"/>
  <c r="N27" s="1"/>
  <c r="D27" i="145"/>
  <c r="K27" s="1"/>
  <c r="N27" s="1"/>
  <c r="AF26" i="163"/>
  <c r="BI388" i="118"/>
  <c r="AU388"/>
  <c r="BD388"/>
  <c r="AZ388"/>
  <c r="AT388"/>
  <c r="AY388"/>
  <c r="BA388"/>
  <c r="AX388"/>
  <c r="AW388"/>
  <c r="AV388"/>
  <c r="BE388"/>
  <c r="BC388"/>
  <c r="BJ388"/>
  <c r="BB388"/>
  <c r="BK388"/>
  <c r="AR388"/>
  <c r="AE388" s="1"/>
  <c r="BG388"/>
  <c r="BH388"/>
  <c r="AS388"/>
  <c r="BF388"/>
  <c r="AD25" i="149"/>
  <c r="F25"/>
  <c r="O25"/>
  <c r="R25" s="1"/>
  <c r="AA25" i="163"/>
  <c r="AJ25" i="154"/>
  <c r="X26" i="159"/>
  <c r="AB26"/>
  <c r="AS23" i="167"/>
  <c r="C22" i="137"/>
  <c r="G22"/>
  <c r="E22"/>
  <c r="AS23" i="166"/>
  <c r="AR24" i="151"/>
  <c r="X26" i="171"/>
  <c r="AB251" i="118"/>
  <c r="H23" i="51"/>
  <c r="I23" s="1"/>
  <c r="G24" i="148"/>
  <c r="F23"/>
  <c r="AD23"/>
  <c r="AD28" i="162"/>
  <c r="AR24" i="159"/>
  <c r="J22" i="160"/>
  <c r="I21"/>
  <c r="AF21"/>
  <c r="AJ25" i="161"/>
  <c r="AJ25" i="166"/>
  <c r="AA25" i="153"/>
  <c r="H80" i="189"/>
  <c r="K69" i="190"/>
  <c r="H21" i="137"/>
  <c r="BD28" i="161" s="1"/>
  <c r="H28" i="154"/>
  <c r="H28" i="144"/>
  <c r="H28" i="159"/>
  <c r="H28" i="165"/>
  <c r="H28" i="153"/>
  <c r="H28" i="151"/>
  <c r="H28" i="162"/>
  <c r="I28" s="1"/>
  <c r="H28" i="166"/>
  <c r="H28" i="168"/>
  <c r="H28" i="145"/>
  <c r="H28" i="167"/>
  <c r="AB159" i="118"/>
  <c r="H28" i="150"/>
  <c r="H28" i="164"/>
  <c r="H28" i="143"/>
  <c r="H28" i="56"/>
  <c r="H28" i="158"/>
  <c r="H28" i="149"/>
  <c r="H28" i="171"/>
  <c r="H28" i="155"/>
  <c r="G27" i="171"/>
  <c r="AD27" s="1"/>
  <c r="G27" i="168"/>
  <c r="AD27" s="1"/>
  <c r="G27" i="166"/>
  <c r="AD27" s="1"/>
  <c r="G27" i="151"/>
  <c r="AD27" s="1"/>
  <c r="G27" i="154"/>
  <c r="AD27" s="1"/>
  <c r="AA25" i="158"/>
  <c r="AB26" i="164"/>
  <c r="AB26" i="161"/>
  <c r="C26"/>
  <c r="X26"/>
  <c r="J27" i="155"/>
  <c r="AF27" s="1"/>
  <c r="J27" i="164"/>
  <c r="AF27" s="1"/>
  <c r="J27" i="153"/>
  <c r="AF27" s="1"/>
  <c r="J27" i="166"/>
  <c r="AF27" s="1"/>
  <c r="J27" i="154"/>
  <c r="AF27" s="1"/>
  <c r="AS23"/>
  <c r="AW22" i="51"/>
  <c r="AZ22"/>
  <c r="J22"/>
  <c r="AA25" i="171" s="1"/>
  <c r="AR25" s="1"/>
  <c r="AA25" i="167"/>
  <c r="D27" i="56"/>
  <c r="D27" i="150"/>
  <c r="K27" s="1"/>
  <c r="N27" s="1"/>
  <c r="C27" i="165"/>
  <c r="K27"/>
  <c r="N27" s="1"/>
  <c r="D27" i="151"/>
  <c r="K27" s="1"/>
  <c r="N27" s="1"/>
  <c r="D27" i="154"/>
  <c r="I12" i="189"/>
  <c r="L797" i="175"/>
  <c r="AD22" i="152"/>
  <c r="O501" i="175"/>
  <c r="L69" i="190" s="1"/>
  <c r="L51"/>
  <c r="H19" i="189"/>
  <c r="AD25" i="163"/>
  <c r="K26" i="171"/>
  <c r="N26" s="1"/>
  <c r="K26" i="168"/>
  <c r="N26" s="1"/>
  <c r="K26" i="155"/>
  <c r="N26" s="1"/>
  <c r="AS23" i="150"/>
  <c r="O26" i="143"/>
  <c r="R26" s="1"/>
  <c r="S26"/>
  <c r="V26" s="1"/>
  <c r="S26" i="158"/>
  <c r="V26" s="1"/>
  <c r="S26" i="151"/>
  <c r="V26" s="1"/>
  <c r="O26" i="56"/>
  <c r="R26" s="1"/>
  <c r="O26" i="164"/>
  <c r="R26" s="1"/>
  <c r="O26" i="155"/>
  <c r="R26" s="1"/>
  <c r="S26" i="150"/>
  <c r="V26" s="1"/>
  <c r="K26" i="166"/>
  <c r="N26" s="1"/>
  <c r="S26" i="56"/>
  <c r="V26" s="1"/>
  <c r="AA25" i="145"/>
  <c r="Z20" i="49"/>
  <c r="M20"/>
  <c r="J21"/>
  <c r="X26" i="167"/>
  <c r="AB26"/>
  <c r="AA25" i="159"/>
  <c r="AS23" i="168"/>
  <c r="G27" i="56"/>
  <c r="AD27" s="1"/>
  <c r="G27" i="145"/>
  <c r="AD27" s="1"/>
  <c r="O27" i="162"/>
  <c r="R27" s="1"/>
  <c r="G27" i="165"/>
  <c r="AS23" i="153"/>
  <c r="J27" i="143"/>
  <c r="AF27" s="1"/>
  <c r="J27" i="145"/>
  <c r="AF27" s="1"/>
  <c r="J27" i="144"/>
  <c r="AF27" s="1"/>
  <c r="H74" i="189"/>
  <c r="D27" i="159"/>
  <c r="D27" i="153"/>
  <c r="K27" s="1"/>
  <c r="N27" s="1"/>
  <c r="K790" i="175"/>
  <c r="H5" i="189"/>
  <c r="AA23" i="147"/>
  <c r="AS25" i="162"/>
  <c r="X26" i="153"/>
  <c r="AB26"/>
  <c r="AR24" i="145"/>
  <c r="AA25" i="149"/>
  <c r="X26" i="56"/>
  <c r="AA26" s="1"/>
  <c r="AB26"/>
  <c r="AJ26" s="1"/>
  <c r="AF28" i="162"/>
  <c r="AD26" i="165"/>
  <c r="X26" i="154"/>
  <c r="AB26"/>
  <c r="AR24"/>
  <c r="AA24" i="163"/>
  <c r="AB26" i="145"/>
  <c r="X26"/>
  <c r="AS23" i="56"/>
  <c r="AS24" s="1"/>
  <c r="AJ27" i="162"/>
  <c r="G27" i="153"/>
  <c r="AD27" s="1"/>
  <c r="AS23" i="145"/>
  <c r="J27" i="149"/>
  <c r="AF27" s="1"/>
  <c r="BK27" i="165"/>
  <c r="I27"/>
  <c r="S27"/>
  <c r="V27" s="1"/>
  <c r="J27" i="167"/>
  <c r="AF27" s="1"/>
  <c r="AA25" i="150"/>
  <c r="AR24" i="161"/>
  <c r="AJ25" i="165"/>
  <c r="I18" i="189"/>
  <c r="L803" i="175"/>
  <c r="AA25" i="154"/>
  <c r="AS23" i="151"/>
  <c r="X18" i="49"/>
  <c r="G22" i="51"/>
  <c r="I25" i="146"/>
  <c r="J26"/>
  <c r="AF25"/>
  <c r="AR24" i="153"/>
  <c r="AJ25" i="145"/>
  <c r="AA24" i="171"/>
  <c r="I24" i="147"/>
  <c r="AF24"/>
  <c r="J25"/>
  <c r="AB26" i="149"/>
  <c r="AM28" i="162"/>
  <c r="AR24" i="166"/>
  <c r="X26" i="158"/>
  <c r="AB26"/>
  <c r="AR24" i="150"/>
  <c r="AA25" i="166"/>
  <c r="AJ25" i="153"/>
  <c r="AB112" i="118"/>
  <c r="E28" i="154"/>
  <c r="E28" i="165"/>
  <c r="E28" i="144"/>
  <c r="E28" i="167"/>
  <c r="E28" i="162"/>
  <c r="E28" i="151"/>
  <c r="E28" i="149"/>
  <c r="F21" i="137"/>
  <c r="BC28" i="161" s="1"/>
  <c r="BP28" s="1"/>
  <c r="G28" s="1"/>
  <c r="E28" i="166"/>
  <c r="E28" i="153"/>
  <c r="E28" i="168"/>
  <c r="E28" i="171"/>
  <c r="E28" i="155"/>
  <c r="E28" i="150"/>
  <c r="E28" i="145"/>
  <c r="E28" i="143"/>
  <c r="E28" i="159"/>
  <c r="E28" i="56"/>
  <c r="E28" i="158"/>
  <c r="E28" i="164"/>
  <c r="AA25" i="168"/>
  <c r="BT26" i="164"/>
  <c r="BM26"/>
  <c r="BP26"/>
  <c r="BN25"/>
  <c r="BU25" s="1"/>
  <c r="BV25" s="1"/>
  <c r="X25" s="1"/>
  <c r="AK21" i="51"/>
  <c r="AB14" i="118"/>
  <c r="AV21" i="51"/>
  <c r="AX21" s="1"/>
  <c r="B14" i="72"/>
  <c r="D14" s="1"/>
  <c r="I14" s="1"/>
  <c r="H14" s="1"/>
  <c r="G14" s="1"/>
  <c r="F14" s="1"/>
  <c r="E14" s="1"/>
  <c r="G27" i="143"/>
  <c r="AD27" s="1"/>
  <c r="G27" i="159"/>
  <c r="AD27" s="1"/>
  <c r="G27" i="158"/>
  <c r="AD27" s="1"/>
  <c r="AD27" i="161"/>
  <c r="F27"/>
  <c r="G27" i="167"/>
  <c r="AD27" s="1"/>
  <c r="AR24" i="165"/>
  <c r="I26" i="161"/>
  <c r="AF26"/>
  <c r="J27" i="150"/>
  <c r="AF27" s="1"/>
  <c r="J27" i="56"/>
  <c r="AF27" s="1"/>
  <c r="J27" i="159"/>
  <c r="AF27" s="1"/>
  <c r="S27" i="162"/>
  <c r="V27" s="1"/>
  <c r="J27" i="168"/>
  <c r="AF27" s="1"/>
  <c r="BJ27" i="161"/>
  <c r="D27" s="1"/>
  <c r="BV27"/>
  <c r="J27" s="1"/>
  <c r="J24" i="148"/>
  <c r="I23"/>
  <c r="AF23"/>
  <c r="AB26" i="150"/>
  <c r="AJ26" s="1"/>
  <c r="X26"/>
  <c r="AJ25" i="167"/>
  <c r="F21" i="160"/>
  <c r="G22"/>
  <c r="AD21"/>
  <c r="AR24" i="167"/>
  <c r="D27" i="171"/>
  <c r="AB27" s="1"/>
  <c r="D27" i="158"/>
  <c r="K27" s="1"/>
  <c r="N27" s="1"/>
  <c r="D27" i="167"/>
  <c r="D27" i="166"/>
  <c r="K27" s="1"/>
  <c r="N27" s="1"/>
  <c r="D27" i="144"/>
  <c r="L52" i="190"/>
  <c r="G794" i="175"/>
  <c r="D9" i="189"/>
  <c r="AB26" i="163"/>
  <c r="F27" i="162"/>
  <c r="S26" i="166"/>
  <c r="V26" s="1"/>
  <c r="K26" i="151"/>
  <c r="N26" s="1"/>
  <c r="K26" i="167"/>
  <c r="N26" s="1"/>
  <c r="O26" i="171"/>
  <c r="R26" s="1"/>
  <c r="AR25" i="155"/>
  <c r="BD26" i="149"/>
  <c r="G26" s="1"/>
  <c r="X26" s="1"/>
  <c r="O26" i="145"/>
  <c r="R26" s="1"/>
  <c r="C27" i="162"/>
  <c r="S26" i="155"/>
  <c r="V26" s="1"/>
  <c r="AS23" i="164"/>
  <c r="O26" i="166"/>
  <c r="R26" s="1"/>
  <c r="O26" i="150"/>
  <c r="R26" s="1"/>
  <c r="N45" i="175"/>
  <c r="M396"/>
  <c r="M675"/>
  <c r="K11" i="71"/>
  <c r="B27" i="146"/>
  <c r="J12" i="67"/>
  <c r="J253" i="175"/>
  <c r="C12" i="120"/>
  <c r="F9" i="71"/>
  <c r="S24" i="148"/>
  <c r="I41" i="175"/>
  <c r="F10" i="67"/>
  <c r="S11" i="64"/>
  <c r="N35" i="175"/>
  <c r="H136"/>
  <c r="B28" i="163"/>
  <c r="M677" i="175"/>
  <c r="M672"/>
  <c r="O5" i="71"/>
  <c r="W12" i="64"/>
  <c r="N11" i="68"/>
  <c r="J12" i="64"/>
  <c r="N148" i="175"/>
  <c r="G662"/>
  <c r="S25" i="147"/>
  <c r="M12" i="67"/>
  <c r="N12"/>
  <c r="I129" i="175"/>
  <c r="N263"/>
  <c r="R12" i="119"/>
  <c r="E10" i="140"/>
  <c r="O270" i="175"/>
  <c r="I13" i="119"/>
  <c r="K24" i="147"/>
  <c r="F10" i="120"/>
  <c r="M46" i="175"/>
  <c r="H12" i="67"/>
  <c r="O26" i="146"/>
  <c r="G9" i="67"/>
  <c r="Q13" i="119"/>
  <c r="M676" i="175"/>
  <c r="R11" i="71"/>
  <c r="E12" i="119"/>
  <c r="I133" i="175"/>
  <c r="X7" i="140"/>
  <c r="B24" i="148"/>
  <c r="I39" i="175"/>
  <c r="L255"/>
  <c r="J12" i="119"/>
  <c r="M666" i="175"/>
  <c r="O6" i="119"/>
  <c r="N56" i="175"/>
  <c r="S13" i="119"/>
  <c r="I38" i="175"/>
  <c r="L12" i="120"/>
  <c r="J12" i="140"/>
  <c r="N52" i="175"/>
  <c r="S27" i="161"/>
  <c r="K12" i="140"/>
  <c r="R12" i="64"/>
  <c r="H258" i="175"/>
  <c r="V12" i="67"/>
  <c r="S10"/>
  <c r="E11" i="120"/>
  <c r="V12" i="64"/>
  <c r="Q13" i="140"/>
  <c r="O206" i="175"/>
  <c r="Q13" i="68"/>
  <c r="N140" i="175"/>
  <c r="P12" i="119"/>
  <c r="H696" i="175"/>
  <c r="H39"/>
  <c r="M204"/>
  <c r="N143"/>
  <c r="P11" i="68"/>
  <c r="X8" i="120"/>
  <c r="T13" i="140"/>
  <c r="Q14" i="64"/>
  <c r="O213" i="175"/>
  <c r="E23" i="160"/>
  <c r="F8" i="68"/>
  <c r="U12" i="120"/>
  <c r="O210" i="175"/>
  <c r="L709"/>
  <c r="I259"/>
  <c r="K11" i="68"/>
  <c r="B12" i="120"/>
  <c r="M667" i="175"/>
  <c r="N172"/>
  <c r="E10" i="71"/>
  <c r="N147" i="175"/>
  <c r="L697"/>
  <c r="P12" i="67"/>
  <c r="G8" i="71"/>
  <c r="L12" i="140"/>
  <c r="N151" i="175"/>
  <c r="W11" i="71"/>
  <c r="D12" i="120"/>
  <c r="N55" i="175"/>
  <c r="G9" i="140"/>
  <c r="L710" i="175"/>
  <c r="B23" i="152"/>
  <c r="Q13" i="120"/>
  <c r="J12"/>
  <c r="L389" i="175"/>
  <c r="N266"/>
  <c r="I258"/>
  <c r="G7" i="68"/>
  <c r="I11" i="71"/>
  <c r="H657" i="175"/>
  <c r="W11" i="68"/>
  <c r="L388" i="175"/>
  <c r="L706"/>
  <c r="N141"/>
  <c r="P13" i="120"/>
  <c r="U11" i="71"/>
  <c r="N138" i="175"/>
  <c r="F10" i="64"/>
  <c r="G7" i="71"/>
  <c r="F9" i="68"/>
  <c r="R11" i="120"/>
  <c r="S12" i="140"/>
  <c r="O200" i="175"/>
  <c r="U11" i="68"/>
  <c r="S11" i="67"/>
  <c r="S22" i="152"/>
  <c r="F10" i="140"/>
  <c r="K27" i="146"/>
  <c r="E9" i="71"/>
  <c r="N44" i="175"/>
  <c r="H40"/>
  <c r="F9" i="119"/>
  <c r="M679" i="175"/>
  <c r="D12" i="140"/>
  <c r="V11" i="71"/>
  <c r="N53" i="175"/>
  <c r="B22" i="160"/>
  <c r="O26" i="163"/>
  <c r="V12" i="140"/>
  <c r="N145" i="175"/>
  <c r="G8" i="119"/>
  <c r="K21" i="160"/>
  <c r="L12" i="67"/>
  <c r="E28" i="161"/>
  <c r="I385" i="175"/>
  <c r="E11" i="64"/>
  <c r="O208" i="175"/>
  <c r="M11" i="68"/>
  <c r="L11"/>
  <c r="O268" i="175"/>
  <c r="M399"/>
  <c r="N265"/>
  <c r="J665"/>
  <c r="E11" i="67"/>
  <c r="U12"/>
  <c r="G9" i="120"/>
  <c r="I196" i="175"/>
  <c r="N175"/>
  <c r="D12" i="67"/>
  <c r="O7" i="120"/>
  <c r="I256" i="175"/>
  <c r="N130"/>
  <c r="H11" i="71"/>
  <c r="K12" i="67"/>
  <c r="X7" i="119"/>
  <c r="G664" i="175"/>
  <c r="J134"/>
  <c r="O25" i="147"/>
  <c r="Q440" i="175"/>
  <c r="M207"/>
  <c r="I37"/>
  <c r="O271"/>
  <c r="U12" i="119"/>
  <c r="K12" i="120"/>
  <c r="M13" i="119"/>
  <c r="O209" i="175"/>
  <c r="L36"/>
  <c r="O7" i="67"/>
  <c r="L379" i="175"/>
  <c r="H28" i="163"/>
  <c r="L703" i="175"/>
  <c r="K22" i="152"/>
  <c r="M203" i="175"/>
  <c r="J137"/>
  <c r="T11" i="68"/>
  <c r="H661" i="175"/>
  <c r="R12" i="140"/>
  <c r="L12" i="64"/>
  <c r="H10" i="71"/>
  <c r="K12" i="64"/>
  <c r="I34" i="175"/>
  <c r="N49"/>
  <c r="Q14" i="67"/>
  <c r="K199" i="175"/>
  <c r="N262"/>
  <c r="H10" i="68"/>
  <c r="H256" i="175"/>
  <c r="J13" i="119"/>
  <c r="G384" i="175"/>
  <c r="G692"/>
  <c r="X6" i="68"/>
  <c r="O6" i="64"/>
  <c r="H12"/>
  <c r="I197" i="175"/>
  <c r="B28" i="161"/>
  <c r="N192" i="175"/>
  <c r="N43"/>
  <c r="M395"/>
  <c r="L387"/>
  <c r="O24" i="148"/>
  <c r="N12" i="140"/>
  <c r="M201" i="175"/>
  <c r="G8" i="68"/>
  <c r="W12" i="140"/>
  <c r="I12" i="64"/>
  <c r="L667" i="175"/>
  <c r="R10" i="71"/>
  <c r="K690" i="175"/>
  <c r="K261"/>
  <c r="Q13" i="71"/>
  <c r="D13" i="119"/>
  <c r="H37" i="175"/>
  <c r="N146"/>
  <c r="W12" i="120"/>
  <c r="M658" i="175"/>
  <c r="K700"/>
  <c r="X6" i="71"/>
  <c r="V12" i="119"/>
  <c r="J135" i="175"/>
  <c r="D11" i="68"/>
  <c r="O264" i="175"/>
  <c r="B12" i="140"/>
  <c r="I12" i="120"/>
  <c r="P12" i="64"/>
  <c r="S12" i="120"/>
  <c r="V12"/>
  <c r="S10" i="68"/>
  <c r="J195" i="175"/>
  <c r="D12" i="64"/>
  <c r="E10"/>
  <c r="S22" i="160"/>
  <c r="G663" i="175"/>
  <c r="M193"/>
  <c r="O267"/>
  <c r="B26" i="147"/>
  <c r="M392" i="175"/>
  <c r="H260"/>
  <c r="R12" i="67"/>
  <c r="M397" i="175"/>
  <c r="O205"/>
  <c r="M678"/>
  <c r="N12" i="64"/>
  <c r="M378" i="175"/>
  <c r="I260"/>
  <c r="E10" i="68"/>
  <c r="N12" i="120"/>
  <c r="N131" i="175"/>
  <c r="K42"/>
  <c r="Q15" i="69"/>
  <c r="E27" i="146"/>
  <c r="M255" i="175"/>
  <c r="H27" i="146"/>
  <c r="W12" i="67"/>
  <c r="L46" i="175"/>
  <c r="P11" i="71"/>
  <c r="N54" i="175"/>
  <c r="U12" i="64"/>
  <c r="X7"/>
  <c r="S26" i="146"/>
  <c r="N269" i="175"/>
  <c r="L689"/>
  <c r="K699"/>
  <c r="I198"/>
  <c r="E10" i="67"/>
  <c r="L707" i="175"/>
  <c r="W13" i="119"/>
  <c r="E27" i="163"/>
  <c r="M398" i="175"/>
  <c r="O273"/>
  <c r="E26" i="147"/>
  <c r="F8" i="71"/>
  <c r="J11" i="68"/>
  <c r="J385" i="175"/>
  <c r="E24" i="152"/>
  <c r="I12" i="140"/>
  <c r="H24" i="148"/>
  <c r="H22" i="160"/>
  <c r="S27" i="163"/>
  <c r="N174" i="175"/>
  <c r="N139"/>
  <c r="R10" i="68"/>
  <c r="I194" i="175"/>
  <c r="I665"/>
  <c r="M386"/>
  <c r="K23" i="148"/>
  <c r="H28" i="161"/>
  <c r="H132" i="175"/>
  <c r="M36"/>
  <c r="L11" i="71"/>
  <c r="H259" i="175"/>
  <c r="K698"/>
  <c r="I12" i="67"/>
  <c r="M11" i="71"/>
  <c r="L659" i="175"/>
  <c r="O7" i="64"/>
  <c r="I12" i="68"/>
  <c r="E11" i="140"/>
  <c r="P12"/>
  <c r="H26" i="147"/>
  <c r="O5" i="68"/>
  <c r="T13" i="119"/>
  <c r="S10" i="64"/>
  <c r="N254" i="175"/>
  <c r="G688"/>
  <c r="L668"/>
  <c r="G660"/>
  <c r="J11" i="71"/>
  <c r="L708" i="175"/>
  <c r="O28" i="161"/>
  <c r="Q442" i="175"/>
  <c r="O7" i="140"/>
  <c r="N149" i="175"/>
  <c r="V11" i="68"/>
  <c r="M12" i="120"/>
  <c r="D11" i="71"/>
  <c r="I40" i="175"/>
  <c r="H12" i="140"/>
  <c r="N11" i="71"/>
  <c r="M12" i="64"/>
  <c r="M202" i="175"/>
  <c r="O272"/>
  <c r="K27" i="161"/>
  <c r="O211" i="175"/>
  <c r="K13" i="119"/>
  <c r="H377" i="175"/>
  <c r="O22" i="160"/>
  <c r="I663" i="175"/>
  <c r="W12" i="119"/>
  <c r="N173" i="175"/>
  <c r="U12" i="140"/>
  <c r="J257" i="175"/>
  <c r="H692"/>
  <c r="H23" i="152"/>
  <c r="M668" i="175"/>
  <c r="O274"/>
  <c r="N144"/>
  <c r="O6" i="67"/>
  <c r="E25" i="148"/>
  <c r="O212" i="175"/>
  <c r="H41"/>
  <c r="H25" i="148"/>
  <c r="X7" i="67"/>
  <c r="O23" i="152"/>
  <c r="G9" i="64"/>
  <c r="O275" i="175"/>
  <c r="O6" i="140"/>
  <c r="H11" i="120"/>
  <c r="C12" i="140"/>
  <c r="U13" i="119"/>
  <c r="K27" i="163"/>
  <c r="M12" i="140"/>
  <c r="N150" i="175"/>
  <c r="J191"/>
  <c r="N772" l="1"/>
  <c r="N36" i="190"/>
  <c r="Q473" i="175"/>
  <c r="M54" i="190"/>
  <c r="AS54" s="1"/>
  <c r="I14" i="189"/>
  <c r="J23" i="152"/>
  <c r="AF23" s="1"/>
  <c r="AZ109" i="118"/>
  <c r="AZ156"/>
  <c r="M738" i="175"/>
  <c r="J15" i="189" s="1"/>
  <c r="K638" i="175"/>
  <c r="AS23" i="163"/>
  <c r="L22" i="49"/>
  <c r="AW63" i="118"/>
  <c r="H788" i="175"/>
  <c r="E65" i="189" s="1"/>
  <c r="L800" i="175"/>
  <c r="I77" i="189" s="1"/>
  <c r="AS23" i="149"/>
  <c r="AZ14" i="118"/>
  <c r="AZ15"/>
  <c r="AZ250"/>
  <c r="AZ249"/>
  <c r="BA156"/>
  <c r="BA109"/>
  <c r="K637" i="175"/>
  <c r="M737"/>
  <c r="J14" i="189" s="1"/>
  <c r="AD56" i="118"/>
  <c r="BM9" s="1"/>
  <c r="BE10"/>
  <c r="BE57"/>
  <c r="BE11"/>
  <c r="BE246"/>
  <c r="BE245"/>
  <c r="BE152"/>
  <c r="BE105"/>
  <c r="H733" i="175"/>
  <c r="G407"/>
  <c r="AB380" i="118"/>
  <c r="AG380" s="1"/>
  <c r="D10" i="189"/>
  <c r="G795" i="175"/>
  <c r="D72" i="189" s="1"/>
  <c r="BL58" i="118"/>
  <c r="BL246"/>
  <c r="BL11"/>
  <c r="I726" i="175"/>
  <c r="I788" s="1"/>
  <c r="F65" i="189" s="1"/>
  <c r="AR20" i="152"/>
  <c r="X22"/>
  <c r="H792" i="175"/>
  <c r="E69" i="189" s="1"/>
  <c r="I730" i="175"/>
  <c r="F7" i="189" s="1"/>
  <c r="BD59" i="118"/>
  <c r="H159" i="175"/>
  <c r="D23" i="152"/>
  <c r="N22"/>
  <c r="BH58" i="118"/>
  <c r="BI57"/>
  <c r="N24" i="147"/>
  <c r="N23" i="148"/>
  <c r="J734" i="175"/>
  <c r="J796" s="1"/>
  <c r="G73" i="189" s="1"/>
  <c r="N21" i="160"/>
  <c r="V22" i="152"/>
  <c r="AB22"/>
  <c r="G756" i="175"/>
  <c r="D33" i="189" s="1"/>
  <c r="D6"/>
  <c r="AB24" i="147"/>
  <c r="AJ24" s="1"/>
  <c r="C24"/>
  <c r="D25"/>
  <c r="AB23" i="148"/>
  <c r="AJ23" s="1"/>
  <c r="C23"/>
  <c r="D24"/>
  <c r="X24" s="1"/>
  <c r="AJ21" i="152"/>
  <c r="C21" i="160"/>
  <c r="D22"/>
  <c r="X22" s="1"/>
  <c r="AB21"/>
  <c r="AY156" i="118"/>
  <c r="AY109"/>
  <c r="AM17" i="142"/>
  <c r="BH106" i="118"/>
  <c r="BH153"/>
  <c r="BH246"/>
  <c r="BH11"/>
  <c r="G630" i="175"/>
  <c r="AA21" i="152"/>
  <c r="I13" i="189"/>
  <c r="AR21" i="148"/>
  <c r="AS19" i="152"/>
  <c r="AS251" i="118"/>
  <c r="BD107"/>
  <c r="BD154"/>
  <c r="AT16"/>
  <c r="BI246"/>
  <c r="AS63"/>
  <c r="BB63"/>
  <c r="AT157"/>
  <c r="AT110"/>
  <c r="AQ64"/>
  <c r="BB156"/>
  <c r="BB109"/>
  <c r="AS64"/>
  <c r="AR63"/>
  <c r="AQ16"/>
  <c r="AQ251"/>
  <c r="AR251"/>
  <c r="AU157"/>
  <c r="AU110"/>
  <c r="BA16"/>
  <c r="BI10"/>
  <c r="AP16"/>
  <c r="BI152"/>
  <c r="BI105"/>
  <c r="AQ110"/>
  <c r="AQ157"/>
  <c r="BA251"/>
  <c r="BD13"/>
  <c r="AT251"/>
  <c r="BI11"/>
  <c r="AR64"/>
  <c r="BD248"/>
  <c r="AR157"/>
  <c r="AR110"/>
  <c r="AP251"/>
  <c r="AS110"/>
  <c r="AS157"/>
  <c r="AT64"/>
  <c r="AR16"/>
  <c r="AP157"/>
  <c r="AP110"/>
  <c r="BI245"/>
  <c r="AS16"/>
  <c r="L646" i="175"/>
  <c r="L644"/>
  <c r="N746"/>
  <c r="N743"/>
  <c r="L648"/>
  <c r="L647"/>
  <c r="N748"/>
  <c r="M736"/>
  <c r="J13" i="189" s="1"/>
  <c r="N745" i="175"/>
  <c r="H634"/>
  <c r="L645"/>
  <c r="N744"/>
  <c r="N740"/>
  <c r="K17" i="189" s="1"/>
  <c r="H729" i="175"/>
  <c r="K636"/>
  <c r="N747"/>
  <c r="AJ26" i="159"/>
  <c r="J24" i="189"/>
  <c r="M809" i="175"/>
  <c r="J86" i="189" s="1"/>
  <c r="I86"/>
  <c r="J21"/>
  <c r="M806" i="175"/>
  <c r="J83" i="189" s="1"/>
  <c r="I85"/>
  <c r="I796" i="175"/>
  <c r="F73" i="189" s="1"/>
  <c r="F11"/>
  <c r="J20"/>
  <c r="I83"/>
  <c r="M807" i="175"/>
  <c r="J22" i="189"/>
  <c r="AA23" i="148"/>
  <c r="I87" i="189"/>
  <c r="J23"/>
  <c r="M808" i="175"/>
  <c r="J25" i="189"/>
  <c r="M810" i="175"/>
  <c r="AJ26" i="158"/>
  <c r="AA24" i="164"/>
  <c r="I84" i="189"/>
  <c r="M20" i="143"/>
  <c r="L20" s="1"/>
  <c r="AG18" i="118"/>
  <c r="AG64"/>
  <c r="AG253"/>
  <c r="AG158"/>
  <c r="AG111"/>
  <c r="AD104"/>
  <c r="Q11" i="72"/>
  <c r="BG246" i="118"/>
  <c r="BG10"/>
  <c r="BG152"/>
  <c r="BG105"/>
  <c r="BG59"/>
  <c r="BG11"/>
  <c r="BG245"/>
  <c r="BL153"/>
  <c r="BL106"/>
  <c r="G626" i="175"/>
  <c r="H731"/>
  <c r="I731"/>
  <c r="F8" i="189" s="1"/>
  <c r="AJ25" i="149"/>
  <c r="AA21" i="160"/>
  <c r="AD151" i="118"/>
  <c r="AR24" i="149"/>
  <c r="BJ14" i="118"/>
  <c r="BJ249"/>
  <c r="AD14" i="72"/>
  <c r="L728" i="175"/>
  <c r="I5" i="189" s="1"/>
  <c r="O27" i="153"/>
  <c r="R27" s="1"/>
  <c r="AS52" i="190"/>
  <c r="AW110" i="118"/>
  <c r="AW157"/>
  <c r="AS25" i="56"/>
  <c r="AB13" i="72"/>
  <c r="AS21" i="147"/>
  <c r="AR22"/>
  <c r="O27" i="145"/>
  <c r="R27" s="1"/>
  <c r="AR22" i="148"/>
  <c r="S27" i="145"/>
  <c r="V27" s="1"/>
  <c r="S27" i="153"/>
  <c r="V27" s="1"/>
  <c r="O27" i="168"/>
  <c r="R27" s="1"/>
  <c r="BF11" i="118"/>
  <c r="BF246"/>
  <c r="G687" i="175"/>
  <c r="AD380" i="118"/>
  <c r="BF245"/>
  <c r="BF10"/>
  <c r="V14" i="72"/>
  <c r="H732" i="175"/>
  <c r="H283"/>
  <c r="H630"/>
  <c r="AJ20" i="160"/>
  <c r="AS20" i="148"/>
  <c r="AR19" i="160"/>
  <c r="BQ25" i="164"/>
  <c r="BR25" s="1"/>
  <c r="AE25" s="1"/>
  <c r="AA20" i="160"/>
  <c r="S27" i="158"/>
  <c r="V27" s="1"/>
  <c r="AX110" i="118"/>
  <c r="AX157"/>
  <c r="S27" i="167"/>
  <c r="V27" s="1"/>
  <c r="O27" i="56"/>
  <c r="R27" s="1"/>
  <c r="S27" i="154"/>
  <c r="V27" s="1"/>
  <c r="O27" i="155"/>
  <c r="R27" s="1"/>
  <c r="O27" i="150"/>
  <c r="R27" s="1"/>
  <c r="O27" i="159"/>
  <c r="R27" s="1"/>
  <c r="BC63" i="118"/>
  <c r="BJ63"/>
  <c r="BJ109"/>
  <c r="BJ156"/>
  <c r="BC157"/>
  <c r="BC110"/>
  <c r="AZ63"/>
  <c r="I283" i="175"/>
  <c r="AV109" i="118"/>
  <c r="AV156"/>
  <c r="AC14" i="72"/>
  <c r="BK16" i="118"/>
  <c r="X16" i="72"/>
  <c r="BK251" i="118"/>
  <c r="N735" i="175"/>
  <c r="M728"/>
  <c r="W18" i="72"/>
  <c r="Y16"/>
  <c r="AW251" i="118"/>
  <c r="AW16"/>
  <c r="BC251"/>
  <c r="T16" i="72"/>
  <c r="BC16" i="118"/>
  <c r="R26" i="146"/>
  <c r="R16" i="72"/>
  <c r="V27" i="163"/>
  <c r="R23" i="152"/>
  <c r="V15" i="72"/>
  <c r="V25" i="147"/>
  <c r="AE16" i="72"/>
  <c r="L641" i="175"/>
  <c r="K628"/>
  <c r="J28" i="163"/>
  <c r="BB16" i="118"/>
  <c r="BB251"/>
  <c r="R24" i="148"/>
  <c r="G24" i="152"/>
  <c r="D28" i="163"/>
  <c r="AA16" i="72"/>
  <c r="R26" i="163"/>
  <c r="N27"/>
  <c r="BF152" i="118"/>
  <c r="BF105"/>
  <c r="BF59"/>
  <c r="I221" i="175"/>
  <c r="I732"/>
  <c r="M742"/>
  <c r="BK63" i="118"/>
  <c r="N27" i="161"/>
  <c r="C27" i="146"/>
  <c r="N27"/>
  <c r="L635" i="175"/>
  <c r="G27" i="163"/>
  <c r="X27" s="1"/>
  <c r="R22" i="160"/>
  <c r="V27" i="161"/>
  <c r="Z16" i="72"/>
  <c r="V22" i="160"/>
  <c r="R25" i="147"/>
  <c r="V24" i="148"/>
  <c r="R28" i="161"/>
  <c r="V26" i="146"/>
  <c r="L627" i="175"/>
  <c r="N741"/>
  <c r="S16" i="72"/>
  <c r="N727" i="175"/>
  <c r="AD15" i="72"/>
  <c r="BJ250" i="118"/>
  <c r="BJ15"/>
  <c r="Q471" i="175"/>
  <c r="Q470"/>
  <c r="N34" i="190"/>
  <c r="AI390" i="118"/>
  <c r="AA26" i="149"/>
  <c r="AA24" i="147"/>
  <c r="AS24" i="165"/>
  <c r="G28" i="158"/>
  <c r="AD28" s="1"/>
  <c r="G28" i="168"/>
  <c r="AD28" s="1"/>
  <c r="G28" i="144"/>
  <c r="AD28" s="1"/>
  <c r="AS24" i="153"/>
  <c r="AR25" i="165"/>
  <c r="X27" i="159"/>
  <c r="AB27"/>
  <c r="AR25" i="145"/>
  <c r="AA26" i="161"/>
  <c r="J28" i="150"/>
  <c r="AF28" s="1"/>
  <c r="AR25" i="153"/>
  <c r="AB113" i="118"/>
  <c r="E29" i="154"/>
  <c r="E29" i="144"/>
  <c r="E29" i="165"/>
  <c r="E29" i="167"/>
  <c r="E29" i="162"/>
  <c r="F29" s="1"/>
  <c r="E29" i="166"/>
  <c r="E29" i="153"/>
  <c r="E29" i="151"/>
  <c r="E29" i="145"/>
  <c r="E29" i="168"/>
  <c r="E29" i="149"/>
  <c r="F22" i="137"/>
  <c r="BC29" i="161" s="1"/>
  <c r="BP29" s="1"/>
  <c r="G29" s="1"/>
  <c r="E29" i="56"/>
  <c r="E29" i="171"/>
  <c r="E29" i="159"/>
  <c r="E29" i="158"/>
  <c r="E29" i="155"/>
  <c r="E29" i="143"/>
  <c r="E29" i="164"/>
  <c r="E29" i="150"/>
  <c r="AJ26" i="166"/>
  <c r="D28" i="159"/>
  <c r="D28" i="158"/>
  <c r="AJ25" i="146"/>
  <c r="AF29" i="162"/>
  <c r="AS26"/>
  <c r="AA28"/>
  <c r="J4" i="189"/>
  <c r="M789" i="175"/>
  <c r="J66" i="189" s="1"/>
  <c r="BK28" i="164"/>
  <c r="BL28" s="1"/>
  <c r="G28"/>
  <c r="AD28" s="1"/>
  <c r="G28" i="171"/>
  <c r="AD28" s="1"/>
  <c r="G28" i="167"/>
  <c r="AD28" s="1"/>
  <c r="AR25" i="166"/>
  <c r="AA26" i="154"/>
  <c r="H67" i="189"/>
  <c r="AR25" i="158"/>
  <c r="J28" i="164"/>
  <c r="AF28" s="1"/>
  <c r="J28" i="145"/>
  <c r="AF28" s="1"/>
  <c r="J28" i="144"/>
  <c r="AF28" s="1"/>
  <c r="AR24" i="146"/>
  <c r="AA26" i="166"/>
  <c r="AR25" i="151"/>
  <c r="D28" i="166"/>
  <c r="F26" i="146"/>
  <c r="AD26"/>
  <c r="G27"/>
  <c r="X26"/>
  <c r="AA26" i="168"/>
  <c r="AJ28" i="162"/>
  <c r="AS24" i="155"/>
  <c r="AS25" s="1"/>
  <c r="AF27" i="163"/>
  <c r="AD23" i="152"/>
  <c r="J18" i="189"/>
  <c r="M803" i="175"/>
  <c r="J80" i="189" s="1"/>
  <c r="AA25" i="164"/>
  <c r="AB27" i="166"/>
  <c r="X27"/>
  <c r="X27" i="158"/>
  <c r="AB27"/>
  <c r="AS24" i="167"/>
  <c r="G28" i="56"/>
  <c r="AD28" s="1"/>
  <c r="G28" i="150"/>
  <c r="AD28" s="1"/>
  <c r="G28" i="153"/>
  <c r="AD28" s="1"/>
  <c r="G28" i="151"/>
  <c r="AD28" s="1"/>
  <c r="G28" i="165"/>
  <c r="J26" i="147"/>
  <c r="I25"/>
  <c r="AF25"/>
  <c r="AR25" i="154"/>
  <c r="I76" i="189"/>
  <c r="AA26" i="145"/>
  <c r="AS24" i="154"/>
  <c r="AJ26" i="165"/>
  <c r="AS24" i="145"/>
  <c r="AR23" i="147"/>
  <c r="I75" i="189"/>
  <c r="AJ26" i="167"/>
  <c r="I74" i="189"/>
  <c r="X27" i="150"/>
  <c r="AB27"/>
  <c r="AJ27" s="1"/>
  <c r="AS23" i="146"/>
  <c r="J28" i="155"/>
  <c r="AF28" s="1"/>
  <c r="J28" i="56"/>
  <c r="AF28" s="1"/>
  <c r="J28" i="166"/>
  <c r="AF28" s="1"/>
  <c r="BK28" i="165"/>
  <c r="I28"/>
  <c r="S28"/>
  <c r="V28" s="1"/>
  <c r="BJ28" i="161"/>
  <c r="D28" s="1"/>
  <c r="BV28"/>
  <c r="J28" s="1"/>
  <c r="AD24" i="148"/>
  <c r="F24"/>
  <c r="G25"/>
  <c r="H22" i="137"/>
  <c r="BD29" i="161" s="1"/>
  <c r="H29" i="153"/>
  <c r="H29" i="154"/>
  <c r="H29" i="151"/>
  <c r="H29" i="168"/>
  <c r="H29" i="144"/>
  <c r="H29" i="167"/>
  <c r="H29" i="149"/>
  <c r="H29" i="166"/>
  <c r="H29" i="158"/>
  <c r="H29" i="150"/>
  <c r="H29" i="145"/>
  <c r="H29" i="165"/>
  <c r="H29" i="162"/>
  <c r="I29" s="1"/>
  <c r="H29" i="155"/>
  <c r="H29" i="164"/>
  <c r="H29" i="159"/>
  <c r="H29" i="143"/>
  <c r="AB160" i="118"/>
  <c r="H29" i="171"/>
  <c r="H29" i="56"/>
  <c r="AA26" i="159"/>
  <c r="X27" i="168"/>
  <c r="AB27"/>
  <c r="BP27" i="164"/>
  <c r="BM27"/>
  <c r="BT27"/>
  <c r="D28" i="150"/>
  <c r="D28" i="56"/>
  <c r="K28" s="1"/>
  <c r="N28" s="1"/>
  <c r="D28" i="151"/>
  <c r="K28" s="1"/>
  <c r="N28" s="1"/>
  <c r="C28" i="165"/>
  <c r="K28"/>
  <c r="N28" s="1"/>
  <c r="D28" i="145"/>
  <c r="K28" s="1"/>
  <c r="N28" s="1"/>
  <c r="X29" i="162"/>
  <c r="AB29"/>
  <c r="I66" i="189"/>
  <c r="X27" i="155"/>
  <c r="AA27" s="1"/>
  <c r="AB27"/>
  <c r="AJ27" s="1"/>
  <c r="AS24" i="158"/>
  <c r="CC30" i="162"/>
  <c r="D30" s="1"/>
  <c r="CE30"/>
  <c r="J30" s="1"/>
  <c r="CD30"/>
  <c r="G30" s="1"/>
  <c r="CG30"/>
  <c r="AL30" s="1"/>
  <c r="AA26" i="151"/>
  <c r="AD26" i="163"/>
  <c r="AB27"/>
  <c r="J12" i="189"/>
  <c r="M797" i="175"/>
  <c r="AJ27" i="171"/>
  <c r="K27" i="159"/>
  <c r="N27" s="1"/>
  <c r="K22" i="49"/>
  <c r="S27" i="159"/>
  <c r="V27" s="1"/>
  <c r="S27" i="150"/>
  <c r="V27" s="1"/>
  <c r="AS24"/>
  <c r="AR26" i="56"/>
  <c r="S27" i="144"/>
  <c r="V27" s="1"/>
  <c r="S27" i="143"/>
  <c r="V27" s="1"/>
  <c r="S27" i="166"/>
  <c r="V27" s="1"/>
  <c r="S27" i="164"/>
  <c r="V27" s="1"/>
  <c r="O27" i="154"/>
  <c r="R27" s="1"/>
  <c r="O27" i="166"/>
  <c r="R27" s="1"/>
  <c r="O27" i="171"/>
  <c r="R27" s="1"/>
  <c r="S27" i="151"/>
  <c r="V27" s="1"/>
  <c r="AA26" i="163"/>
  <c r="AB27" i="161"/>
  <c r="C27"/>
  <c r="X27"/>
  <c r="BN26" i="164"/>
  <c r="BU26" s="1"/>
  <c r="BV26" s="1"/>
  <c r="X26" s="1"/>
  <c r="G28" i="145"/>
  <c r="AD28" s="1"/>
  <c r="BC28" i="149"/>
  <c r="BB28"/>
  <c r="AS24" i="166"/>
  <c r="AB15" i="118"/>
  <c r="AK22" i="51"/>
  <c r="AV22"/>
  <c r="AX22" s="1"/>
  <c r="B15" i="72"/>
  <c r="D15" s="1"/>
  <c r="I15" s="1"/>
  <c r="H15" s="1"/>
  <c r="G15" s="1"/>
  <c r="F15" s="1"/>
  <c r="E15" s="1"/>
  <c r="I80" i="189"/>
  <c r="AR24" i="163"/>
  <c r="AD27" i="165"/>
  <c r="AB252" i="118"/>
  <c r="X27" i="171"/>
  <c r="H24" i="51"/>
  <c r="I24" s="1"/>
  <c r="X27" i="151"/>
  <c r="AC27"/>
  <c r="J28" i="158"/>
  <c r="AF28" s="1"/>
  <c r="J28" i="168"/>
  <c r="AF28" s="1"/>
  <c r="J28" i="153"/>
  <c r="AF28" s="1"/>
  <c r="J28" i="154"/>
  <c r="AF28" s="1"/>
  <c r="AS24" i="151"/>
  <c r="AB27" i="149"/>
  <c r="D28" i="171"/>
  <c r="AB28" s="1"/>
  <c r="K28" i="162"/>
  <c r="N28" s="1"/>
  <c r="D28" i="144"/>
  <c r="K28" s="1"/>
  <c r="AR27" i="162"/>
  <c r="AJ26" i="168"/>
  <c r="G23" i="137"/>
  <c r="C23"/>
  <c r="E23"/>
  <c r="AD26" i="149"/>
  <c r="F26"/>
  <c r="O26"/>
  <c r="R26" s="1"/>
  <c r="D71" i="189"/>
  <c r="AB27" i="167"/>
  <c r="X27"/>
  <c r="G23" i="160"/>
  <c r="F22"/>
  <c r="AD22"/>
  <c r="I27" i="161"/>
  <c r="AF27"/>
  <c r="G28" i="143"/>
  <c r="AD28" s="1"/>
  <c r="AD28" i="161"/>
  <c r="F28"/>
  <c r="AA26" i="158"/>
  <c r="AR25" i="150"/>
  <c r="AA26" i="153"/>
  <c r="M21" i="49"/>
  <c r="J22"/>
  <c r="Z21"/>
  <c r="AB27" i="154"/>
  <c r="X27"/>
  <c r="X27" i="56"/>
  <c r="AA27" s="1"/>
  <c r="AB27"/>
  <c r="AJ27" s="1"/>
  <c r="J28" i="149"/>
  <c r="AF28" s="1"/>
  <c r="J28" i="151"/>
  <c r="AF28" s="1"/>
  <c r="I22" i="160"/>
  <c r="J23"/>
  <c r="AF22"/>
  <c r="D28" i="149"/>
  <c r="K28" s="1"/>
  <c r="N28" s="1"/>
  <c r="D28" i="168"/>
  <c r="D28" i="164"/>
  <c r="G26" i="147"/>
  <c r="F25"/>
  <c r="AD25"/>
  <c r="AD29" i="162"/>
  <c r="T22" i="49"/>
  <c r="U21"/>
  <c r="AR25" i="161"/>
  <c r="C24" i="13"/>
  <c r="AL31" i="171"/>
  <c r="AM31" s="1"/>
  <c r="D25" i="13"/>
  <c r="CB31" i="162"/>
  <c r="I19" i="189"/>
  <c r="AA26" i="150"/>
  <c r="AF24" i="148"/>
  <c r="I24"/>
  <c r="J25"/>
  <c r="AR25" i="168"/>
  <c r="G28" i="159"/>
  <c r="AD28" s="1"/>
  <c r="G28" i="155"/>
  <c r="AD28" s="1"/>
  <c r="G28" i="166"/>
  <c r="AD28" s="1"/>
  <c r="O28" i="162"/>
  <c r="R28" s="1"/>
  <c r="G28" i="154"/>
  <c r="AD28" s="1"/>
  <c r="AR24" i="171"/>
  <c r="J27" i="146"/>
  <c r="I26"/>
  <c r="AF26"/>
  <c r="AS24" i="161"/>
  <c r="AJ26" i="145"/>
  <c r="AJ26" i="154"/>
  <c r="AJ26" i="153"/>
  <c r="X27"/>
  <c r="AB27"/>
  <c r="AR25" i="159"/>
  <c r="AA26" i="167"/>
  <c r="AR25"/>
  <c r="AJ26" i="161"/>
  <c r="J28" i="171"/>
  <c r="AF28" s="1"/>
  <c r="J28" i="143"/>
  <c r="AF28" s="1"/>
  <c r="J28" i="167"/>
  <c r="AF28" s="1"/>
  <c r="S28" i="162"/>
  <c r="V28" s="1"/>
  <c r="J28" i="159"/>
  <c r="AF28" s="1"/>
  <c r="AS24"/>
  <c r="AW23" i="51"/>
  <c r="AZ23"/>
  <c r="J23"/>
  <c r="AA26" i="171" s="1"/>
  <c r="AR26" s="1"/>
  <c r="AB66" i="118"/>
  <c r="AI22" i="137"/>
  <c r="D22"/>
  <c r="B29" i="151"/>
  <c r="B29" i="168"/>
  <c r="B29" i="144"/>
  <c r="AM18" i="142" s="1"/>
  <c r="B29" i="154"/>
  <c r="B29" i="56"/>
  <c r="B29" i="162"/>
  <c r="B29" i="165"/>
  <c r="B29" i="153"/>
  <c r="B29" i="166"/>
  <c r="B29" i="145"/>
  <c r="B29" i="167"/>
  <c r="B29" i="164"/>
  <c r="B29" i="149"/>
  <c r="B29" i="150"/>
  <c r="B29" i="143"/>
  <c r="B29" i="158"/>
  <c r="B29" i="159"/>
  <c r="B29" i="171"/>
  <c r="B29" i="155"/>
  <c r="I22" i="137"/>
  <c r="J22" s="1"/>
  <c r="AB27" i="145"/>
  <c r="X27"/>
  <c r="AB27" i="164"/>
  <c r="X19" i="49"/>
  <c r="G23" i="51"/>
  <c r="D28" i="143"/>
  <c r="K28" s="1"/>
  <c r="D28" i="155"/>
  <c r="K28" s="1"/>
  <c r="N28" s="1"/>
  <c r="D28" i="154"/>
  <c r="K28" s="1"/>
  <c r="N28" s="1"/>
  <c r="D28" i="153"/>
  <c r="D28" i="167"/>
  <c r="AS24" i="168"/>
  <c r="AA25" i="146"/>
  <c r="AM29" i="162"/>
  <c r="Z27" i="171"/>
  <c r="W20" i="49"/>
  <c r="AB346" i="118"/>
  <c r="AD346" s="1"/>
  <c r="AA26" i="155"/>
  <c r="AJ26" i="151"/>
  <c r="BE389" i="118"/>
  <c r="AY389"/>
  <c r="BG389"/>
  <c r="AS389"/>
  <c r="AE389" s="1"/>
  <c r="AZ389"/>
  <c r="BL389"/>
  <c r="BF389"/>
  <c r="BI389"/>
  <c r="AW389"/>
  <c r="BH389"/>
  <c r="AU389"/>
  <c r="AT389"/>
  <c r="BB389"/>
  <c r="BD389"/>
  <c r="BC389"/>
  <c r="AV389"/>
  <c r="BA389"/>
  <c r="BK389"/>
  <c r="BJ389"/>
  <c r="AX389"/>
  <c r="M51" i="190"/>
  <c r="AS51" s="1"/>
  <c r="P501" i="175"/>
  <c r="M69" i="190" s="1"/>
  <c r="AS69" s="1"/>
  <c r="O27" i="165"/>
  <c r="R27" s="1"/>
  <c r="K27" i="149"/>
  <c r="N27" s="1"/>
  <c r="BD27"/>
  <c r="G27" s="1"/>
  <c r="AV471" i="175"/>
  <c r="K27" i="144"/>
  <c r="K27" i="167"/>
  <c r="N27" s="1"/>
  <c r="K27" i="171"/>
  <c r="N27" s="1"/>
  <c r="S27" i="168"/>
  <c r="V27" s="1"/>
  <c r="S27" i="56"/>
  <c r="V27" s="1"/>
  <c r="O27" i="167"/>
  <c r="R27" s="1"/>
  <c r="O27" i="158"/>
  <c r="R27" s="1"/>
  <c r="O27" i="143"/>
  <c r="R27" s="1"/>
  <c r="S27" i="149"/>
  <c r="V27" s="1"/>
  <c r="K27" i="154"/>
  <c r="N27" s="1"/>
  <c r="K27" i="56"/>
  <c r="N27" s="1"/>
  <c r="S27" i="155"/>
  <c r="V27" s="1"/>
  <c r="O27" i="151"/>
  <c r="R27" s="1"/>
  <c r="F28" i="162"/>
  <c r="O27" i="144"/>
  <c r="R27" s="1"/>
  <c r="O27" i="164"/>
  <c r="R27" s="1"/>
  <c r="AJ25" i="163"/>
  <c r="K27" i="143"/>
  <c r="S27" i="171"/>
  <c r="V27" s="1"/>
  <c r="O7" i="119"/>
  <c r="H27" i="147"/>
  <c r="O174" i="175"/>
  <c r="O140"/>
  <c r="K385"/>
  <c r="Q14" i="140"/>
  <c r="G694" i="175"/>
  <c r="I657"/>
  <c r="X8" i="64"/>
  <c r="P212" i="175"/>
  <c r="K23" i="152"/>
  <c r="D13" i="140"/>
  <c r="N203" i="175"/>
  <c r="Q14" i="68"/>
  <c r="N397" i="175"/>
  <c r="P200"/>
  <c r="P14" i="120"/>
  <c r="U12" i="71"/>
  <c r="J12" i="68"/>
  <c r="P209" i="175"/>
  <c r="O172"/>
  <c r="O6" i="68"/>
  <c r="O25" i="148"/>
  <c r="O144" i="175"/>
  <c r="L13" i="64"/>
  <c r="W13" i="140"/>
  <c r="S12" i="64"/>
  <c r="W13" i="67"/>
  <c r="B29" i="161"/>
  <c r="V13" i="119"/>
  <c r="Q16" i="69"/>
  <c r="N46" i="175"/>
  <c r="X7" i="71"/>
  <c r="H664" i="175"/>
  <c r="H660"/>
  <c r="H11" i="68"/>
  <c r="G9"/>
  <c r="J40" i="175"/>
  <c r="N672"/>
  <c r="M706"/>
  <c r="L13" i="120"/>
  <c r="J197" i="175"/>
  <c r="O148"/>
  <c r="M236"/>
  <c r="K13" i="120"/>
  <c r="O54" i="175"/>
  <c r="N13" i="67"/>
  <c r="N12" i="68"/>
  <c r="J194" i="175"/>
  <c r="G9" i="119"/>
  <c r="R13" i="64"/>
  <c r="P270" i="175"/>
  <c r="O151"/>
  <c r="J256"/>
  <c r="L13" i="119"/>
  <c r="N202" i="175"/>
  <c r="O263"/>
  <c r="L261"/>
  <c r="M387"/>
  <c r="P264"/>
  <c r="P273"/>
  <c r="R442"/>
  <c r="V12" i="71"/>
  <c r="K12"/>
  <c r="P206" i="175"/>
  <c r="F11" i="140"/>
  <c r="Q15" i="67"/>
  <c r="O139" i="175"/>
  <c r="P271"/>
  <c r="I132"/>
  <c r="H29" i="161"/>
  <c r="E29"/>
  <c r="M12" i="68"/>
  <c r="V13" i="140"/>
  <c r="Q14" i="119"/>
  <c r="X7" i="68"/>
  <c r="K134" i="175"/>
  <c r="O8" i="67"/>
  <c r="H694" i="175"/>
  <c r="O53"/>
  <c r="E26" i="148"/>
  <c r="H380" i="175"/>
  <c r="H29" i="163"/>
  <c r="S10" i="71"/>
  <c r="J196" i="175"/>
  <c r="E25" i="152"/>
  <c r="R13" i="67"/>
  <c r="M697" i="175"/>
  <c r="O8" i="64"/>
  <c r="N666" i="175"/>
  <c r="L13" i="140"/>
  <c r="K13" i="67"/>
  <c r="O27" i="146"/>
  <c r="O55" i="175"/>
  <c r="G10" i="64"/>
  <c r="R11" i="68"/>
  <c r="V12"/>
  <c r="I13" i="120"/>
  <c r="I381" i="175"/>
  <c r="B28" i="146"/>
  <c r="N13" i="64"/>
  <c r="J696" i="175"/>
  <c r="B29" i="163"/>
  <c r="N207" i="175"/>
  <c r="N204"/>
  <c r="P13" i="64"/>
  <c r="Q14" i="71"/>
  <c r="M379" i="175"/>
  <c r="P267"/>
  <c r="J381"/>
  <c r="G693"/>
  <c r="H663"/>
  <c r="K28" i="163"/>
  <c r="E12" i="120"/>
  <c r="P12" i="71"/>
  <c r="M669" i="175"/>
  <c r="O49"/>
  <c r="K25" i="147"/>
  <c r="V13" i="120"/>
  <c r="J34" i="175"/>
  <c r="M709"/>
  <c r="T13" i="120"/>
  <c r="W13"/>
  <c r="O138" i="175"/>
  <c r="O7" i="71"/>
  <c r="M13" i="64"/>
  <c r="X9" i="120"/>
  <c r="E27" i="147"/>
  <c r="O147" i="175"/>
  <c r="K253"/>
  <c r="B24" i="152"/>
  <c r="I662" i="175"/>
  <c r="O173"/>
  <c r="O130"/>
  <c r="I377"/>
  <c r="L699"/>
  <c r="M707"/>
  <c r="N12" i="71"/>
  <c r="G9"/>
  <c r="C13" i="120"/>
  <c r="T12" i="68"/>
  <c r="S28" i="163"/>
  <c r="S26" i="147"/>
  <c r="I13" i="64"/>
  <c r="J133" i="175"/>
  <c r="N13" i="120"/>
  <c r="K28" i="161"/>
  <c r="O6" i="71"/>
  <c r="J663" i="175"/>
  <c r="N395"/>
  <c r="I13" i="67"/>
  <c r="H12" i="71"/>
  <c r="C13" i="140"/>
  <c r="O141" i="175"/>
  <c r="K13" i="140"/>
  <c r="S11" i="71"/>
  <c r="D12" i="68"/>
  <c r="S23" i="160"/>
  <c r="H12" i="120"/>
  <c r="R13" i="140"/>
  <c r="F10" i="71"/>
  <c r="H14" i="119"/>
  <c r="B25" i="148"/>
  <c r="B13" i="140"/>
  <c r="O52" i="175"/>
  <c r="O254"/>
  <c r="N399"/>
  <c r="B27" i="147"/>
  <c r="L690" i="175"/>
  <c r="F10" i="119"/>
  <c r="M13" i="120"/>
  <c r="K12" i="68"/>
  <c r="X8" i="119"/>
  <c r="I12" i="71"/>
  <c r="K24" i="148"/>
  <c r="K38" i="175"/>
  <c r="L12" i="71"/>
  <c r="N193" i="175"/>
  <c r="N378"/>
  <c r="D14" i="119"/>
  <c r="H26" i="148"/>
  <c r="S23" i="152"/>
  <c r="H24"/>
  <c r="K665" i="175"/>
  <c r="G10" i="140"/>
  <c r="H13"/>
  <c r="W13" i="64"/>
  <c r="L42" i="175"/>
  <c r="N658"/>
  <c r="L14" i="119"/>
  <c r="R12" i="71"/>
  <c r="K135" i="175"/>
  <c r="S28" i="161"/>
  <c r="P210" i="175"/>
  <c r="T14" i="140"/>
  <c r="H384" i="175"/>
  <c r="N667"/>
  <c r="N396"/>
  <c r="O262"/>
  <c r="O27" i="163"/>
  <c r="N679" i="175"/>
  <c r="O269"/>
  <c r="O23" i="160"/>
  <c r="L12" i="68"/>
  <c r="J38" i="175"/>
  <c r="I13" i="140"/>
  <c r="M234" i="175"/>
  <c r="L698"/>
  <c r="J260"/>
  <c r="I661"/>
  <c r="E28" i="146"/>
  <c r="N676" i="175"/>
  <c r="O146"/>
  <c r="J258"/>
  <c r="B23" i="160"/>
  <c r="L669" i="175"/>
  <c r="H383"/>
  <c r="S13" i="140"/>
  <c r="H28" i="146"/>
  <c r="N255" i="175"/>
  <c r="H23" i="160"/>
  <c r="X8" i="140"/>
  <c r="I660" i="175"/>
  <c r="P208"/>
  <c r="M13" i="140"/>
  <c r="M689" i="175"/>
  <c r="H382"/>
  <c r="D13" i="120"/>
  <c r="M235" i="175"/>
  <c r="O43"/>
  <c r="B13" i="120"/>
  <c r="J41" i="175"/>
  <c r="J661"/>
  <c r="O8" i="120"/>
  <c r="N392" i="175"/>
  <c r="H25" i="152"/>
  <c r="O24"/>
  <c r="J129" i="175"/>
  <c r="K28" i="146"/>
  <c r="P213" i="175"/>
  <c r="E11" i="68"/>
  <c r="J14" i="119"/>
  <c r="O145" i="175"/>
  <c r="N398"/>
  <c r="L199"/>
  <c r="K13" i="64"/>
  <c r="S25" i="148"/>
  <c r="P13" i="140"/>
  <c r="E11" i="71"/>
  <c r="N36" i="175"/>
  <c r="I696"/>
  <c r="G10" i="67"/>
  <c r="S12"/>
  <c r="H662" i="175"/>
  <c r="O143"/>
  <c r="N13" i="140"/>
  <c r="G695" i="175"/>
  <c r="O175"/>
  <c r="F11" i="120"/>
  <c r="I136" i="175"/>
  <c r="O150"/>
  <c r="N677"/>
  <c r="E12" i="64"/>
  <c r="J12" i="71"/>
  <c r="H688" i="175"/>
  <c r="O29" i="161"/>
  <c r="P205" i="175"/>
  <c r="N201"/>
  <c r="Q15" i="64"/>
  <c r="F10" i="68"/>
  <c r="I664" i="175"/>
  <c r="N678"/>
  <c r="M710"/>
  <c r="S13" i="120"/>
  <c r="H13" i="119"/>
  <c r="P12" i="68"/>
  <c r="M13" i="67"/>
  <c r="U13" i="120"/>
  <c r="E12" i="140"/>
  <c r="O56" i="175"/>
  <c r="M12" i="71"/>
  <c r="J259" i="175"/>
  <c r="O266"/>
  <c r="O26" i="147"/>
  <c r="R13" i="119"/>
  <c r="P13"/>
  <c r="K195" i="175"/>
  <c r="K257"/>
  <c r="E28" i="163"/>
  <c r="Q14" i="120"/>
  <c r="U13" i="64"/>
  <c r="P274" i="175"/>
  <c r="K137"/>
  <c r="J37"/>
  <c r="W12" i="71"/>
  <c r="G691" i="175"/>
  <c r="N13" i="119"/>
  <c r="I13" i="68"/>
  <c r="M388" i="175"/>
  <c r="R12" i="120"/>
  <c r="E13" i="119"/>
  <c r="O192" i="175"/>
  <c r="V13" i="64"/>
  <c r="E12" i="67"/>
  <c r="O131" i="175"/>
  <c r="I383"/>
  <c r="P211"/>
  <c r="V13" i="67"/>
  <c r="M708" i="175"/>
  <c r="X8" i="67"/>
  <c r="M703" i="175"/>
  <c r="U12" i="68"/>
  <c r="I380" i="175"/>
  <c r="J198"/>
  <c r="I382"/>
  <c r="J13" i="67"/>
  <c r="G10" i="120"/>
  <c r="O265" i="175"/>
  <c r="P275"/>
  <c r="P268"/>
  <c r="D13" i="64"/>
  <c r="K22" i="160"/>
  <c r="N675" i="175"/>
  <c r="R440"/>
  <c r="M659"/>
  <c r="J39"/>
  <c r="O44"/>
  <c r="K191"/>
  <c r="U13" i="140"/>
  <c r="W12" i="68"/>
  <c r="O149" i="175"/>
  <c r="O35"/>
  <c r="N668"/>
  <c r="O8" i="140"/>
  <c r="T14" i="119"/>
  <c r="J13" i="120"/>
  <c r="J13" i="140"/>
  <c r="P13" i="67"/>
  <c r="U13"/>
  <c r="P272" i="175"/>
  <c r="L13" i="67"/>
  <c r="N386" i="175"/>
  <c r="E24" i="160"/>
  <c r="J13" i="64"/>
  <c r="D12" i="71"/>
  <c r="S27" i="146"/>
  <c r="D13" i="67"/>
  <c r="I694" i="175"/>
  <c r="BM244" i="118" l="1"/>
  <c r="AD244" s="1"/>
  <c r="CC9"/>
  <c r="CB9" s="1"/>
  <c r="O772" i="175"/>
  <c r="L49" i="189" s="1"/>
  <c r="K49"/>
  <c r="O36" i="190"/>
  <c r="R473" i="175"/>
  <c r="O54" i="190" s="1"/>
  <c r="N54"/>
  <c r="V23" i="152"/>
  <c r="X23"/>
  <c r="AA23" s="1"/>
  <c r="AZ157" i="118"/>
  <c r="AZ110"/>
  <c r="N738" i="175"/>
  <c r="K15" i="189" s="1"/>
  <c r="M799" i="175"/>
  <c r="J76" i="189" s="1"/>
  <c r="AZ16" i="118"/>
  <c r="AZ251"/>
  <c r="M769" i="175"/>
  <c r="AR24" i="164"/>
  <c r="AS24" s="1"/>
  <c r="BA157" i="118"/>
  <c r="BA110"/>
  <c r="N737" i="175"/>
  <c r="N799" s="1"/>
  <c r="L637"/>
  <c r="AS24" i="149"/>
  <c r="AR25"/>
  <c r="AE9" i="118"/>
  <c r="F3" i="189"/>
  <c r="BE153" i="118"/>
  <c r="BE106"/>
  <c r="BE247"/>
  <c r="BE12"/>
  <c r="BE58"/>
  <c r="G633" i="175"/>
  <c r="I733"/>
  <c r="AJ21" i="160"/>
  <c r="AR21" s="1"/>
  <c r="H795" i="175"/>
  <c r="E72" i="189" s="1"/>
  <c r="E10"/>
  <c r="AH380" i="118"/>
  <c r="BL247"/>
  <c r="BL59"/>
  <c r="BL12"/>
  <c r="J726" i="175"/>
  <c r="G3" i="189" s="1"/>
  <c r="H626" i="175"/>
  <c r="AJ22" i="152"/>
  <c r="AA22"/>
  <c r="AS20"/>
  <c r="BH12" i="118"/>
  <c r="Q12" i="72"/>
  <c r="BH247" i="118"/>
  <c r="AR21" i="152"/>
  <c r="G11" i="189"/>
  <c r="K734" i="175"/>
  <c r="H11" i="189" s="1"/>
  <c r="BI58" i="118"/>
  <c r="N25" i="147"/>
  <c r="N23" i="152"/>
  <c r="BD60" i="118"/>
  <c r="BH59"/>
  <c r="N22" i="160"/>
  <c r="I159" i="175"/>
  <c r="I729"/>
  <c r="F6" i="189" s="1"/>
  <c r="J730" i="175"/>
  <c r="J792" s="1"/>
  <c r="G69" i="189" s="1"/>
  <c r="J24" i="152"/>
  <c r="N24" i="148"/>
  <c r="D24" i="152"/>
  <c r="AB25" i="147"/>
  <c r="AJ25" s="1"/>
  <c r="D26"/>
  <c r="C25"/>
  <c r="AB23" i="152"/>
  <c r="X25" i="147"/>
  <c r="AA25" s="1"/>
  <c r="D23" i="160"/>
  <c r="AB22"/>
  <c r="C22"/>
  <c r="G818" i="175"/>
  <c r="D95" i="189" s="1"/>
  <c r="AB24" i="148"/>
  <c r="D25"/>
  <c r="X25" s="1"/>
  <c r="C24"/>
  <c r="I792" i="175"/>
  <c r="F69" i="189" s="1"/>
  <c r="AY157" i="118"/>
  <c r="AY110"/>
  <c r="AS21" i="148"/>
  <c r="AS22" s="1"/>
  <c r="M798" i="175"/>
  <c r="J75" i="189" s="1"/>
  <c r="BH13" i="118"/>
  <c r="BH248"/>
  <c r="BH154"/>
  <c r="BH107"/>
  <c r="I634" i="175"/>
  <c r="AR252" i="118"/>
  <c r="AS17"/>
  <c r="BI12"/>
  <c r="AR17"/>
  <c r="AQ17"/>
  <c r="BI247"/>
  <c r="AT252"/>
  <c r="BD108"/>
  <c r="BD155"/>
  <c r="BB110"/>
  <c r="BB157"/>
  <c r="BD14"/>
  <c r="BI153"/>
  <c r="BI106"/>
  <c r="AS252"/>
  <c r="AP17"/>
  <c r="BA64"/>
  <c r="AU158"/>
  <c r="AU111"/>
  <c r="BK111"/>
  <c r="BK158"/>
  <c r="AT17"/>
  <c r="AT65"/>
  <c r="AP64"/>
  <c r="AP111"/>
  <c r="AP158"/>
  <c r="AP252"/>
  <c r="AQ252"/>
  <c r="BC64"/>
  <c r="AS111"/>
  <c r="AS158"/>
  <c r="BD249"/>
  <c r="AQ111"/>
  <c r="AQ158"/>
  <c r="AR111"/>
  <c r="AR158"/>
  <c r="AT111"/>
  <c r="AT158"/>
  <c r="O740" i="175"/>
  <c r="L17" i="189" s="1"/>
  <c r="O743" i="175"/>
  <c r="O745"/>
  <c r="AV211"/>
  <c r="O746"/>
  <c r="AV212"/>
  <c r="O744"/>
  <c r="AV275"/>
  <c r="M648"/>
  <c r="M645"/>
  <c r="AV274"/>
  <c r="AV209"/>
  <c r="AV270"/>
  <c r="M646"/>
  <c r="AV210"/>
  <c r="J634"/>
  <c r="O748"/>
  <c r="M252"/>
  <c r="AV264"/>
  <c r="AV273"/>
  <c r="AV271"/>
  <c r="M644"/>
  <c r="AV213"/>
  <c r="AV272"/>
  <c r="L636"/>
  <c r="M647"/>
  <c r="AV208"/>
  <c r="G629"/>
  <c r="N736"/>
  <c r="K13" i="189" s="1"/>
  <c r="O747" i="175"/>
  <c r="AJ27" i="159"/>
  <c r="AJ25" i="164"/>
  <c r="K24" i="189"/>
  <c r="N809" i="175"/>
  <c r="K86" i="189" s="1"/>
  <c r="AR25" i="163"/>
  <c r="J87" i="189"/>
  <c r="J84"/>
  <c r="H791" i="175"/>
  <c r="E68" i="189" s="1"/>
  <c r="E6"/>
  <c r="K22"/>
  <c r="N807" i="175"/>
  <c r="K25" i="189"/>
  <c r="N810" i="175"/>
  <c r="K87" i="189" s="1"/>
  <c r="K20"/>
  <c r="AJ26" i="163"/>
  <c r="AJ27" i="158"/>
  <c r="K21" i="189"/>
  <c r="N806" i="175"/>
  <c r="J85" i="189"/>
  <c r="K23"/>
  <c r="N808" i="175"/>
  <c r="K85" i="189" s="1"/>
  <c r="AC20" i="143"/>
  <c r="N20"/>
  <c r="X20"/>
  <c r="M21"/>
  <c r="L21" s="1"/>
  <c r="L790" i="175"/>
  <c r="I67" i="189" s="1"/>
  <c r="AG159" i="118"/>
  <c r="AG112"/>
  <c r="AG65"/>
  <c r="AG254"/>
  <c r="AG19"/>
  <c r="I793" i="175"/>
  <c r="F70" i="189" s="1"/>
  <c r="BG12" i="118"/>
  <c r="BG247"/>
  <c r="BL107"/>
  <c r="BL154"/>
  <c r="BG153"/>
  <c r="BG106"/>
  <c r="BG60"/>
  <c r="J731" i="175"/>
  <c r="J793" s="1"/>
  <c r="G70" i="189" s="1"/>
  <c r="G631" i="175"/>
  <c r="H793"/>
  <c r="E70" i="189" s="1"/>
  <c r="E8"/>
  <c r="AR20" i="160"/>
  <c r="AJ26" i="149"/>
  <c r="AD152" i="118"/>
  <c r="AD105"/>
  <c r="H756" i="175"/>
  <c r="AA22" i="160"/>
  <c r="S28" i="144"/>
  <c r="V28" s="1"/>
  <c r="S28" i="167"/>
  <c r="V28" s="1"/>
  <c r="AS22" i="147"/>
  <c r="AS23" s="1"/>
  <c r="S28" i="171"/>
  <c r="V28" s="1"/>
  <c r="E9" i="189"/>
  <c r="K28" i="171"/>
  <c r="N28" s="1"/>
  <c r="H794" i="175"/>
  <c r="E71" i="189" s="1"/>
  <c r="O28" i="143"/>
  <c r="R28" s="1"/>
  <c r="O28" i="145"/>
  <c r="R28" s="1"/>
  <c r="S28" i="154"/>
  <c r="V28" s="1"/>
  <c r="S28" i="159"/>
  <c r="V28" s="1"/>
  <c r="S28" i="166"/>
  <c r="V28" s="1"/>
  <c r="O28" i="171"/>
  <c r="R28" s="1"/>
  <c r="G632" i="175"/>
  <c r="G718"/>
  <c r="G719" s="1"/>
  <c r="BF12" i="118"/>
  <c r="BF247"/>
  <c r="AS19" i="160"/>
  <c r="O28" i="151"/>
  <c r="R28" s="1"/>
  <c r="S28" i="150"/>
  <c r="V28" s="1"/>
  <c r="O28" i="168"/>
  <c r="R28" s="1"/>
  <c r="S28" i="158"/>
  <c r="V28" s="1"/>
  <c r="AS25" i="159"/>
  <c r="O28" i="155"/>
  <c r="R28" s="1"/>
  <c r="S28" i="151"/>
  <c r="V28" s="1"/>
  <c r="AJ28" i="171"/>
  <c r="BD28" i="149"/>
  <c r="G28" s="1"/>
  <c r="O28" s="1"/>
  <c r="R28" s="1"/>
  <c r="AR27" i="155"/>
  <c r="O28" i="153"/>
  <c r="R28" s="1"/>
  <c r="S28" i="164"/>
  <c r="V28" s="1"/>
  <c r="S28" i="153"/>
  <c r="V28" s="1"/>
  <c r="AS25" i="158"/>
  <c r="V16" i="72"/>
  <c r="BF106" i="118"/>
  <c r="BF153"/>
  <c r="BJ64"/>
  <c r="AX158"/>
  <c r="AX111"/>
  <c r="BB64"/>
  <c r="AV267" i="175"/>
  <c r="J221"/>
  <c r="J732"/>
  <c r="AV157" i="118"/>
  <c r="AV110"/>
  <c r="AV206" i="175"/>
  <c r="AW158" i="118"/>
  <c r="AW111"/>
  <c r="N742" i="175"/>
  <c r="AV205"/>
  <c r="R26" i="147"/>
  <c r="V23" i="160"/>
  <c r="BB252" i="118"/>
  <c r="BB17"/>
  <c r="R470" i="175"/>
  <c r="O34" i="190"/>
  <c r="R471" i="175"/>
  <c r="O52" i="190" s="1"/>
  <c r="AI391" i="118"/>
  <c r="R17" i="72"/>
  <c r="R27" i="146"/>
  <c r="Z17" i="72"/>
  <c r="M635" i="175"/>
  <c r="Y17" i="72"/>
  <c r="AW252" i="118"/>
  <c r="AW17"/>
  <c r="R23" i="160"/>
  <c r="O727" i="175"/>
  <c r="J29" i="163"/>
  <c r="V26" i="147"/>
  <c r="N728" i="175"/>
  <c r="N28" i="163"/>
  <c r="R24" i="152"/>
  <c r="AV200" i="175"/>
  <c r="BC111" i="118"/>
  <c r="BC158"/>
  <c r="BA65"/>
  <c r="AW64"/>
  <c r="J283" i="175"/>
  <c r="BF60" i="118"/>
  <c r="BJ110"/>
  <c r="BJ157"/>
  <c r="AZ64"/>
  <c r="AV268" i="175"/>
  <c r="BK64" i="118"/>
  <c r="D29" i="163"/>
  <c r="M627" i="175"/>
  <c r="W19" i="72"/>
  <c r="R29" i="161"/>
  <c r="V28" i="163"/>
  <c r="V25" i="148"/>
  <c r="J25" i="152"/>
  <c r="BK17" i="118"/>
  <c r="BK252"/>
  <c r="X17" i="72"/>
  <c r="N28" i="161"/>
  <c r="C28" i="146"/>
  <c r="N28"/>
  <c r="I632" i="175"/>
  <c r="G28" i="163"/>
  <c r="X28" s="1"/>
  <c r="O735" i="175"/>
  <c r="BJ16" i="118"/>
  <c r="BJ251"/>
  <c r="AD16" i="72"/>
  <c r="AB14"/>
  <c r="AE17"/>
  <c r="V27" i="146"/>
  <c r="O741" i="175"/>
  <c r="S17" i="72"/>
  <c r="AA17"/>
  <c r="R25" i="148"/>
  <c r="G25" i="152"/>
  <c r="V28" i="161"/>
  <c r="H632" i="175"/>
  <c r="M641"/>
  <c r="BC17" i="118"/>
  <c r="T17" i="72"/>
  <c r="BC252" i="118"/>
  <c r="L628" i="175"/>
  <c r="R27" i="163"/>
  <c r="AA26" i="164"/>
  <c r="AR26" i="155"/>
  <c r="X28" i="167"/>
  <c r="AB28"/>
  <c r="D29" i="155"/>
  <c r="K29" s="1"/>
  <c r="N29" s="1"/>
  <c r="D29" i="167"/>
  <c r="K29" s="1"/>
  <c r="N29" s="1"/>
  <c r="D29" i="144"/>
  <c r="K29" s="1"/>
  <c r="CC31" i="162"/>
  <c r="D31" s="1"/>
  <c r="CE31"/>
  <c r="J31" s="1"/>
  <c r="CD31"/>
  <c r="G31" s="1"/>
  <c r="CG31"/>
  <c r="AL31" s="1"/>
  <c r="G27" i="147"/>
  <c r="F26"/>
  <c r="AD26"/>
  <c r="AB28" i="168"/>
  <c r="X28"/>
  <c r="J24" i="160"/>
  <c r="I23"/>
  <c r="AF23"/>
  <c r="AS24" i="163"/>
  <c r="AM30" i="162"/>
  <c r="AA27" i="168"/>
  <c r="J29" i="143"/>
  <c r="AF29" s="1"/>
  <c r="J29" i="158"/>
  <c r="AF29" s="1"/>
  <c r="J29" i="153"/>
  <c r="AF29" s="1"/>
  <c r="AD27" i="146"/>
  <c r="F27"/>
  <c r="G28"/>
  <c r="X27"/>
  <c r="AR26" i="154"/>
  <c r="X28" i="158"/>
  <c r="AB28"/>
  <c r="G29" i="155"/>
  <c r="AD29" s="1"/>
  <c r="G29" i="145"/>
  <c r="AD29" s="1"/>
  <c r="N52" i="190"/>
  <c r="K18" i="189"/>
  <c r="N803" i="175"/>
  <c r="AB28" i="153"/>
  <c r="X28"/>
  <c r="AJ27" i="145"/>
  <c r="D29" i="158"/>
  <c r="D29" i="153"/>
  <c r="K29" s="1"/>
  <c r="N29" s="1"/>
  <c r="AA27"/>
  <c r="AS24" i="171"/>
  <c r="AS25" s="1"/>
  <c r="AS26" s="1"/>
  <c r="AR26" i="158"/>
  <c r="AB114" i="118"/>
  <c r="E30" i="165"/>
  <c r="E30" i="154"/>
  <c r="E30" i="144"/>
  <c r="E30" i="167"/>
  <c r="E30" i="162"/>
  <c r="E30" i="149"/>
  <c r="E30" i="151"/>
  <c r="F23" i="137"/>
  <c r="BC30" i="161" s="1"/>
  <c r="BP30" s="1"/>
  <c r="G30" s="1"/>
  <c r="E30" i="145"/>
  <c r="E30" i="153"/>
  <c r="E30" i="166"/>
  <c r="E30" i="168"/>
  <c r="E30" i="143"/>
  <c r="E30" i="171"/>
  <c r="E30" i="150"/>
  <c r="E30" i="159"/>
  <c r="E30" i="164"/>
  <c r="E30" i="56"/>
  <c r="E30" i="155"/>
  <c r="E30" i="158"/>
  <c r="AS27" i="162"/>
  <c r="AZ24" i="51"/>
  <c r="J24"/>
  <c r="AA27" i="171" s="1"/>
  <c r="AW24" i="51"/>
  <c r="AA27" i="163"/>
  <c r="AJ27" i="168"/>
  <c r="J29" i="150"/>
  <c r="AF29" s="1"/>
  <c r="J29" i="154"/>
  <c r="AF29" s="1"/>
  <c r="AA27" i="150"/>
  <c r="AR26" i="166"/>
  <c r="AS25"/>
  <c r="X28" i="159"/>
  <c r="AB28"/>
  <c r="G29" i="168"/>
  <c r="AD29" s="1"/>
  <c r="AS25" i="165"/>
  <c r="Q501" i="175"/>
  <c r="N51" i="190"/>
  <c r="N789" i="175"/>
  <c r="K4" i="189"/>
  <c r="J19"/>
  <c r="X28" i="154"/>
  <c r="AB28"/>
  <c r="D29" i="171"/>
  <c r="AB29" s="1"/>
  <c r="D29" i="150"/>
  <c r="K29" s="1"/>
  <c r="N29" s="1"/>
  <c r="D29" i="145"/>
  <c r="K29" s="1"/>
  <c r="N29" s="1"/>
  <c r="K29" i="162"/>
  <c r="N29" s="1"/>
  <c r="D29" i="168"/>
  <c r="K29" s="1"/>
  <c r="N29" s="1"/>
  <c r="AS25" i="167"/>
  <c r="C25" i="13"/>
  <c r="D26"/>
  <c r="AL32" i="171"/>
  <c r="AM32" s="1"/>
  <c r="CB32" i="162"/>
  <c r="W21" i="49"/>
  <c r="Z28" i="171"/>
  <c r="AB347" i="118"/>
  <c r="AD347" s="1"/>
  <c r="AB28" i="164"/>
  <c r="AA27" i="154"/>
  <c r="AR26" i="153"/>
  <c r="AD23" i="160"/>
  <c r="F23"/>
  <c r="G24"/>
  <c r="H23" i="137"/>
  <c r="BD30" i="161" s="1"/>
  <c r="H30" i="144"/>
  <c r="H30" i="168"/>
  <c r="H30" i="151"/>
  <c r="H30" i="167"/>
  <c r="H30" i="154"/>
  <c r="H30" i="150"/>
  <c r="H30" i="164"/>
  <c r="H30" i="158"/>
  <c r="H30" i="153"/>
  <c r="H30" i="145"/>
  <c r="H30" i="165"/>
  <c r="H30" i="162"/>
  <c r="I30" s="1"/>
  <c r="H30" i="166"/>
  <c r="H30" i="155"/>
  <c r="H30" i="171"/>
  <c r="H30" i="143"/>
  <c r="AB161" i="118"/>
  <c r="H30" i="149"/>
  <c r="H30" i="56"/>
  <c r="H30" i="159"/>
  <c r="AJ27" i="151"/>
  <c r="AJ27" i="161"/>
  <c r="AD30" i="162"/>
  <c r="X28" i="56"/>
  <c r="AA28" s="1"/>
  <c r="AB28"/>
  <c r="AJ28" s="1"/>
  <c r="BN27" i="164"/>
  <c r="BQ27" s="1"/>
  <c r="BR27" s="1"/>
  <c r="AE27" s="1"/>
  <c r="J29" i="56"/>
  <c r="AF29" s="1"/>
  <c r="J29" i="159"/>
  <c r="AF29" s="1"/>
  <c r="I29" i="165"/>
  <c r="BK29"/>
  <c r="S29"/>
  <c r="V29" s="1"/>
  <c r="J29" i="166"/>
  <c r="AF29" s="1"/>
  <c r="J29" i="168"/>
  <c r="AF29" s="1"/>
  <c r="BJ29" i="161"/>
  <c r="D29" s="1"/>
  <c r="BV29"/>
  <c r="J29" s="1"/>
  <c r="J27" i="147"/>
  <c r="I26"/>
  <c r="AF26"/>
  <c r="AA27" i="158"/>
  <c r="AJ26" i="146"/>
  <c r="AS25" i="151"/>
  <c r="BM28" i="164"/>
  <c r="BT28"/>
  <c r="BP28"/>
  <c r="G29" i="150"/>
  <c r="AD29" s="1"/>
  <c r="G29" i="158"/>
  <c r="AD29" s="1"/>
  <c r="F29" i="161"/>
  <c r="AD29"/>
  <c r="G29" i="151"/>
  <c r="AD29" s="1"/>
  <c r="G29" i="167"/>
  <c r="AD29" s="1"/>
  <c r="AR26" i="161"/>
  <c r="AA27" i="159"/>
  <c r="AY390" i="118"/>
  <c r="BL390"/>
  <c r="AU390"/>
  <c r="AX390"/>
  <c r="BE390"/>
  <c r="BJ390"/>
  <c r="BH390"/>
  <c r="AZ390"/>
  <c r="BM390"/>
  <c r="AV390"/>
  <c r="BI390"/>
  <c r="AT390"/>
  <c r="AE390" s="1"/>
  <c r="BK390"/>
  <c r="BD390"/>
  <c r="BC390"/>
  <c r="AW390"/>
  <c r="BG390"/>
  <c r="BF390"/>
  <c r="BB390"/>
  <c r="BA390"/>
  <c r="AB28" i="163"/>
  <c r="AD24" i="152"/>
  <c r="K28" i="168"/>
  <c r="N28" s="1"/>
  <c r="K28" i="167"/>
  <c r="N28" s="1"/>
  <c r="S28" i="143"/>
  <c r="V28" s="1"/>
  <c r="O28" i="166"/>
  <c r="R28" s="1"/>
  <c r="O28" i="159"/>
  <c r="R28" s="1"/>
  <c r="BQ26" i="164"/>
  <c r="BR26" s="1"/>
  <c r="AE26" s="1"/>
  <c r="L23" i="49"/>
  <c r="C29" i="162"/>
  <c r="O28" i="150"/>
  <c r="R28" s="1"/>
  <c r="O28" i="167"/>
  <c r="R28" s="1"/>
  <c r="K28" i="158"/>
  <c r="N28" s="1"/>
  <c r="D29" i="143"/>
  <c r="C29" i="165"/>
  <c r="K29"/>
  <c r="N29" s="1"/>
  <c r="AS25" i="161"/>
  <c r="AR27" i="56"/>
  <c r="AI23" i="137"/>
  <c r="D23"/>
  <c r="AB67" i="118"/>
  <c r="B30" i="145"/>
  <c r="B30" i="144"/>
  <c r="AM19" i="142" s="1"/>
  <c r="B30" i="153"/>
  <c r="B30" i="168"/>
  <c r="B30" i="154"/>
  <c r="B30" i="151"/>
  <c r="B30" i="166"/>
  <c r="B30" i="165"/>
  <c r="B30" i="162"/>
  <c r="C30" s="1"/>
  <c r="B30" i="167"/>
  <c r="B30" i="155"/>
  <c r="B30" i="159"/>
  <c r="B30" i="149"/>
  <c r="B30" i="158"/>
  <c r="B30" i="164"/>
  <c r="B30" i="143"/>
  <c r="B30" i="150"/>
  <c r="B30" i="56"/>
  <c r="B30" i="171"/>
  <c r="I23" i="137"/>
  <c r="J23" s="1"/>
  <c r="AS26" i="56"/>
  <c r="J74" i="189"/>
  <c r="AA29" i="162"/>
  <c r="AR26" i="159"/>
  <c r="S29" i="162"/>
  <c r="V29" s="1"/>
  <c r="J29" i="144"/>
  <c r="AF29" s="1"/>
  <c r="AR26" i="165"/>
  <c r="AR26" i="168"/>
  <c r="X28" i="166"/>
  <c r="AB28"/>
  <c r="G29" i="56"/>
  <c r="AD29" s="1"/>
  <c r="O29" i="162"/>
  <c r="R29" s="1"/>
  <c r="G29" i="154"/>
  <c r="AD29" s="1"/>
  <c r="AR24" i="147"/>
  <c r="AF28" i="163"/>
  <c r="K12" i="189"/>
  <c r="N797" i="175"/>
  <c r="K74" i="189" s="1"/>
  <c r="D29" i="164"/>
  <c r="D29" i="154"/>
  <c r="K29" s="1"/>
  <c r="N29" s="1"/>
  <c r="AR26" i="167"/>
  <c r="J26" i="148"/>
  <c r="I25"/>
  <c r="AF25"/>
  <c r="C24" i="137"/>
  <c r="G24"/>
  <c r="E24"/>
  <c r="X28" i="171"/>
  <c r="AB253" i="118"/>
  <c r="H25" i="51"/>
  <c r="I25" s="1"/>
  <c r="AJ27" i="167"/>
  <c r="AA27" i="161"/>
  <c r="AR26" i="151"/>
  <c r="X30" i="162"/>
  <c r="AB30"/>
  <c r="AJ29"/>
  <c r="X28" i="150"/>
  <c r="AB28"/>
  <c r="AJ28" s="1"/>
  <c r="J29" i="155"/>
  <c r="AF29" s="1"/>
  <c r="J29" i="167"/>
  <c r="AF29" s="1"/>
  <c r="AB28" i="161"/>
  <c r="C28"/>
  <c r="X28"/>
  <c r="AD28" i="165"/>
  <c r="AJ27" i="166"/>
  <c r="AA26" i="146"/>
  <c r="G29" i="143"/>
  <c r="AD29" s="1"/>
  <c r="G29" i="171"/>
  <c r="AD29" s="1"/>
  <c r="G29" i="166"/>
  <c r="AD29" s="1"/>
  <c r="G29" i="144"/>
  <c r="AD29" s="1"/>
  <c r="AS25" i="145"/>
  <c r="AA24" i="148"/>
  <c r="F27" i="149"/>
  <c r="AD27"/>
  <c r="O27"/>
  <c r="R27" s="1"/>
  <c r="G24" i="51"/>
  <c r="X20" i="49"/>
  <c r="AR25" i="146"/>
  <c r="X28" i="155"/>
  <c r="AA28" s="1"/>
  <c r="AB28"/>
  <c r="AJ28" s="1"/>
  <c r="AK23" i="51"/>
  <c r="AB16" i="118"/>
  <c r="AV23" i="51"/>
  <c r="AX23" s="1"/>
  <c r="B16" i="72"/>
  <c r="D16" s="1"/>
  <c r="I16" s="1"/>
  <c r="H16" s="1"/>
  <c r="G16" s="1"/>
  <c r="F16" s="1"/>
  <c r="E16" s="1"/>
  <c r="AA27" i="145"/>
  <c r="D29" i="159"/>
  <c r="K29" s="1"/>
  <c r="N29" s="1"/>
  <c r="D29" i="149"/>
  <c r="K29" s="1"/>
  <c r="N29" s="1"/>
  <c r="D29" i="166"/>
  <c r="K29" s="1"/>
  <c r="N29" s="1"/>
  <c r="D29" i="56"/>
  <c r="D29" i="151"/>
  <c r="K29" s="1"/>
  <c r="N29" s="1"/>
  <c r="AJ27" i="153"/>
  <c r="J28" i="146"/>
  <c r="I27"/>
  <c r="AF27"/>
  <c r="AS25" i="168"/>
  <c r="AR26" i="150"/>
  <c r="T23" i="49"/>
  <c r="U22"/>
  <c r="AB28" i="149"/>
  <c r="AJ27" i="154"/>
  <c r="Z22" i="49"/>
  <c r="M22"/>
  <c r="J23"/>
  <c r="AA27" i="167"/>
  <c r="AA27" i="151"/>
  <c r="AJ27" i="165"/>
  <c r="AF30" i="162"/>
  <c r="X28" i="145"/>
  <c r="AB28"/>
  <c r="X28" i="151"/>
  <c r="AC28"/>
  <c r="J29" i="171"/>
  <c r="AF29" s="1"/>
  <c r="J29" i="164"/>
  <c r="AF29" s="1"/>
  <c r="J29" i="145"/>
  <c r="AF29" s="1"/>
  <c r="J29" i="149"/>
  <c r="AF29" s="1"/>
  <c r="J29" i="151"/>
  <c r="AF29" s="1"/>
  <c r="G26" i="148"/>
  <c r="F25"/>
  <c r="AD25"/>
  <c r="AF28" i="161"/>
  <c r="I28"/>
  <c r="AR26" i="145"/>
  <c r="AS25" i="154"/>
  <c r="AA27" i="166"/>
  <c r="AS24" i="146"/>
  <c r="AR28" i="162"/>
  <c r="BK29" i="164"/>
  <c r="BL29" s="1"/>
  <c r="G29"/>
  <c r="AD29" s="1"/>
  <c r="G29" i="159"/>
  <c r="AD29" s="1"/>
  <c r="BC29" i="149"/>
  <c r="BB29"/>
  <c r="G29" i="153"/>
  <c r="AD29" s="1"/>
  <c r="G29" i="165"/>
  <c r="AS25" i="153"/>
  <c r="AD27" i="163"/>
  <c r="F9" i="189"/>
  <c r="I794" i="175"/>
  <c r="J5" i="189"/>
  <c r="M790" i="175"/>
  <c r="J67" i="189" s="1"/>
  <c r="K23" i="49"/>
  <c r="S28" i="155"/>
  <c r="V28" s="1"/>
  <c r="K28" i="166"/>
  <c r="N28" s="1"/>
  <c r="AV501" i="175"/>
  <c r="K28" i="153"/>
  <c r="N28" s="1"/>
  <c r="AR23" i="148"/>
  <c r="O28" i="154"/>
  <c r="R28" s="1"/>
  <c r="K28" i="164"/>
  <c r="N28" s="1"/>
  <c r="S28" i="149"/>
  <c r="V28" s="1"/>
  <c r="AS25" i="150"/>
  <c r="X27" i="149"/>
  <c r="S28" i="168"/>
  <c r="V28" s="1"/>
  <c r="K28" i="150"/>
  <c r="N28" s="1"/>
  <c r="S28" i="56"/>
  <c r="V28" s="1"/>
  <c r="O28" i="165"/>
  <c r="R28" s="1"/>
  <c r="O28" i="56"/>
  <c r="R28" s="1"/>
  <c r="S28" i="145"/>
  <c r="V28" s="1"/>
  <c r="O28" i="164"/>
  <c r="R28" s="1"/>
  <c r="K28" i="159"/>
  <c r="N28" s="1"/>
  <c r="O28" i="144"/>
  <c r="R28" s="1"/>
  <c r="O28" i="158"/>
  <c r="R28" s="1"/>
  <c r="P175" i="175"/>
  <c r="J383"/>
  <c r="K197"/>
  <c r="T14" i="120"/>
  <c r="N13" i="71"/>
  <c r="P54" i="175"/>
  <c r="O378"/>
  <c r="H176"/>
  <c r="C14" i="120"/>
  <c r="P52" i="175"/>
  <c r="X9" i="67"/>
  <c r="V15" i="119"/>
  <c r="O9" i="140"/>
  <c r="K198" i="175"/>
  <c r="P144"/>
  <c r="H695"/>
  <c r="V14" i="119"/>
  <c r="D13" i="68"/>
  <c r="B6" i="64"/>
  <c r="V13" i="68"/>
  <c r="I692" i="175"/>
  <c r="J380"/>
  <c r="S25" i="152"/>
  <c r="N697" i="175"/>
  <c r="H30" i="163"/>
  <c r="N689" i="175"/>
  <c r="P263"/>
  <c r="O675"/>
  <c r="P145"/>
  <c r="U14" i="120"/>
  <c r="O658" i="175"/>
  <c r="W14" i="67"/>
  <c r="J660" i="175"/>
  <c r="Q206"/>
  <c r="F11" i="64"/>
  <c r="M42" i="175"/>
  <c r="K256"/>
  <c r="M690"/>
  <c r="K260"/>
  <c r="U13" i="71"/>
  <c r="O676" i="175"/>
  <c r="N387"/>
  <c r="P143"/>
  <c r="K39"/>
  <c r="Q15" i="71"/>
  <c r="K14" i="120"/>
  <c r="K25" i="148"/>
  <c r="D15" i="119"/>
  <c r="K23" i="160"/>
  <c r="E29" i="146"/>
  <c r="P138" i="175"/>
  <c r="L14" i="120"/>
  <c r="P174" i="175"/>
  <c r="O392"/>
  <c r="R13" i="120"/>
  <c r="P55" i="175"/>
  <c r="W14" i="119"/>
  <c r="S29" i="163"/>
  <c r="P173" i="175"/>
  <c r="P130"/>
  <c r="O395"/>
  <c r="O28" i="146"/>
  <c r="Q16" i="67"/>
  <c r="W14" i="140"/>
  <c r="E13"/>
  <c r="O27" i="147"/>
  <c r="X8" i="68"/>
  <c r="L137" i="175"/>
  <c r="H691"/>
  <c r="I14" i="68"/>
  <c r="S11"/>
  <c r="Q208" i="175"/>
  <c r="J136"/>
  <c r="K14" i="67"/>
  <c r="I15" i="119"/>
  <c r="S24" i="152"/>
  <c r="D14" i="140"/>
  <c r="B14" i="120"/>
  <c r="P141" i="175"/>
  <c r="S26" i="148"/>
  <c r="N14" i="119"/>
  <c r="J15"/>
  <c r="N659" i="175"/>
  <c r="L14" i="67"/>
  <c r="P43" i="175"/>
  <c r="O25" i="152"/>
  <c r="L14" i="64"/>
  <c r="K657" i="175"/>
  <c r="D14" i="120"/>
  <c r="Q272" i="175"/>
  <c r="Q271"/>
  <c r="V13" i="71"/>
  <c r="H50" i="175"/>
  <c r="R14" i="67"/>
  <c r="T15" i="119"/>
  <c r="L191" i="175"/>
  <c r="P15" i="120"/>
  <c r="H693" i="175"/>
  <c r="O235"/>
  <c r="Q15" i="68"/>
  <c r="N234" i="175"/>
  <c r="Q273"/>
  <c r="M389"/>
  <c r="M14" i="119"/>
  <c r="P44" i="175"/>
  <c r="F11" i="67"/>
  <c r="I13" i="71"/>
  <c r="N710" i="175"/>
  <c r="R12" i="68"/>
  <c r="S28" i="146"/>
  <c r="P151" i="175"/>
  <c r="K133"/>
  <c r="P131"/>
  <c r="M698"/>
  <c r="I14" i="119"/>
  <c r="I693" i="175"/>
  <c r="H13" i="120"/>
  <c r="P13" i="71"/>
  <c r="S12"/>
  <c r="Q15" i="140"/>
  <c r="X9"/>
  <c r="G10" i="119"/>
  <c r="O666" i="175"/>
  <c r="K194"/>
  <c r="J13" i="68"/>
  <c r="K129" i="175"/>
  <c r="G10" i="71"/>
  <c r="B24" i="160"/>
  <c r="H14" i="140"/>
  <c r="O8" i="119"/>
  <c r="O202" i="175"/>
  <c r="Q17" i="69"/>
  <c r="J377" i="175"/>
  <c r="Q267"/>
  <c r="E30" i="161"/>
  <c r="P192" i="175"/>
  <c r="M261"/>
  <c r="J664"/>
  <c r="G11" i="67"/>
  <c r="P269" i="175"/>
  <c r="U14" i="140"/>
  <c r="I695" i="175"/>
  <c r="X9" i="64"/>
  <c r="O193" i="175"/>
  <c r="I14" i="67"/>
  <c r="P146" i="175"/>
  <c r="M699"/>
  <c r="K696"/>
  <c r="N703"/>
  <c r="X10" i="120"/>
  <c r="I688" i="175"/>
  <c r="L665"/>
  <c r="B30" i="163"/>
  <c r="T15" i="140"/>
  <c r="O672" i="175"/>
  <c r="Q209"/>
  <c r="P14" i="64"/>
  <c r="D14"/>
  <c r="P262" i="175"/>
  <c r="K14" i="140"/>
  <c r="T13" i="68"/>
  <c r="V14" i="67"/>
  <c r="E28" i="147"/>
  <c r="M14" i="120"/>
  <c r="H14"/>
  <c r="O24" i="160"/>
  <c r="B14" i="140"/>
  <c r="H30" i="161"/>
  <c r="K14" i="119"/>
  <c r="J694" i="175"/>
  <c r="K15" i="119"/>
  <c r="O45" i="175"/>
  <c r="J382"/>
  <c r="H29" i="146"/>
  <c r="E13" i="64"/>
  <c r="W15" i="119"/>
  <c r="L15"/>
  <c r="J132" i="175"/>
  <c r="F12" i="120"/>
  <c r="S14" i="140"/>
  <c r="J692" i="175"/>
  <c r="H13" i="67"/>
  <c r="C14" i="140"/>
  <c r="O399" i="175"/>
  <c r="O207"/>
  <c r="O7" i="68"/>
  <c r="P148" i="175"/>
  <c r="X9" i="119"/>
  <c r="O8" i="71"/>
  <c r="L13"/>
  <c r="F11" i="68"/>
  <c r="U14" i="119"/>
  <c r="U14" i="64"/>
  <c r="R14" i="140"/>
  <c r="P266" i="175"/>
  <c r="J657"/>
  <c r="K14" i="64"/>
  <c r="V14" i="120"/>
  <c r="K40" i="175"/>
  <c r="D14" i="67"/>
  <c r="P254" i="175"/>
  <c r="R13" i="71"/>
  <c r="N706" i="175"/>
  <c r="W14" i="120"/>
  <c r="U13" i="68"/>
  <c r="E12" i="71"/>
  <c r="L14" i="140"/>
  <c r="M14" i="64"/>
  <c r="S14" i="119"/>
  <c r="X9" i="71"/>
  <c r="O26" i="148"/>
  <c r="K13" i="68"/>
  <c r="O667" i="175"/>
  <c r="K196"/>
  <c r="P147"/>
  <c r="K29" i="161"/>
  <c r="H25" i="160"/>
  <c r="E27" i="148"/>
  <c r="N235" i="175"/>
  <c r="S29" i="161"/>
  <c r="R14" i="119"/>
  <c r="E13" i="120"/>
  <c r="B26" i="148"/>
  <c r="Q275" i="175"/>
  <c r="Q205"/>
  <c r="K29" i="146"/>
  <c r="U15" i="119"/>
  <c r="P149" i="175"/>
  <c r="Q264"/>
  <c r="N14" i="120"/>
  <c r="H13" i="64"/>
  <c r="H24" i="160"/>
  <c r="E14" i="119"/>
  <c r="P49" i="175"/>
  <c r="N379"/>
  <c r="K26" i="147"/>
  <c r="I14" i="140"/>
  <c r="Q274" i="175"/>
  <c r="Q212"/>
  <c r="J14" i="120"/>
  <c r="K34" i="175"/>
  <c r="O36"/>
  <c r="P35"/>
  <c r="H12" i="68"/>
  <c r="O236" i="175"/>
  <c r="B25" i="152"/>
  <c r="O28" i="163"/>
  <c r="N709" i="175"/>
  <c r="E26" i="152"/>
  <c r="P56" i="175"/>
  <c r="J662"/>
  <c r="N707"/>
  <c r="N14" i="67"/>
  <c r="B6"/>
  <c r="I14" i="64"/>
  <c r="G11" i="120"/>
  <c r="H27" i="148"/>
  <c r="P139" i="175"/>
  <c r="H28" i="147"/>
  <c r="J13" i="71"/>
  <c r="O396" i="175"/>
  <c r="P150"/>
  <c r="M199"/>
  <c r="O201"/>
  <c r="V14" i="140"/>
  <c r="O30" i="161"/>
  <c r="K258" i="175"/>
  <c r="Q268"/>
  <c r="M14" i="140"/>
  <c r="U14" i="67"/>
  <c r="Q15" i="120"/>
  <c r="S24" i="160"/>
  <c r="Q211" i="175"/>
  <c r="L134"/>
  <c r="W14" i="64"/>
  <c r="N236" i="175"/>
  <c r="B28" i="147"/>
  <c r="I14" i="120"/>
  <c r="W13" i="71"/>
  <c r="P13" i="68"/>
  <c r="P140" i="175"/>
  <c r="E29" i="163"/>
  <c r="P14" i="140"/>
  <c r="Q213" i="175"/>
  <c r="N14" i="64"/>
  <c r="N14" i="140"/>
  <c r="O677" i="175"/>
  <c r="O397"/>
  <c r="M13" i="68"/>
  <c r="K13" i="71"/>
  <c r="N669" i="175"/>
  <c r="K661"/>
  <c r="V14" i="64"/>
  <c r="N388" i="175"/>
  <c r="K381"/>
  <c r="Q210"/>
  <c r="F12" i="140"/>
  <c r="S27" i="147"/>
  <c r="P172" i="175"/>
  <c r="F11" i="119"/>
  <c r="O398" i="175"/>
  <c r="O204"/>
  <c r="L700"/>
  <c r="M13" i="71"/>
  <c r="O203" i="175"/>
  <c r="E25" i="160"/>
  <c r="Q16" i="64"/>
  <c r="N13" i="68"/>
  <c r="S442" i="175"/>
  <c r="G11" i="140"/>
  <c r="H26" i="152"/>
  <c r="L195" i="175"/>
  <c r="S14" i="120"/>
  <c r="D13" i="71"/>
  <c r="J14" i="67"/>
  <c r="N15" i="119"/>
  <c r="B30" i="161"/>
  <c r="B29" i="146"/>
  <c r="O678" i="175"/>
  <c r="P14" i="67"/>
  <c r="Q15" i="119"/>
  <c r="W13" i="68"/>
  <c r="P53" i="175"/>
  <c r="L135"/>
  <c r="O386"/>
  <c r="G11" i="64"/>
  <c r="Q200" i="175"/>
  <c r="J14" i="64"/>
  <c r="P14" i="119"/>
  <c r="K24" i="152"/>
  <c r="E13" i="67"/>
  <c r="J14" i="140"/>
  <c r="H15" i="119"/>
  <c r="X8" i="71"/>
  <c r="O679" i="175"/>
  <c r="F11" i="71"/>
  <c r="E12" i="68"/>
  <c r="K259" i="175"/>
  <c r="I691"/>
  <c r="P265"/>
  <c r="L13" i="68"/>
  <c r="O234" i="175"/>
  <c r="I384"/>
  <c r="K29" i="163"/>
  <c r="R14" i="64"/>
  <c r="M14" i="67"/>
  <c r="Q270" i="175"/>
  <c r="O255"/>
  <c r="B6" i="119"/>
  <c r="S440" i="175"/>
  <c r="N708"/>
  <c r="O9" i="120"/>
  <c r="CA9" i="118" l="1"/>
  <c r="BZ9" s="1"/>
  <c r="BW9" s="1"/>
  <c r="AD9"/>
  <c r="P772" i="175"/>
  <c r="M49" i="189" s="1"/>
  <c r="AS49" s="1"/>
  <c r="AV175" i="175"/>
  <c r="P36" i="190"/>
  <c r="S473" i="175"/>
  <c r="Q13" i="72"/>
  <c r="BL248" i="118"/>
  <c r="BL13"/>
  <c r="AZ158"/>
  <c r="AZ111"/>
  <c r="O738" i="175"/>
  <c r="L15" i="189" s="1"/>
  <c r="AV265" i="175"/>
  <c r="J788"/>
  <c r="G65" i="189" s="1"/>
  <c r="K14"/>
  <c r="L638" i="175"/>
  <c r="N769"/>
  <c r="O769"/>
  <c r="L46" i="189" s="1"/>
  <c r="AR25" i="164"/>
  <c r="J46" i="189"/>
  <c r="M800" i="175"/>
  <c r="J77" i="189" s="1"/>
  <c r="BA252" i="118"/>
  <c r="BA111"/>
  <c r="BA158"/>
  <c r="BA17"/>
  <c r="M637" i="175"/>
  <c r="O737"/>
  <c r="L14" i="189" s="1"/>
  <c r="AR26" i="149"/>
  <c r="AS25"/>
  <c r="AR22" i="152"/>
  <c r="X9" i="118"/>
  <c r="BE154"/>
  <c r="BE107"/>
  <c r="BE59"/>
  <c r="I633" i="175"/>
  <c r="H633"/>
  <c r="J733"/>
  <c r="AJ22" i="160"/>
  <c r="I795" i="175"/>
  <c r="F72" i="189" s="1"/>
  <c r="F10"/>
  <c r="BL60" i="118"/>
  <c r="I626" i="175"/>
  <c r="K726"/>
  <c r="H3" i="189" s="1"/>
  <c r="AJ23" i="152"/>
  <c r="G7" i="189"/>
  <c r="I630" i="175"/>
  <c r="AS21" i="152"/>
  <c r="I756" i="175"/>
  <c r="F33" i="189" s="1"/>
  <c r="I791" i="175"/>
  <c r="F68" i="189" s="1"/>
  <c r="J729" i="175"/>
  <c r="G6" i="189" s="1"/>
  <c r="BD61" i="118"/>
  <c r="N23" i="160"/>
  <c r="N25" i="148"/>
  <c r="D25" i="152"/>
  <c r="X25" s="1"/>
  <c r="L734" i="175"/>
  <c r="I11" i="189" s="1"/>
  <c r="BI59" i="118"/>
  <c r="K730" i="175"/>
  <c r="K792" s="1"/>
  <c r="H69" i="189" s="1"/>
  <c r="N26" i="147"/>
  <c r="V24" i="152"/>
  <c r="N24"/>
  <c r="BH60" i="118"/>
  <c r="AC15" i="72"/>
  <c r="D24" i="160"/>
  <c r="X24" s="1"/>
  <c r="C23"/>
  <c r="AB23"/>
  <c r="D26" i="148"/>
  <c r="X26" s="1"/>
  <c r="AB25"/>
  <c r="C25"/>
  <c r="C26" i="147"/>
  <c r="AB26"/>
  <c r="AJ26" s="1"/>
  <c r="D27"/>
  <c r="AB24" i="152"/>
  <c r="AF24"/>
  <c r="X23" i="160"/>
  <c r="AJ24" i="148"/>
  <c r="X24" i="152"/>
  <c r="K796" i="175"/>
  <c r="H73" i="189" s="1"/>
  <c r="X26" i="147"/>
  <c r="AA26" s="1"/>
  <c r="AY111" i="118"/>
  <c r="AY158"/>
  <c r="AV266" i="175"/>
  <c r="AV173"/>
  <c r="BH108" i="118"/>
  <c r="BH155"/>
  <c r="J630" i="175"/>
  <c r="BK159" i="118"/>
  <c r="BK112"/>
  <c r="AQ65"/>
  <c r="AR18"/>
  <c r="AT18"/>
  <c r="BD156"/>
  <c r="BD109"/>
  <c r="AU159"/>
  <c r="AU112"/>
  <c r="AR65"/>
  <c r="BI154"/>
  <c r="BI107"/>
  <c r="AW65"/>
  <c r="AS66"/>
  <c r="AP112"/>
  <c r="AP159"/>
  <c r="BD15"/>
  <c r="AR253"/>
  <c r="AQ18"/>
  <c r="AS65"/>
  <c r="AP66"/>
  <c r="BB65"/>
  <c r="AT253"/>
  <c r="AQ159"/>
  <c r="AQ112"/>
  <c r="BD250"/>
  <c r="AP65"/>
  <c r="AT66"/>
  <c r="AS18"/>
  <c r="BB158"/>
  <c r="BB111"/>
  <c r="AR112"/>
  <c r="AR159"/>
  <c r="AR66"/>
  <c r="AP18"/>
  <c r="AS159"/>
  <c r="AS112"/>
  <c r="AQ253"/>
  <c r="AP253"/>
  <c r="AT159"/>
  <c r="AT112"/>
  <c r="AS253"/>
  <c r="AV57"/>
  <c r="AD57" s="1"/>
  <c r="BM10" s="1"/>
  <c r="AV245"/>
  <c r="AV10"/>
  <c r="AV172" i="175"/>
  <c r="H629"/>
  <c r="H64"/>
  <c r="H127" s="1"/>
  <c r="P743"/>
  <c r="AV146"/>
  <c r="M636"/>
  <c r="N644"/>
  <c r="AV192"/>
  <c r="AV263"/>
  <c r="N645"/>
  <c r="N648"/>
  <c r="AV55"/>
  <c r="AV53"/>
  <c r="N252"/>
  <c r="P747"/>
  <c r="AV150"/>
  <c r="P748"/>
  <c r="AV748" s="1"/>
  <c r="AV151"/>
  <c r="AV54"/>
  <c r="N646"/>
  <c r="AV131"/>
  <c r="AV262"/>
  <c r="AV52"/>
  <c r="P746"/>
  <c r="AV149"/>
  <c r="P740"/>
  <c r="M17" i="189" s="1"/>
  <c r="AS17" s="1"/>
  <c r="AV143" i="175"/>
  <c r="N647"/>
  <c r="I629"/>
  <c r="K634"/>
  <c r="P744"/>
  <c r="AV147"/>
  <c r="AV140"/>
  <c r="AV56"/>
  <c r="P745"/>
  <c r="AV148"/>
  <c r="O252"/>
  <c r="O736"/>
  <c r="L13" i="189" s="1"/>
  <c r="H190" i="175"/>
  <c r="AJ26" i="164"/>
  <c r="AJ28" i="158"/>
  <c r="K84" i="189"/>
  <c r="L24"/>
  <c r="O809" i="175"/>
  <c r="L25" i="189"/>
  <c r="O810" i="175"/>
  <c r="L87" i="189" s="1"/>
  <c r="AJ28" i="159"/>
  <c r="AA25" i="148"/>
  <c r="K83" i="189"/>
  <c r="L21"/>
  <c r="O806" i="175"/>
  <c r="L83" i="189" s="1"/>
  <c r="L23"/>
  <c r="O808" i="175"/>
  <c r="L85" i="189" s="1"/>
  <c r="L20"/>
  <c r="N798" i="175"/>
  <c r="K75" i="189" s="1"/>
  <c r="AJ27" i="164"/>
  <c r="AJ27" i="163"/>
  <c r="AJ20" i="143"/>
  <c r="L22" i="189"/>
  <c r="O807" i="175"/>
  <c r="L84" i="189" s="1"/>
  <c r="AR26" i="163"/>
  <c r="AG10" i="72"/>
  <c r="AC21" i="143"/>
  <c r="X21"/>
  <c r="N21"/>
  <c r="AA20"/>
  <c r="M22"/>
  <c r="L22" s="1"/>
  <c r="AD153" i="118"/>
  <c r="G656" i="175"/>
  <c r="AG66" i="118"/>
  <c r="AG20"/>
  <c r="AG255"/>
  <c r="AG113"/>
  <c r="AG160"/>
  <c r="E33" i="189"/>
  <c r="X28" i="149"/>
  <c r="G8" i="189"/>
  <c r="BG154" i="118"/>
  <c r="BG107"/>
  <c r="BG61"/>
  <c r="BL155"/>
  <c r="BL108"/>
  <c r="BG13"/>
  <c r="BG248"/>
  <c r="H631" i="175"/>
  <c r="K731"/>
  <c r="H8" i="189" s="1"/>
  <c r="I631" i="175"/>
  <c r="AJ27" i="149"/>
  <c r="AD106" i="118"/>
  <c r="AS20" i="160"/>
  <c r="AS21" s="1"/>
  <c r="S29" i="166"/>
  <c r="V29" s="1"/>
  <c r="O29" i="144"/>
  <c r="R29" s="1"/>
  <c r="S29" i="167"/>
  <c r="V29" s="1"/>
  <c r="S29" i="143"/>
  <c r="V29" s="1"/>
  <c r="O29" i="168"/>
  <c r="R29" s="1"/>
  <c r="AB15" i="72"/>
  <c r="S29" i="154"/>
  <c r="V29" s="1"/>
  <c r="O29" i="159"/>
  <c r="R29" s="1"/>
  <c r="O29" i="154"/>
  <c r="R29" s="1"/>
  <c r="S29" i="144"/>
  <c r="V29" s="1"/>
  <c r="F28" i="149"/>
  <c r="S29" i="150"/>
  <c r="V29" s="1"/>
  <c r="AX112" i="118"/>
  <c r="AX159"/>
  <c r="BD29" i="149"/>
  <c r="G29" s="1"/>
  <c r="F29" s="1"/>
  <c r="S29" i="168"/>
  <c r="V29" s="1"/>
  <c r="O29" i="155"/>
  <c r="R29" s="1"/>
  <c r="S29" i="171"/>
  <c r="V29" s="1"/>
  <c r="AR28" i="155"/>
  <c r="O29" i="143"/>
  <c r="R29" s="1"/>
  <c r="AD28" i="149"/>
  <c r="O29" i="158"/>
  <c r="R29" s="1"/>
  <c r="O29" i="56"/>
  <c r="R29" s="1"/>
  <c r="O29" i="167"/>
  <c r="R29" s="1"/>
  <c r="BU27" i="164"/>
  <c r="BV27" s="1"/>
  <c r="X27" s="1"/>
  <c r="O29" i="153"/>
  <c r="R29" s="1"/>
  <c r="S29" i="145"/>
  <c r="V29" s="1"/>
  <c r="AR28" i="56"/>
  <c r="BA159" i="118"/>
  <c r="BA112"/>
  <c r="BJ111"/>
  <c r="BJ158"/>
  <c r="O742" i="175"/>
  <c r="K283"/>
  <c r="AV254"/>
  <c r="AV269"/>
  <c r="AZ65" i="118"/>
  <c r="BK65"/>
  <c r="V28" i="146"/>
  <c r="AV43" i="175"/>
  <c r="BC18" i="118"/>
  <c r="T18" i="72"/>
  <c r="BC253" i="118"/>
  <c r="P741" i="175"/>
  <c r="AV144"/>
  <c r="R30" i="161"/>
  <c r="AE18" i="72"/>
  <c r="AV139" i="175"/>
  <c r="AV35"/>
  <c r="BK253" i="118"/>
  <c r="X18" i="72"/>
  <c r="BK18" i="118"/>
  <c r="W20" i="72"/>
  <c r="V26" i="148"/>
  <c r="J26" i="152"/>
  <c r="J30" i="163"/>
  <c r="N635" i="175"/>
  <c r="Z18" i="72"/>
  <c r="BJ252" i="118"/>
  <c r="AD17" i="72"/>
  <c r="BJ17" i="118"/>
  <c r="R18" i="72"/>
  <c r="R27" i="147"/>
  <c r="AV141" i="175"/>
  <c r="R25" i="152"/>
  <c r="V29" i="163"/>
  <c r="AV158" i="118"/>
  <c r="AV111"/>
  <c r="BJ65"/>
  <c r="BF61"/>
  <c r="AW112"/>
  <c r="AW159"/>
  <c r="BC159"/>
  <c r="BC112"/>
  <c r="BC65"/>
  <c r="AW66"/>
  <c r="BA66"/>
  <c r="K221" i="175"/>
  <c r="K732"/>
  <c r="BF154" i="118"/>
  <c r="BF107"/>
  <c r="G29" i="163"/>
  <c r="X29" s="1"/>
  <c r="AV174" i="175"/>
  <c r="P727"/>
  <c r="AV727" s="1"/>
  <c r="AV130"/>
  <c r="N29" i="161"/>
  <c r="C29" i="146"/>
  <c r="N29"/>
  <c r="AV44" i="175"/>
  <c r="BB253" i="118"/>
  <c r="BB18"/>
  <c r="P735" i="175"/>
  <c r="AV735" s="1"/>
  <c r="AV138"/>
  <c r="D30" i="163"/>
  <c r="N627" i="175"/>
  <c r="V29" i="161"/>
  <c r="R24" i="160"/>
  <c r="R28" i="146"/>
  <c r="P34" i="190"/>
  <c r="S470" i="175"/>
  <c r="S471"/>
  <c r="P52" i="190" s="1"/>
  <c r="AI392" i="118"/>
  <c r="S18" i="72"/>
  <c r="V25" i="152"/>
  <c r="R26" i="148"/>
  <c r="G26" i="152"/>
  <c r="AA18" i="72"/>
  <c r="M628" i="175"/>
  <c r="BF248" i="118"/>
  <c r="BF13"/>
  <c r="AV145" i="175"/>
  <c r="V27" i="147"/>
  <c r="AV49" i="175"/>
  <c r="Y18" i="72"/>
  <c r="AW253" i="118"/>
  <c r="AW18"/>
  <c r="J632" i="175"/>
  <c r="N641"/>
  <c r="O728"/>
  <c r="V24" i="160"/>
  <c r="R28" i="163"/>
  <c r="N29"/>
  <c r="AS28" i="162"/>
  <c r="J29" i="146"/>
  <c r="I28"/>
  <c r="AF28"/>
  <c r="X29" i="56"/>
  <c r="AA29" s="1"/>
  <c r="AB29"/>
  <c r="AJ29" s="1"/>
  <c r="AJ28" i="165"/>
  <c r="AZ25" i="51"/>
  <c r="J25"/>
  <c r="AW25"/>
  <c r="AA28" i="166"/>
  <c r="AR29" i="162"/>
  <c r="D30" i="171"/>
  <c r="AB30" s="1"/>
  <c r="D30" i="155"/>
  <c r="BN28" i="164"/>
  <c r="BU28" s="1"/>
  <c r="BV28" s="1"/>
  <c r="X28" s="1"/>
  <c r="J30" i="153"/>
  <c r="AF30" s="1"/>
  <c r="J30" i="154"/>
  <c r="AF30" s="1"/>
  <c r="J30" i="144"/>
  <c r="AF30" s="1"/>
  <c r="AJ28" i="154"/>
  <c r="K66" i="189"/>
  <c r="G30" i="143"/>
  <c r="AD30" s="1"/>
  <c r="O30" i="162"/>
  <c r="R30" s="1"/>
  <c r="G30" i="165"/>
  <c r="AR27" i="168"/>
  <c r="L12" i="189"/>
  <c r="O797" i="175"/>
  <c r="L74" i="189" s="1"/>
  <c r="AA28" i="145"/>
  <c r="AB254" i="118"/>
  <c r="X29" i="171"/>
  <c r="H26" i="51"/>
  <c r="I26" s="1"/>
  <c r="J30" i="149"/>
  <c r="AF30" s="1"/>
  <c r="J30" i="145"/>
  <c r="AF30" s="1"/>
  <c r="J30" i="168"/>
  <c r="AF30" s="1"/>
  <c r="AR27" i="150"/>
  <c r="G30" i="56"/>
  <c r="AD30" s="1"/>
  <c r="BC30" i="149"/>
  <c r="BB30"/>
  <c r="AS26" i="158"/>
  <c r="AJ28" i="153"/>
  <c r="AA28" i="158"/>
  <c r="K19" i="189"/>
  <c r="AA27" i="149"/>
  <c r="AS23" i="148"/>
  <c r="AJ28" i="145"/>
  <c r="AR27" i="165"/>
  <c r="M23" i="49"/>
  <c r="J24"/>
  <c r="Z23"/>
  <c r="T24"/>
  <c r="U23"/>
  <c r="X29" i="151"/>
  <c r="AC29"/>
  <c r="AR26" i="146"/>
  <c r="AA28" i="161"/>
  <c r="AA30" i="162"/>
  <c r="AR27" i="161"/>
  <c r="I26" i="148"/>
  <c r="J27"/>
  <c r="AF26"/>
  <c r="X29" i="154"/>
  <c r="AB29"/>
  <c r="AS26" i="168"/>
  <c r="D30" i="150"/>
  <c r="K30" s="1"/>
  <c r="N30" s="1"/>
  <c r="D30" i="149"/>
  <c r="K30" i="162"/>
  <c r="N30" s="1"/>
  <c r="D30" i="154"/>
  <c r="D30" i="145"/>
  <c r="K30" s="1"/>
  <c r="N30" s="1"/>
  <c r="AA28" i="163"/>
  <c r="AR27" i="159"/>
  <c r="AR27" i="158"/>
  <c r="J30" i="56"/>
  <c r="AF30" s="1"/>
  <c r="J30" i="171"/>
  <c r="AF30" s="1"/>
  <c r="BK30" i="165"/>
  <c r="I30"/>
  <c r="S30"/>
  <c r="V30" s="1"/>
  <c r="J30" i="164"/>
  <c r="AF30" s="1"/>
  <c r="J30" i="151"/>
  <c r="AF30" s="1"/>
  <c r="CC32" i="162"/>
  <c r="D32" s="1"/>
  <c r="CE32"/>
  <c r="J32" s="1"/>
  <c r="CD32"/>
  <c r="G32" s="1"/>
  <c r="CG32"/>
  <c r="AL32" s="1"/>
  <c r="X29" i="168"/>
  <c r="AB29"/>
  <c r="N69" i="190"/>
  <c r="AS26" i="166"/>
  <c r="G30" i="155"/>
  <c r="AD30" s="1"/>
  <c r="G30" i="150"/>
  <c r="AD30" s="1"/>
  <c r="G30" i="166"/>
  <c r="AD30" s="1"/>
  <c r="G30" i="151"/>
  <c r="AD30" s="1"/>
  <c r="G30" i="144"/>
  <c r="AD30" s="1"/>
  <c r="AB29" i="153"/>
  <c r="X29"/>
  <c r="AA28"/>
  <c r="K76" i="189"/>
  <c r="AA27" i="146"/>
  <c r="AA28" i="168"/>
  <c r="F27" i="147"/>
  <c r="G28"/>
  <c r="AD27"/>
  <c r="X31" i="162"/>
  <c r="AB31"/>
  <c r="AJ28" i="167"/>
  <c r="AD25" i="152"/>
  <c r="O803" i="175"/>
  <c r="L80" i="189" s="1"/>
  <c r="L18"/>
  <c r="N790" i="175"/>
  <c r="K67" i="189" s="1"/>
  <c r="K5"/>
  <c r="AF29" i="163"/>
  <c r="K24" i="49"/>
  <c r="O29" i="164"/>
  <c r="R29" s="1"/>
  <c r="S29" i="151"/>
  <c r="V29" s="1"/>
  <c r="AS26" i="150"/>
  <c r="O29" i="166"/>
  <c r="R29" s="1"/>
  <c r="L24" i="49"/>
  <c r="O29" i="151"/>
  <c r="R29" s="1"/>
  <c r="S29" i="56"/>
  <c r="V29" s="1"/>
  <c r="O29" i="145"/>
  <c r="R29" s="1"/>
  <c r="S29" i="153"/>
  <c r="V29" s="1"/>
  <c r="AD29" i="165"/>
  <c r="AJ28" i="151"/>
  <c r="AR25" i="147"/>
  <c r="AJ28" i="161"/>
  <c r="H24" i="137"/>
  <c r="BD31" i="161" s="1"/>
  <c r="H31" i="154"/>
  <c r="H31" i="144"/>
  <c r="H31" i="164"/>
  <c r="H31" i="143"/>
  <c r="H31" i="145"/>
  <c r="H31" i="168"/>
  <c r="H31" i="162"/>
  <c r="I31" s="1"/>
  <c r="H31" i="165"/>
  <c r="H31" i="151"/>
  <c r="H31" i="166"/>
  <c r="H31" i="167"/>
  <c r="H31" i="153"/>
  <c r="H31" i="150"/>
  <c r="H31" i="159"/>
  <c r="H31" i="158"/>
  <c r="H31" i="171"/>
  <c r="H31" i="149"/>
  <c r="H31" i="56"/>
  <c r="AB162" i="118"/>
  <c r="H31" i="155"/>
  <c r="AS26" i="167"/>
  <c r="AB29" i="164"/>
  <c r="AS24" i="147"/>
  <c r="D30" i="164"/>
  <c r="D30" i="166"/>
  <c r="K30" s="1"/>
  <c r="N30" s="1"/>
  <c r="D30" i="153"/>
  <c r="K30" s="1"/>
  <c r="N30" s="1"/>
  <c r="C29" i="161"/>
  <c r="AB29"/>
  <c r="X29"/>
  <c r="J30" i="166"/>
  <c r="AF30" s="1"/>
  <c r="AR27" i="154"/>
  <c r="C26" i="13"/>
  <c r="D27"/>
  <c r="AL33" i="171"/>
  <c r="AM33" s="1"/>
  <c r="CB33" i="162"/>
  <c r="AA28" i="159"/>
  <c r="BK30" i="164"/>
  <c r="BL30" s="1"/>
  <c r="G30"/>
  <c r="AD30" s="1"/>
  <c r="G30" i="145"/>
  <c r="AD30" s="1"/>
  <c r="AR27" i="153"/>
  <c r="X29" i="158"/>
  <c r="AB29"/>
  <c r="AD31" i="162"/>
  <c r="AR27" i="151"/>
  <c r="X29" i="166"/>
  <c r="AB29"/>
  <c r="X29" i="159"/>
  <c r="AB29"/>
  <c r="AK24" i="51"/>
  <c r="AB17" i="118"/>
  <c r="B17" i="72"/>
  <c r="D17" s="1"/>
  <c r="I17" s="1"/>
  <c r="H17" s="1"/>
  <c r="G17" s="1"/>
  <c r="F17" s="1"/>
  <c r="E17" s="1"/>
  <c r="AV24" i="51"/>
  <c r="AX24" s="1"/>
  <c r="AA28" i="150"/>
  <c r="AB115" i="118"/>
  <c r="E31" i="144"/>
  <c r="E31" i="165"/>
  <c r="E31" i="154"/>
  <c r="E31" i="167"/>
  <c r="E31" i="162"/>
  <c r="F31" s="1"/>
  <c r="E31" i="151"/>
  <c r="E31" i="149"/>
  <c r="F24" i="137"/>
  <c r="BC31" i="161" s="1"/>
  <c r="BP31" s="1"/>
  <c r="G31" s="1"/>
  <c r="E31" i="145"/>
  <c r="E31" i="168"/>
  <c r="E31" i="166"/>
  <c r="E31" i="153"/>
  <c r="E31" i="143"/>
  <c r="E31" i="150"/>
  <c r="E31" i="159"/>
  <c r="E31" i="155"/>
  <c r="E31" i="171"/>
  <c r="E31" i="56"/>
  <c r="E31" i="158"/>
  <c r="E31" i="164"/>
  <c r="AJ28" i="166"/>
  <c r="AS26" i="165"/>
  <c r="AS26" i="159"/>
  <c r="D30" i="143"/>
  <c r="K30" s="1"/>
  <c r="D30" i="159"/>
  <c r="K30" s="1"/>
  <c r="N30" s="1"/>
  <c r="C30" i="165"/>
  <c r="K30"/>
  <c r="N30" s="1"/>
  <c r="D30" i="168"/>
  <c r="AS26" i="161"/>
  <c r="I29"/>
  <c r="AF29"/>
  <c r="J30" i="155"/>
  <c r="AF30" s="1"/>
  <c r="J30" i="150"/>
  <c r="AF30" s="1"/>
  <c r="F24" i="160"/>
  <c r="AD24"/>
  <c r="G25"/>
  <c r="AS26" i="153"/>
  <c r="X29" i="150"/>
  <c r="AB29"/>
  <c r="AJ29" s="1"/>
  <c r="G30" i="171"/>
  <c r="AD30" s="1"/>
  <c r="G30" i="153"/>
  <c r="AD30" s="1"/>
  <c r="G30" i="154"/>
  <c r="AD30" s="1"/>
  <c r="K80" i="189"/>
  <c r="AD28" i="146"/>
  <c r="F28"/>
  <c r="G29"/>
  <c r="X28"/>
  <c r="AJ28" i="168"/>
  <c r="AM31" i="162"/>
  <c r="X29" i="167"/>
  <c r="AB29"/>
  <c r="AA28"/>
  <c r="AF25" i="152"/>
  <c r="F71" i="189"/>
  <c r="BT29" i="164"/>
  <c r="BM29"/>
  <c r="BP29"/>
  <c r="AR27" i="166"/>
  <c r="AS26" i="145"/>
  <c r="F26" i="148"/>
  <c r="G27"/>
  <c r="AD26"/>
  <c r="AA28" i="151"/>
  <c r="AR27" i="167"/>
  <c r="W22" i="49"/>
  <c r="Z29" i="171"/>
  <c r="AB348" i="118"/>
  <c r="AD348" s="1"/>
  <c r="AB29" i="149"/>
  <c r="AR27" i="145"/>
  <c r="AS25" i="146"/>
  <c r="AJ30" i="162"/>
  <c r="AS26" i="151"/>
  <c r="D24" i="137"/>
  <c r="AB68" i="118"/>
  <c r="AI24" i="137"/>
  <c r="B31" i="154"/>
  <c r="B31" i="167"/>
  <c r="B31" i="151"/>
  <c r="B31" i="145"/>
  <c r="B31" i="165"/>
  <c r="B31" i="144"/>
  <c r="AM20" i="142" s="1"/>
  <c r="B31" i="153"/>
  <c r="B31" i="56"/>
  <c r="B31" i="166"/>
  <c r="B31" i="162"/>
  <c r="B31" i="168"/>
  <c r="B31" i="158"/>
  <c r="B31" i="150"/>
  <c r="B31" i="149"/>
  <c r="B31" i="143"/>
  <c r="B31" i="159"/>
  <c r="B31" i="164"/>
  <c r="B31" i="155"/>
  <c r="B31" i="171"/>
  <c r="I24" i="137"/>
  <c r="J24" s="1"/>
  <c r="D30" i="56"/>
  <c r="D30" i="158"/>
  <c r="K30" s="1"/>
  <c r="N30" s="1"/>
  <c r="D30" i="167"/>
  <c r="D30" i="151"/>
  <c r="D30" i="144"/>
  <c r="K30" s="1"/>
  <c r="I27" i="147"/>
  <c r="J28"/>
  <c r="AF27"/>
  <c r="J30" i="159"/>
  <c r="AF30" s="1"/>
  <c r="J30" i="143"/>
  <c r="AF30" s="1"/>
  <c r="S30" i="162"/>
  <c r="V30" s="1"/>
  <c r="J30" i="158"/>
  <c r="AF30" s="1"/>
  <c r="J30" i="167"/>
  <c r="AF30" s="1"/>
  <c r="BJ30" i="161"/>
  <c r="D30" s="1"/>
  <c r="BV30"/>
  <c r="J30" s="1"/>
  <c r="G25" i="51"/>
  <c r="X21" i="49"/>
  <c r="C25" i="137"/>
  <c r="G25"/>
  <c r="E25"/>
  <c r="X29" i="145"/>
  <c r="AB29"/>
  <c r="AA28" i="154"/>
  <c r="AR27" i="171"/>
  <c r="G30" i="158"/>
  <c r="AD30" s="1"/>
  <c r="G30" i="159"/>
  <c r="AD30" s="1"/>
  <c r="G30" i="168"/>
  <c r="AD30" s="1"/>
  <c r="AD30" i="161"/>
  <c r="F30"/>
  <c r="G30" i="167"/>
  <c r="AD30" s="1"/>
  <c r="AS26" i="154"/>
  <c r="AJ27" i="146"/>
  <c r="AF24" i="160"/>
  <c r="I24"/>
  <c r="J25"/>
  <c r="AF31" i="162"/>
  <c r="X29" i="155"/>
  <c r="AA29" s="1"/>
  <c r="AB29"/>
  <c r="AJ29" s="1"/>
  <c r="AS26"/>
  <c r="AS27" s="1"/>
  <c r="AD28" i="163"/>
  <c r="AB29"/>
  <c r="L4" i="189"/>
  <c r="O789" i="175"/>
  <c r="L66" i="189" s="1"/>
  <c r="BC391" i="118"/>
  <c r="BM391"/>
  <c r="AW391"/>
  <c r="BE391"/>
  <c r="AV391"/>
  <c r="BF391"/>
  <c r="BN391"/>
  <c r="AU391"/>
  <c r="AE391" s="1"/>
  <c r="BJ391"/>
  <c r="BG391"/>
  <c r="BD391"/>
  <c r="BK391"/>
  <c r="AZ391"/>
  <c r="BH391"/>
  <c r="BI391"/>
  <c r="BA391"/>
  <c r="BL391"/>
  <c r="BB391"/>
  <c r="AX391"/>
  <c r="AY391"/>
  <c r="O51" i="190"/>
  <c r="R501" i="175"/>
  <c r="O69" i="190" s="1"/>
  <c r="J794" i="175"/>
  <c r="G71" i="189" s="1"/>
  <c r="G9"/>
  <c r="AJ29" i="171"/>
  <c r="O29" i="165"/>
  <c r="R29" s="1"/>
  <c r="S29" i="155"/>
  <c r="V29" s="1"/>
  <c r="K29" i="164"/>
  <c r="N29" s="1"/>
  <c r="AS27" i="56"/>
  <c r="K29" i="143"/>
  <c r="K29" i="158"/>
  <c r="N29" s="1"/>
  <c r="S29" i="149"/>
  <c r="V29" s="1"/>
  <c r="S29" i="164"/>
  <c r="V29" s="1"/>
  <c r="K29" i="56"/>
  <c r="N29" s="1"/>
  <c r="O29" i="171"/>
  <c r="R29" s="1"/>
  <c r="AS25" i="163"/>
  <c r="O29" i="150"/>
  <c r="R29" s="1"/>
  <c r="S29" i="159"/>
  <c r="V29" s="1"/>
  <c r="F30" i="162"/>
  <c r="K29" i="171"/>
  <c r="N29" s="1"/>
  <c r="S29" i="158"/>
  <c r="V29" s="1"/>
  <c r="Q172" i="175"/>
  <c r="O689"/>
  <c r="X11" i="64"/>
  <c r="H393" i="175"/>
  <c r="M191"/>
  <c r="Q56"/>
  <c r="L259"/>
  <c r="Q262"/>
  <c r="O29" i="163"/>
  <c r="P667" i="175"/>
  <c r="I15" i="64"/>
  <c r="N42" i="175"/>
  <c r="Q35"/>
  <c r="S28" i="147"/>
  <c r="M15" i="67"/>
  <c r="R209" i="175"/>
  <c r="H26" i="160"/>
  <c r="Q130" i="175"/>
  <c r="N15" i="64"/>
  <c r="D15" i="120"/>
  <c r="N699" i="175"/>
  <c r="F13" i="120"/>
  <c r="O697" i="175"/>
  <c r="E14" i="64"/>
  <c r="B7"/>
  <c r="X10" i="67"/>
  <c r="R15" i="119"/>
  <c r="P193" i="175"/>
  <c r="S12" i="68"/>
  <c r="N261" i="175"/>
  <c r="Q44"/>
  <c r="F12" i="68"/>
  <c r="O387" i="175"/>
  <c r="O9" i="119"/>
  <c r="S14" i="64"/>
  <c r="U15"/>
  <c r="Q17"/>
  <c r="H28" i="148"/>
  <c r="H14" i="64"/>
  <c r="L14" i="71"/>
  <c r="L40" i="175"/>
  <c r="S13" i="67"/>
  <c r="P36" i="175"/>
  <c r="I50"/>
  <c r="R15" i="67"/>
  <c r="R205" i="175"/>
  <c r="N15" i="120"/>
  <c r="O31" i="161"/>
  <c r="Q141" i="175"/>
  <c r="P15" i="140"/>
  <c r="Q151" i="175"/>
  <c r="K132"/>
  <c r="H13" i="68"/>
  <c r="Q149" i="175"/>
  <c r="M700"/>
  <c r="P675"/>
  <c r="K382"/>
  <c r="W14" i="71"/>
  <c r="U14"/>
  <c r="D15" i="140"/>
  <c r="U15" i="67"/>
  <c r="K37" i="175"/>
  <c r="L253"/>
  <c r="W15" i="67"/>
  <c r="Q174" i="175"/>
  <c r="D14" i="71"/>
  <c r="E14" i="120"/>
  <c r="K30" i="161"/>
  <c r="E13" i="71"/>
  <c r="Q16"/>
  <c r="R15" i="64"/>
  <c r="Q16" i="119"/>
  <c r="P392" i="175"/>
  <c r="S29" i="146"/>
  <c r="E14" i="67"/>
  <c r="L15" i="64"/>
  <c r="K26" i="148"/>
  <c r="R212" i="175"/>
  <c r="P399"/>
  <c r="I15" i="140"/>
  <c r="H31" i="161"/>
  <c r="L258" i="175"/>
  <c r="R268"/>
  <c r="S13" i="68"/>
  <c r="N14"/>
  <c r="Q55" i="175"/>
  <c r="N698"/>
  <c r="R213"/>
  <c r="K30" i="146"/>
  <c r="B15" i="120"/>
  <c r="P45" i="175"/>
  <c r="I16" i="119"/>
  <c r="L260" i="175"/>
  <c r="Q148"/>
  <c r="F12" i="67"/>
  <c r="R275" i="175"/>
  <c r="O9" i="67"/>
  <c r="G10" i="68"/>
  <c r="D15" i="67"/>
  <c r="O707" i="175"/>
  <c r="Q146"/>
  <c r="K15" i="120"/>
  <c r="U15"/>
  <c r="P46" i="175"/>
  <c r="Q54"/>
  <c r="L257"/>
  <c r="Q266"/>
  <c r="E15" i="119"/>
  <c r="K383" i="175"/>
  <c r="P15" i="119"/>
  <c r="R273" i="175"/>
  <c r="K15" i="140"/>
  <c r="L39" i="175"/>
  <c r="N15" i="67"/>
  <c r="N16" i="119"/>
  <c r="O10" i="140"/>
  <c r="K15" i="64"/>
  <c r="J384" i="175"/>
  <c r="I14" i="71"/>
  <c r="E30" i="163"/>
  <c r="R206" i="175"/>
  <c r="N690"/>
  <c r="V15" i="120"/>
  <c r="D14" i="68"/>
  <c r="Q52" i="175"/>
  <c r="M665"/>
  <c r="E28" i="148"/>
  <c r="L129" i="175"/>
  <c r="G12" i="140"/>
  <c r="H673" i="175"/>
  <c r="O27" i="148"/>
  <c r="E30" i="146"/>
  <c r="B25" i="160"/>
  <c r="W15" i="120"/>
  <c r="Q18" i="69"/>
  <c r="B6" i="71"/>
  <c r="O710" i="175"/>
  <c r="Q16" i="120"/>
  <c r="B26" i="152"/>
  <c r="R267" i="175"/>
  <c r="P207"/>
  <c r="K27" i="147"/>
  <c r="K136" i="175"/>
  <c r="N14" i="71"/>
  <c r="R14"/>
  <c r="M14"/>
  <c r="B6" i="68"/>
  <c r="Q53" i="175"/>
  <c r="I15" i="67"/>
  <c r="B31" i="161"/>
  <c r="M137" i="175"/>
  <c r="S26" i="152"/>
  <c r="U16" i="119"/>
  <c r="H15" i="140"/>
  <c r="M38" i="175"/>
  <c r="J691"/>
  <c r="G12" i="67"/>
  <c r="S13" i="64"/>
  <c r="E13" i="68"/>
  <c r="O29" i="146"/>
  <c r="L41" i="175"/>
  <c r="Q139"/>
  <c r="R13" i="68"/>
  <c r="E14" i="140"/>
  <c r="O10" i="67"/>
  <c r="O659" i="175"/>
  <c r="B29" i="147"/>
  <c r="J14" i="68"/>
  <c r="L14"/>
  <c r="O709" i="175"/>
  <c r="K24" i="160"/>
  <c r="K15" i="67"/>
  <c r="P672" i="175"/>
  <c r="P14" i="71"/>
  <c r="E26" i="160"/>
  <c r="G11" i="119"/>
  <c r="T16"/>
  <c r="P658" i="175"/>
  <c r="R274"/>
  <c r="P378"/>
  <c r="H29" i="147"/>
  <c r="P679" i="175"/>
  <c r="F13" i="140"/>
  <c r="P395" i="175"/>
  <c r="W15" i="140"/>
  <c r="S25" i="160"/>
  <c r="E31" i="161"/>
  <c r="L34" i="175"/>
  <c r="O28" i="147"/>
  <c r="P398" i="175"/>
  <c r="F12" i="71"/>
  <c r="L133" i="175"/>
  <c r="L256"/>
  <c r="R200"/>
  <c r="Q145"/>
  <c r="L197"/>
  <c r="Q17" i="67"/>
  <c r="J15"/>
  <c r="I15" i="68"/>
  <c r="X10" i="119"/>
  <c r="M195" i="175"/>
  <c r="P14" i="68"/>
  <c r="L196" i="175"/>
  <c r="O668"/>
  <c r="P202"/>
  <c r="H31" i="163"/>
  <c r="Q254" i="175"/>
  <c r="S15" i="140"/>
  <c r="L15"/>
  <c r="K16" i="119"/>
  <c r="O10" i="120"/>
  <c r="L661" i="175"/>
  <c r="M135"/>
  <c r="W14" i="68"/>
  <c r="K14" i="71"/>
  <c r="Q138" i="175"/>
  <c r="J688"/>
  <c r="P397"/>
  <c r="K25" i="152"/>
  <c r="L663" i="175"/>
  <c r="K692"/>
  <c r="B27" i="148"/>
  <c r="Q143" i="175"/>
  <c r="B15" i="140"/>
  <c r="P255" i="175"/>
  <c r="Q265"/>
  <c r="M15" i="64"/>
  <c r="D16" i="119"/>
  <c r="N199" i="175"/>
  <c r="K14" i="68"/>
  <c r="H30" i="146"/>
  <c r="G12" i="64"/>
  <c r="P396" i="175"/>
  <c r="X11" i="140"/>
  <c r="J15" i="64"/>
  <c r="P204" i="175"/>
  <c r="E29" i="147"/>
  <c r="Q192" i="175"/>
  <c r="X11" i="120"/>
  <c r="P201" i="175"/>
  <c r="S30" i="163"/>
  <c r="P386" i="175"/>
  <c r="S30" i="161"/>
  <c r="M34" i="175"/>
  <c r="P15" i="64"/>
  <c r="K377" i="175"/>
  <c r="Q144"/>
  <c r="R264"/>
  <c r="L194"/>
  <c r="H27" i="152"/>
  <c r="Q147" i="175"/>
  <c r="G12" i="120"/>
  <c r="L198" i="175"/>
  <c r="K662"/>
  <c r="X11" i="67"/>
  <c r="I176" i="175"/>
  <c r="O389"/>
  <c r="L15" i="67"/>
  <c r="P16" i="120"/>
  <c r="Q16" i="140"/>
  <c r="M15"/>
  <c r="L385" i="175"/>
  <c r="Q269"/>
  <c r="I15" i="120"/>
  <c r="K660" i="175"/>
  <c r="K663"/>
  <c r="R270"/>
  <c r="P677"/>
  <c r="J15" i="140"/>
  <c r="R271" i="175"/>
  <c r="X10" i="140"/>
  <c r="M253" i="175"/>
  <c r="P203"/>
  <c r="F12" i="64"/>
  <c r="M15" i="119"/>
  <c r="S15" i="120"/>
  <c r="Q175" i="175"/>
  <c r="N15" i="140"/>
  <c r="D15" i="64"/>
  <c r="Q140" i="175"/>
  <c r="T16" i="140"/>
  <c r="G11" i="71"/>
  <c r="O708" i="175"/>
  <c r="O706"/>
  <c r="R272"/>
  <c r="L37"/>
  <c r="U14" i="68"/>
  <c r="Q263" i="175"/>
  <c r="W15" i="64"/>
  <c r="J693" i="175"/>
  <c r="M16" i="119"/>
  <c r="K30" i="163"/>
  <c r="N389" i="175"/>
  <c r="M134"/>
  <c r="R15" i="140"/>
  <c r="F12" i="119"/>
  <c r="H14" i="67"/>
  <c r="L38" i="175"/>
  <c r="J15" i="120"/>
  <c r="R14"/>
  <c r="O703" i="175"/>
  <c r="O388"/>
  <c r="P666"/>
  <c r="B31" i="163"/>
  <c r="V15" i="140"/>
  <c r="V15" i="67"/>
  <c r="X10" i="64"/>
  <c r="Q43" i="175"/>
  <c r="P15" i="67"/>
  <c r="H13" i="71"/>
  <c r="Q49" i="175"/>
  <c r="Q131"/>
  <c r="T442"/>
  <c r="M15" i="120"/>
  <c r="O26" i="152"/>
  <c r="S14" i="67"/>
  <c r="O25" i="160"/>
  <c r="P676" i="175"/>
  <c r="O10" i="64"/>
  <c r="C15" i="140"/>
  <c r="K380" i="175"/>
  <c r="M14" i="68"/>
  <c r="P678" i="175"/>
  <c r="R210"/>
  <c r="X9" i="68"/>
  <c r="K41" i="175"/>
  <c r="Q150"/>
  <c r="T15" i="120"/>
  <c r="V14" i="68"/>
  <c r="C15" i="120"/>
  <c r="U15" i="140"/>
  <c r="E27" i="152"/>
  <c r="V14" i="71"/>
  <c r="S27" i="148"/>
  <c r="M257" i="175"/>
  <c r="O9" i="64"/>
  <c r="T440" i="175"/>
  <c r="B30" i="146"/>
  <c r="O8" i="68"/>
  <c r="L15" i="120"/>
  <c r="Q16" i="68"/>
  <c r="J14" i="71"/>
  <c r="B7" i="119"/>
  <c r="T14" i="68"/>
  <c r="Q173" i="175"/>
  <c r="R211"/>
  <c r="R208"/>
  <c r="B7" i="67"/>
  <c r="O379" i="175"/>
  <c r="O46"/>
  <c r="V15" i="64"/>
  <c r="S15" i="119"/>
  <c r="BM245" i="118" l="1"/>
  <c r="AD245" s="1"/>
  <c r="CC10"/>
  <c r="CB10" s="1"/>
  <c r="Q772" i="175"/>
  <c r="AV772"/>
  <c r="AR23" i="152"/>
  <c r="AR22" i="160"/>
  <c r="AS22" s="1"/>
  <c r="Q36" i="190"/>
  <c r="T473" i="175"/>
  <c r="Q54" i="190" s="1"/>
  <c r="P54"/>
  <c r="AZ112" i="118"/>
  <c r="AZ159"/>
  <c r="AV203" i="175"/>
  <c r="P738"/>
  <c r="AV738" s="1"/>
  <c r="AS26" i="149"/>
  <c r="O800" i="175"/>
  <c r="L77" i="189" s="1"/>
  <c r="AZ253" i="118"/>
  <c r="AZ17"/>
  <c r="AZ252"/>
  <c r="AZ66"/>
  <c r="AZ18"/>
  <c r="M638" i="175"/>
  <c r="AV46"/>
  <c r="O799"/>
  <c r="L76" i="189" s="1"/>
  <c r="N800" i="175"/>
  <c r="K77" i="189" s="1"/>
  <c r="K46"/>
  <c r="AR26" i="164"/>
  <c r="AS25"/>
  <c r="BA253" i="118"/>
  <c r="BA18"/>
  <c r="N637" i="175"/>
  <c r="AV202"/>
  <c r="P737"/>
  <c r="M14" i="189" s="1"/>
  <c r="AS14" s="1"/>
  <c r="AV45" i="175"/>
  <c r="AS22" i="152"/>
  <c r="J626" i="175"/>
  <c r="K788"/>
  <c r="H65" i="189" s="1"/>
  <c r="BE13" i="118"/>
  <c r="BE60"/>
  <c r="BE108"/>
  <c r="BE155"/>
  <c r="BE248"/>
  <c r="BE249"/>
  <c r="BE14"/>
  <c r="K733" i="175"/>
  <c r="AJ23" i="160"/>
  <c r="J795" i="175"/>
  <c r="G72" i="189" s="1"/>
  <c r="G10"/>
  <c r="AA23" i="160"/>
  <c r="BL15" i="118"/>
  <c r="BL250"/>
  <c r="BL249"/>
  <c r="BL61"/>
  <c r="BL14"/>
  <c r="L726" i="175"/>
  <c r="L788" s="1"/>
  <c r="AA24" i="152"/>
  <c r="AJ24"/>
  <c r="L796" i="175"/>
  <c r="I73" i="189" s="1"/>
  <c r="J791" i="175"/>
  <c r="G68" i="189" s="1"/>
  <c r="M734" i="175"/>
  <c r="J11" i="189" s="1"/>
  <c r="BH61" i="118"/>
  <c r="BD62"/>
  <c r="L730" i="175"/>
  <c r="L792" s="1"/>
  <c r="I69" i="189" s="1"/>
  <c r="N27" i="147"/>
  <c r="N24" i="160"/>
  <c r="BH14" i="118"/>
  <c r="Q14" i="72"/>
  <c r="BH249" i="118"/>
  <c r="N25" i="152"/>
  <c r="K729" i="175"/>
  <c r="K791" s="1"/>
  <c r="H68" i="189" s="1"/>
  <c r="D26" i="152"/>
  <c r="X26" s="1"/>
  <c r="BI60" i="118"/>
  <c r="AC16" i="72"/>
  <c r="BI248" i="118"/>
  <c r="BI13"/>
  <c r="N26" i="148"/>
  <c r="AB27" i="147"/>
  <c r="AJ27" s="1"/>
  <c r="D28"/>
  <c r="X28" s="1"/>
  <c r="C27"/>
  <c r="D25" i="160"/>
  <c r="X25" s="1"/>
  <c r="C24"/>
  <c r="AB24"/>
  <c r="AB25" i="152"/>
  <c r="AR24" i="148"/>
  <c r="AS24" s="1"/>
  <c r="AJ25"/>
  <c r="AR25" s="1"/>
  <c r="X27" i="147"/>
  <c r="AA27" s="1"/>
  <c r="D27" i="148"/>
  <c r="C26"/>
  <c r="AB26"/>
  <c r="AJ26" s="1"/>
  <c r="H7" i="189"/>
  <c r="AY112" i="118"/>
  <c r="AY159"/>
  <c r="AV204" i="175"/>
  <c r="AV740"/>
  <c r="I7" i="189"/>
  <c r="BH156" i="118"/>
  <c r="BH109"/>
  <c r="BH15"/>
  <c r="BH250"/>
  <c r="K630" i="175"/>
  <c r="AS26" i="163"/>
  <c r="O798" i="175"/>
  <c r="L75" i="189" s="1"/>
  <c r="AP254" i="118"/>
  <c r="AR19"/>
  <c r="AS254"/>
  <c r="BB66"/>
  <c r="BI14"/>
  <c r="AS113"/>
  <c r="AS160"/>
  <c r="AP19"/>
  <c r="BD251"/>
  <c r="AT19"/>
  <c r="AQ19"/>
  <c r="BD16"/>
  <c r="AR254"/>
  <c r="AQ66"/>
  <c r="AQ254"/>
  <c r="AS19"/>
  <c r="AQ160"/>
  <c r="AQ113"/>
  <c r="AP113"/>
  <c r="AP160"/>
  <c r="BC66"/>
  <c r="AU160"/>
  <c r="AU113"/>
  <c r="AT254"/>
  <c r="AP67"/>
  <c r="BB112"/>
  <c r="BB159"/>
  <c r="AT113"/>
  <c r="AT160"/>
  <c r="AT67"/>
  <c r="AR113"/>
  <c r="AR160"/>
  <c r="AR67"/>
  <c r="BD157"/>
  <c r="BD110"/>
  <c r="BI108"/>
  <c r="BI155"/>
  <c r="AQ67"/>
  <c r="BK160"/>
  <c r="BK113"/>
  <c r="BI249"/>
  <c r="AV58"/>
  <c r="AD58" s="1"/>
  <c r="BM11" s="1"/>
  <c r="AV11"/>
  <c r="AV246"/>
  <c r="Q745" i="175"/>
  <c r="Q746"/>
  <c r="I64"/>
  <c r="I127" s="1"/>
  <c r="Q743"/>
  <c r="AV397"/>
  <c r="AV676"/>
  <c r="O647"/>
  <c r="AV395"/>
  <c r="AV678"/>
  <c r="AV677"/>
  <c r="N636"/>
  <c r="I190"/>
  <c r="P736"/>
  <c r="AV736" s="1"/>
  <c r="AV201"/>
  <c r="O644"/>
  <c r="Q740"/>
  <c r="N17" i="189" s="1"/>
  <c r="AV675" i="175"/>
  <c r="Q744"/>
  <c r="O646"/>
  <c r="AV396"/>
  <c r="O648"/>
  <c r="O645"/>
  <c r="AV679"/>
  <c r="J629"/>
  <c r="H687"/>
  <c r="Q747"/>
  <c r="H407"/>
  <c r="AB381" i="118"/>
  <c r="Q748" i="175"/>
  <c r="AV399"/>
  <c r="AV398"/>
  <c r="AJ21" i="143"/>
  <c r="M23" i="189"/>
  <c r="AS23" s="1"/>
  <c r="P808" i="175"/>
  <c r="AV746"/>
  <c r="M20" i="189"/>
  <c r="AS20" s="1"/>
  <c r="AV743" i="175"/>
  <c r="AJ28" i="163"/>
  <c r="AR28" s="1"/>
  <c r="M22" i="189"/>
  <c r="AS22" s="1"/>
  <c r="P807" i="175"/>
  <c r="AV745"/>
  <c r="M25" i="189"/>
  <c r="AS25" s="1"/>
  <c r="P810" i="175"/>
  <c r="M87" i="189" s="1"/>
  <c r="AS87" s="1"/>
  <c r="AJ29" i="158"/>
  <c r="AJ29" i="159"/>
  <c r="AA27" i="164"/>
  <c r="L86" i="189"/>
  <c r="M21"/>
  <c r="AS21" s="1"/>
  <c r="P806" i="175"/>
  <c r="M83" i="189" s="1"/>
  <c r="AS83" s="1"/>
  <c r="AV744" i="175"/>
  <c r="P809"/>
  <c r="M86" i="189" s="1"/>
  <c r="M24"/>
  <c r="AS24" s="1"/>
  <c r="AV747" i="175"/>
  <c r="AR27" i="163"/>
  <c r="AE10" i="118"/>
  <c r="AD381"/>
  <c r="AG11" i="72"/>
  <c r="AR20" i="143"/>
  <c r="M23"/>
  <c r="L23" s="1"/>
  <c r="AC22"/>
  <c r="N22"/>
  <c r="X22"/>
  <c r="AA21"/>
  <c r="K793" i="175"/>
  <c r="H70" i="189" s="1"/>
  <c r="AG161" i="118"/>
  <c r="AG114"/>
  <c r="AG256"/>
  <c r="AG21"/>
  <c r="AG67"/>
  <c r="AD154"/>
  <c r="Q15" i="72"/>
  <c r="AA25" i="152"/>
  <c r="AA28" i="149"/>
  <c r="AD107" i="118"/>
  <c r="BL156"/>
  <c r="BL109"/>
  <c r="BG14"/>
  <c r="BG62"/>
  <c r="BG155"/>
  <c r="BG108"/>
  <c r="BG249"/>
  <c r="L731" i="175"/>
  <c r="L793" s="1"/>
  <c r="J631"/>
  <c r="AJ28" i="149"/>
  <c r="AA24" i="160"/>
  <c r="O30" i="167"/>
  <c r="R30" s="1"/>
  <c r="O30" i="168"/>
  <c r="R30" s="1"/>
  <c r="S30" i="56"/>
  <c r="V30" s="1"/>
  <c r="S30" i="145"/>
  <c r="V30" s="1"/>
  <c r="AS28" i="56"/>
  <c r="O29" i="149"/>
  <c r="R29" s="1"/>
  <c r="O30" i="166"/>
  <c r="R30" s="1"/>
  <c r="O30" i="158"/>
  <c r="R30" s="1"/>
  <c r="S30"/>
  <c r="V30" s="1"/>
  <c r="S30" i="159"/>
  <c r="V30" s="1"/>
  <c r="O30" i="145"/>
  <c r="R30" s="1"/>
  <c r="AW113" i="118"/>
  <c r="AW160"/>
  <c r="O30" i="159"/>
  <c r="R30" s="1"/>
  <c r="S30" i="155"/>
  <c r="V30" s="1"/>
  <c r="BQ28" i="164"/>
  <c r="BR28" s="1"/>
  <c r="AE28" s="1"/>
  <c r="AS27" i="158"/>
  <c r="X29" i="149"/>
  <c r="O30" i="171"/>
  <c r="R30" s="1"/>
  <c r="AD29" i="149"/>
  <c r="S30" i="166"/>
  <c r="V30" s="1"/>
  <c r="O30" i="144"/>
  <c r="R30" s="1"/>
  <c r="O30" i="143"/>
  <c r="R30" s="1"/>
  <c r="S30" i="144"/>
  <c r="V30" s="1"/>
  <c r="AS28" i="155"/>
  <c r="BF14" i="118"/>
  <c r="BF249"/>
  <c r="V17" i="72"/>
  <c r="K30" i="171"/>
  <c r="N30" s="1"/>
  <c r="AR29" i="56"/>
  <c r="O30" i="164"/>
  <c r="R30" s="1"/>
  <c r="AS27" i="159"/>
  <c r="AS27" i="150"/>
  <c r="AJ30" i="171"/>
  <c r="O30" i="154"/>
  <c r="R30" s="1"/>
  <c r="O30" i="150"/>
  <c r="R30" s="1"/>
  <c r="S30" i="171"/>
  <c r="V30" s="1"/>
  <c r="O30" i="56"/>
  <c r="R30" s="1"/>
  <c r="S30" i="168"/>
  <c r="V30" s="1"/>
  <c r="S30" i="149"/>
  <c r="V30" s="1"/>
  <c r="S30" i="154"/>
  <c r="V30" s="1"/>
  <c r="V18" i="72"/>
  <c r="BC113" i="118"/>
  <c r="BC160"/>
  <c r="AV159"/>
  <c r="AV112"/>
  <c r="AX160"/>
  <c r="AX113"/>
  <c r="AV255" i="175"/>
  <c r="P742"/>
  <c r="AV207"/>
  <c r="L283"/>
  <c r="L221"/>
  <c r="L732"/>
  <c r="BF108" i="118"/>
  <c r="BF155"/>
  <c r="BK66"/>
  <c r="AB16" i="72"/>
  <c r="V25" i="160"/>
  <c r="AV36" i="175"/>
  <c r="AD18" i="72"/>
  <c r="BJ253" i="118"/>
  <c r="BJ18"/>
  <c r="AV667" i="175"/>
  <c r="J31" i="163"/>
  <c r="O627" i="175"/>
  <c r="V30" i="163"/>
  <c r="V26" i="152"/>
  <c r="D31" i="163"/>
  <c r="P728" i="175"/>
  <c r="AV193"/>
  <c r="T19" i="72"/>
  <c r="BC254" i="118"/>
  <c r="BC19"/>
  <c r="W21" i="72"/>
  <c r="AA19"/>
  <c r="G30" i="163"/>
  <c r="N30" i="161"/>
  <c r="C30" i="146"/>
  <c r="N30"/>
  <c r="Q735" i="175"/>
  <c r="Q727"/>
  <c r="T470"/>
  <c r="Q34" i="190"/>
  <c r="T471" i="175"/>
  <c r="Q52" i="190" s="1"/>
  <c r="AI393" i="118"/>
  <c r="V27" i="148"/>
  <c r="J27" i="152"/>
  <c r="AV658" i="175"/>
  <c r="AV666"/>
  <c r="R26" i="152"/>
  <c r="N30" i="163"/>
  <c r="R29"/>
  <c r="BJ66" i="118"/>
  <c r="BF62"/>
  <c r="BJ112"/>
  <c r="BJ159"/>
  <c r="BB254"/>
  <c r="BB19"/>
  <c r="O635" i="175"/>
  <c r="AW254" i="118"/>
  <c r="Y19" i="72"/>
  <c r="AW19" i="118"/>
  <c r="AE19" i="72"/>
  <c r="Q741" i="175"/>
  <c r="N628"/>
  <c r="AV392"/>
  <c r="AV672"/>
  <c r="V30" i="161"/>
  <c r="V28" i="147"/>
  <c r="R27" i="148"/>
  <c r="G27" i="152"/>
  <c r="S19" i="72"/>
  <c r="R29" i="146"/>
  <c r="R25" i="160"/>
  <c r="AV386" i="175"/>
  <c r="R31" i="161"/>
  <c r="O641" i="175"/>
  <c r="BK19" i="118"/>
  <c r="X19" i="72"/>
  <c r="BK254" i="118"/>
  <c r="AV378" i="175"/>
  <c r="R28" i="147"/>
  <c r="Z19" i="72"/>
  <c r="R19"/>
  <c r="V29" i="146"/>
  <c r="AA28" i="164"/>
  <c r="AA26" i="148"/>
  <c r="J26" i="160"/>
  <c r="I25"/>
  <c r="AF25"/>
  <c r="AB116" i="118"/>
  <c r="E32" i="154"/>
  <c r="E32" i="165"/>
  <c r="E32" i="144"/>
  <c r="E32" i="167"/>
  <c r="E32" i="162"/>
  <c r="F32" s="1"/>
  <c r="E32" i="151"/>
  <c r="E32" i="153"/>
  <c r="E32" i="149"/>
  <c r="F25" i="137"/>
  <c r="BC32" i="161" s="1"/>
  <c r="BP32" s="1"/>
  <c r="G32" s="1"/>
  <c r="E32" i="164"/>
  <c r="E32" i="168"/>
  <c r="E32" i="145"/>
  <c r="E32" i="166"/>
  <c r="E32" i="155"/>
  <c r="E32" i="143"/>
  <c r="E32" i="159"/>
  <c r="E32" i="171"/>
  <c r="E32" i="158"/>
  <c r="E32" i="150"/>
  <c r="E32" i="56"/>
  <c r="AB18" i="118"/>
  <c r="AK25" i="51"/>
  <c r="AV25"/>
  <c r="AX25" s="1"/>
  <c r="B18" i="72"/>
  <c r="D18" s="1"/>
  <c r="I18" s="1"/>
  <c r="H18" s="1"/>
  <c r="G18" s="1"/>
  <c r="F18" s="1"/>
  <c r="E18" s="1"/>
  <c r="X30" i="151"/>
  <c r="AC30"/>
  <c r="D31" i="56"/>
  <c r="K31" s="1"/>
  <c r="N31" s="1"/>
  <c r="AA28" i="146"/>
  <c r="G31" i="56"/>
  <c r="AD31" s="1"/>
  <c r="G31" i="168"/>
  <c r="AD31" s="1"/>
  <c r="G31" i="165"/>
  <c r="J31" i="171"/>
  <c r="AF31" s="1"/>
  <c r="J31" i="153"/>
  <c r="AF31" s="1"/>
  <c r="I31" i="165"/>
  <c r="BK31"/>
  <c r="S31"/>
  <c r="V31" s="1"/>
  <c r="J31" i="143"/>
  <c r="AF31" s="1"/>
  <c r="BJ31" i="161"/>
  <c r="D31" s="1"/>
  <c r="BV31"/>
  <c r="J31" s="1"/>
  <c r="AS25" i="147"/>
  <c r="AF32" i="162"/>
  <c r="AB30" i="154"/>
  <c r="X30"/>
  <c r="AS27" i="161"/>
  <c r="X30" i="171"/>
  <c r="AB255" i="118"/>
  <c r="H27" i="51"/>
  <c r="I27" s="1"/>
  <c r="AZ26"/>
  <c r="AW26"/>
  <c r="J26"/>
  <c r="AA29" i="171" s="1"/>
  <c r="AR29" s="1"/>
  <c r="H9" i="189"/>
  <c r="K794" i="175"/>
  <c r="H71" i="189" s="1"/>
  <c r="AF30" i="163"/>
  <c r="AF26" i="152"/>
  <c r="X30" i="167"/>
  <c r="AB30"/>
  <c r="X30" i="56"/>
  <c r="AA30" s="1"/>
  <c r="AB30"/>
  <c r="AJ30" s="1"/>
  <c r="D31" i="150"/>
  <c r="K31" s="1"/>
  <c r="N31" s="1"/>
  <c r="C31" i="165"/>
  <c r="K31"/>
  <c r="N31" s="1"/>
  <c r="D31" i="154"/>
  <c r="K31" s="1"/>
  <c r="N31" s="1"/>
  <c r="AS27" i="145"/>
  <c r="AR28" i="167"/>
  <c r="AJ28" i="146"/>
  <c r="AB30" i="168"/>
  <c r="X30"/>
  <c r="G31" i="159"/>
  <c r="AD31" s="1"/>
  <c r="BC31" i="149"/>
  <c r="BB31"/>
  <c r="G31" i="154"/>
  <c r="AD31" s="1"/>
  <c r="AA29" i="166"/>
  <c r="AB30" i="164"/>
  <c r="J31" i="149"/>
  <c r="AF31" s="1"/>
  <c r="J31" i="151"/>
  <c r="AF31" s="1"/>
  <c r="J31" i="154"/>
  <c r="AF31" s="1"/>
  <c r="AA31" i="162"/>
  <c r="AD32"/>
  <c r="AB30" i="149"/>
  <c r="AA29" i="151"/>
  <c r="AR28" i="145"/>
  <c r="AD30" i="165"/>
  <c r="AA29" i="163"/>
  <c r="AR29" i="155"/>
  <c r="AJ29" i="145"/>
  <c r="D25" i="137"/>
  <c r="AB69" i="118"/>
  <c r="AI25" i="137"/>
  <c r="B32" i="167"/>
  <c r="B32" i="166"/>
  <c r="B32" i="154"/>
  <c r="B32" i="144"/>
  <c r="AM21" i="142" s="1"/>
  <c r="B32" i="151"/>
  <c r="B32" i="165"/>
  <c r="B32" i="145"/>
  <c r="B32" i="56"/>
  <c r="B32" i="162"/>
  <c r="B32" i="168"/>
  <c r="B32" i="153"/>
  <c r="B32" i="150"/>
  <c r="B32" i="143"/>
  <c r="B32" i="159"/>
  <c r="B32" i="164"/>
  <c r="B32" i="149"/>
  <c r="B32" i="158"/>
  <c r="B32" i="171"/>
  <c r="B32" i="155"/>
  <c r="I25" i="137"/>
  <c r="J25" s="1"/>
  <c r="C30" i="161"/>
  <c r="AB30"/>
  <c r="X30"/>
  <c r="D31" i="155"/>
  <c r="K31" s="1"/>
  <c r="N31" s="1"/>
  <c r="D31" i="149"/>
  <c r="K31" i="162"/>
  <c r="N31" s="1"/>
  <c r="D31" i="144"/>
  <c r="K31" s="1"/>
  <c r="D31" i="167"/>
  <c r="K31" s="1"/>
  <c r="N31" s="1"/>
  <c r="AA29" i="150"/>
  <c r="BK31" i="164"/>
  <c r="BL31" s="1"/>
  <c r="G31"/>
  <c r="AD31" s="1"/>
  <c r="G31" i="155"/>
  <c r="AD31" s="1"/>
  <c r="G31" i="153"/>
  <c r="AD31" s="1"/>
  <c r="AD31" i="161"/>
  <c r="F31"/>
  <c r="G31" i="167"/>
  <c r="AD31" s="1"/>
  <c r="AJ29" i="166"/>
  <c r="AS27" i="153"/>
  <c r="BT30" i="164"/>
  <c r="BP30"/>
  <c r="BM30"/>
  <c r="AJ29" i="161"/>
  <c r="J31" i="56"/>
  <c r="AF31" s="1"/>
  <c r="J31" i="159"/>
  <c r="AF31" s="1"/>
  <c r="J31" i="166"/>
  <c r="AF31" s="1"/>
  <c r="J31" i="168"/>
  <c r="AF31" s="1"/>
  <c r="J31" i="144"/>
  <c r="AF31" s="1"/>
  <c r="AJ29" i="165"/>
  <c r="AJ29" i="153"/>
  <c r="AM32" i="162"/>
  <c r="I27" i="148"/>
  <c r="J28"/>
  <c r="AF27"/>
  <c r="AR28" i="161"/>
  <c r="AJ29" i="151"/>
  <c r="AR28" i="158"/>
  <c r="X30" i="155"/>
  <c r="AA30" s="1"/>
  <c r="AB30"/>
  <c r="AJ30" s="1"/>
  <c r="AR28" i="166"/>
  <c r="AR28" i="165"/>
  <c r="AD26" i="152"/>
  <c r="AV392" i="118"/>
  <c r="AE392" s="1"/>
  <c r="BG392"/>
  <c r="AZ392"/>
  <c r="BA392"/>
  <c r="BL392"/>
  <c r="BI392"/>
  <c r="BB392"/>
  <c r="AW392"/>
  <c r="BJ392"/>
  <c r="BH392"/>
  <c r="BC392"/>
  <c r="BO392"/>
  <c r="BN392"/>
  <c r="BM392"/>
  <c r="AY392"/>
  <c r="BD392"/>
  <c r="BK392"/>
  <c r="BE392"/>
  <c r="BF392"/>
  <c r="AX392"/>
  <c r="AB30" i="163"/>
  <c r="M12" i="189"/>
  <c r="AS12" s="1"/>
  <c r="P797" i="175"/>
  <c r="P789"/>
  <c r="M66" i="189" s="1"/>
  <c r="AS66" s="1"/>
  <c r="M4"/>
  <c r="AS4" s="1"/>
  <c r="AD29" i="163"/>
  <c r="O30" i="155"/>
  <c r="R30" s="1"/>
  <c r="K30" i="167"/>
  <c r="N30" s="1"/>
  <c r="K30" i="56"/>
  <c r="N30" s="1"/>
  <c r="K30" i="168"/>
  <c r="N30" s="1"/>
  <c r="K30" i="164"/>
  <c r="N30" s="1"/>
  <c r="K25" i="49"/>
  <c r="C31" i="162"/>
  <c r="S30" i="151"/>
  <c r="V30" s="1"/>
  <c r="K30" i="149"/>
  <c r="N30" s="1"/>
  <c r="BD30"/>
  <c r="G30" s="1"/>
  <c r="O30" i="165"/>
  <c r="R30" s="1"/>
  <c r="AS27" i="171"/>
  <c r="D31" i="159"/>
  <c r="K31" s="1"/>
  <c r="N31" s="1"/>
  <c r="D31" i="158"/>
  <c r="D31" i="145"/>
  <c r="X22" i="49"/>
  <c r="G26" i="51"/>
  <c r="AS27" i="166"/>
  <c r="AJ29" i="167"/>
  <c r="G31" i="150"/>
  <c r="AD31" s="1"/>
  <c r="G31" i="151"/>
  <c r="AD31" s="1"/>
  <c r="AR28" i="159"/>
  <c r="G26" i="137"/>
  <c r="C26"/>
  <c r="E26"/>
  <c r="J31" i="155"/>
  <c r="AF31" s="1"/>
  <c r="AR28" i="153"/>
  <c r="AJ29" i="168"/>
  <c r="AA29" i="154"/>
  <c r="Z30" i="171"/>
  <c r="W23" i="49"/>
  <c r="AB349" i="118"/>
  <c r="AD349" s="1"/>
  <c r="AA28" i="171"/>
  <c r="AA29" i="145"/>
  <c r="D31" i="164"/>
  <c r="K31" s="1"/>
  <c r="N31" s="1"/>
  <c r="D31" i="166"/>
  <c r="K31" s="1"/>
  <c r="N31" s="1"/>
  <c r="AR28" i="151"/>
  <c r="BN29" i="164"/>
  <c r="BU29" s="1"/>
  <c r="BV29" s="1"/>
  <c r="X29" s="1"/>
  <c r="AB30" i="159"/>
  <c r="X30"/>
  <c r="G31" i="158"/>
  <c r="AD31" s="1"/>
  <c r="G31" i="166"/>
  <c r="AD31" s="1"/>
  <c r="AR28" i="150"/>
  <c r="C27" i="13"/>
  <c r="AL34" i="171"/>
  <c r="AM34" s="1"/>
  <c r="D28" i="13"/>
  <c r="CB34" i="162"/>
  <c r="AB30" i="153"/>
  <c r="X30"/>
  <c r="J31" i="150"/>
  <c r="AF31" s="1"/>
  <c r="J31" i="145"/>
  <c r="AF31" s="1"/>
  <c r="AR28" i="168"/>
  <c r="AJ29" i="154"/>
  <c r="AS26" i="146"/>
  <c r="Z24" i="49"/>
  <c r="J25"/>
  <c r="M24"/>
  <c r="AS27" i="168"/>
  <c r="O790" i="175"/>
  <c r="L67" i="189" s="1"/>
  <c r="L5"/>
  <c r="AR28" i="154"/>
  <c r="H25" i="137"/>
  <c r="BD32" i="161" s="1"/>
  <c r="H32" i="151"/>
  <c r="H32" i="168"/>
  <c r="H32" i="144"/>
  <c r="H32" i="154"/>
  <c r="H32" i="149"/>
  <c r="H32" i="158"/>
  <c r="H32" i="164"/>
  <c r="H32" i="167"/>
  <c r="H32" i="153"/>
  <c r="H32" i="145"/>
  <c r="H32" i="162"/>
  <c r="H32" i="166"/>
  <c r="H32" i="165"/>
  <c r="AB163" i="118"/>
  <c r="H32" i="56"/>
  <c r="H32" i="159"/>
  <c r="H32" i="155"/>
  <c r="H32" i="143"/>
  <c r="H32" i="150"/>
  <c r="H32" i="171"/>
  <c r="I30" i="161"/>
  <c r="AF30"/>
  <c r="I28" i="147"/>
  <c r="J29"/>
  <c r="AF28"/>
  <c r="X30" i="158"/>
  <c r="AB30"/>
  <c r="D31" i="171"/>
  <c r="AB31" s="1"/>
  <c r="D31" i="143"/>
  <c r="D31" i="168"/>
  <c r="K31" s="1"/>
  <c r="N31" s="1"/>
  <c r="D31" i="153"/>
  <c r="D31" i="151"/>
  <c r="K31" s="1"/>
  <c r="N31" s="1"/>
  <c r="AS27" i="167"/>
  <c r="F27" i="148"/>
  <c r="G28"/>
  <c r="AD27"/>
  <c r="AA29" i="167"/>
  <c r="AD29" i="146"/>
  <c r="F29"/>
  <c r="G30"/>
  <c r="X29"/>
  <c r="G26" i="160"/>
  <c r="F25"/>
  <c r="AD25"/>
  <c r="AR26" i="147"/>
  <c r="G31" i="171"/>
  <c r="AD31" s="1"/>
  <c r="G31" i="143"/>
  <c r="AD31" s="1"/>
  <c r="G31" i="145"/>
  <c r="AD31" s="1"/>
  <c r="O31" i="162"/>
  <c r="R31" s="1"/>
  <c r="G31" i="144"/>
  <c r="AD31" s="1"/>
  <c r="AA29" i="159"/>
  <c r="AS27" i="151"/>
  <c r="AA29" i="158"/>
  <c r="CC33" i="162"/>
  <c r="D33" s="1"/>
  <c r="CE33"/>
  <c r="J33" s="1"/>
  <c r="CD33"/>
  <c r="G33" s="1"/>
  <c r="CG33"/>
  <c r="AL33" s="1"/>
  <c r="AS27" i="154"/>
  <c r="AA29" i="161"/>
  <c r="AB30" i="166"/>
  <c r="X30"/>
  <c r="J31" i="158"/>
  <c r="AF31" s="1"/>
  <c r="J31" i="167"/>
  <c r="AF31" s="1"/>
  <c r="S31" i="162"/>
  <c r="V31" s="1"/>
  <c r="J31" i="164"/>
  <c r="AF31" s="1"/>
  <c r="AJ31" i="162"/>
  <c r="F28" i="147"/>
  <c r="G29"/>
  <c r="AD28"/>
  <c r="AR27" i="146"/>
  <c r="AA29" i="153"/>
  <c r="AA29" i="168"/>
  <c r="X32" i="162"/>
  <c r="AB32"/>
  <c r="AB30" i="145"/>
  <c r="X30"/>
  <c r="AB30" i="150"/>
  <c r="AJ30" s="1"/>
  <c r="X30"/>
  <c r="AR30" i="162"/>
  <c r="T25" i="49"/>
  <c r="U24"/>
  <c r="AS27" i="165"/>
  <c r="AR27" i="149"/>
  <c r="AS29" i="162"/>
  <c r="I29" i="146"/>
  <c r="AF29"/>
  <c r="J30"/>
  <c r="P51" i="190"/>
  <c r="S501" i="175"/>
  <c r="P69" i="190" s="1"/>
  <c r="M18" i="189"/>
  <c r="AS18" s="1"/>
  <c r="P803" i="175"/>
  <c r="AV741"/>
  <c r="L19" i="189"/>
  <c r="S30" i="167"/>
  <c r="V30" s="1"/>
  <c r="K30" i="154"/>
  <c r="N30" s="1"/>
  <c r="S30" i="143"/>
  <c r="V30" s="1"/>
  <c r="K30" i="151"/>
  <c r="N30" s="1"/>
  <c r="O30" i="153"/>
  <c r="R30" s="1"/>
  <c r="S30" i="150"/>
  <c r="V30" s="1"/>
  <c r="L25" i="49"/>
  <c r="O30" i="151"/>
  <c r="R30" s="1"/>
  <c r="S30" i="164"/>
  <c r="V30" s="1"/>
  <c r="S30" i="153"/>
  <c r="V30" s="1"/>
  <c r="K30" i="155"/>
  <c r="N30" s="1"/>
  <c r="R175" i="175"/>
  <c r="S16" i="120"/>
  <c r="N257" i="175"/>
  <c r="U17" i="119"/>
  <c r="M657" i="175"/>
  <c r="H16" i="119"/>
  <c r="U15" i="68"/>
  <c r="K28" i="147"/>
  <c r="F14" i="67"/>
  <c r="M256" i="175"/>
  <c r="O11" i="64"/>
  <c r="Q399" i="175"/>
  <c r="G11" i="68"/>
  <c r="N34" i="175"/>
  <c r="M15" i="68"/>
  <c r="X10" i="71"/>
  <c r="H31" i="146"/>
  <c r="Q398" i="175"/>
  <c r="F13" i="71"/>
  <c r="F14" i="140"/>
  <c r="R173" i="175"/>
  <c r="O10" i="119"/>
  <c r="V16" i="120"/>
  <c r="K693" i="175"/>
  <c r="D16" i="140"/>
  <c r="N385" i="175"/>
  <c r="B16" i="140"/>
  <c r="R254" i="175"/>
  <c r="P15" i="68"/>
  <c r="R130" i="175"/>
  <c r="N16" i="67"/>
  <c r="C16" i="120"/>
  <c r="R266" i="175"/>
  <c r="S213"/>
  <c r="E14" i="68"/>
  <c r="M15" i="71"/>
  <c r="S31" i="163"/>
  <c r="M16" i="67"/>
  <c r="H15" i="64"/>
  <c r="R52" i="175"/>
  <c r="Q667"/>
  <c r="R16" i="119"/>
  <c r="Q679" i="175"/>
  <c r="U16" i="140"/>
  <c r="S271" i="175"/>
  <c r="O669"/>
  <c r="S272"/>
  <c r="P16" i="67"/>
  <c r="B30" i="147"/>
  <c r="E31" i="163"/>
  <c r="P379" i="175"/>
  <c r="L694"/>
  <c r="Q46"/>
  <c r="Q396"/>
  <c r="R269"/>
  <c r="I16" i="140"/>
  <c r="E31" i="146"/>
  <c r="Q675" i="175"/>
  <c r="N253"/>
  <c r="O699"/>
  <c r="O26" i="160"/>
  <c r="S209" i="175"/>
  <c r="Q378"/>
  <c r="P659"/>
  <c r="W16" i="140"/>
  <c r="S15" i="67"/>
  <c r="W15" i="71"/>
  <c r="H32" i="163"/>
  <c r="S26" i="160"/>
  <c r="J16" i="120"/>
  <c r="O27" i="152"/>
  <c r="B31" i="146"/>
  <c r="N137" i="175"/>
  <c r="K16" i="64"/>
  <c r="Q386" i="175"/>
  <c r="L136"/>
  <c r="P689"/>
  <c r="P707"/>
  <c r="V15" i="68"/>
  <c r="M661" i="175"/>
  <c r="S206"/>
  <c r="H15" i="120"/>
  <c r="Q193" i="175"/>
  <c r="E14" i="71"/>
  <c r="R265" i="175"/>
  <c r="X12" i="67"/>
  <c r="B32" i="163"/>
  <c r="O28" i="148"/>
  <c r="O32" i="161"/>
  <c r="P15" i="71"/>
  <c r="J15" i="68"/>
  <c r="K15"/>
  <c r="S208" i="175"/>
  <c r="E15" i="67"/>
  <c r="M258" i="175"/>
  <c r="B8" i="119"/>
  <c r="M385" i="175"/>
  <c r="K25" i="160"/>
  <c r="Q395" i="175"/>
  <c r="K16" i="140"/>
  <c r="L696" i="175"/>
  <c r="P16" i="140"/>
  <c r="Q36" i="175"/>
  <c r="Q18" i="67"/>
  <c r="R139" i="175"/>
  <c r="U16" i="64"/>
  <c r="V16" i="140"/>
  <c r="M260" i="175"/>
  <c r="P697"/>
  <c r="S31" i="161"/>
  <c r="K16" i="67"/>
  <c r="T16" i="120"/>
  <c r="G12" i="68"/>
  <c r="F13" i="119"/>
  <c r="Q658" i="175"/>
  <c r="M16" i="140"/>
  <c r="R192" i="175"/>
  <c r="D15" i="71"/>
  <c r="Q204" i="175"/>
  <c r="Q17" i="119"/>
  <c r="C16" i="140"/>
  <c r="M37" i="175"/>
  <c r="E15" i="120"/>
  <c r="M133" i="175"/>
  <c r="D16" i="67"/>
  <c r="X11" i="119"/>
  <c r="N16" i="64"/>
  <c r="K691" i="175"/>
  <c r="E30" i="147"/>
  <c r="E29" i="148"/>
  <c r="P388" i="175"/>
  <c r="L16" i="140"/>
  <c r="Q392" i="175"/>
  <c r="J17" i="119"/>
  <c r="M39" i="175"/>
  <c r="W17" i="119"/>
  <c r="L657" i="175"/>
  <c r="P16" i="119"/>
  <c r="Q19" i="69"/>
  <c r="Q17" i="68"/>
  <c r="S28" i="148"/>
  <c r="S17" i="119"/>
  <c r="S273" i="175"/>
  <c r="W15" i="68"/>
  <c r="O11" i="120"/>
  <c r="K26" i="152"/>
  <c r="L16" i="67"/>
  <c r="U440" i="175"/>
  <c r="M41"/>
  <c r="F14" i="64"/>
  <c r="Q677" i="175"/>
  <c r="W16" i="67"/>
  <c r="L383" i="175"/>
  <c r="O10" i="71"/>
  <c r="P236" i="175"/>
  <c r="M696"/>
  <c r="D15" i="68"/>
  <c r="O261" i="175"/>
  <c r="M194"/>
  <c r="B28" i="148"/>
  <c r="U16" i="120"/>
  <c r="S267" i="175"/>
  <c r="N15" i="71"/>
  <c r="E15" i="64"/>
  <c r="K694" i="175"/>
  <c r="S16" i="119"/>
  <c r="Q202" i="175"/>
  <c r="J695"/>
  <c r="L662"/>
  <c r="S211"/>
  <c r="R263"/>
  <c r="R150"/>
  <c r="N195"/>
  <c r="V15" i="71"/>
  <c r="S210" i="175"/>
  <c r="L660"/>
  <c r="T15" i="68"/>
  <c r="X12" i="140"/>
  <c r="Q201" i="175"/>
  <c r="H32" i="161"/>
  <c r="P698" i="175"/>
  <c r="Q397"/>
  <c r="R35"/>
  <c r="I16" i="64"/>
  <c r="K664" i="175"/>
  <c r="R16" i="140"/>
  <c r="V16" i="64"/>
  <c r="S264" i="175"/>
  <c r="S15" i="64"/>
  <c r="P16"/>
  <c r="X12" i="120"/>
  <c r="R147" i="175"/>
  <c r="N135"/>
  <c r="V16" i="119"/>
  <c r="E15" i="140"/>
  <c r="Q207" i="175"/>
  <c r="I673"/>
  <c r="M196"/>
  <c r="K31" i="163"/>
  <c r="D16" i="64"/>
  <c r="O11" i="140"/>
  <c r="J15" i="71"/>
  <c r="S13"/>
  <c r="S270" i="175"/>
  <c r="S14" i="71"/>
  <c r="S274" i="175"/>
  <c r="L15" i="71"/>
  <c r="P710" i="175"/>
  <c r="M197"/>
  <c r="E16" i="119"/>
  <c r="W16" i="120"/>
  <c r="S205" i="175"/>
  <c r="P708"/>
  <c r="N17" i="119"/>
  <c r="R138" i="175"/>
  <c r="N15" i="68"/>
  <c r="H29" i="148"/>
  <c r="R148" i="175"/>
  <c r="W16" i="64"/>
  <c r="R144" i="175"/>
  <c r="J16" i="119"/>
  <c r="Q17" i="120"/>
  <c r="R141" i="175"/>
  <c r="N38"/>
  <c r="R151"/>
  <c r="P234"/>
  <c r="R262"/>
  <c r="J16" i="140"/>
  <c r="P668" i="175"/>
  <c r="K384"/>
  <c r="U15" i="71"/>
  <c r="M16" i="64"/>
  <c r="H16" i="140"/>
  <c r="Q678" i="175"/>
  <c r="U16" i="67"/>
  <c r="F13" i="68"/>
  <c r="P709" i="175"/>
  <c r="O698"/>
  <c r="E28" i="152"/>
  <c r="G13" i="140"/>
  <c r="O9" i="71"/>
  <c r="K31" i="146"/>
  <c r="B7" i="68"/>
  <c r="R140" i="175"/>
  <c r="B26" i="160"/>
  <c r="R174" i="175"/>
  <c r="B32" i="161"/>
  <c r="Q18" i="64"/>
  <c r="S275" i="175"/>
  <c r="G12" i="71"/>
  <c r="N665" i="175"/>
  <c r="L377"/>
  <c r="S268"/>
  <c r="L15" i="68"/>
  <c r="L380" i="175"/>
  <c r="N191"/>
  <c r="Q17" i="71"/>
  <c r="Q666" i="175"/>
  <c r="L16" i="119"/>
  <c r="Q255" i="175"/>
  <c r="O29" i="147"/>
  <c r="R55" i="175"/>
  <c r="L16" i="64"/>
  <c r="R131" i="175"/>
  <c r="T17" i="119"/>
  <c r="X11" i="71"/>
  <c r="D16" i="120"/>
  <c r="R172" i="175"/>
  <c r="J16" i="67"/>
  <c r="K31" i="161"/>
  <c r="M129" i="175"/>
  <c r="Q45"/>
  <c r="R54"/>
  <c r="H15" i="67"/>
  <c r="K688" i="175"/>
  <c r="L381"/>
  <c r="Q676"/>
  <c r="B16" i="120"/>
  <c r="H27" i="160"/>
  <c r="S30" i="146"/>
  <c r="R15" i="120"/>
  <c r="R43" i="175"/>
  <c r="U442"/>
  <c r="H14" i="71"/>
  <c r="R53" i="175"/>
  <c r="N134"/>
  <c r="M259"/>
  <c r="I17" i="119"/>
  <c r="Q672" i="175"/>
  <c r="W16" i="119"/>
  <c r="K15" i="71"/>
  <c r="L17" i="119"/>
  <c r="O11" i="67"/>
  <c r="R14" i="68"/>
  <c r="J16" i="64"/>
  <c r="G12" i="119"/>
  <c r="O9" i="68"/>
  <c r="P17" i="120"/>
  <c r="R49" i="175"/>
  <c r="I393"/>
  <c r="L382"/>
  <c r="O30" i="163"/>
  <c r="P387" i="175"/>
  <c r="F14" i="120"/>
  <c r="S29" i="147"/>
  <c r="P703" i="175"/>
  <c r="V17" i="119"/>
  <c r="M198" i="175"/>
  <c r="X12" i="64"/>
  <c r="E27" i="160"/>
  <c r="L132" i="175"/>
  <c r="B27" i="152"/>
  <c r="O30" i="146"/>
  <c r="R15" i="71"/>
  <c r="N16" i="140"/>
  <c r="E32" i="161"/>
  <c r="S200" i="175"/>
  <c r="I16" i="68"/>
  <c r="F13" i="67"/>
  <c r="X10" i="68"/>
  <c r="S212" i="175"/>
  <c r="N700"/>
  <c r="I16" i="120"/>
  <c r="O690" i="175"/>
  <c r="H14" i="68"/>
  <c r="S16" i="140"/>
  <c r="M40" i="175"/>
  <c r="R149"/>
  <c r="O199"/>
  <c r="P706"/>
  <c r="K27" i="148"/>
  <c r="P669" i="175"/>
  <c r="M16" i="120"/>
  <c r="I15" i="71"/>
  <c r="N16" i="120"/>
  <c r="B8" i="67"/>
  <c r="P235" i="175"/>
  <c r="J176"/>
  <c r="K16" i="120"/>
  <c r="H28" i="152"/>
  <c r="V16" i="67"/>
  <c r="B8" i="64"/>
  <c r="H30" i="147"/>
  <c r="L664" i="175"/>
  <c r="Q17" i="140"/>
  <c r="G13" i="120"/>
  <c r="Q203" i="175"/>
  <c r="L16" i="120"/>
  <c r="R56" i="175"/>
  <c r="T17" i="140"/>
  <c r="B7" i="71"/>
  <c r="S27" i="152"/>
  <c r="I16" i="67"/>
  <c r="F13" i="64"/>
  <c r="CA10" i="118" l="1"/>
  <c r="BZ10" s="1"/>
  <c r="BW10" s="1"/>
  <c r="BM246"/>
  <c r="AD246" s="1"/>
  <c r="CC11"/>
  <c r="CB11" s="1"/>
  <c r="R772" i="175"/>
  <c r="O49" i="189" s="1"/>
  <c r="N49"/>
  <c r="AS23" i="152"/>
  <c r="M15" i="189"/>
  <c r="AS15" s="1"/>
  <c r="K626" i="175"/>
  <c r="J633"/>
  <c r="R36" i="190"/>
  <c r="AU36" s="1"/>
  <c r="U473" i="175"/>
  <c r="AX442"/>
  <c r="AZ160" i="118"/>
  <c r="AZ113"/>
  <c r="Q738" i="175"/>
  <c r="N15" i="189" s="1"/>
  <c r="AS26" i="164"/>
  <c r="P799" i="175"/>
  <c r="AV799" s="1"/>
  <c r="AZ19" i="118"/>
  <c r="AZ254"/>
  <c r="AV234" i="175"/>
  <c r="P769"/>
  <c r="N638"/>
  <c r="AV669"/>
  <c r="AV737"/>
  <c r="BA254" i="118"/>
  <c r="BA19"/>
  <c r="BA113"/>
  <c r="BA160"/>
  <c r="O637" i="175"/>
  <c r="Q737"/>
  <c r="N14" i="189" s="1"/>
  <c r="AV388" i="175"/>
  <c r="AV668"/>
  <c r="BE61" i="118"/>
  <c r="BE250"/>
  <c r="BE109"/>
  <c r="BE156"/>
  <c r="BE15"/>
  <c r="L733" i="175"/>
  <c r="AJ24" i="160"/>
  <c r="AR23"/>
  <c r="AS23" s="1"/>
  <c r="K795" i="175"/>
  <c r="H72" i="189" s="1"/>
  <c r="H10"/>
  <c r="I3"/>
  <c r="BL62" i="118"/>
  <c r="M726" i="175"/>
  <c r="J3" i="189" s="1"/>
  <c r="AR24" i="152"/>
  <c r="M796" i="175"/>
  <c r="J73" i="189" s="1"/>
  <c r="M730" i="175"/>
  <c r="J7" i="189" s="1"/>
  <c r="L634" i="175"/>
  <c r="BD63" i="118"/>
  <c r="N27" i="148"/>
  <c r="D27" i="152"/>
  <c r="X27" s="1"/>
  <c r="N25" i="160"/>
  <c r="N26" i="152"/>
  <c r="N734" i="175"/>
  <c r="N796" s="1"/>
  <c r="K73" i="189" s="1"/>
  <c r="BH62" i="118"/>
  <c r="BI61"/>
  <c r="L729" i="175"/>
  <c r="L791" s="1"/>
  <c r="I68" i="189" s="1"/>
  <c r="AC17" i="72"/>
  <c r="N28" i="147"/>
  <c r="C27" i="148"/>
  <c r="D28"/>
  <c r="X28" s="1"/>
  <c r="AB27"/>
  <c r="AJ27" s="1"/>
  <c r="C25" i="160"/>
  <c r="AB25"/>
  <c r="D26"/>
  <c r="X26" s="1"/>
  <c r="AB26" i="152"/>
  <c r="X27" i="148"/>
  <c r="AA27" s="1"/>
  <c r="H6" i="189"/>
  <c r="D29" i="147"/>
  <c r="X29" s="1"/>
  <c r="AB28"/>
  <c r="AJ28" s="1"/>
  <c r="C28"/>
  <c r="AJ25" i="152"/>
  <c r="AY160" i="118"/>
  <c r="AY113"/>
  <c r="AV235" i="175"/>
  <c r="P798"/>
  <c r="M75" i="189" s="1"/>
  <c r="AS75" s="1"/>
  <c r="BH251" i="118"/>
  <c r="BH16"/>
  <c r="BH110"/>
  <c r="BH157"/>
  <c r="AS27" i="163"/>
  <c r="AS28" s="1"/>
  <c r="AV810" i="175"/>
  <c r="AS86" i="189"/>
  <c r="M13"/>
  <c r="AS13" s="1"/>
  <c r="AS68" i="118"/>
  <c r="BB113"/>
  <c r="BB160"/>
  <c r="AS255"/>
  <c r="BC67"/>
  <c r="AR255"/>
  <c r="AP161"/>
  <c r="AP114"/>
  <c r="AP20"/>
  <c r="AT255"/>
  <c r="AQ255"/>
  <c r="BB67"/>
  <c r="BI109"/>
  <c r="BI156"/>
  <c r="BI15"/>
  <c r="AT20"/>
  <c r="AS114"/>
  <c r="AS161"/>
  <c r="BK114"/>
  <c r="BK161"/>
  <c r="BI250"/>
  <c r="AT161"/>
  <c r="AT114"/>
  <c r="AP68"/>
  <c r="AR68"/>
  <c r="BA67"/>
  <c r="AP255"/>
  <c r="AU161"/>
  <c r="AU114"/>
  <c r="AQ114"/>
  <c r="AQ161"/>
  <c r="AR20"/>
  <c r="AS20"/>
  <c r="AR114"/>
  <c r="AR161"/>
  <c r="BD158"/>
  <c r="BD111"/>
  <c r="AS67"/>
  <c r="AQ20"/>
  <c r="P648" i="175"/>
  <c r="AV648" s="1"/>
  <c r="AV710"/>
  <c r="P644"/>
  <c r="AV644" s="1"/>
  <c r="AV706"/>
  <c r="P645"/>
  <c r="AV645" s="1"/>
  <c r="AV707"/>
  <c r="P646"/>
  <c r="AV646" s="1"/>
  <c r="AV708"/>
  <c r="M634"/>
  <c r="I687"/>
  <c r="O636"/>
  <c r="J190"/>
  <c r="R747"/>
  <c r="Q736"/>
  <c r="N13" i="189" s="1"/>
  <c r="R744" i="175"/>
  <c r="R746"/>
  <c r="P647"/>
  <c r="AV647" s="1"/>
  <c r="AV709"/>
  <c r="K629"/>
  <c r="R745"/>
  <c r="AV387"/>
  <c r="R748"/>
  <c r="P252"/>
  <c r="AV252" s="1"/>
  <c r="AV236"/>
  <c r="I407"/>
  <c r="AB382" i="118"/>
  <c r="AJ22" i="143"/>
  <c r="AS20"/>
  <c r="Q808" i="175"/>
  <c r="N23" i="189"/>
  <c r="AJ30" i="158"/>
  <c r="AJ29" i="163"/>
  <c r="AR29" s="1"/>
  <c r="AA28" i="147"/>
  <c r="M84" i="189"/>
  <c r="AS84" s="1"/>
  <c r="AV807" i="175"/>
  <c r="N22" i="189"/>
  <c r="Q807" i="175"/>
  <c r="AR27" i="164"/>
  <c r="X10" i="118"/>
  <c r="AD10"/>
  <c r="M85" i="189"/>
  <c r="AS85" s="1"/>
  <c r="AV808" i="175"/>
  <c r="N24" i="189"/>
  <c r="Q809" i="175"/>
  <c r="N25" i="189"/>
  <c r="Q810" i="175"/>
  <c r="Q806"/>
  <c r="N21" i="189"/>
  <c r="AJ30" i="159"/>
  <c r="AJ28" i="164"/>
  <c r="N20" i="189"/>
  <c r="AV806" i="175"/>
  <c r="AV809"/>
  <c r="AE11" i="118"/>
  <c r="I8" i="189"/>
  <c r="AG12" i="72"/>
  <c r="AD382" i="118"/>
  <c r="M24" i="143"/>
  <c r="L24" s="1"/>
  <c r="AA22"/>
  <c r="AR21"/>
  <c r="X23"/>
  <c r="N23"/>
  <c r="AC23"/>
  <c r="L26" i="49"/>
  <c r="AG68" i="118"/>
  <c r="AG257"/>
  <c r="AG162"/>
  <c r="AG115"/>
  <c r="AG22"/>
  <c r="AD108"/>
  <c r="AR28" i="149"/>
  <c r="AS29" i="56"/>
  <c r="BL251" i="118"/>
  <c r="BG63"/>
  <c r="BG109"/>
  <c r="BG156"/>
  <c r="BG15"/>
  <c r="BG250"/>
  <c r="BL16"/>
  <c r="BL157"/>
  <c r="BL110"/>
  <c r="K631" i="175"/>
  <c r="M731"/>
  <c r="M793" s="1"/>
  <c r="AJ29" i="149"/>
  <c r="AD155" i="118"/>
  <c r="I65" i="189"/>
  <c r="O31" i="143"/>
  <c r="R31" s="1"/>
  <c r="AS25" i="148"/>
  <c r="BC114" i="118"/>
  <c r="BC161"/>
  <c r="AS28" i="158"/>
  <c r="AR30" i="56"/>
  <c r="AC18" i="72"/>
  <c r="AS28" i="159"/>
  <c r="S31" i="166"/>
  <c r="V31" s="1"/>
  <c r="S31" i="56"/>
  <c r="V31" s="1"/>
  <c r="O31" i="167"/>
  <c r="R31" s="1"/>
  <c r="O31" i="153"/>
  <c r="R31" s="1"/>
  <c r="S31" i="171"/>
  <c r="V31" s="1"/>
  <c r="Q16" i="72"/>
  <c r="AA26" i="152"/>
  <c r="S31" i="143"/>
  <c r="V31" s="1"/>
  <c r="O31" i="56"/>
  <c r="R31" s="1"/>
  <c r="S31" i="167"/>
  <c r="V31" s="1"/>
  <c r="O31" i="151"/>
  <c r="R31" s="1"/>
  <c r="AR30" i="155"/>
  <c r="S31" i="168"/>
  <c r="V31" s="1"/>
  <c r="S31" i="159"/>
  <c r="V31" s="1"/>
  <c r="O31" i="155"/>
  <c r="R31" s="1"/>
  <c r="AA29" i="149"/>
  <c r="AW161" i="118"/>
  <c r="AW114"/>
  <c r="S31" i="150"/>
  <c r="V31" s="1"/>
  <c r="AS28"/>
  <c r="O31"/>
  <c r="R31" s="1"/>
  <c r="S31" i="149"/>
  <c r="V31" s="1"/>
  <c r="O31" i="154"/>
  <c r="R31" s="1"/>
  <c r="S31" i="158"/>
  <c r="V31" s="1"/>
  <c r="O31" i="145"/>
  <c r="R31" s="1"/>
  <c r="O31" i="171"/>
  <c r="R31" s="1"/>
  <c r="S31" i="145"/>
  <c r="V31" s="1"/>
  <c r="O31" i="166"/>
  <c r="R31" s="1"/>
  <c r="O31" i="164"/>
  <c r="R31" s="1"/>
  <c r="S31" i="151"/>
  <c r="V31" s="1"/>
  <c r="V19" i="72"/>
  <c r="BF156" i="118"/>
  <c r="BF109"/>
  <c r="BF63"/>
  <c r="AV113"/>
  <c r="AV160"/>
  <c r="AW67"/>
  <c r="M221" i="175"/>
  <c r="M732"/>
  <c r="Q742"/>
  <c r="BJ113" i="118"/>
  <c r="BJ160"/>
  <c r="BJ19"/>
  <c r="AD19" i="72"/>
  <c r="BJ254" i="118"/>
  <c r="V29" i="147"/>
  <c r="S20" i="72"/>
  <c r="W22"/>
  <c r="R26" i="160"/>
  <c r="P627" i="175"/>
  <c r="AV689"/>
  <c r="D32" i="163"/>
  <c r="L632" i="175"/>
  <c r="BF15" i="118"/>
  <c r="BF250"/>
  <c r="R29" i="147"/>
  <c r="U470" i="175"/>
  <c r="R34" i="190"/>
  <c r="AU34" s="1"/>
  <c r="U471" i="175"/>
  <c r="R52" i="190" s="1"/>
  <c r="AU52" s="1"/>
  <c r="AX440" i="175"/>
  <c r="AI394" i="118"/>
  <c r="R30" i="146"/>
  <c r="P641" i="175"/>
  <c r="AV641" s="1"/>
  <c r="AV703"/>
  <c r="Z20" i="72"/>
  <c r="V28" i="148"/>
  <c r="J28" i="152"/>
  <c r="V31" i="161"/>
  <c r="AV659" i="175"/>
  <c r="V31" i="163"/>
  <c r="AX114" i="118"/>
  <c r="AX161"/>
  <c r="AW68"/>
  <c r="M283" i="175"/>
  <c r="BJ67" i="118"/>
  <c r="AZ67"/>
  <c r="BK67"/>
  <c r="V30" i="146"/>
  <c r="R735" i="175"/>
  <c r="AV379"/>
  <c r="R741"/>
  <c r="P636"/>
  <c r="AV698"/>
  <c r="R30" i="163"/>
  <c r="N31"/>
  <c r="O628" i="175"/>
  <c r="T20" i="72"/>
  <c r="BC255" i="118"/>
  <c r="BC20"/>
  <c r="Q728" i="175"/>
  <c r="J32" i="163"/>
  <c r="R727" i="175"/>
  <c r="AW255" i="118"/>
  <c r="Y20" i="72"/>
  <c r="AW20" i="118"/>
  <c r="G31" i="163"/>
  <c r="X31" s="1"/>
  <c r="V27" i="152"/>
  <c r="AE20" i="72"/>
  <c r="R28" i="148"/>
  <c r="G28" i="152"/>
  <c r="K632" i="175"/>
  <c r="P635"/>
  <c r="AV635" s="1"/>
  <c r="AV697"/>
  <c r="BK20" i="118"/>
  <c r="BK255"/>
  <c r="X20" i="72"/>
  <c r="R20"/>
  <c r="N31" i="161"/>
  <c r="C31" i="146"/>
  <c r="N31"/>
  <c r="AA20" i="72"/>
  <c r="R32" i="161"/>
  <c r="V26" i="160"/>
  <c r="R27" i="152"/>
  <c r="AA29" i="164"/>
  <c r="AA30" i="150"/>
  <c r="AA29" i="146"/>
  <c r="X31" i="153"/>
  <c r="AB31"/>
  <c r="AF29" i="147"/>
  <c r="I29"/>
  <c r="J30"/>
  <c r="J32" i="166"/>
  <c r="AF32" s="1"/>
  <c r="BJ32" i="161"/>
  <c r="D32" s="1"/>
  <c r="BV32"/>
  <c r="J32" s="1"/>
  <c r="C28" i="13"/>
  <c r="D29"/>
  <c r="AL35" i="171"/>
  <c r="AM35" s="1"/>
  <c r="CB35" i="162"/>
  <c r="G27" i="51"/>
  <c r="X23" i="49"/>
  <c r="D26" i="137"/>
  <c r="AI26"/>
  <c r="AB70" i="118"/>
  <c r="B33" i="151"/>
  <c r="B33" i="164"/>
  <c r="B33" i="144"/>
  <c r="AM22" i="142" s="1"/>
  <c r="B33" i="154"/>
  <c r="B33" i="155"/>
  <c r="B33" i="167"/>
  <c r="B33" i="168"/>
  <c r="B33" i="153"/>
  <c r="B33" i="56"/>
  <c r="B33" i="165"/>
  <c r="B33" i="145"/>
  <c r="B33" i="162"/>
  <c r="C33" s="1"/>
  <c r="B33" i="166"/>
  <c r="B33" i="143"/>
  <c r="B33" i="150"/>
  <c r="B33" i="149"/>
  <c r="B33" i="159"/>
  <c r="B33" i="158"/>
  <c r="B33" i="171"/>
  <c r="I26" i="137"/>
  <c r="J26" s="1"/>
  <c r="X31" i="158"/>
  <c r="AB31"/>
  <c r="K32" i="162"/>
  <c r="N32" s="1"/>
  <c r="AA30" i="167"/>
  <c r="G32" i="150"/>
  <c r="AD32" s="1"/>
  <c r="AA32" i="162"/>
  <c r="AF33"/>
  <c r="F26" i="160"/>
  <c r="G27"/>
  <c r="AD26"/>
  <c r="J32" i="155"/>
  <c r="AF32" s="1"/>
  <c r="J32" i="153"/>
  <c r="AF32" s="1"/>
  <c r="J32" i="149"/>
  <c r="AF32" s="1"/>
  <c r="AS28" i="168"/>
  <c r="CC34" i="162"/>
  <c r="D34" s="1"/>
  <c r="CE34"/>
  <c r="J34" s="1"/>
  <c r="CD34"/>
  <c r="G34" s="1"/>
  <c r="CG34"/>
  <c r="AL34" s="1"/>
  <c r="AB117" i="118"/>
  <c r="E33" i="154"/>
  <c r="E33" i="144"/>
  <c r="E33" i="165"/>
  <c r="E33" i="167"/>
  <c r="E33" i="162"/>
  <c r="F33" s="1"/>
  <c r="E33" i="151"/>
  <c r="E33" i="149"/>
  <c r="F26" i="137"/>
  <c r="BC33" i="161" s="1"/>
  <c r="BP33" s="1"/>
  <c r="G33" s="1"/>
  <c r="E33" i="166"/>
  <c r="E33" i="153"/>
  <c r="E33" i="145"/>
  <c r="E33" i="168"/>
  <c r="E33" i="171"/>
  <c r="E33" i="164"/>
  <c r="E33" i="150"/>
  <c r="E33" i="158"/>
  <c r="E33" i="159"/>
  <c r="E33" i="56"/>
  <c r="E33" i="155"/>
  <c r="E33" i="143"/>
  <c r="AD30" i="149"/>
  <c r="F30"/>
  <c r="O30"/>
  <c r="R30" s="1"/>
  <c r="AS28" i="161"/>
  <c r="AB31" i="149"/>
  <c r="D32" i="159"/>
  <c r="K32" s="1"/>
  <c r="N32" s="1"/>
  <c r="C32" i="165"/>
  <c r="K32"/>
  <c r="N32" s="1"/>
  <c r="AS29" i="155"/>
  <c r="AJ30" i="168"/>
  <c r="AZ27" i="51"/>
  <c r="J27"/>
  <c r="AW27"/>
  <c r="G32" i="145"/>
  <c r="AD32" s="1"/>
  <c r="Q789" i="175"/>
  <c r="N4" i="189"/>
  <c r="AA25" i="160"/>
  <c r="T26" i="49"/>
  <c r="U25"/>
  <c r="AJ32" i="162"/>
  <c r="AR29" i="153"/>
  <c r="F29" i="147"/>
  <c r="AD29"/>
  <c r="G30"/>
  <c r="AM33" i="162"/>
  <c r="AR29" i="158"/>
  <c r="F30" i="146"/>
  <c r="AD30"/>
  <c r="G31"/>
  <c r="X30"/>
  <c r="X31" i="151"/>
  <c r="AC31"/>
  <c r="J32" i="150"/>
  <c r="AF32" s="1"/>
  <c r="J32" i="56"/>
  <c r="AF32" s="1"/>
  <c r="S32" i="162"/>
  <c r="V32" s="1"/>
  <c r="J32" i="164"/>
  <c r="AF32" s="1"/>
  <c r="J32" i="144"/>
  <c r="AF32" s="1"/>
  <c r="AS28" i="154"/>
  <c r="X31" i="171"/>
  <c r="AB256" i="118"/>
  <c r="H28" i="51"/>
  <c r="I28" s="1"/>
  <c r="AA30" i="153"/>
  <c r="H26" i="137"/>
  <c r="BD33" i="161" s="1"/>
  <c r="H33" i="144"/>
  <c r="H33" i="153"/>
  <c r="H33" i="154"/>
  <c r="H33" i="158"/>
  <c r="H33" i="143"/>
  <c r="H33" i="159"/>
  <c r="H33" i="164"/>
  <c r="H33" i="168"/>
  <c r="H33" i="167"/>
  <c r="H33" i="151"/>
  <c r="H33" i="145"/>
  <c r="H33" i="165"/>
  <c r="H33" i="162"/>
  <c r="H33" i="166"/>
  <c r="H33" i="56"/>
  <c r="H33" i="171"/>
  <c r="H33" i="155"/>
  <c r="H33" i="149"/>
  <c r="AB164" i="118"/>
  <c r="H33" i="150"/>
  <c r="AB31" i="145"/>
  <c r="X31"/>
  <c r="M74" i="189"/>
  <c r="AS74" s="1"/>
  <c r="AV797" i="175"/>
  <c r="AS28" i="165"/>
  <c r="I28" i="148"/>
  <c r="J29"/>
  <c r="AF28"/>
  <c r="AB31" i="167"/>
  <c r="X31"/>
  <c r="X31" i="155"/>
  <c r="AA31" s="1"/>
  <c r="AB31"/>
  <c r="AJ31" s="1"/>
  <c r="D32" i="149"/>
  <c r="D32" i="150"/>
  <c r="K32" s="1"/>
  <c r="N32" s="1"/>
  <c r="D32" i="56"/>
  <c r="K32" s="1"/>
  <c r="N32" s="1"/>
  <c r="D32" i="144"/>
  <c r="AJ30" i="165"/>
  <c r="AS28" i="167"/>
  <c r="I31" i="161"/>
  <c r="AF31"/>
  <c r="AR28" i="146"/>
  <c r="AJ30" i="151"/>
  <c r="G32" i="158"/>
  <c r="AD32" s="1"/>
  <c r="G32" i="155"/>
  <c r="AD32" s="1"/>
  <c r="G32" i="164"/>
  <c r="AD32" s="1"/>
  <c r="BK32"/>
  <c r="BL32" s="1"/>
  <c r="G32" i="151"/>
  <c r="AD32" s="1"/>
  <c r="G32" i="165"/>
  <c r="AW393" i="118"/>
  <c r="AE393" s="1"/>
  <c r="AY393"/>
  <c r="BC393"/>
  <c r="BK393"/>
  <c r="BN393"/>
  <c r="BI393"/>
  <c r="BL393"/>
  <c r="BG393"/>
  <c r="BH393"/>
  <c r="AZ393"/>
  <c r="BP393"/>
  <c r="BO393"/>
  <c r="AX393"/>
  <c r="BB393"/>
  <c r="BE393"/>
  <c r="BF393"/>
  <c r="BD393"/>
  <c r="BJ393"/>
  <c r="BM393"/>
  <c r="BA393"/>
  <c r="Q51" i="190"/>
  <c r="T501" i="175"/>
  <c r="AF31" i="163"/>
  <c r="M19" i="189"/>
  <c r="AS19" s="1"/>
  <c r="AV742" i="175"/>
  <c r="K31" i="143"/>
  <c r="AV789" i="175"/>
  <c r="S31" i="164"/>
  <c r="V31" s="1"/>
  <c r="O31" i="144"/>
  <c r="R31" s="1"/>
  <c r="K31" i="171"/>
  <c r="N31" s="1"/>
  <c r="O31" i="158"/>
  <c r="R31" s="1"/>
  <c r="BQ29" i="164"/>
  <c r="BR29" s="1"/>
  <c r="AE29" s="1"/>
  <c r="AR27" i="147"/>
  <c r="K26" i="49"/>
  <c r="X30" i="149"/>
  <c r="S31" i="154"/>
  <c r="V31" s="1"/>
  <c r="BD31" i="149"/>
  <c r="G31" s="1"/>
  <c r="O31" i="159"/>
  <c r="R31" s="1"/>
  <c r="S31" i="153"/>
  <c r="V31" s="1"/>
  <c r="O31" i="168"/>
  <c r="R31" s="1"/>
  <c r="J31" i="146"/>
  <c r="I30"/>
  <c r="AF30"/>
  <c r="Z31" i="171"/>
  <c r="W24" i="49"/>
  <c r="AB350" i="118"/>
  <c r="AD350" s="1"/>
  <c r="AR29" i="168"/>
  <c r="AJ30" i="166"/>
  <c r="X33" i="162"/>
  <c r="AB33"/>
  <c r="AR29" i="167"/>
  <c r="AA30" i="158"/>
  <c r="J32" i="171"/>
  <c r="AF32" s="1"/>
  <c r="J32" i="159"/>
  <c r="AF32" s="1"/>
  <c r="J32" i="167"/>
  <c r="AF32" s="1"/>
  <c r="J32" i="154"/>
  <c r="AF32" s="1"/>
  <c r="AS28" i="151"/>
  <c r="AB31" i="164"/>
  <c r="AR28" i="171"/>
  <c r="AS28" s="1"/>
  <c r="AS29" s="1"/>
  <c r="AS28" i="153"/>
  <c r="AR29" i="150"/>
  <c r="D32" i="158"/>
  <c r="D32" i="143"/>
  <c r="K32" s="1"/>
  <c r="D32" i="151"/>
  <c r="K32" s="1"/>
  <c r="N32" s="1"/>
  <c r="D32" i="167"/>
  <c r="AR31" i="162"/>
  <c r="X31" i="150"/>
  <c r="AB31"/>
  <c r="AJ31" s="1"/>
  <c r="AJ30" i="154"/>
  <c r="G32" i="143"/>
  <c r="AD32" s="1"/>
  <c r="G32" i="168"/>
  <c r="AD32" s="1"/>
  <c r="G32" i="153"/>
  <c r="AD32" s="1"/>
  <c r="G32" i="144"/>
  <c r="AD32" s="1"/>
  <c r="AD30" i="163"/>
  <c r="M5" i="189"/>
  <c r="AS5" s="1"/>
  <c r="P790" i="175"/>
  <c r="AB31" i="163"/>
  <c r="L794" i="175"/>
  <c r="I9" i="189"/>
  <c r="AS30" i="162"/>
  <c r="AJ30" i="145"/>
  <c r="AS27" i="146"/>
  <c r="AA30" i="166"/>
  <c r="AR29" i="159"/>
  <c r="AS26" i="147"/>
  <c r="AJ29" i="146"/>
  <c r="I32" i="165"/>
  <c r="BK32"/>
  <c r="S32"/>
  <c r="V32" s="1"/>
  <c r="J32" i="151"/>
  <c r="AF32" s="1"/>
  <c r="AR29" i="145"/>
  <c r="AK26" i="51"/>
  <c r="AB19" i="118"/>
  <c r="AV26" i="51"/>
  <c r="AX26" s="1"/>
  <c r="B19" i="72"/>
  <c r="D19" s="1"/>
  <c r="I19" s="1"/>
  <c r="H19" s="1"/>
  <c r="G19" s="1"/>
  <c r="F19" s="1"/>
  <c r="E19" s="1"/>
  <c r="AJ30" i="161"/>
  <c r="D32" i="171"/>
  <c r="AB32" s="1"/>
  <c r="D32" i="168"/>
  <c r="D32" i="166"/>
  <c r="AR29" i="151"/>
  <c r="AB31" i="154"/>
  <c r="X31"/>
  <c r="AJ30" i="167"/>
  <c r="AA30" i="154"/>
  <c r="AD31" i="165"/>
  <c r="X31" i="56"/>
  <c r="AA31" s="1"/>
  <c r="AB31"/>
  <c r="AJ31" s="1"/>
  <c r="G32"/>
  <c r="AD32" s="1"/>
  <c r="G32" i="159"/>
  <c r="AD32" s="1"/>
  <c r="BB32" i="149"/>
  <c r="BC32"/>
  <c r="G32" i="167"/>
  <c r="AD32" s="1"/>
  <c r="AF27" i="152"/>
  <c r="N12" i="189"/>
  <c r="Q797" i="175"/>
  <c r="M80" i="189"/>
  <c r="AS80" s="1"/>
  <c r="AV803" i="175"/>
  <c r="AS27" i="149"/>
  <c r="AA30" i="145"/>
  <c r="AR29" i="161"/>
  <c r="AD33" i="162"/>
  <c r="G29" i="148"/>
  <c r="F28"/>
  <c r="AD28"/>
  <c r="X31" i="168"/>
  <c r="AB31"/>
  <c r="J32" i="143"/>
  <c r="AF32" s="1"/>
  <c r="J32" i="145"/>
  <c r="AF32" s="1"/>
  <c r="J32" i="158"/>
  <c r="AF32" s="1"/>
  <c r="J32" i="168"/>
  <c r="AF32" s="1"/>
  <c r="J26" i="49"/>
  <c r="M25"/>
  <c r="Z25"/>
  <c r="AJ30" i="153"/>
  <c r="C27" i="137"/>
  <c r="G27"/>
  <c r="E27"/>
  <c r="AA30" i="159"/>
  <c r="AB31" i="166"/>
  <c r="X31"/>
  <c r="AR29" i="154"/>
  <c r="AB31" i="159"/>
  <c r="X31"/>
  <c r="AS28" i="166"/>
  <c r="AR29" i="165"/>
  <c r="BN30" i="164"/>
  <c r="BQ30" s="1"/>
  <c r="BR30" s="1"/>
  <c r="AE30" s="1"/>
  <c r="BM31"/>
  <c r="BT31"/>
  <c r="BP31"/>
  <c r="AA30" i="161"/>
  <c r="D32" i="155"/>
  <c r="D32" i="164"/>
  <c r="K32" s="1"/>
  <c r="N32" s="1"/>
  <c r="D32" i="153"/>
  <c r="D32" i="145"/>
  <c r="K32" s="1"/>
  <c r="N32" s="1"/>
  <c r="D32" i="154"/>
  <c r="K32" s="1"/>
  <c r="N32" s="1"/>
  <c r="I70" i="189"/>
  <c r="AS28" i="145"/>
  <c r="AR29" i="166"/>
  <c r="AA30" i="168"/>
  <c r="C31" i="161"/>
  <c r="AB31"/>
  <c r="X31"/>
  <c r="AA30" i="151"/>
  <c r="G32" i="171"/>
  <c r="AD32" s="1"/>
  <c r="G32" i="166"/>
  <c r="AD32" s="1"/>
  <c r="AD32" i="161"/>
  <c r="F32"/>
  <c r="O32" i="162"/>
  <c r="R32" s="1"/>
  <c r="G32" i="154"/>
  <c r="AD32" s="1"/>
  <c r="I26" i="160"/>
  <c r="J27"/>
  <c r="AF26"/>
  <c r="AR26" i="148"/>
  <c r="AD27" i="152"/>
  <c r="Q803" i="175"/>
  <c r="N18" i="189"/>
  <c r="K31" i="153"/>
  <c r="N31" s="1"/>
  <c r="K31" i="158"/>
  <c r="N31" s="1"/>
  <c r="X30" i="163"/>
  <c r="S31" i="144"/>
  <c r="V31" s="1"/>
  <c r="AV728" i="175"/>
  <c r="C32" i="162"/>
  <c r="AJ31" i="171"/>
  <c r="S31" i="155"/>
  <c r="V31" s="1"/>
  <c r="K31" i="145"/>
  <c r="N31" s="1"/>
  <c r="K31" i="149"/>
  <c r="N31" s="1"/>
  <c r="I32" i="162"/>
  <c r="O31" i="165"/>
  <c r="R31" s="1"/>
  <c r="S17" i="140"/>
  <c r="T18" i="119"/>
  <c r="V16" i="71"/>
  <c r="E30" i="148"/>
  <c r="S55" i="175"/>
  <c r="R378"/>
  <c r="R679"/>
  <c r="R386"/>
  <c r="O135"/>
  <c r="M663"/>
  <c r="R201"/>
  <c r="L16" i="68"/>
  <c r="K17" i="120"/>
  <c r="I16" i="71"/>
  <c r="Q689" i="175"/>
  <c r="N256"/>
  <c r="D16" i="71"/>
  <c r="Q388" i="175"/>
  <c r="T205"/>
  <c r="E15" i="68"/>
  <c r="V440" i="175"/>
  <c r="L693"/>
  <c r="S44"/>
  <c r="T268"/>
  <c r="V17" i="120"/>
  <c r="S28" i="152"/>
  <c r="S32" i="163"/>
  <c r="B29" i="148"/>
  <c r="P690" i="175"/>
  <c r="E16" i="140"/>
  <c r="N198" i="175"/>
  <c r="O33" i="161"/>
  <c r="R255" i="175"/>
  <c r="N129"/>
  <c r="S18" i="119"/>
  <c r="F14" i="71"/>
  <c r="T18" i="140"/>
  <c r="N16" i="71"/>
  <c r="T209" i="175"/>
  <c r="R17" i="119"/>
  <c r="S175" i="175"/>
  <c r="M17" i="140"/>
  <c r="X12" i="119"/>
  <c r="S32" i="161"/>
  <c r="X13" i="120"/>
  <c r="J17"/>
  <c r="V16" i="68"/>
  <c r="N40" i="175"/>
  <c r="T272"/>
  <c r="H30" i="148"/>
  <c r="B9" i="64"/>
  <c r="I18" i="119"/>
  <c r="M377" i="175"/>
  <c r="N196"/>
  <c r="K32" i="161"/>
  <c r="O12" i="120"/>
  <c r="O137" i="175"/>
  <c r="T267"/>
  <c r="U17" i="140"/>
  <c r="K17" i="64"/>
  <c r="Q706" i="175"/>
  <c r="R396"/>
  <c r="N381"/>
  <c r="L17" i="120"/>
  <c r="B9" i="67"/>
  <c r="V17" i="140"/>
  <c r="H33" i="163"/>
  <c r="O134" i="175"/>
  <c r="X11" i="68"/>
  <c r="P199" i="175"/>
  <c r="R16" i="67"/>
  <c r="K17" i="119"/>
  <c r="R16" i="120"/>
  <c r="S52" i="175"/>
  <c r="B31" i="147"/>
  <c r="B8" i="71"/>
  <c r="M383" i="175"/>
  <c r="O700"/>
  <c r="K27" i="152"/>
  <c r="R677" i="175"/>
  <c r="S15" i="71"/>
  <c r="R204" i="175"/>
  <c r="L18" i="119"/>
  <c r="M17" i="67"/>
  <c r="T210" i="175"/>
  <c r="M132"/>
  <c r="N259"/>
  <c r="S150"/>
  <c r="F14" i="68"/>
  <c r="T208" i="175"/>
  <c r="H17" i="140"/>
  <c r="S262" i="175"/>
  <c r="W17" i="64"/>
  <c r="L17" i="67"/>
  <c r="R666" i="175"/>
  <c r="Q18" i="120"/>
  <c r="E15" i="71"/>
  <c r="Q18" i="119"/>
  <c r="S29" i="148"/>
  <c r="M17" i="120"/>
  <c r="Q703" i="175"/>
  <c r="H15" i="68"/>
  <c r="M664" i="175"/>
  <c r="N39"/>
  <c r="T275"/>
  <c r="H16" i="120"/>
  <c r="D17" i="119"/>
  <c r="O385" i="175"/>
  <c r="P261"/>
  <c r="P17" i="64"/>
  <c r="H31" i="147"/>
  <c r="W17" i="120"/>
  <c r="O29" i="148"/>
  <c r="L384" i="175"/>
  <c r="O11" i="71"/>
  <c r="S148" i="175"/>
  <c r="E28" i="160"/>
  <c r="B33" i="161"/>
  <c r="R193" i="175"/>
  <c r="G13" i="119"/>
  <c r="K26" i="160"/>
  <c r="S141" i="175"/>
  <c r="R17" i="67"/>
  <c r="O38" i="175"/>
  <c r="D16" i="68"/>
  <c r="V17" i="64"/>
  <c r="R17" i="140"/>
  <c r="R236" i="175"/>
  <c r="O42"/>
  <c r="S53"/>
  <c r="U17" i="64"/>
  <c r="T270" i="175"/>
  <c r="R203"/>
  <c r="Q18" i="68"/>
  <c r="O31" i="146"/>
  <c r="R44" i="175"/>
  <c r="L688"/>
  <c r="R17" i="64"/>
  <c r="O10" i="68"/>
  <c r="V442" i="175"/>
  <c r="P17" i="140"/>
  <c r="D17" i="67"/>
  <c r="S192" i="175"/>
  <c r="Q234"/>
  <c r="H32" i="146"/>
  <c r="X13" i="67"/>
  <c r="U17"/>
  <c r="S131" i="175"/>
  <c r="U16" i="71"/>
  <c r="T16" i="68"/>
  <c r="G14" i="64"/>
  <c r="S30" i="147"/>
  <c r="K29"/>
  <c r="M17" i="119"/>
  <c r="K17" i="67"/>
  <c r="O34" i="175"/>
  <c r="S269"/>
  <c r="M17" i="64"/>
  <c r="N657" i="175"/>
  <c r="R207"/>
  <c r="N18" i="119"/>
  <c r="S151" i="175"/>
  <c r="Q707"/>
  <c r="O253"/>
  <c r="Q697"/>
  <c r="R392"/>
  <c r="E32" i="146"/>
  <c r="I17" i="68"/>
  <c r="B32" i="146"/>
  <c r="S149" i="175"/>
  <c r="R395"/>
  <c r="G13" i="67"/>
  <c r="O27" i="160"/>
  <c r="K32" i="146"/>
  <c r="U17" i="120"/>
  <c r="B8" i="68"/>
  <c r="F15" i="140"/>
  <c r="N696" i="175"/>
  <c r="J16" i="71"/>
  <c r="Q669" i="175"/>
  <c r="L691"/>
  <c r="S173"/>
  <c r="H33" i="161"/>
  <c r="T273" i="175"/>
  <c r="E33" i="161"/>
  <c r="D18" i="119"/>
  <c r="G13" i="64"/>
  <c r="U16" i="68"/>
  <c r="Q698" i="175"/>
  <c r="X13" i="140"/>
  <c r="O11" i="119"/>
  <c r="G13" i="68"/>
  <c r="R658" i="175"/>
  <c r="S147"/>
  <c r="I17" i="64"/>
  <c r="X13"/>
  <c r="S49" i="175"/>
  <c r="N133"/>
  <c r="R399"/>
  <c r="S17" i="120"/>
  <c r="Q708" i="175"/>
  <c r="F14" i="119"/>
  <c r="S139" i="175"/>
  <c r="N17" i="67"/>
  <c r="N41" i="175"/>
  <c r="T17" i="120"/>
  <c r="K17" i="140"/>
  <c r="N17"/>
  <c r="Q379" i="175"/>
  <c r="B28" i="152"/>
  <c r="D17" i="120"/>
  <c r="Q18" i="71"/>
  <c r="P16" i="68"/>
  <c r="S144" i="175"/>
  <c r="G14" i="140"/>
  <c r="R16" i="64"/>
  <c r="W16" i="71"/>
  <c r="Q236" i="175"/>
  <c r="S265"/>
  <c r="R15" i="68"/>
  <c r="E31" i="147"/>
  <c r="K176" i="175"/>
  <c r="K28" i="148"/>
  <c r="Q19" i="64"/>
  <c r="E16" i="120"/>
  <c r="J17" i="64"/>
  <c r="X12" i="71"/>
  <c r="S35" i="175"/>
  <c r="Q19" i="67"/>
  <c r="C17" i="120"/>
  <c r="S130" i="175"/>
  <c r="J17" i="140"/>
  <c r="R234" i="175"/>
  <c r="K695"/>
  <c r="Q668"/>
  <c r="R235"/>
  <c r="S14" i="68"/>
  <c r="Q235" i="175"/>
  <c r="D17" i="64"/>
  <c r="H29" i="152"/>
  <c r="T264" i="175"/>
  <c r="W16" i="68"/>
  <c r="H17" i="119"/>
  <c r="W17" i="140"/>
  <c r="H15" i="71"/>
  <c r="V17" i="67"/>
  <c r="O195" i="175"/>
  <c r="F15" i="64"/>
  <c r="P17" i="67"/>
  <c r="S27" i="160"/>
  <c r="R36" i="175"/>
  <c r="E17" i="119"/>
  <c r="H16" i="64"/>
  <c r="M382" i="175"/>
  <c r="P699"/>
  <c r="Q710"/>
  <c r="M16" i="71"/>
  <c r="B27" i="160"/>
  <c r="P389" i="175"/>
  <c r="O12" i="67"/>
  <c r="B17" i="140"/>
  <c r="Q20" i="69"/>
  <c r="T213" i="175"/>
  <c r="S254"/>
  <c r="R45"/>
  <c r="N260"/>
  <c r="R678"/>
  <c r="S172"/>
  <c r="T271"/>
  <c r="S43"/>
  <c r="T274"/>
  <c r="R675"/>
  <c r="N16" i="68"/>
  <c r="R397" i="175"/>
  <c r="B33" i="163"/>
  <c r="Q709" i="175"/>
  <c r="T206"/>
  <c r="N258"/>
  <c r="S138"/>
  <c r="T200"/>
  <c r="P18" i="120"/>
  <c r="F15"/>
  <c r="R672" i="175"/>
  <c r="R202"/>
  <c r="N661"/>
  <c r="H28" i="160"/>
  <c r="I17" i="140"/>
  <c r="S263" i="175"/>
  <c r="E29" i="152"/>
  <c r="R398" i="175"/>
  <c r="M381"/>
  <c r="B9" i="119"/>
  <c r="G14" i="67"/>
  <c r="L17" i="140"/>
  <c r="O12" i="64"/>
  <c r="T212" i="175"/>
  <c r="O257"/>
  <c r="K16" i="68"/>
  <c r="E32" i="163"/>
  <c r="P17" i="119"/>
  <c r="T211" i="175"/>
  <c r="S266"/>
  <c r="L17" i="64"/>
  <c r="N17" i="120"/>
  <c r="C17" i="140"/>
  <c r="H16" i="67"/>
  <c r="N194" i="175"/>
  <c r="Q659"/>
  <c r="M16" i="68"/>
  <c r="I17" i="67"/>
  <c r="E16"/>
  <c r="S31" i="146"/>
  <c r="O665" i="175"/>
  <c r="K32" i="163"/>
  <c r="R676" i="175"/>
  <c r="B17" i="120"/>
  <c r="S56" i="175"/>
  <c r="L692"/>
  <c r="W17" i="67"/>
  <c r="N197" i="175"/>
  <c r="G14" i="120"/>
  <c r="S140" i="175"/>
  <c r="N17" i="64"/>
  <c r="Q387" i="175"/>
  <c r="O30" i="147"/>
  <c r="M692" i="175"/>
  <c r="D17" i="140"/>
  <c r="O31" i="163"/>
  <c r="J16" i="68"/>
  <c r="S54" i="175"/>
  <c r="M662"/>
  <c r="O12" i="140"/>
  <c r="O191" i="175"/>
  <c r="I17" i="120"/>
  <c r="M660" i="175"/>
  <c r="N37"/>
  <c r="F15" i="67"/>
  <c r="M380" i="175"/>
  <c r="O28" i="152"/>
  <c r="J18" i="119"/>
  <c r="J17" i="67"/>
  <c r="P42" i="175"/>
  <c r="G13" i="71"/>
  <c r="Q18" i="140"/>
  <c r="M136" i="175"/>
  <c r="K16" i="71"/>
  <c r="S174" i="175"/>
  <c r="L16" i="71"/>
  <c r="P16"/>
  <c r="E16" i="64"/>
  <c r="BV10" i="118" l="1"/>
  <c r="CA11"/>
  <c r="BV11" s="1"/>
  <c r="S772" i="175"/>
  <c r="S36" i="190"/>
  <c r="V473" i="175"/>
  <c r="R54" i="190"/>
  <c r="AU54" s="1"/>
  <c r="AX473" i="175"/>
  <c r="AZ161" i="118"/>
  <c r="AZ114"/>
  <c r="AZ68"/>
  <c r="R738" i="175"/>
  <c r="O15" i="189" s="1"/>
  <c r="Q799" i="175"/>
  <c r="N76" i="189" s="1"/>
  <c r="M76"/>
  <c r="AS76" s="1"/>
  <c r="O638" i="175"/>
  <c r="AV389"/>
  <c r="Q769"/>
  <c r="R769"/>
  <c r="O46" i="189" s="1"/>
  <c r="AS27" i="164"/>
  <c r="AR28"/>
  <c r="P800" i="175"/>
  <c r="AV769"/>
  <c r="M46" i="189"/>
  <c r="AS46" s="1"/>
  <c r="BA255" i="118"/>
  <c r="BA161"/>
  <c r="BA114"/>
  <c r="BA20"/>
  <c r="R737" i="175"/>
  <c r="R799" s="1"/>
  <c r="O76" i="189" s="1"/>
  <c r="AV699" i="175"/>
  <c r="P637"/>
  <c r="AV637" s="1"/>
  <c r="BE157" i="118"/>
  <c r="BE110"/>
  <c r="BE251"/>
  <c r="BE62"/>
  <c r="BE16"/>
  <c r="M733" i="175"/>
  <c r="K633"/>
  <c r="AJ25" i="160"/>
  <c r="AR25" s="1"/>
  <c r="L795" i="175"/>
  <c r="I72" i="189" s="1"/>
  <c r="I10"/>
  <c r="AR24" i="160"/>
  <c r="M788" i="175"/>
  <c r="J65" i="189" s="1"/>
  <c r="BL63" i="118"/>
  <c r="N726" i="175"/>
  <c r="N788" s="1"/>
  <c r="L626"/>
  <c r="AJ26" i="152"/>
  <c r="AR26" s="1"/>
  <c r="AR25"/>
  <c r="AS24"/>
  <c r="L630" i="175"/>
  <c r="I6" i="189"/>
  <c r="K11"/>
  <c r="M792" i="175"/>
  <c r="J69" i="189" s="1"/>
  <c r="BH63" i="118"/>
  <c r="N29" i="147"/>
  <c r="N26" i="160"/>
  <c r="D28" i="152"/>
  <c r="X28" s="1"/>
  <c r="N28" i="148"/>
  <c r="N730" i="175"/>
  <c r="N792" s="1"/>
  <c r="K69" i="189" s="1"/>
  <c r="BD17" i="118"/>
  <c r="AB17" i="72"/>
  <c r="BD252" i="118"/>
  <c r="N27" i="152"/>
  <c r="O734" i="175"/>
  <c r="L11" i="189" s="1"/>
  <c r="BD64" i="118"/>
  <c r="M729" i="175"/>
  <c r="J6" i="189" s="1"/>
  <c r="BI62" i="118"/>
  <c r="D30" i="147"/>
  <c r="X30" s="1"/>
  <c r="AB29"/>
  <c r="AJ29" s="1"/>
  <c r="C29"/>
  <c r="AB26" i="160"/>
  <c r="D27"/>
  <c r="X27" s="1"/>
  <c r="C26"/>
  <c r="C28" i="148"/>
  <c r="AB28"/>
  <c r="AJ28" s="1"/>
  <c r="D29"/>
  <c r="X29" s="1"/>
  <c r="AB27" i="152"/>
  <c r="AY161" i="118"/>
  <c r="AY114"/>
  <c r="AV798" i="175"/>
  <c r="BA68" i="118"/>
  <c r="BH158"/>
  <c r="BH111"/>
  <c r="BH252"/>
  <c r="BH17"/>
  <c r="M630" i="175"/>
  <c r="Q798"/>
  <c r="N75" i="189" s="1"/>
  <c r="AS28" i="149"/>
  <c r="BI251" i="118"/>
  <c r="BD253"/>
  <c r="AR256"/>
  <c r="AP69"/>
  <c r="AT256"/>
  <c r="BB255"/>
  <c r="AU115"/>
  <c r="AU162"/>
  <c r="BI157"/>
  <c r="BI110"/>
  <c r="AQ256"/>
  <c r="AQ115"/>
  <c r="AQ162"/>
  <c r="AR21"/>
  <c r="BC68"/>
  <c r="AT162"/>
  <c r="AT115"/>
  <c r="AT68"/>
  <c r="AT21"/>
  <c r="AP115"/>
  <c r="AP162"/>
  <c r="BB68"/>
  <c r="AP256"/>
  <c r="BI16"/>
  <c r="AT69"/>
  <c r="AR115"/>
  <c r="AR162"/>
  <c r="AP21"/>
  <c r="AS162"/>
  <c r="AS115"/>
  <c r="AS21"/>
  <c r="BB114"/>
  <c r="BB161"/>
  <c r="AQ68"/>
  <c r="AS256"/>
  <c r="AQ21"/>
  <c r="BD112"/>
  <c r="BD159"/>
  <c r="BB20"/>
  <c r="BK162"/>
  <c r="BK115"/>
  <c r="BD18"/>
  <c r="Q646" i="175"/>
  <c r="S746"/>
  <c r="AV199"/>
  <c r="Q644"/>
  <c r="AV261"/>
  <c r="S744"/>
  <c r="L629"/>
  <c r="R736"/>
  <c r="R798" s="1"/>
  <c r="O75" i="189" s="1"/>
  <c r="K190" i="175"/>
  <c r="R252"/>
  <c r="AV42"/>
  <c r="N634"/>
  <c r="S745"/>
  <c r="Q648"/>
  <c r="Q645"/>
  <c r="Q647"/>
  <c r="Q252"/>
  <c r="S748"/>
  <c r="S747"/>
  <c r="AJ30" i="163"/>
  <c r="AJ23" i="143"/>
  <c r="N87" i="189"/>
  <c r="N84"/>
  <c r="O25"/>
  <c r="R810" i="175"/>
  <c r="O87" i="189" s="1"/>
  <c r="O24"/>
  <c r="R809" i="175"/>
  <c r="O86" i="189" s="1"/>
  <c r="AR28" i="147"/>
  <c r="AJ30" i="164"/>
  <c r="N83" i="189"/>
  <c r="AA28" i="148"/>
  <c r="R806" i="175"/>
  <c r="O83" i="189" s="1"/>
  <c r="O21"/>
  <c r="AJ29" i="164"/>
  <c r="N86" i="189"/>
  <c r="O22"/>
  <c r="R807" i="175"/>
  <c r="O84" i="189" s="1"/>
  <c r="R808" i="175"/>
  <c r="O85" i="189" s="1"/>
  <c r="O23"/>
  <c r="AJ31" i="159"/>
  <c r="AR27" i="148"/>
  <c r="AS21" i="143"/>
  <c r="AJ31" i="158"/>
  <c r="AD11" i="118"/>
  <c r="X11"/>
  <c r="N85" i="189"/>
  <c r="AV636" i="175"/>
  <c r="L27" i="49"/>
  <c r="AG13" i="72"/>
  <c r="AR22" i="143"/>
  <c r="AC24"/>
  <c r="X24"/>
  <c r="N24"/>
  <c r="AA23"/>
  <c r="M25"/>
  <c r="L25" s="1"/>
  <c r="AG69" i="118"/>
  <c r="AG258"/>
  <c r="AG23"/>
  <c r="AG163"/>
  <c r="AG116"/>
  <c r="AD156"/>
  <c r="AS30" i="56"/>
  <c r="BG251" i="118"/>
  <c r="BL111"/>
  <c r="BL158"/>
  <c r="BG157"/>
  <c r="BG110"/>
  <c r="BL252"/>
  <c r="BG16"/>
  <c r="BG64"/>
  <c r="BL17"/>
  <c r="L631" i="175"/>
  <c r="N731"/>
  <c r="N793" s="1"/>
  <c r="J8" i="189"/>
  <c r="AD109" i="118"/>
  <c r="AA27" i="152"/>
  <c r="AJ30" i="149"/>
  <c r="AR29"/>
  <c r="AB18" i="72"/>
  <c r="S32" i="168"/>
  <c r="V32" s="1"/>
  <c r="AS29" i="158"/>
  <c r="O32" i="167"/>
  <c r="R32" s="1"/>
  <c r="O32" i="159"/>
  <c r="R32" s="1"/>
  <c r="AS29"/>
  <c r="AS29" i="150"/>
  <c r="AS30" i="155"/>
  <c r="O32" i="158"/>
  <c r="R32" s="1"/>
  <c r="AX115" i="118"/>
  <c r="AX162"/>
  <c r="AR31" i="56"/>
  <c r="S32" i="167"/>
  <c r="V32" s="1"/>
  <c r="O32" i="171"/>
  <c r="R32" s="1"/>
  <c r="S32" i="143"/>
  <c r="V32" s="1"/>
  <c r="O32" i="144"/>
  <c r="R32" s="1"/>
  <c r="S32" i="164"/>
  <c r="V32" s="1"/>
  <c r="BC162" i="118"/>
  <c r="BC115"/>
  <c r="AW115"/>
  <c r="AW162"/>
  <c r="Q17" i="72"/>
  <c r="O32" i="56"/>
  <c r="R32" s="1"/>
  <c r="AJ32" i="171"/>
  <c r="O32" i="151"/>
  <c r="R32" s="1"/>
  <c r="O32" i="164"/>
  <c r="R32" s="1"/>
  <c r="S32" i="153"/>
  <c r="V32" s="1"/>
  <c r="O32" i="150"/>
  <c r="R32" s="1"/>
  <c r="BU30" i="164"/>
  <c r="BV30" s="1"/>
  <c r="X30" s="1"/>
  <c r="S32" i="158"/>
  <c r="V32" s="1"/>
  <c r="O32" i="168"/>
  <c r="R32" s="1"/>
  <c r="S32" i="154"/>
  <c r="V32" s="1"/>
  <c r="AX471" i="175"/>
  <c r="BF64" i="118"/>
  <c r="N221" i="175"/>
  <c r="N732"/>
  <c r="BJ68" i="118"/>
  <c r="AV114"/>
  <c r="AV161"/>
  <c r="N283" i="175"/>
  <c r="BK68" i="118"/>
  <c r="BF157"/>
  <c r="BF110"/>
  <c r="R21" i="72"/>
  <c r="AW21" i="118"/>
  <c r="AW256"/>
  <c r="Y21" i="72"/>
  <c r="V31" i="146"/>
  <c r="BF251" i="118"/>
  <c r="BF16"/>
  <c r="V471" i="175"/>
  <c r="V470"/>
  <c r="S34" i="190"/>
  <c r="AI395" i="118"/>
  <c r="R27" i="160"/>
  <c r="V32" i="163"/>
  <c r="Q627" i="175"/>
  <c r="W23" i="72"/>
  <c r="G32" i="163"/>
  <c r="X32" s="1"/>
  <c r="Q636" i="175"/>
  <c r="AA21" i="72"/>
  <c r="V30" i="147"/>
  <c r="AC19" i="72"/>
  <c r="BK256" i="118"/>
  <c r="X21" i="72"/>
  <c r="BK21" i="118"/>
  <c r="Q635" i="175"/>
  <c r="S741"/>
  <c r="R31" i="146"/>
  <c r="Z21" i="72"/>
  <c r="R31" i="163"/>
  <c r="BJ161" i="118"/>
  <c r="BJ114"/>
  <c r="Q641" i="175"/>
  <c r="AE21" i="72"/>
  <c r="AD20"/>
  <c r="BJ255" i="118"/>
  <c r="BJ20"/>
  <c r="D33" i="163"/>
  <c r="N32" i="161"/>
  <c r="C32" i="146"/>
  <c r="N32"/>
  <c r="V28" i="152"/>
  <c r="S735" i="175"/>
  <c r="R29" i="148"/>
  <c r="G29" i="152"/>
  <c r="S21" i="72"/>
  <c r="R30" i="147"/>
  <c r="V32" i="161"/>
  <c r="R28" i="152"/>
  <c r="V27" i="160"/>
  <c r="S727" i="175"/>
  <c r="T21" i="72"/>
  <c r="BC256" i="118"/>
  <c r="BC21"/>
  <c r="BB21"/>
  <c r="BB256"/>
  <c r="P628" i="175"/>
  <c r="AV690"/>
  <c r="V29" i="148"/>
  <c r="J29" i="152"/>
  <c r="J33" i="163"/>
  <c r="R728" i="175"/>
  <c r="R33" i="161"/>
  <c r="N32" i="163"/>
  <c r="AS26" i="148"/>
  <c r="AR30" i="168"/>
  <c r="AR30" i="161"/>
  <c r="AR30" i="159"/>
  <c r="AA31" i="168"/>
  <c r="AR30" i="145"/>
  <c r="AA31" i="154"/>
  <c r="AB32" i="166"/>
  <c r="X32"/>
  <c r="AS31" i="162"/>
  <c r="X32" i="158"/>
  <c r="AB32"/>
  <c r="AR30"/>
  <c r="J32" i="146"/>
  <c r="I31"/>
  <c r="AF31"/>
  <c r="AA26" i="160"/>
  <c r="Q69" i="190"/>
  <c r="AR30" i="165"/>
  <c r="AB32" i="149"/>
  <c r="AJ31" i="167"/>
  <c r="J33" i="166"/>
  <c r="AF33" s="1"/>
  <c r="AR30" i="153"/>
  <c r="G33" i="150"/>
  <c r="AD33" s="1"/>
  <c r="BC33" i="149"/>
  <c r="BB33"/>
  <c r="AM34" i="162"/>
  <c r="F27" i="160"/>
  <c r="G28"/>
  <c r="AD27"/>
  <c r="D33" i="143"/>
  <c r="D33" i="167"/>
  <c r="K33" s="1"/>
  <c r="N33" s="1"/>
  <c r="AR30" i="150"/>
  <c r="AF32" i="163"/>
  <c r="O12" i="189"/>
  <c r="R797" i="175"/>
  <c r="O74" i="189" s="1"/>
  <c r="AR30" i="151"/>
  <c r="X32" i="153"/>
  <c r="AB32"/>
  <c r="BN31" i="164"/>
  <c r="BU31" s="1"/>
  <c r="BV31" s="1"/>
  <c r="X31" s="1"/>
  <c r="AS29" i="165"/>
  <c r="AI27" i="137"/>
  <c r="D27"/>
  <c r="AB71" i="118"/>
  <c r="B34" i="151"/>
  <c r="B34" i="154"/>
  <c r="B34" i="144"/>
  <c r="AM23" i="142" s="1"/>
  <c r="B34" i="155"/>
  <c r="B34" i="145"/>
  <c r="B34" i="56"/>
  <c r="B34" i="168"/>
  <c r="B34" i="167"/>
  <c r="B34" i="153"/>
  <c r="B34" i="162"/>
  <c r="B34" i="166"/>
  <c r="B34" i="165"/>
  <c r="B34" i="158"/>
  <c r="B34" i="150"/>
  <c r="B34" i="149"/>
  <c r="B34" i="164"/>
  <c r="B34" i="159"/>
  <c r="B34" i="143"/>
  <c r="B34" i="171"/>
  <c r="I27" i="137"/>
  <c r="J27" s="1"/>
  <c r="AJ31" i="168"/>
  <c r="AS29" i="161"/>
  <c r="X32" i="151"/>
  <c r="AC32"/>
  <c r="AA33" i="162"/>
  <c r="AD32" i="165"/>
  <c r="J33" i="56"/>
  <c r="AF33" s="1"/>
  <c r="J33" i="164"/>
  <c r="AF33" s="1"/>
  <c r="AA31" i="151"/>
  <c r="AA30" i="171"/>
  <c r="G33" i="143"/>
  <c r="AD33" s="1"/>
  <c r="G33" i="168"/>
  <c r="AD33" s="1"/>
  <c r="D33" i="150"/>
  <c r="K33" s="1"/>
  <c r="N33" s="1"/>
  <c r="D33" i="145"/>
  <c r="D33" i="168"/>
  <c r="K33" s="1"/>
  <c r="N33" s="1"/>
  <c r="I30" i="147"/>
  <c r="J31"/>
  <c r="AF30"/>
  <c r="O18" i="189"/>
  <c r="R803" i="175"/>
  <c r="O80" i="189" s="1"/>
  <c r="BC394" i="118"/>
  <c r="BF394"/>
  <c r="BP394"/>
  <c r="AY394"/>
  <c r="BI394"/>
  <c r="BB394"/>
  <c r="BJ394"/>
  <c r="BN394"/>
  <c r="BA394"/>
  <c r="BD394"/>
  <c r="BO394"/>
  <c r="BG394"/>
  <c r="BK394"/>
  <c r="AZ394"/>
  <c r="BE394"/>
  <c r="AX394"/>
  <c r="AE394" s="1"/>
  <c r="BM394"/>
  <c r="BQ394"/>
  <c r="BL394"/>
  <c r="BH394"/>
  <c r="AA29" i="147"/>
  <c r="N80" i="189"/>
  <c r="AA31" i="161"/>
  <c r="AS29" i="166"/>
  <c r="AB32" i="145"/>
  <c r="X32"/>
  <c r="AB32" i="164"/>
  <c r="E34" i="56"/>
  <c r="AB118" i="118"/>
  <c r="E34" i="144"/>
  <c r="E34" i="154"/>
  <c r="E34" i="165"/>
  <c r="E34" i="167"/>
  <c r="E34" i="162"/>
  <c r="F34" s="1"/>
  <c r="E34" i="153"/>
  <c r="E34" i="151"/>
  <c r="E34" i="166"/>
  <c r="E34" i="168"/>
  <c r="E34" i="145"/>
  <c r="E34" i="149"/>
  <c r="F27" i="137"/>
  <c r="BC34" i="161" s="1"/>
  <c r="BP34" s="1"/>
  <c r="G34" s="1"/>
  <c r="E34" i="164"/>
  <c r="E34" i="143"/>
  <c r="E34" i="159"/>
  <c r="E34" i="158"/>
  <c r="E34" i="171"/>
  <c r="E34" i="155"/>
  <c r="E34" i="150"/>
  <c r="AJ31" i="165"/>
  <c r="AJ31" i="154"/>
  <c r="AR30" i="166"/>
  <c r="AA31" i="163"/>
  <c r="AB32" i="167"/>
  <c r="X32"/>
  <c r="AS29"/>
  <c r="AS27" i="147"/>
  <c r="AJ31" i="145"/>
  <c r="J33" i="155"/>
  <c r="AF33" s="1"/>
  <c r="S33" i="162"/>
  <c r="V33" s="1"/>
  <c r="J33" i="167"/>
  <c r="AF33" s="1"/>
  <c r="J33" i="143"/>
  <c r="AF33" s="1"/>
  <c r="J33" i="144"/>
  <c r="AF33" s="1"/>
  <c r="AZ28" i="51"/>
  <c r="AW28"/>
  <c r="J28"/>
  <c r="AA31" i="171" s="1"/>
  <c r="AR31" s="1"/>
  <c r="AD31" i="146"/>
  <c r="F31"/>
  <c r="G32"/>
  <c r="X31"/>
  <c r="T27" i="49"/>
  <c r="U26"/>
  <c r="G33" i="56"/>
  <c r="AD33" s="1"/>
  <c r="BK33" i="164"/>
  <c r="BL33" s="1"/>
  <c r="G33"/>
  <c r="AD33" s="1"/>
  <c r="G33" i="153"/>
  <c r="AD33" s="1"/>
  <c r="G33" i="151"/>
  <c r="AD33" s="1"/>
  <c r="G33" i="144"/>
  <c r="AD33" s="1"/>
  <c r="AD34" i="162"/>
  <c r="AR30" i="167"/>
  <c r="AA31" i="158"/>
  <c r="D33" i="159"/>
  <c r="K33" s="1"/>
  <c r="N33" s="1"/>
  <c r="D33" i="166"/>
  <c r="D33" i="56"/>
  <c r="D33" i="155"/>
  <c r="K33" s="1"/>
  <c r="N33" s="1"/>
  <c r="D33" i="151"/>
  <c r="C29" i="13"/>
  <c r="D30"/>
  <c r="AL36" i="171"/>
  <c r="AM36" s="1"/>
  <c r="CB36" i="162"/>
  <c r="AA31" i="153"/>
  <c r="AD31" i="163"/>
  <c r="AV627" i="175"/>
  <c r="K32" i="158"/>
  <c r="N32" s="1"/>
  <c r="K32" i="149"/>
  <c r="N32" s="1"/>
  <c r="O32" i="154"/>
  <c r="R32" s="1"/>
  <c r="K32" i="166"/>
  <c r="N32" s="1"/>
  <c r="K32" i="171"/>
  <c r="N32" s="1"/>
  <c r="O32" i="153"/>
  <c r="R32" s="1"/>
  <c r="O32" i="143"/>
  <c r="R32" s="1"/>
  <c r="S32" i="159"/>
  <c r="V32" s="1"/>
  <c r="S32" i="150"/>
  <c r="V32" s="1"/>
  <c r="O32" i="145"/>
  <c r="R32" s="1"/>
  <c r="AS29" i="154"/>
  <c r="AS29" i="145"/>
  <c r="X24" i="49"/>
  <c r="G28" i="51"/>
  <c r="F31" i="149"/>
  <c r="AD31"/>
  <c r="O31"/>
  <c r="R31" s="1"/>
  <c r="X32" i="56"/>
  <c r="AA32" s="1"/>
  <c r="AB32"/>
  <c r="AJ32" s="1"/>
  <c r="AA31" i="145"/>
  <c r="J33" i="149"/>
  <c r="AF33" s="1"/>
  <c r="J33" i="151"/>
  <c r="AF33" s="1"/>
  <c r="J33" i="159"/>
  <c r="AF33" s="1"/>
  <c r="J33" i="153"/>
  <c r="AF33" s="1"/>
  <c r="AA30" i="146"/>
  <c r="Z32" i="171"/>
  <c r="W25" i="49"/>
  <c r="AB351" i="118"/>
  <c r="AD351" s="1"/>
  <c r="X32" i="159"/>
  <c r="AB32"/>
  <c r="G33" i="155"/>
  <c r="AD33" s="1"/>
  <c r="G33" i="145"/>
  <c r="AD33" s="1"/>
  <c r="G33" i="165"/>
  <c r="O33" s="1"/>
  <c r="R33" s="1"/>
  <c r="AR32" i="162"/>
  <c r="D33" i="158"/>
  <c r="K33" s="1"/>
  <c r="N33" s="1"/>
  <c r="C33" i="165"/>
  <c r="K33"/>
  <c r="N33" s="1"/>
  <c r="D33" i="164"/>
  <c r="C32" i="161"/>
  <c r="AB32"/>
  <c r="X32"/>
  <c r="AJ31" i="153"/>
  <c r="AF28" i="152"/>
  <c r="X32" i="155"/>
  <c r="AA32" s="1"/>
  <c r="AB32"/>
  <c r="AJ32" s="1"/>
  <c r="AJ31" i="166"/>
  <c r="M26" i="49"/>
  <c r="Z26"/>
  <c r="J27"/>
  <c r="AD29" i="148"/>
  <c r="F29"/>
  <c r="G30"/>
  <c r="AS29" i="151"/>
  <c r="X32" i="168"/>
  <c r="AB32"/>
  <c r="AA31" i="167"/>
  <c r="J33" i="145"/>
  <c r="AF33" s="1"/>
  <c r="J33" i="154"/>
  <c r="AF33" s="1"/>
  <c r="G31" i="147"/>
  <c r="F30"/>
  <c r="AD30"/>
  <c r="G33" i="158"/>
  <c r="AD33" s="1"/>
  <c r="AD33" i="161"/>
  <c r="F33"/>
  <c r="G33" i="167"/>
  <c r="AD33" s="1"/>
  <c r="X34" i="162"/>
  <c r="AB34"/>
  <c r="D33" i="171"/>
  <c r="AB33" s="1"/>
  <c r="D33" i="144"/>
  <c r="K33" s="1"/>
  <c r="CC35" i="162"/>
  <c r="D35" s="1"/>
  <c r="CE35"/>
  <c r="J35" s="1"/>
  <c r="CD35"/>
  <c r="G35" s="1"/>
  <c r="CG35"/>
  <c r="AL35" s="1"/>
  <c r="I32" i="161"/>
  <c r="AF32"/>
  <c r="AD28" i="152"/>
  <c r="O4" i="189"/>
  <c r="R789" i="175"/>
  <c r="O66" i="189" s="1"/>
  <c r="Q790" i="175"/>
  <c r="N5" i="189"/>
  <c r="R51" i="190"/>
  <c r="AU51" s="1"/>
  <c r="U501" i="175"/>
  <c r="R69" i="190" s="1"/>
  <c r="AX470" i="175"/>
  <c r="AA30" i="163"/>
  <c r="I27" i="160"/>
  <c r="J28"/>
  <c r="AF27"/>
  <c r="AJ31" i="161"/>
  <c r="X32" i="154"/>
  <c r="AB32"/>
  <c r="AA31" i="159"/>
  <c r="AA31" i="166"/>
  <c r="H27" i="137"/>
  <c r="BD34" i="161" s="1"/>
  <c r="H34" i="168"/>
  <c r="H34" i="154"/>
  <c r="H34" i="151"/>
  <c r="H34" i="167"/>
  <c r="H34" i="166"/>
  <c r="H34" i="145"/>
  <c r="H34" i="153"/>
  <c r="H34" i="144"/>
  <c r="H34" i="158"/>
  <c r="H34" i="143"/>
  <c r="H34" i="162"/>
  <c r="I34" s="1"/>
  <c r="H34" i="165"/>
  <c r="H34" i="150"/>
  <c r="H34" i="155"/>
  <c r="AB165" i="118"/>
  <c r="H34" i="159"/>
  <c r="H34" i="164"/>
  <c r="H34" i="171"/>
  <c r="H34" i="56"/>
  <c r="H34" i="149"/>
  <c r="X32" i="171"/>
  <c r="AB257" i="118"/>
  <c r="H29" i="51"/>
  <c r="I29" s="1"/>
  <c r="N74" i="189"/>
  <c r="AR30" i="154"/>
  <c r="I71" i="189"/>
  <c r="M67"/>
  <c r="AS67" s="1"/>
  <c r="AV790" i="175"/>
  <c r="AA31" i="150"/>
  <c r="AJ33" i="162"/>
  <c r="AS29" i="168"/>
  <c r="AA30" i="149"/>
  <c r="J70" i="189"/>
  <c r="BM32" i="164"/>
  <c r="BP32"/>
  <c r="BT32"/>
  <c r="AS28" i="146"/>
  <c r="X32" i="150"/>
  <c r="AB32"/>
  <c r="AJ32" s="1"/>
  <c r="AF29" i="148"/>
  <c r="I29"/>
  <c r="J30"/>
  <c r="J33" i="150"/>
  <c r="AF33" s="1"/>
  <c r="J33" i="171"/>
  <c r="AF33" s="1"/>
  <c r="I33" i="165"/>
  <c r="BK33"/>
  <c r="S33"/>
  <c r="V33" s="1"/>
  <c r="J33" i="168"/>
  <c r="AF33" s="1"/>
  <c r="J33" i="158"/>
  <c r="AF33" s="1"/>
  <c r="BJ33" i="161"/>
  <c r="D33" s="1"/>
  <c r="BV33"/>
  <c r="J33" s="1"/>
  <c r="AJ31" i="151"/>
  <c r="AJ30" i="146"/>
  <c r="AS29" i="153"/>
  <c r="N66" i="189"/>
  <c r="G33" i="159"/>
  <c r="AD33" s="1"/>
  <c r="G33" i="171"/>
  <c r="AD33" s="1"/>
  <c r="G33" i="166"/>
  <c r="AD33" s="1"/>
  <c r="O33" i="162"/>
  <c r="R33" s="1"/>
  <c r="G33" i="154"/>
  <c r="AD33" s="1"/>
  <c r="AF34" i="162"/>
  <c r="AS29" i="163"/>
  <c r="D33" i="149"/>
  <c r="K33" s="1"/>
  <c r="N33" s="1"/>
  <c r="K33" i="162"/>
  <c r="N33" s="1"/>
  <c r="D33" i="153"/>
  <c r="K33" s="1"/>
  <c r="N33" s="1"/>
  <c r="D33" i="154"/>
  <c r="K33" s="1"/>
  <c r="N33" s="1"/>
  <c r="AB20" i="118"/>
  <c r="AK27" i="51"/>
  <c r="B20" i="72"/>
  <c r="D20" s="1"/>
  <c r="I20" s="1"/>
  <c r="H20" s="1"/>
  <c r="G20" s="1"/>
  <c r="F20" s="1"/>
  <c r="E20" s="1"/>
  <c r="AV27" i="51"/>
  <c r="AX27" s="1"/>
  <c r="C28" i="137"/>
  <c r="G28"/>
  <c r="E28"/>
  <c r="AR29" i="146"/>
  <c r="AB32" i="163"/>
  <c r="N19" i="189"/>
  <c r="M794" i="175"/>
  <c r="J71" i="189" s="1"/>
  <c r="J9"/>
  <c r="O32" i="166"/>
  <c r="R32" s="1"/>
  <c r="K32" i="153"/>
  <c r="N32" s="1"/>
  <c r="K32" i="155"/>
  <c r="N32" s="1"/>
  <c r="S32" i="145"/>
  <c r="V32" s="1"/>
  <c r="BD32" i="149"/>
  <c r="G32" s="1"/>
  <c r="K32" i="168"/>
  <c r="N32" s="1"/>
  <c r="S32" i="151"/>
  <c r="V32" s="1"/>
  <c r="K32" i="167"/>
  <c r="N32" s="1"/>
  <c r="S32" i="171"/>
  <c r="V32" s="1"/>
  <c r="K27" i="49"/>
  <c r="O32" i="165"/>
  <c r="R32" s="1"/>
  <c r="O32" i="155"/>
  <c r="R32" s="1"/>
  <c r="K32" i="144"/>
  <c r="AR31" i="155"/>
  <c r="S32" i="144"/>
  <c r="V32" s="1"/>
  <c r="S32" i="56"/>
  <c r="V32" s="1"/>
  <c r="X31" i="149"/>
  <c r="S32"/>
  <c r="V32" s="1"/>
  <c r="S32" i="155"/>
  <c r="V32" s="1"/>
  <c r="I33" i="162"/>
  <c r="S32" i="166"/>
  <c r="V32" s="1"/>
  <c r="T175" i="175"/>
  <c r="Q19" i="68"/>
  <c r="T263" i="175"/>
  <c r="T19" i="119"/>
  <c r="T149" i="175"/>
  <c r="V18" i="64"/>
  <c r="I18" i="120"/>
  <c r="B18"/>
  <c r="E17" i="67"/>
  <c r="U17" i="71"/>
  <c r="S28" i="160"/>
  <c r="R16" i="71"/>
  <c r="W19" i="119"/>
  <c r="N664" i="175"/>
  <c r="D18" i="120"/>
  <c r="R46" i="175"/>
  <c r="M695"/>
  <c r="O29" i="152"/>
  <c r="T130" i="175"/>
  <c r="B30" i="148"/>
  <c r="O260" i="175"/>
  <c r="K33" i="161"/>
  <c r="O13" i="140"/>
  <c r="X14" i="64"/>
  <c r="S45" i="175"/>
  <c r="N18" i="140"/>
  <c r="U213" i="175"/>
  <c r="T35"/>
  <c r="B28" i="160"/>
  <c r="B33" i="146"/>
  <c r="L17" i="71"/>
  <c r="T192" i="175"/>
  <c r="P17" i="68"/>
  <c r="V18" i="119"/>
  <c r="R388" i="175"/>
  <c r="T44"/>
  <c r="M18" i="119"/>
  <c r="W18" i="64"/>
  <c r="F16"/>
  <c r="F15" i="119"/>
  <c r="S193" i="175"/>
  <c r="Q20" i="67"/>
  <c r="T139" i="175"/>
  <c r="E16" i="68"/>
  <c r="S18" i="120"/>
  <c r="U209" i="175"/>
  <c r="S46"/>
  <c r="L17" i="68"/>
  <c r="V18" i="140"/>
  <c r="S396" i="175"/>
  <c r="N18" i="67"/>
  <c r="E32" i="147"/>
  <c r="H17" i="67"/>
  <c r="M18" i="64"/>
  <c r="H32" i="147"/>
  <c r="R697" i="175"/>
  <c r="O39"/>
  <c r="P191"/>
  <c r="E17" i="64"/>
  <c r="U206" i="175"/>
  <c r="I18" i="64"/>
  <c r="W18" i="119"/>
  <c r="J18" i="120"/>
  <c r="T265" i="175"/>
  <c r="D18" i="64"/>
  <c r="U267" i="175"/>
  <c r="G14" i="119"/>
  <c r="G14" i="68"/>
  <c r="O32" i="146"/>
  <c r="S16" i="68"/>
  <c r="O34" i="161"/>
  <c r="Q19" i="119"/>
  <c r="U18" i="64"/>
  <c r="L176" i="175"/>
  <c r="K18" i="119"/>
  <c r="Q389" i="175"/>
  <c r="I17" i="71"/>
  <c r="T172" i="175"/>
  <c r="U17" i="68"/>
  <c r="P195" i="175"/>
  <c r="X14" i="140"/>
  <c r="U271" i="175"/>
  <c r="O37"/>
  <c r="U211"/>
  <c r="X14" i="67"/>
  <c r="O13"/>
  <c r="B9" i="68"/>
  <c r="Q199" i="175"/>
  <c r="R379"/>
  <c r="S36"/>
  <c r="B34" i="163"/>
  <c r="S392" i="175"/>
  <c r="T49"/>
  <c r="E31" i="148"/>
  <c r="R709" i="175"/>
  <c r="R667"/>
  <c r="T173"/>
  <c r="M18" i="120"/>
  <c r="X12" i="68"/>
  <c r="B10" i="64"/>
  <c r="D17" i="68"/>
  <c r="Q19" i="71"/>
  <c r="B10" i="67"/>
  <c r="R703" i="175"/>
  <c r="B29" i="152"/>
  <c r="P137" i="175"/>
  <c r="R387"/>
  <c r="S31" i="147"/>
  <c r="P18" i="140"/>
  <c r="S395" i="175"/>
  <c r="O129"/>
  <c r="N18" i="120"/>
  <c r="K18" i="64"/>
  <c r="S204" i="175"/>
  <c r="I18" i="140"/>
  <c r="G14" i="71"/>
  <c r="L18" i="67"/>
  <c r="V19" i="119"/>
  <c r="S658" i="175"/>
  <c r="T147"/>
  <c r="T254"/>
  <c r="H17" i="120"/>
  <c r="O133" i="175"/>
  <c r="O41"/>
  <c r="H31" i="148"/>
  <c r="S18" i="140"/>
  <c r="S202" i="175"/>
  <c r="O194"/>
  <c r="M17" i="71"/>
  <c r="Q261" i="175"/>
  <c r="H18" i="140"/>
  <c r="M17" i="68"/>
  <c r="T144" i="175"/>
  <c r="W440"/>
  <c r="Q690"/>
  <c r="T43"/>
  <c r="R668"/>
  <c r="I18" i="67"/>
  <c r="R18"/>
  <c r="R659" i="175"/>
  <c r="U18" i="140"/>
  <c r="B34" i="161"/>
  <c r="T141" i="175"/>
  <c r="S17" i="64"/>
  <c r="T53" i="175"/>
  <c r="O258"/>
  <c r="R708"/>
  <c r="K33" i="146"/>
  <c r="N136" i="175"/>
  <c r="U18" i="67"/>
  <c r="N382" i="175"/>
  <c r="H30" i="152"/>
  <c r="N692" i="175"/>
  <c r="O40"/>
  <c r="P19" i="120"/>
  <c r="E17" i="140"/>
  <c r="B9" i="71"/>
  <c r="L695" i="175"/>
  <c r="S17" i="67"/>
  <c r="U268" i="175"/>
  <c r="M694"/>
  <c r="D18" i="140"/>
  <c r="E33" i="163"/>
  <c r="M691" i="175"/>
  <c r="P665"/>
  <c r="S386"/>
  <c r="W17" i="71"/>
  <c r="E16"/>
  <c r="U270" i="175"/>
  <c r="P700"/>
  <c r="O13" i="64"/>
  <c r="S399" i="175"/>
  <c r="S667"/>
  <c r="T151"/>
  <c r="V18" i="67"/>
  <c r="T56" i="175"/>
  <c r="E34" i="161"/>
  <c r="K27" i="160"/>
  <c r="P135" i="175"/>
  <c r="E17" i="120"/>
  <c r="K18" i="140"/>
  <c r="O661" i="175"/>
  <c r="D18" i="67"/>
  <c r="H29" i="160"/>
  <c r="B10" i="119"/>
  <c r="M384" i="175"/>
  <c r="T174"/>
  <c r="U18" i="119"/>
  <c r="T55" i="175"/>
  <c r="E18" i="119"/>
  <c r="S32" i="146"/>
  <c r="S255" i="175"/>
  <c r="S29" i="152"/>
  <c r="U275" i="175"/>
  <c r="T131"/>
  <c r="O31" i="147"/>
  <c r="R17" i="71"/>
  <c r="Q19" i="140"/>
  <c r="T52" i="175"/>
  <c r="V17" i="68"/>
  <c r="S677" i="175"/>
  <c r="G15" i="67"/>
  <c r="H33" i="146"/>
  <c r="K17" i="68"/>
  <c r="J18" i="67"/>
  <c r="M693" i="175"/>
  <c r="O11" i="68"/>
  <c r="T266" i="175"/>
  <c r="S207"/>
  <c r="L18" i="140"/>
  <c r="H34" i="161"/>
  <c r="O32" i="163"/>
  <c r="W17" i="68"/>
  <c r="J17" i="71"/>
  <c r="N19" i="119"/>
  <c r="T262" i="175"/>
  <c r="I19" i="119"/>
  <c r="O198" i="175"/>
  <c r="I18" i="68"/>
  <c r="Q21" i="69"/>
  <c r="O13" i="120"/>
  <c r="U272" i="175"/>
  <c r="F15" i="71"/>
  <c r="S33" i="163"/>
  <c r="F15" i="68"/>
  <c r="S16" i="67"/>
  <c r="O30" i="148"/>
  <c r="G15" i="64"/>
  <c r="P18" i="67"/>
  <c r="Q19" i="120"/>
  <c r="L18"/>
  <c r="U274" i="175"/>
  <c r="R17" i="120"/>
  <c r="P18" i="64"/>
  <c r="C18" i="120"/>
  <c r="U208" i="175"/>
  <c r="H18" i="119"/>
  <c r="T54" i="175"/>
  <c r="K29" i="148"/>
  <c r="N383" i="175"/>
  <c r="S675"/>
  <c r="J18" i="64"/>
  <c r="T18" i="120"/>
  <c r="X13" i="71"/>
  <c r="C18" i="140"/>
  <c r="K18" i="67"/>
  <c r="U212" i="175"/>
  <c r="J18" i="140"/>
  <c r="M19" i="119"/>
  <c r="S16" i="64"/>
  <c r="U264" i="175"/>
  <c r="U273"/>
  <c r="S397"/>
  <c r="T17" i="68"/>
  <c r="P17" i="71"/>
  <c r="X13" i="119"/>
  <c r="N660" i="175"/>
  <c r="H34" i="163"/>
  <c r="E29" i="160"/>
  <c r="K33" i="163"/>
  <c r="T138" i="175"/>
  <c r="L18" i="64"/>
  <c r="P18" i="119"/>
  <c r="S33" i="161"/>
  <c r="H17" i="64"/>
  <c r="F16" i="140"/>
  <c r="N17" i="68"/>
  <c r="H16" i="71"/>
  <c r="M18" i="140"/>
  <c r="S672" i="175"/>
  <c r="U18" i="120"/>
  <c r="P257" i="175"/>
  <c r="Q42"/>
  <c r="E30" i="152"/>
  <c r="S378" i="175"/>
  <c r="N377"/>
  <c r="U200"/>
  <c r="R710"/>
  <c r="P253"/>
  <c r="R16" i="68"/>
  <c r="W18" i="67"/>
  <c r="W442" i="175"/>
  <c r="R389"/>
  <c r="G15" i="140"/>
  <c r="O381" i="175"/>
  <c r="G15" i="120"/>
  <c r="Q699" i="175"/>
  <c r="M688"/>
  <c r="S679"/>
  <c r="T269"/>
  <c r="T140"/>
  <c r="N688"/>
  <c r="S666"/>
  <c r="U210"/>
  <c r="T19" i="140"/>
  <c r="F16" i="120"/>
  <c r="V17" i="71"/>
  <c r="K18" i="120"/>
  <c r="S398" i="175"/>
  <c r="V18" i="120"/>
  <c r="K30" i="147"/>
  <c r="L19" i="119"/>
  <c r="H16" i="68"/>
  <c r="E33" i="146"/>
  <c r="S203" i="175"/>
  <c r="O196"/>
  <c r="B32" i="147"/>
  <c r="O12" i="119"/>
  <c r="R18" i="64"/>
  <c r="R707" i="175"/>
  <c r="P38"/>
  <c r="O657"/>
  <c r="R18" i="140"/>
  <c r="U205" i="175"/>
  <c r="H19" i="119"/>
  <c r="B18" i="140"/>
  <c r="R18" i="119"/>
  <c r="N662" i="175"/>
  <c r="N663"/>
  <c r="N18" i="64"/>
  <c r="K17" i="71"/>
  <c r="K19" i="119"/>
  <c r="T19" i="120"/>
  <c r="N132" i="175"/>
  <c r="D17" i="71"/>
  <c r="P385" i="175"/>
  <c r="K28" i="152"/>
  <c r="S30" i="148"/>
  <c r="O197" i="175"/>
  <c r="N17" i="71"/>
  <c r="Q20" i="64"/>
  <c r="S201" i="175"/>
  <c r="J17" i="68"/>
  <c r="S15"/>
  <c r="P134" i="175"/>
  <c r="S676"/>
  <c r="O12" i="71"/>
  <c r="T148" i="175"/>
  <c r="T150"/>
  <c r="O28" i="160"/>
  <c r="W18" i="140"/>
  <c r="S678" i="175"/>
  <c r="M18" i="67"/>
  <c r="X14" i="120"/>
  <c r="F16" i="67"/>
  <c r="O259" i="175"/>
  <c r="R706"/>
  <c r="P34"/>
  <c r="W18" i="120"/>
  <c r="O256" i="175"/>
  <c r="R689"/>
  <c r="O696"/>
  <c r="BZ11" i="118" l="1"/>
  <c r="BW11" s="1"/>
  <c r="T772" i="175"/>
  <c r="Q49" i="189" s="1"/>
  <c r="P49"/>
  <c r="T36" i="190"/>
  <c r="W473" i="175"/>
  <c r="T54" i="190" s="1"/>
  <c r="S54"/>
  <c r="AZ162" i="118"/>
  <c r="AZ115"/>
  <c r="S738" i="175"/>
  <c r="P15" i="189" s="1"/>
  <c r="AW69" i="118"/>
  <c r="AS28" i="164"/>
  <c r="R800" i="175"/>
  <c r="O77" i="189" s="1"/>
  <c r="AZ20" i="118"/>
  <c r="AZ255"/>
  <c r="AZ21"/>
  <c r="AZ256"/>
  <c r="P638" i="175"/>
  <c r="AV638" s="1"/>
  <c r="AV700"/>
  <c r="Q800"/>
  <c r="N77" i="189" s="1"/>
  <c r="N46"/>
  <c r="K3"/>
  <c r="AR29" i="164"/>
  <c r="M77" i="189"/>
  <c r="AS77" s="1"/>
  <c r="AV800" i="175"/>
  <c r="BA256" i="118"/>
  <c r="BA69"/>
  <c r="BA115"/>
  <c r="BA162"/>
  <c r="BA21"/>
  <c r="Q637" i="175"/>
  <c r="S737"/>
  <c r="P14" i="189" s="1"/>
  <c r="O14"/>
  <c r="BE252" i="118"/>
  <c r="BE17"/>
  <c r="BE63"/>
  <c r="BE111"/>
  <c r="BE158"/>
  <c r="M633" i="175"/>
  <c r="N733"/>
  <c r="L633"/>
  <c r="J10" i="189"/>
  <c r="M795" i="175"/>
  <c r="J72" i="189" s="1"/>
  <c r="AS24" i="160"/>
  <c r="AS25" s="1"/>
  <c r="AS25" i="152"/>
  <c r="AS26" s="1"/>
  <c r="BL64" i="118"/>
  <c r="BL18"/>
  <c r="BL253"/>
  <c r="M626" i="175"/>
  <c r="AV34"/>
  <c r="O726"/>
  <c r="O788" s="1"/>
  <c r="L65" i="189" s="1"/>
  <c r="AJ27" i="152"/>
  <c r="M791" i="175"/>
  <c r="J68" i="189" s="1"/>
  <c r="BD65" i="118"/>
  <c r="P734" i="175"/>
  <c r="AV734" s="1"/>
  <c r="AV137"/>
  <c r="BH64" i="118"/>
  <c r="BI63"/>
  <c r="N29" i="148"/>
  <c r="D29" i="152"/>
  <c r="X29" s="1"/>
  <c r="N27" i="160"/>
  <c r="N30" i="147"/>
  <c r="N729" i="175"/>
  <c r="K6" i="189" s="1"/>
  <c r="O730" i="175"/>
  <c r="L7" i="189" s="1"/>
  <c r="N28" i="152"/>
  <c r="C29" i="148"/>
  <c r="D30"/>
  <c r="X30" s="1"/>
  <c r="AB29"/>
  <c r="D28" i="160"/>
  <c r="X28" s="1"/>
  <c r="C27"/>
  <c r="AB27"/>
  <c r="AB30" i="147"/>
  <c r="C30"/>
  <c r="D31"/>
  <c r="X31" s="1"/>
  <c r="O796" i="175"/>
  <c r="L73" i="189" s="1"/>
  <c r="K7"/>
  <c r="AB28" i="152"/>
  <c r="AJ26" i="160"/>
  <c r="AY115" i="118"/>
  <c r="AY162"/>
  <c r="BH112"/>
  <c r="BH159"/>
  <c r="BH18"/>
  <c r="BH253"/>
  <c r="AV257" i="175"/>
  <c r="AV38"/>
  <c r="AV195"/>
  <c r="N630"/>
  <c r="AA28" i="152"/>
  <c r="AS29" i="149"/>
  <c r="O13" i="189"/>
  <c r="BI17" i="118"/>
  <c r="AR116"/>
  <c r="AR163"/>
  <c r="AS116"/>
  <c r="AS163"/>
  <c r="AR69"/>
  <c r="AS70"/>
  <c r="AP22"/>
  <c r="AR257"/>
  <c r="AS257"/>
  <c r="BD160"/>
  <c r="BD113"/>
  <c r="AQ116"/>
  <c r="AQ163"/>
  <c r="AS69"/>
  <c r="BD19"/>
  <c r="AQ70"/>
  <c r="AU116"/>
  <c r="AU163"/>
  <c r="BB162"/>
  <c r="BB115"/>
  <c r="BK116"/>
  <c r="BK163"/>
  <c r="BI252"/>
  <c r="AQ69"/>
  <c r="AT257"/>
  <c r="AT116"/>
  <c r="AT163"/>
  <c r="AQ257"/>
  <c r="AP70"/>
  <c r="AT22"/>
  <c r="AS22"/>
  <c r="BD254"/>
  <c r="AP257"/>
  <c r="AP163"/>
  <c r="AP116"/>
  <c r="AQ22"/>
  <c r="AR22"/>
  <c r="BI111"/>
  <c r="BI158"/>
  <c r="AX275" i="175"/>
  <c r="R646"/>
  <c r="O634"/>
  <c r="AV385"/>
  <c r="AX264"/>
  <c r="AX213"/>
  <c r="AX272"/>
  <c r="T745"/>
  <c r="AX210"/>
  <c r="R647"/>
  <c r="R644"/>
  <c r="R645"/>
  <c r="T747"/>
  <c r="L190"/>
  <c r="AX211"/>
  <c r="AX271"/>
  <c r="AX270"/>
  <c r="T744"/>
  <c r="T746"/>
  <c r="R648"/>
  <c r="AX212"/>
  <c r="AX209"/>
  <c r="AX274"/>
  <c r="S736"/>
  <c r="S798" s="1"/>
  <c r="AX208"/>
  <c r="M629"/>
  <c r="AX273"/>
  <c r="T748"/>
  <c r="AV665"/>
  <c r="AJ32" i="158"/>
  <c r="AA29" i="148"/>
  <c r="AS22" i="143"/>
  <c r="S810" i="175"/>
  <c r="P87" i="189" s="1"/>
  <c r="P25"/>
  <c r="P21"/>
  <c r="S806" i="175"/>
  <c r="AJ24" i="143"/>
  <c r="P22" i="189"/>
  <c r="S807" i="175"/>
  <c r="P84" i="189" s="1"/>
  <c r="AS27" i="148"/>
  <c r="AS28" i="147"/>
  <c r="AA30" i="164"/>
  <c r="AA30" i="147"/>
  <c r="P23" i="189"/>
  <c r="S808" i="175"/>
  <c r="P85" i="189" s="1"/>
  <c r="AJ32" i="159"/>
  <c r="P24" i="189"/>
  <c r="S809" i="175"/>
  <c r="Q18" i="72"/>
  <c r="AG14"/>
  <c r="AR23" i="143"/>
  <c r="AA24"/>
  <c r="M26"/>
  <c r="L26" s="1"/>
  <c r="AC25"/>
  <c r="X25"/>
  <c r="N25"/>
  <c r="AS31" i="56"/>
  <c r="AD157" i="118"/>
  <c r="AG24"/>
  <c r="AG70"/>
  <c r="AG164"/>
  <c r="AG117"/>
  <c r="AG259"/>
  <c r="K8" i="189"/>
  <c r="AD110" i="118"/>
  <c r="BG17"/>
  <c r="BG65"/>
  <c r="BL112"/>
  <c r="BL159"/>
  <c r="BG252"/>
  <c r="BG111"/>
  <c r="BG158"/>
  <c r="AV191" i="175"/>
  <c r="M631"/>
  <c r="O731"/>
  <c r="O793" s="1"/>
  <c r="AV134"/>
  <c r="AV253"/>
  <c r="N626"/>
  <c r="AJ31" i="149"/>
  <c r="K65" i="189"/>
  <c r="S33" i="168"/>
  <c r="V33" s="1"/>
  <c r="AS30" i="159"/>
  <c r="O33" i="168"/>
  <c r="R33" s="1"/>
  <c r="AS30" i="150"/>
  <c r="AS30" i="158"/>
  <c r="AC20" i="72"/>
  <c r="AS31" i="155"/>
  <c r="AR32"/>
  <c r="O33" i="171"/>
  <c r="R33" s="1"/>
  <c r="S33" i="164"/>
  <c r="V33" s="1"/>
  <c r="S33" i="145"/>
  <c r="V33" s="1"/>
  <c r="S33" i="149"/>
  <c r="V33" s="1"/>
  <c r="AB19" i="72"/>
  <c r="AJ33" i="171"/>
  <c r="S33"/>
  <c r="V33" s="1"/>
  <c r="S33" i="155"/>
  <c r="V33" s="1"/>
  <c r="BQ31" i="164"/>
  <c r="BR31" s="1"/>
  <c r="AE31" s="1"/>
  <c r="AX163" i="118"/>
  <c r="AX116"/>
  <c r="V20" i="72"/>
  <c r="S33" i="150"/>
  <c r="V33" s="1"/>
  <c r="K33" i="171"/>
  <c r="N33" s="1"/>
  <c r="O33" i="145"/>
  <c r="R33" s="1"/>
  <c r="AR32" i="56"/>
  <c r="S33" i="143"/>
  <c r="V33" s="1"/>
  <c r="S33" i="166"/>
  <c r="V33" s="1"/>
  <c r="S33" i="154"/>
  <c r="V33" s="1"/>
  <c r="S33" i="159"/>
  <c r="V33" s="1"/>
  <c r="S33" i="56"/>
  <c r="V33" s="1"/>
  <c r="BD33" i="149"/>
  <c r="G33" s="1"/>
  <c r="O33" s="1"/>
  <c r="R33" s="1"/>
  <c r="V21" i="72"/>
  <c r="BB69" i="118"/>
  <c r="AW116"/>
  <c r="AW163"/>
  <c r="AX205" i="175"/>
  <c r="BC69" i="118"/>
  <c r="AX206" i="175"/>
  <c r="O283"/>
  <c r="AX267"/>
  <c r="O221"/>
  <c r="O732"/>
  <c r="BF65" i="118"/>
  <c r="BJ69"/>
  <c r="N33" i="161"/>
  <c r="C33" i="146"/>
  <c r="N33"/>
  <c r="R22" i="72"/>
  <c r="V29" i="152"/>
  <c r="V33" i="161"/>
  <c r="J34" i="163"/>
  <c r="T727" i="175"/>
  <c r="R32" i="146"/>
  <c r="R641" i="175"/>
  <c r="W470"/>
  <c r="T34" i="190"/>
  <c r="W471" i="175"/>
  <c r="T52" i="190" s="1"/>
  <c r="AI396" i="118"/>
  <c r="S728" i="175"/>
  <c r="R34" i="161"/>
  <c r="M632" i="175"/>
  <c r="BC116" i="118"/>
  <c r="BC163"/>
  <c r="AX200" i="175"/>
  <c r="AV162" i="118"/>
  <c r="AV115"/>
  <c r="BK69"/>
  <c r="BJ162"/>
  <c r="BJ115"/>
  <c r="AZ69"/>
  <c r="AX268" i="175"/>
  <c r="BK117" i="118"/>
  <c r="BK164"/>
  <c r="BF111"/>
  <c r="BF158"/>
  <c r="BF252"/>
  <c r="BF17"/>
  <c r="V30" i="148"/>
  <c r="J30" i="152"/>
  <c r="R31" i="147"/>
  <c r="BB22" i="118"/>
  <c r="BB257"/>
  <c r="AE22" i="72"/>
  <c r="T735" i="175"/>
  <c r="N33" i="163"/>
  <c r="AW22" i="118"/>
  <c r="AW257"/>
  <c r="Y22" i="72"/>
  <c r="R30" i="148"/>
  <c r="G30" i="152"/>
  <c r="AA22" i="72"/>
  <c r="BC22" i="118"/>
  <c r="T22" i="72"/>
  <c r="BC257" i="118"/>
  <c r="V33" i="163"/>
  <c r="Q628" i="175"/>
  <c r="AV135"/>
  <c r="T741"/>
  <c r="V28" i="160"/>
  <c r="W24" i="72"/>
  <c r="BK257" i="118"/>
  <c r="X22" i="72"/>
  <c r="BK22" i="118"/>
  <c r="G33" i="163"/>
  <c r="X33" s="1"/>
  <c r="BJ21" i="118"/>
  <c r="AD21" i="72"/>
  <c r="BJ256" i="118"/>
  <c r="S22" i="72"/>
  <c r="R635" i="175"/>
  <c r="V31" i="147"/>
  <c r="D34" i="163"/>
  <c r="Z22" i="72"/>
  <c r="R28" i="160"/>
  <c r="V32" i="146"/>
  <c r="R627" i="175"/>
  <c r="R29" i="152"/>
  <c r="R32" i="163"/>
  <c r="AA31" i="164"/>
  <c r="C33" i="161"/>
  <c r="X33"/>
  <c r="AB33"/>
  <c r="AA32" i="150"/>
  <c r="BN32" i="164"/>
  <c r="BU32" s="1"/>
  <c r="BV32" s="1"/>
  <c r="X32" s="1"/>
  <c r="J34" i="153"/>
  <c r="AF34" s="1"/>
  <c r="J34" i="151"/>
  <c r="AF34" s="1"/>
  <c r="AR30" i="163"/>
  <c r="AA32" i="168"/>
  <c r="AS32" i="162"/>
  <c r="AR30" i="146"/>
  <c r="AK28" i="51"/>
  <c r="AB21" i="118"/>
  <c r="AV28" i="51"/>
  <c r="AX28" s="1"/>
  <c r="B21" i="72"/>
  <c r="D21" s="1"/>
  <c r="I21" s="1"/>
  <c r="H21" s="1"/>
  <c r="G21" s="1"/>
  <c r="F21" s="1"/>
  <c r="E21" s="1"/>
  <c r="C29" i="137"/>
  <c r="G29"/>
  <c r="E29"/>
  <c r="AB33" i="166"/>
  <c r="X33"/>
  <c r="Z33" i="171"/>
  <c r="W26" i="49"/>
  <c r="AB352" i="118"/>
  <c r="AD352" s="1"/>
  <c r="G34" i="155"/>
  <c r="AD34" s="1"/>
  <c r="G34" i="145"/>
  <c r="AD34" s="1"/>
  <c r="G34" i="154"/>
  <c r="AD34" s="1"/>
  <c r="AR29" i="147"/>
  <c r="D34" i="143"/>
  <c r="K34" i="162"/>
  <c r="N34" s="1"/>
  <c r="D34" i="154"/>
  <c r="K34" s="1"/>
  <c r="N34" s="1"/>
  <c r="AF29" i="152"/>
  <c r="P18" i="189"/>
  <c r="S803" i="175"/>
  <c r="I33" i="161"/>
  <c r="AF33"/>
  <c r="J34" i="159"/>
  <c r="AF34" s="1"/>
  <c r="BK34" i="165"/>
  <c r="I34"/>
  <c r="S34"/>
  <c r="V34" s="1"/>
  <c r="J34" i="167"/>
  <c r="AF34" s="1"/>
  <c r="BJ34" i="161"/>
  <c r="D34" s="1"/>
  <c r="BV34"/>
  <c r="J34" s="1"/>
  <c r="AJ32"/>
  <c r="C30" i="13"/>
  <c r="AL37" i="171"/>
  <c r="AM37" s="1"/>
  <c r="D31" i="13"/>
  <c r="CB37" i="162"/>
  <c r="X33" i="155"/>
  <c r="AA33" s="1"/>
  <c r="AB33"/>
  <c r="AJ33" s="1"/>
  <c r="F32" i="146"/>
  <c r="AD32"/>
  <c r="G33"/>
  <c r="X32"/>
  <c r="G34" i="159"/>
  <c r="AD34" s="1"/>
  <c r="G34" i="151"/>
  <c r="AD34" s="1"/>
  <c r="G34" i="165"/>
  <c r="O34" s="1"/>
  <c r="R34" s="1"/>
  <c r="G34" i="56"/>
  <c r="AD34" s="1"/>
  <c r="D34" i="171"/>
  <c r="AB34" s="1"/>
  <c r="D34" i="168"/>
  <c r="K34" s="1"/>
  <c r="N34" s="1"/>
  <c r="AR31"/>
  <c r="BG395" i="118"/>
  <c r="AZ395"/>
  <c r="BQ395"/>
  <c r="BP395"/>
  <c r="BN395"/>
  <c r="BA395"/>
  <c r="BC395"/>
  <c r="BD395"/>
  <c r="BF395"/>
  <c r="BI395"/>
  <c r="BJ395"/>
  <c r="BB395"/>
  <c r="BE395"/>
  <c r="BL395"/>
  <c r="BO395"/>
  <c r="BM395"/>
  <c r="BR395"/>
  <c r="AY395"/>
  <c r="AE395" s="1"/>
  <c r="BK395"/>
  <c r="BH395"/>
  <c r="AA32" i="163"/>
  <c r="H28" i="137"/>
  <c r="BD35" i="161" s="1"/>
  <c r="H35" i="151"/>
  <c r="H35" i="154"/>
  <c r="H35" i="144"/>
  <c r="H35" i="168"/>
  <c r="H35" i="150"/>
  <c r="H35" i="166"/>
  <c r="H35" i="162"/>
  <c r="I35" s="1"/>
  <c r="H35" i="165"/>
  <c r="H35" i="145"/>
  <c r="H35" i="167"/>
  <c r="H35" i="153"/>
  <c r="H35" i="56"/>
  <c r="AB166" i="118"/>
  <c r="H35" i="164"/>
  <c r="H35" i="155"/>
  <c r="H35" i="149"/>
  <c r="H35" i="171"/>
  <c r="H35" i="159"/>
  <c r="H35" i="143"/>
  <c r="H35" i="158"/>
  <c r="AB33" i="149"/>
  <c r="AS30" i="154"/>
  <c r="J34" i="171"/>
  <c r="AF34" s="1"/>
  <c r="J34" i="155"/>
  <c r="AF34" s="1"/>
  <c r="J34" i="143"/>
  <c r="AF34" s="1"/>
  <c r="J34" i="145"/>
  <c r="AF34" s="1"/>
  <c r="J34" i="154"/>
  <c r="AF34" s="1"/>
  <c r="AR31" i="159"/>
  <c r="N67" i="189"/>
  <c r="AM35" i="162"/>
  <c r="AJ34"/>
  <c r="AR31" i="167"/>
  <c r="K70" i="189"/>
  <c r="AB33" i="164"/>
  <c r="AR31" i="145"/>
  <c r="CC36" i="162"/>
  <c r="D36" s="1"/>
  <c r="CE36"/>
  <c r="J36" s="1"/>
  <c r="CD36"/>
  <c r="G36" s="1"/>
  <c r="CG36"/>
  <c r="AL36" s="1"/>
  <c r="X33" i="151"/>
  <c r="AC33"/>
  <c r="X33" i="56"/>
  <c r="AA33" s="1"/>
  <c r="AB33"/>
  <c r="AJ33" s="1"/>
  <c r="T28" i="49"/>
  <c r="U27"/>
  <c r="AJ31" i="146"/>
  <c r="G34" i="171"/>
  <c r="AD34" s="1"/>
  <c r="G34" i="164"/>
  <c r="AD34" s="1"/>
  <c r="BK34"/>
  <c r="BL34" s="1"/>
  <c r="G34" i="168"/>
  <c r="AD34" s="1"/>
  <c r="O34" i="162"/>
  <c r="R34" s="1"/>
  <c r="G34" i="144"/>
  <c r="AD34" s="1"/>
  <c r="AJ32" i="145"/>
  <c r="X33" i="168"/>
  <c r="AB33"/>
  <c r="X33" i="150"/>
  <c r="AB33"/>
  <c r="AJ33" s="1"/>
  <c r="AR33" i="162"/>
  <c r="D34" i="159"/>
  <c r="K34" s="1"/>
  <c r="N34" s="1"/>
  <c r="D34" i="158"/>
  <c r="D34" i="153"/>
  <c r="K34" s="1"/>
  <c r="N34" s="1"/>
  <c r="D34" i="145"/>
  <c r="D34" i="151"/>
  <c r="AJ32" i="153"/>
  <c r="AA32" i="158"/>
  <c r="AR31" i="154"/>
  <c r="P4" i="189"/>
  <c r="S789" i="175"/>
  <c r="P66" i="189" s="1"/>
  <c r="P12"/>
  <c r="S797" i="175"/>
  <c r="V501"/>
  <c r="S51" i="190"/>
  <c r="C34" i="162"/>
  <c r="K33" i="166"/>
  <c r="N33" s="1"/>
  <c r="AV628" i="175"/>
  <c r="O33" i="166"/>
  <c r="R33" s="1"/>
  <c r="O33" i="159"/>
  <c r="R33" s="1"/>
  <c r="O33" i="167"/>
  <c r="R33" s="1"/>
  <c r="O33" i="158"/>
  <c r="R33" s="1"/>
  <c r="O33" i="164"/>
  <c r="R33" s="1"/>
  <c r="O33" i="143"/>
  <c r="R33" s="1"/>
  <c r="O33" i="150"/>
  <c r="R33" s="1"/>
  <c r="AX501" i="175"/>
  <c r="AA27" i="160"/>
  <c r="E35" i="56"/>
  <c r="AB119" i="118"/>
  <c r="E35" i="151"/>
  <c r="E35" i="165"/>
  <c r="E35" i="154"/>
  <c r="E35" i="144"/>
  <c r="E35" i="167"/>
  <c r="E35" i="162"/>
  <c r="E35" i="149"/>
  <c r="F28" i="137"/>
  <c r="BC35" i="161" s="1"/>
  <c r="BP35" s="1"/>
  <c r="G35" s="1"/>
  <c r="E35" i="168"/>
  <c r="E35" i="153"/>
  <c r="E35" i="166"/>
  <c r="E35" i="150"/>
  <c r="E35" i="158"/>
  <c r="E35" i="159"/>
  <c r="E35" i="145"/>
  <c r="E35" i="155"/>
  <c r="E35" i="171"/>
  <c r="E35" i="143"/>
  <c r="E35" i="164"/>
  <c r="X33" i="154"/>
  <c r="AB33"/>
  <c r="I30" i="148"/>
  <c r="J31"/>
  <c r="AF30"/>
  <c r="AR30" i="149"/>
  <c r="AW29" i="51"/>
  <c r="J29"/>
  <c r="AA32" i="171" s="1"/>
  <c r="AR32" s="1"/>
  <c r="AZ29" i="51"/>
  <c r="J34" i="56"/>
  <c r="AF34" s="1"/>
  <c r="S34" i="162"/>
  <c r="V34" s="1"/>
  <c r="AR31" i="166"/>
  <c r="X35" i="162"/>
  <c r="AB35"/>
  <c r="G32" i="147"/>
  <c r="F31"/>
  <c r="AD31"/>
  <c r="AB258" i="118"/>
  <c r="X33" i="171"/>
  <c r="H30" i="51"/>
  <c r="I30" s="1"/>
  <c r="AA32" i="159"/>
  <c r="AR31" i="153"/>
  <c r="AS30" i="167"/>
  <c r="BT33" i="164"/>
  <c r="BP33"/>
  <c r="BM33"/>
  <c r="G34" i="143"/>
  <c r="AD34" s="1"/>
  <c r="G34" i="153"/>
  <c r="AD34" s="1"/>
  <c r="AA32" i="145"/>
  <c r="AJ32" i="165"/>
  <c r="D34" i="150"/>
  <c r="K34" s="1"/>
  <c r="N34" s="1"/>
  <c r="D34" i="56"/>
  <c r="AS30" i="165"/>
  <c r="AJ32" i="166"/>
  <c r="AB33" i="163"/>
  <c r="K9" i="189"/>
  <c r="N794" i="175"/>
  <c r="K71" i="189" s="1"/>
  <c r="AA31" i="149"/>
  <c r="J34"/>
  <c r="AF34" s="1"/>
  <c r="J34" i="144"/>
  <c r="AF34" s="1"/>
  <c r="AA32" i="154"/>
  <c r="AF35" i="162"/>
  <c r="AJ32" i="168"/>
  <c r="G31" i="148"/>
  <c r="F30"/>
  <c r="AD30"/>
  <c r="AR31" i="158"/>
  <c r="AJ32" i="167"/>
  <c r="G34" i="150"/>
  <c r="AD34" s="1"/>
  <c r="BC34" i="149"/>
  <c r="BB34"/>
  <c r="AR31" i="161"/>
  <c r="AB33" i="145"/>
  <c r="X33"/>
  <c r="AR30" i="171"/>
  <c r="AS30" s="1"/>
  <c r="AS31" s="1"/>
  <c r="AA32" i="151"/>
  <c r="D34" i="149"/>
  <c r="K34" s="1"/>
  <c r="N34" s="1"/>
  <c r="D34" i="166"/>
  <c r="D34" i="144"/>
  <c r="K34" s="1"/>
  <c r="AS30" i="151"/>
  <c r="AA32" i="166"/>
  <c r="AS30" i="168"/>
  <c r="R790" i="175"/>
  <c r="O67" i="189" s="1"/>
  <c r="O5"/>
  <c r="AF33" i="163"/>
  <c r="AD32" i="149"/>
  <c r="F32"/>
  <c r="O32"/>
  <c r="R32" s="1"/>
  <c r="AS29" i="146"/>
  <c r="D28" i="137"/>
  <c r="AI28"/>
  <c r="AB72" i="118"/>
  <c r="B35" i="154"/>
  <c r="B35" i="151"/>
  <c r="B35" i="149"/>
  <c r="B35" i="144"/>
  <c r="AM24" i="142" s="1"/>
  <c r="B35" i="56"/>
  <c r="B35" i="155"/>
  <c r="B35" i="153"/>
  <c r="B35" i="166"/>
  <c r="B35" i="162"/>
  <c r="C35" s="1"/>
  <c r="B35" i="165"/>
  <c r="B35" i="145"/>
  <c r="B35" i="167"/>
  <c r="B35" i="168"/>
  <c r="B35" i="164"/>
  <c r="B35" i="150"/>
  <c r="B35" i="158"/>
  <c r="B35" i="159"/>
  <c r="B35" i="143"/>
  <c r="B35" i="171"/>
  <c r="I28" i="137"/>
  <c r="J28" s="1"/>
  <c r="X33" i="153"/>
  <c r="AB33"/>
  <c r="AR31" i="150"/>
  <c r="J34" i="164"/>
  <c r="AF34" s="1"/>
  <c r="J34" i="150"/>
  <c r="AF34" s="1"/>
  <c r="J34" i="158"/>
  <c r="AF34" s="1"/>
  <c r="J34" i="166"/>
  <c r="AF34" s="1"/>
  <c r="J34" i="168"/>
  <c r="AF34" s="1"/>
  <c r="AJ32" i="154"/>
  <c r="I28" i="160"/>
  <c r="J29"/>
  <c r="AF28"/>
  <c r="AD35" i="162"/>
  <c r="AA34"/>
  <c r="Z27" i="49"/>
  <c r="M27"/>
  <c r="J28"/>
  <c r="AA32" i="161"/>
  <c r="X33" i="158"/>
  <c r="AB33"/>
  <c r="AD33" i="165"/>
  <c r="X25" i="49"/>
  <c r="G29" i="51"/>
  <c r="X33" i="159"/>
  <c r="AB33"/>
  <c r="AA31" i="146"/>
  <c r="AA32" i="167"/>
  <c r="AS30" i="166"/>
  <c r="AR31" i="165"/>
  <c r="G34" i="158"/>
  <c r="AD34" s="1"/>
  <c r="AD34" i="161"/>
  <c r="F34"/>
  <c r="G34" i="166"/>
  <c r="AD34" s="1"/>
  <c r="G34" i="167"/>
  <c r="AD34" s="1"/>
  <c r="I31" i="147"/>
  <c r="J32"/>
  <c r="AF31"/>
  <c r="AR31" i="151"/>
  <c r="AJ32"/>
  <c r="D34" i="164"/>
  <c r="C34" i="165"/>
  <c r="K34"/>
  <c r="N34" s="1"/>
  <c r="D34" i="167"/>
  <c r="D34" i="155"/>
  <c r="K34" s="1"/>
  <c r="N34" s="1"/>
  <c r="AA32" i="153"/>
  <c r="X33" i="167"/>
  <c r="AB33"/>
  <c r="F28" i="160"/>
  <c r="G29"/>
  <c r="AD28"/>
  <c r="AS30" i="153"/>
  <c r="I32" i="146"/>
  <c r="J33"/>
  <c r="AF32"/>
  <c r="AS30" i="145"/>
  <c r="AS30" i="161"/>
  <c r="AD29" i="152"/>
  <c r="AD32" i="163"/>
  <c r="S52" i="190"/>
  <c r="K28" i="49"/>
  <c r="O33" i="151"/>
  <c r="R33" s="1"/>
  <c r="K33" i="143"/>
  <c r="O33" i="154"/>
  <c r="R33" s="1"/>
  <c r="S33" i="158"/>
  <c r="V33" s="1"/>
  <c r="AR28" i="148"/>
  <c r="K33" i="164"/>
  <c r="N33" s="1"/>
  <c r="O33" i="155"/>
  <c r="R33" s="1"/>
  <c r="S33" i="153"/>
  <c r="V33" s="1"/>
  <c r="S33" i="151"/>
  <c r="V33" s="1"/>
  <c r="K33"/>
  <c r="N33" s="1"/>
  <c r="K33" i="56"/>
  <c r="N33" s="1"/>
  <c r="O33" i="144"/>
  <c r="R33" s="1"/>
  <c r="O33" i="153"/>
  <c r="R33" s="1"/>
  <c r="O33" i="56"/>
  <c r="R33" s="1"/>
  <c r="S33" i="144"/>
  <c r="V33" s="1"/>
  <c r="S33" i="167"/>
  <c r="V33" s="1"/>
  <c r="K33" i="145"/>
  <c r="N33" s="1"/>
  <c r="X32" i="149"/>
  <c r="AU69" i="190"/>
  <c r="AJ31" i="163"/>
  <c r="L28" i="49"/>
  <c r="U175" i="175"/>
  <c r="U44"/>
  <c r="H32" i="148"/>
  <c r="O663" i="175"/>
  <c r="G15" i="119"/>
  <c r="S388" i="175"/>
  <c r="T46"/>
  <c r="T679"/>
  <c r="K31" i="147"/>
  <c r="O31" i="148"/>
  <c r="H31" i="152"/>
  <c r="P39" i="175"/>
  <c r="H33" i="147"/>
  <c r="B10" i="71"/>
  <c r="V270" i="175"/>
  <c r="Q20" i="119"/>
  <c r="P197" i="175"/>
  <c r="S18" i="64"/>
  <c r="T658" i="175"/>
  <c r="W19" i="67"/>
  <c r="U18" i="71"/>
  <c r="V273" i="175"/>
  <c r="F16" i="71"/>
  <c r="S710" i="175"/>
  <c r="H17" i="71"/>
  <c r="W18" i="68"/>
  <c r="P133" i="175"/>
  <c r="M19" i="64"/>
  <c r="D19" i="67"/>
  <c r="V264" i="175"/>
  <c r="P260"/>
  <c r="Q38"/>
  <c r="E17" i="71"/>
  <c r="U18" i="68"/>
  <c r="V18" i="71"/>
  <c r="S18" i="67"/>
  <c r="U148" i="175"/>
  <c r="B11" i="119"/>
  <c r="U265" i="175"/>
  <c r="V209"/>
  <c r="B11" i="67"/>
  <c r="P657" i="175"/>
  <c r="R17" i="68"/>
  <c r="B33" i="147"/>
  <c r="Q21" i="64"/>
  <c r="N19" i="140"/>
  <c r="S32" i="147"/>
  <c r="T20" i="119"/>
  <c r="Q253" i="175"/>
  <c r="K19" i="64"/>
  <c r="B19" i="120"/>
  <c r="Q700" i="175"/>
  <c r="S689"/>
  <c r="S34" i="161"/>
  <c r="S697" i="175"/>
  <c r="W18" i="71"/>
  <c r="D18"/>
  <c r="U55" i="175"/>
  <c r="V18" i="68"/>
  <c r="E19" i="119"/>
  <c r="M176" i="175"/>
  <c r="T207"/>
  <c r="P19" i="140"/>
  <c r="X15" i="64"/>
  <c r="T202" i="175"/>
  <c r="F17" i="67"/>
  <c r="E31" i="152"/>
  <c r="T255" i="175"/>
  <c r="X13" i="68"/>
  <c r="R19" i="119"/>
  <c r="S668" i="175"/>
  <c r="N19" i="64"/>
  <c r="O29" i="160"/>
  <c r="V19" i="140"/>
  <c r="R42" i="175"/>
  <c r="H35" i="163"/>
  <c r="O380" i="175"/>
  <c r="T18" i="68"/>
  <c r="R698" i="175"/>
  <c r="V19" i="67"/>
  <c r="O377" i="175"/>
  <c r="P19" i="119"/>
  <c r="D19" i="120"/>
  <c r="I18" i="71"/>
  <c r="E33" i="147"/>
  <c r="U43" i="175"/>
  <c r="T678"/>
  <c r="U141"/>
  <c r="U54"/>
  <c r="S387"/>
  <c r="T666"/>
  <c r="V212"/>
  <c r="U19" i="119"/>
  <c r="V268" i="175"/>
  <c r="E18" i="140"/>
  <c r="L19" i="64"/>
  <c r="S31" i="148"/>
  <c r="B30" i="152"/>
  <c r="S709" i="175"/>
  <c r="E35" i="161"/>
  <c r="T45" i="175"/>
  <c r="D19" i="119"/>
  <c r="U139" i="175"/>
  <c r="V274"/>
  <c r="P37"/>
  <c r="S703"/>
  <c r="P661"/>
  <c r="T386"/>
  <c r="H18" i="64"/>
  <c r="S19" i="120"/>
  <c r="V205" i="175"/>
  <c r="V272"/>
  <c r="S19" i="119"/>
  <c r="V211" i="175"/>
  <c r="Q191"/>
  <c r="Q134"/>
  <c r="U144"/>
  <c r="O33" i="146"/>
  <c r="B10" i="68"/>
  <c r="S236" i="175"/>
  <c r="B34" i="146"/>
  <c r="T672" i="175"/>
  <c r="J18" i="71"/>
  <c r="L19" i="67"/>
  <c r="U266" i="175"/>
  <c r="I19" i="120"/>
  <c r="V271" i="175"/>
  <c r="L19" i="140"/>
  <c r="T36" i="175"/>
  <c r="P19" i="64"/>
  <c r="X14" i="71"/>
  <c r="T204" i="175"/>
  <c r="L19" i="120"/>
  <c r="U138" i="175"/>
  <c r="O136"/>
  <c r="O692"/>
  <c r="S34" i="163"/>
  <c r="X440" i="175"/>
  <c r="S669"/>
  <c r="B35" i="163"/>
  <c r="E17" i="68"/>
  <c r="O32" i="147"/>
  <c r="E30" i="160"/>
  <c r="Q20" i="71"/>
  <c r="B31" i="148"/>
  <c r="L18" i="71"/>
  <c r="R19" i="140"/>
  <c r="Q20" i="120"/>
  <c r="R669" i="175"/>
  <c r="L18" i="68"/>
  <c r="V19" i="120"/>
  <c r="H18"/>
  <c r="Q257" i="175"/>
  <c r="O12" i="68"/>
  <c r="S235" i="175"/>
  <c r="O14" i="140"/>
  <c r="O14" i="120"/>
  <c r="X14" i="119"/>
  <c r="U52" i="175"/>
  <c r="H18" i="67"/>
  <c r="V206" i="175"/>
  <c r="P19" i="67"/>
  <c r="F17" i="140"/>
  <c r="R19" i="64"/>
  <c r="N19" i="67"/>
  <c r="L20" i="119"/>
  <c r="U53" i="175"/>
  <c r="U140"/>
  <c r="M19" i="140"/>
  <c r="K19"/>
  <c r="N693" i="175"/>
  <c r="R18" i="71"/>
  <c r="U174" i="175"/>
  <c r="O13" i="71"/>
  <c r="D19" i="140"/>
  <c r="N380" i="175"/>
  <c r="Q20" i="140"/>
  <c r="G16"/>
  <c r="F16" i="119"/>
  <c r="V19" i="64"/>
  <c r="T203" i="175"/>
  <c r="I20" i="119"/>
  <c r="S33" i="146"/>
  <c r="T667" i="175"/>
  <c r="P259"/>
  <c r="K28" i="160"/>
  <c r="Q34" i="175"/>
  <c r="N18" i="68"/>
  <c r="I19"/>
  <c r="U19" i="120"/>
  <c r="P256" i="175"/>
  <c r="J19" i="120"/>
  <c r="G16" i="64"/>
  <c r="O14"/>
  <c r="T677" i="175"/>
  <c r="M18" i="71"/>
  <c r="J19" i="119"/>
  <c r="U130" i="175"/>
  <c r="E34" i="146"/>
  <c r="V213" i="175"/>
  <c r="N694"/>
  <c r="K30" i="148"/>
  <c r="B35" i="161"/>
  <c r="O14" i="67"/>
  <c r="J18" i="68"/>
  <c r="U149" i="175"/>
  <c r="K19" i="120"/>
  <c r="Q20" i="68"/>
  <c r="O660" i="175"/>
  <c r="P18" i="71"/>
  <c r="V275" i="175"/>
  <c r="F17" i="120"/>
  <c r="J19" i="64"/>
  <c r="N691" i="175"/>
  <c r="R199"/>
  <c r="K34" i="163"/>
  <c r="P129" i="175"/>
  <c r="I19" i="64"/>
  <c r="U262" i="175"/>
  <c r="P40"/>
  <c r="R699"/>
  <c r="K34" i="161"/>
  <c r="D19" i="64"/>
  <c r="P381" i="175"/>
  <c r="G16" i="120"/>
  <c r="U56" i="175"/>
  <c r="K18" i="68"/>
  <c r="P198" i="175"/>
  <c r="T395"/>
  <c r="T676"/>
  <c r="V200"/>
  <c r="U269"/>
  <c r="D18" i="68"/>
  <c r="G15" i="71"/>
  <c r="O30" i="152"/>
  <c r="G16" i="67"/>
  <c r="X15" i="120"/>
  <c r="U147" i="175"/>
  <c r="S16" i="71"/>
  <c r="H30" i="160"/>
  <c r="U192" i="175"/>
  <c r="X15" i="140"/>
  <c r="O35" i="161"/>
  <c r="X15" i="67"/>
  <c r="R261" i="175"/>
  <c r="O33" i="163"/>
  <c r="E18" i="67"/>
  <c r="Q195" i="175"/>
  <c r="U49"/>
  <c r="W20" i="119"/>
  <c r="I19" i="67"/>
  <c r="T675" i="175"/>
  <c r="U131"/>
  <c r="P196"/>
  <c r="H19" i="120"/>
  <c r="U263" i="175"/>
  <c r="U19" i="64"/>
  <c r="M19" i="67"/>
  <c r="B29" i="160"/>
  <c r="M18" i="68"/>
  <c r="U173" i="175"/>
  <c r="P696"/>
  <c r="R18" i="120"/>
  <c r="O662" i="175"/>
  <c r="T193"/>
  <c r="U151"/>
  <c r="P20" i="120"/>
  <c r="E18"/>
  <c r="S659" i="175"/>
  <c r="S234"/>
  <c r="J19" i="140"/>
  <c r="Q665" i="175"/>
  <c r="W19" i="64"/>
  <c r="Q135" i="175"/>
  <c r="Q22" i="69"/>
  <c r="T397" i="175"/>
  <c r="N384"/>
  <c r="X442"/>
  <c r="C19" i="120"/>
  <c r="U150" i="175"/>
  <c r="P18" i="68"/>
  <c r="E32" i="148"/>
  <c r="P41" i="175"/>
  <c r="T392"/>
  <c r="S707"/>
  <c r="C19" i="140"/>
  <c r="W19"/>
  <c r="H20" i="119"/>
  <c r="V208" i="175"/>
  <c r="O382"/>
  <c r="S19" i="140"/>
  <c r="T378" i="175"/>
  <c r="B19" i="140"/>
  <c r="S379" i="175"/>
  <c r="O383"/>
  <c r="S706"/>
  <c r="R19" i="67"/>
  <c r="U19" i="140"/>
  <c r="O13" i="119"/>
  <c r="E18" i="64"/>
  <c r="F17"/>
  <c r="H17" i="68"/>
  <c r="T396" i="175"/>
  <c r="T20" i="140"/>
  <c r="B11" i="64"/>
  <c r="J19" i="67"/>
  <c r="T20" i="120"/>
  <c r="S708" i="175"/>
  <c r="K34" i="146"/>
  <c r="K29" i="152"/>
  <c r="O132" i="175"/>
  <c r="W19" i="120"/>
  <c r="N20" i="119"/>
  <c r="U35" i="175"/>
  <c r="S30" i="152"/>
  <c r="V210" i="175"/>
  <c r="S17" i="71"/>
  <c r="R690" i="175"/>
  <c r="E34" i="163"/>
  <c r="O664" i="175"/>
  <c r="P258"/>
  <c r="U19" i="67"/>
  <c r="S29" i="160"/>
  <c r="H35" i="161"/>
  <c r="N18" i="71"/>
  <c r="H34" i="146"/>
  <c r="Q21" i="67"/>
  <c r="I19" i="140"/>
  <c r="K18" i="71"/>
  <c r="U254" i="175"/>
  <c r="V267"/>
  <c r="T201"/>
  <c r="T399"/>
  <c r="K20" i="119"/>
  <c r="U172" i="175"/>
  <c r="H19" i="140"/>
  <c r="K19" i="67"/>
  <c r="M19" i="120"/>
  <c r="P194" i="175"/>
  <c r="T398"/>
  <c r="N19" i="120"/>
  <c r="Q137" i="175"/>
  <c r="U772" l="1"/>
  <c r="R49" i="189" s="1"/>
  <c r="AU49" s="1"/>
  <c r="AX175" i="175"/>
  <c r="AR27" i="152"/>
  <c r="AS27" s="1"/>
  <c r="U36" i="190"/>
  <c r="X473" i="175"/>
  <c r="AZ116" i="118"/>
  <c r="AZ163"/>
  <c r="AX265" i="175"/>
  <c r="T738"/>
  <c r="Q15" i="189" s="1"/>
  <c r="AS29" i="164"/>
  <c r="S799" i="175"/>
  <c r="P76" i="189" s="1"/>
  <c r="AW70" i="118"/>
  <c r="AZ22"/>
  <c r="AZ257"/>
  <c r="S769" i="175"/>
  <c r="Q638"/>
  <c r="AR30" i="164"/>
  <c r="BA22" i="118"/>
  <c r="BA257"/>
  <c r="BA163"/>
  <c r="BA116"/>
  <c r="T737" i="175"/>
  <c r="T799" s="1"/>
  <c r="R637"/>
  <c r="N791"/>
  <c r="K68" i="189" s="1"/>
  <c r="BE18" i="118"/>
  <c r="BE64"/>
  <c r="BE253"/>
  <c r="BE112"/>
  <c r="BE159"/>
  <c r="AV260" i="175"/>
  <c r="AV41"/>
  <c r="AV198"/>
  <c r="O733"/>
  <c r="AR26" i="160"/>
  <c r="AS26" s="1"/>
  <c r="AJ27"/>
  <c r="AR27" s="1"/>
  <c r="K10" i="189"/>
  <c r="N795" i="175"/>
  <c r="K72" i="189" s="1"/>
  <c r="L3"/>
  <c r="BL65" i="118"/>
  <c r="AV657" i="175"/>
  <c r="P726"/>
  <c r="M3" i="189" s="1"/>
  <c r="AV129" i="175"/>
  <c r="AJ28" i="152"/>
  <c r="AR28" s="1"/>
  <c r="P796" i="175"/>
  <c r="M73" i="189" s="1"/>
  <c r="AS73" s="1"/>
  <c r="O729" i="175"/>
  <c r="O791" s="1"/>
  <c r="BI64" i="118"/>
  <c r="N30" i="148"/>
  <c r="D30" i="152"/>
  <c r="Q734" i="175"/>
  <c r="N11" i="189" s="1"/>
  <c r="AV133" i="175"/>
  <c r="P730"/>
  <c r="M7" i="189" s="1"/>
  <c r="AS7" s="1"/>
  <c r="BH65" i="118"/>
  <c r="BD66"/>
  <c r="N28" i="160"/>
  <c r="N31" i="147"/>
  <c r="N29" i="152"/>
  <c r="D31" i="148"/>
  <c r="AB30"/>
  <c r="AJ30" s="1"/>
  <c r="C30"/>
  <c r="M11" i="189"/>
  <c r="AS11" s="1"/>
  <c r="C28" i="160"/>
  <c r="AB28"/>
  <c r="D29"/>
  <c r="X29" s="1"/>
  <c r="O792" i="175"/>
  <c r="L69" i="189" s="1"/>
  <c r="C31" i="147"/>
  <c r="D32"/>
  <c r="X32" s="1"/>
  <c r="AB31"/>
  <c r="AJ31" s="1"/>
  <c r="AB29" i="152"/>
  <c r="AJ29" i="148"/>
  <c r="AJ30" i="147"/>
  <c r="AR30" s="1"/>
  <c r="AY163" i="118"/>
  <c r="AY116"/>
  <c r="AX266" i="175"/>
  <c r="AX173"/>
  <c r="BA70" i="118"/>
  <c r="BH19"/>
  <c r="BH160"/>
  <c r="BH113"/>
  <c r="BH254"/>
  <c r="AV381" i="175"/>
  <c r="O630"/>
  <c r="AV661"/>
  <c r="P13" i="189"/>
  <c r="AQ164" i="118"/>
  <c r="AQ117"/>
  <c r="BB116"/>
  <c r="BB163"/>
  <c r="AP23"/>
  <c r="AS258"/>
  <c r="AZ70"/>
  <c r="AQ23"/>
  <c r="AT258"/>
  <c r="BB70"/>
  <c r="BI159"/>
  <c r="BI112"/>
  <c r="AU117"/>
  <c r="AU164"/>
  <c r="AS164"/>
  <c r="AS117"/>
  <c r="AR258"/>
  <c r="BD161"/>
  <c r="BD114"/>
  <c r="AR70"/>
  <c r="BD20"/>
  <c r="AP71"/>
  <c r="AT23"/>
  <c r="BI253"/>
  <c r="BA164"/>
  <c r="BA117"/>
  <c r="AR117"/>
  <c r="AR164"/>
  <c r="AT117"/>
  <c r="AT164"/>
  <c r="BI18"/>
  <c r="AT70"/>
  <c r="AR23"/>
  <c r="AS71"/>
  <c r="AP164"/>
  <c r="AP117"/>
  <c r="AP258"/>
  <c r="AS23"/>
  <c r="AQ258"/>
  <c r="BD255"/>
  <c r="AX56" i="175"/>
  <c r="S646"/>
  <c r="R636"/>
  <c r="AX192"/>
  <c r="AX263"/>
  <c r="AX53"/>
  <c r="P634"/>
  <c r="AV634" s="1"/>
  <c r="AV696"/>
  <c r="AV194"/>
  <c r="AV256"/>
  <c r="AX52"/>
  <c r="S647"/>
  <c r="AX140"/>
  <c r="U745"/>
  <c r="AX745" s="1"/>
  <c r="AX148"/>
  <c r="S644"/>
  <c r="N629"/>
  <c r="AV37"/>
  <c r="U748"/>
  <c r="AX748" s="1"/>
  <c r="AX151"/>
  <c r="M190"/>
  <c r="T736"/>
  <c r="Q13" i="189" s="1"/>
  <c r="AX262" i="175"/>
  <c r="AX54"/>
  <c r="U744"/>
  <c r="AX744" s="1"/>
  <c r="AX147"/>
  <c r="AX172"/>
  <c r="AX131"/>
  <c r="AX55"/>
  <c r="S648"/>
  <c r="S645"/>
  <c r="U746"/>
  <c r="AX149"/>
  <c r="U747"/>
  <c r="AX747" s="1"/>
  <c r="AX150"/>
  <c r="S252"/>
  <c r="AA30" i="148"/>
  <c r="AJ33" i="159"/>
  <c r="AJ25" i="143"/>
  <c r="AS23"/>
  <c r="Q23" i="189"/>
  <c r="T808" i="175"/>
  <c r="Q85" i="189" s="1"/>
  <c r="AJ32" i="163"/>
  <c r="P86" i="189"/>
  <c r="T810" i="175"/>
  <c r="Q25" i="189"/>
  <c r="Q24"/>
  <c r="T809" i="175"/>
  <c r="Q86" i="189" s="1"/>
  <c r="Q22"/>
  <c r="T807" i="175"/>
  <c r="AJ33" i="158"/>
  <c r="AJ31" i="164"/>
  <c r="P83" i="189"/>
  <c r="Q21"/>
  <c r="T806" i="175"/>
  <c r="Q83" i="189" s="1"/>
  <c r="AG15" i="72"/>
  <c r="AA25" i="143"/>
  <c r="AR24"/>
  <c r="N26"/>
  <c r="X26"/>
  <c r="AC26"/>
  <c r="M27"/>
  <c r="L27" s="1"/>
  <c r="AS32" i="56"/>
  <c r="K29" i="49"/>
  <c r="L8" i="189"/>
  <c r="AG25" i="118"/>
  <c r="AG260"/>
  <c r="AG71"/>
  <c r="AG165"/>
  <c r="AG118"/>
  <c r="AD158"/>
  <c r="BG66"/>
  <c r="BG159"/>
  <c r="BG112"/>
  <c r="BL19"/>
  <c r="BL113"/>
  <c r="BL160"/>
  <c r="BG253"/>
  <c r="BL254"/>
  <c r="BG18"/>
  <c r="AV196" i="175"/>
  <c r="P731"/>
  <c r="AV731" s="1"/>
  <c r="AV258"/>
  <c r="N631"/>
  <c r="AV39"/>
  <c r="AJ32" i="149"/>
  <c r="AS30"/>
  <c r="AD111" i="118"/>
  <c r="AS31" i="158"/>
  <c r="F33" i="149"/>
  <c r="AS31" i="159"/>
  <c r="AS32" i="155"/>
  <c r="BF18" i="118"/>
  <c r="BF253"/>
  <c r="AV40" i="175"/>
  <c r="AA28" i="160"/>
  <c r="AS31" i="150"/>
  <c r="AD33" i="149"/>
  <c r="S34" i="143"/>
  <c r="V34" s="1"/>
  <c r="X33" i="149"/>
  <c r="O34" i="166"/>
  <c r="R34" s="1"/>
  <c r="O34" i="158"/>
  <c r="R34" s="1"/>
  <c r="AR33" i="155"/>
  <c r="O34" i="56"/>
  <c r="R34" s="1"/>
  <c r="O34" i="167"/>
  <c r="R34" s="1"/>
  <c r="AB20" i="72"/>
  <c r="BD34" i="149"/>
  <c r="G34" s="1"/>
  <c r="X34" s="1"/>
  <c r="S34"/>
  <c r="V34" s="1"/>
  <c r="S34" i="56"/>
  <c r="V34" s="1"/>
  <c r="O34" i="168"/>
  <c r="R34" s="1"/>
  <c r="S34" i="159"/>
  <c r="V34" s="1"/>
  <c r="AR33" i="56"/>
  <c r="S34" i="150"/>
  <c r="V34" s="1"/>
  <c r="O34" i="143"/>
  <c r="R34" s="1"/>
  <c r="O34" i="164"/>
  <c r="R34" s="1"/>
  <c r="O34" i="159"/>
  <c r="R34" s="1"/>
  <c r="O34" i="154"/>
  <c r="R34" s="1"/>
  <c r="S34" i="158"/>
  <c r="V34" s="1"/>
  <c r="S34" i="164"/>
  <c r="V34" s="1"/>
  <c r="O34" i="150"/>
  <c r="R34" s="1"/>
  <c r="S34" i="144"/>
  <c r="V34" s="1"/>
  <c r="S34" i="145"/>
  <c r="V34" s="1"/>
  <c r="V22" i="72"/>
  <c r="BJ70" i="118"/>
  <c r="BJ163"/>
  <c r="BJ116"/>
  <c r="BK165"/>
  <c r="BK118"/>
  <c r="AX139" i="175"/>
  <c r="R35" i="161"/>
  <c r="S641" i="175"/>
  <c r="AX43"/>
  <c r="BC258" i="118"/>
  <c r="T23" i="72"/>
  <c r="BC23" i="118"/>
  <c r="AX44" i="175"/>
  <c r="BB258" i="118"/>
  <c r="BB23"/>
  <c r="V31" i="148"/>
  <c r="J31" i="152"/>
  <c r="N632" i="175"/>
  <c r="AC21" i="72"/>
  <c r="AX141" i="175"/>
  <c r="D35" i="163"/>
  <c r="AE23" i="72"/>
  <c r="U741" i="175"/>
  <c r="AX144"/>
  <c r="AA23" i="72"/>
  <c r="J35" i="163"/>
  <c r="T728" i="175"/>
  <c r="N34" i="161"/>
  <c r="C34" i="146"/>
  <c r="N34"/>
  <c r="U735" i="175"/>
  <c r="AX138"/>
  <c r="R628"/>
  <c r="U727"/>
  <c r="AX130"/>
  <c r="N34" i="163"/>
  <c r="BF159" i="118"/>
  <c r="BF112"/>
  <c r="BF66"/>
  <c r="AW117"/>
  <c r="AW164"/>
  <c r="P283" i="175"/>
  <c r="AV283" s="1"/>
  <c r="AV259"/>
  <c r="BC70" i="118"/>
  <c r="AX164"/>
  <c r="AX117"/>
  <c r="P221" i="175"/>
  <c r="AV221" s="1"/>
  <c r="AV197"/>
  <c r="P732"/>
  <c r="AV732" s="1"/>
  <c r="AX269"/>
  <c r="BC117" i="118"/>
  <c r="BC164"/>
  <c r="AX254" i="175"/>
  <c r="AV116" i="118"/>
  <c r="AV163"/>
  <c r="BK70"/>
  <c r="Q19" i="72"/>
  <c r="V29" i="160"/>
  <c r="Z23" i="72"/>
  <c r="W25"/>
  <c r="AX174" i="175"/>
  <c r="R33" i="146"/>
  <c r="V34" i="161"/>
  <c r="V33" i="146"/>
  <c r="R29" i="160"/>
  <c r="V32" i="147"/>
  <c r="S627" i="175"/>
  <c r="R31" i="148"/>
  <c r="G31" i="152"/>
  <c r="BJ22" i="118"/>
  <c r="AD22" i="72"/>
  <c r="BJ257" i="118"/>
  <c r="V34" i="163"/>
  <c r="S23" i="72"/>
  <c r="R32" i="147"/>
  <c r="S635" i="175"/>
  <c r="AX49"/>
  <c r="AW258" i="118"/>
  <c r="Y23" i="72"/>
  <c r="AW23" i="118"/>
  <c r="R23" i="72"/>
  <c r="X470" i="175"/>
  <c r="U34" i="190"/>
  <c r="X471" i="175"/>
  <c r="AI397" i="118"/>
  <c r="G34" i="163"/>
  <c r="X34" s="1"/>
  <c r="AX35" i="175"/>
  <c r="X23" i="72"/>
  <c r="BK258" i="118"/>
  <c r="BK23"/>
  <c r="R33" i="163"/>
  <c r="R30" i="152"/>
  <c r="V30"/>
  <c r="AA32" i="164"/>
  <c r="AS28" i="148"/>
  <c r="AA33" i="158"/>
  <c r="D35" i="171"/>
  <c r="AB35" s="1"/>
  <c r="D35" i="145"/>
  <c r="D35" i="149"/>
  <c r="K35" s="1"/>
  <c r="N35" s="1"/>
  <c r="AR32" i="159"/>
  <c r="G35" i="143"/>
  <c r="AD35" s="1"/>
  <c r="G35" i="153"/>
  <c r="AD35" s="1"/>
  <c r="O35" i="162"/>
  <c r="R35" s="1"/>
  <c r="G35" i="165"/>
  <c r="AS31" i="154"/>
  <c r="AB34" i="145"/>
  <c r="X34"/>
  <c r="X34" i="158"/>
  <c r="AB34"/>
  <c r="W27" i="49"/>
  <c r="Z34" i="171"/>
  <c r="AB353" i="118"/>
  <c r="AD353" s="1"/>
  <c r="AF36" i="162"/>
  <c r="J35" i="150"/>
  <c r="AF35" s="1"/>
  <c r="AS29" i="147"/>
  <c r="AA33" i="166"/>
  <c r="AS30" i="163"/>
  <c r="BA396" i="118"/>
  <c r="BK396"/>
  <c r="BC396"/>
  <c r="BF396"/>
  <c r="BL396"/>
  <c r="BH396"/>
  <c r="BD396"/>
  <c r="BQ396"/>
  <c r="AZ396"/>
  <c r="AE396" s="1"/>
  <c r="BO396"/>
  <c r="BR396"/>
  <c r="BI396"/>
  <c r="BP396"/>
  <c r="BB396"/>
  <c r="BS396"/>
  <c r="BJ396"/>
  <c r="BN396"/>
  <c r="BG396"/>
  <c r="BM396"/>
  <c r="BE396"/>
  <c r="AR32" i="153"/>
  <c r="X34" i="167"/>
  <c r="AB34"/>
  <c r="AB34" i="164"/>
  <c r="AR32" i="167"/>
  <c r="D35" i="158"/>
  <c r="K35" s="1"/>
  <c r="N35" s="1"/>
  <c r="D35" i="166"/>
  <c r="D35" i="144"/>
  <c r="K35" s="1"/>
  <c r="AR32" i="154"/>
  <c r="P75" i="189"/>
  <c r="X34" i="56"/>
  <c r="AA34" s="1"/>
  <c r="AB34"/>
  <c r="AJ34" s="1"/>
  <c r="I31" i="148"/>
  <c r="J32"/>
  <c r="AF31"/>
  <c r="G35" i="145"/>
  <c r="AD35" s="1"/>
  <c r="BC35" i="149"/>
  <c r="BB35"/>
  <c r="G35" i="56"/>
  <c r="AD35" s="1"/>
  <c r="AD36" i="162"/>
  <c r="J35" i="159"/>
  <c r="AF35" s="1"/>
  <c r="J35" i="167"/>
  <c r="AF35" s="1"/>
  <c r="J35" i="166"/>
  <c r="AF35" s="1"/>
  <c r="X34" i="154"/>
  <c r="AB34"/>
  <c r="AR32" i="168"/>
  <c r="Q18" i="189"/>
  <c r="T803" i="175"/>
  <c r="Q80" i="189" s="1"/>
  <c r="O794" i="175"/>
  <c r="L71" i="189" s="1"/>
  <c r="L9"/>
  <c r="AA32" i="149"/>
  <c r="AA31" i="147"/>
  <c r="AJ33" i="167"/>
  <c r="X34" i="155"/>
  <c r="AA34" s="1"/>
  <c r="AB34"/>
  <c r="AJ34" s="1"/>
  <c r="AS31" i="151"/>
  <c r="AS31" i="165"/>
  <c r="AR32" i="161"/>
  <c r="D35" i="143"/>
  <c r="K35" s="1"/>
  <c r="D35" i="164"/>
  <c r="K35" s="1"/>
  <c r="N35" s="1"/>
  <c r="C35" i="165"/>
  <c r="K35"/>
  <c r="N35" s="1"/>
  <c r="D35" i="155"/>
  <c r="D35" i="151"/>
  <c r="K35" s="1"/>
  <c r="N35" s="1"/>
  <c r="AB34" i="149"/>
  <c r="AA33" i="145"/>
  <c r="L70" i="189"/>
  <c r="X34" i="150"/>
  <c r="AB34"/>
  <c r="AJ34" s="1"/>
  <c r="BN33" i="164"/>
  <c r="BQ33" s="1"/>
  <c r="BR33" s="1"/>
  <c r="AE33" s="1"/>
  <c r="AS31" i="153"/>
  <c r="AW30" i="51"/>
  <c r="AZ30"/>
  <c r="J30"/>
  <c r="AA33" i="171" s="1"/>
  <c r="AJ33" i="154"/>
  <c r="G35" i="171"/>
  <c r="AD35" s="1"/>
  <c r="G35" i="158"/>
  <c r="AD35" s="1"/>
  <c r="G35" i="168"/>
  <c r="AD35" s="1"/>
  <c r="G35" i="167"/>
  <c r="AD35" s="1"/>
  <c r="G35" i="151"/>
  <c r="AD35" s="1"/>
  <c r="AR32" i="158"/>
  <c r="X34" i="151"/>
  <c r="AC34"/>
  <c r="AJ33" i="168"/>
  <c r="BM34" i="164"/>
  <c r="BP34"/>
  <c r="BT34"/>
  <c r="T29" i="49"/>
  <c r="U28"/>
  <c r="AA33" i="151"/>
  <c r="X36" i="162"/>
  <c r="AB36"/>
  <c r="AS31" i="167"/>
  <c r="J35" i="158"/>
  <c r="AF35" s="1"/>
  <c r="J35" i="149"/>
  <c r="AF35" s="1"/>
  <c r="J35" i="56"/>
  <c r="AF35" s="1"/>
  <c r="I35" i="165"/>
  <c r="BK35"/>
  <c r="S35"/>
  <c r="V35" s="1"/>
  <c r="J35" i="168"/>
  <c r="AF35" s="1"/>
  <c r="BJ35" i="161"/>
  <c r="D35" s="1"/>
  <c r="BV35"/>
  <c r="J35" s="1"/>
  <c r="X34" i="168"/>
  <c r="AB34"/>
  <c r="AJ32" i="146"/>
  <c r="CC37" i="162"/>
  <c r="D37" s="1"/>
  <c r="CE37"/>
  <c r="J37" s="1"/>
  <c r="CD37"/>
  <c r="G37" s="1"/>
  <c r="CG37"/>
  <c r="AL37" s="1"/>
  <c r="C34" i="161"/>
  <c r="AB34"/>
  <c r="X34"/>
  <c r="AJ33" i="166"/>
  <c r="AS30" i="146"/>
  <c r="AJ33" i="161"/>
  <c r="AB34" i="163"/>
  <c r="S34" i="168"/>
  <c r="V34" s="1"/>
  <c r="K34" i="158"/>
  <c r="N34" s="1"/>
  <c r="S34" i="154"/>
  <c r="V34" s="1"/>
  <c r="S34" i="171"/>
  <c r="V34" s="1"/>
  <c r="L29" i="49"/>
  <c r="S34" i="166"/>
  <c r="V34" s="1"/>
  <c r="O34" i="153"/>
  <c r="R34" s="1"/>
  <c r="O34" i="144"/>
  <c r="R34" s="1"/>
  <c r="O34" i="171"/>
  <c r="R34" s="1"/>
  <c r="O34" i="151"/>
  <c r="R34" s="1"/>
  <c r="O34" i="145"/>
  <c r="R34" s="1"/>
  <c r="S34" i="151"/>
  <c r="V34" s="1"/>
  <c r="BQ32" i="164"/>
  <c r="BR32" s="1"/>
  <c r="AE32" s="1"/>
  <c r="AA29" i="152"/>
  <c r="AR31" i="146"/>
  <c r="AK29" i="51"/>
  <c r="AB22" i="118"/>
  <c r="AV29" i="51"/>
  <c r="AX29" s="1"/>
  <c r="B22" i="72"/>
  <c r="D22" s="1"/>
  <c r="I22" s="1"/>
  <c r="H22" s="1"/>
  <c r="G22" s="1"/>
  <c r="F22" s="1"/>
  <c r="E22" s="1"/>
  <c r="I29" i="160"/>
  <c r="AF29"/>
  <c r="J30"/>
  <c r="AA33" i="153"/>
  <c r="D35" i="150"/>
  <c r="D35" i="153"/>
  <c r="K35" s="1"/>
  <c r="N35" s="1"/>
  <c r="AA35" i="162"/>
  <c r="G35" i="159"/>
  <c r="AD35" s="1"/>
  <c r="AA33" i="150"/>
  <c r="AJ33" i="151"/>
  <c r="AS31" i="145"/>
  <c r="J35" i="171"/>
  <c r="AF35" s="1"/>
  <c r="J35" i="145"/>
  <c r="AF35" s="1"/>
  <c r="J35" i="151"/>
  <c r="AF35" s="1"/>
  <c r="F33" i="146"/>
  <c r="AD33"/>
  <c r="G34"/>
  <c r="X33"/>
  <c r="C30" i="137"/>
  <c r="G30"/>
  <c r="E30"/>
  <c r="I34" i="161"/>
  <c r="AF34"/>
  <c r="P80" i="189"/>
  <c r="D29" i="137"/>
  <c r="AI29"/>
  <c r="AB73" i="118"/>
  <c r="B36" i="166"/>
  <c r="B36" i="159"/>
  <c r="B36" i="145"/>
  <c r="B36" i="144"/>
  <c r="AM25" i="142" s="1"/>
  <c r="B36" i="153"/>
  <c r="B36" i="168"/>
  <c r="B36" i="151"/>
  <c r="B36" i="154"/>
  <c r="B36" i="155"/>
  <c r="B36" i="162"/>
  <c r="B36" i="167"/>
  <c r="B36" i="165"/>
  <c r="B36" i="149"/>
  <c r="B36" i="143"/>
  <c r="B36" i="150"/>
  <c r="B36" i="164"/>
  <c r="B36" i="158"/>
  <c r="B36" i="56"/>
  <c r="B36" i="171"/>
  <c r="I29" i="137"/>
  <c r="J29" s="1"/>
  <c r="AR32" i="150"/>
  <c r="P5" i="189"/>
  <c r="S790" i="175"/>
  <c r="P67" i="189" s="1"/>
  <c r="W501" i="175"/>
  <c r="T69" i="190" s="1"/>
  <c r="T51"/>
  <c r="J34" i="146"/>
  <c r="I33"/>
  <c r="AF33"/>
  <c r="F29" i="160"/>
  <c r="AD29"/>
  <c r="G30"/>
  <c r="J33" i="147"/>
  <c r="I32"/>
  <c r="AF32"/>
  <c r="X34" i="171"/>
  <c r="AB259" i="118"/>
  <c r="H31" i="51"/>
  <c r="I31" s="1"/>
  <c r="AJ33" i="153"/>
  <c r="D35" i="167"/>
  <c r="K35" s="1"/>
  <c r="N35" s="1"/>
  <c r="X34" i="166"/>
  <c r="AB34"/>
  <c r="AS31" i="161"/>
  <c r="F31" i="148"/>
  <c r="G32"/>
  <c r="AD31"/>
  <c r="AR32" i="145"/>
  <c r="AJ35" i="162"/>
  <c r="BK35" i="164"/>
  <c r="BL35" s="1"/>
  <c r="G35"/>
  <c r="AD35" s="1"/>
  <c r="G35" i="166"/>
  <c r="AD35" s="1"/>
  <c r="G35" i="154"/>
  <c r="AD35" s="1"/>
  <c r="AS33" i="162"/>
  <c r="J35" i="164"/>
  <c r="AF35" s="1"/>
  <c r="J35" i="154"/>
  <c r="AF35" s="1"/>
  <c r="AA32" i="146"/>
  <c r="H29" i="137"/>
  <c r="BD36" i="161" s="1"/>
  <c r="H36" i="154"/>
  <c r="H36" i="168"/>
  <c r="H36" i="167"/>
  <c r="H36" i="151"/>
  <c r="H36" i="144"/>
  <c r="H36" i="153"/>
  <c r="H36" i="145"/>
  <c r="H36" i="165"/>
  <c r="H36" i="162"/>
  <c r="H36" i="166"/>
  <c r="H36" i="143"/>
  <c r="H36" i="149"/>
  <c r="H36" i="56"/>
  <c r="H36" i="158"/>
  <c r="H36" i="159"/>
  <c r="AB167" i="118"/>
  <c r="H36" i="171"/>
  <c r="H36" i="150"/>
  <c r="H36" i="164"/>
  <c r="H36" i="155"/>
  <c r="T797" i="175"/>
  <c r="Q74" i="189" s="1"/>
  <c r="Q12"/>
  <c r="AF34" i="163"/>
  <c r="AA33" i="167"/>
  <c r="AA33" i="159"/>
  <c r="AJ33" i="165"/>
  <c r="M28" i="49"/>
  <c r="Z28"/>
  <c r="J29"/>
  <c r="AR34" i="162"/>
  <c r="D35" i="159"/>
  <c r="K35" s="1"/>
  <c r="N35" s="1"/>
  <c r="D35" i="168"/>
  <c r="K35" i="162"/>
  <c r="N35" s="1"/>
  <c r="D35" i="56"/>
  <c r="K35" s="1"/>
  <c r="N35" s="1"/>
  <c r="D35" i="154"/>
  <c r="K35" s="1"/>
  <c r="N35" s="1"/>
  <c r="AR32" i="166"/>
  <c r="AR32" i="151"/>
  <c r="AJ33" i="145"/>
  <c r="AR31" i="149"/>
  <c r="AA33" i="163"/>
  <c r="AR32" i="165"/>
  <c r="F32" i="147"/>
  <c r="G33"/>
  <c r="AD32"/>
  <c r="AS31" i="166"/>
  <c r="AA33" i="154"/>
  <c r="G35" i="155"/>
  <c r="AD35" s="1"/>
  <c r="G35" i="150"/>
  <c r="AD35" s="1"/>
  <c r="AD35" i="161"/>
  <c r="F35"/>
  <c r="G35" i="144"/>
  <c r="AD35" s="1"/>
  <c r="S69" i="190"/>
  <c r="P74" i="189"/>
  <c r="X34" i="153"/>
  <c r="AB34"/>
  <c r="AB34" i="159"/>
  <c r="X34"/>
  <c r="AA33" i="168"/>
  <c r="AM36" i="162"/>
  <c r="J35" i="143"/>
  <c r="AF35" s="1"/>
  <c r="J35" i="155"/>
  <c r="AF35" s="1"/>
  <c r="J35" i="153"/>
  <c r="AF35" s="1"/>
  <c r="S35" i="162"/>
  <c r="V35" s="1"/>
  <c r="J35" i="144"/>
  <c r="AF35" s="1"/>
  <c r="AS31" i="168"/>
  <c r="AD34" i="165"/>
  <c r="C31" i="13"/>
  <c r="D32"/>
  <c r="AL38" i="171"/>
  <c r="AM38" s="1"/>
  <c r="CB38" i="162"/>
  <c r="G30" i="51"/>
  <c r="X26" i="49"/>
  <c r="E36" i="56"/>
  <c r="AB120" i="118"/>
  <c r="E36" i="151"/>
  <c r="E36" i="165"/>
  <c r="E36" i="144"/>
  <c r="E36" i="154"/>
  <c r="E36" i="167"/>
  <c r="E36" i="162"/>
  <c r="E36" i="149"/>
  <c r="E36" i="145"/>
  <c r="F29" i="137"/>
  <c r="BC36" i="161" s="1"/>
  <c r="BP36" s="1"/>
  <c r="G36" s="1"/>
  <c r="E36" i="168"/>
  <c r="E36" i="166"/>
  <c r="E36" i="153"/>
  <c r="E36" i="171"/>
  <c r="E36" i="158"/>
  <c r="E36" i="164"/>
  <c r="E36" i="143"/>
  <c r="E36" i="150"/>
  <c r="E36" i="159"/>
  <c r="E36" i="155"/>
  <c r="AA33" i="161"/>
  <c r="AD33" i="163"/>
  <c r="AD30" i="152"/>
  <c r="AF30"/>
  <c r="T789" i="175"/>
  <c r="Q4" i="189"/>
  <c r="AS32" i="171"/>
  <c r="K34" i="145"/>
  <c r="N34" s="1"/>
  <c r="AJ34" i="171"/>
  <c r="S34" i="153"/>
  <c r="V34" s="1"/>
  <c r="K34" i="167"/>
  <c r="N34" s="1"/>
  <c r="K34" i="164"/>
  <c r="N34" s="1"/>
  <c r="F35" i="162"/>
  <c r="K34" i="166"/>
  <c r="N34" s="1"/>
  <c r="K34" i="56"/>
  <c r="N34" s="1"/>
  <c r="K34" i="151"/>
  <c r="N34" s="1"/>
  <c r="AR31" i="163"/>
  <c r="S34" i="155"/>
  <c r="V34" s="1"/>
  <c r="K34" i="171"/>
  <c r="N34" s="1"/>
  <c r="S34" i="167"/>
  <c r="V34" s="1"/>
  <c r="K34" i="143"/>
  <c r="O34" i="155"/>
  <c r="R34" s="1"/>
  <c r="U20" i="120"/>
  <c r="U396" i="175"/>
  <c r="P20" i="140"/>
  <c r="U672" i="175"/>
  <c r="N20" i="67"/>
  <c r="V140" i="175"/>
  <c r="S20" i="119"/>
  <c r="V263" i="175"/>
  <c r="L19" i="71"/>
  <c r="F18" i="64"/>
  <c r="G16" i="71"/>
  <c r="U677" i="175"/>
  <c r="U378"/>
  <c r="V45"/>
  <c r="T668"/>
  <c r="W212"/>
  <c r="G17" i="120"/>
  <c r="G16" i="119"/>
  <c r="B12"/>
  <c r="H20" i="67"/>
  <c r="W271" i="175"/>
  <c r="H32" i="152"/>
  <c r="E35" i="146"/>
  <c r="B20" i="120"/>
  <c r="S35" i="161"/>
  <c r="N20" i="140"/>
  <c r="Q22" i="64"/>
  <c r="V20" i="119"/>
  <c r="R385" i="175"/>
  <c r="P132"/>
  <c r="B11" i="68"/>
  <c r="U666" i="175"/>
  <c r="B35" i="146"/>
  <c r="R20" i="64"/>
  <c r="V44" i="175"/>
  <c r="U255"/>
  <c r="U399"/>
  <c r="O15" i="64"/>
  <c r="K30" i="152"/>
  <c r="V150" i="175"/>
  <c r="R195"/>
  <c r="S698"/>
  <c r="G16" i="68"/>
  <c r="W19"/>
  <c r="L20" i="67"/>
  <c r="V49" i="175"/>
  <c r="S20" i="120"/>
  <c r="V269" i="175"/>
  <c r="O13" i="68"/>
  <c r="X16" i="120"/>
  <c r="T234" i="175"/>
  <c r="P664"/>
  <c r="Q197"/>
  <c r="V148"/>
  <c r="V43"/>
  <c r="F18" i="67"/>
  <c r="F16" i="68"/>
  <c r="L20" i="140"/>
  <c r="T669" i="175"/>
  <c r="V35"/>
  <c r="F18" i="120"/>
  <c r="N176" i="175"/>
  <c r="Q21" i="119"/>
  <c r="V138" i="175"/>
  <c r="Y440"/>
  <c r="T235"/>
  <c r="P382"/>
  <c r="I20" i="68"/>
  <c r="V56" i="175"/>
  <c r="E35" i="163"/>
  <c r="T388" i="175"/>
  <c r="U398"/>
  <c r="S31" i="152"/>
  <c r="I20" i="67"/>
  <c r="S690" i="175"/>
  <c r="O15" i="140"/>
  <c r="M19" i="71"/>
  <c r="W267" i="175"/>
  <c r="W19" i="71"/>
  <c r="F17" i="119"/>
  <c r="Q39" i="175"/>
  <c r="P692"/>
  <c r="S18" i="71"/>
  <c r="H33" i="148"/>
  <c r="K20" i="67"/>
  <c r="V20" i="64"/>
  <c r="U202" i="175"/>
  <c r="Q260"/>
  <c r="W272"/>
  <c r="V19" i="68"/>
  <c r="Q41" i="175"/>
  <c r="V54"/>
  <c r="V139"/>
  <c r="D20" i="119"/>
  <c r="J21"/>
  <c r="W20" i="64"/>
  <c r="W210" i="175"/>
  <c r="W275"/>
  <c r="Q40"/>
  <c r="I20" i="64"/>
  <c r="O34" i="163"/>
  <c r="P20" i="67"/>
  <c r="U19" i="68"/>
  <c r="L19"/>
  <c r="V147" i="175"/>
  <c r="R18" i="68"/>
  <c r="R135" i="175"/>
  <c r="N20" i="64"/>
  <c r="O688" i="175"/>
  <c r="O30" i="160"/>
  <c r="N19" i="71"/>
  <c r="O32" i="148"/>
  <c r="U392" i="175"/>
  <c r="V21" i="119"/>
  <c r="M20" i="140"/>
  <c r="U204" i="175"/>
  <c r="O693"/>
  <c r="O31" i="152"/>
  <c r="L20" i="64"/>
  <c r="T697" i="175"/>
  <c r="E18" i="68"/>
  <c r="E19" i="120"/>
  <c r="V172" i="175"/>
  <c r="H18" i="68"/>
  <c r="X14"/>
  <c r="V192" i="175"/>
  <c r="D20" i="67"/>
  <c r="Q196" i="175"/>
  <c r="L20" i="120"/>
  <c r="B34" i="147"/>
  <c r="O36" i="161"/>
  <c r="B30" i="160"/>
  <c r="I19" i="71"/>
  <c r="U679" i="175"/>
  <c r="W211"/>
  <c r="E32" i="152"/>
  <c r="U236" i="175"/>
  <c r="U667"/>
  <c r="Q21" i="140"/>
  <c r="S33" i="147"/>
  <c r="S17" i="68"/>
  <c r="O384" i="175"/>
  <c r="V55"/>
  <c r="T708"/>
  <c r="R20" i="67"/>
  <c r="O694" i="175"/>
  <c r="V262"/>
  <c r="Q198"/>
  <c r="E36" i="161"/>
  <c r="R253" i="175"/>
  <c r="T21" i="140"/>
  <c r="I20"/>
  <c r="B12" i="64"/>
  <c r="S199" i="175"/>
  <c r="U395"/>
  <c r="U678"/>
  <c r="B36" i="161"/>
  <c r="U675" i="175"/>
  <c r="V20" i="120"/>
  <c r="Q37" i="175"/>
  <c r="W20" i="120"/>
  <c r="M20"/>
  <c r="M21" i="119"/>
  <c r="U20"/>
  <c r="V175" i="175"/>
  <c r="Q256"/>
  <c r="R700"/>
  <c r="P19" i="71"/>
  <c r="K31" i="148"/>
  <c r="P662" i="175"/>
  <c r="V19" i="71"/>
  <c r="W206" i="175"/>
  <c r="Q21" i="71"/>
  <c r="U235" i="175"/>
  <c r="E19" i="67"/>
  <c r="V131" i="175"/>
  <c r="P21" i="120"/>
  <c r="X15" i="119"/>
  <c r="V53" i="175"/>
  <c r="T379"/>
  <c r="F17" i="68"/>
  <c r="U19" i="71"/>
  <c r="U207" i="175"/>
  <c r="V149"/>
  <c r="Q194"/>
  <c r="R257"/>
  <c r="U234"/>
  <c r="N20" i="120"/>
  <c r="P136" i="175"/>
  <c r="E19" i="140"/>
  <c r="E19" i="64"/>
  <c r="P660" i="175"/>
  <c r="J20" i="120"/>
  <c r="H21" i="119"/>
  <c r="T706" i="175"/>
  <c r="J19" i="68"/>
  <c r="K35" i="146"/>
  <c r="O14" i="119"/>
  <c r="U397" i="175"/>
  <c r="K20" i="64"/>
  <c r="C20" i="140"/>
  <c r="U193" i="175"/>
  <c r="O33" i="147"/>
  <c r="P688" i="175"/>
  <c r="W208"/>
  <c r="W209"/>
  <c r="R191"/>
  <c r="P20" i="64"/>
  <c r="S32" i="148"/>
  <c r="S35" i="163"/>
  <c r="K35"/>
  <c r="H20" i="64"/>
  <c r="W205" i="175"/>
  <c r="V20" i="140"/>
  <c r="Q22" i="67"/>
  <c r="O14" i="71"/>
  <c r="S34" i="146"/>
  <c r="U36" i="175"/>
  <c r="W274"/>
  <c r="U386"/>
  <c r="G17" i="140"/>
  <c r="E34" i="147"/>
  <c r="U45" i="175"/>
  <c r="V151"/>
  <c r="E20" i="119"/>
  <c r="Q657" i="175"/>
  <c r="T689"/>
  <c r="D19" i="68"/>
  <c r="U20" i="64"/>
  <c r="B32" i="148"/>
  <c r="T659" i="175"/>
  <c r="U20" i="67"/>
  <c r="S389" i="175"/>
  <c r="J20" i="64"/>
  <c r="M20" i="119"/>
  <c r="U201" i="175"/>
  <c r="P663"/>
  <c r="B11" i="71"/>
  <c r="G15" i="68"/>
  <c r="W20" i="67"/>
  <c r="N695" i="175"/>
  <c r="Q385"/>
  <c r="E31" i="160"/>
  <c r="K19" i="68"/>
  <c r="Q661" i="175"/>
  <c r="N19" i="68"/>
  <c r="Q258" i="175"/>
  <c r="K20" i="120"/>
  <c r="J19" i="71"/>
  <c r="M19" i="68"/>
  <c r="R137" i="175"/>
  <c r="K29" i="160"/>
  <c r="J20" i="140"/>
  <c r="C20" i="120"/>
  <c r="T387" i="175"/>
  <c r="V141"/>
  <c r="T19" i="68"/>
  <c r="O15" i="67"/>
  <c r="W268" i="175"/>
  <c r="Q23" i="69"/>
  <c r="T709" i="175"/>
  <c r="U203"/>
  <c r="J20" i="67"/>
  <c r="W270" i="175"/>
  <c r="Q129"/>
  <c r="S261"/>
  <c r="R134"/>
  <c r="R20" i="140"/>
  <c r="U658" i="175"/>
  <c r="S20" i="140"/>
  <c r="V144" i="175"/>
  <c r="E18" i="71"/>
  <c r="Q663" i="175"/>
  <c r="W213"/>
  <c r="P19" i="68"/>
  <c r="D20" i="120"/>
  <c r="Q381" i="175"/>
  <c r="V265"/>
  <c r="K19" i="71"/>
  <c r="P20" i="119"/>
  <c r="V130" i="175"/>
  <c r="X16" i="140"/>
  <c r="S21" i="119"/>
  <c r="K35" i="161"/>
  <c r="N21" i="119"/>
  <c r="F17" i="71"/>
  <c r="U676" i="175"/>
  <c r="K21" i="119"/>
  <c r="W264" i="175"/>
  <c r="O695"/>
  <c r="W200"/>
  <c r="O15" i="120"/>
  <c r="B20" i="140"/>
  <c r="B31" i="152"/>
  <c r="H19" i="64"/>
  <c r="X15" i="71"/>
  <c r="O691" i="175"/>
  <c r="B12" i="67"/>
  <c r="S699" i="175"/>
  <c r="T707"/>
  <c r="M20" i="64"/>
  <c r="V52" i="175"/>
  <c r="T21" i="119"/>
  <c r="T703" i="175"/>
  <c r="M20" i="67"/>
  <c r="R19" i="120"/>
  <c r="R20" i="119"/>
  <c r="H18" i="71"/>
  <c r="Q259" i="175"/>
  <c r="F18" i="140"/>
  <c r="V254" i="175"/>
  <c r="V173"/>
  <c r="D20" i="140"/>
  <c r="R19" i="71"/>
  <c r="H34" i="147"/>
  <c r="H20" i="140"/>
  <c r="Q21" i="68"/>
  <c r="S30" i="160"/>
  <c r="R665" i="175"/>
  <c r="U20" i="140"/>
  <c r="P380" i="175"/>
  <c r="L21" i="119"/>
  <c r="P383" i="175"/>
  <c r="J20" i="119"/>
  <c r="T236" i="175"/>
  <c r="H35" i="146"/>
  <c r="V266" i="175"/>
  <c r="H19" i="67"/>
  <c r="O34" i="146"/>
  <c r="K20" i="140"/>
  <c r="Q21" i="120"/>
  <c r="D20" i="64"/>
  <c r="K32" i="147"/>
  <c r="H31" i="160"/>
  <c r="V20" i="67"/>
  <c r="H36" i="163"/>
  <c r="B36"/>
  <c r="Y442" i="175"/>
  <c r="H36" i="161"/>
  <c r="I20" i="120"/>
  <c r="E33" i="148"/>
  <c r="V174" i="175"/>
  <c r="Q133"/>
  <c r="T710"/>
  <c r="W20" i="140"/>
  <c r="W273" i="175"/>
  <c r="D19" i="71"/>
  <c r="P377" i="175"/>
  <c r="V772" l="1"/>
  <c r="AX772"/>
  <c r="O626"/>
  <c r="V36" i="190"/>
  <c r="Y473" i="175"/>
  <c r="V54" i="190" s="1"/>
  <c r="U54"/>
  <c r="AZ164" i="118"/>
  <c r="AZ117"/>
  <c r="AX203" i="175"/>
  <c r="U738"/>
  <c r="AX738" s="1"/>
  <c r="Q14" i="189"/>
  <c r="AW71" i="118"/>
  <c r="T769" i="175"/>
  <c r="AX234"/>
  <c r="U769"/>
  <c r="R46" i="189" s="1"/>
  <c r="R638" i="175"/>
  <c r="AR31" i="164"/>
  <c r="S800" i="175"/>
  <c r="P77" i="189" s="1"/>
  <c r="P46"/>
  <c r="AS30" i="164"/>
  <c r="BA23" i="118"/>
  <c r="BA258"/>
  <c r="S637" i="175"/>
  <c r="AX45"/>
  <c r="AX202"/>
  <c r="U737"/>
  <c r="U799" s="1"/>
  <c r="R76" i="189" s="1"/>
  <c r="AV726" i="175"/>
  <c r="BE19" i="118"/>
  <c r="BE254"/>
  <c r="BE160"/>
  <c r="BE113"/>
  <c r="BE65"/>
  <c r="O633" i="175"/>
  <c r="N633"/>
  <c r="AV664"/>
  <c r="P733"/>
  <c r="AV733" s="1"/>
  <c r="AV136"/>
  <c r="O795"/>
  <c r="L72" i="189" s="1"/>
  <c r="L10"/>
  <c r="AJ28" i="160"/>
  <c r="AR28" s="1"/>
  <c r="AS3" i="189"/>
  <c r="P788" i="175"/>
  <c r="AV788" s="1"/>
  <c r="BL66" i="118"/>
  <c r="Q726" i="175"/>
  <c r="N3" i="189" s="1"/>
  <c r="AV377" i="175"/>
  <c r="AJ29" i="152"/>
  <c r="AR29" s="1"/>
  <c r="Q796" i="175"/>
  <c r="N73" i="189" s="1"/>
  <c r="AV796" i="175"/>
  <c r="L6" i="189"/>
  <c r="AV730" i="175"/>
  <c r="P792"/>
  <c r="M69" i="189" s="1"/>
  <c r="AS69" s="1"/>
  <c r="AV132" i="175"/>
  <c r="P729"/>
  <c r="AV729" s="1"/>
  <c r="R734"/>
  <c r="R796" s="1"/>
  <c r="O73" i="189" s="1"/>
  <c r="N32" i="147"/>
  <c r="N30" i="152"/>
  <c r="N29" i="160"/>
  <c r="BI65" i="118"/>
  <c r="Q730" i="175"/>
  <c r="N7" i="189" s="1"/>
  <c r="BH66" i="118"/>
  <c r="BD67"/>
  <c r="N31" i="148"/>
  <c r="D31" i="152"/>
  <c r="X31" s="1"/>
  <c r="D33" i="147"/>
  <c r="X33" s="1"/>
  <c r="AB32"/>
  <c r="AJ32" s="1"/>
  <c r="C32"/>
  <c r="AB30" i="152"/>
  <c r="AB29" i="160"/>
  <c r="D30"/>
  <c r="X30" s="1"/>
  <c r="C29"/>
  <c r="X30" i="152"/>
  <c r="C31" i="148"/>
  <c r="D32"/>
  <c r="X32" s="1"/>
  <c r="AB31"/>
  <c r="AJ31" s="1"/>
  <c r="X31"/>
  <c r="AA31" s="1"/>
  <c r="AR29"/>
  <c r="AY117" i="118"/>
  <c r="AY164"/>
  <c r="AX204" i="175"/>
  <c r="AX235"/>
  <c r="BA71" i="118"/>
  <c r="T798" i="175"/>
  <c r="Q75" i="189" s="1"/>
  <c r="BH161" i="118"/>
  <c r="BH114"/>
  <c r="AV692" i="175"/>
  <c r="P630"/>
  <c r="AV630" s="1"/>
  <c r="AS28" i="152"/>
  <c r="AT259" i="118"/>
  <c r="AQ259"/>
  <c r="AU165"/>
  <c r="AU118"/>
  <c r="AS24"/>
  <c r="AR24"/>
  <c r="AQ24"/>
  <c r="AP24"/>
  <c r="BA24"/>
  <c r="AP259"/>
  <c r="BB117"/>
  <c r="BB164"/>
  <c r="AR118"/>
  <c r="AR165"/>
  <c r="AS165"/>
  <c r="AS118"/>
  <c r="BB71"/>
  <c r="AQ72"/>
  <c r="BI160"/>
  <c r="BI113"/>
  <c r="AR71"/>
  <c r="AR259"/>
  <c r="AT118"/>
  <c r="AT165"/>
  <c r="AQ118"/>
  <c r="AQ165"/>
  <c r="AT24"/>
  <c r="BA259"/>
  <c r="BD115"/>
  <c r="BD162"/>
  <c r="AQ71"/>
  <c r="BI19"/>
  <c r="AP72"/>
  <c r="AP165"/>
  <c r="AP118"/>
  <c r="AT71"/>
  <c r="AS259"/>
  <c r="BI254"/>
  <c r="AX201" i="175"/>
  <c r="U736"/>
  <c r="AX736" s="1"/>
  <c r="T644"/>
  <c r="S636"/>
  <c r="T647"/>
  <c r="AX679"/>
  <c r="O629"/>
  <c r="AX397"/>
  <c r="AX675"/>
  <c r="V744"/>
  <c r="AV660"/>
  <c r="T252"/>
  <c r="AX236"/>
  <c r="V747"/>
  <c r="U252"/>
  <c r="N190"/>
  <c r="AV380"/>
  <c r="AX396"/>
  <c r="T648"/>
  <c r="T646"/>
  <c r="V745"/>
  <c r="AX676"/>
  <c r="AX395"/>
  <c r="V746"/>
  <c r="T645"/>
  <c r="AX677"/>
  <c r="AX678"/>
  <c r="AX399"/>
  <c r="V748"/>
  <c r="AX398"/>
  <c r="AJ32" i="164"/>
  <c r="AJ34" i="158"/>
  <c r="Q87" i="189"/>
  <c r="R23"/>
  <c r="AU23" s="1"/>
  <c r="U808" i="175"/>
  <c r="R85" i="189" s="1"/>
  <c r="AU85" s="1"/>
  <c r="U807" i="175"/>
  <c r="R84" i="189" s="1"/>
  <c r="R22"/>
  <c r="AU22" s="1"/>
  <c r="AJ33" i="164"/>
  <c r="AR30" i="148"/>
  <c r="AJ26" i="143"/>
  <c r="AS24"/>
  <c r="L68" i="189"/>
  <c r="U806" i="175"/>
  <c r="R83" i="189" s="1"/>
  <c r="AU83" s="1"/>
  <c r="R21"/>
  <c r="AU21" s="1"/>
  <c r="Q84"/>
  <c r="AJ34" i="159"/>
  <c r="R24" i="189"/>
  <c r="AU24" s="1"/>
  <c r="U809" i="175"/>
  <c r="R25" i="189"/>
  <c r="AU25" s="1"/>
  <c r="U810" i="175"/>
  <c r="R87" i="189" s="1"/>
  <c r="AR32" i="163"/>
  <c r="AX746" i="175"/>
  <c r="AG16" i="72"/>
  <c r="AA26" i="143"/>
  <c r="X27"/>
  <c r="AC27"/>
  <c r="N27"/>
  <c r="M28"/>
  <c r="L28" s="1"/>
  <c r="AR25"/>
  <c r="AS33" i="56"/>
  <c r="K30" i="49"/>
  <c r="P793" i="175"/>
  <c r="M70" i="189" s="1"/>
  <c r="AS70" s="1"/>
  <c r="AG261" i="118"/>
  <c r="AG72"/>
  <c r="AG119"/>
  <c r="AG166"/>
  <c r="AG26"/>
  <c r="M8" i="189"/>
  <c r="AS8" s="1"/>
  <c r="AS30" i="147"/>
  <c r="AD159" i="118"/>
  <c r="AD112"/>
  <c r="BL161"/>
  <c r="BL114"/>
  <c r="BG67"/>
  <c r="BG113"/>
  <c r="BG160"/>
  <c r="BG19"/>
  <c r="BG254"/>
  <c r="Q731" i="175"/>
  <c r="Q793" s="1"/>
  <c r="AV382"/>
  <c r="AV662"/>
  <c r="P626"/>
  <c r="AV688"/>
  <c r="O631"/>
  <c r="AS31" i="149"/>
  <c r="AJ33"/>
  <c r="AA33"/>
  <c r="AA29" i="160"/>
  <c r="AS32" i="158"/>
  <c r="S35" i="167"/>
  <c r="V35" s="1"/>
  <c r="AS33" i="155"/>
  <c r="AS32" i="159"/>
  <c r="AV663" i="175"/>
  <c r="AS32" i="150"/>
  <c r="BC165" i="118"/>
  <c r="BC118"/>
  <c r="S35" i="168"/>
  <c r="V35" s="1"/>
  <c r="S35" i="144"/>
  <c r="V35" s="1"/>
  <c r="BF19" i="118"/>
  <c r="BF254"/>
  <c r="S35" i="155"/>
  <c r="V35" s="1"/>
  <c r="F34" i="149"/>
  <c r="S35"/>
  <c r="V35" s="1"/>
  <c r="O34"/>
  <c r="R34" s="1"/>
  <c r="AD34"/>
  <c r="S35" i="56"/>
  <c r="V35" s="1"/>
  <c r="BU33" i="164"/>
  <c r="BV33" s="1"/>
  <c r="X33" s="1"/>
  <c r="AW118" i="118"/>
  <c r="AW165"/>
  <c r="AJ35" i="171"/>
  <c r="S35" i="153"/>
  <c r="V35" s="1"/>
  <c r="S35" i="143"/>
  <c r="V35" s="1"/>
  <c r="S35" i="154"/>
  <c r="V35" s="1"/>
  <c r="O35" i="159"/>
  <c r="R35" s="1"/>
  <c r="O35" i="168"/>
  <c r="R35" s="1"/>
  <c r="O35" i="144"/>
  <c r="R35" s="1"/>
  <c r="O35" i="150"/>
  <c r="R35" s="1"/>
  <c r="S35" i="164"/>
  <c r="V35" s="1"/>
  <c r="O35" i="154"/>
  <c r="R35" s="1"/>
  <c r="O35" i="171"/>
  <c r="R35" s="1"/>
  <c r="AR34" i="56"/>
  <c r="S35" i="150"/>
  <c r="V35" s="1"/>
  <c r="O35" i="153"/>
  <c r="R35" s="1"/>
  <c r="AX255" i="175"/>
  <c r="BC71" i="118"/>
  <c r="AZ71"/>
  <c r="AX165"/>
  <c r="AX118"/>
  <c r="S628" i="175"/>
  <c r="V727"/>
  <c r="AX392"/>
  <c r="V741"/>
  <c r="AE24" i="72"/>
  <c r="G35" i="163"/>
  <c r="AX672" i="175"/>
  <c r="BC259" i="118"/>
  <c r="T24" i="72"/>
  <c r="BC24" i="118"/>
  <c r="D36" i="163"/>
  <c r="U728" i="175"/>
  <c r="AX728" s="1"/>
  <c r="AX193"/>
  <c r="AX378"/>
  <c r="N35" i="161"/>
  <c r="C35" i="146"/>
  <c r="N35"/>
  <c r="V35" i="163"/>
  <c r="AX658" i="175"/>
  <c r="T635"/>
  <c r="J36" i="163"/>
  <c r="R30" i="160"/>
  <c r="AX36" i="175"/>
  <c r="AD23" i="72"/>
  <c r="BJ258" i="118"/>
  <c r="BJ23"/>
  <c r="V30" i="160"/>
  <c r="AX386" i="175"/>
  <c r="AW24" i="118"/>
  <c r="Y24" i="72"/>
  <c r="AW259" i="118"/>
  <c r="S24" i="72"/>
  <c r="AX666" i="175"/>
  <c r="AX207"/>
  <c r="BK71" i="118"/>
  <c r="Q221" i="175"/>
  <c r="Q732"/>
  <c r="Q283"/>
  <c r="AV164" i="118"/>
  <c r="AV117"/>
  <c r="BF160"/>
  <c r="BF113"/>
  <c r="BJ164"/>
  <c r="BJ117"/>
  <c r="BJ71"/>
  <c r="BF67"/>
  <c r="V33" i="147"/>
  <c r="R24" i="72"/>
  <c r="AA24"/>
  <c r="V32" i="148"/>
  <c r="J32" i="152"/>
  <c r="T641" i="175"/>
  <c r="R34" i="163"/>
  <c r="V31" i="152"/>
  <c r="AC22" i="72"/>
  <c r="R36" i="161"/>
  <c r="R32" i="148"/>
  <c r="G32" i="152"/>
  <c r="X24" i="72"/>
  <c r="BK259" i="118"/>
  <c r="BK24"/>
  <c r="W26" i="72"/>
  <c r="AX667" i="175"/>
  <c r="N35" i="163"/>
  <c r="AV383" i="175"/>
  <c r="Z24" i="72"/>
  <c r="R33" i="147"/>
  <c r="V735" i="175"/>
  <c r="V34" i="146"/>
  <c r="R34"/>
  <c r="O632" i="175"/>
  <c r="Y470"/>
  <c r="V34" i="190"/>
  <c r="Y471" i="175"/>
  <c r="V52" i="190" s="1"/>
  <c r="AI398" i="118"/>
  <c r="V35" i="161"/>
  <c r="BB259" i="118"/>
  <c r="BB24"/>
  <c r="T627" i="175"/>
  <c r="R31" i="152"/>
  <c r="Q66" i="189"/>
  <c r="G36" i="150"/>
  <c r="AD36" s="1"/>
  <c r="G36" i="171"/>
  <c r="AD36" s="1"/>
  <c r="G36" i="167"/>
  <c r="AD36" s="1"/>
  <c r="G31" i="137"/>
  <c r="C31"/>
  <c r="E31"/>
  <c r="AS32" i="165"/>
  <c r="AR33" i="159"/>
  <c r="J36" i="56"/>
  <c r="AF36" s="1"/>
  <c r="AR32" i="146"/>
  <c r="D36" i="150"/>
  <c r="D36" i="151"/>
  <c r="K36" s="1"/>
  <c r="N36" s="1"/>
  <c r="AR33" i="153"/>
  <c r="AS31" i="146"/>
  <c r="AA34" i="163"/>
  <c r="AJ34" i="161"/>
  <c r="AR33" i="151"/>
  <c r="AJ34" i="154"/>
  <c r="X35" i="166"/>
  <c r="AB35"/>
  <c r="AA34" i="145"/>
  <c r="AD35" i="165"/>
  <c r="U52" i="190"/>
  <c r="G36" i="159"/>
  <c r="AD36" s="1"/>
  <c r="G36" i="168"/>
  <c r="AD36" s="1"/>
  <c r="G36" i="165"/>
  <c r="O36" s="1"/>
  <c r="R36" s="1"/>
  <c r="AR33" i="154"/>
  <c r="AS34" i="162"/>
  <c r="J36" i="158"/>
  <c r="AF36" s="1"/>
  <c r="AS32" i="145"/>
  <c r="AA34" i="166"/>
  <c r="C36" i="165"/>
  <c r="K36"/>
  <c r="N36" s="1"/>
  <c r="H30" i="137"/>
  <c r="BD37" i="161" s="1"/>
  <c r="H37" i="151"/>
  <c r="H37" i="144"/>
  <c r="H37" i="154"/>
  <c r="H37" i="159"/>
  <c r="H37" i="150"/>
  <c r="H37" i="168"/>
  <c r="H37" i="167"/>
  <c r="H37" i="145"/>
  <c r="H37" i="162"/>
  <c r="I37" s="1"/>
  <c r="H37" i="153"/>
  <c r="H37" i="166"/>
  <c r="H37" i="165"/>
  <c r="H37" i="155"/>
  <c r="H37" i="149"/>
  <c r="H37" i="56"/>
  <c r="H37" i="171"/>
  <c r="H37" i="158"/>
  <c r="AB168" i="118"/>
  <c r="H37" i="143"/>
  <c r="H37" i="164"/>
  <c r="AJ33" i="146"/>
  <c r="X35" i="150"/>
  <c r="AB35"/>
  <c r="AJ35" s="1"/>
  <c r="AD37" i="162"/>
  <c r="AJ34" i="168"/>
  <c r="AB35" i="161"/>
  <c r="C35"/>
  <c r="X35"/>
  <c r="AC35" i="151"/>
  <c r="X35"/>
  <c r="AR33" i="158"/>
  <c r="R12" i="189"/>
  <c r="AU12" s="1"/>
  <c r="U797" i="175"/>
  <c r="AF35" i="163"/>
  <c r="AR33" i="161"/>
  <c r="G36" i="143"/>
  <c r="AD36" s="1"/>
  <c r="G36" i="153"/>
  <c r="AD36" s="1"/>
  <c r="G36" i="145"/>
  <c r="AD36" s="1"/>
  <c r="G36" i="154"/>
  <c r="AD36" s="1"/>
  <c r="CC38" i="162"/>
  <c r="D38" s="1"/>
  <c r="CE38"/>
  <c r="J38" s="1"/>
  <c r="CD38"/>
  <c r="G38" s="1"/>
  <c r="CG38"/>
  <c r="AL38" s="1"/>
  <c r="AJ34" i="165"/>
  <c r="AJ34" i="153"/>
  <c r="AS32" i="166"/>
  <c r="AR33" i="167"/>
  <c r="J36" i="155"/>
  <c r="AF36" s="1"/>
  <c r="J36" i="149"/>
  <c r="AF36" s="1"/>
  <c r="I36" i="165"/>
  <c r="BK36"/>
  <c r="S36"/>
  <c r="V36" s="1"/>
  <c r="J36" i="151"/>
  <c r="AF36" s="1"/>
  <c r="BV36" i="161"/>
  <c r="J36" s="1"/>
  <c r="BJ36"/>
  <c r="D36" s="1"/>
  <c r="X35" i="167"/>
  <c r="AB35"/>
  <c r="G31" i="160"/>
  <c r="F30"/>
  <c r="AD30"/>
  <c r="D36" i="56"/>
  <c r="D36" i="143"/>
  <c r="K36" i="162"/>
  <c r="N36" s="1"/>
  <c r="D36" i="168"/>
  <c r="K36" s="1"/>
  <c r="N36" s="1"/>
  <c r="D36" i="159"/>
  <c r="AA33" i="146"/>
  <c r="AR35" i="162"/>
  <c r="X35" i="153"/>
  <c r="AB35"/>
  <c r="I30" i="160"/>
  <c r="J31"/>
  <c r="AF30"/>
  <c r="X37" i="162"/>
  <c r="AB37"/>
  <c r="AJ36"/>
  <c r="W28" i="49"/>
  <c r="Z35" i="171"/>
  <c r="AB354" i="118"/>
  <c r="AD354" s="1"/>
  <c r="BN34" i="164"/>
  <c r="BQ34" s="1"/>
  <c r="BR34" s="1"/>
  <c r="AE34" s="1"/>
  <c r="AR33" i="171"/>
  <c r="AS33" s="1"/>
  <c r="AA34" i="150"/>
  <c r="X35" i="155"/>
  <c r="AA35" s="1"/>
  <c r="AB35"/>
  <c r="AJ35" s="1"/>
  <c r="AA34" i="154"/>
  <c r="AS32" i="167"/>
  <c r="AA34"/>
  <c r="AR33" i="166"/>
  <c r="X27" i="49"/>
  <c r="G31" i="51"/>
  <c r="AJ34" i="145"/>
  <c r="K35" i="166"/>
  <c r="N35" s="1"/>
  <c r="O35" i="165"/>
  <c r="R35" s="1"/>
  <c r="O35" i="164"/>
  <c r="R35" s="1"/>
  <c r="S35" i="145"/>
  <c r="V35" s="1"/>
  <c r="O35" i="167"/>
  <c r="R35" s="1"/>
  <c r="O35" i="158"/>
  <c r="R35" s="1"/>
  <c r="S35" i="166"/>
  <c r="V35" s="1"/>
  <c r="S35" i="159"/>
  <c r="V35" s="1"/>
  <c r="O35" i="56"/>
  <c r="R35" s="1"/>
  <c r="O35" i="143"/>
  <c r="R35" s="1"/>
  <c r="K35" i="171"/>
  <c r="N35" s="1"/>
  <c r="AX735" i="175"/>
  <c r="F36" i="161"/>
  <c r="AD36"/>
  <c r="G36" i="151"/>
  <c r="AD36" s="1"/>
  <c r="AB23" i="118"/>
  <c r="AK30" i="51"/>
  <c r="B23" i="72"/>
  <c r="D23" s="1"/>
  <c r="I23" s="1"/>
  <c r="H23" s="1"/>
  <c r="G23" s="1"/>
  <c r="F23" s="1"/>
  <c r="E23" s="1"/>
  <c r="AV30" i="51"/>
  <c r="AX30" s="1"/>
  <c r="AS32" i="151"/>
  <c r="X35" i="56"/>
  <c r="AA35" s="1"/>
  <c r="AB35"/>
  <c r="AJ35" s="1"/>
  <c r="X35" i="168"/>
  <c r="AB35"/>
  <c r="M29" i="49"/>
  <c r="Z29"/>
  <c r="J30"/>
  <c r="J36" i="171"/>
  <c r="AF36" s="1"/>
  <c r="S36" i="162"/>
  <c r="V36" s="1"/>
  <c r="J36" i="144"/>
  <c r="AF36" s="1"/>
  <c r="J36" i="154"/>
  <c r="AF36" s="1"/>
  <c r="BP35" i="164"/>
  <c r="BT35"/>
  <c r="BM35"/>
  <c r="I33" i="147"/>
  <c r="J34"/>
  <c r="AF33"/>
  <c r="D36" i="171"/>
  <c r="AB36" s="1"/>
  <c r="D36" i="167"/>
  <c r="D36" i="145"/>
  <c r="K36" s="1"/>
  <c r="N36" s="1"/>
  <c r="AI30" i="137"/>
  <c r="D30"/>
  <c r="AB74" i="118"/>
  <c r="B37" i="153"/>
  <c r="B37" i="154"/>
  <c r="B37" i="151"/>
  <c r="B37" i="144"/>
  <c r="AM26" i="142" s="1"/>
  <c r="B37" i="155"/>
  <c r="B37" i="162"/>
  <c r="B37" i="145"/>
  <c r="B37" i="168"/>
  <c r="B37" i="165"/>
  <c r="B37" i="167"/>
  <c r="B37" i="56"/>
  <c r="B37" i="166"/>
  <c r="B37" i="143"/>
  <c r="B37" i="158"/>
  <c r="B37" i="149"/>
  <c r="B37" i="159"/>
  <c r="B37" i="150"/>
  <c r="B37" i="164"/>
  <c r="B37" i="171"/>
  <c r="I30" i="137"/>
  <c r="J30" s="1"/>
  <c r="AF37" i="162"/>
  <c r="AA34" i="168"/>
  <c r="AA34" i="151"/>
  <c r="AA34" i="149"/>
  <c r="Q76" i="189"/>
  <c r="J33" i="148"/>
  <c r="I32"/>
  <c r="AF32"/>
  <c r="AS32" i="154"/>
  <c r="AJ34" i="167"/>
  <c r="AB35" i="149"/>
  <c r="AD34" i="163"/>
  <c r="R18" i="189"/>
  <c r="AU18" s="1"/>
  <c r="U803" i="175"/>
  <c r="AX741"/>
  <c r="AF31" i="152"/>
  <c r="AA32" i="147"/>
  <c r="G36" i="158"/>
  <c r="AD36" s="1"/>
  <c r="O36" i="162"/>
  <c r="R36" s="1"/>
  <c r="C32" i="13"/>
  <c r="AL39" i="171"/>
  <c r="AM39" s="1"/>
  <c r="D33" i="13"/>
  <c r="CB39" i="162"/>
  <c r="AA34" i="159"/>
  <c r="AR33" i="165"/>
  <c r="J36" i="150"/>
  <c r="AF36" s="1"/>
  <c r="J36" i="166"/>
  <c r="AF36" s="1"/>
  <c r="J36" i="153"/>
  <c r="AF36" s="1"/>
  <c r="J36" i="168"/>
  <c r="AF36" s="1"/>
  <c r="F32" i="148"/>
  <c r="G33"/>
  <c r="AD32"/>
  <c r="AW31" i="51"/>
  <c r="AZ31"/>
  <c r="J31"/>
  <c r="AA34" i="171" s="1"/>
  <c r="AR34" s="1"/>
  <c r="D36" i="164"/>
  <c r="K36" s="1"/>
  <c r="N36" s="1"/>
  <c r="D36" i="154"/>
  <c r="D36" i="144"/>
  <c r="K36" s="1"/>
  <c r="AR33" i="150"/>
  <c r="AA34" i="161"/>
  <c r="AA36" i="162"/>
  <c r="AJ34" i="151"/>
  <c r="AR32" i="149"/>
  <c r="AS32" i="168"/>
  <c r="AA34" i="158"/>
  <c r="AB35" i="145"/>
  <c r="X35"/>
  <c r="T790" i="175"/>
  <c r="Q5" i="189"/>
  <c r="AB35" i="163"/>
  <c r="AS31"/>
  <c r="G36" i="155"/>
  <c r="AD36" s="1"/>
  <c r="BK36" i="164"/>
  <c r="BL36" s="1"/>
  <c r="G36"/>
  <c r="AD36" s="1"/>
  <c r="G36" i="166"/>
  <c r="AD36" s="1"/>
  <c r="BC36" i="149"/>
  <c r="BB36"/>
  <c r="G36" i="144"/>
  <c r="AD36" s="1"/>
  <c r="G36" i="56"/>
  <c r="AD36" s="1"/>
  <c r="AR33" i="168"/>
  <c r="AA34" i="153"/>
  <c r="F33" i="147"/>
  <c r="G34"/>
  <c r="AD33"/>
  <c r="X35" i="154"/>
  <c r="AB35"/>
  <c r="X35" i="159"/>
  <c r="AB35"/>
  <c r="AB260" i="118"/>
  <c r="X35" i="171"/>
  <c r="H32" i="51"/>
  <c r="I32" s="1"/>
  <c r="J36" i="164"/>
  <c r="AF36" s="1"/>
  <c r="J36" i="159"/>
  <c r="AF36" s="1"/>
  <c r="J36" i="143"/>
  <c r="AF36" s="1"/>
  <c r="J36" i="145"/>
  <c r="AF36" s="1"/>
  <c r="J36" i="167"/>
  <c r="AF36" s="1"/>
  <c r="AJ34" i="166"/>
  <c r="I34" i="146"/>
  <c r="AF34"/>
  <c r="J35"/>
  <c r="D36" i="158"/>
  <c r="K36" s="1"/>
  <c r="N36" s="1"/>
  <c r="D36" i="149"/>
  <c r="D36" i="155"/>
  <c r="D36" i="153"/>
  <c r="D36" i="166"/>
  <c r="E37" i="56"/>
  <c r="AB121" i="118"/>
  <c r="E37" i="151"/>
  <c r="E37" i="165"/>
  <c r="E37" i="144"/>
  <c r="E37" i="154"/>
  <c r="E37" i="167"/>
  <c r="E37" i="162"/>
  <c r="E37" i="149"/>
  <c r="F30" i="137"/>
  <c r="BC37" i="161" s="1"/>
  <c r="BP37" s="1"/>
  <c r="G37" s="1"/>
  <c r="E37" i="166"/>
  <c r="E37" i="168"/>
  <c r="E37" i="145"/>
  <c r="E37" i="153"/>
  <c r="E37" i="143"/>
  <c r="E37" i="159"/>
  <c r="E37" i="164"/>
  <c r="E37" i="150"/>
  <c r="E37" i="155"/>
  <c r="E37" i="158"/>
  <c r="E37" i="171"/>
  <c r="AD34" i="146"/>
  <c r="F34"/>
  <c r="G35"/>
  <c r="X34"/>
  <c r="AS27" i="160"/>
  <c r="AM37" i="162"/>
  <c r="I35" i="161"/>
  <c r="AF35"/>
  <c r="T30" i="49"/>
  <c r="U29"/>
  <c r="AR33" i="145"/>
  <c r="AB35" i="164"/>
  <c r="AS32" i="161"/>
  <c r="AR31" i="147"/>
  <c r="X35" i="158"/>
  <c r="AB35"/>
  <c r="AS32" i="153"/>
  <c r="BA397" i="118"/>
  <c r="AE397" s="1"/>
  <c r="BJ397"/>
  <c r="BH397"/>
  <c r="BQ397"/>
  <c r="BM397"/>
  <c r="BB397"/>
  <c r="BL397"/>
  <c r="BK397"/>
  <c r="BF397"/>
  <c r="BR397"/>
  <c r="BG397"/>
  <c r="BC397"/>
  <c r="BE397"/>
  <c r="BP397"/>
  <c r="BI397"/>
  <c r="BO397"/>
  <c r="BN397"/>
  <c r="BS397"/>
  <c r="BD397"/>
  <c r="BT397"/>
  <c r="U51" i="190"/>
  <c r="X501" i="175"/>
  <c r="U69" i="190" s="1"/>
  <c r="AD31" i="152"/>
  <c r="M9" i="189"/>
  <c r="AS9" s="1"/>
  <c r="P794" i="175"/>
  <c r="R4" i="189"/>
  <c r="AU4" s="1"/>
  <c r="U789" i="175"/>
  <c r="R66" i="189" s="1"/>
  <c r="AX727" i="175"/>
  <c r="K35" i="168"/>
  <c r="N35" s="1"/>
  <c r="L30" i="49"/>
  <c r="AJ33" i="163"/>
  <c r="O35" i="155"/>
  <c r="R35" s="1"/>
  <c r="O35" i="166"/>
  <c r="R35" s="1"/>
  <c r="S35" i="151"/>
  <c r="V35" s="1"/>
  <c r="S35" i="171"/>
  <c r="V35" s="1"/>
  <c r="K35" i="150"/>
  <c r="N35" s="1"/>
  <c r="S35" i="158"/>
  <c r="V35" s="1"/>
  <c r="C36" i="162"/>
  <c r="O35" i="151"/>
  <c r="R35" s="1"/>
  <c r="K35" i="155"/>
  <c r="N35" s="1"/>
  <c r="AR34"/>
  <c r="F36" i="162"/>
  <c r="BD35" i="149"/>
  <c r="G35" s="1"/>
  <c r="O35" i="145"/>
  <c r="R35" s="1"/>
  <c r="I36" i="162"/>
  <c r="K35" i="145"/>
  <c r="N35" s="1"/>
  <c r="T22" i="120"/>
  <c r="P695" i="175"/>
  <c r="W21" i="140"/>
  <c r="M21" i="64"/>
  <c r="O16"/>
  <c r="O32" i="152"/>
  <c r="O16" i="120"/>
  <c r="R20"/>
  <c r="V235" i="175"/>
  <c r="T698"/>
  <c r="H20" i="71"/>
  <c r="X209" i="175"/>
  <c r="B12" i="71"/>
  <c r="O15"/>
  <c r="U387" i="175"/>
  <c r="F19" i="140"/>
  <c r="E20" i="120"/>
  <c r="O15" i="119"/>
  <c r="V193" i="175"/>
  <c r="K36" i="146"/>
  <c r="K36" i="161"/>
  <c r="V21" i="140"/>
  <c r="F19" i="64"/>
  <c r="U668" i="175"/>
  <c r="S38"/>
  <c r="S34"/>
  <c r="H37" i="163"/>
  <c r="Q383" i="175"/>
  <c r="V20" i="68"/>
  <c r="O34" i="147"/>
  <c r="D21" i="67"/>
  <c r="V203" i="175"/>
  <c r="E20" i="140"/>
  <c r="M21" i="67"/>
  <c r="V679" i="175"/>
  <c r="S385"/>
  <c r="W269"/>
  <c r="H21" i="140"/>
  <c r="O176" i="175"/>
  <c r="U20" i="68"/>
  <c r="E20" i="64"/>
  <c r="G17"/>
  <c r="S257" i="175"/>
  <c r="Q22" i="71"/>
  <c r="G17"/>
  <c r="S34" i="147"/>
  <c r="V675" i="175"/>
  <c r="W144"/>
  <c r="V202"/>
  <c r="L21" i="140"/>
  <c r="V21" i="120"/>
  <c r="G18"/>
  <c r="P20" i="71"/>
  <c r="W149" i="175"/>
  <c r="U388"/>
  <c r="K20" i="71"/>
  <c r="E32" i="160"/>
  <c r="C21" i="140"/>
  <c r="Q382" i="175"/>
  <c r="W53"/>
  <c r="V255"/>
  <c r="Z440"/>
  <c r="I21" i="68"/>
  <c r="J22" i="119"/>
  <c r="I20" i="71"/>
  <c r="R20"/>
  <c r="K21" i="64"/>
  <c r="M20" i="68"/>
  <c r="Q660" i="175"/>
  <c r="D22" i="119"/>
  <c r="J20" i="68"/>
  <c r="D21" i="120"/>
  <c r="S22" i="119"/>
  <c r="X210" i="175"/>
  <c r="G18" i="67"/>
  <c r="J21"/>
  <c r="I21" i="119"/>
  <c r="H20" i="120"/>
  <c r="W262" i="175"/>
  <c r="B13" i="67"/>
  <c r="Q662" i="175"/>
  <c r="D20" i="68"/>
  <c r="B31" i="160"/>
  <c r="Z442" i="175"/>
  <c r="Q22" i="68"/>
  <c r="W138" i="175"/>
  <c r="O16" i="67"/>
  <c r="E19" i="68"/>
  <c r="U707" i="175"/>
  <c r="B37" i="163"/>
  <c r="K36"/>
  <c r="W151" i="175"/>
  <c r="R133"/>
  <c r="K33" i="147"/>
  <c r="G17" i="119"/>
  <c r="T20" i="68"/>
  <c r="G17" i="67"/>
  <c r="B33" i="148"/>
  <c r="K31" i="152"/>
  <c r="B32"/>
  <c r="R194" i="175"/>
  <c r="N20" i="68"/>
  <c r="K32" i="148"/>
  <c r="L20" i="71"/>
  <c r="U709" i="175"/>
  <c r="S21" i="140"/>
  <c r="W150" i="175"/>
  <c r="R129"/>
  <c r="W172"/>
  <c r="R260"/>
  <c r="K21" i="120"/>
  <c r="Q377" i="175"/>
  <c r="I21" i="120"/>
  <c r="V392" i="175"/>
  <c r="V667"/>
  <c r="F18" i="71"/>
  <c r="V677" i="175"/>
  <c r="U703"/>
  <c r="O14" i="68"/>
  <c r="W35" i="175"/>
  <c r="V207"/>
  <c r="M21" i="140"/>
  <c r="W263" i="175"/>
  <c r="X15" i="68"/>
  <c r="R259" i="175"/>
  <c r="W56"/>
  <c r="S36" i="161"/>
  <c r="E36" i="163"/>
  <c r="V672" i="175"/>
  <c r="U46"/>
  <c r="G17" i="68"/>
  <c r="X17" i="140"/>
  <c r="H32" i="160"/>
  <c r="B36" i="146"/>
  <c r="H34" i="148"/>
  <c r="S18" i="68"/>
  <c r="O35" i="146"/>
  <c r="X16" i="64"/>
  <c r="W192" i="175"/>
  <c r="X273"/>
  <c r="M20" i="71"/>
  <c r="Q696" i="175"/>
  <c r="W148"/>
  <c r="X274"/>
  <c r="V236"/>
  <c r="T389"/>
  <c r="H19" i="71"/>
  <c r="S32" i="152"/>
  <c r="X213" i="175"/>
  <c r="W141"/>
  <c r="L20" i="68"/>
  <c r="W21" i="64"/>
  <c r="B13"/>
  <c r="U379" i="175"/>
  <c r="X16" i="119"/>
  <c r="R196" i="175"/>
  <c r="X272"/>
  <c r="I21" i="140"/>
  <c r="R21" i="119"/>
  <c r="V397" i="175"/>
  <c r="Q24" i="69"/>
  <c r="W147" i="175"/>
  <c r="E21" i="119"/>
  <c r="R696" i="175"/>
  <c r="W22" i="119"/>
  <c r="U659" i="175"/>
  <c r="X206"/>
  <c r="E36" i="146"/>
  <c r="Q692" i="175"/>
  <c r="B35" i="147"/>
  <c r="W254" i="175"/>
  <c r="V678"/>
  <c r="U20" i="71"/>
  <c r="E37" i="161"/>
  <c r="B21" i="120"/>
  <c r="V666" i="175"/>
  <c r="W175"/>
  <c r="B21" i="140"/>
  <c r="T42" i="175"/>
  <c r="R39"/>
  <c r="X212"/>
  <c r="S19" i="68"/>
  <c r="Q694" i="175"/>
  <c r="K20" i="68"/>
  <c r="V386" i="175"/>
  <c r="T199"/>
  <c r="U689"/>
  <c r="V234"/>
  <c r="V21" i="67"/>
  <c r="V676" i="175"/>
  <c r="F19" i="120"/>
  <c r="X16" i="67"/>
  <c r="W20" i="68"/>
  <c r="J20" i="71"/>
  <c r="X211" i="175"/>
  <c r="V378"/>
  <c r="T261"/>
  <c r="L21" i="120"/>
  <c r="V204" i="175"/>
  <c r="E19" i="71"/>
  <c r="E34" i="148"/>
  <c r="X264" i="175"/>
  <c r="O33" i="148"/>
  <c r="Q136" i="175"/>
  <c r="X17" i="67"/>
  <c r="X270" i="175"/>
  <c r="U21" i="120"/>
  <c r="D20" i="71"/>
  <c r="Q23" i="67"/>
  <c r="W266" i="175"/>
  <c r="X271"/>
  <c r="B37" i="161"/>
  <c r="Q688" i="175"/>
  <c r="W21" i="67"/>
  <c r="T22" i="140"/>
  <c r="V658" i="175"/>
  <c r="N20" i="71"/>
  <c r="S19" i="64"/>
  <c r="U710" i="175"/>
  <c r="X200"/>
  <c r="J21" i="140"/>
  <c r="U21" i="119"/>
  <c r="O35" i="163"/>
  <c r="F18" i="68"/>
  <c r="F19" i="67"/>
  <c r="R21" i="140"/>
  <c r="R37" i="175"/>
  <c r="W140"/>
  <c r="V668"/>
  <c r="W43"/>
  <c r="X267"/>
  <c r="P691"/>
  <c r="H37" i="161"/>
  <c r="S42" i="175"/>
  <c r="U708"/>
  <c r="W139"/>
  <c r="H35" i="147"/>
  <c r="S137" i="175"/>
  <c r="W173"/>
  <c r="Q132"/>
  <c r="J21" i="120"/>
  <c r="L21" i="64"/>
  <c r="W174" i="175"/>
  <c r="Q23" i="64"/>
  <c r="B13" i="119"/>
  <c r="W131" i="175"/>
  <c r="T21" i="120"/>
  <c r="V396" i="175"/>
  <c r="V399"/>
  <c r="S665"/>
  <c r="E33" i="152"/>
  <c r="W54" i="175"/>
  <c r="R661"/>
  <c r="P693"/>
  <c r="R258"/>
  <c r="V20" i="71"/>
  <c r="R256" i="175"/>
  <c r="R198"/>
  <c r="X275"/>
  <c r="S135"/>
  <c r="Q22" i="119"/>
  <c r="S21" i="120"/>
  <c r="F18" i="119"/>
  <c r="C21" i="120"/>
  <c r="P21" i="67"/>
  <c r="W20" i="71"/>
  <c r="N21" i="67"/>
  <c r="M22" i="119"/>
  <c r="E35" i="147"/>
  <c r="Q380" i="175"/>
  <c r="T699"/>
  <c r="V21" i="64"/>
  <c r="X17" i="120"/>
  <c r="K30" i="160"/>
  <c r="M21" i="120"/>
  <c r="G18" i="64"/>
  <c r="U697" i="175"/>
  <c r="E20" i="67"/>
  <c r="W21" i="119"/>
  <c r="S134" i="175"/>
  <c r="D21" i="140"/>
  <c r="Q22" i="120"/>
  <c r="V201" i="175"/>
  <c r="S191"/>
  <c r="H36" i="146"/>
  <c r="K21" i="67"/>
  <c r="W130" i="175"/>
  <c r="Q22" i="140"/>
  <c r="R41" i="175"/>
  <c r="H33" i="152"/>
  <c r="G18" i="140"/>
  <c r="R381" i="175"/>
  <c r="U21" i="64"/>
  <c r="V398" i="175"/>
  <c r="J21" i="64"/>
  <c r="T22" i="119"/>
  <c r="X17" i="64"/>
  <c r="S195" i="175"/>
  <c r="B12" i="68"/>
  <c r="D21" i="64"/>
  <c r="N21" i="140"/>
  <c r="X205" i="175"/>
  <c r="W55"/>
  <c r="H19" i="68"/>
  <c r="P20"/>
  <c r="T690" i="175"/>
  <c r="R38"/>
  <c r="N21" i="120"/>
  <c r="I21" i="67"/>
  <c r="S31" i="160"/>
  <c r="U389" i="175"/>
  <c r="O31" i="160"/>
  <c r="P21" i="140"/>
  <c r="S33" i="148"/>
  <c r="P21" i="119"/>
  <c r="R40" i="175"/>
  <c r="S253"/>
  <c r="V36"/>
  <c r="W52"/>
  <c r="P21" i="64"/>
  <c r="P694" i="175"/>
  <c r="D21" i="119"/>
  <c r="S36" i="163"/>
  <c r="N21" i="64"/>
  <c r="P22" i="120"/>
  <c r="S700" i="175"/>
  <c r="X208"/>
  <c r="U21" i="140"/>
  <c r="V395" i="175"/>
  <c r="L21" i="67"/>
  <c r="O16" i="140"/>
  <c r="W21" i="120"/>
  <c r="I21" i="64"/>
  <c r="W265" i="175"/>
  <c r="O37" i="161"/>
  <c r="S35" i="146"/>
  <c r="R19" i="68"/>
  <c r="S19" i="67"/>
  <c r="Q664" i="175"/>
  <c r="U21" i="67"/>
  <c r="R197" i="175"/>
  <c r="X268"/>
  <c r="U706"/>
  <c r="P384"/>
  <c r="R34"/>
  <c r="K21" i="140"/>
  <c r="W49" i="175"/>
  <c r="W772" l="1"/>
  <c r="T49" i="189" s="1"/>
  <c r="S49"/>
  <c r="AV626" i="175"/>
  <c r="W36" i="190"/>
  <c r="AW36" s="1"/>
  <c r="Z473" i="175"/>
  <c r="AZ442"/>
  <c r="R15" i="189"/>
  <c r="AU15" s="1"/>
  <c r="AZ165" i="118"/>
  <c r="AZ118"/>
  <c r="V738" i="175"/>
  <c r="S15" i="189" s="1"/>
  <c r="U800" i="175"/>
  <c r="R77" i="189" s="1"/>
  <c r="AX737" i="175"/>
  <c r="AX769"/>
  <c r="AZ258" i="118"/>
  <c r="AZ23"/>
  <c r="V769" i="175"/>
  <c r="S46" i="189" s="1"/>
  <c r="S638" i="175"/>
  <c r="AX389"/>
  <c r="AX46"/>
  <c r="AR32" i="164"/>
  <c r="Q46" i="189"/>
  <c r="AU46" s="1"/>
  <c r="T800" i="175"/>
  <c r="Q77" i="189" s="1"/>
  <c r="AS31" i="164"/>
  <c r="BA118" i="118"/>
  <c r="BA165"/>
  <c r="T637" i="175"/>
  <c r="AX388"/>
  <c r="V737"/>
  <c r="V799" s="1"/>
  <c r="AX668"/>
  <c r="R14" i="189"/>
  <c r="AU14" s="1"/>
  <c r="BE161" i="118"/>
  <c r="BE114"/>
  <c r="BE255"/>
  <c r="BE66"/>
  <c r="BE20"/>
  <c r="P633" i="175"/>
  <c r="AV633" s="1"/>
  <c r="AV695"/>
  <c r="AV384"/>
  <c r="Q733"/>
  <c r="M10" i="189"/>
  <c r="AS10" s="1"/>
  <c r="P795" i="175"/>
  <c r="M72" i="189" s="1"/>
  <c r="AS72" s="1"/>
  <c r="Q788" i="175"/>
  <c r="N65" i="189" s="1"/>
  <c r="AJ29" i="160"/>
  <c r="AR29" s="1"/>
  <c r="M65" i="189"/>
  <c r="AS65" s="1"/>
  <c r="BL67" i="118"/>
  <c r="BL20"/>
  <c r="BL255"/>
  <c r="R726" i="175"/>
  <c r="O3" i="189" s="1"/>
  <c r="AA30" i="152"/>
  <c r="AJ30"/>
  <c r="AV792" i="175"/>
  <c r="O11" i="189"/>
  <c r="BH67" i="118"/>
  <c r="S734" i="175"/>
  <c r="P11" i="189" s="1"/>
  <c r="BD68" i="118"/>
  <c r="R730" i="175"/>
  <c r="O7" i="189" s="1"/>
  <c r="Q634" i="175"/>
  <c r="Q729"/>
  <c r="Q791" s="1"/>
  <c r="N68" i="189" s="1"/>
  <c r="BI66" i="118"/>
  <c r="BD256"/>
  <c r="AB21" i="72"/>
  <c r="BD21" i="118"/>
  <c r="BH20"/>
  <c r="BH255"/>
  <c r="Q20" i="72"/>
  <c r="N31" i="152"/>
  <c r="N33" i="147"/>
  <c r="D32" i="152"/>
  <c r="X32" s="1"/>
  <c r="N32" i="148"/>
  <c r="N30" i="160"/>
  <c r="M6" i="189"/>
  <c r="AS6" s="1"/>
  <c r="AB31" i="152"/>
  <c r="AB33" i="147"/>
  <c r="AJ33" s="1"/>
  <c r="C33"/>
  <c r="D34"/>
  <c r="X34" s="1"/>
  <c r="D33" i="148"/>
  <c r="X33" s="1"/>
  <c r="C32"/>
  <c r="AB32"/>
  <c r="AJ32" s="1"/>
  <c r="AB30" i="160"/>
  <c r="C30"/>
  <c r="D31"/>
  <c r="X31" s="1"/>
  <c r="Q792" i="175"/>
  <c r="N69" i="189" s="1"/>
  <c r="P791" i="175"/>
  <c r="M68" i="189" s="1"/>
  <c r="AS68" s="1"/>
  <c r="AS29" i="148"/>
  <c r="AY165" i="118"/>
  <c r="AY118"/>
  <c r="AZ72"/>
  <c r="R13" i="189"/>
  <c r="AU13" s="1"/>
  <c r="BA72" i="118"/>
  <c r="U798" i="175"/>
  <c r="R75" i="189" s="1"/>
  <c r="AU75" s="1"/>
  <c r="BH256" i="118"/>
  <c r="BH115"/>
  <c r="BH162"/>
  <c r="BH21"/>
  <c r="Q630" i="175"/>
  <c r="AS30" i="148"/>
  <c r="AX807" i="175"/>
  <c r="AX252"/>
  <c r="AT119" i="118"/>
  <c r="AT166"/>
  <c r="AR72"/>
  <c r="AT73"/>
  <c r="AR260"/>
  <c r="AS25"/>
  <c r="BD22"/>
  <c r="AQ260"/>
  <c r="BI255"/>
  <c r="AQ73"/>
  <c r="AS73"/>
  <c r="AS166"/>
  <c r="AS119"/>
  <c r="BI161"/>
  <c r="BI114"/>
  <c r="AP260"/>
  <c r="AT260"/>
  <c r="AS72"/>
  <c r="BB72"/>
  <c r="AQ25"/>
  <c r="BD116"/>
  <c r="BD163"/>
  <c r="BI20"/>
  <c r="AQ166"/>
  <c r="AQ119"/>
  <c r="AW72"/>
  <c r="AR25"/>
  <c r="AS260"/>
  <c r="BD257"/>
  <c r="AP119"/>
  <c r="AP166"/>
  <c r="BB118"/>
  <c r="BB165"/>
  <c r="BK119"/>
  <c r="BK166"/>
  <c r="AT72"/>
  <c r="AP25"/>
  <c r="AT25"/>
  <c r="AR119"/>
  <c r="AR166"/>
  <c r="AU166"/>
  <c r="AU119"/>
  <c r="U645" i="175"/>
  <c r="AX645" s="1"/>
  <c r="AX707"/>
  <c r="W746"/>
  <c r="T636"/>
  <c r="V736"/>
  <c r="V798" s="1"/>
  <c r="W745"/>
  <c r="U647"/>
  <c r="AX647" s="1"/>
  <c r="AX709"/>
  <c r="O190"/>
  <c r="R634"/>
  <c r="W744"/>
  <c r="U648"/>
  <c r="AX648" s="1"/>
  <c r="AX710"/>
  <c r="P629"/>
  <c r="AV629" s="1"/>
  <c r="AV691"/>
  <c r="AX387"/>
  <c r="U644"/>
  <c r="AX644" s="1"/>
  <c r="AX706"/>
  <c r="U646"/>
  <c r="AX646" s="1"/>
  <c r="AX708"/>
  <c r="W748"/>
  <c r="W747"/>
  <c r="V252"/>
  <c r="AJ27" i="143"/>
  <c r="R86" i="189"/>
  <c r="AU86" s="1"/>
  <c r="AX809" i="175"/>
  <c r="S22" i="189"/>
  <c r="V807" i="175"/>
  <c r="AU87" i="189"/>
  <c r="AJ35" i="159"/>
  <c r="S24" i="189"/>
  <c r="V809" i="175"/>
  <c r="V806"/>
  <c r="S21" i="189"/>
  <c r="AJ35" i="158"/>
  <c r="AJ34" i="164"/>
  <c r="AS25" i="143"/>
  <c r="S25" i="189"/>
  <c r="V810" i="175"/>
  <c r="V808"/>
  <c r="S23" i="189"/>
  <c r="AS32" i="163"/>
  <c r="AU84" i="189"/>
  <c r="AX808" i="175"/>
  <c r="AX806"/>
  <c r="AX810"/>
  <c r="K31" i="49"/>
  <c r="AD113" i="118"/>
  <c r="AG17" i="72"/>
  <c r="N28" i="143"/>
  <c r="X28"/>
  <c r="AC28"/>
  <c r="AA27"/>
  <c r="M29"/>
  <c r="L29" s="1"/>
  <c r="AR26"/>
  <c r="AS34" i="56"/>
  <c r="AV793" i="175"/>
  <c r="AS33" i="159"/>
  <c r="AG262" i="118"/>
  <c r="AG167"/>
  <c r="AG120"/>
  <c r="AG27"/>
  <c r="AG73"/>
  <c r="AD160"/>
  <c r="AR33" i="149"/>
  <c r="BG255" i="118"/>
  <c r="BL256"/>
  <c r="BG114"/>
  <c r="BG161"/>
  <c r="BL115"/>
  <c r="BL162"/>
  <c r="BG20"/>
  <c r="BL21"/>
  <c r="BG68"/>
  <c r="R731" i="175"/>
  <c r="O8" i="189" s="1"/>
  <c r="Q626" i="175"/>
  <c r="P631"/>
  <c r="AV631" s="1"/>
  <c r="AV693"/>
  <c r="N8" i="189"/>
  <c r="AS32" i="149"/>
  <c r="AJ34"/>
  <c r="AS34" i="155"/>
  <c r="AS33" i="158"/>
  <c r="AR31" i="148"/>
  <c r="AU76" i="189"/>
  <c r="AS33" i="150"/>
  <c r="AJ36" i="171"/>
  <c r="AV694" i="175"/>
  <c r="P632"/>
  <c r="O36" i="151"/>
  <c r="R36" s="1"/>
  <c r="AS28" i="160"/>
  <c r="O36" i="143"/>
  <c r="R36" s="1"/>
  <c r="S36" i="149"/>
  <c r="V36" s="1"/>
  <c r="O36" i="145"/>
  <c r="R36" s="1"/>
  <c r="O36" i="168"/>
  <c r="R36" s="1"/>
  <c r="V23" i="72"/>
  <c r="O36" i="154"/>
  <c r="R36" s="1"/>
  <c r="O36" i="153"/>
  <c r="R36" s="1"/>
  <c r="S36" i="56"/>
  <c r="V36" s="1"/>
  <c r="O36"/>
  <c r="R36" s="1"/>
  <c r="BD36" i="149"/>
  <c r="G36" s="1"/>
  <c r="X36" s="1"/>
  <c r="S36" i="164"/>
  <c r="V36" s="1"/>
  <c r="O36" i="144"/>
  <c r="R36" s="1"/>
  <c r="O36" i="166"/>
  <c r="R36" s="1"/>
  <c r="S36" i="150"/>
  <c r="V36" s="1"/>
  <c r="AR35" i="56"/>
  <c r="AA33" i="164"/>
  <c r="AW119" i="118"/>
  <c r="AW166"/>
  <c r="O36" i="164"/>
  <c r="R36" s="1"/>
  <c r="S36" i="151"/>
  <c r="V36" s="1"/>
  <c r="O36" i="171"/>
  <c r="R36" s="1"/>
  <c r="S36" i="167"/>
  <c r="V36" s="1"/>
  <c r="K36" i="171"/>
  <c r="N36" s="1"/>
  <c r="AU66" i="189"/>
  <c r="S36" i="143"/>
  <c r="V36" s="1"/>
  <c r="S36" i="153"/>
  <c r="V36" s="1"/>
  <c r="O36" i="158"/>
  <c r="R36" s="1"/>
  <c r="AR35" i="155"/>
  <c r="S36"/>
  <c r="V36" s="1"/>
  <c r="O36" i="167"/>
  <c r="R36" s="1"/>
  <c r="O36" i="150"/>
  <c r="R36" s="1"/>
  <c r="AX789" i="175"/>
  <c r="R283"/>
  <c r="BF114" i="118"/>
  <c r="BF161"/>
  <c r="BJ118"/>
  <c r="BJ165"/>
  <c r="BK167"/>
  <c r="BK120"/>
  <c r="BF68"/>
  <c r="AV165"/>
  <c r="AV118"/>
  <c r="V36" i="161"/>
  <c r="AC23" i="72"/>
  <c r="D37" i="163"/>
  <c r="AX659" i="175"/>
  <c r="R31" i="160"/>
  <c r="W34" i="190"/>
  <c r="AW34" s="1"/>
  <c r="Z470" i="175"/>
  <c r="Z471"/>
  <c r="W52" i="190" s="1"/>
  <c r="AW52" s="1"/>
  <c r="AZ440" i="175"/>
  <c r="AI399" i="118"/>
  <c r="Q632" i="175"/>
  <c r="U641"/>
  <c r="AX641" s="1"/>
  <c r="AX703"/>
  <c r="R32" i="152"/>
  <c r="R35" i="163"/>
  <c r="Q21" i="72"/>
  <c r="V35" i="146"/>
  <c r="AW25" i="118"/>
  <c r="AW260"/>
  <c r="Y25" i="72"/>
  <c r="AE25"/>
  <c r="R33" i="148"/>
  <c r="G33" i="152"/>
  <c r="BF255" i="118"/>
  <c r="BF20"/>
  <c r="U635" i="175"/>
  <c r="AX635" s="1"/>
  <c r="AX697"/>
  <c r="AA25" i="72"/>
  <c r="W727" i="175"/>
  <c r="J37" i="163"/>
  <c r="BC260" i="118"/>
  <c r="T25" i="72"/>
  <c r="BC25" i="118"/>
  <c r="BJ72"/>
  <c r="BC166"/>
  <c r="BC119"/>
  <c r="AX119"/>
  <c r="AX166"/>
  <c r="BC72"/>
  <c r="R221" i="175"/>
  <c r="R732"/>
  <c r="BK72" i="118"/>
  <c r="R35" i="146"/>
  <c r="R37" i="161"/>
  <c r="R34" i="147"/>
  <c r="V34"/>
  <c r="R25" i="72"/>
  <c r="Z25"/>
  <c r="BK260" i="118"/>
  <c r="X25" i="72"/>
  <c r="BK25" i="118"/>
  <c r="V32" i="152"/>
  <c r="BJ24" i="118"/>
  <c r="AD24" i="72"/>
  <c r="BJ259" i="118"/>
  <c r="N36" i="161"/>
  <c r="C36" i="146"/>
  <c r="N36"/>
  <c r="U627" i="175"/>
  <c r="AX627" s="1"/>
  <c r="AX689"/>
  <c r="N36" i="163"/>
  <c r="V728" i="175"/>
  <c r="AB22" i="72"/>
  <c r="W741" i="175"/>
  <c r="V33" i="148"/>
  <c r="J33" i="152"/>
  <c r="W27" i="72"/>
  <c r="V31" i="160"/>
  <c r="S25" i="72"/>
  <c r="AX379" i="175"/>
  <c r="G36" i="163"/>
  <c r="X36" s="1"/>
  <c r="W735" i="175"/>
  <c r="T628"/>
  <c r="V36" i="163"/>
  <c r="G37" i="158"/>
  <c r="AD37" s="1"/>
  <c r="G37" i="168"/>
  <c r="AD37" s="1"/>
  <c r="G37" i="165"/>
  <c r="AA35" i="159"/>
  <c r="AR34" i="168"/>
  <c r="D37" i="166"/>
  <c r="K37" s="1"/>
  <c r="N37" s="1"/>
  <c r="D37" i="168"/>
  <c r="K37" s="1"/>
  <c r="N37" s="1"/>
  <c r="D37" i="144"/>
  <c r="K37" s="1"/>
  <c r="J31" i="49"/>
  <c r="M30"/>
  <c r="Z30"/>
  <c r="AJ37" i="162"/>
  <c r="X36" i="159"/>
  <c r="AB36"/>
  <c r="X36" i="56"/>
  <c r="AA36" s="1"/>
  <c r="AB36"/>
  <c r="AJ36" s="1"/>
  <c r="AF36" i="161"/>
  <c r="I36"/>
  <c r="AD38" i="162"/>
  <c r="AA35" i="150"/>
  <c r="J37" i="149"/>
  <c r="AF37" s="1"/>
  <c r="J37" i="168"/>
  <c r="AF37" s="1"/>
  <c r="J37" i="144"/>
  <c r="AF37" s="1"/>
  <c r="F35" i="149"/>
  <c r="AD35"/>
  <c r="O35"/>
  <c r="R35" s="1"/>
  <c r="AA33" i="147"/>
  <c r="G37" i="171"/>
  <c r="AD37" s="1"/>
  <c r="G37" i="145"/>
  <c r="AD37" s="1"/>
  <c r="BC37" i="149"/>
  <c r="BB37"/>
  <c r="G37" i="56"/>
  <c r="AD37" s="1"/>
  <c r="AB36" i="153"/>
  <c r="X36"/>
  <c r="AB36" i="149"/>
  <c r="AS33" i="168"/>
  <c r="AJ35" i="145"/>
  <c r="X36" i="154"/>
  <c r="AB36"/>
  <c r="C33" i="13"/>
  <c r="D34"/>
  <c r="AL40" i="171"/>
  <c r="AM40" s="1"/>
  <c r="CB40" i="162"/>
  <c r="D37" i="150"/>
  <c r="C37" i="165"/>
  <c r="K37"/>
  <c r="N37" s="1"/>
  <c r="AR33" i="146"/>
  <c r="G32" i="160"/>
  <c r="F31"/>
  <c r="AD31"/>
  <c r="AM38" i="162"/>
  <c r="AJ35" i="151"/>
  <c r="J37" i="143"/>
  <c r="AF37" s="1"/>
  <c r="J37" i="166"/>
  <c r="AF37" s="1"/>
  <c r="J37" i="167"/>
  <c r="AF37" s="1"/>
  <c r="J37" i="154"/>
  <c r="AF37" s="1"/>
  <c r="AS33"/>
  <c r="AJ35" i="165"/>
  <c r="AD32" i="152"/>
  <c r="AD35" i="163"/>
  <c r="AA31" i="152"/>
  <c r="AS33" i="145"/>
  <c r="G37" i="150"/>
  <c r="AD37" s="1"/>
  <c r="AD37" i="161"/>
  <c r="F37"/>
  <c r="G37" i="154"/>
  <c r="AD37" s="1"/>
  <c r="I35" i="146"/>
  <c r="J36"/>
  <c r="AF35"/>
  <c r="AA35" i="154"/>
  <c r="AR34" i="153"/>
  <c r="BM36" i="164"/>
  <c r="BP36"/>
  <c r="BT36"/>
  <c r="AA35" i="145"/>
  <c r="AR34" i="161"/>
  <c r="G34" i="148"/>
  <c r="F33"/>
  <c r="AD33"/>
  <c r="CC39" i="162"/>
  <c r="D39" s="1"/>
  <c r="CE39"/>
  <c r="J39" s="1"/>
  <c r="CD39"/>
  <c r="G39" s="1"/>
  <c r="CG39"/>
  <c r="AL39" s="1"/>
  <c r="R80" i="189"/>
  <c r="AU80" s="1"/>
  <c r="AX803" i="175"/>
  <c r="D37" i="164"/>
  <c r="D37" i="158"/>
  <c r="D37" i="167"/>
  <c r="K37" s="1"/>
  <c r="N37" s="1"/>
  <c r="K37" i="162"/>
  <c r="N37" s="1"/>
  <c r="D37" i="154"/>
  <c r="X36" i="167"/>
  <c r="AB36"/>
  <c r="BN35" i="164"/>
  <c r="BU35" s="1"/>
  <c r="BV35" s="1"/>
  <c r="X35" s="1"/>
  <c r="AB261" i="118"/>
  <c r="X36" i="171"/>
  <c r="H33" i="51"/>
  <c r="I33" s="1"/>
  <c r="AA30" i="160"/>
  <c r="AS33" i="166"/>
  <c r="AS33" i="167"/>
  <c r="AR34" i="165"/>
  <c r="X38" i="162"/>
  <c r="AB38"/>
  <c r="AA35" i="151"/>
  <c r="AJ35" i="161"/>
  <c r="J37" i="164"/>
  <c r="AF37" s="1"/>
  <c r="J37" i="171"/>
  <c r="AF37" s="1"/>
  <c r="I37" i="165"/>
  <c r="BK37"/>
  <c r="S37"/>
  <c r="V37" s="1"/>
  <c r="J37" i="145"/>
  <c r="AF37" s="1"/>
  <c r="J37" i="159"/>
  <c r="AF37" s="1"/>
  <c r="BJ37" i="161"/>
  <c r="D37" s="1"/>
  <c r="BV37"/>
  <c r="J37" s="1"/>
  <c r="AA35" i="166"/>
  <c r="E38" i="56"/>
  <c r="AB122" i="118"/>
  <c r="E38" i="151"/>
  <c r="E38" i="154"/>
  <c r="E38" i="144"/>
  <c r="E38" i="165"/>
  <c r="E38" i="167"/>
  <c r="E38" i="162"/>
  <c r="E38" i="149"/>
  <c r="E38" i="153"/>
  <c r="F31" i="137"/>
  <c r="BC38" i="161" s="1"/>
  <c r="BP38" s="1"/>
  <c r="G38" s="1"/>
  <c r="E38" i="164"/>
  <c r="E38" i="168"/>
  <c r="E38" i="145"/>
  <c r="E38" i="166"/>
  <c r="E38" i="150"/>
  <c r="E38" i="155"/>
  <c r="E38" i="159"/>
  <c r="E38" i="158"/>
  <c r="E38" i="143"/>
  <c r="E38" i="171"/>
  <c r="BJ398" i="118"/>
  <c r="BM398"/>
  <c r="BK398"/>
  <c r="BR398"/>
  <c r="BU398"/>
  <c r="BQ398"/>
  <c r="BS398"/>
  <c r="BO398"/>
  <c r="BH398"/>
  <c r="BD398"/>
  <c r="BL398"/>
  <c r="BB398"/>
  <c r="AE398" s="1"/>
  <c r="BT398"/>
  <c r="BE398"/>
  <c r="BC398"/>
  <c r="BG398"/>
  <c r="BP398"/>
  <c r="BI398"/>
  <c r="BF398"/>
  <c r="BN398"/>
  <c r="V51" i="190"/>
  <c r="Y501" i="175"/>
  <c r="S12" i="189"/>
  <c r="V797" i="175"/>
  <c r="N9" i="189"/>
  <c r="Q794" i="175"/>
  <c r="R5" i="189"/>
  <c r="AU5" s="1"/>
  <c r="U790" i="175"/>
  <c r="R67" i="189" s="1"/>
  <c r="K36" i="153"/>
  <c r="N36" s="1"/>
  <c r="K36" i="154"/>
  <c r="N36" s="1"/>
  <c r="AS34" i="171"/>
  <c r="X35" i="149"/>
  <c r="AX799" i="175"/>
  <c r="S36" i="171"/>
  <c r="V36" s="1"/>
  <c r="BU34" i="164"/>
  <c r="BV34" s="1"/>
  <c r="X34" s="1"/>
  <c r="C37" i="162"/>
  <c r="AJ34" i="163"/>
  <c r="M71" i="189"/>
  <c r="AS71" s="1"/>
  <c r="AV794" i="175"/>
  <c r="Z36" i="171"/>
  <c r="W29" i="49"/>
  <c r="AB355" i="118"/>
  <c r="AD355" s="1"/>
  <c r="F35" i="146"/>
  <c r="AD35"/>
  <c r="G36"/>
  <c r="X35"/>
  <c r="G37" i="159"/>
  <c r="AD37" s="1"/>
  <c r="O37" i="162"/>
  <c r="R37" s="1"/>
  <c r="AB36" i="166"/>
  <c r="X36"/>
  <c r="X36" i="155"/>
  <c r="AA36" s="1"/>
  <c r="AB36"/>
  <c r="AJ36" s="1"/>
  <c r="J32" i="51"/>
  <c r="AA35" i="171" s="1"/>
  <c r="AR35" s="1"/>
  <c r="AZ32" i="51"/>
  <c r="AW32"/>
  <c r="F34" i="147"/>
  <c r="AD34"/>
  <c r="G35"/>
  <c r="AS33" i="165"/>
  <c r="D37" i="159"/>
  <c r="I34" i="147"/>
  <c r="AF34"/>
  <c r="J35"/>
  <c r="AA35" i="168"/>
  <c r="AK31" i="51"/>
  <c r="AB24" i="118"/>
  <c r="B24" i="72"/>
  <c r="D24" s="1"/>
  <c r="I24" s="1"/>
  <c r="H24" s="1"/>
  <c r="G24" s="1"/>
  <c r="F24" s="1"/>
  <c r="E24" s="1"/>
  <c r="AV31" i="51"/>
  <c r="AX31" s="1"/>
  <c r="AA35" i="153"/>
  <c r="AJ35" i="167"/>
  <c r="AA35" i="161"/>
  <c r="J37" i="153"/>
  <c r="AF37" s="1"/>
  <c r="AR34" i="145"/>
  <c r="AS33" i="151"/>
  <c r="AS33" i="153"/>
  <c r="X36" i="150"/>
  <c r="AB36"/>
  <c r="AJ36" s="1"/>
  <c r="H31" i="137"/>
  <c r="BD38" i="161" s="1"/>
  <c r="H38" i="144"/>
  <c r="H38" i="151"/>
  <c r="H38" i="166"/>
  <c r="H38" i="167"/>
  <c r="H38" i="154"/>
  <c r="H38" i="168"/>
  <c r="H38" i="153"/>
  <c r="H38" i="162"/>
  <c r="I38" s="1"/>
  <c r="H38" i="145"/>
  <c r="H38" i="165"/>
  <c r="H38" i="164"/>
  <c r="H38" i="158"/>
  <c r="H38" i="56"/>
  <c r="H38" i="149"/>
  <c r="H38" i="159"/>
  <c r="H38" i="155"/>
  <c r="H38" i="143"/>
  <c r="H38" i="150"/>
  <c r="AB169" i="118"/>
  <c r="H38" i="171"/>
  <c r="AF32" i="152"/>
  <c r="V803" i="175"/>
  <c r="S18" i="189"/>
  <c r="V789" i="175"/>
  <c r="S4" i="189"/>
  <c r="N70"/>
  <c r="AA34" i="146"/>
  <c r="BK37" i="164"/>
  <c r="BL37" s="1"/>
  <c r="G37"/>
  <c r="AD37" s="1"/>
  <c r="G37" i="144"/>
  <c r="AD37" s="1"/>
  <c r="Q67" i="189"/>
  <c r="AR34" i="151"/>
  <c r="D37" i="143"/>
  <c r="K37" s="1"/>
  <c r="D37" i="155"/>
  <c r="K37" s="1"/>
  <c r="N37" s="1"/>
  <c r="D37" i="153"/>
  <c r="AB36" i="145"/>
  <c r="X36"/>
  <c r="AJ35" i="168"/>
  <c r="AR34" i="167"/>
  <c r="AS29" i="152"/>
  <c r="AJ35" i="153"/>
  <c r="X36" i="168"/>
  <c r="AB36"/>
  <c r="AB36" i="161"/>
  <c r="C36"/>
  <c r="X36"/>
  <c r="AS33"/>
  <c r="J37" i="56"/>
  <c r="AF37" s="1"/>
  <c r="AI31" i="137"/>
  <c r="D31"/>
  <c r="AB75" i="118"/>
  <c r="B38" i="159"/>
  <c r="B38" i="149"/>
  <c r="B38" i="151"/>
  <c r="B38" i="154"/>
  <c r="B38" i="144"/>
  <c r="AM27" i="142" s="1"/>
  <c r="B38" i="167"/>
  <c r="B38" i="153"/>
  <c r="B38" i="162"/>
  <c r="B38" i="145"/>
  <c r="B38" i="155"/>
  <c r="B38" i="165"/>
  <c r="B38" i="56"/>
  <c r="B38" i="168"/>
  <c r="B38" i="166"/>
  <c r="B38" i="158"/>
  <c r="B38" i="150"/>
  <c r="B38" i="143"/>
  <c r="B38" i="164"/>
  <c r="B38" i="171"/>
  <c r="I31" i="137"/>
  <c r="J31" s="1"/>
  <c r="AB36" i="163"/>
  <c r="AA35" i="158"/>
  <c r="AJ34" i="146"/>
  <c r="G37" i="153"/>
  <c r="AD37" s="1"/>
  <c r="AA32" i="148"/>
  <c r="AS31" i="147"/>
  <c r="T31" i="49"/>
  <c r="U30"/>
  <c r="G37" i="155"/>
  <c r="AD37" s="1"/>
  <c r="G37" i="143"/>
  <c r="AD37" s="1"/>
  <c r="G37" i="166"/>
  <c r="AD37" s="1"/>
  <c r="G37" i="167"/>
  <c r="AD37" s="1"/>
  <c r="G37" i="151"/>
  <c r="AD37" s="1"/>
  <c r="AB36" i="158"/>
  <c r="X36"/>
  <c r="AJ35" i="154"/>
  <c r="AR34" i="158"/>
  <c r="AR36" i="162"/>
  <c r="AB36" i="164"/>
  <c r="AR34" i="159"/>
  <c r="C32" i="137"/>
  <c r="G32"/>
  <c r="E32"/>
  <c r="AR32" i="147"/>
  <c r="I33" i="148"/>
  <c r="J34"/>
  <c r="AF33"/>
  <c r="D37" i="171"/>
  <c r="AB37" s="1"/>
  <c r="D37" i="149"/>
  <c r="K37" s="1"/>
  <c r="N37" s="1"/>
  <c r="D37" i="56"/>
  <c r="K37" s="1"/>
  <c r="N37" s="1"/>
  <c r="D37" i="145"/>
  <c r="K37" s="1"/>
  <c r="N37" s="1"/>
  <c r="D37" i="151"/>
  <c r="K37" s="1"/>
  <c r="N37" s="1"/>
  <c r="AR34" i="154"/>
  <c r="AR34" i="150"/>
  <c r="X28" i="49"/>
  <c r="G32" i="51"/>
  <c r="AA37" i="162"/>
  <c r="J32" i="160"/>
  <c r="I31"/>
  <c r="AF31"/>
  <c r="AS35" i="162"/>
  <c r="AA35" i="167"/>
  <c r="AF38" i="162"/>
  <c r="R74" i="189"/>
  <c r="AU74" s="1"/>
  <c r="AX797" i="175"/>
  <c r="J37" i="158"/>
  <c r="AF37" s="1"/>
  <c r="J37" i="155"/>
  <c r="AF37" s="1"/>
  <c r="S37" i="162"/>
  <c r="V37" s="1"/>
  <c r="J37" i="150"/>
  <c r="AF37" s="1"/>
  <c r="J37" i="151"/>
  <c r="AF37" s="1"/>
  <c r="AR34" i="166"/>
  <c r="AD36" i="165"/>
  <c r="AJ35" i="166"/>
  <c r="X36" i="151"/>
  <c r="AC36"/>
  <c r="AS32" i="146"/>
  <c r="AF36" i="163"/>
  <c r="AR33"/>
  <c r="F37" i="162"/>
  <c r="L31" i="49"/>
  <c r="S36" i="144"/>
  <c r="V36" s="1"/>
  <c r="K36" i="56"/>
  <c r="N36" s="1"/>
  <c r="K36" i="150"/>
  <c r="N36" s="1"/>
  <c r="K36" i="149"/>
  <c r="N36" s="1"/>
  <c r="K36" i="166"/>
  <c r="N36" s="1"/>
  <c r="K36" i="155"/>
  <c r="N36" s="1"/>
  <c r="S36" i="145"/>
  <c r="V36" s="1"/>
  <c r="S36" i="159"/>
  <c r="V36" s="1"/>
  <c r="O36" i="155"/>
  <c r="R36" s="1"/>
  <c r="X35" i="163"/>
  <c r="S36" i="168"/>
  <c r="V36" s="1"/>
  <c r="S36" i="166"/>
  <c r="V36" s="1"/>
  <c r="K36" i="167"/>
  <c r="N36" s="1"/>
  <c r="S36" i="154"/>
  <c r="V36" s="1"/>
  <c r="K36" i="159"/>
  <c r="N36" s="1"/>
  <c r="K36" i="143"/>
  <c r="S36" i="158"/>
  <c r="V36" s="1"/>
  <c r="O36" i="159"/>
  <c r="R36" s="1"/>
  <c r="S34" i="148"/>
  <c r="E21" i="64"/>
  <c r="S22" i="120"/>
  <c r="X16" i="71"/>
  <c r="S37" i="175"/>
  <c r="W398"/>
  <c r="O34" i="148"/>
  <c r="P22" i="67"/>
  <c r="W675" i="175"/>
  <c r="K33" i="148"/>
  <c r="X53" i="175"/>
  <c r="H38" i="161"/>
  <c r="S661" i="175"/>
  <c r="W45"/>
  <c r="I22" i="67"/>
  <c r="U21" i="68"/>
  <c r="W22" i="64"/>
  <c r="S20"/>
  <c r="O36" i="146"/>
  <c r="Q693" i="175"/>
  <c r="K22" i="67"/>
  <c r="R377" i="175"/>
  <c r="W672"/>
  <c r="V22" i="140"/>
  <c r="S20" i="67"/>
  <c r="W22" i="140"/>
  <c r="I22" i="68"/>
  <c r="O33" i="152"/>
  <c r="N21" i="71"/>
  <c r="R660" i="175"/>
  <c r="D21" i="71"/>
  <c r="L22" i="140"/>
  <c r="X174" i="175"/>
  <c r="W397"/>
  <c r="U690"/>
  <c r="X265"/>
  <c r="D22" i="64"/>
  <c r="S194" i="175"/>
  <c r="B38" i="163"/>
  <c r="S696" i="175"/>
  <c r="B33" i="152"/>
  <c r="N22" i="64"/>
  <c r="Q23" i="140"/>
  <c r="R20" i="68"/>
  <c r="Y271" i="175"/>
  <c r="T135"/>
  <c r="J22" i="140"/>
  <c r="U22" i="119"/>
  <c r="X172" i="175"/>
  <c r="B37" i="146"/>
  <c r="X44" i="175"/>
  <c r="O15" i="68"/>
  <c r="D22" i="67"/>
  <c r="V703" i="175"/>
  <c r="X43"/>
  <c r="N22" i="119"/>
  <c r="L22" i="67"/>
  <c r="X18"/>
  <c r="W44" i="175"/>
  <c r="C22" i="120"/>
  <c r="X254" i="175"/>
  <c r="G19" i="120"/>
  <c r="K22" i="119"/>
  <c r="B14"/>
  <c r="G18"/>
  <c r="S37" i="161"/>
  <c r="V389" i="175"/>
  <c r="X262"/>
  <c r="X18" i="120"/>
  <c r="M22" i="67"/>
  <c r="N22" i="140"/>
  <c r="H22" i="119"/>
  <c r="Q695" i="175"/>
  <c r="H35" i="148"/>
  <c r="B32" i="160"/>
  <c r="Q23" i="71"/>
  <c r="B34" i="148"/>
  <c r="H36" i="147"/>
  <c r="V689" i="175"/>
  <c r="X45"/>
  <c r="V21" i="71"/>
  <c r="X138" i="175"/>
  <c r="Q24" i="64"/>
  <c r="I22" i="120"/>
  <c r="I22" i="119"/>
  <c r="L22" i="64"/>
  <c r="T23" i="119"/>
  <c r="K22" i="120"/>
  <c r="X149" i="175"/>
  <c r="X130"/>
  <c r="R22" i="64"/>
  <c r="W21" i="71"/>
  <c r="T665" i="175"/>
  <c r="S33" i="152"/>
  <c r="T134" i="175"/>
  <c r="X18" i="64"/>
  <c r="M22" i="120"/>
  <c r="S197" i="175"/>
  <c r="L21" i="68"/>
  <c r="H21" i="67"/>
  <c r="S41" i="175"/>
  <c r="U22" i="64"/>
  <c r="D21" i="68"/>
  <c r="V387" i="175"/>
  <c r="Q25" i="69"/>
  <c r="M21" i="68"/>
  <c r="Y267" i="175"/>
  <c r="R22" i="140"/>
  <c r="R132" i="175"/>
  <c r="K34" i="147"/>
  <c r="W201" i="175"/>
  <c r="V22" i="119"/>
  <c r="K31" i="160"/>
  <c r="X144" i="175"/>
  <c r="X131"/>
  <c r="V708"/>
  <c r="W193"/>
  <c r="W23" i="119"/>
  <c r="F20" i="67"/>
  <c r="R136" i="175"/>
  <c r="H22" i="140"/>
  <c r="U22" i="120"/>
  <c r="K22" i="64"/>
  <c r="S259" i="175"/>
  <c r="O17" i="67"/>
  <c r="W396" i="175"/>
  <c r="AA440"/>
  <c r="V697"/>
  <c r="X151"/>
  <c r="U261"/>
  <c r="S258"/>
  <c r="B14" i="67"/>
  <c r="W203" i="175"/>
  <c r="U699"/>
  <c r="E37" i="163"/>
  <c r="C22" i="140"/>
  <c r="Y275" i="175"/>
  <c r="W202"/>
  <c r="X263"/>
  <c r="P23" i="120"/>
  <c r="Y209" i="175"/>
  <c r="R662"/>
  <c r="R663"/>
  <c r="J22" i="120"/>
  <c r="S196" i="175"/>
  <c r="V659"/>
  <c r="U698"/>
  <c r="O38" i="161"/>
  <c r="AA442" i="175"/>
  <c r="S35" i="147"/>
  <c r="V46" i="175"/>
  <c r="W392"/>
  <c r="F20" i="120"/>
  <c r="G18" i="71"/>
  <c r="V23" i="119"/>
  <c r="U669" i="175"/>
  <c r="K22" i="140"/>
  <c r="L21" i="71"/>
  <c r="I21"/>
  <c r="S32" i="160"/>
  <c r="V22" i="64"/>
  <c r="M22" i="140"/>
  <c r="T34" i="175"/>
  <c r="X54"/>
  <c r="V388"/>
  <c r="D23" i="119"/>
  <c r="T385" i="175"/>
  <c r="S40"/>
  <c r="X147"/>
  <c r="D22" i="120"/>
  <c r="G19" i="67"/>
  <c r="V709" i="175"/>
  <c r="F19" i="71"/>
  <c r="X55" i="175"/>
  <c r="W255"/>
  <c r="V22" i="120"/>
  <c r="R21" i="67"/>
  <c r="E21"/>
  <c r="E38" i="161"/>
  <c r="T257" i="175"/>
  <c r="S39"/>
  <c r="Y212"/>
  <c r="X52"/>
  <c r="J22" i="64"/>
  <c r="Y208" i="175"/>
  <c r="T21" i="68"/>
  <c r="L22" i="120"/>
  <c r="I22" i="140"/>
  <c r="E20" i="71"/>
  <c r="B14" i="64"/>
  <c r="H38" i="163"/>
  <c r="S129" i="175"/>
  <c r="Y205"/>
  <c r="V21" i="68"/>
  <c r="X150" i="175"/>
  <c r="W22" i="67"/>
  <c r="J22"/>
  <c r="T253" i="175"/>
  <c r="V706"/>
  <c r="W666"/>
  <c r="N21" i="68"/>
  <c r="V22" i="67"/>
  <c r="P22" i="119"/>
  <c r="Q24" i="67"/>
  <c r="Q23" i="119"/>
  <c r="S22" i="140"/>
  <c r="G18" i="68"/>
  <c r="I22" i="64"/>
  <c r="T191" i="175"/>
  <c r="H33" i="160"/>
  <c r="X49" i="175"/>
  <c r="B22" i="120"/>
  <c r="X141" i="175"/>
  <c r="J23" i="119"/>
  <c r="Q384" i="175"/>
  <c r="B13" i="71"/>
  <c r="R692" i="175"/>
  <c r="E36" i="147"/>
  <c r="X18" i="140"/>
  <c r="X35" i="175"/>
  <c r="V379"/>
  <c r="Y272"/>
  <c r="Y211"/>
  <c r="O32" i="160"/>
  <c r="W22" i="120"/>
  <c r="S20" i="68"/>
  <c r="B38" i="161"/>
  <c r="X17" i="119"/>
  <c r="M22" i="64"/>
  <c r="B36" i="147"/>
  <c r="R657" i="175"/>
  <c r="H21" i="120"/>
  <c r="Y270" i="175"/>
  <c r="W678"/>
  <c r="S133"/>
  <c r="X192"/>
  <c r="D22" i="140"/>
  <c r="X140" i="175"/>
  <c r="E21" i="120"/>
  <c r="H22" i="67"/>
  <c r="R21" i="120"/>
  <c r="K21" i="71"/>
  <c r="J21" i="68"/>
  <c r="S381" i="175"/>
  <c r="H34" i="152"/>
  <c r="R22" i="119"/>
  <c r="O16" i="71"/>
  <c r="W658" i="175"/>
  <c r="U199"/>
  <c r="R382"/>
  <c r="X266"/>
  <c r="P22" i="140"/>
  <c r="S198" i="175"/>
  <c r="U23" i="119"/>
  <c r="H21" i="64"/>
  <c r="U22" i="140"/>
  <c r="P22" i="64"/>
  <c r="R383" i="175"/>
  <c r="O36" i="163"/>
  <c r="X173" i="175"/>
  <c r="U22" i="67"/>
  <c r="S21" i="64"/>
  <c r="S657" i="175"/>
  <c r="H22" i="64"/>
  <c r="E34" i="152"/>
  <c r="R21" i="64"/>
  <c r="F19" i="119"/>
  <c r="S256" i="175"/>
  <c r="P21" i="68"/>
  <c r="E21" i="140"/>
  <c r="S19" i="71"/>
  <c r="T195" i="175"/>
  <c r="O35" i="147"/>
  <c r="W386" i="175"/>
  <c r="Y206"/>
  <c r="T38"/>
  <c r="G19" i="64"/>
  <c r="T700" i="175"/>
  <c r="X56"/>
  <c r="B22" i="140"/>
  <c r="T23"/>
  <c r="Q691" i="175"/>
  <c r="R22" i="67"/>
  <c r="W21" i="68"/>
  <c r="U42" i="175"/>
  <c r="E37" i="146"/>
  <c r="Q23" i="68"/>
  <c r="W204" i="175"/>
  <c r="Y264"/>
  <c r="Y200"/>
  <c r="O17" i="140"/>
  <c r="Q23" i="120"/>
  <c r="Y274" i="175"/>
  <c r="G19" i="140"/>
  <c r="F19" i="68"/>
  <c r="O17" i="120"/>
  <c r="E22" i="119"/>
  <c r="S260" i="175"/>
  <c r="X269"/>
  <c r="W378"/>
  <c r="N22" i="67"/>
  <c r="H20" i="68"/>
  <c r="F20" i="64"/>
  <c r="Y273" i="175"/>
  <c r="W395"/>
  <c r="J21" i="71"/>
  <c r="H37" i="146"/>
  <c r="M21" i="71"/>
  <c r="W46" i="175"/>
  <c r="K32" i="152"/>
  <c r="S37" i="163"/>
  <c r="S36" i="146"/>
  <c r="F20" i="140"/>
  <c r="L22" i="119"/>
  <c r="K37" i="163"/>
  <c r="X175" i="175"/>
  <c r="T137"/>
  <c r="U21" i="71"/>
  <c r="Y268" i="175"/>
  <c r="W677"/>
  <c r="O17" i="64"/>
  <c r="V710" i="175"/>
  <c r="H23" i="119"/>
  <c r="S663" i="175"/>
  <c r="W36"/>
  <c r="P176"/>
  <c r="X17" i="71"/>
  <c r="Y213" i="175"/>
  <c r="O16" i="119"/>
  <c r="W679" i="175"/>
  <c r="K37" i="146"/>
  <c r="R664" i="175"/>
  <c r="W207"/>
  <c r="W399"/>
  <c r="X148"/>
  <c r="X139"/>
  <c r="X16" i="68"/>
  <c r="W676" i="175"/>
  <c r="E20" i="68"/>
  <c r="E33" i="160"/>
  <c r="N22" i="120"/>
  <c r="P21" i="71"/>
  <c r="Y210" i="175"/>
  <c r="K37" i="161"/>
  <c r="B13" i="68"/>
  <c r="S21" i="67"/>
  <c r="K21" i="68"/>
  <c r="V707" i="175"/>
  <c r="E35" i="148"/>
  <c r="X772" i="175" l="1"/>
  <c r="U49" i="189" s="1"/>
  <c r="X36" i="190"/>
  <c r="AA473" i="175"/>
  <c r="W54" i="190"/>
  <c r="AW54" s="1"/>
  <c r="AZ473" i="175"/>
  <c r="AZ166" i="118"/>
  <c r="AZ119"/>
  <c r="W738" i="175"/>
  <c r="T15" i="189" s="1"/>
  <c r="AS32" i="164"/>
  <c r="V800" i="175"/>
  <c r="S77" i="189" s="1"/>
  <c r="AZ260" i="118"/>
  <c r="AZ24"/>
  <c r="AZ25"/>
  <c r="AZ259"/>
  <c r="AX669" i="175"/>
  <c r="T638"/>
  <c r="AV795"/>
  <c r="AU77" i="189"/>
  <c r="AX800" i="175"/>
  <c r="R788"/>
  <c r="O65" i="189" s="1"/>
  <c r="BA119" i="118"/>
  <c r="BA166"/>
  <c r="BA25"/>
  <c r="BA260"/>
  <c r="W737" i="175"/>
  <c r="T14" i="189" s="1"/>
  <c r="AX699" i="175"/>
  <c r="U637"/>
  <c r="AX637" s="1"/>
  <c r="AR34" i="149"/>
  <c r="S14" i="189"/>
  <c r="AR30" i="152"/>
  <c r="BE115" i="118"/>
  <c r="BE162"/>
  <c r="BE67"/>
  <c r="BE21"/>
  <c r="BE256"/>
  <c r="Q633" i="175"/>
  <c r="R733"/>
  <c r="Q795"/>
  <c r="N72" i="189" s="1"/>
  <c r="N10"/>
  <c r="BL68" i="118"/>
  <c r="S726" i="175"/>
  <c r="P3" i="189" s="1"/>
  <c r="AJ31" i="152"/>
  <c r="AR31" s="1"/>
  <c r="AV791" i="175"/>
  <c r="N6" i="189"/>
  <c r="S796" i="175"/>
  <c r="P73" i="189" s="1"/>
  <c r="R792" i="175"/>
  <c r="O69" i="189" s="1"/>
  <c r="R729" i="175"/>
  <c r="R791" s="1"/>
  <c r="O68" i="189" s="1"/>
  <c r="S730" i="175"/>
  <c r="S792" s="1"/>
  <c r="P69" i="189" s="1"/>
  <c r="N34" i="147"/>
  <c r="N33" i="148"/>
  <c r="D33" i="152"/>
  <c r="X33" s="1"/>
  <c r="N32"/>
  <c r="T734" i="175"/>
  <c r="T796" s="1"/>
  <c r="BI67" i="118"/>
  <c r="BH68"/>
  <c r="BD69"/>
  <c r="N31" i="160"/>
  <c r="C34" i="147"/>
  <c r="AB34"/>
  <c r="AJ34" s="1"/>
  <c r="D35"/>
  <c r="X35" s="1"/>
  <c r="D34" i="148"/>
  <c r="X34" s="1"/>
  <c r="C33"/>
  <c r="AB33"/>
  <c r="AJ33" s="1"/>
  <c r="AB32" i="152"/>
  <c r="AB31" i="160"/>
  <c r="C31"/>
  <c r="D32"/>
  <c r="X32" s="1"/>
  <c r="AJ30"/>
  <c r="AY119" i="118"/>
  <c r="AY166"/>
  <c r="AX798" i="175"/>
  <c r="S13" i="189"/>
  <c r="BH257" i="118"/>
  <c r="BH163"/>
  <c r="BH116"/>
  <c r="BH22"/>
  <c r="R630" i="175"/>
  <c r="AR26" i="118"/>
  <c r="AR73"/>
  <c r="AQ26"/>
  <c r="AT120"/>
  <c r="AT167"/>
  <c r="AS167"/>
  <c r="AS120"/>
  <c r="AS26"/>
  <c r="BI162"/>
  <c r="BI115"/>
  <c r="BB25"/>
  <c r="AT74"/>
  <c r="AS74"/>
  <c r="AP26"/>
  <c r="BD117"/>
  <c r="BD164"/>
  <c r="AQ261"/>
  <c r="AR261"/>
  <c r="BD23"/>
  <c r="AT26"/>
  <c r="BA261"/>
  <c r="AR120"/>
  <c r="AR167"/>
  <c r="AU120"/>
  <c r="AU167"/>
  <c r="AP120"/>
  <c r="AP167"/>
  <c r="AR74"/>
  <c r="AT261"/>
  <c r="BA26"/>
  <c r="BD258"/>
  <c r="AP261"/>
  <c r="BI256"/>
  <c r="BB166"/>
  <c r="BB119"/>
  <c r="AP73"/>
  <c r="BB73"/>
  <c r="BB260"/>
  <c r="BA73"/>
  <c r="AS261"/>
  <c r="AQ120"/>
  <c r="AQ167"/>
  <c r="BI21"/>
  <c r="V645" i="175"/>
  <c r="S634"/>
  <c r="V646"/>
  <c r="AX261"/>
  <c r="V648"/>
  <c r="V644"/>
  <c r="W736"/>
  <c r="W798" s="1"/>
  <c r="T75" i="189" s="1"/>
  <c r="X747" i="175"/>
  <c r="AX42"/>
  <c r="U636"/>
  <c r="AX636" s="1"/>
  <c r="AX698"/>
  <c r="X744"/>
  <c r="V647"/>
  <c r="X745"/>
  <c r="X746"/>
  <c r="AX199"/>
  <c r="Q629"/>
  <c r="P190"/>
  <c r="AV190" s="1"/>
  <c r="AV176"/>
  <c r="X748"/>
  <c r="AS26" i="143"/>
  <c r="S83" i="189"/>
  <c r="T21"/>
  <c r="W806" i="175"/>
  <c r="T83" i="189" s="1"/>
  <c r="AJ36" i="158"/>
  <c r="S85" i="189"/>
  <c r="S86"/>
  <c r="S84"/>
  <c r="W807" i="175"/>
  <c r="T84" i="189" s="1"/>
  <c r="T22"/>
  <c r="AJ28" i="143"/>
  <c r="AR34" i="163"/>
  <c r="AJ36" i="159"/>
  <c r="S87" i="189"/>
  <c r="T24"/>
  <c r="W809" i="175"/>
  <c r="T86" i="189" s="1"/>
  <c r="T23"/>
  <c r="W808" i="175"/>
  <c r="T85" i="189" s="1"/>
  <c r="T25"/>
  <c r="W810" i="175"/>
  <c r="T87" i="189" s="1"/>
  <c r="AG18" i="72"/>
  <c r="AC29" i="143"/>
  <c r="X29"/>
  <c r="N29"/>
  <c r="AR27"/>
  <c r="AA28"/>
  <c r="AS35" i="56"/>
  <c r="AS34" i="159"/>
  <c r="AG263" i="118"/>
  <c r="AG74"/>
  <c r="AG28"/>
  <c r="AG168"/>
  <c r="AG121"/>
  <c r="AD114"/>
  <c r="AS35" i="155"/>
  <c r="AS33" i="149"/>
  <c r="AD161" i="118"/>
  <c r="BL257"/>
  <c r="BG115"/>
  <c r="BG162"/>
  <c r="BL163"/>
  <c r="BL116"/>
  <c r="BL22"/>
  <c r="BG256"/>
  <c r="BG69"/>
  <c r="BG21"/>
  <c r="Q631" i="175"/>
  <c r="S731"/>
  <c r="S793" s="1"/>
  <c r="P70" i="189" s="1"/>
  <c r="AJ35" i="149"/>
  <c r="AS29" i="160"/>
  <c r="AA31"/>
  <c r="AA32" i="152"/>
  <c r="R793" i="175"/>
  <c r="O70" i="189" s="1"/>
  <c r="O36" i="149"/>
  <c r="R36" s="1"/>
  <c r="AS34" i="158"/>
  <c r="AD36" i="149"/>
  <c r="AS34" i="150"/>
  <c r="AS31" i="148"/>
  <c r="F36" i="149"/>
  <c r="AV632" i="175"/>
  <c r="S37" i="145"/>
  <c r="V37" s="1"/>
  <c r="O37"/>
  <c r="R37" s="1"/>
  <c r="BF21" i="118"/>
  <c r="BF256"/>
  <c r="AX167"/>
  <c r="AX120"/>
  <c r="O37" i="166"/>
  <c r="R37" s="1"/>
  <c r="Q22" i="72"/>
  <c r="AX790" i="175"/>
  <c r="BC120" i="118"/>
  <c r="BC167"/>
  <c r="AW120"/>
  <c r="AW167"/>
  <c r="BQ35" i="164"/>
  <c r="BR35" s="1"/>
  <c r="AE35" s="1"/>
  <c r="AR33"/>
  <c r="AU67" i="189"/>
  <c r="L32" i="49"/>
  <c r="S37" i="155"/>
  <c r="V37" s="1"/>
  <c r="O37" i="144"/>
  <c r="R37" s="1"/>
  <c r="O37" i="154"/>
  <c r="R37" s="1"/>
  <c r="O37" i="150"/>
  <c r="R37" s="1"/>
  <c r="S37" i="154"/>
  <c r="V37" s="1"/>
  <c r="S37" i="166"/>
  <c r="V37" s="1"/>
  <c r="S37" i="144"/>
  <c r="V37" s="1"/>
  <c r="S37" i="149"/>
  <c r="V37" s="1"/>
  <c r="O37" i="158"/>
  <c r="R37" s="1"/>
  <c r="K37" i="171"/>
  <c r="N37" s="1"/>
  <c r="O37" i="167"/>
  <c r="R37" s="1"/>
  <c r="O37" i="143"/>
  <c r="R37" s="1"/>
  <c r="O37" i="153"/>
  <c r="R37" s="1"/>
  <c r="O37" i="164"/>
  <c r="R37" s="1"/>
  <c r="AR36" i="155"/>
  <c r="S37" i="159"/>
  <c r="V37" s="1"/>
  <c r="BD37" i="149"/>
  <c r="G37" s="1"/>
  <c r="O37" s="1"/>
  <c r="R37" s="1"/>
  <c r="S37" i="158"/>
  <c r="V37" s="1"/>
  <c r="S37" i="167"/>
  <c r="V37" s="1"/>
  <c r="S37" i="143"/>
  <c r="V37" s="1"/>
  <c r="S37" i="168"/>
  <c r="V37" s="1"/>
  <c r="V25" i="72"/>
  <c r="BF69" i="118"/>
  <c r="BJ166"/>
  <c r="BJ119"/>
  <c r="BF162"/>
  <c r="BF115"/>
  <c r="J38" i="163"/>
  <c r="V36" i="146"/>
  <c r="R33" i="152"/>
  <c r="BK261" i="118"/>
  <c r="X26" i="72"/>
  <c r="BK26" i="118"/>
  <c r="R36" i="146"/>
  <c r="V24" i="72"/>
  <c r="R38" i="161"/>
  <c r="R34" i="148"/>
  <c r="G34" i="152"/>
  <c r="U628" i="175"/>
  <c r="AX628" s="1"/>
  <c r="AX690"/>
  <c r="G37" i="163"/>
  <c r="V37"/>
  <c r="AE26" i="72"/>
  <c r="V35" i="147"/>
  <c r="X735" i="175"/>
  <c r="BJ25" i="118"/>
  <c r="AD25" i="72"/>
  <c r="BJ260" i="118"/>
  <c r="N37" i="161"/>
  <c r="C37" i="146"/>
  <c r="N37"/>
  <c r="W28" i="72"/>
  <c r="R32" i="160"/>
  <c r="AW26" i="118"/>
  <c r="Y26" i="72"/>
  <c r="AW261" i="118"/>
  <c r="R36" i="163"/>
  <c r="N37"/>
  <c r="S221" i="175"/>
  <c r="S732"/>
  <c r="BK73" i="118"/>
  <c r="S283" i="175"/>
  <c r="AZ73" i="118"/>
  <c r="BC73"/>
  <c r="AW73"/>
  <c r="BJ73"/>
  <c r="AV119"/>
  <c r="AV166"/>
  <c r="AB23" i="72"/>
  <c r="V32" i="160"/>
  <c r="W728" i="175"/>
  <c r="V627"/>
  <c r="R26" i="72"/>
  <c r="S26"/>
  <c r="Z26"/>
  <c r="AC24"/>
  <c r="AA26"/>
  <c r="V34" i="148"/>
  <c r="J34" i="152"/>
  <c r="V635" i="175"/>
  <c r="V641"/>
  <c r="BB261" i="118"/>
  <c r="BB26"/>
  <c r="D38" i="163"/>
  <c r="X727" i="175"/>
  <c r="R35" i="147"/>
  <c r="T26" i="72"/>
  <c r="BC261" i="118"/>
  <c r="BC26"/>
  <c r="V37" i="161"/>
  <c r="AA471" i="175"/>
  <c r="AA470"/>
  <c r="X34" i="190"/>
  <c r="AI400" i="118"/>
  <c r="X741" i="175"/>
  <c r="V33" i="152"/>
  <c r="AA35" i="164"/>
  <c r="AJ36" i="165"/>
  <c r="AR35" i="167"/>
  <c r="AI32" i="137"/>
  <c r="D32"/>
  <c r="AB76" i="118"/>
  <c r="B39" i="145"/>
  <c r="B39" i="151"/>
  <c r="B39" i="149"/>
  <c r="B39" i="150"/>
  <c r="B39" i="159"/>
  <c r="B39" i="154"/>
  <c r="B39" i="144"/>
  <c r="AM28" i="142" s="1"/>
  <c r="B39" i="153"/>
  <c r="B39" i="165"/>
  <c r="B39" i="155"/>
  <c r="B39" i="56"/>
  <c r="B39" i="167"/>
  <c r="B39" i="168"/>
  <c r="B39" i="162"/>
  <c r="C39" s="1"/>
  <c r="B39" i="166"/>
  <c r="B39" i="164"/>
  <c r="B39" i="143"/>
  <c r="B39" i="158"/>
  <c r="B39" i="171"/>
  <c r="I32" i="137"/>
  <c r="J32" s="1"/>
  <c r="AA36" i="163"/>
  <c r="D38" i="56"/>
  <c r="K38" s="1"/>
  <c r="N38" s="1"/>
  <c r="D38" i="154"/>
  <c r="X37" i="153"/>
  <c r="AB37"/>
  <c r="AR34" i="146"/>
  <c r="J38" i="149"/>
  <c r="AF38" s="1"/>
  <c r="I38" i="165"/>
  <c r="BK38"/>
  <c r="S38"/>
  <c r="V38" s="1"/>
  <c r="J38" i="168"/>
  <c r="AF38" s="1"/>
  <c r="J38" i="151"/>
  <c r="AF38" s="1"/>
  <c r="AR35" i="153"/>
  <c r="V69" i="190"/>
  <c r="F38" i="161"/>
  <c r="AD38"/>
  <c r="G38" i="151"/>
  <c r="AD38" s="1"/>
  <c r="AR35" i="166"/>
  <c r="AJ38" i="162"/>
  <c r="X39"/>
  <c r="AB39"/>
  <c r="I36" i="146"/>
  <c r="J37"/>
  <c r="AF36"/>
  <c r="AJ36" i="153"/>
  <c r="O9" i="189"/>
  <c r="R794" i="175"/>
  <c r="O71" i="189" s="1"/>
  <c r="AD33" i="152"/>
  <c r="AA35" i="163"/>
  <c r="AR32" i="148"/>
  <c r="D38" i="143"/>
  <c r="D38" i="145"/>
  <c r="K38" s="1"/>
  <c r="N38" s="1"/>
  <c r="D38" i="159"/>
  <c r="AA36" i="161"/>
  <c r="AJ36" i="145"/>
  <c r="S66" i="189"/>
  <c r="J38" i="159"/>
  <c r="AF38" s="1"/>
  <c r="J38" i="153"/>
  <c r="AF38" s="1"/>
  <c r="J38" i="166"/>
  <c r="AF38" s="1"/>
  <c r="F36" i="146"/>
  <c r="AD36"/>
  <c r="G37"/>
  <c r="X36"/>
  <c r="AA34" i="164"/>
  <c r="G38" i="150"/>
  <c r="AD38" s="1"/>
  <c r="O38" i="162"/>
  <c r="R38" s="1"/>
  <c r="AD34" i="148"/>
  <c r="F34"/>
  <c r="G35"/>
  <c r="AR35" i="165"/>
  <c r="AS33" i="146"/>
  <c r="AB37" i="150"/>
  <c r="AJ37" s="1"/>
  <c r="X37"/>
  <c r="C34" i="13"/>
  <c r="D35"/>
  <c r="AL41" i="171"/>
  <c r="AM41" s="1"/>
  <c r="CB41" i="162"/>
  <c r="AA36" i="159"/>
  <c r="M31" i="49"/>
  <c r="Z31"/>
  <c r="J32"/>
  <c r="AD37" i="165"/>
  <c r="AF37" i="163"/>
  <c r="AK32" i="51"/>
  <c r="AB25" i="118"/>
  <c r="AV32" i="51"/>
  <c r="AX32" s="1"/>
  <c r="B25" i="72"/>
  <c r="D25" s="1"/>
  <c r="I25" s="1"/>
  <c r="H25" s="1"/>
  <c r="G25" s="1"/>
  <c r="F25" s="1"/>
  <c r="E25" s="1"/>
  <c r="E39" i="56"/>
  <c r="AB123" i="118"/>
  <c r="E39" i="144"/>
  <c r="E39" i="154"/>
  <c r="E39" i="165"/>
  <c r="E39" i="167"/>
  <c r="E39" i="162"/>
  <c r="F39" s="1"/>
  <c r="E39" i="151"/>
  <c r="E39" i="166"/>
  <c r="E39" i="168"/>
  <c r="E39" i="145"/>
  <c r="E39" i="153"/>
  <c r="E39" i="149"/>
  <c r="F32" i="137"/>
  <c r="BC39" i="161" s="1"/>
  <c r="BP39" s="1"/>
  <c r="G39" s="1"/>
  <c r="E39" i="143"/>
  <c r="E39" i="158"/>
  <c r="E39" i="164"/>
  <c r="E39" i="155"/>
  <c r="E39" i="150"/>
  <c r="E39" i="159"/>
  <c r="E39" i="171"/>
  <c r="AS36" i="162"/>
  <c r="T32" i="49"/>
  <c r="U31"/>
  <c r="S75" i="189"/>
  <c r="D38" i="164"/>
  <c r="K38" s="1"/>
  <c r="N38" s="1"/>
  <c r="D38" i="166"/>
  <c r="D38" i="155"/>
  <c r="K38" s="1"/>
  <c r="N38" s="1"/>
  <c r="D38" i="167"/>
  <c r="D38" i="149"/>
  <c r="AJ36" i="168"/>
  <c r="AS34" i="167"/>
  <c r="AA36" i="145"/>
  <c r="X37" i="155"/>
  <c r="AA37" s="1"/>
  <c r="AB37"/>
  <c r="AJ37" s="1"/>
  <c r="AS34" i="151"/>
  <c r="BM37" i="164"/>
  <c r="BP37"/>
  <c r="BT37"/>
  <c r="J38" i="171"/>
  <c r="AF38" s="1"/>
  <c r="J38" i="155"/>
  <c r="AF38" s="1"/>
  <c r="J38" i="158"/>
  <c r="AF38" s="1"/>
  <c r="S38" i="162"/>
  <c r="V38" s="1"/>
  <c r="J38" i="167"/>
  <c r="AF38" s="1"/>
  <c r="BJ38" i="161"/>
  <c r="D38" s="1"/>
  <c r="BV38"/>
  <c r="J38" s="1"/>
  <c r="AR35"/>
  <c r="I35" i="147"/>
  <c r="J36"/>
  <c r="AF35"/>
  <c r="X37" i="159"/>
  <c r="AB37"/>
  <c r="AJ36" i="166"/>
  <c r="AA35" i="146"/>
  <c r="S74" i="189"/>
  <c r="G38" i="171"/>
  <c r="AD38" s="1"/>
  <c r="G38" i="155"/>
  <c r="AD38" s="1"/>
  <c r="G38" i="168"/>
  <c r="AD38" s="1"/>
  <c r="BC38" i="149"/>
  <c r="BB38"/>
  <c r="G38" i="144"/>
  <c r="AD38" s="1"/>
  <c r="G38" i="56"/>
  <c r="AD38" s="1"/>
  <c r="AB37" i="161"/>
  <c r="C37"/>
  <c r="X37"/>
  <c r="AA38" i="162"/>
  <c r="AJ36" i="167"/>
  <c r="X37" i="158"/>
  <c r="AB37"/>
  <c r="AD39" i="162"/>
  <c r="AR35" i="154"/>
  <c r="F32" i="160"/>
  <c r="G33"/>
  <c r="AD32"/>
  <c r="AA36" i="154"/>
  <c r="AA36" i="149"/>
  <c r="AR33" i="147"/>
  <c r="X37" i="171"/>
  <c r="AB262" i="118"/>
  <c r="H34" i="51"/>
  <c r="I34" s="1"/>
  <c r="AS34" i="168"/>
  <c r="AD36" i="163"/>
  <c r="T18" i="189"/>
  <c r="W803" i="175"/>
  <c r="T80" i="189" s="1"/>
  <c r="T4"/>
  <c r="W789" i="175"/>
  <c r="T66" i="189" s="1"/>
  <c r="AB37" i="163"/>
  <c r="O37" i="151"/>
  <c r="R37" s="1"/>
  <c r="S37"/>
  <c r="V37" s="1"/>
  <c r="AJ37" i="171"/>
  <c r="AJ35" i="163"/>
  <c r="AS35" i="171"/>
  <c r="S37"/>
  <c r="V37" s="1"/>
  <c r="K37" i="150"/>
  <c r="N37" s="1"/>
  <c r="O37" i="165"/>
  <c r="R37" s="1"/>
  <c r="AA33" i="148"/>
  <c r="S76" i="189"/>
  <c r="I32" i="160"/>
  <c r="J33"/>
  <c r="AF32"/>
  <c r="D38" i="150"/>
  <c r="K38" s="1"/>
  <c r="N38" s="1"/>
  <c r="K38" i="162"/>
  <c r="N38" s="1"/>
  <c r="J38" i="150"/>
  <c r="AF38" s="1"/>
  <c r="AA36"/>
  <c r="AJ35" i="146"/>
  <c r="G38" i="158"/>
  <c r="AD38" s="1"/>
  <c r="G38" i="166"/>
  <c r="AD38" s="1"/>
  <c r="G38" i="167"/>
  <c r="AD38" s="1"/>
  <c r="AZ33" i="51"/>
  <c r="J33"/>
  <c r="AA36" i="171" s="1"/>
  <c r="AR36" s="1"/>
  <c r="AW33" i="51"/>
  <c r="X37" i="154"/>
  <c r="AB37"/>
  <c r="X37" i="167"/>
  <c r="AB37"/>
  <c r="AB37" i="164"/>
  <c r="AS34" i="161"/>
  <c r="BN36" i="164"/>
  <c r="BQ36" s="1"/>
  <c r="BR36" s="1"/>
  <c r="AE36" s="1"/>
  <c r="C33" i="137"/>
  <c r="G33"/>
  <c r="E33"/>
  <c r="Z501" i="175"/>
  <c r="W69" i="190" s="1"/>
  <c r="W51"/>
  <c r="AW51" s="1"/>
  <c r="H32" i="137"/>
  <c r="BD39" i="161" s="1"/>
  <c r="H39" i="168"/>
  <c r="H39" i="153"/>
  <c r="H39" i="167"/>
  <c r="H39" i="151"/>
  <c r="H39" i="154"/>
  <c r="H39" i="166"/>
  <c r="H39" i="144"/>
  <c r="H39" i="143"/>
  <c r="H39" i="164"/>
  <c r="H39" i="145"/>
  <c r="H39" i="162"/>
  <c r="H39" i="165"/>
  <c r="H39" i="150"/>
  <c r="H39" i="171"/>
  <c r="H39" i="149"/>
  <c r="H39" i="56"/>
  <c r="H39" i="155"/>
  <c r="AB170" i="118"/>
  <c r="H39" i="159"/>
  <c r="H39" i="158"/>
  <c r="D38" i="168"/>
  <c r="D38" i="144"/>
  <c r="K38" s="1"/>
  <c r="AA36" i="168"/>
  <c r="J38" i="164"/>
  <c r="AF38" s="1"/>
  <c r="AS34" i="145"/>
  <c r="X29" i="49"/>
  <c r="G33" i="51"/>
  <c r="AA35" i="149"/>
  <c r="G38" i="143"/>
  <c r="AD38" s="1"/>
  <c r="G38" i="164"/>
  <c r="AD38" s="1"/>
  <c r="BK38"/>
  <c r="BL38" s="1"/>
  <c r="G38" i="154"/>
  <c r="AD38" s="1"/>
  <c r="AR35" i="151"/>
  <c r="AS34" i="165"/>
  <c r="AA36" i="167"/>
  <c r="AF39" i="162"/>
  <c r="AA36" i="153"/>
  <c r="AR35" i="150"/>
  <c r="X37" i="168"/>
  <c r="AB37"/>
  <c r="AA34" i="147"/>
  <c r="AS33" i="163"/>
  <c r="AA36" i="151"/>
  <c r="X37"/>
  <c r="AC37"/>
  <c r="X37" i="56"/>
  <c r="AA37" s="1"/>
  <c r="AB37"/>
  <c r="AJ37" s="1"/>
  <c r="I34" i="148"/>
  <c r="AF34"/>
  <c r="J35"/>
  <c r="AJ36" i="151"/>
  <c r="AS34" i="166"/>
  <c r="AR37" i="162"/>
  <c r="AS34" i="154"/>
  <c r="X37" i="145"/>
  <c r="AB37"/>
  <c r="AB37" i="149"/>
  <c r="AS32" i="147"/>
  <c r="AA36" i="158"/>
  <c r="Z37" i="171"/>
  <c r="W30" i="49"/>
  <c r="AB356" i="118"/>
  <c r="AD356" s="1"/>
  <c r="AR35" i="158"/>
  <c r="D38" i="171"/>
  <c r="AB38" s="1"/>
  <c r="D38" i="158"/>
  <c r="K38" s="1"/>
  <c r="N38" s="1"/>
  <c r="C38" i="165"/>
  <c r="K38"/>
  <c r="N38" s="1"/>
  <c r="D38" i="153"/>
  <c r="K38" s="1"/>
  <c r="N38" s="1"/>
  <c r="D38" i="151"/>
  <c r="K38" s="1"/>
  <c r="N38" s="1"/>
  <c r="AJ36" i="161"/>
  <c r="S80" i="189"/>
  <c r="J38" i="143"/>
  <c r="AF38" s="1"/>
  <c r="J38" i="56"/>
  <c r="AF38" s="1"/>
  <c r="J38" i="145"/>
  <c r="AF38" s="1"/>
  <c r="J38" i="154"/>
  <c r="AF38" s="1"/>
  <c r="J38" i="144"/>
  <c r="AF38" s="1"/>
  <c r="AR35" i="168"/>
  <c r="G36" i="147"/>
  <c r="F35"/>
  <c r="AD35"/>
  <c r="AA36" i="166"/>
  <c r="N71" i="189"/>
  <c r="G38" i="159"/>
  <c r="AD38" s="1"/>
  <c r="G38" i="145"/>
  <c r="AD38" s="1"/>
  <c r="G38" i="153"/>
  <c r="AD38" s="1"/>
  <c r="G38" i="165"/>
  <c r="O38" s="1"/>
  <c r="R38" s="1"/>
  <c r="I37" i="161"/>
  <c r="AF37"/>
  <c r="AM39" i="162"/>
  <c r="AR35" i="145"/>
  <c r="AS34" i="153"/>
  <c r="CC40" i="162"/>
  <c r="D40" s="1"/>
  <c r="CE40"/>
  <c r="J40" s="1"/>
  <c r="CD40"/>
  <c r="G40" s="1"/>
  <c r="CG40"/>
  <c r="AL40" s="1"/>
  <c r="AJ36" i="154"/>
  <c r="AB37" i="166"/>
  <c r="X37"/>
  <c r="AR35" i="159"/>
  <c r="T12" i="189"/>
  <c r="W797" i="175"/>
  <c r="T74" i="189" s="1"/>
  <c r="AF33" i="152"/>
  <c r="S5" i="189"/>
  <c r="V790" i="175"/>
  <c r="BR399" i="118"/>
  <c r="BM399"/>
  <c r="BJ399"/>
  <c r="BG399"/>
  <c r="BO399"/>
  <c r="BN399"/>
  <c r="BL399"/>
  <c r="BQ399"/>
  <c r="BK399"/>
  <c r="BV399"/>
  <c r="BE399"/>
  <c r="BD399"/>
  <c r="BU399"/>
  <c r="BP399"/>
  <c r="BF399"/>
  <c r="BC399"/>
  <c r="AE399" s="1"/>
  <c r="BT399"/>
  <c r="BI399"/>
  <c r="BS399"/>
  <c r="BH399"/>
  <c r="O37" i="155"/>
  <c r="R37" s="1"/>
  <c r="AZ470" i="175"/>
  <c r="K37" i="164"/>
  <c r="N37" s="1"/>
  <c r="AZ471" i="175"/>
  <c r="K32" i="49"/>
  <c r="S37" i="150"/>
  <c r="V37" s="1"/>
  <c r="S37" i="56"/>
  <c r="V37" s="1"/>
  <c r="K37" i="153"/>
  <c r="N37" s="1"/>
  <c r="S37"/>
  <c r="V37" s="1"/>
  <c r="K37" i="159"/>
  <c r="N37" s="1"/>
  <c r="O37"/>
  <c r="R37" s="1"/>
  <c r="S37" i="164"/>
  <c r="V37" s="1"/>
  <c r="C38" i="162"/>
  <c r="K37" i="154"/>
  <c r="N37" s="1"/>
  <c r="K37" i="158"/>
  <c r="N37" s="1"/>
  <c r="O37" i="56"/>
  <c r="R37" s="1"/>
  <c r="O37" i="171"/>
  <c r="R37" s="1"/>
  <c r="F38" i="162"/>
  <c r="AR36" i="56"/>
  <c r="O37" i="168"/>
  <c r="R37" s="1"/>
  <c r="Z271" i="175"/>
  <c r="F20" i="119"/>
  <c r="K38" i="163"/>
  <c r="S377" i="175"/>
  <c r="I24" i="119"/>
  <c r="Z210" i="175"/>
  <c r="M24" i="119"/>
  <c r="N23" i="67"/>
  <c r="W668" i="175"/>
  <c r="L23" i="140"/>
  <c r="O36" i="147"/>
  <c r="S38" i="161"/>
  <c r="U135" i="175"/>
  <c r="O37" i="163"/>
  <c r="X398" i="175"/>
  <c r="S664"/>
  <c r="R688"/>
  <c r="T259"/>
  <c r="X395"/>
  <c r="P22" i="71"/>
  <c r="L22" i="68"/>
  <c r="U137" i="175"/>
  <c r="T24" i="140"/>
  <c r="T661" i="175"/>
  <c r="Z213"/>
  <c r="W387"/>
  <c r="E22" i="67"/>
  <c r="X672" i="175"/>
  <c r="S23" i="120"/>
  <c r="K23" i="67"/>
  <c r="U253" i="175"/>
  <c r="X396"/>
  <c r="T256"/>
  <c r="K22" i="71"/>
  <c r="K22" i="68"/>
  <c r="Z209" i="175"/>
  <c r="T22" i="68"/>
  <c r="O16"/>
  <c r="W23" i="67"/>
  <c r="R691" i="175"/>
  <c r="E38" i="163"/>
  <c r="Q24" i="120"/>
  <c r="Z264" i="175"/>
  <c r="V22" i="68"/>
  <c r="T260" i="175"/>
  <c r="F21" i="64"/>
  <c r="H34" i="160"/>
  <c r="W234" i="175"/>
  <c r="O17" i="71"/>
  <c r="E22" i="120"/>
  <c r="G20" i="140"/>
  <c r="X658" i="175"/>
  <c r="O35" i="148"/>
  <c r="T133" i="175"/>
  <c r="G19" i="71"/>
  <c r="J22"/>
  <c r="S35" i="148"/>
  <c r="U665" i="175"/>
  <c r="W22" i="68"/>
  <c r="Y269" i="175"/>
  <c r="P22" i="68"/>
  <c r="S23" i="119"/>
  <c r="U700" i="175"/>
  <c r="X19" i="120"/>
  <c r="W708" i="175"/>
  <c r="G20" i="120"/>
  <c r="U257" i="175"/>
  <c r="T657"/>
  <c r="V42"/>
  <c r="Y263"/>
  <c r="X207"/>
  <c r="S23" i="140"/>
  <c r="B34" i="152"/>
  <c r="S34"/>
  <c r="X234" i="175"/>
  <c r="E36" i="148"/>
  <c r="X675" i="175"/>
  <c r="R22" i="120"/>
  <c r="W23" i="64"/>
  <c r="U23"/>
  <c r="Y173" i="175"/>
  <c r="X18" i="119"/>
  <c r="L23" i="64"/>
  <c r="C23" i="120"/>
  <c r="B39" i="163"/>
  <c r="W659" i="175"/>
  <c r="Y52"/>
  <c r="F21" i="120"/>
  <c r="L23"/>
  <c r="W236" i="175"/>
  <c r="S20" i="71"/>
  <c r="O37" i="146"/>
  <c r="S382" i="175"/>
  <c r="B33" i="160"/>
  <c r="K34" i="148"/>
  <c r="T39" i="175"/>
  <c r="X201"/>
  <c r="Z206"/>
  <c r="X677"/>
  <c r="Z208"/>
  <c r="W669"/>
  <c r="S692"/>
  <c r="X678"/>
  <c r="X255"/>
  <c r="Y56"/>
  <c r="K23" i="140"/>
  <c r="O18" i="67"/>
  <c r="I23"/>
  <c r="Y254" i="175"/>
  <c r="H39" i="161"/>
  <c r="J23" i="140"/>
  <c r="E22"/>
  <c r="B38" i="146"/>
  <c r="X236" i="175"/>
  <c r="K23" i="64"/>
  <c r="W667" i="175"/>
  <c r="T129"/>
  <c r="X668"/>
  <c r="X386"/>
  <c r="U38"/>
  <c r="J23" i="64"/>
  <c r="V699" i="175"/>
  <c r="Q26" i="69"/>
  <c r="Y262" i="175"/>
  <c r="K35" i="147"/>
  <c r="Z270" i="175"/>
  <c r="H35" i="152"/>
  <c r="H21" i="68"/>
  <c r="R694" i="175"/>
  <c r="R693"/>
  <c r="O18" i="64"/>
  <c r="V698" i="175"/>
  <c r="E23" i="119"/>
  <c r="X203" i="175"/>
  <c r="Y138"/>
  <c r="X676"/>
  <c r="D24" i="119"/>
  <c r="D23" i="64"/>
  <c r="R384" i="175"/>
  <c r="J23" i="67"/>
  <c r="W689" i="175"/>
  <c r="T41"/>
  <c r="Y131"/>
  <c r="B14" i="68"/>
  <c r="N23" i="140"/>
  <c r="W710" i="175"/>
  <c r="O33" i="160"/>
  <c r="M23" i="64"/>
  <c r="I23"/>
  <c r="F20" i="71"/>
  <c r="B39" i="161"/>
  <c r="Y149" i="175"/>
  <c r="X667"/>
  <c r="T194"/>
  <c r="V23" i="120"/>
  <c r="N22" i="71"/>
  <c r="N23" i="64"/>
  <c r="Z200" i="175"/>
  <c r="D23" i="67"/>
  <c r="S38" i="163"/>
  <c r="X204" i="175"/>
  <c r="X392"/>
  <c r="U22" i="68"/>
  <c r="K24" i="119"/>
  <c r="X235" i="175"/>
  <c r="Q25" i="67"/>
  <c r="T24" i="120"/>
  <c r="M23" i="140"/>
  <c r="Z273" i="175"/>
  <c r="W379"/>
  <c r="V23" i="67"/>
  <c r="W707" i="175"/>
  <c r="P23" i="140"/>
  <c r="X399" i="175"/>
  <c r="Y266"/>
  <c r="G20" i="67"/>
  <c r="W23" i="140"/>
  <c r="Z211" i="175"/>
  <c r="U23" i="67"/>
  <c r="B37" i="147"/>
  <c r="S37" i="146"/>
  <c r="M22" i="71"/>
  <c r="V22"/>
  <c r="K38" i="161"/>
  <c r="X19" i="64"/>
  <c r="Z272" i="175"/>
  <c r="Q24" i="68"/>
  <c r="E21"/>
  <c r="X19" i="140"/>
  <c r="K23" i="120"/>
  <c r="Y35" i="175"/>
  <c r="Z274"/>
  <c r="P23" i="67"/>
  <c r="N23" i="119"/>
  <c r="U23" i="120"/>
  <c r="S24" i="119"/>
  <c r="O34" i="152"/>
  <c r="R22" i="71"/>
  <c r="K33" i="152"/>
  <c r="V23" i="140"/>
  <c r="C23"/>
  <c r="M23" i="119"/>
  <c r="P23"/>
  <c r="S380" i="175"/>
  <c r="B15" i="67"/>
  <c r="T258" i="175"/>
  <c r="S33" i="160"/>
  <c r="O39" i="161"/>
  <c r="Y141" i="175"/>
  <c r="H21" i="71"/>
  <c r="T696" i="175"/>
  <c r="Y172"/>
  <c r="H39" i="163"/>
  <c r="X19" i="67"/>
  <c r="B15" i="64"/>
  <c r="V669" i="175"/>
  <c r="H23" i="140"/>
  <c r="X202" i="175"/>
  <c r="R176"/>
  <c r="U191"/>
  <c r="B23" i="120"/>
  <c r="I23" i="140"/>
  <c r="W388" i="175"/>
  <c r="T198"/>
  <c r="X193"/>
  <c r="R380"/>
  <c r="L22" i="71"/>
  <c r="W22"/>
  <c r="Z268" i="175"/>
  <c r="I23" i="119"/>
  <c r="Z275" i="175"/>
  <c r="B23" i="140"/>
  <c r="H37" i="147"/>
  <c r="Y174" i="175"/>
  <c r="X679"/>
  <c r="Y147"/>
  <c r="V199"/>
  <c r="D23" i="120"/>
  <c r="P24"/>
  <c r="W706" i="175"/>
  <c r="L23" i="119"/>
  <c r="I23" i="68"/>
  <c r="D22" i="71"/>
  <c r="E22" i="64"/>
  <c r="D22" i="68"/>
  <c r="Y144" i="175"/>
  <c r="W709"/>
  <c r="T23" i="120"/>
  <c r="T37" i="175"/>
  <c r="P23" i="64"/>
  <c r="Y55" i="175"/>
  <c r="Z267"/>
  <c r="Y139"/>
  <c r="E21" i="71"/>
  <c r="G19" i="119"/>
  <c r="X36" i="175"/>
  <c r="E37" i="147"/>
  <c r="T40" i="175"/>
  <c r="U22" i="71"/>
  <c r="Y130" i="175"/>
  <c r="K38" i="146"/>
  <c r="N22" i="68"/>
  <c r="Y175" i="175"/>
  <c r="G20" i="64"/>
  <c r="E35" i="152"/>
  <c r="X18" i="71"/>
  <c r="Y43" i="175"/>
  <c r="AB442"/>
  <c r="L23" i="67"/>
  <c r="S132" i="175"/>
  <c r="X666"/>
  <c r="R21" i="68"/>
  <c r="U34" i="175"/>
  <c r="J24" i="119"/>
  <c r="O18" i="120"/>
  <c r="E38" i="146"/>
  <c r="B35" i="148"/>
  <c r="B15" i="119"/>
  <c r="F21" i="67"/>
  <c r="U195" i="175"/>
  <c r="Q24" i="140"/>
  <c r="V690" i="175"/>
  <c r="Z212"/>
  <c r="T381"/>
  <c r="Q24" i="71"/>
  <c r="Q176" i="175"/>
  <c r="T24" i="119"/>
  <c r="W697" i="175"/>
  <c r="H23" i="120"/>
  <c r="AB440" i="175"/>
  <c r="Y54"/>
  <c r="E39" i="161"/>
  <c r="S136" i="175"/>
  <c r="W235"/>
  <c r="T197"/>
  <c r="J23" i="120"/>
  <c r="R23" i="140"/>
  <c r="Y148" i="175"/>
  <c r="D23" i="140"/>
  <c r="X397" i="175"/>
  <c r="R21" i="71"/>
  <c r="Y140" i="175"/>
  <c r="S36" i="147"/>
  <c r="M23" i="120"/>
  <c r="J22" i="68"/>
  <c r="K23" i="119"/>
  <c r="Y53" i="175"/>
  <c r="M22" i="68"/>
  <c r="U23" i="140"/>
  <c r="S694" i="175"/>
  <c r="X17" i="68"/>
  <c r="W703" i="175"/>
  <c r="S383"/>
  <c r="Y49"/>
  <c r="R23" i="119"/>
  <c r="S688" i="175"/>
  <c r="W23" i="120"/>
  <c r="M23" i="67"/>
  <c r="K32" i="160"/>
  <c r="O17" i="119"/>
  <c r="Q25" i="64"/>
  <c r="S21" i="71"/>
  <c r="V23" i="64"/>
  <c r="N23" i="120"/>
  <c r="Z205" i="175"/>
  <c r="V261"/>
  <c r="U134"/>
  <c r="Y150"/>
  <c r="T196"/>
  <c r="I22" i="71"/>
  <c r="Y265" i="175"/>
  <c r="H36" i="148"/>
  <c r="H38" i="146"/>
  <c r="F21" i="140"/>
  <c r="O18"/>
  <c r="I23" i="120"/>
  <c r="X378" i="175"/>
  <c r="Y151"/>
  <c r="S660"/>
  <c r="H22" i="120"/>
  <c r="Y192" i="175"/>
  <c r="B14" i="71"/>
  <c r="E34" i="160"/>
  <c r="F20" i="68"/>
  <c r="U385" i="175"/>
  <c r="Q24" i="119"/>
  <c r="H22" i="71"/>
  <c r="G19" i="68"/>
  <c r="S662" i="175"/>
  <c r="Y772" l="1"/>
  <c r="V49" i="189" s="1"/>
  <c r="Y36" i="190"/>
  <c r="AB473" i="175"/>
  <c r="Y54" i="190" s="1"/>
  <c r="X54"/>
  <c r="AZ167" i="118"/>
  <c r="AZ120"/>
  <c r="X738" i="175"/>
  <c r="U15" i="189" s="1"/>
  <c r="S788" i="175"/>
  <c r="P65" i="189" s="1"/>
  <c r="AZ74" i="118"/>
  <c r="X769" i="175"/>
  <c r="W769"/>
  <c r="U638"/>
  <c r="AX638" s="1"/>
  <c r="AX700"/>
  <c r="AS34" i="149"/>
  <c r="BA120" i="118"/>
  <c r="BA167"/>
  <c r="X737" i="175"/>
  <c r="X799" s="1"/>
  <c r="U76" i="189" s="1"/>
  <c r="V637" i="175"/>
  <c r="W799"/>
  <c r="T76" i="189" s="1"/>
  <c r="R626" i="175"/>
  <c r="AS30" i="152"/>
  <c r="AS31" s="1"/>
  <c r="BE257" i="118"/>
  <c r="BE163"/>
  <c r="BE116"/>
  <c r="BE22"/>
  <c r="BE68"/>
  <c r="S733" i="175"/>
  <c r="AR30" i="160"/>
  <c r="AS30" s="1"/>
  <c r="O10" i="189"/>
  <c r="R795" i="175"/>
  <c r="O72" i="189" s="1"/>
  <c r="AJ31" i="160"/>
  <c r="AR31" s="1"/>
  <c r="BL69" i="118"/>
  <c r="T726" i="175"/>
  <c r="Q3" i="189" s="1"/>
  <c r="AJ32" i="152"/>
  <c r="AR32" s="1"/>
  <c r="K33" i="49"/>
  <c r="O6" i="189"/>
  <c r="Q11"/>
  <c r="P7"/>
  <c r="S729" i="175"/>
  <c r="P6" i="189" s="1"/>
  <c r="AX137" i="175"/>
  <c r="U734"/>
  <c r="U796" s="1"/>
  <c r="R73" i="189" s="1"/>
  <c r="BD70" i="118"/>
  <c r="N35" i="147"/>
  <c r="N32" i="160"/>
  <c r="T730" i="175"/>
  <c r="Q7" i="189" s="1"/>
  <c r="BI68" i="118"/>
  <c r="BH69"/>
  <c r="N33" i="152"/>
  <c r="N34" i="148"/>
  <c r="D34" i="152"/>
  <c r="X34" s="1"/>
  <c r="C35" i="147"/>
  <c r="AB35"/>
  <c r="D36"/>
  <c r="X36" s="1"/>
  <c r="C32" i="160"/>
  <c r="D33"/>
  <c r="AB32"/>
  <c r="AB33" i="152"/>
  <c r="AB34" i="148"/>
  <c r="AJ34" s="1"/>
  <c r="C34"/>
  <c r="D35"/>
  <c r="X35" s="1"/>
  <c r="AY167" i="118"/>
  <c r="AY120"/>
  <c r="T13" i="189"/>
  <c r="BH23" i="118"/>
  <c r="BH164"/>
  <c r="BH117"/>
  <c r="BH258"/>
  <c r="AX38" i="175"/>
  <c r="S630"/>
  <c r="AX195"/>
  <c r="AX257"/>
  <c r="AS34" i="163"/>
  <c r="AP74" i="118"/>
  <c r="BD24"/>
  <c r="AP262"/>
  <c r="AS121"/>
  <c r="AS168"/>
  <c r="BB74"/>
  <c r="AS262"/>
  <c r="BD118"/>
  <c r="BD165"/>
  <c r="BD259"/>
  <c r="AR27"/>
  <c r="AS27"/>
  <c r="BB120"/>
  <c r="BB167"/>
  <c r="AT27"/>
  <c r="AP27"/>
  <c r="AQ74"/>
  <c r="AP121"/>
  <c r="AP168"/>
  <c r="AQ27"/>
  <c r="AT121"/>
  <c r="AT168"/>
  <c r="BA74"/>
  <c r="AQ75"/>
  <c r="BC74"/>
  <c r="AR262"/>
  <c r="BI22"/>
  <c r="BK168"/>
  <c r="BK121"/>
  <c r="AQ262"/>
  <c r="AR121"/>
  <c r="AR168"/>
  <c r="BI116"/>
  <c r="BI163"/>
  <c r="AT75"/>
  <c r="AU121"/>
  <c r="AU168"/>
  <c r="AT262"/>
  <c r="BI257"/>
  <c r="AQ121"/>
  <c r="AQ168"/>
  <c r="W648" i="175"/>
  <c r="W644"/>
  <c r="AZ270"/>
  <c r="AX665"/>
  <c r="AZ275"/>
  <c r="T634"/>
  <c r="W646"/>
  <c r="W645"/>
  <c r="AZ212"/>
  <c r="V636"/>
  <c r="Y746"/>
  <c r="AZ209"/>
  <c r="AZ271"/>
  <c r="Y745"/>
  <c r="AZ211"/>
  <c r="AZ208"/>
  <c r="R629"/>
  <c r="AZ273"/>
  <c r="Y747"/>
  <c r="W252"/>
  <c r="R190"/>
  <c r="AZ213"/>
  <c r="AZ272"/>
  <c r="AZ264"/>
  <c r="W647"/>
  <c r="Y744"/>
  <c r="AZ210"/>
  <c r="AZ274"/>
  <c r="AX385"/>
  <c r="X736"/>
  <c r="U13" i="189" s="1"/>
  <c r="X252" i="175"/>
  <c r="Y748"/>
  <c r="Q190"/>
  <c r="AA34" i="148"/>
  <c r="AJ37" i="158"/>
  <c r="AJ35" i="164"/>
  <c r="Q73" i="189"/>
  <c r="U25"/>
  <c r="X810" i="175"/>
  <c r="U87" i="189" s="1"/>
  <c r="AJ36" i="163"/>
  <c r="AR36" s="1"/>
  <c r="U22" i="189"/>
  <c r="X807" i="175"/>
  <c r="AJ36" i="164"/>
  <c r="AJ37" i="159"/>
  <c r="AS27" i="143"/>
  <c r="AJ29"/>
  <c r="AS33" i="164"/>
  <c r="AA35" i="147"/>
  <c r="U23" i="189"/>
  <c r="X808" i="175"/>
  <c r="U85" i="189" s="1"/>
  <c r="U21"/>
  <c r="X806" i="175"/>
  <c r="U83" i="189" s="1"/>
  <c r="U24"/>
  <c r="X809" i="175"/>
  <c r="AG19" i="72"/>
  <c r="AR28" i="143"/>
  <c r="AA29"/>
  <c r="AS36" i="56"/>
  <c r="AS35" i="159"/>
  <c r="AS36" i="155"/>
  <c r="P8" i="189"/>
  <c r="AG264" i="118"/>
  <c r="AG75"/>
  <c r="AG29"/>
  <c r="AG122"/>
  <c r="AG169"/>
  <c r="AD162"/>
  <c r="BG70"/>
  <c r="BL23"/>
  <c r="BL164"/>
  <c r="BL117"/>
  <c r="BG22"/>
  <c r="BG116"/>
  <c r="BG163"/>
  <c r="BL258"/>
  <c r="BG257"/>
  <c r="T731" i="175"/>
  <c r="T793" s="1"/>
  <c r="Q70" i="189" s="1"/>
  <c r="AX34" i="175"/>
  <c r="R631"/>
  <c r="AX191"/>
  <c r="AX134"/>
  <c r="S626"/>
  <c r="AX253"/>
  <c r="AD115" i="118"/>
  <c r="AJ36" i="149"/>
  <c r="AS35" i="158"/>
  <c r="AS35" i="150"/>
  <c r="S38" i="143"/>
  <c r="V38" s="1"/>
  <c r="O38" i="150"/>
  <c r="R38" s="1"/>
  <c r="S38" i="145"/>
  <c r="V38" s="1"/>
  <c r="S38" i="144"/>
  <c r="V38" s="1"/>
  <c r="S38" i="56"/>
  <c r="V38" s="1"/>
  <c r="AB24" i="72"/>
  <c r="O38" i="154"/>
  <c r="R38" s="1"/>
  <c r="S38" i="158"/>
  <c r="V38" s="1"/>
  <c r="AR37" i="155"/>
  <c r="BC121" i="118"/>
  <c r="BC168"/>
  <c r="BU36" i="164"/>
  <c r="BV36" s="1"/>
  <c r="X36" s="1"/>
  <c r="O38" i="171"/>
  <c r="R38" s="1"/>
  <c r="AC25" i="72"/>
  <c r="BD38" i="149"/>
  <c r="G38" s="1"/>
  <c r="O38" s="1"/>
  <c r="R38" s="1"/>
  <c r="O38" i="144"/>
  <c r="R38" s="1"/>
  <c r="O38" i="168"/>
  <c r="R38" s="1"/>
  <c r="S38" i="167"/>
  <c r="V38" s="1"/>
  <c r="O38" i="145"/>
  <c r="R38" s="1"/>
  <c r="S38" i="154"/>
  <c r="V38" s="1"/>
  <c r="S38" i="150"/>
  <c r="V38" s="1"/>
  <c r="S38" i="159"/>
  <c r="V38" s="1"/>
  <c r="AW121" i="118"/>
  <c r="AW168"/>
  <c r="AD37" i="149"/>
  <c r="X37"/>
  <c r="F37"/>
  <c r="O38" i="153"/>
  <c r="R38" s="1"/>
  <c r="O38" i="159"/>
  <c r="R38" s="1"/>
  <c r="AR37" i="56"/>
  <c r="O38" i="164"/>
  <c r="R38" s="1"/>
  <c r="O38" i="166"/>
  <c r="R38" s="1"/>
  <c r="AW69" i="190"/>
  <c r="S38" i="168"/>
  <c r="V38" s="1"/>
  <c r="T221" i="175"/>
  <c r="T732"/>
  <c r="BF116" i="118"/>
  <c r="BF163"/>
  <c r="BK74"/>
  <c r="AZ205" i="175"/>
  <c r="AZ268"/>
  <c r="AZ267"/>
  <c r="BJ120" i="118"/>
  <c r="BJ167"/>
  <c r="BC262"/>
  <c r="T27" i="72"/>
  <c r="BC27" i="118"/>
  <c r="R36" i="147"/>
  <c r="V35" i="148"/>
  <c r="J35" i="152"/>
  <c r="W641" i="175"/>
  <c r="X27" i="72"/>
  <c r="BK262" i="118"/>
  <c r="BK27"/>
  <c r="R37" i="163"/>
  <c r="Q23" i="72"/>
  <c r="AE27"/>
  <c r="R27"/>
  <c r="V36" i="147"/>
  <c r="N38" i="161"/>
  <c r="C38" i="146"/>
  <c r="N38"/>
  <c r="R37"/>
  <c r="V37"/>
  <c r="BF22" i="118"/>
  <c r="BF257"/>
  <c r="Y735" i="175"/>
  <c r="Y34" i="190"/>
  <c r="AB470" i="175"/>
  <c r="AB471"/>
  <c r="Y52" i="190" s="1"/>
  <c r="AI401" i="118"/>
  <c r="S27" i="72"/>
  <c r="V33" i="160"/>
  <c r="R33"/>
  <c r="W627" i="175"/>
  <c r="R39" i="161"/>
  <c r="R632" i="175"/>
  <c r="W635"/>
  <c r="T283"/>
  <c r="AZ206"/>
  <c r="BF70" i="118"/>
  <c r="BK122"/>
  <c r="BK169"/>
  <c r="AW74"/>
  <c r="AZ200" i="175"/>
  <c r="BA168" i="118"/>
  <c r="BA121"/>
  <c r="AX168"/>
  <c r="AX121"/>
  <c r="AV120"/>
  <c r="AV167"/>
  <c r="BJ74"/>
  <c r="X728" i="175"/>
  <c r="Z27" i="72"/>
  <c r="Y27"/>
  <c r="AW262" i="118"/>
  <c r="AW27"/>
  <c r="AX135" i="175"/>
  <c r="W29" i="72"/>
  <c r="N38" i="163"/>
  <c r="V38"/>
  <c r="G38"/>
  <c r="AA27" i="72"/>
  <c r="J39" i="163"/>
  <c r="Y741" i="175"/>
  <c r="Y727"/>
  <c r="V38" i="161"/>
  <c r="R35" i="148"/>
  <c r="G35" i="152"/>
  <c r="BJ26" i="118"/>
  <c r="AD26" i="72"/>
  <c r="BJ261" i="118"/>
  <c r="S632" i="175"/>
  <c r="V628"/>
  <c r="D39" i="163"/>
  <c r="V34" i="152"/>
  <c r="R34"/>
  <c r="AA37" i="166"/>
  <c r="AS35" i="145"/>
  <c r="G37" i="147"/>
  <c r="F36"/>
  <c r="AD36"/>
  <c r="J36" i="148"/>
  <c r="I35"/>
  <c r="AF35"/>
  <c r="AR36" i="167"/>
  <c r="J39" i="166"/>
  <c r="AF39" s="1"/>
  <c r="AS35" i="154"/>
  <c r="AA37" i="161"/>
  <c r="AR36" i="145"/>
  <c r="AB38" i="149"/>
  <c r="G39" i="159"/>
  <c r="AD39" s="1"/>
  <c r="G39" i="153"/>
  <c r="AD39" s="1"/>
  <c r="G39" i="154"/>
  <c r="AD39" s="1"/>
  <c r="Z32" i="49"/>
  <c r="M32"/>
  <c r="J33"/>
  <c r="C35" i="13"/>
  <c r="D36"/>
  <c r="AL42" i="171"/>
  <c r="AM42" s="1"/>
  <c r="CB42" i="162"/>
  <c r="X38" i="159"/>
  <c r="AB38"/>
  <c r="D39" i="56"/>
  <c r="D39" i="149"/>
  <c r="K39" s="1"/>
  <c r="N39" s="1"/>
  <c r="BP400" i="118"/>
  <c r="BV400"/>
  <c r="BD400"/>
  <c r="AE400" s="1"/>
  <c r="BU400"/>
  <c r="BL400"/>
  <c r="BQ400"/>
  <c r="BG400"/>
  <c r="BN400"/>
  <c r="BM400"/>
  <c r="BT400"/>
  <c r="BE400"/>
  <c r="BH400"/>
  <c r="BK400"/>
  <c r="BR400"/>
  <c r="BI400"/>
  <c r="BS400"/>
  <c r="BF400"/>
  <c r="BW400"/>
  <c r="BJ400"/>
  <c r="BO400"/>
  <c r="X52" i="190"/>
  <c r="S794" i="175"/>
  <c r="P9" i="189"/>
  <c r="U12"/>
  <c r="X797" i="175"/>
  <c r="U74" i="189" s="1"/>
  <c r="AD37" i="163"/>
  <c r="AA33" i="152"/>
  <c r="AF40" i="162"/>
  <c r="AA37" i="145"/>
  <c r="AR36" i="151"/>
  <c r="AA37" i="168"/>
  <c r="J39" i="159"/>
  <c r="AF39" s="1"/>
  <c r="S39" i="162"/>
  <c r="V39" s="1"/>
  <c r="J39" i="167"/>
  <c r="AF39" s="1"/>
  <c r="J37" i="147"/>
  <c r="I36"/>
  <c r="AF36"/>
  <c r="AB38" i="161"/>
  <c r="X38"/>
  <c r="C38"/>
  <c r="AB38" i="166"/>
  <c r="X38"/>
  <c r="G39" i="171"/>
  <c r="AD39" s="1"/>
  <c r="BC39" i="149"/>
  <c r="BB39"/>
  <c r="G39" i="165"/>
  <c r="O39" s="1"/>
  <c r="R39" s="1"/>
  <c r="G39" i="56"/>
  <c r="AD39" s="1"/>
  <c r="AJ37" i="165"/>
  <c r="F37" i="146"/>
  <c r="AD37"/>
  <c r="G38"/>
  <c r="X37"/>
  <c r="J38"/>
  <c r="I37"/>
  <c r="AF37"/>
  <c r="AJ37" i="153"/>
  <c r="D39" i="164"/>
  <c r="K39" s="1"/>
  <c r="N39" s="1"/>
  <c r="D39" i="153"/>
  <c r="D39" i="150"/>
  <c r="K39" s="1"/>
  <c r="N39" s="1"/>
  <c r="U18" i="189"/>
  <c r="X803" i="175"/>
  <c r="AA32" i="160"/>
  <c r="S67" i="189"/>
  <c r="AJ37" i="166"/>
  <c r="AM40" i="162"/>
  <c r="AR36" i="166"/>
  <c r="AS35" i="168"/>
  <c r="X38" i="153"/>
  <c r="AB38"/>
  <c r="X38" i="158"/>
  <c r="AB38"/>
  <c r="AR36"/>
  <c r="AS37" i="162"/>
  <c r="AJ37" i="151"/>
  <c r="AR34" i="147"/>
  <c r="AR36" i="153"/>
  <c r="BT38" i="164"/>
  <c r="BP38"/>
  <c r="BM38"/>
  <c r="J39" i="155"/>
  <c r="AF39" s="1"/>
  <c r="J39" i="150"/>
  <c r="AF39" s="1"/>
  <c r="J39" i="164"/>
  <c r="AF39" s="1"/>
  <c r="J39" i="154"/>
  <c r="AF39" s="1"/>
  <c r="J39" i="168"/>
  <c r="AF39" s="1"/>
  <c r="E40" i="56"/>
  <c r="AB124" i="118"/>
  <c r="E40" i="151"/>
  <c r="E40" i="144"/>
  <c r="E40" i="154"/>
  <c r="E40" i="165"/>
  <c r="E40" i="167"/>
  <c r="E40" i="162"/>
  <c r="F40" s="1"/>
  <c r="E40" i="149"/>
  <c r="F33" i="137"/>
  <c r="BC40" i="161" s="1"/>
  <c r="BP40" s="1"/>
  <c r="G40" s="1"/>
  <c r="E40" i="145"/>
  <c r="E40" i="153"/>
  <c r="E40" i="168"/>
  <c r="E40" i="166"/>
  <c r="E40" i="171"/>
  <c r="E40" i="159"/>
  <c r="E40" i="158"/>
  <c r="E40" i="143"/>
  <c r="E40" i="150"/>
  <c r="E40" i="155"/>
  <c r="E40" i="164"/>
  <c r="AA37" i="167"/>
  <c r="AR36" i="150"/>
  <c r="J34" i="160"/>
  <c r="I33"/>
  <c r="AF33"/>
  <c r="AS33" i="147"/>
  <c r="G34" i="160"/>
  <c r="F33"/>
  <c r="AD33"/>
  <c r="AA37" i="159"/>
  <c r="AS35" i="161"/>
  <c r="X38" i="155"/>
  <c r="AA38" s="1"/>
  <c r="AB38"/>
  <c r="AJ38" s="1"/>
  <c r="AB38" i="164"/>
  <c r="U32" i="49"/>
  <c r="T33"/>
  <c r="G39" i="150"/>
  <c r="AD39" s="1"/>
  <c r="G39" i="143"/>
  <c r="AD39" s="1"/>
  <c r="G39" i="145"/>
  <c r="AD39" s="1"/>
  <c r="O39" i="162"/>
  <c r="R39" s="1"/>
  <c r="G39" i="144"/>
  <c r="AD39" s="1"/>
  <c r="C34" i="137"/>
  <c r="G34"/>
  <c r="E34"/>
  <c r="AS35" i="165"/>
  <c r="AR34" i="164"/>
  <c r="AS32" i="148"/>
  <c r="AJ39" i="162"/>
  <c r="AS35" i="166"/>
  <c r="X38" i="56"/>
  <c r="AA38" s="1"/>
  <c r="AB38"/>
  <c r="AJ38" s="1"/>
  <c r="D39" i="158"/>
  <c r="K39" i="162"/>
  <c r="N39" s="1"/>
  <c r="D39" i="155"/>
  <c r="K39" s="1"/>
  <c r="N39" s="1"/>
  <c r="D39" i="154"/>
  <c r="K39" s="1"/>
  <c r="N39" s="1"/>
  <c r="D39" i="151"/>
  <c r="K39" s="1"/>
  <c r="N39" s="1"/>
  <c r="O38" i="56"/>
  <c r="R38" s="1"/>
  <c r="S38" i="171"/>
  <c r="V38" s="1"/>
  <c r="S38" i="166"/>
  <c r="V38" s="1"/>
  <c r="K38" i="143"/>
  <c r="O38"/>
  <c r="R38" s="1"/>
  <c r="S38" i="164"/>
  <c r="V38" s="1"/>
  <c r="AS36" i="171"/>
  <c r="O38" i="167"/>
  <c r="R38" s="1"/>
  <c r="O38" i="158"/>
  <c r="R38" s="1"/>
  <c r="O38" i="155"/>
  <c r="R38" s="1"/>
  <c r="S38"/>
  <c r="V38" s="1"/>
  <c r="K38" i="149"/>
  <c r="N38" s="1"/>
  <c r="S38"/>
  <c r="V38" s="1"/>
  <c r="X40" i="162"/>
  <c r="AB40"/>
  <c r="AR36" i="168"/>
  <c r="X38"/>
  <c r="AB38"/>
  <c r="J39" i="171"/>
  <c r="AF39" s="1"/>
  <c r="J39" i="145"/>
  <c r="AF39" s="1"/>
  <c r="J39" i="153"/>
  <c r="AF39" s="1"/>
  <c r="AJ37" i="167"/>
  <c r="AA37" i="158"/>
  <c r="BN37" i="164"/>
  <c r="BQ37" s="1"/>
  <c r="BR37" s="1"/>
  <c r="AE37" s="1"/>
  <c r="Z38" i="171"/>
  <c r="W31" i="49"/>
  <c r="AB357" i="118"/>
  <c r="AD357" s="1"/>
  <c r="G39" i="158"/>
  <c r="AD39" s="1"/>
  <c r="G39" i="151"/>
  <c r="AD39" s="1"/>
  <c r="AJ36" i="146"/>
  <c r="AS35" i="153"/>
  <c r="AA37"/>
  <c r="D39" i="171"/>
  <c r="AB39" s="1"/>
  <c r="D39" i="166"/>
  <c r="K39" s="1"/>
  <c r="N39" s="1"/>
  <c r="D39" i="144"/>
  <c r="K39" s="1"/>
  <c r="AR36" i="165"/>
  <c r="X30" i="49"/>
  <c r="G34" i="51"/>
  <c r="AK33"/>
  <c r="AB26" i="118"/>
  <c r="AV33" i="51"/>
  <c r="AX33" s="1"/>
  <c r="B26" i="72"/>
  <c r="D26" s="1"/>
  <c r="I26" s="1"/>
  <c r="H26" s="1"/>
  <c r="G26" s="1"/>
  <c r="F26" s="1"/>
  <c r="E26" s="1"/>
  <c r="J39" i="149"/>
  <c r="AF39" s="1"/>
  <c r="J39" i="144"/>
  <c r="AF39" s="1"/>
  <c r="AI33" i="137"/>
  <c r="D33"/>
  <c r="AB77" i="118"/>
  <c r="B40" i="143"/>
  <c r="B40" i="154"/>
  <c r="B40" i="153"/>
  <c r="B40" i="158"/>
  <c r="B40" i="151"/>
  <c r="B40" i="144"/>
  <c r="AM29" i="142" s="1"/>
  <c r="B40" i="168"/>
  <c r="B40" i="162"/>
  <c r="B40" i="165"/>
  <c r="B40" i="166"/>
  <c r="B40" i="145"/>
  <c r="B40" i="167"/>
  <c r="B40" i="150"/>
  <c r="B40" i="164"/>
  <c r="B40" i="149"/>
  <c r="B40" i="159"/>
  <c r="B40" i="155"/>
  <c r="B40" i="56"/>
  <c r="B40" i="171"/>
  <c r="I33" i="137"/>
  <c r="J33" s="1"/>
  <c r="AA37" i="154"/>
  <c r="AR33" i="148"/>
  <c r="AR36" i="154"/>
  <c r="AR38" i="162"/>
  <c r="AB38" i="167"/>
  <c r="X38"/>
  <c r="BK39" i="164"/>
  <c r="BL39" s="1"/>
  <c r="G39"/>
  <c r="AD39" s="1"/>
  <c r="G39" i="166"/>
  <c r="AD39" s="1"/>
  <c r="AR36" i="159"/>
  <c r="AA39" i="162"/>
  <c r="AB38" i="154"/>
  <c r="X38"/>
  <c r="D39" i="167"/>
  <c r="K39" s="1"/>
  <c r="N39" s="1"/>
  <c r="AS35"/>
  <c r="AB38" i="163"/>
  <c r="AF38"/>
  <c r="AD40" i="162"/>
  <c r="AD38" i="165"/>
  <c r="X38" i="151"/>
  <c r="AC38"/>
  <c r="AJ37" i="145"/>
  <c r="AA37" i="151"/>
  <c r="AJ37" i="168"/>
  <c r="AS35" i="151"/>
  <c r="AR35" i="149"/>
  <c r="J39" i="158"/>
  <c r="AF39" s="1"/>
  <c r="J39" i="56"/>
  <c r="AF39" s="1"/>
  <c r="BK39" i="165"/>
  <c r="I39"/>
  <c r="S39"/>
  <c r="V39" s="1"/>
  <c r="J39" i="143"/>
  <c r="AF39" s="1"/>
  <c r="J39" i="151"/>
  <c r="AF39" s="1"/>
  <c r="BJ39" i="161"/>
  <c r="D39" s="1"/>
  <c r="BV39"/>
  <c r="J39" s="1"/>
  <c r="H33" i="137"/>
  <c r="BD40" i="161" s="1"/>
  <c r="H40" i="151"/>
  <c r="H40" i="154"/>
  <c r="H40" i="166"/>
  <c r="H40" i="144"/>
  <c r="H40" i="168"/>
  <c r="H40" i="159"/>
  <c r="H40" i="149"/>
  <c r="H40" i="164"/>
  <c r="H40" i="162"/>
  <c r="H40" i="167"/>
  <c r="H40" i="153"/>
  <c r="H40" i="145"/>
  <c r="H40" i="165"/>
  <c r="H40" i="143"/>
  <c r="H40" i="56"/>
  <c r="H40" i="150"/>
  <c r="H40" i="171"/>
  <c r="H40" i="158"/>
  <c r="H40" i="155"/>
  <c r="AB171" i="118"/>
  <c r="AJ37" i="154"/>
  <c r="X38" i="150"/>
  <c r="AB38"/>
  <c r="AJ38" s="1"/>
  <c r="AZ34" i="51"/>
  <c r="J34"/>
  <c r="AA37" i="171" s="1"/>
  <c r="AR37" s="1"/>
  <c r="AW34" i="51"/>
  <c r="AJ37" i="161"/>
  <c r="AR35" i="146"/>
  <c r="AF38" i="161"/>
  <c r="I38"/>
  <c r="G39" i="155"/>
  <c r="AD39" s="1"/>
  <c r="AD39" i="161"/>
  <c r="F39"/>
  <c r="G39" i="168"/>
  <c r="AD39" s="1"/>
  <c r="G39" i="167"/>
  <c r="AD39" s="1"/>
  <c r="X38" i="171"/>
  <c r="H35" i="51"/>
  <c r="I35" s="1"/>
  <c r="AB263" i="118"/>
  <c r="CC41" i="162"/>
  <c r="D41" s="1"/>
  <c r="CE41"/>
  <c r="J41" s="1"/>
  <c r="CD41"/>
  <c r="G41" s="1"/>
  <c r="CG41"/>
  <c r="AL41" s="1"/>
  <c r="AA37" i="150"/>
  <c r="F35" i="148"/>
  <c r="G36"/>
  <c r="AD35"/>
  <c r="AA36" i="146"/>
  <c r="AR36" i="161"/>
  <c r="AB38" i="145"/>
  <c r="X38"/>
  <c r="AR35" i="163"/>
  <c r="AS34" i="146"/>
  <c r="D39" i="143"/>
  <c r="D39" i="168"/>
  <c r="K39" s="1"/>
  <c r="N39" s="1"/>
  <c r="C39" i="165"/>
  <c r="K39"/>
  <c r="N39" s="1"/>
  <c r="D39" i="159"/>
  <c r="D39" i="145"/>
  <c r="K39" s="1"/>
  <c r="N39" s="1"/>
  <c r="AA501" i="175"/>
  <c r="X51" i="190"/>
  <c r="X789" i="175"/>
  <c r="U66" i="189" s="1"/>
  <c r="U4"/>
  <c r="AF34" i="152"/>
  <c r="T5" i="189"/>
  <c r="W790" i="175"/>
  <c r="T67" i="189" s="1"/>
  <c r="AD34" i="152"/>
  <c r="AJ38" i="171"/>
  <c r="K38" i="168"/>
  <c r="N38" s="1"/>
  <c r="K38" i="159"/>
  <c r="N38" s="1"/>
  <c r="K38" i="171"/>
  <c r="N38" s="1"/>
  <c r="I39" i="162"/>
  <c r="L33" i="49"/>
  <c r="X37" i="163"/>
  <c r="K38" i="167"/>
  <c r="N38" s="1"/>
  <c r="K38" i="166"/>
  <c r="N38" s="1"/>
  <c r="S38" i="153"/>
  <c r="V38" s="1"/>
  <c r="O38" i="151"/>
  <c r="R38" s="1"/>
  <c r="AZ501" i="175"/>
  <c r="S38" i="151"/>
  <c r="V38" s="1"/>
  <c r="K38" i="154"/>
  <c r="N38" s="1"/>
  <c r="Y236" i="175"/>
  <c r="F21" i="119"/>
  <c r="S24" i="120"/>
  <c r="Z131" i="175"/>
  <c r="S37" i="147"/>
  <c r="Q25" i="119"/>
  <c r="P24" i="140"/>
  <c r="N24" i="67"/>
  <c r="R23"/>
  <c r="AA211" i="175"/>
  <c r="K24" i="140"/>
  <c r="U129" i="175"/>
  <c r="O34" i="160"/>
  <c r="M24" i="64"/>
  <c r="V39" i="175"/>
  <c r="Z269"/>
  <c r="Z140"/>
  <c r="G21" i="67"/>
  <c r="S39" i="161"/>
  <c r="H40" i="163"/>
  <c r="L24" i="120"/>
  <c r="M24" i="67"/>
  <c r="X697" i="175"/>
  <c r="S176"/>
  <c r="V24" i="64"/>
  <c r="Z130" i="175"/>
  <c r="U39"/>
  <c r="B15" i="68"/>
  <c r="T383" i="175"/>
  <c r="V135"/>
  <c r="W24" i="64"/>
  <c r="H25" i="119"/>
  <c r="X19" i="71"/>
  <c r="Q27" i="69"/>
  <c r="V134" i="175"/>
  <c r="V25" i="119"/>
  <c r="N24" i="140"/>
  <c r="Z147" i="175"/>
  <c r="H22" i="68"/>
  <c r="V34" i="175"/>
  <c r="T662"/>
  <c r="W24" i="119"/>
  <c r="W199" i="175"/>
  <c r="G20" i="119"/>
  <c r="S38" i="146"/>
  <c r="X388" i="175"/>
  <c r="T136"/>
  <c r="Z150"/>
  <c r="K35" i="148"/>
  <c r="Q26" i="67"/>
  <c r="N24" i="64"/>
  <c r="U40" i="175"/>
  <c r="V191"/>
  <c r="K39" i="161"/>
  <c r="U24" i="64"/>
  <c r="J24" i="67"/>
  <c r="I24"/>
  <c r="H23" i="64"/>
  <c r="K36" i="147"/>
  <c r="V137" i="175"/>
  <c r="AA268"/>
  <c r="Y675"/>
  <c r="T692"/>
  <c r="D24" i="64"/>
  <c r="D24" i="140"/>
  <c r="Z49" i="175"/>
  <c r="Y396"/>
  <c r="L23" i="68"/>
  <c r="H23" i="67"/>
  <c r="U661" i="175"/>
  <c r="R695"/>
  <c r="E37" i="148"/>
  <c r="Y677" i="175"/>
  <c r="S25" i="119"/>
  <c r="S695" i="175"/>
  <c r="P23" i="68"/>
  <c r="AA209" i="175"/>
  <c r="U24" i="140"/>
  <c r="T25" i="119"/>
  <c r="AA208" i="175"/>
  <c r="E36" i="152"/>
  <c r="J23" i="71"/>
  <c r="D23"/>
  <c r="L24" i="67"/>
  <c r="I24" i="64"/>
  <c r="T660" i="175"/>
  <c r="Y679"/>
  <c r="Z141"/>
  <c r="K23" i="68"/>
  <c r="Y672" i="175"/>
  <c r="AA273"/>
  <c r="V665"/>
  <c r="G21" i="140"/>
  <c r="P24" i="119"/>
  <c r="X698" i="175"/>
  <c r="Y45"/>
  <c r="AA271"/>
  <c r="U24" i="67"/>
  <c r="T23" i="68"/>
  <c r="Y378" i="175"/>
  <c r="X20" i="67"/>
  <c r="AA270" i="175"/>
  <c r="Y234"/>
  <c r="U663"/>
  <c r="U197"/>
  <c r="H35" i="160"/>
  <c r="Y207" i="175"/>
  <c r="D25" i="119"/>
  <c r="I24" i="120"/>
  <c r="X706" i="175"/>
  <c r="U381"/>
  <c r="U24" i="119"/>
  <c r="H39" i="146"/>
  <c r="Y202" i="175"/>
  <c r="N24" i="120"/>
  <c r="S24" i="140"/>
  <c r="M24"/>
  <c r="AA213" i="175"/>
  <c r="Z35"/>
  <c r="U258"/>
  <c r="Q25" i="120"/>
  <c r="Q25" i="68"/>
  <c r="Z151" i="175"/>
  <c r="V40"/>
  <c r="O19" i="140"/>
  <c r="F22" i="120"/>
  <c r="S22" i="68"/>
  <c r="B38" i="147"/>
  <c r="Y201" i="175"/>
  <c r="S21" i="68"/>
  <c r="E23" i="120"/>
  <c r="T688" i="175"/>
  <c r="N23" i="71"/>
  <c r="O18" i="119"/>
  <c r="D23" i="68"/>
  <c r="Y204" i="175"/>
  <c r="Z192"/>
  <c r="S35" i="152"/>
  <c r="J24" i="140"/>
  <c r="K39" i="146"/>
  <c r="V24" i="120"/>
  <c r="Z43" i="175"/>
  <c r="B40" i="163"/>
  <c r="M23" i="68"/>
  <c r="K24" i="67"/>
  <c r="X709" i="175"/>
  <c r="I23" i="71"/>
  <c r="Z262" i="175"/>
  <c r="P24" i="64"/>
  <c r="S34" i="160"/>
  <c r="C24" i="140"/>
  <c r="S693" i="175"/>
  <c r="J24" i="64"/>
  <c r="Z56" i="175"/>
  <c r="V24" i="119"/>
  <c r="Z53" i="175"/>
  <c r="U24" i="120"/>
  <c r="X708" i="175"/>
  <c r="T380"/>
  <c r="AA210"/>
  <c r="S39" i="163"/>
  <c r="L25" i="119"/>
  <c r="T382" i="175"/>
  <c r="V38"/>
  <c r="S22" i="64"/>
  <c r="Z266" i="175"/>
  <c r="W24" i="120"/>
  <c r="B35" i="152"/>
  <c r="Y235" i="175"/>
  <c r="G21" i="64"/>
  <c r="X20" i="140"/>
  <c r="Z172" i="175"/>
  <c r="E39" i="146"/>
  <c r="X379" i="175"/>
  <c r="B36" i="148"/>
  <c r="U198" i="175"/>
  <c r="AA200"/>
  <c r="Z54"/>
  <c r="X689"/>
  <c r="H37" i="148"/>
  <c r="K24" i="120"/>
  <c r="E22" i="71"/>
  <c r="U25" i="119"/>
  <c r="X703" i="175"/>
  <c r="P25" i="120"/>
  <c r="T664" i="175"/>
  <c r="X389"/>
  <c r="T25" i="140"/>
  <c r="S384" i="175"/>
  <c r="Z173"/>
  <c r="R22" i="68"/>
  <c r="Z55" i="175"/>
  <c r="B39" i="146"/>
  <c r="Z174" i="175"/>
  <c r="Q26" i="64"/>
  <c r="M23" i="71"/>
  <c r="I24" i="68"/>
  <c r="Y386" i="175"/>
  <c r="X19" i="119"/>
  <c r="B40" i="161"/>
  <c r="R23" i="120"/>
  <c r="U23" i="68"/>
  <c r="Y44" i="175"/>
  <c r="Z254"/>
  <c r="T132"/>
  <c r="E38" i="147"/>
  <c r="F22" i="64"/>
  <c r="U23" i="71"/>
  <c r="Z263" i="175"/>
  <c r="O38" i="163"/>
  <c r="W389" i="175"/>
  <c r="W261"/>
  <c r="G20" i="68"/>
  <c r="U196" i="175"/>
  <c r="R23" i="64"/>
  <c r="O17" i="68"/>
  <c r="H40" i="161"/>
  <c r="AA205" i="175"/>
  <c r="W25" i="119"/>
  <c r="W23" i="68"/>
  <c r="Z139" i="175"/>
  <c r="AA212"/>
  <c r="AC440"/>
  <c r="K34" i="152"/>
  <c r="Z149" i="175"/>
  <c r="W23" i="71"/>
  <c r="X46" i="175"/>
  <c r="F21" i="71"/>
  <c r="V257" i="175"/>
  <c r="C24" i="120"/>
  <c r="O35" i="152"/>
  <c r="L24" i="119"/>
  <c r="V195" i="175"/>
  <c r="U260"/>
  <c r="S691"/>
  <c r="L24" i="64"/>
  <c r="Y678" i="175"/>
  <c r="H38" i="147"/>
  <c r="O40" i="161"/>
  <c r="B24" i="120"/>
  <c r="U194" i="175"/>
  <c r="W690"/>
  <c r="E35" i="160"/>
  <c r="T663" i="175"/>
  <c r="O37" i="147"/>
  <c r="H24" i="140"/>
  <c r="X387" i="175"/>
  <c r="J23" i="68"/>
  <c r="V385" i="175"/>
  <c r="Y676"/>
  <c r="T25" i="120"/>
  <c r="I25" i="119"/>
  <c r="T377" i="175"/>
  <c r="B15" i="71"/>
  <c r="U256" i="175"/>
  <c r="G20" i="71"/>
  <c r="D24" i="120"/>
  <c r="E40" i="161"/>
  <c r="Y399" i="175"/>
  <c r="Z265"/>
  <c r="AA274"/>
  <c r="X707"/>
  <c r="V23" i="71"/>
  <c r="P24" i="67"/>
  <c r="N23" i="68"/>
  <c r="R24" i="140"/>
  <c r="H24" i="120"/>
  <c r="Z144" i="175"/>
  <c r="Y658"/>
  <c r="Y392"/>
  <c r="U696"/>
  <c r="AA275"/>
  <c r="E23" i="140"/>
  <c r="K23" i="71"/>
  <c r="H36" i="152"/>
  <c r="F22" i="67"/>
  <c r="S36" i="148"/>
  <c r="M24" i="120"/>
  <c r="Z138" i="175"/>
  <c r="AA267"/>
  <c r="U259"/>
  <c r="E39" i="163"/>
  <c r="W42" i="175"/>
  <c r="W24" i="67"/>
  <c r="J24" i="120"/>
  <c r="Q25" i="140"/>
  <c r="Y398" i="175"/>
  <c r="W699"/>
  <c r="Z175"/>
  <c r="AA264"/>
  <c r="V23" i="68"/>
  <c r="X20" i="120"/>
  <c r="L24" i="140"/>
  <c r="L23" i="71"/>
  <c r="O18"/>
  <c r="V24" i="67"/>
  <c r="E22" i="68"/>
  <c r="AA206" i="175"/>
  <c r="E23" i="67"/>
  <c r="X659" i="175"/>
  <c r="Z52"/>
  <c r="G21" i="120"/>
  <c r="U657" i="175"/>
  <c r="V253"/>
  <c r="E24" i="119"/>
  <c r="V24" i="140"/>
  <c r="K33" i="160"/>
  <c r="R24" i="119"/>
  <c r="Y255" i="175"/>
  <c r="B34" i="160"/>
  <c r="S22" i="67"/>
  <c r="I24" i="140"/>
  <c r="B24"/>
  <c r="Y193" i="175"/>
  <c r="J25" i="119"/>
  <c r="D24" i="67"/>
  <c r="Y36" i="175"/>
  <c r="O19" i="120"/>
  <c r="X18" i="68"/>
  <c r="K39" i="163"/>
  <c r="Z148" i="175"/>
  <c r="V700"/>
  <c r="W698"/>
  <c r="Y395"/>
  <c r="AC442"/>
  <c r="X20" i="64"/>
  <c r="N24" i="119"/>
  <c r="E23" i="64"/>
  <c r="Y397" i="175"/>
  <c r="P23" i="71"/>
  <c r="Q25"/>
  <c r="O38" i="146"/>
  <c r="W24" i="140"/>
  <c r="Y203" i="175"/>
  <c r="O36" i="148"/>
  <c r="H24" i="119"/>
  <c r="U133" i="175"/>
  <c r="K24" i="64"/>
  <c r="Y666" i="175"/>
  <c r="AA272"/>
  <c r="F22" i="140"/>
  <c r="X710" i="175"/>
  <c r="Z772" l="1"/>
  <c r="W49" i="189" s="1"/>
  <c r="AW49" s="1"/>
  <c r="AZ175" i="175"/>
  <c r="Z36" i="190"/>
  <c r="AC473" i="175"/>
  <c r="X800"/>
  <c r="U77" i="189" s="1"/>
  <c r="AZ121" i="118"/>
  <c r="AZ168"/>
  <c r="AZ265" i="175"/>
  <c r="Y738"/>
  <c r="V15" i="189" s="1"/>
  <c r="U14"/>
  <c r="U46"/>
  <c r="AZ261" i="118"/>
  <c r="AZ26"/>
  <c r="Y769" i="175"/>
  <c r="V46" i="189" s="1"/>
  <c r="V638" i="175"/>
  <c r="T46" i="189"/>
  <c r="W800" i="175"/>
  <c r="T77" i="189" s="1"/>
  <c r="AR35" i="164"/>
  <c r="BA262" i="118"/>
  <c r="BA27"/>
  <c r="Y737" i="175"/>
  <c r="Y799" s="1"/>
  <c r="V76" i="189" s="1"/>
  <c r="W637" i="175"/>
  <c r="BE164" i="118"/>
  <c r="BE117"/>
  <c r="BE69"/>
  <c r="AX198" i="175"/>
  <c r="AX260"/>
  <c r="S633"/>
  <c r="R633"/>
  <c r="T733"/>
  <c r="P10" i="189"/>
  <c r="S795" i="175"/>
  <c r="P72" i="189" s="1"/>
  <c r="AJ32" i="160"/>
  <c r="AR32" s="1"/>
  <c r="T788" i="175"/>
  <c r="Q65" i="189" s="1"/>
  <c r="BL70" i="118"/>
  <c r="U726" i="175"/>
  <c r="AX726" s="1"/>
  <c r="AX129"/>
  <c r="AJ33" i="152"/>
  <c r="AR33" s="1"/>
  <c r="K34" i="49"/>
  <c r="AX734" i="175"/>
  <c r="R11" i="189"/>
  <c r="AU11" s="1"/>
  <c r="T792" i="175"/>
  <c r="Q69" i="189" s="1"/>
  <c r="S791" i="175"/>
  <c r="P68" i="189" s="1"/>
  <c r="T729" i="175"/>
  <c r="T791" s="1"/>
  <c r="BH70" i="118"/>
  <c r="V734" i="175"/>
  <c r="V796" s="1"/>
  <c r="S73" i="189" s="1"/>
  <c r="N35" i="148"/>
  <c r="D35" i="152"/>
  <c r="X35" s="1"/>
  <c r="N34"/>
  <c r="U730" i="175"/>
  <c r="AX730" s="1"/>
  <c r="AX133"/>
  <c r="BD71" i="118"/>
  <c r="BI69"/>
  <c r="N33" i="160"/>
  <c r="N36" i="147"/>
  <c r="D36" i="148"/>
  <c r="X36" s="1"/>
  <c r="C35"/>
  <c r="AB35"/>
  <c r="AJ35" s="1"/>
  <c r="AB34" i="152"/>
  <c r="AB33" i="160"/>
  <c r="D34"/>
  <c r="C33"/>
  <c r="D37" i="147"/>
  <c r="X37" s="1"/>
  <c r="AB36"/>
  <c r="AJ36" s="1"/>
  <c r="C36"/>
  <c r="AJ35"/>
  <c r="X33" i="160"/>
  <c r="AY121" i="118"/>
  <c r="AY168"/>
  <c r="AZ266" i="175"/>
  <c r="AZ173"/>
  <c r="BH165" i="118"/>
  <c r="BH118"/>
  <c r="BH24"/>
  <c r="BH259"/>
  <c r="AX381" i="175"/>
  <c r="T630"/>
  <c r="AX661"/>
  <c r="AX796"/>
  <c r="BD25" i="118"/>
  <c r="BB27"/>
  <c r="BA122"/>
  <c r="BA169"/>
  <c r="AT28"/>
  <c r="AR263"/>
  <c r="BB121"/>
  <c r="BB168"/>
  <c r="BB75"/>
  <c r="AS75"/>
  <c r="BI164"/>
  <c r="BI117"/>
  <c r="BB262"/>
  <c r="AS263"/>
  <c r="AR76"/>
  <c r="BD119"/>
  <c r="BD166"/>
  <c r="AR169"/>
  <c r="AR122"/>
  <c r="AU169"/>
  <c r="AU122"/>
  <c r="AT76"/>
  <c r="AP28"/>
  <c r="AT263"/>
  <c r="AP75"/>
  <c r="AQ28"/>
  <c r="AT169"/>
  <c r="AT122"/>
  <c r="AS76"/>
  <c r="BD260"/>
  <c r="AQ263"/>
  <c r="AR75"/>
  <c r="AQ169"/>
  <c r="AQ122"/>
  <c r="AS122"/>
  <c r="AS169"/>
  <c r="BA75"/>
  <c r="AP169"/>
  <c r="AP122"/>
  <c r="AS28"/>
  <c r="AR28"/>
  <c r="AP263"/>
  <c r="Z744" i="175"/>
  <c r="AZ744" s="1"/>
  <c r="AZ147"/>
  <c r="AZ56"/>
  <c r="X644"/>
  <c r="S629"/>
  <c r="AZ52"/>
  <c r="AZ262"/>
  <c r="AZ172"/>
  <c r="AZ140"/>
  <c r="Z745"/>
  <c r="AZ148"/>
  <c r="W636"/>
  <c r="AZ192"/>
  <c r="AZ263"/>
  <c r="AZ131"/>
  <c r="AX194"/>
  <c r="AX256"/>
  <c r="Z746"/>
  <c r="AZ149"/>
  <c r="Y736"/>
  <c r="Y798" s="1"/>
  <c r="S190"/>
  <c r="AZ53"/>
  <c r="X647"/>
  <c r="X648"/>
  <c r="U634"/>
  <c r="AX634" s="1"/>
  <c r="AX696"/>
  <c r="X645"/>
  <c r="AZ55"/>
  <c r="X646"/>
  <c r="AZ54"/>
  <c r="Z747"/>
  <c r="AZ747" s="1"/>
  <c r="AZ150"/>
  <c r="Z748"/>
  <c r="AZ151"/>
  <c r="Y252"/>
  <c r="AS28" i="143"/>
  <c r="U86" i="189"/>
  <c r="U84"/>
  <c r="V25"/>
  <c r="Y810" i="175"/>
  <c r="V87" i="189" s="1"/>
  <c r="AJ37" i="163"/>
  <c r="AA36" i="164"/>
  <c r="X798" i="175"/>
  <c r="U75" i="189" s="1"/>
  <c r="AS34" i="164"/>
  <c r="AJ38" i="158"/>
  <c r="AJ38" i="159"/>
  <c r="AR34" i="148"/>
  <c r="V24" i="189"/>
  <c r="Y809" i="175"/>
  <c r="V86" i="189" s="1"/>
  <c r="AJ37" i="164"/>
  <c r="V21" i="189"/>
  <c r="Y806" i="175"/>
  <c r="Y807"/>
  <c r="V84" i="189" s="1"/>
  <c r="V22"/>
  <c r="V23"/>
  <c r="Y808" i="175"/>
  <c r="V85" i="189" s="1"/>
  <c r="M30" i="143"/>
  <c r="L30" s="1"/>
  <c r="AU73" i="189"/>
  <c r="AD116" i="118"/>
  <c r="AS37" i="56"/>
  <c r="M32" i="143"/>
  <c r="L32" s="1"/>
  <c r="AR29"/>
  <c r="AS37" i="155"/>
  <c r="AS36" i="159"/>
  <c r="AG170" i="118"/>
  <c r="AG123"/>
  <c r="AG265"/>
  <c r="AG76"/>
  <c r="AG30"/>
  <c r="Q8" i="189"/>
  <c r="AD163" i="118"/>
  <c r="BG164"/>
  <c r="BG117"/>
  <c r="BG258"/>
  <c r="BL118"/>
  <c r="BL165"/>
  <c r="BG23"/>
  <c r="BG71"/>
  <c r="BL24"/>
  <c r="BL259"/>
  <c r="S631" i="175"/>
  <c r="T626"/>
  <c r="AX196"/>
  <c r="U731"/>
  <c r="AX731" s="1"/>
  <c r="AX258"/>
  <c r="AX657"/>
  <c r="AX39"/>
  <c r="AA37" i="149"/>
  <c r="AS31" i="160"/>
  <c r="AS35" i="149"/>
  <c r="AJ37"/>
  <c r="AA34" i="152"/>
  <c r="AR36" i="149"/>
  <c r="AS36" i="150"/>
  <c r="AS36" i="158"/>
  <c r="F38" i="149"/>
  <c r="AW122" i="118"/>
  <c r="AW169"/>
  <c r="V26" i="72"/>
  <c r="AJ39" i="171"/>
  <c r="S39" i="159"/>
  <c r="V39" s="1"/>
  <c r="BG24" i="118"/>
  <c r="BG259"/>
  <c r="Q24" i="72"/>
  <c r="BF23" i="118"/>
  <c r="BF258"/>
  <c r="AX40" i="175"/>
  <c r="S39" i="167"/>
  <c r="V39" s="1"/>
  <c r="O39" i="145"/>
  <c r="R39" s="1"/>
  <c r="AD38" i="149"/>
  <c r="AS32" i="152"/>
  <c r="X38" i="149"/>
  <c r="O39" i="166"/>
  <c r="R39" s="1"/>
  <c r="O39" i="150"/>
  <c r="R39" s="1"/>
  <c r="S39" i="154"/>
  <c r="V39" s="1"/>
  <c r="S39" i="158"/>
  <c r="V39" s="1"/>
  <c r="O39" i="56"/>
  <c r="R39" s="1"/>
  <c r="BC122" i="118"/>
  <c r="BC169"/>
  <c r="S39" i="151"/>
  <c r="V39" s="1"/>
  <c r="O39"/>
  <c r="R39" s="1"/>
  <c r="S39" i="164"/>
  <c r="V39" s="1"/>
  <c r="BD39" i="149"/>
  <c r="G39" s="1"/>
  <c r="O39" s="1"/>
  <c r="R39" s="1"/>
  <c r="O39" i="171"/>
  <c r="R39" s="1"/>
  <c r="S39" i="143"/>
  <c r="V39" s="1"/>
  <c r="S39" i="149"/>
  <c r="V39" s="1"/>
  <c r="AR38" i="56"/>
  <c r="O39" i="143"/>
  <c r="R39" s="1"/>
  <c r="S39" i="155"/>
  <c r="V39" s="1"/>
  <c r="O39" i="153"/>
  <c r="R39" s="1"/>
  <c r="O39" i="144"/>
  <c r="R39" s="1"/>
  <c r="AR38" i="155"/>
  <c r="AZ254" i="175"/>
  <c r="AW75" i="118"/>
  <c r="BC75"/>
  <c r="BF117"/>
  <c r="BF164"/>
  <c r="AV168"/>
  <c r="AV121"/>
  <c r="AX169"/>
  <c r="AX122"/>
  <c r="BA76"/>
  <c r="BK123"/>
  <c r="BK170"/>
  <c r="BJ168"/>
  <c r="BJ121"/>
  <c r="BJ75"/>
  <c r="AE28" i="72"/>
  <c r="AZ139" i="175"/>
  <c r="Z28" i="72"/>
  <c r="Z727" i="175"/>
  <c r="AZ130"/>
  <c r="V36" i="148"/>
  <c r="J36" i="152"/>
  <c r="V39" i="163"/>
  <c r="R38"/>
  <c r="D40"/>
  <c r="R38" i="146"/>
  <c r="V37" i="147"/>
  <c r="V35" i="152"/>
  <c r="X627" i="175"/>
  <c r="V39" i="161"/>
  <c r="S28" i="72"/>
  <c r="W30"/>
  <c r="AB25"/>
  <c r="V34" i="160"/>
  <c r="R40" i="161"/>
  <c r="X635" i="175"/>
  <c r="BJ262" i="118"/>
  <c r="AD27" i="72"/>
  <c r="BJ27" i="118"/>
  <c r="AZ75"/>
  <c r="AW76"/>
  <c r="U283" i="175"/>
  <c r="AX283" s="1"/>
  <c r="AX259"/>
  <c r="BK75" i="118"/>
  <c r="AZ269" i="175"/>
  <c r="U221"/>
  <c r="AX221" s="1"/>
  <c r="U732"/>
  <c r="AX197"/>
  <c r="BF71" i="118"/>
  <c r="BF259"/>
  <c r="BF24"/>
  <c r="AZ174" i="175"/>
  <c r="AZ49"/>
  <c r="AW28" i="118"/>
  <c r="Y28" i="72"/>
  <c r="AW263" i="118"/>
  <c r="AC26" i="72"/>
  <c r="AX663" i="175"/>
  <c r="Y728"/>
  <c r="AZ43"/>
  <c r="BC263" i="118"/>
  <c r="T28" i="72"/>
  <c r="BC28" i="118"/>
  <c r="N39" i="161"/>
  <c r="C39" i="146"/>
  <c r="N39"/>
  <c r="X636" i="175"/>
  <c r="AZ141"/>
  <c r="AZ35"/>
  <c r="BK28" i="118"/>
  <c r="X28" i="72"/>
  <c r="BK263" i="118"/>
  <c r="R37" i="147"/>
  <c r="R35" i="152"/>
  <c r="R36" i="148"/>
  <c r="G36" i="152"/>
  <c r="J40" i="163"/>
  <c r="Z34" i="190"/>
  <c r="AC470" i="175"/>
  <c r="AC471"/>
  <c r="AI402" i="118"/>
  <c r="W628" i="175"/>
  <c r="AA28" i="72"/>
  <c r="Z741" i="175"/>
  <c r="AZ144"/>
  <c r="X641"/>
  <c r="R28" i="72"/>
  <c r="R34" i="160"/>
  <c r="V38" i="146"/>
  <c r="G39" i="163"/>
  <c r="X39" s="1"/>
  <c r="Z735" i="175"/>
  <c r="AZ138"/>
  <c r="N39" i="163"/>
  <c r="X69" i="190"/>
  <c r="X39" i="159"/>
  <c r="AB39"/>
  <c r="AA38" i="145"/>
  <c r="AR37" i="150"/>
  <c r="J40" i="155"/>
  <c r="AF40" s="1"/>
  <c r="J40" i="153"/>
  <c r="AF40" s="1"/>
  <c r="J40" i="166"/>
  <c r="AF40" s="1"/>
  <c r="AJ38" i="165"/>
  <c r="BP39" i="164"/>
  <c r="BT39"/>
  <c r="BM39"/>
  <c r="D40" i="167"/>
  <c r="D40" i="158"/>
  <c r="AR37" i="153"/>
  <c r="AJ38" i="168"/>
  <c r="H34" i="137"/>
  <c r="BD41" i="161" s="1"/>
  <c r="H41" i="167"/>
  <c r="H41" i="154"/>
  <c r="H41" i="166"/>
  <c r="H41" i="144"/>
  <c r="H41" i="165"/>
  <c r="H41" i="145"/>
  <c r="H41" i="162"/>
  <c r="I41" s="1"/>
  <c r="H41" i="153"/>
  <c r="H41" i="151"/>
  <c r="H41" i="168"/>
  <c r="AB172" i="118"/>
  <c r="H41" i="56"/>
  <c r="H41" i="158"/>
  <c r="H41" i="150"/>
  <c r="H41" i="143"/>
  <c r="H41" i="155"/>
  <c r="H41" i="171"/>
  <c r="H41" i="164"/>
  <c r="H41" i="149"/>
  <c r="H41" i="159"/>
  <c r="AB358" i="118"/>
  <c r="AD358" s="1"/>
  <c r="Z39" i="171"/>
  <c r="W32" i="49"/>
  <c r="AR37" i="167"/>
  <c r="G40" i="143"/>
  <c r="AD40" s="1"/>
  <c r="G40" i="166"/>
  <c r="AD40" s="1"/>
  <c r="AS34" i="147"/>
  <c r="AA38" i="153"/>
  <c r="AJ38" i="161"/>
  <c r="Z33" i="49"/>
  <c r="M33"/>
  <c r="J34"/>
  <c r="AS36" i="145"/>
  <c r="AF36" i="148"/>
  <c r="I36"/>
  <c r="J37"/>
  <c r="Y789" i="175"/>
  <c r="V66" i="189" s="1"/>
  <c r="V4"/>
  <c r="AF39" i="163"/>
  <c r="AD38"/>
  <c r="AF41" i="162"/>
  <c r="J40" i="145"/>
  <c r="AF40" s="1"/>
  <c r="BJ40" i="161"/>
  <c r="D40" s="1"/>
  <c r="BV40"/>
  <c r="J40" s="1"/>
  <c r="AR37" i="154"/>
  <c r="D40" i="155"/>
  <c r="C40" i="165"/>
  <c r="K40"/>
  <c r="N40" s="1"/>
  <c r="D40" i="143"/>
  <c r="G40" i="150"/>
  <c r="AD40" s="1"/>
  <c r="G40" i="145"/>
  <c r="AD40" s="1"/>
  <c r="AS36" i="153"/>
  <c r="X39"/>
  <c r="AB39"/>
  <c r="F38" i="146"/>
  <c r="AD38"/>
  <c r="G39"/>
  <c r="X38"/>
  <c r="I37" i="147"/>
  <c r="J38"/>
  <c r="AF37"/>
  <c r="AR37" i="145"/>
  <c r="X39" i="56"/>
  <c r="AA39" s="1"/>
  <c r="AB39"/>
  <c r="AJ39" s="1"/>
  <c r="AF35" i="152"/>
  <c r="AS36" i="161"/>
  <c r="AZ35" i="51"/>
  <c r="J35"/>
  <c r="AA38" i="171" s="1"/>
  <c r="AR38" s="1"/>
  <c r="AW35" i="51"/>
  <c r="J40" i="171"/>
  <c r="AF40" s="1"/>
  <c r="S40" i="162"/>
  <c r="V40" s="1"/>
  <c r="J40" i="168"/>
  <c r="AF40" s="1"/>
  <c r="AF39" i="161"/>
  <c r="I39"/>
  <c r="AR39" i="162"/>
  <c r="AA38" i="167"/>
  <c r="AS33" i="148"/>
  <c r="D40" i="56"/>
  <c r="K40" s="1"/>
  <c r="N40" s="1"/>
  <c r="D40" i="164"/>
  <c r="D40" i="166"/>
  <c r="D40" i="144"/>
  <c r="D40" i="154"/>
  <c r="K40" s="1"/>
  <c r="N40" s="1"/>
  <c r="AS36" i="168"/>
  <c r="AA40" i="162"/>
  <c r="AA35" i="148"/>
  <c r="X39" i="151"/>
  <c r="AC39"/>
  <c r="X39" i="155"/>
  <c r="AA39" s="1"/>
  <c r="AB39"/>
  <c r="AJ39" s="1"/>
  <c r="X39" i="158"/>
  <c r="AB39"/>
  <c r="AR37" i="159"/>
  <c r="I34" i="160"/>
  <c r="AF34"/>
  <c r="J35"/>
  <c r="G40" i="155"/>
  <c r="AD40" s="1"/>
  <c r="G40" i="159"/>
  <c r="AD40" s="1"/>
  <c r="G40" i="153"/>
  <c r="AD40" s="1"/>
  <c r="O40" i="162"/>
  <c r="R40" s="1"/>
  <c r="G40" i="144"/>
  <c r="AD40" s="1"/>
  <c r="AA38" i="158"/>
  <c r="AS36" i="166"/>
  <c r="AA37" i="146"/>
  <c r="AR37" i="165"/>
  <c r="AS36" i="151"/>
  <c r="C36" i="13"/>
  <c r="AL43" i="171"/>
  <c r="AM43" s="1"/>
  <c r="D37" i="13"/>
  <c r="CB43" i="162"/>
  <c r="Y51" i="190"/>
  <c r="AB501" i="175"/>
  <c r="Y69" i="190" s="1"/>
  <c r="T794" i="175"/>
  <c r="Q71" i="189" s="1"/>
  <c r="Q9"/>
  <c r="L34" i="49"/>
  <c r="S39" i="144"/>
  <c r="V39" s="1"/>
  <c r="O39" i="167"/>
  <c r="R39" s="1"/>
  <c r="K39" i="171"/>
  <c r="N39" s="1"/>
  <c r="BU37" i="164"/>
  <c r="BV37" s="1"/>
  <c r="X37" s="1"/>
  <c r="S39" i="153"/>
  <c r="V39" s="1"/>
  <c r="S39" i="171"/>
  <c r="V39" s="1"/>
  <c r="S39" i="168"/>
  <c r="V39" s="1"/>
  <c r="K39" i="153"/>
  <c r="N39" s="1"/>
  <c r="K39" i="56"/>
  <c r="N39" s="1"/>
  <c r="AR36" i="146"/>
  <c r="X41" i="162"/>
  <c r="AB41"/>
  <c r="J40" i="56"/>
  <c r="AF40" s="1"/>
  <c r="J40" i="149"/>
  <c r="AF40" s="1"/>
  <c r="AJ38" i="151"/>
  <c r="AA38" i="154"/>
  <c r="AS38" i="162"/>
  <c r="D40" i="159"/>
  <c r="K40" s="1"/>
  <c r="N40" s="1"/>
  <c r="K40" i="162"/>
  <c r="N40" s="1"/>
  <c r="AR37" i="158"/>
  <c r="AJ40" i="162"/>
  <c r="AA36" i="147"/>
  <c r="AD40" i="161"/>
  <c r="F40"/>
  <c r="G40" i="165"/>
  <c r="O40" s="1"/>
  <c r="R40" s="1"/>
  <c r="BN38" i="164"/>
  <c r="BQ38" s="1"/>
  <c r="BR38" s="1"/>
  <c r="AE38" s="1"/>
  <c r="AJ37" i="146"/>
  <c r="AA38" i="166"/>
  <c r="CC42" i="162"/>
  <c r="D42" s="1"/>
  <c r="CE42"/>
  <c r="J42" s="1"/>
  <c r="CD42"/>
  <c r="G42" s="1"/>
  <c r="CG42"/>
  <c r="AL42" s="1"/>
  <c r="AS35" i="163"/>
  <c r="AS36" s="1"/>
  <c r="J40" i="150"/>
  <c r="AF40" s="1"/>
  <c r="J40" i="164"/>
  <c r="AF40" s="1"/>
  <c r="J40" i="144"/>
  <c r="AF40" s="1"/>
  <c r="C39" i="161"/>
  <c r="AB39"/>
  <c r="X39"/>
  <c r="X39" i="167"/>
  <c r="AB39"/>
  <c r="AJ38"/>
  <c r="D40" i="150"/>
  <c r="D40" i="151"/>
  <c r="K40" s="1"/>
  <c r="N40" s="1"/>
  <c r="X31" i="49"/>
  <c r="G35" i="51"/>
  <c r="E41" i="56"/>
  <c r="AB125" i="118"/>
  <c r="E41" i="151"/>
  <c r="E41" i="144"/>
  <c r="E41" i="165"/>
  <c r="E41" i="154"/>
  <c r="E41" i="167"/>
  <c r="E41" i="162"/>
  <c r="E41" i="149"/>
  <c r="F34" i="137"/>
  <c r="BC41" i="161" s="1"/>
  <c r="BP41" s="1"/>
  <c r="G41" s="1"/>
  <c r="E41" i="145"/>
  <c r="E41" i="168"/>
  <c r="E41" i="153"/>
  <c r="E41" i="166"/>
  <c r="E41" i="159"/>
  <c r="E41" i="155"/>
  <c r="E41" i="164"/>
  <c r="E41" i="150"/>
  <c r="E41" i="143"/>
  <c r="E41" i="158"/>
  <c r="E41" i="171"/>
  <c r="U33" i="49"/>
  <c r="T34"/>
  <c r="G40" i="171"/>
  <c r="AD40" s="1"/>
  <c r="G40" i="167"/>
  <c r="AD40" s="1"/>
  <c r="G40" i="151"/>
  <c r="AD40" s="1"/>
  <c r="AJ38" i="153"/>
  <c r="AA38" i="161"/>
  <c r="AA38" i="159"/>
  <c r="C35" i="137"/>
  <c r="G35"/>
  <c r="E35"/>
  <c r="G38" i="147"/>
  <c r="F37"/>
  <c r="AD37"/>
  <c r="AD35" i="152"/>
  <c r="Y803" i="175"/>
  <c r="V80" i="189" s="1"/>
  <c r="V18"/>
  <c r="X790" i="175"/>
  <c r="U67" i="189" s="1"/>
  <c r="U5"/>
  <c r="BJ401" i="118"/>
  <c r="BQ401"/>
  <c r="BR401"/>
  <c r="BO401"/>
  <c r="BG401"/>
  <c r="BF401"/>
  <c r="BK401"/>
  <c r="BE401"/>
  <c r="AE401" s="1"/>
  <c r="BT401"/>
  <c r="BW401"/>
  <c r="BH401"/>
  <c r="BL401"/>
  <c r="BX401"/>
  <c r="BS401"/>
  <c r="BV401"/>
  <c r="BU401"/>
  <c r="BI401"/>
  <c r="BP401"/>
  <c r="BN401"/>
  <c r="BM401"/>
  <c r="AA37" i="163"/>
  <c r="AB39" i="145"/>
  <c r="X39"/>
  <c r="G37" i="148"/>
  <c r="F36"/>
  <c r="AD36"/>
  <c r="AD41" i="162"/>
  <c r="BK40" i="165"/>
  <c r="I40"/>
  <c r="S40"/>
  <c r="V40" s="1"/>
  <c r="J40" i="151"/>
  <c r="AF40" s="1"/>
  <c r="X39" i="168"/>
  <c r="AB39"/>
  <c r="AJ38" i="145"/>
  <c r="AM41" i="162"/>
  <c r="AS35" i="146"/>
  <c r="AA38" i="150"/>
  <c r="J40" i="158"/>
  <c r="AF40" s="1"/>
  <c r="J40" i="143"/>
  <c r="AF40" s="1"/>
  <c r="J40" i="167"/>
  <c r="AF40" s="1"/>
  <c r="J40" i="159"/>
  <c r="AF40" s="1"/>
  <c r="J40" i="154"/>
  <c r="AF40" s="1"/>
  <c r="AR37" i="151"/>
  <c r="AA38"/>
  <c r="AJ38" i="154"/>
  <c r="AS36"/>
  <c r="D40" i="171"/>
  <c r="AB40" s="1"/>
  <c r="D40" i="149"/>
  <c r="K40" s="1"/>
  <c r="N40" s="1"/>
  <c r="D40" i="145"/>
  <c r="K40" s="1"/>
  <c r="N40" s="1"/>
  <c r="D40" i="168"/>
  <c r="K40" s="1"/>
  <c r="N40" s="1"/>
  <c r="D40" i="153"/>
  <c r="K40" s="1"/>
  <c r="N40" s="1"/>
  <c r="AV34" i="51"/>
  <c r="AX34" s="1"/>
  <c r="AB27" i="118"/>
  <c r="AK34" i="51"/>
  <c r="B27" i="72"/>
  <c r="D27" s="1"/>
  <c r="I27" s="1"/>
  <c r="H27" s="1"/>
  <c r="G27" s="1"/>
  <c r="F27" s="1"/>
  <c r="E27" s="1"/>
  <c r="AS36" i="165"/>
  <c r="AB39" i="166"/>
  <c r="X39"/>
  <c r="AA38" i="168"/>
  <c r="AB39" i="154"/>
  <c r="X39"/>
  <c r="D34" i="137"/>
  <c r="AI34"/>
  <c r="AB78" i="118"/>
  <c r="B41" i="151"/>
  <c r="B41" i="150"/>
  <c r="B41" i="154"/>
  <c r="B41" i="144"/>
  <c r="AM30" i="142" s="1"/>
  <c r="B41" i="56"/>
  <c r="B41" i="166"/>
  <c r="B41" i="145"/>
  <c r="B41" i="162"/>
  <c r="B41" i="167"/>
  <c r="B41" i="155"/>
  <c r="B41" i="168"/>
  <c r="B41" i="165"/>
  <c r="B41" i="153"/>
  <c r="B41" i="143"/>
  <c r="B41" i="164"/>
  <c r="B41" i="159"/>
  <c r="B41" i="149"/>
  <c r="B41" i="158"/>
  <c r="B41" i="171"/>
  <c r="I34" i="137"/>
  <c r="J34" s="1"/>
  <c r="F34" i="160"/>
  <c r="AD34"/>
  <c r="G35"/>
  <c r="BK40" i="164"/>
  <c r="BL40" s="1"/>
  <c r="G40"/>
  <c r="AD40" s="1"/>
  <c r="G40" i="158"/>
  <c r="AD40" s="1"/>
  <c r="G40" i="168"/>
  <c r="AD40" s="1"/>
  <c r="BC40" i="149"/>
  <c r="BB40"/>
  <c r="G40" i="154"/>
  <c r="AD40" s="1"/>
  <c r="G40" i="56"/>
  <c r="AD40" s="1"/>
  <c r="U80" i="189"/>
  <c r="X39" i="150"/>
  <c r="AB39"/>
  <c r="AJ39" s="1"/>
  <c r="AB39" i="164"/>
  <c r="I38" i="146"/>
  <c r="J39"/>
  <c r="AF38"/>
  <c r="AD39" i="165"/>
  <c r="AJ38" i="166"/>
  <c r="AR37" i="168"/>
  <c r="P71" i="189"/>
  <c r="AB39" i="149"/>
  <c r="X39" i="171"/>
  <c r="H36" i="51"/>
  <c r="I36" s="1"/>
  <c r="AB264" i="118"/>
  <c r="AR37" i="161"/>
  <c r="AS36" i="167"/>
  <c r="AR37" i="166"/>
  <c r="AB39" i="163"/>
  <c r="Y797" i="175"/>
  <c r="V12" i="189"/>
  <c r="S39" i="56"/>
  <c r="V39" s="1"/>
  <c r="X38" i="163"/>
  <c r="S39" i="166"/>
  <c r="V39" s="1"/>
  <c r="K39" i="143"/>
  <c r="AS37" i="171"/>
  <c r="K39" i="159"/>
  <c r="N39" s="1"/>
  <c r="O39" i="168"/>
  <c r="R39" s="1"/>
  <c r="O39" i="155"/>
  <c r="R39" s="1"/>
  <c r="O39" i="164"/>
  <c r="R39" s="1"/>
  <c r="O39" i="158"/>
  <c r="R39" s="1"/>
  <c r="S39" i="145"/>
  <c r="V39" s="1"/>
  <c r="C40" i="162"/>
  <c r="K39" i="158"/>
  <c r="N39" s="1"/>
  <c r="S39" i="150"/>
  <c r="V39" s="1"/>
  <c r="I40" i="162"/>
  <c r="O39" i="154"/>
  <c r="R39" s="1"/>
  <c r="O39" i="159"/>
  <c r="R39" s="1"/>
  <c r="K40" i="146"/>
  <c r="I25" i="67"/>
  <c r="H26" i="119"/>
  <c r="AB271" i="175"/>
  <c r="X21" i="64"/>
  <c r="P25"/>
  <c r="E40" i="163"/>
  <c r="AA53" i="175"/>
  <c r="O20" i="140"/>
  <c r="S40" i="163"/>
  <c r="AD440" i="175"/>
  <c r="G22" i="120"/>
  <c r="D24" i="68"/>
  <c r="V24" i="71"/>
  <c r="R25" i="67"/>
  <c r="AB205" i="175"/>
  <c r="Y689"/>
  <c r="AA150"/>
  <c r="E23" i="71"/>
  <c r="X21" i="67"/>
  <c r="H24" i="64"/>
  <c r="E24"/>
  <c r="W195" i="175"/>
  <c r="AA139"/>
  <c r="E38" i="148"/>
  <c r="U25" i="64"/>
  <c r="B25" i="120"/>
  <c r="H24" i="67"/>
  <c r="K40" i="161"/>
  <c r="Z236" i="175"/>
  <c r="M25" i="67"/>
  <c r="H40" i="146"/>
  <c r="J25" i="120"/>
  <c r="Z395" i="175"/>
  <c r="F23" i="140"/>
  <c r="K35" i="152"/>
  <c r="Y706" i="175"/>
  <c r="W253"/>
  <c r="X21" i="120"/>
  <c r="O38" i="147"/>
  <c r="AA151" i="175"/>
  <c r="S25" i="140"/>
  <c r="S25" i="120"/>
  <c r="V24" i="68"/>
  <c r="D25" i="140"/>
  <c r="Q28" i="69"/>
  <c r="S35" i="160"/>
  <c r="S37" i="148"/>
  <c r="G21" i="68"/>
  <c r="V194" i="175"/>
  <c r="Y709"/>
  <c r="AB272"/>
  <c r="F22" i="71"/>
  <c r="T693" i="175"/>
  <c r="P26" i="120"/>
  <c r="AA149" i="175"/>
  <c r="T26" i="119"/>
  <c r="U377" i="175"/>
  <c r="T694"/>
  <c r="Y379"/>
  <c r="M25" i="119"/>
  <c r="AB274" i="175"/>
  <c r="AA49"/>
  <c r="U24" i="71"/>
  <c r="Z255" i="175"/>
  <c r="Z658"/>
  <c r="X261"/>
  <c r="N25" i="119"/>
  <c r="Y389" i="175"/>
  <c r="X19" i="68"/>
  <c r="Q26" i="119"/>
  <c r="Z672" i="175"/>
  <c r="Z44"/>
  <c r="E39" i="147"/>
  <c r="K25" i="120"/>
  <c r="U692" i="175"/>
  <c r="O41" i="161"/>
  <c r="Z207" i="175"/>
  <c r="J25" i="140"/>
  <c r="Y710" i="175"/>
  <c r="Z676"/>
  <c r="B39" i="147"/>
  <c r="Z202" i="175"/>
  <c r="Z399"/>
  <c r="V258"/>
  <c r="T384"/>
  <c r="AD442"/>
  <c r="Z392"/>
  <c r="S38" i="147"/>
  <c r="AB200" i="175"/>
  <c r="H25" i="120"/>
  <c r="L24" i="71"/>
  <c r="O18" i="68"/>
  <c r="AB267" i="175"/>
  <c r="U136"/>
  <c r="AA265"/>
  <c r="D25" i="67"/>
  <c r="O20" i="120"/>
  <c r="M25" i="140"/>
  <c r="D26" i="119"/>
  <c r="E40" i="146"/>
  <c r="AA56" i="175"/>
  <c r="V25" i="64"/>
  <c r="M24" i="68"/>
  <c r="S23" i="64"/>
  <c r="Q27" i="67"/>
  <c r="L24" i="68"/>
  <c r="U41" i="175"/>
  <c r="AA175"/>
  <c r="N24" i="71"/>
  <c r="K34" i="160"/>
  <c r="V661" i="175"/>
  <c r="O19" i="64"/>
  <c r="W26" i="119"/>
  <c r="AA55" i="175"/>
  <c r="W34"/>
  <c r="H23" i="68"/>
  <c r="V198" i="175"/>
  <c r="K26" i="119"/>
  <c r="H25" i="140"/>
  <c r="K37" i="147"/>
  <c r="Z234" i="175"/>
  <c r="T24" i="68"/>
  <c r="F23" i="64"/>
  <c r="U662" i="175"/>
  <c r="Z203"/>
  <c r="L25" i="120"/>
  <c r="V25" i="67"/>
  <c r="AA54" i="175"/>
  <c r="B41" i="161"/>
  <c r="Z235" i="175"/>
  <c r="E36" i="160"/>
  <c r="L26" i="119"/>
  <c r="W135" i="175"/>
  <c r="AA52"/>
  <c r="K40" i="163"/>
  <c r="Y697" i="175"/>
  <c r="W191"/>
  <c r="W25" i="120"/>
  <c r="W257" i="175"/>
  <c r="B41" i="163"/>
  <c r="W24" i="68"/>
  <c r="F23" i="67"/>
  <c r="V259" i="175"/>
  <c r="K25" i="64"/>
  <c r="U37" i="175"/>
  <c r="F23" i="120"/>
  <c r="W700" i="175"/>
  <c r="Z204"/>
  <c r="Z678"/>
  <c r="O39" i="163"/>
  <c r="AA262" i="175"/>
  <c r="X21" i="140"/>
  <c r="V196" i="175"/>
  <c r="X690"/>
  <c r="Z386"/>
  <c r="R25" i="64"/>
  <c r="R24" i="67"/>
  <c r="E24" i="140"/>
  <c r="AA254" i="175"/>
  <c r="Z201"/>
  <c r="U660"/>
  <c r="F21" i="68"/>
  <c r="AA44" i="175"/>
  <c r="E25" i="119"/>
  <c r="X42" i="175"/>
  <c r="AB208"/>
  <c r="Z45"/>
  <c r="Y708"/>
  <c r="O19" i="67"/>
  <c r="O39" i="146"/>
  <c r="AA138" i="175"/>
  <c r="V657"/>
  <c r="D25" i="120"/>
  <c r="Z36" i="175"/>
  <c r="U694"/>
  <c r="I25" i="64"/>
  <c r="K25" i="140"/>
  <c r="R23" i="68"/>
  <c r="V260" i="175"/>
  <c r="AB270"/>
  <c r="AB209"/>
  <c r="X699"/>
  <c r="J24" i="71"/>
  <c r="U132" i="175"/>
  <c r="AA130"/>
  <c r="I25" i="68"/>
  <c r="M25" i="64"/>
  <c r="Y388" i="175"/>
  <c r="O36" i="152"/>
  <c r="B25" i="140"/>
  <c r="P25" i="67"/>
  <c r="H36" i="160"/>
  <c r="B37" i="148"/>
  <c r="T695" i="175"/>
  <c r="AA172"/>
  <c r="I24" i="71"/>
  <c r="AA35" i="175"/>
  <c r="K24" i="71"/>
  <c r="D25" i="64"/>
  <c r="V129" i="175"/>
  <c r="Y667"/>
  <c r="K25" i="119"/>
  <c r="Q26" i="140"/>
  <c r="Z378" i="175"/>
  <c r="W134"/>
  <c r="Z398"/>
  <c r="H38" i="148"/>
  <c r="N24" i="68"/>
  <c r="AB210" i="175"/>
  <c r="AB264"/>
  <c r="J24" i="68"/>
  <c r="R25" i="119"/>
  <c r="G21"/>
  <c r="W25" i="67"/>
  <c r="V197" i="175"/>
  <c r="H23" i="71"/>
  <c r="U380" i="175"/>
  <c r="S39" i="146"/>
  <c r="B40"/>
  <c r="F22" i="119"/>
  <c r="H37" i="152"/>
  <c r="Z677" i="175"/>
  <c r="P24" i="71"/>
  <c r="Y659" i="175"/>
  <c r="Y703"/>
  <c r="Z679"/>
  <c r="Q26" i="71"/>
  <c r="S23" i="67"/>
  <c r="B36" i="152"/>
  <c r="Q26" i="68"/>
  <c r="K25" i="67"/>
  <c r="W25" i="140"/>
  <c r="I25"/>
  <c r="Z666" i="175"/>
  <c r="P24" i="68"/>
  <c r="F22"/>
  <c r="S23"/>
  <c r="N25" i="64"/>
  <c r="V256" i="175"/>
  <c r="E37" i="152"/>
  <c r="M25" i="120"/>
  <c r="S36" i="152"/>
  <c r="G22" i="64"/>
  <c r="L25" i="140"/>
  <c r="AA147" i="175"/>
  <c r="V663"/>
  <c r="AB268"/>
  <c r="S40" i="161"/>
  <c r="L25" i="64"/>
  <c r="AB212" i="175"/>
  <c r="J26" i="119"/>
  <c r="W25" i="64"/>
  <c r="M24" i="71"/>
  <c r="Z397" i="175"/>
  <c r="V25" i="140"/>
  <c r="Z193" i="175"/>
  <c r="G22" i="67"/>
  <c r="H41" i="163"/>
  <c r="T26" i="120"/>
  <c r="V662" i="175"/>
  <c r="W137"/>
  <c r="AA144"/>
  <c r="R23" i="71"/>
  <c r="AA263" i="175"/>
  <c r="U383"/>
  <c r="AA131"/>
  <c r="AA140"/>
  <c r="T26" i="140"/>
  <c r="J25" i="67"/>
  <c r="AB213" i="175"/>
  <c r="S22" i="71"/>
  <c r="H39" i="147"/>
  <c r="Q27" i="64"/>
  <c r="P25" i="140"/>
  <c r="R24" i="120"/>
  <c r="AA173" i="175"/>
  <c r="AA141"/>
  <c r="AB275"/>
  <c r="E41" i="161"/>
  <c r="U382" i="175"/>
  <c r="T691"/>
  <c r="U688"/>
  <c r="W24" i="71"/>
  <c r="X20" i="119"/>
  <c r="AB211" i="175"/>
  <c r="AB206"/>
  <c r="Z396"/>
  <c r="U24" i="68"/>
  <c r="K36" i="148"/>
  <c r="K24" i="68"/>
  <c r="AA148" i="175"/>
  <c r="V25" i="120"/>
  <c r="E23" i="68"/>
  <c r="U25" i="140"/>
  <c r="I25" i="120"/>
  <c r="R24" i="64"/>
  <c r="N26" i="119"/>
  <c r="X199" i="175"/>
  <c r="AA43"/>
  <c r="X20" i="71"/>
  <c r="L25" i="67"/>
  <c r="W385" i="175"/>
  <c r="O35" i="160"/>
  <c r="U25" i="120"/>
  <c r="V696" i="175"/>
  <c r="O19" i="119"/>
  <c r="Z675" i="175"/>
  <c r="W665"/>
  <c r="O37" i="148"/>
  <c r="G22" i="140"/>
  <c r="AA174" i="175"/>
  <c r="AA192"/>
  <c r="V133"/>
  <c r="R25" i="140"/>
  <c r="P25" i="119"/>
  <c r="X669" i="175"/>
  <c r="Y46"/>
  <c r="H41" i="161"/>
  <c r="AA266" i="175"/>
  <c r="C25" i="120"/>
  <c r="B35" i="160"/>
  <c r="AB273" i="175"/>
  <c r="Y707"/>
  <c r="G21" i="71"/>
  <c r="E24" i="67"/>
  <c r="AA269" i="175"/>
  <c r="N25" i="140"/>
  <c r="Y668" i="175"/>
  <c r="D24" i="71"/>
  <c r="J25" i="64"/>
  <c r="Q26" i="120"/>
  <c r="U25" i="67"/>
  <c r="W38" i="175"/>
  <c r="N25" i="67"/>
  <c r="N25" i="120"/>
  <c r="V381" i="175"/>
  <c r="Y387"/>
  <c r="C25" i="140"/>
  <c r="E24" i="120"/>
  <c r="AA772" i="175" l="1"/>
  <c r="AZ772"/>
  <c r="AA36" i="190"/>
  <c r="AD473" i="175"/>
  <c r="AA54" i="190" s="1"/>
  <c r="Z54"/>
  <c r="V14" i="189"/>
  <c r="AZ122" i="118"/>
  <c r="AZ169"/>
  <c r="AZ76"/>
  <c r="AZ203" i="175"/>
  <c r="Z738"/>
  <c r="W15" i="189" s="1"/>
  <c r="AW15" s="1"/>
  <c r="S11"/>
  <c r="Y800" i="175"/>
  <c r="V77" i="189" s="1"/>
  <c r="AS35" i="164"/>
  <c r="AZ262" i="118"/>
  <c r="AZ27"/>
  <c r="Z769" i="175"/>
  <c r="W46" i="189" s="1"/>
  <c r="AW46" s="1"/>
  <c r="AZ234" i="175"/>
  <c r="W638"/>
  <c r="AR36" i="164"/>
  <c r="BA28" i="118"/>
  <c r="BA263"/>
  <c r="X637" i="175"/>
  <c r="AZ45"/>
  <c r="AZ202"/>
  <c r="Z737"/>
  <c r="AZ737" s="1"/>
  <c r="U788"/>
  <c r="R65" i="189" s="1"/>
  <c r="AU65" s="1"/>
  <c r="BE165" i="118"/>
  <c r="BE118"/>
  <c r="BE258"/>
  <c r="BE23"/>
  <c r="BE70"/>
  <c r="T633" i="175"/>
  <c r="AX41"/>
  <c r="U733"/>
  <c r="AX136"/>
  <c r="Q10" i="189"/>
  <c r="T795" i="175"/>
  <c r="Q72" i="189" s="1"/>
  <c r="AA33" i="160"/>
  <c r="R3" i="189"/>
  <c r="AU3" s="1"/>
  <c r="AJ33" i="160"/>
  <c r="BL260" i="118"/>
  <c r="BL25"/>
  <c r="BL71"/>
  <c r="V726" i="175"/>
  <c r="S3" i="189" s="1"/>
  <c r="AX377" i="175"/>
  <c r="AJ34" i="152"/>
  <c r="K35" i="49"/>
  <c r="Q6" i="189"/>
  <c r="R7"/>
  <c r="AU7" s="1"/>
  <c r="V730" i="175"/>
  <c r="S7" i="189" s="1"/>
  <c r="N34" i="160"/>
  <c r="BI258" i="118"/>
  <c r="AX37" i="175"/>
  <c r="BI23" i="118"/>
  <c r="N37" i="147"/>
  <c r="N35" i="152"/>
  <c r="W734" i="175"/>
  <c r="T11" i="189" s="1"/>
  <c r="BI70" i="118"/>
  <c r="BD72"/>
  <c r="U729" i="175"/>
  <c r="AX729" s="1"/>
  <c r="AX132"/>
  <c r="BH71" i="118"/>
  <c r="N36" i="148"/>
  <c r="D36" i="152"/>
  <c r="D35" i="160"/>
  <c r="C34"/>
  <c r="AB34"/>
  <c r="C37" i="147"/>
  <c r="AB37"/>
  <c r="AJ37" s="1"/>
  <c r="D38"/>
  <c r="X38" s="1"/>
  <c r="AB35" i="152"/>
  <c r="X34" i="160"/>
  <c r="AB36" i="148"/>
  <c r="AJ36" s="1"/>
  <c r="D37"/>
  <c r="X37" s="1"/>
  <c r="C36"/>
  <c r="AR35" i="147"/>
  <c r="AS35" s="1"/>
  <c r="U792" i="175"/>
  <c r="R69" i="189" s="1"/>
  <c r="AU69" s="1"/>
  <c r="AC30" i="143"/>
  <c r="AJ30" s="1"/>
  <c r="N30"/>
  <c r="X30"/>
  <c r="AY122" i="118"/>
  <c r="AY169"/>
  <c r="AZ204" i="175"/>
  <c r="AZ235"/>
  <c r="BH119" i="118"/>
  <c r="BH166"/>
  <c r="BH260"/>
  <c r="BH25"/>
  <c r="AX692" i="175"/>
  <c r="U630"/>
  <c r="AX630" s="1"/>
  <c r="AA35" i="152"/>
  <c r="V13" i="189"/>
  <c r="AP264" i="118"/>
  <c r="AT77"/>
  <c r="BB122"/>
  <c r="BB169"/>
  <c r="AP170"/>
  <c r="AP123"/>
  <c r="BD167"/>
  <c r="BD120"/>
  <c r="AT264"/>
  <c r="AS77"/>
  <c r="AP76"/>
  <c r="AP29"/>
  <c r="AR123"/>
  <c r="AR170"/>
  <c r="BC76"/>
  <c r="AR29"/>
  <c r="AR264"/>
  <c r="BI165"/>
  <c r="BI118"/>
  <c r="AT29"/>
  <c r="BD261"/>
  <c r="AQ29"/>
  <c r="AS123"/>
  <c r="AS170"/>
  <c r="AU123"/>
  <c r="AU170"/>
  <c r="BB28"/>
  <c r="BA170"/>
  <c r="BA123"/>
  <c r="AT170"/>
  <c r="AT123"/>
  <c r="AQ123"/>
  <c r="AQ170"/>
  <c r="BB263"/>
  <c r="BB76"/>
  <c r="AQ76"/>
  <c r="BD26"/>
  <c r="AQ264"/>
  <c r="AS264"/>
  <c r="AS29"/>
  <c r="AP77"/>
  <c r="AA744" i="175"/>
  <c r="AZ676"/>
  <c r="AZ679"/>
  <c r="Y646"/>
  <c r="AZ397"/>
  <c r="AA745"/>
  <c r="T629"/>
  <c r="Y647"/>
  <c r="AZ678"/>
  <c r="AZ396"/>
  <c r="AA747"/>
  <c r="AZ398"/>
  <c r="AZ677"/>
  <c r="Y644"/>
  <c r="AZ675"/>
  <c r="V634"/>
  <c r="AZ44"/>
  <c r="Y648"/>
  <c r="AX380"/>
  <c r="AX660"/>
  <c r="Y645"/>
  <c r="AA746"/>
  <c r="AZ395"/>
  <c r="Z252"/>
  <c r="AZ252" s="1"/>
  <c r="AZ236"/>
  <c r="AZ201"/>
  <c r="Z736"/>
  <c r="W13" i="189" s="1"/>
  <c r="AA748" i="175"/>
  <c r="AZ399"/>
  <c r="AJ39" i="158"/>
  <c r="W25" i="189"/>
  <c r="AW25" s="1"/>
  <c r="Z810" i="175"/>
  <c r="W87" i="189" s="1"/>
  <c r="AW87" s="1"/>
  <c r="W21"/>
  <c r="AW21" s="1"/>
  <c r="Z806" i="175"/>
  <c r="W83" i="189" s="1"/>
  <c r="Z809" i="175"/>
  <c r="W24" i="189"/>
  <c r="AW24" s="1"/>
  <c r="AS34" i="148"/>
  <c r="AZ748" i="175"/>
  <c r="AS29" i="143"/>
  <c r="Q68" i="189"/>
  <c r="M31" i="143"/>
  <c r="L31" s="1"/>
  <c r="AJ38" i="164"/>
  <c r="Z808" i="175"/>
  <c r="W85" i="189" s="1"/>
  <c r="AW85" s="1"/>
  <c r="W23"/>
  <c r="AW23" s="1"/>
  <c r="AZ746" i="175"/>
  <c r="AJ38" i="163"/>
  <c r="AJ39" i="159"/>
  <c r="V83" i="189"/>
  <c r="Z807" i="175"/>
  <c r="W84" i="189" s="1"/>
  <c r="AW84" s="1"/>
  <c r="W22"/>
  <c r="AW22" s="1"/>
  <c r="AZ745" i="175"/>
  <c r="Q25" i="72"/>
  <c r="AS38" i="56"/>
  <c r="M33" i="143"/>
  <c r="L33" s="1"/>
  <c r="N32"/>
  <c r="X32"/>
  <c r="AC32"/>
  <c r="AS38" i="155"/>
  <c r="AS37" i="159"/>
  <c r="AR37" i="149"/>
  <c r="AG171" i="118"/>
  <c r="AG124"/>
  <c r="AG77"/>
  <c r="AG31"/>
  <c r="AG266"/>
  <c r="R8" i="189"/>
  <c r="AU8" s="1"/>
  <c r="U793" i="175"/>
  <c r="R70" i="189" s="1"/>
  <c r="AU70" s="1"/>
  <c r="AS36" i="149"/>
  <c r="BL166" i="118"/>
  <c r="BL119"/>
  <c r="BG165"/>
  <c r="BG118"/>
  <c r="BG72"/>
  <c r="T631" i="175"/>
  <c r="AX382"/>
  <c r="AX662"/>
  <c r="V731"/>
  <c r="S8" i="189" s="1"/>
  <c r="U626" i="175"/>
  <c r="AX626" s="1"/>
  <c r="AX688"/>
  <c r="AJ38" i="149"/>
  <c r="AD117" i="118"/>
  <c r="AA38" i="149"/>
  <c r="AD164" i="118"/>
  <c r="AS37" i="150"/>
  <c r="AS37" i="158"/>
  <c r="AX732" i="175"/>
  <c r="O40" i="167"/>
  <c r="R40" s="1"/>
  <c r="O40" i="143"/>
  <c r="R40" s="1"/>
  <c r="S40" i="153"/>
  <c r="V40" s="1"/>
  <c r="X39" i="149"/>
  <c r="O40" i="144"/>
  <c r="R40" s="1"/>
  <c r="O40" i="159"/>
  <c r="R40" s="1"/>
  <c r="BC170" i="118"/>
  <c r="BC123"/>
  <c r="AX383" i="175"/>
  <c r="O40" i="171"/>
  <c r="R40" s="1"/>
  <c r="O40" i="166"/>
  <c r="R40" s="1"/>
  <c r="AX170" i="118"/>
  <c r="AX123"/>
  <c r="O40" i="158"/>
  <c r="R40" s="1"/>
  <c r="S40" i="167"/>
  <c r="V40" s="1"/>
  <c r="S40" i="56"/>
  <c r="V40" s="1"/>
  <c r="AR39"/>
  <c r="AD39" i="149"/>
  <c r="O40" i="164"/>
  <c r="R40" s="1"/>
  <c r="AJ40" i="171"/>
  <c r="S40" i="158"/>
  <c r="V40" s="1"/>
  <c r="S40" i="151"/>
  <c r="V40" s="1"/>
  <c r="BU38" i="164"/>
  <c r="BV38" s="1"/>
  <c r="X38" s="1"/>
  <c r="F39" i="149"/>
  <c r="O40" i="168"/>
  <c r="R40" s="1"/>
  <c r="S40" i="150"/>
  <c r="V40" s="1"/>
  <c r="S40" i="149"/>
  <c r="V40" s="1"/>
  <c r="S40" i="171"/>
  <c r="V40" s="1"/>
  <c r="O40" i="150"/>
  <c r="R40" s="1"/>
  <c r="S40" i="145"/>
  <c r="V40" s="1"/>
  <c r="S40" i="166"/>
  <c r="V40" s="1"/>
  <c r="S40" i="155"/>
  <c r="V40" s="1"/>
  <c r="BK76" i="118"/>
  <c r="V283" i="175"/>
  <c r="BK171" i="118"/>
  <c r="BK124"/>
  <c r="BJ76"/>
  <c r="R35" i="160"/>
  <c r="AZ658" i="175"/>
  <c r="R41" i="161"/>
  <c r="AA727" i="175"/>
  <c r="AZ666"/>
  <c r="W31" i="72"/>
  <c r="V38" i="147"/>
  <c r="J41" i="163"/>
  <c r="Y635" i="175"/>
  <c r="AZ386"/>
  <c r="D41" i="163"/>
  <c r="X29" i="72"/>
  <c r="BK264" i="118"/>
  <c r="BK29"/>
  <c r="AZ672" i="175"/>
  <c r="AA29" i="72"/>
  <c r="Y641" i="175"/>
  <c r="V40" i="161"/>
  <c r="AB26" i="72"/>
  <c r="V39" i="146"/>
  <c r="AW264" i="118"/>
  <c r="Y29" i="72"/>
  <c r="AW29" i="118"/>
  <c r="AA735" i="175"/>
  <c r="R38" i="147"/>
  <c r="BB29" i="118"/>
  <c r="BB264"/>
  <c r="T632" i="175"/>
  <c r="AX694"/>
  <c r="V35" i="160"/>
  <c r="Z728" i="175"/>
  <c r="AZ193"/>
  <c r="V37" i="148"/>
  <c r="J37" i="152"/>
  <c r="R39" i="163"/>
  <c r="V40"/>
  <c r="N40"/>
  <c r="BF72" i="118"/>
  <c r="BA77"/>
  <c r="AW123"/>
  <c r="AW170"/>
  <c r="AZ255" i="175"/>
  <c r="V221"/>
  <c r="V732"/>
  <c r="AZ207"/>
  <c r="BF118" i="118"/>
  <c r="BF165"/>
  <c r="BJ169"/>
  <c r="BJ122"/>
  <c r="AV169"/>
  <c r="AV122"/>
  <c r="R37" i="148"/>
  <c r="G37" i="152"/>
  <c r="AD470" i="175"/>
  <c r="AA34" i="190"/>
  <c r="AD471" i="175"/>
  <c r="AA52" i="190" s="1"/>
  <c r="AI403" i="118"/>
  <c r="V27" i="72"/>
  <c r="BJ28" i="118"/>
  <c r="BJ263"/>
  <c r="AD28" i="72"/>
  <c r="AZ36" i="175"/>
  <c r="N40" i="161"/>
  <c r="C40" i="146"/>
  <c r="N40"/>
  <c r="AA741" i="175"/>
  <c r="G40" i="163"/>
  <c r="X40" s="1"/>
  <c r="V36" i="152"/>
  <c r="Y627" i="175"/>
  <c r="BC264" i="118"/>
  <c r="T29" i="72"/>
  <c r="BC29" i="118"/>
  <c r="AZ392" i="175"/>
  <c r="R29" i="72"/>
  <c r="AE29"/>
  <c r="S29"/>
  <c r="X628" i="175"/>
  <c r="AC27" i="72"/>
  <c r="U632" i="175"/>
  <c r="R39" i="146"/>
  <c r="Z29" i="72"/>
  <c r="AZ378" i="175"/>
  <c r="R36" i="152"/>
  <c r="AA39" i="163"/>
  <c r="G36" i="160"/>
  <c r="F35"/>
  <c r="AD35"/>
  <c r="D41" i="164"/>
  <c r="D41" i="168"/>
  <c r="D41" i="154"/>
  <c r="AR38" i="168"/>
  <c r="AR38" i="151"/>
  <c r="AR38" i="150"/>
  <c r="AR38" i="161"/>
  <c r="G41" i="158"/>
  <c r="AD41" s="1"/>
  <c r="O41" i="162"/>
  <c r="R41" s="1"/>
  <c r="AJ39" i="167"/>
  <c r="AJ39" i="161"/>
  <c r="AR38" i="166"/>
  <c r="AA41" i="162"/>
  <c r="C37" i="13"/>
  <c r="AL44" i="171"/>
  <c r="AM44" s="1"/>
  <c r="D38" i="13"/>
  <c r="CB44" i="162"/>
  <c r="AR35" i="148"/>
  <c r="X40" i="166"/>
  <c r="AB40"/>
  <c r="I38" i="147"/>
  <c r="AF38"/>
  <c r="J39"/>
  <c r="AJ39" i="153"/>
  <c r="J41" i="158"/>
  <c r="AF41" s="1"/>
  <c r="BK41" i="165"/>
  <c r="I41"/>
  <c r="S41"/>
  <c r="V41" s="1"/>
  <c r="X40" i="158"/>
  <c r="AB40"/>
  <c r="AA38" i="163"/>
  <c r="AS37" i="166"/>
  <c r="C41" i="165"/>
  <c r="K41"/>
  <c r="N41" s="1"/>
  <c r="AR37" i="163"/>
  <c r="G41" i="171"/>
  <c r="AD41" s="1"/>
  <c r="G41" i="153"/>
  <c r="AD41" s="1"/>
  <c r="G41" i="165"/>
  <c r="O41" s="1"/>
  <c r="R41" s="1"/>
  <c r="AA39" i="161"/>
  <c r="AR38" i="154"/>
  <c r="CC43" i="162"/>
  <c r="D43" s="1"/>
  <c r="CE43"/>
  <c r="J43" s="1"/>
  <c r="CD43"/>
  <c r="G43" s="1"/>
  <c r="CG43"/>
  <c r="AL43" s="1"/>
  <c r="AA39" i="151"/>
  <c r="AS39" i="162"/>
  <c r="AS37" i="154"/>
  <c r="I40" i="161"/>
  <c r="AF40"/>
  <c r="J41" i="164"/>
  <c r="AF41" s="1"/>
  <c r="J41" i="168"/>
  <c r="AF41" s="1"/>
  <c r="J41" i="145"/>
  <c r="AF41" s="1"/>
  <c r="AS37" i="153"/>
  <c r="X40" i="167"/>
  <c r="AB40"/>
  <c r="W18" i="189"/>
  <c r="AW18" s="1"/>
  <c r="Z803" i="175"/>
  <c r="AZ741"/>
  <c r="AA36" i="148"/>
  <c r="AS37" i="168"/>
  <c r="I39" i="146"/>
  <c r="AF39"/>
  <c r="J40"/>
  <c r="BT40" i="164"/>
  <c r="BP40"/>
  <c r="BM40"/>
  <c r="D41" i="149"/>
  <c r="D41" i="153"/>
  <c r="D41" i="167"/>
  <c r="D41" i="56"/>
  <c r="D41" i="151"/>
  <c r="K41" s="1"/>
  <c r="N41" s="1"/>
  <c r="AA39" i="154"/>
  <c r="AJ39" i="166"/>
  <c r="X40" i="153"/>
  <c r="AB40"/>
  <c r="AJ39" i="145"/>
  <c r="G39" i="147"/>
  <c r="F38"/>
  <c r="AD38"/>
  <c r="AR38" i="159"/>
  <c r="Z40" i="171"/>
  <c r="AB359" i="118"/>
  <c r="AD359" s="1"/>
  <c r="W33" i="49"/>
  <c r="G41" i="150"/>
  <c r="AD41" s="1"/>
  <c r="G41" i="166"/>
  <c r="AD41" s="1"/>
  <c r="F41" i="161"/>
  <c r="AD41"/>
  <c r="G41" i="154"/>
  <c r="AD41" s="1"/>
  <c r="X40" i="150"/>
  <c r="AB40"/>
  <c r="AJ40" s="1"/>
  <c r="AF42" i="162"/>
  <c r="AS32" i="160"/>
  <c r="AJ41" i="162"/>
  <c r="G36" i="137"/>
  <c r="C36"/>
  <c r="E36"/>
  <c r="AR37" i="146"/>
  <c r="AF35" i="160"/>
  <c r="I35"/>
  <c r="J36"/>
  <c r="AJ39" i="151"/>
  <c r="AB40" i="164"/>
  <c r="AR38" i="167"/>
  <c r="AS37" i="145"/>
  <c r="AJ38" i="146"/>
  <c r="X40" i="155"/>
  <c r="AA40" s="1"/>
  <c r="AB40"/>
  <c r="AJ40" s="1"/>
  <c r="AF37" i="148"/>
  <c r="I37"/>
  <c r="J38"/>
  <c r="Z34" i="49"/>
  <c r="M34"/>
  <c r="J35"/>
  <c r="AR38" i="153"/>
  <c r="X32" i="49"/>
  <c r="G36" i="51"/>
  <c r="J41" i="149"/>
  <c r="AF41" s="1"/>
  <c r="J41" i="143"/>
  <c r="AF41" s="1"/>
  <c r="S41" i="162"/>
  <c r="V41" s="1"/>
  <c r="J41" i="166"/>
  <c r="AF41" s="1"/>
  <c r="AR38" i="165"/>
  <c r="AD39" i="163"/>
  <c r="Z52" i="190"/>
  <c r="AF40" i="163"/>
  <c r="R9" i="189"/>
  <c r="AU9" s="1"/>
  <c r="U794" i="175"/>
  <c r="AB40" i="163"/>
  <c r="O40" i="151"/>
  <c r="R40" s="1"/>
  <c r="K40" i="166"/>
  <c r="N40" s="1"/>
  <c r="O40" i="56"/>
  <c r="R40" s="1"/>
  <c r="BD40" i="149"/>
  <c r="G40" s="1"/>
  <c r="X40" s="1"/>
  <c r="K40" i="171"/>
  <c r="N40" s="1"/>
  <c r="S40" i="154"/>
  <c r="V40" s="1"/>
  <c r="S40" i="144"/>
  <c r="V40" s="1"/>
  <c r="S40" i="168"/>
  <c r="V40" s="1"/>
  <c r="K40" i="167"/>
  <c r="N40" s="1"/>
  <c r="AJ39" i="165"/>
  <c r="D41" i="171"/>
  <c r="AB41" s="1"/>
  <c r="D41" i="145"/>
  <c r="AJ39" i="168"/>
  <c r="G38" i="148"/>
  <c r="F37"/>
  <c r="AD37"/>
  <c r="H35" i="137"/>
  <c r="BD42" i="161" s="1"/>
  <c r="H42" i="144"/>
  <c r="H42" i="153"/>
  <c r="H42" i="167"/>
  <c r="H42" i="168"/>
  <c r="H42" i="151"/>
  <c r="H42" i="154"/>
  <c r="H42" i="166"/>
  <c r="H42" i="150"/>
  <c r="H42" i="165"/>
  <c r="H42" i="145"/>
  <c r="H42" i="162"/>
  <c r="H42" i="155"/>
  <c r="H42" i="164"/>
  <c r="AB173" i="118"/>
  <c r="H42" i="171"/>
  <c r="H42" i="149"/>
  <c r="H42" i="143"/>
  <c r="H42" i="159"/>
  <c r="H42" i="56"/>
  <c r="H42" i="158"/>
  <c r="G41" i="155"/>
  <c r="AD41" s="1"/>
  <c r="G41" i="168"/>
  <c r="AD41" s="1"/>
  <c r="G41" i="144"/>
  <c r="AD41" s="1"/>
  <c r="AM42" i="162"/>
  <c r="AR36" i="147"/>
  <c r="AA37" i="164"/>
  <c r="AR38" i="158"/>
  <c r="X40" i="56"/>
  <c r="AA40" s="1"/>
  <c r="AB40"/>
  <c r="AJ40" s="1"/>
  <c r="AA38" i="146"/>
  <c r="AB40" i="161"/>
  <c r="C40"/>
  <c r="X40"/>
  <c r="J41" i="171"/>
  <c r="AF41" s="1"/>
  <c r="J41" i="151"/>
  <c r="AF41" s="1"/>
  <c r="J41" i="167"/>
  <c r="AF41" s="1"/>
  <c r="BN39" i="164"/>
  <c r="BU39" s="1"/>
  <c r="BV39" s="1"/>
  <c r="X39" s="1"/>
  <c r="BK402" i="118"/>
  <c r="BF402"/>
  <c r="AE402" s="1"/>
  <c r="BO402"/>
  <c r="BG402"/>
  <c r="BV402"/>
  <c r="BR402"/>
  <c r="BL402"/>
  <c r="BT402"/>
  <c r="BJ402"/>
  <c r="BS402"/>
  <c r="BI402"/>
  <c r="BN402"/>
  <c r="BM402"/>
  <c r="BH402"/>
  <c r="BP402"/>
  <c r="BX402"/>
  <c r="BW402"/>
  <c r="BQ402"/>
  <c r="BU402"/>
  <c r="Y790" i="175"/>
  <c r="V5" i="189"/>
  <c r="V74"/>
  <c r="AW36" i="51"/>
  <c r="AZ36"/>
  <c r="J36"/>
  <c r="AA39" i="171" s="1"/>
  <c r="AR39" s="1"/>
  <c r="AA39" i="150"/>
  <c r="D41" i="159"/>
  <c r="K41" i="162"/>
  <c r="N41" s="1"/>
  <c r="D41" i="144"/>
  <c r="K41" s="1"/>
  <c r="AJ39" i="154"/>
  <c r="X40" i="145"/>
  <c r="AB40"/>
  <c r="E42" i="56"/>
  <c r="AB126" i="118"/>
  <c r="E42" i="151"/>
  <c r="E42" i="165"/>
  <c r="E42" i="144"/>
  <c r="E42" i="154"/>
  <c r="E42" i="167"/>
  <c r="E42" i="162"/>
  <c r="F42" s="1"/>
  <c r="E42" i="149"/>
  <c r="F35" i="137"/>
  <c r="BC42" i="161" s="1"/>
  <c r="BP42" s="1"/>
  <c r="G42" s="1"/>
  <c r="E42" i="168"/>
  <c r="E42" i="145"/>
  <c r="E42" i="166"/>
  <c r="E42" i="153"/>
  <c r="E42" i="155"/>
  <c r="E42" i="158"/>
  <c r="E42" i="159"/>
  <c r="E42" i="171"/>
  <c r="E42" i="150"/>
  <c r="E42" i="143"/>
  <c r="E42" i="164"/>
  <c r="BK41"/>
  <c r="BL41" s="1"/>
  <c r="G41"/>
  <c r="AD41" s="1"/>
  <c r="BC41" i="149"/>
  <c r="BB41"/>
  <c r="G41" i="56"/>
  <c r="AD41" s="1"/>
  <c r="X40" i="151"/>
  <c r="AC40"/>
  <c r="X42" i="162"/>
  <c r="AB42"/>
  <c r="AD40" i="165"/>
  <c r="V75" i="189"/>
  <c r="AS33" i="152"/>
  <c r="AA39" i="158"/>
  <c r="AB40" i="154"/>
  <c r="X40"/>
  <c r="H37" i="51"/>
  <c r="I37" s="1"/>
  <c r="AB265" i="118"/>
  <c r="X40" i="171"/>
  <c r="J41" i="150"/>
  <c r="AF41" s="1"/>
  <c r="J41" i="154"/>
  <c r="AF41" s="1"/>
  <c r="AR38" i="145"/>
  <c r="Z51" i="190"/>
  <c r="AC501" i="175"/>
  <c r="Z69" i="190" s="1"/>
  <c r="AF36" i="152"/>
  <c r="AS37" i="161"/>
  <c r="D41" i="158"/>
  <c r="K41" s="1"/>
  <c r="N41" s="1"/>
  <c r="D41" i="143"/>
  <c r="K41" s="1"/>
  <c r="D41" i="155"/>
  <c r="K41" s="1"/>
  <c r="N41" s="1"/>
  <c r="D41" i="166"/>
  <c r="K41" s="1"/>
  <c r="N41" s="1"/>
  <c r="D41" i="150"/>
  <c r="K41" s="1"/>
  <c r="N41" s="1"/>
  <c r="AA39" i="166"/>
  <c r="X40" i="168"/>
  <c r="AB40"/>
  <c r="AB40" i="149"/>
  <c r="AS37" i="151"/>
  <c r="AA39" i="168"/>
  <c r="AA39" i="145"/>
  <c r="AI35" i="137"/>
  <c r="AB79" i="118"/>
  <c r="D35" i="137"/>
  <c r="B42" i="144"/>
  <c r="AM31" i="142" s="1"/>
  <c r="B42" i="168"/>
  <c r="B42" i="154"/>
  <c r="B42" i="151"/>
  <c r="B42" i="145"/>
  <c r="B42" i="166"/>
  <c r="B42" i="56"/>
  <c r="B42" i="165"/>
  <c r="B42" i="167"/>
  <c r="B42" i="162"/>
  <c r="B42" i="153"/>
  <c r="B42" i="149"/>
  <c r="B42" i="158"/>
  <c r="B42" i="150"/>
  <c r="B42" i="159"/>
  <c r="B42" i="164"/>
  <c r="B42" i="143"/>
  <c r="B42" i="171"/>
  <c r="B42" i="155"/>
  <c r="I35" i="137"/>
  <c r="J35" s="1"/>
  <c r="U34" i="49"/>
  <c r="T35"/>
  <c r="G41" i="143"/>
  <c r="AD41" s="1"/>
  <c r="G41" i="159"/>
  <c r="AD41" s="1"/>
  <c r="G41" i="145"/>
  <c r="AD41" s="1"/>
  <c r="G41" i="167"/>
  <c r="AD41" s="1"/>
  <c r="G41" i="151"/>
  <c r="AD41" s="1"/>
  <c r="AK35" i="51"/>
  <c r="B28" i="72"/>
  <c r="D28" s="1"/>
  <c r="I28" s="1"/>
  <c r="H28" s="1"/>
  <c r="G28" s="1"/>
  <c r="F28" s="1"/>
  <c r="E28" s="1"/>
  <c r="AV35" i="51"/>
  <c r="AX35" s="1"/>
  <c r="AB28" i="118"/>
  <c r="AA39" i="167"/>
  <c r="AD42" i="162"/>
  <c r="AB40" i="159"/>
  <c r="X40"/>
  <c r="AS36" i="146"/>
  <c r="AA37" i="147"/>
  <c r="AS37" i="165"/>
  <c r="AR40" i="162"/>
  <c r="G40" i="146"/>
  <c r="F39"/>
  <c r="AD39"/>
  <c r="X39"/>
  <c r="AA39" i="153"/>
  <c r="AS37" i="167"/>
  <c r="J41" i="159"/>
  <c r="AF41" s="1"/>
  <c r="J41" i="155"/>
  <c r="AF41" s="1"/>
  <c r="J41" i="56"/>
  <c r="AF41" s="1"/>
  <c r="J41" i="153"/>
  <c r="AF41" s="1"/>
  <c r="J41" i="144"/>
  <c r="AF41" s="1"/>
  <c r="BJ41" i="161"/>
  <c r="D41" s="1"/>
  <c r="BV41"/>
  <c r="J41" s="1"/>
  <c r="AA39" i="159"/>
  <c r="W12" i="189"/>
  <c r="AW12" s="1"/>
  <c r="Z797" i="175"/>
  <c r="W74" i="189" s="1"/>
  <c r="AZ735" i="175"/>
  <c r="AD36" i="152"/>
  <c r="W4" i="189"/>
  <c r="AW4" s="1"/>
  <c r="Z789" i="175"/>
  <c r="AZ727"/>
  <c r="C41" i="162"/>
  <c r="O40" i="154"/>
  <c r="R40" s="1"/>
  <c r="S40" i="159"/>
  <c r="V40" s="1"/>
  <c r="S40" i="143"/>
  <c r="V40" s="1"/>
  <c r="F41" i="162"/>
  <c r="K40" i="150"/>
  <c r="N40" s="1"/>
  <c r="S40" i="164"/>
  <c r="V40" s="1"/>
  <c r="L35" i="49"/>
  <c r="O40" i="153"/>
  <c r="R40" s="1"/>
  <c r="O40" i="155"/>
  <c r="R40" s="1"/>
  <c r="AR39"/>
  <c r="K40" i="144"/>
  <c r="K40" i="164"/>
  <c r="N40" s="1"/>
  <c r="AS38" i="171"/>
  <c r="O40" i="145"/>
  <c r="R40" s="1"/>
  <c r="K40" i="143"/>
  <c r="K40" i="155"/>
  <c r="N40" s="1"/>
  <c r="K40" i="158"/>
  <c r="N40" s="1"/>
  <c r="AB138" i="175"/>
  <c r="T27" i="120"/>
  <c r="E25" i="140"/>
  <c r="U26"/>
  <c r="E25" i="120"/>
  <c r="G23" i="67"/>
  <c r="X21" i="119"/>
  <c r="AB131" i="175"/>
  <c r="V132"/>
  <c r="AA676"/>
  <c r="X22" i="140"/>
  <c r="M26" i="119"/>
  <c r="O40" i="163"/>
  <c r="E41"/>
  <c r="Z710" i="175"/>
  <c r="K35" i="160"/>
  <c r="O20" i="67"/>
  <c r="W26" i="140"/>
  <c r="AA45" i="175"/>
  <c r="Q27" i="119"/>
  <c r="AC206" i="175"/>
  <c r="K25" i="68"/>
  <c r="W39" i="175"/>
  <c r="U25" i="71"/>
  <c r="Q27" i="140"/>
  <c r="P26" i="119"/>
  <c r="AB173" i="175"/>
  <c r="AC274"/>
  <c r="AA203"/>
  <c r="X21" i="71"/>
  <c r="Q29" i="69"/>
  <c r="AA36" i="175"/>
  <c r="B26" i="140"/>
  <c r="AB150" i="175"/>
  <c r="N25" i="68"/>
  <c r="H25" i="67"/>
  <c r="Z667" i="175"/>
  <c r="U384"/>
  <c r="B16" i="64"/>
  <c r="G22" i="68"/>
  <c r="Z706" i="175"/>
  <c r="H24" i="68"/>
  <c r="AA398" i="175"/>
  <c r="L25" i="68"/>
  <c r="X253" i="175"/>
  <c r="B36" i="160"/>
  <c r="W197" i="175"/>
  <c r="W194"/>
  <c r="AA666"/>
  <c r="J25" i="71"/>
  <c r="W661" i="175"/>
  <c r="I26" i="120"/>
  <c r="O20" i="64"/>
  <c r="V694" i="175"/>
  <c r="W259"/>
  <c r="X700"/>
  <c r="W26" i="64"/>
  <c r="X134" i="175"/>
  <c r="Y698"/>
  <c r="P26" i="140"/>
  <c r="M26" i="64"/>
  <c r="J27" i="119"/>
  <c r="U664" i="175"/>
  <c r="B18" i="119"/>
  <c r="Z668" i="175"/>
  <c r="AB144"/>
  <c r="AC272"/>
  <c r="H39" i="148"/>
  <c r="AB45" i="175"/>
  <c r="F24" i="120"/>
  <c r="S24" i="64"/>
  <c r="I26" i="119"/>
  <c r="K41" i="163"/>
  <c r="Y199" i="175"/>
  <c r="AA202"/>
  <c r="X385"/>
  <c r="AA378"/>
  <c r="AC271"/>
  <c r="O21" i="120"/>
  <c r="Z387" i="175"/>
  <c r="B41" i="146"/>
  <c r="AA678" i="175"/>
  <c r="B42" i="161"/>
  <c r="O19" i="71"/>
  <c r="W258" i="175"/>
  <c r="Z689"/>
  <c r="AB151"/>
  <c r="G23" i="120"/>
  <c r="L26" i="64"/>
  <c r="D26"/>
  <c r="O20" i="119"/>
  <c r="H26" i="67"/>
  <c r="H25" i="64"/>
  <c r="R26" i="67"/>
  <c r="AA207" i="175"/>
  <c r="S26" i="119"/>
  <c r="B37" i="152"/>
  <c r="S41" i="161"/>
  <c r="E42"/>
  <c r="V25" i="71"/>
  <c r="Q28" i="64"/>
  <c r="AA396" i="175"/>
  <c r="I27" i="119"/>
  <c r="AB56" i="175"/>
  <c r="Y690"/>
  <c r="S26" i="140"/>
  <c r="E38" i="152"/>
  <c r="M25" i="71"/>
  <c r="R24"/>
  <c r="X665" i="175"/>
  <c r="AC213"/>
  <c r="O21" i="140"/>
  <c r="C26"/>
  <c r="AB52" i="175"/>
  <c r="V377"/>
  <c r="X195"/>
  <c r="L25" i="71"/>
  <c r="T176" i="175"/>
  <c r="N25" i="71"/>
  <c r="W196" i="175"/>
  <c r="M26" i="120"/>
  <c r="AA204" i="175"/>
  <c r="U26" i="120"/>
  <c r="W260" i="175"/>
  <c r="T27" i="119"/>
  <c r="K41" i="161"/>
  <c r="E24" i="68"/>
  <c r="Z659" i="175"/>
  <c r="N26" i="140"/>
  <c r="Y669" i="175"/>
  <c r="AC208"/>
  <c r="P26" i="64"/>
  <c r="Y261" i="175"/>
  <c r="V380"/>
  <c r="U26" i="119"/>
  <c r="P25" i="68"/>
  <c r="Y42" i="175"/>
  <c r="K41" i="146"/>
  <c r="G23" i="140"/>
  <c r="O42" i="161"/>
  <c r="AB53" i="175"/>
  <c r="W133"/>
  <c r="K26" i="140"/>
  <c r="V25" i="68"/>
  <c r="M27" i="119"/>
  <c r="L26" i="140"/>
  <c r="AA392" i="175"/>
  <c r="W696"/>
  <c r="J26" i="140"/>
  <c r="B38" i="148"/>
  <c r="K36" i="152"/>
  <c r="V26" i="140"/>
  <c r="W26" i="120"/>
  <c r="S36" i="160"/>
  <c r="F23" i="68"/>
  <c r="AC209" i="175"/>
  <c r="AB139"/>
  <c r="V382"/>
  <c r="AB192"/>
  <c r="Y699"/>
  <c r="AC270"/>
  <c r="X137"/>
  <c r="U26" i="64"/>
  <c r="AA675" i="175"/>
  <c r="V41"/>
  <c r="AC205"/>
  <c r="F24" i="64"/>
  <c r="AB49" i="175"/>
  <c r="W25" i="71"/>
  <c r="Z703" i="175"/>
  <c r="O38" i="148"/>
  <c r="H38" i="152"/>
  <c r="S25" i="64"/>
  <c r="AB130" i="175"/>
  <c r="T25" i="68"/>
  <c r="F23" i="71"/>
  <c r="V692" i="175"/>
  <c r="E26" i="119"/>
  <c r="E24" i="71"/>
  <c r="O19" i="68"/>
  <c r="AB254" i="175"/>
  <c r="W381"/>
  <c r="O39" i="147"/>
  <c r="N26" i="120"/>
  <c r="AB263" i="175"/>
  <c r="AB54"/>
  <c r="AC210"/>
  <c r="W256"/>
  <c r="AB148"/>
  <c r="AB44"/>
  <c r="E39" i="148"/>
  <c r="AB140" i="175"/>
  <c r="M26" i="140"/>
  <c r="AA201" i="175"/>
  <c r="S37" i="152"/>
  <c r="W26" i="67"/>
  <c r="AB147" i="175"/>
  <c r="G23" i="64"/>
  <c r="J26" i="67"/>
  <c r="AA399" i="175"/>
  <c r="AC264"/>
  <c r="AC275"/>
  <c r="H40" i="147"/>
  <c r="I26" i="64"/>
  <c r="AA386" i="175"/>
  <c r="M25" i="68"/>
  <c r="I26"/>
  <c r="S41" i="163"/>
  <c r="J26" i="64"/>
  <c r="K26"/>
  <c r="P25" i="71"/>
  <c r="H42" i="163"/>
  <c r="N26" i="67"/>
  <c r="V26" i="119"/>
  <c r="X191" i="175"/>
  <c r="AB43"/>
  <c r="H37" i="160"/>
  <c r="AB141" i="175"/>
  <c r="D25" i="71"/>
  <c r="K26" i="120"/>
  <c r="Z709" i="175"/>
  <c r="H26" i="140"/>
  <c r="H26" i="64"/>
  <c r="W129" i="175"/>
  <c r="Q27" i="71"/>
  <c r="D25" i="68"/>
  <c r="I26" i="67"/>
  <c r="B40" i="147"/>
  <c r="AB269" i="175"/>
  <c r="I25" i="71"/>
  <c r="O36" i="160"/>
  <c r="Z379" i="175"/>
  <c r="B16" i="67"/>
  <c r="S38" i="148"/>
  <c r="H42" i="161"/>
  <c r="R26" i="119"/>
  <c r="W25" i="68"/>
  <c r="E25" i="67"/>
  <c r="V26" i="120"/>
  <c r="Z46" i="175"/>
  <c r="O37" i="152"/>
  <c r="AC212" i="175"/>
  <c r="O40" i="146"/>
  <c r="AB55" i="175"/>
  <c r="AB149"/>
  <c r="AE442"/>
  <c r="V383"/>
  <c r="S23" i="71"/>
  <c r="K38" i="147"/>
  <c r="R26" i="140"/>
  <c r="AB262" i="175"/>
  <c r="W657"/>
  <c r="H41" i="146"/>
  <c r="R25" i="71"/>
  <c r="AC267" i="175"/>
  <c r="AC211"/>
  <c r="F24" i="67"/>
  <c r="AA658" i="175"/>
  <c r="H24" i="71"/>
  <c r="R25" i="120"/>
  <c r="V26" i="64"/>
  <c r="X257" i="175"/>
  <c r="W198"/>
  <c r="K37" i="148"/>
  <c r="AB265" i="175"/>
  <c r="N26" i="64"/>
  <c r="AA677" i="175"/>
  <c r="AA679"/>
  <c r="AC268"/>
  <c r="B16" i="119"/>
  <c r="J26" i="120"/>
  <c r="G22" i="119"/>
  <c r="V136" i="175"/>
  <c r="AB175"/>
  <c r="B16" i="68"/>
  <c r="U25"/>
  <c r="AA397" i="175"/>
  <c r="AE440"/>
  <c r="J25" i="68"/>
  <c r="C26" i="120"/>
  <c r="Z388" i="175"/>
  <c r="B18" i="67"/>
  <c r="AC200" i="175"/>
  <c r="AA672"/>
  <c r="D26" i="67"/>
  <c r="AA46" i="175"/>
  <c r="U691"/>
  <c r="AB266"/>
  <c r="AC273"/>
  <c r="E41" i="146"/>
  <c r="P27" i="120"/>
  <c r="V26" i="67"/>
  <c r="AA193" i="175"/>
  <c r="R24" i="68"/>
  <c r="Q28" i="67"/>
  <c r="S25"/>
  <c r="B26" i="120"/>
  <c r="B42" i="163"/>
  <c r="E40" i="147"/>
  <c r="P26" i="67"/>
  <c r="L26"/>
  <c r="S39" i="147"/>
  <c r="S40" i="146"/>
  <c r="Z389" i="175"/>
  <c r="G22" i="71"/>
  <c r="K25"/>
  <c r="Q27" i="68"/>
  <c r="E37" i="160"/>
  <c r="U693" i="175"/>
  <c r="L26" i="120"/>
  <c r="AA255" i="175"/>
  <c r="K26" i="67"/>
  <c r="E25" i="64"/>
  <c r="Z708" i="175"/>
  <c r="D26" i="140"/>
  <c r="S24" i="67"/>
  <c r="M26"/>
  <c r="AB174" i="175"/>
  <c r="T27" i="140"/>
  <c r="X135" i="175"/>
  <c r="AA395"/>
  <c r="Z697"/>
  <c r="Q27" i="120"/>
  <c r="F24" i="140"/>
  <c r="S26" i="120"/>
  <c r="B18" i="64"/>
  <c r="Z707" i="175"/>
  <c r="F23" i="119"/>
  <c r="U26" i="67"/>
  <c r="W40" i="175"/>
  <c r="I26" i="140"/>
  <c r="D26" i="120"/>
  <c r="AB35" i="175"/>
  <c r="X22" i="120"/>
  <c r="AB172" i="175"/>
  <c r="X20" i="68"/>
  <c r="S24"/>
  <c r="V37" i="175"/>
  <c r="U27" i="119"/>
  <c r="AA667" i="175"/>
  <c r="R26" i="64"/>
  <c r="AX792" i="175" l="1"/>
  <c r="AB772"/>
  <c r="Y49" i="189" s="1"/>
  <c r="X49"/>
  <c r="AB36" i="190"/>
  <c r="AY36" s="1"/>
  <c r="AE473" i="175"/>
  <c r="AB54" i="190" s="1"/>
  <c r="AY54" s="1"/>
  <c r="BB442" i="175"/>
  <c r="AZ738"/>
  <c r="AZ123" i="118"/>
  <c r="AZ170"/>
  <c r="AA738" i="175"/>
  <c r="X15" i="189" s="1"/>
  <c r="Z800" i="175"/>
  <c r="W77" i="189" s="1"/>
  <c r="AW77" s="1"/>
  <c r="AS36" i="164"/>
  <c r="Z799" i="175"/>
  <c r="W76" i="189" s="1"/>
  <c r="AW76" s="1"/>
  <c r="AZ769" i="175"/>
  <c r="AZ264" i="118"/>
  <c r="AZ28"/>
  <c r="AZ29"/>
  <c r="AZ263"/>
  <c r="AZ46" i="175"/>
  <c r="AZ389"/>
  <c r="X638"/>
  <c r="BA264" i="118"/>
  <c r="BA29"/>
  <c r="AA737" i="175"/>
  <c r="X14" i="189" s="1"/>
  <c r="Y637" i="175"/>
  <c r="AZ668"/>
  <c r="AZ388"/>
  <c r="V788"/>
  <c r="S65" i="189" s="1"/>
  <c r="AA39" i="149"/>
  <c r="W14" i="189"/>
  <c r="AW14" s="1"/>
  <c r="AR33" i="160"/>
  <c r="AS33" s="1"/>
  <c r="AX788" i="175"/>
  <c r="BE259" i="118"/>
  <c r="BE71"/>
  <c r="BE166"/>
  <c r="BE119"/>
  <c r="BE24"/>
  <c r="V733" i="175"/>
  <c r="AX664"/>
  <c r="AX384"/>
  <c r="AJ34" i="160"/>
  <c r="AX733" i="175"/>
  <c r="R10" i="189"/>
  <c r="AU10" s="1"/>
  <c r="U795" i="175"/>
  <c r="BL72" i="118"/>
  <c r="W726" i="175"/>
  <c r="W788" s="1"/>
  <c r="T65" i="189" s="1"/>
  <c r="AJ35" i="152"/>
  <c r="AR35" s="1"/>
  <c r="AR34"/>
  <c r="AS34" s="1"/>
  <c r="W796" i="175"/>
  <c r="T73" i="189" s="1"/>
  <c r="R6"/>
  <c r="AU6" s="1"/>
  <c r="BI71" i="118"/>
  <c r="N37" i="148"/>
  <c r="D37" i="152"/>
  <c r="X37" s="1"/>
  <c r="N38" i="147"/>
  <c r="X734" i="175"/>
  <c r="X796" s="1"/>
  <c r="U73" i="189" s="1"/>
  <c r="W730" i="175"/>
  <c r="W792" s="1"/>
  <c r="T69" i="189" s="1"/>
  <c r="V729" i="175"/>
  <c r="S6" i="189" s="1"/>
  <c r="BD73" i="118"/>
  <c r="BH72"/>
  <c r="BI24"/>
  <c r="BI259"/>
  <c r="N36" i="152"/>
  <c r="N35" i="160"/>
  <c r="AB37" i="148"/>
  <c r="D38"/>
  <c r="X38" s="1"/>
  <c r="C37"/>
  <c r="AB38" i="147"/>
  <c r="AJ38" s="1"/>
  <c r="D39"/>
  <c r="X39" s="1"/>
  <c r="C38"/>
  <c r="V792" i="175"/>
  <c r="S69" i="189" s="1"/>
  <c r="AB36" i="152"/>
  <c r="AB35" i="160"/>
  <c r="D36"/>
  <c r="X36" s="1"/>
  <c r="C35"/>
  <c r="U791" i="175"/>
  <c r="R68" i="189" s="1"/>
  <c r="AU68" s="1"/>
  <c r="X36" i="152"/>
  <c r="X35" i="160"/>
  <c r="AA34"/>
  <c r="AG20" i="72"/>
  <c r="AA30" i="143"/>
  <c r="X31"/>
  <c r="AC31"/>
  <c r="AJ31" s="1"/>
  <c r="N31"/>
  <c r="AY123" i="118"/>
  <c r="AY170"/>
  <c r="AZ806" i="175"/>
  <c r="BH120" i="118"/>
  <c r="BH167"/>
  <c r="V630" i="175"/>
  <c r="AW83" i="189"/>
  <c r="AW13"/>
  <c r="AS39" i="56"/>
  <c r="AZ810" i="175"/>
  <c r="AZ808"/>
  <c r="AZ736"/>
  <c r="AR265" i="118"/>
  <c r="BB170"/>
  <c r="BB123"/>
  <c r="BI119"/>
  <c r="BI166"/>
  <c r="AQ265"/>
  <c r="AQ171"/>
  <c r="AQ124"/>
  <c r="AU124"/>
  <c r="AU171"/>
  <c r="AS124"/>
  <c r="AS171"/>
  <c r="AQ30"/>
  <c r="AT30"/>
  <c r="AR77"/>
  <c r="AT171"/>
  <c r="AT124"/>
  <c r="AQ78"/>
  <c r="BA30"/>
  <c r="BD121"/>
  <c r="BD168"/>
  <c r="AR171"/>
  <c r="AR124"/>
  <c r="AP265"/>
  <c r="AR78"/>
  <c r="BA265"/>
  <c r="BD27"/>
  <c r="AT265"/>
  <c r="AP30"/>
  <c r="AQ77"/>
  <c r="AR30"/>
  <c r="AS30"/>
  <c r="AW77"/>
  <c r="BD262"/>
  <c r="AS265"/>
  <c r="AP124"/>
  <c r="AP171"/>
  <c r="U629" i="175"/>
  <c r="AX629" s="1"/>
  <c r="AX691"/>
  <c r="AB744"/>
  <c r="W634"/>
  <c r="Z644"/>
  <c r="AZ644" s="1"/>
  <c r="AZ706"/>
  <c r="Z647"/>
  <c r="AZ647" s="1"/>
  <c r="AZ709"/>
  <c r="AB746"/>
  <c r="Z646"/>
  <c r="AZ646" s="1"/>
  <c r="AZ708"/>
  <c r="AB748"/>
  <c r="AB747"/>
  <c r="AZ387"/>
  <c r="AA736"/>
  <c r="X13" i="189" s="1"/>
  <c r="T190" i="175"/>
  <c r="Z648"/>
  <c r="AZ648" s="1"/>
  <c r="AZ710"/>
  <c r="Z645"/>
  <c r="AZ645" s="1"/>
  <c r="AZ707"/>
  <c r="AB745"/>
  <c r="Y636"/>
  <c r="AZ667"/>
  <c r="AJ40" i="159"/>
  <c r="AA38" i="164"/>
  <c r="AJ40" i="158"/>
  <c r="X24" i="189"/>
  <c r="AA809" i="175"/>
  <c r="AA806"/>
  <c r="X21" i="189"/>
  <c r="AJ39" i="163"/>
  <c r="AR39" s="1"/>
  <c r="AJ32" i="143"/>
  <c r="X25" i="189"/>
  <c r="AA810" i="175"/>
  <c r="X23" i="189"/>
  <c r="AA808" i="175"/>
  <c r="Z798"/>
  <c r="W75" i="189" s="1"/>
  <c r="AW75" s="1"/>
  <c r="AZ807" i="175"/>
  <c r="X22" i="189"/>
  <c r="AA807" i="175"/>
  <c r="W86" i="189"/>
  <c r="AW86" s="1"/>
  <c r="AZ809" i="175"/>
  <c r="AG22" i="72"/>
  <c r="X33" i="143"/>
  <c r="AC33"/>
  <c r="N33"/>
  <c r="M34"/>
  <c r="L34" s="1"/>
  <c r="AA32"/>
  <c r="AS39" i="155"/>
  <c r="AS37" i="149"/>
  <c r="V793" i="175"/>
  <c r="S70" i="189" s="1"/>
  <c r="AS38" i="159"/>
  <c r="AD165" i="118"/>
  <c r="AX793" i="175"/>
  <c r="AG125" i="118"/>
  <c r="AG172"/>
  <c r="AG78"/>
  <c r="AG32"/>
  <c r="AG267"/>
  <c r="AR38" i="149"/>
  <c r="AS38" i="150"/>
  <c r="BG25" i="118"/>
  <c r="BG119"/>
  <c r="BG166"/>
  <c r="BL120"/>
  <c r="BL167"/>
  <c r="BG260"/>
  <c r="BG73"/>
  <c r="W731" i="175"/>
  <c r="W793" s="1"/>
  <c r="T70" i="189" s="1"/>
  <c r="AX693" i="175"/>
  <c r="U631"/>
  <c r="AX631" s="1"/>
  <c r="AJ39" i="149"/>
  <c r="AD118" i="118"/>
  <c r="AS38" i="158"/>
  <c r="S41" i="168"/>
  <c r="V41" s="1"/>
  <c r="O41" i="153"/>
  <c r="R41" s="1"/>
  <c r="S41" i="143"/>
  <c r="V41" s="1"/>
  <c r="O41" i="150"/>
  <c r="R41" s="1"/>
  <c r="S41" i="155"/>
  <c r="V41" s="1"/>
  <c r="O41" i="168"/>
  <c r="R41" s="1"/>
  <c r="O41" i="154"/>
  <c r="R41" s="1"/>
  <c r="O41" i="166"/>
  <c r="R41" s="1"/>
  <c r="S41" i="145"/>
  <c r="V41" s="1"/>
  <c r="S41" i="164"/>
  <c r="V41" s="1"/>
  <c r="S41" i="153"/>
  <c r="V41" s="1"/>
  <c r="S41" i="144"/>
  <c r="V41" s="1"/>
  <c r="BC124" i="118"/>
  <c r="BC171"/>
  <c r="O41" i="145"/>
  <c r="R41" s="1"/>
  <c r="AR40" i="56"/>
  <c r="O41" i="144"/>
  <c r="R41" s="1"/>
  <c r="O41" i="158"/>
  <c r="R41" s="1"/>
  <c r="V28" i="72"/>
  <c r="O41" i="56"/>
  <c r="R41" s="1"/>
  <c r="S41" i="167"/>
  <c r="V41" s="1"/>
  <c r="S41" i="159"/>
  <c r="V41" s="1"/>
  <c r="O41" i="143"/>
  <c r="R41" s="1"/>
  <c r="S41" i="150"/>
  <c r="V41" s="1"/>
  <c r="O41" i="164"/>
  <c r="R41" s="1"/>
  <c r="S41" i="151"/>
  <c r="V41" s="1"/>
  <c r="V29" i="72"/>
  <c r="BC77" i="118"/>
  <c r="W283" i="175"/>
  <c r="BF119" i="118"/>
  <c r="BF166"/>
  <c r="W221" i="175"/>
  <c r="W732"/>
  <c r="AV170" i="118"/>
  <c r="AV123"/>
  <c r="AZ77"/>
  <c r="AX171"/>
  <c r="AX124"/>
  <c r="BK77"/>
  <c r="BK125"/>
  <c r="BK172"/>
  <c r="N41" i="161"/>
  <c r="C41" i="146"/>
  <c r="N41"/>
  <c r="Y30" i="72"/>
  <c r="AW265" i="118"/>
  <c r="AW30"/>
  <c r="AB727" i="175"/>
  <c r="R38" i="148"/>
  <c r="G38" i="152"/>
  <c r="V38" i="148"/>
  <c r="J38" i="152"/>
  <c r="BC265" i="118"/>
  <c r="T30" i="72"/>
  <c r="BC30" i="118"/>
  <c r="AB27" i="72"/>
  <c r="AA728" i="175"/>
  <c r="V632"/>
  <c r="R39" i="147"/>
  <c r="S30" i="72"/>
  <c r="Z635" i="175"/>
  <c r="AZ635" s="1"/>
  <c r="AZ697"/>
  <c r="AD29" i="72"/>
  <c r="BJ264" i="118"/>
  <c r="BJ29"/>
  <c r="D42" i="163"/>
  <c r="AE30" i="72"/>
  <c r="BK265" i="118"/>
  <c r="X30" i="72"/>
  <c r="BK30" i="118"/>
  <c r="AZ379" i="175"/>
  <c r="V36" i="160"/>
  <c r="Z30" i="72"/>
  <c r="AE470" i="175"/>
  <c r="AB34" i="190"/>
  <c r="AY34" s="1"/>
  <c r="AE471" i="175"/>
  <c r="BB440"/>
  <c r="AI404" i="118"/>
  <c r="Z641" i="175"/>
  <c r="AZ641" s="1"/>
  <c r="AZ703"/>
  <c r="R40" i="163"/>
  <c r="N41"/>
  <c r="BJ77" i="118"/>
  <c r="BB77"/>
  <c r="AW124"/>
  <c r="AW171"/>
  <c r="BJ170"/>
  <c r="BJ123"/>
  <c r="BF73"/>
  <c r="R30" i="72"/>
  <c r="J42" i="163"/>
  <c r="V40" i="146"/>
  <c r="V39" i="147"/>
  <c r="V41" i="161"/>
  <c r="AA30" i="72"/>
  <c r="BB30" i="118"/>
  <c r="BB265"/>
  <c r="AB735" i="175"/>
  <c r="V37" i="152"/>
  <c r="AC28" i="72"/>
  <c r="R40" i="146"/>
  <c r="AB741" i="175"/>
  <c r="W32" i="72"/>
  <c r="R42" i="161"/>
  <c r="AZ659" i="175"/>
  <c r="BF25" i="118"/>
  <c r="BF260"/>
  <c r="Y628" i="175"/>
  <c r="G41" i="163"/>
  <c r="X41" s="1"/>
  <c r="Z627" i="175"/>
  <c r="AZ627" s="1"/>
  <c r="AZ689"/>
  <c r="R36" i="160"/>
  <c r="R37" i="152"/>
  <c r="V41" i="163"/>
  <c r="AA39" i="164"/>
  <c r="C41" i="161"/>
  <c r="X41"/>
  <c r="AB41"/>
  <c r="U35" i="49"/>
  <c r="T36"/>
  <c r="D42" i="150"/>
  <c r="K42" s="1"/>
  <c r="N42" s="1"/>
  <c r="K42" i="162"/>
  <c r="N42" s="1"/>
  <c r="D42" i="166"/>
  <c r="D42" i="168"/>
  <c r="AA40" i="154"/>
  <c r="G42" i="159"/>
  <c r="AD42" s="1"/>
  <c r="BC42" i="149"/>
  <c r="BB42"/>
  <c r="G42" i="56"/>
  <c r="AD42" s="1"/>
  <c r="X41" i="159"/>
  <c r="AB41"/>
  <c r="AJ40" i="161"/>
  <c r="J42" i="143"/>
  <c r="AF42" s="1"/>
  <c r="J42" i="151"/>
  <c r="AF42" s="1"/>
  <c r="F38" i="148"/>
  <c r="G39"/>
  <c r="AD38"/>
  <c r="AF38"/>
  <c r="I38"/>
  <c r="J39"/>
  <c r="AS38" i="167"/>
  <c r="AR36" i="148"/>
  <c r="W80" i="189"/>
  <c r="AW80" s="1"/>
  <c r="AZ803" i="175"/>
  <c r="AA40" i="158"/>
  <c r="AA40" i="166"/>
  <c r="AB41" i="168"/>
  <c r="X41"/>
  <c r="BU403" i="118"/>
  <c r="BR403"/>
  <c r="BJ403"/>
  <c r="BT403"/>
  <c r="BV403"/>
  <c r="BH403"/>
  <c r="BO403"/>
  <c r="BG403"/>
  <c r="AE403" s="1"/>
  <c r="BL403"/>
  <c r="BI403"/>
  <c r="BM403"/>
  <c r="BK403"/>
  <c r="BN403"/>
  <c r="BS403"/>
  <c r="BX403"/>
  <c r="BP403"/>
  <c r="BQ403"/>
  <c r="BW403"/>
  <c r="AA37" i="148"/>
  <c r="AJ39" i="146"/>
  <c r="D42" i="159"/>
  <c r="K42" s="1"/>
  <c r="N42" s="1"/>
  <c r="D42" i="56"/>
  <c r="AR39" i="168"/>
  <c r="AW37" i="51"/>
  <c r="J37"/>
  <c r="AA40" i="171" s="1"/>
  <c r="AR40" s="1"/>
  <c r="AZ37" i="51"/>
  <c r="AJ42" i="162"/>
  <c r="G42" i="171"/>
  <c r="AD42" s="1"/>
  <c r="G42" i="153"/>
  <c r="AD42" s="1"/>
  <c r="J42" i="145"/>
  <c r="AF42" s="1"/>
  <c r="J42" i="153"/>
  <c r="AF42" s="1"/>
  <c r="X41" i="145"/>
  <c r="AB41"/>
  <c r="AA40" i="163"/>
  <c r="AI36" i="137"/>
  <c r="D36"/>
  <c r="AB80" i="118"/>
  <c r="B43" i="143"/>
  <c r="B43" i="158"/>
  <c r="B43" i="151"/>
  <c r="B43" i="153"/>
  <c r="B43" i="168"/>
  <c r="B43" i="144"/>
  <c r="AM32" i="142" s="1"/>
  <c r="B43" i="154"/>
  <c r="B43" i="167"/>
  <c r="B43" i="56"/>
  <c r="B43" i="145"/>
  <c r="B43" i="162"/>
  <c r="B43" i="166"/>
  <c r="B43" i="155"/>
  <c r="B43" i="165"/>
  <c r="B43" i="164"/>
  <c r="B43" i="159"/>
  <c r="B43" i="149"/>
  <c r="B43" i="150"/>
  <c r="B43" i="171"/>
  <c r="I36" i="137"/>
  <c r="J36" s="1"/>
  <c r="AD39" i="147"/>
  <c r="F39"/>
  <c r="G40"/>
  <c r="AC41" i="151"/>
  <c r="X41"/>
  <c r="AA40" i="167"/>
  <c r="AD43" i="162"/>
  <c r="C38" i="13"/>
  <c r="D39"/>
  <c r="AL45" i="171"/>
  <c r="AM45" s="1"/>
  <c r="CB45" i="162"/>
  <c r="AS38" i="166"/>
  <c r="W66" i="189"/>
  <c r="AW66" s="1"/>
  <c r="AZ789" i="175"/>
  <c r="AR39" i="159"/>
  <c r="AA39" i="146"/>
  <c r="D42" i="164"/>
  <c r="D42" i="149"/>
  <c r="K42" s="1"/>
  <c r="N42" s="1"/>
  <c r="C42" i="165"/>
  <c r="K42"/>
  <c r="N42" s="1"/>
  <c r="D42" i="151"/>
  <c r="X41" i="155"/>
  <c r="AA41" s="1"/>
  <c r="AB41"/>
  <c r="AJ41" s="1"/>
  <c r="AR39" i="158"/>
  <c r="AJ40" i="165"/>
  <c r="AJ40" i="151"/>
  <c r="BM41" i="164"/>
  <c r="BP41"/>
  <c r="BT41"/>
  <c r="G42" i="150"/>
  <c r="AD42" s="1"/>
  <c r="G42" i="155"/>
  <c r="AD42" s="1"/>
  <c r="G42" i="168"/>
  <c r="AD42" s="1"/>
  <c r="G42" i="167"/>
  <c r="AD42" s="1"/>
  <c r="G42" i="151"/>
  <c r="AD42" s="1"/>
  <c r="AA40" i="145"/>
  <c r="AA40" i="161"/>
  <c r="J42" i="56"/>
  <c r="AF42" s="1"/>
  <c r="J42" i="171"/>
  <c r="AF42" s="1"/>
  <c r="S42" i="162"/>
  <c r="V42" s="1"/>
  <c r="J42" i="166"/>
  <c r="AF42" s="1"/>
  <c r="J42" i="167"/>
  <c r="AF42" s="1"/>
  <c r="AR39" i="165"/>
  <c r="AS38"/>
  <c r="AK36" i="51"/>
  <c r="AV36"/>
  <c r="AX36" s="1"/>
  <c r="B29" i="72"/>
  <c r="D29" s="1"/>
  <c r="I29" s="1"/>
  <c r="H29" s="1"/>
  <c r="G29" s="1"/>
  <c r="F29" s="1"/>
  <c r="E29" s="1"/>
  <c r="AB29" i="118"/>
  <c r="X41" i="171"/>
  <c r="H38" i="51"/>
  <c r="I38" s="1"/>
  <c r="AB266" i="118"/>
  <c r="AF36" i="160"/>
  <c r="I36"/>
  <c r="J37"/>
  <c r="E43" i="56"/>
  <c r="AB127" i="118"/>
  <c r="E43" i="151"/>
  <c r="E43" i="154"/>
  <c r="E43" i="165"/>
  <c r="E43" i="144"/>
  <c r="E43" i="167"/>
  <c r="E43" i="162"/>
  <c r="E43" i="149"/>
  <c r="F36" i="137"/>
  <c r="BC43" i="161" s="1"/>
  <c r="BP43" s="1"/>
  <c r="G43" s="1"/>
  <c r="E43" i="145"/>
  <c r="E43" i="166"/>
  <c r="E43" i="153"/>
  <c r="E43" i="168"/>
  <c r="E43" i="150"/>
  <c r="E43" i="158"/>
  <c r="E43" i="171"/>
  <c r="E43" i="159"/>
  <c r="E43" i="143"/>
  <c r="E43" i="155"/>
  <c r="E43" i="164"/>
  <c r="AA40" i="153"/>
  <c r="AR39" i="154"/>
  <c r="X41" i="56"/>
  <c r="AA41" s="1"/>
  <c r="AB41"/>
  <c r="AJ41" s="1"/>
  <c r="AB41" i="153"/>
  <c r="X41"/>
  <c r="AJ40" i="167"/>
  <c r="AM43" i="162"/>
  <c r="AS38" i="154"/>
  <c r="AS37" i="163"/>
  <c r="CC44" i="162"/>
  <c r="D44" s="1"/>
  <c r="CE44"/>
  <c r="J44" s="1"/>
  <c r="CD44"/>
  <c r="G44" s="1"/>
  <c r="CG44"/>
  <c r="AL44" s="1"/>
  <c r="AR41"/>
  <c r="AB41" i="154"/>
  <c r="X41"/>
  <c r="AB41" i="164"/>
  <c r="AD40" i="163"/>
  <c r="S9" i="189"/>
  <c r="V794" i="175"/>
  <c r="W5" i="189"/>
  <c r="AW5" s="1"/>
  <c r="Z790" i="175"/>
  <c r="W67" i="189" s="1"/>
  <c r="AZ728" i="175"/>
  <c r="AX632"/>
  <c r="AB41" i="163"/>
  <c r="S41" i="166"/>
  <c r="V41" s="1"/>
  <c r="O41" i="151"/>
  <c r="R41" s="1"/>
  <c r="BD41" i="149"/>
  <c r="G41" s="1"/>
  <c r="AS39" i="171"/>
  <c r="AW74" i="189"/>
  <c r="BQ39" i="164"/>
  <c r="BR39" s="1"/>
  <c r="AE39" s="1"/>
  <c r="K41" i="145"/>
  <c r="N41" s="1"/>
  <c r="K36" i="49"/>
  <c r="AA40" i="159"/>
  <c r="AR39" i="167"/>
  <c r="D42" i="171"/>
  <c r="AB42" s="1"/>
  <c r="AA40" i="168"/>
  <c r="AS38" i="145"/>
  <c r="BK42" i="164"/>
  <c r="BL42" s="1"/>
  <c r="G42"/>
  <c r="AD42" s="1"/>
  <c r="G42" i="166"/>
  <c r="AD42" s="1"/>
  <c r="G42" i="144"/>
  <c r="AD42" s="1"/>
  <c r="V67" i="189"/>
  <c r="AR37" i="164"/>
  <c r="J42"/>
  <c r="AF42" s="1"/>
  <c r="BK42" i="165"/>
  <c r="I42"/>
  <c r="S42"/>
  <c r="V42" s="1"/>
  <c r="J42" i="144"/>
  <c r="AF42" s="1"/>
  <c r="AS38" i="153"/>
  <c r="H36" i="137"/>
  <c r="BD43" i="161" s="1"/>
  <c r="H43" i="154"/>
  <c r="H43" i="144"/>
  <c r="H43" i="166"/>
  <c r="H43" i="164"/>
  <c r="H43" i="167"/>
  <c r="H43" i="162"/>
  <c r="I43" s="1"/>
  <c r="H43" i="151"/>
  <c r="H43" i="153"/>
  <c r="H43" i="165"/>
  <c r="H43" i="168"/>
  <c r="H43" i="145"/>
  <c r="H43" i="155"/>
  <c r="H43" i="56"/>
  <c r="H43" i="171"/>
  <c r="H43" i="150"/>
  <c r="H43" i="159"/>
  <c r="H43" i="149"/>
  <c r="H43" i="143"/>
  <c r="AB174" i="118"/>
  <c r="H43" i="158"/>
  <c r="AB41" i="167"/>
  <c r="X41"/>
  <c r="AB41" i="149"/>
  <c r="AF40" i="146"/>
  <c r="I40"/>
  <c r="J41"/>
  <c r="AF43" i="162"/>
  <c r="I39" i="147"/>
  <c r="AF39"/>
  <c r="J40"/>
  <c r="AS38" i="168"/>
  <c r="AA51" i="190"/>
  <c r="AD501" i="175"/>
  <c r="AA69" i="190" s="1"/>
  <c r="AF41" i="161"/>
  <c r="I41"/>
  <c r="AS40" i="162"/>
  <c r="D42" i="155"/>
  <c r="K42" s="1"/>
  <c r="N42" s="1"/>
  <c r="D42" i="153"/>
  <c r="D42" i="154"/>
  <c r="K42" s="1"/>
  <c r="N42" s="1"/>
  <c r="AJ40" i="168"/>
  <c r="X41" i="150"/>
  <c r="AB41"/>
  <c r="AJ41" s="1"/>
  <c r="AB41" i="158"/>
  <c r="X41"/>
  <c r="AA40" i="151"/>
  <c r="AD42" i="161"/>
  <c r="F42"/>
  <c r="G42" i="154"/>
  <c r="AD42" s="1"/>
  <c r="J42" i="159"/>
  <c r="AF42" s="1"/>
  <c r="J42" i="154"/>
  <c r="AF42" s="1"/>
  <c r="R71" i="189"/>
  <c r="AU71" s="1"/>
  <c r="AX794" i="175"/>
  <c r="AA40" i="150"/>
  <c r="AR39" i="161"/>
  <c r="AR38" i="163"/>
  <c r="AJ40" i="166"/>
  <c r="AS38" i="151"/>
  <c r="AF37" i="152"/>
  <c r="X12" i="189"/>
  <c r="AA797" i="175"/>
  <c r="AA789"/>
  <c r="X4" i="189"/>
  <c r="AA38" i="147"/>
  <c r="AR39" i="153"/>
  <c r="F40" i="146"/>
  <c r="AD40"/>
  <c r="G41"/>
  <c r="X40"/>
  <c r="AR37" i="147"/>
  <c r="Z41" i="171"/>
  <c r="AB360" i="118"/>
  <c r="AD360" s="1"/>
  <c r="W34" i="49"/>
  <c r="D42" i="143"/>
  <c r="D42" i="158"/>
  <c r="D42" i="167"/>
  <c r="D42" i="145"/>
  <c r="D42" i="144"/>
  <c r="AR39" i="145"/>
  <c r="AA40" i="149"/>
  <c r="AR39" i="166"/>
  <c r="X41"/>
  <c r="AB41"/>
  <c r="AJ40" i="154"/>
  <c r="AA42" i="162"/>
  <c r="G42" i="143"/>
  <c r="AD42" s="1"/>
  <c r="G42" i="158"/>
  <c r="AD42" s="1"/>
  <c r="G42" i="145"/>
  <c r="AD42" s="1"/>
  <c r="O42" i="162"/>
  <c r="R42" s="1"/>
  <c r="G42" i="165"/>
  <c r="AJ40" i="145"/>
  <c r="AR39" i="150"/>
  <c r="AR38" i="146"/>
  <c r="AS36" i="147"/>
  <c r="J42" i="158"/>
  <c r="AF42" s="1"/>
  <c r="J42" i="149"/>
  <c r="AF42" s="1"/>
  <c r="J42" i="155"/>
  <c r="AF42" s="1"/>
  <c r="J42" i="150"/>
  <c r="AF42" s="1"/>
  <c r="J42" i="168"/>
  <c r="AF42" s="1"/>
  <c r="BJ42" i="161"/>
  <c r="D42" s="1"/>
  <c r="BV42"/>
  <c r="J42" s="1"/>
  <c r="F40" i="149"/>
  <c r="AD40"/>
  <c r="O40"/>
  <c r="R40" s="1"/>
  <c r="Z35" i="49"/>
  <c r="M35"/>
  <c r="J36"/>
  <c r="AS37" i="146"/>
  <c r="X33" i="49"/>
  <c r="G37" i="51"/>
  <c r="AJ40" i="153"/>
  <c r="BN40" i="164"/>
  <c r="BU40" s="1"/>
  <c r="BV40" s="1"/>
  <c r="X40" s="1"/>
  <c r="AR39" i="151"/>
  <c r="X43" i="162"/>
  <c r="AB43"/>
  <c r="AD41" i="165"/>
  <c r="AS35" i="148"/>
  <c r="C37" i="137"/>
  <c r="G37"/>
  <c r="E37"/>
  <c r="AS38" i="161"/>
  <c r="F36" i="160"/>
  <c r="G37"/>
  <c r="AD36"/>
  <c r="X18" i="189"/>
  <c r="AA803" i="175"/>
  <c r="AD37" i="152"/>
  <c r="AF41" i="163"/>
  <c r="C42" i="162"/>
  <c r="AJ41" i="171"/>
  <c r="K41" i="159"/>
  <c r="N41" s="1"/>
  <c r="O41" i="155"/>
  <c r="R41" s="1"/>
  <c r="K41" i="167"/>
  <c r="N41" s="1"/>
  <c r="K41" i="149"/>
  <c r="N41" s="1"/>
  <c r="K41" i="168"/>
  <c r="N41" s="1"/>
  <c r="L36" i="49"/>
  <c r="S41" i="56"/>
  <c r="V41" s="1"/>
  <c r="O41" i="167"/>
  <c r="R41" s="1"/>
  <c r="O41" i="159"/>
  <c r="R41" s="1"/>
  <c r="S41" i="154"/>
  <c r="V41" s="1"/>
  <c r="AZ797" i="175"/>
  <c r="S41" i="171"/>
  <c r="V41" s="1"/>
  <c r="K41"/>
  <c r="N41" s="1"/>
  <c r="S41" i="149"/>
  <c r="V41" s="1"/>
  <c r="AR40" i="155"/>
  <c r="I42" i="162"/>
  <c r="K41" i="56"/>
  <c r="N41" s="1"/>
  <c r="K41" i="153"/>
  <c r="N41" s="1"/>
  <c r="O41" i="171"/>
  <c r="R41" s="1"/>
  <c r="S41" i="158"/>
  <c r="V41" s="1"/>
  <c r="K41" i="154"/>
  <c r="N41" s="1"/>
  <c r="K41" i="164"/>
  <c r="N41" s="1"/>
  <c r="AC55" i="175"/>
  <c r="AC147"/>
  <c r="AA708"/>
  <c r="V27" i="140"/>
  <c r="F24" i="68"/>
  <c r="N27" i="67"/>
  <c r="J27" i="140"/>
  <c r="AC53" i="175"/>
  <c r="Y38"/>
  <c r="Y257"/>
  <c r="B42" i="146"/>
  <c r="I28" i="119"/>
  <c r="B38" i="152"/>
  <c r="V693" i="175"/>
  <c r="P27" i="67"/>
  <c r="Z669" i="175"/>
  <c r="L27" i="119"/>
  <c r="AB36" i="175"/>
  <c r="T26" i="68"/>
  <c r="AA387" i="175"/>
  <c r="U26" i="68"/>
  <c r="AB677" i="175"/>
  <c r="W662"/>
  <c r="X129"/>
  <c r="B19" i="64"/>
  <c r="AA703" i="175"/>
  <c r="S39" i="148"/>
  <c r="O21" i="64"/>
  <c r="W27" i="140"/>
  <c r="W27" i="67"/>
  <c r="K36" i="160"/>
  <c r="AC56" i="175"/>
  <c r="AB396"/>
  <c r="I27" i="68"/>
  <c r="L28" i="119"/>
  <c r="B17" i="64"/>
  <c r="F25" i="140"/>
  <c r="AC172" i="175"/>
  <c r="S38" i="152"/>
  <c r="K27" i="119"/>
  <c r="K26" i="68"/>
  <c r="Y34" i="175"/>
  <c r="K39" i="147"/>
  <c r="S27" i="140"/>
  <c r="U27" i="120"/>
  <c r="Q28" i="119"/>
  <c r="W688" i="175"/>
  <c r="X22" i="119"/>
  <c r="E25" i="71"/>
  <c r="H28" i="119"/>
  <c r="AC144" i="175"/>
  <c r="P27" i="140"/>
  <c r="B18" i="71"/>
  <c r="S41" i="146"/>
  <c r="L26" i="68"/>
  <c r="L27" i="140"/>
  <c r="H26" i="71"/>
  <c r="H38" i="160"/>
  <c r="AC49" i="175"/>
  <c r="O21" i="119"/>
  <c r="AC151" i="175"/>
  <c r="H43" i="161"/>
  <c r="Z690" i="175"/>
  <c r="AC262"/>
  <c r="D26" i="68"/>
  <c r="AC149" i="175"/>
  <c r="I26" i="71"/>
  <c r="B43" i="163"/>
  <c r="V27" i="120"/>
  <c r="G24" i="140"/>
  <c r="Y137" i="175"/>
  <c r="V27" i="67"/>
  <c r="AB378" i="175"/>
  <c r="AA668"/>
  <c r="O20" i="71"/>
  <c r="E39" i="152"/>
  <c r="R26" i="120"/>
  <c r="W382" i="175"/>
  <c r="W692"/>
  <c r="AF440"/>
  <c r="H43" i="163"/>
  <c r="G23" i="119"/>
  <c r="P27"/>
  <c r="O38" i="152"/>
  <c r="X40" i="175"/>
  <c r="AD268"/>
  <c r="Z698"/>
  <c r="AC263"/>
  <c r="N27" i="140"/>
  <c r="C27"/>
  <c r="B19" i="119"/>
  <c r="O41" i="163"/>
  <c r="S42" i="161"/>
  <c r="I27" i="140"/>
  <c r="P26" i="71"/>
  <c r="R26"/>
  <c r="J26"/>
  <c r="O37" i="160"/>
  <c r="V26" i="68"/>
  <c r="K42" i="146"/>
  <c r="AD271" i="175"/>
  <c r="E40" i="148"/>
  <c r="V688" i="175"/>
  <c r="I27" i="120"/>
  <c r="AA659" i="175"/>
  <c r="AD275"/>
  <c r="AA706"/>
  <c r="X260"/>
  <c r="X197"/>
  <c r="AC140"/>
  <c r="E38" i="160"/>
  <c r="O39" i="148"/>
  <c r="S27" i="119"/>
  <c r="O20" i="68"/>
  <c r="H40" i="148"/>
  <c r="AC35" i="175"/>
  <c r="Z699"/>
  <c r="L26" i="71"/>
  <c r="O40" i="147"/>
  <c r="AD211" i="175"/>
  <c r="K38" i="148"/>
  <c r="AB398" i="175"/>
  <c r="AA689"/>
  <c r="AC54"/>
  <c r="W663"/>
  <c r="E26" i="67"/>
  <c r="Y135" i="175"/>
  <c r="AC131"/>
  <c r="AC254"/>
  <c r="E42" i="146"/>
  <c r="J27" i="67"/>
  <c r="V26" i="71"/>
  <c r="AB193" i="175"/>
  <c r="X23" i="140"/>
  <c r="S24" i="71"/>
  <c r="AC269" i="175"/>
  <c r="V27" i="64"/>
  <c r="Y134" i="175"/>
  <c r="T28" i="140"/>
  <c r="U27" i="67"/>
  <c r="S25" i="71"/>
  <c r="AB666" i="175"/>
  <c r="E43" i="161"/>
  <c r="E42" i="163"/>
  <c r="E26" i="140"/>
  <c r="AC265" i="175"/>
  <c r="Q29" i="67"/>
  <c r="X22"/>
  <c r="AA235" i="175"/>
  <c r="W27" i="119"/>
  <c r="H25" i="68"/>
  <c r="H42" i="146"/>
  <c r="V664" i="175"/>
  <c r="X696"/>
  <c r="Q28" i="120"/>
  <c r="AA698" i="175"/>
  <c r="AC150"/>
  <c r="AB203"/>
  <c r="X661"/>
  <c r="U27" i="64"/>
  <c r="V660" i="175"/>
  <c r="Q28" i="140"/>
  <c r="L27" i="67"/>
  <c r="V384" i="175"/>
  <c r="W26" i="71"/>
  <c r="U26"/>
  <c r="J27" i="120"/>
  <c r="AB658" i="175"/>
  <c r="P28" i="120"/>
  <c r="W383" i="175"/>
  <c r="O41" i="146"/>
  <c r="AB679" i="175"/>
  <c r="K26" i="71"/>
  <c r="O22" i="140"/>
  <c r="AB675" i="175"/>
  <c r="AC138"/>
  <c r="U27" i="140"/>
  <c r="O21" i="67"/>
  <c r="Q29" i="64"/>
  <c r="E41" i="147"/>
  <c r="M26" i="68"/>
  <c r="G24" i="120"/>
  <c r="B41" i="147"/>
  <c r="E25" i="68"/>
  <c r="M27" i="64"/>
  <c r="AB667" i="175"/>
  <c r="W377"/>
  <c r="X23" i="120"/>
  <c r="AA236" i="175"/>
  <c r="AA709"/>
  <c r="AD267"/>
  <c r="X258"/>
  <c r="B17" i="67"/>
  <c r="AD273" i="175"/>
  <c r="V27" i="119"/>
  <c r="AC139" i="175"/>
  <c r="R27" i="119"/>
  <c r="K42" i="161"/>
  <c r="J26" i="68"/>
  <c r="X38" i="175"/>
  <c r="W660"/>
  <c r="AD270"/>
  <c r="X256"/>
  <c r="G24" i="67"/>
  <c r="Y253" i="175"/>
  <c r="X37"/>
  <c r="AA388"/>
  <c r="D26" i="71"/>
  <c r="W27" i="120"/>
  <c r="AC43" i="175"/>
  <c r="AC141"/>
  <c r="P27" i="64"/>
  <c r="AD205" i="175"/>
  <c r="Y191"/>
  <c r="X22" i="64"/>
  <c r="AB399" i="175"/>
  <c r="H25" i="71"/>
  <c r="B37" i="160"/>
  <c r="D27" i="120"/>
  <c r="AC175" i="175"/>
  <c r="P26" i="68"/>
  <c r="K27" i="67"/>
  <c r="G23" i="71"/>
  <c r="M27" i="67"/>
  <c r="AA234" i="175"/>
  <c r="AB395"/>
  <c r="AC52"/>
  <c r="L27" i="64"/>
  <c r="AB397" i="175"/>
  <c r="AC44"/>
  <c r="B17" i="119"/>
  <c r="X198" i="175"/>
  <c r="AB207"/>
  <c r="C27" i="120"/>
  <c r="AB46" i="175"/>
  <c r="AB668"/>
  <c r="Q28" i="71"/>
  <c r="M27" i="120"/>
  <c r="Q28" i="68"/>
  <c r="O22" i="64"/>
  <c r="U695" i="175"/>
  <c r="H27" i="140"/>
  <c r="V691" i="175"/>
  <c r="B19" i="67"/>
  <c r="H26" i="120"/>
  <c r="D27" i="140"/>
  <c r="H27" i="119"/>
  <c r="X21" i="68"/>
  <c r="R27" i="64"/>
  <c r="AC130" i="175"/>
  <c r="AA669"/>
  <c r="AB676"/>
  <c r="X196"/>
  <c r="S26" i="64"/>
  <c r="S37" i="160"/>
  <c r="B16" i="71"/>
  <c r="N26" i="68"/>
  <c r="AC148" i="175"/>
  <c r="X259"/>
  <c r="Y700"/>
  <c r="AD264"/>
  <c r="X41"/>
  <c r="AD208"/>
  <c r="AD212"/>
  <c r="W37"/>
  <c r="O22" i="67"/>
  <c r="R27"/>
  <c r="B17" i="68"/>
  <c r="F25" i="64"/>
  <c r="I27"/>
  <c r="AB386" i="175"/>
  <c r="N27" i="119"/>
  <c r="AD206" i="175"/>
  <c r="K27" i="64"/>
  <c r="AA379" i="175"/>
  <c r="F25" i="120"/>
  <c r="Z261" i="175"/>
  <c r="H41" i="147"/>
  <c r="U176" i="175"/>
  <c r="F24" i="119"/>
  <c r="AA697" i="175"/>
  <c r="AD213"/>
  <c r="S40" i="147"/>
  <c r="O43" i="161"/>
  <c r="X194" i="175"/>
  <c r="F25" i="67"/>
  <c r="S26"/>
  <c r="R25" i="68"/>
  <c r="AB202" i="175"/>
  <c r="D27" i="64"/>
  <c r="B18" i="68"/>
  <c r="AC192" i="175"/>
  <c r="B43" i="161"/>
  <c r="I27" i="67"/>
  <c r="D27" i="119"/>
  <c r="X133" i="175"/>
  <c r="Z42"/>
  <c r="W27" i="64"/>
  <c r="M27" i="140"/>
  <c r="Y665" i="175"/>
  <c r="AB672"/>
  <c r="Q30" i="69"/>
  <c r="X34" i="175"/>
  <c r="F24" i="71"/>
  <c r="AA710" i="175"/>
  <c r="D27" i="67"/>
  <c r="G24" i="64"/>
  <c r="AC173" i="175"/>
  <c r="AD209"/>
  <c r="X23" i="67"/>
  <c r="S27" i="120"/>
  <c r="AA707" i="175"/>
  <c r="W132"/>
  <c r="H39" i="152"/>
  <c r="X23" i="64"/>
  <c r="AB678" i="175"/>
  <c r="B39" i="148"/>
  <c r="K37" i="152"/>
  <c r="AB204" i="175"/>
  <c r="S42" i="163"/>
  <c r="N26" i="71"/>
  <c r="AB392" i="175"/>
  <c r="AF442"/>
  <c r="Y195"/>
  <c r="E26" i="64"/>
  <c r="Z199" i="175"/>
  <c r="T28" i="119"/>
  <c r="AD200" i="175"/>
  <c r="AC266"/>
  <c r="N28" i="119"/>
  <c r="B27" i="140"/>
  <c r="AC174" i="175"/>
  <c r="K27" i="140"/>
  <c r="O22" i="120"/>
  <c r="AD272" i="175"/>
  <c r="R27" i="140"/>
  <c r="B27" i="120"/>
  <c r="E27" i="119"/>
  <c r="W26" i="68"/>
  <c r="X39" i="175"/>
  <c r="M26" i="71"/>
  <c r="N27" i="120"/>
  <c r="AB255" i="175"/>
  <c r="N27" i="64"/>
  <c r="AD274" i="175"/>
  <c r="E26" i="120"/>
  <c r="K42" i="163"/>
  <c r="AD210" i="175"/>
  <c r="L27" i="120"/>
  <c r="W136" i="175"/>
  <c r="W41"/>
  <c r="AB201"/>
  <c r="J27" i="64"/>
  <c r="K27" i="120"/>
  <c r="AC772" i="175" l="1"/>
  <c r="BB473"/>
  <c r="AC36" i="190"/>
  <c r="AF473" i="175"/>
  <c r="AZ124" i="118"/>
  <c r="AZ171"/>
  <c r="AB738" i="175"/>
  <c r="Y15" i="189" s="1"/>
  <c r="AZ799" i="175"/>
  <c r="AZ800"/>
  <c r="AA799"/>
  <c r="X76" i="189" s="1"/>
  <c r="AZ265" i="118"/>
  <c r="AZ30"/>
  <c r="Y638" i="175"/>
  <c r="AZ669"/>
  <c r="AA769"/>
  <c r="AR38" i="164"/>
  <c r="BA124" i="118"/>
  <c r="BA171"/>
  <c r="AB737" i="175"/>
  <c r="Y14" i="189" s="1"/>
  <c r="Z637" i="175"/>
  <c r="AZ637" s="1"/>
  <c r="AZ699"/>
  <c r="AR39" i="149"/>
  <c r="U633" i="175"/>
  <c r="AX633" s="1"/>
  <c r="AX695"/>
  <c r="BE26" i="118"/>
  <c r="BE72"/>
  <c r="BE25"/>
  <c r="BE260"/>
  <c r="BE261"/>
  <c r="BE167"/>
  <c r="BE120"/>
  <c r="W733" i="175"/>
  <c r="R72" i="189"/>
  <c r="AU72" s="1"/>
  <c r="AX795" i="175"/>
  <c r="AA35" i="160"/>
  <c r="AR34"/>
  <c r="AS34" s="1"/>
  <c r="V795" i="175"/>
  <c r="S72" i="189" s="1"/>
  <c r="S10"/>
  <c r="T3"/>
  <c r="BL73" i="118"/>
  <c r="BL261"/>
  <c r="BL26"/>
  <c r="X726" i="175"/>
  <c r="X788" s="1"/>
  <c r="V626"/>
  <c r="AA36" i="152"/>
  <c r="V791" i="175"/>
  <c r="S68" i="189" s="1"/>
  <c r="U11"/>
  <c r="X730" i="175"/>
  <c r="U7" i="189" s="1"/>
  <c r="BI72" i="118"/>
  <c r="W729" i="175"/>
  <c r="W791" s="1"/>
  <c r="T68" i="189" s="1"/>
  <c r="Y734" i="175"/>
  <c r="V11" i="189" s="1"/>
  <c r="N39" i="147"/>
  <c r="BI25" i="118"/>
  <c r="BI260"/>
  <c r="N36" i="160"/>
  <c r="N38" i="148"/>
  <c r="D38" i="152"/>
  <c r="X38" s="1"/>
  <c r="N37"/>
  <c r="BD74" i="118"/>
  <c r="BH73"/>
  <c r="BH26"/>
  <c r="Q26" i="72"/>
  <c r="BH261" i="118"/>
  <c r="C39" i="147"/>
  <c r="D40"/>
  <c r="X40" s="1"/>
  <c r="AB39"/>
  <c r="AJ39" s="1"/>
  <c r="AB36" i="160"/>
  <c r="D37"/>
  <c r="C36"/>
  <c r="C38" i="148"/>
  <c r="AB38"/>
  <c r="AJ38" s="1"/>
  <c r="D39"/>
  <c r="X39" s="1"/>
  <c r="AB37" i="152"/>
  <c r="AJ36"/>
  <c r="AJ37" i="148"/>
  <c r="AJ35" i="160"/>
  <c r="AX791" i="175"/>
  <c r="T7" i="189"/>
  <c r="AG21" i="72"/>
  <c r="AR30" i="143"/>
  <c r="AS30" s="1"/>
  <c r="AA31"/>
  <c r="AY124" i="118"/>
  <c r="AY171"/>
  <c r="BH168"/>
  <c r="BH121"/>
  <c r="BH262"/>
  <c r="BH27"/>
  <c r="W630" i="175"/>
  <c r="AZ798"/>
  <c r="AS40" i="56"/>
  <c r="AQ172" i="118"/>
  <c r="AQ125"/>
  <c r="AT266"/>
  <c r="AQ31"/>
  <c r="AS125"/>
  <c r="AS172"/>
  <c r="AS78"/>
  <c r="BA78"/>
  <c r="AS266"/>
  <c r="AT125"/>
  <c r="AT172"/>
  <c r="AP79"/>
  <c r="AT31"/>
  <c r="AP266"/>
  <c r="AT78"/>
  <c r="AR31"/>
  <c r="BD28"/>
  <c r="BD263"/>
  <c r="AU172"/>
  <c r="AU125"/>
  <c r="AQ266"/>
  <c r="AP172"/>
  <c r="AP125"/>
  <c r="AP78"/>
  <c r="BI261"/>
  <c r="AR172"/>
  <c r="AR125"/>
  <c r="BB78"/>
  <c r="BI26"/>
  <c r="BD169"/>
  <c r="BD122"/>
  <c r="AS31"/>
  <c r="BI120"/>
  <c r="BI167"/>
  <c r="AR266"/>
  <c r="BB124"/>
  <c r="BB171"/>
  <c r="AP31"/>
  <c r="BC78"/>
  <c r="AA644" i="175"/>
  <c r="Z636"/>
  <c r="AZ636" s="1"/>
  <c r="AZ698"/>
  <c r="AZ261"/>
  <c r="AA648"/>
  <c r="AA646"/>
  <c r="AA647"/>
  <c r="AC744"/>
  <c r="AC745"/>
  <c r="AA252"/>
  <c r="AC746"/>
  <c r="AA645"/>
  <c r="V629"/>
  <c r="X634"/>
  <c r="AZ42"/>
  <c r="AZ199"/>
  <c r="AB736"/>
  <c r="AB798" s="1"/>
  <c r="Y75" i="189" s="1"/>
  <c r="AC748" i="175"/>
  <c r="AC747"/>
  <c r="U190"/>
  <c r="AX190" s="1"/>
  <c r="AX176"/>
  <c r="AJ39" i="164"/>
  <c r="AB808" i="175"/>
  <c r="Y85" i="189" s="1"/>
  <c r="Y23"/>
  <c r="AS37" i="164"/>
  <c r="X87" i="189"/>
  <c r="AA798" i="175"/>
  <c r="X75" i="189" s="1"/>
  <c r="Y22"/>
  <c r="AB807" i="175"/>
  <c r="Y84" i="189" s="1"/>
  <c r="Y24"/>
  <c r="AB809" i="175"/>
  <c r="Y86" i="189" s="1"/>
  <c r="Y21"/>
  <c r="AB806" i="175"/>
  <c r="Y83" i="189" s="1"/>
  <c r="AJ40" i="163"/>
  <c r="AR40" s="1"/>
  <c r="AJ41" i="159"/>
  <c r="X85" i="189"/>
  <c r="X83"/>
  <c r="Y25"/>
  <c r="AB810" i="175"/>
  <c r="Y87" i="189" s="1"/>
  <c r="AJ41" i="158"/>
  <c r="AJ33" i="143"/>
  <c r="X84" i="189"/>
  <c r="X86"/>
  <c r="AS39" i="159"/>
  <c r="AG23" i="72"/>
  <c r="AR32" i="143"/>
  <c r="M35"/>
  <c r="L35" s="1"/>
  <c r="AC34"/>
  <c r="X34"/>
  <c r="N34"/>
  <c r="AA33"/>
  <c r="L37" i="49"/>
  <c r="AS38" i="149"/>
  <c r="AS40" i="155"/>
  <c r="T8" i="189"/>
  <c r="AG33" i="118"/>
  <c r="AG268"/>
  <c r="AG173"/>
  <c r="AG126"/>
  <c r="AG79"/>
  <c r="AD119"/>
  <c r="AS39" i="150"/>
  <c r="AD166" i="118"/>
  <c r="AS35" i="152"/>
  <c r="BL168" i="118"/>
  <c r="BL121"/>
  <c r="BL262"/>
  <c r="BG261"/>
  <c r="BL27"/>
  <c r="BG26"/>
  <c r="BG167"/>
  <c r="BG120"/>
  <c r="BG74"/>
  <c r="X731" i="175"/>
  <c r="U8" i="189" s="1"/>
  <c r="V631" i="175"/>
  <c r="W626"/>
  <c r="AJ40" i="149"/>
  <c r="AS39" i="158"/>
  <c r="S42"/>
  <c r="V42" s="1"/>
  <c r="BC172" i="118"/>
  <c r="BC125"/>
  <c r="AW172"/>
  <c r="AW125"/>
  <c r="O42" i="153"/>
  <c r="R42" s="1"/>
  <c r="S42" i="149"/>
  <c r="V42" s="1"/>
  <c r="BF261" i="118"/>
  <c r="BF26"/>
  <c r="AJ42" i="171"/>
  <c r="S42"/>
  <c r="V42" s="1"/>
  <c r="S42" i="145"/>
  <c r="V42" s="1"/>
  <c r="O42" i="171"/>
  <c r="R42" s="1"/>
  <c r="S42" i="151"/>
  <c r="V42" s="1"/>
  <c r="S42" i="56"/>
  <c r="V42" s="1"/>
  <c r="AA36" i="160"/>
  <c r="S42" i="168"/>
  <c r="V42" s="1"/>
  <c r="O42" i="154"/>
  <c r="R42" s="1"/>
  <c r="AW67" i="189"/>
  <c r="O42" i="166"/>
  <c r="R42" s="1"/>
  <c r="K42" i="171"/>
  <c r="N42" s="1"/>
  <c r="AR41" i="56"/>
  <c r="S42" i="167"/>
  <c r="V42" s="1"/>
  <c r="O42" i="168"/>
  <c r="R42" s="1"/>
  <c r="S42" i="143"/>
  <c r="V42" s="1"/>
  <c r="S42" i="150"/>
  <c r="V42" s="1"/>
  <c r="O42" i="158"/>
  <c r="R42" s="1"/>
  <c r="S42" i="164"/>
  <c r="V42" s="1"/>
  <c r="O42" i="144"/>
  <c r="R42" s="1"/>
  <c r="O42" i="150"/>
  <c r="R42" s="1"/>
  <c r="AR41" i="155"/>
  <c r="AS40" i="171"/>
  <c r="V30" i="72"/>
  <c r="BK78" i="118"/>
  <c r="BF167"/>
  <c r="BF120"/>
  <c r="AX125"/>
  <c r="AX172"/>
  <c r="X283" i="175"/>
  <c r="AV171" i="118"/>
  <c r="AV124"/>
  <c r="BJ78"/>
  <c r="Q27" i="72"/>
  <c r="N42" i="161"/>
  <c r="C42" i="146"/>
  <c r="N42"/>
  <c r="AA627" i="175"/>
  <c r="J43" i="163"/>
  <c r="R43" i="161"/>
  <c r="V37" i="160"/>
  <c r="AE31" i="72"/>
  <c r="V39" i="148"/>
  <c r="J39" i="152"/>
  <c r="AC727" i="175"/>
  <c r="AC29" i="72"/>
  <c r="BC31" i="118"/>
  <c r="BC266"/>
  <c r="T31" i="72"/>
  <c r="AF471" i="175"/>
  <c r="AF470"/>
  <c r="AC34" i="190"/>
  <c r="AI405" i="118"/>
  <c r="R40" i="147"/>
  <c r="R41" i="163"/>
  <c r="V41" i="146"/>
  <c r="AA636" i="175"/>
  <c r="V38" i="152"/>
  <c r="BJ171" i="118"/>
  <c r="BJ124"/>
  <c r="BF74"/>
  <c r="AW78"/>
  <c r="AZ78"/>
  <c r="X221" i="175"/>
  <c r="X732"/>
  <c r="W33" i="72"/>
  <c r="Z628" i="175"/>
  <c r="AZ628" s="1"/>
  <c r="AZ690"/>
  <c r="AA635"/>
  <c r="Y31" i="72"/>
  <c r="AW266" i="118"/>
  <c r="AW31"/>
  <c r="D43" i="163"/>
  <c r="V42" i="161"/>
  <c r="AB728" i="175"/>
  <c r="S31" i="72"/>
  <c r="N42" i="163"/>
  <c r="R38" i="152"/>
  <c r="AB28" i="72"/>
  <c r="R37" i="160"/>
  <c r="BB31" i="118"/>
  <c r="BB266"/>
  <c r="G42" i="163"/>
  <c r="X42" s="1"/>
  <c r="AC735" i="175"/>
  <c r="R41" i="146"/>
  <c r="BJ265" i="118"/>
  <c r="AD30" i="72"/>
  <c r="BJ30" i="118"/>
  <c r="V40" i="147"/>
  <c r="AC741" i="175"/>
  <c r="Z31" i="72"/>
  <c r="AA641" i="175"/>
  <c r="AA31" i="72"/>
  <c r="R31"/>
  <c r="R39" i="148"/>
  <c r="G39" i="152"/>
  <c r="BK31" i="118"/>
  <c r="BK266"/>
  <c r="X31" i="72"/>
  <c r="V42" i="163"/>
  <c r="AA40" i="164"/>
  <c r="AA37" i="152"/>
  <c r="C42" i="161"/>
  <c r="X42"/>
  <c r="AB42"/>
  <c r="X42" i="167"/>
  <c r="AB42"/>
  <c r="AS37" i="147"/>
  <c r="AS39" i="161"/>
  <c r="J43" i="149"/>
  <c r="AF43" s="1"/>
  <c r="BK43" i="165"/>
  <c r="I43"/>
  <c r="S43"/>
  <c r="V43" s="1"/>
  <c r="J43" i="154"/>
  <c r="AF43" s="1"/>
  <c r="G43" i="158"/>
  <c r="AD43" s="1"/>
  <c r="O43" i="162"/>
  <c r="R43" s="1"/>
  <c r="AF37" i="160"/>
  <c r="I37"/>
  <c r="J38"/>
  <c r="AR40" i="161"/>
  <c r="AR40" i="165"/>
  <c r="C39" i="13"/>
  <c r="D40"/>
  <c r="AL46" i="171"/>
  <c r="AM46" s="1"/>
  <c r="CB46" i="162"/>
  <c r="D43" i="150"/>
  <c r="K43" s="1"/>
  <c r="N43" s="1"/>
  <c r="D43" i="145"/>
  <c r="K43" s="1"/>
  <c r="N43" s="1"/>
  <c r="AA41"/>
  <c r="I39" i="148"/>
  <c r="AF39"/>
  <c r="J40"/>
  <c r="AJ41" i="161"/>
  <c r="AA39" i="147"/>
  <c r="AJ43" i="162"/>
  <c r="X42" i="171"/>
  <c r="H39" i="51"/>
  <c r="I39" s="1"/>
  <c r="AB267" i="118"/>
  <c r="AA41" i="166"/>
  <c r="X66" i="189"/>
  <c r="AS38" i="163"/>
  <c r="AS39" s="1"/>
  <c r="AA41" i="158"/>
  <c r="J43" i="143"/>
  <c r="AF43" s="1"/>
  <c r="J43" i="168"/>
  <c r="AF43" s="1"/>
  <c r="J43" i="144"/>
  <c r="AF43" s="1"/>
  <c r="AA41" i="163"/>
  <c r="AM44" i="162"/>
  <c r="G43" i="153"/>
  <c r="AD43" s="1"/>
  <c r="AB42" i="164"/>
  <c r="G41" i="147"/>
  <c r="F40"/>
  <c r="AD40"/>
  <c r="D43" i="164"/>
  <c r="K43" s="1"/>
  <c r="N43" s="1"/>
  <c r="K43" i="162"/>
  <c r="N43" s="1"/>
  <c r="D43" i="151"/>
  <c r="K43" s="1"/>
  <c r="N43" s="1"/>
  <c r="AJ41" i="145"/>
  <c r="X42" i="56"/>
  <c r="AA42" s="1"/>
  <c r="AB42"/>
  <c r="AJ42" s="1"/>
  <c r="AD41" i="163"/>
  <c r="AB51" i="190"/>
  <c r="AY51" s="1"/>
  <c r="AE501" i="175"/>
  <c r="AB69" i="190" s="1"/>
  <c r="AY69" s="1"/>
  <c r="X80" i="189"/>
  <c r="H37" i="137"/>
  <c r="BD44" i="161" s="1"/>
  <c r="H44" i="168"/>
  <c r="H44" i="144"/>
  <c r="H44" i="154"/>
  <c r="H44" i="151"/>
  <c r="H44" i="167"/>
  <c r="H44" i="166"/>
  <c r="H44" i="153"/>
  <c r="H44" i="145"/>
  <c r="H44" i="150"/>
  <c r="H44" i="165"/>
  <c r="H44" i="162"/>
  <c r="I44" s="1"/>
  <c r="H44" i="143"/>
  <c r="H44" i="155"/>
  <c r="H44" i="171"/>
  <c r="H44" i="164"/>
  <c r="H44" i="56"/>
  <c r="H44" i="158"/>
  <c r="AB175" i="118"/>
  <c r="H44" i="159"/>
  <c r="H44" i="149"/>
  <c r="AR42" i="162"/>
  <c r="AA41" i="150"/>
  <c r="AF41" i="146"/>
  <c r="I41"/>
  <c r="J42"/>
  <c r="J43" i="150"/>
  <c r="AF43" s="1"/>
  <c r="J43" i="151"/>
  <c r="AF43" s="1"/>
  <c r="J43" i="166"/>
  <c r="AF43" s="1"/>
  <c r="AR40" i="168"/>
  <c r="AR40" i="159"/>
  <c r="AD41" i="149"/>
  <c r="F41"/>
  <c r="O41"/>
  <c r="R41" s="1"/>
  <c r="AS41" i="162"/>
  <c r="X44"/>
  <c r="AB44"/>
  <c r="AJ41" i="153"/>
  <c r="AR40"/>
  <c r="G43" i="159"/>
  <c r="AD43" s="1"/>
  <c r="G43" i="168"/>
  <c r="AD43" s="1"/>
  <c r="AD43" i="161"/>
  <c r="F43"/>
  <c r="G43" i="144"/>
  <c r="AD43" s="1"/>
  <c r="AS39" i="165"/>
  <c r="BN41" i="164"/>
  <c r="BU41" s="1"/>
  <c r="BV41" s="1"/>
  <c r="X41" s="1"/>
  <c r="AR39" i="146"/>
  <c r="CC45" i="162"/>
  <c r="D45" s="1"/>
  <c r="CE45"/>
  <c r="J45" s="1"/>
  <c r="CD45"/>
  <c r="G45" s="1"/>
  <c r="CG45"/>
  <c r="AL45" s="1"/>
  <c r="AJ41" i="151"/>
  <c r="D43" i="159"/>
  <c r="D43" i="166"/>
  <c r="K43" s="1"/>
  <c r="N43" s="1"/>
  <c r="D43" i="167"/>
  <c r="D43" i="153"/>
  <c r="AJ41" i="168"/>
  <c r="AR40" i="158"/>
  <c r="AA41" i="159"/>
  <c r="AR40" i="154"/>
  <c r="AB42" i="166"/>
  <c r="X42"/>
  <c r="U36" i="49"/>
  <c r="T37"/>
  <c r="AB797" i="175"/>
  <c r="Y74" i="189" s="1"/>
  <c r="Y12"/>
  <c r="AF38" i="152"/>
  <c r="T9" i="189"/>
  <c r="W794" i="175"/>
  <c r="T71" i="189" s="1"/>
  <c r="K42" i="144"/>
  <c r="K42" i="143"/>
  <c r="BB470" i="175"/>
  <c r="S42" i="154"/>
  <c r="V42" s="1"/>
  <c r="O42" i="151"/>
  <c r="R42" s="1"/>
  <c r="K42" i="164"/>
  <c r="N42" s="1"/>
  <c r="K42" i="56"/>
  <c r="N42" s="1"/>
  <c r="AA43" i="162"/>
  <c r="AS38" i="146"/>
  <c r="AS39" i="166"/>
  <c r="AR38" i="147"/>
  <c r="AJ41" i="167"/>
  <c r="J43" i="56"/>
  <c r="AF43" s="1"/>
  <c r="J43" i="167"/>
  <c r="AF43" s="1"/>
  <c r="BM42" i="164"/>
  <c r="BT42"/>
  <c r="BP42"/>
  <c r="AA41" i="154"/>
  <c r="AD44" i="162"/>
  <c r="G43" i="155"/>
  <c r="AD43" s="1"/>
  <c r="G43" i="166"/>
  <c r="AD43" s="1"/>
  <c r="G43" i="154"/>
  <c r="AD43" s="1"/>
  <c r="AW38" i="51"/>
  <c r="AZ38"/>
  <c r="J38"/>
  <c r="AA41" i="171" s="1"/>
  <c r="AR41" s="1"/>
  <c r="X42" i="151"/>
  <c r="AC42"/>
  <c r="AR40" i="167"/>
  <c r="C43" i="165"/>
  <c r="K43"/>
  <c r="N43" s="1"/>
  <c r="D43" i="144"/>
  <c r="K43" s="1"/>
  <c r="D43" i="158"/>
  <c r="K43" s="1"/>
  <c r="N43" s="1"/>
  <c r="AR40" i="166"/>
  <c r="X42" i="168"/>
  <c r="AB42"/>
  <c r="AB803" i="175"/>
  <c r="Y80" i="189" s="1"/>
  <c r="Y18"/>
  <c r="X5"/>
  <c r="AA790" i="175"/>
  <c r="AI37" i="137"/>
  <c r="D37"/>
  <c r="AB81" i="118"/>
  <c r="B44" i="154"/>
  <c r="B44" i="151"/>
  <c r="B44" i="150"/>
  <c r="B44" i="144"/>
  <c r="AM33" i="142" s="1"/>
  <c r="B44" i="168"/>
  <c r="B44" i="165"/>
  <c r="B44" i="155"/>
  <c r="B44" i="153"/>
  <c r="B44" i="145"/>
  <c r="B44" i="166"/>
  <c r="B44" i="167"/>
  <c r="B44" i="162"/>
  <c r="C44" s="1"/>
  <c r="B44" i="149"/>
  <c r="B44" i="159"/>
  <c r="B44" i="143"/>
  <c r="B44" i="164"/>
  <c r="B44" i="158"/>
  <c r="B44" i="56"/>
  <c r="B44" i="171"/>
  <c r="I37" i="137"/>
  <c r="J37" s="1"/>
  <c r="AK37" i="51"/>
  <c r="AB30" i="118"/>
  <c r="AV37" i="51"/>
  <c r="AX37" s="1"/>
  <c r="B30" i="72"/>
  <c r="D30" s="1"/>
  <c r="I30" s="1"/>
  <c r="H30" s="1"/>
  <c r="G30" s="1"/>
  <c r="F30" s="1"/>
  <c r="E30" s="1"/>
  <c r="I42" i="161"/>
  <c r="AF42"/>
  <c r="AJ40" i="146"/>
  <c r="AB42" i="153"/>
  <c r="X42"/>
  <c r="AA41" i="167"/>
  <c r="J43" i="171"/>
  <c r="AF43" s="1"/>
  <c r="S43" i="162"/>
  <c r="V43" s="1"/>
  <c r="BK43" i="164"/>
  <c r="BL43" s="1"/>
  <c r="G43"/>
  <c r="AD43" s="1"/>
  <c r="G43" i="171"/>
  <c r="AD43" s="1"/>
  <c r="BC43" i="149"/>
  <c r="BB43"/>
  <c r="G43" i="165"/>
  <c r="G43" i="56"/>
  <c r="AD43" s="1"/>
  <c r="D43" i="171"/>
  <c r="AB43" s="1"/>
  <c r="D43" i="154"/>
  <c r="K43" s="1"/>
  <c r="N43" s="1"/>
  <c r="AB361" i="118"/>
  <c r="AD361" s="1"/>
  <c r="Z42" i="171"/>
  <c r="W35" i="49"/>
  <c r="BN404" i="118"/>
  <c r="BQ404"/>
  <c r="BH404"/>
  <c r="AE404" s="1"/>
  <c r="BS404"/>
  <c r="BM404"/>
  <c r="BU404"/>
  <c r="BJ404"/>
  <c r="BO404"/>
  <c r="BT404"/>
  <c r="BW404"/>
  <c r="BL404"/>
  <c r="BX404"/>
  <c r="BV404"/>
  <c r="BI404"/>
  <c r="BK404"/>
  <c r="BP404"/>
  <c r="BR404"/>
  <c r="AB42" i="163"/>
  <c r="AD38" i="152"/>
  <c r="AB789" i="175"/>
  <c r="Y66" i="189" s="1"/>
  <c r="Y4"/>
  <c r="AA38" i="148"/>
  <c r="F37" i="160"/>
  <c r="G38"/>
  <c r="AD37"/>
  <c r="AJ41" i="165"/>
  <c r="AS39" i="151"/>
  <c r="Z36" i="49"/>
  <c r="M36"/>
  <c r="J37"/>
  <c r="AD42" i="165"/>
  <c r="AJ41" i="166"/>
  <c r="AS39" i="145"/>
  <c r="AB42"/>
  <c r="X42"/>
  <c r="X42" i="158"/>
  <c r="AB42"/>
  <c r="F41" i="146"/>
  <c r="AD41"/>
  <c r="G42"/>
  <c r="X41"/>
  <c r="AR40" i="151"/>
  <c r="J43" i="145"/>
  <c r="AF43" s="1"/>
  <c r="E44" i="56"/>
  <c r="AB128" i="118"/>
  <c r="E44" i="144"/>
  <c r="E44" i="154"/>
  <c r="E44" i="165"/>
  <c r="E44" i="167"/>
  <c r="E44" i="162"/>
  <c r="E44" i="151"/>
  <c r="E44" i="153"/>
  <c r="E44" i="166"/>
  <c r="E44" i="145"/>
  <c r="E44" i="168"/>
  <c r="E44" i="149"/>
  <c r="F37" i="137"/>
  <c r="BC44" i="161" s="1"/>
  <c r="BP44" s="1"/>
  <c r="G44" s="1"/>
  <c r="E44" i="159"/>
  <c r="E44" i="150"/>
  <c r="E44" i="158"/>
  <c r="E44" i="171"/>
  <c r="E44" i="164"/>
  <c r="E44" i="143"/>
  <c r="E44" i="155"/>
  <c r="X34" i="49"/>
  <c r="G38" i="51"/>
  <c r="AA40" i="146"/>
  <c r="AS39" i="153"/>
  <c r="X74" i="189"/>
  <c r="AR40" i="150"/>
  <c r="X42" i="154"/>
  <c r="AB42"/>
  <c r="X42" i="155"/>
  <c r="AA42" s="1"/>
  <c r="AB42"/>
  <c r="AJ42" s="1"/>
  <c r="AF40" i="147"/>
  <c r="I40"/>
  <c r="J41"/>
  <c r="J43" i="158"/>
  <c r="AF43" s="1"/>
  <c r="J43" i="159"/>
  <c r="AF43" s="1"/>
  <c r="J43" i="155"/>
  <c r="AF43" s="1"/>
  <c r="J43" i="153"/>
  <c r="AF43" s="1"/>
  <c r="J43" i="164"/>
  <c r="AF43" s="1"/>
  <c r="BJ43" i="161"/>
  <c r="D43" s="1"/>
  <c r="BV43"/>
  <c r="J43" s="1"/>
  <c r="AS39" i="167"/>
  <c r="S71" i="189"/>
  <c r="AJ41" i="154"/>
  <c r="AF44" i="162"/>
  <c r="AA41" i="153"/>
  <c r="AS39" i="154"/>
  <c r="G43" i="143"/>
  <c r="AD43" s="1"/>
  <c r="G43" i="150"/>
  <c r="AD43" s="1"/>
  <c r="G43" i="145"/>
  <c r="AD43" s="1"/>
  <c r="G43" i="167"/>
  <c r="AD43" s="1"/>
  <c r="G43" i="151"/>
  <c r="AD43" s="1"/>
  <c r="AR40" i="145"/>
  <c r="AB42" i="149"/>
  <c r="G38" i="137"/>
  <c r="C38"/>
  <c r="E38"/>
  <c r="AA41" i="151"/>
  <c r="D43" i="149"/>
  <c r="K43" s="1"/>
  <c r="N43" s="1"/>
  <c r="D43" i="155"/>
  <c r="K43" s="1"/>
  <c r="N43" s="1"/>
  <c r="D43" i="56"/>
  <c r="K43" s="1"/>
  <c r="N43" s="1"/>
  <c r="D43" i="168"/>
  <c r="D43" i="143"/>
  <c r="K43" s="1"/>
  <c r="AS39" i="168"/>
  <c r="X42" i="159"/>
  <c r="AB42"/>
  <c r="AA41" i="168"/>
  <c r="AS36" i="148"/>
  <c r="AD39"/>
  <c r="F39"/>
  <c r="G40"/>
  <c r="X42" i="150"/>
  <c r="AB42"/>
  <c r="AJ42" s="1"/>
  <c r="AA41" i="161"/>
  <c r="AF42" i="163"/>
  <c r="AB52" i="190"/>
  <c r="AY52" s="1"/>
  <c r="BB471" i="175"/>
  <c r="BQ40" i="164"/>
  <c r="BR40" s="1"/>
  <c r="AE40" s="1"/>
  <c r="K42" i="167"/>
  <c r="N42" s="1"/>
  <c r="F43" i="162"/>
  <c r="O42" i="56"/>
  <c r="R42" s="1"/>
  <c r="K42" i="168"/>
  <c r="N42" s="1"/>
  <c r="K42" i="153"/>
  <c r="N42" s="1"/>
  <c r="C43" i="162"/>
  <c r="S42" i="155"/>
  <c r="V42" s="1"/>
  <c r="O42" i="165"/>
  <c r="R42" s="1"/>
  <c r="O42" i="145"/>
  <c r="R42" s="1"/>
  <c r="O42" i="143"/>
  <c r="R42" s="1"/>
  <c r="K42" i="145"/>
  <c r="N42" s="1"/>
  <c r="K42" i="158"/>
  <c r="N42" s="1"/>
  <c r="S42" i="159"/>
  <c r="V42" s="1"/>
  <c r="X41" i="149"/>
  <c r="S42" i="144"/>
  <c r="V42" s="1"/>
  <c r="AZ790" i="175"/>
  <c r="O42" i="164"/>
  <c r="R42" s="1"/>
  <c r="K37" i="49"/>
  <c r="S42" i="166"/>
  <c r="V42" s="1"/>
  <c r="O42" i="167"/>
  <c r="R42" s="1"/>
  <c r="O42" i="155"/>
  <c r="R42" s="1"/>
  <c r="K42" i="151"/>
  <c r="N42" s="1"/>
  <c r="S42" i="153"/>
  <c r="V42" s="1"/>
  <c r="BD42" i="149"/>
  <c r="G42" s="1"/>
  <c r="X42" s="1"/>
  <c r="O42" i="159"/>
  <c r="R42" s="1"/>
  <c r="K42" i="166"/>
  <c r="N42" s="1"/>
  <c r="AD175" i="175"/>
  <c r="AC46"/>
  <c r="M27" i="71"/>
  <c r="O21" i="68"/>
  <c r="V27"/>
  <c r="AB234" i="175"/>
  <c r="Z700"/>
  <c r="O42" i="163"/>
  <c r="S39" i="152"/>
  <c r="W691" i="175"/>
  <c r="I28" i="120"/>
  <c r="AD140" i="175"/>
  <c r="AE206"/>
  <c r="AC399"/>
  <c r="J27" i="71"/>
  <c r="U27" i="68"/>
  <c r="AD150" i="175"/>
  <c r="Q29" i="71"/>
  <c r="S28" i="119"/>
  <c r="AB710" i="175"/>
  <c r="E40" i="152"/>
  <c r="AC679" i="175"/>
  <c r="B17" i="71"/>
  <c r="Y196" i="175"/>
  <c r="G25" i="64"/>
  <c r="B28" i="120"/>
  <c r="X663" i="175"/>
  <c r="N28" i="64"/>
  <c r="AC675" i="175"/>
  <c r="F26" i="64"/>
  <c r="X22" i="68"/>
  <c r="AD149" i="175"/>
  <c r="V27" i="71"/>
  <c r="F26" i="140"/>
  <c r="R28"/>
  <c r="AE209" i="175"/>
  <c r="W27" i="71"/>
  <c r="AA389" i="175"/>
  <c r="C28" i="120"/>
  <c r="B19" i="68"/>
  <c r="Y657" i="175"/>
  <c r="AD263"/>
  <c r="AB388"/>
  <c r="AD148"/>
  <c r="AD56"/>
  <c r="S40" i="148"/>
  <c r="T28" i="120"/>
  <c r="E26" i="71"/>
  <c r="K27"/>
  <c r="I28" i="140"/>
  <c r="X24" i="67"/>
  <c r="AC395" i="175"/>
  <c r="AD151"/>
  <c r="L27" i="68"/>
  <c r="J27"/>
  <c r="AC678" i="175"/>
  <c r="M28" i="140"/>
  <c r="P27" i="71"/>
  <c r="M28" i="67"/>
  <c r="P28"/>
  <c r="B42" i="147"/>
  <c r="AC396" i="175"/>
  <c r="AC398"/>
  <c r="H29" i="119"/>
  <c r="Z253" i="175"/>
  <c r="AC397"/>
  <c r="AC676"/>
  <c r="Z665"/>
  <c r="I27" i="71"/>
  <c r="AD254" i="175"/>
  <c r="D29" i="119"/>
  <c r="L27" i="71"/>
  <c r="AD53" i="175"/>
  <c r="B20" i="64"/>
  <c r="AC204" i="175"/>
  <c r="AD173"/>
  <c r="AD54"/>
  <c r="AD266"/>
  <c r="K40" i="147"/>
  <c r="W384" i="175"/>
  <c r="AB709"/>
  <c r="K27" i="68"/>
  <c r="H28" i="67"/>
  <c r="O40" i="148"/>
  <c r="Y258" i="175"/>
  <c r="C28" i="140"/>
  <c r="O23" i="120"/>
  <c r="N28"/>
  <c r="G24" i="71"/>
  <c r="E26" i="68"/>
  <c r="J28" i="119"/>
  <c r="O41" i="147"/>
  <c r="H42"/>
  <c r="AE270" i="175"/>
  <c r="I28" i="64"/>
  <c r="S43" i="161"/>
  <c r="AC378" i="175"/>
  <c r="I29" i="119"/>
  <c r="AC386" i="175"/>
  <c r="S28" i="120"/>
  <c r="AC207" i="175"/>
  <c r="H43" i="146"/>
  <c r="H27" i="67"/>
  <c r="X382" i="175"/>
  <c r="P29" i="120"/>
  <c r="AA261" i="175"/>
  <c r="B28" i="140"/>
  <c r="AD147" i="175"/>
  <c r="X380"/>
  <c r="AB707"/>
  <c r="W28" i="140"/>
  <c r="B39" i="152"/>
  <c r="E27" i="140"/>
  <c r="F26" i="67"/>
  <c r="H44" i="163"/>
  <c r="K43"/>
  <c r="W28" i="64"/>
  <c r="Y197" i="175"/>
  <c r="AC672"/>
  <c r="O39" i="152"/>
  <c r="L28" i="67"/>
  <c r="F25" i="71"/>
  <c r="U27"/>
  <c r="U28" i="64"/>
  <c r="M27" i="68"/>
  <c r="Y39" i="175"/>
  <c r="N27" i="68"/>
  <c r="U28" i="140"/>
  <c r="AB708" i="175"/>
  <c r="AD45"/>
  <c r="K43" i="161"/>
  <c r="X692" i="175"/>
  <c r="Z191"/>
  <c r="Z38"/>
  <c r="J28" i="120"/>
  <c r="D28" i="67"/>
  <c r="AE200" i="175"/>
  <c r="H41" i="148"/>
  <c r="J28" i="67"/>
  <c r="AB659" i="175"/>
  <c r="E27" i="67"/>
  <c r="S43" i="163"/>
  <c r="R27" i="120"/>
  <c r="O22" i="119"/>
  <c r="K28" i="140"/>
  <c r="AC45" i="175"/>
  <c r="K38" i="152"/>
  <c r="AD144" i="175"/>
  <c r="V695"/>
  <c r="W693"/>
  <c r="W28" i="119"/>
  <c r="K28" i="67"/>
  <c r="Z195" i="175"/>
  <c r="O44" i="161"/>
  <c r="AD43" i="175"/>
  <c r="AD141"/>
  <c r="J29" i="119"/>
  <c r="AE211" i="175"/>
  <c r="W27" i="68"/>
  <c r="N28" i="140"/>
  <c r="W694" i="175"/>
  <c r="Y259"/>
  <c r="Y661"/>
  <c r="AC36"/>
  <c r="AG440"/>
  <c r="H27" i="120"/>
  <c r="W28" i="67"/>
  <c r="S38" i="160"/>
  <c r="S27" i="64"/>
  <c r="Y385" i="175"/>
  <c r="V28" i="119"/>
  <c r="P27" i="68"/>
  <c r="K28" i="120"/>
  <c r="G25" i="67"/>
  <c r="E43" i="146"/>
  <c r="AE213" i="175"/>
  <c r="Q29" i="68"/>
  <c r="D28" i="64"/>
  <c r="V28"/>
  <c r="V28" i="140"/>
  <c r="O21" i="71"/>
  <c r="E28" i="119"/>
  <c r="T27" i="68"/>
  <c r="S41" i="147"/>
  <c r="Q30" i="67"/>
  <c r="B43" i="146"/>
  <c r="W664" i="175"/>
  <c r="X23" i="71"/>
  <c r="AD49" i="175"/>
  <c r="Q31" i="69"/>
  <c r="E42" i="147"/>
  <c r="Z34" i="175"/>
  <c r="E43" i="163"/>
  <c r="AE271" i="175"/>
  <c r="AC203"/>
  <c r="AE205"/>
  <c r="K28" i="64"/>
  <c r="G23" i="68"/>
  <c r="W28" i="120"/>
  <c r="M28" i="119"/>
  <c r="S26" i="71"/>
  <c r="Q29" i="120"/>
  <c r="T29" i="140"/>
  <c r="AD52" i="175"/>
  <c r="P28" i="64"/>
  <c r="L29" i="119"/>
  <c r="AB689" i="175"/>
  <c r="Y133"/>
  <c r="G24" i="68"/>
  <c r="AA699" i="175"/>
  <c r="AA690"/>
  <c r="K37" i="160"/>
  <c r="H26" i="68"/>
  <c r="N27" i="71"/>
  <c r="G24" i="119"/>
  <c r="AC202" i="175"/>
  <c r="L28" i="140"/>
  <c r="H28"/>
  <c r="H40" i="152"/>
  <c r="Y129" i="175"/>
  <c r="Q29" i="119"/>
  <c r="AD55" i="175"/>
  <c r="H39" i="160"/>
  <c r="B44" i="161"/>
  <c r="R28" i="64"/>
  <c r="O22" i="71"/>
  <c r="F25" i="119"/>
  <c r="AE274" i="175"/>
  <c r="AD174"/>
  <c r="F26" i="120"/>
  <c r="V28" i="67"/>
  <c r="I28"/>
  <c r="AC667" i="175"/>
  <c r="E27" i="64"/>
  <c r="D28" i="120"/>
  <c r="Y381" i="175"/>
  <c r="U29" i="119"/>
  <c r="W380" i="175"/>
  <c r="R28" i="119"/>
  <c r="Y260" i="175"/>
  <c r="X24" i="120"/>
  <c r="AB235" i="175"/>
  <c r="AC666"/>
  <c r="P28" i="140"/>
  <c r="S29" i="119"/>
  <c r="AB703" i="175"/>
  <c r="AE275"/>
  <c r="F25" i="68"/>
  <c r="AD262" i="175"/>
  <c r="K39" i="148"/>
  <c r="U28" i="120"/>
  <c r="I28" i="68"/>
  <c r="AB236" i="175"/>
  <c r="P28" i="119"/>
  <c r="D28" i="140"/>
  <c r="AD139" i="175"/>
  <c r="Y40"/>
  <c r="G25" i="120"/>
  <c r="E39" i="160"/>
  <c r="AC201" i="175"/>
  <c r="B38" i="160"/>
  <c r="AA199" i="175"/>
  <c r="AD130"/>
  <c r="X664"/>
  <c r="AE272"/>
  <c r="D28" i="119"/>
  <c r="AB698" i="175"/>
  <c r="AB697"/>
  <c r="AB669"/>
  <c r="Y198"/>
  <c r="Z135"/>
  <c r="K43" i="146"/>
  <c r="O23" i="140"/>
  <c r="H27" i="64"/>
  <c r="X136" i="175"/>
  <c r="T29" i="119"/>
  <c r="R26" i="68"/>
  <c r="AC255" i="175"/>
  <c r="AC193"/>
  <c r="X132"/>
  <c r="AD35"/>
  <c r="X22" i="71"/>
  <c r="G25" i="140"/>
  <c r="K28" i="119"/>
  <c r="U28" i="67"/>
  <c r="S42" i="146"/>
  <c r="AE208" i="175"/>
  <c r="E27" i="120"/>
  <c r="V176" i="175"/>
  <c r="U28" i="119"/>
  <c r="AC392" i="175"/>
  <c r="R28" i="67"/>
  <c r="AE212" i="175"/>
  <c r="R27" i="71"/>
  <c r="X377" i="175"/>
  <c r="D27" i="71"/>
  <c r="X660" i="175"/>
  <c r="AD172"/>
  <c r="X381"/>
  <c r="B44" i="163"/>
  <c r="E41" i="148"/>
  <c r="S27" i="67"/>
  <c r="AD44" i="175"/>
  <c r="D27" i="68"/>
  <c r="Z137" i="175"/>
  <c r="B19" i="71"/>
  <c r="S25" i="68"/>
  <c r="AB387" i="175"/>
  <c r="AB379"/>
  <c r="S28" i="140"/>
  <c r="O38" i="160"/>
  <c r="Y194" i="175"/>
  <c r="AD265"/>
  <c r="X657"/>
  <c r="AD269"/>
  <c r="AE273"/>
  <c r="Z257"/>
  <c r="M28" i="64"/>
  <c r="E44" i="161"/>
  <c r="J28" i="64"/>
  <c r="X24" i="140"/>
  <c r="Q30" i="64"/>
  <c r="AD192" i="175"/>
  <c r="L28" i="64"/>
  <c r="H28"/>
  <c r="X23" i="119"/>
  <c r="AE268" i="175"/>
  <c r="AC658"/>
  <c r="M29" i="119"/>
  <c r="M28" i="120"/>
  <c r="Z134" i="175"/>
  <c r="B40" i="148"/>
  <c r="AB706" i="175"/>
  <c r="Z385"/>
  <c r="N28" i="67"/>
  <c r="AD131" i="175"/>
  <c r="J28" i="140"/>
  <c r="X662" i="175"/>
  <c r="Y256"/>
  <c r="O42" i="146"/>
  <c r="AE264" i="175"/>
  <c r="X24" i="64"/>
  <c r="AG442" i="175"/>
  <c r="AA42"/>
  <c r="AE210"/>
  <c r="L28" i="120"/>
  <c r="AE267" i="175"/>
  <c r="B20" i="67"/>
  <c r="V28" i="120"/>
  <c r="AD138" i="175"/>
  <c r="Q29" i="140"/>
  <c r="H44" i="161"/>
  <c r="AC677" i="175"/>
  <c r="X383"/>
  <c r="B20" i="119"/>
  <c r="AD772" i="175" l="1"/>
  <c r="AA49" i="189" s="1"/>
  <c r="Z49"/>
  <c r="AD36" i="190"/>
  <c r="AG473" i="175"/>
  <c r="AD54" i="190" s="1"/>
  <c r="AC54"/>
  <c r="AZ125" i="118"/>
  <c r="AZ172"/>
  <c r="AC738" i="175"/>
  <c r="Z15" i="189" s="1"/>
  <c r="AS38" i="164"/>
  <c r="AW79" i="118"/>
  <c r="AS39" i="149"/>
  <c r="AB799" i="175"/>
  <c r="Y76" i="189" s="1"/>
  <c r="AZ31" i="118"/>
  <c r="AZ266"/>
  <c r="AB769" i="175"/>
  <c r="Z638"/>
  <c r="AZ638" s="1"/>
  <c r="AZ700"/>
  <c r="X46" i="189"/>
  <c r="AA800" i="175"/>
  <c r="X77" i="189" s="1"/>
  <c r="BA125" i="118"/>
  <c r="BA172"/>
  <c r="BA31"/>
  <c r="BA266"/>
  <c r="AA637" i="175"/>
  <c r="AC737"/>
  <c r="Z14" i="189" s="1"/>
  <c r="BE73" i="118"/>
  <c r="BE168"/>
  <c r="BE121"/>
  <c r="V633" i="175"/>
  <c r="X733"/>
  <c r="AJ36" i="160"/>
  <c r="AR36" s="1"/>
  <c r="AR35"/>
  <c r="AS35" s="1"/>
  <c r="W795" i="175"/>
  <c r="T72" i="189" s="1"/>
  <c r="T10"/>
  <c r="U3"/>
  <c r="BL74" i="118"/>
  <c r="Y726" i="175"/>
  <c r="Y788" s="1"/>
  <c r="V65" i="189" s="1"/>
  <c r="AR36" i="152"/>
  <c r="AS36" s="1"/>
  <c r="AJ37"/>
  <c r="AR37" s="1"/>
  <c r="T6" i="189"/>
  <c r="Y796" i="175"/>
  <c r="V73" i="189" s="1"/>
  <c r="BI73" i="118"/>
  <c r="Y730" i="175"/>
  <c r="V7" i="189" s="1"/>
  <c r="BD75" i="118"/>
  <c r="N39" i="148"/>
  <c r="D39" i="152"/>
  <c r="X39" s="1"/>
  <c r="N37" i="160"/>
  <c r="N40" i="147"/>
  <c r="AZ137" i="175"/>
  <c r="Z734"/>
  <c r="AZ734" s="1"/>
  <c r="X729"/>
  <c r="X791" s="1"/>
  <c r="U68" i="189" s="1"/>
  <c r="BH74" i="118"/>
  <c r="N38" i="152"/>
  <c r="D40" i="148"/>
  <c r="AB39"/>
  <c r="AJ39" s="1"/>
  <c r="C39"/>
  <c r="AB37" i="160"/>
  <c r="D38"/>
  <c r="X38" s="1"/>
  <c r="C37"/>
  <c r="D41" i="147"/>
  <c r="X41" s="1"/>
  <c r="AB40"/>
  <c r="AJ40" s="1"/>
  <c r="C40"/>
  <c r="AB38" i="152"/>
  <c r="X792" i="175"/>
  <c r="U69" i="189" s="1"/>
  <c r="X37" i="160"/>
  <c r="AR37" i="148"/>
  <c r="AR31" i="143"/>
  <c r="AS31" s="1"/>
  <c r="AS32" s="1"/>
  <c r="AY125" i="118"/>
  <c r="AY172"/>
  <c r="BA79"/>
  <c r="BH28"/>
  <c r="BH263"/>
  <c r="BH169"/>
  <c r="BH122"/>
  <c r="AZ195" i="175"/>
  <c r="AZ38"/>
  <c r="AZ257"/>
  <c r="X630"/>
  <c r="AS41" i="56"/>
  <c r="Y13" i="189"/>
  <c r="BD123" i="118"/>
  <c r="BD170"/>
  <c r="AS267"/>
  <c r="AR80"/>
  <c r="BI121"/>
  <c r="BI168"/>
  <c r="AP173"/>
  <c r="AP126"/>
  <c r="AR32"/>
  <c r="AP32"/>
  <c r="AR79"/>
  <c r="AR267"/>
  <c r="AS79"/>
  <c r="AQ32"/>
  <c r="AS32"/>
  <c r="AQ79"/>
  <c r="BB125"/>
  <c r="BB172"/>
  <c r="AS126"/>
  <c r="AS173"/>
  <c r="AT79"/>
  <c r="AT32"/>
  <c r="BD29"/>
  <c r="AT126"/>
  <c r="AT173"/>
  <c r="AR173"/>
  <c r="AR126"/>
  <c r="AU173"/>
  <c r="AU126"/>
  <c r="AQ173"/>
  <c r="AQ126"/>
  <c r="AT267"/>
  <c r="BA32"/>
  <c r="BD264"/>
  <c r="BA267"/>
  <c r="AQ267"/>
  <c r="AT80"/>
  <c r="BK173"/>
  <c r="BK126"/>
  <c r="AP267"/>
  <c r="AQ80"/>
  <c r="AB644" i="175"/>
  <c r="AD745"/>
  <c r="BB208"/>
  <c r="BB213"/>
  <c r="BB212"/>
  <c r="BB209"/>
  <c r="BB273"/>
  <c r="BB272"/>
  <c r="AZ385"/>
  <c r="BB275"/>
  <c r="BB271"/>
  <c r="AZ665"/>
  <c r="AB648"/>
  <c r="AC736"/>
  <c r="AC798" s="1"/>
  <c r="AD747"/>
  <c r="V190"/>
  <c r="AD744"/>
  <c r="BB211"/>
  <c r="BB210"/>
  <c r="BB274"/>
  <c r="AB646"/>
  <c r="AD746"/>
  <c r="AB647"/>
  <c r="AB645"/>
  <c r="W629"/>
  <c r="BB270"/>
  <c r="BB264"/>
  <c r="AB252"/>
  <c r="AD748"/>
  <c r="AJ41" i="163"/>
  <c r="AJ42" i="158"/>
  <c r="AA40" i="147"/>
  <c r="AJ34" i="143"/>
  <c r="Z23" i="189"/>
  <c r="AC808" i="175"/>
  <c r="Z21" i="189"/>
  <c r="AC806" i="175"/>
  <c r="Z24" i="189"/>
  <c r="AC809" i="175"/>
  <c r="Z86" i="189" s="1"/>
  <c r="AJ40" i="164"/>
  <c r="Z25" i="189"/>
  <c r="AC810" i="175"/>
  <c r="Z87" i="189" s="1"/>
  <c r="AC807" i="175"/>
  <c r="Z22" i="189"/>
  <c r="AJ42" i="159"/>
  <c r="AR39" i="164"/>
  <c r="AS40" i="159"/>
  <c r="AG24" i="72"/>
  <c r="M36" i="143"/>
  <c r="L36" s="1"/>
  <c r="AR33"/>
  <c r="AC35"/>
  <c r="X35"/>
  <c r="N35"/>
  <c r="AA34"/>
  <c r="AS41" i="155"/>
  <c r="X793" i="175"/>
  <c r="U70" i="189" s="1"/>
  <c r="AG80" i="118"/>
  <c r="AG174"/>
  <c r="AG127"/>
  <c r="AG269"/>
  <c r="AG34"/>
  <c r="AS40" i="158"/>
  <c r="AS40" i="150"/>
  <c r="BL28" i="118"/>
  <c r="BG27"/>
  <c r="BG121"/>
  <c r="BG168"/>
  <c r="BG75"/>
  <c r="BL263"/>
  <c r="BG262"/>
  <c r="BL169"/>
  <c r="BL122"/>
  <c r="AZ134" i="175"/>
  <c r="AZ253"/>
  <c r="W631"/>
  <c r="Y731"/>
  <c r="Y793" s="1"/>
  <c r="AZ191"/>
  <c r="AZ34"/>
  <c r="AD167" i="118"/>
  <c r="AR40" i="149"/>
  <c r="AJ41"/>
  <c r="AA38" i="152"/>
  <c r="U65" i="189"/>
  <c r="AD120" i="118"/>
  <c r="AR42" i="155"/>
  <c r="Q28" i="72"/>
  <c r="AC30"/>
  <c r="O43" i="164"/>
  <c r="R43" s="1"/>
  <c r="S43" i="171"/>
  <c r="V43" s="1"/>
  <c r="BD43" i="149"/>
  <c r="G43" s="1"/>
  <c r="AD43" s="1"/>
  <c r="AW173" i="118"/>
  <c r="AW126"/>
  <c r="BC126"/>
  <c r="BC173"/>
  <c r="O43" i="151"/>
  <c r="R43" s="1"/>
  <c r="S43" i="158"/>
  <c r="V43" s="1"/>
  <c r="K43" i="171"/>
  <c r="N43" s="1"/>
  <c r="BB501" i="175"/>
  <c r="O43" i="167"/>
  <c r="R43" s="1"/>
  <c r="S43" i="164"/>
  <c r="V43" s="1"/>
  <c r="S43" i="145"/>
  <c r="V43" s="1"/>
  <c r="AS41" i="171"/>
  <c r="O43" i="154"/>
  <c r="R43" s="1"/>
  <c r="O43" i="159"/>
  <c r="R43" s="1"/>
  <c r="S43" i="151"/>
  <c r="V43" s="1"/>
  <c r="S43" i="168"/>
  <c r="V43" s="1"/>
  <c r="S43" i="149"/>
  <c r="V43" s="1"/>
  <c r="K38" i="49"/>
  <c r="O43" i="150"/>
  <c r="R43" s="1"/>
  <c r="O43" i="171"/>
  <c r="R43" s="1"/>
  <c r="S43" i="154"/>
  <c r="V43" s="1"/>
  <c r="V31" i="72"/>
  <c r="AW80" i="118"/>
  <c r="BF121"/>
  <c r="BF168"/>
  <c r="BK79"/>
  <c r="AZ79"/>
  <c r="BB267" i="175"/>
  <c r="Y283"/>
  <c r="BB205"/>
  <c r="AX173" i="118"/>
  <c r="AX126"/>
  <c r="BB268" i="175"/>
  <c r="BJ79" i="118"/>
  <c r="V43" i="161"/>
  <c r="V41" i="147"/>
  <c r="Z32" i="72"/>
  <c r="W632" i="175"/>
  <c r="AB627"/>
  <c r="S32" i="72"/>
  <c r="G43" i="163"/>
  <c r="X43" s="1"/>
  <c r="AA32" i="72"/>
  <c r="AZ135" i="175"/>
  <c r="BF262" i="118"/>
  <c r="BF27"/>
  <c r="AW32"/>
  <c r="Y32" i="72"/>
  <c r="AW267" i="118"/>
  <c r="AC728" i="175"/>
  <c r="AE32" i="72"/>
  <c r="R38" i="160"/>
  <c r="AB641" i="175"/>
  <c r="R41" i="147"/>
  <c r="V40" i="148"/>
  <c r="J40" i="152"/>
  <c r="BB32" i="118"/>
  <c r="BB267"/>
  <c r="R42" i="163"/>
  <c r="V39" i="152"/>
  <c r="V43" i="163"/>
  <c r="BC79" i="118"/>
  <c r="BA80"/>
  <c r="BB206" i="175"/>
  <c r="BF75" i="118"/>
  <c r="AV125"/>
  <c r="AV172"/>
  <c r="Y221" i="175"/>
  <c r="Y732"/>
  <c r="BB200"/>
  <c r="BB79" i="118"/>
  <c r="BJ125"/>
  <c r="BJ172"/>
  <c r="BJ266"/>
  <c r="AD31" i="72"/>
  <c r="BJ31" i="118"/>
  <c r="D44" i="163"/>
  <c r="R32" i="72"/>
  <c r="BC32" i="118"/>
  <c r="T32" i="72"/>
  <c r="BC267" i="118"/>
  <c r="AD727" i="175"/>
  <c r="AB29" i="72"/>
  <c r="AB636" i="175"/>
  <c r="W34" i="72"/>
  <c r="V42" i="146"/>
  <c r="J44" i="163"/>
  <c r="R39" i="152"/>
  <c r="R40" i="148"/>
  <c r="G40" i="152"/>
  <c r="N43" i="161"/>
  <c r="C43" i="146"/>
  <c r="N43"/>
  <c r="AD741" i="175"/>
  <c r="R44" i="161"/>
  <c r="R42" i="146"/>
  <c r="AB635" i="175"/>
  <c r="AD735"/>
  <c r="AD34" i="190"/>
  <c r="AG470" i="175"/>
  <c r="AG471"/>
  <c r="AD52" i="190" s="1"/>
  <c r="AI406" i="118"/>
  <c r="AA628" i="175"/>
  <c r="V38" i="160"/>
  <c r="BK32" i="118"/>
  <c r="BK267"/>
  <c r="X32" i="72"/>
  <c r="N43" i="163"/>
  <c r="AA41" i="164"/>
  <c r="X43" i="168"/>
  <c r="AB43"/>
  <c r="AR41" i="153"/>
  <c r="AF43" i="161"/>
  <c r="I43"/>
  <c r="AF41" i="147"/>
  <c r="I41"/>
  <c r="J42"/>
  <c r="B31" i="72"/>
  <c r="D31" s="1"/>
  <c r="I31" s="1"/>
  <c r="H31" s="1"/>
  <c r="G31" s="1"/>
  <c r="F31" s="1"/>
  <c r="E31" s="1"/>
  <c r="AK38" i="51"/>
  <c r="AV38"/>
  <c r="AX38" s="1"/>
  <c r="AB31" i="118"/>
  <c r="G44" i="150"/>
  <c r="AD44" s="1"/>
  <c r="G44" i="151"/>
  <c r="AD44" s="1"/>
  <c r="G44" i="154"/>
  <c r="AD44" s="1"/>
  <c r="AR41" i="165"/>
  <c r="AA42" i="153"/>
  <c r="D44" i="56"/>
  <c r="D44" i="166"/>
  <c r="D44" i="151"/>
  <c r="K44" s="1"/>
  <c r="N44" s="1"/>
  <c r="AR41" i="154"/>
  <c r="BN42" i="164"/>
  <c r="BU42" s="1"/>
  <c r="BV42" s="1"/>
  <c r="X42" s="1"/>
  <c r="AS38" i="147"/>
  <c r="X43" i="153"/>
  <c r="AB43"/>
  <c r="AS40" i="168"/>
  <c r="J44" i="155"/>
  <c r="AF44" s="1"/>
  <c r="J44" i="167"/>
  <c r="AF44" s="1"/>
  <c r="AS40" i="161"/>
  <c r="AA42" i="167"/>
  <c r="BJ405" i="118"/>
  <c r="BV405"/>
  <c r="BW405"/>
  <c r="BP405"/>
  <c r="BM405"/>
  <c r="BQ405"/>
  <c r="BT405"/>
  <c r="BK405"/>
  <c r="BU405"/>
  <c r="BX405"/>
  <c r="BN405"/>
  <c r="BR405"/>
  <c r="BI405"/>
  <c r="AE405" s="1"/>
  <c r="BO405"/>
  <c r="BS405"/>
  <c r="BL405"/>
  <c r="AA42" i="159"/>
  <c r="AA42" i="149"/>
  <c r="G44" i="155"/>
  <c r="AD44" s="1"/>
  <c r="BC44" i="149"/>
  <c r="BB44"/>
  <c r="G44" i="165"/>
  <c r="O44" s="1"/>
  <c r="R44" s="1"/>
  <c r="AD43"/>
  <c r="AR41" i="167"/>
  <c r="D44" i="171"/>
  <c r="AB44" s="1"/>
  <c r="D44" i="167"/>
  <c r="K44" s="1"/>
  <c r="N44" s="1"/>
  <c r="D44" i="150"/>
  <c r="K44" s="1"/>
  <c r="N44" s="1"/>
  <c r="AJ42" i="168"/>
  <c r="AA42" i="151"/>
  <c r="Z43" i="171"/>
  <c r="AB362" i="118"/>
  <c r="AD362" s="1"/>
  <c r="W36" i="49"/>
  <c r="AS40" i="163"/>
  <c r="AB43" i="167"/>
  <c r="X43"/>
  <c r="X43" i="159"/>
  <c r="AB43"/>
  <c r="AF45" i="162"/>
  <c r="AS42"/>
  <c r="J44" i="171"/>
  <c r="AF44" s="1"/>
  <c r="J44" i="166"/>
  <c r="AF44" s="1"/>
  <c r="CC46" i="162"/>
  <c r="D46" s="1"/>
  <c r="CE46"/>
  <c r="J46" s="1"/>
  <c r="CD46"/>
  <c r="G46" s="1"/>
  <c r="CG46"/>
  <c r="AL46" s="1"/>
  <c r="AJ42" i="167"/>
  <c r="AC52" i="190"/>
  <c r="F42" i="149"/>
  <c r="AD42"/>
  <c r="O42"/>
  <c r="R42" s="1"/>
  <c r="AR41" i="161"/>
  <c r="AI38" i="137"/>
  <c r="D38"/>
  <c r="AB82" i="118"/>
  <c r="B45" i="151"/>
  <c r="B45" i="150"/>
  <c r="B45" i="159"/>
  <c r="B45" i="149"/>
  <c r="B45" i="144"/>
  <c r="AM34" i="142" s="1"/>
  <c r="B45" i="154"/>
  <c r="B45" i="153"/>
  <c r="B45" i="162"/>
  <c r="C45" s="1"/>
  <c r="B45" i="165"/>
  <c r="B45" i="167"/>
  <c r="B45" i="145"/>
  <c r="B45" i="155"/>
  <c r="B45" i="56"/>
  <c r="B45" i="166"/>
  <c r="B45" i="168"/>
  <c r="B45" i="164"/>
  <c r="B45" i="143"/>
  <c r="B45" i="158"/>
  <c r="B45" i="171"/>
  <c r="I38" i="137"/>
  <c r="J38" s="1"/>
  <c r="AA42" i="154"/>
  <c r="G44" i="171"/>
  <c r="AD44" s="1"/>
  <c r="AD44" i="161"/>
  <c r="F44"/>
  <c r="G44" i="166"/>
  <c r="AD44" s="1"/>
  <c r="G44" i="167"/>
  <c r="AD44" s="1"/>
  <c r="AS40" i="151"/>
  <c r="AJ41" i="146"/>
  <c r="AA42" i="145"/>
  <c r="AJ42" i="165"/>
  <c r="G39" i="160"/>
  <c r="F38"/>
  <c r="AD38"/>
  <c r="BT43" i="164"/>
  <c r="BP43"/>
  <c r="BM43"/>
  <c r="D44"/>
  <c r="K44" s="1"/>
  <c r="N44" s="1"/>
  <c r="K44" i="162"/>
  <c r="N44" s="1"/>
  <c r="D44" i="153"/>
  <c r="D44" i="144"/>
  <c r="X67" i="189"/>
  <c r="AJ42" i="151"/>
  <c r="U37" i="49"/>
  <c r="T38"/>
  <c r="AS40" i="154"/>
  <c r="AD45" i="162"/>
  <c r="AJ44"/>
  <c r="AR41" i="150"/>
  <c r="J44" i="159"/>
  <c r="AF44" s="1"/>
  <c r="J44" i="164"/>
  <c r="AF44" s="1"/>
  <c r="S44" i="162"/>
  <c r="V44" s="1"/>
  <c r="J44" i="153"/>
  <c r="AF44" s="1"/>
  <c r="J44" i="154"/>
  <c r="AF44" s="1"/>
  <c r="F41" i="147"/>
  <c r="G42"/>
  <c r="AD41"/>
  <c r="AR41" i="158"/>
  <c r="AR41" i="166"/>
  <c r="I40" i="148"/>
  <c r="AF40"/>
  <c r="J41"/>
  <c r="C39" i="137"/>
  <c r="G39"/>
  <c r="E39"/>
  <c r="AD42" i="163"/>
  <c r="Y5" i="189"/>
  <c r="AB790" i="175"/>
  <c r="Y67" i="189" s="1"/>
  <c r="AF501" i="175"/>
  <c r="AC51" i="190"/>
  <c r="AF39" i="152"/>
  <c r="AF43" i="163"/>
  <c r="O43" i="155"/>
  <c r="R43" s="1"/>
  <c r="S43" i="56"/>
  <c r="V43" s="1"/>
  <c r="O43" i="145"/>
  <c r="R43" s="1"/>
  <c r="O43" i="143"/>
  <c r="R43" s="1"/>
  <c r="S43" i="155"/>
  <c r="V43" s="1"/>
  <c r="AJ43" i="171"/>
  <c r="O43" i="165"/>
  <c r="R43" s="1"/>
  <c r="O43" i="166"/>
  <c r="R43" s="1"/>
  <c r="S43" i="167"/>
  <c r="V43" s="1"/>
  <c r="K43"/>
  <c r="N43" s="1"/>
  <c r="K43" i="159"/>
  <c r="N43" s="1"/>
  <c r="BQ41" i="164"/>
  <c r="BR41" s="1"/>
  <c r="AE41" s="1"/>
  <c r="S43" i="166"/>
  <c r="V43" s="1"/>
  <c r="S43" i="150"/>
  <c r="V43" s="1"/>
  <c r="O43" i="153"/>
  <c r="R43" s="1"/>
  <c r="S43" i="144"/>
  <c r="V43" s="1"/>
  <c r="S43" i="143"/>
  <c r="V43" s="1"/>
  <c r="O43" i="158"/>
  <c r="R43" s="1"/>
  <c r="AA42" i="150"/>
  <c r="AR41" i="151"/>
  <c r="AS40" i="145"/>
  <c r="G44" i="143"/>
  <c r="AD44" s="1"/>
  <c r="G44" i="168"/>
  <c r="AD44" s="1"/>
  <c r="AA41" i="146"/>
  <c r="Z37" i="49"/>
  <c r="M37"/>
  <c r="J38"/>
  <c r="AR38" i="148"/>
  <c r="D44" i="159"/>
  <c r="K44" s="1"/>
  <c r="N44" s="1"/>
  <c r="C44" i="165"/>
  <c r="K44"/>
  <c r="N44" s="1"/>
  <c r="AA42" i="168"/>
  <c r="AA42" i="166"/>
  <c r="X45" i="162"/>
  <c r="AB45"/>
  <c r="AS40" i="153"/>
  <c r="J44" i="158"/>
  <c r="AF44" s="1"/>
  <c r="J44" i="150"/>
  <c r="AF44" s="1"/>
  <c r="J44" i="168"/>
  <c r="AF44" s="1"/>
  <c r="AR39" i="147"/>
  <c r="AJ42" i="161"/>
  <c r="AA39" i="148"/>
  <c r="X43" i="56"/>
  <c r="AA43" s="1"/>
  <c r="AB43"/>
  <c r="AJ43" s="1"/>
  <c r="AB43" i="149"/>
  <c r="H38" i="137"/>
  <c r="BD45" i="161" s="1"/>
  <c r="H45" i="144"/>
  <c r="H45" i="154"/>
  <c r="H45" i="167"/>
  <c r="H45" i="151"/>
  <c r="H45" i="165"/>
  <c r="H45" i="168"/>
  <c r="H45" i="145"/>
  <c r="H45" i="153"/>
  <c r="H45" i="166"/>
  <c r="H45" i="162"/>
  <c r="I45" s="1"/>
  <c r="AB176" i="118"/>
  <c r="H45" i="164"/>
  <c r="H45" i="158"/>
  <c r="H45" i="149"/>
  <c r="H45" i="150"/>
  <c r="H45" i="143"/>
  <c r="H45" i="159"/>
  <c r="H45" i="56"/>
  <c r="H45" i="171"/>
  <c r="H45" i="155"/>
  <c r="AR40" i="146"/>
  <c r="G44" i="158"/>
  <c r="AD44" s="1"/>
  <c r="G44" i="153"/>
  <c r="AD44" s="1"/>
  <c r="G44" i="56"/>
  <c r="AD44" s="1"/>
  <c r="AJ42" i="145"/>
  <c r="D44" i="143"/>
  <c r="K44" s="1"/>
  <c r="D44" i="155"/>
  <c r="K44" s="1"/>
  <c r="N44" s="1"/>
  <c r="X43" i="158"/>
  <c r="AB43"/>
  <c r="AR43" i="162"/>
  <c r="AR41" i="159"/>
  <c r="AA44" i="162"/>
  <c r="AF42" i="146"/>
  <c r="I42"/>
  <c r="J43"/>
  <c r="BK44" i="165"/>
  <c r="I44"/>
  <c r="S44"/>
  <c r="V44" s="1"/>
  <c r="J44" i="144"/>
  <c r="AF44" s="1"/>
  <c r="X43" i="151"/>
  <c r="AC43"/>
  <c r="AB43" i="164"/>
  <c r="AB43" i="145"/>
  <c r="X43"/>
  <c r="AS40" i="165"/>
  <c r="AD39" i="152"/>
  <c r="AA41" i="149"/>
  <c r="F40" i="148"/>
  <c r="G41"/>
  <c r="AD40"/>
  <c r="AR41" i="168"/>
  <c r="X43" i="155"/>
  <c r="AA43" s="1"/>
  <c r="AB43"/>
  <c r="AJ43" s="1"/>
  <c r="E45" i="56"/>
  <c r="AB129" i="118"/>
  <c r="E45" i="151"/>
  <c r="E45" i="154"/>
  <c r="E45" i="165"/>
  <c r="E45" i="144"/>
  <c r="E45" i="167"/>
  <c r="E45" i="162"/>
  <c r="F45" s="1"/>
  <c r="E45" i="149"/>
  <c r="F38" i="137"/>
  <c r="BC45" i="161" s="1"/>
  <c r="BP45" s="1"/>
  <c r="G45" s="1"/>
  <c r="E45" i="145"/>
  <c r="E45" i="168"/>
  <c r="E45" i="153"/>
  <c r="E45" i="158"/>
  <c r="E45" i="166"/>
  <c r="E45" i="150"/>
  <c r="E45" i="143"/>
  <c r="E45" i="164"/>
  <c r="E45" i="171"/>
  <c r="E45" i="155"/>
  <c r="E45" i="159"/>
  <c r="AB43" i="161"/>
  <c r="C43"/>
  <c r="X43"/>
  <c r="AJ42" i="154"/>
  <c r="BK44" i="164"/>
  <c r="BL44" s="1"/>
  <c r="G44"/>
  <c r="AD44" s="1"/>
  <c r="G44" i="159"/>
  <c r="AD44" s="1"/>
  <c r="G44" i="145"/>
  <c r="AD44" s="1"/>
  <c r="O44" i="162"/>
  <c r="R44" s="1"/>
  <c r="G44" i="144"/>
  <c r="AD44" s="1"/>
  <c r="F42" i="146"/>
  <c r="AD42"/>
  <c r="G43"/>
  <c r="X42"/>
  <c r="AA42" i="158"/>
  <c r="H40" i="51"/>
  <c r="I40" s="1"/>
  <c r="AB268" i="118"/>
  <c r="X43" i="171"/>
  <c r="AA42" i="163"/>
  <c r="X35" i="49"/>
  <c r="G39" i="51"/>
  <c r="X43" i="154"/>
  <c r="AB43"/>
  <c r="AJ42" i="153"/>
  <c r="D44" i="158"/>
  <c r="K44" s="1"/>
  <c r="N44" s="1"/>
  <c r="D44" i="149"/>
  <c r="D44" i="145"/>
  <c r="K44" s="1"/>
  <c r="N44" s="1"/>
  <c r="D44" i="168"/>
  <c r="D44" i="154"/>
  <c r="AS40" i="166"/>
  <c r="AS40" i="167"/>
  <c r="AJ42" i="166"/>
  <c r="AB43"/>
  <c r="X43"/>
  <c r="AM45" i="162"/>
  <c r="AS39" i="146"/>
  <c r="J44" i="149"/>
  <c r="AF44" s="1"/>
  <c r="J44" i="56"/>
  <c r="AF44" s="1"/>
  <c r="J44" i="143"/>
  <c r="AF44" s="1"/>
  <c r="J44" i="145"/>
  <c r="AF44" s="1"/>
  <c r="J44" i="151"/>
  <c r="AF44" s="1"/>
  <c r="BJ44" i="161"/>
  <c r="D44" s="1"/>
  <c r="BV44"/>
  <c r="J44" s="1"/>
  <c r="AZ39" i="51"/>
  <c r="AW39"/>
  <c r="J39"/>
  <c r="AA42" i="171" s="1"/>
  <c r="AR42" s="1"/>
  <c r="AR41" i="145"/>
  <c r="X43" i="150"/>
  <c r="AB43"/>
  <c r="AJ43" s="1"/>
  <c r="C40" i="13"/>
  <c r="D41"/>
  <c r="AL47" i="171"/>
  <c r="AM47" s="1"/>
  <c r="CB47" i="162"/>
  <c r="I38" i="160"/>
  <c r="AF38"/>
  <c r="J39"/>
  <c r="AA42" i="161"/>
  <c r="Z18" i="189"/>
  <c r="AC803" i="175"/>
  <c r="Z12" i="189"/>
  <c r="AC797" i="175"/>
  <c r="AB43" i="163"/>
  <c r="U9" i="189"/>
  <c r="X794" i="175"/>
  <c r="Z4" i="189"/>
  <c r="AC789" i="175"/>
  <c r="Z66" i="189" s="1"/>
  <c r="L38" i="49"/>
  <c r="K43" i="168"/>
  <c r="N43" s="1"/>
  <c r="S43" i="153"/>
  <c r="V43" s="1"/>
  <c r="S43" i="159"/>
  <c r="V43" s="1"/>
  <c r="O43" i="56"/>
  <c r="R43" s="1"/>
  <c r="F44" i="162"/>
  <c r="K43" i="153"/>
  <c r="N43" s="1"/>
  <c r="O43" i="144"/>
  <c r="R43" s="1"/>
  <c r="O43" i="168"/>
  <c r="R43" s="1"/>
  <c r="AR42" i="56"/>
  <c r="AD677" i="175"/>
  <c r="AF200"/>
  <c r="Z41"/>
  <c r="AE43"/>
  <c r="AD204"/>
  <c r="V29" i="119"/>
  <c r="O42" i="147"/>
  <c r="X691" i="175"/>
  <c r="E29" i="119"/>
  <c r="S29" i="120"/>
  <c r="AF275" i="175"/>
  <c r="AF208"/>
  <c r="Z198"/>
  <c r="AF209"/>
  <c r="E40" i="160"/>
  <c r="I29" i="120"/>
  <c r="H45" i="161"/>
  <c r="AE44" i="175"/>
  <c r="AB690"/>
  <c r="H45" i="163"/>
  <c r="E28" i="120"/>
  <c r="AC236" i="175"/>
  <c r="Z194"/>
  <c r="T30" i="120"/>
  <c r="E43" i="147"/>
  <c r="AE202" i="175"/>
  <c r="Q30" i="120"/>
  <c r="AF271" i="175"/>
  <c r="AF273"/>
  <c r="M30" i="119"/>
  <c r="N29"/>
  <c r="AC710" i="175"/>
  <c r="Y660"/>
  <c r="H41" i="152"/>
  <c r="O39" i="160"/>
  <c r="AH440" i="175"/>
  <c r="B40" i="152"/>
  <c r="AA137" i="175"/>
  <c r="E27" i="71"/>
  <c r="AF270" i="175"/>
  <c r="F27" i="67"/>
  <c r="X25" i="140"/>
  <c r="AF272" i="175"/>
  <c r="U28" i="68"/>
  <c r="O40" i="152"/>
  <c r="AD386" i="175"/>
  <c r="B41" i="148"/>
  <c r="X23" i="68"/>
  <c r="AD398" i="175"/>
  <c r="S41" i="148"/>
  <c r="S42" i="147"/>
  <c r="B21" i="64"/>
  <c r="F27" i="120"/>
  <c r="AE149" i="175"/>
  <c r="D28" i="71"/>
  <c r="Y382" i="175"/>
  <c r="X24" i="119"/>
  <c r="H27" i="71"/>
  <c r="AF210" i="175"/>
  <c r="P29" i="140"/>
  <c r="J29" i="120"/>
  <c r="B20" i="71"/>
  <c r="M28"/>
  <c r="AF268" i="175"/>
  <c r="AE144"/>
  <c r="K44" i="146"/>
  <c r="AA253" i="175"/>
  <c r="N29" i="120"/>
  <c r="S28" i="64"/>
  <c r="S44" i="163"/>
  <c r="Q30" i="119"/>
  <c r="O24" i="120"/>
  <c r="E28" i="140"/>
  <c r="AE55" i="175"/>
  <c r="AE138"/>
  <c r="R28" i="71"/>
  <c r="Y662" i="175"/>
  <c r="AD201"/>
  <c r="J28" i="68"/>
  <c r="X25" i="120"/>
  <c r="Y37" i="175"/>
  <c r="I29" i="68"/>
  <c r="M29" i="64"/>
  <c r="V29"/>
  <c r="B29" i="140"/>
  <c r="AD396" i="175"/>
  <c r="AD255"/>
  <c r="Y663"/>
  <c r="Y696"/>
  <c r="B20" i="68"/>
  <c r="M28"/>
  <c r="V28"/>
  <c r="H28" i="120"/>
  <c r="AE173" i="175"/>
  <c r="K40" i="148"/>
  <c r="AE53" i="175"/>
  <c r="K44" i="161"/>
  <c r="Y692" i="175"/>
  <c r="B45" i="161"/>
  <c r="AE49" i="175"/>
  <c r="X688"/>
  <c r="N29" i="64"/>
  <c r="I28" i="71"/>
  <c r="F26"/>
  <c r="AD203" i="175"/>
  <c r="AC707"/>
  <c r="AE139"/>
  <c r="S43" i="146"/>
  <c r="AC689" i="175"/>
  <c r="AC703"/>
  <c r="Z657"/>
  <c r="AC388"/>
  <c r="I30" i="119"/>
  <c r="T30" i="140"/>
  <c r="X24" i="71"/>
  <c r="K29" i="119"/>
  <c r="AC387" i="175"/>
  <c r="Z256"/>
  <c r="L29" i="64"/>
  <c r="J30" i="119"/>
  <c r="W29" i="120"/>
  <c r="V30" i="119"/>
  <c r="H43" i="147"/>
  <c r="Q30" i="71"/>
  <c r="Y136" i="175"/>
  <c r="P28" i="71"/>
  <c r="AA665" i="175"/>
  <c r="N28" i="68"/>
  <c r="Y383" i="175"/>
  <c r="N30" i="119"/>
  <c r="E41" i="152"/>
  <c r="R29" i="140"/>
  <c r="AE56" i="175"/>
  <c r="S26" i="68"/>
  <c r="AE254" i="175"/>
  <c r="AE131"/>
  <c r="L28" i="68"/>
  <c r="AD658" i="175"/>
  <c r="AD667"/>
  <c r="W695"/>
  <c r="Y132"/>
  <c r="D29" i="140"/>
  <c r="V28" i="71"/>
  <c r="AB261" i="175"/>
  <c r="AC668"/>
  <c r="AD207"/>
  <c r="AE172"/>
  <c r="E45" i="161"/>
  <c r="H28" i="71"/>
  <c r="B45" i="163"/>
  <c r="X384" i="175"/>
  <c r="S28" i="67"/>
  <c r="AE265" i="175"/>
  <c r="J28" i="71"/>
  <c r="Y377" i="175"/>
  <c r="AA195"/>
  <c r="AF211"/>
  <c r="E44" i="163"/>
  <c r="AB389" i="175"/>
  <c r="H40" i="160"/>
  <c r="B39"/>
  <c r="V29" i="140"/>
  <c r="B44" i="146"/>
  <c r="Q31" i="67"/>
  <c r="G26" i="120"/>
  <c r="AB199" i="175"/>
  <c r="D30" i="119"/>
  <c r="L29" i="120"/>
  <c r="U29" i="140"/>
  <c r="N29"/>
  <c r="K29" i="67"/>
  <c r="AD675" i="175"/>
  <c r="Z39"/>
  <c r="N29" i="67"/>
  <c r="AD666" i="175"/>
  <c r="R29" i="64"/>
  <c r="R28" i="120"/>
  <c r="Z259" i="175"/>
  <c r="P29" i="67"/>
  <c r="G25" i="68"/>
  <c r="AD678" i="175"/>
  <c r="AE263"/>
  <c r="O43" i="163"/>
  <c r="AD202" i="175"/>
  <c r="H44" i="146"/>
  <c r="AC708" i="175"/>
  <c r="U29" i="67"/>
  <c r="L29"/>
  <c r="G25" i="71"/>
  <c r="K28" i="68"/>
  <c r="M29" i="67"/>
  <c r="F27" i="64"/>
  <c r="K44" i="163"/>
  <c r="AD378" i="175"/>
  <c r="W29" i="64"/>
  <c r="Y41" i="175"/>
  <c r="K38" i="160"/>
  <c r="O22" i="68"/>
  <c r="Z663" i="175"/>
  <c r="AF267"/>
  <c r="AF264"/>
  <c r="S44" i="161"/>
  <c r="AA700" i="175"/>
  <c r="AA38"/>
  <c r="P30" i="120"/>
  <c r="F27" i="140"/>
  <c r="W29" i="119"/>
  <c r="AA134" i="175"/>
  <c r="O23" i="119"/>
  <c r="P29"/>
  <c r="O23" i="67"/>
  <c r="J29"/>
  <c r="I29" i="140"/>
  <c r="AD397" i="175"/>
  <c r="AE266"/>
  <c r="R29" i="67"/>
  <c r="Z696" i="175"/>
  <c r="AE175"/>
  <c r="T30" i="119"/>
  <c r="AE140" i="175"/>
  <c r="AF213"/>
  <c r="D29" i="120"/>
  <c r="O24" i="67"/>
  <c r="U29" i="120"/>
  <c r="Q31" i="64"/>
  <c r="B43" i="147"/>
  <c r="AD676" i="175"/>
  <c r="Q32" i="69"/>
  <c r="AD399" i="175"/>
  <c r="T29" i="120"/>
  <c r="L28" i="71"/>
  <c r="X695" i="175"/>
  <c r="X25" i="64"/>
  <c r="AE141" i="175"/>
  <c r="S40" i="152"/>
  <c r="O23" i="64"/>
  <c r="F26" i="68"/>
  <c r="AA385" i="175"/>
  <c r="AA34"/>
  <c r="N28" i="71"/>
  <c r="AD46" i="175"/>
  <c r="W28" i="71"/>
  <c r="E28" i="64"/>
  <c r="E42" i="148"/>
  <c r="O24" i="64"/>
  <c r="AB699" i="175"/>
  <c r="AD395"/>
  <c r="Z381"/>
  <c r="O43" i="146"/>
  <c r="S39" i="160"/>
  <c r="AF274" i="175"/>
  <c r="D29" i="64"/>
  <c r="Q30" i="140"/>
  <c r="U29" i="64"/>
  <c r="AC669" i="175"/>
  <c r="Y688"/>
  <c r="O45" i="161"/>
  <c r="AE54" i="175"/>
  <c r="AD193"/>
  <c r="Z661"/>
  <c r="W29" i="67"/>
  <c r="Z197" i="175"/>
  <c r="B21" i="67"/>
  <c r="U28" i="71"/>
  <c r="G25" i="119"/>
  <c r="AE52" i="175"/>
  <c r="O24" i="140"/>
  <c r="S27" i="71"/>
  <c r="W176" i="175"/>
  <c r="V29" i="120"/>
  <c r="D29" i="67"/>
  <c r="X693" i="175"/>
  <c r="C29" i="140"/>
  <c r="AC659" i="175"/>
  <c r="Z196"/>
  <c r="AE35"/>
  <c r="Z133"/>
  <c r="AF212"/>
  <c r="O41" i="148"/>
  <c r="D28" i="68"/>
  <c r="Z258" i="175"/>
  <c r="AF205"/>
  <c r="S30" i="119"/>
  <c r="B21"/>
  <c r="W29" i="140"/>
  <c r="AE130" i="175"/>
  <c r="I29" i="64"/>
  <c r="H27" i="68"/>
  <c r="AE269" i="175"/>
  <c r="Z129"/>
  <c r="AF206"/>
  <c r="AE151"/>
  <c r="X694"/>
  <c r="AE148"/>
  <c r="AA257"/>
  <c r="F26" i="119"/>
  <c r="AC697" i="175"/>
  <c r="K29" i="120"/>
  <c r="K29" i="140"/>
  <c r="K41" i="147"/>
  <c r="AD672" i="175"/>
  <c r="AA135"/>
  <c r="Q30" i="68"/>
  <c r="E27"/>
  <c r="J29" i="64"/>
  <c r="R27" i="68"/>
  <c r="G26" i="140"/>
  <c r="S29"/>
  <c r="B29" i="120"/>
  <c r="P28" i="68"/>
  <c r="Z40" i="175"/>
  <c r="R29" i="119"/>
  <c r="AC379" i="175"/>
  <c r="E44" i="146"/>
  <c r="C29" i="120"/>
  <c r="AA191" i="175"/>
  <c r="H29" i="140"/>
  <c r="AC709" i="175"/>
  <c r="I29" i="67"/>
  <c r="AE150" i="175"/>
  <c r="K39" i="152"/>
  <c r="AC706" i="175"/>
  <c r="Z37"/>
  <c r="T28" i="68"/>
  <c r="H42" i="148"/>
  <c r="W28" i="68"/>
  <c r="K28" i="71"/>
  <c r="AD668" i="175"/>
  <c r="Y380"/>
  <c r="Z260"/>
  <c r="AE174"/>
  <c r="AE262"/>
  <c r="M29" i="140"/>
  <c r="AH442" i="175"/>
  <c r="AC235"/>
  <c r="L29" i="140"/>
  <c r="AE192" i="175"/>
  <c r="AE147"/>
  <c r="M29" i="120"/>
  <c r="X25" i="67"/>
  <c r="E28"/>
  <c r="AD679" i="175"/>
  <c r="AD36"/>
  <c r="V29" i="67"/>
  <c r="K29" i="64"/>
  <c r="P29"/>
  <c r="AD392" i="175"/>
  <c r="AC234"/>
  <c r="J29" i="140"/>
  <c r="AE772" i="175" l="1"/>
  <c r="AB49" i="189" s="1"/>
  <c r="AY49" s="1"/>
  <c r="BB175" i="175"/>
  <c r="AE36" i="190"/>
  <c r="AH473" i="175"/>
  <c r="AC799"/>
  <c r="Z76" i="189" s="1"/>
  <c r="AZ126" i="118"/>
  <c r="AZ173"/>
  <c r="BB265" i="175"/>
  <c r="AD738"/>
  <c r="AA15" i="189" s="1"/>
  <c r="AZ267" i="118"/>
  <c r="AZ32"/>
  <c r="AC769" i="175"/>
  <c r="AA638"/>
  <c r="AR40" i="164"/>
  <c r="Y46" i="189"/>
  <c r="AB800" i="175"/>
  <c r="Y77" i="189" s="1"/>
  <c r="AS39" i="164"/>
  <c r="BA173" i="118"/>
  <c r="BA126"/>
  <c r="AD737" i="175"/>
  <c r="AA14" i="189" s="1"/>
  <c r="AB637" i="175"/>
  <c r="AS40" i="149"/>
  <c r="BE122" i="118"/>
  <c r="BE169"/>
  <c r="BE263"/>
  <c r="BE28"/>
  <c r="BE74"/>
  <c r="BE27"/>
  <c r="BE262"/>
  <c r="AZ198" i="175"/>
  <c r="X633"/>
  <c r="AZ260"/>
  <c r="W633"/>
  <c r="AZ41"/>
  <c r="Y733"/>
  <c r="X795"/>
  <c r="U72" i="189" s="1"/>
  <c r="U10"/>
  <c r="AA37" i="160"/>
  <c r="AJ37"/>
  <c r="V3" i="189"/>
  <c r="BL75" i="118"/>
  <c r="X626" i="175"/>
  <c r="AZ129"/>
  <c r="Z726"/>
  <c r="AZ726" s="1"/>
  <c r="AJ38" i="152"/>
  <c r="W11" i="189"/>
  <c r="AW11" s="1"/>
  <c r="Z796" i="175"/>
  <c r="W73" i="189" s="1"/>
  <c r="AW73" s="1"/>
  <c r="Y792" i="175"/>
  <c r="V69" i="189" s="1"/>
  <c r="U6"/>
  <c r="Y634" i="175"/>
  <c r="N40" i="148"/>
  <c r="D40" i="152"/>
  <c r="X40" s="1"/>
  <c r="N41" i="147"/>
  <c r="N39" i="152"/>
  <c r="Z730" i="175"/>
  <c r="AZ730" s="1"/>
  <c r="AZ133"/>
  <c r="AA734"/>
  <c r="X11" i="189" s="1"/>
  <c r="BD76" i="118"/>
  <c r="Y729" i="175"/>
  <c r="Y791" s="1"/>
  <c r="V68" i="189" s="1"/>
  <c r="BH75" i="118"/>
  <c r="BI74"/>
  <c r="N38" i="160"/>
  <c r="BI27" i="118"/>
  <c r="BI262"/>
  <c r="C40" i="148"/>
  <c r="D41"/>
  <c r="X41" s="1"/>
  <c r="AB40"/>
  <c r="AJ40" s="1"/>
  <c r="AB41" i="147"/>
  <c r="D42"/>
  <c r="X42" s="1"/>
  <c r="C41"/>
  <c r="AB39" i="152"/>
  <c r="AJ39" s="1"/>
  <c r="AS37" i="148"/>
  <c r="AS38" s="1"/>
  <c r="X40"/>
  <c r="C38" i="160"/>
  <c r="D39"/>
  <c r="AB38"/>
  <c r="AY173" i="118"/>
  <c r="AY126"/>
  <c r="BB266" i="175"/>
  <c r="BB173"/>
  <c r="Z13" i="189"/>
  <c r="BH264" i="118"/>
  <c r="BH29"/>
  <c r="BH170"/>
  <c r="BH123"/>
  <c r="Y630" i="175"/>
  <c r="AZ381"/>
  <c r="AZ661"/>
  <c r="AS42" i="56"/>
  <c r="AS268" i="118"/>
  <c r="AS174"/>
  <c r="AS127"/>
  <c r="BB126"/>
  <c r="BB173"/>
  <c r="BI122"/>
  <c r="BI169"/>
  <c r="AP33"/>
  <c r="BI28"/>
  <c r="AS33"/>
  <c r="BB80"/>
  <c r="AR268"/>
  <c r="AR33"/>
  <c r="AP127"/>
  <c r="AP174"/>
  <c r="BI263"/>
  <c r="BK174"/>
  <c r="BK127"/>
  <c r="AP268"/>
  <c r="AU127"/>
  <c r="AU174"/>
  <c r="AT33"/>
  <c r="AQ268"/>
  <c r="AR174"/>
  <c r="AR127"/>
  <c r="AT174"/>
  <c r="AT127"/>
  <c r="AQ127"/>
  <c r="AQ174"/>
  <c r="AP80"/>
  <c r="AT268"/>
  <c r="AQ33"/>
  <c r="AT81"/>
  <c r="AS80"/>
  <c r="AQ81"/>
  <c r="BD171"/>
  <c r="BD124"/>
  <c r="AP81"/>
  <c r="BC80"/>
  <c r="AD736" i="175"/>
  <c r="AD798" s="1"/>
  <c r="AA75" i="189" s="1"/>
  <c r="AC646" i="175"/>
  <c r="AE745"/>
  <c r="BB745" s="1"/>
  <c r="BB148"/>
  <c r="AC648"/>
  <c r="BB263"/>
  <c r="AE746"/>
  <c r="BB746" s="1"/>
  <c r="BB149"/>
  <c r="BB52"/>
  <c r="BB55"/>
  <c r="BB192"/>
  <c r="BB262"/>
  <c r="AE748"/>
  <c r="BB151"/>
  <c r="AZ194"/>
  <c r="AC645"/>
  <c r="AE744"/>
  <c r="BB744" s="1"/>
  <c r="BB147"/>
  <c r="BB131"/>
  <c r="X629"/>
  <c r="AZ256"/>
  <c r="AC644"/>
  <c r="BB54"/>
  <c r="BB140"/>
  <c r="BB172"/>
  <c r="Z634"/>
  <c r="AZ696"/>
  <c r="AC647"/>
  <c r="BB56"/>
  <c r="BB53"/>
  <c r="AZ37"/>
  <c r="W190"/>
  <c r="AE747"/>
  <c r="BB150"/>
  <c r="AC252"/>
  <c r="AJ43" i="159"/>
  <c r="Z84" i="189"/>
  <c r="Z85"/>
  <c r="AD808" i="175"/>
  <c r="AA85" i="189" s="1"/>
  <c r="AA23"/>
  <c r="AA21"/>
  <c r="AD806" i="175"/>
  <c r="AA83" i="189" s="1"/>
  <c r="Z83"/>
  <c r="AD810" i="175"/>
  <c r="AA25" i="189"/>
  <c r="AA24"/>
  <c r="AD809" i="175"/>
  <c r="AA22" i="189"/>
  <c r="AD807" i="175"/>
  <c r="AA84" i="189" s="1"/>
  <c r="AJ35" i="143"/>
  <c r="AJ43" i="158"/>
  <c r="AJ41" i="164"/>
  <c r="AS33" i="143"/>
  <c r="AR41" i="163"/>
  <c r="AS41" s="1"/>
  <c r="AS42" i="155"/>
  <c r="AS41" i="159"/>
  <c r="AG25" i="72"/>
  <c r="AR34" i="143"/>
  <c r="AC36"/>
  <c r="X36"/>
  <c r="N36"/>
  <c r="M37"/>
  <c r="L37" s="1"/>
  <c r="AA35"/>
  <c r="AS41" i="158"/>
  <c r="V8" i="189"/>
  <c r="AG270" i="118"/>
  <c r="AG81"/>
  <c r="AG175"/>
  <c r="AG128"/>
  <c r="AG35"/>
  <c r="AS41" i="150"/>
  <c r="BL264" i="118"/>
  <c r="BL29"/>
  <c r="BG122"/>
  <c r="BG169"/>
  <c r="BG28"/>
  <c r="BL123"/>
  <c r="BL170"/>
  <c r="BG263"/>
  <c r="BG76"/>
  <c r="Z731" i="175"/>
  <c r="W8" i="189" s="1"/>
  <c r="AZ196" i="175"/>
  <c r="Y626"/>
  <c r="AZ258"/>
  <c r="X631"/>
  <c r="AZ39"/>
  <c r="AZ657"/>
  <c r="AD121" i="118"/>
  <c r="AJ42" i="149"/>
  <c r="AA38" i="160"/>
  <c r="AD168" i="118"/>
  <c r="X632" i="175"/>
  <c r="AZ40"/>
  <c r="BF28" i="118"/>
  <c r="BF263"/>
  <c r="AS36" i="160"/>
  <c r="S44" i="158"/>
  <c r="V44" s="1"/>
  <c r="O44" i="155"/>
  <c r="R44" s="1"/>
  <c r="O44" i="159"/>
  <c r="R44" s="1"/>
  <c r="O44" i="171"/>
  <c r="R44" s="1"/>
  <c r="X43" i="149"/>
  <c r="F43"/>
  <c r="O43"/>
  <c r="R43" s="1"/>
  <c r="AS42" i="171"/>
  <c r="S44" i="143"/>
  <c r="V44" s="1"/>
  <c r="O44" i="153"/>
  <c r="R44" s="1"/>
  <c r="AJ43" i="149"/>
  <c r="S44" i="150"/>
  <c r="V44" s="1"/>
  <c r="O44" i="168"/>
  <c r="R44" s="1"/>
  <c r="AW174" i="118"/>
  <c r="AW127"/>
  <c r="AX127"/>
  <c r="AX174"/>
  <c r="S44" i="149"/>
  <c r="V44" s="1"/>
  <c r="AR43" i="56"/>
  <c r="S44" i="159"/>
  <c r="V44" s="1"/>
  <c r="S44" i="166"/>
  <c r="V44" s="1"/>
  <c r="S44" i="155"/>
  <c r="V44" s="1"/>
  <c r="O44" i="151"/>
  <c r="R44" s="1"/>
  <c r="AR40" i="147"/>
  <c r="L39" i="49"/>
  <c r="AR43" i="155"/>
  <c r="O44" i="56"/>
  <c r="R44" s="1"/>
  <c r="O44" i="143"/>
  <c r="R44" s="1"/>
  <c r="O44" i="154"/>
  <c r="R44" s="1"/>
  <c r="O44" i="150"/>
  <c r="R44" s="1"/>
  <c r="V32" i="72"/>
  <c r="BJ80" i="118"/>
  <c r="BF169"/>
  <c r="BF122"/>
  <c r="BC127"/>
  <c r="BC174"/>
  <c r="BF76"/>
  <c r="AZ80"/>
  <c r="Z221" i="175"/>
  <c r="AZ221" s="1"/>
  <c r="AZ197"/>
  <c r="Z732"/>
  <c r="BK80" i="118"/>
  <c r="AC31" i="72"/>
  <c r="AD32"/>
  <c r="BJ267" i="118"/>
  <c r="BJ32"/>
  <c r="R39" i="160"/>
  <c r="AC641" i="175"/>
  <c r="V44" i="163"/>
  <c r="Q29" i="72"/>
  <c r="V44" i="161"/>
  <c r="BB35" i="175"/>
  <c r="BK33" i="118"/>
  <c r="BK268"/>
  <c r="X33" i="72"/>
  <c r="R45" i="161"/>
  <c r="R41" i="148"/>
  <c r="G41" i="152"/>
  <c r="BB174" i="175"/>
  <c r="V43" i="146"/>
  <c r="W35" i="72"/>
  <c r="V41" i="148"/>
  <c r="J41" i="152"/>
  <c r="BB44" i="175"/>
  <c r="BB33" i="118"/>
  <c r="BB268"/>
  <c r="BB141" i="175"/>
  <c r="G44" i="163"/>
  <c r="X44" s="1"/>
  <c r="Z33" i="72"/>
  <c r="V40" i="152"/>
  <c r="AD728" i="175"/>
  <c r="AB628"/>
  <c r="J45" i="163"/>
  <c r="AC635" i="175"/>
  <c r="BB139"/>
  <c r="AZ663"/>
  <c r="AE34" i="190"/>
  <c r="AH470" i="175"/>
  <c r="AH471"/>
  <c r="AI407" i="118"/>
  <c r="S33" i="72"/>
  <c r="R33"/>
  <c r="N44" i="163"/>
  <c r="BB269" i="175"/>
  <c r="BJ126" i="118"/>
  <c r="BJ173"/>
  <c r="Z283" i="175"/>
  <c r="AZ283" s="1"/>
  <c r="AZ259"/>
  <c r="BB254"/>
  <c r="BK128" i="118"/>
  <c r="BK175"/>
  <c r="AV173"/>
  <c r="AV126"/>
  <c r="N44" i="161"/>
  <c r="C44" i="146"/>
  <c r="N44"/>
  <c r="BB49" i="175"/>
  <c r="AW33" i="118"/>
  <c r="Y33" i="72"/>
  <c r="AW268" i="118"/>
  <c r="AA33" i="72"/>
  <c r="R40" i="152"/>
  <c r="AE741" i="175"/>
  <c r="BB144"/>
  <c r="AE33" i="72"/>
  <c r="V42" i="147"/>
  <c r="V39" i="160"/>
  <c r="AE735" i="175"/>
  <c r="BB138"/>
  <c r="BB43"/>
  <c r="BC33" i="118"/>
  <c r="T33" i="72"/>
  <c r="BC268" i="118"/>
  <c r="R43" i="146"/>
  <c r="AE727" i="175"/>
  <c r="BB727" s="1"/>
  <c r="BB130"/>
  <c r="R42" i="147"/>
  <c r="D45" i="163"/>
  <c r="AC627" i="175"/>
  <c r="AE737"/>
  <c r="BB202"/>
  <c r="R43" i="163"/>
  <c r="AA42" i="164"/>
  <c r="AA41" i="147"/>
  <c r="AR42" i="161"/>
  <c r="AA42" i="146"/>
  <c r="BM44" i="164"/>
  <c r="BP44"/>
  <c r="BT44"/>
  <c r="G45" i="171"/>
  <c r="AD45" s="1"/>
  <c r="G45" i="166"/>
  <c r="AD45" s="1"/>
  <c r="G45" i="145"/>
  <c r="AD45" s="1"/>
  <c r="G45" i="167"/>
  <c r="AD45" s="1"/>
  <c r="G45" i="151"/>
  <c r="AD45" s="1"/>
  <c r="AJ43" i="145"/>
  <c r="J45" i="167"/>
  <c r="AF45" s="1"/>
  <c r="AR39" i="148"/>
  <c r="AR42" i="166"/>
  <c r="F39" i="160"/>
  <c r="AD39"/>
  <c r="G40"/>
  <c r="D45" i="166"/>
  <c r="K45" s="1"/>
  <c r="N45" s="1"/>
  <c r="D45" i="154"/>
  <c r="AR42" i="151"/>
  <c r="AS41" i="167"/>
  <c r="AS41" i="154"/>
  <c r="X44" i="166"/>
  <c r="AB44"/>
  <c r="AS41" i="165"/>
  <c r="AS41" i="153"/>
  <c r="AF44" i="163"/>
  <c r="AA39" i="152"/>
  <c r="AS37"/>
  <c r="C41" i="13"/>
  <c r="AL48" i="171"/>
  <c r="AM48" s="1"/>
  <c r="D42" i="13"/>
  <c r="CB48" i="162"/>
  <c r="I44" i="161"/>
  <c r="AF44"/>
  <c r="X44" i="168"/>
  <c r="AB44"/>
  <c r="AB44" i="149"/>
  <c r="AA43" i="161"/>
  <c r="G45" i="150"/>
  <c r="AD45" s="1"/>
  <c r="O45" i="162"/>
  <c r="R45" s="1"/>
  <c r="G45" i="154"/>
  <c r="AD45" s="1"/>
  <c r="G42" i="148"/>
  <c r="F41"/>
  <c r="AD41"/>
  <c r="AJ43" i="151"/>
  <c r="I43" i="146"/>
  <c r="AF43"/>
  <c r="J44"/>
  <c r="AS43" i="162"/>
  <c r="J45" i="155"/>
  <c r="AF45" s="1"/>
  <c r="J45" i="143"/>
  <c r="AF45" s="1"/>
  <c r="J45" i="164"/>
  <c r="AF45" s="1"/>
  <c r="J45" i="153"/>
  <c r="AF45" s="1"/>
  <c r="J45" i="151"/>
  <c r="AF45" s="1"/>
  <c r="BJ45" i="161"/>
  <c r="D45" s="1"/>
  <c r="BV45"/>
  <c r="J45" s="1"/>
  <c r="AS39" i="147"/>
  <c r="AA45" i="162"/>
  <c r="I41" i="148"/>
  <c r="AF41"/>
  <c r="J42"/>
  <c r="D45" i="171"/>
  <c r="AB45" s="1"/>
  <c r="D45" i="145"/>
  <c r="D45" i="159"/>
  <c r="K45" s="1"/>
  <c r="N45" s="1"/>
  <c r="AD46" i="162"/>
  <c r="AJ43" i="167"/>
  <c r="AD44" i="165"/>
  <c r="AR42" i="159"/>
  <c r="AA43" i="153"/>
  <c r="AA18" i="189"/>
  <c r="AD803" i="175"/>
  <c r="AA80" i="189" s="1"/>
  <c r="AF40" i="152"/>
  <c r="J40" i="51"/>
  <c r="AA43" i="171" s="1"/>
  <c r="AR43" s="1"/>
  <c r="AZ40" i="51"/>
  <c r="AW40"/>
  <c r="AJ42" i="146"/>
  <c r="G45" i="159"/>
  <c r="AD45" s="1"/>
  <c r="G45" i="143"/>
  <c r="AD45" s="1"/>
  <c r="G45" i="153"/>
  <c r="AD45" s="1"/>
  <c r="BC45" i="149"/>
  <c r="BB45"/>
  <c r="G45" i="165"/>
  <c r="G45" i="56"/>
  <c r="AD45" s="1"/>
  <c r="AR44" i="162"/>
  <c r="X44" i="155"/>
  <c r="AA44" s="1"/>
  <c r="AB44"/>
  <c r="AJ44" s="1"/>
  <c r="AS40" i="146"/>
  <c r="J45" i="159"/>
  <c r="AF45" s="1"/>
  <c r="J45" i="158"/>
  <c r="AF45" s="1"/>
  <c r="J45" i="166"/>
  <c r="AF45" s="1"/>
  <c r="I45" i="165"/>
  <c r="BK45"/>
  <c r="S45"/>
  <c r="V45" s="1"/>
  <c r="J45" i="144"/>
  <c r="AF45" s="1"/>
  <c r="AR42" i="150"/>
  <c r="Z75" i="189"/>
  <c r="AC69" i="190"/>
  <c r="AB83" i="118"/>
  <c r="D39" i="137"/>
  <c r="AI39"/>
  <c r="B46" i="153"/>
  <c r="B46" i="143"/>
  <c r="B46" i="151"/>
  <c r="B46" i="159"/>
  <c r="B46" i="154"/>
  <c r="B46" i="144"/>
  <c r="AM35" i="142" s="1"/>
  <c r="B46" i="56"/>
  <c r="B46" i="166"/>
  <c r="B46" i="167"/>
  <c r="B46" i="155"/>
  <c r="B46" i="162"/>
  <c r="C46" s="1"/>
  <c r="B46" i="168"/>
  <c r="B46" i="145"/>
  <c r="B46" i="165"/>
  <c r="B46" i="149"/>
  <c r="B46" i="164"/>
  <c r="B46" i="158"/>
  <c r="B46" i="150"/>
  <c r="B46" i="171"/>
  <c r="I39" i="137"/>
  <c r="J39" s="1"/>
  <c r="AS41" i="166"/>
  <c r="U38" i="49"/>
  <c r="T39"/>
  <c r="X44" i="153"/>
  <c r="AB44"/>
  <c r="AR42" i="145"/>
  <c r="D45" i="164"/>
  <c r="D45" i="155"/>
  <c r="K45" i="162"/>
  <c r="N45" s="1"/>
  <c r="D45" i="149"/>
  <c r="K45" s="1"/>
  <c r="N45" s="1"/>
  <c r="AM46" i="162"/>
  <c r="AA43" i="167"/>
  <c r="AB44" i="150"/>
  <c r="AJ44" s="1"/>
  <c r="X44"/>
  <c r="AR42" i="167"/>
  <c r="AJ43" i="153"/>
  <c r="X44" i="56"/>
  <c r="AA44" s="1"/>
  <c r="AB44"/>
  <c r="AJ44" s="1"/>
  <c r="AA43" i="168"/>
  <c r="AB44" i="163"/>
  <c r="S44" i="154"/>
  <c r="V44" s="1"/>
  <c r="O44" i="166"/>
  <c r="R44" s="1"/>
  <c r="AJ44" i="171"/>
  <c r="K44" i="168"/>
  <c r="N44" s="1"/>
  <c r="S44" i="144"/>
  <c r="V44" s="1"/>
  <c r="AJ42" i="163"/>
  <c r="S44" i="171"/>
  <c r="V44" s="1"/>
  <c r="K44"/>
  <c r="N44" s="1"/>
  <c r="BQ42" i="164"/>
  <c r="BR42" s="1"/>
  <c r="AE42" s="1"/>
  <c r="U71" i="189"/>
  <c r="Z80"/>
  <c r="C40" i="137"/>
  <c r="G40"/>
  <c r="E40"/>
  <c r="C44" i="161"/>
  <c r="X44"/>
  <c r="AB44"/>
  <c r="X44" i="154"/>
  <c r="AB44"/>
  <c r="AA43"/>
  <c r="AA43" i="151"/>
  <c r="J45" i="171"/>
  <c r="AF45" s="1"/>
  <c r="J45" i="150"/>
  <c r="AF45" s="1"/>
  <c r="J45" i="145"/>
  <c r="AF45" s="1"/>
  <c r="Z38" i="49"/>
  <c r="M38"/>
  <c r="J39"/>
  <c r="E46" i="56"/>
  <c r="AB130" i="118"/>
  <c r="E46" i="151"/>
  <c r="E46" i="154"/>
  <c r="E46" i="144"/>
  <c r="E46" i="165"/>
  <c r="E46" i="167"/>
  <c r="E46" i="162"/>
  <c r="F46" s="1"/>
  <c r="E46" i="149"/>
  <c r="F39" i="137"/>
  <c r="BC46" i="161" s="1"/>
  <c r="BP46" s="1"/>
  <c r="G46" s="1"/>
  <c r="E46" i="153"/>
  <c r="E46" i="166"/>
  <c r="E46" i="145"/>
  <c r="E46" i="168"/>
  <c r="E46" i="159"/>
  <c r="E46" i="150"/>
  <c r="E46" i="158"/>
  <c r="E46" i="171"/>
  <c r="E46" i="143"/>
  <c r="E46" i="164"/>
  <c r="E46" i="155"/>
  <c r="D45" i="158"/>
  <c r="D45" i="167"/>
  <c r="K45" s="1"/>
  <c r="N45" s="1"/>
  <c r="D45" i="150"/>
  <c r="K45" s="1"/>
  <c r="N45" s="1"/>
  <c r="AF46" i="162"/>
  <c r="BU406" i="118"/>
  <c r="BP406"/>
  <c r="BX406"/>
  <c r="BN406"/>
  <c r="BR406"/>
  <c r="BV406"/>
  <c r="BL406"/>
  <c r="BO406"/>
  <c r="BJ406"/>
  <c r="AE406" s="1"/>
  <c r="BW406"/>
  <c r="BK406"/>
  <c r="BM406"/>
  <c r="BQ406"/>
  <c r="BT406"/>
  <c r="BS406"/>
  <c r="AA12" i="189"/>
  <c r="AD797" i="175"/>
  <c r="AA74" i="189" s="1"/>
  <c r="AD40" i="152"/>
  <c r="AA4" i="189"/>
  <c r="AD789" i="175"/>
  <c r="AS41" i="145"/>
  <c r="AJ43" i="154"/>
  <c r="AR42" i="158"/>
  <c r="G45" i="155"/>
  <c r="AD45" s="1"/>
  <c r="G45" i="168"/>
  <c r="AD45" s="1"/>
  <c r="AA43" i="145"/>
  <c r="AR41" i="146"/>
  <c r="AB363" i="118"/>
  <c r="AD363" s="1"/>
  <c r="Z44" i="171"/>
  <c r="W37" i="49"/>
  <c r="BN43" i="164"/>
  <c r="BU43" s="1"/>
  <c r="BV43" s="1"/>
  <c r="X43" s="1"/>
  <c r="D45" i="168"/>
  <c r="D45" i="153"/>
  <c r="K45" s="1"/>
  <c r="N45" s="1"/>
  <c r="AF42" i="147"/>
  <c r="I42"/>
  <c r="J43"/>
  <c r="AD51" i="190"/>
  <c r="AG501" i="175"/>
  <c r="AD69" i="190" s="1"/>
  <c r="AA43" i="163"/>
  <c r="I39" i="160"/>
  <c r="AF39"/>
  <c r="J40"/>
  <c r="AA43" i="150"/>
  <c r="AJ43" i="166"/>
  <c r="Z74" i="189"/>
  <c r="CC47" i="162"/>
  <c r="D47" s="1"/>
  <c r="CE47"/>
  <c r="J47" s="1"/>
  <c r="CD47"/>
  <c r="G47" s="1"/>
  <c r="CG47"/>
  <c r="AL47" s="1"/>
  <c r="AA43" i="166"/>
  <c r="X44" i="145"/>
  <c r="AB44"/>
  <c r="X44" i="158"/>
  <c r="AB44"/>
  <c r="AK39" i="51"/>
  <c r="B32" i="72"/>
  <c r="D32" s="1"/>
  <c r="I32" s="1"/>
  <c r="H32" s="1"/>
  <c r="G32" s="1"/>
  <c r="F32" s="1"/>
  <c r="E32" s="1"/>
  <c r="AV39" i="51"/>
  <c r="AX39" s="1"/>
  <c r="AB32" i="118"/>
  <c r="F43" i="146"/>
  <c r="AD43"/>
  <c r="G44"/>
  <c r="X43"/>
  <c r="AJ43" i="161"/>
  <c r="BK45" i="164"/>
  <c r="BL45" s="1"/>
  <c r="G45"/>
  <c r="AD45" s="1"/>
  <c r="G45" i="158"/>
  <c r="AD45" s="1"/>
  <c r="AD45" i="161"/>
  <c r="F45"/>
  <c r="G45" i="144"/>
  <c r="AD45" s="1"/>
  <c r="AS41" i="168"/>
  <c r="AR41" i="149"/>
  <c r="AA43" i="158"/>
  <c r="J45" i="56"/>
  <c r="AF45" s="1"/>
  <c r="J45" i="149"/>
  <c r="AF45" s="1"/>
  <c r="S45" i="162"/>
  <c r="V45" s="1"/>
  <c r="J45" i="168"/>
  <c r="AF45" s="1"/>
  <c r="J45" i="154"/>
  <c r="AF45" s="1"/>
  <c r="V70" i="189"/>
  <c r="AJ45" i="162"/>
  <c r="AR42" i="168"/>
  <c r="X44" i="159"/>
  <c r="AB44"/>
  <c r="X44" i="171"/>
  <c r="AB269" i="118"/>
  <c r="H41" i="51"/>
  <c r="I41" s="1"/>
  <c r="AS41" i="151"/>
  <c r="H39" i="137"/>
  <c r="BD46" i="161" s="1"/>
  <c r="H46" i="145"/>
  <c r="H46" i="151"/>
  <c r="H46" i="144"/>
  <c r="H46" i="154"/>
  <c r="H46" i="153"/>
  <c r="H46" i="166"/>
  <c r="H46" i="168"/>
  <c r="H46" i="167"/>
  <c r="H46" i="149"/>
  <c r="H46" i="150"/>
  <c r="H46" i="162"/>
  <c r="H46" i="165"/>
  <c r="H46" i="155"/>
  <c r="H46" i="164"/>
  <c r="AB177" i="118"/>
  <c r="H46" i="158"/>
  <c r="H46" i="56"/>
  <c r="H46" i="171"/>
  <c r="H46" i="143"/>
  <c r="H46" i="159"/>
  <c r="G43" i="147"/>
  <c r="F42"/>
  <c r="AD42"/>
  <c r="AB44" i="164"/>
  <c r="AR42" i="165"/>
  <c r="AR42" i="154"/>
  <c r="D45" i="143"/>
  <c r="D45" i="56"/>
  <c r="K45" s="1"/>
  <c r="N45" s="1"/>
  <c r="C45" i="165"/>
  <c r="K45"/>
  <c r="N45" s="1"/>
  <c r="D45" i="144"/>
  <c r="K45" s="1"/>
  <c r="D45" i="151"/>
  <c r="K45" s="1"/>
  <c r="N45" s="1"/>
  <c r="AS41" i="161"/>
  <c r="X46" i="162"/>
  <c r="AB46"/>
  <c r="AA43" i="159"/>
  <c r="X36" i="49"/>
  <c r="G40" i="51"/>
  <c r="AB44" i="167"/>
  <c r="X44"/>
  <c r="AJ43" i="165"/>
  <c r="X44" i="151"/>
  <c r="AC44"/>
  <c r="AR42" i="153"/>
  <c r="AJ43" i="168"/>
  <c r="Y794" i="175"/>
  <c r="V71" i="189" s="1"/>
  <c r="V9"/>
  <c r="Z5"/>
  <c r="AC790" i="175"/>
  <c r="AD43" i="163"/>
  <c r="S44" i="145"/>
  <c r="V44" s="1"/>
  <c r="S44" i="56"/>
  <c r="V44" s="1"/>
  <c r="O44" i="145"/>
  <c r="R44" s="1"/>
  <c r="K44" i="144"/>
  <c r="S44" i="167"/>
  <c r="V44" s="1"/>
  <c r="K44" i="166"/>
  <c r="N44" s="1"/>
  <c r="K44" i="149"/>
  <c r="N44" s="1"/>
  <c r="K39" i="49"/>
  <c r="S44" i="151"/>
  <c r="V44" s="1"/>
  <c r="K44" i="154"/>
  <c r="N44" s="1"/>
  <c r="O44" i="144"/>
  <c r="R44" s="1"/>
  <c r="O44" i="164"/>
  <c r="R44" s="1"/>
  <c r="O44" i="158"/>
  <c r="R44" s="1"/>
  <c r="S44" i="168"/>
  <c r="V44" s="1"/>
  <c r="S44" i="153"/>
  <c r="V44" s="1"/>
  <c r="S44" i="164"/>
  <c r="V44" s="1"/>
  <c r="K44" i="153"/>
  <c r="N44" s="1"/>
  <c r="O44" i="167"/>
  <c r="R44" s="1"/>
  <c r="BD44" i="149"/>
  <c r="G44" s="1"/>
  <c r="K44" i="56"/>
  <c r="N44" s="1"/>
  <c r="M30" i="140"/>
  <c r="H29" i="64"/>
  <c r="AA194" i="175"/>
  <c r="AD659"/>
  <c r="Z377"/>
  <c r="AB34"/>
  <c r="E28" i="68"/>
  <c r="W30" i="120"/>
  <c r="AC42" i="175"/>
  <c r="AI442"/>
  <c r="L30" i="119"/>
  <c r="K41" i="148"/>
  <c r="AB257" i="175"/>
  <c r="K40" i="152"/>
  <c r="E45" i="163"/>
  <c r="AA258" i="175"/>
  <c r="N30" i="64"/>
  <c r="AG274" i="175"/>
  <c r="R30" i="119"/>
  <c r="AG268" i="175"/>
  <c r="U30" i="119"/>
  <c r="AF140" i="175"/>
  <c r="J31" i="119"/>
  <c r="R30" i="67"/>
  <c r="R29" i="71"/>
  <c r="H30" i="140"/>
  <c r="W29" i="71"/>
  <c r="AF53" i="175"/>
  <c r="V30" i="140"/>
  <c r="AE46" i="175"/>
  <c r="AE36"/>
  <c r="T31" i="140"/>
  <c r="F28" i="67"/>
  <c r="L29" i="71"/>
  <c r="S30" i="140"/>
  <c r="AA696" i="175"/>
  <c r="G27" i="67"/>
  <c r="AE676" i="175"/>
  <c r="AG264"/>
  <c r="H29" i="67"/>
  <c r="U30"/>
  <c r="L30"/>
  <c r="U30" i="120"/>
  <c r="AF192" i="175"/>
  <c r="AD388"/>
  <c r="AF139"/>
  <c r="O23" i="71"/>
  <c r="AE675" i="175"/>
  <c r="AA260"/>
  <c r="AB191"/>
  <c r="AG208"/>
  <c r="W30" i="119"/>
  <c r="S44" i="146"/>
  <c r="AF173" i="175"/>
  <c r="B41" i="152"/>
  <c r="AG205" i="175"/>
  <c r="AC690"/>
  <c r="AD387"/>
  <c r="AB134"/>
  <c r="G26" i="119"/>
  <c r="AE679" i="175"/>
  <c r="E29" i="67"/>
  <c r="AE388" i="175"/>
  <c r="I30" i="140"/>
  <c r="E29" i="64"/>
  <c r="K29" i="71"/>
  <c r="Z383" i="175"/>
  <c r="W30" i="140"/>
  <c r="K42" i="147"/>
  <c r="AF35" i="175"/>
  <c r="Q31" i="140"/>
  <c r="S30" i="120"/>
  <c r="O41" i="152"/>
  <c r="AA256" i="175"/>
  <c r="K39" i="160"/>
  <c r="AE45" i="175"/>
  <c r="AE204"/>
  <c r="AG273"/>
  <c r="S45" i="163"/>
  <c r="Z692" i="175"/>
  <c r="B22" i="67"/>
  <c r="T31" i="119"/>
  <c r="AA40" i="175"/>
  <c r="I29" i="71"/>
  <c r="AE386" i="175"/>
  <c r="AE672"/>
  <c r="AG271"/>
  <c r="AB253"/>
  <c r="B30" i="120"/>
  <c r="M30" i="64"/>
  <c r="X26" i="140"/>
  <c r="B21" i="68"/>
  <c r="Y694" i="175"/>
  <c r="AA133"/>
  <c r="AF266"/>
  <c r="B46" i="163"/>
  <c r="K45" i="146"/>
  <c r="O46" i="161"/>
  <c r="AF262" i="175"/>
  <c r="AF254"/>
  <c r="F28" i="120"/>
  <c r="AB135" i="175"/>
  <c r="D30" i="140"/>
  <c r="AF150" i="175"/>
  <c r="AG211"/>
  <c r="G27" i="64"/>
  <c r="Z662" i="175"/>
  <c r="B21" i="71"/>
  <c r="K45" i="161"/>
  <c r="V31" i="119"/>
  <c r="K30"/>
  <c r="B45" i="146"/>
  <c r="AE207" i="175"/>
  <c r="Y691"/>
  <c r="F27" i="71"/>
  <c r="Y664" i="175"/>
  <c r="AB700"/>
  <c r="AA198"/>
  <c r="AE666"/>
  <c r="P31" i="120"/>
  <c r="X176" i="175"/>
  <c r="N29" i="71"/>
  <c r="K31" i="119"/>
  <c r="AF172" i="175"/>
  <c r="N29" i="68"/>
  <c r="B44" i="147"/>
  <c r="AE678" i="175"/>
  <c r="G27" i="120"/>
  <c r="F28" i="64"/>
  <c r="V29" i="71"/>
  <c r="O24" i="119"/>
  <c r="S40" i="160"/>
  <c r="Q33" i="69"/>
  <c r="Q31" i="68"/>
  <c r="M30" i="67"/>
  <c r="Q31" i="120"/>
  <c r="X25" i="119"/>
  <c r="J30" i="67"/>
  <c r="AB42" i="175"/>
  <c r="H29" i="120"/>
  <c r="O44" i="146"/>
  <c r="E42" i="152"/>
  <c r="X26" i="120"/>
  <c r="Y384" i="175"/>
  <c r="AF130"/>
  <c r="AF43"/>
  <c r="AC389"/>
  <c r="AF138"/>
  <c r="B40" i="160"/>
  <c r="AD706" i="175"/>
  <c r="L30" i="140"/>
  <c r="X26" i="67"/>
  <c r="D30"/>
  <c r="Y693" i="175"/>
  <c r="H30" i="119"/>
  <c r="N31"/>
  <c r="AE201" i="175"/>
  <c r="N30" i="140"/>
  <c r="AB38" i="175"/>
  <c r="AF263"/>
  <c r="S41" i="152"/>
  <c r="AD234" i="175"/>
  <c r="S29" i="64"/>
  <c r="AF149" i="175"/>
  <c r="AB195"/>
  <c r="AG213"/>
  <c r="AG206"/>
  <c r="R28" i="68"/>
  <c r="L30" i="64"/>
  <c r="Q31" i="71"/>
  <c r="AG212" i="175"/>
  <c r="G26" i="68"/>
  <c r="Z132" i="175"/>
  <c r="AD710"/>
  <c r="P29" i="68"/>
  <c r="AE658" i="175"/>
  <c r="AD697"/>
  <c r="D29" i="71"/>
  <c r="AA197" i="175"/>
  <c r="AA381"/>
  <c r="C30" i="140"/>
  <c r="B46" i="161"/>
  <c r="D29" i="68"/>
  <c r="K30" i="140"/>
  <c r="AD236" i="175"/>
  <c r="S29" i="67"/>
  <c r="J29" i="68"/>
  <c r="U30" i="140"/>
  <c r="X24" i="68"/>
  <c r="S45" i="161"/>
  <c r="E45" i="146"/>
  <c r="H28" i="68"/>
  <c r="O25" i="120"/>
  <c r="V29" i="68"/>
  <c r="H43" i="148"/>
  <c r="E43"/>
  <c r="I30" i="120"/>
  <c r="E30" i="119"/>
  <c r="AF55" i="175"/>
  <c r="K29" i="68"/>
  <c r="S28" i="71"/>
  <c r="X26" i="64"/>
  <c r="AG270" i="175"/>
  <c r="J30" i="64"/>
  <c r="E41" i="160"/>
  <c r="V30" i="120"/>
  <c r="P30" i="140"/>
  <c r="AG209" i="175"/>
  <c r="P30" i="119"/>
  <c r="AE677" i="175"/>
  <c r="G26" i="64"/>
  <c r="Q32"/>
  <c r="AC199" i="175"/>
  <c r="AF269"/>
  <c r="AG267"/>
  <c r="AF175"/>
  <c r="M29" i="71"/>
  <c r="K30" i="64"/>
  <c r="I30"/>
  <c r="J30" i="120"/>
  <c r="Z136" i="175"/>
  <c r="AD707"/>
  <c r="O25" i="140"/>
  <c r="R30"/>
  <c r="O43" i="147"/>
  <c r="AG210" i="175"/>
  <c r="N30" i="120"/>
  <c r="X25" i="68"/>
  <c r="AF52" i="175"/>
  <c r="AC699"/>
  <c r="B22" i="119"/>
  <c r="P30" i="64"/>
  <c r="G26" i="67"/>
  <c r="AE399" i="175"/>
  <c r="U30" i="64"/>
  <c r="H29" i="68"/>
  <c r="AD379" i="175"/>
  <c r="AD703"/>
  <c r="C30" i="120"/>
  <c r="B22" i="64"/>
  <c r="F28" i="140"/>
  <c r="D30" i="64"/>
  <c r="L29" i="68"/>
  <c r="B30" i="140"/>
  <c r="J30"/>
  <c r="AD669" i="175"/>
  <c r="U31" i="119"/>
  <c r="AA39" i="175"/>
  <c r="N30" i="67"/>
  <c r="V30"/>
  <c r="Q31" i="119"/>
  <c r="X25" i="71"/>
  <c r="AD709" i="175"/>
  <c r="M30" i="120"/>
  <c r="H31" i="119"/>
  <c r="AB385" i="175"/>
  <c r="S27" i="68"/>
  <c r="AC698" i="175"/>
  <c r="AG275"/>
  <c r="AE667"/>
  <c r="AE193"/>
  <c r="AE378"/>
  <c r="AF131"/>
  <c r="K30" i="120"/>
  <c r="AF49" i="175"/>
  <c r="H46" i="161"/>
  <c r="AF56" i="175"/>
  <c r="AE395"/>
  <c r="P30" i="67"/>
  <c r="H46" i="163"/>
  <c r="AD235" i="175"/>
  <c r="S42" i="148"/>
  <c r="E29" i="120"/>
  <c r="H42" i="152"/>
  <c r="Z664" i="175"/>
  <c r="AF174"/>
  <c r="AE398"/>
  <c r="V30" i="64"/>
  <c r="I30" i="67"/>
  <c r="AI440" i="175"/>
  <c r="AG272"/>
  <c r="R30" i="64"/>
  <c r="O42" i="148"/>
  <c r="W30" i="64"/>
  <c r="AA657" i="175"/>
  <c r="E46" i="161"/>
  <c r="O24" i="71"/>
  <c r="AA661" i="175"/>
  <c r="Z660"/>
  <c r="H44" i="147"/>
  <c r="AF265" i="175"/>
  <c r="M29" i="68"/>
  <c r="AA129" i="175"/>
  <c r="AA377"/>
  <c r="AE397"/>
  <c r="AA196"/>
  <c r="O23" i="68"/>
  <c r="R29" i="120"/>
  <c r="AF148" i="175"/>
  <c r="D30" i="120"/>
  <c r="AF44" i="175"/>
  <c r="K45" i="163"/>
  <c r="AB137" i="175"/>
  <c r="AD708"/>
  <c r="L30" i="120"/>
  <c r="U29" i="71"/>
  <c r="P29"/>
  <c r="B42" i="148"/>
  <c r="S43" i="147"/>
  <c r="K30" i="67"/>
  <c r="U29" i="68"/>
  <c r="O40" i="160"/>
  <c r="E29" i="140"/>
  <c r="AF144" i="175"/>
  <c r="E28" i="71"/>
  <c r="AD689" i="175"/>
  <c r="AG200"/>
  <c r="W30" i="67"/>
  <c r="AF151" i="175"/>
  <c r="O44" i="163"/>
  <c r="Q32" i="67"/>
  <c r="E44" i="147"/>
  <c r="AF54" i="175"/>
  <c r="AF147"/>
  <c r="AE392"/>
  <c r="F27" i="119"/>
  <c r="I30" i="68"/>
  <c r="T29"/>
  <c r="AA259" i="175"/>
  <c r="Z382"/>
  <c r="AE203"/>
  <c r="J29" i="71"/>
  <c r="W29" i="68"/>
  <c r="H41" i="160"/>
  <c r="H45" i="146"/>
  <c r="I31" i="119"/>
  <c r="AE255" i="175"/>
  <c r="G27" i="140"/>
  <c r="AC261" i="175"/>
  <c r="AE396"/>
  <c r="AF141"/>
  <c r="AF772" l="1"/>
  <c r="BB772"/>
  <c r="AF36" i="190"/>
  <c r="AI473" i="175"/>
  <c r="AF54" i="190" s="1"/>
  <c r="AE54"/>
  <c r="AZ174" i="118"/>
  <c r="AZ127"/>
  <c r="BB203" i="175"/>
  <c r="AE738"/>
  <c r="BB738" s="1"/>
  <c r="AS40" i="164"/>
  <c r="AD799" i="175"/>
  <c r="AA76" i="189" s="1"/>
  <c r="AR37" i="160"/>
  <c r="AS37" s="1"/>
  <c r="AZ33" i="118"/>
  <c r="AZ268"/>
  <c r="AD769" i="175"/>
  <c r="BB46"/>
  <c r="AB638"/>
  <c r="AR41" i="164"/>
  <c r="AC800" i="175"/>
  <c r="Z77" i="189" s="1"/>
  <c r="Z46"/>
  <c r="BA174" i="118"/>
  <c r="BA127"/>
  <c r="BA268"/>
  <c r="BA33"/>
  <c r="AC637" i="175"/>
  <c r="BB45"/>
  <c r="AR42" i="149"/>
  <c r="BE170" i="118"/>
  <c r="BE123"/>
  <c r="BE75"/>
  <c r="Z733" i="175"/>
  <c r="AZ733" s="1"/>
  <c r="AZ136"/>
  <c r="AZ664"/>
  <c r="V10" i="189"/>
  <c r="Y795" i="175"/>
  <c r="V72" i="189" s="1"/>
  <c r="W3"/>
  <c r="AW3" s="1"/>
  <c r="Z788" i="175"/>
  <c r="AZ788" s="1"/>
  <c r="BL76" i="118"/>
  <c r="AZ377" i="175"/>
  <c r="AA726"/>
  <c r="AA788" s="1"/>
  <c r="AR38" i="152"/>
  <c r="AS38" s="1"/>
  <c r="V6" i="189"/>
  <c r="AA796" i="175"/>
  <c r="X73" i="189" s="1"/>
  <c r="W7"/>
  <c r="AW7" s="1"/>
  <c r="AZ796" i="175"/>
  <c r="AZ634"/>
  <c r="AZ132"/>
  <c r="Z729"/>
  <c r="W6" i="189" s="1"/>
  <c r="AA730" i="175"/>
  <c r="X7" i="189" s="1"/>
  <c r="AB734" i="175"/>
  <c r="Y11" i="189" s="1"/>
  <c r="BH76" i="118"/>
  <c r="BD77"/>
  <c r="BI75"/>
  <c r="N39" i="160"/>
  <c r="BD265" i="118"/>
  <c r="AB30" i="72"/>
  <c r="BD30" i="118"/>
  <c r="N42" i="147"/>
  <c r="N41" i="148"/>
  <c r="D41" i="152"/>
  <c r="X41" s="1"/>
  <c r="N40"/>
  <c r="AJ38" i="160"/>
  <c r="AJ41" i="147"/>
  <c r="AR41" s="1"/>
  <c r="Z792" i="175"/>
  <c r="AZ792" s="1"/>
  <c r="C39" i="160"/>
  <c r="D40"/>
  <c r="AB39"/>
  <c r="AB42" i="147"/>
  <c r="AJ42" s="1"/>
  <c r="C42"/>
  <c r="D43"/>
  <c r="X43" s="1"/>
  <c r="AB41" i="148"/>
  <c r="AJ41" s="1"/>
  <c r="D42"/>
  <c r="X42" s="1"/>
  <c r="C41"/>
  <c r="AB40" i="152"/>
  <c r="X39" i="160"/>
  <c r="AA40" i="148"/>
  <c r="AR40" s="1"/>
  <c r="K40" i="49"/>
  <c r="AY174" i="118"/>
  <c r="AY127"/>
  <c r="BB204" i="175"/>
  <c r="AZ81" i="118"/>
  <c r="BH265"/>
  <c r="BH30"/>
  <c r="BH124"/>
  <c r="BH171"/>
  <c r="Z630" i="175"/>
  <c r="AZ630" s="1"/>
  <c r="AZ692"/>
  <c r="AS43" i="56"/>
  <c r="AS43" i="155"/>
  <c r="AA13" i="189"/>
  <c r="AQ34" i="118"/>
  <c r="BI170"/>
  <c r="BI123"/>
  <c r="AP269"/>
  <c r="AR269"/>
  <c r="AP82"/>
  <c r="AT34"/>
  <c r="AS269"/>
  <c r="AQ128"/>
  <c r="AQ175"/>
  <c r="AR81"/>
  <c r="AR175"/>
  <c r="AR128"/>
  <c r="BD172"/>
  <c r="BD125"/>
  <c r="AQ269"/>
  <c r="AP128"/>
  <c r="AP175"/>
  <c r="AR82"/>
  <c r="BD31"/>
  <c r="AR34"/>
  <c r="AS34"/>
  <c r="AT269"/>
  <c r="BB127"/>
  <c r="BB174"/>
  <c r="BD266"/>
  <c r="AS128"/>
  <c r="AS175"/>
  <c r="AS81"/>
  <c r="AT175"/>
  <c r="AT128"/>
  <c r="AU175"/>
  <c r="AU128"/>
  <c r="BA81"/>
  <c r="AP34"/>
  <c r="BB676" i="175"/>
  <c r="AZ660"/>
  <c r="AD645"/>
  <c r="BB678"/>
  <c r="AF744"/>
  <c r="AD644"/>
  <c r="BB201"/>
  <c r="AE736"/>
  <c r="BB736" s="1"/>
  <c r="BB396"/>
  <c r="BB397"/>
  <c r="BB675"/>
  <c r="Y629"/>
  <c r="AD646"/>
  <c r="AC636"/>
  <c r="AD252"/>
  <c r="AD648"/>
  <c r="BB398"/>
  <c r="AF746"/>
  <c r="AA634"/>
  <c r="BB679"/>
  <c r="BB677"/>
  <c r="AD647"/>
  <c r="AF745"/>
  <c r="BB395"/>
  <c r="X190"/>
  <c r="BB399"/>
  <c r="AF748"/>
  <c r="AF747"/>
  <c r="AJ42" i="164"/>
  <c r="AS42" i="159"/>
  <c r="AA42" i="147"/>
  <c r="AA87" i="189"/>
  <c r="AB24"/>
  <c r="AY24" s="1"/>
  <c r="AE809" i="175"/>
  <c r="AB86" i="189" s="1"/>
  <c r="BB747" i="175"/>
  <c r="AB23" i="189"/>
  <c r="AY23" s="1"/>
  <c r="AE808" i="175"/>
  <c r="AJ36" i="143"/>
  <c r="AA86" i="189"/>
  <c r="AR42" i="163"/>
  <c r="AS42" s="1"/>
  <c r="AJ44" i="159"/>
  <c r="AJ44" i="158"/>
  <c r="AS34" i="143"/>
  <c r="AB21" i="189"/>
  <c r="AY21" s="1"/>
  <c r="AE806" i="175"/>
  <c r="AB83" i="189" s="1"/>
  <c r="AY83" s="1"/>
  <c r="AB25"/>
  <c r="AY25" s="1"/>
  <c r="AE810" i="175"/>
  <c r="AB87" i="189" s="1"/>
  <c r="BB748" i="175"/>
  <c r="AE807"/>
  <c r="AB22" i="189"/>
  <c r="AY22" s="1"/>
  <c r="AW8"/>
  <c r="AG26" i="72"/>
  <c r="M38" i="143"/>
  <c r="L38" s="1"/>
  <c r="N37"/>
  <c r="X37"/>
  <c r="AC37"/>
  <c r="AA36"/>
  <c r="AR35"/>
  <c r="L40" i="49"/>
  <c r="AS42" i="158"/>
  <c r="Z793" i="175"/>
  <c r="W70" i="189" s="1"/>
  <c r="AW70" s="1"/>
  <c r="AZ731" i="175"/>
  <c r="AG176" i="118"/>
  <c r="AG129"/>
  <c r="AG36"/>
  <c r="AG82"/>
  <c r="AG271"/>
  <c r="AS42" i="150"/>
  <c r="AD122" i="118"/>
  <c r="BL265"/>
  <c r="BG123"/>
  <c r="BG170"/>
  <c r="BL30"/>
  <c r="BG77"/>
  <c r="BL171"/>
  <c r="BL124"/>
  <c r="BG264"/>
  <c r="BG29"/>
  <c r="AA731" i="175"/>
  <c r="X8" i="189" s="1"/>
  <c r="AZ382" i="175"/>
  <c r="Y631"/>
  <c r="AZ662"/>
  <c r="AA40" i="152"/>
  <c r="AA43" i="149"/>
  <c r="AS41"/>
  <c r="AD169" i="118"/>
  <c r="S45" i="153"/>
  <c r="V45" s="1"/>
  <c r="S45" i="158"/>
  <c r="V45" s="1"/>
  <c r="O45" i="168"/>
  <c r="R45" s="1"/>
  <c r="Q30" i="72"/>
  <c r="O45" i="159"/>
  <c r="R45" s="1"/>
  <c r="O45" i="150"/>
  <c r="R45" s="1"/>
  <c r="AS43" i="171"/>
  <c r="BD45" i="149"/>
  <c r="G45" s="1"/>
  <c r="O45" s="1"/>
  <c r="R45" s="1"/>
  <c r="AC32" i="72"/>
  <c r="S45" i="155"/>
  <c r="V45" s="1"/>
  <c r="S45" i="168"/>
  <c r="V45" s="1"/>
  <c r="S45" i="56"/>
  <c r="V45" s="1"/>
  <c r="O45" i="144"/>
  <c r="R45" s="1"/>
  <c r="O45" i="158"/>
  <c r="R45" s="1"/>
  <c r="O45" i="155"/>
  <c r="R45" s="1"/>
  <c r="S45" i="150"/>
  <c r="V45" s="1"/>
  <c r="S45" i="166"/>
  <c r="V45" s="1"/>
  <c r="S45" i="159"/>
  <c r="V45" s="1"/>
  <c r="AW175" i="118"/>
  <c r="AW128"/>
  <c r="AX175"/>
  <c r="AX128"/>
  <c r="O45" i="153"/>
  <c r="R45" s="1"/>
  <c r="O45" i="167"/>
  <c r="R45" s="1"/>
  <c r="O45" i="166"/>
  <c r="R45" s="1"/>
  <c r="S45" i="149"/>
  <c r="V45" s="1"/>
  <c r="S45" i="171"/>
  <c r="V45" s="1"/>
  <c r="AR44" i="56"/>
  <c r="AS40" i="147"/>
  <c r="S45" i="143"/>
  <c r="V45" s="1"/>
  <c r="O45" i="154"/>
  <c r="R45" s="1"/>
  <c r="O45" i="145"/>
  <c r="R45" s="1"/>
  <c r="O45" i="171"/>
  <c r="R45" s="1"/>
  <c r="V33" i="72"/>
  <c r="BB255" i="175"/>
  <c r="BK81" i="118"/>
  <c r="BC81"/>
  <c r="BF77"/>
  <c r="BF123"/>
  <c r="BF170"/>
  <c r="AA283" i="175"/>
  <c r="BC175" i="118"/>
  <c r="BC128"/>
  <c r="BJ81"/>
  <c r="BJ268"/>
  <c r="AD33" i="72"/>
  <c r="BJ33" i="118"/>
  <c r="BB36" i="175"/>
  <c r="BB666"/>
  <c r="BB34" i="118"/>
  <c r="BB269"/>
  <c r="AF741" i="175"/>
  <c r="AB31" i="72"/>
  <c r="AE34"/>
  <c r="R46" i="161"/>
  <c r="BB672" i="175"/>
  <c r="BF29" i="118"/>
  <c r="BF264"/>
  <c r="BB667" i="175"/>
  <c r="R43" i="147"/>
  <c r="AE728" i="175"/>
  <c r="BB193"/>
  <c r="AF727"/>
  <c r="Z34" i="72"/>
  <c r="G45" i="163"/>
  <c r="V45" i="161"/>
  <c r="BC34" i="118"/>
  <c r="T34" i="72"/>
  <c r="BC269" i="118"/>
  <c r="R40" i="160"/>
  <c r="AD635" i="175"/>
  <c r="N45" i="163"/>
  <c r="AA221" i="175"/>
  <c r="AA732"/>
  <c r="AV127" i="118"/>
  <c r="AV174"/>
  <c r="BJ127"/>
  <c r="BJ174"/>
  <c r="AW81"/>
  <c r="BB81"/>
  <c r="BB207" i="175"/>
  <c r="AA34" i="72"/>
  <c r="BB388" i="175"/>
  <c r="AD641"/>
  <c r="BB392"/>
  <c r="V42" i="148"/>
  <c r="J42" i="152"/>
  <c r="R34" i="72"/>
  <c r="W36"/>
  <c r="J46" i="163"/>
  <c r="BB378" i="175"/>
  <c r="BB386"/>
  <c r="AC628"/>
  <c r="BK269" i="118"/>
  <c r="X34" i="72"/>
  <c r="BK34" i="118"/>
  <c r="Y632" i="175"/>
  <c r="N45" i="161"/>
  <c r="C45" i="146"/>
  <c r="N45"/>
  <c r="V44"/>
  <c r="BB658" i="175"/>
  <c r="V41" i="152"/>
  <c r="R41"/>
  <c r="V43" i="147"/>
  <c r="AZ383" i="175"/>
  <c r="S34" i="72"/>
  <c r="R44" i="146"/>
  <c r="AF34" i="190"/>
  <c r="AI470" i="175"/>
  <c r="AI471"/>
  <c r="AF52" i="190" s="1"/>
  <c r="AI408" i="118"/>
  <c r="V40" i="160"/>
  <c r="AW269" i="118"/>
  <c r="Y34" i="72"/>
  <c r="AW34" i="118"/>
  <c r="D46" i="163"/>
  <c r="R42" i="148"/>
  <c r="G42" i="152"/>
  <c r="AF735" i="175"/>
  <c r="AD627"/>
  <c r="V45" i="163"/>
  <c r="R44"/>
  <c r="AA43" i="164"/>
  <c r="AD44" i="149"/>
  <c r="F44"/>
  <c r="O44"/>
  <c r="R44" s="1"/>
  <c r="J46" i="143"/>
  <c r="AF46" s="1"/>
  <c r="J46" i="168"/>
  <c r="AF46" s="1"/>
  <c r="AA43" i="146"/>
  <c r="AR43" i="166"/>
  <c r="AR43" i="150"/>
  <c r="G46" i="143"/>
  <c r="AD46" s="1"/>
  <c r="G46" i="153"/>
  <c r="AD46" s="1"/>
  <c r="G46" i="151"/>
  <c r="AD46" s="1"/>
  <c r="Z39" i="49"/>
  <c r="M39"/>
  <c r="J40"/>
  <c r="AJ44" i="154"/>
  <c r="AA41" i="148"/>
  <c r="X45" i="155"/>
  <c r="AA45" s="1"/>
  <c r="AB45"/>
  <c r="AJ45" s="1"/>
  <c r="D46" i="149"/>
  <c r="D46" i="151"/>
  <c r="AR45" i="162"/>
  <c r="CC48"/>
  <c r="D48" s="1"/>
  <c r="CE48"/>
  <c r="J48" s="1"/>
  <c r="CD48"/>
  <c r="G48" s="1"/>
  <c r="CG48"/>
  <c r="AL48" s="1"/>
  <c r="AH501" i="175"/>
  <c r="AE51" i="190"/>
  <c r="AJ44" i="151"/>
  <c r="AV40" i="51"/>
  <c r="AX40" s="1"/>
  <c r="B33" i="72"/>
  <c r="D33" s="1"/>
  <c r="I33" s="1"/>
  <c r="H33" s="1"/>
  <c r="G33" s="1"/>
  <c r="F33" s="1"/>
  <c r="E33" s="1"/>
  <c r="AK40" i="51"/>
  <c r="AB33" i="118"/>
  <c r="J46" i="158"/>
  <c r="AF46" s="1"/>
  <c r="J46" i="167"/>
  <c r="AF46" s="1"/>
  <c r="AR43" i="158"/>
  <c r="AA44" i="145"/>
  <c r="AF47" i="162"/>
  <c r="X37" i="49"/>
  <c r="G41" i="51"/>
  <c r="BK46" i="164"/>
  <c r="BL46" s="1"/>
  <c r="G46"/>
  <c r="AD46" s="1"/>
  <c r="O46" i="162"/>
  <c r="R46" s="1"/>
  <c r="AR43" i="154"/>
  <c r="AI40" i="137"/>
  <c r="AB84" i="118"/>
  <c r="D40" i="137"/>
  <c r="B47" i="164"/>
  <c r="B47" i="151"/>
  <c r="B47" i="144"/>
  <c r="AM36" i="142" s="1"/>
  <c r="B47" i="143"/>
  <c r="B47" i="150"/>
  <c r="B47" i="166"/>
  <c r="B47" i="154"/>
  <c r="B47" i="167"/>
  <c r="B47" i="56"/>
  <c r="B47" i="162"/>
  <c r="C47" s="1"/>
  <c r="B47" i="168"/>
  <c r="B47" i="145"/>
  <c r="B47" i="155"/>
  <c r="B47" i="165"/>
  <c r="B47" i="153"/>
  <c r="B47" i="158"/>
  <c r="B47" i="149"/>
  <c r="B47" i="159"/>
  <c r="B47" i="171"/>
  <c r="I40" i="137"/>
  <c r="J40" s="1"/>
  <c r="AA44" i="150"/>
  <c r="AS42" i="145"/>
  <c r="D46" i="168"/>
  <c r="K46" s="1"/>
  <c r="N46" s="1"/>
  <c r="D46" i="159"/>
  <c r="AJ44" i="168"/>
  <c r="X45" i="154"/>
  <c r="AB45"/>
  <c r="AS39" i="148"/>
  <c r="BN44" i="164"/>
  <c r="BQ44" s="1"/>
  <c r="BR44" s="1"/>
  <c r="AE44" s="1"/>
  <c r="AB14" i="189"/>
  <c r="AY14" s="1"/>
  <c r="AE799" i="175"/>
  <c r="AB76" i="189" s="1"/>
  <c r="BB737" i="175"/>
  <c r="AA5" i="189"/>
  <c r="AD790" i="175"/>
  <c r="AA67" i="189" s="1"/>
  <c r="AJ44" i="167"/>
  <c r="G44" i="147"/>
  <c r="F43"/>
  <c r="AD43"/>
  <c r="J46" i="155"/>
  <c r="AF46" s="1"/>
  <c r="AS42" i="168"/>
  <c r="AJ43" i="146"/>
  <c r="AJ44" i="145"/>
  <c r="AR43"/>
  <c r="X45" i="158"/>
  <c r="AB45"/>
  <c r="G46" i="155"/>
  <c r="AD46" s="1"/>
  <c r="G46" i="158"/>
  <c r="AD46" s="1"/>
  <c r="G46" i="145"/>
  <c r="AD46" s="1"/>
  <c r="BC46" i="149"/>
  <c r="BB46"/>
  <c r="G46" i="144"/>
  <c r="AD46" s="1"/>
  <c r="G46" i="56"/>
  <c r="AD46" s="1"/>
  <c r="AR43" i="151"/>
  <c r="AJ44" i="161"/>
  <c r="H40" i="137"/>
  <c r="BD47" i="161" s="1"/>
  <c r="H47" i="144"/>
  <c r="H47" i="167"/>
  <c r="H47" i="154"/>
  <c r="H47" i="164"/>
  <c r="H47" i="162"/>
  <c r="I47" s="1"/>
  <c r="H47" i="166"/>
  <c r="H47" i="168"/>
  <c r="H47" i="151"/>
  <c r="H47" i="165"/>
  <c r="H47" i="153"/>
  <c r="H47" i="149"/>
  <c r="H47" i="143"/>
  <c r="H47" i="150"/>
  <c r="AB178" i="118"/>
  <c r="H47" i="56"/>
  <c r="H47" i="159"/>
  <c r="H47" i="158"/>
  <c r="H47" i="155"/>
  <c r="H47" i="145"/>
  <c r="H47" i="171"/>
  <c r="AB45" i="164"/>
  <c r="AA44" i="153"/>
  <c r="D46" i="158"/>
  <c r="K46" s="1"/>
  <c r="N46" s="1"/>
  <c r="D46" i="145"/>
  <c r="D46" i="167"/>
  <c r="K46" s="1"/>
  <c r="N46" s="1"/>
  <c r="D46" i="154"/>
  <c r="D46" i="153"/>
  <c r="AS44" i="162"/>
  <c r="AD45" i="165"/>
  <c r="I45" i="161"/>
  <c r="AF45"/>
  <c r="AR39" i="152"/>
  <c r="AA44" i="166"/>
  <c r="F40" i="160"/>
  <c r="G41"/>
  <c r="AD40"/>
  <c r="AS42" i="166"/>
  <c r="AB45" i="163"/>
  <c r="AE789" i="175"/>
  <c r="AB66" i="189" s="1"/>
  <c r="AB4"/>
  <c r="AY4" s="1"/>
  <c r="AB18"/>
  <c r="AY18" s="1"/>
  <c r="AE803" i="175"/>
  <c r="BB741"/>
  <c r="K45" i="155"/>
  <c r="N45" s="1"/>
  <c r="O45" i="56"/>
  <c r="R45" s="1"/>
  <c r="O45" i="151"/>
  <c r="R45" s="1"/>
  <c r="O45" i="164"/>
  <c r="R45" s="1"/>
  <c r="AJ45" i="171"/>
  <c r="X44" i="149"/>
  <c r="K45" i="154"/>
  <c r="N45" s="1"/>
  <c r="AA44" i="151"/>
  <c r="AR43" i="165"/>
  <c r="AS42" i="154"/>
  <c r="S46" i="162"/>
  <c r="V46" s="1"/>
  <c r="J46" i="144"/>
  <c r="AF46" s="1"/>
  <c r="X47" i="162"/>
  <c r="AB47"/>
  <c r="AB45" i="167"/>
  <c r="X45"/>
  <c r="G46" i="159"/>
  <c r="AD46" s="1"/>
  <c r="G46" i="167"/>
  <c r="AD46" s="1"/>
  <c r="AR43" i="168"/>
  <c r="AS42" i="167"/>
  <c r="U39" i="49"/>
  <c r="T40"/>
  <c r="D46" i="171"/>
  <c r="AB46" s="1"/>
  <c r="K46" i="162"/>
  <c r="N46" s="1"/>
  <c r="D46" i="56"/>
  <c r="K46" s="1"/>
  <c r="N46" s="1"/>
  <c r="X45" i="145"/>
  <c r="AB45"/>
  <c r="AF42" i="148"/>
  <c r="I42"/>
  <c r="J43"/>
  <c r="AA44" i="168"/>
  <c r="AR42" i="146"/>
  <c r="AB12" i="189"/>
  <c r="AY12" s="1"/>
  <c r="AE797" i="175"/>
  <c r="AB74" i="189" s="1"/>
  <c r="AY74" s="1"/>
  <c r="BB735" i="175"/>
  <c r="AA46" i="162"/>
  <c r="J46" i="159"/>
  <c r="AF46" s="1"/>
  <c r="I46" i="165"/>
  <c r="BK46"/>
  <c r="S46"/>
  <c r="V46" s="1"/>
  <c r="J46" i="154"/>
  <c r="AF46" s="1"/>
  <c r="BJ46" i="161"/>
  <c r="D46" s="1"/>
  <c r="BV46"/>
  <c r="J46" s="1"/>
  <c r="X45" i="168"/>
  <c r="AB45"/>
  <c r="AS41" i="146"/>
  <c r="AA66" i="189"/>
  <c r="G46" i="150"/>
  <c r="AD46" s="1"/>
  <c r="G46" i="166"/>
  <c r="AD46" s="1"/>
  <c r="G46" i="154"/>
  <c r="AD46" s="1"/>
  <c r="AA44" i="161"/>
  <c r="D46" i="164"/>
  <c r="K46" s="1"/>
  <c r="N46" s="1"/>
  <c r="D46" i="166"/>
  <c r="AR43" i="153"/>
  <c r="C45" i="161"/>
  <c r="AB45"/>
  <c r="X45"/>
  <c r="I44" i="146"/>
  <c r="AF44"/>
  <c r="J45"/>
  <c r="AR43" i="161"/>
  <c r="C41" i="137"/>
  <c r="G41"/>
  <c r="E41"/>
  <c r="AE52" i="190"/>
  <c r="AF41" i="152"/>
  <c r="AD41"/>
  <c r="AS42" i="153"/>
  <c r="AJ46" i="162"/>
  <c r="AC45" i="151"/>
  <c r="X45"/>
  <c r="J46" i="56"/>
  <c r="AF46" s="1"/>
  <c r="J46" i="149"/>
  <c r="AF46" s="1"/>
  <c r="J46" i="153"/>
  <c r="AF46" s="1"/>
  <c r="J46" i="145"/>
  <c r="AF46" s="1"/>
  <c r="AD47" i="162"/>
  <c r="AF43" i="147"/>
  <c r="I43"/>
  <c r="J44"/>
  <c r="Z67" i="189"/>
  <c r="AA44" i="167"/>
  <c r="AR43" i="159"/>
  <c r="X45" i="56"/>
  <c r="AA45" s="1"/>
  <c r="AB45"/>
  <c r="AJ45" s="1"/>
  <c r="AS42" i="165"/>
  <c r="J46" i="171"/>
  <c r="AF46" s="1"/>
  <c r="J46" i="164"/>
  <c r="AF46" s="1"/>
  <c r="J46" i="150"/>
  <c r="AF46" s="1"/>
  <c r="J46" i="166"/>
  <c r="AF46" s="1"/>
  <c r="J46" i="151"/>
  <c r="AF46" s="1"/>
  <c r="AZ41" i="51"/>
  <c r="AW41"/>
  <c r="J41"/>
  <c r="AA44" i="171" s="1"/>
  <c r="AR44" s="1"/>
  <c r="AA44" i="159"/>
  <c r="BP45" i="164"/>
  <c r="BM45"/>
  <c r="BT45"/>
  <c r="AD44" i="146"/>
  <c r="F44"/>
  <c r="G45"/>
  <c r="X44"/>
  <c r="AA44" i="158"/>
  <c r="AM47" i="162"/>
  <c r="I40" i="160"/>
  <c r="AF40"/>
  <c r="J41"/>
  <c r="AB45" i="153"/>
  <c r="X45"/>
  <c r="AB45" i="150"/>
  <c r="AJ45" s="1"/>
  <c r="X45"/>
  <c r="G46" i="171"/>
  <c r="AD46" s="1"/>
  <c r="G46" i="168"/>
  <c r="AD46" s="1"/>
  <c r="AD46" i="161"/>
  <c r="F46"/>
  <c r="G46" i="165"/>
  <c r="O46" s="1"/>
  <c r="R46" s="1"/>
  <c r="H42" i="51"/>
  <c r="I42" s="1"/>
  <c r="X45" i="171"/>
  <c r="AB270" i="118"/>
  <c r="AA44" i="154"/>
  <c r="E47" i="56"/>
  <c r="AB131" i="118"/>
  <c r="E47" i="151"/>
  <c r="E47" i="165"/>
  <c r="E47" i="144"/>
  <c r="E47" i="154"/>
  <c r="E47" i="167"/>
  <c r="E47" i="162"/>
  <c r="F47" s="1"/>
  <c r="E47" i="149"/>
  <c r="F40" i="137"/>
  <c r="BC47" i="161" s="1"/>
  <c r="BP47" s="1"/>
  <c r="G47" s="1"/>
  <c r="E47" i="166"/>
  <c r="E47" i="145"/>
  <c r="E47" i="168"/>
  <c r="E47" i="153"/>
  <c r="E47" i="150"/>
  <c r="E47" i="171"/>
  <c r="E47" i="155"/>
  <c r="E47" i="143"/>
  <c r="E47" i="158"/>
  <c r="E47" i="159"/>
  <c r="E47" i="164"/>
  <c r="AA44" i="163"/>
  <c r="AR43" i="167"/>
  <c r="AB45" i="149"/>
  <c r="AJ44" i="153"/>
  <c r="Z45" i="171"/>
  <c r="AB364" i="118"/>
  <c r="AD364" s="1"/>
  <c r="W38" i="49"/>
  <c r="D46" i="150"/>
  <c r="K46" s="1"/>
  <c r="N46" s="1"/>
  <c r="C46" i="165"/>
  <c r="K46"/>
  <c r="N46" s="1"/>
  <c r="D46" i="155"/>
  <c r="D46" i="144"/>
  <c r="D46" i="143"/>
  <c r="K46" s="1"/>
  <c r="AJ44" i="165"/>
  <c r="X45" i="159"/>
  <c r="AB45"/>
  <c r="G43" i="148"/>
  <c r="F42"/>
  <c r="AD42"/>
  <c r="C42" i="13"/>
  <c r="D43"/>
  <c r="AL49" i="171"/>
  <c r="AM49" s="1"/>
  <c r="CB49" i="162"/>
  <c r="AJ44" i="166"/>
  <c r="AS42" i="151"/>
  <c r="AB45" i="166"/>
  <c r="X45"/>
  <c r="AS42" i="161"/>
  <c r="BX407" i="118"/>
  <c r="BU407"/>
  <c r="BM407"/>
  <c r="BS407"/>
  <c r="BN407"/>
  <c r="BO407"/>
  <c r="BQ407"/>
  <c r="BL407"/>
  <c r="BW407"/>
  <c r="BP407"/>
  <c r="BK407"/>
  <c r="AE407" s="1"/>
  <c r="BR407"/>
  <c r="BT407"/>
  <c r="BV407"/>
  <c r="AF45" i="163"/>
  <c r="AD44"/>
  <c r="W9" i="189"/>
  <c r="AW9" s="1"/>
  <c r="Z794" i="175"/>
  <c r="W71" i="189" s="1"/>
  <c r="AW71" s="1"/>
  <c r="AZ732" i="175"/>
  <c r="I46" i="162"/>
  <c r="K45" i="145"/>
  <c r="N45" s="1"/>
  <c r="K45" i="143"/>
  <c r="K45" i="168"/>
  <c r="N45" s="1"/>
  <c r="BQ43" i="164"/>
  <c r="BR43" s="1"/>
  <c r="AE43" s="1"/>
  <c r="S45" i="154"/>
  <c r="V45" s="1"/>
  <c r="K45" i="158"/>
  <c r="N45" s="1"/>
  <c r="S45" i="145"/>
  <c r="V45" s="1"/>
  <c r="K45" i="164"/>
  <c r="N45" s="1"/>
  <c r="S45" i="144"/>
  <c r="V45" s="1"/>
  <c r="AR44" i="155"/>
  <c r="O45" i="165"/>
  <c r="R45" s="1"/>
  <c r="O45" i="143"/>
  <c r="R45" s="1"/>
  <c r="K45" i="171"/>
  <c r="N45" s="1"/>
  <c r="S45" i="151"/>
  <c r="V45" s="1"/>
  <c r="S45" i="164"/>
  <c r="V45" s="1"/>
  <c r="AJ43" i="163"/>
  <c r="S45" i="167"/>
  <c r="V45" s="1"/>
  <c r="H43" i="152"/>
  <c r="AA663" i="175"/>
  <c r="F29" i="64"/>
  <c r="AB256" i="175"/>
  <c r="AD199"/>
  <c r="P31" i="140"/>
  <c r="N31" i="64"/>
  <c r="AA380" i="175"/>
  <c r="AB198"/>
  <c r="AA688"/>
  <c r="AG150"/>
  <c r="O25" i="64"/>
  <c r="P30" i="68"/>
  <c r="AF207" i="175"/>
  <c r="AG262"/>
  <c r="Z694"/>
  <c r="AH210"/>
  <c r="V31" i="140"/>
  <c r="D30" i="71"/>
  <c r="X27" i="120"/>
  <c r="Q33" i="64"/>
  <c r="E46" i="163"/>
  <c r="X27" i="140"/>
  <c r="O42" i="152"/>
  <c r="AH205" i="175"/>
  <c r="P31" i="64"/>
  <c r="H45" i="147"/>
  <c r="O45" i="163"/>
  <c r="O24" i="68"/>
  <c r="I32" i="119"/>
  <c r="AH267" i="175"/>
  <c r="E30" i="140"/>
  <c r="AG173" i="175"/>
  <c r="AC385"/>
  <c r="K31" i="67"/>
  <c r="K40" i="160"/>
  <c r="F29" i="120"/>
  <c r="N31" i="140"/>
  <c r="AJ442" i="175"/>
  <c r="S31" i="120"/>
  <c r="AB197" i="175"/>
  <c r="P31" i="67"/>
  <c r="U31" i="64"/>
  <c r="AE697" i="175"/>
  <c r="J31" i="120"/>
  <c r="AE709" i="175"/>
  <c r="Q32" i="140"/>
  <c r="R29" i="68"/>
  <c r="S42" i="152"/>
  <c r="B45" i="147"/>
  <c r="X27" i="67"/>
  <c r="AA136" i="175"/>
  <c r="F28" i="68"/>
  <c r="AF203" i="175"/>
  <c r="F28" i="119"/>
  <c r="AG192" i="175"/>
  <c r="AA660"/>
  <c r="D30" i="68"/>
  <c r="B22" i="71"/>
  <c r="W31" i="140"/>
  <c r="B23" i="64"/>
  <c r="W30" i="71"/>
  <c r="AE387" i="175"/>
  <c r="AG263"/>
  <c r="AD42"/>
  <c r="V30" i="71"/>
  <c r="P31" i="119"/>
  <c r="AA132" i="175"/>
  <c r="U31" i="120"/>
  <c r="G27" i="68"/>
  <c r="AF658" i="175"/>
  <c r="K30" i="71"/>
  <c r="AG53" i="175"/>
  <c r="AF667"/>
  <c r="AG52"/>
  <c r="B47" i="161"/>
  <c r="O44" i="147"/>
  <c r="H46" i="146"/>
  <c r="AF679" i="175"/>
  <c r="R30" i="120"/>
  <c r="AC665" i="175"/>
  <c r="AF386"/>
  <c r="L31" i="119"/>
  <c r="K46" i="163"/>
  <c r="AG172" i="175"/>
  <c r="AG266"/>
  <c r="I31" i="68"/>
  <c r="E29" i="71"/>
  <c r="AH274" i="175"/>
  <c r="AF392"/>
  <c r="AE703"/>
  <c r="P30" i="71"/>
  <c r="V31" i="67"/>
  <c r="H42" i="160"/>
  <c r="AG149" i="175"/>
  <c r="N31" i="120"/>
  <c r="AF45" i="175"/>
  <c r="AB194"/>
  <c r="Q32" i="119"/>
  <c r="K31" i="64"/>
  <c r="AE668" i="175"/>
  <c r="W32" i="119"/>
  <c r="Z384" i="175"/>
  <c r="O45" i="146"/>
  <c r="AF666" i="175"/>
  <c r="AA383"/>
  <c r="Q34" i="69"/>
  <c r="AH209" i="175"/>
  <c r="X26" i="71"/>
  <c r="O25" i="119"/>
  <c r="G27"/>
  <c r="AC137" i="175"/>
  <c r="AG139"/>
  <c r="F29" i="67"/>
  <c r="H31" i="140"/>
  <c r="M30" i="71"/>
  <c r="AE707" i="175"/>
  <c r="Q33" i="67"/>
  <c r="AE710" i="175"/>
  <c r="U31" i="140"/>
  <c r="E30" i="64"/>
  <c r="AD389" i="175"/>
  <c r="I30" i="71"/>
  <c r="AB696" i="175"/>
  <c r="AG148"/>
  <c r="B47" i="163"/>
  <c r="AF255" i="175"/>
  <c r="AC191"/>
  <c r="E46" i="146"/>
  <c r="H29" i="71"/>
  <c r="K46" i="161"/>
  <c r="S45" i="146"/>
  <c r="AE708" i="175"/>
  <c r="J31" i="67"/>
  <c r="I31" i="120"/>
  <c r="O25" i="67"/>
  <c r="T32" i="140"/>
  <c r="B41" i="160"/>
  <c r="O41"/>
  <c r="K42" i="148"/>
  <c r="AH200" i="175"/>
  <c r="R30" i="71"/>
  <c r="E47" i="161"/>
  <c r="K43" i="147"/>
  <c r="C31" i="140"/>
  <c r="B31" i="120"/>
  <c r="E30"/>
  <c r="AG49" i="175"/>
  <c r="AE689"/>
  <c r="AC134"/>
  <c r="AD261"/>
  <c r="AB657"/>
  <c r="W31" i="119"/>
  <c r="L30" i="71"/>
  <c r="N30"/>
  <c r="W31" i="120"/>
  <c r="Z693" i="175"/>
  <c r="S28" i="68"/>
  <c r="AG43" i="175"/>
  <c r="B23" i="119"/>
  <c r="AF378" i="175"/>
  <c r="AC700"/>
  <c r="AG151"/>
  <c r="AF193"/>
  <c r="AB665"/>
  <c r="AE235"/>
  <c r="AC257"/>
  <c r="AG147"/>
  <c r="I31" i="64"/>
  <c r="D31" i="67"/>
  <c r="AD699" i="175"/>
  <c r="J30" i="71"/>
  <c r="G28" i="67"/>
  <c r="S41" i="160"/>
  <c r="B31" i="140"/>
  <c r="K31" i="120"/>
  <c r="AB196" i="175"/>
  <c r="J31" i="140"/>
  <c r="O47" i="161"/>
  <c r="L31" i="67"/>
  <c r="Q32" i="68"/>
  <c r="E30" i="67"/>
  <c r="AC34" i="175"/>
  <c r="T30" i="68"/>
  <c r="N31" i="67"/>
  <c r="AG254" i="175"/>
  <c r="AC195"/>
  <c r="AG130"/>
  <c r="G26" i="71"/>
  <c r="AG144" i="175"/>
  <c r="AB39"/>
  <c r="M31" i="119"/>
  <c r="AC135" i="175"/>
  <c r="V31" i="64"/>
  <c r="T32" i="119"/>
  <c r="V31" i="120"/>
  <c r="L31"/>
  <c r="K31" i="140"/>
  <c r="AD690" i="175"/>
  <c r="AF676"/>
  <c r="E45" i="147"/>
  <c r="AH273" i="175"/>
  <c r="W31" i="67"/>
  <c r="E43" i="152"/>
  <c r="AF235" i="175"/>
  <c r="E42" i="160"/>
  <c r="L30" i="68"/>
  <c r="G28" i="120"/>
  <c r="Y695" i="175"/>
  <c r="AA41"/>
  <c r="AF396"/>
  <c r="AD698"/>
  <c r="AF202"/>
  <c r="S32" i="119"/>
  <c r="O43" i="148"/>
  <c r="K30" i="68"/>
  <c r="AA692" i="175"/>
  <c r="L31" i="64"/>
  <c r="AF672" i="175"/>
  <c r="M32" i="119"/>
  <c r="V30" i="68"/>
  <c r="AB40" i="175"/>
  <c r="AG35"/>
  <c r="L31" i="140"/>
  <c r="AF36" i="175"/>
  <c r="Z380"/>
  <c r="H47" i="163"/>
  <c r="R31" i="119"/>
  <c r="AE669" i="175"/>
  <c r="AE379"/>
  <c r="AF399"/>
  <c r="T31" i="120"/>
  <c r="AH213" i="175"/>
  <c r="K46" i="146"/>
  <c r="F28" i="71"/>
  <c r="AE706" i="175"/>
  <c r="AH270"/>
  <c r="D31" i="119"/>
  <c r="AG140" i="175"/>
  <c r="AB663"/>
  <c r="S43" i="148"/>
  <c r="AC38" i="175"/>
  <c r="G28" i="140"/>
  <c r="AH212" i="175"/>
  <c r="H30" i="64"/>
  <c r="B46" i="146"/>
  <c r="S31" i="119"/>
  <c r="AH271" i="175"/>
  <c r="F27" i="68"/>
  <c r="H31" i="120"/>
  <c r="F29" i="140"/>
  <c r="I31" i="67"/>
  <c r="B42" i="152"/>
  <c r="AB129" i="175"/>
  <c r="H30" i="120"/>
  <c r="U30" i="71"/>
  <c r="AA382" i="175"/>
  <c r="AG55"/>
  <c r="Q32" i="120"/>
  <c r="C31"/>
  <c r="D31" i="64"/>
  <c r="W30" i="68"/>
  <c r="AF395" i="175"/>
  <c r="R31" i="140"/>
  <c r="AG138" i="175"/>
  <c r="S46" i="161"/>
  <c r="AB260" i="175"/>
  <c r="D31" i="140"/>
  <c r="AF236" i="175"/>
  <c r="P32" i="120"/>
  <c r="AA37" i="175"/>
  <c r="K41" i="152"/>
  <c r="AH272" i="175"/>
  <c r="E29" i="68"/>
  <c r="Z688" i="175"/>
  <c r="AG56"/>
  <c r="N30" i="68"/>
  <c r="M31" i="64"/>
  <c r="AF201" i="175"/>
  <c r="M31" i="67"/>
  <c r="J31" i="64"/>
  <c r="E31" i="119"/>
  <c r="T32" i="120"/>
  <c r="AF675" i="175"/>
  <c r="B23" i="67"/>
  <c r="AG269" i="175"/>
  <c r="AH206"/>
  <c r="AH211"/>
  <c r="AG265"/>
  <c r="AA662"/>
  <c r="B22" i="68"/>
  <c r="X27" i="64"/>
  <c r="AB661" i="175"/>
  <c r="AG54"/>
  <c r="M31" i="140"/>
  <c r="AG141" i="175"/>
  <c r="W31" i="64"/>
  <c r="S29" i="71"/>
  <c r="AF677" i="175"/>
  <c r="AH268"/>
  <c r="AF397"/>
  <c r="AF678"/>
  <c r="H44" i="148"/>
  <c r="I31" i="140"/>
  <c r="J30" i="68"/>
  <c r="V32" i="119"/>
  <c r="AB133" i="175"/>
  <c r="X26" i="119"/>
  <c r="G27" i="71"/>
  <c r="U31" i="67"/>
  <c r="AF234" i="175"/>
  <c r="G28" i="64"/>
  <c r="H30" i="67"/>
  <c r="AJ440" i="175"/>
  <c r="Q32" i="71"/>
  <c r="U30" i="68"/>
  <c r="H47" i="161"/>
  <c r="S46" i="163"/>
  <c r="AE659" i="175"/>
  <c r="AF398"/>
  <c r="AG175"/>
  <c r="AC253"/>
  <c r="AF204"/>
  <c r="AH275"/>
  <c r="AE234"/>
  <c r="O26" i="120"/>
  <c r="D31"/>
  <c r="AH208" i="175"/>
  <c r="M30" i="68"/>
  <c r="B43" i="148"/>
  <c r="O26" i="140"/>
  <c r="E44" i="148"/>
  <c r="S44" i="147"/>
  <c r="AH264" i="175"/>
  <c r="AB258"/>
  <c r="S31" i="140"/>
  <c r="Y176" i="175"/>
  <c r="AG174"/>
  <c r="AG131"/>
  <c r="AB259"/>
  <c r="M31" i="120"/>
  <c r="AE236" i="175"/>
  <c r="AG772" l="1"/>
  <c r="AD49" i="189" s="1"/>
  <c r="AC49"/>
  <c r="AB15"/>
  <c r="AY15" s="1"/>
  <c r="AG36" i="190"/>
  <c r="BA36" s="1"/>
  <c r="AJ473" i="175"/>
  <c r="BD442"/>
  <c r="AZ128" i="118"/>
  <c r="AZ175"/>
  <c r="AF738" i="175"/>
  <c r="AC15" i="189" s="1"/>
  <c r="Y633" i="175"/>
  <c r="AF769"/>
  <c r="AC638"/>
  <c r="BB669"/>
  <c r="AE769"/>
  <c r="BB234"/>
  <c r="AR42" i="164"/>
  <c r="AS41"/>
  <c r="AA46" i="189"/>
  <c r="AD800" i="175"/>
  <c r="AA77" i="189" s="1"/>
  <c r="BA175" i="118"/>
  <c r="BA128"/>
  <c r="BA34"/>
  <c r="BA269"/>
  <c r="AF737" i="175"/>
  <c r="AC14" i="189" s="1"/>
  <c r="BB668" i="175"/>
  <c r="AD637"/>
  <c r="AR43" i="149"/>
  <c r="AS42"/>
  <c r="AW6" i="189"/>
  <c r="BE76" i="118"/>
  <c r="BE29"/>
  <c r="BE264"/>
  <c r="BE124"/>
  <c r="BE171"/>
  <c r="AZ384" i="175"/>
  <c r="AA733"/>
  <c r="AA39" i="160"/>
  <c r="AJ39"/>
  <c r="W10" i="189"/>
  <c r="AW10" s="1"/>
  <c r="Z795" i="175"/>
  <c r="W65" i="189"/>
  <c r="AW65" s="1"/>
  <c r="X3"/>
  <c r="BL77" i="118"/>
  <c r="AB726" i="175"/>
  <c r="AB788" s="1"/>
  <c r="Y65" i="189" s="1"/>
  <c r="Z626" i="175"/>
  <c r="AZ626" s="1"/>
  <c r="AZ688"/>
  <c r="Z791"/>
  <c r="W68" i="189" s="1"/>
  <c r="AW68" s="1"/>
  <c r="AZ729" i="175"/>
  <c r="AB796"/>
  <c r="Y73" i="189" s="1"/>
  <c r="W69"/>
  <c r="AW69" s="1"/>
  <c r="AA792" i="175"/>
  <c r="X69" i="189" s="1"/>
  <c r="N42" i="148"/>
  <c r="N41" i="152"/>
  <c r="BH77" i="118"/>
  <c r="BI76"/>
  <c r="AB730" i="175"/>
  <c r="AB792" s="1"/>
  <c r="Y69" i="189" s="1"/>
  <c r="D42" i="152"/>
  <c r="X42" s="1"/>
  <c r="AC734" i="175"/>
  <c r="Z11" i="189" s="1"/>
  <c r="AA729" i="175"/>
  <c r="AA791" s="1"/>
  <c r="X68" i="189" s="1"/>
  <c r="BD78" i="118"/>
  <c r="N43" i="147"/>
  <c r="N40" i="160"/>
  <c r="AZ380" i="175"/>
  <c r="BI29" i="118"/>
  <c r="BI264"/>
  <c r="C42" i="148"/>
  <c r="D43"/>
  <c r="AB42"/>
  <c r="AJ42" s="1"/>
  <c r="AB41" i="152"/>
  <c r="C43" i="147"/>
  <c r="D44"/>
  <c r="X44" s="1"/>
  <c r="AB43"/>
  <c r="AJ43" s="1"/>
  <c r="C40" i="160"/>
  <c r="D41"/>
  <c r="X41" s="1"/>
  <c r="AB40"/>
  <c r="AR38"/>
  <c r="AJ40" i="152"/>
  <c r="X40" i="160"/>
  <c r="K41" i="49"/>
  <c r="L41"/>
  <c r="AY175" i="118"/>
  <c r="AY128"/>
  <c r="BB235" i="175"/>
  <c r="AZ82" i="118"/>
  <c r="BH125"/>
  <c r="BH172"/>
  <c r="BH31"/>
  <c r="BH266"/>
  <c r="AA630" i="175"/>
  <c r="AB13" i="189"/>
  <c r="AY13" s="1"/>
  <c r="AS44" i="56"/>
  <c r="AE798" i="175"/>
  <c r="AB75" i="189" s="1"/>
  <c r="AY75" s="1"/>
  <c r="AS44" i="155"/>
  <c r="AY86" i="189"/>
  <c r="BB806" i="175"/>
  <c r="AQ83" i="118"/>
  <c r="AS83"/>
  <c r="BD267"/>
  <c r="BD126"/>
  <c r="BD173"/>
  <c r="AS176"/>
  <c r="AS129"/>
  <c r="AQ82"/>
  <c r="AR35"/>
  <c r="BI171"/>
  <c r="BI124"/>
  <c r="BK129"/>
  <c r="BK176"/>
  <c r="AS82"/>
  <c r="AS35"/>
  <c r="AT176"/>
  <c r="AT129"/>
  <c r="AQ270"/>
  <c r="AP176"/>
  <c r="AP129"/>
  <c r="AR270"/>
  <c r="AQ129"/>
  <c r="AQ176"/>
  <c r="AT270"/>
  <c r="AR129"/>
  <c r="AR176"/>
  <c r="AP35"/>
  <c r="BB82"/>
  <c r="AQ35"/>
  <c r="AP270"/>
  <c r="AS270"/>
  <c r="AT82"/>
  <c r="BC82"/>
  <c r="AU176"/>
  <c r="AU129"/>
  <c r="BD32"/>
  <c r="BA82"/>
  <c r="AT35"/>
  <c r="BB128"/>
  <c r="BB175"/>
  <c r="AG745" i="175"/>
  <c r="AG746"/>
  <c r="AE644"/>
  <c r="BB644" s="1"/>
  <c r="BB706"/>
  <c r="AD636"/>
  <c r="AE648"/>
  <c r="BB648" s="1"/>
  <c r="BB710"/>
  <c r="AF252"/>
  <c r="AE645"/>
  <c r="BB645" s="1"/>
  <c r="BB707"/>
  <c r="AG744"/>
  <c r="AB634"/>
  <c r="AF736"/>
  <c r="AC13" i="189" s="1"/>
  <c r="AE647" i="175"/>
  <c r="BB647" s="1"/>
  <c r="BB709"/>
  <c r="AE646"/>
  <c r="BB646" s="1"/>
  <c r="BB708"/>
  <c r="AG747"/>
  <c r="Y190"/>
  <c r="BB387"/>
  <c r="AE252"/>
  <c r="BB252" s="1"/>
  <c r="BB236"/>
  <c r="AG748"/>
  <c r="AS43" i="159"/>
  <c r="AA43" i="147"/>
  <c r="AS35" i="143"/>
  <c r="AF806" i="175"/>
  <c r="AC21" i="189"/>
  <c r="AR42" i="147"/>
  <c r="AJ44" i="164"/>
  <c r="AB84" i="189"/>
  <c r="AY84" s="1"/>
  <c r="BB807" i="175"/>
  <c r="AC25" i="189"/>
  <c r="AF810" i="175"/>
  <c r="AY87" i="189"/>
  <c r="BB809" i="175"/>
  <c r="AJ45" i="158"/>
  <c r="AJ37" i="143"/>
  <c r="AC24" i="189"/>
  <c r="AF809" i="175"/>
  <c r="AC22" i="189"/>
  <c r="AF807" i="175"/>
  <c r="AR43" i="163"/>
  <c r="AS43" s="1"/>
  <c r="AJ43" i="164"/>
  <c r="AJ45" i="159"/>
  <c r="AB85" i="189"/>
  <c r="AY85" s="1"/>
  <c r="BB808" i="175"/>
  <c r="AF808"/>
  <c r="AC23" i="189"/>
  <c r="BB810" i="175"/>
  <c r="AS43" i="158"/>
  <c r="AG27" i="72"/>
  <c r="M39" i="143"/>
  <c r="L39" s="1"/>
  <c r="AC38"/>
  <c r="X38"/>
  <c r="N38"/>
  <c r="AR36"/>
  <c r="AA37"/>
  <c r="AD123" i="118"/>
  <c r="AZ793" i="175"/>
  <c r="AG37" i="118"/>
  <c r="AG177"/>
  <c r="AG130"/>
  <c r="AG272"/>
  <c r="AG83"/>
  <c r="AD170"/>
  <c r="AA793" i="175"/>
  <c r="X70" i="189" s="1"/>
  <c r="AS43" i="150"/>
  <c r="BL125" i="118"/>
  <c r="BL172"/>
  <c r="BG265"/>
  <c r="BG124"/>
  <c r="BG171"/>
  <c r="BG30"/>
  <c r="BG78"/>
  <c r="BL31"/>
  <c r="BL266"/>
  <c r="AB731" i="175"/>
  <c r="AB793" s="1"/>
  <c r="Y70" i="189" s="1"/>
  <c r="AA626" i="175"/>
  <c r="Z631"/>
  <c r="AZ631" s="1"/>
  <c r="AZ693"/>
  <c r="AA41" i="152"/>
  <c r="X65" i="189"/>
  <c r="AJ44" i="149"/>
  <c r="F45"/>
  <c r="X45"/>
  <c r="AD45"/>
  <c r="BF265" i="118"/>
  <c r="BF30"/>
  <c r="BB797" i="175"/>
  <c r="O46" i="154"/>
  <c r="R46" s="1"/>
  <c r="AY66" i="189"/>
  <c r="AC33" i="72"/>
  <c r="O46" i="167"/>
  <c r="R46" s="1"/>
  <c r="AS44" i="171"/>
  <c r="S46" i="151"/>
  <c r="V46" s="1"/>
  <c r="S46" i="153"/>
  <c r="V46" s="1"/>
  <c r="Q31" i="72"/>
  <c r="BB799" i="175"/>
  <c r="S46" i="168"/>
  <c r="V46" s="1"/>
  <c r="S46" i="150"/>
  <c r="V46" s="1"/>
  <c r="BB789" i="175"/>
  <c r="BU44" i="164"/>
  <c r="BV44" s="1"/>
  <c r="X44" s="1"/>
  <c r="O46" i="158"/>
  <c r="R46" s="1"/>
  <c r="O46" i="164"/>
  <c r="R46" s="1"/>
  <c r="S46" i="167"/>
  <c r="V46" s="1"/>
  <c r="O46" i="143"/>
  <c r="R46" s="1"/>
  <c r="AW176" i="118"/>
  <c r="AW129"/>
  <c r="BC176"/>
  <c r="BC129"/>
  <c r="O46" i="171"/>
  <c r="R46" s="1"/>
  <c r="S46" i="166"/>
  <c r="V46" s="1"/>
  <c r="S46" i="145"/>
  <c r="V46" s="1"/>
  <c r="S46" i="159"/>
  <c r="V46" s="1"/>
  <c r="S46" i="144"/>
  <c r="V46" s="1"/>
  <c r="O46" i="155"/>
  <c r="R46" s="1"/>
  <c r="S46"/>
  <c r="V46" s="1"/>
  <c r="AR45"/>
  <c r="S46" i="143"/>
  <c r="V46" s="1"/>
  <c r="S46" i="171"/>
  <c r="V46" s="1"/>
  <c r="S46" i="56"/>
  <c r="V46" s="1"/>
  <c r="O46" i="150"/>
  <c r="R46" s="1"/>
  <c r="AX129" i="118"/>
  <c r="AX176"/>
  <c r="BJ128"/>
  <c r="BJ175"/>
  <c r="AB283" i="175"/>
  <c r="AW82" i="118"/>
  <c r="BF124"/>
  <c r="BF171"/>
  <c r="BA176"/>
  <c r="BA129"/>
  <c r="BK82"/>
  <c r="AG735" i="175"/>
  <c r="BK35" i="118"/>
  <c r="X35" i="72"/>
  <c r="BK270" i="118"/>
  <c r="R41" i="160"/>
  <c r="BB659" i="175"/>
  <c r="BJ34" i="118"/>
  <c r="BJ269"/>
  <c r="AD34" i="72"/>
  <c r="V46" i="161"/>
  <c r="AE35" i="72"/>
  <c r="BB379" i="175"/>
  <c r="AG741"/>
  <c r="AB32" i="72"/>
  <c r="R43" i="148"/>
  <c r="G43" i="152"/>
  <c r="G46" i="163"/>
  <c r="X46" s="1"/>
  <c r="AA35" i="72"/>
  <c r="V45" i="146"/>
  <c r="AG727" i="175"/>
  <c r="AD628"/>
  <c r="R44" i="147"/>
  <c r="AE635" i="175"/>
  <c r="BB635" s="1"/>
  <c r="BB697"/>
  <c r="R42" i="152"/>
  <c r="N46" i="163"/>
  <c r="V46"/>
  <c r="V42" i="152"/>
  <c r="AB221" i="175"/>
  <c r="AB732"/>
  <c r="AV128" i="118"/>
  <c r="AV175"/>
  <c r="BJ82"/>
  <c r="BF78"/>
  <c r="BK130"/>
  <c r="BK177"/>
  <c r="R47" i="161"/>
  <c r="R45" i="146"/>
  <c r="AE627" i="175"/>
  <c r="BB627" s="1"/>
  <c r="BB689"/>
  <c r="N46" i="161"/>
  <c r="C46" i="146"/>
  <c r="N46"/>
  <c r="AW270" i="118"/>
  <c r="Y35" i="72"/>
  <c r="AW35" i="118"/>
  <c r="AG34" i="190"/>
  <c r="BA34" s="1"/>
  <c r="AJ470" i="175"/>
  <c r="AJ471"/>
  <c r="BD440"/>
  <c r="AI409" i="118"/>
  <c r="R45" i="163"/>
  <c r="BC270" i="118"/>
  <c r="T35" i="72"/>
  <c r="BC35" i="118"/>
  <c r="V44" i="147"/>
  <c r="V43" i="148"/>
  <c r="J43" i="152"/>
  <c r="S35" i="72"/>
  <c r="AE641" i="175"/>
  <c r="BB641" s="1"/>
  <c r="BB703"/>
  <c r="Z632"/>
  <c r="AZ694"/>
  <c r="Z35" i="72"/>
  <c r="V41" i="160"/>
  <c r="AF728" i="175"/>
  <c r="R35" i="72"/>
  <c r="W37"/>
  <c r="J47" i="163"/>
  <c r="D47"/>
  <c r="AJ45" i="166"/>
  <c r="G47" i="171"/>
  <c r="AD47" s="1"/>
  <c r="AR44" i="154"/>
  <c r="BN45" i="164"/>
  <c r="BU45" s="1"/>
  <c r="BV45" s="1"/>
  <c r="X45" s="1"/>
  <c r="AA45" i="161"/>
  <c r="AB365" i="118"/>
  <c r="AD365" s="1"/>
  <c r="Z46" i="171"/>
  <c r="W39" i="49"/>
  <c r="AJ45" i="167"/>
  <c r="AA44" i="149"/>
  <c r="G42" i="160"/>
  <c r="F41"/>
  <c r="AD41"/>
  <c r="AB46" i="145"/>
  <c r="X46"/>
  <c r="J47"/>
  <c r="AF47" s="1"/>
  <c r="J47" i="149"/>
  <c r="AF47" s="1"/>
  <c r="AA45" i="158"/>
  <c r="D47" i="145"/>
  <c r="D47" i="143"/>
  <c r="K47" s="1"/>
  <c r="B34" i="72"/>
  <c r="D34" s="1"/>
  <c r="I34" s="1"/>
  <c r="H34" s="1"/>
  <c r="G34" s="1"/>
  <c r="F34" s="1"/>
  <c r="E34" s="1"/>
  <c r="AB34" i="118"/>
  <c r="AK41" i="51"/>
  <c r="AV41"/>
  <c r="AX41" s="1"/>
  <c r="AS45" i="162"/>
  <c r="AB46" i="149"/>
  <c r="Z40" i="49"/>
  <c r="M40"/>
  <c r="J41"/>
  <c r="AR43" i="146"/>
  <c r="AA45" i="159"/>
  <c r="X38" i="49"/>
  <c r="G42" i="51"/>
  <c r="G47" i="155"/>
  <c r="AD47" s="1"/>
  <c r="BC47" i="149"/>
  <c r="BB47"/>
  <c r="AZ42" i="51"/>
  <c r="AW42"/>
  <c r="J42"/>
  <c r="AA45" i="171" s="1"/>
  <c r="AR45" s="1"/>
  <c r="AA44" i="146"/>
  <c r="AS43" i="153"/>
  <c r="AF46" i="161"/>
  <c r="I46"/>
  <c r="AA45" i="145"/>
  <c r="U40" i="49"/>
  <c r="T41"/>
  <c r="AS39" i="152"/>
  <c r="J47" i="171"/>
  <c r="AF47" s="1"/>
  <c r="J47" i="143"/>
  <c r="AF47" s="1"/>
  <c r="J47" i="164"/>
  <c r="AF47" s="1"/>
  <c r="AJ45" i="154"/>
  <c r="D47" i="149"/>
  <c r="K47" s="1"/>
  <c r="N47" s="1"/>
  <c r="D47" i="56"/>
  <c r="D47" i="164"/>
  <c r="AC12" i="189"/>
  <c r="AF797" i="175"/>
  <c r="AF789"/>
  <c r="AC4" i="189"/>
  <c r="AA42" i="148"/>
  <c r="C43" i="13"/>
  <c r="AL50" i="171"/>
  <c r="AM50" s="1"/>
  <c r="D44" i="13"/>
  <c r="CB50" i="162"/>
  <c r="G44" i="148"/>
  <c r="F43"/>
  <c r="AD43"/>
  <c r="X46" i="155"/>
  <c r="AA46" s="1"/>
  <c r="AB46"/>
  <c r="AJ46" s="1"/>
  <c r="AS43" i="167"/>
  <c r="G47" i="158"/>
  <c r="AD47" s="1"/>
  <c r="G47" i="150"/>
  <c r="AD47" s="1"/>
  <c r="G47" i="166"/>
  <c r="AD47" s="1"/>
  <c r="G47" i="167"/>
  <c r="AD47" s="1"/>
  <c r="G47" i="151"/>
  <c r="AD47" s="1"/>
  <c r="AD46" i="165"/>
  <c r="AA45" i="151"/>
  <c r="E48" i="56"/>
  <c r="AB132" i="118"/>
  <c r="E48" i="151"/>
  <c r="E48" i="154"/>
  <c r="E48" i="165"/>
  <c r="E48" i="144"/>
  <c r="E48" i="167"/>
  <c r="E48" i="162"/>
  <c r="F48" s="1"/>
  <c r="E48" i="149"/>
  <c r="F41" i="137"/>
  <c r="BC48" i="161" s="1"/>
  <c r="BP48" s="1"/>
  <c r="G48" s="1"/>
  <c r="E48" i="168"/>
  <c r="E48" i="145"/>
  <c r="E48" i="166"/>
  <c r="E48" i="153"/>
  <c r="E48" i="150"/>
  <c r="E48" i="171"/>
  <c r="E48" i="158"/>
  <c r="E48" i="159"/>
  <c r="E48" i="155"/>
  <c r="E48" i="143"/>
  <c r="E48" i="164"/>
  <c r="AF45" i="146"/>
  <c r="I45"/>
  <c r="J46"/>
  <c r="AJ45" i="161"/>
  <c r="AB46" i="164"/>
  <c r="AJ45" i="168"/>
  <c r="AS42" i="146"/>
  <c r="AS41" i="147"/>
  <c r="AB46" i="153"/>
  <c r="X46"/>
  <c r="J47" i="155"/>
  <c r="AF47" s="1"/>
  <c r="J47" i="153"/>
  <c r="AF47" s="1"/>
  <c r="J47" i="166"/>
  <c r="AF47" s="1"/>
  <c r="J47" i="167"/>
  <c r="AF47" s="1"/>
  <c r="AS43" i="151"/>
  <c r="AS43" i="145"/>
  <c r="F44" i="147"/>
  <c r="AD44"/>
  <c r="G45"/>
  <c r="X46" i="159"/>
  <c r="AB46"/>
  <c r="D47" i="171"/>
  <c r="AB47" s="1"/>
  <c r="D47" i="153"/>
  <c r="D47" i="168"/>
  <c r="D47" i="154"/>
  <c r="D47" i="144"/>
  <c r="K47" s="1"/>
  <c r="AD48" i="162"/>
  <c r="AC46" i="151"/>
  <c r="X46"/>
  <c r="H43" i="51"/>
  <c r="I43" s="1"/>
  <c r="AB271" i="118"/>
  <c r="X46" i="171"/>
  <c r="AS43" i="166"/>
  <c r="AD42" i="152"/>
  <c r="AB46" i="163"/>
  <c r="BR408" i="118"/>
  <c r="BL408"/>
  <c r="AE408" s="1"/>
  <c r="BT408"/>
  <c r="BN408"/>
  <c r="BV408"/>
  <c r="BX408"/>
  <c r="BS408"/>
  <c r="BU408"/>
  <c r="BP408"/>
  <c r="BQ408"/>
  <c r="BM408"/>
  <c r="BW408"/>
  <c r="BO408"/>
  <c r="AF46" i="163"/>
  <c r="AF42" i="152"/>
  <c r="X9" i="189"/>
  <c r="AA794" i="175"/>
  <c r="K46" i="145"/>
  <c r="N46" s="1"/>
  <c r="O46" i="151"/>
  <c r="R46" s="1"/>
  <c r="O46" i="168"/>
  <c r="R46" s="1"/>
  <c r="S46" i="164"/>
  <c r="V46" s="1"/>
  <c r="AJ46" i="171"/>
  <c r="AZ794" i="175"/>
  <c r="O46" i="144"/>
  <c r="R46" s="1"/>
  <c r="AY76" i="189"/>
  <c r="AR44" i="165"/>
  <c r="G47" i="159"/>
  <c r="AD47" s="1"/>
  <c r="G47" i="145"/>
  <c r="AD47" s="1"/>
  <c r="O47" i="162"/>
  <c r="R47" s="1"/>
  <c r="G47" i="165"/>
  <c r="AA45" i="150"/>
  <c r="F45" i="146"/>
  <c r="AD45"/>
  <c r="G46"/>
  <c r="X45"/>
  <c r="AS43" i="161"/>
  <c r="AB46"/>
  <c r="C46"/>
  <c r="X46"/>
  <c r="AJ47" i="162"/>
  <c r="AR44" i="151"/>
  <c r="AB46" i="154"/>
  <c r="X46"/>
  <c r="J47" i="56"/>
  <c r="AF47" s="1"/>
  <c r="J47" i="168"/>
  <c r="AF47" s="1"/>
  <c r="J47" i="154"/>
  <c r="AF47" s="1"/>
  <c r="AA45"/>
  <c r="AB46" i="168"/>
  <c r="X46"/>
  <c r="D47" i="158"/>
  <c r="K47" s="1"/>
  <c r="N47" s="1"/>
  <c r="D47" i="167"/>
  <c r="K47" s="1"/>
  <c r="N47" s="1"/>
  <c r="AR44" i="145"/>
  <c r="AM48" i="162"/>
  <c r="AF51" i="190"/>
  <c r="AI501" i="175"/>
  <c r="AF69" i="190" s="1"/>
  <c r="AD45" i="163"/>
  <c r="AF803" i="175"/>
  <c r="AC18" i="189"/>
  <c r="AA45" i="166"/>
  <c r="CC49" i="162"/>
  <c r="D49" s="1"/>
  <c r="CE49"/>
  <c r="J49" s="1"/>
  <c r="CD49"/>
  <c r="G49" s="1"/>
  <c r="CG49"/>
  <c r="AL49" s="1"/>
  <c r="BK47" i="164"/>
  <c r="BL47" s="1"/>
  <c r="G47"/>
  <c r="AD47" s="1"/>
  <c r="G47" i="168"/>
  <c r="AD47" s="1"/>
  <c r="G47" i="144"/>
  <c r="AD47" s="1"/>
  <c r="G47" i="56"/>
  <c r="AD47" s="1"/>
  <c r="AJ45" i="153"/>
  <c r="I44" i="147"/>
  <c r="AF44"/>
  <c r="J45"/>
  <c r="D41" i="137"/>
  <c r="AI41"/>
  <c r="AB85" i="118"/>
  <c r="B48" i="151"/>
  <c r="B48" i="158"/>
  <c r="B48" i="150"/>
  <c r="B48" i="154"/>
  <c r="B48" i="159"/>
  <c r="B48" i="149"/>
  <c r="B48" i="144"/>
  <c r="AM37" i="142" s="1"/>
  <c r="B48" i="153"/>
  <c r="B48" i="166"/>
  <c r="B48" i="56"/>
  <c r="B48" i="162"/>
  <c r="C48" s="1"/>
  <c r="B48" i="145"/>
  <c r="B48" i="165"/>
  <c r="B48" i="167"/>
  <c r="B48" i="168"/>
  <c r="B48" i="143"/>
  <c r="B48" i="164"/>
  <c r="B48" i="171"/>
  <c r="B48" i="155"/>
  <c r="I41" i="137"/>
  <c r="J41" s="1"/>
  <c r="X46" i="166"/>
  <c r="AB46"/>
  <c r="AF43" i="148"/>
  <c r="I43"/>
  <c r="J44"/>
  <c r="AA45" i="167"/>
  <c r="AS43" i="165"/>
  <c r="AR44" i="153"/>
  <c r="J47" i="159"/>
  <c r="AF47" s="1"/>
  <c r="J47" i="151"/>
  <c r="AF47" s="1"/>
  <c r="BJ47" i="161"/>
  <c r="D47" s="1"/>
  <c r="BV47"/>
  <c r="J47" s="1"/>
  <c r="D47" i="155"/>
  <c r="K47" s="1"/>
  <c r="N47" s="1"/>
  <c r="D47" i="150"/>
  <c r="AS43" i="154"/>
  <c r="X48" i="162"/>
  <c r="AB48"/>
  <c r="AS40" i="148"/>
  <c r="G42" i="137"/>
  <c r="C42"/>
  <c r="E42"/>
  <c r="X46" i="150"/>
  <c r="AB46"/>
  <c r="AJ46" s="1"/>
  <c r="G47" i="143"/>
  <c r="AD47" s="1"/>
  <c r="G47" i="153"/>
  <c r="AD47" s="1"/>
  <c r="AD47" i="161"/>
  <c r="F47"/>
  <c r="G47" i="154"/>
  <c r="AD47" s="1"/>
  <c r="AA45" i="153"/>
  <c r="AF41" i="160"/>
  <c r="I41"/>
  <c r="J42"/>
  <c r="AR44" i="158"/>
  <c r="AJ44" i="146"/>
  <c r="AR44" i="159"/>
  <c r="AR44" i="167"/>
  <c r="AJ45" i="151"/>
  <c r="H41" i="137"/>
  <c r="BD48" i="161" s="1"/>
  <c r="H48" i="144"/>
  <c r="H48" i="168"/>
  <c r="H48" i="167"/>
  <c r="H48" i="154"/>
  <c r="H48" i="150"/>
  <c r="H48" i="158"/>
  <c r="H48" i="143"/>
  <c r="H48" i="164"/>
  <c r="H48" i="153"/>
  <c r="H48" i="162"/>
  <c r="H48" i="166"/>
  <c r="H48" i="145"/>
  <c r="H48" i="165"/>
  <c r="H48" i="151"/>
  <c r="H48" i="155"/>
  <c r="H48" i="171"/>
  <c r="H48" i="159"/>
  <c r="H48" i="56"/>
  <c r="H48" i="149"/>
  <c r="AB179" i="118"/>
  <c r="AR44" i="161"/>
  <c r="AA45" i="168"/>
  <c r="AR46" i="162"/>
  <c r="AR44" i="168"/>
  <c r="AJ45" i="145"/>
  <c r="X46" i="56"/>
  <c r="AA46" s="1"/>
  <c r="AB46"/>
  <c r="AJ46" s="1"/>
  <c r="AS43" i="168"/>
  <c r="AA47" i="162"/>
  <c r="AB80" i="189"/>
  <c r="AY80" s="1"/>
  <c r="BB803" i="175"/>
  <c r="AR44" i="166"/>
  <c r="AJ45" i="165"/>
  <c r="AB46" i="167"/>
  <c r="X46"/>
  <c r="AB46" i="158"/>
  <c r="X46"/>
  <c r="J47"/>
  <c r="AF47" s="1"/>
  <c r="J47" i="150"/>
  <c r="AF47" s="1"/>
  <c r="I47" i="165"/>
  <c r="BK47"/>
  <c r="S47"/>
  <c r="V47" s="1"/>
  <c r="S47" i="162"/>
  <c r="V47" s="1"/>
  <c r="J47" i="144"/>
  <c r="AF47" s="1"/>
  <c r="AR44" i="150"/>
  <c r="D47" i="159"/>
  <c r="C47" i="165"/>
  <c r="K47"/>
  <c r="N47" s="1"/>
  <c r="K47" i="162"/>
  <c r="N47" s="1"/>
  <c r="D47" i="166"/>
  <c r="D47" i="151"/>
  <c r="K47" s="1"/>
  <c r="N47" s="1"/>
  <c r="BM46" i="164"/>
  <c r="BT46"/>
  <c r="BP46"/>
  <c r="AE69" i="190"/>
  <c r="AF48" i="162"/>
  <c r="AR41" i="148"/>
  <c r="AB5" i="189"/>
  <c r="AY5" s="1"/>
  <c r="AE790" i="175"/>
  <c r="BB728"/>
  <c r="K46" i="144"/>
  <c r="X45" i="163"/>
  <c r="K46" i="154"/>
  <c r="N46" s="1"/>
  <c r="K46" i="149"/>
  <c r="N46" s="1"/>
  <c r="K46" i="155"/>
  <c r="N46" s="1"/>
  <c r="AR45" i="56"/>
  <c r="S46" i="149"/>
  <c r="V46" s="1"/>
  <c r="K46" i="166"/>
  <c r="N46" s="1"/>
  <c r="O46"/>
  <c r="R46" s="1"/>
  <c r="S46" i="154"/>
  <c r="V46" s="1"/>
  <c r="K46" i="171"/>
  <c r="N46" s="1"/>
  <c r="O46" i="159"/>
  <c r="R46" s="1"/>
  <c r="K46" i="153"/>
  <c r="N46" s="1"/>
  <c r="AJ44" i="163"/>
  <c r="O46" i="56"/>
  <c r="R46" s="1"/>
  <c r="BD46" i="149"/>
  <c r="G46" s="1"/>
  <c r="O46" i="145"/>
  <c r="R46" s="1"/>
  <c r="K46" i="159"/>
  <c r="N46" s="1"/>
  <c r="S46" i="158"/>
  <c r="V46" s="1"/>
  <c r="K46" i="151"/>
  <c r="N46" s="1"/>
  <c r="O46" i="153"/>
  <c r="R46" s="1"/>
  <c r="AC256" i="175"/>
  <c r="K31" i="68"/>
  <c r="AB383" i="175"/>
  <c r="E48" i="161"/>
  <c r="P32" i="119"/>
  <c r="S46" i="146"/>
  <c r="AG399" i="175"/>
  <c r="H31" i="67"/>
  <c r="S29" i="68"/>
  <c r="AB692" i="175"/>
  <c r="AH265"/>
  <c r="AI208"/>
  <c r="AG207"/>
  <c r="B24" i="64"/>
  <c r="AI212" i="175"/>
  <c r="E31" i="67"/>
  <c r="G28" i="119"/>
  <c r="N32" i="64"/>
  <c r="R32" i="67"/>
  <c r="Q35" i="69"/>
  <c r="S32" i="140"/>
  <c r="AH141" i="175"/>
  <c r="V32" i="67"/>
  <c r="O27" i="140"/>
  <c r="W32" i="64"/>
  <c r="K47" i="146"/>
  <c r="Z691" i="175"/>
  <c r="Q33" i="120"/>
  <c r="AH151" i="175"/>
  <c r="AB132"/>
  <c r="AD137"/>
  <c r="AC661"/>
  <c r="S47" i="161"/>
  <c r="AH52" i="175"/>
  <c r="S42" i="160"/>
  <c r="G28" i="68"/>
  <c r="U32" i="119"/>
  <c r="AI272" i="175"/>
  <c r="O27" i="120"/>
  <c r="AB380" i="175"/>
  <c r="AD135"/>
  <c r="D32" i="64"/>
  <c r="AG666" i="175"/>
  <c r="AH56"/>
  <c r="E30" i="71"/>
  <c r="L32" i="140"/>
  <c r="V31" i="68"/>
  <c r="AH172" i="175"/>
  <c r="AC198"/>
  <c r="AA664"/>
  <c r="V32" i="120"/>
  <c r="Q34" i="67"/>
  <c r="AG386" i="175"/>
  <c r="R31" i="120"/>
  <c r="H30" i="68"/>
  <c r="K31" i="71"/>
  <c r="AC197" i="175"/>
  <c r="AI211"/>
  <c r="AC259"/>
  <c r="P32" i="64"/>
  <c r="AF389" i="175"/>
  <c r="H33" i="119"/>
  <c r="AE389" i="175"/>
  <c r="AF697"/>
  <c r="AC39"/>
  <c r="B44" i="148"/>
  <c r="K42" i="152"/>
  <c r="W31" i="71"/>
  <c r="H32" i="140"/>
  <c r="J32" i="67"/>
  <c r="AF379" i="175"/>
  <c r="AD34"/>
  <c r="AG201"/>
  <c r="AE199"/>
  <c r="E44" i="152"/>
  <c r="E45" i="148"/>
  <c r="F29" i="71"/>
  <c r="AC381" i="175"/>
  <c r="AD195"/>
  <c r="R32" i="64"/>
  <c r="E47" i="163"/>
  <c r="H30" i="71"/>
  <c r="AG44" i="175"/>
  <c r="N32" i="140"/>
  <c r="I32" i="67"/>
  <c r="AH35" i="175"/>
  <c r="AF710"/>
  <c r="I32" i="64"/>
  <c r="C32" i="140"/>
  <c r="AH43" i="175"/>
  <c r="I32" i="68"/>
  <c r="AH147" i="175"/>
  <c r="S43" i="152"/>
  <c r="S31" i="67"/>
  <c r="T33" i="119"/>
  <c r="K44" i="147"/>
  <c r="AG398" i="175"/>
  <c r="X27" i="119"/>
  <c r="AF706" i="175"/>
  <c r="O25" i="71"/>
  <c r="J32" i="140"/>
  <c r="D31" i="71"/>
  <c r="AH53" i="175"/>
  <c r="N31" i="71"/>
  <c r="L32" i="67"/>
  <c r="S45" i="147"/>
  <c r="O42" i="160"/>
  <c r="H45" i="148"/>
  <c r="AG255" i="175"/>
  <c r="AB662"/>
  <c r="B32" i="120"/>
  <c r="U32"/>
  <c r="AI270" i="175"/>
  <c r="F29" i="119"/>
  <c r="B24"/>
  <c r="H32"/>
  <c r="X26" i="68"/>
  <c r="AC194" i="175"/>
  <c r="W32" i="120"/>
  <c r="R32" i="119"/>
  <c r="AG679" i="175"/>
  <c r="AA384"/>
  <c r="AH54"/>
  <c r="K43" i="148"/>
  <c r="B46" i="147"/>
  <c r="J31" i="68"/>
  <c r="V32" i="64"/>
  <c r="AG193" i="175"/>
  <c r="H31" i="64"/>
  <c r="AI271" i="175"/>
  <c r="AH174"/>
  <c r="AB660"/>
  <c r="P32" i="140"/>
  <c r="AB136" i="175"/>
  <c r="R31" i="64"/>
  <c r="P31" i="68"/>
  <c r="S32" i="120"/>
  <c r="P31" i="71"/>
  <c r="J33" i="119"/>
  <c r="AE698" i="175"/>
  <c r="M32" i="140"/>
  <c r="AC657" i="175"/>
  <c r="S47" i="163"/>
  <c r="AG677" i="175"/>
  <c r="M31" i="68"/>
  <c r="E43" i="160"/>
  <c r="N32" i="67"/>
  <c r="L31" i="68"/>
  <c r="AI274" i="175"/>
  <c r="AB694"/>
  <c r="G28" i="71"/>
  <c r="AI273" i="175"/>
  <c r="H47" i="146"/>
  <c r="AH175" i="175"/>
  <c r="V32" i="140"/>
  <c r="AF703" i="175"/>
  <c r="F29" i="68"/>
  <c r="O45" i="147"/>
  <c r="J32" i="119"/>
  <c r="N32"/>
  <c r="E31" i="120"/>
  <c r="AG36" i="175"/>
  <c r="AG46"/>
  <c r="K32" i="119"/>
  <c r="AH144" i="175"/>
  <c r="AG672"/>
  <c r="K32" i="120"/>
  <c r="M32"/>
  <c r="AF46" i="175"/>
  <c r="B48" i="161"/>
  <c r="D32" i="140"/>
  <c r="E30" i="68"/>
  <c r="AG397" i="175"/>
  <c r="AH138"/>
  <c r="O27" i="64"/>
  <c r="F30" i="67"/>
  <c r="H46" i="147"/>
  <c r="S30" i="64"/>
  <c r="L32" i="120"/>
  <c r="AC41" i="175"/>
  <c r="M32" i="64"/>
  <c r="O46" i="163"/>
  <c r="O44" i="148"/>
  <c r="AG392" i="175"/>
  <c r="U31" i="71"/>
  <c r="AB377" i="175"/>
  <c r="T33" i="140"/>
  <c r="O26" i="67"/>
  <c r="AC37" i="175"/>
  <c r="AG395"/>
  <c r="AE699"/>
  <c r="AC40"/>
  <c r="D32" i="119"/>
  <c r="AI268" i="175"/>
  <c r="W32" i="67"/>
  <c r="P33" i="120"/>
  <c r="X28" i="67"/>
  <c r="AI264" i="175"/>
  <c r="L31" i="71"/>
  <c r="O46" i="146"/>
  <c r="K32" i="64"/>
  <c r="U31" i="68"/>
  <c r="Q33" i="140"/>
  <c r="Q33" i="68"/>
  <c r="AD665" i="175"/>
  <c r="U32" i="67"/>
  <c r="E32" i="119"/>
  <c r="AG658" i="175"/>
  <c r="AC260"/>
  <c r="B43" i="152"/>
  <c r="V31" i="71"/>
  <c r="K32" i="140"/>
  <c r="K32" i="67"/>
  <c r="E47" i="146"/>
  <c r="R30" i="68"/>
  <c r="W31"/>
  <c r="T31"/>
  <c r="AA691" i="175"/>
  <c r="H48" i="161"/>
  <c r="H44" i="152"/>
  <c r="AI213" i="175"/>
  <c r="E46" i="147"/>
  <c r="S44" i="148"/>
  <c r="M32" i="67"/>
  <c r="R31"/>
  <c r="AF689" i="175"/>
  <c r="O25" i="68"/>
  <c r="AF708" i="175"/>
  <c r="O27" i="67"/>
  <c r="AH139" i="175"/>
  <c r="Q33" i="71"/>
  <c r="AB381" i="175"/>
  <c r="S30" i="68"/>
  <c r="AK442" i="175"/>
  <c r="N31" i="68"/>
  <c r="G29" i="120"/>
  <c r="J32"/>
  <c r="AB37" i="175"/>
  <c r="AH140"/>
  <c r="AH131"/>
  <c r="AH173"/>
  <c r="I32" i="140"/>
  <c r="AF659" i="175"/>
  <c r="G29" i="140"/>
  <c r="Q34" i="64"/>
  <c r="AH49" i="175"/>
  <c r="B48" i="163"/>
  <c r="AF388" i="175"/>
  <c r="X28" i="120"/>
  <c r="AG378" i="175"/>
  <c r="D32" i="120"/>
  <c r="K47" i="163"/>
  <c r="H43" i="160"/>
  <c r="N32" i="120"/>
  <c r="AB382" i="175"/>
  <c r="AG202"/>
  <c r="AI200"/>
  <c r="Z176"/>
  <c r="X28" i="140"/>
  <c r="M33" i="119"/>
  <c r="U32" i="64"/>
  <c r="B23" i="71"/>
  <c r="AF387" i="175"/>
  <c r="Q33" i="119"/>
  <c r="AI267" i="175"/>
  <c r="AC196"/>
  <c r="AH269"/>
  <c r="W32" i="140"/>
  <c r="S31" i="64"/>
  <c r="B32" i="140"/>
  <c r="AI275" i="175"/>
  <c r="AF668"/>
  <c r="V33" i="119"/>
  <c r="AD191" i="175"/>
  <c r="L32" i="119"/>
  <c r="AI205" i="175"/>
  <c r="K47" i="161"/>
  <c r="AD700" i="175"/>
  <c r="F30" i="140"/>
  <c r="AD253" i="175"/>
  <c r="AH150"/>
  <c r="AH44"/>
  <c r="O43" i="152"/>
  <c r="AI206" i="175"/>
  <c r="AA694"/>
  <c r="Z695"/>
  <c r="AC258"/>
  <c r="U32" i="140"/>
  <c r="AD38" i="175"/>
  <c r="X27" i="71"/>
  <c r="B42" i="160"/>
  <c r="AB41" i="175"/>
  <c r="AD134"/>
  <c r="AD257"/>
  <c r="I32" i="120"/>
  <c r="AH266" i="175"/>
  <c r="M31" i="71"/>
  <c r="AK440" i="175"/>
  <c r="AA693"/>
  <c r="AG678"/>
  <c r="AH254"/>
  <c r="X28" i="64"/>
  <c r="AH192" i="175"/>
  <c r="AI210"/>
  <c r="AF707"/>
  <c r="E31" i="140"/>
  <c r="AH148" i="175"/>
  <c r="J31" i="71"/>
  <c r="AH149" i="175"/>
  <c r="AC129"/>
  <c r="AG396"/>
  <c r="B24" i="67"/>
  <c r="P32"/>
  <c r="AG204" i="175"/>
  <c r="AC696"/>
  <c r="I31" i="71"/>
  <c r="E31" i="64"/>
  <c r="AD385" i="175"/>
  <c r="O48" i="161"/>
  <c r="AF709" i="175"/>
  <c r="H48" i="163"/>
  <c r="AE261" i="175"/>
  <c r="B47" i="146"/>
  <c r="S30" i="67"/>
  <c r="K41" i="160"/>
  <c r="O26" i="64"/>
  <c r="AC133" i="175"/>
  <c r="AE690"/>
  <c r="R32" i="140"/>
  <c r="F30" i="120"/>
  <c r="L32" i="64"/>
  <c r="AG203" i="175"/>
  <c r="AH130"/>
  <c r="AH262"/>
  <c r="AG45"/>
  <c r="B23" i="68"/>
  <c r="AH263" i="175"/>
  <c r="AG676"/>
  <c r="D32" i="67"/>
  <c r="O26" i="119"/>
  <c r="F30" i="64"/>
  <c r="D31" i="68"/>
  <c r="C32" i="120"/>
  <c r="AI209" i="175"/>
  <c r="AH55"/>
  <c r="J32" i="64"/>
  <c r="AG675" i="175"/>
  <c r="AH772" l="1"/>
  <c r="AE49" i="189" s="1"/>
  <c r="AH36" i="190"/>
  <c r="AK473" i="175"/>
  <c r="AG54" i="190"/>
  <c r="BA54" s="1"/>
  <c r="BD473" i="175"/>
  <c r="AF800"/>
  <c r="AC77" i="189" s="1"/>
  <c r="AZ129" i="118"/>
  <c r="AZ176"/>
  <c r="AG738" i="175"/>
  <c r="AD15" i="189" s="1"/>
  <c r="AS42" i="164"/>
  <c r="AC46" i="189"/>
  <c r="AZ269" i="118"/>
  <c r="AZ34"/>
  <c r="AZ270"/>
  <c r="AZ35"/>
  <c r="BB389" i="175"/>
  <c r="AD638"/>
  <c r="AB46" i="189"/>
  <c r="AY46" s="1"/>
  <c r="AE800" i="175"/>
  <c r="AS43" i="149"/>
  <c r="BB769" i="175"/>
  <c r="BA270" i="118"/>
  <c r="BA35"/>
  <c r="AG737" i="175"/>
  <c r="AD14" i="189" s="1"/>
  <c r="AE637" i="175"/>
  <c r="BB637" s="1"/>
  <c r="BB699"/>
  <c r="AF799"/>
  <c r="AC76" i="189" s="1"/>
  <c r="AR39" i="160"/>
  <c r="BE266" i="118"/>
  <c r="BE31"/>
  <c r="BE172"/>
  <c r="BE125"/>
  <c r="BE77"/>
  <c r="BE30"/>
  <c r="BE265"/>
  <c r="Z633" i="175"/>
  <c r="AZ633" s="1"/>
  <c r="AZ695"/>
  <c r="AB733"/>
  <c r="AS38" i="160"/>
  <c r="X10" i="189"/>
  <c r="AA795" i="175"/>
  <c r="X72" i="189" s="1"/>
  <c r="AJ40" i="160"/>
  <c r="W72" i="189"/>
  <c r="AW72" s="1"/>
  <c r="AZ795" i="175"/>
  <c r="AA40" i="160"/>
  <c r="Y3" i="189"/>
  <c r="BL78" i="118"/>
  <c r="AC726" i="175"/>
  <c r="Z3" i="189" s="1"/>
  <c r="AR40" i="152"/>
  <c r="AS40" s="1"/>
  <c r="AJ41"/>
  <c r="AR41" s="1"/>
  <c r="AZ791" i="175"/>
  <c r="Y7" i="189"/>
  <c r="AB729" i="175"/>
  <c r="Y6" i="189" s="1"/>
  <c r="BD79" i="118"/>
  <c r="AC730" i="175"/>
  <c r="Z7" i="189" s="1"/>
  <c r="N44" i="147"/>
  <c r="D43" i="152"/>
  <c r="N43" i="148"/>
  <c r="N42" i="152"/>
  <c r="BI77" i="118"/>
  <c r="Z629" i="175"/>
  <c r="AZ629" s="1"/>
  <c r="AZ691"/>
  <c r="AD734"/>
  <c r="AA11" i="189" s="1"/>
  <c r="BH78" i="118"/>
  <c r="BI30"/>
  <c r="BI265"/>
  <c r="N41" i="160"/>
  <c r="D45" i="147"/>
  <c r="X45" s="1"/>
  <c r="C44"/>
  <c r="AB44"/>
  <c r="AJ44" s="1"/>
  <c r="AB43" i="148"/>
  <c r="AJ43" s="1"/>
  <c r="C43"/>
  <c r="D44"/>
  <c r="X44" s="1"/>
  <c r="AB42" i="152"/>
  <c r="AC796" i="175"/>
  <c r="Z73" i="189" s="1"/>
  <c r="X6"/>
  <c r="AB41" i="160"/>
  <c r="C41"/>
  <c r="D42"/>
  <c r="X42" s="1"/>
  <c r="X43" i="148"/>
  <c r="AA43" s="1"/>
  <c r="K42" i="49"/>
  <c r="L42"/>
  <c r="AY176" i="118"/>
  <c r="AY129"/>
  <c r="AS45" i="56"/>
  <c r="BH126" i="118"/>
  <c r="BH173"/>
  <c r="BH32"/>
  <c r="BH267"/>
  <c r="AB630" i="175"/>
  <c r="AS45" i="155"/>
  <c r="BB798" i="175"/>
  <c r="AF798"/>
  <c r="AC75" i="189" s="1"/>
  <c r="BD127" i="118"/>
  <c r="BD174"/>
  <c r="AR83"/>
  <c r="AT130"/>
  <c r="AT177"/>
  <c r="AS271"/>
  <c r="AT271"/>
  <c r="BA83"/>
  <c r="AQ177"/>
  <c r="AQ130"/>
  <c r="AT36"/>
  <c r="AZ83"/>
  <c r="AS177"/>
  <c r="AS130"/>
  <c r="BB176"/>
  <c r="BB129"/>
  <c r="BI125"/>
  <c r="BI172"/>
  <c r="AT83"/>
  <c r="AP36"/>
  <c r="AR271"/>
  <c r="AQ84"/>
  <c r="AP177"/>
  <c r="AP130"/>
  <c r="BI31"/>
  <c r="AP271"/>
  <c r="AP83"/>
  <c r="AQ271"/>
  <c r="BB270"/>
  <c r="AU130"/>
  <c r="AU177"/>
  <c r="BB35"/>
  <c r="AR177"/>
  <c r="AR130"/>
  <c r="AS36"/>
  <c r="BI266"/>
  <c r="AR36"/>
  <c r="AQ36"/>
  <c r="AC634" i="175"/>
  <c r="AF646"/>
  <c r="AF647"/>
  <c r="BB261"/>
  <c r="BB199"/>
  <c r="AH744"/>
  <c r="AE636"/>
  <c r="BB636" s="1"/>
  <c r="BB698"/>
  <c r="AH748"/>
  <c r="Z190"/>
  <c r="AZ190" s="1"/>
  <c r="AZ176"/>
  <c r="AF645"/>
  <c r="AA629"/>
  <c r="AH746"/>
  <c r="AF644"/>
  <c r="AH745"/>
  <c r="AH747"/>
  <c r="AF648"/>
  <c r="AG736"/>
  <c r="AG798" s="1"/>
  <c r="AD75" i="189" s="1"/>
  <c r="AC86"/>
  <c r="AJ46" i="159"/>
  <c r="AJ38" i="143"/>
  <c r="AD24" i="189"/>
  <c r="AG809" i="175"/>
  <c r="AD86" i="189" s="1"/>
  <c r="AR43" i="164"/>
  <c r="AR44" i="163"/>
  <c r="AS44" s="1"/>
  <c r="AJ46" i="158"/>
  <c r="AC83" i="189"/>
  <c r="AD21"/>
  <c r="AG806" i="175"/>
  <c r="AD83" i="189" s="1"/>
  <c r="AD22"/>
  <c r="AG807" i="175"/>
  <c r="AD84" i="189" s="1"/>
  <c r="AS44" i="159"/>
  <c r="AJ45" i="163"/>
  <c r="AS36" i="143"/>
  <c r="AC85" i="189"/>
  <c r="AC84"/>
  <c r="AC87"/>
  <c r="AG810" i="175"/>
  <c r="AD87" i="189" s="1"/>
  <c r="AD25"/>
  <c r="AD23"/>
  <c r="AG808" i="175"/>
  <c r="AD85" i="189" s="1"/>
  <c r="AS42" i="147"/>
  <c r="Y8" i="189"/>
  <c r="AS44" i="158"/>
  <c r="AG28" i="72"/>
  <c r="AC39" i="143"/>
  <c r="X39"/>
  <c r="N39"/>
  <c r="AR37"/>
  <c r="M40"/>
  <c r="L40" s="1"/>
  <c r="AA38"/>
  <c r="AG273" i="118"/>
  <c r="AG38"/>
  <c r="AG178"/>
  <c r="AG131"/>
  <c r="AG84"/>
  <c r="AS44" i="150"/>
  <c r="AD124" i="118"/>
  <c r="AD171"/>
  <c r="BL126"/>
  <c r="BL173"/>
  <c r="BL32"/>
  <c r="BG79"/>
  <c r="BL267"/>
  <c r="BG125"/>
  <c r="BG172"/>
  <c r="BG31"/>
  <c r="BG266"/>
  <c r="AC731" i="175"/>
  <c r="Z8" i="189" s="1"/>
  <c r="AA631" i="175"/>
  <c r="AJ45" i="149"/>
  <c r="AS45" i="171"/>
  <c r="AA45" i="149"/>
  <c r="S47" i="144"/>
  <c r="V47" s="1"/>
  <c r="O47" i="154"/>
  <c r="R47" s="1"/>
  <c r="O47" i="153"/>
  <c r="R47" s="1"/>
  <c r="AW177" i="118"/>
  <c r="AW130"/>
  <c r="S47" i="155"/>
  <c r="V47" s="1"/>
  <c r="S47" i="149"/>
  <c r="V47" s="1"/>
  <c r="Q32" i="72"/>
  <c r="S47" i="158"/>
  <c r="V47" s="1"/>
  <c r="AR46" i="56"/>
  <c r="AZ632" i="175"/>
  <c r="O47" i="151"/>
  <c r="R47" s="1"/>
  <c r="O47" i="144"/>
  <c r="R47" s="1"/>
  <c r="AA42" i="152"/>
  <c r="V34" i="72"/>
  <c r="AC34"/>
  <c r="O47" i="155"/>
  <c r="R47" s="1"/>
  <c r="O47" i="164"/>
  <c r="R47" s="1"/>
  <c r="O47" i="171"/>
  <c r="R47" s="1"/>
  <c r="AA44" i="164"/>
  <c r="S47" i="154"/>
  <c r="V47" s="1"/>
  <c r="AJ47" i="171"/>
  <c r="S47" i="167"/>
  <c r="V47" s="1"/>
  <c r="O47" i="143"/>
  <c r="R47" s="1"/>
  <c r="S47" i="159"/>
  <c r="V47" s="1"/>
  <c r="O47" i="56"/>
  <c r="R47" s="1"/>
  <c r="O47" i="168"/>
  <c r="R47" s="1"/>
  <c r="AA44" i="147"/>
  <c r="S47" i="56"/>
  <c r="V47" s="1"/>
  <c r="S47" i="168"/>
  <c r="V47" s="1"/>
  <c r="O47" i="167"/>
  <c r="R47" s="1"/>
  <c r="S47" i="164"/>
  <c r="V47" s="1"/>
  <c r="S47" i="150"/>
  <c r="V47" s="1"/>
  <c r="O47" i="145"/>
  <c r="R47" s="1"/>
  <c r="O47" i="150"/>
  <c r="R47" s="1"/>
  <c r="AR46" i="155"/>
  <c r="S47" i="145"/>
  <c r="V47" s="1"/>
  <c r="S47" i="166"/>
  <c r="V47" s="1"/>
  <c r="S47" i="143"/>
  <c r="V47" s="1"/>
  <c r="V35" i="72"/>
  <c r="AV129" i="118"/>
  <c r="AV176"/>
  <c r="BK83"/>
  <c r="BJ176"/>
  <c r="BJ129"/>
  <c r="AW83"/>
  <c r="BB83"/>
  <c r="AB632" i="175"/>
  <c r="J48" i="163"/>
  <c r="V44" i="148"/>
  <c r="J44" i="152"/>
  <c r="AK471" i="175"/>
  <c r="AK470"/>
  <c r="AH34" i="190"/>
  <c r="AI410" i="118"/>
  <c r="AG728" i="175"/>
  <c r="V42" i="160"/>
  <c r="R46" i="146"/>
  <c r="R45" i="147"/>
  <c r="R44" i="148"/>
  <c r="G44" i="152"/>
  <c r="R42" i="160"/>
  <c r="BB271" i="118"/>
  <c r="BB36"/>
  <c r="V47" i="161"/>
  <c r="AW36" i="118"/>
  <c r="Y36" i="72"/>
  <c r="AW271" i="118"/>
  <c r="BK36"/>
  <c r="X36" i="72"/>
  <c r="BK271" i="118"/>
  <c r="BJ35"/>
  <c r="AD35" i="72"/>
  <c r="BJ270" i="118"/>
  <c r="V46" i="146"/>
  <c r="R48" i="161"/>
  <c r="AF641" i="175"/>
  <c r="R46" i="163"/>
  <c r="BF79" i="118"/>
  <c r="BC83"/>
  <c r="BC130"/>
  <c r="BC177"/>
  <c r="AC283" i="175"/>
  <c r="AX177" i="118"/>
  <c r="AX130"/>
  <c r="AC221" i="175"/>
  <c r="AC732"/>
  <c r="BJ83" i="118"/>
  <c r="BF172"/>
  <c r="BF125"/>
  <c r="AF635" i="175"/>
  <c r="AA632"/>
  <c r="AH735"/>
  <c r="R36" i="72"/>
  <c r="AH727" i="175"/>
  <c r="G47" i="163"/>
  <c r="X47" s="1"/>
  <c r="AF627" i="175"/>
  <c r="N47" i="161"/>
  <c r="C47" i="146"/>
  <c r="N47"/>
  <c r="AH741" i="175"/>
  <c r="AA36" i="72"/>
  <c r="AE36"/>
  <c r="V43" i="152"/>
  <c r="S36" i="72"/>
  <c r="W38"/>
  <c r="BC36" i="118"/>
  <c r="T36" i="72"/>
  <c r="BC271" i="118"/>
  <c r="D48" i="163"/>
  <c r="V45" i="147"/>
  <c r="BF31" i="118"/>
  <c r="BF266"/>
  <c r="Z36" i="72"/>
  <c r="AE628" i="175"/>
  <c r="BB628" s="1"/>
  <c r="BB690"/>
  <c r="N47" i="163"/>
  <c r="V47"/>
  <c r="R43" i="152"/>
  <c r="AA45" i="164"/>
  <c r="AD46" i="149"/>
  <c r="F46"/>
  <c r="O46"/>
  <c r="R46" s="1"/>
  <c r="BK48" i="165"/>
  <c r="I48"/>
  <c r="S48"/>
  <c r="V48" s="1"/>
  <c r="J48" i="150"/>
  <c r="AF48" s="1"/>
  <c r="J48" i="144"/>
  <c r="AF48" s="1"/>
  <c r="I44" i="148"/>
  <c r="AF44"/>
  <c r="J45"/>
  <c r="D48" i="171"/>
  <c r="AB48" s="1"/>
  <c r="D48" i="167"/>
  <c r="K48" s="1"/>
  <c r="N48" s="1"/>
  <c r="D48" i="149"/>
  <c r="K48" s="1"/>
  <c r="N48" s="1"/>
  <c r="AM49" i="162"/>
  <c r="AS44" i="151"/>
  <c r="AJ45" i="146"/>
  <c r="AB47" i="168"/>
  <c r="X47"/>
  <c r="G48" i="159"/>
  <c r="AD48" s="1"/>
  <c r="G48" i="153"/>
  <c r="AD48" s="1"/>
  <c r="G48" i="144"/>
  <c r="AD48" s="1"/>
  <c r="CC50" i="162"/>
  <c r="D50" s="1"/>
  <c r="CE50"/>
  <c r="J50" s="1"/>
  <c r="CD50"/>
  <c r="G50" s="1"/>
  <c r="CG50"/>
  <c r="AL50" s="1"/>
  <c r="AR45" i="161"/>
  <c r="AA45" i="163"/>
  <c r="AB67" i="189"/>
  <c r="AY67" s="1"/>
  <c r="BB790" i="175"/>
  <c r="AS41" i="148"/>
  <c r="AC47" i="151"/>
  <c r="X47"/>
  <c r="AB47" i="159"/>
  <c r="X47"/>
  <c r="AR47" i="162"/>
  <c r="J48" i="56"/>
  <c r="AF48" s="1"/>
  <c r="S48" i="162"/>
  <c r="V48" s="1"/>
  <c r="J48" i="168"/>
  <c r="AF48" s="1"/>
  <c r="I42" i="160"/>
  <c r="AF42"/>
  <c r="J43"/>
  <c r="AR45" i="167"/>
  <c r="D48" i="155"/>
  <c r="K48" i="162"/>
  <c r="N48" s="1"/>
  <c r="D48" i="150"/>
  <c r="K48" s="1"/>
  <c r="N48" s="1"/>
  <c r="X49" i="162"/>
  <c r="AB49"/>
  <c r="F46" i="146"/>
  <c r="AD46"/>
  <c r="G47"/>
  <c r="X46"/>
  <c r="AA46" i="163"/>
  <c r="F45" i="147"/>
  <c r="G46"/>
  <c r="AD45"/>
  <c r="G48" i="155"/>
  <c r="AD48" s="1"/>
  <c r="G48" i="150"/>
  <c r="AD48" s="1"/>
  <c r="G48" i="167"/>
  <c r="AD48" s="1"/>
  <c r="G48" i="151"/>
  <c r="AD48" s="1"/>
  <c r="F44" i="148"/>
  <c r="AD44"/>
  <c r="G45"/>
  <c r="AC66" i="189"/>
  <c r="X47" i="56"/>
  <c r="AA47" s="1"/>
  <c r="AB47"/>
  <c r="AJ47" s="1"/>
  <c r="AB366" i="118"/>
  <c r="AD366" s="1"/>
  <c r="Z47" i="171"/>
  <c r="W40" i="49"/>
  <c r="H44" i="51"/>
  <c r="I44" s="1"/>
  <c r="X47" i="171"/>
  <c r="AB272" i="118"/>
  <c r="F42" i="160"/>
  <c r="G43"/>
  <c r="AD42"/>
  <c r="BN46" i="164"/>
  <c r="BU46" s="1"/>
  <c r="BV46" s="1"/>
  <c r="X46" s="1"/>
  <c r="AR45" i="168"/>
  <c r="J48" i="149"/>
  <c r="AF48" s="1"/>
  <c r="J48" i="155"/>
  <c r="AF48" s="1"/>
  <c r="J48" i="166"/>
  <c r="AF48" s="1"/>
  <c r="J48" i="143"/>
  <c r="AF48" s="1"/>
  <c r="J48" i="167"/>
  <c r="AF48" s="1"/>
  <c r="AR45" i="153"/>
  <c r="H42" i="137"/>
  <c r="BD49" i="161" s="1"/>
  <c r="H49" i="145"/>
  <c r="H49" i="144"/>
  <c r="H49" i="153"/>
  <c r="H49" i="151"/>
  <c r="H49" i="167"/>
  <c r="H49" i="166"/>
  <c r="H49" i="168"/>
  <c r="H49" i="154"/>
  <c r="H49" i="162"/>
  <c r="H49" i="165"/>
  <c r="H49" i="159"/>
  <c r="H49" i="143"/>
  <c r="H49" i="158"/>
  <c r="H49" i="56"/>
  <c r="AB180" i="118"/>
  <c r="H49" i="164"/>
  <c r="H49" i="150"/>
  <c r="H49" i="155"/>
  <c r="H49" i="171"/>
  <c r="H49" i="149"/>
  <c r="X47" i="155"/>
  <c r="AA47" s="1"/>
  <c r="AB47"/>
  <c r="AJ47" s="1"/>
  <c r="AF47" i="161"/>
  <c r="I47"/>
  <c r="D48" i="143"/>
  <c r="D48" i="145"/>
  <c r="K48" s="1"/>
  <c r="N48" s="1"/>
  <c r="D48" i="153"/>
  <c r="D48" i="154"/>
  <c r="BP47" i="164"/>
  <c r="BT47"/>
  <c r="BM47"/>
  <c r="AF49" i="162"/>
  <c r="AC80" i="189"/>
  <c r="AR45" i="154"/>
  <c r="AA46"/>
  <c r="AA46" i="161"/>
  <c r="AA45" i="146"/>
  <c r="AR45" i="150"/>
  <c r="AS44" i="165"/>
  <c r="X71" i="189"/>
  <c r="AZ43" i="51"/>
  <c r="AW43"/>
  <c r="J43"/>
  <c r="AA46" i="171" s="1"/>
  <c r="AR46" s="1"/>
  <c r="X47" i="154"/>
  <c r="AB47"/>
  <c r="X47" i="153"/>
  <c r="AB47"/>
  <c r="AA46" i="159"/>
  <c r="AJ46" i="153"/>
  <c r="I46" i="146"/>
  <c r="AF46"/>
  <c r="J47"/>
  <c r="G48" i="143"/>
  <c r="AD48" s="1"/>
  <c r="G48" i="171"/>
  <c r="AD48" s="1"/>
  <c r="G48" i="145"/>
  <c r="AD48" s="1"/>
  <c r="O48" i="162"/>
  <c r="R48" s="1"/>
  <c r="G48" i="154"/>
  <c r="AD48" s="1"/>
  <c r="AR45" i="151"/>
  <c r="U41" i="49"/>
  <c r="T42"/>
  <c r="B35" i="72"/>
  <c r="D35" s="1"/>
  <c r="I35" s="1"/>
  <c r="H35" s="1"/>
  <c r="G35" s="1"/>
  <c r="F35" s="1"/>
  <c r="E35" s="1"/>
  <c r="AK42" i="51"/>
  <c r="AV42"/>
  <c r="AX42" s="1"/>
  <c r="AB35" i="118"/>
  <c r="Z41" i="49"/>
  <c r="M41"/>
  <c r="J42"/>
  <c r="AR45" i="158"/>
  <c r="AS44" i="154"/>
  <c r="AC5" i="189"/>
  <c r="AF790" i="175"/>
  <c r="AG52" i="190"/>
  <c r="BA52" s="1"/>
  <c r="BD471" i="175"/>
  <c r="AD46" i="163"/>
  <c r="K47" i="168"/>
  <c r="N47" s="1"/>
  <c r="S47" i="171"/>
  <c r="V47" s="1"/>
  <c r="K47" i="56"/>
  <c r="N47" s="1"/>
  <c r="X46" i="149"/>
  <c r="BQ45" i="164"/>
  <c r="BR45" s="1"/>
  <c r="AE45" s="1"/>
  <c r="AS44" i="166"/>
  <c r="AS44" i="168"/>
  <c r="J48" i="159"/>
  <c r="AF48" s="1"/>
  <c r="J48" i="153"/>
  <c r="AF48" s="1"/>
  <c r="E49" i="56"/>
  <c r="AB133" i="118"/>
  <c r="E49" i="144"/>
  <c r="E49" i="154"/>
  <c r="E49" i="165"/>
  <c r="E49" i="167"/>
  <c r="E49" i="162"/>
  <c r="F49" s="1"/>
  <c r="E49" i="151"/>
  <c r="E49" i="153"/>
  <c r="E49" i="166"/>
  <c r="E49" i="149"/>
  <c r="E49" i="145"/>
  <c r="E49" i="168"/>
  <c r="F42" i="137"/>
  <c r="BC49" i="161" s="1"/>
  <c r="BP49" s="1"/>
  <c r="G49" s="1"/>
  <c r="E49" i="159"/>
  <c r="E49" i="171"/>
  <c r="E49" i="150"/>
  <c r="E49" i="155"/>
  <c r="E49" i="143"/>
  <c r="E49" i="158"/>
  <c r="E49" i="164"/>
  <c r="AB47" i="150"/>
  <c r="AJ47" s="1"/>
  <c r="X47"/>
  <c r="AS44" i="153"/>
  <c r="AJ46" i="166"/>
  <c r="D48" i="56"/>
  <c r="D48" i="158"/>
  <c r="K48" s="1"/>
  <c r="N48" s="1"/>
  <c r="AR45" i="166"/>
  <c r="AA46" i="168"/>
  <c r="AJ46" i="161"/>
  <c r="AD47" i="165"/>
  <c r="AJ46" i="151"/>
  <c r="F48" i="161"/>
  <c r="AD48"/>
  <c r="AR42" i="148"/>
  <c r="AB47" i="164"/>
  <c r="AR45" i="145"/>
  <c r="AR45" i="159"/>
  <c r="X47" i="145"/>
  <c r="AB47"/>
  <c r="AJ46"/>
  <c r="BP409" i="118"/>
  <c r="BM409"/>
  <c r="AE409" s="1"/>
  <c r="BU409"/>
  <c r="BX409"/>
  <c r="BO409"/>
  <c r="BV409"/>
  <c r="BS409"/>
  <c r="BR409"/>
  <c r="BN409"/>
  <c r="BT409"/>
  <c r="BQ409"/>
  <c r="BW409"/>
  <c r="AD4" i="189"/>
  <c r="AG789" i="175"/>
  <c r="AD66" i="189" s="1"/>
  <c r="AD12"/>
  <c r="AG797" i="175"/>
  <c r="AD74" i="189" s="1"/>
  <c r="AA46" i="158"/>
  <c r="AR45" i="165"/>
  <c r="AS44" i="161"/>
  <c r="J48" i="151"/>
  <c r="AF48" s="1"/>
  <c r="J48" i="158"/>
  <c r="AF48" s="1"/>
  <c r="AS44" i="167"/>
  <c r="AJ48" i="162"/>
  <c r="AB47" i="161"/>
  <c r="X47"/>
  <c r="C47"/>
  <c r="D48" i="168"/>
  <c r="D48" i="144"/>
  <c r="K48" s="1"/>
  <c r="AS44" i="145"/>
  <c r="AB47" i="158"/>
  <c r="X47"/>
  <c r="AJ46" i="154"/>
  <c r="AA46" i="151"/>
  <c r="G48" i="168"/>
  <c r="AD48" s="1"/>
  <c r="AJ46" i="165"/>
  <c r="C43" i="137"/>
  <c r="G43"/>
  <c r="E43"/>
  <c r="AA46" i="145"/>
  <c r="X39" i="49"/>
  <c r="G43" i="51"/>
  <c r="AF43" i="152"/>
  <c r="AJ501" i="175"/>
  <c r="AG51" i="190"/>
  <c r="BA51" s="1"/>
  <c r="Y9" i="189"/>
  <c r="AB794" i="175"/>
  <c r="Y71" i="189" s="1"/>
  <c r="AD18"/>
  <c r="AG803" i="175"/>
  <c r="AD80" i="189" s="1"/>
  <c r="AB47" i="166"/>
  <c r="X47"/>
  <c r="AJ46" i="167"/>
  <c r="AA46"/>
  <c r="AS46" i="162"/>
  <c r="J48" i="171"/>
  <c r="AF48" s="1"/>
  <c r="J48" i="145"/>
  <c r="AF48" s="1"/>
  <c r="J48" i="164"/>
  <c r="AF48" s="1"/>
  <c r="J48" i="154"/>
  <c r="AF48" s="1"/>
  <c r="BJ48" i="161"/>
  <c r="D48" s="1"/>
  <c r="BV48"/>
  <c r="J48" s="1"/>
  <c r="AA46" i="150"/>
  <c r="D42" i="137"/>
  <c r="AI42"/>
  <c r="AB86" i="118"/>
  <c r="B49" i="151"/>
  <c r="B49" i="153"/>
  <c r="B49" i="168"/>
  <c r="B49" i="143"/>
  <c r="B49" i="154"/>
  <c r="B49" i="167"/>
  <c r="B49" i="144"/>
  <c r="AM38" i="142" s="1"/>
  <c r="B49" i="56"/>
  <c r="B49" i="165"/>
  <c r="B49" i="166"/>
  <c r="B49" i="145"/>
  <c r="B49" i="155"/>
  <c r="B49" i="162"/>
  <c r="C49" s="1"/>
  <c r="B49" i="164"/>
  <c r="B49" i="159"/>
  <c r="B49" i="150"/>
  <c r="B49" i="158"/>
  <c r="B49" i="149"/>
  <c r="B49" i="171"/>
  <c r="I42" i="137"/>
  <c r="J42" s="1"/>
  <c r="AA48" i="162"/>
  <c r="AA46" i="166"/>
  <c r="D48" i="164"/>
  <c r="K48" s="1"/>
  <c r="N48" s="1"/>
  <c r="C48" i="165"/>
  <c r="K48"/>
  <c r="N48" s="1"/>
  <c r="D48" i="166"/>
  <c r="K48" s="1"/>
  <c r="N48" s="1"/>
  <c r="D48" i="159"/>
  <c r="K48" s="1"/>
  <c r="N48" s="1"/>
  <c r="D48" i="151"/>
  <c r="K48" s="1"/>
  <c r="N48" s="1"/>
  <c r="I45" i="147"/>
  <c r="AF45"/>
  <c r="J46"/>
  <c r="AD49" i="162"/>
  <c r="X47" i="167"/>
  <c r="AB47"/>
  <c r="AJ46" i="168"/>
  <c r="AA41" i="160"/>
  <c r="AA46" i="153"/>
  <c r="BK48" i="164"/>
  <c r="BL48" s="1"/>
  <c r="G48"/>
  <c r="AD48" s="1"/>
  <c r="G48" i="158"/>
  <c r="AD48" s="1"/>
  <c r="G48" i="166"/>
  <c r="AD48" s="1"/>
  <c r="BC48" i="149"/>
  <c r="BB48"/>
  <c r="G48" i="165"/>
  <c r="O48" s="1"/>
  <c r="R48" s="1"/>
  <c r="G48" i="56"/>
  <c r="AD48" s="1"/>
  <c r="C44" i="13"/>
  <c r="AL51" i="171"/>
  <c r="AM51" s="1"/>
  <c r="D45" i="13"/>
  <c r="CB51" i="162"/>
  <c r="AC74" i="189"/>
  <c r="AB47" i="149"/>
  <c r="AR44" i="146"/>
  <c r="AS43"/>
  <c r="AR44" i="149"/>
  <c r="AB47" i="163"/>
  <c r="AF47"/>
  <c r="AD43" i="152"/>
  <c r="O47" i="165"/>
  <c r="R47" s="1"/>
  <c r="K47" i="171"/>
  <c r="N47" s="1"/>
  <c r="K47" i="145"/>
  <c r="N47" s="1"/>
  <c r="K47" i="159"/>
  <c r="N47" s="1"/>
  <c r="I48" i="162"/>
  <c r="K47" i="166"/>
  <c r="N47" s="1"/>
  <c r="K47" i="150"/>
  <c r="N47" s="1"/>
  <c r="S47" i="151"/>
  <c r="V47" s="1"/>
  <c r="BD470" i="175"/>
  <c r="O47" i="159"/>
  <c r="R47" s="1"/>
  <c r="AR43" i="147"/>
  <c r="K47" i="154"/>
  <c r="N47" s="1"/>
  <c r="K47" i="153"/>
  <c r="N47" s="1"/>
  <c r="S47"/>
  <c r="V47" s="1"/>
  <c r="O47" i="166"/>
  <c r="R47" s="1"/>
  <c r="O47" i="158"/>
  <c r="R47" s="1"/>
  <c r="K47" i="164"/>
  <c r="N47" s="1"/>
  <c r="BD47" i="149"/>
  <c r="G47" s="1"/>
  <c r="AI175" i="175"/>
  <c r="AJ270"/>
  <c r="V32" i="68"/>
  <c r="AH201" i="175"/>
  <c r="S33" i="140"/>
  <c r="F31" i="120"/>
  <c r="E32"/>
  <c r="H31" i="71"/>
  <c r="O28" i="120"/>
  <c r="N33" i="140"/>
  <c r="AH397" i="175"/>
  <c r="AH207"/>
  <c r="AD260"/>
  <c r="C33" i="120"/>
  <c r="AC660" i="175"/>
  <c r="AG235"/>
  <c r="AG697"/>
  <c r="AH395"/>
  <c r="AH667"/>
  <c r="AD696"/>
  <c r="K33" i="67"/>
  <c r="S33" i="119"/>
  <c r="AF690" i="175"/>
  <c r="K32" i="71"/>
  <c r="Q36" i="69"/>
  <c r="F30" i="68"/>
  <c r="B25" i="119"/>
  <c r="I32" i="71"/>
  <c r="AH658" i="175"/>
  <c r="R32" i="120"/>
  <c r="N32" i="68"/>
  <c r="AH672" i="175"/>
  <c r="L32" i="68"/>
  <c r="F30" i="71"/>
  <c r="S44" i="152"/>
  <c r="P33" i="119"/>
  <c r="AG388" i="175"/>
  <c r="I33" i="67"/>
  <c r="O49" i="161"/>
  <c r="H45" i="152"/>
  <c r="U33" i="64"/>
  <c r="AI173" i="175"/>
  <c r="J33" i="64"/>
  <c r="O44" i="152"/>
  <c r="N33" i="64"/>
  <c r="H44" i="160"/>
  <c r="G30" i="140"/>
  <c r="O47" i="146"/>
  <c r="AE253" i="175"/>
  <c r="AI139"/>
  <c r="S46" i="147"/>
  <c r="D33" i="64"/>
  <c r="AH398" i="175"/>
  <c r="M33" i="67"/>
  <c r="W33"/>
  <c r="L32" i="71"/>
  <c r="AE257" i="175"/>
  <c r="O28" i="64"/>
  <c r="AG387" i="175"/>
  <c r="W33" i="119"/>
  <c r="AB693" i="175"/>
  <c r="W33" i="64"/>
  <c r="D32" i="68"/>
  <c r="H31"/>
  <c r="AF261" i="175"/>
  <c r="M34" i="119"/>
  <c r="AH392" i="175"/>
  <c r="AI144"/>
  <c r="T34" i="120"/>
  <c r="H48" i="146"/>
  <c r="E48" i="163"/>
  <c r="P32" i="68"/>
  <c r="O26" i="71"/>
  <c r="V33" i="64"/>
  <c r="G29" i="67"/>
  <c r="E31" i="68"/>
  <c r="M32" i="71"/>
  <c r="AG706" i="175"/>
  <c r="AH255"/>
  <c r="K33" i="120"/>
  <c r="U32" i="68"/>
  <c r="AD657" i="175"/>
  <c r="AJ267"/>
  <c r="J34" i="119"/>
  <c r="AI192" i="175"/>
  <c r="AI262"/>
  <c r="AI141"/>
  <c r="R32" i="71"/>
  <c r="R33" i="140"/>
  <c r="B49" i="163"/>
  <c r="AJ271" i="175"/>
  <c r="E46" i="148"/>
  <c r="AI131" i="175"/>
  <c r="AJ209"/>
  <c r="I33" i="120"/>
  <c r="T34" i="140"/>
  <c r="K48" i="163"/>
  <c r="AH45" i="175"/>
  <c r="K32" i="68"/>
  <c r="S30" i="71"/>
  <c r="H32" i="64"/>
  <c r="AE137" i="175"/>
  <c r="AE135"/>
  <c r="AI151"/>
  <c r="AI147"/>
  <c r="M33" i="64"/>
  <c r="AH399" i="175"/>
  <c r="O26" i="68"/>
  <c r="N33" i="119"/>
  <c r="AJ213" i="175"/>
  <c r="AG669"/>
  <c r="E49" i="161"/>
  <c r="AD133" i="175"/>
  <c r="B47" i="147"/>
  <c r="AD258" i="175"/>
  <c r="D33" i="119"/>
  <c r="AC383" i="175"/>
  <c r="I34" i="119"/>
  <c r="T33" i="120"/>
  <c r="U33" i="119"/>
  <c r="AI55" i="175"/>
  <c r="AH46"/>
  <c r="AE134"/>
  <c r="S48" i="163"/>
  <c r="AI265" i="175"/>
  <c r="Q34" i="120"/>
  <c r="P33" i="140"/>
  <c r="AI263" i="175"/>
  <c r="AJ205"/>
  <c r="E32" i="67"/>
  <c r="AC380" i="175"/>
  <c r="S47" i="146"/>
  <c r="AI269" i="175"/>
  <c r="AE700"/>
  <c r="X27" i="68"/>
  <c r="R33" i="119"/>
  <c r="R31" i="71"/>
  <c r="K33" i="119"/>
  <c r="V34"/>
  <c r="AF699" i="175"/>
  <c r="D33" i="67"/>
  <c r="AI266" i="175"/>
  <c r="O28" i="140"/>
  <c r="AG703" i="175"/>
  <c r="AI49"/>
  <c r="AE385"/>
  <c r="X28" i="71"/>
  <c r="AH204" i="175"/>
  <c r="AC377"/>
  <c r="AC664"/>
  <c r="AB384"/>
  <c r="AG668"/>
  <c r="F31" i="140"/>
  <c r="E31" i="71"/>
  <c r="O45" i="148"/>
  <c r="B33" i="120"/>
  <c r="M33"/>
  <c r="B24" i="71"/>
  <c r="W32" i="68"/>
  <c r="N33" i="120"/>
  <c r="L33" i="67"/>
  <c r="AD197" i="175"/>
  <c r="Q35" i="67"/>
  <c r="AJ268" i="175"/>
  <c r="AB688"/>
  <c r="S45" i="148"/>
  <c r="AJ275" i="175"/>
  <c r="R33" i="64"/>
  <c r="W33" i="120"/>
  <c r="AI43" i="175"/>
  <c r="J33" i="67"/>
  <c r="AJ208" i="175"/>
  <c r="B43" i="160"/>
  <c r="K33" i="140"/>
  <c r="K48" i="146"/>
  <c r="AG707" i="175"/>
  <c r="S31" i="71"/>
  <c r="C33" i="140"/>
  <c r="X29"/>
  <c r="V33" i="67"/>
  <c r="T34" i="119"/>
  <c r="AA695" i="175"/>
  <c r="P33" i="64"/>
  <c r="AI254" i="175"/>
  <c r="AE42"/>
  <c r="AI56"/>
  <c r="AI174"/>
  <c r="AH378"/>
  <c r="E45" i="152"/>
  <c r="AB664" i="175"/>
  <c r="S34" i="119"/>
  <c r="AD256" i="175"/>
  <c r="H47" i="147"/>
  <c r="AE191" i="175"/>
  <c r="G29" i="71"/>
  <c r="L33" i="64"/>
  <c r="AG379" i="175"/>
  <c r="AC663"/>
  <c r="AH193"/>
  <c r="J32" i="68"/>
  <c r="B25" i="67"/>
  <c r="AJ212" i="175"/>
  <c r="AI54"/>
  <c r="D33" i="140"/>
  <c r="AI138" i="175"/>
  <c r="AC662"/>
  <c r="E32" i="140"/>
  <c r="F31" i="64"/>
  <c r="AD37" i="175"/>
  <c r="Q34" i="140"/>
  <c r="S48" i="161"/>
  <c r="B25" i="64"/>
  <c r="AD40" i="175"/>
  <c r="J32" i="71"/>
  <c r="H49" i="161"/>
  <c r="N32" i="71"/>
  <c r="G29" i="68"/>
  <c r="AI149" i="175"/>
  <c r="G29" i="119"/>
  <c r="AI52" i="175"/>
  <c r="H33" i="140"/>
  <c r="L33"/>
  <c r="P32" i="71"/>
  <c r="AI140" i="175"/>
  <c r="R31" i="68"/>
  <c r="AG234" i="175"/>
  <c r="AF199"/>
  <c r="Q35" i="64"/>
  <c r="AH203" i="175"/>
  <c r="J33" i="140"/>
  <c r="AH678" i="175"/>
  <c r="AH675"/>
  <c r="V33" i="120"/>
  <c r="AG659" i="175"/>
  <c r="AD41"/>
  <c r="E32" i="64"/>
  <c r="AH396" i="175"/>
  <c r="AG236"/>
  <c r="AC136"/>
  <c r="U33" i="120"/>
  <c r="H32"/>
  <c r="B44" i="152"/>
  <c r="AI148" i="175"/>
  <c r="O43" i="160"/>
  <c r="AH677" i="175"/>
  <c r="E48" i="146"/>
  <c r="V33" i="140"/>
  <c r="V32" i="71"/>
  <c r="I33" i="140"/>
  <c r="AH386" i="175"/>
  <c r="E47" i="147"/>
  <c r="Q34" i="68"/>
  <c r="G30" i="120"/>
  <c r="AJ273" i="175"/>
  <c r="AG689"/>
  <c r="F31" i="67"/>
  <c r="R33"/>
  <c r="AJ211" i="175"/>
  <c r="AJ272"/>
  <c r="I33" i="64"/>
  <c r="AI35" i="175"/>
  <c r="AD198"/>
  <c r="S33" i="120"/>
  <c r="AG710" i="175"/>
  <c r="K43" i="152"/>
  <c r="G30" i="64"/>
  <c r="L33" i="120"/>
  <c r="U32" i="71"/>
  <c r="AD259" i="175"/>
  <c r="T32" i="68"/>
  <c r="D33" i="120"/>
  <c r="AD194" i="175"/>
  <c r="AL440"/>
  <c r="AJ210"/>
  <c r="Q34" i="71"/>
  <c r="H46" i="148"/>
  <c r="U33" i="67"/>
  <c r="O47" i="163"/>
  <c r="D32" i="71"/>
  <c r="O28" i="67"/>
  <c r="E44" i="160"/>
  <c r="AE665" i="175"/>
  <c r="W33" i="140"/>
  <c r="AJ200" i="175"/>
  <c r="AD129"/>
  <c r="AB691"/>
  <c r="K42" i="160"/>
  <c r="S32" i="64"/>
  <c r="AC132" i="175"/>
  <c r="B24" i="68"/>
  <c r="AJ264" i="175"/>
  <c r="AI53"/>
  <c r="AH676"/>
  <c r="F30" i="119"/>
  <c r="AA176" i="175"/>
  <c r="AF669"/>
  <c r="AC692"/>
  <c r="O46" i="147"/>
  <c r="U33" i="140"/>
  <c r="G30" i="67"/>
  <c r="O27" i="71"/>
  <c r="AJ274" i="175"/>
  <c r="AG709"/>
  <c r="K44" i="148"/>
  <c r="AG667" i="175"/>
  <c r="H49" i="163"/>
  <c r="G29" i="64"/>
  <c r="P33" i="67"/>
  <c r="X29" i="120"/>
  <c r="H32" i="67"/>
  <c r="AE195" i="175"/>
  <c r="AH666"/>
  <c r="AI130"/>
  <c r="E33" i="119"/>
  <c r="AC382" i="175"/>
  <c r="B45" i="148"/>
  <c r="I33" i="119"/>
  <c r="S32" i="67"/>
  <c r="L33" i="119"/>
  <c r="Q34"/>
  <c r="AH679" i="175"/>
  <c r="D34" i="119"/>
  <c r="AI44" i="175"/>
  <c r="M33" i="140"/>
  <c r="AF698" i="175"/>
  <c r="AL442"/>
  <c r="U34" i="119"/>
  <c r="AD661" i="175"/>
  <c r="S43" i="160"/>
  <c r="AF42" i="175"/>
  <c r="AI172"/>
  <c r="M32" i="68"/>
  <c r="X28" i="119"/>
  <c r="AI150" i="175"/>
  <c r="AJ206"/>
  <c r="K45" i="147"/>
  <c r="AD39" i="175"/>
  <c r="I33" i="68"/>
  <c r="K48" i="161"/>
  <c r="N33" i="67"/>
  <c r="J33" i="120"/>
  <c r="AD196" i="175"/>
  <c r="AH202"/>
  <c r="P34" i="120"/>
  <c r="B49" i="161"/>
  <c r="B48" i="146"/>
  <c r="AH36" i="175"/>
  <c r="AG708"/>
  <c r="O27" i="119"/>
  <c r="B33" i="140"/>
  <c r="H34" i="119"/>
  <c r="AC688" i="175"/>
  <c r="W32" i="71"/>
  <c r="K33" i="64"/>
  <c r="N34" i="119"/>
  <c r="AI772" i="175" l="1"/>
  <c r="AI36" i="190"/>
  <c r="AL473" i="175"/>
  <c r="AI54" i="190" s="1"/>
  <c r="AH54"/>
  <c r="AG799" i="175"/>
  <c r="AD76" i="189" s="1"/>
  <c r="AZ130" i="118"/>
  <c r="AZ177"/>
  <c r="AH738" i="175"/>
  <c r="AE15" i="189" s="1"/>
  <c r="AZ36" i="118"/>
  <c r="AZ271"/>
  <c r="AG769" i="175"/>
  <c r="AE638"/>
  <c r="BB638" s="1"/>
  <c r="BB700"/>
  <c r="AB77" i="189"/>
  <c r="AY77" s="1"/>
  <c r="BB800" i="175"/>
  <c r="AS39" i="160"/>
  <c r="BA36" i="118"/>
  <c r="BA271"/>
  <c r="BA177"/>
  <c r="BA130"/>
  <c r="AH737" i="175"/>
  <c r="AH799" s="1"/>
  <c r="AF637"/>
  <c r="AA633"/>
  <c r="BE32" i="118"/>
  <c r="BE78"/>
  <c r="BE267"/>
  <c r="BE126"/>
  <c r="BE173"/>
  <c r="AC733" i="175"/>
  <c r="AJ41" i="160"/>
  <c r="AR41" s="1"/>
  <c r="Y10" i="189"/>
  <c r="AB795" i="175"/>
  <c r="Y72" i="189" s="1"/>
  <c r="AR40" i="160"/>
  <c r="AC788" i="175"/>
  <c r="Z65" i="189" s="1"/>
  <c r="BL79" i="118"/>
  <c r="AB626" i="175"/>
  <c r="AD726"/>
  <c r="AD788" s="1"/>
  <c r="AA65" i="189" s="1"/>
  <c r="AD796" i="175"/>
  <c r="AA73" i="189" s="1"/>
  <c r="L43" i="49"/>
  <c r="AC792" i="175"/>
  <c r="Z69" i="189" s="1"/>
  <c r="AB791" i="175"/>
  <c r="Y68" i="189" s="1"/>
  <c r="BH79" i="118"/>
  <c r="N43" i="152"/>
  <c r="BD268" i="118"/>
  <c r="AB33" i="72"/>
  <c r="BD33" i="118"/>
  <c r="BB42" i="175"/>
  <c r="N45" i="147"/>
  <c r="AC729" i="175"/>
  <c r="Z6" i="189" s="1"/>
  <c r="AD730" i="175"/>
  <c r="AD792" s="1"/>
  <c r="AA69" i="189" s="1"/>
  <c r="AE734" i="175"/>
  <c r="AE796" s="1"/>
  <c r="AB73" i="189" s="1"/>
  <c r="BB137" i="175"/>
  <c r="BI78" i="118"/>
  <c r="BD80"/>
  <c r="N44" i="148"/>
  <c r="D44" i="152"/>
  <c r="X44" s="1"/>
  <c r="N42" i="160"/>
  <c r="AB43" i="152"/>
  <c r="AB45" i="147"/>
  <c r="C45"/>
  <c r="D46"/>
  <c r="X46" s="1"/>
  <c r="X43" i="152"/>
  <c r="C44" i="148"/>
  <c r="D45"/>
  <c r="X45" s="1"/>
  <c r="AB44"/>
  <c r="AJ44" s="1"/>
  <c r="C42" i="160"/>
  <c r="AB42"/>
  <c r="D43"/>
  <c r="X43" s="1"/>
  <c r="K43" i="49"/>
  <c r="AJ42" i="152"/>
  <c r="AY130" i="118"/>
  <c r="AY177"/>
  <c r="AZ84"/>
  <c r="AS46" i="155"/>
  <c r="AS46" i="56"/>
  <c r="BH174" i="118"/>
  <c r="BH127"/>
  <c r="BB195" i="175"/>
  <c r="AC630"/>
  <c r="BB257"/>
  <c r="AQ272" i="118"/>
  <c r="AR131"/>
  <c r="AR178"/>
  <c r="AT84"/>
  <c r="BD34"/>
  <c r="AS37"/>
  <c r="AP85"/>
  <c r="AP272"/>
  <c r="AT37"/>
  <c r="AT272"/>
  <c r="AR272"/>
  <c r="AT85"/>
  <c r="BB130"/>
  <c r="BB177"/>
  <c r="AT178"/>
  <c r="AT131"/>
  <c r="AP84"/>
  <c r="BK131"/>
  <c r="BK178"/>
  <c r="BD269"/>
  <c r="AP178"/>
  <c r="AP131"/>
  <c r="BA84"/>
  <c r="AR84"/>
  <c r="AQ85"/>
  <c r="AS272"/>
  <c r="BI267"/>
  <c r="AQ37"/>
  <c r="AS178"/>
  <c r="AS131"/>
  <c r="BI32"/>
  <c r="AR37"/>
  <c r="AP37"/>
  <c r="BI126"/>
  <c r="BI173"/>
  <c r="AQ131"/>
  <c r="AQ178"/>
  <c r="AU178"/>
  <c r="AU131"/>
  <c r="AR85"/>
  <c r="BB84"/>
  <c r="AS84"/>
  <c r="BD175"/>
  <c r="BD128"/>
  <c r="AI746" i="175"/>
  <c r="AH736"/>
  <c r="AH798" s="1"/>
  <c r="AE75" i="189" s="1"/>
  <c r="BD270" i="175"/>
  <c r="BD212"/>
  <c r="BD273"/>
  <c r="BD211"/>
  <c r="BD271"/>
  <c r="BD210"/>
  <c r="AG644"/>
  <c r="AG645"/>
  <c r="AB629"/>
  <c r="AI747"/>
  <c r="AG252"/>
  <c r="AI748"/>
  <c r="BD264"/>
  <c r="AD634"/>
  <c r="AI744"/>
  <c r="AG646"/>
  <c r="BD209"/>
  <c r="BD213"/>
  <c r="AF636"/>
  <c r="BB385"/>
  <c r="BD274"/>
  <c r="BD275"/>
  <c r="AG647"/>
  <c r="BD272"/>
  <c r="BD208"/>
  <c r="AI745"/>
  <c r="BB665"/>
  <c r="AG648"/>
  <c r="AA190"/>
  <c r="AJ47" i="158"/>
  <c r="AJ45" i="164"/>
  <c r="AA45" i="147"/>
  <c r="AE24" i="189"/>
  <c r="AH809" i="175"/>
  <c r="AE86" i="189" s="1"/>
  <c r="AJ47" i="159"/>
  <c r="AA44" i="148"/>
  <c r="AS37" i="143"/>
  <c r="AE21" i="189"/>
  <c r="AH806" i="175"/>
  <c r="AD13" i="189"/>
  <c r="AR44" i="164"/>
  <c r="AH808" i="175"/>
  <c r="AE85" i="189" s="1"/>
  <c r="AE23"/>
  <c r="AS45" i="159"/>
  <c r="AJ39" i="143"/>
  <c r="AE22" i="189"/>
  <c r="AH807" i="175"/>
  <c r="AE25" i="189"/>
  <c r="AH810" i="175"/>
  <c r="AS43" i="164"/>
  <c r="AS45" i="158"/>
  <c r="AG29" i="72"/>
  <c r="AR38" i="143"/>
  <c r="M41"/>
  <c r="L41" s="1"/>
  <c r="AC40"/>
  <c r="X40"/>
  <c r="N40"/>
  <c r="AA39"/>
  <c r="AD172" i="118"/>
  <c r="AS45" i="150"/>
  <c r="AG179" i="118"/>
  <c r="AG132"/>
  <c r="AG85"/>
  <c r="AG274"/>
  <c r="AG39"/>
  <c r="AC793" i="175"/>
  <c r="Z70" i="189" s="1"/>
  <c r="BL127" i="118"/>
  <c r="BL174"/>
  <c r="BG80"/>
  <c r="BG267"/>
  <c r="BG32"/>
  <c r="BG126"/>
  <c r="BG173"/>
  <c r="AC626" i="175"/>
  <c r="BB134"/>
  <c r="AB631"/>
  <c r="AD731"/>
  <c r="AD793" s="1"/>
  <c r="AA70" i="189" s="1"/>
  <c r="BB191" i="175"/>
  <c r="BB253"/>
  <c r="AS44" i="149"/>
  <c r="AJ46"/>
  <c r="AD125" i="118"/>
  <c r="AR45" i="149"/>
  <c r="AS46" i="171"/>
  <c r="AC35" i="72"/>
  <c r="AR44" i="147"/>
  <c r="AR43" i="148"/>
  <c r="AB34" i="72"/>
  <c r="AW131" i="118"/>
  <c r="AW178"/>
  <c r="BD48" i="149"/>
  <c r="G48" s="1"/>
  <c r="O48" s="1"/>
  <c r="R48" s="1"/>
  <c r="O48" i="166"/>
  <c r="R48" s="1"/>
  <c r="O48" i="164"/>
  <c r="R48" s="1"/>
  <c r="AX178" i="118"/>
  <c r="AX131"/>
  <c r="BQ46" i="164"/>
  <c r="BR46" s="1"/>
  <c r="AE46" s="1"/>
  <c r="AR47" i="155"/>
  <c r="S48" i="154"/>
  <c r="V48" s="1"/>
  <c r="S48" i="159"/>
  <c r="V48" s="1"/>
  <c r="S48" i="144"/>
  <c r="V48" s="1"/>
  <c r="S48" i="145"/>
  <c r="V48" s="1"/>
  <c r="O48" i="150"/>
  <c r="R48" s="1"/>
  <c r="S48" i="56"/>
  <c r="V48" s="1"/>
  <c r="O48" i="144"/>
  <c r="R48" s="1"/>
  <c r="S48" i="166"/>
  <c r="V48" s="1"/>
  <c r="O48" i="159"/>
  <c r="R48" s="1"/>
  <c r="K48" i="171"/>
  <c r="N48" s="1"/>
  <c r="S48" i="158"/>
  <c r="V48" s="1"/>
  <c r="O48" i="154"/>
  <c r="R48" s="1"/>
  <c r="O48" i="171"/>
  <c r="R48" s="1"/>
  <c r="S48" i="149"/>
  <c r="V48" s="1"/>
  <c r="S48" i="168"/>
  <c r="V48" s="1"/>
  <c r="S48" i="150"/>
  <c r="V48" s="1"/>
  <c r="BC178" i="118"/>
  <c r="BC131"/>
  <c r="AD283" i="175"/>
  <c r="AW84" i="118"/>
  <c r="BD268" i="175"/>
  <c r="BD267"/>
  <c r="BF80" i="118"/>
  <c r="BK84"/>
  <c r="AV130"/>
  <c r="AV177"/>
  <c r="BK179"/>
  <c r="BK132"/>
  <c r="AF628" i="175"/>
  <c r="R45" i="148"/>
  <c r="G45" i="152"/>
  <c r="R46" i="147"/>
  <c r="R37" i="72"/>
  <c r="N48" i="163"/>
  <c r="D49"/>
  <c r="AI727" i="175"/>
  <c r="R43" i="160"/>
  <c r="V43"/>
  <c r="R44" i="152"/>
  <c r="S37" i="72"/>
  <c r="V46" i="147"/>
  <c r="V48" i="161"/>
  <c r="AI735" i="175"/>
  <c r="R49" i="161"/>
  <c r="BF32" i="118"/>
  <c r="BF267"/>
  <c r="Z37" i="72"/>
  <c r="AG641" i="175"/>
  <c r="R47" i="146"/>
  <c r="AG627" i="175"/>
  <c r="V45" i="148"/>
  <c r="J45" i="152"/>
  <c r="BD205" i="175"/>
  <c r="BJ84" i="118"/>
  <c r="BC84"/>
  <c r="BD200" i="175"/>
  <c r="BD206"/>
  <c r="AD221"/>
  <c r="AD732"/>
  <c r="BF126" i="118"/>
  <c r="BF173"/>
  <c r="BJ177"/>
  <c r="BJ130"/>
  <c r="BC37"/>
  <c r="T37" i="72"/>
  <c r="BC272" i="118"/>
  <c r="BJ271"/>
  <c r="AD36" i="72"/>
  <c r="BJ36" i="118"/>
  <c r="V44" i="152"/>
  <c r="V36" i="72"/>
  <c r="AG635" i="175"/>
  <c r="V47" i="146"/>
  <c r="Y37" i="72"/>
  <c r="AW272" i="118"/>
  <c r="AW37"/>
  <c r="J49" i="163"/>
  <c r="BB135" i="175"/>
  <c r="G48" i="163"/>
  <c r="X48" s="1"/>
  <c r="N48" i="161"/>
  <c r="C48" i="146"/>
  <c r="N48"/>
  <c r="BB37" i="118"/>
  <c r="BB272"/>
  <c r="BK37"/>
  <c r="X37" i="72"/>
  <c r="BK272" i="118"/>
  <c r="AE37" i="72"/>
  <c r="AI741" i="175"/>
  <c r="AH728"/>
  <c r="W39" i="72"/>
  <c r="AA37"/>
  <c r="AL470" i="175"/>
  <c r="AI34" i="190"/>
  <c r="AL471" i="175"/>
  <c r="AI52" i="190" s="1"/>
  <c r="AI411" i="118"/>
  <c r="R47" i="163"/>
  <c r="V48"/>
  <c r="AA47"/>
  <c r="AS44" i="146"/>
  <c r="C45" i="13"/>
  <c r="AL52" i="171"/>
  <c r="AM52" s="1"/>
  <c r="D46" i="13"/>
  <c r="CB52" i="162"/>
  <c r="AJ47" i="167"/>
  <c r="D49" i="150"/>
  <c r="K49" s="1"/>
  <c r="N49" s="1"/>
  <c r="AR46" i="167"/>
  <c r="B36" i="72"/>
  <c r="D36" s="1"/>
  <c r="I36" s="1"/>
  <c r="H36" s="1"/>
  <c r="G36" s="1"/>
  <c r="F36" s="1"/>
  <c r="E36" s="1"/>
  <c r="AV43" i="51"/>
  <c r="AX43" s="1"/>
  <c r="AK43"/>
  <c r="AB36" i="118"/>
  <c r="AR46" i="151"/>
  <c r="X48" i="168"/>
  <c r="AB48"/>
  <c r="AS42" i="148"/>
  <c r="G49" i="158"/>
  <c r="AD49" s="1"/>
  <c r="G49" i="145"/>
  <c r="AD49" s="1"/>
  <c r="G49" i="151"/>
  <c r="AD49" s="1"/>
  <c r="G49" i="154"/>
  <c r="AD49" s="1"/>
  <c r="AJ47" i="153"/>
  <c r="J49" i="150"/>
  <c r="AF49" s="1"/>
  <c r="S49" i="162"/>
  <c r="V49" s="1"/>
  <c r="J49" i="145"/>
  <c r="AF49" s="1"/>
  <c r="F45" i="148"/>
  <c r="G46"/>
  <c r="AD45"/>
  <c r="G47" i="147"/>
  <c r="F46"/>
  <c r="AD46"/>
  <c r="AA47" i="168"/>
  <c r="AB48" i="163"/>
  <c r="AG790" i="175"/>
  <c r="AD67" i="189" s="1"/>
  <c r="AD5"/>
  <c r="CC51" i="162"/>
  <c r="D51" s="1"/>
  <c r="CE51"/>
  <c r="J51" s="1"/>
  <c r="CD51"/>
  <c r="G51" s="1"/>
  <c r="CG51"/>
  <c r="AL51" s="1"/>
  <c r="D49" i="158"/>
  <c r="K49" s="1"/>
  <c r="N49" s="1"/>
  <c r="C49" i="165"/>
  <c r="K49"/>
  <c r="N49" s="1"/>
  <c r="D49" i="154"/>
  <c r="K49" s="1"/>
  <c r="N49" s="1"/>
  <c r="D49" i="151"/>
  <c r="K49" s="1"/>
  <c r="N49" s="1"/>
  <c r="AR46" i="165"/>
  <c r="AJ47" i="161"/>
  <c r="AA47" i="150"/>
  <c r="G49"/>
  <c r="AD49" s="1"/>
  <c r="G49" i="153"/>
  <c r="AD49" s="1"/>
  <c r="AA46" i="149"/>
  <c r="AR46" i="159"/>
  <c r="AR46" i="161"/>
  <c r="J49" i="155"/>
  <c r="AF49" s="1"/>
  <c r="J49" i="166"/>
  <c r="AF49" s="1"/>
  <c r="F43" i="160"/>
  <c r="G44"/>
  <c r="AD43"/>
  <c r="AF43"/>
  <c r="I43"/>
  <c r="J44"/>
  <c r="AR45" i="163"/>
  <c r="AD50" i="162"/>
  <c r="AD44" i="152"/>
  <c r="F47" i="149"/>
  <c r="AD47"/>
  <c r="O47"/>
  <c r="R47" s="1"/>
  <c r="AS43" i="147"/>
  <c r="AS41" i="152"/>
  <c r="AA47" i="167"/>
  <c r="AF46" i="147"/>
  <c r="I46"/>
  <c r="J47"/>
  <c r="X48" i="166"/>
  <c r="AB48"/>
  <c r="AB48" i="164"/>
  <c r="D49" i="171"/>
  <c r="AB49" s="1"/>
  <c r="D49" i="159"/>
  <c r="K49" s="1"/>
  <c r="N49" s="1"/>
  <c r="D49" i="145"/>
  <c r="K49" s="1"/>
  <c r="N49" s="1"/>
  <c r="D49" i="144"/>
  <c r="K49" s="1"/>
  <c r="D49" i="168"/>
  <c r="I48" i="161"/>
  <c r="AF48"/>
  <c r="AJ47" i="166"/>
  <c r="H43" i="137"/>
  <c r="BD50" i="161" s="1"/>
  <c r="H50" i="168"/>
  <c r="H50" i="151"/>
  <c r="H50" i="154"/>
  <c r="H50" i="144"/>
  <c r="H50" i="159"/>
  <c r="H50" i="150"/>
  <c r="H50" i="143"/>
  <c r="H50" i="166"/>
  <c r="H50" i="162"/>
  <c r="I50" s="1"/>
  <c r="H50" i="153"/>
  <c r="H50" i="145"/>
  <c r="H50" i="167"/>
  <c r="H50" i="165"/>
  <c r="H50" i="164"/>
  <c r="H50" i="149"/>
  <c r="H50" i="56"/>
  <c r="H50" i="155"/>
  <c r="H50" i="171"/>
  <c r="H50" i="158"/>
  <c r="AB181" i="118"/>
  <c r="AR46" i="158"/>
  <c r="AJ47" i="145"/>
  <c r="AS45"/>
  <c r="X48" i="158"/>
  <c r="AB48"/>
  <c r="G49" i="143"/>
  <c r="AD49" s="1"/>
  <c r="G49" i="159"/>
  <c r="AD49" s="1"/>
  <c r="BC49" i="149"/>
  <c r="BB49"/>
  <c r="O49" i="162"/>
  <c r="R49" s="1"/>
  <c r="G49" i="144"/>
  <c r="AD49" s="1"/>
  <c r="AA42" i="160"/>
  <c r="X48" i="171"/>
  <c r="H45" i="51"/>
  <c r="I45" s="1"/>
  <c r="AB273" i="118"/>
  <c r="U42" i="49"/>
  <c r="T43"/>
  <c r="AS45" i="151"/>
  <c r="AA47" i="153"/>
  <c r="AS45" i="154"/>
  <c r="AB48"/>
  <c r="X48"/>
  <c r="J49" i="149"/>
  <c r="AF49" s="1"/>
  <c r="J49" i="164"/>
  <c r="AF49" s="1"/>
  <c r="J49" i="143"/>
  <c r="AF49" s="1"/>
  <c r="J49" i="154"/>
  <c r="AF49" s="1"/>
  <c r="J49" i="151"/>
  <c r="AF49" s="1"/>
  <c r="BJ49" i="161"/>
  <c r="D49" s="1"/>
  <c r="BV49"/>
  <c r="J49" s="1"/>
  <c r="AS45" i="168"/>
  <c r="AW44" i="51"/>
  <c r="AZ44"/>
  <c r="J44"/>
  <c r="AA47" i="171" s="1"/>
  <c r="AR47" s="1"/>
  <c r="X40" i="49"/>
  <c r="G44" i="51"/>
  <c r="F47" i="146"/>
  <c r="AD47"/>
  <c r="G48"/>
  <c r="X47"/>
  <c r="AJ49" i="162"/>
  <c r="AS45" i="167"/>
  <c r="AS45" i="161"/>
  <c r="X50" i="162"/>
  <c r="AB50"/>
  <c r="AJ47" i="168"/>
  <c r="AF45" i="148"/>
  <c r="I45"/>
  <c r="J46"/>
  <c r="AE4" i="189"/>
  <c r="AH789" i="175"/>
  <c r="Z9" i="189"/>
  <c r="AC794" i="175"/>
  <c r="Z71" i="189" s="1"/>
  <c r="AK501" i="175"/>
  <c r="AH51" i="190"/>
  <c r="O48" i="56"/>
  <c r="R48" s="1"/>
  <c r="O48" i="151"/>
  <c r="R48" s="1"/>
  <c r="AJ48" i="171"/>
  <c r="O48" i="158"/>
  <c r="R48" s="1"/>
  <c r="O48" i="168"/>
  <c r="R48" s="1"/>
  <c r="I49" i="162"/>
  <c r="AR47" i="56"/>
  <c r="O48" i="153"/>
  <c r="R48" s="1"/>
  <c r="X48" i="151"/>
  <c r="AC48"/>
  <c r="D49" i="155"/>
  <c r="K49" s="1"/>
  <c r="N49" s="1"/>
  <c r="D49" i="56"/>
  <c r="K49" s="1"/>
  <c r="N49" s="1"/>
  <c r="D49" i="143"/>
  <c r="K49" s="1"/>
  <c r="AA47" i="166"/>
  <c r="E50" i="56"/>
  <c r="AB134" i="118"/>
  <c r="E50" i="151"/>
  <c r="E50" i="144"/>
  <c r="E50" i="165"/>
  <c r="E50" i="154"/>
  <c r="E50" i="167"/>
  <c r="E50" i="162"/>
  <c r="E50" i="149"/>
  <c r="F43" i="137"/>
  <c r="BC50" i="161" s="1"/>
  <c r="BP50" s="1"/>
  <c r="G50" s="1"/>
  <c r="E50" i="145"/>
  <c r="E50" i="168"/>
  <c r="E50" i="166"/>
  <c r="E50" i="153"/>
  <c r="E50" i="158"/>
  <c r="E50" i="164"/>
  <c r="E50" i="155"/>
  <c r="E50" i="150"/>
  <c r="E50" i="143"/>
  <c r="E50" i="159"/>
  <c r="E50" i="171"/>
  <c r="AS45" i="165"/>
  <c r="AJ47"/>
  <c r="G49" i="171"/>
  <c r="AD49" s="1"/>
  <c r="AC67" i="189"/>
  <c r="Z42" i="49"/>
  <c r="M42"/>
  <c r="J43"/>
  <c r="AR46" i="154"/>
  <c r="X48" i="153"/>
  <c r="AB48"/>
  <c r="J49" i="158"/>
  <c r="AF49" s="1"/>
  <c r="J49" i="167"/>
  <c r="AF49" s="1"/>
  <c r="AA46" i="146"/>
  <c r="X48" i="150"/>
  <c r="AB48"/>
  <c r="AJ48" s="1"/>
  <c r="X48" i="155"/>
  <c r="AA48" s="1"/>
  <c r="AB48"/>
  <c r="AJ48" s="1"/>
  <c r="AA47" i="159"/>
  <c r="AF50" i="162"/>
  <c r="AE18" i="189"/>
  <c r="AH803" i="175"/>
  <c r="AF44" i="152"/>
  <c r="AA46" i="164"/>
  <c r="BP48"/>
  <c r="BM48"/>
  <c r="BT48"/>
  <c r="AR48" i="162"/>
  <c r="K49"/>
  <c r="N49" s="1"/>
  <c r="AR46" i="150"/>
  <c r="AS45" i="166"/>
  <c r="X48" i="56"/>
  <c r="AA48" s="1"/>
  <c r="AB48"/>
  <c r="AJ48" s="1"/>
  <c r="BK49" i="164"/>
  <c r="BL49" s="1"/>
  <c r="G49"/>
  <c r="AD49" s="1"/>
  <c r="G49" i="168"/>
  <c r="AD49" s="1"/>
  <c r="G49" i="165"/>
  <c r="O49" s="1"/>
  <c r="R49" s="1"/>
  <c r="G49" i="56"/>
  <c r="AD49" s="1"/>
  <c r="I47" i="146"/>
  <c r="AF47"/>
  <c r="J48"/>
  <c r="AA47" i="154"/>
  <c r="J49" i="56"/>
  <c r="AF49" s="1"/>
  <c r="I49" i="165"/>
  <c r="BK49"/>
  <c r="S49"/>
  <c r="V49" s="1"/>
  <c r="J49" i="144"/>
  <c r="AF49" s="1"/>
  <c r="AS47" i="162"/>
  <c r="AJ47" i="151"/>
  <c r="AB48" i="149"/>
  <c r="BV410" i="118"/>
  <c r="BQ410"/>
  <c r="BO410"/>
  <c r="BW410"/>
  <c r="BS410"/>
  <c r="BU410"/>
  <c r="BT410"/>
  <c r="BP410"/>
  <c r="BR410"/>
  <c r="BX410"/>
  <c r="BN410"/>
  <c r="AE410" s="1"/>
  <c r="AH52" i="190"/>
  <c r="G44" i="137"/>
  <c r="C44"/>
  <c r="E44"/>
  <c r="AD48" i="165"/>
  <c r="AR46" i="153"/>
  <c r="X48" i="159"/>
  <c r="AB48"/>
  <c r="AR46" i="166"/>
  <c r="D49" i="149"/>
  <c r="K49" s="1"/>
  <c r="N49" s="1"/>
  <c r="D49" i="164"/>
  <c r="K49" s="1"/>
  <c r="N49" s="1"/>
  <c r="D49" i="166"/>
  <c r="K49" s="1"/>
  <c r="N49" s="1"/>
  <c r="D49" i="167"/>
  <c r="K49" s="1"/>
  <c r="N49" s="1"/>
  <c r="D49" i="153"/>
  <c r="K49" s="1"/>
  <c r="N49" s="1"/>
  <c r="C48" i="161"/>
  <c r="X48"/>
  <c r="AB48"/>
  <c r="AG69" i="190"/>
  <c r="BA69" s="1"/>
  <c r="BD501" i="175"/>
  <c r="AR46" i="145"/>
  <c r="AI43" i="137"/>
  <c r="D43"/>
  <c r="AB87" i="118"/>
  <c r="B50" i="151"/>
  <c r="B50" i="154"/>
  <c r="B50" i="144"/>
  <c r="AM39" i="142" s="1"/>
  <c r="B50" i="56"/>
  <c r="B50" i="165"/>
  <c r="B50" i="166"/>
  <c r="B50" i="155"/>
  <c r="B50" i="168"/>
  <c r="B50" i="145"/>
  <c r="B50" i="153"/>
  <c r="B50" i="162"/>
  <c r="B50" i="167"/>
  <c r="B50" i="143"/>
  <c r="B50" i="158"/>
  <c r="B50" i="149"/>
  <c r="B50" i="150"/>
  <c r="B50" i="159"/>
  <c r="B50" i="164"/>
  <c r="B50" i="171"/>
  <c r="I43" i="137"/>
  <c r="J43" s="1"/>
  <c r="AA47" i="158"/>
  <c r="AA47" i="161"/>
  <c r="AA47" i="145"/>
  <c r="AR46" i="168"/>
  <c r="G49" i="155"/>
  <c r="AD49" s="1"/>
  <c r="F49" i="161"/>
  <c r="AD49"/>
  <c r="G49" i="166"/>
  <c r="AD49" s="1"/>
  <c r="G49" i="167"/>
  <c r="AD49" s="1"/>
  <c r="AB367" i="118"/>
  <c r="AD367" s="1"/>
  <c r="Z48" i="171"/>
  <c r="W41" i="49"/>
  <c r="AJ47" i="154"/>
  <c r="AR45" i="146"/>
  <c r="BN47" i="164"/>
  <c r="BU47" s="1"/>
  <c r="BV47" s="1"/>
  <c r="X47" s="1"/>
  <c r="X48" i="145"/>
  <c r="AB48"/>
  <c r="J49" i="171"/>
  <c r="AF49" s="1"/>
  <c r="J49" i="159"/>
  <c r="AF49" s="1"/>
  <c r="J49" i="168"/>
  <c r="AF49" s="1"/>
  <c r="J49" i="153"/>
  <c r="AF49" s="1"/>
  <c r="AS45"/>
  <c r="AJ46" i="146"/>
  <c r="AA49" i="162"/>
  <c r="AA47" i="151"/>
  <c r="AM50" i="162"/>
  <c r="X48" i="167"/>
  <c r="AB48"/>
  <c r="AD47" i="163"/>
  <c r="AE12" i="189"/>
  <c r="AH797" i="175"/>
  <c r="AF48" i="163"/>
  <c r="K48" i="168"/>
  <c r="N48" s="1"/>
  <c r="AJ46" i="163"/>
  <c r="K48" i="153"/>
  <c r="N48" s="1"/>
  <c r="K48" i="143"/>
  <c r="S48" i="167"/>
  <c r="V48" s="1"/>
  <c r="K48" i="155"/>
  <c r="N48" s="1"/>
  <c r="X47" i="149"/>
  <c r="S48" i="164"/>
  <c r="V48" s="1"/>
  <c r="S48" i="171"/>
  <c r="V48" s="1"/>
  <c r="S48" i="151"/>
  <c r="V48" s="1"/>
  <c r="K48" i="56"/>
  <c r="N48" s="1"/>
  <c r="S48" i="153"/>
  <c r="V48" s="1"/>
  <c r="O48" i="145"/>
  <c r="R48" s="1"/>
  <c r="O48" i="143"/>
  <c r="R48" s="1"/>
  <c r="K48" i="154"/>
  <c r="N48" s="1"/>
  <c r="S48" i="143"/>
  <c r="V48" s="1"/>
  <c r="S48" i="155"/>
  <c r="V48" s="1"/>
  <c r="O48" i="167"/>
  <c r="R48" s="1"/>
  <c r="O48" i="155"/>
  <c r="R48" s="1"/>
  <c r="H35" i="119"/>
  <c r="F32" i="64"/>
  <c r="AK209" i="175"/>
  <c r="AH234"/>
  <c r="S34" i="140"/>
  <c r="AH236" i="175"/>
  <c r="U33" i="68"/>
  <c r="D34" i="64"/>
  <c r="I34" i="68"/>
  <c r="AE39" i="175"/>
  <c r="O50" i="161"/>
  <c r="E33" i="64"/>
  <c r="AK272" i="175"/>
  <c r="AI677"/>
  <c r="O46" i="148"/>
  <c r="M34" i="67"/>
  <c r="L34" i="64"/>
  <c r="AE663" i="175"/>
  <c r="Q35" i="68"/>
  <c r="S31"/>
  <c r="K34" i="120"/>
  <c r="AD663" i="175"/>
  <c r="M34" i="140"/>
  <c r="AD380" i="175"/>
  <c r="AE41"/>
  <c r="AI396"/>
  <c r="AI386"/>
  <c r="G31" i="64"/>
  <c r="AJ141" i="175"/>
  <c r="O29" i="67"/>
  <c r="AH709" i="175"/>
  <c r="H33" i="120"/>
  <c r="AE196" i="175"/>
  <c r="N33" i="71"/>
  <c r="R32" i="68"/>
  <c r="E46" i="152"/>
  <c r="AI392" i="175"/>
  <c r="AI675"/>
  <c r="AK271"/>
  <c r="I34" i="67"/>
  <c r="AC695" i="175"/>
  <c r="AH235"/>
  <c r="H45" i="160"/>
  <c r="R33" i="120"/>
  <c r="G31" i="67"/>
  <c r="AF137" i="175"/>
  <c r="K34" i="140"/>
  <c r="I33" i="71"/>
  <c r="O48" i="146"/>
  <c r="X29" i="64"/>
  <c r="S33" i="67"/>
  <c r="I34" i="140"/>
  <c r="S34" i="120"/>
  <c r="E32" i="68"/>
  <c r="AF38" i="175"/>
  <c r="J33" i="68"/>
  <c r="V34" i="140"/>
  <c r="E47" i="148"/>
  <c r="J34" i="64"/>
  <c r="R34" i="67"/>
  <c r="E33" i="140"/>
  <c r="W34" i="119"/>
  <c r="J34" i="120"/>
  <c r="Q36" i="67"/>
  <c r="Q35" i="140"/>
  <c r="AG698" i="175"/>
  <c r="AE256"/>
  <c r="AK275"/>
  <c r="K45" i="148"/>
  <c r="K33" i="71"/>
  <c r="AK268" i="175"/>
  <c r="AH659"/>
  <c r="L34" i="67"/>
  <c r="AK205" i="175"/>
  <c r="S46" i="148"/>
  <c r="AC694" i="175"/>
  <c r="AJ254"/>
  <c r="AJ130"/>
  <c r="AE133"/>
  <c r="AI207"/>
  <c r="AI255"/>
  <c r="W34" i="140"/>
  <c r="AJ263" i="175"/>
  <c r="AH706"/>
  <c r="O29" i="140"/>
  <c r="AI676" i="175"/>
  <c r="H34" i="120"/>
  <c r="AD382" i="175"/>
  <c r="AD136"/>
  <c r="AJ138"/>
  <c r="X28" i="68"/>
  <c r="AF135" i="175"/>
  <c r="N35" i="119"/>
  <c r="B44" i="160"/>
  <c r="AD660" i="175"/>
  <c r="H33" i="67"/>
  <c r="L34" i="140"/>
  <c r="S49" i="161"/>
  <c r="AH387" i="175"/>
  <c r="AJ144"/>
  <c r="E49" i="146"/>
  <c r="AI46" i="175"/>
  <c r="N34" i="67"/>
  <c r="AI201" i="175"/>
  <c r="K49" i="161"/>
  <c r="L33" i="71"/>
  <c r="AE129" i="175"/>
  <c r="D34" i="67"/>
  <c r="G31" i="120"/>
  <c r="AM440" i="175"/>
  <c r="AE37"/>
  <c r="X29" i="67"/>
  <c r="B50" i="161"/>
  <c r="D33" i="68"/>
  <c r="J35" i="119"/>
  <c r="S45" i="152"/>
  <c r="V33" i="71"/>
  <c r="L34" i="119"/>
  <c r="K34" i="64"/>
  <c r="Q37" i="69"/>
  <c r="P34" i="67"/>
  <c r="AK208" i="175"/>
  <c r="X30" i="140"/>
  <c r="I34" i="120"/>
  <c r="AJ148" i="175"/>
  <c r="I34" i="64"/>
  <c r="AH669" i="175"/>
  <c r="AF700"/>
  <c r="V35" i="119"/>
  <c r="G30" i="71"/>
  <c r="AK213" i="175"/>
  <c r="AG42"/>
  <c r="AD377"/>
  <c r="B25" i="68"/>
  <c r="Q35" i="119"/>
  <c r="AI395" i="175"/>
  <c r="D34" i="140"/>
  <c r="AE661" i="175"/>
  <c r="AK206"/>
  <c r="AJ262"/>
  <c r="N33" i="68"/>
  <c r="AK200" i="175"/>
  <c r="M34" i="64"/>
  <c r="T33" i="68"/>
  <c r="AH708" i="175"/>
  <c r="AJ56"/>
  <c r="V34" i="120"/>
  <c r="AI399" i="175"/>
  <c r="AF134"/>
  <c r="AI667"/>
  <c r="S35" i="119"/>
  <c r="AJ49" i="175"/>
  <c r="B46" i="148"/>
  <c r="AI398" i="175"/>
  <c r="AK212"/>
  <c r="B26" i="64"/>
  <c r="S33"/>
  <c r="C34" i="120"/>
  <c r="AI666" i="175"/>
  <c r="P33" i="71"/>
  <c r="Q35" i="120"/>
  <c r="AJ53" i="175"/>
  <c r="N34" i="140"/>
  <c r="M33" i="68"/>
  <c r="P34" i="64"/>
  <c r="E32" i="71"/>
  <c r="AH710" i="175"/>
  <c r="D34" i="120"/>
  <c r="AH697" i="175"/>
  <c r="AE258"/>
  <c r="I35" i="119"/>
  <c r="K33" i="68"/>
  <c r="U34" i="140"/>
  <c r="W34" i="64"/>
  <c r="AE198" i="175"/>
  <c r="F32" i="140"/>
  <c r="O27" i="68"/>
  <c r="AC691" i="175"/>
  <c r="E48" i="147"/>
  <c r="B45" i="152"/>
  <c r="AK273" i="175"/>
  <c r="AB176"/>
  <c r="AF253"/>
  <c r="M33" i="71"/>
  <c r="J34" i="67"/>
  <c r="L35" i="119"/>
  <c r="AJ52" i="175"/>
  <c r="AJ140"/>
  <c r="H32" i="68"/>
  <c r="D35" i="119"/>
  <c r="AK264" i="175"/>
  <c r="AD383"/>
  <c r="AF257"/>
  <c r="AG389"/>
  <c r="AD662"/>
  <c r="N34" i="64"/>
  <c r="K49" i="146"/>
  <c r="X30" i="120"/>
  <c r="AG699" i="175"/>
  <c r="AJ266"/>
  <c r="AJ192"/>
  <c r="AJ150"/>
  <c r="T35" i="140"/>
  <c r="AE40" i="175"/>
  <c r="H33" i="64"/>
  <c r="AG261" i="175"/>
  <c r="AH379"/>
  <c r="AE259"/>
  <c r="E33" i="120"/>
  <c r="AJ173" i="175"/>
  <c r="AF34"/>
  <c r="B48" i="147"/>
  <c r="R33" i="71"/>
  <c r="AE662" i="175"/>
  <c r="AI658"/>
  <c r="G31" i="140"/>
  <c r="AI678" i="175"/>
  <c r="B26" i="67"/>
  <c r="N34" i="120"/>
  <c r="AJ175" i="175"/>
  <c r="AK274"/>
  <c r="R34" i="119"/>
  <c r="E34"/>
  <c r="AK270" i="175"/>
  <c r="E33" i="67"/>
  <c r="O47" i="147"/>
  <c r="S49" i="163"/>
  <c r="AJ35" i="175"/>
  <c r="AJ149"/>
  <c r="AJ147"/>
  <c r="P34" i="140"/>
  <c r="Q35" i="71"/>
  <c r="S32"/>
  <c r="B26" i="119"/>
  <c r="H32" i="71"/>
  <c r="AJ55" i="175"/>
  <c r="F31" i="71"/>
  <c r="K34" i="119"/>
  <c r="AJ131" i="175"/>
  <c r="B34" i="120"/>
  <c r="AI397" i="175"/>
  <c r="AE696"/>
  <c r="T35" i="120"/>
  <c r="H48" i="147"/>
  <c r="H47" i="148"/>
  <c r="P35" i="120"/>
  <c r="V34" i="64"/>
  <c r="X29" i="119"/>
  <c r="W33" i="71"/>
  <c r="AJ151" i="175"/>
  <c r="AJ54"/>
  <c r="K44" i="152"/>
  <c r="W33" i="68"/>
  <c r="AE38" i="175"/>
  <c r="B49" i="146"/>
  <c r="AM442" i="175"/>
  <c r="AE381"/>
  <c r="S48" i="146"/>
  <c r="O29" i="64"/>
  <c r="J34" i="140"/>
  <c r="U34" i="67"/>
  <c r="M34" i="120"/>
  <c r="E45" i="160"/>
  <c r="U35" i="119"/>
  <c r="AF385" i="175"/>
  <c r="W34" i="67"/>
  <c r="AF191" i="175"/>
  <c r="AE260"/>
  <c r="AF665"/>
  <c r="O48" i="163"/>
  <c r="H49" i="146"/>
  <c r="AE194" i="175"/>
  <c r="AI204"/>
  <c r="F32" i="67"/>
  <c r="AH388" i="175"/>
  <c r="AB695"/>
  <c r="H50" i="161"/>
  <c r="M35" i="119"/>
  <c r="AJ172" i="175"/>
  <c r="V33" i="68"/>
  <c r="B50" i="163"/>
  <c r="AH668" i="175"/>
  <c r="AK267"/>
  <c r="E49" i="163"/>
  <c r="AE34" i="175"/>
  <c r="O28" i="119"/>
  <c r="AF195" i="175"/>
  <c r="S47" i="147"/>
  <c r="AJ269" i="175"/>
  <c r="O44" i="160"/>
  <c r="D33" i="71"/>
  <c r="W34" i="120"/>
  <c r="B34" i="140"/>
  <c r="K49" i="163"/>
  <c r="H34" i="140"/>
  <c r="J33" i="71"/>
  <c r="X30" i="64"/>
  <c r="U34"/>
  <c r="H50" i="163"/>
  <c r="AJ44" i="175"/>
  <c r="AE197"/>
  <c r="L33" i="68"/>
  <c r="AJ139" i="175"/>
  <c r="AG199"/>
  <c r="AK210"/>
  <c r="AD664"/>
  <c r="AG690"/>
  <c r="AC693"/>
  <c r="O29" i="120"/>
  <c r="G30" i="119"/>
  <c r="R34" i="140"/>
  <c r="F32" i="120"/>
  <c r="T35" i="119"/>
  <c r="O28" i="71"/>
  <c r="K46" i="147"/>
  <c r="U34" i="120"/>
  <c r="AH707" i="175"/>
  <c r="AI36"/>
  <c r="AI679"/>
  <c r="AJ174"/>
  <c r="B25" i="71"/>
  <c r="P33" i="68"/>
  <c r="O45" i="152"/>
  <c r="H46"/>
  <c r="AI193" i="175"/>
  <c r="K43" i="160"/>
  <c r="F31" i="119"/>
  <c r="AD381" i="175"/>
  <c r="K34" i="67"/>
  <c r="AD132" i="175"/>
  <c r="AI672"/>
  <c r="V34" i="67"/>
  <c r="S44" i="160"/>
  <c r="R34" i="64"/>
  <c r="K35" i="119"/>
  <c r="X30" i="67"/>
  <c r="AI45" i="175"/>
  <c r="AK211"/>
  <c r="G30" i="68"/>
  <c r="E50" i="161"/>
  <c r="AJ43" i="175"/>
  <c r="U33" i="71"/>
  <c r="L34" i="120"/>
  <c r="AI203" i="175"/>
  <c r="Q36" i="64"/>
  <c r="P34" i="119"/>
  <c r="AJ265" i="175"/>
  <c r="AI378"/>
  <c r="AH689"/>
  <c r="AI202"/>
  <c r="AC384"/>
  <c r="AH703"/>
  <c r="C34" i="140"/>
  <c r="AJ772" i="175" l="1"/>
  <c r="AG49" i="189" s="1"/>
  <c r="BD175" i="175"/>
  <c r="AF49" i="189"/>
  <c r="AJ36" i="190"/>
  <c r="AM473" i="175"/>
  <c r="AJ54" i="190" s="1"/>
  <c r="AS40" i="160"/>
  <c r="AS41" s="1"/>
  <c r="AZ178" i="118"/>
  <c r="AZ131"/>
  <c r="BD265" i="175"/>
  <c r="AI738"/>
  <c r="AF15" i="189" s="1"/>
  <c r="AE14"/>
  <c r="AZ272" i="118"/>
  <c r="AZ37"/>
  <c r="AH769" i="175"/>
  <c r="AF638"/>
  <c r="AR45" i="164"/>
  <c r="AD46" i="189"/>
  <c r="AG800" i="175"/>
  <c r="AD77" i="189" s="1"/>
  <c r="BA272" i="118"/>
  <c r="BA37"/>
  <c r="BA178"/>
  <c r="BA131"/>
  <c r="AI737" i="175"/>
  <c r="AF14" i="189" s="1"/>
  <c r="AG637" i="175"/>
  <c r="BE79" i="118"/>
  <c r="BE127"/>
  <c r="BE174"/>
  <c r="BE33"/>
  <c r="BE268"/>
  <c r="AC633" i="175"/>
  <c r="BB260"/>
  <c r="AD733"/>
  <c r="BB198"/>
  <c r="BB41"/>
  <c r="AB633"/>
  <c r="AJ42" i="160"/>
  <c r="AR42" s="1"/>
  <c r="Z10" i="189"/>
  <c r="AC795" i="175"/>
  <c r="Z72" i="189" s="1"/>
  <c r="AA3"/>
  <c r="BL80" i="118"/>
  <c r="BL268"/>
  <c r="BL33"/>
  <c r="BB34" i="175"/>
  <c r="BB129"/>
  <c r="AE726"/>
  <c r="BB726" s="1"/>
  <c r="AA43" i="152"/>
  <c r="AJ43"/>
  <c r="AY73" i="189"/>
  <c r="AC791" i="175"/>
  <c r="Z68" i="189" s="1"/>
  <c r="BB734" i="175"/>
  <c r="AF734"/>
  <c r="AF796" s="1"/>
  <c r="AC73" i="189" s="1"/>
  <c r="AE730" i="175"/>
  <c r="BB730" s="1"/>
  <c r="BB133"/>
  <c r="BB38"/>
  <c r="BH33" i="118"/>
  <c r="Q33" i="72"/>
  <c r="BH268" i="118"/>
  <c r="BD81"/>
  <c r="AD729" i="175"/>
  <c r="AD791" s="1"/>
  <c r="BH80" i="118"/>
  <c r="BI79"/>
  <c r="N44" i="152"/>
  <c r="N43" i="160"/>
  <c r="N45" i="148"/>
  <c r="D45" i="152"/>
  <c r="N46" i="147"/>
  <c r="AA7" i="189"/>
  <c r="AB44" i="152"/>
  <c r="D44" i="160"/>
  <c r="AB43"/>
  <c r="C43"/>
  <c r="D46" i="148"/>
  <c r="C45"/>
  <c r="AB45"/>
  <c r="AJ45" s="1"/>
  <c r="D47" i="147"/>
  <c r="X47" s="1"/>
  <c r="C46"/>
  <c r="AB46"/>
  <c r="AJ46" s="1"/>
  <c r="AB11" i="189"/>
  <c r="AY11" s="1"/>
  <c r="AJ45" i="147"/>
  <c r="AR45" s="1"/>
  <c r="AR42" i="152"/>
  <c r="AY131" i="118"/>
  <c r="AY178"/>
  <c r="BD266" i="175"/>
  <c r="BD173"/>
  <c r="AZ85" i="118"/>
  <c r="AS47" i="56"/>
  <c r="AS47" i="155"/>
  <c r="AE13" i="189"/>
  <c r="BB796" i="175"/>
  <c r="BH128" i="118"/>
  <c r="BH175"/>
  <c r="BH269"/>
  <c r="BH34"/>
  <c r="BB661" i="175"/>
  <c r="BB381"/>
  <c r="AS44" i="164"/>
  <c r="AS45" s="1"/>
  <c r="BI268" i="118"/>
  <c r="BA85"/>
  <c r="BA179"/>
  <c r="BA132"/>
  <c r="AS85"/>
  <c r="AR179"/>
  <c r="AR132"/>
  <c r="AQ38"/>
  <c r="AT179"/>
  <c r="AT132"/>
  <c r="AQ132"/>
  <c r="AQ179"/>
  <c r="AU179"/>
  <c r="AU132"/>
  <c r="AS273"/>
  <c r="AP38"/>
  <c r="AT38"/>
  <c r="AS38"/>
  <c r="BB85"/>
  <c r="BD270"/>
  <c r="BB178"/>
  <c r="BB131"/>
  <c r="AP86"/>
  <c r="BD176"/>
  <c r="BD129"/>
  <c r="BD35"/>
  <c r="AR38"/>
  <c r="AT86"/>
  <c r="AT273"/>
  <c r="AQ86"/>
  <c r="AP273"/>
  <c r="AS132"/>
  <c r="AS179"/>
  <c r="AQ273"/>
  <c r="AR273"/>
  <c r="BI174"/>
  <c r="BI127"/>
  <c r="AP132"/>
  <c r="AP179"/>
  <c r="BC85"/>
  <c r="BI33"/>
  <c r="AR86"/>
  <c r="BD263" i="175"/>
  <c r="BD56"/>
  <c r="BD172"/>
  <c r="BB256"/>
  <c r="BD54"/>
  <c r="BD53"/>
  <c r="AJ744"/>
  <c r="BD744" s="1"/>
  <c r="BD147"/>
  <c r="AH646"/>
  <c r="BD140"/>
  <c r="BD262"/>
  <c r="AJ746"/>
  <c r="BD149"/>
  <c r="AJ745"/>
  <c r="BD745" s="1"/>
  <c r="BD148"/>
  <c r="AJ747"/>
  <c r="BD747" s="1"/>
  <c r="BD150"/>
  <c r="BB37"/>
  <c r="AB190"/>
  <c r="AI736"/>
  <c r="AI798" s="1"/>
  <c r="AF75" i="189" s="1"/>
  <c r="AJ748" i="175"/>
  <c r="BD151"/>
  <c r="AH648"/>
  <c r="AH252"/>
  <c r="BD131"/>
  <c r="AH647"/>
  <c r="BD52"/>
  <c r="AH645"/>
  <c r="BD192"/>
  <c r="AE634"/>
  <c r="BB634" s="1"/>
  <c r="BB696"/>
  <c r="AH644"/>
  <c r="AC629"/>
  <c r="BD55"/>
  <c r="AG636"/>
  <c r="BB194"/>
  <c r="AJ48" i="158"/>
  <c r="AA43" i="160"/>
  <c r="AJ40" i="143"/>
  <c r="AJ47" i="163"/>
  <c r="AR47" s="1"/>
  <c r="AJ48" i="159"/>
  <c r="AS46"/>
  <c r="AJ46" i="164"/>
  <c r="AS38" i="143"/>
  <c r="AR44" i="148"/>
  <c r="AE87" i="189"/>
  <c r="AE83"/>
  <c r="AF25"/>
  <c r="AI810" i="175"/>
  <c r="AF87" i="189" s="1"/>
  <c r="AF23"/>
  <c r="AI808" i="175"/>
  <c r="AF85" i="189" s="1"/>
  <c r="AE84"/>
  <c r="AF24"/>
  <c r="AI809" i="175"/>
  <c r="AF22" i="189"/>
  <c r="AI807" i="175"/>
  <c r="AF84" i="189" s="1"/>
  <c r="AI806" i="175"/>
  <c r="AF83" i="189" s="1"/>
  <c r="AF21"/>
  <c r="AS46" i="158"/>
  <c r="AG30" i="72"/>
  <c r="AA40" i="143"/>
  <c r="M42"/>
  <c r="L42" s="1"/>
  <c r="M43"/>
  <c r="L43" s="1"/>
  <c r="AR39"/>
  <c r="AC41"/>
  <c r="N41"/>
  <c r="X41"/>
  <c r="AS45" i="149"/>
  <c r="AD126" i="118"/>
  <c r="AS46" i="150"/>
  <c r="AG86" i="118"/>
  <c r="AG40"/>
  <c r="AG275"/>
  <c r="AG180"/>
  <c r="AG133"/>
  <c r="AA8" i="189"/>
  <c r="BG268" i="118"/>
  <c r="BL128"/>
  <c r="BL175"/>
  <c r="BG81"/>
  <c r="BL269"/>
  <c r="BL34"/>
  <c r="BG174"/>
  <c r="BG127"/>
  <c r="BG33"/>
  <c r="AE731" i="175"/>
  <c r="BB731" s="1"/>
  <c r="BB196"/>
  <c r="BB258"/>
  <c r="AC631"/>
  <c r="BB39"/>
  <c r="AJ47" i="149"/>
  <c r="AD173" i="118"/>
  <c r="AS47" i="171"/>
  <c r="BB40" i="175"/>
  <c r="BF268" i="118"/>
  <c r="BF33"/>
  <c r="AS44" i="147"/>
  <c r="AS43" i="148"/>
  <c r="X48" i="149"/>
  <c r="F48"/>
  <c r="BC179" i="118"/>
  <c r="BC132"/>
  <c r="AD48" i="149"/>
  <c r="O49" i="145"/>
  <c r="R49" s="1"/>
  <c r="O49" i="171"/>
  <c r="R49" s="1"/>
  <c r="AR48" i="56"/>
  <c r="BQ47" i="164"/>
  <c r="BR47" s="1"/>
  <c r="AE47" s="1"/>
  <c r="BD49" i="149"/>
  <c r="G49" s="1"/>
  <c r="O49" s="1"/>
  <c r="R49" s="1"/>
  <c r="O49" i="56"/>
  <c r="R49" s="1"/>
  <c r="O49" i="168"/>
  <c r="R49" s="1"/>
  <c r="AW132" i="118"/>
  <c r="AW179"/>
  <c r="O49" i="155"/>
  <c r="R49" s="1"/>
  <c r="S49" i="154"/>
  <c r="V49" s="1"/>
  <c r="S49" i="155"/>
  <c r="V49" s="1"/>
  <c r="O49" i="153"/>
  <c r="R49" s="1"/>
  <c r="O49" i="164"/>
  <c r="R49" s="1"/>
  <c r="S49" i="143"/>
  <c r="V49" s="1"/>
  <c r="S49" i="159"/>
  <c r="V49" s="1"/>
  <c r="S49" i="149"/>
  <c r="V49" s="1"/>
  <c r="O49" i="159"/>
  <c r="R49" s="1"/>
  <c r="O49" i="151"/>
  <c r="R49" s="1"/>
  <c r="O49" i="158"/>
  <c r="R49" s="1"/>
  <c r="V37" i="72"/>
  <c r="BK180" i="118"/>
  <c r="BK133"/>
  <c r="BF127"/>
  <c r="BF174"/>
  <c r="BD269" i="175"/>
  <c r="BD254"/>
  <c r="AE283"/>
  <c r="BB283" s="1"/>
  <c r="BB259"/>
  <c r="BJ131" i="118"/>
  <c r="BJ178"/>
  <c r="BF81"/>
  <c r="Q34" i="72"/>
  <c r="D50" i="163"/>
  <c r="AA38" i="72"/>
  <c r="AI728" i="175"/>
  <c r="AJ735"/>
  <c r="BD138"/>
  <c r="V44" i="160"/>
  <c r="R45" i="152"/>
  <c r="R48" i="146"/>
  <c r="BB663" i="175"/>
  <c r="J50" i="163"/>
  <c r="S38" i="72"/>
  <c r="AE38"/>
  <c r="AG628" i="175"/>
  <c r="BD44"/>
  <c r="BB38" i="118"/>
  <c r="BB273"/>
  <c r="BD35" i="175"/>
  <c r="BK38" i="118"/>
  <c r="X38" i="72"/>
  <c r="BK273" i="118"/>
  <c r="AH635" i="175"/>
  <c r="G49" i="163"/>
  <c r="AH641" i="175"/>
  <c r="W40" i="72"/>
  <c r="BJ272" i="118"/>
  <c r="AD37" i="72"/>
  <c r="BJ37" i="118"/>
  <c r="N49" i="161"/>
  <c r="C49" i="146"/>
  <c r="N49"/>
  <c r="AJ741" i="175"/>
  <c r="BD144"/>
  <c r="V47" i="147"/>
  <c r="R47"/>
  <c r="R38" i="72"/>
  <c r="V45" i="152"/>
  <c r="N49" i="163"/>
  <c r="AW85" i="118"/>
  <c r="AX179"/>
  <c r="AX132"/>
  <c r="AE221" i="175"/>
  <c r="BB221" s="1"/>
  <c r="BB197"/>
  <c r="AE732"/>
  <c r="AV131" i="118"/>
  <c r="AV178"/>
  <c r="BA86"/>
  <c r="BJ85"/>
  <c r="AW86"/>
  <c r="BK85"/>
  <c r="R50" i="161"/>
  <c r="V46" i="148"/>
  <c r="J46" i="152"/>
  <c r="R46" i="148"/>
  <c r="G46" i="152"/>
  <c r="BD174" i="175"/>
  <c r="AH627"/>
  <c r="R48" i="163"/>
  <c r="AC36" i="72"/>
  <c r="AB35"/>
  <c r="BD141" i="175"/>
  <c r="BD139"/>
  <c r="AJ727"/>
  <c r="BD130"/>
  <c r="AC632"/>
  <c r="V48" i="146"/>
  <c r="Z38" i="72"/>
  <c r="V49" i="161"/>
  <c r="BD49" i="175"/>
  <c r="AW273" i="118"/>
  <c r="Y38" i="72"/>
  <c r="AW38" i="118"/>
  <c r="BC273"/>
  <c r="T38" i="72"/>
  <c r="BD43" i="175"/>
  <c r="BC38" i="118"/>
  <c r="BB662" i="175"/>
  <c r="R44" i="160"/>
  <c r="AM470" i="175"/>
  <c r="AJ34" i="190"/>
  <c r="AM471" i="175"/>
  <c r="AI412" i="118"/>
  <c r="V49" i="163"/>
  <c r="AA47" i="164"/>
  <c r="AA44" i="152"/>
  <c r="X41" i="49"/>
  <c r="G45" i="51"/>
  <c r="D50" i="143"/>
  <c r="C50" i="165"/>
  <c r="K50"/>
  <c r="N50" s="1"/>
  <c r="AS46" i="145"/>
  <c r="E51" i="56"/>
  <c r="AB135" i="118"/>
  <c r="E51" i="151"/>
  <c r="E51" i="144"/>
  <c r="E51" i="165"/>
  <c r="E51" i="154"/>
  <c r="E51" i="167"/>
  <c r="E51" i="162"/>
  <c r="E51" i="149"/>
  <c r="F44" i="137"/>
  <c r="BC51" i="161" s="1"/>
  <c r="BP51" s="1"/>
  <c r="G51" s="1"/>
  <c r="E51" i="153"/>
  <c r="E51" i="166"/>
  <c r="E51" i="168"/>
  <c r="E51" i="145"/>
  <c r="E51" i="164"/>
  <c r="E51" i="159"/>
  <c r="E51" i="143"/>
  <c r="E51" i="150"/>
  <c r="E51" i="158"/>
  <c r="E51" i="155"/>
  <c r="E51" i="171"/>
  <c r="AR47" i="154"/>
  <c r="AA48" i="150"/>
  <c r="AJ48" i="153"/>
  <c r="BK50" i="164"/>
  <c r="BL50" s="1"/>
  <c r="G50"/>
  <c r="AD50" s="1"/>
  <c r="G50" i="168"/>
  <c r="AD50" s="1"/>
  <c r="G50" i="144"/>
  <c r="AD50" s="1"/>
  <c r="AA48" i="151"/>
  <c r="AJ50" i="162"/>
  <c r="AJ47" i="146"/>
  <c r="J50" i="167"/>
  <c r="AF50" s="1"/>
  <c r="J50" i="144"/>
  <c r="AF50" s="1"/>
  <c r="AJ48" i="166"/>
  <c r="I44" i="160"/>
  <c r="AF44"/>
  <c r="J45"/>
  <c r="X51" i="162"/>
  <c r="AB51"/>
  <c r="AS46" i="167"/>
  <c r="BU411" i="118"/>
  <c r="BQ411"/>
  <c r="BO411"/>
  <c r="AE411" s="1"/>
  <c r="BV411"/>
  <c r="BS411"/>
  <c r="BW411"/>
  <c r="BT411"/>
  <c r="BP411"/>
  <c r="BX411"/>
  <c r="BR411"/>
  <c r="AF18" i="189"/>
  <c r="AI803" i="175"/>
  <c r="AF80" i="189" s="1"/>
  <c r="AD45" i="152"/>
  <c r="AR47" i="158"/>
  <c r="D50"/>
  <c r="K50" s="1"/>
  <c r="N50" s="1"/>
  <c r="D50" i="166"/>
  <c r="BT49" i="164"/>
  <c r="BM49"/>
  <c r="BP49"/>
  <c r="Z43" i="49"/>
  <c r="M43"/>
  <c r="J44"/>
  <c r="G50" i="171"/>
  <c r="AD50" s="1"/>
  <c r="G50" i="155"/>
  <c r="AD50" s="1"/>
  <c r="BC50" i="149"/>
  <c r="BB50"/>
  <c r="G50" i="56"/>
  <c r="AD50" s="1"/>
  <c r="F48" i="146"/>
  <c r="AD48"/>
  <c r="G49"/>
  <c r="X48"/>
  <c r="AA48" i="158"/>
  <c r="J50" i="155"/>
  <c r="AF50" s="1"/>
  <c r="BK50" i="165"/>
  <c r="I50"/>
  <c r="S50"/>
  <c r="V50" s="1"/>
  <c r="J50" i="159"/>
  <c r="AF50" s="1"/>
  <c r="J50" i="168"/>
  <c r="AF50" s="1"/>
  <c r="AA48" i="163"/>
  <c r="G45" i="137"/>
  <c r="C45"/>
  <c r="E45"/>
  <c r="AA48" i="167"/>
  <c r="AR49" i="162"/>
  <c r="AA48" i="145"/>
  <c r="AS45" i="146"/>
  <c r="AR47" i="145"/>
  <c r="D50" i="171"/>
  <c r="AB50" s="1"/>
  <c r="D50" i="149"/>
  <c r="K50" s="1"/>
  <c r="N50" s="1"/>
  <c r="K50" i="162"/>
  <c r="N50" s="1"/>
  <c r="D50" i="155"/>
  <c r="K50" s="1"/>
  <c r="N50" s="1"/>
  <c r="D50" i="144"/>
  <c r="K50" s="1"/>
  <c r="AA48" i="161"/>
  <c r="AS46" i="166"/>
  <c r="AS46" i="153"/>
  <c r="H44" i="137"/>
  <c r="BD51" i="161" s="1"/>
  <c r="H51" i="153"/>
  <c r="H51" i="145"/>
  <c r="H51" i="154"/>
  <c r="H51" i="144"/>
  <c r="H51" i="164"/>
  <c r="H51" i="149"/>
  <c r="H51" i="151"/>
  <c r="H51" i="167"/>
  <c r="H51" i="168"/>
  <c r="H51" i="165"/>
  <c r="H51" i="166"/>
  <c r="H51" i="162"/>
  <c r="H51" i="143"/>
  <c r="H51" i="56"/>
  <c r="H51" i="159"/>
  <c r="H51" i="171"/>
  <c r="H51" i="155"/>
  <c r="H51" i="150"/>
  <c r="AB182" i="118"/>
  <c r="H51" i="158"/>
  <c r="AD49" i="165"/>
  <c r="AS46" i="154"/>
  <c r="G50" i="150"/>
  <c r="AD50" s="1"/>
  <c r="G50" i="153"/>
  <c r="AD50" s="1"/>
  <c r="AD50" i="161"/>
  <c r="F50"/>
  <c r="G50" i="154"/>
  <c r="AD50" s="1"/>
  <c r="X49" i="155"/>
  <c r="AA49" s="1"/>
  <c r="AB49"/>
  <c r="AJ49" s="1"/>
  <c r="AE66" i="189"/>
  <c r="AA50" i="162"/>
  <c r="AA47" i="146"/>
  <c r="B37" i="72"/>
  <c r="D37" s="1"/>
  <c r="I37" s="1"/>
  <c r="H37" s="1"/>
  <c r="G37" s="1"/>
  <c r="F37" s="1"/>
  <c r="E37" s="1"/>
  <c r="AK44" i="51"/>
  <c r="AV44"/>
  <c r="AX44" s="1"/>
  <c r="AB37" i="118"/>
  <c r="AB49" i="161"/>
  <c r="C49"/>
  <c r="X49"/>
  <c r="AJ48" i="154"/>
  <c r="U43" i="49"/>
  <c r="T44"/>
  <c r="J50" i="171"/>
  <c r="AF50" s="1"/>
  <c r="J50" i="164"/>
  <c r="AF50" s="1"/>
  <c r="J50" i="153"/>
  <c r="AF50" s="1"/>
  <c r="J50" i="150"/>
  <c r="AF50" s="1"/>
  <c r="J50" i="151"/>
  <c r="AF50" s="1"/>
  <c r="I47" i="147"/>
  <c r="AF47"/>
  <c r="J48"/>
  <c r="AR47" i="150"/>
  <c r="X49" i="154"/>
  <c r="AB49"/>
  <c r="X49" i="158"/>
  <c r="AB49"/>
  <c r="AD51" i="162"/>
  <c r="G48" i="147"/>
  <c r="F47"/>
  <c r="AD47"/>
  <c r="AA48" i="168"/>
  <c r="X49" i="150"/>
  <c r="AB49"/>
  <c r="AJ49" s="1"/>
  <c r="AF45" i="152"/>
  <c r="AI797" i="175"/>
  <c r="AF74" i="189" s="1"/>
  <c r="AF12"/>
  <c r="AB49" i="163"/>
  <c r="S49" i="171"/>
  <c r="V49" s="1"/>
  <c r="AR46" i="163"/>
  <c r="K44" i="49"/>
  <c r="S49" i="56"/>
  <c r="V49" s="1"/>
  <c r="AR48" i="155"/>
  <c r="S49" i="167"/>
  <c r="V49" s="1"/>
  <c r="S49" i="164"/>
  <c r="V49" s="1"/>
  <c r="S49" i="145"/>
  <c r="V49" s="1"/>
  <c r="S49" i="150"/>
  <c r="V49" s="1"/>
  <c r="AR47" i="161"/>
  <c r="D50" i="159"/>
  <c r="K50" s="1"/>
  <c r="N50" s="1"/>
  <c r="D50" i="145"/>
  <c r="D50" i="151"/>
  <c r="AA48" i="159"/>
  <c r="AR47"/>
  <c r="H46" i="51"/>
  <c r="I46" s="1"/>
  <c r="AB274" i="118"/>
  <c r="X49" i="171"/>
  <c r="G50" i="159"/>
  <c r="AD50" s="1"/>
  <c r="O50" i="162"/>
  <c r="R50" s="1"/>
  <c r="AR47" i="166"/>
  <c r="X49" i="56"/>
  <c r="AA49" s="1"/>
  <c r="AB49"/>
  <c r="AJ49" s="1"/>
  <c r="AF46" i="148"/>
  <c r="I46"/>
  <c r="J47"/>
  <c r="AR47" i="153"/>
  <c r="J50" i="56"/>
  <c r="AF50" s="1"/>
  <c r="J50" i="166"/>
  <c r="AF50" s="1"/>
  <c r="BJ50" i="161"/>
  <c r="D50" s="1"/>
  <c r="BV50"/>
  <c r="J50" s="1"/>
  <c r="X49" i="168"/>
  <c r="AB49"/>
  <c r="G47" i="148"/>
  <c r="F46"/>
  <c r="AD46"/>
  <c r="CC52" i="162"/>
  <c r="D52" s="1"/>
  <c r="CE52"/>
  <c r="J52" s="1"/>
  <c r="CD52"/>
  <c r="G52" s="1"/>
  <c r="CG52"/>
  <c r="AL52" s="1"/>
  <c r="AL501" i="175"/>
  <c r="AI69" i="190" s="1"/>
  <c r="AI51"/>
  <c r="AE74" i="189"/>
  <c r="D50" i="164"/>
  <c r="D50" i="153"/>
  <c r="K50" s="1"/>
  <c r="N50" s="1"/>
  <c r="D50" i="154"/>
  <c r="K50" s="1"/>
  <c r="N50" s="1"/>
  <c r="AB49" i="167"/>
  <c r="X49"/>
  <c r="AB49" i="164"/>
  <c r="AJ48" i="165"/>
  <c r="AS48" i="162"/>
  <c r="G50" i="166"/>
  <c r="AD50" s="1"/>
  <c r="G50" i="165"/>
  <c r="O50" s="1"/>
  <c r="R50" s="1"/>
  <c r="AJ48" i="151"/>
  <c r="AB368" i="118"/>
  <c r="AD368" s="1"/>
  <c r="Z49" i="171"/>
  <c r="W42" i="49"/>
  <c r="AZ45" i="51"/>
  <c r="AW45"/>
  <c r="J45"/>
  <c r="AA48" i="171" s="1"/>
  <c r="AR48" s="1"/>
  <c r="S50" i="162"/>
  <c r="V50" s="1"/>
  <c r="X49" i="159"/>
  <c r="AB49"/>
  <c r="AS45" i="163"/>
  <c r="AS46" i="161"/>
  <c r="AC49" i="151"/>
  <c r="X49"/>
  <c r="AF51" i="162"/>
  <c r="AS46" i="151"/>
  <c r="AD48" i="163"/>
  <c r="AA9" i="189"/>
  <c r="AD794" i="175"/>
  <c r="AA47" i="149"/>
  <c r="AA46" i="147"/>
  <c r="AA45" i="148"/>
  <c r="AE76" i="189"/>
  <c r="AJ48" i="167"/>
  <c r="AR47" i="151"/>
  <c r="AJ48" i="145"/>
  <c r="AS46" i="168"/>
  <c r="D50" i="150"/>
  <c r="K50" s="1"/>
  <c r="N50" s="1"/>
  <c r="D50" i="167"/>
  <c r="D50" i="168"/>
  <c r="K50" s="1"/>
  <c r="N50" s="1"/>
  <c r="D50" i="56"/>
  <c r="AJ48" i="161"/>
  <c r="AB49" i="153"/>
  <c r="X49"/>
  <c r="X49" i="166"/>
  <c r="AB49"/>
  <c r="AB49" i="149"/>
  <c r="AI44" i="137"/>
  <c r="D44"/>
  <c r="AB88" i="118"/>
  <c r="B51" i="144"/>
  <c r="AM40" i="142" s="1"/>
  <c r="B51" i="158"/>
  <c r="B51" i="166"/>
  <c r="B51" i="154"/>
  <c r="B51" i="151"/>
  <c r="B51" i="168"/>
  <c r="B51" i="56"/>
  <c r="B51" i="155"/>
  <c r="B51" i="167"/>
  <c r="B51" i="162"/>
  <c r="C51" s="1"/>
  <c r="B51" i="165"/>
  <c r="B51" i="145"/>
  <c r="B51" i="153"/>
  <c r="B51" i="149"/>
  <c r="B51" i="143"/>
  <c r="B51" i="159"/>
  <c r="B51" i="164"/>
  <c r="B51" i="150"/>
  <c r="B51" i="171"/>
  <c r="I44" i="137"/>
  <c r="J44" s="1"/>
  <c r="AF48" i="146"/>
  <c r="I48"/>
  <c r="J49"/>
  <c r="BN48" i="164"/>
  <c r="BU48" s="1"/>
  <c r="BV48" s="1"/>
  <c r="X48" s="1"/>
  <c r="AE80" i="189"/>
  <c r="AR46" i="146"/>
  <c r="AA48" i="153"/>
  <c r="AR47" i="165"/>
  <c r="G50" i="143"/>
  <c r="AD50" s="1"/>
  <c r="G50" i="158"/>
  <c r="AD50" s="1"/>
  <c r="G50" i="145"/>
  <c r="AD50" s="1"/>
  <c r="G50" i="167"/>
  <c r="AD50" s="1"/>
  <c r="G50" i="151"/>
  <c r="AD50" s="1"/>
  <c r="AH69" i="190"/>
  <c r="I49" i="161"/>
  <c r="AF49"/>
  <c r="AA48" i="154"/>
  <c r="J50" i="158"/>
  <c r="AF50" s="1"/>
  <c r="J50" i="149"/>
  <c r="AF50" s="1"/>
  <c r="J50" i="145"/>
  <c r="AF50" s="1"/>
  <c r="J50" i="143"/>
  <c r="AF50" s="1"/>
  <c r="J50" i="154"/>
  <c r="AF50" s="1"/>
  <c r="AB49" i="145"/>
  <c r="X49"/>
  <c r="AA48" i="166"/>
  <c r="AR47" i="167"/>
  <c r="AD44" i="160"/>
  <c r="F44"/>
  <c r="G45"/>
  <c r="AR46" i="149"/>
  <c r="AS46" i="165"/>
  <c r="AM51" i="162"/>
  <c r="AR47" i="168"/>
  <c r="AJ48"/>
  <c r="C46" i="13"/>
  <c r="D47"/>
  <c r="AL53" i="171"/>
  <c r="AM53" s="1"/>
  <c r="CB53" i="162"/>
  <c r="AE5" i="189"/>
  <c r="AH790" i="175"/>
  <c r="AE67" i="189" s="1"/>
  <c r="AF49" i="163"/>
  <c r="AF4" i="189"/>
  <c r="AI789" i="175"/>
  <c r="AF66" i="189" s="1"/>
  <c r="AJ49" i="171"/>
  <c r="S49" i="168"/>
  <c r="V49" s="1"/>
  <c r="O49" i="166"/>
  <c r="R49" s="1"/>
  <c r="S49" i="151"/>
  <c r="V49" s="1"/>
  <c r="S49" i="166"/>
  <c r="V49" s="1"/>
  <c r="S49" i="153"/>
  <c r="V49" s="1"/>
  <c r="O49" i="167"/>
  <c r="R49" s="1"/>
  <c r="S49" i="144"/>
  <c r="V49" s="1"/>
  <c r="S49" i="158"/>
  <c r="V49" s="1"/>
  <c r="L44" i="49"/>
  <c r="C50" i="162"/>
  <c r="O49" i="144"/>
  <c r="R49" s="1"/>
  <c r="O49" i="143"/>
  <c r="R49" s="1"/>
  <c r="K49" i="168"/>
  <c r="N49" s="1"/>
  <c r="K49" i="171"/>
  <c r="N49" s="1"/>
  <c r="F50" i="162"/>
  <c r="O49" i="150"/>
  <c r="R49" s="1"/>
  <c r="O49" i="154"/>
  <c r="R49" s="1"/>
  <c r="X29" i="71"/>
  <c r="O51" i="161"/>
  <c r="D35" i="67"/>
  <c r="AK147" i="175"/>
  <c r="AF198"/>
  <c r="G31" i="71"/>
  <c r="AK35" i="175"/>
  <c r="E34" i="140"/>
  <c r="AJ386" i="175"/>
  <c r="K35" i="140"/>
  <c r="J35" i="64"/>
  <c r="P36" i="120"/>
  <c r="AJ666" i="175"/>
  <c r="R33" i="68"/>
  <c r="K50" i="146"/>
  <c r="AN442" i="175"/>
  <c r="J34" i="71"/>
  <c r="AD384" i="175"/>
  <c r="B46" i="152"/>
  <c r="AK43" i="175"/>
  <c r="H36" i="119"/>
  <c r="AK263" i="175"/>
  <c r="AK192"/>
  <c r="K35" i="64"/>
  <c r="AI689" i="175"/>
  <c r="K47" i="147"/>
  <c r="M35" i="67"/>
  <c r="AI659" i="175"/>
  <c r="M35" i="64"/>
  <c r="AH199" i="175"/>
  <c r="AL275"/>
  <c r="N36" i="119"/>
  <c r="S47" i="148"/>
  <c r="B26" i="68"/>
  <c r="K34" i="71"/>
  <c r="AF256" i="175"/>
  <c r="X31" i="120"/>
  <c r="X31" i="140"/>
  <c r="F33" i="67"/>
  <c r="AJ678" i="175"/>
  <c r="AJ399"/>
  <c r="F33" i="120"/>
  <c r="Q36" i="71"/>
  <c r="AK151" i="175"/>
  <c r="E51" i="161"/>
  <c r="L35" i="120"/>
  <c r="AK140" i="175"/>
  <c r="P34" i="71"/>
  <c r="AK172" i="175"/>
  <c r="F31" i="68"/>
  <c r="AI236" i="175"/>
  <c r="B26" i="71"/>
  <c r="AK149" i="175"/>
  <c r="AL270"/>
  <c r="J35" i="120"/>
  <c r="AD695" i="175"/>
  <c r="W35" i="120"/>
  <c r="T36" i="119"/>
  <c r="AF197" i="175"/>
  <c r="AG385"/>
  <c r="AK254"/>
  <c r="T34" i="68"/>
  <c r="K44" i="160"/>
  <c r="K50" i="161"/>
  <c r="AJ202" i="175"/>
  <c r="AF129"/>
  <c r="G31" i="119"/>
  <c r="L35" i="67"/>
  <c r="H47" i="152"/>
  <c r="O30" i="120"/>
  <c r="AK54" i="175"/>
  <c r="AG137"/>
  <c r="O29" i="119"/>
  <c r="V35" i="140"/>
  <c r="E34" i="120"/>
  <c r="H35" i="140"/>
  <c r="F33"/>
  <c r="X30" i="119"/>
  <c r="AI668" i="175"/>
  <c r="V34" i="68"/>
  <c r="AI710" i="175"/>
  <c r="R34" i="120"/>
  <c r="K34" i="68"/>
  <c r="M34"/>
  <c r="AL209" i="175"/>
  <c r="S49" i="146"/>
  <c r="AH690" i="175"/>
  <c r="AI707"/>
  <c r="AG134"/>
  <c r="E46" i="160"/>
  <c r="H49" i="147"/>
  <c r="T36" i="140"/>
  <c r="C35" i="120"/>
  <c r="W34" i="68"/>
  <c r="W35" i="140"/>
  <c r="B50" i="146"/>
  <c r="AK266" i="175"/>
  <c r="I35" i="120"/>
  <c r="E50" i="146"/>
  <c r="E49" i="147"/>
  <c r="AK144" i="175"/>
  <c r="U35" i="140"/>
  <c r="AE382" i="175"/>
  <c r="AE383"/>
  <c r="U35" i="120"/>
  <c r="E48" i="148"/>
  <c r="AJ255" i="175"/>
  <c r="M34" i="71"/>
  <c r="R34"/>
  <c r="B45" i="160"/>
  <c r="AL206" i="175"/>
  <c r="B47" i="148"/>
  <c r="G32" i="140"/>
  <c r="M35" i="120"/>
  <c r="S32" i="68"/>
  <c r="P35" i="67"/>
  <c r="B49" i="147"/>
  <c r="AD693" i="175"/>
  <c r="AF196"/>
  <c r="AI709"/>
  <c r="O47" i="148"/>
  <c r="AG665" i="175"/>
  <c r="E35" i="119"/>
  <c r="D35" i="120"/>
  <c r="AL211" i="175"/>
  <c r="AJ676"/>
  <c r="AD692"/>
  <c r="AI235"/>
  <c r="F33" i="64"/>
  <c r="AJ45" i="175"/>
  <c r="AE694"/>
  <c r="AE136"/>
  <c r="R35" i="119"/>
  <c r="AJ395" i="175"/>
  <c r="AE664"/>
  <c r="AI388"/>
  <c r="AJ679"/>
  <c r="AK150"/>
  <c r="AJ36"/>
  <c r="S50" i="163"/>
  <c r="S48" i="147"/>
  <c r="H33" i="71"/>
  <c r="L35" i="64"/>
  <c r="U34" i="71"/>
  <c r="AK49" i="175"/>
  <c r="H33" i="68"/>
  <c r="Q38" i="69"/>
  <c r="AI706" i="175"/>
  <c r="E47" i="152"/>
  <c r="J35" i="67"/>
  <c r="AJ201" i="175"/>
  <c r="AF381"/>
  <c r="AE660"/>
  <c r="W35" i="119"/>
  <c r="AI669" i="175"/>
  <c r="AJ397"/>
  <c r="W35" i="64"/>
  <c r="AL274" i="175"/>
  <c r="X29" i="68"/>
  <c r="H46" i="160"/>
  <c r="P35" i="140"/>
  <c r="AD691" i="175"/>
  <c r="H51" i="163"/>
  <c r="AF40" i="175"/>
  <c r="U35" i="67"/>
  <c r="J34" i="68"/>
  <c r="AL205" i="175"/>
  <c r="AJ193"/>
  <c r="AE377"/>
  <c r="AI708"/>
  <c r="AI703"/>
  <c r="Q36" i="120"/>
  <c r="L34" i="71"/>
  <c r="AC176" i="175"/>
  <c r="K46" i="148"/>
  <c r="V35" i="67"/>
  <c r="D35" i="140"/>
  <c r="M35"/>
  <c r="M36" i="119"/>
  <c r="AL273" i="175"/>
  <c r="AI698"/>
  <c r="AK265"/>
  <c r="E33" i="71"/>
  <c r="B27" i="67"/>
  <c r="AF696" i="175"/>
  <c r="P35" i="64"/>
  <c r="AG253" i="175"/>
  <c r="L34" i="68"/>
  <c r="U35" i="64"/>
  <c r="U34" i="68"/>
  <c r="AF657" i="175"/>
  <c r="Q37" i="64"/>
  <c r="H35" i="120"/>
  <c r="J35" i="140"/>
  <c r="F32" i="68"/>
  <c r="G32" i="120"/>
  <c r="AF661" i="175"/>
  <c r="AH389"/>
  <c r="AN440"/>
  <c r="L36" i="119"/>
  <c r="AK131" i="175"/>
  <c r="AJ203"/>
  <c r="S34" i="67"/>
  <c r="H34" i="64"/>
  <c r="AG257" i="175"/>
  <c r="N35" i="64"/>
  <c r="AF259" i="175"/>
  <c r="W35" i="67"/>
  <c r="AI387" i="175"/>
  <c r="F32" i="119"/>
  <c r="I35" i="67"/>
  <c r="K36" i="119"/>
  <c r="D34" i="71"/>
  <c r="AK175" i="175"/>
  <c r="P34" i="68"/>
  <c r="AK139" i="175"/>
  <c r="AF260"/>
  <c r="AL268"/>
  <c r="AK55"/>
  <c r="AJ675"/>
  <c r="AJ392"/>
  <c r="I36" i="119"/>
  <c r="AE132" i="175"/>
  <c r="AG135"/>
  <c r="P35" i="119"/>
  <c r="AI697" i="175"/>
  <c r="O46" i="152"/>
  <c r="AJ204" i="175"/>
  <c r="W34" i="71"/>
  <c r="B35" i="120"/>
  <c r="AE380" i="175"/>
  <c r="AI234"/>
  <c r="I35" i="140"/>
  <c r="O29" i="71"/>
  <c r="H48" i="148"/>
  <c r="Q36" i="140"/>
  <c r="AG195" i="175"/>
  <c r="V34" i="71"/>
  <c r="O28" i="68"/>
  <c r="AL264" i="175"/>
  <c r="AK130"/>
  <c r="AK269"/>
  <c r="E50" i="163"/>
  <c r="I35" i="64"/>
  <c r="N35" i="120"/>
  <c r="E33" i="68"/>
  <c r="AK141" i="175"/>
  <c r="AH261"/>
  <c r="S46" i="152"/>
  <c r="H50" i="146"/>
  <c r="D35" i="64"/>
  <c r="AK138" i="175"/>
  <c r="AK52"/>
  <c r="AJ667"/>
  <c r="E34" i="64"/>
  <c r="AH698" i="175"/>
  <c r="AK173"/>
  <c r="AI379"/>
  <c r="O30" i="140"/>
  <c r="S34" i="64"/>
  <c r="AJ672" i="175"/>
  <c r="Q36" i="68"/>
  <c r="K45" i="152"/>
  <c r="AH699" i="175"/>
  <c r="AD694"/>
  <c r="S45" i="160"/>
  <c r="G31" i="68"/>
  <c r="AF194" i="175"/>
  <c r="W36" i="119"/>
  <c r="S35" i="140"/>
  <c r="X30" i="71"/>
  <c r="O49" i="146"/>
  <c r="B35" i="140"/>
  <c r="AK56" i="175"/>
  <c r="AF133"/>
  <c r="AG700"/>
  <c r="E34" i="67"/>
  <c r="AD688" i="175"/>
  <c r="AF39"/>
  <c r="AL213"/>
  <c r="V35" i="120"/>
  <c r="AJ378" i="175"/>
  <c r="AL212"/>
  <c r="O49" i="163"/>
  <c r="AL210" i="175"/>
  <c r="AJ396"/>
  <c r="I34" i="71"/>
  <c r="AE692" i="175"/>
  <c r="S33" i="71"/>
  <c r="K35" i="67"/>
  <c r="T36" i="120"/>
  <c r="AL200" i="175"/>
  <c r="AK262"/>
  <c r="AF258"/>
  <c r="AK174"/>
  <c r="AK53"/>
  <c r="AL271"/>
  <c r="AJ677"/>
  <c r="C35" i="140"/>
  <c r="B27" i="119"/>
  <c r="N35" i="67"/>
  <c r="AL272" i="175"/>
  <c r="AK148"/>
  <c r="L35" i="140"/>
  <c r="AG191" i="175"/>
  <c r="N34" i="71"/>
  <c r="O48" i="147"/>
  <c r="B27" i="64"/>
  <c r="AJ46" i="175"/>
  <c r="H51" i="161"/>
  <c r="B51" i="163"/>
  <c r="N34" i="68"/>
  <c r="D34"/>
  <c r="AL208" i="175"/>
  <c r="S35" i="120"/>
  <c r="AL267" i="175"/>
  <c r="B51" i="161"/>
  <c r="F32" i="71"/>
  <c r="AE657" i="175"/>
  <c r="H34" i="67"/>
  <c r="N35" i="140"/>
  <c r="V35" i="64"/>
  <c r="R35" i="140"/>
  <c r="Q36" i="119"/>
  <c r="AJ207" i="175"/>
  <c r="AJ398"/>
  <c r="O45" i="160"/>
  <c r="K50" i="163"/>
  <c r="I35" i="68"/>
  <c r="K35" i="120"/>
  <c r="Q37" i="67"/>
  <c r="AJ658" i="175"/>
  <c r="S50" i="161"/>
  <c r="AK772" i="175" l="1"/>
  <c r="BA49" i="189"/>
  <c r="BD772" i="175"/>
  <c r="AK36" i="190"/>
  <c r="AN473" i="175"/>
  <c r="AZ179" i="118"/>
  <c r="AZ132"/>
  <c r="BD203" i="175"/>
  <c r="AJ738"/>
  <c r="AG15" i="189" s="1"/>
  <c r="BA15" s="1"/>
  <c r="AZ273" i="118"/>
  <c r="AZ38"/>
  <c r="AI769" i="175"/>
  <c r="BD46"/>
  <c r="AG638"/>
  <c r="AR46" i="164"/>
  <c r="AS46" s="1"/>
  <c r="AE46" i="189"/>
  <c r="AH800" i="175"/>
  <c r="AE77" i="189" s="1"/>
  <c r="BA273" i="118"/>
  <c r="BA38"/>
  <c r="BD45" i="175"/>
  <c r="BD202"/>
  <c r="AJ737"/>
  <c r="AG14" i="189" s="1"/>
  <c r="BA14" s="1"/>
  <c r="AH637" i="175"/>
  <c r="AI799"/>
  <c r="AF76" i="189" s="1"/>
  <c r="BE80" i="118"/>
  <c r="BE175"/>
  <c r="BE128"/>
  <c r="AE733" i="175"/>
  <c r="BB733" s="1"/>
  <c r="BB136"/>
  <c r="BB664"/>
  <c r="AD633"/>
  <c r="AJ43" i="160"/>
  <c r="AR43" s="1"/>
  <c r="AA10" i="189"/>
  <c r="AD795" i="175"/>
  <c r="AA72" i="189" s="1"/>
  <c r="AR43" i="152"/>
  <c r="AB3" i="189"/>
  <c r="AY3" s="1"/>
  <c r="AE788" i="175"/>
  <c r="AB65" i="189" s="1"/>
  <c r="AY65" s="1"/>
  <c r="BL81" i="118"/>
  <c r="AD626" i="175"/>
  <c r="AF726"/>
  <c r="AC3" i="189" s="1"/>
  <c r="BB657" i="175"/>
  <c r="BB377"/>
  <c r="AS42" i="152"/>
  <c r="AJ44"/>
  <c r="AR44" s="1"/>
  <c r="AC11" i="189"/>
  <c r="AB7"/>
  <c r="AY7" s="1"/>
  <c r="AA6"/>
  <c r="AE792" i="175"/>
  <c r="AB69" i="189" s="1"/>
  <c r="AY69" s="1"/>
  <c r="AD630" i="175"/>
  <c r="BD82" i="118"/>
  <c r="BI80"/>
  <c r="N46" i="148"/>
  <c r="D46" i="152"/>
  <c r="N44" i="160"/>
  <c r="N47" i="147"/>
  <c r="AF730" i="175"/>
  <c r="AF792" s="1"/>
  <c r="AC69" i="189" s="1"/>
  <c r="AG734" i="175"/>
  <c r="AG796" s="1"/>
  <c r="AD73" i="189" s="1"/>
  <c r="BB132" i="175"/>
  <c r="AE729"/>
  <c r="BB729" s="1"/>
  <c r="BH81" i="118"/>
  <c r="N45" i="152"/>
  <c r="D47" i="148"/>
  <c r="C46"/>
  <c r="AB46"/>
  <c r="AJ46" s="1"/>
  <c r="C44" i="160"/>
  <c r="D45"/>
  <c r="AB44"/>
  <c r="D48" i="147"/>
  <c r="X48" s="1"/>
  <c r="AB47"/>
  <c r="AJ47" s="1"/>
  <c r="C47"/>
  <c r="X44" i="160"/>
  <c r="AB45" i="152"/>
  <c r="X46" i="148"/>
  <c r="AA46" s="1"/>
  <c r="X45" i="152"/>
  <c r="K45" i="49"/>
  <c r="AY179" i="118"/>
  <c r="AY132"/>
  <c r="BD204" i="175"/>
  <c r="AS48" i="56"/>
  <c r="AZ86" i="118"/>
  <c r="AS48" i="155"/>
  <c r="BH129" i="118"/>
  <c r="BH176"/>
  <c r="AE630" i="175"/>
  <c r="BB692"/>
  <c r="AF13" i="189"/>
  <c r="AP39" i="118"/>
  <c r="BA133"/>
  <c r="BA180"/>
  <c r="AR274"/>
  <c r="AP133"/>
  <c r="AP180"/>
  <c r="AS86"/>
  <c r="AQ87"/>
  <c r="BB132"/>
  <c r="BB179"/>
  <c r="AQ39"/>
  <c r="AS39"/>
  <c r="AU133"/>
  <c r="AU180"/>
  <c r="BB86"/>
  <c r="AS133"/>
  <c r="AS180"/>
  <c r="AS87"/>
  <c r="BI175"/>
  <c r="BI128"/>
  <c r="AT180"/>
  <c r="AT133"/>
  <c r="AS274"/>
  <c r="AT274"/>
  <c r="AQ274"/>
  <c r="AQ133"/>
  <c r="AQ180"/>
  <c r="AT39"/>
  <c r="BC86"/>
  <c r="AR39"/>
  <c r="AP87"/>
  <c r="AR180"/>
  <c r="AR133"/>
  <c r="BD177"/>
  <c r="BD130"/>
  <c r="AP274"/>
  <c r="BD677" i="175"/>
  <c r="AI647"/>
  <c r="BD397"/>
  <c r="AK745"/>
  <c r="AI646"/>
  <c r="AI644"/>
  <c r="AF634"/>
  <c r="BD396"/>
  <c r="AK744"/>
  <c r="BD679"/>
  <c r="BD676"/>
  <c r="AD629"/>
  <c r="BB380"/>
  <c r="AI252"/>
  <c r="BD399"/>
  <c r="BD398"/>
  <c r="AK746"/>
  <c r="AH636"/>
  <c r="AI645"/>
  <c r="BD395"/>
  <c r="BD201"/>
  <c r="AJ736"/>
  <c r="BD736" s="1"/>
  <c r="BD675"/>
  <c r="BD678"/>
  <c r="AK748"/>
  <c r="AK747"/>
  <c r="AI648"/>
  <c r="AC190"/>
  <c r="BB660"/>
  <c r="AJ47" i="164"/>
  <c r="AJ810" i="175"/>
  <c r="AG87" i="189" s="1"/>
  <c r="BA87" s="1"/>
  <c r="AG25"/>
  <c r="BA25" s="1"/>
  <c r="BD748" i="175"/>
  <c r="AG24" i="189"/>
  <c r="BA24" s="1"/>
  <c r="AJ809" i="175"/>
  <c r="AG86" i="189" s="1"/>
  <c r="AS39" i="143"/>
  <c r="AG21" i="189"/>
  <c r="BA21" s="1"/>
  <c r="AJ806" i="175"/>
  <c r="AG83" i="189" s="1"/>
  <c r="BA83" s="1"/>
  <c r="AJ49" i="159"/>
  <c r="AF86" i="189"/>
  <c r="AJ49" i="158"/>
  <c r="AA47" i="147"/>
  <c r="AG23" i="189"/>
  <c r="BA23" s="1"/>
  <c r="AJ808" i="175"/>
  <c r="BD746"/>
  <c r="AS47" i="159"/>
  <c r="AJ41" i="143"/>
  <c r="AA68" i="189"/>
  <c r="AG22"/>
  <c r="BA22" s="1"/>
  <c r="AJ807" i="175"/>
  <c r="AG84" i="189" s="1"/>
  <c r="BA84" s="1"/>
  <c r="AS44" i="148"/>
  <c r="AS47" i="158"/>
  <c r="AD127" i="118"/>
  <c r="AG31" i="72"/>
  <c r="AA41" i="143"/>
  <c r="AC43"/>
  <c r="N43"/>
  <c r="X43"/>
  <c r="X42"/>
  <c r="AC42"/>
  <c r="N42"/>
  <c r="AR40"/>
  <c r="AE793" i="175"/>
  <c r="BB793" s="1"/>
  <c r="AS47" i="150"/>
  <c r="AG87" i="118"/>
  <c r="AG181"/>
  <c r="AG134"/>
  <c r="AG41"/>
  <c r="AG276"/>
  <c r="BG82"/>
  <c r="BG34"/>
  <c r="BG269"/>
  <c r="BL129"/>
  <c r="BL176"/>
  <c r="BG128"/>
  <c r="BG175"/>
  <c r="BB382" i="175"/>
  <c r="AF731"/>
  <c r="AF793" s="1"/>
  <c r="AD631"/>
  <c r="AS46" i="149"/>
  <c r="AB8" i="189"/>
  <c r="AY8" s="1"/>
  <c r="AD174" i="118"/>
  <c r="AJ48" i="149"/>
  <c r="AA48"/>
  <c r="AS48" i="171"/>
  <c r="BB732" i="175"/>
  <c r="AC37" i="72"/>
  <c r="O50" i="167"/>
  <c r="R50" s="1"/>
  <c r="S50" i="145"/>
  <c r="V50" s="1"/>
  <c r="O50" i="151"/>
  <c r="R50" s="1"/>
  <c r="S50" i="164"/>
  <c r="V50" s="1"/>
  <c r="BF34" i="118"/>
  <c r="BF269"/>
  <c r="S50" i="154"/>
  <c r="V50" s="1"/>
  <c r="S50" i="56"/>
  <c r="V50" s="1"/>
  <c r="S50" i="159"/>
  <c r="V50" s="1"/>
  <c r="S50" i="155"/>
  <c r="V50" s="1"/>
  <c r="O50" i="56"/>
  <c r="R50" s="1"/>
  <c r="AD49" i="149"/>
  <c r="O50" i="166"/>
  <c r="R50" s="1"/>
  <c r="S50" i="150"/>
  <c r="V50" s="1"/>
  <c r="S50" i="171"/>
  <c r="V50" s="1"/>
  <c r="S50" i="158"/>
  <c r="V50" s="1"/>
  <c r="O50"/>
  <c r="R50" s="1"/>
  <c r="X49" i="149"/>
  <c r="F49"/>
  <c r="S50" i="168"/>
  <c r="V50" s="1"/>
  <c r="AX180" i="118"/>
  <c r="AX133"/>
  <c r="BB383" i="175"/>
  <c r="AJ50" i="171"/>
  <c r="O50" i="155"/>
  <c r="R50" s="1"/>
  <c r="S50" i="144"/>
  <c r="V50" s="1"/>
  <c r="O50" i="168"/>
  <c r="R50" s="1"/>
  <c r="BQ48" i="164"/>
  <c r="BR48" s="1"/>
  <c r="AE48" s="1"/>
  <c r="S50" i="166"/>
  <c r="V50" s="1"/>
  <c r="AR49" i="56"/>
  <c r="O50" i="159"/>
  <c r="R50" s="1"/>
  <c r="AR49" i="155"/>
  <c r="O50" i="154"/>
  <c r="R50" s="1"/>
  <c r="O50" i="153"/>
  <c r="R50" s="1"/>
  <c r="O50" i="171"/>
  <c r="R50" s="1"/>
  <c r="S50" i="167"/>
  <c r="V50" s="1"/>
  <c r="V38" i="72"/>
  <c r="AW180" i="118"/>
  <c r="AW133"/>
  <c r="BJ179"/>
  <c r="BJ132"/>
  <c r="BC180"/>
  <c r="BC133"/>
  <c r="AF283" i="175"/>
  <c r="BK134" i="118"/>
  <c r="BK181"/>
  <c r="BJ86"/>
  <c r="AE39" i="72"/>
  <c r="BD672" i="175"/>
  <c r="AA39" i="72"/>
  <c r="N50" i="161"/>
  <c r="C50" i="146"/>
  <c r="N50"/>
  <c r="BD392" i="175"/>
  <c r="AD38" i="72"/>
  <c r="BJ273" i="118"/>
  <c r="BJ38"/>
  <c r="BD36" i="175"/>
  <c r="R49" i="163"/>
  <c r="BD666" i="175"/>
  <c r="Z39" i="72"/>
  <c r="V50" i="161"/>
  <c r="R48" i="147"/>
  <c r="BD658" i="175"/>
  <c r="BD386"/>
  <c r="AE632"/>
  <c r="AK735"/>
  <c r="BD378"/>
  <c r="S39" i="72"/>
  <c r="AK741" i="175"/>
  <c r="V48" i="147"/>
  <c r="BK274" i="118"/>
  <c r="X39" i="72"/>
  <c r="BK39" i="118"/>
  <c r="BD667" i="175"/>
  <c r="R49" i="146"/>
  <c r="AI641" i="175"/>
  <c r="R46" i="152"/>
  <c r="N50" i="163"/>
  <c r="AF221" i="175"/>
  <c r="AF732"/>
  <c r="BD255"/>
  <c r="BD207"/>
  <c r="BF82" i="118"/>
  <c r="BK86"/>
  <c r="BF175"/>
  <c r="BF128"/>
  <c r="AV132"/>
  <c r="AV179"/>
  <c r="AH628" i="175"/>
  <c r="D51" i="163"/>
  <c r="V45" i="160"/>
  <c r="AI636" i="175"/>
  <c r="AI635"/>
  <c r="AK727"/>
  <c r="AD632"/>
  <c r="BB694"/>
  <c r="R51" i="161"/>
  <c r="V50" i="163"/>
  <c r="R45" i="160"/>
  <c r="V49" i="146"/>
  <c r="BC39" i="118"/>
  <c r="BC274"/>
  <c r="T39" i="72"/>
  <c r="G50" i="163"/>
  <c r="X50" s="1"/>
  <c r="AN470" i="175"/>
  <c r="AK34" i="190"/>
  <c r="AN471" i="175"/>
  <c r="AK52" i="190" s="1"/>
  <c r="AI413" i="118"/>
  <c r="R47" i="148"/>
  <c r="G47" i="152"/>
  <c r="R39" i="72"/>
  <c r="V47" i="148"/>
  <c r="J47" i="152"/>
  <c r="AI627" i="175"/>
  <c r="AW39" i="118"/>
  <c r="Y39" i="72"/>
  <c r="AW274" i="118"/>
  <c r="J51" i="163"/>
  <c r="AJ728" i="175"/>
  <c r="BD728" s="1"/>
  <c r="BD193"/>
  <c r="W41" i="72"/>
  <c r="V46" i="152"/>
  <c r="AA48" i="164"/>
  <c r="AA49" i="145"/>
  <c r="AR48" i="154"/>
  <c r="D51" i="171"/>
  <c r="AB51" s="1"/>
  <c r="D51" i="143"/>
  <c r="K51" s="1"/>
  <c r="D51" i="56"/>
  <c r="K51" s="1"/>
  <c r="N51" s="1"/>
  <c r="D51" i="166"/>
  <c r="K51" s="1"/>
  <c r="N51" s="1"/>
  <c r="AJ49" i="153"/>
  <c r="AA71" i="189"/>
  <c r="AA49" i="151"/>
  <c r="C50" i="161"/>
  <c r="AB50"/>
  <c r="X50"/>
  <c r="X50" i="151"/>
  <c r="AC50"/>
  <c r="AA49" i="158"/>
  <c r="J51"/>
  <c r="AF51" s="1"/>
  <c r="S51" i="162"/>
  <c r="V51" s="1"/>
  <c r="BJ51" i="161"/>
  <c r="D51" s="1"/>
  <c r="BV51"/>
  <c r="J51" s="1"/>
  <c r="AA48" i="146"/>
  <c r="AR48" i="150"/>
  <c r="BK51" i="164"/>
  <c r="BL51" s="1"/>
  <c r="G51"/>
  <c r="AD51" s="1"/>
  <c r="G51" i="151"/>
  <c r="AD51" s="1"/>
  <c r="AD49" i="163"/>
  <c r="AR48" i="166"/>
  <c r="AR48" i="153"/>
  <c r="D51" i="145"/>
  <c r="D51" i="155"/>
  <c r="K51" s="1"/>
  <c r="N51" s="1"/>
  <c r="D51" i="154"/>
  <c r="K51" s="1"/>
  <c r="N51" s="1"/>
  <c r="AA49" i="153"/>
  <c r="X50" i="167"/>
  <c r="AB50"/>
  <c r="X50" i="154"/>
  <c r="AB50"/>
  <c r="AF50" i="161"/>
  <c r="I50"/>
  <c r="AR48" i="159"/>
  <c r="AA49" i="150"/>
  <c r="G49" i="147"/>
  <c r="F48"/>
  <c r="AD48"/>
  <c r="Z50" i="171"/>
  <c r="AB369" i="118"/>
  <c r="AD369" s="1"/>
  <c r="W43" i="49"/>
  <c r="J51" i="143"/>
  <c r="AF51" s="1"/>
  <c r="AR48" i="161"/>
  <c r="H45" i="137"/>
  <c r="BD52" i="161" s="1"/>
  <c r="H52" i="144"/>
  <c r="H52" i="154"/>
  <c r="H52" i="167"/>
  <c r="H52" i="168"/>
  <c r="H52" i="150"/>
  <c r="H52" i="159"/>
  <c r="H52" i="143"/>
  <c r="H52" i="166"/>
  <c r="H52" i="162"/>
  <c r="I52" s="1"/>
  <c r="H52" i="151"/>
  <c r="H52" i="145"/>
  <c r="H52" i="165"/>
  <c r="H52" i="153"/>
  <c r="H52" i="56"/>
  <c r="H52" i="149"/>
  <c r="AB183" i="118"/>
  <c r="H52" i="158"/>
  <c r="H52" i="164"/>
  <c r="H52" i="171"/>
  <c r="H52" i="155"/>
  <c r="G51" i="166"/>
  <c r="AD51" s="1"/>
  <c r="AM501" i="175"/>
  <c r="AJ51" i="190"/>
  <c r="AS45" i="147"/>
  <c r="C47" i="13"/>
  <c r="AL54" i="171"/>
  <c r="AM54" s="1"/>
  <c r="D48" i="13"/>
  <c r="CB54" i="162"/>
  <c r="AJ49" i="145"/>
  <c r="D51" i="150"/>
  <c r="D51" i="149"/>
  <c r="K51" s="1"/>
  <c r="N51" s="1"/>
  <c r="K51" i="162"/>
  <c r="N51" s="1"/>
  <c r="D51" i="168"/>
  <c r="D51" i="158"/>
  <c r="AJ49" i="166"/>
  <c r="AB50" i="168"/>
  <c r="X50"/>
  <c r="X50" i="150"/>
  <c r="AB50"/>
  <c r="AJ50" s="1"/>
  <c r="AS47" i="151"/>
  <c r="AR45" i="148"/>
  <c r="AJ49" i="151"/>
  <c r="AA49" i="167"/>
  <c r="X52" i="162"/>
  <c r="AB52"/>
  <c r="AJ49" i="168"/>
  <c r="AS47" i="153"/>
  <c r="AW46" i="51"/>
  <c r="J46"/>
  <c r="AA49" i="171" s="1"/>
  <c r="AR49" s="1"/>
  <c r="AZ46" i="51"/>
  <c r="X50" i="159"/>
  <c r="AB50"/>
  <c r="AJ49" i="154"/>
  <c r="I48" i="147"/>
  <c r="AF48"/>
  <c r="J49"/>
  <c r="AA49" i="161"/>
  <c r="AR50" i="162"/>
  <c r="J51" i="159"/>
  <c r="AF51" s="1"/>
  <c r="J51" i="166"/>
  <c r="AF51" s="1"/>
  <c r="J51" i="151"/>
  <c r="AF51" s="1"/>
  <c r="J51" i="154"/>
  <c r="AF51" s="1"/>
  <c r="AS49" i="162"/>
  <c r="E52" i="56"/>
  <c r="AB136" i="118"/>
  <c r="E52" i="151"/>
  <c r="E52" i="144"/>
  <c r="E52" i="165"/>
  <c r="E52" i="154"/>
  <c r="E52" i="167"/>
  <c r="E52" i="162"/>
  <c r="E52" i="149"/>
  <c r="F45" i="137"/>
  <c r="BC52" i="161" s="1"/>
  <c r="BP52" s="1"/>
  <c r="G52" s="1"/>
  <c r="E52" i="153"/>
  <c r="E52" i="145"/>
  <c r="E52" i="166"/>
  <c r="E52" i="168"/>
  <c r="E52" i="143"/>
  <c r="E52" i="150"/>
  <c r="E52" i="158"/>
  <c r="E52" i="155"/>
  <c r="E52" i="171"/>
  <c r="E52" i="159"/>
  <c r="E52" i="164"/>
  <c r="AD49" i="146"/>
  <c r="F49"/>
  <c r="G50"/>
  <c r="X49"/>
  <c r="Z44" i="49"/>
  <c r="M44"/>
  <c r="J45"/>
  <c r="BN49" i="164"/>
  <c r="BU49" s="1"/>
  <c r="BV49" s="1"/>
  <c r="X49" s="1"/>
  <c r="AJ51" i="162"/>
  <c r="BM50" i="164"/>
  <c r="BT50"/>
  <c r="BP50"/>
  <c r="AS47" i="154"/>
  <c r="G51" i="150"/>
  <c r="AD51" s="1"/>
  <c r="G51" i="145"/>
  <c r="AD51" s="1"/>
  <c r="AD51" i="161"/>
  <c r="F51"/>
  <c r="G51" i="154"/>
  <c r="AD51" s="1"/>
  <c r="AK45" i="51"/>
  <c r="AV45"/>
  <c r="AX45" s="1"/>
  <c r="B38" i="72"/>
  <c r="D38" s="1"/>
  <c r="I38" s="1"/>
  <c r="H38" s="1"/>
  <c r="G38" s="1"/>
  <c r="F38" s="1"/>
  <c r="E38" s="1"/>
  <c r="AB38" i="118"/>
  <c r="AJ52" i="190"/>
  <c r="AG4" i="189"/>
  <c r="BA4" s="1"/>
  <c r="AJ789" i="175"/>
  <c r="AG66" i="189" s="1"/>
  <c r="BA66" s="1"/>
  <c r="BD727" i="175"/>
  <c r="AD46" i="152"/>
  <c r="AB50" i="163"/>
  <c r="K50" i="171"/>
  <c r="N50" s="1"/>
  <c r="L45" i="49"/>
  <c r="S50" i="143"/>
  <c r="V50" s="1"/>
  <c r="S50" i="149"/>
  <c r="V50" s="1"/>
  <c r="O50" i="145"/>
  <c r="R50" s="1"/>
  <c r="O50" i="143"/>
  <c r="R50" s="1"/>
  <c r="K50" i="151"/>
  <c r="N50" s="1"/>
  <c r="S50"/>
  <c r="V50" s="1"/>
  <c r="S50" i="153"/>
  <c r="V50" s="1"/>
  <c r="O50" i="150"/>
  <c r="R50" s="1"/>
  <c r="O50" i="144"/>
  <c r="R50" s="1"/>
  <c r="AS47" i="168"/>
  <c r="AS46" i="146"/>
  <c r="C51" i="165"/>
  <c r="K51"/>
  <c r="N51" s="1"/>
  <c r="X42" i="49"/>
  <c r="G46" i="51"/>
  <c r="AB50" i="164"/>
  <c r="AF52" i="162"/>
  <c r="AR48" i="168"/>
  <c r="AR47" i="146"/>
  <c r="J51" i="171"/>
  <c r="AF51" s="1"/>
  <c r="J51" i="167"/>
  <c r="AF51" s="1"/>
  <c r="J51" i="144"/>
  <c r="AF51" s="1"/>
  <c r="AR48" i="145"/>
  <c r="X50" i="166"/>
  <c r="AB50"/>
  <c r="I45" i="160"/>
  <c r="AF45"/>
  <c r="J46"/>
  <c r="G51" i="158"/>
  <c r="AD51" s="1"/>
  <c r="G51" i="153"/>
  <c r="AD51" s="1"/>
  <c r="G51" i="167"/>
  <c r="AD51" s="1"/>
  <c r="AG18" i="189"/>
  <c r="BA18" s="1"/>
  <c r="AJ803" i="175"/>
  <c r="BD741"/>
  <c r="AG12" i="189"/>
  <c r="BA12" s="1"/>
  <c r="AJ797" i="175"/>
  <c r="CC53" i="162"/>
  <c r="D53" s="1"/>
  <c r="CE53"/>
  <c r="J53" s="1"/>
  <c r="CD53"/>
  <c r="G53" s="1"/>
  <c r="CG53"/>
  <c r="AL53" s="1"/>
  <c r="D51" i="159"/>
  <c r="X50" i="56"/>
  <c r="AA50" s="1"/>
  <c r="AB50"/>
  <c r="AJ50" s="1"/>
  <c r="AR47" i="149"/>
  <c r="AD52" i="162"/>
  <c r="AS47" i="166"/>
  <c r="AB50" i="145"/>
  <c r="X50"/>
  <c r="AJ49" i="161"/>
  <c r="J51" i="155"/>
  <c r="AF51" s="1"/>
  <c r="J51" i="168"/>
  <c r="AF51" s="1"/>
  <c r="J51" i="164"/>
  <c r="AF51" s="1"/>
  <c r="J51" i="153"/>
  <c r="AF51" s="1"/>
  <c r="AS42" i="160"/>
  <c r="AR48" i="151"/>
  <c r="G51" i="155"/>
  <c r="AD51" s="1"/>
  <c r="G51" i="159"/>
  <c r="AD51" s="1"/>
  <c r="O51" i="162"/>
  <c r="R51" s="1"/>
  <c r="G51" i="144"/>
  <c r="AD51" s="1"/>
  <c r="BW412" i="118"/>
  <c r="BX412"/>
  <c r="BQ412"/>
  <c r="BR412"/>
  <c r="BS412"/>
  <c r="BU412"/>
  <c r="BP412"/>
  <c r="AE412" s="1"/>
  <c r="BV412"/>
  <c r="BT412"/>
  <c r="AE794" i="175"/>
  <c r="AB71" i="189" s="1"/>
  <c r="AB9"/>
  <c r="AY9" s="1"/>
  <c r="AF50" i="163"/>
  <c r="C46" i="137"/>
  <c r="G46"/>
  <c r="E46"/>
  <c r="G46" i="160"/>
  <c r="F45"/>
  <c r="AD45"/>
  <c r="AS47" i="167"/>
  <c r="AS47" i="165"/>
  <c r="I49" i="146"/>
  <c r="AF49"/>
  <c r="J50"/>
  <c r="D51" i="164"/>
  <c r="D51" i="153"/>
  <c r="K51" s="1"/>
  <c r="N51" s="1"/>
  <c r="D51" i="167"/>
  <c r="D51" i="151"/>
  <c r="K51" s="1"/>
  <c r="N51" s="1"/>
  <c r="D51" i="144"/>
  <c r="K51" s="1"/>
  <c r="AA49" i="166"/>
  <c r="AR46" i="147"/>
  <c r="AA49" i="159"/>
  <c r="AD50" i="165"/>
  <c r="AR48"/>
  <c r="AJ49" i="167"/>
  <c r="AB50" i="153"/>
  <c r="X50"/>
  <c r="AM52" i="162"/>
  <c r="G48" i="148"/>
  <c r="F47"/>
  <c r="AD47"/>
  <c r="AA49" i="168"/>
  <c r="AF47" i="148"/>
  <c r="I47"/>
  <c r="J48"/>
  <c r="AS47" i="161"/>
  <c r="AS46" i="163"/>
  <c r="AS47" s="1"/>
  <c r="AA49" i="154"/>
  <c r="U44" i="49"/>
  <c r="T45"/>
  <c r="AJ49" i="165"/>
  <c r="J51" i="150"/>
  <c r="AF51" s="1"/>
  <c r="J51" i="56"/>
  <c r="AF51" s="1"/>
  <c r="I51" i="165"/>
  <c r="BK51"/>
  <c r="S51"/>
  <c r="V51" s="1"/>
  <c r="J51" i="149"/>
  <c r="AF51" s="1"/>
  <c r="J51" i="145"/>
  <c r="AF51" s="1"/>
  <c r="X50" i="155"/>
  <c r="AA50" s="1"/>
  <c r="AB50"/>
  <c r="AJ50" s="1"/>
  <c r="AB50" i="149"/>
  <c r="AS47" i="145"/>
  <c r="AR48" i="167"/>
  <c r="AI45" i="137"/>
  <c r="D45"/>
  <c r="AB89" i="118"/>
  <c r="B52" i="143"/>
  <c r="B52" i="153"/>
  <c r="B52" i="168"/>
  <c r="B52" i="149"/>
  <c r="B52" i="166"/>
  <c r="B52" i="151"/>
  <c r="B52" i="144"/>
  <c r="AM41" i="142" s="1"/>
  <c r="B52" i="145"/>
  <c r="B52" i="167"/>
  <c r="B52" i="154"/>
  <c r="B52" i="56"/>
  <c r="B52" i="165"/>
  <c r="B52" i="162"/>
  <c r="B52" i="155"/>
  <c r="B52" i="158"/>
  <c r="B52" i="150"/>
  <c r="B52" i="164"/>
  <c r="B52" i="159"/>
  <c r="B52" i="171"/>
  <c r="I45" i="137"/>
  <c r="J45" s="1"/>
  <c r="AR48" i="158"/>
  <c r="AJ48" i="146"/>
  <c r="AB275" i="118"/>
  <c r="H47" i="51"/>
  <c r="I47" s="1"/>
  <c r="X50" i="171"/>
  <c r="AB50" i="158"/>
  <c r="X50"/>
  <c r="AA51" i="162"/>
  <c r="G51" i="171"/>
  <c r="AD51" s="1"/>
  <c r="G51" i="143"/>
  <c r="AD51" s="1"/>
  <c r="G51" i="168"/>
  <c r="AD51" s="1"/>
  <c r="BC51" i="149"/>
  <c r="BB51"/>
  <c r="G51" i="165"/>
  <c r="O51" s="1"/>
  <c r="R51" s="1"/>
  <c r="G51" i="56"/>
  <c r="AD51" s="1"/>
  <c r="AF46" i="152"/>
  <c r="AF5" i="189"/>
  <c r="AI790" i="175"/>
  <c r="AF67" i="189" s="1"/>
  <c r="AJ48" i="163"/>
  <c r="K50" i="164"/>
  <c r="N50" s="1"/>
  <c r="BD735" i="175"/>
  <c r="K50" i="166"/>
  <c r="N50" s="1"/>
  <c r="K50" i="56"/>
  <c r="N50" s="1"/>
  <c r="K50" i="167"/>
  <c r="N50" s="1"/>
  <c r="I51" i="162"/>
  <c r="K50" i="145"/>
  <c r="N50" s="1"/>
  <c r="X49" i="163"/>
  <c r="F51" i="162"/>
  <c r="BD50" i="149"/>
  <c r="G50" s="1"/>
  <c r="O50" i="164"/>
  <c r="R50" s="1"/>
  <c r="K50" i="143"/>
  <c r="L35" i="68"/>
  <c r="Q37"/>
  <c r="U36" i="67"/>
  <c r="AL172" i="175"/>
  <c r="AJ706"/>
  <c r="E35" i="140"/>
  <c r="AL43" i="175"/>
  <c r="J36" i="140"/>
  <c r="U36"/>
  <c r="H34" i="71"/>
  <c r="AL269" i="175"/>
  <c r="X31" i="67"/>
  <c r="F34" i="140"/>
  <c r="AM270" i="175"/>
  <c r="H35" i="64"/>
  <c r="K48" i="147"/>
  <c r="AJ710" i="175"/>
  <c r="G33" i="120"/>
  <c r="AJ708" i="175"/>
  <c r="AF380"/>
  <c r="V36" i="140"/>
  <c r="AL254" i="175"/>
  <c r="M35" i="71"/>
  <c r="D36" i="64"/>
  <c r="AG34" i="175"/>
  <c r="G32" i="67"/>
  <c r="AK46" i="175"/>
  <c r="AJ703"/>
  <c r="Q37" i="71"/>
  <c r="AK255" i="175"/>
  <c r="H48" i="152"/>
  <c r="T37" i="119"/>
  <c r="R36" i="64"/>
  <c r="Q37" i="140"/>
  <c r="N36" i="120"/>
  <c r="AL262" i="175"/>
  <c r="AK44"/>
  <c r="H47" i="160"/>
  <c r="U35" i="71"/>
  <c r="E48" i="152"/>
  <c r="AK398" i="175"/>
  <c r="X31" i="64"/>
  <c r="N36" i="140"/>
  <c r="S36" i="119"/>
  <c r="K36" i="67"/>
  <c r="R34" i="68"/>
  <c r="T37" i="120"/>
  <c r="AF660" i="175"/>
  <c r="L36" i="140"/>
  <c r="AL173" i="175"/>
  <c r="AL131"/>
  <c r="K51" i="146"/>
  <c r="L35" i="71"/>
  <c r="AK677" i="175"/>
  <c r="P35" i="71"/>
  <c r="H34" i="68"/>
  <c r="AF382" i="175"/>
  <c r="G32" i="68"/>
  <c r="AJ234" i="175"/>
  <c r="Q38" i="67"/>
  <c r="AJ388" i="175"/>
  <c r="AJ236"/>
  <c r="S33" i="68"/>
  <c r="B36" i="140"/>
  <c r="S36" i="120"/>
  <c r="AK672" i="175"/>
  <c r="V36" i="120"/>
  <c r="AL266" i="175"/>
  <c r="L36" i="120"/>
  <c r="O31" i="140"/>
  <c r="AL138" i="175"/>
  <c r="AK679"/>
  <c r="AJ235"/>
  <c r="AK204"/>
  <c r="AE691"/>
  <c r="B46" i="160"/>
  <c r="R35" i="67"/>
  <c r="B28" i="119"/>
  <c r="AI699" i="175"/>
  <c r="AK378"/>
  <c r="K47" i="148"/>
  <c r="K51" i="163"/>
  <c r="U35" i="68"/>
  <c r="AF41" i="175"/>
  <c r="AM200"/>
  <c r="AG196"/>
  <c r="AM271"/>
  <c r="E51" i="146"/>
  <c r="AK678" i="175"/>
  <c r="S50" i="146"/>
  <c r="N35" i="71"/>
  <c r="AH134" i="175"/>
  <c r="AL55"/>
  <c r="AL44"/>
  <c r="AK36"/>
  <c r="AM213"/>
  <c r="I36" i="140"/>
  <c r="O29" i="68"/>
  <c r="AK45" i="175"/>
  <c r="B28" i="67"/>
  <c r="C36" i="140"/>
  <c r="D36" i="67"/>
  <c r="AG40" i="175"/>
  <c r="T35" i="68"/>
  <c r="X30"/>
  <c r="AK675" i="175"/>
  <c r="D36" i="120"/>
  <c r="AK392" i="175"/>
  <c r="AL53"/>
  <c r="M36" i="140"/>
  <c r="P36" i="119"/>
  <c r="D35" i="68"/>
  <c r="B50" i="147"/>
  <c r="M35" i="68"/>
  <c r="AE384" i="175"/>
  <c r="I35" i="71"/>
  <c r="E49" i="148"/>
  <c r="AI199" i="175"/>
  <c r="AG381"/>
  <c r="W36" i="64"/>
  <c r="AH253" i="175"/>
  <c r="AL192"/>
  <c r="H52" i="161"/>
  <c r="E51" i="163"/>
  <c r="O49" i="147"/>
  <c r="O46" i="160"/>
  <c r="AK676" i="175"/>
  <c r="J37" i="119"/>
  <c r="K37"/>
  <c r="AG38" i="175"/>
  <c r="S36" i="140"/>
  <c r="B28" i="64"/>
  <c r="X32" i="140"/>
  <c r="B29" i="67"/>
  <c r="AL265" i="175"/>
  <c r="AG39"/>
  <c r="S35" i="64"/>
  <c r="G32" i="119"/>
  <c r="E50" i="147"/>
  <c r="AL35" i="175"/>
  <c r="Q37" i="120"/>
  <c r="P35" i="68"/>
  <c r="AG258" i="175"/>
  <c r="AG133"/>
  <c r="AH137"/>
  <c r="K45" i="160"/>
  <c r="AG197" i="175"/>
  <c r="H36" i="140"/>
  <c r="E34" i="68"/>
  <c r="AL144" i="175"/>
  <c r="E47" i="160"/>
  <c r="AI261" i="175"/>
  <c r="F34" i="67"/>
  <c r="X32" i="120"/>
  <c r="AJ668" i="175"/>
  <c r="O30" i="64"/>
  <c r="AH191" i="175"/>
  <c r="AK203"/>
  <c r="AL54"/>
  <c r="AJ689"/>
  <c r="AK397"/>
  <c r="U36" i="120"/>
  <c r="H50" i="147"/>
  <c r="AM268" i="175"/>
  <c r="F34" i="64"/>
  <c r="P36" i="140"/>
  <c r="AM267" i="175"/>
  <c r="AF37"/>
  <c r="S51" i="161"/>
  <c r="W35" i="71"/>
  <c r="R36" i="140"/>
  <c r="D36"/>
  <c r="AG256" i="175"/>
  <c r="AH700"/>
  <c r="V36" i="67"/>
  <c r="O50" i="163"/>
  <c r="G32" i="71"/>
  <c r="W36" i="67"/>
  <c r="AM210" i="175"/>
  <c r="L36" i="67"/>
  <c r="S48" i="148"/>
  <c r="AK386" i="175"/>
  <c r="AF136"/>
  <c r="AH42"/>
  <c r="AL263"/>
  <c r="AO440"/>
  <c r="AL151"/>
  <c r="AM209"/>
  <c r="I36" i="120"/>
  <c r="AE688" i="175"/>
  <c r="AJ379"/>
  <c r="AL149"/>
  <c r="B47" i="152"/>
  <c r="O48" i="148"/>
  <c r="C36" i="120"/>
  <c r="AL49" i="175"/>
  <c r="K36" i="140"/>
  <c r="AL139" i="175"/>
  <c r="AM272"/>
  <c r="O50" i="146"/>
  <c r="B52" i="161"/>
  <c r="AH135" i="175"/>
  <c r="E34" i="71"/>
  <c r="W36" i="140"/>
  <c r="J35" i="71"/>
  <c r="AL56" i="175"/>
  <c r="AE176"/>
  <c r="E35" i="120"/>
  <c r="L37" i="119"/>
  <c r="T37" i="140"/>
  <c r="AG198" i="175"/>
  <c r="AL175"/>
  <c r="AI389"/>
  <c r="AL130"/>
  <c r="AG696"/>
  <c r="AJ387"/>
  <c r="B36" i="120"/>
  <c r="E35" i="67"/>
  <c r="J36" i="120"/>
  <c r="W36"/>
  <c r="B27" i="68"/>
  <c r="O47" i="152"/>
  <c r="K51" i="161"/>
  <c r="AM208" i="175"/>
  <c r="AK658"/>
  <c r="F33" i="68"/>
  <c r="L36" i="64"/>
  <c r="AL150" i="175"/>
  <c r="H37" i="119"/>
  <c r="AL52" i="175"/>
  <c r="H51" i="146"/>
  <c r="M36" i="67"/>
  <c r="AF662" i="175"/>
  <c r="AG661"/>
  <c r="AF383"/>
  <c r="P36" i="64"/>
  <c r="AF377" i="175"/>
  <c r="O30" i="119"/>
  <c r="R35" i="120"/>
  <c r="AH385" i="175"/>
  <c r="Q37" i="119"/>
  <c r="V36"/>
  <c r="I36" i="67"/>
  <c r="K35" i="71"/>
  <c r="B52" i="163"/>
  <c r="P37" i="120"/>
  <c r="AK666" i="175"/>
  <c r="V36" i="64"/>
  <c r="I36"/>
  <c r="E52" i="161"/>
  <c r="AK396" i="175"/>
  <c r="AL141"/>
  <c r="Q39" i="69"/>
  <c r="AK207" i="175"/>
  <c r="AM275"/>
  <c r="B29" i="119"/>
  <c r="H35" i="67"/>
  <c r="S34" i="71"/>
  <c r="AD176" i="175"/>
  <c r="F33" i="119"/>
  <c r="AH665" i="175"/>
  <c r="S49" i="147"/>
  <c r="AM212" i="175"/>
  <c r="AK395"/>
  <c r="U37" i="119"/>
  <c r="AM205" i="175"/>
  <c r="K36" i="64"/>
  <c r="AK193" i="175"/>
  <c r="S46" i="160"/>
  <c r="M36" i="64"/>
  <c r="U36" i="119"/>
  <c r="AG260" i="175"/>
  <c r="F34" i="120"/>
  <c r="AK202" i="175"/>
  <c r="U36" i="64"/>
  <c r="AL174" i="175"/>
  <c r="J36" i="119"/>
  <c r="AJ707" i="175"/>
  <c r="AL147"/>
  <c r="J35" i="68"/>
  <c r="I36"/>
  <c r="J36" i="67"/>
  <c r="J36" i="64"/>
  <c r="N35" i="68"/>
  <c r="AG194" i="175"/>
  <c r="AL140"/>
  <c r="E35" i="64"/>
  <c r="O52" i="161"/>
  <c r="N36" i="64"/>
  <c r="V35" i="71"/>
  <c r="K36" i="120"/>
  <c r="AK399" i="175"/>
  <c r="F33" i="71"/>
  <c r="AO442" i="175"/>
  <c r="H49" i="148"/>
  <c r="AI690" i="175"/>
  <c r="AG259"/>
  <c r="AM211"/>
  <c r="R36" i="119"/>
  <c r="AJ659" i="175"/>
  <c r="B29" i="64"/>
  <c r="AF692" i="175"/>
  <c r="N36" i="67"/>
  <c r="O30"/>
  <c r="AJ697" i="175"/>
  <c r="P36" i="67"/>
  <c r="AM264" i="175"/>
  <c r="AG129"/>
  <c r="B48" i="148"/>
  <c r="R35" i="64"/>
  <c r="S47" i="152"/>
  <c r="R36" i="67"/>
  <c r="AE695" i="175"/>
  <c r="Q38" i="64"/>
  <c r="AE693" i="175"/>
  <c r="D35" i="71"/>
  <c r="G32" i="64"/>
  <c r="AM273" i="175"/>
  <c r="K35" i="68"/>
  <c r="D36" i="119"/>
  <c r="G33" i="140"/>
  <c r="AM274" i="175"/>
  <c r="B51" i="146"/>
  <c r="AJ709" i="175"/>
  <c r="S35" i="67"/>
  <c r="X31" i="119"/>
  <c r="AK201" i="175"/>
  <c r="AJ669"/>
  <c r="AL148"/>
  <c r="E36" i="119"/>
  <c r="AH257" i="175"/>
  <c r="W35" i="68"/>
  <c r="AH195" i="175"/>
  <c r="K46" i="152"/>
  <c r="AM206" i="175"/>
  <c r="H52" i="163"/>
  <c r="M36" i="120"/>
  <c r="V35" i="68"/>
  <c r="S51" i="163"/>
  <c r="O31" i="120"/>
  <c r="AF663" i="175"/>
  <c r="AF688"/>
  <c r="B27" i="71"/>
  <c r="AF132" i="175"/>
  <c r="AL772" l="1"/>
  <c r="AI49" i="189" s="1"/>
  <c r="AH49"/>
  <c r="BD738" i="175"/>
  <c r="AL36" i="190"/>
  <c r="BC36" s="1"/>
  <c r="AO473" i="175"/>
  <c r="AL54" i="190" s="1"/>
  <c r="BF442" i="175"/>
  <c r="AK54" i="190"/>
  <c r="AZ133" i="118"/>
  <c r="AZ180"/>
  <c r="AK738" i="175"/>
  <c r="AH15" i="189" s="1"/>
  <c r="AW87" i="118"/>
  <c r="AZ39"/>
  <c r="AZ274"/>
  <c r="BD669" i="175"/>
  <c r="AH638"/>
  <c r="AJ769"/>
  <c r="BD234"/>
  <c r="AF46" i="189"/>
  <c r="AI800" i="175"/>
  <c r="AF77" i="189" s="1"/>
  <c r="AR47" i="164"/>
  <c r="AS47" s="1"/>
  <c r="AJ799" i="175"/>
  <c r="BD799" s="1"/>
  <c r="BA39" i="118"/>
  <c r="BA274"/>
  <c r="AK737" i="175"/>
  <c r="AK799" s="1"/>
  <c r="BD388"/>
  <c r="AI637"/>
  <c r="BD668"/>
  <c r="BD737"/>
  <c r="BE34" i="118"/>
  <c r="BE269"/>
  <c r="BE81"/>
  <c r="BE129"/>
  <c r="BE176"/>
  <c r="AE633" i="175"/>
  <c r="BB633" s="1"/>
  <c r="BB695"/>
  <c r="AF733"/>
  <c r="BB384"/>
  <c r="AA44" i="160"/>
  <c r="AJ44"/>
  <c r="AF788" i="175"/>
  <c r="AC65" i="189" s="1"/>
  <c r="AB10"/>
  <c r="AY10" s="1"/>
  <c r="AE795" i="175"/>
  <c r="AE626"/>
  <c r="BB626" s="1"/>
  <c r="BB688"/>
  <c r="AS43" i="152"/>
  <c r="AS44" s="1"/>
  <c r="BB788" i="175"/>
  <c r="BL82" i="118"/>
  <c r="BL35"/>
  <c r="BL270"/>
  <c r="AG726" i="175"/>
  <c r="AD3" i="189" s="1"/>
  <c r="AJ45" i="152"/>
  <c r="AA45"/>
  <c r="AD11" i="189"/>
  <c r="BB792" i="175"/>
  <c r="K46" i="49"/>
  <c r="AB6" i="189"/>
  <c r="AY6" s="1"/>
  <c r="AE791" i="175"/>
  <c r="AB68" i="189" s="1"/>
  <c r="AY68" s="1"/>
  <c r="BI81" i="118"/>
  <c r="AF729" i="175"/>
  <c r="AF791" s="1"/>
  <c r="AC68" i="189" s="1"/>
  <c r="N46" i="152"/>
  <c r="Q35" i="72"/>
  <c r="BH270" i="118"/>
  <c r="BH35"/>
  <c r="N45" i="160"/>
  <c r="N47" i="148"/>
  <c r="BI34" i="118"/>
  <c r="BI269"/>
  <c r="BH82"/>
  <c r="AG730" i="175"/>
  <c r="AG792" s="1"/>
  <c r="AD69" i="189" s="1"/>
  <c r="AH734" i="175"/>
  <c r="AH796" s="1"/>
  <c r="AE73" i="189" s="1"/>
  <c r="D47" i="152"/>
  <c r="X47" s="1"/>
  <c r="BD83" i="118"/>
  <c r="BD271"/>
  <c r="AB36" i="72"/>
  <c r="BD36" i="118"/>
  <c r="N48" i="147"/>
  <c r="AB46" i="152"/>
  <c r="AJ46" s="1"/>
  <c r="AB45" i="160"/>
  <c r="C45"/>
  <c r="D46"/>
  <c r="X46" s="1"/>
  <c r="AB47" i="148"/>
  <c r="AJ47" s="1"/>
  <c r="D48"/>
  <c r="C47"/>
  <c r="X45" i="160"/>
  <c r="X46" i="152"/>
  <c r="AA46" s="1"/>
  <c r="BB630" i="175"/>
  <c r="AB48" i="147"/>
  <c r="C48"/>
  <c r="D49"/>
  <c r="X49" s="1"/>
  <c r="X47" i="148"/>
  <c r="AA47" s="1"/>
  <c r="AC7" i="189"/>
  <c r="AY180" i="118"/>
  <c r="AY133"/>
  <c r="BD235" i="175"/>
  <c r="AS49" i="155"/>
  <c r="AS49" i="56"/>
  <c r="BA87" i="118"/>
  <c r="AG13" i="189"/>
  <c r="BA13" s="1"/>
  <c r="BH130" i="118"/>
  <c r="BH177"/>
  <c r="AF630" i="175"/>
  <c r="AJ798"/>
  <c r="BD798" s="1"/>
  <c r="BA86" i="189"/>
  <c r="BD806" i="175"/>
  <c r="BD131" i="118"/>
  <c r="BD178"/>
  <c r="BI129"/>
  <c r="BI176"/>
  <c r="AS275"/>
  <c r="AR88"/>
  <c r="AU134"/>
  <c r="AU181"/>
  <c r="BB39"/>
  <c r="AR87"/>
  <c r="AR275"/>
  <c r="AT40"/>
  <c r="AS181"/>
  <c r="AS134"/>
  <c r="BB87"/>
  <c r="AQ181"/>
  <c r="AQ134"/>
  <c r="AR40"/>
  <c r="BB274"/>
  <c r="BB180"/>
  <c r="BB133"/>
  <c r="AS40"/>
  <c r="AT134"/>
  <c r="AT181"/>
  <c r="AP275"/>
  <c r="AP40"/>
  <c r="AQ40"/>
  <c r="AQ275"/>
  <c r="AR134"/>
  <c r="AR181"/>
  <c r="AT275"/>
  <c r="AT87"/>
  <c r="AP181"/>
  <c r="AP134"/>
  <c r="BD387" i="175"/>
  <c r="AJ645"/>
  <c r="BD645" s="1"/>
  <c r="BD707"/>
  <c r="AL744"/>
  <c r="AG634"/>
  <c r="AJ648"/>
  <c r="BD648" s="1"/>
  <c r="BD710"/>
  <c r="AL747"/>
  <c r="AD190"/>
  <c r="BB176"/>
  <c r="AE190"/>
  <c r="AL746"/>
  <c r="AE629"/>
  <c r="BB629" s="1"/>
  <c r="BB691"/>
  <c r="AJ646"/>
  <c r="BD646" s="1"/>
  <c r="BD708"/>
  <c r="AJ647"/>
  <c r="BD647" s="1"/>
  <c r="BD709"/>
  <c r="AJ644"/>
  <c r="BD644" s="1"/>
  <c r="BD706"/>
  <c r="AL745"/>
  <c r="AK736"/>
  <c r="AH13" i="189" s="1"/>
  <c r="AJ252" i="175"/>
  <c r="BD252" s="1"/>
  <c r="BD236"/>
  <c r="AL748"/>
  <c r="AH24" i="189"/>
  <c r="AK809" i="175"/>
  <c r="AH23" i="189"/>
  <c r="AK808" i="175"/>
  <c r="AS48" i="159"/>
  <c r="AG85" i="189"/>
  <c r="BA85" s="1"/>
  <c r="BD808" i="175"/>
  <c r="AJ50" i="158"/>
  <c r="AJ42" i="143"/>
  <c r="AJ43"/>
  <c r="AH21" i="189"/>
  <c r="AK806" i="175"/>
  <c r="BD807"/>
  <c r="AJ49" i="163"/>
  <c r="AK807" i="175"/>
  <c r="AH22" i="189"/>
  <c r="AJ48" i="164"/>
  <c r="AS40" i="143"/>
  <c r="AJ50" i="159"/>
  <c r="AH25" i="189"/>
  <c r="AK810" i="175"/>
  <c r="BD809"/>
  <c r="BD810"/>
  <c r="AS48" i="158"/>
  <c r="AG33" i="72"/>
  <c r="AG32"/>
  <c r="AA43" i="143"/>
  <c r="AR41"/>
  <c r="M44"/>
  <c r="L44" s="1"/>
  <c r="AA42"/>
  <c r="AC8" i="189"/>
  <c r="AB70"/>
  <c r="AY70" s="1"/>
  <c r="AS48" i="150"/>
  <c r="AG182" i="118"/>
  <c r="AG135"/>
  <c r="AG42"/>
  <c r="AG277"/>
  <c r="AG88"/>
  <c r="AD175"/>
  <c r="AS43" i="160"/>
  <c r="BG129" i="118"/>
  <c r="BG176"/>
  <c r="BL177"/>
  <c r="BL130"/>
  <c r="BG83"/>
  <c r="BG270"/>
  <c r="BG35"/>
  <c r="AF626" i="175"/>
  <c r="AE631"/>
  <c r="BB631" s="1"/>
  <c r="BB693"/>
  <c r="AG731"/>
  <c r="AD8" i="189" s="1"/>
  <c r="AR48" i="149"/>
  <c r="AD128" i="118"/>
  <c r="AJ49" i="149"/>
  <c r="AS47"/>
  <c r="AS49" i="171"/>
  <c r="BD789" i="175"/>
  <c r="O51" i="144"/>
  <c r="R51" s="1"/>
  <c r="S51" i="159"/>
  <c r="V51" s="1"/>
  <c r="O51" i="166"/>
  <c r="R51" s="1"/>
  <c r="S51" i="143"/>
  <c r="V51" s="1"/>
  <c r="AX134" i="118"/>
  <c r="AX181"/>
  <c r="AR47" i="147"/>
  <c r="BC181" i="118"/>
  <c r="BC134"/>
  <c r="BB632" i="175"/>
  <c r="AA49" i="149"/>
  <c r="S51" i="145"/>
  <c r="V51" s="1"/>
  <c r="O51" i="158"/>
  <c r="R51" s="1"/>
  <c r="S51" i="144"/>
  <c r="V51" s="1"/>
  <c r="O51" i="150"/>
  <c r="R51" s="1"/>
  <c r="S51" i="154"/>
  <c r="V51" s="1"/>
  <c r="AW181" i="118"/>
  <c r="AW134"/>
  <c r="O51" i="56"/>
  <c r="R51" s="1"/>
  <c r="AR50" i="155"/>
  <c r="S51" i="149"/>
  <c r="V51" s="1"/>
  <c r="S51" i="164"/>
  <c r="V51" s="1"/>
  <c r="O51" i="167"/>
  <c r="R51" s="1"/>
  <c r="BQ49" i="164"/>
  <c r="BR49" s="1"/>
  <c r="AE49" s="1"/>
  <c r="AJ51" i="171"/>
  <c r="O51" i="143"/>
  <c r="R51" s="1"/>
  <c r="O51" i="159"/>
  <c r="R51" s="1"/>
  <c r="S51" i="151"/>
  <c r="V51" s="1"/>
  <c r="S51" i="158"/>
  <c r="V51" s="1"/>
  <c r="AY71" i="189"/>
  <c r="V39" i="72"/>
  <c r="AG221" i="175"/>
  <c r="AG732"/>
  <c r="BK87" i="118"/>
  <c r="R46" i="160"/>
  <c r="AO470" i="175"/>
  <c r="BF470" s="1"/>
  <c r="AL34" i="190"/>
  <c r="BC34" s="1"/>
  <c r="AO471" i="175"/>
  <c r="BF440"/>
  <c r="AI414" i="118"/>
  <c r="V46" i="160"/>
  <c r="R50" i="146"/>
  <c r="R52" i="161"/>
  <c r="V49" i="147"/>
  <c r="J52" i="163"/>
  <c r="N51" i="161"/>
  <c r="C51" i="146"/>
  <c r="N51"/>
  <c r="D52" i="163"/>
  <c r="Z40" i="72"/>
  <c r="AL735" i="175"/>
  <c r="BJ274" i="118"/>
  <c r="AD39" i="72"/>
  <c r="BJ39" i="118"/>
  <c r="BB40"/>
  <c r="BB275"/>
  <c r="V47" i="152"/>
  <c r="BF270" i="118"/>
  <c r="BF35"/>
  <c r="AE40" i="72"/>
  <c r="AK728" i="175"/>
  <c r="W42" i="72"/>
  <c r="R49" i="147"/>
  <c r="AL727" i="175"/>
  <c r="AZ87" i="118"/>
  <c r="BC87"/>
  <c r="BJ133"/>
  <c r="BJ180"/>
  <c r="BJ87"/>
  <c r="BF176"/>
  <c r="BF129"/>
  <c r="AG283" i="175"/>
  <c r="BK135" i="118"/>
  <c r="BK182"/>
  <c r="BF83"/>
  <c r="AV133"/>
  <c r="AV180"/>
  <c r="BC40"/>
  <c r="T40" i="72"/>
  <c r="BC275" i="118"/>
  <c r="AL741" i="175"/>
  <c r="S40" i="72"/>
  <c r="AA40"/>
  <c r="V48" i="148"/>
  <c r="J48" i="152"/>
  <c r="V51" i="161"/>
  <c r="V51" i="163"/>
  <c r="R50"/>
  <c r="N51"/>
  <c r="AC38" i="72"/>
  <c r="G51" i="163"/>
  <c r="X51" s="1"/>
  <c r="BD379" i="175"/>
  <c r="R48" i="148"/>
  <c r="G48" i="152"/>
  <c r="V50" i="146"/>
  <c r="AI628" i="175"/>
  <c r="R40" i="72"/>
  <c r="AJ627" i="175"/>
  <c r="BD627" s="1"/>
  <c r="BD689"/>
  <c r="Y40" i="72"/>
  <c r="AW275" i="118"/>
  <c r="AW40"/>
  <c r="AJ635" i="175"/>
  <c r="BD635" s="1"/>
  <c r="BD697"/>
  <c r="BD659"/>
  <c r="X40" i="72"/>
  <c r="BK275" i="118"/>
  <c r="BK40"/>
  <c r="AJ641" i="175"/>
  <c r="BD641" s="1"/>
  <c r="BD703"/>
  <c r="R47" i="152"/>
  <c r="AA49" i="164"/>
  <c r="AA49" i="163"/>
  <c r="AA50" i="158"/>
  <c r="D52" i="171"/>
  <c r="AB52" s="1"/>
  <c r="D52" i="56"/>
  <c r="K52" s="1"/>
  <c r="N52" s="1"/>
  <c r="D52" i="168"/>
  <c r="K52" s="1"/>
  <c r="N52" s="1"/>
  <c r="AR49" i="159"/>
  <c r="AB51" i="167"/>
  <c r="X51"/>
  <c r="F46" i="160"/>
  <c r="G47"/>
  <c r="AD46"/>
  <c r="AM53" i="162"/>
  <c r="AF46" i="160"/>
  <c r="I46"/>
  <c r="J47"/>
  <c r="F50" i="146"/>
  <c r="AD50"/>
  <c r="G51"/>
  <c r="X50"/>
  <c r="G52" i="150"/>
  <c r="AD52" s="1"/>
  <c r="O52" i="162"/>
  <c r="R52" s="1"/>
  <c r="I49" i="147"/>
  <c r="AF49"/>
  <c r="J50"/>
  <c r="AJ52" i="162"/>
  <c r="X51" i="158"/>
  <c r="AB51"/>
  <c r="C48" i="13"/>
  <c r="D49"/>
  <c r="AL55" i="171"/>
  <c r="AM55" s="1"/>
  <c r="CB55" i="162"/>
  <c r="AJ69" i="190"/>
  <c r="J52" i="155"/>
  <c r="AF52" s="1"/>
  <c r="I52" i="165"/>
  <c r="BK52"/>
  <c r="S52"/>
  <c r="V52" s="1"/>
  <c r="J52" i="168"/>
  <c r="AF52" s="1"/>
  <c r="X43" i="49"/>
  <c r="G47" i="51"/>
  <c r="AB51" i="161"/>
  <c r="C51"/>
  <c r="X51"/>
  <c r="AH12" i="189"/>
  <c r="AK797" i="175"/>
  <c r="F50" i="149"/>
  <c r="AD50"/>
  <c r="O50"/>
  <c r="R50" s="1"/>
  <c r="AR51" i="162"/>
  <c r="D52" i="150"/>
  <c r="K52" s="1"/>
  <c r="N52" s="1"/>
  <c r="C52" i="165"/>
  <c r="K52"/>
  <c r="N52" s="1"/>
  <c r="D52" i="145"/>
  <c r="K52" s="1"/>
  <c r="N52" s="1"/>
  <c r="D52" i="149"/>
  <c r="AR49" i="165"/>
  <c r="AA50" i="153"/>
  <c r="AI46" i="137"/>
  <c r="D46"/>
  <c r="AB90" i="118"/>
  <c r="B53" i="149"/>
  <c r="B53" i="151"/>
  <c r="B53" i="144"/>
  <c r="AM42" i="142" s="1"/>
  <c r="B53" i="154"/>
  <c r="B53" i="168"/>
  <c r="B53" i="166"/>
  <c r="B53" i="155"/>
  <c r="B53" i="145"/>
  <c r="B53" i="153"/>
  <c r="B53" i="162"/>
  <c r="C53" s="1"/>
  <c r="B53" i="167"/>
  <c r="B53" i="56"/>
  <c r="B53" i="165"/>
  <c r="B53" i="143"/>
  <c r="B53" i="150"/>
  <c r="B53" i="164"/>
  <c r="B53" i="159"/>
  <c r="B53" i="158"/>
  <c r="B53" i="171"/>
  <c r="I46" i="137"/>
  <c r="J46" s="1"/>
  <c r="X51" i="159"/>
  <c r="AB51"/>
  <c r="AJ50" i="166"/>
  <c r="AA50" i="163"/>
  <c r="AA49" i="146"/>
  <c r="G52" i="166"/>
  <c r="AD52" s="1"/>
  <c r="X51" i="168"/>
  <c r="AB51"/>
  <c r="CC54" i="162"/>
  <c r="D54" s="1"/>
  <c r="CE54"/>
  <c r="J54" s="1"/>
  <c r="CD54"/>
  <c r="G54" s="1"/>
  <c r="CG54"/>
  <c r="AL54" s="1"/>
  <c r="J52" i="158"/>
  <c r="AF52" s="1"/>
  <c r="J52" i="153"/>
  <c r="AF52" s="1"/>
  <c r="J52" i="150"/>
  <c r="AF52" s="1"/>
  <c r="J52" i="144"/>
  <c r="AF52" s="1"/>
  <c r="AJ50" i="167"/>
  <c r="AB51" i="145"/>
  <c r="X51"/>
  <c r="AF47" i="152"/>
  <c r="AK789" i="175"/>
  <c r="AH4" i="189"/>
  <c r="D52" i="164"/>
  <c r="K52" s="1"/>
  <c r="N52" s="1"/>
  <c r="K52" i="162"/>
  <c r="N52" s="1"/>
  <c r="D52" i="167"/>
  <c r="K52" s="1"/>
  <c r="N52" s="1"/>
  <c r="D52" i="166"/>
  <c r="D52" i="143"/>
  <c r="K52" s="1"/>
  <c r="AS48" i="167"/>
  <c r="AR49" i="154"/>
  <c r="AR49" i="168"/>
  <c r="AS48" i="165"/>
  <c r="AR49" i="166"/>
  <c r="X51" i="153"/>
  <c r="AB51"/>
  <c r="H46" i="137"/>
  <c r="BD53" i="161" s="1"/>
  <c r="H53" i="144"/>
  <c r="H53" i="154"/>
  <c r="H53" i="158"/>
  <c r="H53" i="143"/>
  <c r="H53" i="168"/>
  <c r="H53" i="153"/>
  <c r="H53" i="165"/>
  <c r="H53" i="167"/>
  <c r="H53" i="166"/>
  <c r="H53" i="145"/>
  <c r="H53" i="151"/>
  <c r="H53" i="162"/>
  <c r="I53" s="1"/>
  <c r="H53" i="159"/>
  <c r="H53" i="150"/>
  <c r="AB184" i="118"/>
  <c r="H53" i="56"/>
  <c r="H53" i="155"/>
  <c r="H53" i="149"/>
  <c r="H53" i="164"/>
  <c r="H53" i="171"/>
  <c r="AS48" i="151"/>
  <c r="AA50" i="145"/>
  <c r="AF53" i="162"/>
  <c r="AS48" i="168"/>
  <c r="AJ49" i="146"/>
  <c r="G52" i="155"/>
  <c r="AD52" s="1"/>
  <c r="G52" i="168"/>
  <c r="AD52" s="1"/>
  <c r="AD52" i="161"/>
  <c r="F52"/>
  <c r="G52" i="154"/>
  <c r="AD52" s="1"/>
  <c r="AR49" i="161"/>
  <c r="AA50" i="159"/>
  <c r="AA52" i="162"/>
  <c r="AJ50" i="168"/>
  <c r="AB51" i="149"/>
  <c r="G47" i="137"/>
  <c r="C47"/>
  <c r="E47"/>
  <c r="J52" i="164"/>
  <c r="AF52" s="1"/>
  <c r="J52" i="56"/>
  <c r="AF52" s="1"/>
  <c r="J52" i="151"/>
  <c r="AF52" s="1"/>
  <c r="J52" i="159"/>
  <c r="AF52" s="1"/>
  <c r="J52" i="154"/>
  <c r="AF52" s="1"/>
  <c r="AD49" i="147"/>
  <c r="F49"/>
  <c r="G50"/>
  <c r="AR49" i="158"/>
  <c r="AJ50" i="161"/>
  <c r="X51" i="166"/>
  <c r="AB51"/>
  <c r="AR49" i="145"/>
  <c r="K51" i="167"/>
  <c r="N51" s="1"/>
  <c r="BD51" i="149"/>
  <c r="G51" s="1"/>
  <c r="X51" s="1"/>
  <c r="O51" i="168"/>
  <c r="R51" s="1"/>
  <c r="O51" i="171"/>
  <c r="R51" s="1"/>
  <c r="S51" i="150"/>
  <c r="V51" s="1"/>
  <c r="S51" i="155"/>
  <c r="V51" s="1"/>
  <c r="K51" i="159"/>
  <c r="N51" s="1"/>
  <c r="S51" i="171"/>
  <c r="V51" s="1"/>
  <c r="O51" i="154"/>
  <c r="R51" s="1"/>
  <c r="O51" i="145"/>
  <c r="R51" s="1"/>
  <c r="K51" i="168"/>
  <c r="N51" s="1"/>
  <c r="K51" i="145"/>
  <c r="N51" s="1"/>
  <c r="O51" i="151"/>
  <c r="R51" s="1"/>
  <c r="O51" i="164"/>
  <c r="R51" s="1"/>
  <c r="AR48" i="163"/>
  <c r="BB794" i="175"/>
  <c r="D52" i="158"/>
  <c r="K52" s="1"/>
  <c r="N52" s="1"/>
  <c r="D52" i="144"/>
  <c r="K52" s="1"/>
  <c r="U45" i="49"/>
  <c r="T46"/>
  <c r="AJ50" i="153"/>
  <c r="AB51" i="164"/>
  <c r="AG74" i="189"/>
  <c r="BA74" s="1"/>
  <c r="BD797" i="175"/>
  <c r="AA50" i="166"/>
  <c r="BN50" i="164"/>
  <c r="BQ50" s="1"/>
  <c r="BR50" s="1"/>
  <c r="AE50" s="1"/>
  <c r="Z45" i="49"/>
  <c r="M45"/>
  <c r="J46"/>
  <c r="G52" i="159"/>
  <c r="AD52" s="1"/>
  <c r="G52" i="145"/>
  <c r="AD52" s="1"/>
  <c r="G52" i="144"/>
  <c r="AD52" s="1"/>
  <c r="AA50" i="150"/>
  <c r="X51"/>
  <c r="AB51"/>
  <c r="AJ51" s="1"/>
  <c r="J52" i="166"/>
  <c r="AF52" s="1"/>
  <c r="BJ52" i="161"/>
  <c r="D52" s="1"/>
  <c r="BV52"/>
  <c r="J52" s="1"/>
  <c r="AJ50" i="154"/>
  <c r="AA50" i="167"/>
  <c r="AS48" i="153"/>
  <c r="AA50" i="151"/>
  <c r="X51" i="56"/>
  <c r="AA51" s="1"/>
  <c r="AB51"/>
  <c r="AJ51" s="1"/>
  <c r="AZ47" i="51"/>
  <c r="J47"/>
  <c r="AA50" i="171" s="1"/>
  <c r="AR50" s="1"/>
  <c r="AW47" i="51"/>
  <c r="AF48" i="148"/>
  <c r="I48"/>
  <c r="J49"/>
  <c r="AJ50" i="165"/>
  <c r="AJ50" i="145"/>
  <c r="X53" i="162"/>
  <c r="AB53"/>
  <c r="AG80" i="189"/>
  <c r="BA80" s="1"/>
  <c r="BD803" i="175"/>
  <c r="AC70" i="189"/>
  <c r="BK52" i="164"/>
  <c r="BL52" s="1"/>
  <c r="G52"/>
  <c r="AD52" s="1"/>
  <c r="G52" i="158"/>
  <c r="AD52" s="1"/>
  <c r="BC52" i="149"/>
  <c r="BB52"/>
  <c r="G52" i="165"/>
  <c r="G52" i="56"/>
  <c r="AD52" s="1"/>
  <c r="S52" i="162"/>
  <c r="V52" s="1"/>
  <c r="AR49" i="150"/>
  <c r="AB51" i="154"/>
  <c r="X51"/>
  <c r="I51" i="161"/>
  <c r="AF51"/>
  <c r="AJ50" i="151"/>
  <c r="AG5" i="189"/>
  <c r="BA5" s="1"/>
  <c r="AJ790" i="175"/>
  <c r="AF51" i="163"/>
  <c r="BT413" i="118"/>
  <c r="BQ413"/>
  <c r="AE413" s="1"/>
  <c r="BU413"/>
  <c r="BW413"/>
  <c r="BS413"/>
  <c r="BX413"/>
  <c r="BR413"/>
  <c r="BV413"/>
  <c r="AK51" i="190"/>
  <c r="AN501" i="175"/>
  <c r="AK69" i="190" s="1"/>
  <c r="AD50" i="163"/>
  <c r="AB51"/>
  <c r="AK803" i="175"/>
  <c r="AH18" i="189"/>
  <c r="AA48" i="147"/>
  <c r="AD51" i="165"/>
  <c r="D52" i="159"/>
  <c r="K52" s="1"/>
  <c r="N52" s="1"/>
  <c r="D52" i="155"/>
  <c r="K52" s="1"/>
  <c r="N52" s="1"/>
  <c r="D52" i="154"/>
  <c r="D52" i="151"/>
  <c r="D52" i="153"/>
  <c r="K52" s="1"/>
  <c r="N52" s="1"/>
  <c r="AB370" i="118"/>
  <c r="AD370" s="1"/>
  <c r="Z51" i="171"/>
  <c r="W44" i="49"/>
  <c r="F48" i="148"/>
  <c r="G49"/>
  <c r="AD48"/>
  <c r="AS46" i="147"/>
  <c r="X51" i="151"/>
  <c r="AC51"/>
  <c r="AF50" i="146"/>
  <c r="I50"/>
  <c r="J51"/>
  <c r="E53" i="56"/>
  <c r="AB137" i="118"/>
  <c r="E53" i="151"/>
  <c r="E53" i="165"/>
  <c r="E53" i="144"/>
  <c r="E53" i="154"/>
  <c r="E53" i="167"/>
  <c r="E53" i="162"/>
  <c r="F53" s="1"/>
  <c r="E53" i="149"/>
  <c r="F46" i="137"/>
  <c r="BC53" i="161" s="1"/>
  <c r="BP53" s="1"/>
  <c r="G53" s="1"/>
  <c r="E53" i="153"/>
  <c r="E53" i="145"/>
  <c r="E53" i="168"/>
  <c r="E53" i="166"/>
  <c r="E53" i="164"/>
  <c r="E53" i="150"/>
  <c r="E53" i="171"/>
  <c r="E53" i="158"/>
  <c r="E53" i="143"/>
  <c r="E53" i="155"/>
  <c r="E53" i="159"/>
  <c r="AD53" i="162"/>
  <c r="AS48" i="145"/>
  <c r="AS47" i="146"/>
  <c r="AV46" i="51"/>
  <c r="AX46" s="1"/>
  <c r="B39" i="72"/>
  <c r="D39" s="1"/>
  <c r="I39" s="1"/>
  <c r="H39" s="1"/>
  <c r="G39" s="1"/>
  <c r="F39" s="1"/>
  <c r="E39" s="1"/>
  <c r="AK46" i="51"/>
  <c r="AB39" i="118"/>
  <c r="X51" i="171"/>
  <c r="AB276" i="118"/>
  <c r="H48" i="51"/>
  <c r="I48" s="1"/>
  <c r="G52" i="171"/>
  <c r="AD52" s="1"/>
  <c r="G52" i="143"/>
  <c r="AD52" s="1"/>
  <c r="G52" i="153"/>
  <c r="AD52" s="1"/>
  <c r="G52" i="167"/>
  <c r="AD52" s="1"/>
  <c r="G52" i="151"/>
  <c r="AD52" s="1"/>
  <c r="AS50" i="162"/>
  <c r="AR49" i="167"/>
  <c r="AS45" i="148"/>
  <c r="AA50" i="168"/>
  <c r="J52" i="171"/>
  <c r="AF52" s="1"/>
  <c r="J52" i="149"/>
  <c r="AF52" s="1"/>
  <c r="J52" i="145"/>
  <c r="AF52" s="1"/>
  <c r="J52" i="143"/>
  <c r="AF52" s="1"/>
  <c r="J52" i="167"/>
  <c r="AF52" s="1"/>
  <c r="AS48" i="161"/>
  <c r="AA50" i="154"/>
  <c r="AR49" i="153"/>
  <c r="X51" i="155"/>
  <c r="AA51" s="1"/>
  <c r="AB51"/>
  <c r="AJ51" s="1"/>
  <c r="AS48" i="166"/>
  <c r="BT51" i="164"/>
  <c r="BM51"/>
  <c r="BP51"/>
  <c r="AR48" i="146"/>
  <c r="AA50" i="161"/>
  <c r="AR49" i="151"/>
  <c r="AS48" i="154"/>
  <c r="AD47" i="152"/>
  <c r="AC9" i="189"/>
  <c r="AF794" i="175"/>
  <c r="S51" i="56"/>
  <c r="V51" s="1"/>
  <c r="K51" i="164"/>
  <c r="N51" s="1"/>
  <c r="K51" i="150"/>
  <c r="N51" s="1"/>
  <c r="K51" i="171"/>
  <c r="N51" s="1"/>
  <c r="X50" i="149"/>
  <c r="O51" i="155"/>
  <c r="R51" s="1"/>
  <c r="S51" i="153"/>
  <c r="V51" s="1"/>
  <c r="S51" i="168"/>
  <c r="V51" s="1"/>
  <c r="F52" i="162"/>
  <c r="AR50" i="56"/>
  <c r="O51" i="153"/>
  <c r="R51" s="1"/>
  <c r="S51" i="167"/>
  <c r="V51" s="1"/>
  <c r="L46" i="49"/>
  <c r="S51" i="166"/>
  <c r="V51" s="1"/>
  <c r="C52" i="162"/>
  <c r="K51" i="158"/>
  <c r="N51" s="1"/>
  <c r="AR46" i="148"/>
  <c r="Q39" i="67"/>
  <c r="AK697" i="175"/>
  <c r="E36" i="120"/>
  <c r="W37" i="140"/>
  <c r="B29" i="68"/>
  <c r="K48" i="148"/>
  <c r="AN213" i="175"/>
  <c r="N37" i="140"/>
  <c r="R36" i="120"/>
  <c r="H37" i="64"/>
  <c r="AK707" i="175"/>
  <c r="C37" i="120"/>
  <c r="AG660" i="175"/>
  <c r="D38" i="119"/>
  <c r="O53" i="161"/>
  <c r="AM149" i="175"/>
  <c r="E52" i="163"/>
  <c r="K37" i="64"/>
  <c r="H36"/>
  <c r="I37" i="140"/>
  <c r="S52" i="163"/>
  <c r="AL36" i="175"/>
  <c r="AP442"/>
  <c r="V37" i="119"/>
  <c r="N37"/>
  <c r="P38" i="120"/>
  <c r="D36" i="71"/>
  <c r="V37" i="120"/>
  <c r="AJ690" i="175"/>
  <c r="R35" i="68"/>
  <c r="D37" i="67"/>
  <c r="M36" i="68"/>
  <c r="O30"/>
  <c r="AM151" i="175"/>
  <c r="AG41"/>
  <c r="E49" i="152"/>
  <c r="AL678" i="175"/>
  <c r="AI135"/>
  <c r="AM52"/>
  <c r="AM140"/>
  <c r="AG136"/>
  <c r="AL679"/>
  <c r="AI134"/>
  <c r="AH661"/>
  <c r="T38" i="119"/>
  <c r="AG662" i="175"/>
  <c r="AH256"/>
  <c r="AL672"/>
  <c r="N36" i="68"/>
  <c r="AK706" i="175"/>
  <c r="AP440"/>
  <c r="X33" i="67"/>
  <c r="X32" i="71"/>
  <c r="B48" i="152"/>
  <c r="AH129" i="175"/>
  <c r="AN268"/>
  <c r="AL677"/>
  <c r="AK668"/>
  <c r="X31" i="68"/>
  <c r="AK708" i="175"/>
  <c r="AG692"/>
  <c r="AI34"/>
  <c r="N37" i="64"/>
  <c r="AH38" i="175"/>
  <c r="AI137"/>
  <c r="AL392"/>
  <c r="AM45"/>
  <c r="AH40"/>
  <c r="I38" i="119"/>
  <c r="X31" i="71"/>
  <c r="AN273" i="175"/>
  <c r="E53" i="161"/>
  <c r="AJ199" i="175"/>
  <c r="AH657"/>
  <c r="AJ699"/>
  <c r="U37" i="67"/>
  <c r="H50" i="148"/>
  <c r="AK689" i="175"/>
  <c r="Q38" i="120"/>
  <c r="H37" i="140"/>
  <c r="AF691" i="175"/>
  <c r="M37" i="119"/>
  <c r="AL207" i="175"/>
  <c r="W37" i="120"/>
  <c r="AM55" i="175"/>
  <c r="S37" i="119"/>
  <c r="AM43" i="175"/>
  <c r="B49" i="148"/>
  <c r="AI253" i="175"/>
  <c r="X32" i="64"/>
  <c r="E52" i="146"/>
  <c r="I37" i="119"/>
  <c r="L36" i="71"/>
  <c r="D37" i="64"/>
  <c r="AL675" i="175"/>
  <c r="AN212"/>
  <c r="N37" i="120"/>
  <c r="AL255" i="175"/>
  <c r="W36" i="68"/>
  <c r="M38" i="119"/>
  <c r="W37" i="64"/>
  <c r="AJ261" i="175"/>
  <c r="G34" i="120"/>
  <c r="Q38" i="71"/>
  <c r="AN206" i="175"/>
  <c r="H37" i="67"/>
  <c r="AM269" i="175"/>
  <c r="X33" i="120"/>
  <c r="AL676" i="175"/>
  <c r="O50" i="147"/>
  <c r="O31" i="67"/>
  <c r="G33" i="64"/>
  <c r="R36" i="71"/>
  <c r="I37" i="120"/>
  <c r="S50" i="147"/>
  <c r="AL386" i="175"/>
  <c r="AI38"/>
  <c r="L37" i="67"/>
  <c r="AK234" i="175"/>
  <c r="K37" i="67"/>
  <c r="AH260" i="175"/>
  <c r="O32" i="67"/>
  <c r="W36" i="71"/>
  <c r="J36"/>
  <c r="O31" i="119"/>
  <c r="AM262" i="175"/>
  <c r="H35" i="71"/>
  <c r="O31" i="64"/>
  <c r="AH41" i="175"/>
  <c r="B28" i="71"/>
  <c r="AM173" i="175"/>
  <c r="AM56"/>
  <c r="AJ698"/>
  <c r="F35" i="64"/>
  <c r="B37" i="140"/>
  <c r="X32" i="67"/>
  <c r="J37" i="140"/>
  <c r="P37"/>
  <c r="D37" i="119"/>
  <c r="K49" i="147"/>
  <c r="J36" i="68"/>
  <c r="H35"/>
  <c r="AM192" i="175"/>
  <c r="R35" i="71"/>
  <c r="AK388" i="175"/>
  <c r="AH39"/>
  <c r="C37" i="140"/>
  <c r="B47" i="160"/>
  <c r="T38" i="140"/>
  <c r="B37" i="120"/>
  <c r="AL234" i="175"/>
  <c r="AH196"/>
  <c r="E36" i="64"/>
  <c r="V37"/>
  <c r="V36" i="68"/>
  <c r="AM144" i="175"/>
  <c r="O49" i="148"/>
  <c r="K36" i="68"/>
  <c r="L37" i="120"/>
  <c r="AM174" i="175"/>
  <c r="AM263"/>
  <c r="S37" i="140"/>
  <c r="AG37" i="175"/>
  <c r="I37" i="67"/>
  <c r="G34" i="140"/>
  <c r="AL396" i="175"/>
  <c r="E50" i="148"/>
  <c r="H53" i="161"/>
  <c r="M37" i="67"/>
  <c r="AI257" i="175"/>
  <c r="E51" i="147"/>
  <c r="AL202" i="175"/>
  <c r="U36" i="71"/>
  <c r="AL193" i="175"/>
  <c r="M37" i="120"/>
  <c r="AM54" i="175"/>
  <c r="AI385"/>
  <c r="V37" i="67"/>
  <c r="T36" i="68"/>
  <c r="AN275" i="175"/>
  <c r="K52" i="163"/>
  <c r="AM35" i="175"/>
  <c r="AF693"/>
  <c r="O30" i="71"/>
  <c r="AH381" i="175"/>
  <c r="AM131"/>
  <c r="AN274"/>
  <c r="I36" i="71"/>
  <c r="AG377" i="175"/>
  <c r="S51" i="146"/>
  <c r="AN270" i="175"/>
  <c r="B52" i="146"/>
  <c r="D36" i="68"/>
  <c r="G33" i="67"/>
  <c r="B28" i="68"/>
  <c r="P37" i="67"/>
  <c r="O48" i="152"/>
  <c r="E36" i="67"/>
  <c r="M37" i="140"/>
  <c r="K52" i="161"/>
  <c r="AL667" i="175"/>
  <c r="AN210"/>
  <c r="Q38" i="68"/>
  <c r="B29" i="71"/>
  <c r="AN271" i="175"/>
  <c r="AK667"/>
  <c r="F35" i="67"/>
  <c r="D37" i="120"/>
  <c r="G33" i="119"/>
  <c r="B53" i="161"/>
  <c r="B53" i="163"/>
  <c r="W37" i="119"/>
  <c r="AF664" i="175"/>
  <c r="V37" i="140"/>
  <c r="AG380" i="175"/>
  <c r="U36" i="68"/>
  <c r="K47" i="152"/>
  <c r="S35" i="71"/>
  <c r="S52" i="161"/>
  <c r="AH34" i="175"/>
  <c r="R37" i="119"/>
  <c r="O32" i="64"/>
  <c r="G33" i="71"/>
  <c r="P37" i="119"/>
  <c r="N38"/>
  <c r="AL398" i="175"/>
  <c r="K38" i="119"/>
  <c r="I37" i="68"/>
  <c r="AL203" i="175"/>
  <c r="U37" i="140"/>
  <c r="AM147" i="175"/>
  <c r="AL201"/>
  <c r="AM139"/>
  <c r="X33" i="64"/>
  <c r="AK703" i="175"/>
  <c r="AI665"/>
  <c r="AN267"/>
  <c r="Q38" i="119"/>
  <c r="AH133" i="175"/>
  <c r="AH37"/>
  <c r="AL378"/>
  <c r="AM254"/>
  <c r="H49" i="152"/>
  <c r="K37" i="140"/>
  <c r="AI195" i="175"/>
  <c r="H36" i="67"/>
  <c r="AN272" i="175"/>
  <c r="AH197"/>
  <c r="AH194"/>
  <c r="AI191"/>
  <c r="AL658"/>
  <c r="R37" i="67"/>
  <c r="AF384" i="175"/>
  <c r="AM130"/>
  <c r="O32" i="120"/>
  <c r="K52" i="146"/>
  <c r="W37" i="67"/>
  <c r="L36" i="68"/>
  <c r="O47" i="160"/>
  <c r="Q39" i="64"/>
  <c r="N37" i="67"/>
  <c r="AL204" i="175"/>
  <c r="AM44"/>
  <c r="AM138"/>
  <c r="AN264"/>
  <c r="AK669"/>
  <c r="E37" i="119"/>
  <c r="AM175" i="175"/>
  <c r="J37" i="64"/>
  <c r="L37"/>
  <c r="AK236" i="175"/>
  <c r="H36" i="120"/>
  <c r="B51" i="147"/>
  <c r="W38" i="119"/>
  <c r="K37" i="120"/>
  <c r="K36" i="71"/>
  <c r="AN211" i="175"/>
  <c r="S38" i="119"/>
  <c r="P37" i="64"/>
  <c r="AL395" i="175"/>
  <c r="AL235"/>
  <c r="X32" i="119"/>
  <c r="S48" i="152"/>
  <c r="AM172" i="175"/>
  <c r="AN200"/>
  <c r="O51" i="146"/>
  <c r="AJ389" i="175"/>
  <c r="H53" i="163"/>
  <c r="AK387" i="175"/>
  <c r="AM266"/>
  <c r="AL236"/>
  <c r="AK379"/>
  <c r="AH198"/>
  <c r="AH696"/>
  <c r="F35" i="120"/>
  <c r="L37" i="140"/>
  <c r="AG657" i="175"/>
  <c r="AK710"/>
  <c r="AH377"/>
  <c r="AG663"/>
  <c r="AI700"/>
  <c r="AM265"/>
  <c r="N36" i="71"/>
  <c r="V36"/>
  <c r="AH259" i="175"/>
  <c r="AL666"/>
  <c r="P36" i="68"/>
  <c r="O51" i="163"/>
  <c r="H52" i="146"/>
  <c r="F35" i="140"/>
  <c r="P36" i="71"/>
  <c r="AN208" i="175"/>
  <c r="S47" i="160"/>
  <c r="AN209" i="175"/>
  <c r="Q38" i="140"/>
  <c r="AI42" i="175"/>
  <c r="AK235"/>
  <c r="X33" i="140"/>
  <c r="J37" i="67"/>
  <c r="F34" i="71"/>
  <c r="H51" i="147"/>
  <c r="AM148" i="175"/>
  <c r="S49" i="148"/>
  <c r="E35" i="68"/>
  <c r="Q40" i="69"/>
  <c r="X32" i="68"/>
  <c r="AN205" i="175"/>
  <c r="R37" i="140"/>
  <c r="AH258" i="175"/>
  <c r="I37" i="64"/>
  <c r="R37"/>
  <c r="AM49" i="175"/>
  <c r="J37" i="120"/>
  <c r="M37" i="64"/>
  <c r="M36" i="71"/>
  <c r="AM53" i="175"/>
  <c r="O32" i="140"/>
  <c r="E48" i="160"/>
  <c r="AM141" i="175"/>
  <c r="V38" i="119"/>
  <c r="E35" i="71"/>
  <c r="U37" i="64"/>
  <c r="F34" i="119"/>
  <c r="E36" i="140"/>
  <c r="H48" i="160"/>
  <c r="AK659" i="175"/>
  <c r="AG382"/>
  <c r="K46" i="160"/>
  <c r="AK709" i="175"/>
  <c r="D37" i="140"/>
  <c r="AL399" i="175"/>
  <c r="AL397"/>
  <c r="AG132"/>
  <c r="AL45"/>
  <c r="U37" i="120"/>
  <c r="AM150" i="175"/>
  <c r="S37" i="120"/>
  <c r="AG383" i="175"/>
  <c r="G33" i="68"/>
  <c r="S34"/>
  <c r="AF694" i="175"/>
  <c r="AM772" l="1"/>
  <c r="BF473"/>
  <c r="AM36" i="190"/>
  <c r="AP473" i="175"/>
  <c r="BC54" i="190"/>
  <c r="AZ134" i="118"/>
  <c r="AZ181"/>
  <c r="AL738" i="175"/>
  <c r="AI15" i="189" s="1"/>
  <c r="AH14"/>
  <c r="AG76"/>
  <c r="BA76" s="1"/>
  <c r="AI638" i="175"/>
  <c r="AL769"/>
  <c r="AI46" i="189" s="1"/>
  <c r="AK769" i="175"/>
  <c r="BD389"/>
  <c r="AR48" i="164"/>
  <c r="AS48" s="1"/>
  <c r="AJ800" i="175"/>
  <c r="AG46" i="189"/>
  <c r="BA46" s="1"/>
  <c r="BD769" i="175"/>
  <c r="BA40" i="118"/>
  <c r="BA275"/>
  <c r="BA134"/>
  <c r="BA181"/>
  <c r="AL737" i="175"/>
  <c r="AL799" s="1"/>
  <c r="AI76" i="189" s="1"/>
  <c r="AJ637" i="175"/>
  <c r="BD637" s="1"/>
  <c r="BD699"/>
  <c r="BE177" i="118"/>
  <c r="BE130"/>
  <c r="BE35"/>
  <c r="BE270"/>
  <c r="BE82"/>
  <c r="BE271"/>
  <c r="BE36"/>
  <c r="AG733" i="175"/>
  <c r="AJ45" i="160"/>
  <c r="AR44"/>
  <c r="AS44" s="1"/>
  <c r="BB795" i="175"/>
  <c r="AB72" i="189"/>
  <c r="AY72" s="1"/>
  <c r="AA45" i="160"/>
  <c r="AC10" i="189"/>
  <c r="AF795" i="175"/>
  <c r="AC72" i="189" s="1"/>
  <c r="K47" i="49"/>
  <c r="AG788" i="175"/>
  <c r="AD65" i="189" s="1"/>
  <c r="BL83" i="118"/>
  <c r="BL36"/>
  <c r="BL271"/>
  <c r="AH726" i="175"/>
  <c r="AH788" s="1"/>
  <c r="AE65" i="189" s="1"/>
  <c r="AR45" i="152"/>
  <c r="AD7" i="189"/>
  <c r="AC6"/>
  <c r="BB791" i="175"/>
  <c r="N48" i="148"/>
  <c r="D48" i="152"/>
  <c r="X48" s="1"/>
  <c r="N47"/>
  <c r="BI270" i="118"/>
  <c r="BI35"/>
  <c r="N46" i="160"/>
  <c r="AG729" i="175"/>
  <c r="AG791" s="1"/>
  <c r="AD68" i="189" s="1"/>
  <c r="BD84" i="118"/>
  <c r="AI734" i="175"/>
  <c r="AF11" i="189" s="1"/>
  <c r="AH730" i="175"/>
  <c r="AE7" i="189" s="1"/>
  <c r="BI82" i="118"/>
  <c r="BH83"/>
  <c r="BD272"/>
  <c r="AB37" i="72"/>
  <c r="BD37" i="118"/>
  <c r="N49" i="147"/>
  <c r="BH271" i="118"/>
  <c r="Q36" i="72"/>
  <c r="BH36" i="118"/>
  <c r="D49" i="148"/>
  <c r="X49" s="1"/>
  <c r="C48"/>
  <c r="AB48"/>
  <c r="AB47" i="152"/>
  <c r="AB46" i="160"/>
  <c r="C46"/>
  <c r="D47"/>
  <c r="AJ48" i="147"/>
  <c r="AE11" i="189"/>
  <c r="D50" i="147"/>
  <c r="X50" s="1"/>
  <c r="C49"/>
  <c r="AB49"/>
  <c r="AJ49" s="1"/>
  <c r="X48" i="148"/>
  <c r="AA48" s="1"/>
  <c r="AY181" i="118"/>
  <c r="AY134"/>
  <c r="AS50" i="155"/>
  <c r="AS50" i="56"/>
  <c r="BA88" i="118"/>
  <c r="BH272"/>
  <c r="BH178"/>
  <c r="BH131"/>
  <c r="BH37"/>
  <c r="AG630" i="175"/>
  <c r="BB190"/>
  <c r="AG75" i="189"/>
  <c r="BA75" s="1"/>
  <c r="AK798" i="175"/>
  <c r="AH75" i="189" s="1"/>
  <c r="BI271" i="118"/>
  <c r="AP182"/>
  <c r="AP135"/>
  <c r="AR135"/>
  <c r="AR182"/>
  <c r="AR276"/>
  <c r="BB88"/>
  <c r="AP89"/>
  <c r="AS276"/>
  <c r="AQ276"/>
  <c r="AT276"/>
  <c r="AS41"/>
  <c r="BC88"/>
  <c r="AP41"/>
  <c r="AS89"/>
  <c r="AT41"/>
  <c r="AQ135"/>
  <c r="AQ182"/>
  <c r="AU135"/>
  <c r="AU182"/>
  <c r="AQ41"/>
  <c r="AS135"/>
  <c r="AS182"/>
  <c r="BA276"/>
  <c r="AQ89"/>
  <c r="BD132"/>
  <c r="BD179"/>
  <c r="AR41"/>
  <c r="BB134"/>
  <c r="BB181"/>
  <c r="AP276"/>
  <c r="BI36"/>
  <c r="AW88"/>
  <c r="AT88"/>
  <c r="BA41"/>
  <c r="AT135"/>
  <c r="AT182"/>
  <c r="AQ88"/>
  <c r="BI177"/>
  <c r="BI130"/>
  <c r="AT89"/>
  <c r="AS88"/>
  <c r="AP88"/>
  <c r="BD261" i="175"/>
  <c r="AM746"/>
  <c r="AM745"/>
  <c r="AK644"/>
  <c r="AK647"/>
  <c r="AH634"/>
  <c r="BD199"/>
  <c r="AL736"/>
  <c r="AL798" s="1"/>
  <c r="AI75" i="189" s="1"/>
  <c r="AM744" i="175"/>
  <c r="AF629"/>
  <c r="AK648"/>
  <c r="AM747"/>
  <c r="AK252"/>
  <c r="AK646"/>
  <c r="BD698"/>
  <c r="AJ636"/>
  <c r="BD636" s="1"/>
  <c r="AK645"/>
  <c r="AM748"/>
  <c r="AL252"/>
  <c r="AR47" i="148"/>
  <c r="AI25" i="189"/>
  <c r="AL810" i="175"/>
  <c r="AI87" i="189" s="1"/>
  <c r="AS49" i="159"/>
  <c r="AJ51" i="158"/>
  <c r="AJ49" i="164"/>
  <c r="AS41" i="143"/>
  <c r="AH87" i="189"/>
  <c r="AH86"/>
  <c r="AH84"/>
  <c r="AI22"/>
  <c r="AL807" i="175"/>
  <c r="AI84" i="189" s="1"/>
  <c r="AJ51" i="159"/>
  <c r="AI23" i="189"/>
  <c r="AL808" i="175"/>
  <c r="AI85" i="189" s="1"/>
  <c r="AJ50" i="164"/>
  <c r="AH83" i="189"/>
  <c r="AH85"/>
  <c r="AI24"/>
  <c r="AL809" i="175"/>
  <c r="AI86" i="189" s="1"/>
  <c r="AL806" i="175"/>
  <c r="AI83" i="189" s="1"/>
  <c r="AI21"/>
  <c r="AS49" i="158"/>
  <c r="X44" i="143"/>
  <c r="N44"/>
  <c r="AC44"/>
  <c r="AR43"/>
  <c r="M45"/>
  <c r="L45" s="1"/>
  <c r="AR42"/>
  <c r="AS49" i="150"/>
  <c r="AG278" i="118"/>
  <c r="AG89"/>
  <c r="AG43"/>
  <c r="AG183"/>
  <c r="AG136"/>
  <c r="AS48" i="149"/>
  <c r="BG271" i="118"/>
  <c r="BL272"/>
  <c r="BL131"/>
  <c r="BL178"/>
  <c r="BL37"/>
  <c r="BG36"/>
  <c r="BG84"/>
  <c r="BG130"/>
  <c r="BG177"/>
  <c r="AH731" i="175"/>
  <c r="AE8" i="189" s="1"/>
  <c r="AF631" i="175"/>
  <c r="AG793"/>
  <c r="AD70" i="189" s="1"/>
  <c r="AD176" i="118"/>
  <c r="AJ50" i="149"/>
  <c r="AR49"/>
  <c r="AD129" i="118"/>
  <c r="AS50" i="171"/>
  <c r="AR46" i="152"/>
  <c r="AF632" i="175"/>
  <c r="AS47" i="147"/>
  <c r="O52" i="159"/>
  <c r="R52" s="1"/>
  <c r="BC182" i="118"/>
  <c r="BC135"/>
  <c r="AR51" i="155"/>
  <c r="S52" i="149"/>
  <c r="V52" s="1"/>
  <c r="O52" i="166"/>
  <c r="R52" s="1"/>
  <c r="S52" i="171"/>
  <c r="V52" s="1"/>
  <c r="O52" i="167"/>
  <c r="R52" s="1"/>
  <c r="S52" i="153"/>
  <c r="V52" s="1"/>
  <c r="BD52" i="149"/>
  <c r="G52" s="1"/>
  <c r="AD52" s="1"/>
  <c r="S52" i="143"/>
  <c r="V52" s="1"/>
  <c r="S52" i="155"/>
  <c r="V52" s="1"/>
  <c r="O52" i="150"/>
  <c r="R52" s="1"/>
  <c r="O52" i="151"/>
  <c r="R52" s="1"/>
  <c r="O52" i="158"/>
  <c r="R52" s="1"/>
  <c r="S52" i="166"/>
  <c r="V52" s="1"/>
  <c r="O52" i="144"/>
  <c r="R52" s="1"/>
  <c r="O52" i="164"/>
  <c r="R52" s="1"/>
  <c r="O52" i="143"/>
  <c r="R52" s="1"/>
  <c r="O52" i="56"/>
  <c r="R52" s="1"/>
  <c r="S52" i="159"/>
  <c r="V52" s="1"/>
  <c r="S52" i="144"/>
  <c r="V52" s="1"/>
  <c r="AX182" i="118"/>
  <c r="AX135"/>
  <c r="AH283" i="175"/>
  <c r="BF84" i="118"/>
  <c r="BJ181"/>
  <c r="BJ134"/>
  <c r="BK88"/>
  <c r="BF177"/>
  <c r="BF130"/>
  <c r="W43" i="72"/>
  <c r="AC39"/>
  <c r="AK641" i="175"/>
  <c r="R41" i="72"/>
  <c r="S41"/>
  <c r="G52" i="163"/>
  <c r="X52" s="1"/>
  <c r="BB41" i="118"/>
  <c r="BB276"/>
  <c r="AP471" i="175"/>
  <c r="AP470"/>
  <c r="AM34" i="190"/>
  <c r="AI415" i="118"/>
  <c r="V52" i="163"/>
  <c r="R53" i="161"/>
  <c r="V51" i="146"/>
  <c r="AA41" i="72"/>
  <c r="BC41" i="118"/>
  <c r="T41" i="72"/>
  <c r="BC276" i="118"/>
  <c r="AK627" i="175"/>
  <c r="D53" i="163"/>
  <c r="R51" i="146"/>
  <c r="R47" i="160"/>
  <c r="AZ88" i="118"/>
  <c r="BJ88"/>
  <c r="AW135"/>
  <c r="AW182"/>
  <c r="AV134"/>
  <c r="AV181"/>
  <c r="AH221" i="175"/>
  <c r="AH732"/>
  <c r="AW41" i="118"/>
  <c r="AW276"/>
  <c r="Y41" i="72"/>
  <c r="V52" i="161"/>
  <c r="Q37" i="72"/>
  <c r="Z41"/>
  <c r="R48" i="152"/>
  <c r="V48"/>
  <c r="J53" i="163"/>
  <c r="AE41" i="72"/>
  <c r="AM727" i="175"/>
  <c r="V50" i="147"/>
  <c r="AL728" i="175"/>
  <c r="BF271" i="118"/>
  <c r="BF36"/>
  <c r="AJ628" i="175"/>
  <c r="BD628" s="1"/>
  <c r="BD690"/>
  <c r="R49" i="148"/>
  <c r="G49" i="152"/>
  <c r="AM741" i="175"/>
  <c r="V49" i="148"/>
  <c r="J49" i="152"/>
  <c r="N52" i="161"/>
  <c r="C52" i="146"/>
  <c r="N52"/>
  <c r="AM735" i="175"/>
  <c r="R50" i="147"/>
  <c r="AK635" i="175"/>
  <c r="X41" i="72"/>
  <c r="BK276" i="118"/>
  <c r="BK41"/>
  <c r="BJ40"/>
  <c r="BJ275"/>
  <c r="AD40" i="72"/>
  <c r="V47" i="160"/>
  <c r="R51" i="163"/>
  <c r="N52"/>
  <c r="AR50" i="161"/>
  <c r="AD53"/>
  <c r="F53"/>
  <c r="G53" i="154"/>
  <c r="AD53" s="1"/>
  <c r="AA53" i="162"/>
  <c r="AR50" i="150"/>
  <c r="U46" i="49"/>
  <c r="T47"/>
  <c r="AA49" i="147"/>
  <c r="AR52" i="162"/>
  <c r="J53" i="149"/>
  <c r="AF53" s="1"/>
  <c r="J53" i="145"/>
  <c r="AF53" s="1"/>
  <c r="J53" i="153"/>
  <c r="AF53" s="1"/>
  <c r="J53" i="154"/>
  <c r="AF53" s="1"/>
  <c r="AS49"/>
  <c r="AH66" i="189"/>
  <c r="AA51" i="168"/>
  <c r="AA51" i="159"/>
  <c r="D53" i="150"/>
  <c r="K53" s="1"/>
  <c r="N53" s="1"/>
  <c r="D53" i="155"/>
  <c r="K53" s="1"/>
  <c r="N53" s="1"/>
  <c r="AB52" i="149"/>
  <c r="AS51" i="162"/>
  <c r="AH74" i="189"/>
  <c r="AA51" i="167"/>
  <c r="AS49" i="151"/>
  <c r="BN51" i="164"/>
  <c r="BQ51" s="1"/>
  <c r="BR51" s="1"/>
  <c r="AE51" s="1"/>
  <c r="BK53"/>
  <c r="BL53" s="1"/>
  <c r="G53"/>
  <c r="AD53" s="1"/>
  <c r="G53" i="167"/>
  <c r="AD53" s="1"/>
  <c r="X44" i="49"/>
  <c r="G48" i="51"/>
  <c r="X52" i="154"/>
  <c r="AB52"/>
  <c r="AD52" i="165"/>
  <c r="AA51" i="150"/>
  <c r="H47" i="137"/>
  <c r="BD54" i="161" s="1"/>
  <c r="H54" i="167"/>
  <c r="H54" i="154"/>
  <c r="H54" i="168"/>
  <c r="H54" i="166"/>
  <c r="H54" i="153"/>
  <c r="H54" i="151"/>
  <c r="H54" i="144"/>
  <c r="H54" i="145"/>
  <c r="H54" i="150"/>
  <c r="H54" i="143"/>
  <c r="H54" i="158"/>
  <c r="H54" i="162"/>
  <c r="I54" s="1"/>
  <c r="H54" i="165"/>
  <c r="H54" i="164"/>
  <c r="H54" i="149"/>
  <c r="H54" i="159"/>
  <c r="H54" i="56"/>
  <c r="H54" i="171"/>
  <c r="AB185" i="118"/>
  <c r="H54" i="155"/>
  <c r="AJ51" i="153"/>
  <c r="AM54" i="162"/>
  <c r="D53" i="164"/>
  <c r="K53" s="1"/>
  <c r="N53" s="1"/>
  <c r="D53" i="154"/>
  <c r="B40" i="72"/>
  <c r="D40" s="1"/>
  <c r="I40" s="1"/>
  <c r="H40" s="1"/>
  <c r="G40" s="1"/>
  <c r="F40" s="1"/>
  <c r="E40" s="1"/>
  <c r="AB40" i="118"/>
  <c r="AV47" i="51"/>
  <c r="AX47" s="1"/>
  <c r="AK47"/>
  <c r="G48" i="137"/>
  <c r="C48"/>
  <c r="E48"/>
  <c r="AL797" i="175"/>
  <c r="AI74" i="189" s="1"/>
  <c r="AI12"/>
  <c r="AF52" i="163"/>
  <c r="AL52" i="190"/>
  <c r="BC52" s="1"/>
  <c r="BF471" i="175"/>
  <c r="AW48" i="51"/>
  <c r="AZ48"/>
  <c r="J48"/>
  <c r="AA51" i="171" s="1"/>
  <c r="AR51" s="1"/>
  <c r="G53" i="155"/>
  <c r="AD53" s="1"/>
  <c r="G53" i="150"/>
  <c r="AD53" s="1"/>
  <c r="G53" i="145"/>
  <c r="AD53" s="1"/>
  <c r="O53" i="162"/>
  <c r="R53" s="1"/>
  <c r="G53" i="165"/>
  <c r="I51" i="146"/>
  <c r="AF51"/>
  <c r="J52"/>
  <c r="AA51" i="151"/>
  <c r="X52" i="153"/>
  <c r="AB52"/>
  <c r="AH80" i="189"/>
  <c r="AA51" i="163"/>
  <c r="BM52" i="164"/>
  <c r="BP52"/>
  <c r="BT52"/>
  <c r="AJ53" i="162"/>
  <c r="AR50" i="167"/>
  <c r="X52" i="171"/>
  <c r="H49" i="51"/>
  <c r="I49" s="1"/>
  <c r="AB277" i="118"/>
  <c r="AS48" i="163"/>
  <c r="F51" i="149"/>
  <c r="AD51"/>
  <c r="O51"/>
  <c r="R51" s="1"/>
  <c r="AS49" i="145"/>
  <c r="AA51" i="166"/>
  <c r="D47" i="137"/>
  <c r="AI47"/>
  <c r="AB91" i="118"/>
  <c r="B54" i="151"/>
  <c r="B54" i="153"/>
  <c r="B54" i="164"/>
  <c r="B54" i="149"/>
  <c r="B54" i="150"/>
  <c r="B54" i="144"/>
  <c r="AM43" i="142" s="1"/>
  <c r="B54" i="154"/>
  <c r="B54" i="56"/>
  <c r="B54" i="145"/>
  <c r="B54" i="165"/>
  <c r="B54" i="162"/>
  <c r="C54" s="1"/>
  <c r="B54" i="167"/>
  <c r="B54" i="155"/>
  <c r="B54" i="166"/>
  <c r="B54" i="168"/>
  <c r="B54" i="158"/>
  <c r="B54" i="159"/>
  <c r="B54" i="143"/>
  <c r="B54" i="171"/>
  <c r="I47" i="137"/>
  <c r="J47" s="1"/>
  <c r="AS49" i="161"/>
  <c r="J53" i="171"/>
  <c r="AF53" s="1"/>
  <c r="J53" i="56"/>
  <c r="AF53" s="1"/>
  <c r="S53" i="162"/>
  <c r="V53" s="1"/>
  <c r="J53" i="167"/>
  <c r="AF53" s="1"/>
  <c r="J53" i="143"/>
  <c r="AF53" s="1"/>
  <c r="BJ53" i="161"/>
  <c r="D53" s="1"/>
  <c r="BV53"/>
  <c r="J53" s="1"/>
  <c r="AB52" i="164"/>
  <c r="X54" i="162"/>
  <c r="AB54"/>
  <c r="D53" i="159"/>
  <c r="C53" i="165"/>
  <c r="K53"/>
  <c r="N53" s="1"/>
  <c r="D53" i="153"/>
  <c r="D53" i="168"/>
  <c r="K53" s="1"/>
  <c r="N53" s="1"/>
  <c r="D53" i="149"/>
  <c r="K53" s="1"/>
  <c r="N53" s="1"/>
  <c r="AR50" i="153"/>
  <c r="C49" i="13"/>
  <c r="D50"/>
  <c r="AL56" i="171"/>
  <c r="AM56" s="1"/>
  <c r="CB56" i="162"/>
  <c r="F51" i="146"/>
  <c r="AD51"/>
  <c r="G52"/>
  <c r="X51"/>
  <c r="G48" i="160"/>
  <c r="F47"/>
  <c r="AD47"/>
  <c r="AR49" i="163"/>
  <c r="AI18" i="189"/>
  <c r="AL803" i="175"/>
  <c r="AI80" i="189" s="1"/>
  <c r="AI4"/>
  <c r="AL789" i="175"/>
  <c r="AI66" i="189" s="1"/>
  <c r="AL800" i="175"/>
  <c r="AI77" i="189" s="1"/>
  <c r="AJ52" i="171"/>
  <c r="K52"/>
  <c r="N52" s="1"/>
  <c r="L47" i="49"/>
  <c r="S52" i="167"/>
  <c r="V52" s="1"/>
  <c r="S52" i="145"/>
  <c r="V52" s="1"/>
  <c r="K52" i="154"/>
  <c r="N52" s="1"/>
  <c r="O52" i="165"/>
  <c r="R52" s="1"/>
  <c r="O52" i="145"/>
  <c r="R52" s="1"/>
  <c r="BU50" i="164"/>
  <c r="BV50" s="1"/>
  <c r="X50" s="1"/>
  <c r="S52" i="56"/>
  <c r="V52" s="1"/>
  <c r="O52" i="155"/>
  <c r="R52" s="1"/>
  <c r="S52" i="150"/>
  <c r="V52" s="1"/>
  <c r="S52" i="158"/>
  <c r="V52" s="1"/>
  <c r="S52" i="168"/>
  <c r="V52" s="1"/>
  <c r="AA50" i="149"/>
  <c r="G53" i="158"/>
  <c r="AD53" s="1"/>
  <c r="G53" i="166"/>
  <c r="AD53" s="1"/>
  <c r="AC52" i="151"/>
  <c r="X52"/>
  <c r="AJ51" i="165"/>
  <c r="AA51" i="154"/>
  <c r="AR50" i="165"/>
  <c r="AF52" i="161"/>
  <c r="I52"/>
  <c r="AR50" i="166"/>
  <c r="AA47" i="152"/>
  <c r="AR50" i="145"/>
  <c r="J53" i="150"/>
  <c r="AF53" s="1"/>
  <c r="AA51" i="153"/>
  <c r="X52" i="166"/>
  <c r="AB52"/>
  <c r="AJ51" i="145"/>
  <c r="AD54" i="162"/>
  <c r="AR49" i="146"/>
  <c r="D53" i="171"/>
  <c r="AB53" s="1"/>
  <c r="D53" i="167"/>
  <c r="K53" s="1"/>
  <c r="N53" s="1"/>
  <c r="D53" i="144"/>
  <c r="CC55" i="162"/>
  <c r="D55" s="1"/>
  <c r="CE55"/>
  <c r="J55" s="1"/>
  <c r="CD55"/>
  <c r="G55" s="1"/>
  <c r="CG55"/>
  <c r="AL55" s="1"/>
  <c r="AD48" i="152"/>
  <c r="AF48"/>
  <c r="AH5" i="189"/>
  <c r="AK790" i="175"/>
  <c r="AD9" i="189"/>
  <c r="AG794" i="175"/>
  <c r="AD71" i="189" s="1"/>
  <c r="AC71"/>
  <c r="AH76"/>
  <c r="AR50" i="154"/>
  <c r="AR50" i="168"/>
  <c r="G53" i="143"/>
  <c r="AD53" s="1"/>
  <c r="G53" i="153"/>
  <c r="AD53" s="1"/>
  <c r="G53" i="151"/>
  <c r="AD53" s="1"/>
  <c r="X52" i="159"/>
  <c r="AB52"/>
  <c r="AG67" i="189"/>
  <c r="BA67" s="1"/>
  <c r="BD790" i="175"/>
  <c r="AR50" i="151"/>
  <c r="J53" i="164"/>
  <c r="AF53" s="1"/>
  <c r="J53" i="151"/>
  <c r="AF53" s="1"/>
  <c r="BK53" i="165"/>
  <c r="I53"/>
  <c r="S53"/>
  <c r="V53" s="1"/>
  <c r="J53" i="158"/>
  <c r="AF53" s="1"/>
  <c r="AS49" i="168"/>
  <c r="AB52" i="167"/>
  <c r="X52"/>
  <c r="AA51" i="145"/>
  <c r="AJ51" i="168"/>
  <c r="D53" i="56"/>
  <c r="K53" s="1"/>
  <c r="N53" s="1"/>
  <c r="D53" i="145"/>
  <c r="K53" s="1"/>
  <c r="N53" s="1"/>
  <c r="AS49" i="165"/>
  <c r="X52" i="145"/>
  <c r="AB52"/>
  <c r="X52" i="150"/>
  <c r="AB52"/>
  <c r="AJ52" s="1"/>
  <c r="AJ51" i="161"/>
  <c r="I50" i="147"/>
  <c r="AF50"/>
  <c r="J51"/>
  <c r="AJ50" i="146"/>
  <c r="AB52" i="168"/>
  <c r="X52"/>
  <c r="AS46" i="148"/>
  <c r="AA46" i="160"/>
  <c r="AS48" i="146"/>
  <c r="AS49" i="153"/>
  <c r="AS49" i="167"/>
  <c r="G53" i="159"/>
  <c r="AD53" s="1"/>
  <c r="G53" i="171"/>
  <c r="AD53" s="1"/>
  <c r="G53" i="168"/>
  <c r="AD53" s="1"/>
  <c r="BC53" i="149"/>
  <c r="BB53"/>
  <c r="G53" i="144"/>
  <c r="AD53" s="1"/>
  <c r="G53" i="56"/>
  <c r="AD53" s="1"/>
  <c r="AJ51" i="151"/>
  <c r="AD49" i="148"/>
  <c r="F49"/>
  <c r="G50"/>
  <c r="X52" i="155"/>
  <c r="AA52" s="1"/>
  <c r="AB52"/>
  <c r="AJ52" s="1"/>
  <c r="AJ51" i="154"/>
  <c r="I49" i="148"/>
  <c r="AF49"/>
  <c r="J50"/>
  <c r="AB52" i="161"/>
  <c r="C52"/>
  <c r="X52"/>
  <c r="Z46" i="49"/>
  <c r="M46"/>
  <c r="J47"/>
  <c r="Z52" i="171"/>
  <c r="AB371" i="118"/>
  <c r="AD371" s="1"/>
  <c r="W45" i="49"/>
  <c r="X52" i="158"/>
  <c r="AB52"/>
  <c r="AJ51" i="166"/>
  <c r="G51" i="147"/>
  <c r="F50"/>
  <c r="AD50"/>
  <c r="E54" i="56"/>
  <c r="AB138" i="118"/>
  <c r="E54" i="154"/>
  <c r="E54" i="144"/>
  <c r="E54" i="165"/>
  <c r="E54" i="167"/>
  <c r="E54" i="162"/>
  <c r="E54" i="153"/>
  <c r="E54" i="151"/>
  <c r="E54" i="166"/>
  <c r="E54" i="168"/>
  <c r="E54" i="149"/>
  <c r="E54" i="145"/>
  <c r="F47" i="137"/>
  <c r="BC54" i="161" s="1"/>
  <c r="BP54" s="1"/>
  <c r="G54" s="1"/>
  <c r="E54" i="158"/>
  <c r="E54" i="150"/>
  <c r="E54" i="171"/>
  <c r="E54" i="164"/>
  <c r="E54" i="159"/>
  <c r="E54" i="155"/>
  <c r="E54" i="143"/>
  <c r="AA51" i="149"/>
  <c r="AR50" i="159"/>
  <c r="J53" i="155"/>
  <c r="AF53" s="1"/>
  <c r="J53" i="159"/>
  <c r="AF53" s="1"/>
  <c r="J53" i="166"/>
  <c r="AF53" s="1"/>
  <c r="J53" i="168"/>
  <c r="AF53" s="1"/>
  <c r="J53" i="144"/>
  <c r="AF53" s="1"/>
  <c r="AS49" i="166"/>
  <c r="AF54" i="162"/>
  <c r="D53" i="158"/>
  <c r="D53" i="143"/>
  <c r="K53" s="1"/>
  <c r="K53" i="162"/>
  <c r="N53" s="1"/>
  <c r="D53" i="166"/>
  <c r="K53" s="1"/>
  <c r="N53" s="1"/>
  <c r="D53" i="151"/>
  <c r="K53" s="1"/>
  <c r="N53" s="1"/>
  <c r="AA51" i="161"/>
  <c r="AA51" i="158"/>
  <c r="AA50" i="146"/>
  <c r="I47" i="160"/>
  <c r="AF47"/>
  <c r="J48"/>
  <c r="AJ51" i="167"/>
  <c r="X52" i="56"/>
  <c r="AA52" s="1"/>
  <c r="AB52"/>
  <c r="AJ52" s="1"/>
  <c r="AR50" i="158"/>
  <c r="AD51" i="163"/>
  <c r="AB52"/>
  <c r="BS414" i="118"/>
  <c r="BX414"/>
  <c r="BT414"/>
  <c r="BR414"/>
  <c r="AE414" s="1"/>
  <c r="BU414"/>
  <c r="BV414"/>
  <c r="BW414"/>
  <c r="AO501" i="175"/>
  <c r="AL69" i="190" s="1"/>
  <c r="BC69" s="1"/>
  <c r="AL51"/>
  <c r="BC51" s="1"/>
  <c r="O52" i="153"/>
  <c r="R52" s="1"/>
  <c r="O52" i="171"/>
  <c r="R52" s="1"/>
  <c r="K52" i="151"/>
  <c r="N52" s="1"/>
  <c r="AR51" i="56"/>
  <c r="S52" i="154"/>
  <c r="V52" s="1"/>
  <c r="S52" i="151"/>
  <c r="V52" s="1"/>
  <c r="S52" i="164"/>
  <c r="V52" s="1"/>
  <c r="O52" i="154"/>
  <c r="R52" s="1"/>
  <c r="O52" i="168"/>
  <c r="R52" s="1"/>
  <c r="AJ50" i="163"/>
  <c r="K52" i="166"/>
  <c r="N52" s="1"/>
  <c r="K52" i="149"/>
  <c r="N52" s="1"/>
  <c r="K53" i="146"/>
  <c r="AJ134" i="175"/>
  <c r="P37" i="68"/>
  <c r="L37" i="71"/>
  <c r="S36" i="67"/>
  <c r="J37" i="71"/>
  <c r="AH692" i="175"/>
  <c r="V37" i="68"/>
  <c r="V38" i="67"/>
  <c r="O52" i="163"/>
  <c r="AI133" i="175"/>
  <c r="AN35"/>
  <c r="S51" i="147"/>
  <c r="I38" i="68"/>
  <c r="AM378" i="175"/>
  <c r="F35" i="68"/>
  <c r="Q40" i="64"/>
  <c r="K38" i="67"/>
  <c r="Q39" i="140"/>
  <c r="AM395" i="175"/>
  <c r="AH663"/>
  <c r="AH132"/>
  <c r="T37" i="68"/>
  <c r="M38" i="64"/>
  <c r="AM668" i="175"/>
  <c r="AL710"/>
  <c r="H50" i="152"/>
  <c r="AI258" i="175"/>
  <c r="D39" i="119"/>
  <c r="AH380" i="175"/>
  <c r="AJ195"/>
  <c r="AM397"/>
  <c r="AN131"/>
  <c r="AF695"/>
  <c r="AM677"/>
  <c r="D38" i="140"/>
  <c r="S50" i="148"/>
  <c r="U38" i="119"/>
  <c r="B49" i="152"/>
  <c r="AI40" i="175"/>
  <c r="AJ42"/>
  <c r="AO264"/>
  <c r="K49" i="148"/>
  <c r="D37" i="71"/>
  <c r="P37"/>
  <c r="AO200" i="175"/>
  <c r="AM679"/>
  <c r="AJ700"/>
  <c r="K53" i="163"/>
  <c r="X33" i="71"/>
  <c r="L38" i="67"/>
  <c r="AN54" i="175"/>
  <c r="U39" i="119"/>
  <c r="S53" i="161"/>
  <c r="I37" i="71"/>
  <c r="AG664" i="175"/>
  <c r="AN266"/>
  <c r="E37" i="120"/>
  <c r="AO211" i="175"/>
  <c r="O48" i="160"/>
  <c r="AN53" i="175"/>
  <c r="J38" i="119"/>
  <c r="AO209" i="175"/>
  <c r="V37" i="71"/>
  <c r="G35" i="140"/>
  <c r="O54" i="161"/>
  <c r="H54"/>
  <c r="AM398" i="175"/>
  <c r="J38" i="120"/>
  <c r="Q41" i="69"/>
  <c r="W38" i="67"/>
  <c r="AK690" i="175"/>
  <c r="AN149"/>
  <c r="AM658"/>
  <c r="S49" i="152"/>
  <c r="H38" i="140"/>
  <c r="S36" i="64"/>
  <c r="O33" i="140"/>
  <c r="B53" i="146"/>
  <c r="M38" i="140"/>
  <c r="X34"/>
  <c r="AF176" i="175"/>
  <c r="E49" i="160"/>
  <c r="AG693" i="175"/>
  <c r="M38" i="67"/>
  <c r="AG384" i="175"/>
  <c r="AO270"/>
  <c r="I38" i="64"/>
  <c r="B54" i="161"/>
  <c r="U38" i="120"/>
  <c r="AM678" i="175"/>
  <c r="AL697"/>
  <c r="AN173"/>
  <c r="D38" i="120"/>
  <c r="AM234" i="175"/>
  <c r="AN49"/>
  <c r="AN269"/>
  <c r="AN43"/>
  <c r="AL379"/>
  <c r="AO210"/>
  <c r="J37" i="68"/>
  <c r="AJ191" i="175"/>
  <c r="P38" i="140"/>
  <c r="F36" i="67"/>
  <c r="O49" i="152"/>
  <c r="AN262" i="175"/>
  <c r="G35" i="67"/>
  <c r="AH664" i="175"/>
  <c r="AG688"/>
  <c r="R38" i="67"/>
  <c r="AK699" i="175"/>
  <c r="J38" i="140"/>
  <c r="AK389" i="175"/>
  <c r="V38" i="140"/>
  <c r="F36" i="64"/>
  <c r="B50" i="148"/>
  <c r="AI657" i="175"/>
  <c r="W37" i="71"/>
  <c r="AI196" i="175"/>
  <c r="K47" i="160"/>
  <c r="E53" i="163"/>
  <c r="I38" i="120"/>
  <c r="O33"/>
  <c r="AM667" i="175"/>
  <c r="AN174"/>
  <c r="AM36"/>
  <c r="AN130"/>
  <c r="K38" i="140"/>
  <c r="J39" i="119"/>
  <c r="G34" i="67"/>
  <c r="AM193" i="175"/>
  <c r="G34" i="119"/>
  <c r="L38" i="140"/>
  <c r="AJ135" i="175"/>
  <c r="AO271"/>
  <c r="S52" i="146"/>
  <c r="G34" i="71"/>
  <c r="AN150" i="175"/>
  <c r="R38" i="119"/>
  <c r="E37" i="140"/>
  <c r="AN172" i="175"/>
  <c r="L38" i="120"/>
  <c r="E51" i="148"/>
  <c r="H54" i="163"/>
  <c r="S38" i="120"/>
  <c r="W39" i="119"/>
  <c r="I38" i="140"/>
  <c r="K48" i="152"/>
  <c r="D37" i="68"/>
  <c r="P38" i="67"/>
  <c r="AM204" i="175"/>
  <c r="AN140"/>
  <c r="R37" i="120"/>
  <c r="B38" i="140"/>
  <c r="N38" i="120"/>
  <c r="AM203" i="175"/>
  <c r="AQ442"/>
  <c r="AH136"/>
  <c r="AO274"/>
  <c r="E54" i="161"/>
  <c r="S35" i="68"/>
  <c r="H51" i="148"/>
  <c r="AQ440" i="175"/>
  <c r="G34" i="64"/>
  <c r="AJ137" i="175"/>
  <c r="P38" i="64"/>
  <c r="Q39" i="71"/>
  <c r="K38" i="64"/>
  <c r="AO267" i="175"/>
  <c r="H36" i="71"/>
  <c r="AM202" i="175"/>
  <c r="AI198"/>
  <c r="AN265"/>
  <c r="H49" i="160"/>
  <c r="D38" i="67"/>
  <c r="W38" i="64"/>
  <c r="K50" i="147"/>
  <c r="T38" i="120"/>
  <c r="AK199" i="175"/>
  <c r="AM392"/>
  <c r="AM675"/>
  <c r="H38" i="119"/>
  <c r="E53" i="146"/>
  <c r="AL706" i="175"/>
  <c r="AI381"/>
  <c r="H37" i="71"/>
  <c r="O32" i="119"/>
  <c r="AM386" i="175"/>
  <c r="F35" i="71"/>
  <c r="AL659" i="175"/>
  <c r="AO212"/>
  <c r="O32" i="71"/>
  <c r="B54" i="163"/>
  <c r="G35" i="120"/>
  <c r="M37" i="71"/>
  <c r="S39" i="119"/>
  <c r="E37" i="67"/>
  <c r="J38" i="64"/>
  <c r="AI39" i="175"/>
  <c r="H39" i="119"/>
  <c r="F34" i="68"/>
  <c r="AL668" i="175"/>
  <c r="AH688"/>
  <c r="I39" i="119"/>
  <c r="AL709" i="175"/>
  <c r="B30" i="67"/>
  <c r="AL46" i="175"/>
  <c r="C38" i="140"/>
  <c r="K38" i="120"/>
  <c r="AL388" i="175"/>
  <c r="H37" i="120"/>
  <c r="AO275" i="175"/>
  <c r="AI661"/>
  <c r="X34" i="67"/>
  <c r="Q39" i="120"/>
  <c r="S53" i="163"/>
  <c r="K53" i="161"/>
  <c r="P38" i="119"/>
  <c r="X33"/>
  <c r="AI129" i="175"/>
  <c r="D38" i="64"/>
  <c r="AI696" i="175"/>
  <c r="AK261"/>
  <c r="AO273"/>
  <c r="AO205"/>
  <c r="AM399"/>
  <c r="B30" i="119"/>
  <c r="U38" i="64"/>
  <c r="AI194" i="175"/>
  <c r="J38" i="67"/>
  <c r="H36" i="68"/>
  <c r="AG691" i="175"/>
  <c r="AN192"/>
  <c r="AN55"/>
  <c r="AN138"/>
  <c r="AL389"/>
  <c r="N37" i="68"/>
  <c r="U38" i="140"/>
  <c r="E52" i="147"/>
  <c r="F36" i="140"/>
  <c r="AM676" i="175"/>
  <c r="AO272"/>
  <c r="AN141"/>
  <c r="W38" i="140"/>
  <c r="P39" i="120"/>
  <c r="AN148" i="175"/>
  <c r="B38" i="120"/>
  <c r="AN139" i="175"/>
  <c r="AO268"/>
  <c r="AI256"/>
  <c r="I38" i="67"/>
  <c r="AM666" i="175"/>
  <c r="H53" i="146"/>
  <c r="S48" i="160"/>
  <c r="G35" i="64"/>
  <c r="S38" i="140"/>
  <c r="AM201" i="175"/>
  <c r="N38" i="140"/>
  <c r="AN144" i="175"/>
  <c r="AL387"/>
  <c r="AJ34"/>
  <c r="U38" i="67"/>
  <c r="AI260" i="175"/>
  <c r="Q39" i="68"/>
  <c r="N38" i="64"/>
  <c r="AM255" i="175"/>
  <c r="W37" i="68"/>
  <c r="AL703" i="175"/>
  <c r="X34" i="64"/>
  <c r="AI259" i="175"/>
  <c r="AM207"/>
  <c r="S36" i="68"/>
  <c r="W38" i="120"/>
  <c r="R37" i="71"/>
  <c r="AJ253" i="175"/>
  <c r="K37" i="68"/>
  <c r="V38" i="120"/>
  <c r="E36" i="68"/>
  <c r="O52" i="146"/>
  <c r="N37" i="71"/>
  <c r="B48" i="160"/>
  <c r="B30" i="64"/>
  <c r="AI663" i="175"/>
  <c r="U37" i="71"/>
  <c r="AL689" i="175"/>
  <c r="AJ665"/>
  <c r="AH662"/>
  <c r="AN263"/>
  <c r="K37" i="71"/>
  <c r="R38" i="140"/>
  <c r="O31" i="71"/>
  <c r="AH382" i="175"/>
  <c r="AN44"/>
  <c r="AM236"/>
  <c r="E50" i="152"/>
  <c r="AJ257" i="175"/>
  <c r="V39" i="119"/>
  <c r="AG694" i="175"/>
  <c r="AN175"/>
  <c r="H52" i="147"/>
  <c r="AL708" i="175"/>
  <c r="AN56"/>
  <c r="AI197"/>
  <c r="Q40" i="67"/>
  <c r="AM396" i="175"/>
  <c r="C38" i="120"/>
  <c r="M38"/>
  <c r="AO213" i="175"/>
  <c r="T39" i="140"/>
  <c r="AN202" i="175"/>
  <c r="O50" i="148"/>
  <c r="O51" i="147"/>
  <c r="AH660" i="175"/>
  <c r="V38" i="64"/>
  <c r="U37" i="68"/>
  <c r="AN52" i="175"/>
  <c r="AH383"/>
  <c r="L38" i="119"/>
  <c r="AN151" i="175"/>
  <c r="X34" i="120"/>
  <c r="F36"/>
  <c r="E38" i="119"/>
  <c r="T39"/>
  <c r="AK698" i="175"/>
  <c r="F35" i="119"/>
  <c r="AO208" i="175"/>
  <c r="AM672"/>
  <c r="AL707"/>
  <c r="E37" i="64"/>
  <c r="O31" i="68"/>
  <c r="N38" i="67"/>
  <c r="R36" i="68"/>
  <c r="Q39" i="119"/>
  <c r="AK42" i="175"/>
  <c r="AN254"/>
  <c r="L37" i="68"/>
  <c r="AN147" i="175"/>
  <c r="B52" i="147"/>
  <c r="AO206" i="175"/>
  <c r="R38" i="64"/>
  <c r="M37" i="68"/>
  <c r="E36" i="71"/>
  <c r="AM235" i="175"/>
  <c r="L38" i="64"/>
  <c r="AJ38" i="175"/>
  <c r="AR45" i="160" l="1"/>
  <c r="AS45" s="1"/>
  <c r="AN772" i="175"/>
  <c r="AK49" i="189" s="1"/>
  <c r="AJ49"/>
  <c r="AN36" i="190"/>
  <c r="AQ473" i="175"/>
  <c r="AN54" i="190" s="1"/>
  <c r="AM54"/>
  <c r="AZ135" i="118"/>
  <c r="AZ182"/>
  <c r="AM738" i="175"/>
  <c r="AJ15" i="189" s="1"/>
  <c r="K48" i="49"/>
  <c r="AI14" i="189"/>
  <c r="AZ275" i="118"/>
  <c r="AZ40"/>
  <c r="AJ638" i="175"/>
  <c r="BD638" s="1"/>
  <c r="BD700"/>
  <c r="AM769"/>
  <c r="AJ46" i="189" s="1"/>
  <c r="AH46"/>
  <c r="AK800" i="175"/>
  <c r="AH77" i="189" s="1"/>
  <c r="AG77"/>
  <c r="BA77" s="1"/>
  <c r="BD800" i="175"/>
  <c r="BA182" i="118"/>
  <c r="BA135"/>
  <c r="AM737" i="175"/>
  <c r="AM799" s="1"/>
  <c r="AJ76" i="189" s="1"/>
  <c r="AK637" i="175"/>
  <c r="BE131" i="118"/>
  <c r="BE178"/>
  <c r="BE83"/>
  <c r="AF633" i="175"/>
  <c r="AH733"/>
  <c r="AJ46" i="160"/>
  <c r="AR46" s="1"/>
  <c r="AG795" i="175"/>
  <c r="AD72" i="189" s="1"/>
  <c r="AD10"/>
  <c r="AE3"/>
  <c r="BL84" i="118"/>
  <c r="AI726" i="175"/>
  <c r="AI788" s="1"/>
  <c r="AF65" i="189" s="1"/>
  <c r="AG626" i="175"/>
  <c r="AJ47" i="152"/>
  <c r="AS45"/>
  <c r="AS46" s="1"/>
  <c r="AI796" i="175"/>
  <c r="AF73" i="189" s="1"/>
  <c r="AD6"/>
  <c r="BD137" i="175"/>
  <c r="AJ734"/>
  <c r="AG11" i="189" s="1"/>
  <c r="BA11" s="1"/>
  <c r="BH84" i="118"/>
  <c r="AI730" i="175"/>
  <c r="AF7" i="189" s="1"/>
  <c r="BI83" i="118"/>
  <c r="N50" i="147"/>
  <c r="AB38" i="72"/>
  <c r="BD273" i="118"/>
  <c r="BD42" i="175"/>
  <c r="BD38" i="118"/>
  <c r="N48" i="152"/>
  <c r="AH729" i="175"/>
  <c r="AE6" i="189" s="1"/>
  <c r="BD85" i="118"/>
  <c r="N47" i="160"/>
  <c r="N49" i="148"/>
  <c r="D49" i="152"/>
  <c r="X49" s="1"/>
  <c r="C50" i="147"/>
  <c r="D51"/>
  <c r="AB50"/>
  <c r="AJ50" s="1"/>
  <c r="AB48" i="152"/>
  <c r="AH792" i="175"/>
  <c r="AE69" i="189" s="1"/>
  <c r="AB47" i="160"/>
  <c r="C47"/>
  <c r="D48"/>
  <c r="X48" s="1"/>
  <c r="C49" i="148"/>
  <c r="D50"/>
  <c r="X50" s="1"/>
  <c r="AB49"/>
  <c r="AJ49" s="1"/>
  <c r="AJ48"/>
  <c r="AR48" s="1"/>
  <c r="AR48" i="147"/>
  <c r="X47" i="160"/>
  <c r="AY182" i="118"/>
  <c r="AY135"/>
  <c r="AS51" i="56"/>
  <c r="AS51" i="155"/>
  <c r="BH38" i="118"/>
  <c r="BH273"/>
  <c r="BH132"/>
  <c r="BH179"/>
  <c r="BD195" i="175"/>
  <c r="BD38"/>
  <c r="AH630"/>
  <c r="BD257"/>
  <c r="AI13" i="189"/>
  <c r="BA89" i="118"/>
  <c r="BD274"/>
  <c r="BB182"/>
  <c r="BB135"/>
  <c r="AR90"/>
  <c r="AS136"/>
  <c r="AS183"/>
  <c r="AR42"/>
  <c r="AP277"/>
  <c r="AQ277"/>
  <c r="AP136"/>
  <c r="AP183"/>
  <c r="BB89"/>
  <c r="BI178"/>
  <c r="BI131"/>
  <c r="AT277"/>
  <c r="AS42"/>
  <c r="AS90"/>
  <c r="AZ89"/>
  <c r="AQ42"/>
  <c r="AT183"/>
  <c r="AT136"/>
  <c r="AU136"/>
  <c r="AU183"/>
  <c r="AR277"/>
  <c r="AT90"/>
  <c r="BK136"/>
  <c r="BK183"/>
  <c r="AR183"/>
  <c r="AR136"/>
  <c r="BD133"/>
  <c r="BD180"/>
  <c r="AT42"/>
  <c r="AQ136"/>
  <c r="AQ183"/>
  <c r="AP42"/>
  <c r="AS277"/>
  <c r="BD39"/>
  <c r="AR89"/>
  <c r="BF208" i="175"/>
  <c r="AN745"/>
  <c r="AN746"/>
  <c r="BF209"/>
  <c r="BF264"/>
  <c r="AL647"/>
  <c r="BF273"/>
  <c r="BF274"/>
  <c r="AL646"/>
  <c r="BF212"/>
  <c r="AG629"/>
  <c r="AF190"/>
  <c r="BD665"/>
  <c r="AN748"/>
  <c r="BF270"/>
  <c r="AN744"/>
  <c r="AL644"/>
  <c r="AI634"/>
  <c r="BF275"/>
  <c r="BF210"/>
  <c r="AL645"/>
  <c r="AK636"/>
  <c r="BF272"/>
  <c r="BF213"/>
  <c r="BF211"/>
  <c r="BF271"/>
  <c r="AM736"/>
  <c r="AJ13" i="189" s="1"/>
  <c r="AN747" i="175"/>
  <c r="AM252"/>
  <c r="AL648"/>
  <c r="AJ24" i="189"/>
  <c r="AM809" i="175"/>
  <c r="AJ86" i="189" s="1"/>
  <c r="AJ44" i="143"/>
  <c r="AJ52" i="159"/>
  <c r="AS42" i="143"/>
  <c r="AS43" s="1"/>
  <c r="AS47" i="148"/>
  <c r="AJ51" i="163"/>
  <c r="AR51" s="1"/>
  <c r="AR50"/>
  <c r="AJ52" i="158"/>
  <c r="AJ51" i="164"/>
  <c r="AA49" i="148"/>
  <c r="AJ22" i="189"/>
  <c r="AM807" i="175"/>
  <c r="AS50" i="159"/>
  <c r="AJ25" i="189"/>
  <c r="AM810" i="175"/>
  <c r="AM806"/>
  <c r="AJ21" i="189"/>
  <c r="AJ23"/>
  <c r="AM808" i="175"/>
  <c r="AJ85" i="189" s="1"/>
  <c r="AR49" i="164"/>
  <c r="AH793" i="175"/>
  <c r="AE70" i="189" s="1"/>
  <c r="AS50" i="158"/>
  <c r="AG34" i="72"/>
  <c r="M46" i="143"/>
  <c r="L46" s="1"/>
  <c r="AC45"/>
  <c r="X45"/>
  <c r="N45"/>
  <c r="AA44"/>
  <c r="AS50" i="150"/>
  <c r="AG90" i="118"/>
  <c r="AG44"/>
  <c r="AG279"/>
  <c r="AG184"/>
  <c r="AG137"/>
  <c r="AS51" i="171"/>
  <c r="AD130" i="118"/>
  <c r="BL38"/>
  <c r="BG85"/>
  <c r="BG178"/>
  <c r="BG131"/>
  <c r="BG272"/>
  <c r="BL273"/>
  <c r="BG37"/>
  <c r="BL132"/>
  <c r="BL179"/>
  <c r="BD191" i="175"/>
  <c r="BD253"/>
  <c r="BD134"/>
  <c r="AI731"/>
  <c r="AI793" s="1"/>
  <c r="BD34"/>
  <c r="AH626"/>
  <c r="AG631"/>
  <c r="AJ51" i="149"/>
  <c r="AA48" i="152"/>
  <c r="AD177" i="118"/>
  <c r="AS49" i="149"/>
  <c r="BC136" i="118"/>
  <c r="BC183"/>
  <c r="AR52" i="56"/>
  <c r="S53" i="155"/>
  <c r="V53" s="1"/>
  <c r="AC40" i="72"/>
  <c r="AB39"/>
  <c r="BF37" i="118"/>
  <c r="BF272"/>
  <c r="O53" i="168"/>
  <c r="R53" s="1"/>
  <c r="S53" i="158"/>
  <c r="V53" s="1"/>
  <c r="O53" i="153"/>
  <c r="R53" s="1"/>
  <c r="AA50" i="147"/>
  <c r="S53" i="168"/>
  <c r="V53" s="1"/>
  <c r="O53" i="56"/>
  <c r="R53" s="1"/>
  <c r="O53" i="150"/>
  <c r="R53" s="1"/>
  <c r="Q38" i="72"/>
  <c r="AJ52" i="149"/>
  <c r="O52"/>
  <c r="R52" s="1"/>
  <c r="F52"/>
  <c r="O53" i="167"/>
  <c r="R53" s="1"/>
  <c r="X52" i="149"/>
  <c r="AX136" i="118"/>
  <c r="AX183"/>
  <c r="S53" i="144"/>
  <c r="V53" s="1"/>
  <c r="O53" i="151"/>
  <c r="R53" s="1"/>
  <c r="S53" i="56"/>
  <c r="V53" s="1"/>
  <c r="O53" i="155"/>
  <c r="R53" s="1"/>
  <c r="O53" i="164"/>
  <c r="R53" s="1"/>
  <c r="O53" i="154"/>
  <c r="R53" s="1"/>
  <c r="BD53" i="149"/>
  <c r="G53" s="1"/>
  <c r="O53" s="1"/>
  <c r="R53" s="1"/>
  <c r="L48" i="49"/>
  <c r="S53" i="159"/>
  <c r="V53" s="1"/>
  <c r="O53"/>
  <c r="R53" s="1"/>
  <c r="S53" i="151"/>
  <c r="V53" s="1"/>
  <c r="K53" i="171"/>
  <c r="N53" s="1"/>
  <c r="S53" i="150"/>
  <c r="V53" s="1"/>
  <c r="O53" i="166"/>
  <c r="R53" s="1"/>
  <c r="S53" i="167"/>
  <c r="V53" s="1"/>
  <c r="S53" i="145"/>
  <c r="V53" s="1"/>
  <c r="BF268" i="175"/>
  <c r="BK89" i="118"/>
  <c r="BF267" i="175"/>
  <c r="BF205"/>
  <c r="AW89" i="118"/>
  <c r="BF178"/>
  <c r="BF131"/>
  <c r="R51" i="147"/>
  <c r="V51"/>
  <c r="AN735" i="175"/>
  <c r="AL635"/>
  <c r="R48" i="160"/>
  <c r="AW277" i="118"/>
  <c r="Y42" i="72"/>
  <c r="AW42" i="118"/>
  <c r="AL627" i="175"/>
  <c r="R54" i="161"/>
  <c r="R50" i="148"/>
  <c r="G50" i="152"/>
  <c r="AE42" i="72"/>
  <c r="AL641" i="175"/>
  <c r="N53" i="161"/>
  <c r="C53" i="146"/>
  <c r="N53"/>
  <c r="AG632" i="175"/>
  <c r="AN741"/>
  <c r="R49" i="152"/>
  <c r="N53" i="163"/>
  <c r="V48" i="160"/>
  <c r="R42" i="72"/>
  <c r="BC42" i="118"/>
  <c r="BC277"/>
  <c r="T42" i="72"/>
  <c r="BD135" i="175"/>
  <c r="AA42" i="72"/>
  <c r="AD41"/>
  <c r="BJ276" i="118"/>
  <c r="BJ41"/>
  <c r="Z42" i="72"/>
  <c r="V49" i="152"/>
  <c r="BC89" i="118"/>
  <c r="AW183"/>
  <c r="AW136"/>
  <c r="BF200" i="175"/>
  <c r="AV135" i="118"/>
  <c r="AV182"/>
  <c r="AI283" i="175"/>
  <c r="AI221"/>
  <c r="AI732"/>
  <c r="BF206"/>
  <c r="BJ89" i="118"/>
  <c r="BF85"/>
  <c r="BJ135"/>
  <c r="BJ182"/>
  <c r="AN727" i="175"/>
  <c r="AK628"/>
  <c r="J54" i="163"/>
  <c r="V50" i="148"/>
  <c r="J50" i="152"/>
  <c r="S42" i="72"/>
  <c r="BB277" i="118"/>
  <c r="BB42"/>
  <c r="V40" i="72"/>
  <c r="AM728" i="175"/>
  <c r="V52" i="146"/>
  <c r="G53" i="163"/>
  <c r="R52"/>
  <c r="X42" i="72"/>
  <c r="BK277" i="118"/>
  <c r="BK42"/>
  <c r="AN34" i="190"/>
  <c r="AQ470" i="175"/>
  <c r="AQ471"/>
  <c r="AN52" i="190" s="1"/>
  <c r="AI416" i="118"/>
  <c r="R52" i="146"/>
  <c r="W44" i="72"/>
  <c r="V53" i="161"/>
  <c r="D54" i="163"/>
  <c r="AN737" i="175"/>
  <c r="V53" i="163"/>
  <c r="AR50" i="146"/>
  <c r="BK54" i="164"/>
  <c r="BL54" s="1"/>
  <c r="G54"/>
  <c r="AD54" s="1"/>
  <c r="G54" i="166"/>
  <c r="AD54" s="1"/>
  <c r="G54" i="167"/>
  <c r="AD54" s="1"/>
  <c r="G52" i="147"/>
  <c r="F51"/>
  <c r="AD51"/>
  <c r="AB278" i="118"/>
  <c r="H50" i="51"/>
  <c r="I50" s="1"/>
  <c r="X53" i="171"/>
  <c r="I51" i="147"/>
  <c r="AF51"/>
  <c r="J52"/>
  <c r="AJ52" i="167"/>
  <c r="AJ52" i="166"/>
  <c r="AS50"/>
  <c r="AS50" i="165"/>
  <c r="AR50" i="149"/>
  <c r="F48" i="160"/>
  <c r="G49"/>
  <c r="AD48"/>
  <c r="G49" i="137"/>
  <c r="C49"/>
  <c r="E49"/>
  <c r="X53" i="153"/>
  <c r="AB53"/>
  <c r="X53" i="159"/>
  <c r="AB53"/>
  <c r="D54" i="167"/>
  <c r="D54" i="56"/>
  <c r="K54" s="1"/>
  <c r="N54" s="1"/>
  <c r="D54" i="149"/>
  <c r="K54" s="1"/>
  <c r="N54" s="1"/>
  <c r="AW49" i="51"/>
  <c r="AZ49"/>
  <c r="J49"/>
  <c r="AA52" i="171" s="1"/>
  <c r="AR52" s="1"/>
  <c r="AI48" i="137"/>
  <c r="D48"/>
  <c r="AB92" i="118"/>
  <c r="B55" i="145"/>
  <c r="B55" i="151"/>
  <c r="B55" i="154"/>
  <c r="B55" i="144"/>
  <c r="AM44" i="142" s="1"/>
  <c r="B55" i="153"/>
  <c r="B55" i="166"/>
  <c r="B55" i="56"/>
  <c r="B55" i="162"/>
  <c r="C55" s="1"/>
  <c r="B55" i="155"/>
  <c r="B55" i="165"/>
  <c r="B55" i="168"/>
  <c r="B55" i="167"/>
  <c r="B55" i="143"/>
  <c r="B55" i="158"/>
  <c r="B55" i="159"/>
  <c r="B55" i="149"/>
  <c r="B55" i="164"/>
  <c r="B55" i="150"/>
  <c r="B55" i="171"/>
  <c r="I48" i="137"/>
  <c r="J48" s="1"/>
  <c r="J54" i="56"/>
  <c r="AF54" s="1"/>
  <c r="J54" i="150"/>
  <c r="AF54" s="1"/>
  <c r="J54" i="167"/>
  <c r="AF54" s="1"/>
  <c r="AA52" i="154"/>
  <c r="AR53" i="162"/>
  <c r="AS50" i="161"/>
  <c r="AJ12" i="189"/>
  <c r="AM797" i="175"/>
  <c r="AJ74" i="189" s="1"/>
  <c r="AM803" i="175"/>
  <c r="AJ80" i="189" s="1"/>
  <c r="AJ18"/>
  <c r="AM52" i="190"/>
  <c r="AB53" i="158"/>
  <c r="X53"/>
  <c r="G54"/>
  <c r="AD54" s="1"/>
  <c r="O54" i="162"/>
  <c r="R54" s="1"/>
  <c r="Z47" i="49"/>
  <c r="M47"/>
  <c r="J48"/>
  <c r="G51" i="148"/>
  <c r="F50"/>
  <c r="AD50"/>
  <c r="AA52" i="145"/>
  <c r="AA52" i="159"/>
  <c r="AS50" i="154"/>
  <c r="C50" i="13"/>
  <c r="AL57" i="171"/>
  <c r="AM57" s="1"/>
  <c r="D51" i="13"/>
  <c r="CB57" i="162"/>
  <c r="AB53" i="161"/>
  <c r="C53"/>
  <c r="X53"/>
  <c r="D54" i="155"/>
  <c r="AR51" i="166"/>
  <c r="J54" i="164"/>
  <c r="AF54" s="1"/>
  <c r="J54" i="151"/>
  <c r="AF54" s="1"/>
  <c r="AJ52" i="154"/>
  <c r="AD49" i="152"/>
  <c r="AJ4" i="189"/>
  <c r="AM789" i="175"/>
  <c r="AJ66" i="189" s="1"/>
  <c r="AB53" i="163"/>
  <c r="AP501" i="175"/>
  <c r="AM51" i="190"/>
  <c r="I48" i="160"/>
  <c r="AF48"/>
  <c r="J49"/>
  <c r="AR51" i="158"/>
  <c r="G54" i="143"/>
  <c r="AD54" s="1"/>
  <c r="G54" i="171"/>
  <c r="AD54" s="1"/>
  <c r="G54" i="145"/>
  <c r="AD54" s="1"/>
  <c r="G54" i="151"/>
  <c r="AD54" s="1"/>
  <c r="G54" i="165"/>
  <c r="O54" s="1"/>
  <c r="R54" s="1"/>
  <c r="G54" i="56"/>
  <c r="AD54" s="1"/>
  <c r="AA52" i="168"/>
  <c r="AA52" i="150"/>
  <c r="AS50" i="151"/>
  <c r="AH67" i="189"/>
  <c r="X55" i="162"/>
  <c r="AB55"/>
  <c r="X53" i="167"/>
  <c r="AB53"/>
  <c r="AA52" i="166"/>
  <c r="AS50" i="145"/>
  <c r="AA52" i="151"/>
  <c r="AS49" i="163"/>
  <c r="AA51" i="146"/>
  <c r="CC56" i="162"/>
  <c r="D56" s="1"/>
  <c r="CE56"/>
  <c r="J56" s="1"/>
  <c r="CD56"/>
  <c r="G56" s="1"/>
  <c r="CG56"/>
  <c r="AL56" s="1"/>
  <c r="AJ54"/>
  <c r="D54" i="171"/>
  <c r="AB54" s="1"/>
  <c r="D54" i="168"/>
  <c r="K54" s="1"/>
  <c r="N54" s="1"/>
  <c r="K54" i="162"/>
  <c r="N54" s="1"/>
  <c r="D54" i="154"/>
  <c r="D54" i="164"/>
  <c r="K54" s="1"/>
  <c r="N54" s="1"/>
  <c r="BN52"/>
  <c r="BU52" s="1"/>
  <c r="BV52" s="1"/>
  <c r="X52" s="1"/>
  <c r="AA52" i="153"/>
  <c r="H48" i="137"/>
  <c r="BD55" i="161" s="1"/>
  <c r="H55" i="166"/>
  <c r="H55" i="145"/>
  <c r="H55" i="144"/>
  <c r="H55" i="154"/>
  <c r="H55" i="153"/>
  <c r="H55" i="167"/>
  <c r="H55" i="162"/>
  <c r="I55" s="1"/>
  <c r="H55" i="168"/>
  <c r="H55" i="165"/>
  <c r="H55" i="151"/>
  <c r="H55" i="56"/>
  <c r="H55" i="155"/>
  <c r="H55" i="164"/>
  <c r="H55" i="171"/>
  <c r="AB186" i="118"/>
  <c r="H55" i="158"/>
  <c r="H55" i="143"/>
  <c r="H55" i="159"/>
  <c r="H55" i="150"/>
  <c r="H55" i="149"/>
  <c r="AB53" i="164"/>
  <c r="J54" i="155"/>
  <c r="AF54" s="1"/>
  <c r="J54" i="159"/>
  <c r="AF54" s="1"/>
  <c r="S54" i="162"/>
  <c r="V54" s="1"/>
  <c r="J54" i="145"/>
  <c r="AF54" s="1"/>
  <c r="J54" i="166"/>
  <c r="AF54" s="1"/>
  <c r="BJ54" i="161"/>
  <c r="D54" s="1"/>
  <c r="BV54"/>
  <c r="J54" s="1"/>
  <c r="AK48" i="51"/>
  <c r="AV48"/>
  <c r="AX48" s="1"/>
  <c r="B41" i="72"/>
  <c r="D41" s="1"/>
  <c r="I41" s="1"/>
  <c r="H41" s="1"/>
  <c r="G41" s="1"/>
  <c r="F41" s="1"/>
  <c r="E41" s="1"/>
  <c r="AB41" i="118"/>
  <c r="X53" i="150"/>
  <c r="AB53"/>
  <c r="AJ53" s="1"/>
  <c r="U47" i="49"/>
  <c r="T48"/>
  <c r="AF49" i="152"/>
  <c r="AE9" i="189"/>
  <c r="AH794" i="175"/>
  <c r="BU415" i="118"/>
  <c r="BV415"/>
  <c r="BS415"/>
  <c r="AE415" s="1"/>
  <c r="BT415"/>
  <c r="BX415"/>
  <c r="BW415"/>
  <c r="K53" i="153"/>
  <c r="N53" s="1"/>
  <c r="K53" i="159"/>
  <c r="N53" s="1"/>
  <c r="S53" i="171"/>
  <c r="V53" s="1"/>
  <c r="O53"/>
  <c r="R53" s="1"/>
  <c r="O53" i="143"/>
  <c r="R53" s="1"/>
  <c r="F54" i="162"/>
  <c r="S53" i="143"/>
  <c r="V53" s="1"/>
  <c r="BU51" i="164"/>
  <c r="BV51" s="1"/>
  <c r="X51" s="1"/>
  <c r="AA52" i="163"/>
  <c r="F54" i="161"/>
  <c r="AD54"/>
  <c r="X45" i="49"/>
  <c r="G49" i="51"/>
  <c r="AJ52" i="161"/>
  <c r="X53" i="56"/>
  <c r="AA53" s="1"/>
  <c r="AB53"/>
  <c r="AJ53" s="1"/>
  <c r="AF55" i="162"/>
  <c r="AS49" i="146"/>
  <c r="AR51" i="165"/>
  <c r="AB53" i="149"/>
  <c r="D54" i="158"/>
  <c r="AJ52" i="153"/>
  <c r="BK54" i="165"/>
  <c r="I54"/>
  <c r="S54"/>
  <c r="V54" s="1"/>
  <c r="J54" i="153"/>
  <c r="AF54" s="1"/>
  <c r="AR51" i="150"/>
  <c r="AR49" i="147"/>
  <c r="X53" i="151"/>
  <c r="AC53"/>
  <c r="G54" i="159"/>
  <c r="AD54" s="1"/>
  <c r="G54" i="168"/>
  <c r="AD54" s="1"/>
  <c r="G54" i="154"/>
  <c r="AD54" s="1"/>
  <c r="AA52" i="158"/>
  <c r="I50" i="148"/>
  <c r="AF50"/>
  <c r="J51"/>
  <c r="AA52" i="167"/>
  <c r="AD55" i="162"/>
  <c r="AR51" i="154"/>
  <c r="AA50" i="164"/>
  <c r="AJ51" i="146"/>
  <c r="D54" i="159"/>
  <c r="D54" i="145"/>
  <c r="K54" s="1"/>
  <c r="N54" s="1"/>
  <c r="D54" i="150"/>
  <c r="K54" s="1"/>
  <c r="N54" s="1"/>
  <c r="D54" i="151"/>
  <c r="K54" s="1"/>
  <c r="N54" s="1"/>
  <c r="AF52" i="146"/>
  <c r="I52"/>
  <c r="J53"/>
  <c r="AD53" i="165"/>
  <c r="E55" i="56"/>
  <c r="AB139" i="118"/>
  <c r="E55" i="151"/>
  <c r="E55" i="154"/>
  <c r="E55" i="144"/>
  <c r="E55" i="165"/>
  <c r="E55" i="167"/>
  <c r="E55" i="162"/>
  <c r="F55" s="1"/>
  <c r="E55" i="149"/>
  <c r="F48" i="137"/>
  <c r="BC55" i="161" s="1"/>
  <c r="BP55" s="1"/>
  <c r="G55" s="1"/>
  <c r="E55" i="166"/>
  <c r="E55" i="153"/>
  <c r="E55" i="168"/>
  <c r="E55" i="145"/>
  <c r="E55" i="155"/>
  <c r="E55" i="150"/>
  <c r="E55" i="171"/>
  <c r="E55" i="164"/>
  <c r="E55" i="158"/>
  <c r="E55" i="159"/>
  <c r="E55" i="143"/>
  <c r="AB53" i="154"/>
  <c r="X53"/>
  <c r="J54" i="171"/>
  <c r="AF54" s="1"/>
  <c r="J54" i="143"/>
  <c r="AF54" s="1"/>
  <c r="J54" i="154"/>
  <c r="AF54" s="1"/>
  <c r="AR51" i="168"/>
  <c r="AS52" i="162"/>
  <c r="AI5" i="189"/>
  <c r="AL790" i="175"/>
  <c r="AI67" i="189" s="1"/>
  <c r="AD52" i="163"/>
  <c r="AR51" i="161"/>
  <c r="X53" i="166"/>
  <c r="AB53"/>
  <c r="G54" i="155"/>
  <c r="AD54" s="1"/>
  <c r="G54" i="150"/>
  <c r="AD54" s="1"/>
  <c r="BC54" i="149"/>
  <c r="BB54"/>
  <c r="G54" i="153"/>
  <c r="AD54" s="1"/>
  <c r="G54" i="144"/>
  <c r="AD54" s="1"/>
  <c r="AA52" i="161"/>
  <c r="AJ52" i="168"/>
  <c r="AJ52" i="145"/>
  <c r="AB53"/>
  <c r="X53"/>
  <c r="AR51"/>
  <c r="AS50" i="168"/>
  <c r="AM55" i="162"/>
  <c r="AR51" i="153"/>
  <c r="AJ52" i="151"/>
  <c r="F52" i="146"/>
  <c r="AD52"/>
  <c r="G53"/>
  <c r="X52"/>
  <c r="AS50" i="153"/>
  <c r="X53" i="168"/>
  <c r="AB53"/>
  <c r="AA54" i="162"/>
  <c r="AF53" i="161"/>
  <c r="I53"/>
  <c r="D54" i="143"/>
  <c r="D54" i="166"/>
  <c r="K54" s="1"/>
  <c r="N54" s="1"/>
  <c r="C54" i="165"/>
  <c r="K54"/>
  <c r="N54" s="1"/>
  <c r="D54" i="144"/>
  <c r="K54" s="1"/>
  <c r="D54" i="153"/>
  <c r="K54" s="1"/>
  <c r="N54" s="1"/>
  <c r="AS50" i="167"/>
  <c r="AR51" i="151"/>
  <c r="J54" i="149"/>
  <c r="AF54" s="1"/>
  <c r="J54" i="158"/>
  <c r="AF54" s="1"/>
  <c r="J54" i="144"/>
  <c r="AF54" s="1"/>
  <c r="J54" i="168"/>
  <c r="AF54" s="1"/>
  <c r="AJ52" i="165"/>
  <c r="BP53" i="164"/>
  <c r="BM53"/>
  <c r="BT53"/>
  <c r="AR51" i="167"/>
  <c r="X53" i="155"/>
  <c r="AA53" s="1"/>
  <c r="AB53"/>
  <c r="AJ53" s="1"/>
  <c r="AR51" i="159"/>
  <c r="Z53" i="171"/>
  <c r="AB372" i="118"/>
  <c r="AD372" s="1"/>
  <c r="W46" i="49"/>
  <c r="AF53" i="163"/>
  <c r="S53" i="154"/>
  <c r="V53" s="1"/>
  <c r="K53" i="158"/>
  <c r="N53" s="1"/>
  <c r="S53" i="166"/>
  <c r="V53" s="1"/>
  <c r="AR52" i="155"/>
  <c r="O53" i="144"/>
  <c r="R53" s="1"/>
  <c r="S53" i="164"/>
  <c r="V53" s="1"/>
  <c r="K53" i="144"/>
  <c r="AJ53" i="171"/>
  <c r="O53" i="158"/>
  <c r="R53" s="1"/>
  <c r="BF501" i="175"/>
  <c r="O53" i="165"/>
  <c r="R53" s="1"/>
  <c r="O53" i="145"/>
  <c r="R53" s="1"/>
  <c r="K53" i="154"/>
  <c r="N53" s="1"/>
  <c r="S53" i="153"/>
  <c r="V53" s="1"/>
  <c r="S53" i="149"/>
  <c r="V53" s="1"/>
  <c r="L39" i="64"/>
  <c r="AO131" i="175"/>
  <c r="AM707"/>
  <c r="K51" i="147"/>
  <c r="X35" i="120"/>
  <c r="AP208" i="175"/>
  <c r="AP210"/>
  <c r="H50" i="160"/>
  <c r="AN399" i="175"/>
  <c r="AO140"/>
  <c r="AK34"/>
  <c r="AN204"/>
  <c r="X35" i="140"/>
  <c r="AN207" i="175"/>
  <c r="AI692"/>
  <c r="AN675"/>
  <c r="AO52"/>
  <c r="J39" i="120"/>
  <c r="AN392" i="175"/>
  <c r="AN45"/>
  <c r="AN395"/>
  <c r="H38" i="67"/>
  <c r="V39" i="140"/>
  <c r="AN388" i="175"/>
  <c r="F37" i="140"/>
  <c r="U39" i="64"/>
  <c r="AL698" i="175"/>
  <c r="L39" i="140"/>
  <c r="S52" i="147"/>
  <c r="X35" i="64"/>
  <c r="R38" i="120"/>
  <c r="AJ260" i="175"/>
  <c r="AJ256"/>
  <c r="I40" i="119"/>
  <c r="AP264" i="175"/>
  <c r="AP274"/>
  <c r="AM708"/>
  <c r="AO149"/>
  <c r="S37" i="64"/>
  <c r="L39" i="119"/>
  <c r="AJ133" i="175"/>
  <c r="S36" i="71"/>
  <c r="Q40" i="120"/>
  <c r="K39" i="119"/>
  <c r="AO56" i="175"/>
  <c r="S49" i="160"/>
  <c r="AP268" i="175"/>
  <c r="E38" i="140"/>
  <c r="Q42" i="69"/>
  <c r="G34" i="68"/>
  <c r="F36" i="119"/>
  <c r="V39" i="120"/>
  <c r="C39" i="140"/>
  <c r="E50" i="160"/>
  <c r="AH384" i="175"/>
  <c r="R37" i="68"/>
  <c r="D38"/>
  <c r="O33" i="119"/>
  <c r="AJ196" i="175"/>
  <c r="W40" i="119"/>
  <c r="AK253" i="175"/>
  <c r="B31" i="119"/>
  <c r="AO172" i="175"/>
  <c r="AH693"/>
  <c r="AN678"/>
  <c r="AP211"/>
  <c r="AP213"/>
  <c r="K49" i="152"/>
  <c r="K50" i="148"/>
  <c r="AI132" i="175"/>
  <c r="AJ198"/>
  <c r="AN36"/>
  <c r="AO49"/>
  <c r="H39" i="120"/>
  <c r="U40" i="119"/>
  <c r="P38" i="71"/>
  <c r="T38" i="68"/>
  <c r="AK137" i="175"/>
  <c r="B54" i="146"/>
  <c r="R39" i="140"/>
  <c r="F36" i="71"/>
  <c r="AN676" i="175"/>
  <c r="AO144"/>
  <c r="AL199"/>
  <c r="S51" i="148"/>
  <c r="AK134" i="175"/>
  <c r="U39" i="120"/>
  <c r="AL669" i="175"/>
  <c r="E52" i="148"/>
  <c r="E54" i="146"/>
  <c r="D39" i="120"/>
  <c r="P39" i="64"/>
  <c r="E38"/>
  <c r="S54" i="161"/>
  <c r="G35" i="68"/>
  <c r="AO43" i="175"/>
  <c r="AN679"/>
  <c r="AK700"/>
  <c r="M39" i="120"/>
  <c r="S54" i="163"/>
  <c r="T39" i="120"/>
  <c r="B39"/>
  <c r="K39"/>
  <c r="AO262" i="175"/>
  <c r="AK665"/>
  <c r="AN667"/>
  <c r="AN386"/>
  <c r="U39" i="140"/>
  <c r="G36"/>
  <c r="E38" i="67"/>
  <c r="S38" i="64"/>
  <c r="H40" i="119"/>
  <c r="AJ258" i="175"/>
  <c r="N39" i="119"/>
  <c r="J38" i="68"/>
  <c r="K54" i="161"/>
  <c r="AH694" i="175"/>
  <c r="F36" i="68"/>
  <c r="V38"/>
  <c r="U38"/>
  <c r="X33"/>
  <c r="E55" i="161"/>
  <c r="AO266" i="175"/>
  <c r="B31" i="64"/>
  <c r="S39" i="140"/>
  <c r="AM379" i="175"/>
  <c r="E39" i="119"/>
  <c r="M39"/>
  <c r="AM46" i="175"/>
  <c r="T40" i="140"/>
  <c r="B30" i="71"/>
  <c r="Q40" i="140"/>
  <c r="X34" i="71"/>
  <c r="W39" i="64"/>
  <c r="AO174" i="175"/>
  <c r="B53" i="147"/>
  <c r="O34" i="67"/>
  <c r="AO265" i="175"/>
  <c r="D39" i="64"/>
  <c r="H38"/>
  <c r="S37" i="68"/>
  <c r="AM697" i="175"/>
  <c r="AO35"/>
  <c r="AO147"/>
  <c r="B55" i="161"/>
  <c r="AJ259" i="175"/>
  <c r="J39" i="140"/>
  <c r="AH695" i="175"/>
  <c r="V39" i="67"/>
  <c r="B49" i="160"/>
  <c r="K54" i="146"/>
  <c r="AN193" i="175"/>
  <c r="H39" i="140"/>
  <c r="AK191" i="175"/>
  <c r="H38" i="120"/>
  <c r="AO141" i="175"/>
  <c r="B31" i="67"/>
  <c r="X35"/>
  <c r="AP270" i="175"/>
  <c r="O34" i="140"/>
  <c r="W39" i="120"/>
  <c r="AO150" i="175"/>
  <c r="AJ663"/>
  <c r="J39" i="64"/>
  <c r="W38" i="68"/>
  <c r="N38" i="71"/>
  <c r="E38" i="120"/>
  <c r="AM388" i="175"/>
  <c r="S38" i="67"/>
  <c r="AK38" i="175"/>
  <c r="P38" i="68"/>
  <c r="AM659" i="175"/>
  <c r="L38" i="71"/>
  <c r="T40" i="119"/>
  <c r="AP212" i="175"/>
  <c r="M39" i="67"/>
  <c r="I39"/>
  <c r="K39" i="140"/>
  <c r="K39" i="64"/>
  <c r="I39" i="68"/>
  <c r="I39" i="140"/>
  <c r="AN666" i="175"/>
  <c r="AO175"/>
  <c r="H37" i="68"/>
  <c r="G36" i="64"/>
  <c r="Q40" i="68"/>
  <c r="AI382" i="175"/>
  <c r="O55" i="161"/>
  <c r="H51" i="152"/>
  <c r="L39" i="67"/>
  <c r="AO148" i="175"/>
  <c r="AM703"/>
  <c r="D39" i="67"/>
  <c r="AP206" i="175"/>
  <c r="O51" i="148"/>
  <c r="B39" i="140"/>
  <c r="AN378" i="175"/>
  <c r="B30" i="68"/>
  <c r="L39" i="120"/>
  <c r="AN203" i="175"/>
  <c r="M39" i="140"/>
  <c r="AN255" i="175"/>
  <c r="AI660"/>
  <c r="AR440"/>
  <c r="AR442"/>
  <c r="AK135"/>
  <c r="AG176"/>
  <c r="AJ657"/>
  <c r="AO54"/>
  <c r="AJ37"/>
  <c r="O33" i="64"/>
  <c r="V39"/>
  <c r="M38" i="71"/>
  <c r="I39" i="64"/>
  <c r="AM710" i="175"/>
  <c r="AN672"/>
  <c r="AN201"/>
  <c r="AJ661"/>
  <c r="AK385"/>
  <c r="AO263"/>
  <c r="M39" i="64"/>
  <c r="D40" i="119"/>
  <c r="AJ194" i="175"/>
  <c r="G36" i="67"/>
  <c r="I39" i="120"/>
  <c r="O53" i="146"/>
  <c r="L38" i="68"/>
  <c r="AM709" i="175"/>
  <c r="AO254"/>
  <c r="K48" i="160"/>
  <c r="N39" i="140"/>
  <c r="E37" i="71"/>
  <c r="AN46" i="175"/>
  <c r="AJ381"/>
  <c r="J39" i="67"/>
  <c r="G35" i="71"/>
  <c r="P39" i="140"/>
  <c r="B51" i="148"/>
  <c r="AO269" i="175"/>
  <c r="Q40" i="71"/>
  <c r="C39" i="120"/>
  <c r="O34" i="64"/>
  <c r="I38" i="71"/>
  <c r="O32" i="68"/>
  <c r="D39" i="140"/>
  <c r="G36" i="120"/>
  <c r="AI37" i="175"/>
  <c r="AL42"/>
  <c r="AL699"/>
  <c r="O50" i="152"/>
  <c r="N38" i="68"/>
  <c r="K38"/>
  <c r="S39" i="120"/>
  <c r="U39" i="67"/>
  <c r="AP273" i="175"/>
  <c r="AL690"/>
  <c r="AP275"/>
  <c r="T40" i="120"/>
  <c r="AH691" i="175"/>
  <c r="AJ41"/>
  <c r="AP205"/>
  <c r="AI662"/>
  <c r="X34" i="119"/>
  <c r="W38" i="71"/>
  <c r="AN398" i="175"/>
  <c r="O34" i="120"/>
  <c r="AO173" i="175"/>
  <c r="S53" i="146"/>
  <c r="O33" i="67"/>
  <c r="AO53" i="175"/>
  <c r="N39" i="67"/>
  <c r="P40" i="120"/>
  <c r="S50" i="152"/>
  <c r="AM689" i="175"/>
  <c r="K38" i="71"/>
  <c r="D38"/>
  <c r="M38" i="68"/>
  <c r="AI41" i="175"/>
  <c r="AI380"/>
  <c r="AJ696"/>
  <c r="H55" i="161"/>
  <c r="AN658" i="175"/>
  <c r="E37" i="68"/>
  <c r="AJ385" i="175"/>
  <c r="J40" i="119"/>
  <c r="F37" i="120"/>
  <c r="H54" i="146"/>
  <c r="E51" i="152"/>
  <c r="AI377" i="175"/>
  <c r="O49" i="160"/>
  <c r="AO139" i="175"/>
  <c r="U38" i="71"/>
  <c r="AN396" i="175"/>
  <c r="AJ197"/>
  <c r="E54" i="163"/>
  <c r="AO192" i="175"/>
  <c r="Q40" i="119"/>
  <c r="V38" i="71"/>
  <c r="AL261" i="175"/>
  <c r="AJ129"/>
  <c r="AK195"/>
  <c r="R38" i="71"/>
  <c r="AP272" i="175"/>
  <c r="G35" i="119"/>
  <c r="K40"/>
  <c r="N39" i="64"/>
  <c r="K39" i="67"/>
  <c r="AM706" i="175"/>
  <c r="S40" i="119"/>
  <c r="B55" i="163"/>
  <c r="AM698" i="175"/>
  <c r="AI136"/>
  <c r="AP200"/>
  <c r="O53" i="163"/>
  <c r="AO151" i="175"/>
  <c r="AN397"/>
  <c r="Q41" i="64"/>
  <c r="AG695" i="175"/>
  <c r="E53" i="147"/>
  <c r="AP209" i="175"/>
  <c r="AI383"/>
  <c r="AP267"/>
  <c r="AM387"/>
  <c r="R39" i="119"/>
  <c r="H52" i="148"/>
  <c r="O52" i="147"/>
  <c r="N39" i="120"/>
  <c r="K54" i="163"/>
  <c r="S37" i="67"/>
  <c r="AJ40" i="175"/>
  <c r="W39" i="140"/>
  <c r="H38" i="68"/>
  <c r="AN677" i="175"/>
  <c r="AO138"/>
  <c r="AO130"/>
  <c r="Q41" i="67"/>
  <c r="W39"/>
  <c r="AO55" i="175"/>
  <c r="AP271"/>
  <c r="J38" i="71"/>
  <c r="AK257" i="175"/>
  <c r="P39" i="67"/>
  <c r="H55" i="163"/>
  <c r="AJ39" i="175"/>
  <c r="H53" i="147"/>
  <c r="P39" i="119"/>
  <c r="AM389" i="175"/>
  <c r="B50" i="152"/>
  <c r="AG633" i="175" l="1"/>
  <c r="AO772"/>
  <c r="AL49" i="189" s="1"/>
  <c r="BC49" s="1"/>
  <c r="BF175" i="175"/>
  <c r="AO36" i="190"/>
  <c r="AR473" i="175"/>
  <c r="AO54" i="190" s="1"/>
  <c r="AZ136" i="118"/>
  <c r="AZ183"/>
  <c r="AZ90"/>
  <c r="AN738" i="175"/>
  <c r="BF265"/>
  <c r="K49" i="49"/>
  <c r="AJ14" i="189"/>
  <c r="AZ276" i="118"/>
  <c r="AZ41"/>
  <c r="AZ42"/>
  <c r="AZ277"/>
  <c r="AK638" i="175"/>
  <c r="AF3" i="189"/>
  <c r="AM800" i="175"/>
  <c r="AJ77" i="189" s="1"/>
  <c r="AS49" i="164"/>
  <c r="BA42" i="118"/>
  <c r="BA183"/>
  <c r="BA136"/>
  <c r="BA277"/>
  <c r="AL637" i="175"/>
  <c r="AR51" i="149"/>
  <c r="BE84" i="118"/>
  <c r="BE273"/>
  <c r="BE272"/>
  <c r="BE132"/>
  <c r="BE179"/>
  <c r="BE37"/>
  <c r="BE38"/>
  <c r="BD198" i="175"/>
  <c r="AH633"/>
  <c r="BD260"/>
  <c r="BD41"/>
  <c r="AI733"/>
  <c r="AA47" i="160"/>
  <c r="AJ47"/>
  <c r="AE10" i="189"/>
  <c r="AH795" i="175"/>
  <c r="AE72" i="189" s="1"/>
  <c r="BL85" i="118"/>
  <c r="AJ726" i="175"/>
  <c r="BD726" s="1"/>
  <c r="BD129"/>
  <c r="AJ48" i="152"/>
  <c r="AR48" s="1"/>
  <c r="AR47"/>
  <c r="AS47" s="1"/>
  <c r="AI792" i="175"/>
  <c r="AF69" i="189" s="1"/>
  <c r="AH791" i="175"/>
  <c r="AE68" i="189" s="1"/>
  <c r="BI84" i="118"/>
  <c r="N51" i="147"/>
  <c r="BD385" i="175"/>
  <c r="N48" i="160"/>
  <c r="AI729" i="175"/>
  <c r="AF6" i="189" s="1"/>
  <c r="BD86" i="118"/>
  <c r="AK734" i="175"/>
  <c r="AH11" i="189" s="1"/>
  <c r="BD133" i="175"/>
  <c r="AJ730"/>
  <c r="BD730" s="1"/>
  <c r="BH85" i="118"/>
  <c r="BI37"/>
  <c r="BI272"/>
  <c r="N50" i="148"/>
  <c r="D50" i="152"/>
  <c r="X50" s="1"/>
  <c r="N49"/>
  <c r="D52" i="147"/>
  <c r="X52" s="1"/>
  <c r="AB51"/>
  <c r="AJ51" s="1"/>
  <c r="C51"/>
  <c r="D49" i="160"/>
  <c r="X49" s="1"/>
  <c r="AB48"/>
  <c r="C48"/>
  <c r="BD734" i="175"/>
  <c r="AJ796"/>
  <c r="AG73" i="189" s="1"/>
  <c r="BA73" s="1"/>
  <c r="AB50" i="148"/>
  <c r="D51"/>
  <c r="X51" s="1"/>
  <c r="C50"/>
  <c r="AB49" i="152"/>
  <c r="AS48" i="147"/>
  <c r="AS49" s="1"/>
  <c r="X51"/>
  <c r="AA51" s="1"/>
  <c r="AY136" i="118"/>
  <c r="AY183"/>
  <c r="BF266" i="175"/>
  <c r="AS52" i="155"/>
  <c r="AS52" i="56"/>
  <c r="AM798" i="175"/>
  <c r="AJ75" i="189" s="1"/>
  <c r="BF173" i="175"/>
  <c r="BH274" i="118"/>
  <c r="BH133"/>
  <c r="BH180"/>
  <c r="BH39"/>
  <c r="AI630" i="175"/>
  <c r="BD381"/>
  <c r="BD661"/>
  <c r="AS50" i="163"/>
  <c r="AS51" s="1"/>
  <c r="AS48" i="148"/>
  <c r="AR184" i="118"/>
  <c r="AR137"/>
  <c r="BB183"/>
  <c r="BB136"/>
  <c r="AR278"/>
  <c r="AS91"/>
  <c r="AQ184"/>
  <c r="AQ137"/>
  <c r="BI273"/>
  <c r="AS278"/>
  <c r="AP278"/>
  <c r="BA90"/>
  <c r="AR43"/>
  <c r="AQ90"/>
  <c r="BD134"/>
  <c r="BD181"/>
  <c r="AQ43"/>
  <c r="AT43"/>
  <c r="AT91"/>
  <c r="BK184"/>
  <c r="BK137"/>
  <c r="BD275"/>
  <c r="AP43"/>
  <c r="AS43"/>
  <c r="BC90"/>
  <c r="AP184"/>
  <c r="AP137"/>
  <c r="AS137"/>
  <c r="AS184"/>
  <c r="AR91"/>
  <c r="BI179"/>
  <c r="BI132"/>
  <c r="BI38"/>
  <c r="AU184"/>
  <c r="AU137"/>
  <c r="AT184"/>
  <c r="AT137"/>
  <c r="AP90"/>
  <c r="AQ278"/>
  <c r="AT278"/>
  <c r="BD40"/>
  <c r="BF56" i="175"/>
  <c r="BF140"/>
  <c r="BF172"/>
  <c r="BF53"/>
  <c r="AO744"/>
  <c r="BF147"/>
  <c r="BF54"/>
  <c r="AM645"/>
  <c r="AM647"/>
  <c r="BD194"/>
  <c r="BD37"/>
  <c r="AJ634"/>
  <c r="BD634" s="1"/>
  <c r="BD696"/>
  <c r="AO747"/>
  <c r="BF747" s="1"/>
  <c r="BF150"/>
  <c r="AG190"/>
  <c r="AM644"/>
  <c r="AN736"/>
  <c r="AN798" s="1"/>
  <c r="AK75" i="189" s="1"/>
  <c r="BF131" i="175"/>
  <c r="BD256"/>
  <c r="AL636"/>
  <c r="BF262"/>
  <c r="BF263"/>
  <c r="AO745"/>
  <c r="BF148"/>
  <c r="BF52"/>
  <c r="AH629"/>
  <c r="AO746"/>
  <c r="BF149"/>
  <c r="BF192"/>
  <c r="AM646"/>
  <c r="BF55"/>
  <c r="AO748"/>
  <c r="BF748" s="1"/>
  <c r="BF151"/>
  <c r="AM648"/>
  <c r="AK24" i="189"/>
  <c r="AN809" i="175"/>
  <c r="AJ83" i="189"/>
  <c r="AJ53" i="158"/>
  <c r="AJ45" i="143"/>
  <c r="AJ84" i="189"/>
  <c r="AK21"/>
  <c r="AN806" i="175"/>
  <c r="AK83" i="189" s="1"/>
  <c r="AK23"/>
  <c r="AN808" i="175"/>
  <c r="AK85" i="189" s="1"/>
  <c r="AJ87"/>
  <c r="AN810" i="175"/>
  <c r="AK87" i="189" s="1"/>
  <c r="AK25"/>
  <c r="AJ53" i="159"/>
  <c r="AA50" i="148"/>
  <c r="AS51" i="159"/>
  <c r="AK22" i="189"/>
  <c r="AN807" i="175"/>
  <c r="AK84" i="189" s="1"/>
  <c r="AS51" i="158"/>
  <c r="AS51" i="150"/>
  <c r="AG35" i="72"/>
  <c r="M47" i="143"/>
  <c r="L47" s="1"/>
  <c r="AA45"/>
  <c r="M48"/>
  <c r="L48" s="1"/>
  <c r="AR44"/>
  <c r="X46"/>
  <c r="N46"/>
  <c r="AC46"/>
  <c r="AG280" i="118"/>
  <c r="AG45"/>
  <c r="AG91"/>
  <c r="AG185"/>
  <c r="AG138"/>
  <c r="AF8" i="189"/>
  <c r="AS52" i="171"/>
  <c r="BL274" i="118"/>
  <c r="BG273"/>
  <c r="BL180"/>
  <c r="BL133"/>
  <c r="BL39"/>
  <c r="BG86"/>
  <c r="BG132"/>
  <c r="BG179"/>
  <c r="BG38"/>
  <c r="BD258" i="175"/>
  <c r="BD657"/>
  <c r="BD39"/>
  <c r="AH631"/>
  <c r="AJ731"/>
  <c r="AG8" i="189" s="1"/>
  <c r="BD196" i="175"/>
  <c r="AA48" i="160"/>
  <c r="AD178" i="118"/>
  <c r="AD131"/>
  <c r="AS50" i="149"/>
  <c r="AR50" i="147"/>
  <c r="S54" i="158"/>
  <c r="V54" s="1"/>
  <c r="O54" i="153"/>
  <c r="R54" s="1"/>
  <c r="O54" i="150"/>
  <c r="R54" s="1"/>
  <c r="O54" i="154"/>
  <c r="R54" s="1"/>
  <c r="BQ52" i="164"/>
  <c r="BR52" s="1"/>
  <c r="AE52" s="1"/>
  <c r="BD40" i="175"/>
  <c r="BF273" i="118"/>
  <c r="BF38"/>
  <c r="AR53" i="155"/>
  <c r="AD53" i="149"/>
  <c r="O54" i="166"/>
  <c r="R54" s="1"/>
  <c r="O54" i="164"/>
  <c r="R54" s="1"/>
  <c r="AB40" i="72"/>
  <c r="S54" i="143"/>
  <c r="V54" s="1"/>
  <c r="S54" i="164"/>
  <c r="V54" s="1"/>
  <c r="O54" i="159"/>
  <c r="R54" s="1"/>
  <c r="AA52" i="149"/>
  <c r="AW137" i="118"/>
  <c r="AW184"/>
  <c r="AX137"/>
  <c r="AX184"/>
  <c r="BC184"/>
  <c r="BC137"/>
  <c r="S54" i="145"/>
  <c r="V54" s="1"/>
  <c r="S54" i="159"/>
  <c r="V54" s="1"/>
  <c r="K54" i="171"/>
  <c r="N54" s="1"/>
  <c r="F53" i="149"/>
  <c r="S54" i="144"/>
  <c r="V54" s="1"/>
  <c r="BD54" i="149"/>
  <c r="G54" s="1"/>
  <c r="AD54" s="1"/>
  <c r="O54" i="145"/>
  <c r="R54" s="1"/>
  <c r="O54" i="144"/>
  <c r="R54" s="1"/>
  <c r="X53" i="149"/>
  <c r="S54" i="154"/>
  <c r="V54" s="1"/>
  <c r="S54" i="171"/>
  <c r="V54" s="1"/>
  <c r="O54" i="168"/>
  <c r="R54" s="1"/>
  <c r="AR53" i="56"/>
  <c r="O54"/>
  <c r="R54" s="1"/>
  <c r="O54" i="151"/>
  <c r="R54" s="1"/>
  <c r="O54" i="171"/>
  <c r="R54" s="1"/>
  <c r="S54" i="151"/>
  <c r="V54" s="1"/>
  <c r="V42" i="72"/>
  <c r="AJ283" i="175"/>
  <c r="BD283" s="1"/>
  <c r="BD259"/>
  <c r="AJ221"/>
  <c r="BD221" s="1"/>
  <c r="AJ732"/>
  <c r="BD197"/>
  <c r="BF86" i="118"/>
  <c r="BK138"/>
  <c r="BK185"/>
  <c r="BF179"/>
  <c r="BF132"/>
  <c r="AW90"/>
  <c r="BB90"/>
  <c r="BF269" i="175"/>
  <c r="BF254"/>
  <c r="BJ183" i="118"/>
  <c r="BJ136"/>
  <c r="AV136"/>
  <c r="AV183"/>
  <c r="BK90"/>
  <c r="Q39" i="72"/>
  <c r="R53" i="146"/>
  <c r="BF174" i="175"/>
  <c r="V54" i="161"/>
  <c r="W45" i="72"/>
  <c r="R51" i="148"/>
  <c r="G51" i="152"/>
  <c r="AO735" i="175"/>
  <c r="BF735" s="1"/>
  <c r="BF138"/>
  <c r="V41" i="72"/>
  <c r="AM636" i="175"/>
  <c r="V49" i="160"/>
  <c r="D55" i="163"/>
  <c r="R53"/>
  <c r="V54"/>
  <c r="BF49" i="175"/>
  <c r="AW278" i="118"/>
  <c r="Y43" i="72"/>
  <c r="AW43" i="118"/>
  <c r="V53" i="146"/>
  <c r="V51" i="148"/>
  <c r="J51" i="152"/>
  <c r="S43" i="72"/>
  <c r="G54" i="163"/>
  <c r="X54" s="1"/>
  <c r="AM635" i="175"/>
  <c r="AL628"/>
  <c r="V50" i="152"/>
  <c r="BJ90" i="118"/>
  <c r="BA137"/>
  <c r="BA184"/>
  <c r="BF43" i="175"/>
  <c r="BC278" i="118"/>
  <c r="T43" i="72"/>
  <c r="BC43" i="118"/>
  <c r="J55" i="163"/>
  <c r="Z43" i="72"/>
  <c r="R50" i="152"/>
  <c r="AD42" i="72"/>
  <c r="BJ277" i="118"/>
  <c r="BJ42"/>
  <c r="AO741" i="175"/>
  <c r="BF144"/>
  <c r="AM641"/>
  <c r="BD663"/>
  <c r="AO34" i="190"/>
  <c r="AR470" i="175"/>
  <c r="AR471"/>
  <c r="AI417" i="118"/>
  <c r="AO727" i="175"/>
  <c r="BF130"/>
  <c r="R43" i="72"/>
  <c r="AN728" i="175"/>
  <c r="AE43" i="72"/>
  <c r="AH632" i="175"/>
  <c r="AM627"/>
  <c r="R55" i="161"/>
  <c r="BF139" i="175"/>
  <c r="AA43" i="72"/>
  <c r="N54" i="161"/>
  <c r="C54" i="146"/>
  <c r="N54"/>
  <c r="BF141" i="175"/>
  <c r="BF35"/>
  <c r="BK278" i="118"/>
  <c r="X43" i="72"/>
  <c r="BK43" i="118"/>
  <c r="R49" i="160"/>
  <c r="V52" i="147"/>
  <c r="R52"/>
  <c r="N54" i="163"/>
  <c r="AA52" i="164"/>
  <c r="AA49" i="152"/>
  <c r="F53" i="146"/>
  <c r="AD53"/>
  <c r="G54"/>
  <c r="X53"/>
  <c r="AS51" i="145"/>
  <c r="AF70" i="189"/>
  <c r="G55" i="171"/>
  <c r="AD55" s="1"/>
  <c r="G55" i="168"/>
  <c r="AD55" s="1"/>
  <c r="G55" i="144"/>
  <c r="AD55" s="1"/>
  <c r="G55" i="56"/>
  <c r="AD55" s="1"/>
  <c r="X54" i="159"/>
  <c r="AB54"/>
  <c r="AJ53" i="151"/>
  <c r="AF54" i="161"/>
  <c r="I54"/>
  <c r="J55" i="143"/>
  <c r="AF55" s="1"/>
  <c r="J55" i="164"/>
  <c r="AF55" s="1"/>
  <c r="J55" i="153"/>
  <c r="AF55" s="1"/>
  <c r="J55" i="166"/>
  <c r="AF55" s="1"/>
  <c r="AD56" i="162"/>
  <c r="AA55"/>
  <c r="AM69" i="190"/>
  <c r="CC57" i="162"/>
  <c r="D57" s="1"/>
  <c r="CE57"/>
  <c r="J57" s="1"/>
  <c r="CD57"/>
  <c r="G57" s="1"/>
  <c r="CG57"/>
  <c r="AL57" s="1"/>
  <c r="F51" i="148"/>
  <c r="G52"/>
  <c r="AD51"/>
  <c r="D55" i="143"/>
  <c r="D55" i="155"/>
  <c r="K55" s="1"/>
  <c r="N55" s="1"/>
  <c r="D55" i="145"/>
  <c r="K55" s="1"/>
  <c r="N55" s="1"/>
  <c r="X54" i="167"/>
  <c r="AB54"/>
  <c r="BX416" i="118"/>
  <c r="BV416"/>
  <c r="BT416"/>
  <c r="AE416" s="1"/>
  <c r="BW416"/>
  <c r="BU416"/>
  <c r="X46" i="49"/>
  <c r="G50" i="51"/>
  <c r="AR54" i="162"/>
  <c r="AJ53" i="166"/>
  <c r="F55" i="161"/>
  <c r="AD55"/>
  <c r="AA51" i="164"/>
  <c r="Z54" i="171"/>
  <c r="AB373" i="118"/>
  <c r="AD373" s="1"/>
  <c r="W47" i="49"/>
  <c r="J55" i="171"/>
  <c r="AF55" s="1"/>
  <c r="J55" i="167"/>
  <c r="AF55" s="1"/>
  <c r="AR51" i="146"/>
  <c r="I49" i="160"/>
  <c r="AF49"/>
  <c r="J50"/>
  <c r="AR52" i="145"/>
  <c r="D55" i="150"/>
  <c r="K55" s="1"/>
  <c r="N55" s="1"/>
  <c r="C55" i="165"/>
  <c r="K55"/>
  <c r="N55" s="1"/>
  <c r="D55" i="151"/>
  <c r="AB54" i="149"/>
  <c r="H49" i="137"/>
  <c r="BD56" i="161" s="1"/>
  <c r="H56" i="167"/>
  <c r="H56" i="154"/>
  <c r="H56" i="166"/>
  <c r="H56" i="153"/>
  <c r="H56" i="144"/>
  <c r="H56" i="145"/>
  <c r="H56" i="151"/>
  <c r="H56" i="168"/>
  <c r="H56" i="159"/>
  <c r="H56" i="162"/>
  <c r="I56" s="1"/>
  <c r="H56" i="165"/>
  <c r="H56" i="149"/>
  <c r="H56" i="158"/>
  <c r="AB187" i="118"/>
  <c r="H56" i="150"/>
  <c r="H56" i="56"/>
  <c r="H56" i="155"/>
  <c r="H56" i="164"/>
  <c r="H56" i="171"/>
  <c r="H56" i="143"/>
  <c r="BP54" i="164"/>
  <c r="BT54"/>
  <c r="BM54"/>
  <c r="AD53" i="163"/>
  <c r="AF54"/>
  <c r="X54" i="166"/>
  <c r="AB54"/>
  <c r="AJ53" i="145"/>
  <c r="AR52" i="161"/>
  <c r="AA53" i="154"/>
  <c r="G55" i="158"/>
  <c r="AD55" s="1"/>
  <c r="G55" i="155"/>
  <c r="AD55" s="1"/>
  <c r="G55" i="166"/>
  <c r="AD55" s="1"/>
  <c r="G55" i="167"/>
  <c r="AD55" s="1"/>
  <c r="G55" i="151"/>
  <c r="AD55" s="1"/>
  <c r="AF53" i="146"/>
  <c r="I53"/>
  <c r="J54"/>
  <c r="X54" i="145"/>
  <c r="AB54"/>
  <c r="AR50" i="164"/>
  <c r="I51" i="148"/>
  <c r="AF51"/>
  <c r="J52"/>
  <c r="AS51" i="165"/>
  <c r="AK49" i="51"/>
  <c r="AB42" i="118"/>
  <c r="B42" i="72"/>
  <c r="D42" s="1"/>
  <c r="I42" s="1"/>
  <c r="H42" s="1"/>
  <c r="G42" s="1"/>
  <c r="F42" s="1"/>
  <c r="E42" s="1"/>
  <c r="AV49" i="51"/>
  <c r="AX49" s="1"/>
  <c r="AE71" i="189"/>
  <c r="U48" i="49"/>
  <c r="T49"/>
  <c r="J55" i="150"/>
  <c r="AF55" s="1"/>
  <c r="J55" i="56"/>
  <c r="AF55" s="1"/>
  <c r="S55" i="162"/>
  <c r="V55" s="1"/>
  <c r="J55" i="144"/>
  <c r="AF55" s="1"/>
  <c r="X56" i="162"/>
  <c r="AB56"/>
  <c r="AA53" i="167"/>
  <c r="AR52" i="168"/>
  <c r="AD54" i="165"/>
  <c r="AS51" i="166"/>
  <c r="AR52" i="159"/>
  <c r="H51" i="51"/>
  <c r="I51" s="1"/>
  <c r="X54" i="171"/>
  <c r="AB279" i="118"/>
  <c r="AR52" i="154"/>
  <c r="D55" i="171"/>
  <c r="AB55" s="1"/>
  <c r="D55" i="159"/>
  <c r="D55" i="168"/>
  <c r="K55" s="1"/>
  <c r="N55" s="1"/>
  <c r="D55" i="56"/>
  <c r="D55" i="154"/>
  <c r="K55" s="1"/>
  <c r="N55" s="1"/>
  <c r="AA53" i="159"/>
  <c r="D49" i="137"/>
  <c r="AI49"/>
  <c r="AB93" i="118"/>
  <c r="B56" i="144"/>
  <c r="AM45" i="142" s="1"/>
  <c r="B56" i="168"/>
  <c r="B56" i="151"/>
  <c r="B56" i="150"/>
  <c r="B56" i="164"/>
  <c r="B56" i="167"/>
  <c r="B56" i="154"/>
  <c r="B56" i="166"/>
  <c r="B56" i="162"/>
  <c r="C56" s="1"/>
  <c r="B56" i="153"/>
  <c r="B56" i="165"/>
  <c r="B56" i="155"/>
  <c r="B56" i="145"/>
  <c r="B56" i="143"/>
  <c r="B56" i="158"/>
  <c r="B56" i="159"/>
  <c r="B56" i="149"/>
  <c r="B56" i="56"/>
  <c r="B56" i="171"/>
  <c r="I49" i="137"/>
  <c r="J49" s="1"/>
  <c r="AS50" i="146"/>
  <c r="AK14" i="189"/>
  <c r="AN799" i="175"/>
  <c r="AK76" i="189" s="1"/>
  <c r="AF50" i="152"/>
  <c r="AN803" i="175"/>
  <c r="AK18" i="189"/>
  <c r="S54" i="56"/>
  <c r="V54" s="1"/>
  <c r="K54" i="167"/>
  <c r="N54" s="1"/>
  <c r="L49" i="49"/>
  <c r="S54" i="168"/>
  <c r="V54" s="1"/>
  <c r="O54" i="155"/>
  <c r="R54" s="1"/>
  <c r="S54" i="153"/>
  <c r="V54" s="1"/>
  <c r="S54" i="166"/>
  <c r="V54" s="1"/>
  <c r="S54" i="155"/>
  <c r="V54" s="1"/>
  <c r="O54" i="143"/>
  <c r="R54" s="1"/>
  <c r="O54" i="158"/>
  <c r="R54" s="1"/>
  <c r="S54" i="150"/>
  <c r="V54" s="1"/>
  <c r="O54" i="167"/>
  <c r="R54" s="1"/>
  <c r="AS51" i="151"/>
  <c r="AJ53" i="168"/>
  <c r="AA53" i="166"/>
  <c r="G55" i="143"/>
  <c r="AD55" s="1"/>
  <c r="BC55" i="149"/>
  <c r="BB55"/>
  <c r="X54" i="150"/>
  <c r="AB54"/>
  <c r="AJ54" s="1"/>
  <c r="X54" i="158"/>
  <c r="AB54"/>
  <c r="BK55" i="165"/>
  <c r="I55"/>
  <c r="S55"/>
  <c r="V55" s="1"/>
  <c r="AR52" i="153"/>
  <c r="X54" i="154"/>
  <c r="AB54"/>
  <c r="AR52" i="166"/>
  <c r="X54" i="155"/>
  <c r="AA54" s="1"/>
  <c r="AB54"/>
  <c r="AJ54" s="1"/>
  <c r="D55" i="164"/>
  <c r="K55" s="1"/>
  <c r="N55" s="1"/>
  <c r="D55" i="153"/>
  <c r="AA53"/>
  <c r="AD50" i="152"/>
  <c r="BN53" i="164"/>
  <c r="BU53" s="1"/>
  <c r="BV53" s="1"/>
  <c r="X53" s="1"/>
  <c r="X54" i="153"/>
  <c r="AB54"/>
  <c r="AA52" i="146"/>
  <c r="AS51" i="168"/>
  <c r="AJ53" i="154"/>
  <c r="BK55" i="164"/>
  <c r="BL55" s="1"/>
  <c r="G55"/>
  <c r="AD55" s="1"/>
  <c r="G55" i="145"/>
  <c r="AD55" s="1"/>
  <c r="G55" i="165"/>
  <c r="O55" s="1"/>
  <c r="R55" s="1"/>
  <c r="AS51" i="154"/>
  <c r="J55" i="159"/>
  <c r="AF55" s="1"/>
  <c r="J55" i="151"/>
  <c r="AF55" s="1"/>
  <c r="J55" i="145"/>
  <c r="AF55" s="1"/>
  <c r="X54" i="168"/>
  <c r="AB54"/>
  <c r="AM56" i="162"/>
  <c r="AJ55"/>
  <c r="AJ53" i="161"/>
  <c r="C50" i="137"/>
  <c r="G50"/>
  <c r="E50"/>
  <c r="AA53" i="158"/>
  <c r="D55"/>
  <c r="K55" s="1"/>
  <c r="N55" s="1"/>
  <c r="D55" i="166"/>
  <c r="AJ53" i="153"/>
  <c r="AQ501" i="175"/>
  <c r="AN69" i="190" s="1"/>
  <c r="AN51"/>
  <c r="AS51" i="167"/>
  <c r="AR52" i="165"/>
  <c r="AA53" i="168"/>
  <c r="AJ52" i="146"/>
  <c r="AS51" i="153"/>
  <c r="AA53" i="145"/>
  <c r="AS46" i="160"/>
  <c r="AS51" i="161"/>
  <c r="G55" i="159"/>
  <c r="AD55" s="1"/>
  <c r="G55" i="150"/>
  <c r="AD55" s="1"/>
  <c r="G55" i="153"/>
  <c r="AD55" s="1"/>
  <c r="O55" i="162"/>
  <c r="R55" s="1"/>
  <c r="G55" i="154"/>
  <c r="AD55" s="1"/>
  <c r="AJ53" i="165"/>
  <c r="AC54" i="151"/>
  <c r="X54"/>
  <c r="AR52" i="167"/>
  <c r="AR52" i="158"/>
  <c r="AA53" i="151"/>
  <c r="AA53" i="150"/>
  <c r="AB54" i="161"/>
  <c r="C54"/>
  <c r="X54"/>
  <c r="J55" i="149"/>
  <c r="AF55" s="1"/>
  <c r="J55" i="158"/>
  <c r="AF55" s="1"/>
  <c r="J55" i="155"/>
  <c r="AF55" s="1"/>
  <c r="J55" i="168"/>
  <c r="AF55" s="1"/>
  <c r="J55" i="154"/>
  <c r="AF55" s="1"/>
  <c r="BJ55" i="161"/>
  <c r="D55" s="1"/>
  <c r="BV55"/>
  <c r="J55" s="1"/>
  <c r="AB54" i="164"/>
  <c r="AF56" i="162"/>
  <c r="AR52" i="151"/>
  <c r="AJ53" i="167"/>
  <c r="AR52" i="150"/>
  <c r="AA53" i="161"/>
  <c r="C51" i="13"/>
  <c r="D52"/>
  <c r="AL58" i="171"/>
  <c r="AM58" s="1"/>
  <c r="CB58" i="162"/>
  <c r="Z48" i="49"/>
  <c r="M48"/>
  <c r="J49"/>
  <c r="AS53" i="162"/>
  <c r="D55" i="149"/>
  <c r="K55" s="1"/>
  <c r="N55" s="1"/>
  <c r="D55" i="167"/>
  <c r="K55" i="162"/>
  <c r="N55" s="1"/>
  <c r="D55" i="144"/>
  <c r="K55" s="1"/>
  <c r="X54" i="56"/>
  <c r="AA54" s="1"/>
  <c r="AB54"/>
  <c r="AJ54" s="1"/>
  <c r="E56"/>
  <c r="AB140" i="118"/>
  <c r="E56" i="151"/>
  <c r="E56" i="154"/>
  <c r="E56" i="144"/>
  <c r="E56" i="165"/>
  <c r="E56" i="167"/>
  <c r="E56" i="162"/>
  <c r="F56" s="1"/>
  <c r="E56" i="149"/>
  <c r="F49" i="137"/>
  <c r="BC56" i="161" s="1"/>
  <c r="BP56" s="1"/>
  <c r="G56" s="1"/>
  <c r="E56" i="145"/>
  <c r="E56" i="153"/>
  <c r="E56" i="168"/>
  <c r="E56" i="159"/>
  <c r="E56" i="143"/>
  <c r="E56" i="166"/>
  <c r="E56" i="171"/>
  <c r="E56" i="150"/>
  <c r="E56" i="158"/>
  <c r="E56" i="164"/>
  <c r="E56" i="155"/>
  <c r="F49" i="160"/>
  <c r="AD49"/>
  <c r="G50"/>
  <c r="AF52" i="147"/>
  <c r="I52"/>
  <c r="J53"/>
  <c r="AW50" i="51"/>
  <c r="AZ50"/>
  <c r="J50"/>
  <c r="AA53" i="171" s="1"/>
  <c r="AR53" s="1"/>
  <c r="G53" i="147"/>
  <c r="F52"/>
  <c r="AD52"/>
  <c r="AB54" i="163"/>
  <c r="AJ5" i="189"/>
  <c r="AM790" i="175"/>
  <c r="AK4" i="189"/>
  <c r="AN789" i="175"/>
  <c r="AK66" i="189" s="1"/>
  <c r="AF9"/>
  <c r="AI794" i="175"/>
  <c r="AF71" i="189" s="1"/>
  <c r="AN797" i="175"/>
  <c r="AK12" i="189"/>
  <c r="AK15"/>
  <c r="K54" i="143"/>
  <c r="K54" i="159"/>
  <c r="N54" s="1"/>
  <c r="K54" i="158"/>
  <c r="N54" s="1"/>
  <c r="K54" i="154"/>
  <c r="N54" s="1"/>
  <c r="K54" i="155"/>
  <c r="N54" s="1"/>
  <c r="S54" i="167"/>
  <c r="V54" s="1"/>
  <c r="S54" i="149"/>
  <c r="V54" s="1"/>
  <c r="AR49" i="148"/>
  <c r="AJ54" i="171"/>
  <c r="X53" i="163"/>
  <c r="AJ52"/>
  <c r="AP43" i="175"/>
  <c r="D40" i="64"/>
  <c r="N40" i="119"/>
  <c r="G37" i="64"/>
  <c r="S39" i="67"/>
  <c r="AP44" i="175"/>
  <c r="AO396"/>
  <c r="H53" i="148"/>
  <c r="V40" i="67"/>
  <c r="H41" i="119"/>
  <c r="V40" i="120"/>
  <c r="AN387" i="175"/>
  <c r="X34" i="68"/>
  <c r="AN697" i="175"/>
  <c r="C40" i="120"/>
  <c r="AN235" i="175"/>
  <c r="E38" i="68"/>
  <c r="AL195" i="175"/>
  <c r="AM261"/>
  <c r="U40" i="67"/>
  <c r="K40" i="140"/>
  <c r="AK41" i="175"/>
  <c r="N39" i="68"/>
  <c r="P40" i="119"/>
  <c r="G37" i="67"/>
  <c r="AN689" i="175"/>
  <c r="AI691"/>
  <c r="N40" i="140"/>
  <c r="AP54" i="175"/>
  <c r="AJ660"/>
  <c r="K50" i="152"/>
  <c r="U39" i="71"/>
  <c r="K55" i="163"/>
  <c r="W41" i="119"/>
  <c r="X36" i="140"/>
  <c r="AK258" i="175"/>
  <c r="AK194"/>
  <c r="E38" i="71"/>
  <c r="B32" i="64"/>
  <c r="S37" i="71"/>
  <c r="AO204" i="175"/>
  <c r="AQ268"/>
  <c r="AS440"/>
  <c r="G37" i="120"/>
  <c r="AQ275" i="175"/>
  <c r="R40" i="64"/>
  <c r="B40" i="140"/>
  <c r="B54" i="147"/>
  <c r="AK196" i="175"/>
  <c r="M40" i="64"/>
  <c r="AP174" i="175"/>
  <c r="X36" i="120"/>
  <c r="AN703" i="175"/>
  <c r="E53" i="148"/>
  <c r="AO676" i="175"/>
  <c r="B32" i="119"/>
  <c r="AK696" i="175"/>
  <c r="AP130"/>
  <c r="AP131"/>
  <c r="AL38"/>
  <c r="M39" i="68"/>
  <c r="L39"/>
  <c r="AK133" i="175"/>
  <c r="AN710"/>
  <c r="AM42"/>
  <c r="AP202"/>
  <c r="P39" i="71"/>
  <c r="G37" i="140"/>
  <c r="AL34" i="175"/>
  <c r="S51" i="152"/>
  <c r="S40" i="140"/>
  <c r="P40" i="64"/>
  <c r="P40" i="67"/>
  <c r="E52" i="152"/>
  <c r="N40" i="64"/>
  <c r="AP173" i="175"/>
  <c r="AQ213"/>
  <c r="V40" i="140"/>
  <c r="AK259" i="175"/>
  <c r="V39" i="68"/>
  <c r="AH176" i="175"/>
  <c r="L40" i="140"/>
  <c r="D39" i="68"/>
  <c r="AQ212" i="175"/>
  <c r="J40" i="67"/>
  <c r="AL134" i="175"/>
  <c r="AL665"/>
  <c r="AO666"/>
  <c r="AL700"/>
  <c r="E39" i="120"/>
  <c r="F38"/>
  <c r="L41" i="119"/>
  <c r="H56" i="163"/>
  <c r="AK37" i="175"/>
  <c r="AM690"/>
  <c r="AP144"/>
  <c r="W40" i="140"/>
  <c r="AO201" i="175"/>
  <c r="AJ383"/>
  <c r="M40" i="120"/>
  <c r="X35" i="119"/>
  <c r="AP138" i="175"/>
  <c r="S53" i="147"/>
  <c r="L40" i="119"/>
  <c r="R40" i="140"/>
  <c r="AO202" i="175"/>
  <c r="AO679"/>
  <c r="Q41" i="120"/>
  <c r="AM199" i="175"/>
  <c r="AP269"/>
  <c r="AP172"/>
  <c r="Q41" i="71"/>
  <c r="AN707" i="175"/>
  <c r="AO658"/>
  <c r="P40" i="140"/>
  <c r="H55" i="146"/>
  <c r="Q41" i="140"/>
  <c r="AN706" i="175"/>
  <c r="AO203"/>
  <c r="AP53"/>
  <c r="M40" i="140"/>
  <c r="AO672" i="175"/>
  <c r="Q42" i="67"/>
  <c r="J39" i="71"/>
  <c r="R38" i="68"/>
  <c r="AK129" i="175"/>
  <c r="X36" i="64"/>
  <c r="B56" i="161"/>
  <c r="O35" i="140"/>
  <c r="S55" i="161"/>
  <c r="AQ274" i="175"/>
  <c r="AL135"/>
  <c r="H39" i="67"/>
  <c r="H54" i="147"/>
  <c r="AN669" i="175"/>
  <c r="J39" i="68"/>
  <c r="AN708" i="175"/>
  <c r="M41" i="119"/>
  <c r="K40" i="67"/>
  <c r="AP56" i="175"/>
  <c r="Q41" i="68"/>
  <c r="AO677" i="175"/>
  <c r="H38" i="71"/>
  <c r="O33" i="68"/>
  <c r="F37" i="119"/>
  <c r="AQ200" i="175"/>
  <c r="AK657"/>
  <c r="AO675"/>
  <c r="O56" i="161"/>
  <c r="D40" i="67"/>
  <c r="F38" i="64"/>
  <c r="D41" i="119"/>
  <c r="B51" i="152"/>
  <c r="AN709" i="175"/>
  <c r="E39" i="140"/>
  <c r="AS442" i="175"/>
  <c r="Q41" i="119"/>
  <c r="AI688" i="175"/>
  <c r="AO36"/>
  <c r="N39" i="71"/>
  <c r="W39"/>
  <c r="AO255" i="175"/>
  <c r="AP175"/>
  <c r="O51" i="152"/>
  <c r="X35" i="71"/>
  <c r="AK661" i="175"/>
  <c r="AM669"/>
  <c r="L40" i="64"/>
  <c r="F37"/>
  <c r="AQ264" i="175"/>
  <c r="S41" i="119"/>
  <c r="O33" i="71"/>
  <c r="J40" i="140"/>
  <c r="K55" i="161"/>
  <c r="S52" i="148"/>
  <c r="K52" i="147"/>
  <c r="AJ136" i="175"/>
  <c r="AO395"/>
  <c r="I40" i="64"/>
  <c r="J40"/>
  <c r="AJ132" i="175"/>
  <c r="AQ206"/>
  <c r="T41" i="119"/>
  <c r="M40"/>
  <c r="AP149" i="175"/>
  <c r="I40" i="140"/>
  <c r="AL253" i="175"/>
  <c r="AP141"/>
  <c r="AK198"/>
  <c r="X36" i="67"/>
  <c r="S54" i="146"/>
  <c r="AN379" i="175"/>
  <c r="F37" i="68"/>
  <c r="V40" i="119"/>
  <c r="AO45" i="175"/>
  <c r="AO399"/>
  <c r="AM699"/>
  <c r="AO397"/>
  <c r="H51" i="160"/>
  <c r="E39" i="64"/>
  <c r="P39" i="68"/>
  <c r="D39" i="71"/>
  <c r="V39"/>
  <c r="K49" i="160"/>
  <c r="AL191" i="175"/>
  <c r="R40" i="67"/>
  <c r="AI384" i="175"/>
  <c r="AK260"/>
  <c r="AP139"/>
  <c r="AI693"/>
  <c r="D40" i="120"/>
  <c r="AO398" i="175"/>
  <c r="AQ210"/>
  <c r="E39" i="67"/>
  <c r="R39" i="64"/>
  <c r="K55" i="146"/>
  <c r="O35" i="64"/>
  <c r="AQ267" i="175"/>
  <c r="O50" i="160"/>
  <c r="E40" i="119"/>
  <c r="S38" i="71"/>
  <c r="AI664" i="175"/>
  <c r="AP55"/>
  <c r="B31" i="71"/>
  <c r="AP265" i="175"/>
  <c r="Q43" i="69"/>
  <c r="G36" i="119"/>
  <c r="AJ694" i="175"/>
  <c r="W39" i="68"/>
  <c r="AO193" i="175"/>
  <c r="AK39"/>
  <c r="AP147"/>
  <c r="I41" i="119"/>
  <c r="AK256" i="175"/>
  <c r="AQ208"/>
  <c r="AQ205"/>
  <c r="M40" i="67"/>
  <c r="T39" i="68"/>
  <c r="U40" i="140"/>
  <c r="F38" i="67"/>
  <c r="E56" i="161"/>
  <c r="T41" i="120"/>
  <c r="W40"/>
  <c r="Q42" i="64"/>
  <c r="E55" i="163"/>
  <c r="L40" i="67"/>
  <c r="L40" i="120"/>
  <c r="F37" i="67"/>
  <c r="H40" i="140"/>
  <c r="AO392" i="175"/>
  <c r="N40" i="67"/>
  <c r="B55" i="146"/>
  <c r="I40" i="68"/>
  <c r="AQ270" i="175"/>
  <c r="O34" i="71"/>
  <c r="AO207" i="175"/>
  <c r="U40" i="64"/>
  <c r="AO44" i="175"/>
  <c r="J40" i="120"/>
  <c r="M39" i="71"/>
  <c r="U40" i="120"/>
  <c r="AN234" i="175"/>
  <c r="N40" i="120"/>
  <c r="B52" i="148"/>
  <c r="AJ382" i="175"/>
  <c r="B50" i="160"/>
  <c r="V40" i="64"/>
  <c r="S55" i="163"/>
  <c r="I40" i="67"/>
  <c r="E54" i="147"/>
  <c r="O54" i="163"/>
  <c r="B56"/>
  <c r="AN236" i="175"/>
  <c r="K39" i="71"/>
  <c r="AJ692" i="175"/>
  <c r="H56" i="161"/>
  <c r="AJ377" i="175"/>
  <c r="AJ688"/>
  <c r="AL137"/>
  <c r="AQ211"/>
  <c r="AJ664"/>
  <c r="O34" i="119"/>
  <c r="AP148" i="175"/>
  <c r="AO678"/>
  <c r="K40" i="120"/>
  <c r="E55" i="146"/>
  <c r="AP35" i="175"/>
  <c r="AO46"/>
  <c r="G36" i="71"/>
  <c r="O54" i="146"/>
  <c r="P41" i="120"/>
  <c r="F37" i="71"/>
  <c r="AP140" i="175"/>
  <c r="AP266"/>
  <c r="AK663"/>
  <c r="AK197"/>
  <c r="D40" i="140"/>
  <c r="AP150" i="175"/>
  <c r="AQ272"/>
  <c r="F38" i="140"/>
  <c r="AP151" i="175"/>
  <c r="AO386"/>
  <c r="AP192"/>
  <c r="AP49"/>
  <c r="I39" i="71"/>
  <c r="S50" i="160"/>
  <c r="AQ271" i="175"/>
  <c r="AJ662"/>
  <c r="S40" i="120"/>
  <c r="B31" i="68"/>
  <c r="B40" i="120"/>
  <c r="AP52" i="175"/>
  <c r="W40" i="64"/>
  <c r="AK40" i="175"/>
  <c r="AN668"/>
  <c r="K40" i="64"/>
  <c r="W40" i="67"/>
  <c r="I40" i="120"/>
  <c r="AL257" i="175"/>
  <c r="E51" i="160"/>
  <c r="R39" i="120"/>
  <c r="O35" i="67"/>
  <c r="C40" i="140"/>
  <c r="H52" i="152"/>
  <c r="K51" i="148"/>
  <c r="S39" i="64"/>
  <c r="O52" i="148"/>
  <c r="AP262" i="175"/>
  <c r="AP263"/>
  <c r="R40" i="119"/>
  <c r="AI694" i="175"/>
  <c r="AN659"/>
  <c r="L39" i="71"/>
  <c r="U39" i="68"/>
  <c r="R39" i="67"/>
  <c r="AO378" i="175"/>
  <c r="AP254"/>
  <c r="T41" i="140"/>
  <c r="K39" i="68"/>
  <c r="H39" i="64"/>
  <c r="AQ209" i="175"/>
  <c r="O53" i="147"/>
  <c r="O35" i="120"/>
  <c r="B32" i="67"/>
  <c r="AQ273" i="175"/>
  <c r="AP772" l="1"/>
  <c r="BF772"/>
  <c r="AP36" i="190"/>
  <c r="AS473" i="175"/>
  <c r="AZ184" i="118"/>
  <c r="AZ137"/>
  <c r="AO738" i="175"/>
  <c r="AL15" i="189" s="1"/>
  <c r="BC15" s="1"/>
  <c r="BF203" i="175"/>
  <c r="AS51" i="149"/>
  <c r="K50" i="49"/>
  <c r="AZ278" i="118"/>
  <c r="AZ43"/>
  <c r="AL638" i="175"/>
  <c r="BF46"/>
  <c r="AN769"/>
  <c r="BA43" i="118"/>
  <c r="BA278"/>
  <c r="AM637" i="175"/>
  <c r="BF45"/>
  <c r="AO737"/>
  <c r="AO799" s="1"/>
  <c r="BF202"/>
  <c r="AJ53" i="149"/>
  <c r="AJ788" i="175"/>
  <c r="BD788" s="1"/>
  <c r="AR47" i="160"/>
  <c r="BE39" i="118"/>
  <c r="BE85"/>
  <c r="BE274"/>
  <c r="BE133"/>
  <c r="BE180"/>
  <c r="BD664" i="175"/>
  <c r="AJ733"/>
  <c r="BD136"/>
  <c r="AF10" i="189"/>
  <c r="AI795" i="175"/>
  <c r="AF72" i="189" s="1"/>
  <c r="AG3"/>
  <c r="BA3" s="1"/>
  <c r="BL86" i="118"/>
  <c r="AI626" i="175"/>
  <c r="AK726"/>
  <c r="AH3" i="189" s="1"/>
  <c r="BD377" i="175"/>
  <c r="AJ792"/>
  <c r="AG69" i="189" s="1"/>
  <c r="BA69" s="1"/>
  <c r="BD796" i="175"/>
  <c r="AI791"/>
  <c r="AF68" i="189" s="1"/>
  <c r="AG7"/>
  <c r="BA7" s="1"/>
  <c r="AK730" i="175"/>
  <c r="AK792" s="1"/>
  <c r="AH69" i="189" s="1"/>
  <c r="AL734" i="175"/>
  <c r="AI11" i="189" s="1"/>
  <c r="BD87" i="118"/>
  <c r="BI85"/>
  <c r="AC41" i="72"/>
  <c r="N51" i="148"/>
  <c r="BH86" i="118"/>
  <c r="D51" i="152"/>
  <c r="X51" s="1"/>
  <c r="AJ729" i="175"/>
  <c r="BD729" s="1"/>
  <c r="BD132"/>
  <c r="N49" i="160"/>
  <c r="N52" i="147"/>
  <c r="N50" i="152"/>
  <c r="D52" i="148"/>
  <c r="X52" s="1"/>
  <c r="C51"/>
  <c r="AB51"/>
  <c r="AJ51" s="1"/>
  <c r="AJ50"/>
  <c r="AR50" s="1"/>
  <c r="AK796" i="175"/>
  <c r="AH73" i="189" s="1"/>
  <c r="D50" i="160"/>
  <c r="X50" s="1"/>
  <c r="AB49"/>
  <c r="C49"/>
  <c r="D53" i="147"/>
  <c r="X53" s="1"/>
  <c r="C52"/>
  <c r="AB52"/>
  <c r="AJ52" s="1"/>
  <c r="AB50" i="152"/>
  <c r="AJ49"/>
  <c r="AJ48" i="160"/>
  <c r="AY137" i="118"/>
  <c r="AY184"/>
  <c r="BF204" i="175"/>
  <c r="AS53" i="56"/>
  <c r="AS53" i="155"/>
  <c r="BH40" i="118"/>
  <c r="BH181"/>
  <c r="BH134"/>
  <c r="BH275"/>
  <c r="AJ630" i="175"/>
  <c r="BD630" s="1"/>
  <c r="BD692"/>
  <c r="AK13" i="189"/>
  <c r="AS52" i="150"/>
  <c r="BA91" i="118"/>
  <c r="AQ91"/>
  <c r="AS44"/>
  <c r="AQ185"/>
  <c r="AQ138"/>
  <c r="AP44"/>
  <c r="BI274"/>
  <c r="AP279"/>
  <c r="BD41"/>
  <c r="BB91"/>
  <c r="AR138"/>
  <c r="AR185"/>
  <c r="AP185"/>
  <c r="AP138"/>
  <c r="AQ279"/>
  <c r="BC91"/>
  <c r="AS279"/>
  <c r="BB278"/>
  <c r="AS138"/>
  <c r="AS185"/>
  <c r="AQ92"/>
  <c r="AT279"/>
  <c r="AT185"/>
  <c r="AT138"/>
  <c r="AS92"/>
  <c r="AU138"/>
  <c r="AU185"/>
  <c r="AT92"/>
  <c r="AT44"/>
  <c r="AQ44"/>
  <c r="AR44"/>
  <c r="BD182"/>
  <c r="BD135"/>
  <c r="AR279"/>
  <c r="BD276"/>
  <c r="BI39"/>
  <c r="BB43"/>
  <c r="AP91"/>
  <c r="BB137"/>
  <c r="BB184"/>
  <c r="BI180"/>
  <c r="BI133"/>
  <c r="AK634" i="175"/>
  <c r="BF676"/>
  <c r="AP745"/>
  <c r="AI629"/>
  <c r="AN646"/>
  <c r="BF677"/>
  <c r="AN645"/>
  <c r="AP748"/>
  <c r="AH190"/>
  <c r="BF398"/>
  <c r="BF395"/>
  <c r="AN644"/>
  <c r="BD660"/>
  <c r="BF396"/>
  <c r="AP744"/>
  <c r="BF44"/>
  <c r="AN647"/>
  <c r="BF675"/>
  <c r="BF678"/>
  <c r="BF679"/>
  <c r="AP746"/>
  <c r="BF397"/>
  <c r="AO736"/>
  <c r="BF736" s="1"/>
  <c r="BF201"/>
  <c r="BF399"/>
  <c r="AN648"/>
  <c r="AN252"/>
  <c r="AP747"/>
  <c r="AJ54" i="159"/>
  <c r="AJ46" i="143"/>
  <c r="AS50" i="164"/>
  <c r="AS44" i="143"/>
  <c r="AK86" i="189"/>
  <c r="AL23"/>
  <c r="BC23" s="1"/>
  <c r="AO808" i="175"/>
  <c r="BF746"/>
  <c r="AJ53" i="163"/>
  <c r="AS52" i="159"/>
  <c r="AJ52" i="164"/>
  <c r="AL22" i="189"/>
  <c r="BC22" s="1"/>
  <c r="AO807" i="175"/>
  <c r="BF745"/>
  <c r="AJ54" i="158"/>
  <c r="AO810" i="175"/>
  <c r="AL25" i="189"/>
  <c r="BC25" s="1"/>
  <c r="AO809" i="175"/>
  <c r="AL86" i="189" s="1"/>
  <c r="AL24"/>
  <c r="BC24" s="1"/>
  <c r="AO806" i="175"/>
  <c r="AL21" i="189"/>
  <c r="BC21" s="1"/>
  <c r="BF744" i="175"/>
  <c r="AS52" i="158"/>
  <c r="AG36" i="72"/>
  <c r="AA46" i="143"/>
  <c r="X48"/>
  <c r="AC48"/>
  <c r="N48"/>
  <c r="X47"/>
  <c r="N47"/>
  <c r="AC47"/>
  <c r="AR45"/>
  <c r="AG46" i="118"/>
  <c r="AG92"/>
  <c r="AG139"/>
  <c r="AG186"/>
  <c r="AG281"/>
  <c r="AS53" i="171"/>
  <c r="AS50" i="147"/>
  <c r="AD179" i="118"/>
  <c r="BA8" i="189"/>
  <c r="BL40" i="118"/>
  <c r="BG274"/>
  <c r="BG87"/>
  <c r="BL134"/>
  <c r="BL181"/>
  <c r="BL275"/>
  <c r="BG39"/>
  <c r="BG133"/>
  <c r="BG180"/>
  <c r="AK731" i="175"/>
  <c r="AH8" i="189" s="1"/>
  <c r="AI631" i="175"/>
  <c r="AJ626"/>
  <c r="BD688"/>
  <c r="BD382"/>
  <c r="BD662"/>
  <c r="AA49" i="160"/>
  <c r="AA53" i="149"/>
  <c r="BD731" i="175"/>
  <c r="AJ793"/>
  <c r="AG70" i="189" s="1"/>
  <c r="BA70" s="1"/>
  <c r="AD132" i="118"/>
  <c r="AR52" i="149"/>
  <c r="S55" i="158"/>
  <c r="V55" s="1"/>
  <c r="AW138" i="118"/>
  <c r="AW185"/>
  <c r="BQ53" i="164"/>
  <c r="BR53" s="1"/>
  <c r="AE53" s="1"/>
  <c r="BC185" i="118"/>
  <c r="BC138"/>
  <c r="F54" i="149"/>
  <c r="S55" i="168"/>
  <c r="V55" s="1"/>
  <c r="S55" i="150"/>
  <c r="V55" s="1"/>
  <c r="O55" i="158"/>
  <c r="R55" s="1"/>
  <c r="S55" i="143"/>
  <c r="V55" s="1"/>
  <c r="O55" i="166"/>
  <c r="R55" s="1"/>
  <c r="AC42" i="72"/>
  <c r="AJ54" i="149"/>
  <c r="AA52" i="147"/>
  <c r="X54" i="149"/>
  <c r="O55" i="154"/>
  <c r="R55" s="1"/>
  <c r="O55" i="150"/>
  <c r="R55" s="1"/>
  <c r="S55" i="151"/>
  <c r="V55" s="1"/>
  <c r="O55" i="164"/>
  <c r="R55" s="1"/>
  <c r="L50" i="49"/>
  <c r="O54" i="149"/>
  <c r="R54" s="1"/>
  <c r="O55" i="144"/>
  <c r="R55" s="1"/>
  <c r="BF39" i="118"/>
  <c r="BF274"/>
  <c r="AX138"/>
  <c r="AX185"/>
  <c r="AJ55" i="171"/>
  <c r="S55" i="56"/>
  <c r="V55" s="1"/>
  <c r="BD55" i="149"/>
  <c r="G55" s="1"/>
  <c r="O55" s="1"/>
  <c r="R55" s="1"/>
  <c r="AR54" i="56"/>
  <c r="S55" i="154"/>
  <c r="V55" s="1"/>
  <c r="O55" i="145"/>
  <c r="R55" s="1"/>
  <c r="AR54" i="155"/>
  <c r="O55" i="143"/>
  <c r="R55" s="1"/>
  <c r="S55" i="144"/>
  <c r="V55" s="1"/>
  <c r="O55" i="155"/>
  <c r="R55" s="1"/>
  <c r="S55" i="153"/>
  <c r="V55" s="1"/>
  <c r="O55" i="171"/>
  <c r="R55" s="1"/>
  <c r="V43" i="72"/>
  <c r="AJ632" i="175"/>
  <c r="BA92" i="118"/>
  <c r="AZ91"/>
  <c r="BF255" i="175"/>
  <c r="AK283"/>
  <c r="AV184" i="118"/>
  <c r="AV137"/>
  <c r="BF658" i="175"/>
  <c r="BF378"/>
  <c r="BF392"/>
  <c r="AP737"/>
  <c r="BC44" i="118"/>
  <c r="T44" i="72"/>
  <c r="BC279" i="118"/>
  <c r="AI632" i="175"/>
  <c r="BD694"/>
  <c r="R53" i="147"/>
  <c r="V54" i="146"/>
  <c r="AP735" i="175"/>
  <c r="AM628"/>
  <c r="AO728"/>
  <c r="BF728" s="1"/>
  <c r="BF193"/>
  <c r="Y44" i="72"/>
  <c r="AW279" i="118"/>
  <c r="AW44"/>
  <c r="BF666" i="175"/>
  <c r="D56" i="163"/>
  <c r="W46" i="72"/>
  <c r="V52" i="148"/>
  <c r="J52" i="152"/>
  <c r="AN627" i="175"/>
  <c r="BB44" i="118"/>
  <c r="BB279"/>
  <c r="S44" i="72"/>
  <c r="R52" i="148"/>
  <c r="G52" i="152"/>
  <c r="BJ43" i="118"/>
  <c r="AD43" i="72"/>
  <c r="BJ278" i="118"/>
  <c r="BF36" i="175"/>
  <c r="R54" i="163"/>
  <c r="V51" i="152"/>
  <c r="R51"/>
  <c r="BK91" i="118"/>
  <c r="AK221" i="175"/>
  <c r="AK732"/>
  <c r="BF207"/>
  <c r="BK139" i="118"/>
  <c r="BK186"/>
  <c r="BJ137"/>
  <c r="BJ184"/>
  <c r="AW91"/>
  <c r="BF133"/>
  <c r="BF180"/>
  <c r="BJ91"/>
  <c r="BF87"/>
  <c r="AP727" i="175"/>
  <c r="R44" i="72"/>
  <c r="Z44"/>
  <c r="AP741" i="175"/>
  <c r="BD383"/>
  <c r="BF672"/>
  <c r="V50" i="160"/>
  <c r="AP34" i="190"/>
  <c r="AS470" i="175"/>
  <c r="AS471"/>
  <c r="AP52" i="190" s="1"/>
  <c r="AI418" i="118"/>
  <c r="N55" i="163"/>
  <c r="Q40" i="72"/>
  <c r="V53" i="147"/>
  <c r="N55" i="161"/>
  <c r="C55" i="146"/>
  <c r="N55"/>
  <c r="AA44" i="72"/>
  <c r="AN635" i="175"/>
  <c r="J56" i="163"/>
  <c r="BF386" i="175"/>
  <c r="V55" i="163"/>
  <c r="R50" i="160"/>
  <c r="R56" i="161"/>
  <c r="V55"/>
  <c r="X44" i="72"/>
  <c r="BK279" i="118"/>
  <c r="BK44"/>
  <c r="G55" i="163"/>
  <c r="X55" s="1"/>
  <c r="AB41" i="72"/>
  <c r="AN641" i="175"/>
  <c r="AE44" i="72"/>
  <c r="R54" i="146"/>
  <c r="AA53" i="164"/>
  <c r="AD56" i="161"/>
  <c r="F56"/>
  <c r="G56" i="165"/>
  <c r="O56" s="1"/>
  <c r="R56" s="1"/>
  <c r="Z49" i="49"/>
  <c r="M49"/>
  <c r="J50"/>
  <c r="AR53" i="161"/>
  <c r="AJ54" i="151"/>
  <c r="AR53" i="168"/>
  <c r="AR53" i="158"/>
  <c r="D56" i="159"/>
  <c r="K56" s="1"/>
  <c r="N56" s="1"/>
  <c r="AJ54" i="165"/>
  <c r="AA54" i="166"/>
  <c r="J56" i="145"/>
  <c r="AF56" s="1"/>
  <c r="J56" i="154"/>
  <c r="AF56" s="1"/>
  <c r="AR51" i="164"/>
  <c r="AO789" i="175"/>
  <c r="AL66" i="189" s="1"/>
  <c r="BC66" s="1"/>
  <c r="AL4"/>
  <c r="BC4" s="1"/>
  <c r="BF727" i="175"/>
  <c r="AK74" i="189"/>
  <c r="F53" i="147"/>
  <c r="G54"/>
  <c r="AD53"/>
  <c r="G51" i="137"/>
  <c r="C51"/>
  <c r="E51"/>
  <c r="AR53" i="151"/>
  <c r="D50" i="137"/>
  <c r="AI50"/>
  <c r="AB94" i="118"/>
  <c r="B57" i="150"/>
  <c r="B57" i="151"/>
  <c r="B57" i="164"/>
  <c r="B57" i="144"/>
  <c r="AM46" i="142" s="1"/>
  <c r="B57" i="154"/>
  <c r="B57" i="165"/>
  <c r="B57" i="167"/>
  <c r="B57" i="153"/>
  <c r="B57" i="166"/>
  <c r="B57" i="145"/>
  <c r="B57" i="56"/>
  <c r="B57" i="168"/>
  <c r="B57" i="155"/>
  <c r="B57" i="162"/>
  <c r="B57" i="159"/>
  <c r="B57" i="143"/>
  <c r="B57" i="158"/>
  <c r="B57" i="149"/>
  <c r="B57" i="171"/>
  <c r="I50" i="137"/>
  <c r="J50" s="1"/>
  <c r="AA54" i="158"/>
  <c r="AK80" i="189"/>
  <c r="D56" i="149"/>
  <c r="K56" s="1"/>
  <c r="N56" s="1"/>
  <c r="AR53" i="159"/>
  <c r="Z55" i="171"/>
  <c r="AB374" i="118"/>
  <c r="AD374" s="1"/>
  <c r="W48" i="49"/>
  <c r="J55" i="146"/>
  <c r="I54"/>
  <c r="AF54"/>
  <c r="AJ54" i="166"/>
  <c r="J56" i="171"/>
  <c r="AF56" s="1"/>
  <c r="J56" i="150"/>
  <c r="AF56" s="1"/>
  <c r="J56" i="151"/>
  <c r="AF56" s="1"/>
  <c r="J56" i="166"/>
  <c r="AF56" s="1"/>
  <c r="AS51" i="146"/>
  <c r="X57" i="162"/>
  <c r="AB57"/>
  <c r="AJ53" i="146"/>
  <c r="G56" i="155"/>
  <c r="AD56" s="1"/>
  <c r="G56" i="171"/>
  <c r="AD56" s="1"/>
  <c r="G56" i="168"/>
  <c r="AD56" s="1"/>
  <c r="BC56" i="149"/>
  <c r="BB56"/>
  <c r="G56" i="144"/>
  <c r="AD56" s="1"/>
  <c r="G56" i="56"/>
  <c r="AD56" s="1"/>
  <c r="H52" i="51"/>
  <c r="I52" s="1"/>
  <c r="X55" i="171"/>
  <c r="AB280" i="118"/>
  <c r="AS52" i="151"/>
  <c r="AR53" i="150"/>
  <c r="AS52" i="167"/>
  <c r="AR53" i="165"/>
  <c r="AR53" i="145"/>
  <c r="AS52" i="165"/>
  <c r="AB55" i="158"/>
  <c r="X55"/>
  <c r="E57" i="56"/>
  <c r="AB141" i="118"/>
  <c r="E57" i="151"/>
  <c r="E57" i="154"/>
  <c r="E57" i="165"/>
  <c r="E57" i="144"/>
  <c r="E57" i="167"/>
  <c r="E57" i="162"/>
  <c r="E57" i="149"/>
  <c r="F50" i="137"/>
  <c r="BC57" i="161" s="1"/>
  <c r="BP57" s="1"/>
  <c r="G57" s="1"/>
  <c r="E57" i="145"/>
  <c r="E57" i="153"/>
  <c r="E57" i="166"/>
  <c r="E57" i="168"/>
  <c r="E57" i="159"/>
  <c r="E57" i="164"/>
  <c r="E57" i="158"/>
  <c r="E57" i="150"/>
  <c r="E57" i="155"/>
  <c r="E57" i="171"/>
  <c r="E57" i="143"/>
  <c r="AR53" i="153"/>
  <c r="AB55" i="164"/>
  <c r="AA54" i="154"/>
  <c r="AR53" i="166"/>
  <c r="D56" i="171"/>
  <c r="AB56" s="1"/>
  <c r="D56" i="158"/>
  <c r="K56" s="1"/>
  <c r="N56" s="1"/>
  <c r="C56" i="165"/>
  <c r="K56"/>
  <c r="N56" s="1"/>
  <c r="D56" i="154"/>
  <c r="K56" s="1"/>
  <c r="N56" s="1"/>
  <c r="D56" i="151"/>
  <c r="K56" s="1"/>
  <c r="N56" s="1"/>
  <c r="X55" i="154"/>
  <c r="AB55"/>
  <c r="AB55" i="168"/>
  <c r="X55"/>
  <c r="AZ51" i="51"/>
  <c r="AW51"/>
  <c r="J51"/>
  <c r="AA54" i="171" s="1"/>
  <c r="AR54" s="1"/>
  <c r="AS52" i="168"/>
  <c r="AA56" i="162"/>
  <c r="I52" i="148"/>
  <c r="AF52"/>
  <c r="J53"/>
  <c r="AJ54" i="145"/>
  <c r="AS52" i="161"/>
  <c r="J56" i="155"/>
  <c r="AF56" s="1"/>
  <c r="J56" i="158"/>
  <c r="AF56" s="1"/>
  <c r="J56" i="159"/>
  <c r="AF56" s="1"/>
  <c r="J56" i="144"/>
  <c r="AF56" s="1"/>
  <c r="J56" i="167"/>
  <c r="AF56" s="1"/>
  <c r="X55" i="151"/>
  <c r="AC55"/>
  <c r="X47" i="49"/>
  <c r="G51" i="51"/>
  <c r="AK50"/>
  <c r="B43" i="72"/>
  <c r="D43" s="1"/>
  <c r="I43" s="1"/>
  <c r="H43" s="1"/>
  <c r="G43" s="1"/>
  <c r="F43" s="1"/>
  <c r="E43" s="1"/>
  <c r="AV50" i="51"/>
  <c r="AX50" s="1"/>
  <c r="AB43" i="118"/>
  <c r="AA54" i="167"/>
  <c r="F52" i="148"/>
  <c r="G53"/>
  <c r="AD52"/>
  <c r="AD57" i="162"/>
  <c r="AA53" i="146"/>
  <c r="BW417" i="118"/>
  <c r="BU417"/>
  <c r="AE417" s="1"/>
  <c r="BX417"/>
  <c r="BV417"/>
  <c r="AL18" i="189"/>
  <c r="BC18" s="1"/>
  <c r="AO803" i="175"/>
  <c r="AL80" i="189" s="1"/>
  <c r="BF741" i="175"/>
  <c r="AD54" i="163"/>
  <c r="AF51" i="152"/>
  <c r="AD51"/>
  <c r="AG9" i="189"/>
  <c r="BA9" s="1"/>
  <c r="AJ794" i="175"/>
  <c r="BD732"/>
  <c r="AR52" i="163"/>
  <c r="S55" i="155"/>
  <c r="V55" s="1"/>
  <c r="S55" i="149"/>
  <c r="V55" s="1"/>
  <c r="K55" i="171"/>
  <c r="N55" s="1"/>
  <c r="O55" i="167"/>
  <c r="R55" s="1"/>
  <c r="S55"/>
  <c r="V55" s="1"/>
  <c r="G56" i="150"/>
  <c r="AD56" s="1"/>
  <c r="G56" i="159"/>
  <c r="AD56" s="1"/>
  <c r="X55" i="167"/>
  <c r="AB55"/>
  <c r="CC58" i="162"/>
  <c r="D58" s="1"/>
  <c r="CE58"/>
  <c r="J58" s="1"/>
  <c r="CD58"/>
  <c r="G58" s="1"/>
  <c r="CG58"/>
  <c r="AL58" s="1"/>
  <c r="AJ54" i="161"/>
  <c r="AA54" i="168"/>
  <c r="AA54" i="153"/>
  <c r="AJ54" i="154"/>
  <c r="D56" i="155"/>
  <c r="K56" s="1"/>
  <c r="N56" s="1"/>
  <c r="D56" i="166"/>
  <c r="K56" s="1"/>
  <c r="N56" s="1"/>
  <c r="D56" i="150"/>
  <c r="AR53" i="154"/>
  <c r="J56" i="164"/>
  <c r="AF56" s="1"/>
  <c r="S56" i="162"/>
  <c r="V56" s="1"/>
  <c r="I50" i="160"/>
  <c r="AF50"/>
  <c r="J51"/>
  <c r="AS54" i="162"/>
  <c r="AJ54" i="167"/>
  <c r="X55" i="155"/>
  <c r="AA55" s="1"/>
  <c r="AB55"/>
  <c r="AJ55" s="1"/>
  <c r="AM57" i="162"/>
  <c r="AA54" i="159"/>
  <c r="AO51" i="190"/>
  <c r="AR501" i="175"/>
  <c r="AO69" i="190" s="1"/>
  <c r="AB55" i="163"/>
  <c r="AA50" i="152"/>
  <c r="AA54" i="163"/>
  <c r="I53" i="147"/>
  <c r="AF53"/>
  <c r="J54"/>
  <c r="G56" i="158"/>
  <c r="AD56" s="1"/>
  <c r="G56" i="143"/>
  <c r="AD56" s="1"/>
  <c r="G56" i="145"/>
  <c r="AD56" s="1"/>
  <c r="G56" i="167"/>
  <c r="AD56" s="1"/>
  <c r="G56" i="151"/>
  <c r="AD56" s="1"/>
  <c r="AB55" i="161"/>
  <c r="C55"/>
  <c r="X55"/>
  <c r="AA54" i="151"/>
  <c r="AB55" i="166"/>
  <c r="X55"/>
  <c r="AJ54" i="168"/>
  <c r="AR51" i="147"/>
  <c r="AJ54" i="153"/>
  <c r="X55"/>
  <c r="AB55"/>
  <c r="AS52" i="166"/>
  <c r="AA54" i="150"/>
  <c r="AS48" i="152"/>
  <c r="D56" i="145"/>
  <c r="K56" i="162"/>
  <c r="N56" s="1"/>
  <c r="D56" i="164"/>
  <c r="D56" i="144"/>
  <c r="K56" s="1"/>
  <c r="X55" i="56"/>
  <c r="AA55" s="1"/>
  <c r="AB55"/>
  <c r="AJ55" s="1"/>
  <c r="AB55" i="159"/>
  <c r="X55"/>
  <c r="AJ56" i="162"/>
  <c r="BN54" i="164"/>
  <c r="BU54" s="1"/>
  <c r="BV54" s="1"/>
  <c r="X54" s="1"/>
  <c r="BK56" i="165"/>
  <c r="I56"/>
  <c r="S56"/>
  <c r="V56" s="1"/>
  <c r="AS52" i="145"/>
  <c r="AO52" i="190"/>
  <c r="AF55" i="163"/>
  <c r="AL12" i="189"/>
  <c r="BC12" s="1"/>
  <c r="AO797" i="175"/>
  <c r="AL74" i="189" s="1"/>
  <c r="AA53" i="163"/>
  <c r="AS49" i="148"/>
  <c r="AJ67" i="189"/>
  <c r="G51" i="160"/>
  <c r="F50"/>
  <c r="AD50"/>
  <c r="BK56" i="164"/>
  <c r="BL56" s="1"/>
  <c r="G56"/>
  <c r="AD56" s="1"/>
  <c r="G56" i="166"/>
  <c r="AD56" s="1"/>
  <c r="G56" i="153"/>
  <c r="AD56" s="1"/>
  <c r="O56" i="162"/>
  <c r="R56" s="1"/>
  <c r="G56" i="154"/>
  <c r="AD56" s="1"/>
  <c r="AB55" i="149"/>
  <c r="C52" i="13"/>
  <c r="AL59" i="171"/>
  <c r="CB59" i="162"/>
  <c r="AF55" i="161"/>
  <c r="I55"/>
  <c r="AA54"/>
  <c r="H50" i="137"/>
  <c r="BD57" i="161" s="1"/>
  <c r="H57" i="145"/>
  <c r="H57" i="166"/>
  <c r="H57" i="144"/>
  <c r="H57" i="154"/>
  <c r="H57" i="149"/>
  <c r="H57" i="150"/>
  <c r="H57" i="162"/>
  <c r="H57" i="168"/>
  <c r="H57" i="151"/>
  <c r="H57" i="165"/>
  <c r="H57" i="167"/>
  <c r="H57" i="153"/>
  <c r="H57" i="143"/>
  <c r="H57" i="171"/>
  <c r="AB188" i="118"/>
  <c r="H57" i="155"/>
  <c r="H57" i="159"/>
  <c r="H57" i="164"/>
  <c r="H57" i="158"/>
  <c r="H57" i="56"/>
  <c r="AD55" i="165"/>
  <c r="BM55" i="164"/>
  <c r="BP55"/>
  <c r="BT55"/>
  <c r="AR52" i="146"/>
  <c r="AS52" i="153"/>
  <c r="AA51" i="148"/>
  <c r="D56" i="56"/>
  <c r="K56" s="1"/>
  <c r="N56" s="1"/>
  <c r="D56" i="143"/>
  <c r="D56" i="153"/>
  <c r="K56" s="1"/>
  <c r="N56" s="1"/>
  <c r="D56" i="167"/>
  <c r="K56" s="1"/>
  <c r="N56" s="1"/>
  <c r="D56" i="168"/>
  <c r="AS52" i="154"/>
  <c r="AR53" i="167"/>
  <c r="U49" i="49"/>
  <c r="T50"/>
  <c r="AA54" i="145"/>
  <c r="J56" i="143"/>
  <c r="AF56" s="1"/>
  <c r="J56" i="56"/>
  <c r="AF56" s="1"/>
  <c r="J56" i="149"/>
  <c r="AF56" s="1"/>
  <c r="J56" i="168"/>
  <c r="AF56" s="1"/>
  <c r="J56" i="153"/>
  <c r="AF56" s="1"/>
  <c r="BJ56" i="161"/>
  <c r="D56" s="1"/>
  <c r="BV56"/>
  <c r="J56" s="1"/>
  <c r="X55" i="150"/>
  <c r="AB55"/>
  <c r="AJ55" s="1"/>
  <c r="X55" i="145"/>
  <c r="AB55"/>
  <c r="AF57" i="162"/>
  <c r="AR55"/>
  <c r="F54" i="146"/>
  <c r="AD54"/>
  <c r="G55"/>
  <c r="X54"/>
  <c r="AN790" i="175"/>
  <c r="AK67" i="189" s="1"/>
  <c r="AK5"/>
  <c r="K55" i="167"/>
  <c r="N55" s="1"/>
  <c r="O55" i="153"/>
  <c r="R55" s="1"/>
  <c r="O55" i="159"/>
  <c r="R55" s="1"/>
  <c r="K55" i="166"/>
  <c r="N55" s="1"/>
  <c r="S55" i="145"/>
  <c r="V55" s="1"/>
  <c r="S55" i="159"/>
  <c r="V55" s="1"/>
  <c r="K55" i="153"/>
  <c r="N55" s="1"/>
  <c r="K55" i="56"/>
  <c r="N55" s="1"/>
  <c r="K55" i="159"/>
  <c r="N55" s="1"/>
  <c r="O55" i="151"/>
  <c r="R55" s="1"/>
  <c r="K55"/>
  <c r="N55" s="1"/>
  <c r="S55" i="171"/>
  <c r="V55" s="1"/>
  <c r="K55" i="143"/>
  <c r="S55" i="166"/>
  <c r="V55" s="1"/>
  <c r="S55" i="164"/>
  <c r="V55" s="1"/>
  <c r="O55" i="56"/>
  <c r="R55" s="1"/>
  <c r="O55" i="168"/>
  <c r="R55" s="1"/>
  <c r="AL196" i="175"/>
  <c r="AP658"/>
  <c r="AM253"/>
  <c r="AO709"/>
  <c r="M40" i="68"/>
  <c r="E40" i="140"/>
  <c r="AM195" i="175"/>
  <c r="B51" i="160"/>
  <c r="U41" i="140"/>
  <c r="V41"/>
  <c r="AL258" i="175"/>
  <c r="V41" i="64"/>
  <c r="K51" i="152"/>
  <c r="AL39" i="175"/>
  <c r="AJ693"/>
  <c r="AL259"/>
  <c r="I40" i="71"/>
  <c r="O36" i="64"/>
  <c r="P41" i="67"/>
  <c r="D41" i="140"/>
  <c r="U41" i="119"/>
  <c r="AQ138" i="175"/>
  <c r="AO659"/>
  <c r="B55" i="147"/>
  <c r="AP679" i="175"/>
  <c r="AL260"/>
  <c r="F39" i="64"/>
  <c r="AR267" i="175"/>
  <c r="B57" i="163"/>
  <c r="K40" i="68"/>
  <c r="H52" i="160"/>
  <c r="L41" i="120"/>
  <c r="AL256" i="175"/>
  <c r="H40" i="120"/>
  <c r="F38" i="68"/>
  <c r="B33" i="67"/>
  <c r="H57" i="163"/>
  <c r="AR211" i="175"/>
  <c r="AK380"/>
  <c r="AQ144"/>
  <c r="J41" i="64"/>
  <c r="AQ150" i="175"/>
  <c r="Q42" i="68"/>
  <c r="H57" i="161"/>
  <c r="W41" i="67"/>
  <c r="B53" i="148"/>
  <c r="B32" i="68"/>
  <c r="B34" i="67"/>
  <c r="AR270" i="175"/>
  <c r="O52" i="152"/>
  <c r="Q44" i="69"/>
  <c r="N41" i="120"/>
  <c r="AM134" i="175"/>
  <c r="AO703"/>
  <c r="E39" i="68"/>
  <c r="F38" i="119"/>
  <c r="B34"/>
  <c r="AR208" i="175"/>
  <c r="O35" i="71"/>
  <c r="AQ151" i="175"/>
  <c r="N40" i="68"/>
  <c r="AN699" i="175"/>
  <c r="AP204"/>
  <c r="M41" i="120"/>
  <c r="AR200" i="175"/>
  <c r="AQ149"/>
  <c r="AL129"/>
  <c r="AP386"/>
  <c r="I41" i="64"/>
  <c r="AO379" i="175"/>
  <c r="AN42"/>
  <c r="AP399"/>
  <c r="H54" i="148"/>
  <c r="AQ141" i="175"/>
  <c r="AK136"/>
  <c r="R39" i="68"/>
  <c r="K41" i="67"/>
  <c r="R40" i="71"/>
  <c r="AL197" i="175"/>
  <c r="AQ56"/>
  <c r="O55" i="163"/>
  <c r="N42" i="119"/>
  <c r="S56" i="161"/>
  <c r="T40" i="68"/>
  <c r="AP45" i="175"/>
  <c r="V41" i="67"/>
  <c r="P41" i="140"/>
  <c r="S41" i="120"/>
  <c r="H41"/>
  <c r="AL198" i="175"/>
  <c r="X35" i="68"/>
  <c r="J40"/>
  <c r="D41" i="67"/>
  <c r="O57" i="161"/>
  <c r="Q42" i="71"/>
  <c r="AO388" i="175"/>
  <c r="AQ148"/>
  <c r="H40" i="67"/>
  <c r="G37" i="68"/>
  <c r="K52" i="148"/>
  <c r="AP678" i="175"/>
  <c r="AP397"/>
  <c r="M41" i="64"/>
  <c r="F38" i="71"/>
  <c r="AP675" i="175"/>
  <c r="AP388"/>
  <c r="S56" i="163"/>
  <c r="O34" i="68"/>
  <c r="O36" i="140"/>
  <c r="AQ130" i="175"/>
  <c r="T42" i="120"/>
  <c r="AO387" i="175"/>
  <c r="AQ43"/>
  <c r="V42" i="119"/>
  <c r="E40" i="64"/>
  <c r="AQ269" i="175"/>
  <c r="J42" i="119"/>
  <c r="U41" i="67"/>
  <c r="S40"/>
  <c r="AR206" i="175"/>
  <c r="AP378"/>
  <c r="Q43" i="64"/>
  <c r="O53" i="148"/>
  <c r="AQ192" i="175"/>
  <c r="AQ140"/>
  <c r="V40" i="71"/>
  <c r="K40"/>
  <c r="AO669" i="175"/>
  <c r="AT440"/>
  <c r="AR205"/>
  <c r="X36" i="71"/>
  <c r="R41" i="140"/>
  <c r="AN690" i="175"/>
  <c r="L40" i="68"/>
  <c r="AN261" i="175"/>
  <c r="D40" i="71"/>
  <c r="K56" i="163"/>
  <c r="Q43" i="67"/>
  <c r="L40" i="71"/>
  <c r="AQ139" i="175"/>
  <c r="AQ263"/>
  <c r="AO236"/>
  <c r="AQ49"/>
  <c r="AQ54"/>
  <c r="H40" i="64"/>
  <c r="U40" i="68"/>
  <c r="AQ44" i="175"/>
  <c r="U40" i="71"/>
  <c r="R39"/>
  <c r="N41" i="67"/>
  <c r="B41" i="120"/>
  <c r="AN389" i="175"/>
  <c r="AQ174"/>
  <c r="W41" i="64"/>
  <c r="AM700" i="175"/>
  <c r="AP672"/>
  <c r="AQ175"/>
  <c r="Q42" i="119"/>
  <c r="K56" i="146"/>
  <c r="AM137" i="175"/>
  <c r="B57" i="161"/>
  <c r="AO706" i="175"/>
  <c r="B41" i="140"/>
  <c r="AL133" i="175"/>
  <c r="AO710"/>
  <c r="N40" i="71"/>
  <c r="W40"/>
  <c r="R41" i="119"/>
  <c r="P40" i="68"/>
  <c r="G38" i="67"/>
  <c r="N41" i="119"/>
  <c r="AK383" i="175"/>
  <c r="AI695"/>
  <c r="AQ265"/>
  <c r="AP203"/>
  <c r="AQ35"/>
  <c r="M41" i="67"/>
  <c r="N41" i="140"/>
  <c r="G38" i="64"/>
  <c r="O55" i="146"/>
  <c r="L42" i="119"/>
  <c r="B34" i="64"/>
  <c r="AN698" i="175"/>
  <c r="F39" i="120"/>
  <c r="D40" i="68"/>
  <c r="W40"/>
  <c r="B56" i="146"/>
  <c r="U41" i="120"/>
  <c r="AJ380" i="175"/>
  <c r="S41" i="140"/>
  <c r="AL41" i="175"/>
  <c r="F39" i="67"/>
  <c r="K41" i="119"/>
  <c r="AP667" i="175"/>
  <c r="J41" i="119"/>
  <c r="AL385" i="175"/>
  <c r="AP677"/>
  <c r="AP36"/>
  <c r="J41" i="120"/>
  <c r="AP395" i="175"/>
  <c r="F39" i="140"/>
  <c r="AP392" i="175"/>
  <c r="S54" i="147"/>
  <c r="H53" i="152"/>
  <c r="AL657" i="175"/>
  <c r="K41" i="64"/>
  <c r="M42" i="119"/>
  <c r="AQ266" i="175"/>
  <c r="AQ52"/>
  <c r="AQ262"/>
  <c r="W41" i="120"/>
  <c r="AI176" i="175"/>
  <c r="H40" i="68"/>
  <c r="AR274" i="175"/>
  <c r="AQ173"/>
  <c r="AL661"/>
  <c r="P42" i="120"/>
  <c r="AQ55" i="175"/>
  <c r="AJ176"/>
  <c r="AL37"/>
  <c r="K41" i="140"/>
  <c r="AQ53" i="175"/>
  <c r="AR275"/>
  <c r="S53" i="148"/>
  <c r="Q42" i="140"/>
  <c r="AP46" i="175"/>
  <c r="L41" i="64"/>
  <c r="AR209" i="175"/>
  <c r="E41" i="119"/>
  <c r="AP396" i="175"/>
  <c r="U42" i="119"/>
  <c r="X36"/>
  <c r="AR264" i="175"/>
  <c r="S39" i="71"/>
  <c r="M40"/>
  <c r="V41" i="120"/>
  <c r="K53" i="147"/>
  <c r="O35" i="119"/>
  <c r="AK660" i="175"/>
  <c r="I41" i="67"/>
  <c r="AL40" i="175"/>
  <c r="H42" i="119"/>
  <c r="D41" i="120"/>
  <c r="P41" i="119"/>
  <c r="AP207" i="175"/>
  <c r="AM191"/>
  <c r="R41" i="64"/>
  <c r="AP676" i="175"/>
  <c r="C41" i="140"/>
  <c r="AM38" i="175"/>
  <c r="AO689"/>
  <c r="K42" i="119"/>
  <c r="B52" i="152"/>
  <c r="E52" i="160"/>
  <c r="AK664" i="175"/>
  <c r="O51" i="160"/>
  <c r="E55" i="147"/>
  <c r="E39" i="71"/>
  <c r="I41" i="140"/>
  <c r="X37" i="67"/>
  <c r="L41" i="140"/>
  <c r="X37"/>
  <c r="G38" i="120"/>
  <c r="AL696" i="175"/>
  <c r="AL381"/>
  <c r="T42" i="119"/>
  <c r="E54" i="148"/>
  <c r="R40" i="120"/>
  <c r="AM135" i="175"/>
  <c r="AO667"/>
  <c r="AK381"/>
  <c r="AP193"/>
  <c r="K50" i="160"/>
  <c r="AT442" i="175"/>
  <c r="S51" i="160"/>
  <c r="AL194" i="175"/>
  <c r="Q42" i="120"/>
  <c r="AK377" i="175"/>
  <c r="G37" i="71"/>
  <c r="AQ131" i="175"/>
  <c r="I41" i="120"/>
  <c r="G36" i="68"/>
  <c r="AP201" i="175"/>
  <c r="O36" i="67"/>
  <c r="H39" i="68"/>
  <c r="J40" i="71"/>
  <c r="E56" i="163"/>
  <c r="AO697" i="175"/>
  <c r="AO707"/>
  <c r="AR271"/>
  <c r="X37" i="120"/>
  <c r="AK132" i="175"/>
  <c r="AR210"/>
  <c r="B33" i="64"/>
  <c r="C41" i="120"/>
  <c r="AM385" i="175"/>
  <c r="P40" i="71"/>
  <c r="AO235" i="175"/>
  <c r="K41" i="120"/>
  <c r="AN199" i="175"/>
  <c r="AR268"/>
  <c r="AO668"/>
  <c r="AR272"/>
  <c r="P41" i="64"/>
  <c r="S52" i="152"/>
  <c r="B33" i="119"/>
  <c r="AM34" i="175"/>
  <c r="E56" i="146"/>
  <c r="E40" i="67"/>
  <c r="V40" i="68"/>
  <c r="M41" i="140"/>
  <c r="L41" i="67"/>
  <c r="T42" i="140"/>
  <c r="AQ172" i="175"/>
  <c r="S40" i="64"/>
  <c r="U41"/>
  <c r="AR212" i="175"/>
  <c r="AK382"/>
  <c r="AJ384"/>
  <c r="B32" i="71"/>
  <c r="E40" i="120"/>
  <c r="H39" i="71"/>
  <c r="G38" i="140"/>
  <c r="AQ147" i="175"/>
  <c r="AM665"/>
  <c r="AR213"/>
  <c r="AM257"/>
  <c r="K56" i="161"/>
  <c r="W41" i="140"/>
  <c r="J41" i="67"/>
  <c r="AP255" i="175"/>
  <c r="AR273"/>
  <c r="AQ254"/>
  <c r="AO234"/>
  <c r="H41" i="140"/>
  <c r="O54" i="147"/>
  <c r="R41" i="67"/>
  <c r="G37" i="119"/>
  <c r="AO708" i="175"/>
  <c r="AK662"/>
  <c r="AP666"/>
  <c r="J41" i="140"/>
  <c r="E57" i="161"/>
  <c r="E53" i="152"/>
  <c r="H55" i="147"/>
  <c r="N41" i="64"/>
  <c r="S38" i="68"/>
  <c r="H56" i="146"/>
  <c r="V41" i="119"/>
  <c r="AP398" i="175"/>
  <c r="O36" i="120"/>
  <c r="S55" i="146"/>
  <c r="X37" i="64"/>
  <c r="D41"/>
  <c r="I41" i="68"/>
  <c r="AQ772" i="175" l="1"/>
  <c r="AN49" i="189" s="1"/>
  <c r="AM49"/>
  <c r="AQ36" i="190"/>
  <c r="BE36" s="1"/>
  <c r="AT473" i="175"/>
  <c r="BH473" s="1"/>
  <c r="F442"/>
  <c r="C36" i="190" s="1"/>
  <c r="BH442" i="175"/>
  <c r="AP54" i="190"/>
  <c r="BF738" i="175"/>
  <c r="AZ185" i="118"/>
  <c r="AZ138"/>
  <c r="AP738" i="175"/>
  <c r="AM15" i="189" s="1"/>
  <c r="K51" i="49"/>
  <c r="AW92" i="118"/>
  <c r="BF737" i="175"/>
  <c r="AZ44" i="118"/>
  <c r="AZ279"/>
  <c r="BF669" i="175"/>
  <c r="AM638"/>
  <c r="AO769"/>
  <c r="BF234"/>
  <c r="AK46" i="189"/>
  <c r="AN800" i="175"/>
  <c r="AK77" i="189" s="1"/>
  <c r="AL14"/>
  <c r="BC14" s="1"/>
  <c r="BA185" i="118"/>
  <c r="BA138"/>
  <c r="BA44"/>
  <c r="BA279"/>
  <c r="BF388" i="175"/>
  <c r="AN637"/>
  <c r="BF668"/>
  <c r="AS52" i="149"/>
  <c r="AR53"/>
  <c r="AI633" i="175"/>
  <c r="AG65" i="189"/>
  <c r="BA65" s="1"/>
  <c r="AS47" i="160"/>
  <c r="BD626" i="175"/>
  <c r="BE40" i="118"/>
  <c r="BE181"/>
  <c r="BE134"/>
  <c r="BE86"/>
  <c r="BE275"/>
  <c r="BD384" i="175"/>
  <c r="AK733"/>
  <c r="AG10" i="189"/>
  <c r="BA10" s="1"/>
  <c r="AJ795" i="175"/>
  <c r="AK788"/>
  <c r="AH65" i="189" s="1"/>
  <c r="AJ49" i="160"/>
  <c r="AR49" s="1"/>
  <c r="BD733" i="175"/>
  <c r="BL87" i="118"/>
  <c r="AL726" i="175"/>
  <c r="AL788" s="1"/>
  <c r="AI65" i="189" s="1"/>
  <c r="AJ50" i="152"/>
  <c r="AR50" s="1"/>
  <c r="BD792" i="175"/>
  <c r="AG6" i="189"/>
  <c r="BA6" s="1"/>
  <c r="AJ791" i="175"/>
  <c r="AG68" i="189" s="1"/>
  <c r="BA68" s="1"/>
  <c r="AH7"/>
  <c r="AL796" i="175"/>
  <c r="AI73" i="189" s="1"/>
  <c r="AL730" i="175"/>
  <c r="AI7" i="189" s="1"/>
  <c r="BH87" i="118"/>
  <c r="BD88"/>
  <c r="BD380" i="175"/>
  <c r="BI86" i="118"/>
  <c r="AK729" i="175"/>
  <c r="AH6" i="189" s="1"/>
  <c r="AM734" i="175"/>
  <c r="AM796" s="1"/>
  <c r="AJ73" i="189" s="1"/>
  <c r="N53" i="147"/>
  <c r="N52" i="148"/>
  <c r="D52" i="152"/>
  <c r="N50" i="160"/>
  <c r="N51" i="152"/>
  <c r="AR49"/>
  <c r="AB53" i="147"/>
  <c r="AJ53" s="1"/>
  <c r="C53"/>
  <c r="D54"/>
  <c r="X54" s="1"/>
  <c r="C52" i="148"/>
  <c r="D53"/>
  <c r="AB52"/>
  <c r="AJ52" s="1"/>
  <c r="D51" i="160"/>
  <c r="X51" s="1"/>
  <c r="C50"/>
  <c r="AB50"/>
  <c r="AB51" i="152"/>
  <c r="AR48" i="160"/>
  <c r="AY185" i="118"/>
  <c r="AY138"/>
  <c r="BF235" i="175"/>
  <c r="AS54" i="56"/>
  <c r="AS50" i="148"/>
  <c r="AS54" i="155"/>
  <c r="BH276" i="118"/>
  <c r="BH135"/>
  <c r="BH182"/>
  <c r="BH41"/>
  <c r="AS53" i="150"/>
  <c r="AO798" i="175"/>
  <c r="AL75" i="189" s="1"/>
  <c r="BC75" s="1"/>
  <c r="AP139" i="118"/>
  <c r="AP186"/>
  <c r="BI181"/>
  <c r="BI134"/>
  <c r="AQ45"/>
  <c r="AU186"/>
  <c r="AU139"/>
  <c r="AS186"/>
  <c r="AS139"/>
  <c r="AQ93"/>
  <c r="AP92"/>
  <c r="AT186"/>
  <c r="AT139"/>
  <c r="AQ186"/>
  <c r="AQ139"/>
  <c r="BI275"/>
  <c r="AP280"/>
  <c r="BD183"/>
  <c r="BD136"/>
  <c r="BI40"/>
  <c r="AP45"/>
  <c r="AR280"/>
  <c r="AP93"/>
  <c r="BB138"/>
  <c r="BB185"/>
  <c r="AR139"/>
  <c r="AR186"/>
  <c r="AS45"/>
  <c r="BB92"/>
  <c r="AT45"/>
  <c r="BA139"/>
  <c r="BA186"/>
  <c r="AT280"/>
  <c r="AS280"/>
  <c r="AR93"/>
  <c r="AR45"/>
  <c r="AQ280"/>
  <c r="BD42"/>
  <c r="AR92"/>
  <c r="BD277"/>
  <c r="AQ745" i="175"/>
  <c r="AO647"/>
  <c r="BF647" s="1"/>
  <c r="BF709"/>
  <c r="AN636"/>
  <c r="AO644"/>
  <c r="BF644" s="1"/>
  <c r="BF706"/>
  <c r="AL634"/>
  <c r="AQ747"/>
  <c r="BF387"/>
  <c r="AQ744"/>
  <c r="BF667"/>
  <c r="AQ746"/>
  <c r="AO646"/>
  <c r="BF646" s="1"/>
  <c r="BF708"/>
  <c r="AO645"/>
  <c r="BF645" s="1"/>
  <c r="BF707"/>
  <c r="AO252"/>
  <c r="BF252" s="1"/>
  <c r="BF236"/>
  <c r="AI190"/>
  <c r="BD176"/>
  <c r="AJ190"/>
  <c r="AQ748"/>
  <c r="AP736"/>
  <c r="AP798" s="1"/>
  <c r="AO648"/>
  <c r="BF648" s="1"/>
  <c r="BF710"/>
  <c r="AJ55" i="158"/>
  <c r="AL87" i="189"/>
  <c r="BC87" s="1"/>
  <c r="BF810" i="175"/>
  <c r="AL85" i="189"/>
  <c r="BC85" s="1"/>
  <c r="BF808" i="175"/>
  <c r="AM24" i="189"/>
  <c r="AP809" i="175"/>
  <c r="AM25" i="189"/>
  <c r="AP810" i="175"/>
  <c r="AS51" i="164"/>
  <c r="AP808" i="175"/>
  <c r="AM23" i="189"/>
  <c r="AR52" i="164"/>
  <c r="BC86" i="189"/>
  <c r="AA52" i="148"/>
  <c r="AJ53" i="164"/>
  <c r="AJ47" i="143"/>
  <c r="AJ48"/>
  <c r="AL84" i="189"/>
  <c r="BC84" s="1"/>
  <c r="BF807" i="175"/>
  <c r="AM21" i="189"/>
  <c r="AP806" i="175"/>
  <c r="AS45" i="143"/>
  <c r="AJ55" i="159"/>
  <c r="AJ54" i="163"/>
  <c r="AS53" i="159"/>
  <c r="AL83" i="189"/>
  <c r="BC83" s="1"/>
  <c r="BF806" i="175"/>
  <c r="AM22" i="189"/>
  <c r="AP807" i="175"/>
  <c r="AL13" i="189"/>
  <c r="BC13" s="1"/>
  <c r="BF809" i="175"/>
  <c r="AS53" i="158"/>
  <c r="AG37" i="72"/>
  <c r="AG38"/>
  <c r="M49" i="143"/>
  <c r="L49" s="1"/>
  <c r="AA47"/>
  <c r="AA48"/>
  <c r="AR46"/>
  <c r="L51" i="49"/>
  <c r="AS54" i="171"/>
  <c r="AK793" i="175"/>
  <c r="AH70" i="189" s="1"/>
  <c r="AG140" i="118"/>
  <c r="AG187"/>
  <c r="AG47"/>
  <c r="AG93"/>
  <c r="AG282"/>
  <c r="AD180"/>
  <c r="AD133"/>
  <c r="BG181"/>
  <c r="BG134"/>
  <c r="BL276"/>
  <c r="BG275"/>
  <c r="BG88"/>
  <c r="BG40"/>
  <c r="BL182"/>
  <c r="BL135"/>
  <c r="BL41"/>
  <c r="AJ631" i="175"/>
  <c r="BD631" s="1"/>
  <c r="BD693"/>
  <c r="AL731"/>
  <c r="AI8" i="189" s="1"/>
  <c r="AA51" i="152"/>
  <c r="BD793" i="175"/>
  <c r="S56" i="171"/>
  <c r="V56" s="1"/>
  <c r="AR52" i="147"/>
  <c r="BF789" i="175"/>
  <c r="O56" i="56"/>
  <c r="R56" s="1"/>
  <c r="Q41" i="72"/>
  <c r="O56" i="158"/>
  <c r="R56" s="1"/>
  <c r="BC139" i="118"/>
  <c r="BC186"/>
  <c r="S56" i="167"/>
  <c r="V56" s="1"/>
  <c r="S56" i="159"/>
  <c r="V56" s="1"/>
  <c r="S56" i="144"/>
  <c r="V56" s="1"/>
  <c r="AB42" i="72"/>
  <c r="AW139" i="118"/>
  <c r="AW186"/>
  <c r="X55" i="149"/>
  <c r="AA54"/>
  <c r="O56" i="166"/>
  <c r="R56" s="1"/>
  <c r="AD55" i="149"/>
  <c r="BD56"/>
  <c r="G56" s="1"/>
  <c r="F56" s="1"/>
  <c r="S56" i="154"/>
  <c r="V56" s="1"/>
  <c r="F55" i="149"/>
  <c r="S56" i="166"/>
  <c r="V56" s="1"/>
  <c r="S56" i="56"/>
  <c r="V56" s="1"/>
  <c r="AR55"/>
  <c r="S56" i="155"/>
  <c r="V56" s="1"/>
  <c r="AJ56" i="171"/>
  <c r="AR55" i="155"/>
  <c r="S56" i="164"/>
  <c r="V56" s="1"/>
  <c r="O56" i="150"/>
  <c r="R56" s="1"/>
  <c r="O56" i="145"/>
  <c r="R56" s="1"/>
  <c r="O56" i="144"/>
  <c r="R56" s="1"/>
  <c r="O56" i="168"/>
  <c r="R56" s="1"/>
  <c r="S56" i="151"/>
  <c r="V56" s="1"/>
  <c r="V44" i="72"/>
  <c r="AZ92" i="118"/>
  <c r="AL283" i="175"/>
  <c r="AL221"/>
  <c r="AL732"/>
  <c r="BK92" i="118"/>
  <c r="BF88"/>
  <c r="Z45" i="72"/>
  <c r="V54" i="147"/>
  <c r="BF659" i="175"/>
  <c r="AO627"/>
  <c r="BF689"/>
  <c r="N56" i="163"/>
  <c r="AE45" i="72"/>
  <c r="BK45" i="118"/>
  <c r="X45" i="72"/>
  <c r="BK280" i="118"/>
  <c r="R57" i="161"/>
  <c r="V55" i="146"/>
  <c r="D57" i="163"/>
  <c r="V52" i="152"/>
  <c r="BJ44" i="118"/>
  <c r="AD44" i="72"/>
  <c r="BJ279" i="118"/>
  <c r="V56" i="161"/>
  <c r="AA45" i="72"/>
  <c r="R45"/>
  <c r="W47"/>
  <c r="R54" i="147"/>
  <c r="R55" i="163"/>
  <c r="V56"/>
  <c r="BJ185" i="118"/>
  <c r="BJ138"/>
  <c r="BF134"/>
  <c r="BF181"/>
  <c r="AV138"/>
  <c r="AV185"/>
  <c r="AX139"/>
  <c r="AX186"/>
  <c r="BC92"/>
  <c r="BK187"/>
  <c r="BK140"/>
  <c r="BJ92"/>
  <c r="AP728" i="175"/>
  <c r="BC45" i="118"/>
  <c r="T45" i="72"/>
  <c r="BC280" i="118"/>
  <c r="S45" i="72"/>
  <c r="R53" i="148"/>
  <c r="G53" i="152"/>
  <c r="V53" i="148"/>
  <c r="J53" i="152"/>
  <c r="AQ741" i="175"/>
  <c r="R52" i="152"/>
  <c r="R55" i="146"/>
  <c r="N56" i="161"/>
  <c r="C56" i="146"/>
  <c r="N56"/>
  <c r="V51" i="160"/>
  <c r="AQ34" i="190"/>
  <c r="BE34" s="1"/>
  <c r="AT470" i="175"/>
  <c r="AT471"/>
  <c r="F440"/>
  <c r="BH440"/>
  <c r="AI419" i="118"/>
  <c r="AO635" i="175"/>
  <c r="BF635" s="1"/>
  <c r="BF697"/>
  <c r="BB280" i="118"/>
  <c r="BB45"/>
  <c r="BF379" i="175"/>
  <c r="BF40" i="118"/>
  <c r="BF275"/>
  <c r="AN628" i="175"/>
  <c r="J57" i="163"/>
  <c r="R51" i="160"/>
  <c r="AQ735" i="175"/>
  <c r="AQ727"/>
  <c r="AO641"/>
  <c r="BF641" s="1"/>
  <c r="BF703"/>
  <c r="AC43" i="72"/>
  <c r="AW45" i="118"/>
  <c r="AW280"/>
  <c r="Y45" i="72"/>
  <c r="G56" i="163"/>
  <c r="AA54" i="164"/>
  <c r="X56" i="168"/>
  <c r="AB56"/>
  <c r="BN55" i="164"/>
  <c r="BQ55" s="1"/>
  <c r="BR55" s="1"/>
  <c r="AE55" s="1"/>
  <c r="J57" i="158"/>
  <c r="AF57" s="1"/>
  <c r="J57" i="167"/>
  <c r="AF57" s="1"/>
  <c r="S57" i="162"/>
  <c r="V57" s="1"/>
  <c r="J57" i="144"/>
  <c r="AF57" s="1"/>
  <c r="CC59" i="162"/>
  <c r="D59" s="1"/>
  <c r="CE59"/>
  <c r="J59" s="1"/>
  <c r="CD59"/>
  <c r="G59" s="1"/>
  <c r="CG59"/>
  <c r="AL59" s="1"/>
  <c r="AB56" i="164"/>
  <c r="AA55" i="153"/>
  <c r="I54" i="147"/>
  <c r="AF54"/>
  <c r="J55"/>
  <c r="AR54" i="153"/>
  <c r="AD58" i="162"/>
  <c r="AS52" i="163"/>
  <c r="AR53" i="146"/>
  <c r="G57" i="159"/>
  <c r="AD57" s="1"/>
  <c r="G57" i="167"/>
  <c r="AD57" s="1"/>
  <c r="AR54" i="158"/>
  <c r="D57" i="155"/>
  <c r="K57" s="1"/>
  <c r="N57" s="1"/>
  <c r="D57" i="154"/>
  <c r="K57" s="1"/>
  <c r="N57" s="1"/>
  <c r="D57" i="150"/>
  <c r="K57" s="1"/>
  <c r="N57" s="1"/>
  <c r="AS53" i="161"/>
  <c r="AB56" i="163"/>
  <c r="AA55" i="145"/>
  <c r="J57" i="155"/>
  <c r="AF57" s="1"/>
  <c r="J57" i="154"/>
  <c r="AF57" s="1"/>
  <c r="X56" i="145"/>
  <c r="AB56"/>
  <c r="AA55" i="161"/>
  <c r="B44" i="72"/>
  <c r="D44" s="1"/>
  <c r="I44" s="1"/>
  <c r="H44" s="1"/>
  <c r="G44" s="1"/>
  <c r="F44" s="1"/>
  <c r="E44" s="1"/>
  <c r="AK51" i="51"/>
  <c r="AV51"/>
  <c r="AX51" s="1"/>
  <c r="AB44" i="118"/>
  <c r="BK57" i="164"/>
  <c r="BL57" s="1"/>
  <c r="G57"/>
  <c r="AD57" s="1"/>
  <c r="O57" i="162"/>
  <c r="R57" s="1"/>
  <c r="G57" i="154"/>
  <c r="AD57" s="1"/>
  <c r="AS53" i="165"/>
  <c r="AF55" i="146"/>
  <c r="I55"/>
  <c r="J56"/>
  <c r="K57" i="162"/>
  <c r="N57" s="1"/>
  <c r="C57" i="165"/>
  <c r="K57"/>
  <c r="N57" s="1"/>
  <c r="AF52" i="152"/>
  <c r="AM12" i="189"/>
  <c r="AP797" i="175"/>
  <c r="AM14" i="189"/>
  <c r="AP799" i="175"/>
  <c r="AA54" i="146"/>
  <c r="AJ55" i="145"/>
  <c r="I56" i="161"/>
  <c r="AF56"/>
  <c r="AS53" i="167"/>
  <c r="AR51" i="148"/>
  <c r="J57" i="159"/>
  <c r="AF57" s="1"/>
  <c r="J57" i="143"/>
  <c r="AF57" s="1"/>
  <c r="J57" i="151"/>
  <c r="AF57" s="1"/>
  <c r="J57" i="149"/>
  <c r="AF57" s="1"/>
  <c r="J57" i="145"/>
  <c r="AF57" s="1"/>
  <c r="C52" i="137"/>
  <c r="G52"/>
  <c r="E52"/>
  <c r="AS51" i="147"/>
  <c r="AR54" i="151"/>
  <c r="X56" i="166"/>
  <c r="AB56"/>
  <c r="X58" i="162"/>
  <c r="AB58"/>
  <c r="AG71" i="189"/>
  <c r="BA71" s="1"/>
  <c r="BD794" i="175"/>
  <c r="AR54" i="167"/>
  <c r="AA55" i="151"/>
  <c r="AA55" i="168"/>
  <c r="X56" i="151"/>
  <c r="AC56"/>
  <c r="G57" i="143"/>
  <c r="AD57" s="1"/>
  <c r="G57" i="158"/>
  <c r="AD57" s="1"/>
  <c r="G57" i="166"/>
  <c r="AD57" s="1"/>
  <c r="BC57" i="149"/>
  <c r="BB57"/>
  <c r="G57" i="165"/>
  <c r="O57" s="1"/>
  <c r="R57" s="1"/>
  <c r="G57" i="56"/>
  <c r="AD57" s="1"/>
  <c r="AS53" i="145"/>
  <c r="AA57" i="162"/>
  <c r="D57" i="171"/>
  <c r="AB57" s="1"/>
  <c r="D57" i="159"/>
  <c r="D57" i="56"/>
  <c r="K57" s="1"/>
  <c r="N57" s="1"/>
  <c r="D57" i="167"/>
  <c r="K57" s="1"/>
  <c r="N57" s="1"/>
  <c r="D57" i="164"/>
  <c r="K57" s="1"/>
  <c r="N57" s="1"/>
  <c r="E58" i="56"/>
  <c r="AB142" i="118"/>
  <c r="E58" i="151"/>
  <c r="E58" i="165"/>
  <c r="E58" i="144"/>
  <c r="E58" i="154"/>
  <c r="E58" i="167"/>
  <c r="E58" i="162"/>
  <c r="F58" s="1"/>
  <c r="E58" i="149"/>
  <c r="F51" i="137"/>
  <c r="BC58" i="161" s="1"/>
  <c r="BP58" s="1"/>
  <c r="G58" s="1"/>
  <c r="E58" i="145"/>
  <c r="E58" i="166"/>
  <c r="E58" i="153"/>
  <c r="E58" i="168"/>
  <c r="E58" i="158"/>
  <c r="E58" i="143"/>
  <c r="E58" i="159"/>
  <c r="E58" i="164"/>
  <c r="E58" i="155"/>
  <c r="E58" i="171"/>
  <c r="E58" i="150"/>
  <c r="AD54" i="147"/>
  <c r="F54"/>
  <c r="G55"/>
  <c r="AS53" i="168"/>
  <c r="X56" i="171"/>
  <c r="H53" i="51"/>
  <c r="I53" s="1"/>
  <c r="AB281" i="118"/>
  <c r="AD55" i="163"/>
  <c r="AF56"/>
  <c r="BW418" i="118"/>
  <c r="BV418"/>
  <c r="AE418" s="1"/>
  <c r="BX418"/>
  <c r="AH9" i="189"/>
  <c r="AK794" i="175"/>
  <c r="K56" i="164"/>
  <c r="N56" s="1"/>
  <c r="BC80" i="189"/>
  <c r="BC74"/>
  <c r="S56" i="168"/>
  <c r="V56" s="1"/>
  <c r="K56" i="143"/>
  <c r="O56" i="154"/>
  <c r="R56" s="1"/>
  <c r="O56" i="164"/>
  <c r="R56" s="1"/>
  <c r="BQ54"/>
  <c r="BR54" s="1"/>
  <c r="AE54" s="1"/>
  <c r="K56" i="145"/>
  <c r="N56" s="1"/>
  <c r="O56" i="151"/>
  <c r="R56" s="1"/>
  <c r="O56" i="159"/>
  <c r="R56" s="1"/>
  <c r="S56" i="158"/>
  <c r="V56" s="1"/>
  <c r="K56" i="171"/>
  <c r="N56" s="1"/>
  <c r="O56"/>
  <c r="R56" s="1"/>
  <c r="BF803" i="175"/>
  <c r="BF797"/>
  <c r="S56" i="145"/>
  <c r="V56" s="1"/>
  <c r="AJ54" i="146"/>
  <c r="U50" i="49"/>
  <c r="T51"/>
  <c r="AA55" i="166"/>
  <c r="X56" i="150"/>
  <c r="AB56"/>
  <c r="AJ56" s="1"/>
  <c r="X56" i="155"/>
  <c r="AA56" s="1"/>
  <c r="AB56"/>
  <c r="AJ56" s="1"/>
  <c r="AA55" i="167"/>
  <c r="G54" i="148"/>
  <c r="F53"/>
  <c r="AD53"/>
  <c r="I53"/>
  <c r="AF53"/>
  <c r="J54"/>
  <c r="AJ55" i="154"/>
  <c r="G57" i="155"/>
  <c r="AD57" s="1"/>
  <c r="G57" i="145"/>
  <c r="AD57" s="1"/>
  <c r="G57" i="151"/>
  <c r="AD57" s="1"/>
  <c r="AJ57" i="162"/>
  <c r="X48" i="49"/>
  <c r="G52" i="51"/>
  <c r="D57" i="158"/>
  <c r="K57" s="1"/>
  <c r="N57" s="1"/>
  <c r="D57" i="166"/>
  <c r="H51" i="137"/>
  <c r="BD58" i="161" s="1"/>
  <c r="H58" i="168"/>
  <c r="H58" i="144"/>
  <c r="H58" i="151"/>
  <c r="H58" i="154"/>
  <c r="H58" i="166"/>
  <c r="H58" i="167"/>
  <c r="H58" i="158"/>
  <c r="H58" i="149"/>
  <c r="H58" i="145"/>
  <c r="H58" i="165"/>
  <c r="H58" i="162"/>
  <c r="H58" i="153"/>
  <c r="H58" i="143"/>
  <c r="H58" i="155"/>
  <c r="H58" i="150"/>
  <c r="H58" i="164"/>
  <c r="H58" i="56"/>
  <c r="H58" i="171"/>
  <c r="H58" i="159"/>
  <c r="AB189" i="118"/>
  <c r="AR54" i="166"/>
  <c r="AP803" i="175"/>
  <c r="AM18" i="189"/>
  <c r="AD52" i="152"/>
  <c r="BD632" i="175"/>
  <c r="F55" i="146"/>
  <c r="AD55"/>
  <c r="G56"/>
  <c r="X55"/>
  <c r="AS55" i="162"/>
  <c r="AB56" i="161"/>
  <c r="C56"/>
  <c r="X56"/>
  <c r="AR54" i="145"/>
  <c r="AB56" i="167"/>
  <c r="X56"/>
  <c r="J57" i="56"/>
  <c r="AF57" s="1"/>
  <c r="J57" i="153"/>
  <c r="AF57" s="1"/>
  <c r="J57" i="168"/>
  <c r="AF57" s="1"/>
  <c r="BJ57" i="161"/>
  <c r="D57" s="1"/>
  <c r="BV57"/>
  <c r="J57" s="1"/>
  <c r="AJ55" i="153"/>
  <c r="AA55" i="163"/>
  <c r="AF51" i="160"/>
  <c r="I51"/>
  <c r="J52"/>
  <c r="AM58" i="162"/>
  <c r="AJ55" i="167"/>
  <c r="AJ55" i="168"/>
  <c r="AS53" i="166"/>
  <c r="G57" i="171"/>
  <c r="AD57" s="1"/>
  <c r="G57" i="153"/>
  <c r="AD57" s="1"/>
  <c r="AA55" i="158"/>
  <c r="D57" i="149"/>
  <c r="K57" s="1"/>
  <c r="N57" s="1"/>
  <c r="D57" i="145"/>
  <c r="K57" s="1"/>
  <c r="N57" s="1"/>
  <c r="D57" i="151"/>
  <c r="K57" s="1"/>
  <c r="N57" s="1"/>
  <c r="D51" i="137"/>
  <c r="AI51"/>
  <c r="AB95" i="118"/>
  <c r="B58" i="149"/>
  <c r="B58" i="159"/>
  <c r="B58" i="151"/>
  <c r="B58" i="144"/>
  <c r="AM47" i="142" s="1"/>
  <c r="B58" i="154"/>
  <c r="B58" i="168"/>
  <c r="B58" i="56"/>
  <c r="B58" i="145"/>
  <c r="B58" i="155"/>
  <c r="B58" i="167"/>
  <c r="B58" i="165"/>
  <c r="B58" i="162"/>
  <c r="B58" i="166"/>
  <c r="B58" i="153"/>
  <c r="B58" i="143"/>
  <c r="B58" i="158"/>
  <c r="B58" i="164"/>
  <c r="B58" i="150"/>
  <c r="B58" i="171"/>
  <c r="I51" i="137"/>
  <c r="J51" s="1"/>
  <c r="AB56" i="159"/>
  <c r="X56"/>
  <c r="AA50" i="160"/>
  <c r="AL76" i="189"/>
  <c r="BC76" s="1"/>
  <c r="BF799" i="175"/>
  <c r="AA55" i="150"/>
  <c r="AB375" i="118"/>
  <c r="AD375" s="1"/>
  <c r="Z56" i="171"/>
  <c r="W49" i="49"/>
  <c r="X56" i="153"/>
  <c r="AB56"/>
  <c r="X56" i="56"/>
  <c r="AA56" s="1"/>
  <c r="AB56"/>
  <c r="AJ56" s="1"/>
  <c r="AS52" i="146"/>
  <c r="AJ55" i="165"/>
  <c r="J57" i="164"/>
  <c r="AF57" s="1"/>
  <c r="J57" i="171"/>
  <c r="AF57" s="1"/>
  <c r="BK57" i="165"/>
  <c r="I57"/>
  <c r="S57"/>
  <c r="V57" s="1"/>
  <c r="J57" i="150"/>
  <c r="AF57" s="1"/>
  <c r="J57" i="166"/>
  <c r="AF57" s="1"/>
  <c r="AR54" i="161"/>
  <c r="AM59" i="171"/>
  <c r="K5"/>
  <c r="BP56" i="164"/>
  <c r="BM56"/>
  <c r="BT56"/>
  <c r="F51" i="160"/>
  <c r="G52"/>
  <c r="AD51"/>
  <c r="AR53" i="163"/>
  <c r="AA55" i="159"/>
  <c r="AR54" i="150"/>
  <c r="AJ55" i="166"/>
  <c r="AJ55" i="161"/>
  <c r="AR54" i="159"/>
  <c r="AS53" i="154"/>
  <c r="AR54" i="168"/>
  <c r="AF58" i="162"/>
  <c r="AA53" i="147"/>
  <c r="AJ55" i="151"/>
  <c r="AR56" i="162"/>
  <c r="AA55" i="154"/>
  <c r="X56"/>
  <c r="AB56"/>
  <c r="AB56" i="158"/>
  <c r="X56"/>
  <c r="AR54" i="154"/>
  <c r="AS53" i="153"/>
  <c r="G57" i="150"/>
  <c r="AD57" s="1"/>
  <c r="G57" i="168"/>
  <c r="AD57" s="1"/>
  <c r="F57" i="161"/>
  <c r="AD57"/>
  <c r="G57" i="144"/>
  <c r="AD57" s="1"/>
  <c r="AZ52" i="51"/>
  <c r="J52"/>
  <c r="AA55" i="171" s="1"/>
  <c r="AR55" s="1"/>
  <c r="AW52" i="51"/>
  <c r="AB56" i="149"/>
  <c r="D57" i="143"/>
  <c r="D57" i="168"/>
  <c r="K57" s="1"/>
  <c r="N57" s="1"/>
  <c r="D57" i="153"/>
  <c r="K57" s="1"/>
  <c r="N57" s="1"/>
  <c r="D57" i="144"/>
  <c r="K57" s="1"/>
  <c r="AS53" i="151"/>
  <c r="AR54" i="165"/>
  <c r="Z50" i="49"/>
  <c r="M50"/>
  <c r="J51"/>
  <c r="AD56" i="165"/>
  <c r="AS501" i="175"/>
  <c r="AP69" i="190" s="1"/>
  <c r="AP51"/>
  <c r="AP789" i="175"/>
  <c r="AM4" i="189"/>
  <c r="AO790" i="175"/>
  <c r="AL67" i="189" s="1"/>
  <c r="BC67" s="1"/>
  <c r="AL5"/>
  <c r="BC5" s="1"/>
  <c r="K56" i="150"/>
  <c r="N56" s="1"/>
  <c r="O56" i="155"/>
  <c r="R56" s="1"/>
  <c r="I57" i="162"/>
  <c r="S56" i="153"/>
  <c r="V56" s="1"/>
  <c r="S56" i="149"/>
  <c r="V56" s="1"/>
  <c r="S56" i="143"/>
  <c r="V56" s="1"/>
  <c r="K56" i="168"/>
  <c r="N56" s="1"/>
  <c r="O56" i="153"/>
  <c r="R56" s="1"/>
  <c r="O56" i="167"/>
  <c r="R56" s="1"/>
  <c r="O56" i="143"/>
  <c r="R56" s="1"/>
  <c r="F57" i="162"/>
  <c r="C57"/>
  <c r="S56" i="150"/>
  <c r="V56" s="1"/>
  <c r="P42" i="119"/>
  <c r="O37" i="140"/>
  <c r="V42" i="120"/>
  <c r="AN195" i="175"/>
  <c r="K52" i="152"/>
  <c r="R42" i="140"/>
  <c r="W42"/>
  <c r="AP235" i="175"/>
  <c r="N42" i="120"/>
  <c r="X38" i="140"/>
  <c r="AS268" i="175"/>
  <c r="L43" i="119"/>
  <c r="AS209" i="175"/>
  <c r="S56" i="146"/>
  <c r="AO199" i="175"/>
  <c r="E57" i="163"/>
  <c r="B42" i="120"/>
  <c r="AK692" i="175"/>
  <c r="AM37"/>
  <c r="H55" i="148"/>
  <c r="B57" i="146"/>
  <c r="AS206" i="175"/>
  <c r="AR131"/>
  <c r="AQ396"/>
  <c r="O53" i="152"/>
  <c r="AS267" i="175"/>
  <c r="S42" i="140"/>
  <c r="I42"/>
  <c r="J42" i="120"/>
  <c r="O54" i="148"/>
  <c r="AQ672" i="175"/>
  <c r="R41" i="71"/>
  <c r="E41" i="67"/>
  <c r="M41" i="68"/>
  <c r="K54" i="147"/>
  <c r="H56"/>
  <c r="AM198" i="175"/>
  <c r="AS272"/>
  <c r="S43" i="119"/>
  <c r="AS212" i="175"/>
  <c r="AQ378"/>
  <c r="O37" i="67"/>
  <c r="AN385" i="175"/>
  <c r="AR55"/>
  <c r="T41" i="68"/>
  <c r="AP387" i="175"/>
  <c r="AP689"/>
  <c r="P42" i="67"/>
  <c r="N41" i="68"/>
  <c r="B42" i="140"/>
  <c r="Q43" i="119"/>
  <c r="N42" i="64"/>
  <c r="AM129" i="175"/>
  <c r="J43" i="119"/>
  <c r="AM258" i="175"/>
  <c r="I42" i="119"/>
  <c r="AQ255" i="175"/>
  <c r="AQ398"/>
  <c r="AQ658"/>
  <c r="F39" i="68"/>
  <c r="AS264" i="175"/>
  <c r="S42" i="119"/>
  <c r="AL692" i="175"/>
  <c r="Q45" i="69"/>
  <c r="C42" i="120"/>
  <c r="AM196" i="175"/>
  <c r="X37" i="71"/>
  <c r="AQ236" i="175"/>
  <c r="Q43" i="71"/>
  <c r="B56" i="147"/>
  <c r="B52" i="160"/>
  <c r="AQ45" i="175"/>
  <c r="AO698"/>
  <c r="T43" i="120"/>
  <c r="X37" i="119"/>
  <c r="Q43" i="68"/>
  <c r="AL663" i="175"/>
  <c r="W42" i="67"/>
  <c r="P41" i="68"/>
  <c r="S53" i="152"/>
  <c r="I42" i="67"/>
  <c r="M42" i="64"/>
  <c r="E57" i="146"/>
  <c r="AN257" i="175"/>
  <c r="D43" i="119"/>
  <c r="AL377" i="175"/>
  <c r="B34" i="68"/>
  <c r="S42" i="120"/>
  <c r="AL382" i="175"/>
  <c r="Q44" i="67"/>
  <c r="P42" i="64"/>
  <c r="U42" i="67"/>
  <c r="AM197" i="175"/>
  <c r="AK693"/>
  <c r="L42" i="67"/>
  <c r="E40" i="71"/>
  <c r="O58" i="161"/>
  <c r="AL136" i="175"/>
  <c r="D42" i="120"/>
  <c r="O36" i="71"/>
  <c r="AO690" i="175"/>
  <c r="K42" i="64"/>
  <c r="AP709" i="175"/>
  <c r="W41" i="71"/>
  <c r="K42" i="67"/>
  <c r="K41" i="68"/>
  <c r="M41" i="71"/>
  <c r="B33" i="68"/>
  <c r="AM657" i="175"/>
  <c r="J42" i="64"/>
  <c r="H58" i="161"/>
  <c r="AP659" i="175"/>
  <c r="D42" i="67"/>
  <c r="AR139" i="175"/>
  <c r="AQ193"/>
  <c r="AQ679"/>
  <c r="R40" i="68"/>
  <c r="AQ36" i="175"/>
  <c r="E55" i="148"/>
  <c r="H41" i="64"/>
  <c r="AN191" i="175"/>
  <c r="B33" i="71"/>
  <c r="L42" i="140"/>
  <c r="AK384" i="175"/>
  <c r="I42" i="120"/>
  <c r="AR144" i="175"/>
  <c r="AR172"/>
  <c r="AM40"/>
  <c r="R41" i="120"/>
  <c r="U42"/>
  <c r="K57" i="163"/>
  <c r="AL380" i="175"/>
  <c r="AR53"/>
  <c r="K53" i="148"/>
  <c r="AP234" i="175"/>
  <c r="S54" i="148"/>
  <c r="H57" i="146"/>
  <c r="K42" i="120"/>
  <c r="AL664" i="175"/>
  <c r="AQ234"/>
  <c r="C42" i="140"/>
  <c r="W42" i="64"/>
  <c r="AM39" i="175"/>
  <c r="AR147"/>
  <c r="AR192"/>
  <c r="X36" i="68"/>
  <c r="AQ667" i="175"/>
  <c r="O56" i="163"/>
  <c r="AL383" i="175"/>
  <c r="AQ203"/>
  <c r="AQ666"/>
  <c r="F40" i="67"/>
  <c r="J41" i="68"/>
  <c r="AS271" i="175"/>
  <c r="I42" i="64"/>
  <c r="N41" i="71"/>
  <c r="G39" i="140"/>
  <c r="J42" i="67"/>
  <c r="AP236" i="175"/>
  <c r="AK691"/>
  <c r="F39" i="71"/>
  <c r="AR138" i="175"/>
  <c r="AM663"/>
  <c r="H43" i="119"/>
  <c r="AN134" i="175"/>
  <c r="L42" i="64"/>
  <c r="AP703" i="175"/>
  <c r="AL132"/>
  <c r="AM41"/>
  <c r="S52" i="160"/>
  <c r="W41" i="68"/>
  <c r="E41" i="64"/>
  <c r="M42" i="120"/>
  <c r="AR49" i="175"/>
  <c r="AM259"/>
  <c r="AR150"/>
  <c r="W42" i="119"/>
  <c r="G38" i="68"/>
  <c r="G38" i="71"/>
  <c r="S57" i="161"/>
  <c r="O35" i="68"/>
  <c r="AR266" i="175"/>
  <c r="AN135"/>
  <c r="F39" i="119"/>
  <c r="K57" i="146"/>
  <c r="D42" i="64"/>
  <c r="AS200" i="175"/>
  <c r="H53" i="160"/>
  <c r="J42" i="140"/>
  <c r="AP706" i="175"/>
  <c r="AR54"/>
  <c r="AQ395"/>
  <c r="F40" i="64"/>
  <c r="G39" i="120"/>
  <c r="AR254" i="175"/>
  <c r="E54" i="152"/>
  <c r="I43" i="119"/>
  <c r="AR43" i="175"/>
  <c r="AN253"/>
  <c r="Q43" i="140"/>
  <c r="AM381" i="175"/>
  <c r="AR174"/>
  <c r="AQ386"/>
  <c r="H54" i="152"/>
  <c r="AQ207" i="175"/>
  <c r="AS205"/>
  <c r="AS210"/>
  <c r="AO261"/>
  <c r="F40" i="140"/>
  <c r="AR175" i="175"/>
  <c r="M42" i="140"/>
  <c r="AP710" i="175"/>
  <c r="E42" i="119"/>
  <c r="B58" i="161"/>
  <c r="V42" i="67"/>
  <c r="M43" i="119"/>
  <c r="K42" i="140"/>
  <c r="V42" i="64"/>
  <c r="O37" i="120"/>
  <c r="AS208" i="175"/>
  <c r="AR151"/>
  <c r="AK694"/>
  <c r="O56" i="146"/>
  <c r="AL662" i="175"/>
  <c r="H42" i="140"/>
  <c r="AP708" i="175"/>
  <c r="AM194"/>
  <c r="AK695"/>
  <c r="O37" i="64"/>
  <c r="F40" i="120"/>
  <c r="AM696" i="175"/>
  <c r="P42" i="140"/>
  <c r="D42"/>
  <c r="G38" i="119"/>
  <c r="H40" i="71"/>
  <c r="K57" i="161"/>
  <c r="N42" i="140"/>
  <c r="AR56" i="175"/>
  <c r="S39" i="68"/>
  <c r="D41" i="71"/>
  <c r="P41"/>
  <c r="V41"/>
  <c r="AS211" i="175"/>
  <c r="AR173"/>
  <c r="AR52"/>
  <c r="S55" i="147"/>
  <c r="AS275" i="175"/>
  <c r="Q43" i="120"/>
  <c r="B53" i="152"/>
  <c r="U42" i="64"/>
  <c r="AR35" i="175"/>
  <c r="AR140"/>
  <c r="N42" i="67"/>
  <c r="AL688" i="175"/>
  <c r="AP379"/>
  <c r="V42" i="140"/>
  <c r="AN137" i="175"/>
  <c r="Q44" i="64"/>
  <c r="AS273" i="175"/>
  <c r="AR269"/>
  <c r="AK688"/>
  <c r="U42" i="140"/>
  <c r="AP669" i="175"/>
  <c r="V43" i="119"/>
  <c r="D41" i="68"/>
  <c r="AP668" i="175"/>
  <c r="E41" i="140"/>
  <c r="W42" i="120"/>
  <c r="AO389" i="175"/>
  <c r="S40" i="71"/>
  <c r="AJ691" i="175"/>
  <c r="E53" i="160"/>
  <c r="AN700" i="175"/>
  <c r="AJ695"/>
  <c r="E40" i="68"/>
  <c r="I41" i="71"/>
  <c r="AQ675" i="175"/>
  <c r="AR263"/>
  <c r="E56" i="147"/>
  <c r="T43" i="119"/>
  <c r="AQ201" i="175"/>
  <c r="X38" i="120"/>
  <c r="U41" i="68"/>
  <c r="R42" i="119"/>
  <c r="H58" i="163"/>
  <c r="AQ678" i="175"/>
  <c r="K51" i="160"/>
  <c r="D42" i="119"/>
  <c r="AR141" i="175"/>
  <c r="AR265"/>
  <c r="K43" i="119"/>
  <c r="AS270" i="175"/>
  <c r="L41" i="68"/>
  <c r="AQ397" i="175"/>
  <c r="AQ202"/>
  <c r="AM661"/>
  <c r="B34" i="71"/>
  <c r="S57" i="163"/>
  <c r="AQ204" i="175"/>
  <c r="U41" i="71"/>
  <c r="AS213" i="175"/>
  <c r="AM133"/>
  <c r="O36" i="119"/>
  <c r="AQ392" i="175"/>
  <c r="O55" i="147"/>
  <c r="T43" i="140"/>
  <c r="K41" i="71"/>
  <c r="I42" i="68"/>
  <c r="W43" i="119"/>
  <c r="E41" i="120"/>
  <c r="B58" i="163"/>
  <c r="AR149" i="175"/>
  <c r="V41" i="68"/>
  <c r="B54" i="148"/>
  <c r="AS274" i="175"/>
  <c r="AM256"/>
  <c r="J41" i="71"/>
  <c r="AP697" i="175"/>
  <c r="AQ235"/>
  <c r="AQ399"/>
  <c r="AN665"/>
  <c r="L42" i="120"/>
  <c r="P43"/>
  <c r="E58" i="161"/>
  <c r="AM260" i="175"/>
  <c r="O52" i="160"/>
  <c r="M42" i="67"/>
  <c r="AR130" i="175"/>
  <c r="AR262"/>
  <c r="AO699"/>
  <c r="AP707"/>
  <c r="AR148"/>
  <c r="L41" i="71"/>
  <c r="AQ677" i="175"/>
  <c r="AL660"/>
  <c r="AQ676"/>
  <c r="H41" i="67"/>
  <c r="AR772" i="175" l="1"/>
  <c r="AQ54" i="190"/>
  <c r="BE54" s="1"/>
  <c r="F473" i="175"/>
  <c r="C54" i="190" s="1"/>
  <c r="AZ139" i="118"/>
  <c r="AZ186"/>
  <c r="AQ738" i="175"/>
  <c r="AN15" i="189" s="1"/>
  <c r="K52" i="49"/>
  <c r="AN638" i="175"/>
  <c r="AP769"/>
  <c r="BF389"/>
  <c r="AQ769"/>
  <c r="AN46" i="189" s="1"/>
  <c r="AR53" i="164"/>
  <c r="BF769" i="175"/>
  <c r="AO800"/>
  <c r="AL46" i="189"/>
  <c r="BC46" s="1"/>
  <c r="BA280" i="118"/>
  <c r="BA45"/>
  <c r="AO637" i="175"/>
  <c r="BF637" s="1"/>
  <c r="BF699"/>
  <c r="AQ737"/>
  <c r="AQ799" s="1"/>
  <c r="AN76" i="189" s="1"/>
  <c r="AS53" i="149"/>
  <c r="BE182" i="118"/>
  <c r="BE135"/>
  <c r="BE87"/>
  <c r="BE276"/>
  <c r="BE41"/>
  <c r="AJ633" i="175"/>
  <c r="BD633" s="1"/>
  <c r="BD695"/>
  <c r="AK633"/>
  <c r="AL733"/>
  <c r="AS48" i="160"/>
  <c r="AS49" s="1"/>
  <c r="AK795" i="175"/>
  <c r="AH72" i="189" s="1"/>
  <c r="AH10"/>
  <c r="BD795" i="175"/>
  <c r="AG72" i="189"/>
  <c r="BA72" s="1"/>
  <c r="AJ50" i="160"/>
  <c r="AI3" i="189"/>
  <c r="BL88" i="118"/>
  <c r="AM726" i="175"/>
  <c r="AM788" s="1"/>
  <c r="AK626"/>
  <c r="AJ51" i="152"/>
  <c r="AR51" s="1"/>
  <c r="AK791" i="175"/>
  <c r="AH68" i="189" s="1"/>
  <c r="BD791" i="175"/>
  <c r="AK630"/>
  <c r="BD89" i="118"/>
  <c r="BD691" i="175"/>
  <c r="AJ629"/>
  <c r="BD629" s="1"/>
  <c r="BH88" i="118"/>
  <c r="D53" i="152"/>
  <c r="N51" i="160"/>
  <c r="N54" i="147"/>
  <c r="AL729" i="175"/>
  <c r="AL791" s="1"/>
  <c r="AI68" i="189" s="1"/>
  <c r="AM730" i="175"/>
  <c r="AJ7" i="189" s="1"/>
  <c r="AN734" i="175"/>
  <c r="AN796" s="1"/>
  <c r="BI87" i="118"/>
  <c r="N53" i="148"/>
  <c r="N52" i="152"/>
  <c r="C51" i="160"/>
  <c r="D52"/>
  <c r="X52" s="1"/>
  <c r="AB51"/>
  <c r="C54" i="147"/>
  <c r="D55"/>
  <c r="X55" s="1"/>
  <c r="AB54"/>
  <c r="AJ54" s="1"/>
  <c r="AS49" i="152"/>
  <c r="AS50" s="1"/>
  <c r="AL792" i="175"/>
  <c r="AI69" i="189" s="1"/>
  <c r="C53" i="148"/>
  <c r="D54"/>
  <c r="X54" s="1"/>
  <c r="AB53"/>
  <c r="AJ53" s="1"/>
  <c r="AB52" i="152"/>
  <c r="AJ11" i="189"/>
  <c r="X52" i="152"/>
  <c r="X53" i="148"/>
  <c r="AA53" s="1"/>
  <c r="AY186" i="118"/>
  <c r="AY139"/>
  <c r="AS55" i="56"/>
  <c r="AS55" i="155"/>
  <c r="AZ93" i="118"/>
  <c r="BA93"/>
  <c r="BH136"/>
  <c r="BH183"/>
  <c r="AL630" i="175"/>
  <c r="AS54" i="150"/>
  <c r="BF798" i="175"/>
  <c r="AD181" i="118"/>
  <c r="AT187"/>
  <c r="AT140"/>
  <c r="BD184"/>
  <c r="BD137"/>
  <c r="AQ46"/>
  <c r="BI41"/>
  <c r="AQ94"/>
  <c r="BI276"/>
  <c r="AQ140"/>
  <c r="AQ187"/>
  <c r="AP281"/>
  <c r="AR46"/>
  <c r="BB93"/>
  <c r="AT46"/>
  <c r="AT93"/>
  <c r="AP46"/>
  <c r="BB139"/>
  <c r="BB186"/>
  <c r="AR281"/>
  <c r="BC93"/>
  <c r="AS281"/>
  <c r="AS140"/>
  <c r="AS187"/>
  <c r="AU140"/>
  <c r="AU187"/>
  <c r="AW93"/>
  <c r="AT94"/>
  <c r="AT281"/>
  <c r="AQ281"/>
  <c r="AS94"/>
  <c r="AS46"/>
  <c r="AR140"/>
  <c r="AR187"/>
  <c r="AS93"/>
  <c r="AP187"/>
  <c r="AP140"/>
  <c r="BI182"/>
  <c r="BI135"/>
  <c r="AO636" i="175"/>
  <c r="BF636" s="1"/>
  <c r="BF698"/>
  <c r="BF199"/>
  <c r="AP646"/>
  <c r="AM634"/>
  <c r="AK629"/>
  <c r="AP644"/>
  <c r="AQ736"/>
  <c r="AQ798" s="1"/>
  <c r="AN75" i="189" s="1"/>
  <c r="AR745" i="175"/>
  <c r="AP648"/>
  <c r="AP252"/>
  <c r="AR747"/>
  <c r="AP647"/>
  <c r="AR744"/>
  <c r="AP645"/>
  <c r="BF261"/>
  <c r="AR746"/>
  <c r="AQ252"/>
  <c r="AR748"/>
  <c r="AS54" i="159"/>
  <c r="AJ54" i="164"/>
  <c r="AQ809" i="175"/>
  <c r="AN86" i="189" s="1"/>
  <c r="AN24"/>
  <c r="AN22"/>
  <c r="AQ807" i="175"/>
  <c r="AN84" i="189" s="1"/>
  <c r="AJ56" i="158"/>
  <c r="AS54"/>
  <c r="AM86" i="189"/>
  <c r="AN21"/>
  <c r="AQ806" i="175"/>
  <c r="AN83" i="189" s="1"/>
  <c r="AM13"/>
  <c r="AJ55" i="164"/>
  <c r="AS46" i="143"/>
  <c r="AM83" i="189"/>
  <c r="AQ808" i="175"/>
  <c r="AN85" i="189" s="1"/>
  <c r="AN23"/>
  <c r="AJ56" i="159"/>
  <c r="AM84" i="189"/>
  <c r="AM85"/>
  <c r="AM87"/>
  <c r="AQ810" i="175"/>
  <c r="AN87" i="189" s="1"/>
  <c r="AN25"/>
  <c r="AR54" i="163"/>
  <c r="AS52" i="164"/>
  <c r="BD190" i="175"/>
  <c r="M50" i="143"/>
  <c r="L50" s="1"/>
  <c r="AR47"/>
  <c r="AR48"/>
  <c r="N49"/>
  <c r="AC49"/>
  <c r="X49"/>
  <c r="AS55" i="171"/>
  <c r="AG283" i="118"/>
  <c r="AG188"/>
  <c r="AG141"/>
  <c r="AG48"/>
  <c r="AG94"/>
  <c r="AL793" i="175"/>
  <c r="AI70" i="189" s="1"/>
  <c r="BG89" i="118"/>
  <c r="BG41"/>
  <c r="BG276"/>
  <c r="BL183"/>
  <c r="BL136"/>
  <c r="BG135"/>
  <c r="BG182"/>
  <c r="AL626" i="175"/>
  <c r="AK631"/>
  <c r="AM731"/>
  <c r="AM793" s="1"/>
  <c r="AJ70" i="189" s="1"/>
  <c r="AR54" i="149"/>
  <c r="AA51" i="160"/>
  <c r="AA55" i="149"/>
  <c r="AJ55"/>
  <c r="AD134" i="118"/>
  <c r="C34" i="190"/>
  <c r="D12" i="188"/>
  <c r="AS52" i="147"/>
  <c r="AD56" i="149"/>
  <c r="O56"/>
  <c r="R56" s="1"/>
  <c r="X56"/>
  <c r="O57" i="154"/>
  <c r="R57" s="1"/>
  <c r="AR56" i="155"/>
  <c r="O57" i="153"/>
  <c r="R57" s="1"/>
  <c r="O57" i="143"/>
  <c r="R57" s="1"/>
  <c r="K57" i="171"/>
  <c r="N57" s="1"/>
  <c r="BD57" i="149"/>
  <c r="G57" s="1"/>
  <c r="O57" s="1"/>
  <c r="R57" s="1"/>
  <c r="S57" i="143"/>
  <c r="V57" s="1"/>
  <c r="BU55" i="164"/>
  <c r="BV55" s="1"/>
  <c r="X55" s="1"/>
  <c r="O57" i="144"/>
  <c r="R57" s="1"/>
  <c r="O57" i="168"/>
  <c r="R57" s="1"/>
  <c r="O57" i="145"/>
  <c r="R57" s="1"/>
  <c r="O57" i="56"/>
  <c r="R57" s="1"/>
  <c r="BC140" i="118"/>
  <c r="BC187"/>
  <c r="BF41"/>
  <c r="BF276"/>
  <c r="S57" i="150"/>
  <c r="V57" s="1"/>
  <c r="S57" i="144"/>
  <c r="V57" s="1"/>
  <c r="AR52" i="148"/>
  <c r="O57" i="164"/>
  <c r="R57" s="1"/>
  <c r="O57" i="166"/>
  <c r="R57" s="1"/>
  <c r="S57" i="149"/>
  <c r="V57" s="1"/>
  <c r="S57" i="167"/>
  <c r="V57" s="1"/>
  <c r="S57" i="56"/>
  <c r="V57" s="1"/>
  <c r="S57" i="166"/>
  <c r="V57" s="1"/>
  <c r="S57" i="153"/>
  <c r="V57" s="1"/>
  <c r="O57" i="151"/>
  <c r="R57" s="1"/>
  <c r="O57" i="155"/>
  <c r="R57" s="1"/>
  <c r="O57" i="159"/>
  <c r="R57" s="1"/>
  <c r="AM283" i="175"/>
  <c r="BF89" i="118"/>
  <c r="AV139"/>
  <c r="AV186"/>
  <c r="BK141"/>
  <c r="BK188"/>
  <c r="BA94"/>
  <c r="AX187"/>
  <c r="AX140"/>
  <c r="BJ93"/>
  <c r="AP641" i="175"/>
  <c r="R52" i="160"/>
  <c r="N57" i="161"/>
  <c r="C57" i="146"/>
  <c r="N57"/>
  <c r="R56"/>
  <c r="R54" i="148"/>
  <c r="G54" i="152"/>
  <c r="BC46" i="118"/>
  <c r="T46" i="72"/>
  <c r="BC281" i="118"/>
  <c r="R56" i="163"/>
  <c r="N57"/>
  <c r="AR741" i="175"/>
  <c r="AP627"/>
  <c r="V57" i="161"/>
  <c r="X46" i="72"/>
  <c r="BK281" i="118"/>
  <c r="BK46"/>
  <c r="V54" i="148"/>
  <c r="J54" i="152"/>
  <c r="AI420" i="118"/>
  <c r="BX420" s="1"/>
  <c r="V52" i="160"/>
  <c r="G57" i="163"/>
  <c r="W48" i="72"/>
  <c r="V56" i="146"/>
  <c r="V57" i="163"/>
  <c r="BK93" i="118"/>
  <c r="BJ186"/>
  <c r="BJ139"/>
  <c r="AM221" i="175"/>
  <c r="AM732"/>
  <c r="AW140" i="118"/>
  <c r="AW187"/>
  <c r="BF135"/>
  <c r="BF182"/>
  <c r="AW46"/>
  <c r="AW281"/>
  <c r="Y46" i="72"/>
  <c r="Z46"/>
  <c r="D58" i="163"/>
  <c r="S46" i="72"/>
  <c r="J58" i="163"/>
  <c r="AK632" i="175"/>
  <c r="BJ45" i="118"/>
  <c r="BJ280"/>
  <c r="AD45" i="72"/>
  <c r="AR735" i="175"/>
  <c r="V55" i="147"/>
  <c r="R46" i="72"/>
  <c r="V53" i="152"/>
  <c r="AR727" i="175"/>
  <c r="AQ728"/>
  <c r="AP635"/>
  <c r="AC44" i="72"/>
  <c r="R55" i="147"/>
  <c r="R58" i="161"/>
  <c r="AA46" i="72"/>
  <c r="AE46"/>
  <c r="AO628" i="175"/>
  <c r="BF628" s="1"/>
  <c r="BF690"/>
  <c r="R53" i="152"/>
  <c r="Z51" i="49"/>
  <c r="M51"/>
  <c r="J52"/>
  <c r="AS54" i="154"/>
  <c r="F52" i="160"/>
  <c r="G53"/>
  <c r="AD52"/>
  <c r="AR55" i="150"/>
  <c r="D58" i="143"/>
  <c r="K58" s="1"/>
  <c r="D58" i="56"/>
  <c r="C57" i="161"/>
  <c r="X57"/>
  <c r="AB57"/>
  <c r="F56" i="146"/>
  <c r="AD56"/>
  <c r="G57"/>
  <c r="X56"/>
  <c r="J58" i="171"/>
  <c r="AF58" s="1"/>
  <c r="J58" i="155"/>
  <c r="AF58" s="1"/>
  <c r="J58" i="167"/>
  <c r="AF58" s="1"/>
  <c r="X57" i="166"/>
  <c r="AB57"/>
  <c r="F54" i="148"/>
  <c r="AD54"/>
  <c r="G55"/>
  <c r="U51" i="49"/>
  <c r="T52"/>
  <c r="U52" s="1"/>
  <c r="G58" i="159"/>
  <c r="AD58" s="1"/>
  <c r="AR57" i="162"/>
  <c r="AJ56" i="151"/>
  <c r="AA56" i="166"/>
  <c r="AJ56" i="145"/>
  <c r="AD56" i="163"/>
  <c r="AQ52" i="190"/>
  <c r="BE52" s="1"/>
  <c r="F471" i="175"/>
  <c r="C52" i="190" s="1"/>
  <c r="AB57" i="163"/>
  <c r="AS54" i="165"/>
  <c r="AJ56" i="154"/>
  <c r="AS54" i="161"/>
  <c r="AR55" i="165"/>
  <c r="D58" i="158"/>
  <c r="K58" s="1"/>
  <c r="N58" s="1"/>
  <c r="AF57" i="161"/>
  <c r="I57"/>
  <c r="AA56"/>
  <c r="J58" i="159"/>
  <c r="AF58" s="1"/>
  <c r="J58" i="150"/>
  <c r="AF58" s="1"/>
  <c r="J58" i="158"/>
  <c r="AF58" s="1"/>
  <c r="J58" i="151"/>
  <c r="AF58" s="1"/>
  <c r="AV52" i="51"/>
  <c r="AX52" s="1"/>
  <c r="B45" i="72"/>
  <c r="D45" s="1"/>
  <c r="I45" s="1"/>
  <c r="H45" s="1"/>
  <c r="G45" s="1"/>
  <c r="F45" s="1"/>
  <c r="E45" s="1"/>
  <c r="AK52" i="51"/>
  <c r="AB45" i="118"/>
  <c r="I54" i="148"/>
  <c r="J55"/>
  <c r="AF54"/>
  <c r="AD58" i="161"/>
  <c r="F58"/>
  <c r="G58" i="154"/>
  <c r="AD58" s="1"/>
  <c r="AR55" i="151"/>
  <c r="AS51" i="148"/>
  <c r="AM59" i="162"/>
  <c r="K5"/>
  <c r="X57" i="168"/>
  <c r="AB57"/>
  <c r="AS56" i="162"/>
  <c r="AS54" i="168"/>
  <c r="AR55" i="159"/>
  <c r="AS53" i="163"/>
  <c r="D58" i="164"/>
  <c r="D58" i="166"/>
  <c r="K58" s="1"/>
  <c r="N58" s="1"/>
  <c r="D58" i="155"/>
  <c r="K58" s="1"/>
  <c r="N58" s="1"/>
  <c r="D58" i="154"/>
  <c r="K58" s="1"/>
  <c r="N58" s="1"/>
  <c r="D58" i="149"/>
  <c r="X57" i="151"/>
  <c r="AC57"/>
  <c r="I52" i="160"/>
  <c r="AF52"/>
  <c r="J53"/>
  <c r="AS54" i="145"/>
  <c r="J58" i="164"/>
  <c r="AF58" s="1"/>
  <c r="J58" i="153"/>
  <c r="AF58" s="1"/>
  <c r="J58" i="149"/>
  <c r="AF58" s="1"/>
  <c r="J58" i="154"/>
  <c r="AF58" s="1"/>
  <c r="BV58" i="161"/>
  <c r="J58" s="1"/>
  <c r="BJ58"/>
  <c r="D58" s="1"/>
  <c r="X57" i="158"/>
  <c r="AB57"/>
  <c r="AR55" i="166"/>
  <c r="AZ53" i="51"/>
  <c r="J53"/>
  <c r="AA56" i="171" s="1"/>
  <c r="AR56" s="1"/>
  <c r="AW53" i="51"/>
  <c r="G58" i="155"/>
  <c r="AD58" s="1"/>
  <c r="G58" i="158"/>
  <c r="AD58" s="1"/>
  <c r="G58" i="145"/>
  <c r="AD58" s="1"/>
  <c r="G58" i="167"/>
  <c r="AD58" s="1"/>
  <c r="G58" i="151"/>
  <c r="AD58" s="1"/>
  <c r="AB57" i="164"/>
  <c r="X57" i="56"/>
  <c r="AA57" s="1"/>
  <c r="AB57"/>
  <c r="AJ57" s="1"/>
  <c r="AD57" i="165"/>
  <c r="AR55" i="168"/>
  <c r="AA58" i="162"/>
  <c r="AS54" i="151"/>
  <c r="E59" i="56"/>
  <c r="AB143" i="118"/>
  <c r="E59" i="165"/>
  <c r="E59" i="162"/>
  <c r="F59" s="1"/>
  <c r="E59" i="149"/>
  <c r="F52" i="137"/>
  <c r="BC59" i="161" s="1"/>
  <c r="BP59" s="1"/>
  <c r="G59" s="1"/>
  <c r="E59" i="166"/>
  <c r="E59" i="154"/>
  <c r="E59" i="144"/>
  <c r="E59" i="168"/>
  <c r="E59" i="167"/>
  <c r="E59" i="150"/>
  <c r="E59" i="158"/>
  <c r="E59" i="143"/>
  <c r="E59" i="145"/>
  <c r="E59" i="155"/>
  <c r="E59" i="159"/>
  <c r="E59" i="151"/>
  <c r="E59" i="171"/>
  <c r="E59" i="153"/>
  <c r="E59" i="164"/>
  <c r="AM76" i="189"/>
  <c r="I56" i="146"/>
  <c r="AF56"/>
  <c r="J57"/>
  <c r="BM57" i="164"/>
  <c r="BT57"/>
  <c r="BP57"/>
  <c r="AR55" i="145"/>
  <c r="X57" i="155"/>
  <c r="AA57" s="1"/>
  <c r="AB57"/>
  <c r="AJ57" s="1"/>
  <c r="AR55" i="153"/>
  <c r="X59" i="162"/>
  <c r="L2" s="1"/>
  <c r="AB59"/>
  <c r="AJ56" i="168"/>
  <c r="AF57" i="163"/>
  <c r="AQ803" i="175"/>
  <c r="AN80" i="189" s="1"/>
  <c r="AN18"/>
  <c r="AM5"/>
  <c r="AP790" i="175"/>
  <c r="AI9" i="189"/>
  <c r="AL794" i="175"/>
  <c r="AI71" i="189" s="1"/>
  <c r="K57" i="166"/>
  <c r="N57" s="1"/>
  <c r="X56" i="163"/>
  <c r="O57" i="150"/>
  <c r="R57" s="1"/>
  <c r="S57" i="164"/>
  <c r="V57" s="1"/>
  <c r="AR56" i="56"/>
  <c r="S57" i="168"/>
  <c r="V57" s="1"/>
  <c r="AJ57" i="171"/>
  <c r="S57" i="145"/>
  <c r="V57" s="1"/>
  <c r="S57" i="151"/>
  <c r="V57" s="1"/>
  <c r="S57" i="159"/>
  <c r="V57" s="1"/>
  <c r="S57" i="155"/>
  <c r="V57" s="1"/>
  <c r="O57" i="167"/>
  <c r="R57" s="1"/>
  <c r="AB57" i="153"/>
  <c r="X57"/>
  <c r="AA56" i="154"/>
  <c r="AA56" i="153"/>
  <c r="D58" i="171"/>
  <c r="AB58" s="1"/>
  <c r="C58" i="165"/>
  <c r="K58"/>
  <c r="N58" s="1"/>
  <c r="D58" i="151"/>
  <c r="AA56" i="167"/>
  <c r="I58" i="165"/>
  <c r="BK58"/>
  <c r="S58"/>
  <c r="V58" s="1"/>
  <c r="J58" i="144"/>
  <c r="AF58" s="1"/>
  <c r="G58" i="150"/>
  <c r="AD58" s="1"/>
  <c r="G58" i="153"/>
  <c r="AD58" s="1"/>
  <c r="BC58" i="149"/>
  <c r="BB58"/>
  <c r="G58" i="144"/>
  <c r="AD58" s="1"/>
  <c r="G58" i="56"/>
  <c r="AD58" s="1"/>
  <c r="X57" i="167"/>
  <c r="AB57"/>
  <c r="X57" i="159"/>
  <c r="AB57"/>
  <c r="AS54" i="167"/>
  <c r="AJ58" i="162"/>
  <c r="AI52" i="137"/>
  <c r="D52"/>
  <c r="AB96" i="118"/>
  <c r="B59" i="167"/>
  <c r="B59" i="151"/>
  <c r="B59" i="165"/>
  <c r="B59" i="144"/>
  <c r="B59" i="154"/>
  <c r="B59" i="166"/>
  <c r="B59" i="162"/>
  <c r="C59" s="1"/>
  <c r="B59" i="168"/>
  <c r="B59" i="155"/>
  <c r="B59" i="153"/>
  <c r="B59" i="56"/>
  <c r="B59" i="145"/>
  <c r="B59" i="158"/>
  <c r="B59" i="164"/>
  <c r="B59" i="150"/>
  <c r="B59" i="149"/>
  <c r="B59" i="159"/>
  <c r="B59" i="143"/>
  <c r="B59" i="171"/>
  <c r="I52" i="137"/>
  <c r="J52" s="1"/>
  <c r="AD59" i="162"/>
  <c r="AM66" i="189"/>
  <c r="AJ56" i="165"/>
  <c r="BN56" i="164"/>
  <c r="BQ56" s="1"/>
  <c r="BR56" s="1"/>
  <c r="AE56" s="1"/>
  <c r="AJ56" i="153"/>
  <c r="K58" i="162"/>
  <c r="N58" s="1"/>
  <c r="D58" i="145"/>
  <c r="K58" s="1"/>
  <c r="N58" s="1"/>
  <c r="D58" i="144"/>
  <c r="AB57" i="149"/>
  <c r="AA55" i="146"/>
  <c r="AM80" i="189"/>
  <c r="S58" i="162"/>
  <c r="V58" s="1"/>
  <c r="BK58" i="164"/>
  <c r="BL58" s="1"/>
  <c r="G58"/>
  <c r="AD58" s="1"/>
  <c r="G58" i="168"/>
  <c r="AD58" s="1"/>
  <c r="AJ56" i="166"/>
  <c r="H52" i="137"/>
  <c r="BD59" i="161" s="1"/>
  <c r="H59" i="166"/>
  <c r="H59" i="168"/>
  <c r="H59" i="144"/>
  <c r="H59" i="164"/>
  <c r="H59" i="149"/>
  <c r="H59" i="162"/>
  <c r="I59" s="1"/>
  <c r="H59" i="165"/>
  <c r="H59" i="143"/>
  <c r="H59" i="145"/>
  <c r="AB190" i="118"/>
  <c r="H59" i="167"/>
  <c r="H59" i="159"/>
  <c r="H59" i="155"/>
  <c r="H59" i="154"/>
  <c r="H59" i="56"/>
  <c r="H59" i="153"/>
  <c r="H59" i="171"/>
  <c r="H59" i="158"/>
  <c r="H59" i="151"/>
  <c r="H59" i="150"/>
  <c r="AR55" i="161"/>
  <c r="X57" i="150"/>
  <c r="AB57"/>
  <c r="AJ57" s="1"/>
  <c r="AF55" i="147"/>
  <c r="I55"/>
  <c r="J56"/>
  <c r="AA56" i="168"/>
  <c r="AN12" i="189"/>
  <c r="AQ797" i="175"/>
  <c r="AN74" i="189" s="1"/>
  <c r="AF53" i="152"/>
  <c r="AM75" i="189"/>
  <c r="H54" i="51"/>
  <c r="I54" s="1"/>
  <c r="AB282" i="118"/>
  <c r="X57" i="171"/>
  <c r="AA56" i="158"/>
  <c r="AR55" i="154"/>
  <c r="AR53" i="147"/>
  <c r="X49" i="49"/>
  <c r="G53" i="51"/>
  <c r="AA56" i="159"/>
  <c r="D58" i="150"/>
  <c r="D58" i="153"/>
  <c r="K58" s="1"/>
  <c r="N58" s="1"/>
  <c r="D58" i="167"/>
  <c r="D58" i="168"/>
  <c r="K58" s="1"/>
  <c r="N58" s="1"/>
  <c r="D58" i="159"/>
  <c r="K58" s="1"/>
  <c r="N58" s="1"/>
  <c r="AB57" i="145"/>
  <c r="X57"/>
  <c r="AR55" i="158"/>
  <c r="AJ56" i="167"/>
  <c r="AJ56" i="161"/>
  <c r="AJ55" i="146"/>
  <c r="AS54" i="166"/>
  <c r="J58" i="56"/>
  <c r="AF58" s="1"/>
  <c r="J58" i="143"/>
  <c r="AF58" s="1"/>
  <c r="J58" i="145"/>
  <c r="AF58" s="1"/>
  <c r="J58" i="166"/>
  <c r="AF58" s="1"/>
  <c r="J58" i="168"/>
  <c r="AF58" s="1"/>
  <c r="AR55" i="167"/>
  <c r="AA56" i="150"/>
  <c r="AB376" i="118"/>
  <c r="AD376" s="1"/>
  <c r="Z57" i="171"/>
  <c r="W50" i="49"/>
  <c r="AA54" i="147"/>
  <c r="AH71" i="189"/>
  <c r="F55" i="147"/>
  <c r="G56"/>
  <c r="AD55"/>
  <c r="G58" i="171"/>
  <c r="AD58" s="1"/>
  <c r="G58" i="143"/>
  <c r="AD58" s="1"/>
  <c r="G58" i="166"/>
  <c r="AD58" s="1"/>
  <c r="O58" i="162"/>
  <c r="R58" s="1"/>
  <c r="G58" i="165"/>
  <c r="O58" s="1"/>
  <c r="R58" s="1"/>
  <c r="AA56" i="151"/>
  <c r="AR54" i="146"/>
  <c r="AM74" i="189"/>
  <c r="AA56" i="145"/>
  <c r="X57" i="154"/>
  <c r="AB57"/>
  <c r="AS53" i="146"/>
  <c r="AS54" i="153"/>
  <c r="AF59" i="162"/>
  <c r="AN4" i="189"/>
  <c r="AQ789" i="175"/>
  <c r="AN66" i="189" s="1"/>
  <c r="BW419" i="118"/>
  <c r="AE419" s="1"/>
  <c r="BX419"/>
  <c r="AQ51" i="190"/>
  <c r="BE51" s="1"/>
  <c r="AT501" i="175"/>
  <c r="F470"/>
  <c r="C51" i="190" s="1"/>
  <c r="D12" i="176"/>
  <c r="BH470" i="175"/>
  <c r="AD53" i="152"/>
  <c r="K57" i="143"/>
  <c r="S57" i="171"/>
  <c r="V57" s="1"/>
  <c r="K57" i="159"/>
  <c r="N57" s="1"/>
  <c r="BH471" i="175"/>
  <c r="L52" i="49"/>
  <c r="I58" i="162"/>
  <c r="O57" i="171"/>
  <c r="R57" s="1"/>
  <c r="BF790" i="175"/>
  <c r="O57" i="158"/>
  <c r="R57" s="1"/>
  <c r="C58" i="162"/>
  <c r="AJ55" i="163"/>
  <c r="S57" i="154"/>
  <c r="V57" s="1"/>
  <c r="BF627" i="175"/>
  <c r="S57" i="158"/>
  <c r="V57" s="1"/>
  <c r="AS262" i="175"/>
  <c r="X39" i="120"/>
  <c r="AT270" i="175"/>
  <c r="AM660"/>
  <c r="G39" i="67"/>
  <c r="B57" i="147"/>
  <c r="K58" i="146"/>
  <c r="K42" i="71"/>
  <c r="AS141" i="175"/>
  <c r="V43" i="140"/>
  <c r="AQ387" i="175"/>
  <c r="P44" i="120"/>
  <c r="AS131" i="175"/>
  <c r="S43" i="120"/>
  <c r="AS130" i="175"/>
  <c r="AT212"/>
  <c r="AS269"/>
  <c r="B53" i="160"/>
  <c r="K54" i="148"/>
  <c r="AS174" i="175"/>
  <c r="AN41"/>
  <c r="AQ388"/>
  <c r="AM380"/>
  <c r="B59" i="161"/>
  <c r="AR234" i="175"/>
  <c r="AN259"/>
  <c r="AQ703"/>
  <c r="AR44"/>
  <c r="AR201"/>
  <c r="AN198"/>
  <c r="N44" i="119"/>
  <c r="P43" i="64"/>
  <c r="S54" i="152"/>
  <c r="H59" i="163"/>
  <c r="AN661" i="175"/>
  <c r="N43" i="64"/>
  <c r="L43"/>
  <c r="AR396" i="175"/>
  <c r="AS266"/>
  <c r="U43" i="120"/>
  <c r="AR666" i="175"/>
  <c r="W43" i="120"/>
  <c r="AQ710" i="175"/>
  <c r="AS140"/>
  <c r="S58" i="161"/>
  <c r="AO700" i="175"/>
  <c r="AR202"/>
  <c r="AR672"/>
  <c r="AR235"/>
  <c r="D43" i="120"/>
  <c r="AR386" i="175"/>
  <c r="K58" i="163"/>
  <c r="AP199" i="175"/>
  <c r="F41" i="120"/>
  <c r="S56" i="147"/>
  <c r="O59" i="161"/>
  <c r="H41" i="71"/>
  <c r="R42" i="64"/>
  <c r="L42" i="71"/>
  <c r="M43" i="120"/>
  <c r="AQ697" i="175"/>
  <c r="AN197"/>
  <c r="G39" i="64"/>
  <c r="AO135" i="175"/>
  <c r="V43" i="67"/>
  <c r="J42" i="68"/>
  <c r="AM377" i="175"/>
  <c r="E57" i="147"/>
  <c r="P42" i="71"/>
  <c r="H42" i="67"/>
  <c r="S43" i="140"/>
  <c r="AT213" i="175"/>
  <c r="AO137"/>
  <c r="K43" i="140"/>
  <c r="AR236" i="175"/>
  <c r="I43" i="68"/>
  <c r="Q44"/>
  <c r="K53" i="152"/>
  <c r="AQ379" i="175"/>
  <c r="AR399"/>
  <c r="AP690"/>
  <c r="I43" i="140"/>
  <c r="AS265" i="175"/>
  <c r="O38" i="120"/>
  <c r="AT205" i="175"/>
  <c r="B43" i="120"/>
  <c r="U44" i="119"/>
  <c r="AR679" i="175"/>
  <c r="AS56"/>
  <c r="AT274"/>
  <c r="B54" i="152"/>
  <c r="AQ668" i="175"/>
  <c r="M42" i="68"/>
  <c r="AS254" i="175"/>
  <c r="G39" i="68"/>
  <c r="H42" i="120"/>
  <c r="I43" i="67"/>
  <c r="N42" i="68"/>
  <c r="AM662" i="175"/>
  <c r="X39" i="140"/>
  <c r="E58" i="163"/>
  <c r="N43" i="119"/>
  <c r="AR255" i="175"/>
  <c r="T44" i="120"/>
  <c r="B59" i="163"/>
  <c r="O55" i="148"/>
  <c r="AS35" i="175"/>
  <c r="AO385"/>
  <c r="U42" i="71"/>
  <c r="AN40" i="175"/>
  <c r="AR193"/>
  <c r="AS52"/>
  <c r="Q44" i="140"/>
  <c r="J43"/>
  <c r="K58" i="161"/>
  <c r="AP699" i="175"/>
  <c r="T42" i="68"/>
  <c r="H54" i="160"/>
  <c r="K43" i="64"/>
  <c r="X38" i="67"/>
  <c r="AN133" i="175"/>
  <c r="R43" i="119"/>
  <c r="R42" i="120"/>
  <c r="AT208" i="175"/>
  <c r="Q45" i="67"/>
  <c r="AP42" i="175"/>
  <c r="D42" i="71"/>
  <c r="H56" i="148"/>
  <c r="AR398" i="175"/>
  <c r="U43" i="67"/>
  <c r="AQ708" i="175"/>
  <c r="F41" i="140"/>
  <c r="AT273" i="175"/>
  <c r="AS172"/>
  <c r="H43" i="120"/>
  <c r="I43" i="64"/>
  <c r="E41" i="71"/>
  <c r="B35" i="67"/>
  <c r="O53" i="160"/>
  <c r="AM692" i="175"/>
  <c r="AT275"/>
  <c r="N42" i="71"/>
  <c r="AS54" i="175"/>
  <c r="B58" i="146"/>
  <c r="AS175" i="175"/>
  <c r="K55" i="147"/>
  <c r="AQ689" i="175"/>
  <c r="X38" i="119"/>
  <c r="W44"/>
  <c r="AN34" i="175"/>
  <c r="G39" i="119"/>
  <c r="E56" i="148"/>
  <c r="AL691" i="175"/>
  <c r="R41" i="68"/>
  <c r="S41" i="67"/>
  <c r="AT264" i="175"/>
  <c r="L44" i="119"/>
  <c r="N43" i="140"/>
  <c r="V43" i="64"/>
  <c r="AO191" i="175"/>
  <c r="AS43"/>
  <c r="M43" i="64"/>
  <c r="AN256" i="175"/>
  <c r="AQ709"/>
  <c r="F40" i="68"/>
  <c r="I42" i="71"/>
  <c r="AN39" i="175"/>
  <c r="J43" i="120"/>
  <c r="AM382" i="175"/>
  <c r="AS144"/>
  <c r="AM136"/>
  <c r="Q45" i="64"/>
  <c r="U42" i="68"/>
  <c r="AN196" i="175"/>
  <c r="AT210"/>
  <c r="M44" i="119"/>
  <c r="AO134" i="175"/>
  <c r="AT272"/>
  <c r="AQ46"/>
  <c r="S55" i="148"/>
  <c r="E41" i="68"/>
  <c r="U43" i="64"/>
  <c r="D44" i="119"/>
  <c r="AQ706" i="175"/>
  <c r="AR675"/>
  <c r="K43" i="67"/>
  <c r="O56" i="147"/>
  <c r="AS139" i="175"/>
  <c r="P43" i="140"/>
  <c r="X37" i="68"/>
  <c r="F41" i="67"/>
  <c r="AS263" i="175"/>
  <c r="AK176"/>
  <c r="E42" i="64"/>
  <c r="AN696" i="175"/>
  <c r="AS138"/>
  <c r="U43" i="140"/>
  <c r="L43"/>
  <c r="D43"/>
  <c r="D43" i="67"/>
  <c r="AS49" i="175"/>
  <c r="AR378"/>
  <c r="J20" i="60"/>
  <c r="V42" i="68"/>
  <c r="AT206" i="175"/>
  <c r="T44" i="140"/>
  <c r="K44" i="119"/>
  <c r="U43"/>
  <c r="AR397" i="175"/>
  <c r="H42" i="64"/>
  <c r="O36" i="68"/>
  <c r="E59" i="161"/>
  <c r="S41" i="68"/>
  <c r="AR204" i="175"/>
  <c r="O57" i="163"/>
  <c r="B43" i="140"/>
  <c r="AR207" i="175"/>
  <c r="H58" i="146"/>
  <c r="AP261" i="175"/>
  <c r="Q44" i="120"/>
  <c r="M43" i="140"/>
  <c r="J43" i="64"/>
  <c r="W43"/>
  <c r="M43" i="67"/>
  <c r="AL694" i="175"/>
  <c r="S58" i="163"/>
  <c r="AN37" i="175"/>
  <c r="AQ389"/>
  <c r="V42" i="71"/>
  <c r="AR203" i="175"/>
  <c r="R43" i="140"/>
  <c r="AL693" i="175"/>
  <c r="K42" i="68"/>
  <c r="E43" i="119"/>
  <c r="L43" i="67"/>
  <c r="S40" i="68"/>
  <c r="K43" i="120"/>
  <c r="E55" i="152"/>
  <c r="W43" i="140"/>
  <c r="Q44" i="119"/>
  <c r="H55" i="152"/>
  <c r="P42" i="68"/>
  <c r="AS173" i="175"/>
  <c r="X38" i="64"/>
  <c r="AT211" i="175"/>
  <c r="K52" i="160"/>
  <c r="P43" i="119"/>
  <c r="AO42" i="175"/>
  <c r="AS149"/>
  <c r="J42" i="71"/>
  <c r="AT267" i="175"/>
  <c r="AR676"/>
  <c r="AM132"/>
  <c r="AR678"/>
  <c r="AS192"/>
  <c r="AN260"/>
  <c r="M42" i="71"/>
  <c r="AR45" i="175"/>
  <c r="AL384"/>
  <c r="AR658"/>
  <c r="E42" i="140"/>
  <c r="AM688" i="175"/>
  <c r="AN258"/>
  <c r="D43" i="64"/>
  <c r="AM383" i="175"/>
  <c r="AT200"/>
  <c r="AS55"/>
  <c r="J43" i="67"/>
  <c r="H43" i="140"/>
  <c r="F40" i="71"/>
  <c r="AO253" i="175"/>
  <c r="Q44" i="71"/>
  <c r="B35" i="119"/>
  <c r="F40"/>
  <c r="L43" i="120"/>
  <c r="I43"/>
  <c r="O38" i="140"/>
  <c r="D42" i="68"/>
  <c r="AS53" i="175"/>
  <c r="AN194"/>
  <c r="AR392"/>
  <c r="AO257"/>
  <c r="G39" i="71"/>
  <c r="E58" i="146"/>
  <c r="H57" i="147"/>
  <c r="W42" i="71"/>
  <c r="AS148" i="175"/>
  <c r="AS150"/>
  <c r="AN129"/>
  <c r="L42" i="68"/>
  <c r="O38" i="64"/>
  <c r="AR677" i="175"/>
  <c r="G40" i="120"/>
  <c r="AO195" i="175"/>
  <c r="O54" i="152"/>
  <c r="AQ707" i="175"/>
  <c r="AP698"/>
  <c r="AS147"/>
  <c r="G40" i="67"/>
  <c r="AN38" i="175"/>
  <c r="P43" i="67"/>
  <c r="O37" i="119"/>
  <c r="V43" i="120"/>
  <c r="AT271" i="175"/>
  <c r="H41" i="68"/>
  <c r="B35" i="64"/>
  <c r="AP389" i="175"/>
  <c r="AS151"/>
  <c r="W42" i="68"/>
  <c r="AT268" i="175"/>
  <c r="E42" i="120"/>
  <c r="AT209" i="175"/>
  <c r="N43" i="120"/>
  <c r="N43" i="67"/>
  <c r="S57" i="146"/>
  <c r="O57"/>
  <c r="B55" i="148"/>
  <c r="O37" i="71"/>
  <c r="C43" i="140"/>
  <c r="G40" i="64"/>
  <c r="AQ659" i="175"/>
  <c r="C43" i="120"/>
  <c r="S41" i="64"/>
  <c r="W43" i="67"/>
  <c r="AO665" i="175"/>
  <c r="R42" i="67"/>
  <c r="O38"/>
  <c r="AR395" i="175"/>
  <c r="S53" i="160"/>
  <c r="T44" i="119"/>
  <c r="E42" i="67"/>
  <c r="H59" i="161"/>
  <c r="E54" i="160"/>
  <c r="F41" i="64"/>
  <c r="G40" i="140"/>
  <c r="AM664" i="175"/>
  <c r="AR36"/>
  <c r="AS772" l="1"/>
  <c r="AP49" i="189" s="1"/>
  <c r="AO49"/>
  <c r="AZ94" i="118"/>
  <c r="AZ140"/>
  <c r="AZ187"/>
  <c r="AR738" i="175"/>
  <c r="AO15" i="189" s="1"/>
  <c r="AW94" i="118"/>
  <c r="AN14" i="189"/>
  <c r="AS53" i="164"/>
  <c r="AZ45" i="118"/>
  <c r="AZ280"/>
  <c r="AR769" i="175"/>
  <c r="AO638"/>
  <c r="BF638" s="1"/>
  <c r="BF700"/>
  <c r="AR54" i="164"/>
  <c r="AL77" i="189"/>
  <c r="BC77" s="1"/>
  <c r="BF800" i="175"/>
  <c r="AQ800"/>
  <c r="AN77" i="189" s="1"/>
  <c r="AP800" i="175"/>
  <c r="AM77" i="189" s="1"/>
  <c r="AM46"/>
  <c r="BA46" i="118"/>
  <c r="BA281"/>
  <c r="BA187"/>
  <c r="BA140"/>
  <c r="AR737" i="175"/>
  <c r="AR799" s="1"/>
  <c r="AP637"/>
  <c r="AS54" i="149"/>
  <c r="BE88" i="118"/>
  <c r="BE183"/>
  <c r="BE136"/>
  <c r="BE42"/>
  <c r="BE277"/>
  <c r="AM733" i="175"/>
  <c r="AJ51" i="160"/>
  <c r="AR51" s="1"/>
  <c r="AL795" i="175"/>
  <c r="AI72" i="189" s="1"/>
  <c r="AI10"/>
  <c r="AR50" i="160"/>
  <c r="AS50" s="1"/>
  <c r="AJ3" i="189"/>
  <c r="BL89" i="118"/>
  <c r="BL42"/>
  <c r="BL277"/>
  <c r="AN726" i="175"/>
  <c r="AK3" i="189" s="1"/>
  <c r="AA52" i="152"/>
  <c r="AM792" i="175"/>
  <c r="AJ69" i="189" s="1"/>
  <c r="AI6"/>
  <c r="AK11"/>
  <c r="AN730" i="175"/>
  <c r="AK7" i="189" s="1"/>
  <c r="BH89" i="118"/>
  <c r="AO734" i="175"/>
  <c r="BF734" s="1"/>
  <c r="BF137"/>
  <c r="AM729"/>
  <c r="AM791" s="1"/>
  <c r="AJ68" i="189" s="1"/>
  <c r="BD90" i="118"/>
  <c r="BD278"/>
  <c r="AB43" i="72"/>
  <c r="BD43" i="118"/>
  <c r="BF42" i="175"/>
  <c r="BI88" i="118"/>
  <c r="N53" i="152"/>
  <c r="N55" i="147"/>
  <c r="Q42" i="72"/>
  <c r="BH277" i="118"/>
  <c r="BH42"/>
  <c r="N54" i="148"/>
  <c r="D54" i="152"/>
  <c r="X54" s="1"/>
  <c r="N52" i="160"/>
  <c r="AB53" i="152"/>
  <c r="C55" i="147"/>
  <c r="D56"/>
  <c r="AB55"/>
  <c r="C54" i="148"/>
  <c r="AB54"/>
  <c r="AJ54" s="1"/>
  <c r="D55"/>
  <c r="AB52" i="160"/>
  <c r="C52"/>
  <c r="D53"/>
  <c r="X53" s="1"/>
  <c r="X53" i="152"/>
  <c r="AJ52"/>
  <c r="AY140" i="118"/>
  <c r="AY187"/>
  <c r="AS56" i="56"/>
  <c r="AS56" i="155"/>
  <c r="BH137" i="118"/>
  <c r="BH184"/>
  <c r="AM630" i="175"/>
  <c r="BF257"/>
  <c r="BF195"/>
  <c r="AS55" i="150"/>
  <c r="AS54" i="163"/>
  <c r="AN13" i="189"/>
  <c r="BI277" i="118"/>
  <c r="BD44"/>
  <c r="BB281"/>
  <c r="BI42"/>
  <c r="BA188"/>
  <c r="BA141"/>
  <c r="AT282"/>
  <c r="AR282"/>
  <c r="BD279"/>
  <c r="AT47"/>
  <c r="AP282"/>
  <c r="AS141"/>
  <c r="AS188"/>
  <c r="BB46"/>
  <c r="AP47"/>
  <c r="AQ282"/>
  <c r="BD185"/>
  <c r="BD138"/>
  <c r="AP141"/>
  <c r="AP188"/>
  <c r="BB94"/>
  <c r="AR47"/>
  <c r="AQ47"/>
  <c r="AU188"/>
  <c r="AU141"/>
  <c r="AP94"/>
  <c r="AQ95"/>
  <c r="BI136"/>
  <c r="BI183"/>
  <c r="AQ141"/>
  <c r="AQ188"/>
  <c r="AP95"/>
  <c r="AR95"/>
  <c r="AS95"/>
  <c r="AR94"/>
  <c r="AR188"/>
  <c r="AR141"/>
  <c r="AS47"/>
  <c r="BB140"/>
  <c r="BB187"/>
  <c r="AT141"/>
  <c r="AT188"/>
  <c r="AS282"/>
  <c r="AT95"/>
  <c r="F264" i="175"/>
  <c r="BH264"/>
  <c r="AS745"/>
  <c r="F275"/>
  <c r="BH275"/>
  <c r="F272"/>
  <c r="BH272"/>
  <c r="AQ644"/>
  <c r="AQ646"/>
  <c r="AS746"/>
  <c r="AN634"/>
  <c r="AS744"/>
  <c r="F208"/>
  <c r="BH208"/>
  <c r="F270"/>
  <c r="BH270"/>
  <c r="AQ645"/>
  <c r="F212"/>
  <c r="BH212"/>
  <c r="F274"/>
  <c r="BH274"/>
  <c r="F211"/>
  <c r="BH211"/>
  <c r="F271"/>
  <c r="BH271"/>
  <c r="AL629"/>
  <c r="F209"/>
  <c r="BH209"/>
  <c r="F213"/>
  <c r="BH213"/>
  <c r="AP636"/>
  <c r="AQ647"/>
  <c r="AR252"/>
  <c r="BF385"/>
  <c r="AR736"/>
  <c r="AR798" s="1"/>
  <c r="BF665"/>
  <c r="AS748"/>
  <c r="AQ648"/>
  <c r="F273"/>
  <c r="BH273"/>
  <c r="F210"/>
  <c r="BH210"/>
  <c r="AS747"/>
  <c r="AK190"/>
  <c r="AS55" i="158"/>
  <c r="AJ56" i="164"/>
  <c r="AR53" i="148"/>
  <c r="AJ56" i="163"/>
  <c r="AS47" i="143"/>
  <c r="AS48" s="1"/>
  <c r="AA55" i="164"/>
  <c r="AO22" i="189"/>
  <c r="AR807" i="175"/>
  <c r="AO84" i="189" s="1"/>
  <c r="AJ57" i="159"/>
  <c r="AS55"/>
  <c r="AO21" i="189"/>
  <c r="AR806" i="175"/>
  <c r="AO24" i="189"/>
  <c r="AR809" i="175"/>
  <c r="AR55" i="163"/>
  <c r="AJ57" i="158"/>
  <c r="AJ49" i="143"/>
  <c r="AK73" i="189"/>
  <c r="AO25"/>
  <c r="AR810" i="175"/>
  <c r="AO87" i="189" s="1"/>
  <c r="AR808" i="175"/>
  <c r="AO23" i="189"/>
  <c r="AG39" i="72"/>
  <c r="AA49" i="143"/>
  <c r="M51"/>
  <c r="L51" s="1"/>
  <c r="X50"/>
  <c r="AC50"/>
  <c r="N50"/>
  <c r="AS56" i="171"/>
  <c r="AG95" i="118"/>
  <c r="AG189"/>
  <c r="AG142"/>
  <c r="AG284"/>
  <c r="AG49"/>
  <c r="AS51" i="152"/>
  <c r="AJ8" i="189"/>
  <c r="AD182" i="118"/>
  <c r="BG277"/>
  <c r="BG42"/>
  <c r="BG183"/>
  <c r="BG136"/>
  <c r="BG90"/>
  <c r="BL137"/>
  <c r="BL184"/>
  <c r="BF253" i="175"/>
  <c r="BF191"/>
  <c r="AL631"/>
  <c r="BF134"/>
  <c r="AM626"/>
  <c r="AN731"/>
  <c r="AK8" i="189" s="1"/>
  <c r="AJ56" i="149"/>
  <c r="AR55"/>
  <c r="AD135" i="118"/>
  <c r="AJ65" i="189"/>
  <c r="S58" i="149"/>
  <c r="V58" s="1"/>
  <c r="BU56" i="164"/>
  <c r="BV56" s="1"/>
  <c r="X56" s="1"/>
  <c r="AA56" i="149"/>
  <c r="AW141" i="118"/>
  <c r="AW188"/>
  <c r="S58" i="150"/>
  <c r="V58" s="1"/>
  <c r="AD57" i="149"/>
  <c r="X57"/>
  <c r="O58" i="150"/>
  <c r="R58" s="1"/>
  <c r="O58" i="171"/>
  <c r="R58" s="1"/>
  <c r="F57" i="149"/>
  <c r="V45" i="72"/>
  <c r="O58" i="145"/>
  <c r="R58" s="1"/>
  <c r="AS52" i="148"/>
  <c r="O58" i="168"/>
  <c r="R58" s="1"/>
  <c r="S58" i="171"/>
  <c r="V58" s="1"/>
  <c r="AX141" i="118"/>
  <c r="AX188"/>
  <c r="BC141"/>
  <c r="BC188"/>
  <c r="O58" i="166"/>
  <c r="R58" s="1"/>
  <c r="O58" i="164"/>
  <c r="R58" s="1"/>
  <c r="AR57" i="155"/>
  <c r="S58" i="154"/>
  <c r="V58" s="1"/>
  <c r="O58" i="56"/>
  <c r="R58" s="1"/>
  <c r="S58" i="145"/>
  <c r="V58" s="1"/>
  <c r="AR57" i="56"/>
  <c r="O58" i="155"/>
  <c r="R58" s="1"/>
  <c r="S58" i="164"/>
  <c r="V58" s="1"/>
  <c r="AN221" i="175"/>
  <c r="AN732"/>
  <c r="BJ94" i="118"/>
  <c r="BF136"/>
  <c r="BF183"/>
  <c r="F205" i="175"/>
  <c r="BH205"/>
  <c r="F267"/>
  <c r="BH267"/>
  <c r="BC94" i="118"/>
  <c r="BK189"/>
  <c r="BK142"/>
  <c r="BF90"/>
  <c r="AB44" i="72"/>
  <c r="AS741" i="175"/>
  <c r="J59" i="163"/>
  <c r="V57" i="146"/>
  <c r="V58" i="161"/>
  <c r="R47" i="72"/>
  <c r="T47"/>
  <c r="BC282" i="118"/>
  <c r="BC47"/>
  <c r="BK47"/>
  <c r="BK282"/>
  <c r="X47" i="72"/>
  <c r="R57" i="163"/>
  <c r="AC45" i="72"/>
  <c r="Z47"/>
  <c r="BF277" i="118"/>
  <c r="BF42"/>
  <c r="W49" i="72"/>
  <c r="N58" i="161"/>
  <c r="C58" i="146"/>
  <c r="N58"/>
  <c r="BJ46" i="118"/>
  <c r="BJ281"/>
  <c r="AD46" i="72"/>
  <c r="AW282" i="118"/>
  <c r="Y47" i="72"/>
  <c r="AW47" i="118"/>
  <c r="G58" i="163"/>
  <c r="X58" s="1"/>
  <c r="AL632" i="175"/>
  <c r="BF135"/>
  <c r="V56" i="147"/>
  <c r="S47" i="72"/>
  <c r="AR728" i="175"/>
  <c r="R53" i="160"/>
  <c r="R54" i="152"/>
  <c r="F206" i="175"/>
  <c r="BH206"/>
  <c r="F200"/>
  <c r="BH200"/>
  <c r="AN283"/>
  <c r="BJ187" i="118"/>
  <c r="BJ140"/>
  <c r="F268" i="175"/>
  <c r="BH268"/>
  <c r="AV140" i="118"/>
  <c r="AV187"/>
  <c r="BK94"/>
  <c r="AE47" i="72"/>
  <c r="V55" i="148"/>
  <c r="J55" i="152"/>
  <c r="R55" i="148"/>
  <c r="G55" i="152"/>
  <c r="R57" i="146"/>
  <c r="N58" i="163"/>
  <c r="AQ635" i="175"/>
  <c r="AS735"/>
  <c r="AS727"/>
  <c r="AP628"/>
  <c r="R56" i="147"/>
  <c r="AQ641" i="175"/>
  <c r="AQ627"/>
  <c r="D59" i="163"/>
  <c r="R59" i="161"/>
  <c r="V53" i="160"/>
  <c r="AA47" i="72"/>
  <c r="V58" i="163"/>
  <c r="V54" i="152"/>
  <c r="AA54" i="148"/>
  <c r="AJ57" i="154"/>
  <c r="AR56" i="150"/>
  <c r="J59" i="56"/>
  <c r="AF59" s="1"/>
  <c r="BK59" i="165"/>
  <c r="BK20" s="1"/>
  <c r="I59"/>
  <c r="S59"/>
  <c r="V59" s="1"/>
  <c r="D59" i="158"/>
  <c r="D59" i="154"/>
  <c r="K59" s="1"/>
  <c r="N59" s="1"/>
  <c r="AJ57" i="167"/>
  <c r="AA56" i="163"/>
  <c r="AF57" i="146"/>
  <c r="I57"/>
  <c r="J58"/>
  <c r="G59" i="143"/>
  <c r="AD59" s="1"/>
  <c r="AD59" i="161"/>
  <c r="F59"/>
  <c r="AF58"/>
  <c r="I58"/>
  <c r="AB58" i="149"/>
  <c r="AB58" i="164"/>
  <c r="AA57" i="168"/>
  <c r="AA57" i="166"/>
  <c r="AA57" i="161"/>
  <c r="AD57" i="163"/>
  <c r="AA55" i="147"/>
  <c r="AR56" i="151"/>
  <c r="AR56" i="158"/>
  <c r="J59" i="153"/>
  <c r="AF59" s="1"/>
  <c r="J59" i="143"/>
  <c r="AF59" s="1"/>
  <c r="BJ59" i="161"/>
  <c r="D59" s="1"/>
  <c r="BV59"/>
  <c r="J59" s="1"/>
  <c r="D59" i="164"/>
  <c r="K59" s="1"/>
  <c r="N59" s="1"/>
  <c r="D59" i="166"/>
  <c r="K59" s="1"/>
  <c r="N59" s="1"/>
  <c r="D59" i="151"/>
  <c r="K59" s="1"/>
  <c r="N59" s="1"/>
  <c r="AA57" i="153"/>
  <c r="AA52" i="160"/>
  <c r="M3" i="162"/>
  <c r="AA59"/>
  <c r="L4"/>
  <c r="G59" i="145"/>
  <c r="AD59" s="1"/>
  <c r="G59" i="167"/>
  <c r="AD59" s="1"/>
  <c r="G59" i="165"/>
  <c r="O59" s="1"/>
  <c r="R59" s="1"/>
  <c r="AR58" i="162"/>
  <c r="AB58" i="161"/>
  <c r="C58"/>
  <c r="X58"/>
  <c r="AS55" i="165"/>
  <c r="Z58" i="171"/>
  <c r="AB377" i="118"/>
  <c r="AD377" s="1"/>
  <c r="W51" i="49"/>
  <c r="AA56" i="146"/>
  <c r="AN5" i="189"/>
  <c r="AQ790" i="175"/>
  <c r="AN67" i="189" s="1"/>
  <c r="AQ69" i="190"/>
  <c r="BE69" s="1"/>
  <c r="F501" i="175"/>
  <c r="C69" i="190" s="1"/>
  <c r="AA57" i="154"/>
  <c r="AD58" i="165"/>
  <c r="X50" i="49"/>
  <c r="G54" i="51"/>
  <c r="AS55" i="167"/>
  <c r="AJ57" i="145"/>
  <c r="X58" i="168"/>
  <c r="AB58"/>
  <c r="AB58" i="153"/>
  <c r="X58"/>
  <c r="AS53" i="147"/>
  <c r="AF56"/>
  <c r="I56"/>
  <c r="J57"/>
  <c r="AA57" i="150"/>
  <c r="J59" i="158"/>
  <c r="AF59" s="1"/>
  <c r="J59" i="154"/>
  <c r="AF59" s="1"/>
  <c r="S59" i="162"/>
  <c r="V59" s="1"/>
  <c r="J59" i="168"/>
  <c r="AF59" s="1"/>
  <c r="X58" i="145"/>
  <c r="AB58"/>
  <c r="AR56" i="165"/>
  <c r="D59" i="149"/>
  <c r="D59" i="145"/>
  <c r="K59" s="1"/>
  <c r="N59" s="1"/>
  <c r="D59" i="168"/>
  <c r="K59" s="1"/>
  <c r="N59" s="1"/>
  <c r="D59" i="144"/>
  <c r="K59" s="1"/>
  <c r="AA57" i="167"/>
  <c r="X58" i="151"/>
  <c r="AC58"/>
  <c r="AR56" i="154"/>
  <c r="AM67" i="189"/>
  <c r="AS55" i="153"/>
  <c r="BK59" i="164"/>
  <c r="BL59" s="1"/>
  <c r="G59"/>
  <c r="AD59" s="1"/>
  <c r="G59" i="159"/>
  <c r="AD59" s="1"/>
  <c r="G59" i="158"/>
  <c r="AD59" s="1"/>
  <c r="G59" i="144"/>
  <c r="AD59" s="1"/>
  <c r="BC59" i="149"/>
  <c r="BB59"/>
  <c r="G59" i="56"/>
  <c r="AD59" s="1"/>
  <c r="AJ57" i="165"/>
  <c r="AJ57" i="151"/>
  <c r="AR56" i="166"/>
  <c r="AJ56" i="146"/>
  <c r="F53" i="160"/>
  <c r="G54"/>
  <c r="AD53"/>
  <c r="AM794" i="175"/>
  <c r="AJ71" i="189" s="1"/>
  <c r="AJ9"/>
  <c r="AD54" i="152"/>
  <c r="S58" i="144"/>
  <c r="V58" s="1"/>
  <c r="K58" i="149"/>
  <c r="N58" s="1"/>
  <c r="K58" i="164"/>
  <c r="N58" s="1"/>
  <c r="S58" i="166"/>
  <c r="V58" s="1"/>
  <c r="S58" i="143"/>
  <c r="V58" s="1"/>
  <c r="O58" i="144"/>
  <c r="R58" s="1"/>
  <c r="AJ58" i="171"/>
  <c r="O58" i="167"/>
  <c r="R58" s="1"/>
  <c r="O58" i="158"/>
  <c r="R58" s="1"/>
  <c r="O58" i="154"/>
  <c r="R58" s="1"/>
  <c r="S58" i="158"/>
  <c r="V58" s="1"/>
  <c r="S58" i="159"/>
  <c r="V58" s="1"/>
  <c r="O58"/>
  <c r="R58" s="1"/>
  <c r="AE420" i="118"/>
  <c r="AA57" i="145"/>
  <c r="AR56" i="159"/>
  <c r="AR56" i="168"/>
  <c r="J59" i="151"/>
  <c r="AF59" s="1"/>
  <c r="J59" i="167"/>
  <c r="AF59" s="1"/>
  <c r="J59" i="144"/>
  <c r="AF59" s="1"/>
  <c r="D59" i="159"/>
  <c r="K59" s="1"/>
  <c r="N59" s="1"/>
  <c r="D59" i="155"/>
  <c r="K59" s="1"/>
  <c r="N59" s="1"/>
  <c r="D59" i="167"/>
  <c r="K59" s="1"/>
  <c r="N59" s="1"/>
  <c r="AR56"/>
  <c r="AJ57" i="153"/>
  <c r="G59" i="151"/>
  <c r="AD59" s="1"/>
  <c r="G59" i="168"/>
  <c r="AD59" s="1"/>
  <c r="AS55"/>
  <c r="I55" i="148"/>
  <c r="AF55"/>
  <c r="J56"/>
  <c r="F55"/>
  <c r="G56"/>
  <c r="AD55"/>
  <c r="F57" i="146"/>
  <c r="AD57"/>
  <c r="G58"/>
  <c r="X57"/>
  <c r="X58" i="56"/>
  <c r="AA58" s="1"/>
  <c r="AB58"/>
  <c r="AJ58" s="1"/>
  <c r="AB58" i="163"/>
  <c r="AR56" i="145"/>
  <c r="X58" i="167"/>
  <c r="AB58"/>
  <c r="AB58" i="150"/>
  <c r="AJ58" s="1"/>
  <c r="X58"/>
  <c r="AW54" i="51"/>
  <c r="AZ54"/>
  <c r="J54"/>
  <c r="AA57" i="171" s="1"/>
  <c r="AR57" s="1"/>
  <c r="J59" i="150"/>
  <c r="AF59" s="1"/>
  <c r="J59" i="159"/>
  <c r="AF59" s="1"/>
  <c r="J59" i="164"/>
  <c r="AF59" s="1"/>
  <c r="AR55" i="146"/>
  <c r="D59" i="143"/>
  <c r="D59" i="153"/>
  <c r="K59" s="1"/>
  <c r="N59" s="1"/>
  <c r="AA57" i="159"/>
  <c r="AR56" i="153"/>
  <c r="BN57" i="164"/>
  <c r="BQ57" s="1"/>
  <c r="BR57" s="1"/>
  <c r="AE57" s="1"/>
  <c r="G59" i="171"/>
  <c r="AD59" s="1"/>
  <c r="G59" i="166"/>
  <c r="AD59" s="1"/>
  <c r="AS55"/>
  <c r="X58" i="155"/>
  <c r="AA58" s="1"/>
  <c r="AB58"/>
  <c r="AJ58" s="1"/>
  <c r="AJ57" i="168"/>
  <c r="AS55" i="151"/>
  <c r="AS57" i="162"/>
  <c r="AJ57" i="166"/>
  <c r="AJ57" i="161"/>
  <c r="X58" i="171"/>
  <c r="H55" i="51"/>
  <c r="I55" s="1"/>
  <c r="AB283" i="118"/>
  <c r="AR803" i="175"/>
  <c r="AO18" i="189"/>
  <c r="AS54" i="146"/>
  <c r="G57" i="147"/>
  <c r="F56"/>
  <c r="AD56"/>
  <c r="AR54"/>
  <c r="X58" i="159"/>
  <c r="AB58"/>
  <c r="B46" i="72"/>
  <c r="D46" s="1"/>
  <c r="I46" s="1"/>
  <c r="H46" s="1"/>
  <c r="G46" s="1"/>
  <c r="F46" s="1"/>
  <c r="E46" s="1"/>
  <c r="AB46" i="118"/>
  <c r="AK53" i="51"/>
  <c r="AV53"/>
  <c r="AX53" s="1"/>
  <c r="AS55" i="154"/>
  <c r="AS55" i="161"/>
  <c r="J59" i="171"/>
  <c r="AF59" s="1"/>
  <c r="J59" i="155"/>
  <c r="AF59" s="1"/>
  <c r="J59" i="145"/>
  <c r="AF59" s="1"/>
  <c r="J59" i="149"/>
  <c r="AF59" s="1"/>
  <c r="J59" i="166"/>
  <c r="AF59" s="1"/>
  <c r="BP58" i="164"/>
  <c r="BM58"/>
  <c r="BT58"/>
  <c r="D59" i="171"/>
  <c r="AB59" s="1"/>
  <c r="D59" i="150"/>
  <c r="K59" s="1"/>
  <c r="N59" s="1"/>
  <c r="D59" i="56"/>
  <c r="K59" s="1"/>
  <c r="N59" s="1"/>
  <c r="K59" i="162"/>
  <c r="N59" s="1"/>
  <c r="C59" i="165"/>
  <c r="K59"/>
  <c r="N59" s="1"/>
  <c r="AS55" i="145"/>
  <c r="G59" i="153"/>
  <c r="AD59" s="1"/>
  <c r="G59" i="155"/>
  <c r="AD59" s="1"/>
  <c r="G59" i="150"/>
  <c r="AD59" s="1"/>
  <c r="G59" i="154"/>
  <c r="AD59" s="1"/>
  <c r="O59" i="162"/>
  <c r="R59" s="1"/>
  <c r="AA57" i="158"/>
  <c r="I53" i="160"/>
  <c r="AF53"/>
  <c r="J54"/>
  <c r="AA57" i="151"/>
  <c r="X58" i="154"/>
  <c r="AB58"/>
  <c r="AB58" i="166"/>
  <c r="X58"/>
  <c r="AR56" i="161"/>
  <c r="X58" i="158"/>
  <c r="AB58"/>
  <c r="Z59" i="171"/>
  <c r="AB378" i="118"/>
  <c r="AD378" s="1"/>
  <c r="Z52" i="49"/>
  <c r="M52"/>
  <c r="W52" s="1"/>
  <c r="P41" i="51"/>
  <c r="AR789" i="175"/>
  <c r="AO4" i="189"/>
  <c r="AR797" i="175"/>
  <c r="AO12" i="189"/>
  <c r="AF58" i="163"/>
  <c r="AF54" i="152"/>
  <c r="S58" i="155"/>
  <c r="V58" s="1"/>
  <c r="K58" i="56"/>
  <c r="N58" s="1"/>
  <c r="BH501" i="175"/>
  <c r="O58" i="143"/>
  <c r="R58" s="1"/>
  <c r="S58" i="168"/>
  <c r="V58" s="1"/>
  <c r="S58" i="56"/>
  <c r="V58" s="1"/>
  <c r="K58" i="167"/>
  <c r="N58" s="1"/>
  <c r="K58" i="150"/>
  <c r="N58" s="1"/>
  <c r="K58" i="144"/>
  <c r="BD58" i="149"/>
  <c r="G58" s="1"/>
  <c r="O58" i="153"/>
  <c r="R58" s="1"/>
  <c r="K58" i="151"/>
  <c r="N58" s="1"/>
  <c r="K58" i="171"/>
  <c r="N58" s="1"/>
  <c r="AJ59" i="162"/>
  <c r="O3" s="1"/>
  <c r="O58" i="151"/>
  <c r="R58" s="1"/>
  <c r="S58" i="153"/>
  <c r="V58" s="1"/>
  <c r="S58" i="151"/>
  <c r="V58" s="1"/>
  <c r="X57" i="163"/>
  <c r="S58" i="167"/>
  <c r="V58" s="1"/>
  <c r="AO41" i="175"/>
  <c r="V43" i="68"/>
  <c r="L44" i="64"/>
  <c r="AR709" i="175"/>
  <c r="AM694"/>
  <c r="W44" i="140"/>
  <c r="K44"/>
  <c r="S41" i="71"/>
  <c r="N43" i="68"/>
  <c r="AN662" i="175"/>
  <c r="E43" i="120"/>
  <c r="AL695" i="175"/>
  <c r="AO129"/>
  <c r="H59" i="146"/>
  <c r="L44" i="120"/>
  <c r="AP253" i="175"/>
  <c r="K59" i="163"/>
  <c r="G40" i="68"/>
  <c r="W44" i="64"/>
  <c r="F41" i="71"/>
  <c r="I44" i="140"/>
  <c r="U44" i="67"/>
  <c r="AS204" i="175"/>
  <c r="AT141"/>
  <c r="L44" i="67"/>
  <c r="R42" i="71"/>
  <c r="AN383" i="175"/>
  <c r="S56" i="148"/>
  <c r="AS675" i="175"/>
  <c r="AO259"/>
  <c r="L45" i="119"/>
  <c r="E59" i="163"/>
  <c r="H44" i="140"/>
  <c r="AN660" i="175"/>
  <c r="B36" i="67"/>
  <c r="AT254" i="175"/>
  <c r="AT56"/>
  <c r="E42" i="71"/>
  <c r="AR389" i="175"/>
  <c r="H57" i="148"/>
  <c r="AO258" i="175"/>
  <c r="S57" i="147"/>
  <c r="T45" i="119"/>
  <c r="AR667" i="175"/>
  <c r="AM384"/>
  <c r="T45" i="140"/>
  <c r="E57" i="148"/>
  <c r="W44" i="67"/>
  <c r="K43" i="71"/>
  <c r="O58" i="163"/>
  <c r="AP135" i="175"/>
  <c r="AP257"/>
  <c r="AS678"/>
  <c r="B36" i="64"/>
  <c r="AT35" i="175"/>
  <c r="AN664"/>
  <c r="AR659"/>
  <c r="AR706"/>
  <c r="AS399"/>
  <c r="E56" i="152"/>
  <c r="AM691" i="175"/>
  <c r="K44" i="64"/>
  <c r="X38" i="71"/>
  <c r="AO37" i="175"/>
  <c r="S59" i="161"/>
  <c r="T45" i="120"/>
  <c r="AT148" i="175"/>
  <c r="AP137"/>
  <c r="V45" i="119"/>
  <c r="AS45" i="175"/>
  <c r="R43" i="120"/>
  <c r="AS255" i="175"/>
  <c r="R43" i="67"/>
  <c r="L43" i="71"/>
  <c r="J43"/>
  <c r="D43"/>
  <c r="AM693" i="175"/>
  <c r="H58" i="147"/>
  <c r="AS234" i="175"/>
  <c r="B59" i="146"/>
  <c r="AT55" i="175"/>
  <c r="O39" i="140"/>
  <c r="E43" i="67"/>
  <c r="AS203" i="175"/>
  <c r="Q45" i="120"/>
  <c r="R44" i="64"/>
  <c r="W43" i="71"/>
  <c r="S55" i="152"/>
  <c r="AO696" i="175"/>
  <c r="I43" i="71"/>
  <c r="AT44" i="175"/>
  <c r="Q45" i="119"/>
  <c r="C44" i="140"/>
  <c r="V44" i="120"/>
  <c r="AS36" i="175"/>
  <c r="J44" i="119"/>
  <c r="H44"/>
  <c r="K59" i="146"/>
  <c r="N44" i="67"/>
  <c r="E59" i="146"/>
  <c r="B58" i="147"/>
  <c r="I44" i="119"/>
  <c r="H42" i="71"/>
  <c r="X40" i="120"/>
  <c r="AR46" i="175"/>
  <c r="AR668"/>
  <c r="P44" i="140"/>
  <c r="O39" i="67"/>
  <c r="AS679" i="175"/>
  <c r="AS396"/>
  <c r="N44" i="64"/>
  <c r="W45" i="119"/>
  <c r="AT192" i="175"/>
  <c r="X39" i="119"/>
  <c r="E43" i="140"/>
  <c r="AT49" i="175"/>
  <c r="AT173"/>
  <c r="P44" i="67"/>
  <c r="E58" i="147"/>
  <c r="M43" i="71"/>
  <c r="J44" i="140"/>
  <c r="AT150" i="175"/>
  <c r="R43" i="64"/>
  <c r="AN380" i="175"/>
  <c r="AO39"/>
  <c r="AT53"/>
  <c r="AQ698"/>
  <c r="AQ690"/>
  <c r="AL176"/>
  <c r="AS392"/>
  <c r="AO381"/>
  <c r="X40" i="140"/>
  <c r="F42"/>
  <c r="AR697" i="175"/>
  <c r="AT147"/>
  <c r="J45" i="119"/>
  <c r="AR379" i="175"/>
  <c r="AN657"/>
  <c r="H43" i="67"/>
  <c r="K44"/>
  <c r="S44" i="140"/>
  <c r="D44" i="120"/>
  <c r="AT175" i="175"/>
  <c r="K43" i="68"/>
  <c r="H42"/>
  <c r="J44" i="64"/>
  <c r="AS398" i="175"/>
  <c r="AS676"/>
  <c r="AP700"/>
  <c r="G41" i="140"/>
  <c r="AS395" i="175"/>
  <c r="B36" i="119"/>
  <c r="M44" i="140"/>
  <c r="P43" i="68"/>
  <c r="AR689" i="175"/>
  <c r="W43" i="68"/>
  <c r="AO194" i="175"/>
  <c r="AN377"/>
  <c r="M44" i="67"/>
  <c r="K45" i="119"/>
  <c r="AQ261" i="175"/>
  <c r="O57" i="147"/>
  <c r="G41" i="120"/>
  <c r="R42" i="68"/>
  <c r="AS658" i="175"/>
  <c r="R44" i="140"/>
  <c r="X40" i="64"/>
  <c r="AO196" i="175"/>
  <c r="AQ669"/>
  <c r="AR703"/>
  <c r="X39" i="67"/>
  <c r="V44" i="140"/>
  <c r="B35" i="71"/>
  <c r="D44" i="64"/>
  <c r="S45" i="119"/>
  <c r="AO198" i="175"/>
  <c r="O38" i="119"/>
  <c r="AT139" i="175"/>
  <c r="AO260"/>
  <c r="B56" i="148"/>
  <c r="AQ699" i="175"/>
  <c r="U44" i="120"/>
  <c r="V43" i="71"/>
  <c r="U44" i="140"/>
  <c r="AM695" i="175"/>
  <c r="Q45" i="68"/>
  <c r="AN132" i="175"/>
  <c r="I44" i="120"/>
  <c r="N44"/>
  <c r="AT269" i="175"/>
  <c r="J43" i="68"/>
  <c r="M44" i="120"/>
  <c r="AS44" i="175"/>
  <c r="AQ199"/>
  <c r="AR710"/>
  <c r="AO40"/>
  <c r="T43" i="68"/>
  <c r="AO34" i="175"/>
  <c r="J44" i="120"/>
  <c r="AS193" i="175"/>
  <c r="X39" i="64"/>
  <c r="E43"/>
  <c r="S44" i="120"/>
  <c r="AO38" i="175"/>
  <c r="X40" i="67"/>
  <c r="D43" i="68"/>
  <c r="P43" i="71"/>
  <c r="K55" i="148"/>
  <c r="AN663" i="175"/>
  <c r="AT140"/>
  <c r="S42" i="67"/>
  <c r="M43" i="68"/>
  <c r="AT43" i="175"/>
  <c r="AS202"/>
  <c r="H56" i="152"/>
  <c r="AS672" i="175"/>
  <c r="AT138"/>
  <c r="U43" i="68"/>
  <c r="AN381" i="175"/>
  <c r="O37" i="68"/>
  <c r="G40" i="71"/>
  <c r="AO197" i="175"/>
  <c r="AR388"/>
  <c r="E55" i="160"/>
  <c r="O39" i="120"/>
  <c r="S54" i="160"/>
  <c r="U45" i="119"/>
  <c r="E42" i="68"/>
  <c r="I44" i="67"/>
  <c r="B55" i="152"/>
  <c r="P44" i="119"/>
  <c r="AT144" i="175"/>
  <c r="AP38"/>
  <c r="I45" i="119"/>
  <c r="B35" i="68"/>
  <c r="D44" i="140"/>
  <c r="P45" i="120"/>
  <c r="I44" i="64"/>
  <c r="AP34" i="175"/>
  <c r="M44" i="64"/>
  <c r="O58" i="146"/>
  <c r="AO133" i="175"/>
  <c r="AT262"/>
  <c r="V44" i="64"/>
  <c r="R44" i="119"/>
  <c r="AT131" i="175"/>
  <c r="N43" i="71"/>
  <c r="AT266" i="175"/>
  <c r="Q45" i="140"/>
  <c r="AS235" i="175"/>
  <c r="P44" i="64"/>
  <c r="AP134" i="175"/>
  <c r="N45" i="119"/>
  <c r="O39" i="64"/>
  <c r="AP385" i="175"/>
  <c r="F42" i="120"/>
  <c r="V44" i="67"/>
  <c r="D45" i="119"/>
  <c r="AT52" i="175"/>
  <c r="AT174"/>
  <c r="AR708"/>
  <c r="S44" i="119"/>
  <c r="AT54" i="175"/>
  <c r="F41" i="119"/>
  <c r="B44" i="140"/>
  <c r="AS236" i="175"/>
  <c r="C44" i="120"/>
  <c r="R44" i="67"/>
  <c r="AS207" i="175"/>
  <c r="U44" i="64"/>
  <c r="O56" i="148"/>
  <c r="S59" i="163"/>
  <c r="X38" i="68"/>
  <c r="L44" i="140"/>
  <c r="AS201" i="175"/>
  <c r="O38" i="71"/>
  <c r="AR387" i="175"/>
  <c r="AS386"/>
  <c r="AO256"/>
  <c r="K56" i="147"/>
  <c r="O54" i="160"/>
  <c r="AT172" i="175"/>
  <c r="AT130"/>
  <c r="AS397"/>
  <c r="G40" i="119"/>
  <c r="AP195" i="175"/>
  <c r="V44" i="119"/>
  <c r="AS677" i="175"/>
  <c r="AT263"/>
  <c r="S42" i="64"/>
  <c r="B44" i="120"/>
  <c r="AP191" i="175"/>
  <c r="AP665"/>
  <c r="S42" i="68"/>
  <c r="AS666" i="175"/>
  <c r="I44" i="68"/>
  <c r="H55" i="160"/>
  <c r="K59" i="161"/>
  <c r="B54" i="160"/>
  <c r="D44" i="67"/>
  <c r="K54" i="152"/>
  <c r="O55"/>
  <c r="E44" i="119"/>
  <c r="U43" i="71"/>
  <c r="AT151" i="175"/>
  <c r="AT149"/>
  <c r="AN382"/>
  <c r="K44" i="120"/>
  <c r="J44" i="67"/>
  <c r="AR707" i="175"/>
  <c r="W44" i="120"/>
  <c r="K53" i="160"/>
  <c r="AS378" i="175"/>
  <c r="L43" i="68"/>
  <c r="S58" i="146"/>
  <c r="H43" i="64"/>
  <c r="AT265" i="175"/>
  <c r="N44" i="140"/>
  <c r="Q45" i="71"/>
  <c r="AN136" i="175"/>
  <c r="N250" i="118" l="1"/>
  <c r="U250"/>
  <c r="AT772" i="175"/>
  <c r="BH772" s="1"/>
  <c r="F175"/>
  <c r="BH175"/>
  <c r="AR800"/>
  <c r="AO77" i="189" s="1"/>
  <c r="AO46"/>
  <c r="AZ141" i="118"/>
  <c r="AZ188"/>
  <c r="AS738" i="175"/>
  <c r="AP15" i="189" s="1"/>
  <c r="BH265" i="175"/>
  <c r="F265"/>
  <c r="AS54" i="164"/>
  <c r="AZ281" i="118"/>
  <c r="AZ46"/>
  <c r="AS769" i="175"/>
  <c r="AP46" i="189" s="1"/>
  <c r="AP638" i="175"/>
  <c r="BA95" i="118"/>
  <c r="BA282"/>
  <c r="BA47"/>
  <c r="AQ637" i="175"/>
  <c r="AS737"/>
  <c r="AS799" s="1"/>
  <c r="AP76" i="189" s="1"/>
  <c r="AS55" i="149"/>
  <c r="AO14" i="189"/>
  <c r="BE278" i="118"/>
  <c r="BE89"/>
  <c r="BE184"/>
  <c r="BE137"/>
  <c r="BE43"/>
  <c r="BF198" i="175"/>
  <c r="BF41"/>
  <c r="AM633"/>
  <c r="BF260"/>
  <c r="AL633"/>
  <c r="AN733"/>
  <c r="AM795"/>
  <c r="AJ72" i="189" s="1"/>
  <c r="AJ10"/>
  <c r="AJ52" i="160"/>
  <c r="AR52" s="1"/>
  <c r="AN788" i="175"/>
  <c r="AK65" i="189" s="1"/>
  <c r="BL43" i="118"/>
  <c r="BL278"/>
  <c r="BL90"/>
  <c r="BF34" i="175"/>
  <c r="AO726"/>
  <c r="BF726" s="1"/>
  <c r="BF129"/>
  <c r="AJ53" i="152"/>
  <c r="AO796" i="175"/>
  <c r="AL73" i="189" s="1"/>
  <c r="BC73" s="1"/>
  <c r="AL11"/>
  <c r="BC11" s="1"/>
  <c r="AN729" i="175"/>
  <c r="AK6" i="189" s="1"/>
  <c r="BI89" i="118"/>
  <c r="BF133" i="175"/>
  <c r="AO730"/>
  <c r="AL7" i="189" s="1"/>
  <c r="BC7" s="1"/>
  <c r="BH90" i="118"/>
  <c r="N55" i="148"/>
  <c r="D55" i="152"/>
  <c r="X55" s="1"/>
  <c r="AP734" i="175"/>
  <c r="AM11" i="189" s="1"/>
  <c r="BD91" i="118"/>
  <c r="BH43"/>
  <c r="Q43" i="72"/>
  <c r="BH278" i="118"/>
  <c r="BF38" i="175"/>
  <c r="N56" i="147"/>
  <c r="N54" i="152"/>
  <c r="N53" i="160"/>
  <c r="AB55" i="148"/>
  <c r="AJ55" s="1"/>
  <c r="C55"/>
  <c r="D56"/>
  <c r="X56" s="1"/>
  <c r="AJ55" i="147"/>
  <c r="AJ6" i="189"/>
  <c r="AB56" i="147"/>
  <c r="AJ56" s="1"/>
  <c r="C56"/>
  <c r="D57"/>
  <c r="AB54" i="152"/>
  <c r="D54" i="160"/>
  <c r="X54" s="1"/>
  <c r="AB53"/>
  <c r="C53"/>
  <c r="X56" i="147"/>
  <c r="AA56" s="1"/>
  <c r="AA53" i="152"/>
  <c r="AR52"/>
  <c r="X55" i="148"/>
  <c r="AN792" i="175"/>
  <c r="AK69" i="189" s="1"/>
  <c r="AY141" i="118"/>
  <c r="AY188"/>
  <c r="BH266" i="175"/>
  <c r="F266"/>
  <c r="AS57" i="56"/>
  <c r="AS57" i="155"/>
  <c r="F173" i="175"/>
  <c r="BH173"/>
  <c r="AS56" i="150"/>
  <c r="BH279" i="118"/>
  <c r="BH185"/>
  <c r="BH138"/>
  <c r="BH44"/>
  <c r="BF381" i="175"/>
  <c r="AS55" i="163"/>
  <c r="AO13" i="189"/>
  <c r="AS53" i="148"/>
  <c r="AT283" i="118"/>
  <c r="AR283"/>
  <c r="BD139"/>
  <c r="BD186"/>
  <c r="AQ48"/>
  <c r="AR189"/>
  <c r="AR142"/>
  <c r="AR96"/>
  <c r="AP48"/>
  <c r="AS48"/>
  <c r="AW95"/>
  <c r="AR48"/>
  <c r="AT48"/>
  <c r="BI278"/>
  <c r="BB282"/>
  <c r="AT142"/>
  <c r="AT189"/>
  <c r="AS283"/>
  <c r="AT96"/>
  <c r="AU189"/>
  <c r="AU142"/>
  <c r="BB47"/>
  <c r="BB141"/>
  <c r="BB188"/>
  <c r="BI43"/>
  <c r="AP142"/>
  <c r="AP189"/>
  <c r="AQ189"/>
  <c r="AQ142"/>
  <c r="AS142"/>
  <c r="AS189"/>
  <c r="BC95"/>
  <c r="AQ283"/>
  <c r="AP283"/>
  <c r="AP96"/>
  <c r="AS96"/>
  <c r="BI137"/>
  <c r="BI184"/>
  <c r="F140" i="175"/>
  <c r="BH140"/>
  <c r="BH53"/>
  <c r="AT746"/>
  <c r="BH746" s="1"/>
  <c r="F149"/>
  <c r="BH149"/>
  <c r="BH56"/>
  <c r="AT745"/>
  <c r="F148"/>
  <c r="BH148"/>
  <c r="BH54"/>
  <c r="AR645"/>
  <c r="BF194"/>
  <c r="AR646"/>
  <c r="F172"/>
  <c r="BH172"/>
  <c r="BH52"/>
  <c r="AO634"/>
  <c r="BF634" s="1"/>
  <c r="BF696"/>
  <c r="AL190"/>
  <c r="AT747"/>
  <c r="BH747" s="1"/>
  <c r="F150"/>
  <c r="BH150"/>
  <c r="AT748"/>
  <c r="BH748" s="1"/>
  <c r="F151"/>
  <c r="BH151"/>
  <c r="AS252"/>
  <c r="AR648"/>
  <c r="AR647"/>
  <c r="BF256"/>
  <c r="AM629"/>
  <c r="BH55"/>
  <c r="F131"/>
  <c r="BH131"/>
  <c r="BH263"/>
  <c r="F263"/>
  <c r="AR644"/>
  <c r="AT744"/>
  <c r="F147"/>
  <c r="BH147"/>
  <c r="BH192"/>
  <c r="F192"/>
  <c r="F262"/>
  <c r="BH262"/>
  <c r="BF37"/>
  <c r="AQ636"/>
  <c r="AS736"/>
  <c r="AS798" s="1"/>
  <c r="AP75" i="189" s="1"/>
  <c r="AA56" i="164"/>
  <c r="AJ50" i="143"/>
  <c r="AP22" i="189"/>
  <c r="AS807" i="175"/>
  <c r="AP24" i="189"/>
  <c r="AS809" i="175"/>
  <c r="AP86" i="189" s="1"/>
  <c r="AP25"/>
  <c r="AS810" i="175"/>
  <c r="AP87" i="189" s="1"/>
  <c r="AJ58" i="158"/>
  <c r="AJ58" i="159"/>
  <c r="AJ57" i="164"/>
  <c r="AS56" i="159"/>
  <c r="AS56" i="158"/>
  <c r="AO86" i="189"/>
  <c r="AR55" i="164"/>
  <c r="AJ57" i="163"/>
  <c r="AO85" i="189"/>
  <c r="AO83"/>
  <c r="AP21"/>
  <c r="AS806" i="175"/>
  <c r="AP83" i="189" s="1"/>
  <c r="AP23"/>
  <c r="AS808" i="175"/>
  <c r="AP85" i="189" s="1"/>
  <c r="AS57" i="171"/>
  <c r="AD136" i="118"/>
  <c r="AG40" i="72"/>
  <c r="AC51" i="143"/>
  <c r="X51"/>
  <c r="N51"/>
  <c r="AA50"/>
  <c r="AR49"/>
  <c r="M52"/>
  <c r="L52" s="1"/>
  <c r="AG96" i="118"/>
  <c r="AG190"/>
  <c r="AG143"/>
  <c r="AD183"/>
  <c r="BG278"/>
  <c r="BG91"/>
  <c r="BL279"/>
  <c r="BL138"/>
  <c r="BL185"/>
  <c r="BG43"/>
  <c r="BL44"/>
  <c r="BG137"/>
  <c r="BG184"/>
  <c r="BF196" i="175"/>
  <c r="AO731"/>
  <c r="AL8" i="189" s="1"/>
  <c r="BC8" s="1"/>
  <c r="AM631" i="175"/>
  <c r="BF39"/>
  <c r="BF258"/>
  <c r="AA57" i="149"/>
  <c r="AN793" i="175"/>
  <c r="AK70" i="189" s="1"/>
  <c r="AR56" i="149"/>
  <c r="AJ57"/>
  <c r="S59" i="144"/>
  <c r="V59" s="1"/>
  <c r="V46" i="72"/>
  <c r="O59" i="150"/>
  <c r="R59" s="1"/>
  <c r="Q44" i="72"/>
  <c r="AA54" i="152"/>
  <c r="BF40" i="175"/>
  <c r="BF43" i="118"/>
  <c r="BF278"/>
  <c r="AA53" i="160"/>
  <c r="K59" i="171"/>
  <c r="N59" s="1"/>
  <c r="S59"/>
  <c r="V59" s="1"/>
  <c r="AJ59"/>
  <c r="K3" s="1"/>
  <c r="BU57" i="164"/>
  <c r="BV57" s="1"/>
  <c r="X57" s="1"/>
  <c r="S59" i="149"/>
  <c r="V59" s="1"/>
  <c r="O59" i="56"/>
  <c r="R59" s="1"/>
  <c r="O59" i="144"/>
  <c r="R59" s="1"/>
  <c r="BD59" i="149"/>
  <c r="G59" s="1"/>
  <c r="F59" s="1"/>
  <c r="BC142" i="118"/>
  <c r="BC189"/>
  <c r="O59" i="153"/>
  <c r="R59" s="1"/>
  <c r="S59" i="155"/>
  <c r="V59" s="1"/>
  <c r="S59" i="151"/>
  <c r="V59" s="1"/>
  <c r="O59" i="159"/>
  <c r="R59" s="1"/>
  <c r="S59" i="153"/>
  <c r="V59" s="1"/>
  <c r="O59" i="164"/>
  <c r="R59" s="1"/>
  <c r="O59" i="167"/>
  <c r="R59" s="1"/>
  <c r="O59" i="166"/>
  <c r="R59" s="1"/>
  <c r="S59" i="159"/>
  <c r="V59" s="1"/>
  <c r="O59" i="168"/>
  <c r="R59" s="1"/>
  <c r="S59" i="154"/>
  <c r="V59" s="1"/>
  <c r="O59" i="143"/>
  <c r="R59" s="1"/>
  <c r="F269" i="175"/>
  <c r="BH269"/>
  <c r="F254"/>
  <c r="BH254"/>
  <c r="AW96" i="118"/>
  <c r="BK143"/>
  <c r="BK190"/>
  <c r="BB95"/>
  <c r="AO221" i="175"/>
  <c r="BF221" s="1"/>
  <c r="BF197"/>
  <c r="AO732"/>
  <c r="AZ95" i="118"/>
  <c r="BK95"/>
  <c r="AT735" i="175"/>
  <c r="F138"/>
  <c r="BH138"/>
  <c r="R58" i="146"/>
  <c r="V57" i="147"/>
  <c r="F139" i="175"/>
  <c r="BH139"/>
  <c r="V55" i="152"/>
  <c r="BH43" i="175"/>
  <c r="BC48" i="118"/>
  <c r="T48" i="72"/>
  <c r="BC283" i="118"/>
  <c r="BJ47"/>
  <c r="AD47" i="72"/>
  <c r="BJ282" i="118"/>
  <c r="AR635" i="175"/>
  <c r="N59" i="161"/>
  <c r="C59" i="146"/>
  <c r="N59"/>
  <c r="BH49" i="175"/>
  <c r="AW283" i="118"/>
  <c r="Y48" i="72"/>
  <c r="AW48" i="118"/>
  <c r="R57" i="147"/>
  <c r="V56" i="148"/>
  <c r="J56" i="152"/>
  <c r="AM632" i="175"/>
  <c r="AE48" i="72"/>
  <c r="Z48"/>
  <c r="G59" i="163"/>
  <c r="X59" s="1"/>
  <c r="L2" s="1"/>
  <c r="V59" i="161"/>
  <c r="R55" i="152"/>
  <c r="BJ95" i="118"/>
  <c r="AV141"/>
  <c r="AV188"/>
  <c r="AW189"/>
  <c r="AW142"/>
  <c r="BF137"/>
  <c r="BF184"/>
  <c r="AX189"/>
  <c r="AX142"/>
  <c r="AO283" i="175"/>
  <c r="BF283" s="1"/>
  <c r="BF259"/>
  <c r="BJ141" i="118"/>
  <c r="BJ188"/>
  <c r="BF91"/>
  <c r="V54" i="160"/>
  <c r="AQ628" i="175"/>
  <c r="F141"/>
  <c r="BH141"/>
  <c r="R56" i="148"/>
  <c r="G56" i="152"/>
  <c r="R54" i="160"/>
  <c r="F174" i="175"/>
  <c r="BH174"/>
  <c r="V59" i="163"/>
  <c r="AR641" i="175"/>
  <c r="AT727"/>
  <c r="BH727" s="1"/>
  <c r="F130"/>
  <c r="BH130"/>
  <c r="N59" i="163"/>
  <c r="R58"/>
  <c r="AR627" i="175"/>
  <c r="AT741"/>
  <c r="BH741" s="1"/>
  <c r="F144"/>
  <c r="BH144"/>
  <c r="S48" i="72"/>
  <c r="AS728" i="175"/>
  <c r="AA48" i="72"/>
  <c r="R48"/>
  <c r="BH35" i="175"/>
  <c r="X48" i="72"/>
  <c r="BK283" i="118"/>
  <c r="BK48"/>
  <c r="BH44" i="175"/>
  <c r="BB48" i="118"/>
  <c r="BB283"/>
  <c r="V58" i="146"/>
  <c r="AA58" i="163"/>
  <c r="AA57"/>
  <c r="AD58" i="149"/>
  <c r="F58"/>
  <c r="O58"/>
  <c r="R58" s="1"/>
  <c r="AA58" i="158"/>
  <c r="AJ58" i="166"/>
  <c r="G59" i="146"/>
  <c r="F58"/>
  <c r="AD58"/>
  <c r="X58"/>
  <c r="AS56" i="165"/>
  <c r="I57" i="147"/>
  <c r="AF57"/>
  <c r="J58"/>
  <c r="AJ58" i="168"/>
  <c r="AV54" i="51"/>
  <c r="AX54" s="1"/>
  <c r="B47" i="72"/>
  <c r="D47" s="1"/>
  <c r="I47" s="1"/>
  <c r="H47" s="1"/>
  <c r="G47" s="1"/>
  <c r="F47" s="1"/>
  <c r="E47" s="1"/>
  <c r="AK54" i="51"/>
  <c r="AB47" i="118"/>
  <c r="AS58" i="162"/>
  <c r="AR59"/>
  <c r="K2"/>
  <c r="K14" s="1"/>
  <c r="AR57" i="161"/>
  <c r="AP4" i="189"/>
  <c r="AS789" i="175"/>
  <c r="AP66" i="189" s="1"/>
  <c r="AF55" i="152"/>
  <c r="H56" i="51"/>
  <c r="I56" s="1"/>
  <c r="X59" i="171"/>
  <c r="AB284" i="118"/>
  <c r="AA58" i="166"/>
  <c r="AO80" i="189"/>
  <c r="AR57" i="159"/>
  <c r="AA57" i="146"/>
  <c r="AS56" i="167"/>
  <c r="X59" i="155"/>
  <c r="AB59"/>
  <c r="AJ59" s="1"/>
  <c r="O3" s="1"/>
  <c r="AR57" i="145"/>
  <c r="AS56" i="166"/>
  <c r="AR57" i="167"/>
  <c r="AB59" i="149"/>
  <c r="X59" i="161"/>
  <c r="L2" s="1"/>
  <c r="C59"/>
  <c r="AB59"/>
  <c r="AS56" i="151"/>
  <c r="X59" i="158"/>
  <c r="AB59"/>
  <c r="AJ59" s="1"/>
  <c r="AP18" i="189"/>
  <c r="AS803" i="175"/>
  <c r="AP80" i="189" s="1"/>
  <c r="AO76"/>
  <c r="O42" i="51"/>
  <c r="M19" i="52" s="1"/>
  <c r="O39" i="51"/>
  <c r="H18" i="52" s="1"/>
  <c r="O40" i="51"/>
  <c r="H19" i="52" s="1"/>
  <c r="O43" i="51"/>
  <c r="M18" i="52" s="1"/>
  <c r="O41" i="51"/>
  <c r="H20" i="52" s="1"/>
  <c r="AA58" i="154"/>
  <c r="X59" i="150"/>
  <c r="AB59"/>
  <c r="AJ59" s="1"/>
  <c r="O3" s="1"/>
  <c r="BN58" i="164"/>
  <c r="BU58" s="1"/>
  <c r="BV58" s="1"/>
  <c r="X58" s="1"/>
  <c r="AA58" i="159"/>
  <c r="F57" i="147"/>
  <c r="G58"/>
  <c r="AD57"/>
  <c r="AS56" i="153"/>
  <c r="AA58" i="150"/>
  <c r="AS56" i="145"/>
  <c r="AO75" i="189"/>
  <c r="I56" i="148"/>
  <c r="AF56"/>
  <c r="J57"/>
  <c r="AB59" i="159"/>
  <c r="AJ59" s="1"/>
  <c r="O3" s="1"/>
  <c r="X59"/>
  <c r="AS51" i="160"/>
  <c r="BP59" i="164"/>
  <c r="BT59"/>
  <c r="BM59"/>
  <c r="AA58" i="145"/>
  <c r="AA58" i="153"/>
  <c r="AJ58" i="165"/>
  <c r="AD59"/>
  <c r="AJ59" s="1"/>
  <c r="AB59" i="164"/>
  <c r="AF59" i="161"/>
  <c r="I59"/>
  <c r="AR57" i="168"/>
  <c r="AR54" i="148"/>
  <c r="AS797" i="175"/>
  <c r="AP74" i="189" s="1"/>
  <c r="AP12"/>
  <c r="AD55" i="152"/>
  <c r="AO5" i="189"/>
  <c r="AR790" i="175"/>
  <c r="O59" i="154"/>
  <c r="R59" s="1"/>
  <c r="O59" i="155"/>
  <c r="R59" s="1"/>
  <c r="O59" i="171"/>
  <c r="R59" s="1"/>
  <c r="K59" i="143"/>
  <c r="S59" i="164"/>
  <c r="V59" s="1"/>
  <c r="S59" i="150"/>
  <c r="V59" s="1"/>
  <c r="AR58" i="56"/>
  <c r="S59" i="167"/>
  <c r="V59" s="1"/>
  <c r="O59" i="158"/>
  <c r="R59" s="1"/>
  <c r="K59" i="149"/>
  <c r="N59" s="1"/>
  <c r="S59" i="158"/>
  <c r="V59" s="1"/>
  <c r="O59" i="145"/>
  <c r="R59" s="1"/>
  <c r="K59" i="158"/>
  <c r="N59" s="1"/>
  <c r="X52" i="49"/>
  <c r="G56" i="51"/>
  <c r="J55" i="160"/>
  <c r="I54"/>
  <c r="AF54"/>
  <c r="AS55" i="146"/>
  <c r="AJ58" i="167"/>
  <c r="F56" i="148"/>
  <c r="G57"/>
  <c r="AD56"/>
  <c r="AD54" i="160"/>
  <c r="F54"/>
  <c r="G55"/>
  <c r="AJ58" i="151"/>
  <c r="AR56" i="146"/>
  <c r="AR57" i="153"/>
  <c r="X59" i="166"/>
  <c r="AB59"/>
  <c r="AJ59" s="1"/>
  <c r="AF59" i="163"/>
  <c r="K3" i="162"/>
  <c r="AR57" i="151"/>
  <c r="AR57" i="158"/>
  <c r="X59" i="56"/>
  <c r="L2" s="1"/>
  <c r="AB59"/>
  <c r="AJ59" s="1"/>
  <c r="AS54" i="147"/>
  <c r="AS56" i="154"/>
  <c r="X59" i="168"/>
  <c r="AB59"/>
  <c r="AJ59" s="1"/>
  <c r="AR57" i="150"/>
  <c r="AJ58" i="153"/>
  <c r="AR57" i="154"/>
  <c r="AJ58" i="161"/>
  <c r="AB59" i="163"/>
  <c r="AD58"/>
  <c r="AO74" i="189"/>
  <c r="AO66"/>
  <c r="AS56" i="161"/>
  <c r="AJ58" i="154"/>
  <c r="AW55" i="51"/>
  <c r="AZ55"/>
  <c r="J55"/>
  <c r="AA58" i="171" s="1"/>
  <c r="AR58" s="1"/>
  <c r="AB59" i="153"/>
  <c r="AJ59" s="1"/>
  <c r="O3" s="1"/>
  <c r="X59"/>
  <c r="AA58" i="167"/>
  <c r="AJ57" i="146"/>
  <c r="AB59" i="167"/>
  <c r="AJ59" s="1"/>
  <c r="X59"/>
  <c r="AS56" i="168"/>
  <c r="AR57" i="165"/>
  <c r="AA58" i="151"/>
  <c r="X59" i="145"/>
  <c r="AB59"/>
  <c r="AJ59" s="1"/>
  <c r="AJ58"/>
  <c r="AA58" i="168"/>
  <c r="X51" i="49"/>
  <c r="G55" i="51"/>
  <c r="AA58" i="161"/>
  <c r="X59" i="151"/>
  <c r="L2" s="1"/>
  <c r="L4" s="1"/>
  <c r="AC59"/>
  <c r="AJ59" s="1"/>
  <c r="AR57" i="166"/>
  <c r="AF58" i="146"/>
  <c r="I58"/>
  <c r="J59"/>
  <c r="AR56" i="163"/>
  <c r="X59" i="154"/>
  <c r="AB59"/>
  <c r="AJ59" s="1"/>
  <c r="O3" s="1"/>
  <c r="AK9" i="189"/>
  <c r="AN794" i="175"/>
  <c r="S59" i="56"/>
  <c r="V59" s="1"/>
  <c r="S59" i="166"/>
  <c r="V59" s="1"/>
  <c r="S59" i="145"/>
  <c r="V59" s="1"/>
  <c r="AR58" i="155"/>
  <c r="O59" i="151"/>
  <c r="R59" s="1"/>
  <c r="S59" i="168"/>
  <c r="V59" s="1"/>
  <c r="S59" i="143"/>
  <c r="V59" s="1"/>
  <c r="X58" i="149"/>
  <c r="AO136" i="175"/>
  <c r="S55" i="160"/>
  <c r="AP37" i="175"/>
  <c r="AR42"/>
  <c r="AO660"/>
  <c r="G42" i="64"/>
  <c r="O38" i="68"/>
  <c r="L45" i="120"/>
  <c r="M44" i="71"/>
  <c r="I20" i="60"/>
  <c r="E58" i="148"/>
  <c r="AQ700" i="175"/>
  <c r="K45" i="140"/>
  <c r="AR690" i="175"/>
  <c r="F41" i="68"/>
  <c r="AT255" i="175"/>
  <c r="I45" i="67"/>
  <c r="U44" i="68"/>
  <c r="X40" i="119"/>
  <c r="AT397" i="175"/>
  <c r="S44" i="67"/>
  <c r="AT398" i="175"/>
  <c r="AP197"/>
  <c r="B55" i="160"/>
  <c r="AR698" i="175"/>
  <c r="H43" i="68"/>
  <c r="AT378" i="175"/>
  <c r="AO132"/>
  <c r="B57" i="148"/>
  <c r="F42" i="64"/>
  <c r="AS667" i="175"/>
  <c r="F43" i="120"/>
  <c r="O40" i="67"/>
  <c r="AO664" i="175"/>
  <c r="R45" i="64"/>
  <c r="G42" i="140"/>
  <c r="AS668" i="175"/>
  <c r="AT672"/>
  <c r="P44" i="71"/>
  <c r="AT203" i="175"/>
  <c r="N14" i="60"/>
  <c r="AO661" i="175"/>
  <c r="J44" i="71"/>
  <c r="AS703" i="175"/>
  <c r="AT45"/>
  <c r="AS379"/>
  <c r="D44" i="71"/>
  <c r="AO382" i="175"/>
  <c r="K57" i="147"/>
  <c r="AQ137" i="175"/>
  <c r="D45" i="140"/>
  <c r="AP198" i="175"/>
  <c r="O57" i="148"/>
  <c r="V45" i="67"/>
  <c r="E57" i="152"/>
  <c r="AR669" i="175"/>
  <c r="F42" i="68"/>
  <c r="D45" i="120"/>
  <c r="B36" i="68"/>
  <c r="P45" i="140"/>
  <c r="AS706" i="175"/>
  <c r="AT677"/>
  <c r="AP41"/>
  <c r="F42" i="67"/>
  <c r="AT658" i="175"/>
  <c r="AO692"/>
  <c r="L44" i="68"/>
  <c r="J44"/>
  <c r="I45" i="120"/>
  <c r="AP657" i="175"/>
  <c r="W44" i="71"/>
  <c r="AT678" i="175"/>
  <c r="O58" i="147"/>
  <c r="AT676" i="175"/>
  <c r="AQ253"/>
  <c r="F20" i="60"/>
  <c r="J45" i="120"/>
  <c r="F42" i="71"/>
  <c r="S43" i="64"/>
  <c r="B37" i="119"/>
  <c r="M45" i="67"/>
  <c r="V45" i="120"/>
  <c r="X41" i="64"/>
  <c r="J45"/>
  <c r="U45" i="68"/>
  <c r="AO662" i="175"/>
  <c r="AS387"/>
  <c r="K45" i="64"/>
  <c r="U45" i="120"/>
  <c r="F42" i="119"/>
  <c r="T45" i="68"/>
  <c r="P45" i="64"/>
  <c r="W45" i="68"/>
  <c r="H44" i="64"/>
  <c r="N45" i="140"/>
  <c r="S45" i="120"/>
  <c r="AP260" i="175"/>
  <c r="O55" i="160"/>
  <c r="W45" i="120"/>
  <c r="AP40" i="175"/>
  <c r="E56" i="160"/>
  <c r="AT392" i="175"/>
  <c r="AT207"/>
  <c r="O59" i="163"/>
  <c r="I44" i="71"/>
  <c r="AO380" i="175"/>
  <c r="AQ134"/>
  <c r="B37" i="64"/>
  <c r="K54" i="160"/>
  <c r="P45" i="119"/>
  <c r="R45"/>
  <c r="AQ135" i="175"/>
  <c r="E45" i="119"/>
  <c r="E59" i="147"/>
  <c r="U45" i="67"/>
  <c r="AO377" i="175"/>
  <c r="AN688"/>
  <c r="N20" i="60"/>
  <c r="H56" i="160"/>
  <c r="AP196" i="175"/>
  <c r="AO383"/>
  <c r="S56" i="152"/>
  <c r="F43" i="140"/>
  <c r="X39" i="71"/>
  <c r="I45" i="140"/>
  <c r="AT667" i="175"/>
  <c r="E44" i="64"/>
  <c r="AT204" i="175"/>
  <c r="M44" i="68"/>
  <c r="O40" i="64"/>
  <c r="N45" i="68"/>
  <c r="H57" i="152"/>
  <c r="S59" i="146"/>
  <c r="X39" i="68"/>
  <c r="AQ34" i="175"/>
  <c r="AT675"/>
  <c r="AP696"/>
  <c r="T44" i="68"/>
  <c r="AN694" i="175"/>
  <c r="R44" i="71"/>
  <c r="W45" i="140"/>
  <c r="AT399" i="175"/>
  <c r="H45" i="119"/>
  <c r="K45" i="68"/>
  <c r="AQ42" i="175"/>
  <c r="K56" i="148"/>
  <c r="AN691" i="175"/>
  <c r="U44" i="71"/>
  <c r="H44" i="120"/>
  <c r="AR699" i="175"/>
  <c r="E44" i="120"/>
  <c r="X41"/>
  <c r="G41" i="64"/>
  <c r="R43" i="71"/>
  <c r="U45" i="140"/>
  <c r="H45"/>
  <c r="AT201" i="175"/>
  <c r="AN692"/>
  <c r="N45" i="120"/>
  <c r="R45" i="67"/>
  <c r="N12" i="60"/>
  <c r="AS708" i="175"/>
  <c r="D45" i="64"/>
  <c r="B45" i="140"/>
  <c r="W45" i="64"/>
  <c r="K45" i="67"/>
  <c r="M45" i="68"/>
  <c r="AP256" i="175"/>
  <c r="AR261"/>
  <c r="G41" i="119"/>
  <c r="AT395" i="175"/>
  <c r="AP39"/>
  <c r="C45" i="140"/>
  <c r="AP258" i="175"/>
  <c r="S58" i="147"/>
  <c r="O56" i="152"/>
  <c r="AT46" i="175"/>
  <c r="G41" i="67"/>
  <c r="S57" i="148"/>
  <c r="S43" i="68"/>
  <c r="D45"/>
  <c r="O40" i="140"/>
  <c r="AM176" i="175"/>
  <c r="N44" i="68"/>
  <c r="L45" i="140"/>
  <c r="AT193" i="175"/>
  <c r="H20" i="60"/>
  <c r="G42" i="120"/>
  <c r="K44" i="68"/>
  <c r="B45" i="120"/>
  <c r="AS689" i="175"/>
  <c r="AS709"/>
  <c r="L45" i="68"/>
  <c r="AT36" i="175"/>
  <c r="V44" i="68"/>
  <c r="C45" i="120"/>
  <c r="V45" i="140"/>
  <c r="B37" i="67"/>
  <c r="O39" i="71"/>
  <c r="N15" i="60"/>
  <c r="J45" i="140"/>
  <c r="R45"/>
  <c r="AQ38" i="175"/>
  <c r="M45" i="140"/>
  <c r="AS389" i="175"/>
  <c r="AQ385"/>
  <c r="V45" i="68"/>
  <c r="R44" i="120"/>
  <c r="AP381" i="175"/>
  <c r="AN693"/>
  <c r="AN695"/>
  <c r="O39" i="119"/>
  <c r="O59" i="146"/>
  <c r="I45" i="64"/>
  <c r="K55" i="152"/>
  <c r="O40" i="120"/>
  <c r="AT396" i="175"/>
  <c r="K44" i="71"/>
  <c r="N17" i="60"/>
  <c r="D44" i="68"/>
  <c r="E43"/>
  <c r="AP661" i="175"/>
  <c r="AS697"/>
  <c r="AQ191"/>
  <c r="AO657"/>
  <c r="AS707"/>
  <c r="M45" i="120"/>
  <c r="H43" i="71"/>
  <c r="E44" i="140"/>
  <c r="AR199" i="175"/>
  <c r="N45" i="67"/>
  <c r="AQ257" i="175"/>
  <c r="N45" i="64"/>
  <c r="AT202" i="175"/>
  <c r="AQ195"/>
  <c r="H44" i="67"/>
  <c r="AS388" i="175"/>
  <c r="AS659"/>
  <c r="L44" i="71"/>
  <c r="G41" i="68"/>
  <c r="AT666" i="175"/>
  <c r="X40" i="71"/>
  <c r="AS710" i="175"/>
  <c r="N44" i="71"/>
  <c r="P44" i="68"/>
  <c r="J45" i="67"/>
  <c r="AP194" i="175"/>
  <c r="E44" i="67"/>
  <c r="AT386" i="175"/>
  <c r="S43" i="67"/>
  <c r="W45"/>
  <c r="S45" i="140"/>
  <c r="R43" i="68"/>
  <c r="B59" i="147"/>
  <c r="L45" i="67"/>
  <c r="X41"/>
  <c r="AP129" i="175"/>
  <c r="H59" i="147"/>
  <c r="U45" i="64"/>
  <c r="G42" i="67"/>
  <c r="J45" i="68"/>
  <c r="M45" i="64"/>
  <c r="E43" i="71"/>
  <c r="P45" i="67"/>
  <c r="AP259" i="175"/>
  <c r="H58" i="148"/>
  <c r="V44" i="71"/>
  <c r="AP133" i="175"/>
  <c r="B36" i="71"/>
  <c r="K45" i="120"/>
  <c r="I45" i="68"/>
  <c r="M45" i="119"/>
  <c r="B56" i="152"/>
  <c r="AN384" i="175"/>
  <c r="L45" i="64"/>
  <c r="AS46" i="175"/>
  <c r="D45" i="67"/>
  <c r="S42" i="71"/>
  <c r="W44" i="68"/>
  <c r="AO663" i="175"/>
  <c r="AT679"/>
  <c r="V45" i="64"/>
  <c r="S44"/>
  <c r="X41" i="140"/>
  <c r="O3" i="167" l="1"/>
  <c r="O3" i="166"/>
  <c r="AQ49" i="189"/>
  <c r="BE49" s="1"/>
  <c r="F772" i="175"/>
  <c r="C49" i="189" s="1"/>
  <c r="O3" i="168"/>
  <c r="O3" i="158"/>
  <c r="O3" i="151"/>
  <c r="O3" i="145"/>
  <c r="O3" i="165"/>
  <c r="K3" i="155"/>
  <c r="K3" i="56"/>
  <c r="O3"/>
  <c r="AZ142" i="118"/>
  <c r="AZ189"/>
  <c r="AZ96"/>
  <c r="F203" i="175"/>
  <c r="AT738"/>
  <c r="AQ15" i="189" s="1"/>
  <c r="BE15" s="1"/>
  <c r="BH203" i="175"/>
  <c r="AS800"/>
  <c r="AP77" i="189" s="1"/>
  <c r="AP14"/>
  <c r="AZ47" i="118"/>
  <c r="AZ48"/>
  <c r="AZ282"/>
  <c r="AZ283"/>
  <c r="BH46" i="175"/>
  <c r="AQ638"/>
  <c r="AR56" i="164"/>
  <c r="AS55"/>
  <c r="BA283" i="118"/>
  <c r="BA142"/>
  <c r="BA189"/>
  <c r="BA96"/>
  <c r="BA48"/>
  <c r="F202" i="175"/>
  <c r="AT737"/>
  <c r="BH737" s="1"/>
  <c r="BH202"/>
  <c r="AR637"/>
  <c r="BH45"/>
  <c r="AS56" i="149"/>
  <c r="BE279" i="118"/>
  <c r="BE185"/>
  <c r="BE138"/>
  <c r="BE90"/>
  <c r="BE44"/>
  <c r="BF664" i="175"/>
  <c r="AN633"/>
  <c r="AO733"/>
  <c r="BF136"/>
  <c r="AK10" i="189"/>
  <c r="AN795" i="175"/>
  <c r="AK72" i="189" s="1"/>
  <c r="AJ53" i="160"/>
  <c r="AR53" s="1"/>
  <c r="AO788" i="175"/>
  <c r="AL65" i="189" s="1"/>
  <c r="BC65" s="1"/>
  <c r="BL91" i="118"/>
  <c r="AP726" i="175"/>
  <c r="AM3" i="189" s="1"/>
  <c r="BF657" i="175"/>
  <c r="BF377"/>
  <c r="AN626"/>
  <c r="AJ54" i="152"/>
  <c r="AR54" s="1"/>
  <c r="AL3" i="189"/>
  <c r="BC3" s="1"/>
  <c r="AR53" i="152"/>
  <c r="AS52"/>
  <c r="AO792" i="175"/>
  <c r="AL69" i="189" s="1"/>
  <c r="BC69" s="1"/>
  <c r="AN791" i="175"/>
  <c r="AK68" i="189" s="1"/>
  <c r="AP796" i="175"/>
  <c r="AM73" i="189" s="1"/>
  <c r="BF730" i="175"/>
  <c r="BF796"/>
  <c r="BI90" i="118"/>
  <c r="D56" i="152"/>
  <c r="X56" s="1"/>
  <c r="N57" i="147"/>
  <c r="BF661" i="175"/>
  <c r="N54" i="160"/>
  <c r="BD92" i="118"/>
  <c r="AP730" i="175"/>
  <c r="AP792" s="1"/>
  <c r="AM69" i="189" s="1"/>
  <c r="AQ734" i="175"/>
  <c r="AN11" i="189" s="1"/>
  <c r="AN630" i="175"/>
  <c r="BF132"/>
  <c r="AO729"/>
  <c r="BF729" s="1"/>
  <c r="BH91" i="118"/>
  <c r="BD280"/>
  <c r="AB45" i="72"/>
  <c r="BD45" i="118"/>
  <c r="AC46" i="72"/>
  <c r="N55" i="152"/>
  <c r="N56" i="148"/>
  <c r="AB57" i="147"/>
  <c r="AJ57" s="1"/>
  <c r="C57"/>
  <c r="D58"/>
  <c r="AB54" i="160"/>
  <c r="C54"/>
  <c r="D55"/>
  <c r="X55" s="1"/>
  <c r="AB55" i="152"/>
  <c r="AB56" i="148"/>
  <c r="D57"/>
  <c r="X57" s="1"/>
  <c r="C56"/>
  <c r="AR55" i="147"/>
  <c r="X57"/>
  <c r="AA57" s="1"/>
  <c r="AA55" i="148"/>
  <c r="AR55" s="1"/>
  <c r="AS58" i="155"/>
  <c r="AY142" i="118"/>
  <c r="AY189"/>
  <c r="F204" i="175"/>
  <c r="BH204"/>
  <c r="AS58" i="56"/>
  <c r="AS57" i="150"/>
  <c r="BH45" i="118"/>
  <c r="BH139"/>
  <c r="BH186"/>
  <c r="BH280"/>
  <c r="AO630" i="175"/>
  <c r="BF692"/>
  <c r="AP13" i="189"/>
  <c r="AQ96" i="118"/>
  <c r="AS49"/>
  <c r="BC96"/>
  <c r="AP49"/>
  <c r="AS190"/>
  <c r="AS143"/>
  <c r="BB189"/>
  <c r="BB142"/>
  <c r="BD187"/>
  <c r="BD140"/>
  <c r="AP190"/>
  <c r="AP143"/>
  <c r="AU143"/>
  <c r="AU190"/>
  <c r="AQ284"/>
  <c r="AT49"/>
  <c r="AR284"/>
  <c r="AT143"/>
  <c r="AT190"/>
  <c r="AT284"/>
  <c r="AR143"/>
  <c r="AR190"/>
  <c r="BD46"/>
  <c r="AQ49"/>
  <c r="BD281"/>
  <c r="AQ143"/>
  <c r="AQ190"/>
  <c r="AS284"/>
  <c r="AP284"/>
  <c r="BI44"/>
  <c r="BB96"/>
  <c r="AR49"/>
  <c r="BI185"/>
  <c r="BI138"/>
  <c r="BI279"/>
  <c r="F395" i="175"/>
  <c r="BH395"/>
  <c r="F677"/>
  <c r="BH677"/>
  <c r="F676"/>
  <c r="BH676"/>
  <c r="AN629"/>
  <c r="F678"/>
  <c r="BH678"/>
  <c r="F675"/>
  <c r="BH675"/>
  <c r="F679"/>
  <c r="BH679"/>
  <c r="F397"/>
  <c r="BH397"/>
  <c r="BF660"/>
  <c r="AS647"/>
  <c r="AS648"/>
  <c r="F399"/>
  <c r="BH399"/>
  <c r="AR636"/>
  <c r="AS646"/>
  <c r="AP634"/>
  <c r="AS645"/>
  <c r="AS644"/>
  <c r="F396"/>
  <c r="BH396"/>
  <c r="BF380"/>
  <c r="F398"/>
  <c r="BH398"/>
  <c r="AT736"/>
  <c r="BH736" s="1"/>
  <c r="BH201"/>
  <c r="F201"/>
  <c r="AM190"/>
  <c r="AS49" i="143"/>
  <c r="AT806" i="175"/>
  <c r="AQ21" i="189"/>
  <c r="BE21" s="1"/>
  <c r="F744" i="175"/>
  <c r="C21" i="189" s="1"/>
  <c r="BH744" i="175"/>
  <c r="AQ25" i="189"/>
  <c r="BE25" s="1"/>
  <c r="AT810" i="175"/>
  <c r="F748"/>
  <c r="C25" i="189" s="1"/>
  <c r="AT807" i="175"/>
  <c r="BH807" s="1"/>
  <c r="AQ22" i="189"/>
  <c r="BE22" s="1"/>
  <c r="F745" i="175"/>
  <c r="C22" i="189" s="1"/>
  <c r="AS57" i="158"/>
  <c r="AS57" i="159"/>
  <c r="AA56" i="148"/>
  <c r="AP84" i="189"/>
  <c r="AQ23"/>
  <c r="BE23" s="1"/>
  <c r="AT808" i="175"/>
  <c r="BH808" s="1"/>
  <c r="F746"/>
  <c r="C23" i="189" s="1"/>
  <c r="BH745" i="175"/>
  <c r="AA57" i="164"/>
  <c r="AT809" i="175"/>
  <c r="AQ24" i="189"/>
  <c r="BE24" s="1"/>
  <c r="F747" i="175"/>
  <c r="C24" i="189" s="1"/>
  <c r="AJ58" i="163"/>
  <c r="AR58" s="1"/>
  <c r="AJ51" i="143"/>
  <c r="AS58" i="171"/>
  <c r="AG41" i="72"/>
  <c r="AR50" i="143"/>
  <c r="AA51"/>
  <c r="M53"/>
  <c r="L53" s="1"/>
  <c r="AC52"/>
  <c r="N52"/>
  <c r="X52"/>
  <c r="AR57" i="149"/>
  <c r="AD137" i="118"/>
  <c r="AO793" i="175"/>
  <c r="AL70" i="189" s="1"/>
  <c r="BC70" s="1"/>
  <c r="BL45" i="118"/>
  <c r="BG92"/>
  <c r="BL186"/>
  <c r="BL139"/>
  <c r="BL280"/>
  <c r="BG44"/>
  <c r="BG185"/>
  <c r="BG138"/>
  <c r="BG279"/>
  <c r="AP731" i="175"/>
  <c r="AP793" s="1"/>
  <c r="AN631"/>
  <c r="BF662"/>
  <c r="BF382"/>
  <c r="BF731"/>
  <c r="AJ58" i="149"/>
  <c r="AA55" i="152"/>
  <c r="AD184" i="118"/>
  <c r="O59" i="149"/>
  <c r="R59" s="1"/>
  <c r="X59"/>
  <c r="L2" s="1"/>
  <c r="L4" s="1"/>
  <c r="AD59"/>
  <c r="AJ59" s="1"/>
  <c r="BF663" i="175"/>
  <c r="V47" i="72"/>
  <c r="BF383" i="175"/>
  <c r="Q45" i="72"/>
  <c r="AB46"/>
  <c r="BF279" i="118"/>
  <c r="BF44"/>
  <c r="BC143"/>
  <c r="BC190"/>
  <c r="BQ58" i="164"/>
  <c r="BR58" s="1"/>
  <c r="AE58" s="1"/>
  <c r="AA54" i="160"/>
  <c r="AW143" i="118"/>
  <c r="AW190"/>
  <c r="BJ142"/>
  <c r="BJ189"/>
  <c r="AX190"/>
  <c r="AX143"/>
  <c r="F207" i="175"/>
  <c r="BH207"/>
  <c r="AP283"/>
  <c r="BF138" i="118"/>
  <c r="BF185"/>
  <c r="BF92"/>
  <c r="BJ96"/>
  <c r="Z49" i="72"/>
  <c r="V48"/>
  <c r="V59" i="146"/>
  <c r="S49" i="72"/>
  <c r="BC49" i="118"/>
  <c r="T49" i="72"/>
  <c r="BC284" i="118"/>
  <c r="X49" i="72"/>
  <c r="BK284" i="118"/>
  <c r="BK49"/>
  <c r="AS635" i="175"/>
  <c r="AA49" i="72"/>
  <c r="F378" i="175"/>
  <c r="BH378"/>
  <c r="R58" i="147"/>
  <c r="F672" i="175"/>
  <c r="BH672"/>
  <c r="F666"/>
  <c r="BH666"/>
  <c r="AS627"/>
  <c r="AT728"/>
  <c r="F193"/>
  <c r="BH193"/>
  <c r="R56" i="152"/>
  <c r="BK96" i="118"/>
  <c r="AV189"/>
  <c r="AV142"/>
  <c r="F255" i="175"/>
  <c r="BH255"/>
  <c r="AP221"/>
  <c r="AP732"/>
  <c r="F667"/>
  <c r="BH667"/>
  <c r="F392"/>
  <c r="BH392"/>
  <c r="V55" i="160"/>
  <c r="R59" i="146"/>
  <c r="F386" i="175"/>
  <c r="BH386"/>
  <c r="V56" i="152"/>
  <c r="F658" i="175"/>
  <c r="BH658"/>
  <c r="BB49" i="118"/>
  <c r="BB284"/>
  <c r="AS641" i="175"/>
  <c r="R55" i="160"/>
  <c r="AW284" i="118"/>
  <c r="Y49" i="72"/>
  <c r="AW49" i="118"/>
  <c r="AE49" i="72"/>
  <c r="AN632" i="175"/>
  <c r="R49" i="72"/>
  <c r="AR628" i="175"/>
  <c r="R57" i="148"/>
  <c r="G57" i="152"/>
  <c r="V57" i="148"/>
  <c r="J57" i="152"/>
  <c r="V58" i="147"/>
  <c r="BJ283" i="118"/>
  <c r="AD48" i="72"/>
  <c r="BJ48" i="118"/>
  <c r="BH36" i="175"/>
  <c r="R59" i="163"/>
  <c r="K3" i="154"/>
  <c r="K3" i="145"/>
  <c r="M4" i="153"/>
  <c r="AA59"/>
  <c r="M3"/>
  <c r="L2"/>
  <c r="L4" s="1"/>
  <c r="AS57"/>
  <c r="AR58" i="165"/>
  <c r="K3" i="159"/>
  <c r="AR58"/>
  <c r="K3" i="150"/>
  <c r="AA58" i="164"/>
  <c r="I59" i="146"/>
  <c r="AF59"/>
  <c r="M3" i="167"/>
  <c r="AA59"/>
  <c r="M4"/>
  <c r="L2"/>
  <c r="L4" s="1"/>
  <c r="M3" i="163"/>
  <c r="M4"/>
  <c r="AA59"/>
  <c r="L4"/>
  <c r="AS57" i="151"/>
  <c r="M3" i="166"/>
  <c r="M4"/>
  <c r="AA59"/>
  <c r="L2"/>
  <c r="L4" s="1"/>
  <c r="AR58" i="150"/>
  <c r="M4" i="158"/>
  <c r="M3"/>
  <c r="AA59"/>
  <c r="L2"/>
  <c r="L4" s="1"/>
  <c r="M4" i="161"/>
  <c r="M3"/>
  <c r="AA59"/>
  <c r="L4"/>
  <c r="AQ4" i="189"/>
  <c r="BE4" s="1"/>
  <c r="AT789" i="175"/>
  <c r="F727"/>
  <c r="C4" i="189" s="1"/>
  <c r="AK71"/>
  <c r="AS56" i="163"/>
  <c r="AS57" i="166"/>
  <c r="M3" i="151"/>
  <c r="M4"/>
  <c r="AA59"/>
  <c r="AR58" i="168"/>
  <c r="K3" i="166"/>
  <c r="AS54" i="148"/>
  <c r="AR58" i="145"/>
  <c r="F58" i="147"/>
  <c r="G59"/>
  <c r="AD58"/>
  <c r="AR58" i="154"/>
  <c r="K3" i="158"/>
  <c r="AS57" i="145"/>
  <c r="AR57" i="146"/>
  <c r="AR58" i="166"/>
  <c r="AS57" i="161"/>
  <c r="AJ58" i="146"/>
  <c r="AP5" i="189"/>
  <c r="AS790" i="175"/>
  <c r="AP67" i="189" s="1"/>
  <c r="AD56" i="152"/>
  <c r="AO794" i="175"/>
  <c r="AL71" i="189" s="1"/>
  <c r="AL9"/>
  <c r="BC9" s="1"/>
  <c r="BF732" i="175"/>
  <c r="AV55" i="51"/>
  <c r="AX55" s="1"/>
  <c r="AB48" i="118"/>
  <c r="AK55" i="51"/>
  <c r="B48" i="72"/>
  <c r="D48" s="1"/>
  <c r="I48" s="1"/>
  <c r="H48" s="1"/>
  <c r="G48" s="1"/>
  <c r="F48" s="1"/>
  <c r="E48" s="1"/>
  <c r="AR58" i="151"/>
  <c r="K3" i="167"/>
  <c r="K3" i="168"/>
  <c r="I55" i="160"/>
  <c r="AF55"/>
  <c r="J56"/>
  <c r="AS57" i="168"/>
  <c r="M4" i="155"/>
  <c r="M3"/>
  <c r="AA59"/>
  <c r="L2"/>
  <c r="L4" s="1"/>
  <c r="M3" i="171"/>
  <c r="M4"/>
  <c r="AD59" i="146"/>
  <c r="F59"/>
  <c r="X59"/>
  <c r="L2" s="1"/>
  <c r="AF56" i="152"/>
  <c r="AA58" i="149"/>
  <c r="AR58" i="161"/>
  <c r="AR58" i="167"/>
  <c r="AS57" i="154"/>
  <c r="F55" i="160"/>
  <c r="G56"/>
  <c r="AD55"/>
  <c r="AK56" i="51"/>
  <c r="B49" i="72"/>
  <c r="D49" s="1"/>
  <c r="I49" s="1"/>
  <c r="H49" s="1"/>
  <c r="G49" s="1"/>
  <c r="F49" s="1"/>
  <c r="E49" s="1"/>
  <c r="AV56" i="51"/>
  <c r="AB49" i="118"/>
  <c r="M4" i="165"/>
  <c r="M4" i="162"/>
  <c r="AO67" i="189"/>
  <c r="BN59" i="164"/>
  <c r="BQ59" s="1"/>
  <c r="BR59" s="1"/>
  <c r="AE59" s="1"/>
  <c r="AJ59" s="1"/>
  <c r="M3" i="159"/>
  <c r="AA59"/>
  <c r="M4"/>
  <c r="L2"/>
  <c r="L4" s="1"/>
  <c r="AR56" i="147"/>
  <c r="AT803" i="175"/>
  <c r="AQ18" i="189"/>
  <c r="BE18" s="1"/>
  <c r="F741" i="175"/>
  <c r="C18" i="189" s="1"/>
  <c r="AA59" i="154"/>
  <c r="M4"/>
  <c r="M3"/>
  <c r="L2"/>
  <c r="L4" s="1"/>
  <c r="K3" i="151"/>
  <c r="AA59" i="145"/>
  <c r="M4"/>
  <c r="M3"/>
  <c r="L2"/>
  <c r="L4" s="1"/>
  <c r="AS57" i="165"/>
  <c r="K3" i="153"/>
  <c r="AS52" i="160"/>
  <c r="AA59" i="168"/>
  <c r="M3"/>
  <c r="M4"/>
  <c r="L2"/>
  <c r="L4" s="1"/>
  <c r="M4" i="56"/>
  <c r="M3"/>
  <c r="AA59"/>
  <c r="L4"/>
  <c r="AS56" i="146"/>
  <c r="G58" i="148"/>
  <c r="F57"/>
  <c r="AD57"/>
  <c r="AR59" i="165"/>
  <c r="K3"/>
  <c r="AR58" i="153"/>
  <c r="AF57" i="148"/>
  <c r="I57"/>
  <c r="J58"/>
  <c r="M4" i="150"/>
  <c r="AA59"/>
  <c r="M3"/>
  <c r="L2"/>
  <c r="L4" s="1"/>
  <c r="AS57" i="167"/>
  <c r="AW56" i="51"/>
  <c r="AW14" s="1"/>
  <c r="AZ56"/>
  <c r="AZ14" s="1"/>
  <c r="J56"/>
  <c r="AS59" i="162"/>
  <c r="K11" s="1"/>
  <c r="K8"/>
  <c r="I58" i="147"/>
  <c r="J59"/>
  <c r="AF58"/>
  <c r="AA58" i="146"/>
  <c r="AR58" i="158"/>
  <c r="AR57" i="163"/>
  <c r="AD59"/>
  <c r="AJ59" s="1"/>
  <c r="AQ12" i="189"/>
  <c r="BE12" s="1"/>
  <c r="AT797" i="175"/>
  <c r="F735"/>
  <c r="C12" i="189" s="1"/>
  <c r="BH735" i="175"/>
  <c r="L2" i="171"/>
  <c r="AJ59" i="161"/>
  <c r="O3" s="1"/>
  <c r="B37" i="68"/>
  <c r="AS690" i="175"/>
  <c r="AP692"/>
  <c r="L45" i="71"/>
  <c r="F44" i="140"/>
  <c r="N23" i="60"/>
  <c r="AO688" i="175"/>
  <c r="B37" i="71"/>
  <c r="AQ657" i="175"/>
  <c r="AT669"/>
  <c r="E57" i="160"/>
  <c r="F44" i="120"/>
  <c r="J45" i="71"/>
  <c r="F43"/>
  <c r="R45" i="120"/>
  <c r="R45" i="71"/>
  <c r="AS698" i="175"/>
  <c r="AQ39"/>
  <c r="F43" i="119"/>
  <c r="M45" i="71"/>
  <c r="G42" i="119"/>
  <c r="O59" i="147"/>
  <c r="P45" i="68"/>
  <c r="X42" i="64"/>
  <c r="O57" i="152"/>
  <c r="AT235" i="175"/>
  <c r="U45" i="71"/>
  <c r="AQ197" i="175"/>
  <c r="AQ258"/>
  <c r="AS261"/>
  <c r="AT387"/>
  <c r="E45" i="67"/>
  <c r="O41" i="120"/>
  <c r="S43" i="71"/>
  <c r="O58" i="148"/>
  <c r="AT379" i="175"/>
  <c r="X42" i="140"/>
  <c r="H44" i="71"/>
  <c r="AQ41" i="175"/>
  <c r="E45" i="120"/>
  <c r="AP377" i="175"/>
  <c r="K20" i="60"/>
  <c r="N7"/>
  <c r="X41" i="119"/>
  <c r="K58" i="147"/>
  <c r="K45" i="71"/>
  <c r="W45"/>
  <c r="B38" i="64"/>
  <c r="AO694" i="175"/>
  <c r="AQ256"/>
  <c r="N24" i="60"/>
  <c r="AT710" i="175"/>
  <c r="AT709"/>
  <c r="AR195"/>
  <c r="S57" i="152"/>
  <c r="AP662" i="175"/>
  <c r="R45" i="68"/>
  <c r="E45" i="140"/>
  <c r="AQ196" i="175"/>
  <c r="B57" i="152"/>
  <c r="S58" i="148"/>
  <c r="AP136" i="175"/>
  <c r="AP380"/>
  <c r="AQ260"/>
  <c r="AR253"/>
  <c r="B38" i="67"/>
  <c r="O40" i="119"/>
  <c r="N13" i="60"/>
  <c r="S56" i="160"/>
  <c r="AP688" i="175"/>
  <c r="AR134"/>
  <c r="AR700"/>
  <c r="AT236"/>
  <c r="E44" i="68"/>
  <c r="B56" i="160"/>
  <c r="H58" i="152"/>
  <c r="AP383" i="175"/>
  <c r="X41" i="71"/>
  <c r="AP660" i="175"/>
  <c r="H45" i="68"/>
  <c r="AT697" i="175"/>
  <c r="D45" i="71"/>
  <c r="H45" i="67"/>
  <c r="AO693" i="175"/>
  <c r="AP132"/>
  <c r="E58" i="152"/>
  <c r="S45" i="68"/>
  <c r="AR38" i="175"/>
  <c r="G43" i="140"/>
  <c r="G43" i="67"/>
  <c r="AN176" i="175"/>
  <c r="K56" i="152"/>
  <c r="S44" i="71"/>
  <c r="N26" i="60"/>
  <c r="AS669" i="175"/>
  <c r="AS699"/>
  <c r="AQ381"/>
  <c r="AR34"/>
  <c r="AQ37"/>
  <c r="X42" i="120"/>
  <c r="H59" i="148"/>
  <c r="AP664" i="175"/>
  <c r="H44" i="68"/>
  <c r="G42" i="71"/>
  <c r="AT707" i="175"/>
  <c r="O41" i="140"/>
  <c r="AQ661" i="175"/>
  <c r="S59" i="147"/>
  <c r="X42" i="67"/>
  <c r="N45" i="71"/>
  <c r="H45" i="120"/>
  <c r="O56" i="160"/>
  <c r="N25" i="60"/>
  <c r="AS42" i="175"/>
  <c r="AR257"/>
  <c r="O40" i="71"/>
  <c r="AT706" i="175"/>
  <c r="G43" i="120"/>
  <c r="H45" i="64"/>
  <c r="N16" i="60"/>
  <c r="K57" i="148"/>
  <c r="O41" i="67"/>
  <c r="AO691" i="175"/>
  <c r="O41" i="64"/>
  <c r="B58" i="148"/>
  <c r="B38" i="119"/>
  <c r="AT659" i="175"/>
  <c r="X40" i="68"/>
  <c r="H57" i="160"/>
  <c r="AR191" i="175"/>
  <c r="F43" i="64"/>
  <c r="I45" i="71"/>
  <c r="AQ696" i="175"/>
  <c r="AT668"/>
  <c r="AQ198"/>
  <c r="AT698"/>
  <c r="AS199"/>
  <c r="AQ129"/>
  <c r="G43" i="64"/>
  <c r="F43" i="67"/>
  <c r="AQ259" i="175"/>
  <c r="AR135"/>
  <c r="AT708"/>
  <c r="AR665"/>
  <c r="R44" i="68"/>
  <c r="AO695" i="175"/>
  <c r="K55" i="160"/>
  <c r="P45" i="71"/>
  <c r="AQ133" i="175"/>
  <c r="AQ194"/>
  <c r="E59" i="148"/>
  <c r="AQ40" i="175"/>
  <c r="AT234"/>
  <c r="AQ665"/>
  <c r="V45" i="71"/>
  <c r="AP663" i="175"/>
  <c r="E45" i="64"/>
  <c r="G41" i="71"/>
  <c r="AT689" i="175"/>
  <c r="AP382"/>
  <c r="AO384"/>
  <c r="E44" i="71"/>
  <c r="O39" i="68"/>
  <c r="AT388" i="175"/>
  <c r="F43" i="68"/>
  <c r="AT703" i="175"/>
  <c r="AR137"/>
  <c r="O3" i="149" l="1"/>
  <c r="O3" i="163"/>
  <c r="F738" i="175"/>
  <c r="C15" i="189" s="1"/>
  <c r="BH738" i="175"/>
  <c r="AZ190" i="118"/>
  <c r="AZ143"/>
  <c r="F737" i="175"/>
  <c r="C14" i="189" s="1"/>
  <c r="AQ14"/>
  <c r="BE14" s="1"/>
  <c r="AT799" i="175"/>
  <c r="BH799" s="1"/>
  <c r="AS56" i="164"/>
  <c r="AR638" i="175"/>
  <c r="F234"/>
  <c r="BH234"/>
  <c r="AT769"/>
  <c r="F669"/>
  <c r="BH669"/>
  <c r="AR57" i="164"/>
  <c r="AP788" i="175"/>
  <c r="AM65" i="189" s="1"/>
  <c r="BA143" i="118"/>
  <c r="BA190"/>
  <c r="BA284"/>
  <c r="BA49"/>
  <c r="F668" i="175"/>
  <c r="BH668"/>
  <c r="BH388"/>
  <c r="F388"/>
  <c r="AS637"/>
  <c r="AS57" i="149"/>
  <c r="BE280" i="118"/>
  <c r="BE45"/>
  <c r="BE139"/>
  <c r="BE186"/>
  <c r="BE91"/>
  <c r="AO633" i="175"/>
  <c r="BF633" s="1"/>
  <c r="BF695"/>
  <c r="BF384"/>
  <c r="AP733"/>
  <c r="BF733"/>
  <c r="AO795"/>
  <c r="AL10" i="189"/>
  <c r="BC10" s="1"/>
  <c r="AJ54" i="160"/>
  <c r="AS53" i="152"/>
  <c r="AS54" s="1"/>
  <c r="BF788" i="175"/>
  <c r="BL92" i="118"/>
  <c r="BF688" i="175"/>
  <c r="AO626"/>
  <c r="BF626" s="1"/>
  <c r="AQ726"/>
  <c r="AN3" i="189" s="1"/>
  <c r="AJ55" i="152"/>
  <c r="BF792" i="175"/>
  <c r="BF630"/>
  <c r="AQ796"/>
  <c r="AN73" i="189" s="1"/>
  <c r="AM7"/>
  <c r="AR734" i="175"/>
  <c r="AO11" i="189" s="1"/>
  <c r="N57" i="148"/>
  <c r="D57" i="152"/>
  <c r="X57" s="1"/>
  <c r="N56"/>
  <c r="AQ730" i="175"/>
  <c r="AN7" i="189" s="1"/>
  <c r="BH92" i="118"/>
  <c r="AP729" i="175"/>
  <c r="AP791" s="1"/>
  <c r="AM68" i="189" s="1"/>
  <c r="BD93" i="118"/>
  <c r="BI91"/>
  <c r="N58" i="147"/>
  <c r="AC47" i="72"/>
  <c r="N55" i="160"/>
  <c r="C57" i="148"/>
  <c r="D58"/>
  <c r="AB57"/>
  <c r="AJ57" s="1"/>
  <c r="AB56" i="152"/>
  <c r="AL6" i="189"/>
  <c r="BC6" s="1"/>
  <c r="C58" i="147"/>
  <c r="AB58"/>
  <c r="AJ58" s="1"/>
  <c r="D59"/>
  <c r="X59" s="1"/>
  <c r="AB55" i="160"/>
  <c r="D56"/>
  <c r="X56" s="1"/>
  <c r="C55"/>
  <c r="X58" i="147"/>
  <c r="AA58" s="1"/>
  <c r="AO791" i="175"/>
  <c r="AL68" i="189" s="1"/>
  <c r="BC68" s="1"/>
  <c r="AS55" i="147"/>
  <c r="AS56" s="1"/>
  <c r="AJ56" i="148"/>
  <c r="AR56" s="1"/>
  <c r="AY143" i="118"/>
  <c r="AY190"/>
  <c r="F235" i="175"/>
  <c r="D6" i="188" s="1"/>
  <c r="BH235" i="175"/>
  <c r="AS58" i="150"/>
  <c r="AQ13" i="189"/>
  <c r="BE13" s="1"/>
  <c r="BH281" i="118"/>
  <c r="BH187"/>
  <c r="BH140"/>
  <c r="BH46"/>
  <c r="AP630" i="175"/>
  <c r="AT798"/>
  <c r="AQ75" i="189" s="1"/>
  <c r="BE75" s="1"/>
  <c r="AS55" i="148"/>
  <c r="BD47" i="118"/>
  <c r="BI139"/>
  <c r="BI186"/>
  <c r="BI45"/>
  <c r="BD141"/>
  <c r="BD188"/>
  <c r="BI280"/>
  <c r="BB190"/>
  <c r="BB143"/>
  <c r="BD282"/>
  <c r="AS636" i="175"/>
  <c r="AT646"/>
  <c r="F646" s="1"/>
  <c r="F708"/>
  <c r="BH708"/>
  <c r="AT644"/>
  <c r="F706"/>
  <c r="BH706"/>
  <c r="AO629"/>
  <c r="BF629" s="1"/>
  <c r="BF691"/>
  <c r="AT252"/>
  <c r="F236"/>
  <c r="BH236"/>
  <c r="AT645"/>
  <c r="F707"/>
  <c r="BH707"/>
  <c r="AQ634"/>
  <c r="AT647"/>
  <c r="F709"/>
  <c r="BH709"/>
  <c r="AT648"/>
  <c r="F710"/>
  <c r="BH710"/>
  <c r="AN190"/>
  <c r="BH387"/>
  <c r="F387"/>
  <c r="AQ86" i="189"/>
  <c r="BE86" s="1"/>
  <c r="F809" i="175"/>
  <c r="C86" i="189" s="1"/>
  <c r="AJ58" i="164"/>
  <c r="O3" s="1"/>
  <c r="AQ85" i="189"/>
  <c r="BE85" s="1"/>
  <c r="F808" i="175"/>
  <c r="C85" i="189" s="1"/>
  <c r="AQ83"/>
  <c r="BE83" s="1"/>
  <c r="F806" i="175"/>
  <c r="C83" i="189" s="1"/>
  <c r="BH806" i="175"/>
  <c r="F736"/>
  <c r="C13" i="189" s="1"/>
  <c r="AS50" i="143"/>
  <c r="AS58" i="158"/>
  <c r="AS58" i="159"/>
  <c r="AJ52" i="143"/>
  <c r="AQ84" i="189"/>
  <c r="BE84" s="1"/>
  <c r="F807" i="175"/>
  <c r="C84" i="189" s="1"/>
  <c r="AQ87"/>
  <c r="BE87" s="1"/>
  <c r="F810" i="175"/>
  <c r="C87" i="189" s="1"/>
  <c r="BH810" i="175"/>
  <c r="BH809"/>
  <c r="AG42" i="72"/>
  <c r="AC53" i="143"/>
  <c r="N53"/>
  <c r="X53"/>
  <c r="AA52"/>
  <c r="M54"/>
  <c r="L54" s="1"/>
  <c r="AR51"/>
  <c r="AM8" i="189"/>
  <c r="AD185" i="118"/>
  <c r="BF793" i="175"/>
  <c r="BG93" i="118"/>
  <c r="BG139"/>
  <c r="BG186"/>
  <c r="BL281"/>
  <c r="BG45"/>
  <c r="BL187"/>
  <c r="BL140"/>
  <c r="BG280"/>
  <c r="BL46"/>
  <c r="AO631" i="175"/>
  <c r="BF631" s="1"/>
  <c r="BF693"/>
  <c r="AP626"/>
  <c r="AQ731"/>
  <c r="AQ793" s="1"/>
  <c r="AN70" i="189" s="1"/>
  <c r="AD138" i="118"/>
  <c r="K3" i="149"/>
  <c r="AA59"/>
  <c r="K2" s="1"/>
  <c r="K14" s="1"/>
  <c r="M4"/>
  <c r="AS53" i="160"/>
  <c r="M3" i="149"/>
  <c r="BF694" i="175"/>
  <c r="AO632"/>
  <c r="Q46" i="72"/>
  <c r="AA56" i="152"/>
  <c r="AJ59" i="146"/>
  <c r="O3" s="1"/>
  <c r="AB47" i="72"/>
  <c r="AA57" i="148"/>
  <c r="BU59" i="164"/>
  <c r="BV59" s="1"/>
  <c r="X59" s="1"/>
  <c r="M3" s="1"/>
  <c r="BF794" i="175"/>
  <c r="AV190" i="118"/>
  <c r="AV143"/>
  <c r="AQ221" i="175"/>
  <c r="AQ732"/>
  <c r="BF139" i="118"/>
  <c r="BF186"/>
  <c r="BJ190"/>
  <c r="BJ143"/>
  <c r="V56" i="160"/>
  <c r="AT636" i="175"/>
  <c r="F698"/>
  <c r="BH698"/>
  <c r="AT641"/>
  <c r="F703"/>
  <c r="BH703"/>
  <c r="R58" i="148"/>
  <c r="G58" i="152"/>
  <c r="R56" i="160"/>
  <c r="AT627" i="175"/>
  <c r="F689"/>
  <c r="BH689"/>
  <c r="F659"/>
  <c r="BH659"/>
  <c r="V58" i="148"/>
  <c r="J58" i="152"/>
  <c r="BJ49" i="118"/>
  <c r="AD49" i="72"/>
  <c r="BJ284" i="118"/>
  <c r="F379" i="175"/>
  <c r="BH379"/>
  <c r="R59" i="147"/>
  <c r="R57" i="152"/>
  <c r="BF93" i="118"/>
  <c r="AQ283" i="175"/>
  <c r="V59" i="147"/>
  <c r="AT635" i="175"/>
  <c r="F697"/>
  <c r="BH697"/>
  <c r="V57" i="152"/>
  <c r="BF280" i="118"/>
  <c r="BF45"/>
  <c r="AS628" i="175"/>
  <c r="K3" i="163"/>
  <c r="AR59" i="154"/>
  <c r="K2"/>
  <c r="K14" s="1"/>
  <c r="AR58" i="149"/>
  <c r="AF56" i="160"/>
  <c r="I56"/>
  <c r="J57"/>
  <c r="AS58" i="154"/>
  <c r="AS58" i="145"/>
  <c r="AQ66" i="189"/>
  <c r="BE66" s="1"/>
  <c r="F789" i="175"/>
  <c r="C66" i="189" s="1"/>
  <c r="K3" i="161"/>
  <c r="AS57" i="163"/>
  <c r="AS58" s="1"/>
  <c r="F58" i="148"/>
  <c r="G59"/>
  <c r="AD58"/>
  <c r="AX56" i="51"/>
  <c r="AX14" s="1"/>
  <c r="AV14"/>
  <c r="F56" i="160"/>
  <c r="G57"/>
  <c r="AD56"/>
  <c r="AS58" i="161"/>
  <c r="AM70" i="189"/>
  <c r="K14" i="171"/>
  <c r="L4"/>
  <c r="K13"/>
  <c r="L13" s="1"/>
  <c r="AR58" i="146"/>
  <c r="K9" i="162"/>
  <c r="K12"/>
  <c r="K13" s="1"/>
  <c r="K10"/>
  <c r="AF58" i="148"/>
  <c r="I58"/>
  <c r="J59"/>
  <c r="AS58" i="153"/>
  <c r="AR59" i="145"/>
  <c r="K2"/>
  <c r="K14" s="1"/>
  <c r="AS58" i="167"/>
  <c r="M3" i="146"/>
  <c r="M4"/>
  <c r="AA59"/>
  <c r="L4"/>
  <c r="AR59" i="155"/>
  <c r="K2"/>
  <c r="K14" s="1"/>
  <c r="F59" i="147"/>
  <c r="AD59"/>
  <c r="AR59" i="161"/>
  <c r="K2"/>
  <c r="K14" s="1"/>
  <c r="AR59" i="158"/>
  <c r="K2"/>
  <c r="K14" s="1"/>
  <c r="AR57" i="147"/>
  <c r="AR59" i="153"/>
  <c r="K2"/>
  <c r="K14" s="1"/>
  <c r="AD57" i="152"/>
  <c r="AM9" i="189"/>
  <c r="AP794" i="175"/>
  <c r="AT790"/>
  <c r="AQ5" i="189"/>
  <c r="BE5" s="1"/>
  <c r="F728" i="175"/>
  <c r="C5" i="189" s="1"/>
  <c r="BH728" i="175"/>
  <c r="AZ7" i="51"/>
  <c r="BH789" i="175"/>
  <c r="AQ74" i="189"/>
  <c r="BE74" s="1"/>
  <c r="F797" i="175"/>
  <c r="C74" i="189" s="1"/>
  <c r="BH797" i="175"/>
  <c r="I59" i="147"/>
  <c r="AF59"/>
  <c r="AA59" i="171"/>
  <c r="K15" i="51"/>
  <c r="N34" s="1"/>
  <c r="AR59" i="150"/>
  <c r="K2"/>
  <c r="K14" s="1"/>
  <c r="K8" i="165"/>
  <c r="AR59" i="56"/>
  <c r="K2"/>
  <c r="K14" s="1"/>
  <c r="AQ80" i="189"/>
  <c r="BE80" s="1"/>
  <c r="F803" i="175"/>
  <c r="C80" i="189" s="1"/>
  <c r="AS58" i="166"/>
  <c r="AR59" i="167"/>
  <c r="K2"/>
  <c r="K14" s="1"/>
  <c r="AR59" i="168"/>
  <c r="K2"/>
  <c r="K14" s="1"/>
  <c r="AS58" i="151"/>
  <c r="AR59"/>
  <c r="K2"/>
  <c r="K14" s="1"/>
  <c r="AR59" i="163"/>
  <c r="K2"/>
  <c r="K14" s="1"/>
  <c r="AF57" i="152"/>
  <c r="AA55" i="160"/>
  <c r="AR59" i="159"/>
  <c r="K2"/>
  <c r="K14" s="1"/>
  <c r="AS57" i="146"/>
  <c r="AS58" i="168"/>
  <c r="AR59" i="166"/>
  <c r="K2"/>
  <c r="K14" s="1"/>
  <c r="AS58" i="165"/>
  <c r="AS59" s="1"/>
  <c r="K11" s="1"/>
  <c r="BH803" i="175"/>
  <c r="BC71" i="189"/>
  <c r="AT699" i="175"/>
  <c r="H16" i="60"/>
  <c r="S45" i="64"/>
  <c r="O42" i="120"/>
  <c r="O59" i="148"/>
  <c r="B39" i="64"/>
  <c r="AS38" i="175"/>
  <c r="X43" i="120"/>
  <c r="F17" i="60"/>
  <c r="AT261" i="175"/>
  <c r="O41" i="71"/>
  <c r="F15" i="60"/>
  <c r="AR258" i="175"/>
  <c r="G43" i="71"/>
  <c r="X43" i="64"/>
  <c r="F14" i="60"/>
  <c r="I12"/>
  <c r="F11"/>
  <c r="F12"/>
  <c r="H7"/>
  <c r="K23"/>
  <c r="AP691" i="175"/>
  <c r="F24" i="60"/>
  <c r="I19"/>
  <c r="H25"/>
  <c r="F44" i="71"/>
  <c r="AR198" i="175"/>
  <c r="AS137"/>
  <c r="X43" i="67"/>
  <c r="F19" i="60"/>
  <c r="G44" i="120"/>
  <c r="E45" i="68"/>
  <c r="I25" i="60"/>
  <c r="AS34" i="175"/>
  <c r="AR197"/>
  <c r="E59" i="152"/>
  <c r="H14" i="60"/>
  <c r="AP694" i="175"/>
  <c r="S57" i="160"/>
  <c r="S44" i="68"/>
  <c r="I14" i="60"/>
  <c r="H21"/>
  <c r="H58" i="160"/>
  <c r="N22" i="60"/>
  <c r="AS700" i="175"/>
  <c r="E45" i="71"/>
  <c r="AQ662" i="175"/>
  <c r="AR657"/>
  <c r="O41" i="119"/>
  <c r="AR39" i="175"/>
  <c r="AS195"/>
  <c r="I26" i="60"/>
  <c r="AR41" i="175"/>
  <c r="H26" i="60"/>
  <c r="AQ382" i="175"/>
  <c r="K59" i="147"/>
  <c r="X42" i="71"/>
  <c r="F45" i="67"/>
  <c r="H17" i="60"/>
  <c r="B58" i="152"/>
  <c r="S59" i="148"/>
  <c r="AR661" i="175"/>
  <c r="AR129"/>
  <c r="AQ132"/>
  <c r="F44" i="68"/>
  <c r="AS135" i="175"/>
  <c r="AR696"/>
  <c r="L20" i="60"/>
  <c r="N19"/>
  <c r="AQ660" i="175"/>
  <c r="O42" i="64"/>
  <c r="X43" i="140"/>
  <c r="H11" i="60"/>
  <c r="AR37" i="175"/>
  <c r="F44" i="67"/>
  <c r="O58" i="152"/>
  <c r="O40" i="68"/>
  <c r="F7" i="60"/>
  <c r="H12"/>
  <c r="I21"/>
  <c r="F45" i="140"/>
  <c r="I7" i="60"/>
  <c r="AQ664" i="175"/>
  <c r="AS191"/>
  <c r="X41" i="68"/>
  <c r="X42" i="119"/>
  <c r="B57" i="160"/>
  <c r="AQ692" i="175"/>
  <c r="AR259"/>
  <c r="S58" i="152"/>
  <c r="H59"/>
  <c r="F13" i="60"/>
  <c r="AT690" i="175"/>
  <c r="F45" i="120"/>
  <c r="AP693" i="175"/>
  <c r="I13" i="60"/>
  <c r="AS385" i="175"/>
  <c r="K56" i="160"/>
  <c r="F44" i="119"/>
  <c r="F25" i="60"/>
  <c r="AQ663" i="175"/>
  <c r="AS665"/>
  <c r="B39" i="67"/>
  <c r="AR256" i="175"/>
  <c r="AR260"/>
  <c r="AP384"/>
  <c r="AQ136"/>
  <c r="H13" i="60"/>
  <c r="O42" i="67"/>
  <c r="I17" i="60"/>
  <c r="O42" i="140"/>
  <c r="I24" i="60"/>
  <c r="AO176" i="175"/>
  <c r="B38" i="71"/>
  <c r="N21" i="60"/>
  <c r="B59" i="148"/>
  <c r="E20" i="60"/>
  <c r="AR40" i="175"/>
  <c r="S45" i="67"/>
  <c r="AR194" i="175"/>
  <c r="AT199"/>
  <c r="H45" i="71"/>
  <c r="F26" i="60"/>
  <c r="F45" i="64"/>
  <c r="G43" i="119"/>
  <c r="F21" i="60"/>
  <c r="AS253" i="175"/>
  <c r="O57" i="160"/>
  <c r="AQ377" i="175"/>
  <c r="I15" i="60"/>
  <c r="N11"/>
  <c r="K58" i="148"/>
  <c r="H19" i="60"/>
  <c r="AR133" i="175"/>
  <c r="B39" i="119"/>
  <c r="F44" i="64"/>
  <c r="H15" i="60"/>
  <c r="G44" i="140"/>
  <c r="I11" i="60"/>
  <c r="G42" i="68"/>
  <c r="B38"/>
  <c r="AR196" i="175"/>
  <c r="AR381"/>
  <c r="H24" i="60"/>
  <c r="AS134" i="175"/>
  <c r="AS257"/>
  <c r="F16" i="60"/>
  <c r="AT389" i="175"/>
  <c r="I16" i="60"/>
  <c r="K57" i="152"/>
  <c r="AQ383" i="175"/>
  <c r="AR385"/>
  <c r="E58" i="160"/>
  <c r="G43" i="68"/>
  <c r="L2" i="147" l="1"/>
  <c r="AS57" i="164"/>
  <c r="F799" i="175"/>
  <c r="C76" i="189" s="1"/>
  <c r="AQ76"/>
  <c r="BE76" s="1"/>
  <c r="AZ284" i="118"/>
  <c r="AZ49"/>
  <c r="AS638" i="175"/>
  <c r="BH389"/>
  <c r="F389"/>
  <c r="K3" i="164"/>
  <c r="AQ46" i="189"/>
  <c r="BE46" s="1"/>
  <c r="AT800" i="175"/>
  <c r="BH769"/>
  <c r="F769"/>
  <c r="C46" i="189" s="1"/>
  <c r="F699" i="175"/>
  <c r="BH699"/>
  <c r="AT637"/>
  <c r="F637" s="1"/>
  <c r="AQ788"/>
  <c r="AN65" i="189" s="1"/>
  <c r="BE92" i="118"/>
  <c r="BE187"/>
  <c r="BE140"/>
  <c r="BE281"/>
  <c r="BE46"/>
  <c r="AQ733" i="175"/>
  <c r="AM10" i="189"/>
  <c r="AP795" i="175"/>
  <c r="AM72" i="189" s="1"/>
  <c r="BF795" i="175"/>
  <c r="AL72" i="189"/>
  <c r="BC72" s="1"/>
  <c r="AR54" i="160"/>
  <c r="BL93" i="118"/>
  <c r="AR726" i="175"/>
  <c r="AR788" s="1"/>
  <c r="AO65" i="189" s="1"/>
  <c r="AJ56" i="152"/>
  <c r="AR56" s="1"/>
  <c r="AR55"/>
  <c r="AS55" s="1"/>
  <c r="AR796" i="175"/>
  <c r="AO73" i="189" s="1"/>
  <c r="AM6"/>
  <c r="AS734" i="175"/>
  <c r="AS796" s="1"/>
  <c r="BD94" i="118"/>
  <c r="AR730" i="175"/>
  <c r="AO7" i="189" s="1"/>
  <c r="BI92" i="118"/>
  <c r="D58" i="152"/>
  <c r="X58" s="1"/>
  <c r="N58" i="148"/>
  <c r="N56" i="160"/>
  <c r="N57" i="152"/>
  <c r="AQ729" i="175"/>
  <c r="AQ791" s="1"/>
  <c r="AN68" i="189" s="1"/>
  <c r="BH93" i="118"/>
  <c r="AC48" i="72"/>
  <c r="N59" i="147"/>
  <c r="AB58" i="148"/>
  <c r="AJ58" s="1"/>
  <c r="D59"/>
  <c r="X59" s="1"/>
  <c r="C58"/>
  <c r="D57" i="160"/>
  <c r="C56"/>
  <c r="AB56"/>
  <c r="AB57" i="152"/>
  <c r="BF791" i="175"/>
  <c r="C59" i="147"/>
  <c r="AB59"/>
  <c r="AJ59" s="1"/>
  <c r="O3" s="1"/>
  <c r="X58" i="148"/>
  <c r="AA58" s="1"/>
  <c r="AJ55" i="160"/>
  <c r="AQ792" i="175"/>
  <c r="AN69" i="189" s="1"/>
  <c r="BH798" i="175"/>
  <c r="F798"/>
  <c r="C75" i="189" s="1"/>
  <c r="BH47" i="118"/>
  <c r="BH282"/>
  <c r="BH141"/>
  <c r="BH188"/>
  <c r="AQ630" i="175"/>
  <c r="AR58" i="164"/>
  <c r="BH646" i="175"/>
  <c r="BI281" i="118"/>
  <c r="BI46"/>
  <c r="BD142"/>
  <c r="BD189"/>
  <c r="BI187"/>
  <c r="BI140"/>
  <c r="AP629" i="175"/>
  <c r="BH261"/>
  <c r="F261"/>
  <c r="AR634"/>
  <c r="F199"/>
  <c r="BH199"/>
  <c r="AO190"/>
  <c r="BF190" s="1"/>
  <c r="BF176"/>
  <c r="AS56" i="148"/>
  <c r="AS51" i="143"/>
  <c r="F648" i="175"/>
  <c r="BH648"/>
  <c r="F252"/>
  <c r="D6" i="176"/>
  <c r="BH252" i="175"/>
  <c r="F636"/>
  <c r="AJ53" i="143"/>
  <c r="F647" i="175"/>
  <c r="BH647"/>
  <c r="F644"/>
  <c r="BH644"/>
  <c r="F645"/>
  <c r="BH645"/>
  <c r="AD186" i="118"/>
  <c r="AD139"/>
  <c r="AG43" i="72"/>
  <c r="AA53" i="143"/>
  <c r="X54"/>
  <c r="AC54"/>
  <c r="N54"/>
  <c r="AR52"/>
  <c r="M55"/>
  <c r="L55" s="1"/>
  <c r="BG281" i="118"/>
  <c r="BL47"/>
  <c r="BG46"/>
  <c r="BL282"/>
  <c r="BL188"/>
  <c r="BL141"/>
  <c r="BG94"/>
  <c r="BG140"/>
  <c r="BG187"/>
  <c r="AR731" i="175"/>
  <c r="AR793" s="1"/>
  <c r="AO70" i="189" s="1"/>
  <c r="AP631" i="175"/>
  <c r="AN8" i="189"/>
  <c r="AS58" i="149"/>
  <c r="AR59"/>
  <c r="K8" s="1"/>
  <c r="L2" i="164"/>
  <c r="L4" s="1"/>
  <c r="AR58" i="147"/>
  <c r="AA59" i="164"/>
  <c r="K2" s="1"/>
  <c r="BF632" i="175"/>
  <c r="AP632"/>
  <c r="K3" i="146"/>
  <c r="M4" i="164"/>
  <c r="AR57" i="148"/>
  <c r="Q47" i="72"/>
  <c r="AA57" i="152"/>
  <c r="V49" i="72"/>
  <c r="BF140" i="118"/>
  <c r="BF187"/>
  <c r="AC49" i="72"/>
  <c r="R59" i="148"/>
  <c r="G59" i="152"/>
  <c r="V57" i="160"/>
  <c r="AT628" i="175"/>
  <c r="F690"/>
  <c r="BH690"/>
  <c r="G20" i="60"/>
  <c r="R57" i="160"/>
  <c r="AR221" i="175"/>
  <c r="AR732"/>
  <c r="BF94" i="118"/>
  <c r="AR283" i="175"/>
  <c r="BF46" i="118"/>
  <c r="BF281"/>
  <c r="V58" i="152"/>
  <c r="V59" i="148"/>
  <c r="J59" i="152"/>
  <c r="R58"/>
  <c r="M4" i="147"/>
  <c r="M3"/>
  <c r="AA59"/>
  <c r="L4"/>
  <c r="AM71" i="189"/>
  <c r="AS59" i="145"/>
  <c r="K11" s="1"/>
  <c r="K8"/>
  <c r="F59" i="148"/>
  <c r="AD59"/>
  <c r="I57" i="160"/>
  <c r="AF57"/>
  <c r="J58"/>
  <c r="F641" i="175"/>
  <c r="BH641"/>
  <c r="AS59" i="56"/>
  <c r="K11" s="1"/>
  <c r="K8"/>
  <c r="AQ67" i="189"/>
  <c r="BE67" s="1"/>
  <c r="F790" i="175"/>
  <c r="C67" i="189" s="1"/>
  <c r="BH790" i="175"/>
  <c r="AS59" i="158"/>
  <c r="K11" s="1"/>
  <c r="K8"/>
  <c r="AS58" i="146"/>
  <c r="AS59" i="154"/>
  <c r="K11" s="1"/>
  <c r="K8"/>
  <c r="AS59" i="159"/>
  <c r="K11" s="1"/>
  <c r="K8"/>
  <c r="AR59" i="171"/>
  <c r="K2"/>
  <c r="AS59" i="153"/>
  <c r="K11" s="1"/>
  <c r="K8"/>
  <c r="AS59" i="161"/>
  <c r="K11" s="1"/>
  <c r="K8"/>
  <c r="L13" i="162"/>
  <c r="F57" i="160"/>
  <c r="G58"/>
  <c r="AD57"/>
  <c r="AQ794" i="175"/>
  <c r="AN71" i="189" s="1"/>
  <c r="AN9"/>
  <c r="AS59" i="166"/>
  <c r="K11" s="1"/>
  <c r="K8"/>
  <c r="AS59" i="163"/>
  <c r="K11" s="1"/>
  <c r="K8"/>
  <c r="AS59" i="168"/>
  <c r="K11" s="1"/>
  <c r="K8"/>
  <c r="K9" i="165"/>
  <c r="K12"/>
  <c r="K13" s="1"/>
  <c r="K10"/>
  <c r="F627" i="175"/>
  <c r="BH627"/>
  <c r="AA56" i="160"/>
  <c r="AS59" i="150"/>
  <c r="K11" s="1"/>
  <c r="K8"/>
  <c r="AS59" i="155"/>
  <c r="K11" s="1"/>
  <c r="K8"/>
  <c r="AR59" i="146"/>
  <c r="K2"/>
  <c r="K14" s="1"/>
  <c r="AF58" i="152"/>
  <c r="AS59" i="151"/>
  <c r="K11" s="1"/>
  <c r="K8"/>
  <c r="AS59" i="167"/>
  <c r="K11" s="1"/>
  <c r="K8"/>
  <c r="AS57" i="147"/>
  <c r="AF59" i="148"/>
  <c r="I59"/>
  <c r="F635" i="175"/>
  <c r="BH635"/>
  <c r="AD58" i="152"/>
  <c r="AX7" i="51"/>
  <c r="BH636" i="175"/>
  <c r="O41" i="68"/>
  <c r="AQ691" i="175"/>
  <c r="B39" i="71"/>
  <c r="O58" i="160"/>
  <c r="K19" i="60"/>
  <c r="AT257" i="175"/>
  <c r="O43" i="140"/>
  <c r="AQ694" i="175"/>
  <c r="B58" i="160"/>
  <c r="O43" i="120"/>
  <c r="K59" i="148"/>
  <c r="AP176" i="175"/>
  <c r="B39" i="68"/>
  <c r="AR662" i="175"/>
  <c r="AS696"/>
  <c r="F8" i="60"/>
  <c r="X44" i="140"/>
  <c r="AS661" i="175"/>
  <c r="AS194"/>
  <c r="N8" i="60"/>
  <c r="AS129" i="175"/>
  <c r="X44" i="67"/>
  <c r="F45" i="71"/>
  <c r="F45" i="119"/>
  <c r="AQ693" i="175"/>
  <c r="K13" i="60"/>
  <c r="AT700" i="175"/>
  <c r="AT134"/>
  <c r="K14" i="60"/>
  <c r="O42" i="71"/>
  <c r="X43" i="119"/>
  <c r="I22" i="60"/>
  <c r="I8"/>
  <c r="K58" i="152"/>
  <c r="AQ688" i="175"/>
  <c r="AR692"/>
  <c r="G45" i="67"/>
  <c r="AS256" i="175"/>
  <c r="E23" i="60"/>
  <c r="G45" i="140"/>
  <c r="AS657" i="175"/>
  <c r="G44" i="71"/>
  <c r="AS198" i="175"/>
  <c r="G45" i="64"/>
  <c r="AS196" i="175"/>
  <c r="L23" i="60"/>
  <c r="K11"/>
  <c r="AP695" i="175"/>
  <c r="K21" i="60"/>
  <c r="AR382" i="175"/>
  <c r="AR663"/>
  <c r="K16" i="60"/>
  <c r="AT253" i="175"/>
  <c r="S59" i="152"/>
  <c r="AT191" i="175"/>
  <c r="AS260"/>
  <c r="AT42"/>
  <c r="AT195"/>
  <c r="K26" i="60"/>
  <c r="K7"/>
  <c r="K57" i="160"/>
  <c r="AR660" i="175"/>
  <c r="AR383"/>
  <c r="F45" i="68"/>
  <c r="K25" i="60"/>
  <c r="AT34" i="175"/>
  <c r="AQ384"/>
  <c r="AQ380"/>
  <c r="G44" i="64"/>
  <c r="AT137" i="175"/>
  <c r="AS197"/>
  <c r="AS133"/>
  <c r="AS39"/>
  <c r="AS40"/>
  <c r="AR688"/>
  <c r="K12" i="60"/>
  <c r="AT38" i="175"/>
  <c r="S45" i="71"/>
  <c r="G44" i="67"/>
  <c r="AR377" i="175"/>
  <c r="X44" i="120"/>
  <c r="O42" i="119"/>
  <c r="AS258" i="175"/>
  <c r="G44" i="119"/>
  <c r="AT135" i="175"/>
  <c r="O59" i="152"/>
  <c r="AT665" i="175"/>
  <c r="H8" i="60"/>
  <c r="G44" i="68"/>
  <c r="X43" i="71"/>
  <c r="AR664" i="175"/>
  <c r="AT385"/>
  <c r="B40" i="67"/>
  <c r="K15" i="60"/>
  <c r="AR380" i="175"/>
  <c r="AR136"/>
  <c r="X44" i="64"/>
  <c r="K17" i="60"/>
  <c r="AR132" i="175"/>
  <c r="K24" i="60"/>
  <c r="B40" i="64"/>
  <c r="H22" i="60"/>
  <c r="G45" i="120"/>
  <c r="B59" i="152"/>
  <c r="X42" i="68"/>
  <c r="AS259" i="175"/>
  <c r="B40" i="119"/>
  <c r="S58" i="160"/>
  <c r="E59"/>
  <c r="H59"/>
  <c r="L2" i="148" l="1"/>
  <c r="L4" s="1"/>
  <c r="K3" i="147"/>
  <c r="AN6" i="189"/>
  <c r="BH637" i="175"/>
  <c r="AT638"/>
  <c r="F700"/>
  <c r="BH700"/>
  <c r="BH800"/>
  <c r="F800"/>
  <c r="C77" i="189" s="1"/>
  <c r="AQ77"/>
  <c r="BE77" s="1"/>
  <c r="AS58" i="164"/>
  <c r="BE188" i="118"/>
  <c r="BE141"/>
  <c r="BE93"/>
  <c r="AR733" i="175"/>
  <c r="AP633"/>
  <c r="AJ56" i="160"/>
  <c r="AR56" s="1"/>
  <c r="AQ795" i="175"/>
  <c r="AN72" i="189" s="1"/>
  <c r="AN10"/>
  <c r="AR55" i="160"/>
  <c r="AS54"/>
  <c r="AO3" i="189"/>
  <c r="BL94" i="118"/>
  <c r="AS726" i="175"/>
  <c r="AP3" i="189" s="1"/>
  <c r="AQ626" i="175"/>
  <c r="AR792"/>
  <c r="AO69" i="189" s="1"/>
  <c r="AP11"/>
  <c r="AS730" i="175"/>
  <c r="AS792" s="1"/>
  <c r="AP69" i="189" s="1"/>
  <c r="AT734" i="175"/>
  <c r="BH734" s="1"/>
  <c r="F137"/>
  <c r="BH137"/>
  <c r="N57" i="160"/>
  <c r="N58" i="152"/>
  <c r="BI93" i="118"/>
  <c r="D59" i="152"/>
  <c r="X59" s="1"/>
  <c r="L2" s="1"/>
  <c r="BH94" i="118"/>
  <c r="AR729" i="175"/>
  <c r="AO6" i="189" s="1"/>
  <c r="BD95" i="118"/>
  <c r="BD48"/>
  <c r="BH42" i="175"/>
  <c r="BD283" i="118"/>
  <c r="AB48" i="72"/>
  <c r="N59" i="148"/>
  <c r="AB57" i="160"/>
  <c r="D58"/>
  <c r="X58" s="1"/>
  <c r="C57"/>
  <c r="AB58" i="152"/>
  <c r="AJ57"/>
  <c r="X57" i="160"/>
  <c r="AB59" i="148"/>
  <c r="AJ59" s="1"/>
  <c r="O3" s="1"/>
  <c r="C59"/>
  <c r="BH189" i="118"/>
  <c r="BH142"/>
  <c r="BH283"/>
  <c r="BH48"/>
  <c r="AR630" i="175"/>
  <c r="BH38"/>
  <c r="F195"/>
  <c r="BH195"/>
  <c r="BH257"/>
  <c r="F257"/>
  <c r="BD190" i="118"/>
  <c r="BD143"/>
  <c r="BI188"/>
  <c r="BI141"/>
  <c r="BD284"/>
  <c r="BD49"/>
  <c r="BH385" i="175"/>
  <c r="F385"/>
  <c r="AQ629"/>
  <c r="BH665"/>
  <c r="F665"/>
  <c r="AP190"/>
  <c r="AS634"/>
  <c r="AJ54" i="143"/>
  <c r="AP73" i="189"/>
  <c r="AS57" i="148"/>
  <c r="AS52" i="143"/>
  <c r="AG44" i="72"/>
  <c r="M56" i="143"/>
  <c r="L56" s="1"/>
  <c r="X55"/>
  <c r="AC55"/>
  <c r="N55"/>
  <c r="AA54"/>
  <c r="AR53"/>
  <c r="AO8" i="189"/>
  <c r="AD187" i="118"/>
  <c r="AR59" i="164"/>
  <c r="K8" s="1"/>
  <c r="BG47" i="118"/>
  <c r="BL142"/>
  <c r="BL189"/>
  <c r="BL283"/>
  <c r="BL48"/>
  <c r="BG95"/>
  <c r="BG141"/>
  <c r="BG188"/>
  <c r="BG282"/>
  <c r="AS731" i="175"/>
  <c r="AS793" s="1"/>
  <c r="F134"/>
  <c r="BH134"/>
  <c r="AR626"/>
  <c r="BH34"/>
  <c r="BH253"/>
  <c r="F253"/>
  <c r="AQ631"/>
  <c r="F191"/>
  <c r="BH191"/>
  <c r="AS56" i="152"/>
  <c r="AA58"/>
  <c r="AD140" i="118"/>
  <c r="K14" i="164"/>
  <c r="AS58" i="147"/>
  <c r="AS59" i="149"/>
  <c r="K11" s="1"/>
  <c r="Q48" i="72"/>
  <c r="AS221" i="175"/>
  <c r="AS732"/>
  <c r="R59" i="152"/>
  <c r="AQ632" i="175"/>
  <c r="V59" i="152"/>
  <c r="AB49" i="72"/>
  <c r="V58" i="160"/>
  <c r="BF141" i="118"/>
  <c r="BF188"/>
  <c r="AS283" i="175"/>
  <c r="BF95" i="118"/>
  <c r="BF282"/>
  <c r="BF47"/>
  <c r="R58" i="160"/>
  <c r="F135" i="175"/>
  <c r="BH135"/>
  <c r="G23" i="60"/>
  <c r="AS59" i="146"/>
  <c r="K11" s="1"/>
  <c r="K8"/>
  <c r="K10" i="149"/>
  <c r="K12"/>
  <c r="K13" s="1"/>
  <c r="K9"/>
  <c r="K9" i="154"/>
  <c r="K12"/>
  <c r="K13" s="1"/>
  <c r="K10"/>
  <c r="K9" i="158"/>
  <c r="K10"/>
  <c r="K12"/>
  <c r="K13" s="1"/>
  <c r="AD59" i="152"/>
  <c r="K12" i="167"/>
  <c r="K13" s="1"/>
  <c r="K10"/>
  <c r="K9"/>
  <c r="K12" i="168"/>
  <c r="K13" s="1"/>
  <c r="K9"/>
  <c r="K10"/>
  <c r="K9" i="153"/>
  <c r="K10"/>
  <c r="K12"/>
  <c r="K13" s="1"/>
  <c r="AF59" i="152"/>
  <c r="K9" i="151"/>
  <c r="K10"/>
  <c r="K12"/>
  <c r="K13" s="1"/>
  <c r="M4" i="148"/>
  <c r="M3"/>
  <c r="AA59"/>
  <c r="K10" i="159"/>
  <c r="K9"/>
  <c r="K12"/>
  <c r="K13" s="1"/>
  <c r="K12" i="56"/>
  <c r="K13" s="1"/>
  <c r="L13" s="1"/>
  <c r="K10"/>
  <c r="K9"/>
  <c r="I58" i="160"/>
  <c r="J59"/>
  <c r="AF58"/>
  <c r="K10" i="166"/>
  <c r="K9"/>
  <c r="K12"/>
  <c r="K13" s="1"/>
  <c r="G59" i="160"/>
  <c r="F58"/>
  <c r="AD58"/>
  <c r="AS59" i="171"/>
  <c r="K11" s="1"/>
  <c r="K8"/>
  <c r="K10" i="145"/>
  <c r="K12"/>
  <c r="K13" s="1"/>
  <c r="K9"/>
  <c r="K10" i="155"/>
  <c r="K12"/>
  <c r="K13" s="1"/>
  <c r="L13" s="1"/>
  <c r="K9"/>
  <c r="K12" i="150"/>
  <c r="K13" s="1"/>
  <c r="K10"/>
  <c r="K9"/>
  <c r="L13" i="165"/>
  <c r="K10" i="163"/>
  <c r="K12"/>
  <c r="K13" s="1"/>
  <c r="K9"/>
  <c r="K9" i="161"/>
  <c r="K12"/>
  <c r="K13" s="1"/>
  <c r="K10"/>
  <c r="AR58" i="148"/>
  <c r="AR59" i="147"/>
  <c r="K2"/>
  <c r="K14" s="1"/>
  <c r="AO9" i="189"/>
  <c r="AR794" i="175"/>
  <c r="F628"/>
  <c r="BH628"/>
  <c r="AS663"/>
  <c r="X45" i="120"/>
  <c r="S59" i="160"/>
  <c r="E21" i="60"/>
  <c r="B40" i="68"/>
  <c r="G45" i="119"/>
  <c r="G45" i="71"/>
  <c r="AT198" i="175"/>
  <c r="H9" i="60"/>
  <c r="L24"/>
  <c r="AT133" i="175"/>
  <c r="O44" i="67"/>
  <c r="E11" i="60"/>
  <c r="AS382" i="175"/>
  <c r="L19" i="60"/>
  <c r="AS41" i="175"/>
  <c r="L16" i="60"/>
  <c r="O43" i="119"/>
  <c r="L26" i="60"/>
  <c r="AQ176" i="175"/>
  <c r="E7" i="60"/>
  <c r="AR695" i="175"/>
  <c r="AQ695"/>
  <c r="L15" i="60"/>
  <c r="N9"/>
  <c r="B40" i="71"/>
  <c r="O42" i="68"/>
  <c r="AT41" i="175"/>
  <c r="X44" i="71"/>
  <c r="AT39" i="175"/>
  <c r="E19" i="60"/>
  <c r="AT194" i="175"/>
  <c r="AT383"/>
  <c r="I9" i="60"/>
  <c r="AR693" i="175"/>
  <c r="AR694"/>
  <c r="L11" i="60"/>
  <c r="AS662" i="175"/>
  <c r="AT197"/>
  <c r="L12" i="60"/>
  <c r="AT256" i="175"/>
  <c r="E26" i="60"/>
  <c r="AS381" i="175"/>
  <c r="E24" i="60"/>
  <c r="AS136" i="175"/>
  <c r="B41" i="64"/>
  <c r="AS660" i="175"/>
  <c r="AS132"/>
  <c r="AR384"/>
  <c r="AS37"/>
  <c r="L25" i="60"/>
  <c r="B59" i="160"/>
  <c r="K59" i="152"/>
  <c r="E12" i="60"/>
  <c r="L13"/>
  <c r="X45" i="64"/>
  <c r="E25" i="60"/>
  <c r="AT40" i="175"/>
  <c r="AS377"/>
  <c r="AT196"/>
  <c r="O59" i="160"/>
  <c r="O44" i="64"/>
  <c r="O43"/>
  <c r="F9" i="60"/>
  <c r="AT129" i="175"/>
  <c r="K58" i="160"/>
  <c r="AT260" i="175"/>
  <c r="L7" i="60"/>
  <c r="X45" i="140"/>
  <c r="F22" i="60"/>
  <c r="AT37" i="175"/>
  <c r="L17" i="60"/>
  <c r="AT259" i="175"/>
  <c r="B41" i="119"/>
  <c r="L21" i="60"/>
  <c r="AT657" i="175"/>
  <c r="AT661"/>
  <c r="AT696"/>
  <c r="O44" i="120"/>
  <c r="AT381" i="175"/>
  <c r="X43" i="68"/>
  <c r="X44" i="119"/>
  <c r="E17" i="60"/>
  <c r="L14"/>
  <c r="E15"/>
  <c r="AR691" i="175"/>
  <c r="AS380"/>
  <c r="K22" i="60"/>
  <c r="O43" i="67"/>
  <c r="AT258" i="175"/>
  <c r="E13" i="60"/>
  <c r="AS692" i="175"/>
  <c r="E14" i="60"/>
  <c r="O44" i="140"/>
  <c r="K8" i="60"/>
  <c r="X45" i="67"/>
  <c r="G45" i="68"/>
  <c r="E16" i="60"/>
  <c r="AS383" i="175"/>
  <c r="B41" i="67"/>
  <c r="K3" i="148" l="1"/>
  <c r="AS788" i="175"/>
  <c r="AP65" i="189" s="1"/>
  <c r="BH638" i="175"/>
  <c r="F638"/>
  <c r="AS55" i="160"/>
  <c r="AS56" s="1"/>
  <c r="BE47" i="118"/>
  <c r="BE282"/>
  <c r="BE189"/>
  <c r="BE142"/>
  <c r="BE283"/>
  <c r="BE48"/>
  <c r="BE94"/>
  <c r="AQ633" i="175"/>
  <c r="BH41"/>
  <c r="F260"/>
  <c r="BH260"/>
  <c r="F198"/>
  <c r="BH198"/>
  <c r="AR633"/>
  <c r="AS733"/>
  <c r="AA57" i="160"/>
  <c r="AJ57"/>
  <c r="AR795" i="175"/>
  <c r="AO72" i="189" s="1"/>
  <c r="AO10"/>
  <c r="BL95" i="118"/>
  <c r="AT726" i="175"/>
  <c r="BH726" s="1"/>
  <c r="F129"/>
  <c r="BH129"/>
  <c r="AJ58" i="152"/>
  <c r="AR58" s="1"/>
  <c r="AR57"/>
  <c r="AS57" s="1"/>
  <c r="AP7" i="189"/>
  <c r="AQ11"/>
  <c r="BE11" s="1"/>
  <c r="F734" i="175"/>
  <c r="C11" i="189" s="1"/>
  <c r="BH95" i="118"/>
  <c r="F133" i="175"/>
  <c r="AT730"/>
  <c r="AQ7" i="189" s="1"/>
  <c r="BH133" i="175"/>
  <c r="BD96" i="118"/>
  <c r="N58" i="160"/>
  <c r="BI282" i="118"/>
  <c r="BI47"/>
  <c r="N59" i="152"/>
  <c r="AS729" i="175"/>
  <c r="AS791" s="1"/>
  <c r="BI94" i="118"/>
  <c r="AB58" i="160"/>
  <c r="C58"/>
  <c r="D59"/>
  <c r="X59" s="1"/>
  <c r="L2" s="1"/>
  <c r="AB59" i="152"/>
  <c r="AJ59" s="1"/>
  <c r="AT796" i="175"/>
  <c r="AQ73" i="189" s="1"/>
  <c r="BE73" s="1"/>
  <c r="AR791" i="175"/>
  <c r="AO68" i="189" s="1"/>
  <c r="BH49" i="118"/>
  <c r="BH143"/>
  <c r="BH190"/>
  <c r="BH284"/>
  <c r="BH661" i="175"/>
  <c r="F661"/>
  <c r="F381"/>
  <c r="BH381"/>
  <c r="AS630"/>
  <c r="BI142" i="118"/>
  <c r="BI189"/>
  <c r="BI283"/>
  <c r="BI48"/>
  <c r="AR629" i="175"/>
  <c r="BH37"/>
  <c r="AQ190"/>
  <c r="F194"/>
  <c r="BH194"/>
  <c r="AT634"/>
  <c r="F634" s="1"/>
  <c r="F696"/>
  <c r="BH696"/>
  <c r="F256"/>
  <c r="BH256"/>
  <c r="AS53" i="143"/>
  <c r="AJ55"/>
  <c r="AG45" i="72"/>
  <c r="AR54" i="143"/>
  <c r="AC56"/>
  <c r="X56"/>
  <c r="N56"/>
  <c r="M57"/>
  <c r="L57" s="1"/>
  <c r="AA55"/>
  <c r="AD188" i="118"/>
  <c r="AD141"/>
  <c r="AS59" i="164"/>
  <c r="K11" s="1"/>
  <c r="BG189" i="118"/>
  <c r="BG142"/>
  <c r="BL49"/>
  <c r="BL143"/>
  <c r="BL190"/>
  <c r="BL284"/>
  <c r="BG283"/>
  <c r="BG48"/>
  <c r="BG96"/>
  <c r="BH39" i="175"/>
  <c r="AR631"/>
  <c r="BH258"/>
  <c r="F258"/>
  <c r="F657"/>
  <c r="BH657"/>
  <c r="F196"/>
  <c r="AT731"/>
  <c r="BH731" s="1"/>
  <c r="BH196"/>
  <c r="AP8" i="189"/>
  <c r="G12" i="60"/>
  <c r="R59" i="160"/>
  <c r="G21" i="60"/>
  <c r="G14"/>
  <c r="G25"/>
  <c r="G11"/>
  <c r="BF96" i="118"/>
  <c r="F259" i="175"/>
  <c r="AT283"/>
  <c r="BH259"/>
  <c r="BF142" i="118"/>
  <c r="BF189"/>
  <c r="F197" i="175"/>
  <c r="AT221"/>
  <c r="BH221" s="1"/>
  <c r="BH197"/>
  <c r="AT732"/>
  <c r="G7" i="60"/>
  <c r="F383" i="175"/>
  <c r="V59" i="160"/>
  <c r="AR632" i="175"/>
  <c r="Q49" i="72"/>
  <c r="BF48" i="118"/>
  <c r="BF283"/>
  <c r="BH40" i="175"/>
  <c r="G19" i="60"/>
  <c r="G24"/>
  <c r="G13"/>
  <c r="G16"/>
  <c r="G15"/>
  <c r="G26"/>
  <c r="BH383" i="175"/>
  <c r="G17" i="60"/>
  <c r="L13" i="150"/>
  <c r="K10" i="171"/>
  <c r="K9"/>
  <c r="K12"/>
  <c r="AD59" i="160"/>
  <c r="F59"/>
  <c r="L13" i="163"/>
  <c r="K10" i="164"/>
  <c r="K9"/>
  <c r="K12"/>
  <c r="K13" s="1"/>
  <c r="L13" i="153"/>
  <c r="L13" i="167"/>
  <c r="L13" i="149"/>
  <c r="AP9" i="189"/>
  <c r="AS794" i="175"/>
  <c r="AP71" i="189" s="1"/>
  <c r="AS59" i="147"/>
  <c r="K11" s="1"/>
  <c r="K8"/>
  <c r="L13" i="145"/>
  <c r="AF59" i="160"/>
  <c r="I59"/>
  <c r="AR59" i="148"/>
  <c r="K2"/>
  <c r="K14" s="1"/>
  <c r="M3" i="152"/>
  <c r="M4"/>
  <c r="AA59"/>
  <c r="L4"/>
  <c r="AA58" i="160"/>
  <c r="L13" i="161"/>
  <c r="L13" i="166"/>
  <c r="L13" i="151"/>
  <c r="L13" i="158"/>
  <c r="L13" i="154"/>
  <c r="L13" i="168"/>
  <c r="AP70" i="189"/>
  <c r="AO71"/>
  <c r="AS58" i="148"/>
  <c r="L13" i="159"/>
  <c r="K12" i="146"/>
  <c r="K13" s="1"/>
  <c r="K9"/>
  <c r="K10"/>
  <c r="E8" i="60"/>
  <c r="AR176" i="175"/>
  <c r="AT664"/>
  <c r="B42" i="119"/>
  <c r="X45" i="68"/>
  <c r="B41" i="71"/>
  <c r="O45" i="140"/>
  <c r="H10" i="60"/>
  <c r="AT382" i="175"/>
  <c r="AT380"/>
  <c r="O43" i="71"/>
  <c r="AS694" i="175"/>
  <c r="AT688"/>
  <c r="AT377"/>
  <c r="B41" i="68"/>
  <c r="I10" i="60"/>
  <c r="E22"/>
  <c r="X44" i="68"/>
  <c r="AT136" i="175"/>
  <c r="L8" i="60"/>
  <c r="AT663" i="175"/>
  <c r="AT132"/>
  <c r="K59" i="160"/>
  <c r="O45" i="64"/>
  <c r="AT662" i="175"/>
  <c r="B42" i="67"/>
  <c r="F10" i="60"/>
  <c r="B42" i="64"/>
  <c r="O43" i="68"/>
  <c r="K9" i="60"/>
  <c r="X45" i="119"/>
  <c r="O45" i="67"/>
  <c r="O44" i="71"/>
  <c r="AS688" i="175"/>
  <c r="O44" i="119"/>
  <c r="L22" i="60"/>
  <c r="N10"/>
  <c r="AS384" i="175"/>
  <c r="X45" i="71"/>
  <c r="AT692" i="175"/>
  <c r="AS664"/>
  <c r="AT660"/>
  <c r="AS693"/>
  <c r="O45" i="120"/>
  <c r="AS691" i="175"/>
  <c r="D5" i="188" l="1"/>
  <c r="D7"/>
  <c r="O3" i="152"/>
  <c r="AR57" i="160"/>
  <c r="AS57" s="1"/>
  <c r="AQ3" i="189"/>
  <c r="BE3" s="1"/>
  <c r="AT788" i="175"/>
  <c r="AQ65" i="189" s="1"/>
  <c r="BE65" s="1"/>
  <c r="BH730" i="175"/>
  <c r="BE49" i="118"/>
  <c r="BE284"/>
  <c r="BE190"/>
  <c r="BE143"/>
  <c r="BE95"/>
  <c r="AT733" i="175"/>
  <c r="F733" s="1"/>
  <c r="C10" i="189" s="1"/>
  <c r="BH136" i="175"/>
  <c r="F136"/>
  <c r="F664"/>
  <c r="BH664"/>
  <c r="AP10" i="189"/>
  <c r="AS795" i="175"/>
  <c r="AJ58" i="160"/>
  <c r="AR58" s="1"/>
  <c r="F726" i="175"/>
  <c r="C3" i="189" s="1"/>
  <c r="BL96" i="118"/>
  <c r="AS626" i="175"/>
  <c r="BH377"/>
  <c r="F377"/>
  <c r="BE7" i="189"/>
  <c r="BH796" i="175"/>
  <c r="BH132"/>
  <c r="F132"/>
  <c r="AT729"/>
  <c r="BH729" s="1"/>
  <c r="BI95" i="118"/>
  <c r="BH96"/>
  <c r="N59" i="160"/>
  <c r="AP6" i="189"/>
  <c r="F730" i="175"/>
  <c r="C7" i="189" s="1"/>
  <c r="C59" i="160"/>
  <c r="AB59"/>
  <c r="AJ59" s="1"/>
  <c r="F796" i="175"/>
  <c r="C73" i="189" s="1"/>
  <c r="AT792" i="175"/>
  <c r="BH792" s="1"/>
  <c r="BH692"/>
  <c r="AT630"/>
  <c r="F630" s="1"/>
  <c r="F692"/>
  <c r="AT793"/>
  <c r="BH793" s="1"/>
  <c r="BH634"/>
  <c r="BI190" i="118"/>
  <c r="BI143"/>
  <c r="BI49"/>
  <c r="BI284"/>
  <c r="AS629" i="175"/>
  <c r="BH660"/>
  <c r="F660"/>
  <c r="F380"/>
  <c r="BH380"/>
  <c r="AR190"/>
  <c r="AS54" i="143"/>
  <c r="AP68" i="189"/>
  <c r="AJ56" i="143"/>
  <c r="AG46" i="72"/>
  <c r="M58" i="143"/>
  <c r="L58" s="1"/>
  <c r="AA56"/>
  <c r="AR55"/>
  <c r="X57"/>
  <c r="AC57"/>
  <c r="N57"/>
  <c r="AD189" i="118"/>
  <c r="F731" i="175"/>
  <c r="C8" i="189" s="1"/>
  <c r="AD142" i="118"/>
  <c r="AQ8" i="189"/>
  <c r="BE8" s="1"/>
  <c r="K3" i="152"/>
  <c r="BG190" i="118"/>
  <c r="BG143"/>
  <c r="BG49"/>
  <c r="BG284"/>
  <c r="BH662" i="175"/>
  <c r="F662"/>
  <c r="AT626"/>
  <c r="F688"/>
  <c r="BH688"/>
  <c r="AS631"/>
  <c r="BH382"/>
  <c r="F382"/>
  <c r="AS632"/>
  <c r="BF49" i="118"/>
  <c r="BF284"/>
  <c r="G8" i="60"/>
  <c r="BF143" i="118"/>
  <c r="BF190"/>
  <c r="F663" i="175"/>
  <c r="BH663"/>
  <c r="G22" i="60"/>
  <c r="AS58" i="152"/>
  <c r="M3" i="160"/>
  <c r="M4"/>
  <c r="AA59"/>
  <c r="L4"/>
  <c r="AR59" i="152"/>
  <c r="K2"/>
  <c r="K14" s="1"/>
  <c r="AQ9" i="189"/>
  <c r="BE9" s="1"/>
  <c r="AT794" i="175"/>
  <c r="F732"/>
  <c r="C9" i="189" s="1"/>
  <c r="BH732" i="175"/>
  <c r="L13" i="146"/>
  <c r="D7" i="176"/>
  <c r="F283" i="175"/>
  <c r="BH283"/>
  <c r="AS59" i="148"/>
  <c r="K11" s="1"/>
  <c r="K8"/>
  <c r="K9" i="147"/>
  <c r="K12"/>
  <c r="K13" s="1"/>
  <c r="K10"/>
  <c r="L13" i="164"/>
  <c r="F221" i="175"/>
  <c r="D5" i="176"/>
  <c r="AT691" i="175"/>
  <c r="H27" i="60"/>
  <c r="O44" i="68"/>
  <c r="B43" i="64"/>
  <c r="O45" i="119"/>
  <c r="B42" i="71"/>
  <c r="AT693" i="175"/>
  <c r="AS695"/>
  <c r="B42" i="68"/>
  <c r="B43" i="119"/>
  <c r="AT384" i="175"/>
  <c r="B43" i="67"/>
  <c r="AS176" i="175"/>
  <c r="L9" i="60"/>
  <c r="O45" i="68"/>
  <c r="I27" i="60"/>
  <c r="F27"/>
  <c r="N27"/>
  <c r="E9"/>
  <c r="AT694" i="175"/>
  <c r="K10" i="60"/>
  <c r="O45" i="71"/>
  <c r="AT695" i="175"/>
  <c r="O3" i="160" l="1"/>
  <c r="BH626" i="175"/>
  <c r="AS633"/>
  <c r="K3" i="160"/>
  <c r="F788" i="175"/>
  <c r="C65" i="189" s="1"/>
  <c r="BH788" i="175"/>
  <c r="BE96" i="118"/>
  <c r="F384" i="175"/>
  <c r="BH384"/>
  <c r="AT633"/>
  <c r="BH695"/>
  <c r="F695"/>
  <c r="AP72" i="189"/>
  <c r="BH733" i="175"/>
  <c r="AT795"/>
  <c r="AQ10" i="189"/>
  <c r="BE10" s="1"/>
  <c r="AQ6"/>
  <c r="BE6" s="1"/>
  <c r="F729" i="175"/>
  <c r="C6" i="189" s="1"/>
  <c r="AT791" i="175"/>
  <c r="F791" s="1"/>
  <c r="C68" i="189" s="1"/>
  <c r="AQ69"/>
  <c r="BE69" s="1"/>
  <c r="F792" i="175"/>
  <c r="C69" i="189" s="1"/>
  <c r="BI96" i="118"/>
  <c r="BH630" i="175"/>
  <c r="AQ70" i="189"/>
  <c r="BE70" s="1"/>
  <c r="F793" i="175"/>
  <c r="C70" i="189" s="1"/>
  <c r="AT629" i="175"/>
  <c r="F629" s="1"/>
  <c r="BH691"/>
  <c r="F691"/>
  <c r="AS190"/>
  <c r="AD143" i="118"/>
  <c r="AJ57" i="143"/>
  <c r="F626" i="175"/>
  <c r="AG47" i="72"/>
  <c r="M59" i="143"/>
  <c r="L59" s="1"/>
  <c r="X58"/>
  <c r="N58"/>
  <c r="AC58"/>
  <c r="AS55"/>
  <c r="AR56"/>
  <c r="AA57"/>
  <c r="AT631" i="175"/>
  <c r="F631" s="1"/>
  <c r="BH693"/>
  <c r="F693"/>
  <c r="AD190" i="118"/>
  <c r="G9" i="60"/>
  <c r="AT632" i="175"/>
  <c r="F632" s="1"/>
  <c r="F694"/>
  <c r="BH694"/>
  <c r="L13" i="147"/>
  <c r="AS59" i="152"/>
  <c r="K11" s="1"/>
  <c r="K8"/>
  <c r="AS58" i="160"/>
  <c r="AR59"/>
  <c r="K2"/>
  <c r="K14" s="1"/>
  <c r="K9" i="148"/>
  <c r="K12"/>
  <c r="K13" s="1"/>
  <c r="K10"/>
  <c r="AQ71" i="189"/>
  <c r="BE71" s="1"/>
  <c r="F794" i="175"/>
  <c r="C71" i="189" s="1"/>
  <c r="BH794" i="175"/>
  <c r="AT176"/>
  <c r="B43" i="68"/>
  <c r="B43" i="71"/>
  <c r="L10" i="60"/>
  <c r="N18"/>
  <c r="F18"/>
  <c r="E10"/>
  <c r="K27"/>
  <c r="B44" i="119"/>
  <c r="B44" i="67"/>
  <c r="H18" i="60"/>
  <c r="B44" i="64"/>
  <c r="I18" i="60"/>
  <c r="BH633" i="175" l="1"/>
  <c r="F633"/>
  <c r="BH795"/>
  <c r="AQ72" i="189"/>
  <c r="BE72" s="1"/>
  <c r="F795" i="175"/>
  <c r="C72" i="189" s="1"/>
  <c r="AQ68"/>
  <c r="BE68" s="1"/>
  <c r="BH791" i="175"/>
  <c r="BH629"/>
  <c r="F176"/>
  <c r="D4" i="188" s="1"/>
  <c r="AT190" i="175"/>
  <c r="BH176"/>
  <c r="AJ58" i="143"/>
  <c r="AG48" i="72"/>
  <c r="X59" i="143"/>
  <c r="L2" s="1"/>
  <c r="L4" s="1"/>
  <c r="AC59"/>
  <c r="AJ59" s="1"/>
  <c r="N59"/>
  <c r="AR57"/>
  <c r="AA58"/>
  <c r="AS56"/>
  <c r="BH631" i="175"/>
  <c r="BH632"/>
  <c r="G10" i="60"/>
  <c r="K9" i="152"/>
  <c r="K12"/>
  <c r="K13" s="1"/>
  <c r="K10"/>
  <c r="L13" i="148"/>
  <c r="AS59" i="160"/>
  <c r="K11" s="1"/>
  <c r="K8"/>
  <c r="B45" i="119"/>
  <c r="B44" i="68"/>
  <c r="B45"/>
  <c r="K18" i="60"/>
  <c r="B44" i="71"/>
  <c r="B45" i="67"/>
  <c r="E27" i="60"/>
  <c r="B45" i="64"/>
  <c r="L27" i="60"/>
  <c r="H5"/>
  <c r="I5"/>
  <c r="O3" i="143" l="1"/>
  <c r="BH190" i="175"/>
  <c r="D4" i="176"/>
  <c r="F190" i="175"/>
  <c r="AG49" i="72"/>
  <c r="AA59" i="143"/>
  <c r="M3"/>
  <c r="M4"/>
  <c r="AS57"/>
  <c r="AR58"/>
  <c r="K3"/>
  <c r="G27" i="60"/>
  <c r="K9" i="160"/>
  <c r="K12"/>
  <c r="K13" s="1"/>
  <c r="K10"/>
  <c r="L13" i="152"/>
  <c r="B45" i="71"/>
  <c r="L18" i="60"/>
  <c r="E18"/>
  <c r="N5"/>
  <c r="AS58" i="143" l="1"/>
  <c r="AR59"/>
  <c r="K2"/>
  <c r="K14" s="1"/>
  <c r="G18" i="60"/>
  <c r="L13" i="160"/>
  <c r="F5" i="60"/>
  <c r="AS59" i="143" l="1"/>
  <c r="K11" s="1"/>
  <c r="K8"/>
  <c r="K5" i="60"/>
  <c r="K10" i="143" l="1"/>
  <c r="K12"/>
  <c r="K13" s="1"/>
  <c r="K9"/>
  <c r="B34" i="118"/>
  <c r="E5" i="60"/>
  <c r="L5"/>
  <c r="G5" l="1"/>
  <c r="L13" i="143"/>
  <c r="B25" i="118" l="1"/>
  <c r="B24"/>
  <c r="B21"/>
  <c r="B23"/>
  <c r="B22"/>
  <c r="AE9" i="142" l="1"/>
  <c r="AF9" l="1"/>
  <c r="AI9" s="1"/>
  <c r="AG9"/>
  <c r="AK10" s="1"/>
  <c r="AB9" l="1"/>
  <c r="AC9" s="1"/>
  <c r="T9" s="1"/>
  <c r="AH10"/>
  <c r="AL10" s="1"/>
  <c r="AE10" s="1"/>
  <c r="AO20" i="144"/>
  <c r="H549" i="175"/>
  <c r="H550"/>
  <c r="H547"/>
  <c r="H546"/>
  <c r="H580" l="1"/>
  <c r="H773"/>
  <c r="H774"/>
  <c r="H581"/>
  <c r="H578"/>
  <c r="H771"/>
  <c r="AP20" i="144"/>
  <c r="AR20" s="1"/>
  <c r="AG10" i="142"/>
  <c r="AK11" s="1"/>
  <c r="AF10"/>
  <c r="AI10" s="1"/>
  <c r="M22" i="144"/>
  <c r="L22" s="1"/>
  <c r="X22" s="1"/>
  <c r="H770" i="175"/>
  <c r="H801" s="1"/>
  <c r="H577"/>
  <c r="H563"/>
  <c r="H594" s="1"/>
  <c r="C8" i="64"/>
  <c r="J47" i="175"/>
  <c r="J48"/>
  <c r="H704"/>
  <c r="J50"/>
  <c r="H701"/>
  <c r="J51"/>
  <c r="H702"/>
  <c r="C6" i="70"/>
  <c r="C8" i="67"/>
  <c r="H705" i="175"/>
  <c r="AV247" i="118" l="1"/>
  <c r="AV12"/>
  <c r="H642" i="175"/>
  <c r="H804"/>
  <c r="E50" i="189"/>
  <c r="AU247" i="118"/>
  <c r="AU12"/>
  <c r="H643" i="175"/>
  <c r="E51" i="189"/>
  <c r="H805" i="175"/>
  <c r="AX12" i="118"/>
  <c r="AX247"/>
  <c r="H640" i="175"/>
  <c r="AC381" i="118"/>
  <c r="AG381" s="1"/>
  <c r="E48" i="189"/>
  <c r="H802" i="175"/>
  <c r="N22" i="144"/>
  <c r="AJ22"/>
  <c r="H787" i="175"/>
  <c r="H818" s="1"/>
  <c r="E47" i="189"/>
  <c r="J64" i="175"/>
  <c r="J127" s="1"/>
  <c r="AF12" i="72"/>
  <c r="AY247" i="118"/>
  <c r="AY12"/>
  <c r="H718" i="175"/>
  <c r="H639"/>
  <c r="E78" i="189"/>
  <c r="AA22" i="144"/>
  <c r="AB10" i="142"/>
  <c r="AO21" i="144"/>
  <c r="AH11" i="142"/>
  <c r="AS20" i="144"/>
  <c r="J674" i="175"/>
  <c r="J673"/>
  <c r="J391"/>
  <c r="J390"/>
  <c r="C8" i="119"/>
  <c r="J670" i="175"/>
  <c r="C8" i="68"/>
  <c r="J394" i="175"/>
  <c r="J142"/>
  <c r="I550"/>
  <c r="J671"/>
  <c r="I546"/>
  <c r="C8" i="71"/>
  <c r="I549" i="175"/>
  <c r="I547"/>
  <c r="J393"/>
  <c r="AV59" i="118" l="1"/>
  <c r="I580" i="175"/>
  <c r="I773"/>
  <c r="E81" i="189"/>
  <c r="AU59" i="118"/>
  <c r="I774" i="175"/>
  <c r="I581"/>
  <c r="E82" i="189"/>
  <c r="AH381" i="118"/>
  <c r="E64" i="189"/>
  <c r="AX59" i="118"/>
  <c r="I578" i="175"/>
  <c r="I771"/>
  <c r="E79" i="189"/>
  <c r="J739" i="175"/>
  <c r="G16" i="189" s="1"/>
  <c r="J159" i="175"/>
  <c r="AY59" i="118"/>
  <c r="AB383"/>
  <c r="J407" i="175"/>
  <c r="I577"/>
  <c r="I563"/>
  <c r="I770"/>
  <c r="AD383" i="118"/>
  <c r="J687" i="175"/>
  <c r="AL11" i="142"/>
  <c r="AE11" s="1"/>
  <c r="H719" i="175"/>
  <c r="AC10" i="142"/>
  <c r="T10" s="1"/>
  <c r="E95" i="189"/>
  <c r="AP21" i="144"/>
  <c r="H656" i="175"/>
  <c r="C7" i="70"/>
  <c r="F50" i="189" l="1"/>
  <c r="I804" i="175"/>
  <c r="F51" i="189"/>
  <c r="I805" i="175"/>
  <c r="F48" i="189"/>
  <c r="I802" i="175"/>
  <c r="AD59" i="118"/>
  <c r="BM12" s="1"/>
  <c r="AG11" i="142"/>
  <c r="AK12" s="1"/>
  <c r="AF11"/>
  <c r="AI11" s="1"/>
  <c r="J756" i="175"/>
  <c r="G33" i="189" s="1"/>
  <c r="AC382" i="118"/>
  <c r="I594" i="175"/>
  <c r="I801"/>
  <c r="F47" i="189"/>
  <c r="I787" i="175"/>
  <c r="AR21" i="144"/>
  <c r="I705" i="175"/>
  <c r="I704"/>
  <c r="I702"/>
  <c r="I701"/>
  <c r="BM247" i="118" l="1"/>
  <c r="AD247" s="1"/>
  <c r="CC12"/>
  <c r="CB12" s="1"/>
  <c r="I642" i="175"/>
  <c r="F81" i="189"/>
  <c r="I643" i="175"/>
  <c r="F82" i="189"/>
  <c r="AE12" i="118"/>
  <c r="I640" i="175"/>
  <c r="F79" i="189"/>
  <c r="I718" i="175"/>
  <c r="I639"/>
  <c r="AB11" i="142"/>
  <c r="AO22" i="144"/>
  <c r="AH12" i="142"/>
  <c r="AS21" i="144"/>
  <c r="F78" i="189"/>
  <c r="AG382" i="118"/>
  <c r="AH382"/>
  <c r="I818" i="175"/>
  <c r="F64" i="189"/>
  <c r="J549" i="175"/>
  <c r="J546"/>
  <c r="J547"/>
  <c r="J550"/>
  <c r="CA12" i="118" l="1"/>
  <c r="BV12" s="1"/>
  <c r="AD12"/>
  <c r="J580" i="175"/>
  <c r="J773"/>
  <c r="M23" i="144"/>
  <c r="L23" s="1"/>
  <c r="X23" s="1"/>
  <c r="J581" i="175"/>
  <c r="J774"/>
  <c r="X12" i="118"/>
  <c r="J578" i="175"/>
  <c r="J771"/>
  <c r="J563"/>
  <c r="J577"/>
  <c r="J770"/>
  <c r="I719"/>
  <c r="AL12" i="142"/>
  <c r="AE12" s="1"/>
  <c r="I656" i="175"/>
  <c r="AC11" i="142"/>
  <c r="T11" s="1"/>
  <c r="AP22" i="144"/>
  <c r="F95" i="189"/>
  <c r="K142" i="175"/>
  <c r="C9" i="64"/>
  <c r="C8" i="70"/>
  <c r="K50" i="175"/>
  <c r="C9" i="67"/>
  <c r="K47" i="175"/>
  <c r="K51"/>
  <c r="K48"/>
  <c r="BZ12" i="118" l="1"/>
  <c r="BW12" s="1"/>
  <c r="AV248"/>
  <c r="AV13"/>
  <c r="J804" i="175"/>
  <c r="G50" i="189"/>
  <c r="N23" i="144"/>
  <c r="AU13" i="118"/>
  <c r="AU248"/>
  <c r="G51" i="189"/>
  <c r="J805" i="175"/>
  <c r="AX60" i="118"/>
  <c r="AX248"/>
  <c r="AX13"/>
  <c r="G48" i="189"/>
  <c r="J802" i="175"/>
  <c r="K739"/>
  <c r="K159"/>
  <c r="AY60" i="118"/>
  <c r="AY13"/>
  <c r="AF13" i="72"/>
  <c r="AY248" i="118"/>
  <c r="K64" i="175"/>
  <c r="K127" s="1"/>
  <c r="AJ23" i="144"/>
  <c r="AA23"/>
  <c r="AG12" i="142"/>
  <c r="AK13" s="1"/>
  <c r="AF12"/>
  <c r="AI12" s="1"/>
  <c r="AC383" i="118"/>
  <c r="AR22" i="144"/>
  <c r="G47" i="189"/>
  <c r="J787" i="175"/>
  <c r="J801"/>
  <c r="J594"/>
  <c r="K673"/>
  <c r="K670"/>
  <c r="K390"/>
  <c r="K671"/>
  <c r="C9" i="68"/>
  <c r="K394" i="175"/>
  <c r="K393"/>
  <c r="C9" i="71"/>
  <c r="K674" i="175"/>
  <c r="J701"/>
  <c r="J705"/>
  <c r="K391"/>
  <c r="J704"/>
  <c r="J702"/>
  <c r="C9" i="119"/>
  <c r="AV60" i="118" l="1"/>
  <c r="J642" i="175"/>
  <c r="G81" i="189"/>
  <c r="AU60" i="118"/>
  <c r="J643" i="175"/>
  <c r="G82" i="189"/>
  <c r="J640" i="175"/>
  <c r="G79" i="189"/>
  <c r="AD384" i="118"/>
  <c r="K687" i="175"/>
  <c r="AB384" i="118"/>
  <c r="K407" i="175"/>
  <c r="K756"/>
  <c r="H33" i="189" s="1"/>
  <c r="H16"/>
  <c r="J718" i="175"/>
  <c r="J639"/>
  <c r="AH383" i="118"/>
  <c r="AG383"/>
  <c r="G64" i="189"/>
  <c r="J818" i="175"/>
  <c r="G78" i="189"/>
  <c r="AB12" i="142"/>
  <c r="AO23" i="144"/>
  <c r="AH13" i="142"/>
  <c r="AS22" i="144"/>
  <c r="K549" i="175"/>
  <c r="K550"/>
  <c r="K546"/>
  <c r="K547"/>
  <c r="K580" l="1"/>
  <c r="K773"/>
  <c r="AD60" i="118"/>
  <c r="BM13" s="1"/>
  <c r="K581" i="175"/>
  <c r="K774"/>
  <c r="K578"/>
  <c r="K771"/>
  <c r="M24" i="144"/>
  <c r="L24" s="1"/>
  <c r="K577" i="175"/>
  <c r="K563"/>
  <c r="K770"/>
  <c r="AP23" i="144"/>
  <c r="G95" i="189"/>
  <c r="AC12" i="142"/>
  <c r="T12" s="1"/>
  <c r="J719" i="175"/>
  <c r="AL13" i="142"/>
  <c r="AE13" s="1"/>
  <c r="J656" i="175"/>
  <c r="C9" i="70"/>
  <c r="BM248" i="118" l="1"/>
  <c r="AD248" s="1"/>
  <c r="CC13"/>
  <c r="CB13" s="1"/>
  <c r="H50" i="189"/>
  <c r="K804" i="175"/>
  <c r="AE13" i="118"/>
  <c r="H51" i="189"/>
  <c r="K805" i="175"/>
  <c r="H48" i="189"/>
  <c r="K802" i="175"/>
  <c r="N24" i="144"/>
  <c r="X24"/>
  <c r="AG13" i="142"/>
  <c r="AK14" s="1"/>
  <c r="AF13"/>
  <c r="AI13" s="1"/>
  <c r="AC384" i="118"/>
  <c r="AR23" i="144"/>
  <c r="K594" i="175"/>
  <c r="H47" i="189"/>
  <c r="K787" i="175"/>
  <c r="K801"/>
  <c r="C10" i="67"/>
  <c r="L670" i="175"/>
  <c r="K705"/>
  <c r="L48"/>
  <c r="L142"/>
  <c r="L47"/>
  <c r="C10" i="119"/>
  <c r="K702" i="175"/>
  <c r="L50"/>
  <c r="K704"/>
  <c r="L51"/>
  <c r="K701"/>
  <c r="C10" i="64"/>
  <c r="CA13" i="118" l="1"/>
  <c r="BV13" s="1"/>
  <c r="AD13"/>
  <c r="X13"/>
  <c r="AV61"/>
  <c r="AV14"/>
  <c r="AV249"/>
  <c r="K642" i="175"/>
  <c r="H81" i="189"/>
  <c r="AU14" i="118"/>
  <c r="AU249"/>
  <c r="AU61"/>
  <c r="K643" i="175"/>
  <c r="H82" i="189"/>
  <c r="AX249" i="118"/>
  <c r="AX61"/>
  <c r="AX14"/>
  <c r="K640" i="175"/>
  <c r="AA24" i="144"/>
  <c r="H79" i="189"/>
  <c r="AY61" i="118"/>
  <c r="L159" i="175"/>
  <c r="L739"/>
  <c r="I16" i="189" s="1"/>
  <c r="AY249" i="118"/>
  <c r="AF14" i="72"/>
  <c r="AY14" i="118"/>
  <c r="L64" i="175"/>
  <c r="L127" s="1"/>
  <c r="AJ24" i="144"/>
  <c r="K718" i="175"/>
  <c r="K639"/>
  <c r="K818"/>
  <c r="H64" i="189"/>
  <c r="H78"/>
  <c r="AS23" i="144"/>
  <c r="AG384" i="118"/>
  <c r="AH384"/>
  <c r="H28" i="142"/>
  <c r="AB13"/>
  <c r="AH14"/>
  <c r="M25" i="144" s="1"/>
  <c r="L25" s="1"/>
  <c r="AO24"/>
  <c r="L393" i="175"/>
  <c r="L550"/>
  <c r="C10" i="71"/>
  <c r="C10" i="68"/>
  <c r="L390" i="175"/>
  <c r="L671"/>
  <c r="L547"/>
  <c r="L546"/>
  <c r="L674"/>
  <c r="L391"/>
  <c r="L549"/>
  <c r="L394"/>
  <c r="L673"/>
  <c r="BZ13" i="118" l="1"/>
  <c r="BW13" s="1"/>
  <c r="L580" i="175"/>
  <c r="L773"/>
  <c r="L774"/>
  <c r="L581"/>
  <c r="L756"/>
  <c r="I33" i="189" s="1"/>
  <c r="AD61" i="118"/>
  <c r="BM14" s="1"/>
  <c r="L578" i="175"/>
  <c r="L771"/>
  <c r="L687"/>
  <c r="AD385" i="118"/>
  <c r="AB385"/>
  <c r="L407" i="175"/>
  <c r="X25" i="144"/>
  <c r="N25"/>
  <c r="L577" i="175"/>
  <c r="L563"/>
  <c r="L770"/>
  <c r="AP24" i="144"/>
  <c r="H95" i="189"/>
  <c r="AL14" i="142"/>
  <c r="AE14" s="1"/>
  <c r="K719" i="175"/>
  <c r="K656"/>
  <c r="AC13" i="142"/>
  <c r="T13" s="1"/>
  <c r="M47" i="175"/>
  <c r="M50"/>
  <c r="C11" i="67"/>
  <c r="M142" i="175"/>
  <c r="C10" i="70"/>
  <c r="M51" i="175"/>
  <c r="M48"/>
  <c r="C11" i="119"/>
  <c r="C11" i="64"/>
  <c r="BM249" i="118" l="1"/>
  <c r="AD249" s="1"/>
  <c r="CC14"/>
  <c r="AV62"/>
  <c r="AV250"/>
  <c r="AV15"/>
  <c r="I50" i="189"/>
  <c r="L804" i="175"/>
  <c r="AU62" i="118"/>
  <c r="AU250"/>
  <c r="AU15"/>
  <c r="I51" i="189"/>
  <c r="L805" i="175"/>
  <c r="AE14" i="118"/>
  <c r="AX62"/>
  <c r="AX250"/>
  <c r="AX15"/>
  <c r="L802" i="175"/>
  <c r="I48" i="189"/>
  <c r="AY62" i="118"/>
  <c r="M159" i="175"/>
  <c r="M739"/>
  <c r="AY15" i="118"/>
  <c r="AY250"/>
  <c r="AF15" i="72"/>
  <c r="M64" i="175"/>
  <c r="M127" s="1"/>
  <c r="AJ25" i="144"/>
  <c r="AA25"/>
  <c r="AG14" i="142"/>
  <c r="AK15" s="1"/>
  <c r="AF14"/>
  <c r="AI14" s="1"/>
  <c r="AC385" i="118"/>
  <c r="AR24" i="144"/>
  <c r="L594" i="175"/>
  <c r="I47" i="189"/>
  <c r="L787" i="175"/>
  <c r="L801"/>
  <c r="L705"/>
  <c r="M671"/>
  <c r="M393"/>
  <c r="L704"/>
  <c r="M670"/>
  <c r="L701"/>
  <c r="M394"/>
  <c r="C11" i="68"/>
  <c r="C11" i="71"/>
  <c r="L702" i="175"/>
  <c r="M391"/>
  <c r="M673"/>
  <c r="M390"/>
  <c r="M674"/>
  <c r="CA14" i="118" l="1"/>
  <c r="BZ14" s="1"/>
  <c r="BW14" s="1"/>
  <c r="X14"/>
  <c r="L642" i="175"/>
  <c r="I81" i="189"/>
  <c r="L643" i="175"/>
  <c r="I82" i="189"/>
  <c r="AD14" i="118"/>
  <c r="AD62"/>
  <c r="BM15" s="1"/>
  <c r="L640" i="175"/>
  <c r="I79" i="189"/>
  <c r="AB386" i="118"/>
  <c r="M407" i="175"/>
  <c r="AD386" i="118"/>
  <c r="M687" i="175"/>
  <c r="J16" i="189"/>
  <c r="M756" i="175"/>
  <c r="J33" i="189" s="1"/>
  <c r="L718" i="175"/>
  <c r="L639"/>
  <c r="I78" i="189"/>
  <c r="I64"/>
  <c r="L818" i="175"/>
  <c r="AG385" i="118"/>
  <c r="AH385"/>
  <c r="AS24" i="144"/>
  <c r="AB14" i="142"/>
  <c r="AO25" i="144"/>
  <c r="AH15" i="142"/>
  <c r="M26" i="144" s="1"/>
  <c r="L26" s="1"/>
  <c r="M547" i="175"/>
  <c r="M549"/>
  <c r="M546"/>
  <c r="M550"/>
  <c r="CB14" i="118" l="1"/>
  <c r="BV14"/>
  <c r="BM250"/>
  <c r="AD250" s="1"/>
  <c r="CC15"/>
  <c r="CB15" s="1"/>
  <c r="M580" i="175"/>
  <c r="M773"/>
  <c r="M581"/>
  <c r="M774"/>
  <c r="AE15" i="118"/>
  <c r="M578" i="175"/>
  <c r="M771"/>
  <c r="X26" i="144"/>
  <c r="N26"/>
  <c r="M577" i="175"/>
  <c r="M563"/>
  <c r="M770"/>
  <c r="AP25" i="144"/>
  <c r="I95" i="189"/>
  <c r="L656" i="175"/>
  <c r="AL15" i="142"/>
  <c r="AE15" s="1"/>
  <c r="AC14"/>
  <c r="T14" s="1"/>
  <c r="L719" i="175"/>
  <c r="N51"/>
  <c r="N48"/>
  <c r="C11" i="70"/>
  <c r="N50" i="175"/>
  <c r="N142"/>
  <c r="C12" i="119"/>
  <c r="C12" i="64"/>
  <c r="N47" i="175"/>
  <c r="C12" i="67"/>
  <c r="CA15" i="118" l="1"/>
  <c r="BV15" s="1"/>
  <c r="X15"/>
  <c r="AV251"/>
  <c r="AV63"/>
  <c r="AV16"/>
  <c r="J50" i="189"/>
  <c r="M804" i="175"/>
  <c r="AU16" i="118"/>
  <c r="AU63"/>
  <c r="AU251"/>
  <c r="J51" i="189"/>
  <c r="M805" i="175"/>
  <c r="AD15" i="118"/>
  <c r="AX16"/>
  <c r="AX63"/>
  <c r="AX251"/>
  <c r="J48" i="189"/>
  <c r="M802" i="175"/>
  <c r="AY63" i="118"/>
  <c r="AY16"/>
  <c r="AY251"/>
  <c r="AF16" i="72"/>
  <c r="N64" i="175"/>
  <c r="N127" s="1"/>
  <c r="N739"/>
  <c r="N159"/>
  <c r="AA26" i="144"/>
  <c r="AJ26"/>
  <c r="AG15" i="142"/>
  <c r="AK16" s="1"/>
  <c r="AF15"/>
  <c r="AI15" s="1"/>
  <c r="AC386" i="118"/>
  <c r="AR25" i="144"/>
  <c r="M594" i="175"/>
  <c r="J47" i="189"/>
  <c r="M787" i="175"/>
  <c r="M801"/>
  <c r="M705"/>
  <c r="N393"/>
  <c r="N391"/>
  <c r="N670"/>
  <c r="N394"/>
  <c r="C12" i="71"/>
  <c r="N390" i="175"/>
  <c r="M701"/>
  <c r="M704"/>
  <c r="N673"/>
  <c r="M702"/>
  <c r="N674"/>
  <c r="C12" i="68"/>
  <c r="N671" i="175"/>
  <c r="BZ15" i="118" l="1"/>
  <c r="BW15" s="1"/>
  <c r="M642" i="175"/>
  <c r="J81" i="189"/>
  <c r="M643" i="175"/>
  <c r="J82" i="189"/>
  <c r="AD63" i="118"/>
  <c r="BM16" s="1"/>
  <c r="M640" i="175"/>
  <c r="J79" i="189"/>
  <c r="AB387" i="118"/>
  <c r="N407" i="175"/>
  <c r="N687"/>
  <c r="AD387" i="118"/>
  <c r="N756" i="175"/>
  <c r="K33" i="189" s="1"/>
  <c r="K16"/>
  <c r="M718" i="175"/>
  <c r="M639"/>
  <c r="AB15" i="142"/>
  <c r="AO26" i="144"/>
  <c r="AH16" i="142"/>
  <c r="M27" i="144" s="1"/>
  <c r="L27" s="1"/>
  <c r="J64" i="189"/>
  <c r="M818" i="175"/>
  <c r="J78" i="189"/>
  <c r="AS25" i="144"/>
  <c r="AH386" i="118"/>
  <c r="AG386"/>
  <c r="N549" i="175"/>
  <c r="N546"/>
  <c r="N547"/>
  <c r="N550"/>
  <c r="BM251" i="118" l="1"/>
  <c r="AD251" s="1"/>
  <c r="CC16"/>
  <c r="CB16" s="1"/>
  <c r="N580" i="175"/>
  <c r="N773"/>
  <c r="AE16" i="118"/>
  <c r="N581" i="175"/>
  <c r="N774"/>
  <c r="N578"/>
  <c r="N771"/>
  <c r="X27" i="144"/>
  <c r="N27"/>
  <c r="N577" i="175"/>
  <c r="N563"/>
  <c r="N770"/>
  <c r="AP26" i="144"/>
  <c r="M656" i="175"/>
  <c r="J95" i="189"/>
  <c r="AC15" i="142"/>
  <c r="T15" s="1"/>
  <c r="M719" i="175"/>
  <c r="AL16" i="142"/>
  <c r="AE16" s="1"/>
  <c r="C13" i="64"/>
  <c r="O47" i="175"/>
  <c r="O142"/>
  <c r="C13" i="119"/>
  <c r="O50" i="175"/>
  <c r="O51"/>
  <c r="C12" i="70"/>
  <c r="C13" i="67"/>
  <c r="O48" i="175"/>
  <c r="CA16" i="118" l="1"/>
  <c r="BV16" s="1"/>
  <c r="X16"/>
  <c r="AV252"/>
  <c r="AV17"/>
  <c r="AV64"/>
  <c r="K50" i="189"/>
  <c r="N804" i="175"/>
  <c r="AD16" i="118"/>
  <c r="AU252"/>
  <c r="AU64"/>
  <c r="AU17"/>
  <c r="K51" i="189"/>
  <c r="N805" i="175"/>
  <c r="AX64" i="118"/>
  <c r="AX252"/>
  <c r="AX17"/>
  <c r="K48" i="189"/>
  <c r="N802" i="175"/>
  <c r="AY64" i="118"/>
  <c r="O739" i="175"/>
  <c r="O159"/>
  <c r="AY17" i="118"/>
  <c r="AF17" i="72"/>
  <c r="AY252" i="118"/>
  <c r="O64" i="175"/>
  <c r="O127" s="1"/>
  <c r="AJ27" i="144"/>
  <c r="AA27"/>
  <c r="AG16" i="142"/>
  <c r="AK17" s="1"/>
  <c r="AF16"/>
  <c r="AI16" s="1"/>
  <c r="AC387" i="118"/>
  <c r="N594" i="175"/>
  <c r="AR26" i="144"/>
  <c r="K47" i="189"/>
  <c r="N787" i="175"/>
  <c r="N801"/>
  <c r="O670"/>
  <c r="N701"/>
  <c r="N705"/>
  <c r="N704"/>
  <c r="O394"/>
  <c r="C13" i="71"/>
  <c r="C13" i="68"/>
  <c r="N702" i="175"/>
  <c r="O391"/>
  <c r="O674"/>
  <c r="O673"/>
  <c r="O393"/>
  <c r="O390"/>
  <c r="O671"/>
  <c r="BZ16" i="118" l="1"/>
  <c r="BW16" s="1"/>
  <c r="N642" i="175"/>
  <c r="K81" i="189"/>
  <c r="N643" i="175"/>
  <c r="K82" i="189"/>
  <c r="AD64" i="118"/>
  <c r="BM17" s="1"/>
  <c r="N640" i="175"/>
  <c r="K79" i="189"/>
  <c r="AD388" i="118"/>
  <c r="O687" i="175"/>
  <c r="AB388" i="118"/>
  <c r="O407" i="175"/>
  <c r="O756"/>
  <c r="L33" i="189" s="1"/>
  <c r="L16"/>
  <c r="N718" i="175"/>
  <c r="N639"/>
  <c r="AG387" i="118"/>
  <c r="AH387"/>
  <c r="K64" i="189"/>
  <c r="N818" i="175"/>
  <c r="K78" i="189"/>
  <c r="AB16" i="142"/>
  <c r="AO27" i="144"/>
  <c r="AH17" i="142"/>
  <c r="M28" i="144" s="1"/>
  <c r="L28" s="1"/>
  <c r="AS26"/>
  <c r="O549" i="175"/>
  <c r="O550"/>
  <c r="O546"/>
  <c r="O547"/>
  <c r="BM252" i="118" l="1"/>
  <c r="AD252" s="1"/>
  <c r="CC17"/>
  <c r="CB17" s="1"/>
  <c r="O580" i="175"/>
  <c r="O773"/>
  <c r="O581"/>
  <c r="O774"/>
  <c r="AE17" i="118"/>
  <c r="O578" i="175"/>
  <c r="O771"/>
  <c r="X28" i="144"/>
  <c r="N28"/>
  <c r="O577" i="175"/>
  <c r="O563"/>
  <c r="O770"/>
  <c r="AL17" i="142"/>
  <c r="AE17" s="1"/>
  <c r="AC16"/>
  <c r="T16" s="1"/>
  <c r="AP27" i="144"/>
  <c r="K95" i="189"/>
  <c r="N719" i="175"/>
  <c r="N656"/>
  <c r="P50"/>
  <c r="P51"/>
  <c r="C13" i="70"/>
  <c r="P47" i="175"/>
  <c r="P48"/>
  <c r="C14" i="64"/>
  <c r="C14" i="119"/>
  <c r="C14" i="67"/>
  <c r="P142" i="175"/>
  <c r="CA17" i="118" l="1"/>
  <c r="BV17" s="1"/>
  <c r="X17"/>
  <c r="AV18"/>
  <c r="AV253"/>
  <c r="AV65"/>
  <c r="AV50" i="175"/>
  <c r="L50" i="189"/>
  <c r="O804" i="175"/>
  <c r="AU65" i="118"/>
  <c r="AU253"/>
  <c r="AU18"/>
  <c r="AV51" i="175"/>
  <c r="L51" i="189"/>
  <c r="O805" i="175"/>
  <c r="AD17" i="118"/>
  <c r="AX65"/>
  <c r="AX253"/>
  <c r="AX18"/>
  <c r="AV48" i="175"/>
  <c r="L48" i="189"/>
  <c r="O802" i="175"/>
  <c r="AY65" i="118"/>
  <c r="P739" i="175"/>
  <c r="P159"/>
  <c r="AV159" s="1"/>
  <c r="AV142"/>
  <c r="AY18" i="118"/>
  <c r="AY253"/>
  <c r="AF18" i="72"/>
  <c r="P64" i="175"/>
  <c r="AV47"/>
  <c r="AJ28" i="144"/>
  <c r="AA28"/>
  <c r="AG17" i="142"/>
  <c r="AK18" s="1"/>
  <c r="AF17"/>
  <c r="AI17" s="1"/>
  <c r="AC388" i="118"/>
  <c r="O594" i="175"/>
  <c r="L47" i="189"/>
  <c r="O787" i="175"/>
  <c r="O801"/>
  <c r="AR27" i="144"/>
  <c r="C14" i="71"/>
  <c r="P671" i="175"/>
  <c r="O704"/>
  <c r="P674"/>
  <c r="O705"/>
  <c r="P394"/>
  <c r="P390"/>
  <c r="P673"/>
  <c r="P393"/>
  <c r="O701"/>
  <c r="C14" i="68"/>
  <c r="P670" i="175"/>
  <c r="P391"/>
  <c r="O702"/>
  <c r="BZ17" i="118" l="1"/>
  <c r="BW17" s="1"/>
  <c r="O642" i="175"/>
  <c r="AV673"/>
  <c r="AV393"/>
  <c r="L81" i="189"/>
  <c r="AV674" i="175"/>
  <c r="O643"/>
  <c r="AV394"/>
  <c r="L82" i="189"/>
  <c r="O640" i="175"/>
  <c r="AV391"/>
  <c r="AV671"/>
  <c r="L79" i="189"/>
  <c r="AD65" i="118"/>
  <c r="BM18" s="1"/>
  <c r="AD389"/>
  <c r="AV670" i="175"/>
  <c r="P687"/>
  <c r="AV687" s="1"/>
  <c r="AB389" i="118"/>
  <c r="P407" i="175"/>
  <c r="AV407" s="1"/>
  <c r="AV390"/>
  <c r="P756"/>
  <c r="AV739"/>
  <c r="M16" i="189"/>
  <c r="AS16" s="1"/>
  <c r="AV64" i="175"/>
  <c r="AV127" s="1"/>
  <c r="P127"/>
  <c r="O718"/>
  <c r="O639"/>
  <c r="L64" i="189"/>
  <c r="O818" i="175"/>
  <c r="AH388" i="118"/>
  <c r="AG388"/>
  <c r="AS27" i="144"/>
  <c r="L78" i="189"/>
  <c r="AB17" i="142"/>
  <c r="AO28" i="144"/>
  <c r="AH18" i="142"/>
  <c r="M29" i="144" s="1"/>
  <c r="L29" s="1"/>
  <c r="P546" i="175"/>
  <c r="P549"/>
  <c r="P550"/>
  <c r="P547"/>
  <c r="BM253" i="118" l="1"/>
  <c r="AD253" s="1"/>
  <c r="CC18"/>
  <c r="CB18" s="1"/>
  <c r="P580" i="175"/>
  <c r="AV580" s="1"/>
  <c r="P773"/>
  <c r="AV549"/>
  <c r="P774"/>
  <c r="P581"/>
  <c r="AV581" s="1"/>
  <c r="AV550"/>
  <c r="AE18" i="118"/>
  <c r="P578" i="175"/>
  <c r="AV578" s="1"/>
  <c r="P771"/>
  <c r="AV547"/>
  <c r="N29" i="144"/>
  <c r="X29"/>
  <c r="AV756" i="175"/>
  <c r="M33" i="189"/>
  <c r="AS33" s="1"/>
  <c r="P577" i="175"/>
  <c r="AV577" s="1"/>
  <c r="P563"/>
  <c r="P770"/>
  <c r="AV546"/>
  <c r="AP28" i="144"/>
  <c r="AL18" i="142"/>
  <c r="AE18" s="1"/>
  <c r="O719" i="175"/>
  <c r="AC17" i="142"/>
  <c r="T17" s="1"/>
  <c r="L95" i="189"/>
  <c r="O656" i="175"/>
  <c r="C15" i="67"/>
  <c r="C14" i="70"/>
  <c r="Q51" i="175"/>
  <c r="C15" i="64"/>
  <c r="C15" i="119"/>
  <c r="Q47" i="175"/>
  <c r="Q142"/>
  <c r="Q50"/>
  <c r="Q48"/>
  <c r="CA18" i="118" l="1"/>
  <c r="BV18" s="1"/>
  <c r="X18"/>
  <c r="AV254"/>
  <c r="AV66"/>
  <c r="AV19"/>
  <c r="AV773" i="175"/>
  <c r="P804"/>
  <c r="M50" i="189"/>
  <c r="AS50" s="1"/>
  <c r="AU254" i="118"/>
  <c r="AU19"/>
  <c r="AU66"/>
  <c r="M51" i="189"/>
  <c r="AS51" s="1"/>
  <c r="P805" i="175"/>
  <c r="AV774"/>
  <c r="AD18" i="118"/>
  <c r="AX19"/>
  <c r="AX66"/>
  <c r="AX254"/>
  <c r="M48" i="189"/>
  <c r="AS48" s="1"/>
  <c r="P802" i="175"/>
  <c r="AV771"/>
  <c r="AY66" i="118"/>
  <c r="Q159" i="175"/>
  <c r="Q739"/>
  <c r="AY19" i="118"/>
  <c r="Q64" i="175"/>
  <c r="Q127" s="1"/>
  <c r="AF19" i="72"/>
  <c r="AY254" i="118"/>
  <c r="AJ29" i="144"/>
  <c r="AA29"/>
  <c r="AG18" i="142"/>
  <c r="AF18"/>
  <c r="AI18" s="1"/>
  <c r="AC389" i="118"/>
  <c r="AR28" i="144"/>
  <c r="P594" i="175"/>
  <c r="AV594" s="1"/>
  <c r="AV563"/>
  <c r="M47" i="189"/>
  <c r="AS47" s="1"/>
  <c r="P787" i="175"/>
  <c r="P801"/>
  <c r="AV770"/>
  <c r="Q674"/>
  <c r="P702"/>
  <c r="Q394"/>
  <c r="C15" i="68"/>
  <c r="C15" i="71"/>
  <c r="P701" i="175"/>
  <c r="Q671"/>
  <c r="Q391"/>
  <c r="P705"/>
  <c r="Q390"/>
  <c r="Q393"/>
  <c r="Q670"/>
  <c r="Q673"/>
  <c r="P704"/>
  <c r="BZ18" i="118" l="1"/>
  <c r="BW18" s="1"/>
  <c r="P642" i="175"/>
  <c r="AV642" s="1"/>
  <c r="AV704"/>
  <c r="M81" i="189"/>
  <c r="AS81" s="1"/>
  <c r="AV804" i="175"/>
  <c r="P643"/>
  <c r="AV643" s="1"/>
  <c r="AV705"/>
  <c r="M82" i="189"/>
  <c r="AS82" s="1"/>
  <c r="AV805" i="175"/>
  <c r="AD66" i="118"/>
  <c r="BM19" s="1"/>
  <c r="P640" i="175"/>
  <c r="AV640" s="1"/>
  <c r="AV702"/>
  <c r="M79" i="189"/>
  <c r="AS79" s="1"/>
  <c r="AV802" i="175"/>
  <c r="Q687"/>
  <c r="AD390" i="118"/>
  <c r="Q407" i="175"/>
  <c r="AB390" i="118"/>
  <c r="N16" i="189"/>
  <c r="Q756" i="175"/>
  <c r="N33" i="189" s="1"/>
  <c r="AK19" i="142"/>
  <c r="P718" i="175"/>
  <c r="P639"/>
  <c r="AV701"/>
  <c r="M78" i="189"/>
  <c r="AS78" s="1"/>
  <c r="AV801" i="175"/>
  <c r="AG389" i="118"/>
  <c r="AH389"/>
  <c r="AB18" i="142"/>
  <c r="AH19"/>
  <c r="M30" i="144" s="1"/>
  <c r="L30" s="1"/>
  <c r="AO29"/>
  <c r="AS28"/>
  <c r="M64" i="189"/>
  <c r="AS64" s="1"/>
  <c r="P818" i="175"/>
  <c r="AV787"/>
  <c r="Q550"/>
  <c r="Q547"/>
  <c r="Q546"/>
  <c r="Q549"/>
  <c r="BM254" i="118" l="1"/>
  <c r="AD254" s="1"/>
  <c r="CC19"/>
  <c r="CB19" s="1"/>
  <c r="Q580" i="175"/>
  <c r="Q773"/>
  <c r="Q774"/>
  <c r="Q581"/>
  <c r="AE19" i="118"/>
  <c r="Q578" i="175"/>
  <c r="Q771"/>
  <c r="X30" i="144"/>
  <c r="N30"/>
  <c r="Q577" i="175"/>
  <c r="Q563"/>
  <c r="Q770"/>
  <c r="P656"/>
  <c r="AV656" s="1"/>
  <c r="AV639"/>
  <c r="AP29" i="144"/>
  <c r="AV718" i="175"/>
  <c r="P719"/>
  <c r="AC18" i="142"/>
  <c r="T18" s="1"/>
  <c r="M95" i="189"/>
  <c r="AS95" s="1"/>
  <c r="AV818" i="175"/>
  <c r="AL19" i="142"/>
  <c r="AE19" s="1"/>
  <c r="AB30" i="144" s="1"/>
  <c r="C16" i="67"/>
  <c r="R142" i="175"/>
  <c r="C16" i="119"/>
  <c r="R48" i="175"/>
  <c r="R143"/>
  <c r="R145"/>
  <c r="C15" i="70"/>
  <c r="R51" i="175"/>
  <c r="C16" i="64"/>
  <c r="R50" i="175"/>
  <c r="R146"/>
  <c r="R47"/>
  <c r="CA19" i="118" l="1"/>
  <c r="BV19" s="1"/>
  <c r="AD19"/>
  <c r="AV20"/>
  <c r="AV67"/>
  <c r="AV255"/>
  <c r="R742" i="175"/>
  <c r="Q804"/>
  <c r="N50" i="189"/>
  <c r="AU67" i="118"/>
  <c r="AU20"/>
  <c r="AU255"/>
  <c r="R743" i="175"/>
  <c r="N51" i="189"/>
  <c r="Q805" i="175"/>
  <c r="X19" i="118"/>
  <c r="R740" i="175"/>
  <c r="O17" i="189" s="1"/>
  <c r="AX255" i="118"/>
  <c r="AX67"/>
  <c r="AX20"/>
  <c r="Q802" i="175"/>
  <c r="N48" i="189"/>
  <c r="AF19" i="142"/>
  <c r="AI19" s="1"/>
  <c r="AG19"/>
  <c r="AK20" s="1"/>
  <c r="AY67" i="118"/>
  <c r="AY20"/>
  <c r="AY255"/>
  <c r="AF20" i="72"/>
  <c r="R64" i="175"/>
  <c r="R127" s="1"/>
  <c r="R159"/>
  <c r="R739"/>
  <c r="AA30" i="144"/>
  <c r="AJ30"/>
  <c r="AC390" i="118"/>
  <c r="AR29" i="144"/>
  <c r="Q594" i="175"/>
  <c r="N47" i="189"/>
  <c r="Q787" i="175"/>
  <c r="Q801"/>
  <c r="AV719"/>
  <c r="R394"/>
  <c r="R670"/>
  <c r="Q705"/>
  <c r="C16" i="68"/>
  <c r="R674" i="175"/>
  <c r="R673"/>
  <c r="R391"/>
  <c r="R393"/>
  <c r="Q701"/>
  <c r="Q702"/>
  <c r="R671"/>
  <c r="R390"/>
  <c r="C16" i="71"/>
  <c r="Q704" i="175"/>
  <c r="BZ19" i="118" l="1"/>
  <c r="BW19" s="1"/>
  <c r="Q642" i="175"/>
  <c r="N81" i="189"/>
  <c r="O19"/>
  <c r="Q643" i="175"/>
  <c r="O20" i="189"/>
  <c r="N82"/>
  <c r="Q640" i="175"/>
  <c r="N79" i="189"/>
  <c r="AD67" i="118"/>
  <c r="BM20" s="1"/>
  <c r="AB391"/>
  <c r="R407" i="175"/>
  <c r="R687"/>
  <c r="AD391" i="118"/>
  <c r="O16" i="189"/>
  <c r="R756" i="175"/>
  <c r="O33" i="189" s="1"/>
  <c r="Q718" i="175"/>
  <c r="Q639"/>
  <c r="N64" i="189"/>
  <c r="Q818" i="175"/>
  <c r="AB19" i="142"/>
  <c r="AO30" i="144"/>
  <c r="AH20" i="142"/>
  <c r="M31" i="144" s="1"/>
  <c r="L31" s="1"/>
  <c r="N78" i="189"/>
  <c r="AG390" i="118"/>
  <c r="AH390"/>
  <c r="AS29" i="144"/>
  <c r="R546" i="175"/>
  <c r="R547"/>
  <c r="R549"/>
  <c r="R550"/>
  <c r="BM255" i="118" l="1"/>
  <c r="AD255" s="1"/>
  <c r="CC20"/>
  <c r="CB20" s="1"/>
  <c r="R580" i="175"/>
  <c r="R773"/>
  <c r="R774"/>
  <c r="R581"/>
  <c r="R578"/>
  <c r="R771"/>
  <c r="AE20" i="118"/>
  <c r="X31" i="144"/>
  <c r="N31"/>
  <c r="R563" i="175"/>
  <c r="R577"/>
  <c r="R770"/>
  <c r="AL20" i="142"/>
  <c r="AE20" s="1"/>
  <c r="AB31" i="144" s="1"/>
  <c r="N95" i="189"/>
  <c r="AC19" i="142"/>
  <c r="T19" s="1"/>
  <c r="Q719" i="175"/>
  <c r="AP30" i="144"/>
  <c r="Q656" i="175"/>
  <c r="S146"/>
  <c r="S48"/>
  <c r="S47"/>
  <c r="S51"/>
  <c r="C17" i="64"/>
  <c r="S145" i="175"/>
  <c r="S143"/>
  <c r="S50"/>
  <c r="C16" i="70"/>
  <c r="C17" i="67"/>
  <c r="C17" i="119"/>
  <c r="S142" i="175"/>
  <c r="CA20" i="118" l="1"/>
  <c r="BZ20" s="1"/>
  <c r="BW20" s="1"/>
  <c r="AD20"/>
  <c r="AV68"/>
  <c r="AV256"/>
  <c r="AV21"/>
  <c r="S742" i="175"/>
  <c r="O50" i="189"/>
  <c r="R804" i="175"/>
  <c r="AU256" i="118"/>
  <c r="AU68"/>
  <c r="AU21"/>
  <c r="S743" i="175"/>
  <c r="O51" i="189"/>
  <c r="R805" i="175"/>
  <c r="X20" i="118"/>
  <c r="S740" i="175"/>
  <c r="P17" i="189" s="1"/>
  <c r="AX21" i="118"/>
  <c r="AX68"/>
  <c r="AX256"/>
  <c r="R802" i="175"/>
  <c r="O48" i="189"/>
  <c r="AF20" i="142"/>
  <c r="AI20" s="1"/>
  <c r="AG20"/>
  <c r="AK21" s="1"/>
  <c r="AY68" i="118"/>
  <c r="AY21"/>
  <c r="S64" i="175"/>
  <c r="S127" s="1"/>
  <c r="AF21" i="72"/>
  <c r="AY256" i="118"/>
  <c r="S739" i="175"/>
  <c r="S159"/>
  <c r="AA31" i="144"/>
  <c r="AJ31"/>
  <c r="AC391" i="118"/>
  <c r="R594" i="175"/>
  <c r="AR30" i="144"/>
  <c r="O47" i="189"/>
  <c r="R787" i="175"/>
  <c r="R801"/>
  <c r="S670"/>
  <c r="S674"/>
  <c r="C17" i="68"/>
  <c r="S393" i="175"/>
  <c r="C17" i="71"/>
  <c r="R705" i="175"/>
  <c r="S391"/>
  <c r="S673"/>
  <c r="S671"/>
  <c r="S390"/>
  <c r="S394"/>
  <c r="R702"/>
  <c r="R701"/>
  <c r="R704"/>
  <c r="BV20" i="118" l="1"/>
  <c r="R642" i="175"/>
  <c r="O81" i="189"/>
  <c r="P19"/>
  <c r="R643" i="175"/>
  <c r="P20" i="189"/>
  <c r="O82"/>
  <c r="R640" i="175"/>
  <c r="O79" i="189"/>
  <c r="AD68" i="118"/>
  <c r="BM21" s="1"/>
  <c r="AB392"/>
  <c r="S407" i="175"/>
  <c r="AD392" i="118"/>
  <c r="S687" i="175"/>
  <c r="S756"/>
  <c r="P33" i="189" s="1"/>
  <c r="P16"/>
  <c r="R718" i="175"/>
  <c r="R639"/>
  <c r="AH391" i="118"/>
  <c r="AG391"/>
  <c r="AS30" i="144"/>
  <c r="AB20" i="142"/>
  <c r="AO31" i="144"/>
  <c r="AH21" i="142"/>
  <c r="M32" i="144" s="1"/>
  <c r="L32" s="1"/>
  <c r="O64" i="189"/>
  <c r="R818" i="175"/>
  <c r="O78" i="189"/>
  <c r="S550" i="175"/>
  <c r="S547"/>
  <c r="S546"/>
  <c r="S549"/>
  <c r="BM256" i="118" l="1"/>
  <c r="AD256" s="1"/>
  <c r="CC21"/>
  <c r="CB21" s="1"/>
  <c r="S580" i="175"/>
  <c r="S773"/>
  <c r="S581"/>
  <c r="S774"/>
  <c r="AE21" i="118"/>
  <c r="S578" i="175"/>
  <c r="S771"/>
  <c r="N32" i="144"/>
  <c r="X32"/>
  <c r="S577" i="175"/>
  <c r="S563"/>
  <c r="S770"/>
  <c r="AL21" i="142"/>
  <c r="AE21" s="1"/>
  <c r="AB32" i="144" s="1"/>
  <c r="R656" i="175"/>
  <c r="O95" i="189"/>
  <c r="AC20" i="142"/>
  <c r="T20" s="1"/>
  <c r="AP31" i="144"/>
  <c r="R719" i="175"/>
  <c r="C17" i="70"/>
  <c r="T51" i="175"/>
  <c r="T146"/>
  <c r="C18" i="119"/>
  <c r="C18" i="67"/>
  <c r="T143" i="175"/>
  <c r="T47"/>
  <c r="C18" i="64"/>
  <c r="T48" i="175"/>
  <c r="T142"/>
  <c r="T145"/>
  <c r="T50"/>
  <c r="CA21" i="118" l="1"/>
  <c r="BV21" s="1"/>
  <c r="AD21"/>
  <c r="AV69"/>
  <c r="AV22"/>
  <c r="AV257"/>
  <c r="T742" i="175"/>
  <c r="P50" i="189"/>
  <c r="S804" i="175"/>
  <c r="AU257" i="118"/>
  <c r="AU69"/>
  <c r="AU22"/>
  <c r="T743" i="175"/>
  <c r="P51" i="189"/>
  <c r="S805" i="175"/>
  <c r="X21" i="118"/>
  <c r="T740" i="175"/>
  <c r="Q17" i="189" s="1"/>
  <c r="AX257" i="118"/>
  <c r="AX69"/>
  <c r="AX22"/>
  <c r="P48" i="189"/>
  <c r="S802" i="175"/>
  <c r="AF21" i="142"/>
  <c r="AI21" s="1"/>
  <c r="AG21"/>
  <c r="AK22" s="1"/>
  <c r="AY69" i="118"/>
  <c r="T739" i="175"/>
  <c r="T159"/>
  <c r="AY22" i="118"/>
  <c r="AY257"/>
  <c r="AF22" i="72"/>
  <c r="T64" i="175"/>
  <c r="T127" s="1"/>
  <c r="AJ32" i="144"/>
  <c r="AA32"/>
  <c r="AC392" i="118"/>
  <c r="AR31" i="144"/>
  <c r="S594" i="175"/>
  <c r="P47" i="189"/>
  <c r="S787" i="175"/>
  <c r="S801"/>
  <c r="S705"/>
  <c r="T674"/>
  <c r="T673"/>
  <c r="T394"/>
  <c r="S702"/>
  <c r="S704"/>
  <c r="T670"/>
  <c r="T393"/>
  <c r="T391"/>
  <c r="C18" i="71"/>
  <c r="T390" i="175"/>
  <c r="C18" i="68"/>
  <c r="S701" i="175"/>
  <c r="T671"/>
  <c r="BZ21" i="118" l="1"/>
  <c r="BW21" s="1"/>
  <c r="S642" i="175"/>
  <c r="P81" i="189"/>
  <c r="Q19"/>
  <c r="S643" i="175"/>
  <c r="P82" i="189"/>
  <c r="Q20"/>
  <c r="S640" i="175"/>
  <c r="P79" i="189"/>
  <c r="AD69" i="118"/>
  <c r="BM22" s="1"/>
  <c r="T687" i="175"/>
  <c r="AD393" i="118"/>
  <c r="AB393"/>
  <c r="T407" i="175"/>
  <c r="Q16" i="189"/>
  <c r="T756" i="175"/>
  <c r="Q33" i="189" s="1"/>
  <c r="S718" i="175"/>
  <c r="S639"/>
  <c r="AH392" i="118"/>
  <c r="AG392"/>
  <c r="P64" i="189"/>
  <c r="S818" i="175"/>
  <c r="AB21" i="142"/>
  <c r="AO32" i="144"/>
  <c r="AH22" i="142"/>
  <c r="M33" i="144" s="1"/>
  <c r="L33" s="1"/>
  <c r="AS31"/>
  <c r="P78" i="189"/>
  <c r="T549" i="175"/>
  <c r="T550"/>
  <c r="T546"/>
  <c r="T547"/>
  <c r="BM257" i="118" l="1"/>
  <c r="AD257" s="1"/>
  <c r="CC22"/>
  <c r="CB22" s="1"/>
  <c r="T580" i="175"/>
  <c r="T773"/>
  <c r="T581"/>
  <c r="T774"/>
  <c r="AE22" i="118"/>
  <c r="T578" i="175"/>
  <c r="T771"/>
  <c r="N33" i="144"/>
  <c r="X33"/>
  <c r="T577" i="175"/>
  <c r="T563"/>
  <c r="T770"/>
  <c r="AC21" i="142"/>
  <c r="T21" s="1"/>
  <c r="S719" i="175"/>
  <c r="AP32" i="144"/>
  <c r="S656" i="175"/>
  <c r="P95" i="189"/>
  <c r="AL22" i="142"/>
  <c r="AE22" s="1"/>
  <c r="AB33" i="144" s="1"/>
  <c r="U145" i="175"/>
  <c r="U143"/>
  <c r="U48"/>
  <c r="U50"/>
  <c r="U51"/>
  <c r="U146"/>
  <c r="C19" i="119"/>
  <c r="C19" i="67"/>
  <c r="C19" i="64"/>
  <c r="U142" i="175"/>
  <c r="C18" i="70"/>
  <c r="U47" i="175"/>
  <c r="CA22" i="118" l="1"/>
  <c r="BV22" s="1"/>
  <c r="AD22"/>
  <c r="AV258"/>
  <c r="AV23"/>
  <c r="AV70"/>
  <c r="U742" i="175"/>
  <c r="AX145"/>
  <c r="AX50"/>
  <c r="Q50" i="189"/>
  <c r="T804" i="175"/>
  <c r="AU258" i="118"/>
  <c r="AU23"/>
  <c r="AU70"/>
  <c r="U743" i="175"/>
  <c r="AX146"/>
  <c r="AX51"/>
  <c r="Q51" i="189"/>
  <c r="T805" i="175"/>
  <c r="X22" i="118"/>
  <c r="U740" i="175"/>
  <c r="AX143"/>
  <c r="AX23" i="118"/>
  <c r="AX70"/>
  <c r="AX258"/>
  <c r="AX48" i="175"/>
  <c r="Q48" i="189"/>
  <c r="T802" i="175"/>
  <c r="AF22" i="142"/>
  <c r="AI22" s="1"/>
  <c r="AG22"/>
  <c r="AK23" s="1"/>
  <c r="U159" i="175"/>
  <c r="AX159" s="1"/>
  <c r="AX142"/>
  <c r="U739"/>
  <c r="AY23" i="118"/>
  <c r="AF23" i="72"/>
  <c r="AY258" i="118"/>
  <c r="AX47" i="175"/>
  <c r="U64"/>
  <c r="AY70" i="118"/>
  <c r="AJ33" i="144"/>
  <c r="AA33"/>
  <c r="AC393" i="118"/>
  <c r="Q47" i="189"/>
  <c r="T787" i="175"/>
  <c r="T801"/>
  <c r="T594"/>
  <c r="AR32" i="144"/>
  <c r="C19" i="71"/>
  <c r="T702" i="175"/>
  <c r="C19" i="68"/>
  <c r="T701" i="175"/>
  <c r="U673"/>
  <c r="U390"/>
  <c r="T705"/>
  <c r="U671"/>
  <c r="U393"/>
  <c r="U674"/>
  <c r="T704"/>
  <c r="U670"/>
  <c r="U394"/>
  <c r="U391"/>
  <c r="BZ22" i="118" l="1"/>
  <c r="BW22" s="1"/>
  <c r="T642" i="175"/>
  <c r="AX393"/>
  <c r="AX673"/>
  <c r="Q81" i="189"/>
  <c r="R19"/>
  <c r="AU19" s="1"/>
  <c r="AX742" i="175"/>
  <c r="AX394"/>
  <c r="T643"/>
  <c r="AX674"/>
  <c r="Q82" i="189"/>
  <c r="R20"/>
  <c r="AU20" s="1"/>
  <c r="AX743" i="175"/>
  <c r="AD70" i="118"/>
  <c r="BM23" s="1"/>
  <c r="AX740" i="175"/>
  <c r="R17" i="189"/>
  <c r="AU17" s="1"/>
  <c r="AX391" i="175"/>
  <c r="T640"/>
  <c r="AX671"/>
  <c r="Q79" i="189"/>
  <c r="AB394" i="118"/>
  <c r="AX390" i="175"/>
  <c r="U407"/>
  <c r="AX407" s="1"/>
  <c r="AX670"/>
  <c r="U687"/>
  <c r="AX687" s="1"/>
  <c r="AD394" i="118"/>
  <c r="R16" i="189"/>
  <c r="AU16" s="1"/>
  <c r="AX739" i="175"/>
  <c r="U756"/>
  <c r="AX64"/>
  <c r="AX127" s="1"/>
  <c r="U127"/>
  <c r="T718"/>
  <c r="T639"/>
  <c r="Q64" i="189"/>
  <c r="T818" i="175"/>
  <c r="Q78" i="189"/>
  <c r="AH393" i="118"/>
  <c r="AG393"/>
  <c r="AS32" i="144"/>
  <c r="AB22" i="142"/>
  <c r="AO33" i="144"/>
  <c r="AH23" i="142"/>
  <c r="M34" i="144" s="1"/>
  <c r="L34" s="1"/>
  <c r="U547" i="175"/>
  <c r="U546"/>
  <c r="U550"/>
  <c r="U549"/>
  <c r="BM258" i="118" l="1"/>
  <c r="AD258" s="1"/>
  <c r="CC23"/>
  <c r="CB23" s="1"/>
  <c r="U580" i="175"/>
  <c r="AX580" s="1"/>
  <c r="U773"/>
  <c r="AX549"/>
  <c r="U581"/>
  <c r="AX581" s="1"/>
  <c r="U774"/>
  <c r="AX550"/>
  <c r="AE23" i="118"/>
  <c r="U578" i="175"/>
  <c r="AX578" s="1"/>
  <c r="U771"/>
  <c r="AX547"/>
  <c r="R33" i="189"/>
  <c r="AU33" s="1"/>
  <c r="AX756" i="175"/>
  <c r="X34" i="144"/>
  <c r="N34"/>
  <c r="U577" i="175"/>
  <c r="AX577" s="1"/>
  <c r="U563"/>
  <c r="U770"/>
  <c r="AX546"/>
  <c r="AL23" i="142"/>
  <c r="AE23" s="1"/>
  <c r="AB34" i="144" s="1"/>
  <c r="T719" i="175"/>
  <c r="AP33" i="144"/>
  <c r="AC22" i="142"/>
  <c r="T22" s="1"/>
  <c r="Q95" i="189"/>
  <c r="T656" i="175"/>
  <c r="C19" i="70"/>
  <c r="V50" i="175"/>
  <c r="V145"/>
  <c r="V48"/>
  <c r="C20" i="67"/>
  <c r="C20" i="64"/>
  <c r="V143" i="175"/>
  <c r="V51"/>
  <c r="V146"/>
  <c r="V47"/>
  <c r="C20" i="119"/>
  <c r="CA23" i="118" l="1"/>
  <c r="BV23" s="1"/>
  <c r="X23"/>
  <c r="AV24"/>
  <c r="AV259"/>
  <c r="AV71"/>
  <c r="V742" i="175"/>
  <c r="AX773"/>
  <c r="R50" i="189"/>
  <c r="AU50" s="1"/>
  <c r="U804" i="175"/>
  <c r="AU24" i="118"/>
  <c r="AU71"/>
  <c r="AU259"/>
  <c r="V743" i="175"/>
  <c r="R51" i="189"/>
  <c r="AU51" s="1"/>
  <c r="AX774" i="175"/>
  <c r="U805"/>
  <c r="AD23" i="118"/>
  <c r="V740" i="175"/>
  <c r="S17" i="189" s="1"/>
  <c r="AX259" i="118"/>
  <c r="AX24"/>
  <c r="AX71"/>
  <c r="U802" i="175"/>
  <c r="R48" i="189"/>
  <c r="AU48" s="1"/>
  <c r="AX771" i="175"/>
  <c r="AF23" i="142"/>
  <c r="AI23" s="1"/>
  <c r="AG23"/>
  <c r="AK24" s="1"/>
  <c r="AY71" i="118"/>
  <c r="AY24"/>
  <c r="AY259"/>
  <c r="AF24" i="72"/>
  <c r="V64" i="175"/>
  <c r="V127" s="1"/>
  <c r="AA34" i="144"/>
  <c r="AJ34"/>
  <c r="AC394" i="118"/>
  <c r="U594" i="175"/>
  <c r="AX594" s="1"/>
  <c r="AX563"/>
  <c r="R47" i="189"/>
  <c r="AU47" s="1"/>
  <c r="U787" i="175"/>
  <c r="U801"/>
  <c r="AX770"/>
  <c r="AR33" i="144"/>
  <c r="V671" i="175"/>
  <c r="V391"/>
  <c r="V142"/>
  <c r="C20" i="71"/>
  <c r="U705" i="175"/>
  <c r="V670"/>
  <c r="V390"/>
  <c r="V673"/>
  <c r="U701"/>
  <c r="V674"/>
  <c r="U704"/>
  <c r="C20" i="68"/>
  <c r="V393" i="175"/>
  <c r="U702"/>
  <c r="V394"/>
  <c r="BZ23" i="118" l="1"/>
  <c r="BW23" s="1"/>
  <c r="U642" i="175"/>
  <c r="AX642" s="1"/>
  <c r="AX704"/>
  <c r="S19" i="189"/>
  <c r="R81"/>
  <c r="AU81" s="1"/>
  <c r="AX804" i="175"/>
  <c r="U643"/>
  <c r="AX643" s="1"/>
  <c r="AX705"/>
  <c r="R82" i="189"/>
  <c r="AU82" s="1"/>
  <c r="AX805" i="175"/>
  <c r="S20" i="189"/>
  <c r="AD71" i="118"/>
  <c r="BM24" s="1"/>
  <c r="U640" i="175"/>
  <c r="AX640" s="1"/>
  <c r="AX702"/>
  <c r="R79" i="189"/>
  <c r="AU79" s="1"/>
  <c r="AX802" i="175"/>
  <c r="V739"/>
  <c r="V756" s="1"/>
  <c r="S33" i="189" s="1"/>
  <c r="V159" i="175"/>
  <c r="V407"/>
  <c r="AB395" i="118"/>
  <c r="V687" i="175"/>
  <c r="AD395" i="118"/>
  <c r="U718" i="175"/>
  <c r="U639"/>
  <c r="AX701"/>
  <c r="R78" i="189"/>
  <c r="AU78" s="1"/>
  <c r="AX801" i="175"/>
  <c r="AG394" i="118"/>
  <c r="AH394"/>
  <c r="AB23" i="142"/>
  <c r="AH24"/>
  <c r="M35" i="144" s="1"/>
  <c r="L35" s="1"/>
  <c r="AO34"/>
  <c r="AS33"/>
  <c r="R64" i="189"/>
  <c r="AU64" s="1"/>
  <c r="U818" i="175"/>
  <c r="AX787"/>
  <c r="V549"/>
  <c r="V546"/>
  <c r="V547"/>
  <c r="V550"/>
  <c r="BM259" i="118" l="1"/>
  <c r="AD259" s="1"/>
  <c r="CC24"/>
  <c r="CB24" s="1"/>
  <c r="V580" i="175"/>
  <c r="V773"/>
  <c r="V774"/>
  <c r="V581"/>
  <c r="AE24" i="118"/>
  <c r="V578" i="175"/>
  <c r="V771"/>
  <c r="S16" i="189"/>
  <c r="X35" i="144"/>
  <c r="N35"/>
  <c r="V577" i="175"/>
  <c r="V563"/>
  <c r="V770"/>
  <c r="AL24" i="142"/>
  <c r="AE24" s="1"/>
  <c r="AB35" i="144" s="1"/>
  <c r="R95" i="189"/>
  <c r="AU95" s="1"/>
  <c r="AX818" i="175"/>
  <c r="AX718"/>
  <c r="U719"/>
  <c r="AP34" i="144"/>
  <c r="U656" i="175"/>
  <c r="AX656" s="1"/>
  <c r="AX639"/>
  <c r="AC23" i="142"/>
  <c r="T23" s="1"/>
  <c r="C21" i="67"/>
  <c r="C21" i="119"/>
  <c r="W50" i="175"/>
  <c r="W143"/>
  <c r="W47"/>
  <c r="W51"/>
  <c r="W146"/>
  <c r="C21" i="64"/>
  <c r="W48" i="175"/>
  <c r="C20" i="70"/>
  <c r="W145" i="175"/>
  <c r="CA24" i="118" l="1"/>
  <c r="BV24" s="1"/>
  <c r="AD24"/>
  <c r="AV25"/>
  <c r="AV72"/>
  <c r="AV260"/>
  <c r="W742" i="175"/>
  <c r="S50" i="189"/>
  <c r="V804" i="175"/>
  <c r="AU72" i="118"/>
  <c r="AU25"/>
  <c r="AU260"/>
  <c r="W743" i="175"/>
  <c r="S51" i="189"/>
  <c r="V805" i="175"/>
  <c r="X24" i="118"/>
  <c r="AX260"/>
  <c r="AX72"/>
  <c r="AX25"/>
  <c r="W740" i="175"/>
  <c r="V802"/>
  <c r="S79" i="189" s="1"/>
  <c r="S48"/>
  <c r="AF24" i="142"/>
  <c r="AI24" s="1"/>
  <c r="AG24"/>
  <c r="AK25" s="1"/>
  <c r="AY72" i="118"/>
  <c r="AY25"/>
  <c r="W64" i="175"/>
  <c r="W127" s="1"/>
  <c r="AF25" i="72"/>
  <c r="AY260" i="118"/>
  <c r="AA35" i="144"/>
  <c r="AJ35"/>
  <c r="AC395" i="118"/>
  <c r="V594" i="175"/>
  <c r="S47" i="189"/>
  <c r="V787" i="175"/>
  <c r="V801"/>
  <c r="AR34" i="144"/>
  <c r="AX719" i="175"/>
  <c r="W142"/>
  <c r="V705"/>
  <c r="V702"/>
  <c r="V701"/>
  <c r="C21" i="68"/>
  <c r="C21" i="71"/>
  <c r="W670" i="175"/>
  <c r="W671"/>
  <c r="W390"/>
  <c r="W673"/>
  <c r="W391"/>
  <c r="W393"/>
  <c r="W394"/>
  <c r="V704"/>
  <c r="W674"/>
  <c r="BZ24" i="118" l="1"/>
  <c r="BW24" s="1"/>
  <c r="V642" i="175"/>
  <c r="T19" i="189"/>
  <c r="S81"/>
  <c r="V643" i="175"/>
  <c r="S82" i="189"/>
  <c r="T20"/>
  <c r="AD72" i="118"/>
  <c r="BM25" s="1"/>
  <c r="V640" i="175"/>
  <c r="T17" i="189"/>
  <c r="W739" i="175"/>
  <c r="T16" i="189" s="1"/>
  <c r="W159" i="175"/>
  <c r="AB396" i="118"/>
  <c r="W407" i="175"/>
  <c r="AD396" i="118"/>
  <c r="W687" i="175"/>
  <c r="V718"/>
  <c r="V639"/>
  <c r="S78" i="189"/>
  <c r="AH395" i="118"/>
  <c r="AG395"/>
  <c r="S64" i="189"/>
  <c r="V818" i="175"/>
  <c r="AS34" i="144"/>
  <c r="AB24" i="142"/>
  <c r="AO35" i="144"/>
  <c r="AH25" i="142"/>
  <c r="M36" i="144" s="1"/>
  <c r="L36" s="1"/>
  <c r="W546" i="175"/>
  <c r="W547"/>
  <c r="W549"/>
  <c r="W550"/>
  <c r="BM260" i="118" l="1"/>
  <c r="AD260" s="1"/>
  <c r="CC25"/>
  <c r="CB25" s="1"/>
  <c r="W580" i="175"/>
  <c r="W773"/>
  <c r="W774"/>
  <c r="W581"/>
  <c r="AE25" i="118"/>
  <c r="W578" i="175"/>
  <c r="W771"/>
  <c r="W756"/>
  <c r="T33" i="189" s="1"/>
  <c r="X36" i="144"/>
  <c r="N36"/>
  <c r="W577" i="175"/>
  <c r="W563"/>
  <c r="W770"/>
  <c r="AL25" i="142"/>
  <c r="AE25" s="1"/>
  <c r="AB36" i="144" s="1"/>
  <c r="V656" i="175"/>
  <c r="AC24" i="142"/>
  <c r="T24" s="1"/>
  <c r="S95" i="189"/>
  <c r="AP35" i="144"/>
  <c r="V719" i="175"/>
  <c r="C22" i="67"/>
  <c r="C22" i="64"/>
  <c r="C22" i="119"/>
  <c r="X50" i="175"/>
  <c r="X51"/>
  <c r="X145"/>
  <c r="X48"/>
  <c r="X146"/>
  <c r="X47"/>
  <c r="X143"/>
  <c r="C21" i="70"/>
  <c r="CA25" i="118" l="1"/>
  <c r="BV25" s="1"/>
  <c r="AD25"/>
  <c r="AV73"/>
  <c r="AV261"/>
  <c r="AV26"/>
  <c r="X742" i="175"/>
  <c r="T50" i="189"/>
  <c r="W804" i="175"/>
  <c r="AU261" i="118"/>
  <c r="AU73"/>
  <c r="AU26"/>
  <c r="X743" i="175"/>
  <c r="T51" i="189"/>
  <c r="W805" i="175"/>
  <c r="X25" i="118"/>
  <c r="AX73"/>
  <c r="AX26"/>
  <c r="AX261"/>
  <c r="X740" i="175"/>
  <c r="T48" i="189"/>
  <c r="W802" i="175"/>
  <c r="T79" i="189" s="1"/>
  <c r="AF25" i="142"/>
  <c r="AI25" s="1"/>
  <c r="AG25"/>
  <c r="AK26" s="1"/>
  <c r="AY73" i="118"/>
  <c r="AY26"/>
  <c r="AF26" i="72"/>
  <c r="AY261" i="118"/>
  <c r="X64" i="175"/>
  <c r="X127" s="1"/>
  <c r="AA36" i="144"/>
  <c r="AC396" i="118"/>
  <c r="AR35" i="144"/>
  <c r="T47" i="189"/>
  <c r="W787" i="175"/>
  <c r="W801"/>
  <c r="W594"/>
  <c r="X142"/>
  <c r="W704"/>
  <c r="W701"/>
  <c r="W705"/>
  <c r="C22" i="71"/>
  <c r="X673" i="175"/>
  <c r="W702"/>
  <c r="X670"/>
  <c r="X671"/>
  <c r="X674"/>
  <c r="BZ25" i="118" l="1"/>
  <c r="BW25" s="1"/>
  <c r="W642" i="175"/>
  <c r="T81" i="189"/>
  <c r="U19"/>
  <c r="W643" i="175"/>
  <c r="T82" i="189"/>
  <c r="U20"/>
  <c r="W640" i="175"/>
  <c r="AD73" i="118"/>
  <c r="BM26" s="1"/>
  <c r="U17" i="189"/>
  <c r="X159" i="175"/>
  <c r="X739"/>
  <c r="X756" s="1"/>
  <c r="U33" i="189" s="1"/>
  <c r="AJ36" i="144"/>
  <c r="AD397" i="118"/>
  <c r="X687" i="175"/>
  <c r="W718"/>
  <c r="W639"/>
  <c r="AB25" i="142"/>
  <c r="AO36" i="144"/>
  <c r="AH26" i="142"/>
  <c r="M37" i="144" s="1"/>
  <c r="L37" s="1"/>
  <c r="AS35"/>
  <c r="T64" i="189"/>
  <c r="W818" i="175"/>
  <c r="AH396" i="118"/>
  <c r="AG396"/>
  <c r="T78" i="189"/>
  <c r="X547" i="175"/>
  <c r="X546"/>
  <c r="X549"/>
  <c r="X391"/>
  <c r="X394"/>
  <c r="X390"/>
  <c r="X550"/>
  <c r="X393"/>
  <c r="C22" i="68"/>
  <c r="BM261" i="118" l="1"/>
  <c r="AD261" s="1"/>
  <c r="CC26"/>
  <c r="CB26" s="1"/>
  <c r="X580" i="175"/>
  <c r="X773"/>
  <c r="X774"/>
  <c r="X581"/>
  <c r="AE26" i="118"/>
  <c r="X578" i="175"/>
  <c r="X771"/>
  <c r="U16" i="189"/>
  <c r="X407" i="175"/>
  <c r="AB397" i="118"/>
  <c r="N37" i="144"/>
  <c r="X37"/>
  <c r="X577" i="175"/>
  <c r="X563"/>
  <c r="X770"/>
  <c r="AC25" i="142"/>
  <c r="T25" s="1"/>
  <c r="W719" i="175"/>
  <c r="AP36" i="144"/>
  <c r="T95" i="189"/>
  <c r="AL26" i="142"/>
  <c r="AE26" s="1"/>
  <c r="AB37" i="144" s="1"/>
  <c r="W656" i="175"/>
  <c r="Y47"/>
  <c r="Y50"/>
  <c r="Y51"/>
  <c r="Y48"/>
  <c r="C22" i="70"/>
  <c r="Y145" i="175"/>
  <c r="C23" i="64"/>
  <c r="C23" i="119"/>
  <c r="Y143" i="175"/>
  <c r="C23" i="67"/>
  <c r="Y146" i="175"/>
  <c r="CA26" i="118" l="1"/>
  <c r="BV26" s="1"/>
  <c r="X26"/>
  <c r="AV74"/>
  <c r="AV27"/>
  <c r="AV262"/>
  <c r="Y742" i="175"/>
  <c r="U50" i="189"/>
  <c r="X804" i="175"/>
  <c r="AU74" i="118"/>
  <c r="AU27"/>
  <c r="AU262"/>
  <c r="Y743" i="175"/>
  <c r="U51" i="189"/>
  <c r="X805" i="175"/>
  <c r="AD26" i="118"/>
  <c r="AX74"/>
  <c r="AX27"/>
  <c r="AX262"/>
  <c r="Y740" i="175"/>
  <c r="X802"/>
  <c r="U79" i="189" s="1"/>
  <c r="U48"/>
  <c r="AF26" i="142"/>
  <c r="AI26" s="1"/>
  <c r="AG26"/>
  <c r="AF27" i="72"/>
  <c r="AY262" i="118"/>
  <c r="Y64" i="175"/>
  <c r="Y127" s="1"/>
  <c r="AY27" i="118"/>
  <c r="AY74"/>
  <c r="AA37" i="144"/>
  <c r="AC397" i="118"/>
  <c r="AR36" i="144"/>
  <c r="X594" i="175"/>
  <c r="U47" i="189"/>
  <c r="X787" i="175"/>
  <c r="X801"/>
  <c r="C23" i="71"/>
  <c r="Y670" i="175"/>
  <c r="X705"/>
  <c r="Y674"/>
  <c r="Y671"/>
  <c r="X704"/>
  <c r="Y673"/>
  <c r="X702"/>
  <c r="X701"/>
  <c r="Y142"/>
  <c r="BZ26" i="118" l="1"/>
  <c r="BW26" s="1"/>
  <c r="X642" i="175"/>
  <c r="U81" i="189"/>
  <c r="V19"/>
  <c r="X643" i="175"/>
  <c r="U82" i="189"/>
  <c r="V20"/>
  <c r="X640" i="175"/>
  <c r="V17" i="189"/>
  <c r="AD74" i="118"/>
  <c r="BM27" s="1"/>
  <c r="Y739" i="175"/>
  <c r="Y756" s="1"/>
  <c r="V33" i="189" s="1"/>
  <c r="Y159" i="175"/>
  <c r="AJ37" i="144"/>
  <c r="AK27" i="142"/>
  <c r="Y687" i="175"/>
  <c r="AD398" i="118"/>
  <c r="X718" i="175"/>
  <c r="X639"/>
  <c r="AS36" i="144"/>
  <c r="AH397" i="118"/>
  <c r="AG397"/>
  <c r="AB26" i="142"/>
  <c r="AO37" i="144"/>
  <c r="AH27" i="142"/>
  <c r="M38" i="144" s="1"/>
  <c r="L38" s="1"/>
  <c r="U64" i="189"/>
  <c r="X818" i="175"/>
  <c r="U78" i="189"/>
  <c r="Y390" i="175"/>
  <c r="Y391"/>
  <c r="Y393"/>
  <c r="Y546"/>
  <c r="Y394"/>
  <c r="Y547"/>
  <c r="C23" i="68"/>
  <c r="Y550" i="175"/>
  <c r="Y549"/>
  <c r="BM262" i="118" l="1"/>
  <c r="AD262" s="1"/>
  <c r="CC27"/>
  <c r="CB27" s="1"/>
  <c r="Y580" i="175"/>
  <c r="Y773"/>
  <c r="Y581"/>
  <c r="Y774"/>
  <c r="AE27" i="118"/>
  <c r="Y578" i="175"/>
  <c r="Y771"/>
  <c r="Y407"/>
  <c r="AB398" i="118"/>
  <c r="V16" i="189"/>
  <c r="N38" i="144"/>
  <c r="X38"/>
  <c r="Y577" i="175"/>
  <c r="Y563"/>
  <c r="Y770"/>
  <c r="AP37" i="144"/>
  <c r="X719" i="175"/>
  <c r="U95" i="189"/>
  <c r="AL27" i="142"/>
  <c r="AE27" s="1"/>
  <c r="AB38" i="144" s="1"/>
  <c r="X656" i="175"/>
  <c r="AC26" i="142"/>
  <c r="T26" s="1"/>
  <c r="Z143" i="175"/>
  <c r="C24" i="64"/>
  <c r="Z48" i="175"/>
  <c r="C24" i="119"/>
  <c r="Z50" i="175"/>
  <c r="Z145"/>
  <c r="Z51"/>
  <c r="C24" i="67"/>
  <c r="Z47" i="175"/>
  <c r="Z146"/>
  <c r="C23" i="70"/>
  <c r="CA27" i="118" l="1"/>
  <c r="BZ27" s="1"/>
  <c r="BW27" s="1"/>
  <c r="X27"/>
  <c r="AV263"/>
  <c r="AV28"/>
  <c r="AV75"/>
  <c r="Z742" i="175"/>
  <c r="AZ145"/>
  <c r="AZ50"/>
  <c r="V50" i="189"/>
  <c r="Y804" i="175"/>
  <c r="AU28" i="118"/>
  <c r="AU263"/>
  <c r="AU75"/>
  <c r="Z743" i="175"/>
  <c r="AZ146"/>
  <c r="AZ51"/>
  <c r="V51" i="189"/>
  <c r="Y805" i="175"/>
  <c r="AD27" i="118"/>
  <c r="AX263"/>
  <c r="AX28"/>
  <c r="AX75"/>
  <c r="Z740" i="175"/>
  <c r="AZ143"/>
  <c r="AZ48"/>
  <c r="Y802"/>
  <c r="V79" i="189" s="1"/>
  <c r="V48"/>
  <c r="AF27" i="142"/>
  <c r="AI27" s="1"/>
  <c r="AG27"/>
  <c r="AK28" s="1"/>
  <c r="AY75" i="118"/>
  <c r="AY28"/>
  <c r="AF28" i="72"/>
  <c r="AY263" i="118"/>
  <c r="Z64" i="175"/>
  <c r="AZ47"/>
  <c r="AJ38" i="144"/>
  <c r="AA38"/>
  <c r="AC398" i="118"/>
  <c r="Y594" i="175"/>
  <c r="AR37" i="144"/>
  <c r="V47" i="189"/>
  <c r="Y787" i="175"/>
  <c r="Y801"/>
  <c r="Z674"/>
  <c r="Y705"/>
  <c r="Y701"/>
  <c r="Z391"/>
  <c r="Z390"/>
  <c r="Z394"/>
  <c r="Z671"/>
  <c r="C24" i="68"/>
  <c r="Y702" i="175"/>
  <c r="Y704"/>
  <c r="Z393"/>
  <c r="Z142"/>
  <c r="Z673"/>
  <c r="C24" i="71"/>
  <c r="Z670" i="175"/>
  <c r="BV27" i="118" l="1"/>
  <c r="AZ393" i="175"/>
  <c r="AZ673"/>
  <c r="Y642"/>
  <c r="V81" i="189"/>
  <c r="W19"/>
  <c r="AW19" s="1"/>
  <c r="AZ742" i="175"/>
  <c r="Y643"/>
  <c r="AZ394"/>
  <c r="AZ674"/>
  <c r="V82" i="189"/>
  <c r="AZ743" i="175"/>
  <c r="W20" i="189"/>
  <c r="AW20" s="1"/>
  <c r="AD75" i="118"/>
  <c r="BM28" s="1"/>
  <c r="Y640" i="175"/>
  <c r="AZ391"/>
  <c r="AZ671"/>
  <c r="W17" i="189"/>
  <c r="AW17" s="1"/>
  <c r="AZ740" i="175"/>
  <c r="Z159"/>
  <c r="AZ159" s="1"/>
  <c r="AZ142"/>
  <c r="Z739"/>
  <c r="Z756" s="1"/>
  <c r="AD399" i="118"/>
  <c r="Z687" i="175"/>
  <c r="AZ687" s="1"/>
  <c r="AZ670"/>
  <c r="AB399" i="118"/>
  <c r="AZ390" i="175"/>
  <c r="Z407"/>
  <c r="AZ407" s="1"/>
  <c r="Z127"/>
  <c r="AZ64"/>
  <c r="AZ127" s="1"/>
  <c r="Y718"/>
  <c r="Y639"/>
  <c r="V64" i="189"/>
  <c r="Y818" i="175"/>
  <c r="AS37" i="144"/>
  <c r="AH398" i="118"/>
  <c r="AG398"/>
  <c r="AB27" i="142"/>
  <c r="AO38" i="144"/>
  <c r="AH28" i="142"/>
  <c r="M39" i="144" s="1"/>
  <c r="L39" s="1"/>
  <c r="V78" i="189"/>
  <c r="Z547" i="175"/>
  <c r="Z546"/>
  <c r="Z550"/>
  <c r="Z549"/>
  <c r="BM263" i="118" l="1"/>
  <c r="AD263" s="1"/>
  <c r="CC28"/>
  <c r="CB28" s="1"/>
  <c r="Z580" i="175"/>
  <c r="AZ580" s="1"/>
  <c r="Z773"/>
  <c r="AZ549"/>
  <c r="Z581"/>
  <c r="AZ581" s="1"/>
  <c r="Z774"/>
  <c r="AZ550"/>
  <c r="AE28" i="118"/>
  <c r="Z578" i="175"/>
  <c r="AZ578" s="1"/>
  <c r="Z771"/>
  <c r="AZ547"/>
  <c r="AZ739"/>
  <c r="W16" i="189"/>
  <c r="AW16" s="1"/>
  <c r="N39" i="144"/>
  <c r="X39"/>
  <c r="AZ756" i="175"/>
  <c r="W33" i="189"/>
  <c r="AW33" s="1"/>
  <c r="Z577" i="175"/>
  <c r="AZ577" s="1"/>
  <c r="Z563"/>
  <c r="Z770"/>
  <c r="AZ546"/>
  <c r="Y719"/>
  <c r="Y656"/>
  <c r="AL28" i="142"/>
  <c r="AE28" s="1"/>
  <c r="AB39" i="144" s="1"/>
  <c r="AC27" i="142"/>
  <c r="T27" s="1"/>
  <c r="V95" i="189"/>
  <c r="AP38" i="144"/>
  <c r="AA146" i="175"/>
  <c r="AA51"/>
  <c r="AA48"/>
  <c r="C25" i="67"/>
  <c r="C25" i="119"/>
  <c r="C25" i="64"/>
  <c r="AA47" i="175"/>
  <c r="AA50"/>
  <c r="C24" i="70"/>
  <c r="AA143" i="175"/>
  <c r="AA145"/>
  <c r="CA28" i="118" l="1"/>
  <c r="BZ28" s="1"/>
  <c r="BW28" s="1"/>
  <c r="AD28"/>
  <c r="AV76"/>
  <c r="AV264"/>
  <c r="AV29"/>
  <c r="AA742" i="175"/>
  <c r="AZ773"/>
  <c r="W50" i="189"/>
  <c r="AW50" s="1"/>
  <c r="Z804" i="175"/>
  <c r="AU264" i="118"/>
  <c r="AU76"/>
  <c r="AU29"/>
  <c r="AA743" i="175"/>
  <c r="W51" i="189"/>
  <c r="AW51" s="1"/>
  <c r="AZ774" i="175"/>
  <c r="Z805"/>
  <c r="X28" i="118"/>
  <c r="AX264"/>
  <c r="AX76"/>
  <c r="AX29"/>
  <c r="AA740" i="175"/>
  <c r="Z802"/>
  <c r="W48" i="189"/>
  <c r="AW48" s="1"/>
  <c r="AZ771" i="175"/>
  <c r="AJ39" i="144"/>
  <c r="AF28" i="142"/>
  <c r="AI28" s="1"/>
  <c r="AG28"/>
  <c r="AK29" s="1"/>
  <c r="AY29" i="118"/>
  <c r="AY264"/>
  <c r="AF29" i="72"/>
  <c r="AA64" i="175"/>
  <c r="AA127" s="1"/>
  <c r="AY76" i="118"/>
  <c r="AA39" i="144"/>
  <c r="AC399" i="118"/>
  <c r="W47" i="189"/>
  <c r="AW47" s="1"/>
  <c r="Z787" i="175"/>
  <c r="Z801"/>
  <c r="AZ770"/>
  <c r="AR38" i="144"/>
  <c r="Z594" i="175"/>
  <c r="AZ594" s="1"/>
  <c r="AZ563"/>
  <c r="AA671"/>
  <c r="AA390"/>
  <c r="C25" i="71"/>
  <c r="Z704" i="175"/>
  <c r="AA394"/>
  <c r="AA393"/>
  <c r="Z701"/>
  <c r="AA674"/>
  <c r="AA670"/>
  <c r="AA673"/>
  <c r="AA391"/>
  <c r="AA142"/>
  <c r="C25" i="68"/>
  <c r="Z705" i="175"/>
  <c r="Z702"/>
  <c r="BV28" i="118" l="1"/>
  <c r="Z642" i="175"/>
  <c r="AZ642" s="1"/>
  <c r="AZ704"/>
  <c r="W81" i="189"/>
  <c r="AW81" s="1"/>
  <c r="AZ804" i="175"/>
  <c r="X19" i="189"/>
  <c r="Z643" i="175"/>
  <c r="AZ643" s="1"/>
  <c r="AZ705"/>
  <c r="X20" i="189"/>
  <c r="W82"/>
  <c r="AW82" s="1"/>
  <c r="AZ805" i="175"/>
  <c r="AD76" i="118"/>
  <c r="BM29" s="1"/>
  <c r="Z640" i="175"/>
  <c r="AZ640" s="1"/>
  <c r="AZ702"/>
  <c r="AZ802"/>
  <c r="W79" i="189"/>
  <c r="AW79" s="1"/>
  <c r="X17"/>
  <c r="AA159" i="175"/>
  <c r="AA739"/>
  <c r="AA756" s="1"/>
  <c r="X33" i="189" s="1"/>
  <c r="AA687" i="175"/>
  <c r="AD400" i="118"/>
  <c r="AA407" i="175"/>
  <c r="AB400" i="118"/>
  <c r="Z718" i="175"/>
  <c r="Z639"/>
  <c r="AZ701"/>
  <c r="AG399" i="118"/>
  <c r="AH399"/>
  <c r="AS38" i="144"/>
  <c r="W64" i="189"/>
  <c r="AW64" s="1"/>
  <c r="Z818" i="175"/>
  <c r="AZ787"/>
  <c r="W78" i="189"/>
  <c r="AW78" s="1"/>
  <c r="AZ801" i="175"/>
  <c r="AB28" i="142"/>
  <c r="AH29"/>
  <c r="M40" i="144" s="1"/>
  <c r="L40" s="1"/>
  <c r="AO39"/>
  <c r="AA547" i="175"/>
  <c r="AA549"/>
  <c r="AA550"/>
  <c r="AA546"/>
  <c r="BM264" i="118" l="1"/>
  <c r="AD264" s="1"/>
  <c r="CC29"/>
  <c r="CB29" s="1"/>
  <c r="AA580" i="175"/>
  <c r="AA773"/>
  <c r="AA581"/>
  <c r="AA774"/>
  <c r="AE29" i="118"/>
  <c r="AA578" i="175"/>
  <c r="AA771"/>
  <c r="X16" i="189"/>
  <c r="X40" i="144"/>
  <c r="N40"/>
  <c r="AA577" i="175"/>
  <c r="AA563"/>
  <c r="AA770"/>
  <c r="AP39" i="144"/>
  <c r="W95" i="189"/>
  <c r="AW95" s="1"/>
  <c r="AZ818" i="175"/>
  <c r="AZ718"/>
  <c r="Z719"/>
  <c r="Z656"/>
  <c r="AZ656" s="1"/>
  <c r="AZ639"/>
  <c r="AL29" i="142"/>
  <c r="AE29" s="1"/>
  <c r="AB40" i="144" s="1"/>
  <c r="AC28" i="142"/>
  <c r="T28" s="1"/>
  <c r="AB47" i="175"/>
  <c r="AB51"/>
  <c r="C26" i="67"/>
  <c r="AB146" i="175"/>
  <c r="AB48"/>
  <c r="C26" i="64"/>
  <c r="C25" i="70"/>
  <c r="AB143" i="175"/>
  <c r="AB145"/>
  <c r="C26" i="119"/>
  <c r="AB50" i="175"/>
  <c r="CA29" i="118" l="1"/>
  <c r="BV29" s="1"/>
  <c r="AD29"/>
  <c r="AV265"/>
  <c r="AV77"/>
  <c r="AV30"/>
  <c r="AB742" i="175"/>
  <c r="X50" i="189"/>
  <c r="AA804" i="175"/>
  <c r="AU77" i="118"/>
  <c r="AU265"/>
  <c r="AU30"/>
  <c r="AB743" i="175"/>
  <c r="X51" i="189"/>
  <c r="AA805" i="175"/>
  <c r="X29" i="118"/>
  <c r="AX77"/>
  <c r="AX30"/>
  <c r="AX265"/>
  <c r="AB740" i="175"/>
  <c r="X48" i="189"/>
  <c r="AA802" i="175"/>
  <c r="AJ40" i="144"/>
  <c r="AF29" i="142"/>
  <c r="AI29" s="1"/>
  <c r="AG29"/>
  <c r="AK30" s="1"/>
  <c r="AY30" i="118"/>
  <c r="AF30" i="72"/>
  <c r="AY265" i="118"/>
  <c r="AB64" i="175"/>
  <c r="AB127" s="1"/>
  <c r="AY77" i="118"/>
  <c r="AA40" i="144"/>
  <c r="AC400" i="118"/>
  <c r="AA594" i="175"/>
  <c r="AZ719"/>
  <c r="AR39" i="144"/>
  <c r="X47" i="189"/>
  <c r="AA787" i="175"/>
  <c r="AA801"/>
  <c r="AB670"/>
  <c r="C26" i="68"/>
  <c r="AB394" i="175"/>
  <c r="AA705"/>
  <c r="AB142"/>
  <c r="AB673"/>
  <c r="AB391"/>
  <c r="AB390"/>
  <c r="AA701"/>
  <c r="C26" i="71"/>
  <c r="AB393" i="175"/>
  <c r="AB671"/>
  <c r="AA704"/>
  <c r="AB674"/>
  <c r="AA702"/>
  <c r="BZ29" i="118" l="1"/>
  <c r="BW29" s="1"/>
  <c r="AA642" i="175"/>
  <c r="X81" i="189"/>
  <c r="Y19"/>
  <c r="AA643" i="175"/>
  <c r="X82" i="189"/>
  <c r="Y20"/>
  <c r="AD77" i="118"/>
  <c r="BM30" s="1"/>
  <c r="AA640" i="175"/>
  <c r="X79" i="189"/>
  <c r="Y17"/>
  <c r="AB159" i="175"/>
  <c r="AB739"/>
  <c r="Y16" i="189" s="1"/>
  <c r="AB401" i="118"/>
  <c r="AB407" i="175"/>
  <c r="AD401" i="118"/>
  <c r="AB687" i="175"/>
  <c r="AA718"/>
  <c r="AA639"/>
  <c r="AG400" i="118"/>
  <c r="AH400"/>
  <c r="AS39" i="144"/>
  <c r="X78" i="189"/>
  <c r="X64"/>
  <c r="AA818" i="175"/>
  <c r="AB29" i="142"/>
  <c r="AO40" i="144"/>
  <c r="AH30" i="142"/>
  <c r="M41" i="144" s="1"/>
  <c r="L41" s="1"/>
  <c r="AB549" i="175"/>
  <c r="AB550"/>
  <c r="AB546"/>
  <c r="AB547"/>
  <c r="BM265" i="118" l="1"/>
  <c r="AD265" s="1"/>
  <c r="CC30"/>
  <c r="CB30" s="1"/>
  <c r="AB580" i="175"/>
  <c r="AB773"/>
  <c r="AB774"/>
  <c r="AB581"/>
  <c r="AE30" i="118"/>
  <c r="AB756" i="175"/>
  <c r="Y33" i="189" s="1"/>
  <c r="AB578" i="175"/>
  <c r="AB771"/>
  <c r="X41" i="144"/>
  <c r="N41"/>
  <c r="AB577" i="175"/>
  <c r="AB563"/>
  <c r="AB770"/>
  <c r="AP40" i="144"/>
  <c r="X95" i="189"/>
  <c r="AA719" i="175"/>
  <c r="AL30" i="142"/>
  <c r="AE30" s="1"/>
  <c r="AB41" i="144" s="1"/>
  <c r="AC29" i="142"/>
  <c r="T29" s="1"/>
  <c r="AA656" i="175"/>
  <c r="C27" i="67"/>
  <c r="C27" i="119"/>
  <c r="AC50" i="175"/>
  <c r="C26" i="70"/>
  <c r="AC47" i="175"/>
  <c r="AC143"/>
  <c r="C27" i="64"/>
  <c r="AC146" i="175"/>
  <c r="AC145"/>
  <c r="AC48"/>
  <c r="AC51"/>
  <c r="CA30" i="118" l="1"/>
  <c r="BV30" s="1"/>
  <c r="AD30"/>
  <c r="AV31"/>
  <c r="AV78"/>
  <c r="AV266"/>
  <c r="AC742" i="175"/>
  <c r="Y50" i="189"/>
  <c r="AB804" i="175"/>
  <c r="AU31" i="118"/>
  <c r="AU266"/>
  <c r="AU78"/>
  <c r="AC743" i="175"/>
  <c r="Y51" i="189"/>
  <c r="AB805" i="175"/>
  <c r="X30" i="118"/>
  <c r="AX266"/>
  <c r="AX31"/>
  <c r="AX78"/>
  <c r="AC740" i="175"/>
  <c r="Y48" i="189"/>
  <c r="AB802" i="175"/>
  <c r="AF30" i="142"/>
  <c r="AI30" s="1"/>
  <c r="AG30"/>
  <c r="AK31" s="1"/>
  <c r="AY78" i="118"/>
  <c r="AY31"/>
  <c r="AF31" i="72"/>
  <c r="AY266" i="118"/>
  <c r="AC64" i="175"/>
  <c r="AC127" s="1"/>
  <c r="AA41" i="144"/>
  <c r="AC401" i="118"/>
  <c r="AR40" i="144"/>
  <c r="AB594" i="175"/>
  <c r="Y47" i="189"/>
  <c r="AB787" i="175"/>
  <c r="AB801"/>
  <c r="AC670"/>
  <c r="AB702"/>
  <c r="AB705"/>
  <c r="C27" i="71"/>
  <c r="AC671" i="175"/>
  <c r="AC142"/>
  <c r="AB701"/>
  <c r="AC674"/>
  <c r="AB704"/>
  <c r="AC673"/>
  <c r="BZ30" i="118" l="1"/>
  <c r="BW30" s="1"/>
  <c r="AB642" i="175"/>
  <c r="Y81" i="189"/>
  <c r="Z19"/>
  <c r="AB643" i="175"/>
  <c r="Y82" i="189"/>
  <c r="Z20"/>
  <c r="AD78" i="118"/>
  <c r="BM31" s="1"/>
  <c r="AB640" i="175"/>
  <c r="Y79" i="189"/>
  <c r="Z17"/>
  <c r="AC739" i="175"/>
  <c r="AC756" s="1"/>
  <c r="Z33" i="189" s="1"/>
  <c r="AC159" i="175"/>
  <c r="AJ41" i="144"/>
  <c r="AC687" i="175"/>
  <c r="AD402" i="118"/>
  <c r="AB718" i="175"/>
  <c r="AB639"/>
  <c r="Y78" i="189"/>
  <c r="AB30" i="142"/>
  <c r="AO41" i="144"/>
  <c r="AH31" i="142"/>
  <c r="M42" i="144" s="1"/>
  <c r="L42" s="1"/>
  <c r="AH401" i="118"/>
  <c r="AG401"/>
  <c r="AS40" i="144"/>
  <c r="Y64" i="189"/>
  <c r="AB818" i="175"/>
  <c r="C27" i="68"/>
  <c r="AC391" i="175"/>
  <c r="AC550"/>
  <c r="AC547"/>
  <c r="AC546"/>
  <c r="AC549"/>
  <c r="AC390"/>
  <c r="AC394"/>
  <c r="AC393"/>
  <c r="BM266" i="118" l="1"/>
  <c r="AD266" s="1"/>
  <c r="CC31"/>
  <c r="CB31" s="1"/>
  <c r="AC580" i="175"/>
  <c r="AC773"/>
  <c r="AC581"/>
  <c r="AC774"/>
  <c r="AE31" i="118"/>
  <c r="AC578" i="175"/>
  <c r="AC771"/>
  <c r="Z16" i="189"/>
  <c r="AC407" i="175"/>
  <c r="AB402" i="118"/>
  <c r="N42" i="144"/>
  <c r="X42"/>
  <c r="AC577" i="175"/>
  <c r="AC563"/>
  <c r="AC770"/>
  <c r="AC30" i="142"/>
  <c r="T30" s="1"/>
  <c r="AP41" i="144"/>
  <c r="AL31" i="142"/>
  <c r="AE31" s="1"/>
  <c r="AB42" i="144" s="1"/>
  <c r="AB656" i="175"/>
  <c r="AB719"/>
  <c r="Y95" i="189"/>
  <c r="C28" i="119"/>
  <c r="C27" i="70"/>
  <c r="C28" i="67"/>
  <c r="AD48" i="175"/>
  <c r="AD51"/>
  <c r="C28" i="64"/>
  <c r="AD146" i="175"/>
  <c r="AD143"/>
  <c r="AD47"/>
  <c r="AD50"/>
  <c r="AD145"/>
  <c r="CA31" i="118" l="1"/>
  <c r="BZ31" s="1"/>
  <c r="BW31" s="1"/>
  <c r="AD31"/>
  <c r="X31"/>
  <c r="AV79"/>
  <c r="AV32"/>
  <c r="AV267"/>
  <c r="AD742" i="175"/>
  <c r="Z50" i="189"/>
  <c r="AC804" i="175"/>
  <c r="AU79" i="118"/>
  <c r="AU267"/>
  <c r="AU32"/>
  <c r="AD743" i="175"/>
  <c r="Z51" i="189"/>
  <c r="AC805" i="175"/>
  <c r="AX79" i="118"/>
  <c r="AX267"/>
  <c r="AX32"/>
  <c r="AD740" i="175"/>
  <c r="Z48" i="189"/>
  <c r="AC802" i="175"/>
  <c r="AF31" i="142"/>
  <c r="AI31" s="1"/>
  <c r="AG31"/>
  <c r="AK32" s="1"/>
  <c r="AY32" i="118"/>
  <c r="AD64" i="175"/>
  <c r="AD127" s="1"/>
  <c r="AF32" i="72"/>
  <c r="AY267" i="118"/>
  <c r="AY79"/>
  <c r="AA42" i="144"/>
  <c r="AJ42"/>
  <c r="AC402" i="118"/>
  <c r="AR41" i="144"/>
  <c r="AC594" i="175"/>
  <c r="Z47" i="189"/>
  <c r="AC787" i="175"/>
  <c r="AC801"/>
  <c r="AD394"/>
  <c r="AC704"/>
  <c r="C28" i="71"/>
  <c r="AD391" i="175"/>
  <c r="AD393"/>
  <c r="AC705"/>
  <c r="AD390"/>
  <c r="C28" i="68"/>
  <c r="AD142" i="175"/>
  <c r="AD674"/>
  <c r="AD671"/>
  <c r="AD670"/>
  <c r="AC701"/>
  <c r="AC702"/>
  <c r="AD673"/>
  <c r="BV31" i="118" l="1"/>
  <c r="AC642" i="175"/>
  <c r="Z81" i="189"/>
  <c r="AA19"/>
  <c r="AC643" i="175"/>
  <c r="Z82" i="189"/>
  <c r="AD79" i="118"/>
  <c r="BM32" s="1"/>
  <c r="AA20" i="189"/>
  <c r="AC640" i="175"/>
  <c r="Z79" i="189"/>
  <c r="AA17"/>
  <c r="AD159" i="175"/>
  <c r="AD739"/>
  <c r="AD756" s="1"/>
  <c r="AA33" i="189" s="1"/>
  <c r="AB403" i="118"/>
  <c r="AD407" i="175"/>
  <c r="AD403" i="118"/>
  <c r="AD687" i="175"/>
  <c r="AC718"/>
  <c r="AC639"/>
  <c r="AH402" i="118"/>
  <c r="AG402"/>
  <c r="Z64" i="189"/>
  <c r="AC818" i="175"/>
  <c r="Z78" i="189"/>
  <c r="AB31" i="142"/>
  <c r="AO42" i="144"/>
  <c r="AH32" i="142"/>
  <c r="M43" i="144" s="1"/>
  <c r="L43" s="1"/>
  <c r="AS41"/>
  <c r="AD550" i="175"/>
  <c r="AD546"/>
  <c r="AD549"/>
  <c r="AD547"/>
  <c r="BM267" i="118" l="1"/>
  <c r="AD267" s="1"/>
  <c r="CC32"/>
  <c r="CB32" s="1"/>
  <c r="AD580" i="175"/>
  <c r="AD773"/>
  <c r="AE32" i="118"/>
  <c r="AD581" i="175"/>
  <c r="AD774"/>
  <c r="AD578"/>
  <c r="AD771"/>
  <c r="AA16" i="189"/>
  <c r="N43" i="144"/>
  <c r="X43"/>
  <c r="AD577" i="175"/>
  <c r="AD563"/>
  <c r="AD770"/>
  <c r="AC719"/>
  <c r="AC31" i="142"/>
  <c r="T31" s="1"/>
  <c r="AC656" i="175"/>
  <c r="AP42" i="144"/>
  <c r="AL32" i="142"/>
  <c r="AE32" s="1"/>
  <c r="AB43" i="144" s="1"/>
  <c r="Z95" i="189"/>
  <c r="AE146" i="175"/>
  <c r="AE145"/>
  <c r="AE48"/>
  <c r="AE51"/>
  <c r="C28" i="70"/>
  <c r="C29" i="119"/>
  <c r="AE50" i="175"/>
  <c r="C29" i="67"/>
  <c r="AE47" i="175"/>
  <c r="C29" i="64"/>
  <c r="AE143" i="175"/>
  <c r="CA32" i="118" l="1"/>
  <c r="BZ32" s="1"/>
  <c r="BW32" s="1"/>
  <c r="X32"/>
  <c r="AV268"/>
  <c r="AV80"/>
  <c r="AV33"/>
  <c r="BB50" i="175"/>
  <c r="AE742"/>
  <c r="BB145"/>
  <c r="AA50" i="189"/>
  <c r="AD804" i="175"/>
  <c r="AD32" i="118"/>
  <c r="AU268"/>
  <c r="AU33"/>
  <c r="AU80"/>
  <c r="AE743" i="175"/>
  <c r="BB146"/>
  <c r="BB51"/>
  <c r="AA51" i="189"/>
  <c r="AD805" i="175"/>
  <c r="AX33" i="118"/>
  <c r="AX80"/>
  <c r="AX268"/>
  <c r="AE740" i="175"/>
  <c r="BB143"/>
  <c r="BB48"/>
  <c r="AA48" i="189"/>
  <c r="AD802" i="175"/>
  <c r="AF32" i="142"/>
  <c r="AI32" s="1"/>
  <c r="AG32"/>
  <c r="AK33" s="1"/>
  <c r="AY33" i="118"/>
  <c r="AY268"/>
  <c r="AF33" i="72"/>
  <c r="BB47" i="175"/>
  <c r="AE64"/>
  <c r="AY80" i="118"/>
  <c r="AA43" i="144"/>
  <c r="AC403" i="118"/>
  <c r="AR42" i="144"/>
  <c r="AA47" i="189"/>
  <c r="AD787" i="175"/>
  <c r="AD801"/>
  <c r="AD594"/>
  <c r="C29" i="71"/>
  <c r="AD705" i="175"/>
  <c r="AE673"/>
  <c r="AE670"/>
  <c r="AD704"/>
  <c r="AD701"/>
  <c r="AE671"/>
  <c r="AE674"/>
  <c r="AD702"/>
  <c r="AE142"/>
  <c r="BV32" i="118" l="1"/>
  <c r="BB673" i="175"/>
  <c r="AD642"/>
  <c r="AA81" i="189"/>
  <c r="AB19"/>
  <c r="AY19" s="1"/>
  <c r="BB742" i="175"/>
  <c r="BB674"/>
  <c r="AD643"/>
  <c r="AA82" i="189"/>
  <c r="BB743" i="175"/>
  <c r="AB20" i="189"/>
  <c r="AY20" s="1"/>
  <c r="AD80" i="118"/>
  <c r="BM33" s="1"/>
  <c r="AD640" i="175"/>
  <c r="BB671"/>
  <c r="AA79" i="189"/>
  <c r="AB17"/>
  <c r="AY17" s="1"/>
  <c r="BB740" i="175"/>
  <c r="AE159"/>
  <c r="BB159" s="1"/>
  <c r="AE739"/>
  <c r="BB739" s="1"/>
  <c r="BB142"/>
  <c r="AJ43" i="144"/>
  <c r="AE687" i="175"/>
  <c r="BB687" s="1"/>
  <c r="BB670"/>
  <c r="AD404" i="118"/>
  <c r="BB64" i="175"/>
  <c r="BB127" s="1"/>
  <c r="AE127"/>
  <c r="AD718"/>
  <c r="AD639"/>
  <c r="AA64" i="189"/>
  <c r="AD818" i="175"/>
  <c r="AH403" i="118"/>
  <c r="AG403"/>
  <c r="AA78" i="189"/>
  <c r="AB32" i="142"/>
  <c r="AO43" i="144"/>
  <c r="AH33" i="142"/>
  <c r="M44" i="144" s="1"/>
  <c r="L44" s="1"/>
  <c r="AS42"/>
  <c r="AE547" i="175"/>
  <c r="AE546"/>
  <c r="C29" i="68"/>
  <c r="AE549" i="175"/>
  <c r="AE393"/>
  <c r="AE550"/>
  <c r="AE390"/>
  <c r="AE394"/>
  <c r="AE391"/>
  <c r="BM268" i="118" l="1"/>
  <c r="AD268" s="1"/>
  <c r="CC33"/>
  <c r="CB33" s="1"/>
  <c r="AE580" i="175"/>
  <c r="BB580" s="1"/>
  <c r="AE773"/>
  <c r="BB549"/>
  <c r="BB393"/>
  <c r="BB394"/>
  <c r="AE581"/>
  <c r="BB581" s="1"/>
  <c r="AE774"/>
  <c r="BB550"/>
  <c r="AE33" i="118"/>
  <c r="AE578" i="175"/>
  <c r="BB578" s="1"/>
  <c r="AE771"/>
  <c r="BB547"/>
  <c r="BB391"/>
  <c r="AE756"/>
  <c r="AB33" i="189" s="1"/>
  <c r="AY33" s="1"/>
  <c r="AB16"/>
  <c r="AY16" s="1"/>
  <c r="BB390" i="175"/>
  <c r="AE407"/>
  <c r="BB407" s="1"/>
  <c r="AB404" i="118"/>
  <c r="X44" i="144"/>
  <c r="N44"/>
  <c r="AE577" i="175"/>
  <c r="BB577" s="1"/>
  <c r="AE563"/>
  <c r="AE770"/>
  <c r="BB546"/>
  <c r="AD719"/>
  <c r="AD656"/>
  <c r="AC32" i="142"/>
  <c r="T32" s="1"/>
  <c r="AP43" i="144"/>
  <c r="AA95" i="189"/>
  <c r="AL33" i="142"/>
  <c r="AE33" s="1"/>
  <c r="AB44" i="144" s="1"/>
  <c r="C30" i="64"/>
  <c r="AF143" i="175"/>
  <c r="AF145"/>
  <c r="C30" i="67"/>
  <c r="C30" i="119"/>
  <c r="AF146" i="175"/>
  <c r="C29" i="70"/>
  <c r="AF51" i="175"/>
  <c r="AF48"/>
  <c r="AF50"/>
  <c r="AF47"/>
  <c r="CA33" i="118" l="1"/>
  <c r="BZ33" s="1"/>
  <c r="BW33" s="1"/>
  <c r="X33"/>
  <c r="AV81"/>
  <c r="AV34"/>
  <c r="AV269"/>
  <c r="AF742" i="175"/>
  <c r="AB50" i="189"/>
  <c r="AY50" s="1"/>
  <c r="BB773" i="175"/>
  <c r="AE804"/>
  <c r="AU34" i="118"/>
  <c r="AU81"/>
  <c r="AU269"/>
  <c r="AF743" i="175"/>
  <c r="AB51" i="189"/>
  <c r="AY51" s="1"/>
  <c r="BB774" i="175"/>
  <c r="AE805"/>
  <c r="AD33" i="118"/>
  <c r="AX269"/>
  <c r="AX81"/>
  <c r="AX34"/>
  <c r="AF740" i="175"/>
  <c r="AC17" i="189" s="1"/>
  <c r="AB48"/>
  <c r="AY48" s="1"/>
  <c r="BB771" i="175"/>
  <c r="AE802"/>
  <c r="BB756"/>
  <c r="AJ44" i="144"/>
  <c r="AF33" i="142"/>
  <c r="AI33" s="1"/>
  <c r="AG33"/>
  <c r="AY81" i="118"/>
  <c r="AY34"/>
  <c r="AF34" i="72"/>
  <c r="AY269" i="118"/>
  <c r="AF64" i="175"/>
  <c r="AF127" s="1"/>
  <c r="AA44" i="144"/>
  <c r="AC404" i="118"/>
  <c r="AB47" i="189"/>
  <c r="AY47" s="1"/>
  <c r="AE787" i="175"/>
  <c r="AE801"/>
  <c r="BB770"/>
  <c r="AR43" i="144"/>
  <c r="AE594" i="175"/>
  <c r="BB594" s="1"/>
  <c r="BB563"/>
  <c r="C30" i="68"/>
  <c r="AF394" i="175"/>
  <c r="AF674"/>
  <c r="AE705"/>
  <c r="AF670"/>
  <c r="AE701"/>
  <c r="AF390"/>
  <c r="AF671"/>
  <c r="AE704"/>
  <c r="AF393"/>
  <c r="AF391"/>
  <c r="AE702"/>
  <c r="AF673"/>
  <c r="AF142"/>
  <c r="C30" i="71"/>
  <c r="BV33" i="118" l="1"/>
  <c r="AE642" i="175"/>
  <c r="BB642" s="1"/>
  <c r="BB704"/>
  <c r="AB81" i="189"/>
  <c r="AY81" s="1"/>
  <c r="BB804" i="175"/>
  <c r="AC19" i="189"/>
  <c r="AE643" i="175"/>
  <c r="BB643" s="1"/>
  <c r="BB705"/>
  <c r="AB82" i="189"/>
  <c r="AY82" s="1"/>
  <c r="BB805" i="175"/>
  <c r="AC20" i="189"/>
  <c r="AD81" i="118"/>
  <c r="BM34" s="1"/>
  <c r="AE640" i="175"/>
  <c r="BB640" s="1"/>
  <c r="BB702"/>
  <c r="AB79" i="189"/>
  <c r="AY79" s="1"/>
  <c r="BB802" i="175"/>
  <c r="AF159"/>
  <c r="AF739"/>
  <c r="AF756" s="1"/>
  <c r="AC33" i="189" s="1"/>
  <c r="AK34" i="142"/>
  <c r="AF407" i="175"/>
  <c r="AB405" i="118"/>
  <c r="AF687" i="175"/>
  <c r="AD405" i="118"/>
  <c r="AE718" i="175"/>
  <c r="AE639"/>
  <c r="BB701"/>
  <c r="AB64" i="189"/>
  <c r="AY64" s="1"/>
  <c r="AE818" i="175"/>
  <c r="BB787"/>
  <c r="AH404" i="118"/>
  <c r="AG404"/>
  <c r="AB33" i="142"/>
  <c r="AH34"/>
  <c r="M45" i="144" s="1"/>
  <c r="L45" s="1"/>
  <c r="AO44"/>
  <c r="AS43"/>
  <c r="AB78" i="189"/>
  <c r="AY78" s="1"/>
  <c r="BB801" i="175"/>
  <c r="AF546"/>
  <c r="AF550"/>
  <c r="AF549"/>
  <c r="AF547"/>
  <c r="BM269" i="118" l="1"/>
  <c r="AD269" s="1"/>
  <c r="CC34"/>
  <c r="CB34" s="1"/>
  <c r="AF580" i="175"/>
  <c r="AF773"/>
  <c r="AF581"/>
  <c r="AF774"/>
  <c r="AC16" i="189"/>
  <c r="AE34" i="118"/>
  <c r="AF578" i="175"/>
  <c r="AF771"/>
  <c r="X45" i="144"/>
  <c r="N45"/>
  <c r="AF577" i="175"/>
  <c r="AF563"/>
  <c r="AF770"/>
  <c r="AL34" i="142"/>
  <c r="AE34" s="1"/>
  <c r="AB45" i="144" s="1"/>
  <c r="AE656" i="175"/>
  <c r="BB656" s="1"/>
  <c r="BB639"/>
  <c r="BB718"/>
  <c r="AE719"/>
  <c r="AP44" i="144"/>
  <c r="AC33" i="142"/>
  <c r="T33" s="1"/>
  <c r="AB95" i="189"/>
  <c r="AY95" s="1"/>
  <c r="BB818" i="175"/>
  <c r="AG50"/>
  <c r="AG143"/>
  <c r="C30" i="70"/>
  <c r="AG48" i="175"/>
  <c r="AG145"/>
  <c r="C31" i="64"/>
  <c r="AG47" i="175"/>
  <c r="AG146"/>
  <c r="C31" i="119"/>
  <c r="C31" i="67"/>
  <c r="AG51" i="175"/>
  <c r="CA34" i="118" l="1"/>
  <c r="BZ34" s="1"/>
  <c r="BW34" s="1"/>
  <c r="X34"/>
  <c r="AV270"/>
  <c r="AV82"/>
  <c r="AV35"/>
  <c r="AG742" i="175"/>
  <c r="AC50" i="189"/>
  <c r="AF804" i="175"/>
  <c r="AU82" i="118"/>
  <c r="AU270"/>
  <c r="AU35"/>
  <c r="AG743" i="175"/>
  <c r="AC51" i="189"/>
  <c r="AF805" i="175"/>
  <c r="AD34" i="118"/>
  <c r="AX270"/>
  <c r="AX35"/>
  <c r="AX82"/>
  <c r="AG740" i="175"/>
  <c r="AF802"/>
  <c r="AC48" i="189"/>
  <c r="AF34" i="142"/>
  <c r="AI34" s="1"/>
  <c r="AG34"/>
  <c r="AY82" i="118"/>
  <c r="AY35"/>
  <c r="AG64" i="175"/>
  <c r="AG127" s="1"/>
  <c r="AY270" i="118"/>
  <c r="AF35" i="72"/>
  <c r="AA45" i="144"/>
  <c r="AJ45"/>
  <c r="AC405" i="118"/>
  <c r="AF594" i="175"/>
  <c r="AC47" i="189"/>
  <c r="AF787" i="175"/>
  <c r="AF801"/>
  <c r="BB719"/>
  <c r="AR44" i="144"/>
  <c r="AG394" i="175"/>
  <c r="AG674"/>
  <c r="AF702"/>
  <c r="AG142"/>
  <c r="AG391"/>
  <c r="AG671"/>
  <c r="AG390"/>
  <c r="AG670"/>
  <c r="AF701"/>
  <c r="C31" i="71"/>
  <c r="AF705" i="175"/>
  <c r="C31" i="68"/>
  <c r="AF704" i="175"/>
  <c r="AG673"/>
  <c r="AG393"/>
  <c r="BV34" i="118" l="1"/>
  <c r="AF642" i="175"/>
  <c r="AC81" i="189"/>
  <c r="AD19"/>
  <c r="AF643" i="175"/>
  <c r="AC82" i="189"/>
  <c r="AD20"/>
  <c r="AF640" i="175"/>
  <c r="AD17" i="189"/>
  <c r="AC79"/>
  <c r="AD82" i="118"/>
  <c r="BM35" s="1"/>
  <c r="AG739" i="175"/>
  <c r="AD16" i="189" s="1"/>
  <c r="AG159" i="175"/>
  <c r="AK35" i="142"/>
  <c r="AG687" i="175"/>
  <c r="AD406" i="118"/>
  <c r="AB406"/>
  <c r="AG407" i="175"/>
  <c r="AF718"/>
  <c r="AF639"/>
  <c r="AH405" i="118"/>
  <c r="AG405"/>
  <c r="AB34" i="142"/>
  <c r="AO45" i="144"/>
  <c r="AH35" i="142"/>
  <c r="M46" i="144" s="1"/>
  <c r="L46" s="1"/>
  <c r="AC78" i="189"/>
  <c r="AC64"/>
  <c r="AF818" i="175"/>
  <c r="AS44" i="144"/>
  <c r="AG550" i="175"/>
  <c r="AG546"/>
  <c r="AG547"/>
  <c r="AG549"/>
  <c r="BM270" i="118" l="1"/>
  <c r="AD270" s="1"/>
  <c r="CC35"/>
  <c r="CB35" s="1"/>
  <c r="AG580" i="175"/>
  <c r="AG773"/>
  <c r="AG774"/>
  <c r="AG581"/>
  <c r="AG756"/>
  <c r="AD33" i="189" s="1"/>
  <c r="AG578" i="175"/>
  <c r="AG771"/>
  <c r="AE35" i="118"/>
  <c r="X46" i="144"/>
  <c r="N46"/>
  <c r="AG577" i="175"/>
  <c r="AG563"/>
  <c r="AG770"/>
  <c r="AC34" i="142"/>
  <c r="T34" s="1"/>
  <c r="AP45" i="144"/>
  <c r="AF719" i="175"/>
  <c r="AC95" i="189"/>
  <c r="AL35" i="142"/>
  <c r="AE35" s="1"/>
  <c r="AB46" i="144" s="1"/>
  <c r="AF656" i="175"/>
  <c r="AH145"/>
  <c r="AH146"/>
  <c r="C31" i="70"/>
  <c r="AH50" i="175"/>
  <c r="C32" i="67"/>
  <c r="C32" i="119"/>
  <c r="AH48" i="175"/>
  <c r="AH143"/>
  <c r="C32" i="64"/>
  <c r="AH47" i="175"/>
  <c r="AH51"/>
  <c r="CA35" i="118" l="1"/>
  <c r="BZ35" s="1"/>
  <c r="BW35" s="1"/>
  <c r="AD35"/>
  <c r="AV36"/>
  <c r="AV271"/>
  <c r="AV83"/>
  <c r="AH742" i="175"/>
  <c r="AD50" i="189"/>
  <c r="AG804" i="175"/>
  <c r="AU83" i="118"/>
  <c r="AU36"/>
  <c r="AU271"/>
  <c r="AH743" i="175"/>
  <c r="AD51" i="189"/>
  <c r="AG805" i="175"/>
  <c r="X35" i="118"/>
  <c r="AX83"/>
  <c r="AX271"/>
  <c r="AX36"/>
  <c r="AH740" i="175"/>
  <c r="AD48" i="189"/>
  <c r="AG802" i="175"/>
  <c r="AJ46" i="144"/>
  <c r="AF35" i="142"/>
  <c r="AI35" s="1"/>
  <c r="AG35"/>
  <c r="AK36" s="1"/>
  <c r="AY83" i="118"/>
  <c r="AY36"/>
  <c r="AY271"/>
  <c r="AF36" i="72"/>
  <c r="AH64" i="175"/>
  <c r="AH127" s="1"/>
  <c r="AA46" i="144"/>
  <c r="AC406" i="118"/>
  <c r="AG594" i="175"/>
  <c r="AD47" i="189"/>
  <c r="AG787" i="175"/>
  <c r="AG801"/>
  <c r="AR45" i="144"/>
  <c r="AG702" i="175"/>
  <c r="AG705"/>
  <c r="AH674"/>
  <c r="C32" i="71"/>
  <c r="AH670" i="175"/>
  <c r="AH673"/>
  <c r="AH393"/>
  <c r="AH142"/>
  <c r="AG704"/>
  <c r="AH394"/>
  <c r="C32" i="68"/>
  <c r="AH391" i="175"/>
  <c r="AG701"/>
  <c r="AH671"/>
  <c r="AH390"/>
  <c r="BV35" i="118" l="1"/>
  <c r="AG642" i="175"/>
  <c r="AD81" i="189"/>
  <c r="AE19"/>
  <c r="AG643" i="175"/>
  <c r="AD82" i="189"/>
  <c r="AE20"/>
  <c r="AD83" i="118"/>
  <c r="BM36" s="1"/>
  <c r="AG640" i="175"/>
  <c r="AE17" i="189"/>
  <c r="AD79"/>
  <c r="AH159" i="175"/>
  <c r="AH739"/>
  <c r="AE16" i="189" s="1"/>
  <c r="AD407" i="118"/>
  <c r="AH687" i="175"/>
  <c r="AB407" i="118"/>
  <c r="AH407" i="175"/>
  <c r="AG718"/>
  <c r="AG639"/>
  <c r="AD78" i="189"/>
  <c r="AD64"/>
  <c r="AG818" i="175"/>
  <c r="AS45" i="144"/>
  <c r="AG406" i="118"/>
  <c r="AH406"/>
  <c r="AB35" i="142"/>
  <c r="AO46" i="144"/>
  <c r="AH36" i="142"/>
  <c r="M47" i="144" s="1"/>
  <c r="L47" s="1"/>
  <c r="AH547" i="175"/>
  <c r="AH546"/>
  <c r="AH549"/>
  <c r="AH550"/>
  <c r="BM271" i="118" l="1"/>
  <c r="AD271" s="1"/>
  <c r="CC36"/>
  <c r="CB36" s="1"/>
  <c r="AH580" i="175"/>
  <c r="AH773"/>
  <c r="AH774"/>
  <c r="AH581"/>
  <c r="AE36" i="118"/>
  <c r="AH578" i="175"/>
  <c r="AH771"/>
  <c r="AH756"/>
  <c r="AE33" i="189" s="1"/>
  <c r="X47" i="144"/>
  <c r="N47"/>
  <c r="AH577" i="175"/>
  <c r="AH563"/>
  <c r="AH770"/>
  <c r="AG719"/>
  <c r="AP46" i="144"/>
  <c r="AL36" i="142"/>
  <c r="AE36" s="1"/>
  <c r="AB47" i="144" s="1"/>
  <c r="AD95" i="189"/>
  <c r="AG656" i="175"/>
  <c r="AC35" i="142"/>
  <c r="T35" s="1"/>
  <c r="AI145" i="175"/>
  <c r="AI143"/>
  <c r="AI50"/>
  <c r="AI48"/>
  <c r="AI51"/>
  <c r="AI47"/>
  <c r="AI146"/>
  <c r="C33" i="119"/>
  <c r="C33" i="67"/>
  <c r="C33" i="64"/>
  <c r="C32" i="70"/>
  <c r="CA36" i="118" l="1"/>
  <c r="BZ36" s="1"/>
  <c r="BW36" s="1"/>
  <c r="AD36"/>
  <c r="AV272"/>
  <c r="AV84"/>
  <c r="AV37"/>
  <c r="AI742" i="175"/>
  <c r="AE50" i="189"/>
  <c r="AH804" i="175"/>
  <c r="AU37" i="118"/>
  <c r="AU84"/>
  <c r="AU272"/>
  <c r="AI743" i="175"/>
  <c r="AE51" i="189"/>
  <c r="AH805" i="175"/>
  <c r="X36" i="118"/>
  <c r="AX84"/>
  <c r="AX272"/>
  <c r="AX37"/>
  <c r="AI740" i="175"/>
  <c r="AE48" i="189"/>
  <c r="AH802" i="175"/>
  <c r="AF36" i="142"/>
  <c r="AI36" s="1"/>
  <c r="AG36"/>
  <c r="AY84" i="118"/>
  <c r="AY37"/>
  <c r="AI64" i="175"/>
  <c r="AI127" s="1"/>
  <c r="AF37" i="72"/>
  <c r="AY272" i="118"/>
  <c r="AA47" i="144"/>
  <c r="AJ47"/>
  <c r="AC407" i="118"/>
  <c r="AR46" i="144"/>
  <c r="AE47" i="189"/>
  <c r="AH787" i="175"/>
  <c r="AH801"/>
  <c r="AH594"/>
  <c r="AI671"/>
  <c r="AI673"/>
  <c r="C33" i="71"/>
  <c r="AI670" i="175"/>
  <c r="AI393"/>
  <c r="AI390"/>
  <c r="AI674"/>
  <c r="C33" i="68"/>
  <c r="AI391" i="175"/>
  <c r="AH701"/>
  <c r="AH704"/>
  <c r="AH705"/>
  <c r="AI394"/>
  <c r="AH702"/>
  <c r="AI142"/>
  <c r="BV36" i="118" l="1"/>
  <c r="AH642" i="175"/>
  <c r="AE81" i="189"/>
  <c r="AF19"/>
  <c r="AH643" i="175"/>
  <c r="AF20" i="189"/>
  <c r="AE82"/>
  <c r="AH640" i="175"/>
  <c r="AF17" i="189"/>
  <c r="AE79"/>
  <c r="AD84" i="118"/>
  <c r="BM37" s="1"/>
  <c r="AI159" i="175"/>
  <c r="AI739"/>
  <c r="AI756" s="1"/>
  <c r="AF33" i="189" s="1"/>
  <c r="AK37" i="142"/>
  <c r="AI687" i="175"/>
  <c r="AD408" i="118"/>
  <c r="AB408"/>
  <c r="AI407" i="175"/>
  <c r="AH718"/>
  <c r="AH639"/>
  <c r="AH407" i="118"/>
  <c r="AG407"/>
  <c r="AB36" i="142"/>
  <c r="AO47" i="144"/>
  <c r="AH37" i="142"/>
  <c r="M48" i="144" s="1"/>
  <c r="L48" s="1"/>
  <c r="AE64" i="189"/>
  <c r="AH818" i="175"/>
  <c r="AE78" i="189"/>
  <c r="AS46" i="144"/>
  <c r="AI550" i="175"/>
  <c r="AI547"/>
  <c r="AI546"/>
  <c r="AI549"/>
  <c r="BM272" i="118" l="1"/>
  <c r="AD272" s="1"/>
  <c r="CC37"/>
  <c r="CB37" s="1"/>
  <c r="AI580" i="175"/>
  <c r="AI773"/>
  <c r="AI581"/>
  <c r="AI774"/>
  <c r="AI578"/>
  <c r="AI771"/>
  <c r="AE37" i="118"/>
  <c r="AF16" i="189"/>
  <c r="N48" i="144"/>
  <c r="X48"/>
  <c r="AI577" i="175"/>
  <c r="AI563"/>
  <c r="AI770"/>
  <c r="AE95" i="189"/>
  <c r="AP47" i="144"/>
  <c r="AH719" i="175"/>
  <c r="AL37" i="142"/>
  <c r="AE37" s="1"/>
  <c r="AB48" i="144" s="1"/>
  <c r="AH656" i="175"/>
  <c r="AC36" i="142"/>
  <c r="T36" s="1"/>
  <c r="C34" i="64"/>
  <c r="AJ47" i="175"/>
  <c r="AJ48"/>
  <c r="AJ51"/>
  <c r="AJ145"/>
  <c r="C34" i="119"/>
  <c r="C34" i="67"/>
  <c r="AJ143" i="175"/>
  <c r="C33" i="70"/>
  <c r="AJ50" i="175"/>
  <c r="AJ146"/>
  <c r="CA37" i="118" l="1"/>
  <c r="BZ37" s="1"/>
  <c r="BW37" s="1"/>
  <c r="AD37"/>
  <c r="AV85"/>
  <c r="AV273"/>
  <c r="AV38"/>
  <c r="BD50" i="175"/>
  <c r="AJ742"/>
  <c r="BD145"/>
  <c r="AF50" i="189"/>
  <c r="AI804" i="175"/>
  <c r="AU85" i="118"/>
  <c r="AU38"/>
  <c r="AU273"/>
  <c r="BD51" i="175"/>
  <c r="AJ743"/>
  <c r="BD146"/>
  <c r="AF51" i="189"/>
  <c r="AI805" i="175"/>
  <c r="X37" i="118"/>
  <c r="AX38"/>
  <c r="AX85"/>
  <c r="AX273"/>
  <c r="BD48" i="175"/>
  <c r="AJ740"/>
  <c r="BD143"/>
  <c r="AF48" i="189"/>
  <c r="AI802" i="175"/>
  <c r="AF37" i="142"/>
  <c r="AI37" s="1"/>
  <c r="AG37"/>
  <c r="AY38" i="118"/>
  <c r="AY273"/>
  <c r="AF38" i="72"/>
  <c r="AJ64" i="175"/>
  <c r="BD47"/>
  <c r="AY85" i="118"/>
  <c r="AA48" i="144"/>
  <c r="AK38" i="142"/>
  <c r="AC408" i="118"/>
  <c r="AR47" i="144"/>
  <c r="AI594" i="175"/>
  <c r="AF47" i="189"/>
  <c r="AI787" i="175"/>
  <c r="AI801"/>
  <c r="AI701"/>
  <c r="AJ674"/>
  <c r="AJ670"/>
  <c r="AI704"/>
  <c r="AI702"/>
  <c r="AJ671"/>
  <c r="AJ142"/>
  <c r="AI705"/>
  <c r="C34" i="71"/>
  <c r="AJ673" i="175"/>
  <c r="BV37" i="118" l="1"/>
  <c r="AI642" i="175"/>
  <c r="BD673"/>
  <c r="AF81" i="189"/>
  <c r="AG19"/>
  <c r="BA19" s="1"/>
  <c r="BD742" i="175"/>
  <c r="BD674"/>
  <c r="AI643"/>
  <c r="AF82" i="189"/>
  <c r="AG20"/>
  <c r="BA20" s="1"/>
  <c r="BD743" i="175"/>
  <c r="BD671"/>
  <c r="AI640"/>
  <c r="BD740"/>
  <c r="AG17" i="189"/>
  <c r="BA17" s="1"/>
  <c r="AF79"/>
  <c r="AD85" i="118"/>
  <c r="BM38" s="1"/>
  <c r="AJ159" i="175"/>
  <c r="BD159" s="1"/>
  <c r="BD142"/>
  <c r="AJ739"/>
  <c r="AG16" i="189" s="1"/>
  <c r="BA16" s="1"/>
  <c r="AJ48" i="144"/>
  <c r="AJ687" i="175"/>
  <c r="BD687" s="1"/>
  <c r="BD670"/>
  <c r="AD409" i="118"/>
  <c r="BD64" i="175"/>
  <c r="BD127" s="1"/>
  <c r="AJ127"/>
  <c r="AI718"/>
  <c r="AI639"/>
  <c r="AF64" i="189"/>
  <c r="AI818" i="175"/>
  <c r="AS47" i="144"/>
  <c r="AB37" i="142"/>
  <c r="AO48" i="144"/>
  <c r="AH38" i="142"/>
  <c r="M49" i="144" s="1"/>
  <c r="L49" s="1"/>
  <c r="AG408" i="118"/>
  <c r="AH408"/>
  <c r="AF78" i="189"/>
  <c r="AJ549" i="175"/>
  <c r="AJ547"/>
  <c r="C34" i="68"/>
  <c r="AJ393" i="175"/>
  <c r="AJ550"/>
  <c r="AJ546"/>
  <c r="AJ391"/>
  <c r="AJ390"/>
  <c r="AJ394"/>
  <c r="BM273" i="118" l="1"/>
  <c r="AD273" s="1"/>
  <c r="CC38"/>
  <c r="CB38" s="1"/>
  <c r="AJ580" i="175"/>
  <c r="BD580" s="1"/>
  <c r="AJ773"/>
  <c r="BD549"/>
  <c r="BD393"/>
  <c r="AJ774"/>
  <c r="AJ581"/>
  <c r="BD581" s="1"/>
  <c r="BD550"/>
  <c r="BD394"/>
  <c r="AE38" i="118"/>
  <c r="AJ578" i="175"/>
  <c r="BD578" s="1"/>
  <c r="AJ771"/>
  <c r="BD547"/>
  <c r="BD391"/>
  <c r="BD739"/>
  <c r="AJ756"/>
  <c r="BD756" s="1"/>
  <c r="AJ407"/>
  <c r="BD407" s="1"/>
  <c r="BD390"/>
  <c r="AB409" i="118"/>
  <c r="N49" i="144"/>
  <c r="X49"/>
  <c r="AJ577" i="175"/>
  <c r="BD577" s="1"/>
  <c r="AJ563"/>
  <c r="AJ770"/>
  <c r="BD546"/>
  <c r="AI719"/>
  <c r="AP48" i="144"/>
  <c r="AL38" i="142"/>
  <c r="AE38" s="1"/>
  <c r="AB49" i="144" s="1"/>
  <c r="AI656" i="175"/>
  <c r="AF95" i="189"/>
  <c r="AC37" i="142"/>
  <c r="T37" s="1"/>
  <c r="C34" i="70"/>
  <c r="AK51" i="175"/>
  <c r="AK47"/>
  <c r="C35" i="119"/>
  <c r="AK48" i="175"/>
  <c r="AK50"/>
  <c r="C35" i="64"/>
  <c r="AK146" i="175"/>
  <c r="AK145"/>
  <c r="AK143"/>
  <c r="C35" i="67"/>
  <c r="CA38" i="118" l="1"/>
  <c r="BZ38" s="1"/>
  <c r="BW38" s="1"/>
  <c r="AD38"/>
  <c r="AV86"/>
  <c r="AV274"/>
  <c r="AV39"/>
  <c r="AK742" i="175"/>
  <c r="AG50" i="189"/>
  <c r="BA50" s="1"/>
  <c r="BD773" i="175"/>
  <c r="AJ804"/>
  <c r="AU86" i="118"/>
  <c r="AU39"/>
  <c r="AU274"/>
  <c r="AK743" i="175"/>
  <c r="AG51" i="189"/>
  <c r="BA51" s="1"/>
  <c r="BD774" i="175"/>
  <c r="AJ805"/>
  <c r="X38" i="118"/>
  <c r="AX274"/>
  <c r="AX39"/>
  <c r="AX86"/>
  <c r="AK740" i="175"/>
  <c r="BD771"/>
  <c r="AG48" i="189"/>
  <c r="BA48" s="1"/>
  <c r="AJ802" i="175"/>
  <c r="AG33" i="189"/>
  <c r="BA33" s="1"/>
  <c r="AF38" i="142"/>
  <c r="AI38" s="1"/>
  <c r="AG38"/>
  <c r="AK39" s="1"/>
  <c r="AY39" i="118"/>
  <c r="AF39" i="72"/>
  <c r="AY274" i="118"/>
  <c r="AK64" i="175"/>
  <c r="AK127" s="1"/>
  <c r="AY86" i="118"/>
  <c r="AA49" i="144"/>
  <c r="AJ49"/>
  <c r="AC409" i="118"/>
  <c r="AR48" i="144"/>
  <c r="AJ594" i="175"/>
  <c r="BD594" s="1"/>
  <c r="BD563"/>
  <c r="AG47" i="189"/>
  <c r="BA47" s="1"/>
  <c r="AJ787" i="175"/>
  <c r="AJ801"/>
  <c r="BD770"/>
  <c r="AK671"/>
  <c r="C35" i="68"/>
  <c r="AK670" i="175"/>
  <c r="AK394"/>
  <c r="AK674"/>
  <c r="C35" i="71"/>
  <c r="AJ705" i="175"/>
  <c r="AK673"/>
  <c r="AJ702"/>
  <c r="AK142"/>
  <c r="AJ704"/>
  <c r="AK390"/>
  <c r="AK391"/>
  <c r="AK393"/>
  <c r="AJ701"/>
  <c r="BV38" i="118" l="1"/>
  <c r="AJ642" i="175"/>
  <c r="BD642" s="1"/>
  <c r="BD704"/>
  <c r="AG81" i="189"/>
  <c r="BA81" s="1"/>
  <c r="BD804" i="175"/>
  <c r="AH19" i="189"/>
  <c r="AD86" i="118"/>
  <c r="BM39" s="1"/>
  <c r="AJ643" i="175"/>
  <c r="BD643" s="1"/>
  <c r="BD705"/>
  <c r="AG82" i="189"/>
  <c r="BA82" s="1"/>
  <c r="BD805" i="175"/>
  <c r="AH20" i="189"/>
  <c r="AJ640" i="175"/>
  <c r="BD640" s="1"/>
  <c r="BD702"/>
  <c r="AG79" i="189"/>
  <c r="BA79" s="1"/>
  <c r="BD802" i="175"/>
  <c r="AH17" i="189"/>
  <c r="AK739" i="175"/>
  <c r="AH16" i="189" s="1"/>
  <c r="AK159" i="175"/>
  <c r="AK407"/>
  <c r="AB410" i="118"/>
  <c r="AK687" i="175"/>
  <c r="AD410" i="118"/>
  <c r="AJ718" i="175"/>
  <c r="AJ639"/>
  <c r="BD701"/>
  <c r="AG409" i="118"/>
  <c r="AH409"/>
  <c r="AG64" i="189"/>
  <c r="BA64" s="1"/>
  <c r="AJ818" i="175"/>
  <c r="BD787"/>
  <c r="AG78" i="189"/>
  <c r="BA78" s="1"/>
  <c r="BD801" i="175"/>
  <c r="AB38" i="142"/>
  <c r="AH39"/>
  <c r="M50" i="144" s="1"/>
  <c r="L50" s="1"/>
  <c r="AO49"/>
  <c r="AS48"/>
  <c r="AK549" i="175"/>
  <c r="AK550"/>
  <c r="AK546"/>
  <c r="AK547"/>
  <c r="BM274" i="118" l="1"/>
  <c r="AD274" s="1"/>
  <c r="CC39"/>
  <c r="CB39" s="1"/>
  <c r="AK580" i="175"/>
  <c r="AK773"/>
  <c r="AE39" i="118"/>
  <c r="AK774" i="175"/>
  <c r="AK581"/>
  <c r="AK578"/>
  <c r="AK771"/>
  <c r="AK756"/>
  <c r="AH33" i="189" s="1"/>
  <c r="X50" i="144"/>
  <c r="N50"/>
  <c r="AK577" i="175"/>
  <c r="AK563"/>
  <c r="AK770"/>
  <c r="AP49" i="144"/>
  <c r="AG95" i="189"/>
  <c r="BA95" s="1"/>
  <c r="BD818" i="175"/>
  <c r="BD718"/>
  <c r="AJ719"/>
  <c r="AJ656"/>
  <c r="BD656" s="1"/>
  <c r="BD639"/>
  <c r="AL39" i="142"/>
  <c r="AE39" s="1"/>
  <c r="AB50" i="144" s="1"/>
  <c r="AC38" i="142"/>
  <c r="T38" s="1"/>
  <c r="C36" i="119"/>
  <c r="C36" i="64"/>
  <c r="AL51" i="175"/>
  <c r="C35" i="70"/>
  <c r="AL143" i="175"/>
  <c r="AL50"/>
  <c r="AL145"/>
  <c r="AL48"/>
  <c r="AL47"/>
  <c r="C36" i="67"/>
  <c r="AL146" i="175"/>
  <c r="CA39" i="118" l="1"/>
  <c r="BZ39" s="1"/>
  <c r="BW39" s="1"/>
  <c r="AD39"/>
  <c r="AV40"/>
  <c r="AV87"/>
  <c r="AV275"/>
  <c r="AL742" i="175"/>
  <c r="AH50" i="189"/>
  <c r="AK804" i="175"/>
  <c r="AH81" i="189" s="1"/>
  <c r="X39" i="118"/>
  <c r="AU40"/>
  <c r="AU275"/>
  <c r="AU87"/>
  <c r="AL743" i="175"/>
  <c r="AH51" i="189"/>
  <c r="AK805" i="175"/>
  <c r="AX275" i="118"/>
  <c r="AX87"/>
  <c r="AX40"/>
  <c r="AL740" i="175"/>
  <c r="AI17" i="189" s="1"/>
  <c r="AH48"/>
  <c r="AK802" i="175"/>
  <c r="AF39" i="142"/>
  <c r="AI39" s="1"/>
  <c r="AG39"/>
  <c r="AK40" s="1"/>
  <c r="AY87" i="118"/>
  <c r="AY40"/>
  <c r="AF40" i="72"/>
  <c r="AY275" i="118"/>
  <c r="AL64" i="175"/>
  <c r="AL127" s="1"/>
  <c r="AJ50" i="144"/>
  <c r="AA50"/>
  <c r="AC410" i="118"/>
  <c r="AK594" i="175"/>
  <c r="BD719"/>
  <c r="AR49" i="144"/>
  <c r="AH47" i="189"/>
  <c r="AK787" i="175"/>
  <c r="AK801"/>
  <c r="AL670"/>
  <c r="AK701"/>
  <c r="AL674"/>
  <c r="AK704"/>
  <c r="AK705"/>
  <c r="AL671"/>
  <c r="AL142"/>
  <c r="AK702"/>
  <c r="C36" i="71"/>
  <c r="AL394" i="175"/>
  <c r="AL673"/>
  <c r="AL391"/>
  <c r="C36" i="68"/>
  <c r="AL390" i="175"/>
  <c r="AL393"/>
  <c r="BV39" i="118" l="1"/>
  <c r="AK642" i="175"/>
  <c r="AI19" i="189"/>
  <c r="AK643" i="175"/>
  <c r="AH82" i="189"/>
  <c r="AI20"/>
  <c r="AD87" i="118"/>
  <c r="BM40" s="1"/>
  <c r="AK640" i="175"/>
  <c r="AH79" i="189"/>
  <c r="AL159" i="175"/>
  <c r="AL739"/>
  <c r="AI16" i="189" s="1"/>
  <c r="AD411" i="118"/>
  <c r="AL687" i="175"/>
  <c r="AB411" i="118"/>
  <c r="AL407" i="175"/>
  <c r="AK639"/>
  <c r="AK718"/>
  <c r="AH410" i="118"/>
  <c r="AG410"/>
  <c r="AH64" i="189"/>
  <c r="AK818" i="175"/>
  <c r="AS49" i="144"/>
  <c r="AB39" i="142"/>
  <c r="AO50" i="144"/>
  <c r="AH40" i="142"/>
  <c r="M51" i="144" s="1"/>
  <c r="L51" s="1"/>
  <c r="AH78" i="189"/>
  <c r="AL546" i="175"/>
  <c r="AL549"/>
  <c r="AL547"/>
  <c r="AL550"/>
  <c r="BM275" i="118" l="1"/>
  <c r="AD275" s="1"/>
  <c r="CC40"/>
  <c r="CB40" s="1"/>
  <c r="AL580" i="175"/>
  <c r="AL773"/>
  <c r="AL581"/>
  <c r="AL774"/>
  <c r="AE40" i="118"/>
  <c r="AL578" i="175"/>
  <c r="AL771"/>
  <c r="AL756"/>
  <c r="AI33" i="189" s="1"/>
  <c r="X51" i="144"/>
  <c r="N51"/>
  <c r="AL577" i="175"/>
  <c r="AL563"/>
  <c r="AL770"/>
  <c r="AL40" i="142"/>
  <c r="AE40" s="1"/>
  <c r="AB51" i="144" s="1"/>
  <c r="AP50"/>
  <c r="AC39" i="142"/>
  <c r="T39" s="1"/>
  <c r="AK656" i="175"/>
  <c r="AH95" i="189"/>
  <c r="AK719" i="175"/>
  <c r="AM47"/>
  <c r="C37" i="64"/>
  <c r="AM51" i="175"/>
  <c r="C37" i="67"/>
  <c r="AM143" i="175"/>
  <c r="AM145"/>
  <c r="AM146"/>
  <c r="AM48"/>
  <c r="C36" i="70"/>
  <c r="AM50" i="175"/>
  <c r="C37" i="119"/>
  <c r="CA40" i="118" l="1"/>
  <c r="BV40" s="1"/>
  <c r="X40"/>
  <c r="AV88"/>
  <c r="AV276"/>
  <c r="AV41"/>
  <c r="AM742" i="175"/>
  <c r="AI50" i="189"/>
  <c r="AL804" i="175"/>
  <c r="AI81" i="189" s="1"/>
  <c r="AU88" i="118"/>
  <c r="AU41"/>
  <c r="AU276"/>
  <c r="AM743" i="175"/>
  <c r="AI51" i="189"/>
  <c r="AL805" i="175"/>
  <c r="AD40" i="118"/>
  <c r="AX41"/>
  <c r="AX88"/>
  <c r="AX276"/>
  <c r="AM740" i="175"/>
  <c r="AL802"/>
  <c r="AI48" i="189"/>
  <c r="AJ51" i="144"/>
  <c r="AF40" i="142"/>
  <c r="AI40" s="1"/>
  <c r="AG40"/>
  <c r="AK41" s="1"/>
  <c r="AY88" i="118"/>
  <c r="AY41"/>
  <c r="AF41" i="72"/>
  <c r="AY276" i="118"/>
  <c r="AM64" i="175"/>
  <c r="AM127" s="1"/>
  <c r="AA51" i="144"/>
  <c r="AC411" i="118"/>
  <c r="AI47" i="189"/>
  <c r="AL787" i="175"/>
  <c r="AL801"/>
  <c r="AR50" i="144"/>
  <c r="AL594" i="175"/>
  <c r="AM393"/>
  <c r="C37" i="71"/>
  <c r="AM142" i="175"/>
  <c r="AL701"/>
  <c r="AM670"/>
  <c r="AL702"/>
  <c r="AM674"/>
  <c r="AM391"/>
  <c r="AL704"/>
  <c r="C37" i="68"/>
  <c r="AL705" i="175"/>
  <c r="AM673"/>
  <c r="AM394"/>
  <c r="AM390"/>
  <c r="AM671"/>
  <c r="BZ40" i="118" l="1"/>
  <c r="BW40" s="1"/>
  <c r="AL642" i="175"/>
  <c r="AJ19" i="189"/>
  <c r="AD88" i="118"/>
  <c r="BM41" s="1"/>
  <c r="AL643" i="175"/>
  <c r="AI82" i="189"/>
  <c r="AJ20"/>
  <c r="AL640" i="175"/>
  <c r="AJ17" i="189"/>
  <c r="AI79"/>
  <c r="AM159" i="175"/>
  <c r="AM739"/>
  <c r="AM756" s="1"/>
  <c r="AJ33" i="189" s="1"/>
  <c r="AB412" i="118"/>
  <c r="AM407" i="175"/>
  <c r="AD412" i="118"/>
  <c r="AM687" i="175"/>
  <c r="AL718"/>
  <c r="AL639"/>
  <c r="AG411" i="118"/>
  <c r="AH411"/>
  <c r="AI78" i="189"/>
  <c r="AS50" i="144"/>
  <c r="AI64" i="189"/>
  <c r="AL818" i="175"/>
  <c r="AB40" i="142"/>
  <c r="AO51" i="144"/>
  <c r="AH41" i="142"/>
  <c r="M52" i="144" s="1"/>
  <c r="L52" s="1"/>
  <c r="AM549" i="175"/>
  <c r="AM550"/>
  <c r="AM546"/>
  <c r="AM547"/>
  <c r="BM276" i="118" l="1"/>
  <c r="AD276" s="1"/>
  <c r="CC41"/>
  <c r="CB41" s="1"/>
  <c r="AM580" i="175"/>
  <c r="AM773"/>
  <c r="AE41" i="118"/>
  <c r="AM774" i="175"/>
  <c r="AM581"/>
  <c r="AM578"/>
  <c r="AM771"/>
  <c r="AJ16" i="189"/>
  <c r="N52" i="144"/>
  <c r="X52"/>
  <c r="AM577" i="175"/>
  <c r="AM563"/>
  <c r="AM770"/>
  <c r="AI95" i="189"/>
  <c r="AL719" i="175"/>
  <c r="AL656"/>
  <c r="AC40" i="142"/>
  <c r="T40" s="1"/>
  <c r="AP51" i="144"/>
  <c r="AL41" i="142"/>
  <c r="AE41" s="1"/>
  <c r="AB52" i="144" s="1"/>
  <c r="C38" i="67"/>
  <c r="AN145" i="175"/>
  <c r="C38" i="119"/>
  <c r="AN143" i="175"/>
  <c r="C37" i="70"/>
  <c r="AN51" i="175"/>
  <c r="AN50"/>
  <c r="AN47"/>
  <c r="AN48"/>
  <c r="C38" i="64"/>
  <c r="AN146" i="175"/>
  <c r="CA41" i="118" l="1"/>
  <c r="BZ41" s="1"/>
  <c r="BW41" s="1"/>
  <c r="X41"/>
  <c r="AV42"/>
  <c r="AV277"/>
  <c r="AV89"/>
  <c r="AN742" i="175"/>
  <c r="AJ50" i="189"/>
  <c r="AM804" i="175"/>
  <c r="AJ81" i="189" s="1"/>
  <c r="AD41" i="118"/>
  <c r="AU277"/>
  <c r="AU42"/>
  <c r="AU89"/>
  <c r="AN743" i="175"/>
  <c r="AJ51" i="189"/>
  <c r="AM805" i="175"/>
  <c r="AX89" i="118"/>
  <c r="AX42"/>
  <c r="AX277"/>
  <c r="AN740" i="175"/>
  <c r="AJ48" i="189"/>
  <c r="AM802" i="175"/>
  <c r="AF41" i="142"/>
  <c r="AI41" s="1"/>
  <c r="AG41"/>
  <c r="AK42" s="1"/>
  <c r="AY89" i="118"/>
  <c r="AY42"/>
  <c r="AY277"/>
  <c r="AF42" i="72"/>
  <c r="AN64" i="175"/>
  <c r="AN127" s="1"/>
  <c r="AA52" i="144"/>
  <c r="AC412" i="118"/>
  <c r="AJ47" i="189"/>
  <c r="AM787" i="175"/>
  <c r="AM801"/>
  <c r="AM594"/>
  <c r="AR51" i="144"/>
  <c r="AN670" i="175"/>
  <c r="AM701"/>
  <c r="AN674"/>
  <c r="AN671"/>
  <c r="C38" i="71"/>
  <c r="AN142" i="175"/>
  <c r="AM702"/>
  <c r="AM704"/>
  <c r="AM705"/>
  <c r="AN673"/>
  <c r="BV41" i="118" l="1"/>
  <c r="AD89"/>
  <c r="BM42" s="1"/>
  <c r="AM642" i="175"/>
  <c r="AK19" i="189"/>
  <c r="AM643" i="175"/>
  <c r="AJ82" i="189"/>
  <c r="AK20"/>
  <c r="AM640" i="175"/>
  <c r="AJ79" i="189"/>
  <c r="AK17"/>
  <c r="AN739" i="175"/>
  <c r="AN756" s="1"/>
  <c r="AK33" i="189" s="1"/>
  <c r="AN159" i="175"/>
  <c r="AJ52" i="144"/>
  <c r="AD413" i="118"/>
  <c r="AN687" i="175"/>
  <c r="AM718"/>
  <c r="AM639"/>
  <c r="AS51" i="144"/>
  <c r="AG412" i="118"/>
  <c r="AH412"/>
  <c r="AJ64" i="189"/>
  <c r="AM818" i="175"/>
  <c r="AB41" i="142"/>
  <c r="AO52" i="144"/>
  <c r="AH42" i="142"/>
  <c r="M53" i="144" s="1"/>
  <c r="L53" s="1"/>
  <c r="AJ78" i="189"/>
  <c r="C38" i="68"/>
  <c r="AN547" i="175"/>
  <c r="AN393"/>
  <c r="AN550"/>
  <c r="AN549"/>
  <c r="AN391"/>
  <c r="AN394"/>
  <c r="AN546"/>
  <c r="AN390"/>
  <c r="BM277" i="118" l="1"/>
  <c r="AD277" s="1"/>
  <c r="CC42"/>
  <c r="CB42" s="1"/>
  <c r="AE42"/>
  <c r="AN580" i="175"/>
  <c r="AN773"/>
  <c r="AN581"/>
  <c r="AN774"/>
  <c r="AN578"/>
  <c r="AN771"/>
  <c r="AK16" i="189"/>
  <c r="AN407" i="175"/>
  <c r="AB413" i="118"/>
  <c r="X53" i="144"/>
  <c r="N53"/>
  <c r="AN577" i="175"/>
  <c r="AN563"/>
  <c r="AN770"/>
  <c r="AL42" i="142"/>
  <c r="AE42" s="1"/>
  <c r="AB53" i="144" s="1"/>
  <c r="AM719" i="175"/>
  <c r="AM656"/>
  <c r="AP52" i="144"/>
  <c r="AC41" i="142"/>
  <c r="T41" s="1"/>
  <c r="AJ95" i="189"/>
  <c r="AO146" i="175"/>
  <c r="AO47"/>
  <c r="AO50"/>
  <c r="C39" i="67"/>
  <c r="AO51" i="175"/>
  <c r="AO143"/>
  <c r="C38" i="70"/>
  <c r="C39" i="64"/>
  <c r="C39" i="119"/>
  <c r="AO48" i="175"/>
  <c r="AO145"/>
  <c r="CA42" i="118" l="1"/>
  <c r="BZ42" s="1"/>
  <c r="BW42" s="1"/>
  <c r="X42"/>
  <c r="AD42"/>
  <c r="AV90"/>
  <c r="AV43"/>
  <c r="AV278"/>
  <c r="BF50" i="175"/>
  <c r="AO742"/>
  <c r="BF145"/>
  <c r="AK50" i="189"/>
  <c r="AN804" i="175"/>
  <c r="AK81" i="189" s="1"/>
  <c r="AU43" i="118"/>
  <c r="AU90"/>
  <c r="AU278"/>
  <c r="AO743" i="175"/>
  <c r="BF146"/>
  <c r="BF51"/>
  <c r="AK51" i="189"/>
  <c r="AN805" i="175"/>
  <c r="AX90" i="118"/>
  <c r="AX278"/>
  <c r="AX43"/>
  <c r="AO740" i="175"/>
  <c r="BF143"/>
  <c r="BF48"/>
  <c r="AK48" i="189"/>
  <c r="AN802" i="175"/>
  <c r="AF42" i="142"/>
  <c r="AI42" s="1"/>
  <c r="AG42"/>
  <c r="AK43" s="1"/>
  <c r="AY90" i="118"/>
  <c r="AY43"/>
  <c r="AY278"/>
  <c r="AF43" i="72"/>
  <c r="AO64" i="175"/>
  <c r="BF47"/>
  <c r="AA53" i="144"/>
  <c r="AC413" i="118"/>
  <c r="AR52" i="144"/>
  <c r="AK47" i="189"/>
  <c r="AN787" i="175"/>
  <c r="AN801"/>
  <c r="AN594"/>
  <c r="AN705"/>
  <c r="AN701"/>
  <c r="AO142"/>
  <c r="AN702"/>
  <c r="C39" i="71"/>
  <c r="AO673" i="175"/>
  <c r="AO671"/>
  <c r="AO670"/>
  <c r="AN704"/>
  <c r="AO674"/>
  <c r="BV42" i="118" l="1"/>
  <c r="BF673" i="175"/>
  <c r="AN642"/>
  <c r="BF742"/>
  <c r="AL19" i="189"/>
  <c r="BC19" s="1"/>
  <c r="BF674" i="175"/>
  <c r="AN643"/>
  <c r="AK82" i="189"/>
  <c r="BF743" i="175"/>
  <c r="AL20" i="189"/>
  <c r="BC20" s="1"/>
  <c r="AD90" i="118"/>
  <c r="BM43" s="1"/>
  <c r="AN640" i="175"/>
  <c r="BF671"/>
  <c r="AK79" i="189"/>
  <c r="BF740" i="175"/>
  <c r="AL17" i="189"/>
  <c r="BC17" s="1"/>
  <c r="BF142" i="175"/>
  <c r="AO159"/>
  <c r="BF159" s="1"/>
  <c r="AO739"/>
  <c r="AO756" s="1"/>
  <c r="AJ53" i="144"/>
  <c r="BF670" i="175"/>
  <c r="AO687"/>
  <c r="BF687" s="1"/>
  <c r="AD414" i="118"/>
  <c r="BF64" i="175"/>
  <c r="BF127" s="1"/>
  <c r="AO127"/>
  <c r="AN718"/>
  <c r="AN639"/>
  <c r="AS52" i="144"/>
  <c r="AB42" i="142"/>
  <c r="AO53" i="144"/>
  <c r="AH43" i="142"/>
  <c r="M54" i="144" s="1"/>
  <c r="L54" s="1"/>
  <c r="AH413" i="118"/>
  <c r="AG413"/>
  <c r="AK64" i="189"/>
  <c r="AN818" i="175"/>
  <c r="AK78" i="189"/>
  <c r="AO549" i="175"/>
  <c r="AO394"/>
  <c r="AO390"/>
  <c r="AO550"/>
  <c r="AO391"/>
  <c r="C39" i="68"/>
  <c r="AO393" i="175"/>
  <c r="AO546"/>
  <c r="AO547"/>
  <c r="BM278" i="118" l="1"/>
  <c r="AD278" s="1"/>
  <c r="CC43"/>
  <c r="CB43" s="1"/>
  <c r="BF393" i="175"/>
  <c r="AO580"/>
  <c r="BF580" s="1"/>
  <c r="AO773"/>
  <c r="BF549"/>
  <c r="BF394"/>
  <c r="AO774"/>
  <c r="AO581"/>
  <c r="BF581" s="1"/>
  <c r="BF550"/>
  <c r="AE43" i="118"/>
  <c r="AO578" i="175"/>
  <c r="BF578" s="1"/>
  <c r="AO771"/>
  <c r="BF547"/>
  <c r="BF391"/>
  <c r="AL16" i="189"/>
  <c r="BC16" s="1"/>
  <c r="BF739" i="175"/>
  <c r="AO407"/>
  <c r="BF407" s="1"/>
  <c r="BF390"/>
  <c r="AB414" i="118"/>
  <c r="N54" i="144"/>
  <c r="X54"/>
  <c r="BF756" i="175"/>
  <c r="AL33" i="189"/>
  <c r="BC33" s="1"/>
  <c r="AO577" i="175"/>
  <c r="BF577" s="1"/>
  <c r="AO563"/>
  <c r="AO770"/>
  <c r="BF546"/>
  <c r="AL43" i="142"/>
  <c r="AE43" s="1"/>
  <c r="AB54" i="144" s="1"/>
  <c r="AN719" i="175"/>
  <c r="AP53" i="144"/>
  <c r="AN656" i="175"/>
  <c r="AK95" i="189"/>
  <c r="AC42" i="142"/>
  <c r="T42" s="1"/>
  <c r="AP47" i="175"/>
  <c r="C40" i="67"/>
  <c r="AP146" i="175"/>
  <c r="AP145"/>
  <c r="C39" i="70"/>
  <c r="C40" i="119"/>
  <c r="AP143" i="175"/>
  <c r="AP50"/>
  <c r="C40" i="64"/>
  <c r="AP48" i="175"/>
  <c r="AP51"/>
  <c r="CA43" i="118" l="1"/>
  <c r="BZ43" s="1"/>
  <c r="BW43" s="1"/>
  <c r="X43"/>
  <c r="AV279"/>
  <c r="AV44"/>
  <c r="AV91"/>
  <c r="AP742" i="175"/>
  <c r="AL50" i="189"/>
  <c r="BC50" s="1"/>
  <c r="BF773" i="175"/>
  <c r="AO804"/>
  <c r="AU44" i="118"/>
  <c r="AU91"/>
  <c r="AU279"/>
  <c r="AP743" i="175"/>
  <c r="AL51" i="189"/>
  <c r="BC51" s="1"/>
  <c r="BF774" i="175"/>
  <c r="AO805"/>
  <c r="AD43" i="118"/>
  <c r="AX44"/>
  <c r="AX91"/>
  <c r="AX279"/>
  <c r="AP740" i="175"/>
  <c r="AL48" i="189"/>
  <c r="BC48" s="1"/>
  <c r="BF771" i="175"/>
  <c r="AO802"/>
  <c r="AF43" i="142"/>
  <c r="AI43" s="1"/>
  <c r="AG43"/>
  <c r="AK44" s="1"/>
  <c r="AY91" i="118"/>
  <c r="AY44"/>
  <c r="AP64" i="175"/>
  <c r="AP127" s="1"/>
  <c r="AY279" i="118"/>
  <c r="AF44" i="72"/>
  <c r="AA54" i="144"/>
  <c r="AC414" i="118"/>
  <c r="AL47" i="189"/>
  <c r="BC47" s="1"/>
  <c r="AO787" i="175"/>
  <c r="AO801"/>
  <c r="BF770"/>
  <c r="AR53" i="144"/>
  <c r="AO594" i="175"/>
  <c r="BF594" s="1"/>
  <c r="BF563"/>
  <c r="AP673"/>
  <c r="AO705"/>
  <c r="AP142"/>
  <c r="AP674"/>
  <c r="AO701"/>
  <c r="AO704"/>
  <c r="C40" i="71"/>
  <c r="AO702" i="175"/>
  <c r="AP671"/>
  <c r="AP670"/>
  <c r="BV43" i="118" l="1"/>
  <c r="AO642" i="175"/>
  <c r="BF642" s="1"/>
  <c r="BF704"/>
  <c r="BF804"/>
  <c r="AL81" i="189"/>
  <c r="BC81" s="1"/>
  <c r="AM19"/>
  <c r="AO643" i="175"/>
  <c r="BF643" s="1"/>
  <c r="BF705"/>
  <c r="AL82" i="189"/>
  <c r="BC82" s="1"/>
  <c r="BF805" i="175"/>
  <c r="AM20" i="189"/>
  <c r="AO640" i="175"/>
  <c r="BF640" s="1"/>
  <c r="BF702"/>
  <c r="AL79" i="189"/>
  <c r="BC79" s="1"/>
  <c r="BF802" i="175"/>
  <c r="AM17" i="189"/>
  <c r="AD91" i="118"/>
  <c r="BM44" s="1"/>
  <c r="AP159" i="175"/>
  <c r="AP739"/>
  <c r="AM16" i="189" s="1"/>
  <c r="AJ54" i="144"/>
  <c r="AP687" i="175"/>
  <c r="AD415" i="118"/>
  <c r="AO718" i="175"/>
  <c r="AO639"/>
  <c r="BF701"/>
  <c r="AG414" i="118"/>
  <c r="AH414"/>
  <c r="AL78" i="189"/>
  <c r="BC78" s="1"/>
  <c r="BF801" i="175"/>
  <c r="AB43" i="142"/>
  <c r="AH44"/>
  <c r="M55" i="144" s="1"/>
  <c r="L55" s="1"/>
  <c r="AO54"/>
  <c r="AS53"/>
  <c r="AL64" i="189"/>
  <c r="BC64" s="1"/>
  <c r="AO818" i="175"/>
  <c r="BF787"/>
  <c r="AP550"/>
  <c r="C40" i="68"/>
  <c r="AP391" i="175"/>
  <c r="AP547"/>
  <c r="AP394"/>
  <c r="AP549"/>
  <c r="AP546"/>
  <c r="AP390"/>
  <c r="AP393"/>
  <c r="BM279" i="118" l="1"/>
  <c r="AD279" s="1"/>
  <c r="CC44"/>
  <c r="CB44" s="1"/>
  <c r="AP580" i="175"/>
  <c r="AP773"/>
  <c r="AP581"/>
  <c r="AP774"/>
  <c r="AE44" i="118"/>
  <c r="AP578" i="175"/>
  <c r="AP771"/>
  <c r="AB415" i="118"/>
  <c r="AP407" i="175"/>
  <c r="AP756"/>
  <c r="AM33" i="189" s="1"/>
  <c r="X55" i="144"/>
  <c r="N55"/>
  <c r="AP577" i="175"/>
  <c r="AP563"/>
  <c r="AP770"/>
  <c r="AP54" i="144"/>
  <c r="AO656" i="175"/>
  <c r="BF656" s="1"/>
  <c r="BF639"/>
  <c r="AL44" i="142"/>
  <c r="AE44" s="1"/>
  <c r="AB55" i="144" s="1"/>
  <c r="AL95" i="189"/>
  <c r="BC95" s="1"/>
  <c r="BF818" i="175"/>
  <c r="BF718"/>
  <c r="AO719"/>
  <c r="AC43" i="142"/>
  <c r="T43" s="1"/>
  <c r="AQ48" i="175"/>
  <c r="AQ143"/>
  <c r="C41" i="119"/>
  <c r="C41" i="64"/>
  <c r="C40" i="70"/>
  <c r="AQ50" i="175"/>
  <c r="AQ51"/>
  <c r="AQ146"/>
  <c r="C41" i="67"/>
  <c r="AQ145" i="175"/>
  <c r="AQ47"/>
  <c r="CA44" i="118" l="1"/>
  <c r="BZ44" s="1"/>
  <c r="BW44" s="1"/>
  <c r="X44"/>
  <c r="AV45"/>
  <c r="AV280"/>
  <c r="AV92"/>
  <c r="AQ742" i="175"/>
  <c r="AM50" i="189"/>
  <c r="AP804" i="175"/>
  <c r="AU280" i="118"/>
  <c r="AU45"/>
  <c r="AU92"/>
  <c r="AQ743" i="175"/>
  <c r="AM51" i="189"/>
  <c r="AP805" i="175"/>
  <c r="AD44" i="118"/>
  <c r="AX280"/>
  <c r="AX45"/>
  <c r="AX92"/>
  <c r="AQ740" i="175"/>
  <c r="AN17" i="189" s="1"/>
  <c r="AM48"/>
  <c r="AP802" i="175"/>
  <c r="AF44" i="142"/>
  <c r="AI44" s="1"/>
  <c r="AG44"/>
  <c r="AK45" s="1"/>
  <c r="AY92" i="118"/>
  <c r="AY45"/>
  <c r="AF45" i="72"/>
  <c r="AY280" i="118"/>
  <c r="AQ64" i="175"/>
  <c r="AQ127" s="1"/>
  <c r="AJ55" i="144"/>
  <c r="AA55"/>
  <c r="AC415" i="118"/>
  <c r="AP594" i="175"/>
  <c r="AM47" i="189"/>
  <c r="AP787" i="175"/>
  <c r="AP801"/>
  <c r="BF719"/>
  <c r="AR54" i="144"/>
  <c r="AP701" i="175"/>
  <c r="AQ670"/>
  <c r="AP704"/>
  <c r="AQ393"/>
  <c r="C41" i="68"/>
  <c r="AQ673" i="175"/>
  <c r="AQ390"/>
  <c r="AQ394"/>
  <c r="AQ671"/>
  <c r="AQ391"/>
  <c r="AP702"/>
  <c r="AQ674"/>
  <c r="AQ142"/>
  <c r="AP705"/>
  <c r="C41" i="71"/>
  <c r="BV44" i="118" l="1"/>
  <c r="AP642" i="175"/>
  <c r="AM81" i="189"/>
  <c r="AN19"/>
  <c r="AP643" i="175"/>
  <c r="AM82" i="189"/>
  <c r="AN20"/>
  <c r="AD92" i="118"/>
  <c r="BM45" s="1"/>
  <c r="AP640" i="175"/>
  <c r="AM79" i="189"/>
  <c r="AQ159" i="175"/>
  <c r="AQ739"/>
  <c r="AQ756" s="1"/>
  <c r="AN33" i="189" s="1"/>
  <c r="AD416" i="118"/>
  <c r="AQ687" i="175"/>
  <c r="AB416" i="118"/>
  <c r="AQ407" i="175"/>
  <c r="AP718"/>
  <c r="AP639"/>
  <c r="AH415" i="118"/>
  <c r="AG415"/>
  <c r="AM78" i="189"/>
  <c r="AS54" i="144"/>
  <c r="AM64" i="189"/>
  <c r="AP818" i="175"/>
  <c r="AB44" i="142"/>
  <c r="AO55" i="144"/>
  <c r="AH45" i="142"/>
  <c r="M56" i="144" s="1"/>
  <c r="L56" s="1"/>
  <c r="AQ547" i="175"/>
  <c r="AQ546"/>
  <c r="AQ550"/>
  <c r="AQ549"/>
  <c r="BM280" i="118" l="1"/>
  <c r="AD280" s="1"/>
  <c r="CC45"/>
  <c r="CB45" s="1"/>
  <c r="AQ580" i="175"/>
  <c r="AQ773"/>
  <c r="AQ581"/>
  <c r="AQ774"/>
  <c r="AE45" i="118"/>
  <c r="AQ578" i="175"/>
  <c r="AQ771"/>
  <c r="AN16" i="189"/>
  <c r="X56" i="144"/>
  <c r="N56"/>
  <c r="AQ577" i="175"/>
  <c r="AQ563"/>
  <c r="AQ770"/>
  <c r="AP55" i="144"/>
  <c r="AC44" i="142"/>
  <c r="T44" s="1"/>
  <c r="AL45"/>
  <c r="AE45" s="1"/>
  <c r="AB56" i="144" s="1"/>
  <c r="AM95" i="189"/>
  <c r="AP719" i="175"/>
  <c r="AP656"/>
  <c r="AR47"/>
  <c r="C42" i="64"/>
  <c r="AR48" i="175"/>
  <c r="C42" i="119"/>
  <c r="AR50" i="175"/>
  <c r="AR51"/>
  <c r="AR143"/>
  <c r="AR146"/>
  <c r="AR145"/>
  <c r="C42" i="67"/>
  <c r="C41" i="70"/>
  <c r="CA45" i="118" l="1"/>
  <c r="BZ45" s="1"/>
  <c r="BW45" s="1"/>
  <c r="X45"/>
  <c r="AV93"/>
  <c r="AV46"/>
  <c r="AV281"/>
  <c r="AR742" i="175"/>
  <c r="AN50" i="189"/>
  <c r="AQ804" i="175"/>
  <c r="AU281" i="118"/>
  <c r="AU46"/>
  <c r="AU93"/>
  <c r="AR743" i="175"/>
  <c r="AN51" i="189"/>
  <c r="AQ805" i="175"/>
  <c r="AD45" i="118"/>
  <c r="AX281"/>
  <c r="AX93"/>
  <c r="AX46"/>
  <c r="AR740" i="175"/>
  <c r="AO17" i="189" s="1"/>
  <c r="AQ802" i="175"/>
  <c r="AN48" i="189"/>
  <c r="AJ56" i="144"/>
  <c r="AF45" i="142"/>
  <c r="AI45" s="1"/>
  <c r="AG45"/>
  <c r="AY93" i="118"/>
  <c r="AR64" i="175"/>
  <c r="AR127" s="1"/>
  <c r="AY46" i="118"/>
  <c r="AY281"/>
  <c r="AF46" i="72"/>
  <c r="AA56" i="144"/>
  <c r="AC416" i="118"/>
  <c r="AQ594" i="175"/>
  <c r="AR55" i="144"/>
  <c r="AN47" i="189"/>
  <c r="AQ787" i="175"/>
  <c r="AQ801"/>
  <c r="AQ704"/>
  <c r="AR670"/>
  <c r="AQ702"/>
  <c r="AR674"/>
  <c r="C42" i="68"/>
  <c r="AR673" i="175"/>
  <c r="AR393"/>
  <c r="AR390"/>
  <c r="AR671"/>
  <c r="AQ705"/>
  <c r="AQ701"/>
  <c r="C42" i="71"/>
  <c r="AR394" i="175"/>
  <c r="AR391"/>
  <c r="AR142"/>
  <c r="BV45" i="118" l="1"/>
  <c r="AQ642" i="175"/>
  <c r="AN81" i="189"/>
  <c r="AO19"/>
  <c r="AQ643" i="175"/>
  <c r="AN82" i="189"/>
  <c r="AO20"/>
  <c r="AD93" i="118"/>
  <c r="BM46" s="1"/>
  <c r="AQ640" i="175"/>
  <c r="AN79" i="189"/>
  <c r="AR159" i="175"/>
  <c r="AR739"/>
  <c r="AR756" s="1"/>
  <c r="AO33" i="189" s="1"/>
  <c r="AK46" i="142"/>
  <c r="AR687" i="175"/>
  <c r="AD417" i="118"/>
  <c r="AB417"/>
  <c r="AR407" i="175"/>
  <c r="AQ718"/>
  <c r="AQ639"/>
  <c r="AG416" i="118"/>
  <c r="AH416"/>
  <c r="AN64" i="189"/>
  <c r="AQ818" i="175"/>
  <c r="AB45" i="142"/>
  <c r="AO56" i="144"/>
  <c r="AH46" i="142"/>
  <c r="M57" i="144" s="1"/>
  <c r="L57" s="1"/>
  <c r="AS55"/>
  <c r="AN78" i="189"/>
  <c r="AR549" i="175"/>
  <c r="AR550"/>
  <c r="AR546"/>
  <c r="AR547"/>
  <c r="BM281" i="118" l="1"/>
  <c r="AD281" s="1"/>
  <c r="CC46"/>
  <c r="CB46" s="1"/>
  <c r="AR580" i="175"/>
  <c r="AR773"/>
  <c r="AR581"/>
  <c r="AR774"/>
  <c r="AE46" i="118"/>
  <c r="AR578" i="175"/>
  <c r="AR771"/>
  <c r="AO16" i="189"/>
  <c r="X57" i="144"/>
  <c r="N57"/>
  <c r="AR577" i="175"/>
  <c r="AR563"/>
  <c r="AR770"/>
  <c r="AQ719"/>
  <c r="AP56" i="144"/>
  <c r="AN95" i="189"/>
  <c r="AQ656" i="175"/>
  <c r="AC45" i="142"/>
  <c r="T45" s="1"/>
  <c r="AL46"/>
  <c r="AE46" s="1"/>
  <c r="AB57" i="144" s="1"/>
  <c r="AS143" i="175"/>
  <c r="C43" i="67"/>
  <c r="AS48" i="175"/>
  <c r="C43" i="119"/>
  <c r="AS146" i="175"/>
  <c r="AS51"/>
  <c r="C42" i="70"/>
  <c r="C43" i="64"/>
  <c r="AS145" i="175"/>
  <c r="AS47"/>
  <c r="AS50"/>
  <c r="CA46" i="118" l="1"/>
  <c r="BV46" s="1"/>
  <c r="AD46"/>
  <c r="AV94"/>
  <c r="AV47"/>
  <c r="AV282"/>
  <c r="AS742" i="175"/>
  <c r="AO50" i="189"/>
  <c r="AR804" i="175"/>
  <c r="AU282" i="118"/>
  <c r="AU94"/>
  <c r="AU47"/>
  <c r="AS743" i="175"/>
  <c r="AO51" i="189"/>
  <c r="AR805" i="175"/>
  <c r="X46" i="118"/>
  <c r="AX47"/>
  <c r="AX94"/>
  <c r="AX282"/>
  <c r="AS740" i="175"/>
  <c r="AP17" i="189" s="1"/>
  <c r="AR802" i="175"/>
  <c r="AO48" i="189"/>
  <c r="AJ57" i="144"/>
  <c r="AF46" i="142"/>
  <c r="AI46" s="1"/>
  <c r="AG46"/>
  <c r="AK47" s="1"/>
  <c r="AY47" i="118"/>
  <c r="AS64" i="175"/>
  <c r="AS127" s="1"/>
  <c r="AF47" i="72"/>
  <c r="AY282" i="118"/>
  <c r="AY94"/>
  <c r="AA57" i="144"/>
  <c r="AC417" i="118"/>
  <c r="AR56" i="144"/>
  <c r="AR594" i="175"/>
  <c r="AO47" i="189"/>
  <c r="AR787" i="175"/>
  <c r="AR801"/>
  <c r="AS674"/>
  <c r="AS670"/>
  <c r="C43" i="71"/>
  <c r="AS673" i="175"/>
  <c r="AR704"/>
  <c r="AR702"/>
  <c r="AR705"/>
  <c r="C43" i="68"/>
  <c r="AS390" i="175"/>
  <c r="AS142"/>
  <c r="AS394"/>
  <c r="AS671"/>
  <c r="AS391"/>
  <c r="AR701"/>
  <c r="AS393"/>
  <c r="BZ46" i="118" l="1"/>
  <c r="BW46" s="1"/>
  <c r="AR642" i="175"/>
  <c r="AO81" i="189"/>
  <c r="AP19"/>
  <c r="AD94" i="118"/>
  <c r="BM47" s="1"/>
  <c r="AR643" i="175"/>
  <c r="AO82" i="189"/>
  <c r="AP20"/>
  <c r="AR640" i="175"/>
  <c r="AO79" i="189"/>
  <c r="AS739" i="175"/>
  <c r="AS756" s="1"/>
  <c r="AP33" i="189" s="1"/>
  <c r="AS159" i="175"/>
  <c r="AB418" i="118"/>
  <c r="AS407" i="175"/>
  <c r="AD418" i="118"/>
  <c r="AS687" i="175"/>
  <c r="AR718"/>
  <c r="AR639"/>
  <c r="AS56" i="144"/>
  <c r="AH417" i="118"/>
  <c r="AG417"/>
  <c r="AO64" i="189"/>
  <c r="AR818" i="175"/>
  <c r="AO78" i="189"/>
  <c r="AB46" i="142"/>
  <c r="AO57" i="144"/>
  <c r="AH47" i="142"/>
  <c r="M58" i="144" s="1"/>
  <c r="L58" s="1"/>
  <c r="AS546" i="175"/>
  <c r="AS547"/>
  <c r="AS549"/>
  <c r="AS550"/>
  <c r="BM282" i="118" l="1"/>
  <c r="AD282" s="1"/>
  <c r="CC47"/>
  <c r="CB47" s="1"/>
  <c r="AS580" i="175"/>
  <c r="AS773"/>
  <c r="AE47" i="118"/>
  <c r="AS581" i="175"/>
  <c r="AS774"/>
  <c r="AS578"/>
  <c r="AS771"/>
  <c r="AP16" i="189"/>
  <c r="N58" i="144"/>
  <c r="X58"/>
  <c r="AS577" i="175"/>
  <c r="AS563"/>
  <c r="AS770"/>
  <c r="AC46" i="142"/>
  <c r="T46" s="1"/>
  <c r="AR719" i="175"/>
  <c r="AP57" i="144"/>
  <c r="AR656" i="175"/>
  <c r="AL47" i="142"/>
  <c r="AE47" s="1"/>
  <c r="AB58" i="144" s="1"/>
  <c r="AO95" i="189"/>
  <c r="AT48" i="175"/>
  <c r="C44" i="119"/>
  <c r="AT146" i="175"/>
  <c r="AT50"/>
  <c r="C44" i="64"/>
  <c r="AT51" i="175"/>
  <c r="C44" i="67"/>
  <c r="AT143" i="175"/>
  <c r="AT145"/>
  <c r="AT47"/>
  <c r="C43" i="70"/>
  <c r="CA47" i="118" l="1"/>
  <c r="BZ47" s="1"/>
  <c r="BW47" s="1"/>
  <c r="X47"/>
  <c r="AV48"/>
  <c r="AV95"/>
  <c r="AV283"/>
  <c r="AT742" i="175"/>
  <c r="F145"/>
  <c r="BH145"/>
  <c r="BH50"/>
  <c r="AP50" i="189"/>
  <c r="AS804" i="175"/>
  <c r="AD47" i="118"/>
  <c r="AU95"/>
  <c r="AU48"/>
  <c r="AU283"/>
  <c r="AT743" i="175"/>
  <c r="F146"/>
  <c r="BH146"/>
  <c r="BH51"/>
  <c r="AP51" i="189"/>
  <c r="AS805" i="175"/>
  <c r="AX95" i="118"/>
  <c r="AX48"/>
  <c r="AX283"/>
  <c r="AT740" i="175"/>
  <c r="F143"/>
  <c r="BH143"/>
  <c r="BH48"/>
  <c r="AS802"/>
  <c r="AP48" i="189"/>
  <c r="AF47" i="142"/>
  <c r="AI47" s="1"/>
  <c r="AG47"/>
  <c r="AY95" i="118"/>
  <c r="AY48"/>
  <c r="AY283"/>
  <c r="AF48" i="72"/>
  <c r="BH47" i="175"/>
  <c r="AT64"/>
  <c r="AJ58" i="144"/>
  <c r="AA58"/>
  <c r="AC418" i="118"/>
  <c r="AS594" i="175"/>
  <c r="AP47" i="189"/>
  <c r="AS787" i="175"/>
  <c r="AS801"/>
  <c r="AR57" i="144"/>
  <c r="C44" i="71"/>
  <c r="AS702" i="175"/>
  <c r="AT394"/>
  <c r="AT391"/>
  <c r="AS705"/>
  <c r="C44" i="68"/>
  <c r="AT673" i="175"/>
  <c r="AT670"/>
  <c r="AT393"/>
  <c r="AT390"/>
  <c r="AT674"/>
  <c r="AT671"/>
  <c r="AS704"/>
  <c r="AT142"/>
  <c r="AS701"/>
  <c r="BV47" i="118" l="1"/>
  <c r="AS642" i="175"/>
  <c r="F393"/>
  <c r="BH393"/>
  <c r="F673"/>
  <c r="BH673"/>
  <c r="AP81" i="189"/>
  <c r="AQ19"/>
  <c r="BE19" s="1"/>
  <c r="F742" i="175"/>
  <c r="C19" i="189" s="1"/>
  <c r="BH742" i="175"/>
  <c r="F674"/>
  <c r="BH674"/>
  <c r="AS643"/>
  <c r="F394"/>
  <c r="BH394"/>
  <c r="AP82" i="189"/>
  <c r="BH743" i="175"/>
  <c r="AQ20" i="189"/>
  <c r="BE20" s="1"/>
  <c r="F743" i="175"/>
  <c r="C20" i="189" s="1"/>
  <c r="AD95" i="118"/>
  <c r="BM48" s="1"/>
  <c r="F391" i="175"/>
  <c r="BH391"/>
  <c r="AS640"/>
  <c r="F671"/>
  <c r="BH671"/>
  <c r="AP79" i="189"/>
  <c r="BH740" i="175"/>
  <c r="AQ17" i="189"/>
  <c r="BE17" s="1"/>
  <c r="F740" i="175"/>
  <c r="C17" i="189" s="1"/>
  <c r="F142" i="175"/>
  <c r="D3" i="188" s="1"/>
  <c r="AT159" i="175"/>
  <c r="F159" s="1"/>
  <c r="BH142"/>
  <c r="AT739"/>
  <c r="BH739" s="1"/>
  <c r="AK48" i="142"/>
  <c r="AB419" i="118"/>
  <c r="F390" i="175"/>
  <c r="AT407"/>
  <c r="BH390"/>
  <c r="BH670"/>
  <c r="F670"/>
  <c r="D17" i="188" s="1"/>
  <c r="AT687" i="175"/>
  <c r="AD419" i="118"/>
  <c r="BH64" i="175"/>
  <c r="BH127" s="1"/>
  <c r="AT127"/>
  <c r="F739"/>
  <c r="C16" i="189" s="1"/>
  <c r="AS718" i="175"/>
  <c r="AS639"/>
  <c r="AS57" i="144"/>
  <c r="AP64" i="189"/>
  <c r="AS818" i="175"/>
  <c r="AH418" i="118"/>
  <c r="AG418"/>
  <c r="AB47" i="142"/>
  <c r="AH48"/>
  <c r="AO58" i="144"/>
  <c r="AP78" i="189"/>
  <c r="AT547" i="175"/>
  <c r="AT546"/>
  <c r="AT550"/>
  <c r="AT549"/>
  <c r="E4" i="188" l="1"/>
  <c r="E13"/>
  <c r="I3"/>
  <c r="E10"/>
  <c r="E3"/>
  <c r="E11"/>
  <c r="K3"/>
  <c r="E8"/>
  <c r="E12"/>
  <c r="E9"/>
  <c r="E7"/>
  <c r="E6"/>
  <c r="E5"/>
  <c r="BM283" i="118"/>
  <c r="AD283" s="1"/>
  <c r="CC48"/>
  <c r="CB48" s="1"/>
  <c r="AT580" i="175"/>
  <c r="AT773"/>
  <c r="F549"/>
  <c r="BH549"/>
  <c r="AT581"/>
  <c r="AT774"/>
  <c r="F550"/>
  <c r="BH550"/>
  <c r="AE48" i="118"/>
  <c r="AT756" i="175"/>
  <c r="AQ33" i="189" s="1"/>
  <c r="BE33" s="1"/>
  <c r="AQ16"/>
  <c r="BE16" s="1"/>
  <c r="AT578" i="175"/>
  <c r="AT771"/>
  <c r="F547"/>
  <c r="BH547"/>
  <c r="BH159"/>
  <c r="D3" i="176"/>
  <c r="I3" s="1"/>
  <c r="AL48" i="142"/>
  <c r="AE48" s="1"/>
  <c r="AB59" i="144" s="1"/>
  <c r="M59"/>
  <c r="L59" s="1"/>
  <c r="F687" i="175"/>
  <c r="D17" i="176"/>
  <c r="BH687" i="175"/>
  <c r="BH407"/>
  <c r="F407"/>
  <c r="AT577"/>
  <c r="AT563"/>
  <c r="AT770"/>
  <c r="F546"/>
  <c r="BH546"/>
  <c r="AP58" i="144"/>
  <c r="AC47" i="142"/>
  <c r="T47" s="1"/>
  <c r="AS719" i="175"/>
  <c r="AS656"/>
  <c r="AP95" i="189"/>
  <c r="C44" i="70"/>
  <c r="D14" i="188" l="1"/>
  <c r="D16" s="1"/>
  <c r="D18" s="1"/>
  <c r="F18" s="1"/>
  <c r="M18" s="1"/>
  <c r="L8"/>
  <c r="H8"/>
  <c r="K9"/>
  <c r="I9"/>
  <c r="J8"/>
  <c r="G8"/>
  <c r="G4"/>
  <c r="I4"/>
  <c r="H3"/>
  <c r="K4"/>
  <c r="L3"/>
  <c r="M3" s="1"/>
  <c r="H4"/>
  <c r="I5"/>
  <c r="K5"/>
  <c r="L4"/>
  <c r="J4"/>
  <c r="L7"/>
  <c r="H7"/>
  <c r="I8"/>
  <c r="G7"/>
  <c r="K8"/>
  <c r="J7"/>
  <c r="I12"/>
  <c r="K12"/>
  <c r="G11"/>
  <c r="H11"/>
  <c r="L11"/>
  <c r="J11"/>
  <c r="H13"/>
  <c r="L13"/>
  <c r="G13"/>
  <c r="J13"/>
  <c r="L6"/>
  <c r="G6"/>
  <c r="K7"/>
  <c r="H6"/>
  <c r="I7"/>
  <c r="J6"/>
  <c r="K13"/>
  <c r="L12"/>
  <c r="G12"/>
  <c r="I13"/>
  <c r="J12"/>
  <c r="H12"/>
  <c r="H5"/>
  <c r="L5"/>
  <c r="K6"/>
  <c r="I6"/>
  <c r="J5"/>
  <c r="G5"/>
  <c r="L9"/>
  <c r="K10"/>
  <c r="H9"/>
  <c r="J9"/>
  <c r="G9"/>
  <c r="I10"/>
  <c r="I11"/>
  <c r="G10"/>
  <c r="H10"/>
  <c r="L10"/>
  <c r="J10"/>
  <c r="K11"/>
  <c r="CA48" i="118"/>
  <c r="BZ48" s="1"/>
  <c r="BW48" s="1"/>
  <c r="AD48"/>
  <c r="F580" i="175"/>
  <c r="BH580"/>
  <c r="AQ50" i="189"/>
  <c r="BE50" s="1"/>
  <c r="F773" i="175"/>
  <c r="C50" i="189" s="1"/>
  <c r="BH773" i="175"/>
  <c r="AT804"/>
  <c r="F581"/>
  <c r="BH581"/>
  <c r="AQ51" i="189"/>
  <c r="BE51" s="1"/>
  <c r="F774" i="175"/>
  <c r="C51" i="189" s="1"/>
  <c r="BH774" i="175"/>
  <c r="AT805"/>
  <c r="X48" i="118"/>
  <c r="BH756" i="175"/>
  <c r="F756"/>
  <c r="C33" i="189" s="1"/>
  <c r="F578" i="175"/>
  <c r="BH578"/>
  <c r="AQ48" i="189"/>
  <c r="BE48" s="1"/>
  <c r="F771" i="175"/>
  <c r="C48" i="189" s="1"/>
  <c r="BH771" i="175"/>
  <c r="AT802"/>
  <c r="E6" i="176"/>
  <c r="K7" s="1"/>
  <c r="E4"/>
  <c r="H4" s="1"/>
  <c r="E9"/>
  <c r="L9" s="1"/>
  <c r="E13"/>
  <c r="E3"/>
  <c r="K4" s="1"/>
  <c r="E11"/>
  <c r="H11" s="1"/>
  <c r="E10"/>
  <c r="K11" s="1"/>
  <c r="E7"/>
  <c r="E12"/>
  <c r="L12" s="1"/>
  <c r="E5"/>
  <c r="G5" s="1"/>
  <c r="E8"/>
  <c r="L8" s="1"/>
  <c r="K3"/>
  <c r="AF48" i="142"/>
  <c r="H30" s="1"/>
  <c r="AG48"/>
  <c r="H29" s="1"/>
  <c r="I10" i="176"/>
  <c r="AJ59" i="144"/>
  <c r="O3" s="1"/>
  <c r="N59"/>
  <c r="X59"/>
  <c r="AC419" i="118"/>
  <c r="AR58" i="144"/>
  <c r="F577" i="175"/>
  <c r="BH577"/>
  <c r="AT594"/>
  <c r="F563"/>
  <c r="D14" i="176"/>
  <c r="BH563" i="175"/>
  <c r="AQ47" i="189"/>
  <c r="BE47" s="1"/>
  <c r="AT787" i="175"/>
  <c r="F770"/>
  <c r="C47" i="189" s="1"/>
  <c r="AT801" i="175"/>
  <c r="BH770"/>
  <c r="C45" i="64"/>
  <c r="AT701" i="175"/>
  <c r="C45" i="119"/>
  <c r="C45" i="67"/>
  <c r="AT705" i="175"/>
  <c r="AT704"/>
  <c r="C45" i="68"/>
  <c r="N6" i="60"/>
  <c r="AT702" i="175"/>
  <c r="I14" i="188" l="1"/>
  <c r="F16"/>
  <c r="M16" s="1"/>
  <c r="E15"/>
  <c r="H15" s="1"/>
  <c r="K14"/>
  <c r="E14"/>
  <c r="L14" s="1"/>
  <c r="E17"/>
  <c r="M9"/>
  <c r="M6"/>
  <c r="M12"/>
  <c r="M10"/>
  <c r="M13"/>
  <c r="M7"/>
  <c r="M4"/>
  <c r="M11"/>
  <c r="M5"/>
  <c r="M8"/>
  <c r="BV48" i="118"/>
  <c r="AV49"/>
  <c r="AV96"/>
  <c r="AV284"/>
  <c r="AT642" i="175"/>
  <c r="F704"/>
  <c r="BH704"/>
  <c r="AQ81" i="189"/>
  <c r="BE81" s="1"/>
  <c r="F804" i="175"/>
  <c r="C81" i="189" s="1"/>
  <c r="BH804" i="175"/>
  <c r="AU49" i="118"/>
  <c r="AU284"/>
  <c r="AU96"/>
  <c r="AT643" i="175"/>
  <c r="F705"/>
  <c r="BH705"/>
  <c r="AQ82" i="189"/>
  <c r="BE82" s="1"/>
  <c r="F805" i="175"/>
  <c r="C82" i="189" s="1"/>
  <c r="BH805" i="175"/>
  <c r="AX96" i="118"/>
  <c r="AX49"/>
  <c r="AX284"/>
  <c r="AT640" i="175"/>
  <c r="F702"/>
  <c r="BH702"/>
  <c r="AQ79" i="189"/>
  <c r="BE79" s="1"/>
  <c r="F802" i="175"/>
  <c r="C79" i="189" s="1"/>
  <c r="BH802" i="175"/>
  <c r="H6" i="176"/>
  <c r="I4"/>
  <c r="I7"/>
  <c r="L6"/>
  <c r="G7"/>
  <c r="K9"/>
  <c r="K5"/>
  <c r="K6"/>
  <c r="I5"/>
  <c r="L4"/>
  <c r="H5"/>
  <c r="G6"/>
  <c r="I9"/>
  <c r="J9"/>
  <c r="G10"/>
  <c r="K10"/>
  <c r="AI48" i="142"/>
  <c r="J4" i="176"/>
  <c r="M4" s="1"/>
  <c r="H8"/>
  <c r="G9"/>
  <c r="H9"/>
  <c r="I11"/>
  <c r="L10"/>
  <c r="G13"/>
  <c r="J10"/>
  <c r="H10"/>
  <c r="I8"/>
  <c r="I13"/>
  <c r="J12"/>
  <c r="J6"/>
  <c r="K12"/>
  <c r="I12"/>
  <c r="I6"/>
  <c r="G11"/>
  <c r="J11"/>
  <c r="J5"/>
  <c r="L5"/>
  <c r="L11"/>
  <c r="L13"/>
  <c r="H13"/>
  <c r="G8"/>
  <c r="L3"/>
  <c r="M3" s="1"/>
  <c r="J13"/>
  <c r="J8"/>
  <c r="H7"/>
  <c r="K8"/>
  <c r="G4"/>
  <c r="H12"/>
  <c r="G12"/>
  <c r="L7"/>
  <c r="H3"/>
  <c r="J7"/>
  <c r="K13"/>
  <c r="AO59" i="144"/>
  <c r="O7" s="1"/>
  <c r="AB48" i="142"/>
  <c r="AC48" s="1"/>
  <c r="T48" s="1"/>
  <c r="AB420" i="118"/>
  <c r="AY49"/>
  <c r="AY284"/>
  <c r="AF49" i="72"/>
  <c r="AY96" i="118"/>
  <c r="K3" i="144"/>
  <c r="M4"/>
  <c r="AA59"/>
  <c r="M3"/>
  <c r="L2"/>
  <c r="L4" s="1"/>
  <c r="AT718" i="175"/>
  <c r="AT639"/>
  <c r="F701"/>
  <c r="BH701"/>
  <c r="F594"/>
  <c r="BH594"/>
  <c r="AH419" i="118"/>
  <c r="AG419"/>
  <c r="AQ78" i="189"/>
  <c r="BE78" s="1"/>
  <c r="F801" i="175"/>
  <c r="C78" i="189" s="1"/>
  <c r="BH801" i="175"/>
  <c r="AS58" i="144"/>
  <c r="D16" i="176"/>
  <c r="E15"/>
  <c r="E14"/>
  <c r="K14"/>
  <c r="I14"/>
  <c r="AQ64" i="189"/>
  <c r="BE64" s="1"/>
  <c r="AT818" i="175"/>
  <c r="F787"/>
  <c r="C64" i="189" s="1"/>
  <c r="BH787" i="175"/>
  <c r="I6" i="60"/>
  <c r="H6"/>
  <c r="C45" i="71"/>
  <c r="G15" i="188" l="1"/>
  <c r="I15"/>
  <c r="G14"/>
  <c r="H14"/>
  <c r="I17"/>
  <c r="J14"/>
  <c r="M14" s="1"/>
  <c r="J15"/>
  <c r="K15"/>
  <c r="G17"/>
  <c r="L17"/>
  <c r="L15"/>
  <c r="H17"/>
  <c r="K17"/>
  <c r="J17"/>
  <c r="AP59" i="144"/>
  <c r="F642" i="175"/>
  <c r="BH642"/>
  <c r="AD96" i="118"/>
  <c r="BM49" s="1"/>
  <c r="F643" i="175"/>
  <c r="BH643"/>
  <c r="M9" i="176"/>
  <c r="F640" i="175"/>
  <c r="BH640"/>
  <c r="M6" i="176"/>
  <c r="M10"/>
  <c r="M5"/>
  <c r="M12"/>
  <c r="M8"/>
  <c r="M13"/>
  <c r="M11"/>
  <c r="M7"/>
  <c r="K7" i="144"/>
  <c r="AD420" i="118"/>
  <c r="K2" i="144"/>
  <c r="K14" s="1"/>
  <c r="Y386" i="118"/>
  <c r="Y387" s="1"/>
  <c r="F16" i="176"/>
  <c r="D18"/>
  <c r="E17"/>
  <c r="AT656" i="175"/>
  <c r="F639"/>
  <c r="BH639"/>
  <c r="F718"/>
  <c r="BH718"/>
  <c r="AT719"/>
  <c r="BH719" s="1"/>
  <c r="AQ95" i="189"/>
  <c r="BE95" s="1"/>
  <c r="F818" i="175"/>
  <c r="C95" i="189" s="1"/>
  <c r="BH818" i="175"/>
  <c r="G15" i="176"/>
  <c r="L15"/>
  <c r="H15"/>
  <c r="J15"/>
  <c r="I15"/>
  <c r="G14"/>
  <c r="K15"/>
  <c r="L14"/>
  <c r="H14"/>
  <c r="J14"/>
  <c r="F6" i="60"/>
  <c r="Q6"/>
  <c r="C45" i="70"/>
  <c r="M17" i="188" l="1"/>
  <c r="M15"/>
  <c r="BM284" i="118"/>
  <c r="AD284" s="1"/>
  <c r="CC49"/>
  <c r="CB49" s="1"/>
  <c r="AC420"/>
  <c r="AH420" s="1"/>
  <c r="AR59" i="144"/>
  <c r="AS59" s="1"/>
  <c r="K11" s="1"/>
  <c r="AE49" i="118"/>
  <c r="F656" i="175"/>
  <c r="BH656"/>
  <c r="M15" i="176"/>
  <c r="M16"/>
  <c r="I17"/>
  <c r="K17"/>
  <c r="K8" i="144"/>
  <c r="G17" i="176"/>
  <c r="L17"/>
  <c r="H17"/>
  <c r="J17"/>
  <c r="F18"/>
  <c r="M18" s="1"/>
  <c r="Y390" i="118"/>
  <c r="Y391" s="1"/>
  <c r="M14" i="176"/>
  <c r="K6" i="60"/>
  <c r="CA49" i="118" l="1"/>
  <c r="BZ49" s="1"/>
  <c r="BW49" s="1"/>
  <c r="N248"/>
  <c r="N251" s="1"/>
  <c r="J248" s="1"/>
  <c r="U248"/>
  <c r="U251" s="1"/>
  <c r="X49"/>
  <c r="W5" s="1"/>
  <c r="W3" s="1"/>
  <c r="AG420"/>
  <c r="AD49"/>
  <c r="M17" i="176"/>
  <c r="K9" i="144"/>
  <c r="K12"/>
  <c r="K13" s="1"/>
  <c r="K10"/>
  <c r="E6" i="60"/>
  <c r="L6"/>
  <c r="BV49" i="118" l="1"/>
  <c r="AF14" i="76"/>
  <c r="AF65"/>
  <c r="AF80"/>
  <c r="AF86"/>
  <c r="AF41"/>
  <c r="AF83"/>
  <c r="AF47"/>
  <c r="AF59"/>
  <c r="AF95"/>
  <c r="AF89"/>
  <c r="AF23"/>
  <c r="AF92"/>
  <c r="AF17"/>
  <c r="AF11"/>
  <c r="AF71"/>
  <c r="AF20"/>
  <c r="AF74"/>
  <c r="G6" i="60"/>
  <c r="AF35" i="76"/>
  <c r="AF77"/>
  <c r="AF38"/>
  <c r="AF29"/>
  <c r="AF56"/>
  <c r="AF68"/>
  <c r="AF62"/>
  <c r="AF53"/>
  <c r="AF32"/>
  <c r="AF26"/>
  <c r="AF44"/>
  <c r="AF8"/>
  <c r="AF50"/>
  <c r="D3" i="57"/>
  <c r="D2"/>
  <c r="D31"/>
  <c r="D10"/>
  <c r="D18"/>
  <c r="D26"/>
  <c r="D6"/>
  <c r="D14"/>
  <c r="D22"/>
  <c r="D5"/>
  <c r="D9"/>
  <c r="D13"/>
  <c r="D17"/>
  <c r="D21"/>
  <c r="D25"/>
  <c r="D29"/>
  <c r="D33"/>
  <c r="D16"/>
  <c r="D34"/>
  <c r="D7"/>
  <c r="D11"/>
  <c r="D15"/>
  <c r="D19"/>
  <c r="D23"/>
  <c r="D27"/>
  <c r="D35"/>
  <c r="D12"/>
  <c r="D20"/>
  <c r="D28"/>
  <c r="D4"/>
  <c r="D30"/>
  <c r="D8"/>
  <c r="D24"/>
  <c r="D32"/>
  <c r="L13" i="144"/>
  <c r="P21" i="77"/>
  <c r="P8"/>
  <c r="P9"/>
  <c r="B19" i="57"/>
  <c r="B10"/>
  <c r="B14"/>
  <c r="B30"/>
  <c r="P3" i="77"/>
  <c r="B29" i="57"/>
  <c r="B28"/>
  <c r="P11" i="77"/>
  <c r="P10"/>
  <c r="P13"/>
  <c r="P16"/>
  <c r="P14"/>
  <c r="B6" i="57"/>
  <c r="P31" i="77"/>
  <c r="P32"/>
  <c r="P24"/>
  <c r="P15"/>
  <c r="B32" i="57"/>
  <c r="P27" i="77"/>
  <c r="P19"/>
  <c r="B11" i="57"/>
  <c r="B22"/>
  <c r="B25"/>
  <c r="P26" i="77"/>
  <c r="P6"/>
  <c r="B16" i="57"/>
  <c r="P4" i="77"/>
  <c r="P23"/>
  <c r="P12"/>
  <c r="P25"/>
  <c r="P22"/>
  <c r="P5"/>
  <c r="B18" i="57"/>
  <c r="B17"/>
  <c r="B27"/>
  <c r="B252" i="118" l="1"/>
  <c r="A249" s="1"/>
  <c r="Y19" i="57"/>
  <c r="S3" i="76"/>
  <c r="Y25" i="57"/>
  <c r="Y3" i="76"/>
  <c r="Y6" i="57"/>
  <c r="F3" i="76"/>
  <c r="Y32" i="57"/>
  <c r="Y30"/>
  <c r="AD3" i="76"/>
  <c r="Y29" i="57"/>
  <c r="AC3" i="76"/>
  <c r="Y14" i="57"/>
  <c r="N3" i="76"/>
  <c r="Y10" i="57"/>
  <c r="J3" i="76"/>
  <c r="Y16" i="57"/>
  <c r="P3" i="76"/>
  <c r="Y28" i="57"/>
  <c r="AB3" i="76"/>
  <c r="Y27" i="57"/>
  <c r="AA3" i="76"/>
  <c r="Y11" i="57"/>
  <c r="K3" i="76"/>
  <c r="Y17" i="57"/>
  <c r="Q3" i="76"/>
  <c r="Y22" i="57"/>
  <c r="V3" i="76"/>
  <c r="Y18" i="57"/>
  <c r="R3" i="76"/>
  <c r="L35" i="57"/>
  <c r="J35"/>
  <c r="K35"/>
  <c r="E35"/>
  <c r="G35"/>
  <c r="F35"/>
  <c r="C35"/>
  <c r="M35"/>
  <c r="H35"/>
  <c r="M5"/>
  <c r="C5"/>
  <c r="L5"/>
  <c r="E5"/>
  <c r="G5"/>
  <c r="K5"/>
  <c r="J5"/>
  <c r="F5"/>
  <c r="H5"/>
  <c r="G19"/>
  <c r="J19"/>
  <c r="M19"/>
  <c r="L19"/>
  <c r="C19"/>
  <c r="F19"/>
  <c r="K19"/>
  <c r="E19"/>
  <c r="H19"/>
  <c r="F25"/>
  <c r="G25"/>
  <c r="C25"/>
  <c r="E25"/>
  <c r="J25"/>
  <c r="L25"/>
  <c r="K25"/>
  <c r="M25"/>
  <c r="H25"/>
  <c r="E9"/>
  <c r="J9"/>
  <c r="G9"/>
  <c r="F9"/>
  <c r="K9"/>
  <c r="M9"/>
  <c r="L9"/>
  <c r="C9"/>
  <c r="H9"/>
  <c r="G6"/>
  <c r="F6"/>
  <c r="J6"/>
  <c r="C6"/>
  <c r="L6"/>
  <c r="M6"/>
  <c r="K6"/>
  <c r="E6"/>
  <c r="H6"/>
  <c r="C31"/>
  <c r="J31"/>
  <c r="M31"/>
  <c r="G31"/>
  <c r="K31"/>
  <c r="F31"/>
  <c r="L31"/>
  <c r="E31"/>
  <c r="H31"/>
  <c r="M32"/>
  <c r="K32"/>
  <c r="G32"/>
  <c r="L32"/>
  <c r="F32"/>
  <c r="C32"/>
  <c r="E32"/>
  <c r="J32"/>
  <c r="H32"/>
  <c r="F15"/>
  <c r="G15"/>
  <c r="E15"/>
  <c r="K15"/>
  <c r="C15"/>
  <c r="J15"/>
  <c r="L15"/>
  <c r="M15"/>
  <c r="H15"/>
  <c r="L26"/>
  <c r="K26"/>
  <c r="G26"/>
  <c r="C26"/>
  <c r="E26"/>
  <c r="M26"/>
  <c r="F26"/>
  <c r="J26"/>
  <c r="H26"/>
  <c r="M30"/>
  <c r="J30"/>
  <c r="E30"/>
  <c r="C30"/>
  <c r="L30"/>
  <c r="K30"/>
  <c r="F30"/>
  <c r="G30"/>
  <c r="H30"/>
  <c r="F34"/>
  <c r="J34"/>
  <c r="K34"/>
  <c r="L34"/>
  <c r="M34"/>
  <c r="E34"/>
  <c r="C34"/>
  <c r="G34"/>
  <c r="H34"/>
  <c r="C23"/>
  <c r="M23"/>
  <c r="G23"/>
  <c r="L23"/>
  <c r="K23"/>
  <c r="F23"/>
  <c r="J23"/>
  <c r="E23"/>
  <c r="H23"/>
  <c r="E29"/>
  <c r="M29"/>
  <c r="L29"/>
  <c r="C29"/>
  <c r="J29"/>
  <c r="G29"/>
  <c r="K29"/>
  <c r="F29"/>
  <c r="H29"/>
  <c r="J14"/>
  <c r="L14"/>
  <c r="E14"/>
  <c r="K14"/>
  <c r="F14"/>
  <c r="G14"/>
  <c r="M14"/>
  <c r="C14"/>
  <c r="H14"/>
  <c r="J10"/>
  <c r="K10"/>
  <c r="E10"/>
  <c r="L10"/>
  <c r="F10"/>
  <c r="G10"/>
  <c r="C10"/>
  <c r="M10"/>
  <c r="H10"/>
  <c r="J4"/>
  <c r="L4"/>
  <c r="M4"/>
  <c r="G4"/>
  <c r="E4"/>
  <c r="K4"/>
  <c r="C4"/>
  <c r="F4"/>
  <c r="H4"/>
  <c r="E16"/>
  <c r="L16"/>
  <c r="C16"/>
  <c r="F16"/>
  <c r="J16"/>
  <c r="M16"/>
  <c r="G16"/>
  <c r="K16"/>
  <c r="H16"/>
  <c r="E21"/>
  <c r="L21"/>
  <c r="M21"/>
  <c r="G21"/>
  <c r="J21"/>
  <c r="C21"/>
  <c r="K21"/>
  <c r="F21"/>
  <c r="H21"/>
  <c r="M2"/>
  <c r="E2"/>
  <c r="G2"/>
  <c r="L2"/>
  <c r="F2"/>
  <c r="J2"/>
  <c r="C2"/>
  <c r="H2"/>
  <c r="I2" s="1"/>
  <c r="K2"/>
  <c r="E12"/>
  <c r="J12"/>
  <c r="L12"/>
  <c r="C12"/>
  <c r="G12"/>
  <c r="M12"/>
  <c r="K12"/>
  <c r="F12"/>
  <c r="H12"/>
  <c r="F8"/>
  <c r="K8"/>
  <c r="E8"/>
  <c r="J8"/>
  <c r="L8"/>
  <c r="M8"/>
  <c r="C8"/>
  <c r="G8"/>
  <c r="H8"/>
  <c r="E20"/>
  <c r="F20"/>
  <c r="J20"/>
  <c r="C20"/>
  <c r="M20"/>
  <c r="K20"/>
  <c r="L20"/>
  <c r="G20"/>
  <c r="H20"/>
  <c r="M7"/>
  <c r="J7"/>
  <c r="K7"/>
  <c r="L7"/>
  <c r="C7"/>
  <c r="E7"/>
  <c r="G7"/>
  <c r="F7"/>
  <c r="H7"/>
  <c r="G13"/>
  <c r="E13"/>
  <c r="C13"/>
  <c r="J13"/>
  <c r="K13"/>
  <c r="L13"/>
  <c r="F13"/>
  <c r="M13"/>
  <c r="H13"/>
  <c r="C24"/>
  <c r="K24"/>
  <c r="E24"/>
  <c r="G24"/>
  <c r="M24"/>
  <c r="L24"/>
  <c r="F24"/>
  <c r="J24"/>
  <c r="H24"/>
  <c r="G28"/>
  <c r="F28"/>
  <c r="J28"/>
  <c r="E28"/>
  <c r="L28"/>
  <c r="M28"/>
  <c r="C28"/>
  <c r="K28"/>
  <c r="H28"/>
  <c r="E27"/>
  <c r="M27"/>
  <c r="G27"/>
  <c r="L27"/>
  <c r="F27"/>
  <c r="J27"/>
  <c r="K27"/>
  <c r="C27"/>
  <c r="H27"/>
  <c r="C11"/>
  <c r="E11"/>
  <c r="F11"/>
  <c r="K11"/>
  <c r="M11"/>
  <c r="G11"/>
  <c r="J11"/>
  <c r="L11"/>
  <c r="H11"/>
  <c r="G33"/>
  <c r="K33"/>
  <c r="F33"/>
  <c r="L33"/>
  <c r="J33"/>
  <c r="E33"/>
  <c r="M33"/>
  <c r="C33"/>
  <c r="H33"/>
  <c r="G17"/>
  <c r="C17"/>
  <c r="L17"/>
  <c r="K17"/>
  <c r="F17"/>
  <c r="M17"/>
  <c r="J17"/>
  <c r="E17"/>
  <c r="H17"/>
  <c r="L22"/>
  <c r="M22"/>
  <c r="J22"/>
  <c r="E22"/>
  <c r="K22"/>
  <c r="C22"/>
  <c r="G22"/>
  <c r="F22"/>
  <c r="H22"/>
  <c r="M18"/>
  <c r="F18"/>
  <c r="C18"/>
  <c r="J18"/>
  <c r="G18"/>
  <c r="E18"/>
  <c r="K18"/>
  <c r="L18"/>
  <c r="H18"/>
  <c r="G3"/>
  <c r="L3"/>
  <c r="F3"/>
  <c r="K3"/>
  <c r="C3"/>
  <c r="M3"/>
  <c r="E3"/>
  <c r="J3"/>
  <c r="H3"/>
  <c r="P28" i="77"/>
  <c r="B20" i="57"/>
  <c r="P17" i="77"/>
  <c r="B12" i="57"/>
  <c r="B21"/>
  <c r="P20" i="77"/>
  <c r="B13" i="57"/>
  <c r="B26"/>
  <c r="B24"/>
  <c r="B7"/>
  <c r="P29" i="77"/>
  <c r="B9" i="57"/>
  <c r="P18" i="77"/>
  <c r="B23" i="57"/>
  <c r="B8"/>
  <c r="B15"/>
  <c r="B2"/>
  <c r="B3"/>
  <c r="P7" i="77"/>
  <c r="B5" i="57"/>
  <c r="B4"/>
  <c r="B31"/>
  <c r="P30" i="77"/>
  <c r="Y3" i="57" l="1"/>
  <c r="C3" i="76"/>
  <c r="AP3" s="1"/>
  <c r="X3"/>
  <c r="Y24" i="57"/>
  <c r="Y31"/>
  <c r="AE3" i="76"/>
  <c r="AE93" s="1"/>
  <c r="AF93" s="1"/>
  <c r="O3"/>
  <c r="O46" s="1"/>
  <c r="AF46" s="1"/>
  <c r="Y15" i="57"/>
  <c r="B20" i="118"/>
  <c r="B19"/>
  <c r="B18"/>
  <c r="Y23" i="57"/>
  <c r="W3" i="76"/>
  <c r="W5" s="1"/>
  <c r="Y20" i="57"/>
  <c r="T3" i="76"/>
  <c r="T5" s="1"/>
  <c r="M3"/>
  <c r="M5" s="1"/>
  <c r="Y13" i="57"/>
  <c r="H3" i="76"/>
  <c r="H5" s="1"/>
  <c r="Y8" i="57"/>
  <c r="G3" i="76"/>
  <c r="G22" s="1"/>
  <c r="AF22" s="1"/>
  <c r="Y7" i="57"/>
  <c r="I3" i="76"/>
  <c r="I28" s="1"/>
  <c r="AF28" s="1"/>
  <c r="Y9" i="57"/>
  <c r="B3" i="76"/>
  <c r="AO3" s="1"/>
  <c r="B4" i="118"/>
  <c r="Y2" i="57"/>
  <c r="B3" i="118"/>
  <c r="B17"/>
  <c r="E3" i="76"/>
  <c r="AR3" s="1"/>
  <c r="Y5" i="57"/>
  <c r="U3" i="76"/>
  <c r="U5" s="1"/>
  <c r="Y21" i="57"/>
  <c r="Y26"/>
  <c r="Z3" i="76"/>
  <c r="BM3" s="1"/>
  <c r="B15" i="118"/>
  <c r="B12"/>
  <c r="B13"/>
  <c r="D3" i="76"/>
  <c r="D5" s="1"/>
  <c r="B9" i="118"/>
  <c r="B11"/>
  <c r="Y4" i="57"/>
  <c r="B5" i="118"/>
  <c r="B16"/>
  <c r="B7"/>
  <c r="B6"/>
  <c r="B10"/>
  <c r="B14"/>
  <c r="B8"/>
  <c r="L3" i="76"/>
  <c r="AY3" s="1"/>
  <c r="Y12" i="57"/>
  <c r="I3"/>
  <c r="A12" i="76" s="1"/>
  <c r="BE3"/>
  <c r="R5"/>
  <c r="R55"/>
  <c r="AF55" s="1"/>
  <c r="R54"/>
  <c r="AF54" s="1"/>
  <c r="BD3"/>
  <c r="Q51"/>
  <c r="AF51" s="1"/>
  <c r="Q5"/>
  <c r="Q52"/>
  <c r="AF52" s="1"/>
  <c r="AA5"/>
  <c r="BN3"/>
  <c r="AA81"/>
  <c r="AF81" s="1"/>
  <c r="AA82"/>
  <c r="AF82" s="1"/>
  <c r="X72"/>
  <c r="AF72" s="1"/>
  <c r="X5"/>
  <c r="BK3"/>
  <c r="X73"/>
  <c r="AF73" s="1"/>
  <c r="AT3"/>
  <c r="N43"/>
  <c r="AF43" s="1"/>
  <c r="BA3"/>
  <c r="N5"/>
  <c r="N42"/>
  <c r="AF42" s="1"/>
  <c r="A8"/>
  <c r="A7"/>
  <c r="A9"/>
  <c r="AS3"/>
  <c r="F5"/>
  <c r="F19"/>
  <c r="AF19" s="1"/>
  <c r="F18"/>
  <c r="AF18" s="1"/>
  <c r="Y5"/>
  <c r="BL3"/>
  <c r="Y76"/>
  <c r="AF76" s="1"/>
  <c r="Y75"/>
  <c r="AF75" s="1"/>
  <c r="C5"/>
  <c r="V5"/>
  <c r="BI3"/>
  <c r="V67"/>
  <c r="AF67" s="1"/>
  <c r="V66"/>
  <c r="AF66" s="1"/>
  <c r="AX3"/>
  <c r="K33"/>
  <c r="AF33" s="1"/>
  <c r="K5"/>
  <c r="K34"/>
  <c r="AF34" s="1"/>
  <c r="BO3"/>
  <c r="AB5"/>
  <c r="AB85"/>
  <c r="AF85" s="1"/>
  <c r="AB84"/>
  <c r="AF84" s="1"/>
  <c r="P5"/>
  <c r="BC3"/>
  <c r="P48"/>
  <c r="AF48" s="1"/>
  <c r="P49"/>
  <c r="AF49" s="1"/>
  <c r="AW3"/>
  <c r="J31"/>
  <c r="AF31" s="1"/>
  <c r="J5"/>
  <c r="J30"/>
  <c r="AF30" s="1"/>
  <c r="AC87"/>
  <c r="AF87" s="1"/>
  <c r="AC5"/>
  <c r="BP3"/>
  <c r="AC88"/>
  <c r="AF88" s="1"/>
  <c r="AD91"/>
  <c r="AF91" s="1"/>
  <c r="BQ3"/>
  <c r="AD5"/>
  <c r="AD90"/>
  <c r="AF90" s="1"/>
  <c r="Y1" i="57"/>
  <c r="S5" i="76"/>
  <c r="BF3"/>
  <c r="S57"/>
  <c r="AF57" s="1"/>
  <c r="S58"/>
  <c r="AF58" s="1"/>
  <c r="X2" i="57" a="1"/>
  <c r="C9" i="76" l="1"/>
  <c r="AF9" s="1"/>
  <c r="C10"/>
  <c r="AF10" s="1"/>
  <c r="BR3"/>
  <c r="AE94"/>
  <c r="AF94" s="1"/>
  <c r="AE5"/>
  <c r="O45"/>
  <c r="AF45" s="1"/>
  <c r="O5"/>
  <c r="BB3"/>
  <c r="T60"/>
  <c r="AF60" s="1"/>
  <c r="BG3"/>
  <c r="T61"/>
  <c r="AF61" s="1"/>
  <c r="H24"/>
  <c r="AF24" s="1"/>
  <c r="AU3"/>
  <c r="W69"/>
  <c r="AF69" s="1"/>
  <c r="W70"/>
  <c r="AF70" s="1"/>
  <c r="H25"/>
  <c r="AF25" s="1"/>
  <c r="M39"/>
  <c r="AF39" s="1"/>
  <c r="B5"/>
  <c r="AZ3"/>
  <c r="BJ3"/>
  <c r="M40"/>
  <c r="AF40" s="1"/>
  <c r="G5"/>
  <c r="G21"/>
  <c r="AF21" s="1"/>
  <c r="I5"/>
  <c r="I27"/>
  <c r="AF27" s="1"/>
  <c r="AV3"/>
  <c r="BH3"/>
  <c r="A11"/>
  <c r="U63"/>
  <c r="AF63" s="1"/>
  <c r="U64"/>
  <c r="AF64" s="1"/>
  <c r="B6"/>
  <c r="AF6" s="1"/>
  <c r="B7"/>
  <c r="AF7" s="1"/>
  <c r="Z2" i="57"/>
  <c r="Z5" i="76"/>
  <c r="L5"/>
  <c r="AQ3"/>
  <c r="E16"/>
  <c r="AF16" s="1"/>
  <c r="Z78"/>
  <c r="AF78" s="1"/>
  <c r="D13"/>
  <c r="AF13" s="1"/>
  <c r="E15"/>
  <c r="AF15" s="1"/>
  <c r="L36"/>
  <c r="AF36" s="1"/>
  <c r="E5"/>
  <c r="Z79"/>
  <c r="AF79" s="1"/>
  <c r="D12"/>
  <c r="AF12" s="1"/>
  <c r="L37"/>
  <c r="AF37" s="1"/>
  <c r="I4" i="57"/>
  <c r="I5" s="1"/>
  <c r="A17" i="76" s="1"/>
  <c r="A10"/>
  <c r="X20" i="57"/>
  <c r="X2"/>
  <c r="X12"/>
  <c r="X5"/>
  <c r="X6"/>
  <c r="X23"/>
  <c r="X29"/>
  <c r="X30"/>
  <c r="X15"/>
  <c r="X18"/>
  <c r="X14"/>
  <c r="X16"/>
  <c r="X9"/>
  <c r="X3"/>
  <c r="X24"/>
  <c r="X34"/>
  <c r="X31"/>
  <c r="X35"/>
  <c r="X22"/>
  <c r="X10"/>
  <c r="X4"/>
  <c r="X33"/>
  <c r="X21"/>
  <c r="X32"/>
  <c r="X13"/>
  <c r="X28"/>
  <c r="X8"/>
  <c r="X25"/>
  <c r="X11"/>
  <c r="X27"/>
  <c r="X19"/>
  <c r="X7"/>
  <c r="X17"/>
  <c r="X26"/>
  <c r="A16" i="76"/>
  <c r="AO5"/>
  <c r="AP5"/>
  <c r="A15" l="1"/>
  <c r="I6" i="57"/>
  <c r="I7" s="1"/>
  <c r="A13" i="76"/>
  <c r="A18"/>
  <c r="A14"/>
  <c r="A19"/>
  <c r="A21" l="1"/>
  <c r="A20"/>
  <c r="A23"/>
  <c r="A24"/>
  <c r="A22"/>
  <c r="I8" i="57"/>
  <c r="A25" i="76" l="1"/>
  <c r="A27"/>
  <c r="A26"/>
  <c r="I9" i="57"/>
  <c r="A30" i="76" l="1"/>
  <c r="A28"/>
  <c r="A29"/>
  <c r="I10" i="57"/>
  <c r="A33" i="76" l="1"/>
  <c r="A32"/>
  <c r="A31"/>
  <c r="I11" i="57"/>
  <c r="A34" i="76" l="1"/>
  <c r="A35"/>
  <c r="A36"/>
  <c r="I12" i="57"/>
  <c r="A38" i="76" l="1"/>
  <c r="A39"/>
  <c r="A37"/>
  <c r="I13" i="57"/>
  <c r="AY5" i="76"/>
  <c r="A42" l="1"/>
  <c r="A41"/>
  <c r="A40"/>
  <c r="I14" i="57"/>
  <c r="A43" i="76" l="1"/>
  <c r="A44"/>
  <c r="A45"/>
  <c r="I15" i="57"/>
  <c r="A48" i="76" l="1"/>
  <c r="A47"/>
  <c r="A46"/>
  <c r="I16" i="57"/>
  <c r="BC5" i="76" s="1"/>
  <c r="A51" l="1"/>
  <c r="A49"/>
  <c r="A50"/>
  <c r="I17" i="57"/>
  <c r="A52" i="76" l="1"/>
  <c r="A54"/>
  <c r="A53"/>
  <c r="I18" i="57"/>
  <c r="A57" i="76" l="1"/>
  <c r="A55"/>
  <c r="A56"/>
  <c r="I19" i="57"/>
  <c r="A58" i="76" l="1"/>
  <c r="A60"/>
  <c r="A59"/>
  <c r="I20" i="57"/>
  <c r="BF5" i="76"/>
  <c r="A61" l="1"/>
  <c r="A63"/>
  <c r="A62"/>
  <c r="I21" i="57"/>
  <c r="A65" i="76" l="1"/>
  <c r="A66"/>
  <c r="A64"/>
  <c r="I22" i="57"/>
  <c r="A68" i="76" l="1"/>
  <c r="A67"/>
  <c r="A69"/>
  <c r="I23" i="57"/>
  <c r="A72" i="76" l="1"/>
  <c r="A70"/>
  <c r="A71"/>
  <c r="I24" i="57"/>
  <c r="A75" i="76" l="1"/>
  <c r="A73"/>
  <c r="A74"/>
  <c r="I25" i="57"/>
  <c r="A77" i="76" l="1"/>
  <c r="A76"/>
  <c r="A78"/>
  <c r="I26" i="57"/>
  <c r="A81" i="76" l="1"/>
  <c r="A79"/>
  <c r="A80"/>
  <c r="I27" i="57"/>
  <c r="A82" i="76" l="1"/>
  <c r="A83"/>
  <c r="A84"/>
  <c r="I28" i="57"/>
  <c r="A87" i="76" l="1"/>
  <c r="A86"/>
  <c r="A85"/>
  <c r="I29" i="57"/>
  <c r="A90" i="76" l="1"/>
  <c r="A89"/>
  <c r="A88"/>
  <c r="I30" i="57"/>
  <c r="A93" i="76" l="1"/>
  <c r="A92"/>
  <c r="A91"/>
  <c r="I31" i="57"/>
  <c r="A94" i="76" l="1"/>
  <c r="A95"/>
  <c r="I32" i="57"/>
  <c r="I33" s="1"/>
  <c r="I34" s="1"/>
  <c r="I35" s="1"/>
  <c r="BV9" i="118"/>
</calcChain>
</file>

<file path=xl/comments1.xml><?xml version="1.0" encoding="utf-8"?>
<comments xmlns="http://schemas.openxmlformats.org/spreadsheetml/2006/main">
  <authors>
    <author>jfarr</author>
    <author>Rob McKenna</author>
  </authors>
  <commentList>
    <comment ref="N5" authorId="0">
      <text>
        <r>
          <rPr>
            <b/>
            <sz val="10"/>
            <color indexed="81"/>
            <rFont val="Tahoma"/>
            <family val="2"/>
          </rPr>
          <t>from John C - Climate Leaders</t>
        </r>
      </text>
    </comment>
    <comment ref="N6" authorId="0">
      <text>
        <r>
          <rPr>
            <b/>
            <sz val="10"/>
            <color indexed="81"/>
            <rFont val="Tahoma"/>
            <family val="2"/>
          </rPr>
          <t>from John C - Climate Leaders</t>
        </r>
      </text>
    </comment>
    <comment ref="B40" authorId="1">
      <text>
        <r>
          <rPr>
            <b/>
            <sz val="9"/>
            <color indexed="81"/>
            <rFont val="Tahoma"/>
            <family val="2"/>
          </rPr>
          <t xml:space="preserve">From: James Gross &lt;jeg95@case.edu&gt;
Date: December 2, 2010 1:02:54 PM MST
To: Rob McKenna &lt;RMcKenna@energystrat.com&gt;
Cc: John Lawyer &lt;jcl5@case.edu&gt;, mwalters@aeieng.com, Stephen Campbell &lt;sxc580@case.edu&gt;
Subject: RE: Discount Rate/Cost of Capital
Rob,
I spoke to John and with inflation the NPV would be closer to 7.5%; also fyi, the hurdle rate breakdown is cost of capital of 4.5% and opportunity cost of 7.5%
Jim
From: Rob McKenna [mailto:RMcKenna@Energystrat.com] 
Sent: Thursday, December 02, 2010 1:22 PM
To: James Gross
Cc: John Lawyer; mwalters@aeieng.com; Stephen Campbell
Subject: RE: Discount Rate/Cost of Capital
Jim,
One more question...
I assume these are nominal rates of return, i.e. they include inflation adjustments.  Is that correct?  If so, does CWRU have a view on the implied inflation in those rates so that we can back out the inflation to try to get at a "real" rate?
Thanks,
Rob
From: James Gross [mailto:jeg95@case.edu] 
Sent: Thursday, December 02, 2010 9:08 AM
To: Rob McKenna
Cc: John Lawyer; mwalters@aeieng.com; Stephen Campbell
Subject: RE: Discount Rate/Cost of Capital
Hi Rob,
I checked with our CFO John Sideras  and the rates are as follows:
6% for NPV
And 11-12% for hurdle rate (e.g. cost of capital + opportunity cost)
Regards,
Jim
</t>
        </r>
      </text>
    </comment>
    <comment ref="B42" authorId="1">
      <text>
        <r>
          <rPr>
            <b/>
            <sz val="9"/>
            <color indexed="81"/>
            <rFont val="Tahoma"/>
            <family val="2"/>
          </rPr>
          <t xml:space="preserve">From: James Gross &lt;jeg95@case.edu&gt;
Date: December 2, 2010 1:02:54 PM MST
To: Rob McKenna &lt;RMcKenna@energystrat.com&gt;
Cc: John Lawyer &lt;jcl5@case.edu&gt;, mwalters@aeieng.com, Stephen Campbell &lt;sxc580@case.edu&gt;
Subject: RE: Discount Rate/Cost of Capital
Rob,
I spoke to John and with inflation the NPV would be closer to 7.5%; also fyi, the hurdle rate breakdown is cost of capital of 4.5% and opportunity cost of 7.5%
Jim
From: Rob McKenna [mailto:RMcKenna@Energystrat.com] 
Sent: Thursday, December 02, 2010 1:22 PM
To: James Gross
Cc: John Lawyer; mwalters@aeieng.com; Stephen Campbell
Subject: RE: Discount Rate/Cost of Capital
Jim,
One more question...
I assume these are nominal rates of return, i.e. they include inflation adjustments.  Is that correct?  If so, does CWRU have a view on the implied inflation in those rates so that we can back out the inflation to try to get at a "real" rate?
Thanks,
Rob
From: James Gross [mailto:jeg95@case.edu] 
Sent: Thursday, December 02, 2010 9:08 AM
To: Rob McKenna
Cc: John Lawyer; mwalters@aeieng.com; Stephen Campbell
Subject: RE: Discount Rate/Cost of Capital
Hi Rob,
I checked with our CFO John Sideras  and the rates are as follows:
6% for NPV
And 11-12% for hurdle rate (e.g. cost of capital + opportunity cost)
Regards,
Jim
</t>
        </r>
      </text>
    </comment>
  </commentList>
</comments>
</file>

<file path=xl/comments10.xml><?xml version="1.0" encoding="utf-8"?>
<comments xmlns="http://schemas.openxmlformats.org/spreadsheetml/2006/main">
  <authors>
    <author>rmckenna</author>
  </authors>
  <commentList>
    <comment ref="BM3" authorId="0">
      <text>
        <r>
          <rPr>
            <b/>
            <sz val="8"/>
            <color indexed="81"/>
            <rFont val="Tahoma"/>
            <family val="2"/>
          </rPr>
          <t>rmckenna:</t>
        </r>
        <r>
          <rPr>
            <sz val="8"/>
            <color indexed="81"/>
            <rFont val="Tahoma"/>
            <family val="2"/>
          </rPr>
          <t xml:space="preserve">
Reduction is based on Purchased electricity remaining after portfolio actions are added in.</t>
        </r>
      </text>
    </comment>
  </commentList>
</comments>
</file>

<file path=xl/comments11.xml><?xml version="1.0" encoding="utf-8"?>
<comments xmlns="http://schemas.openxmlformats.org/spreadsheetml/2006/main">
  <authors>
    <author>Rob McKenna</author>
  </authors>
  <commentList>
    <comment ref="F48" authorId="0">
      <text>
        <r>
          <rPr>
            <b/>
            <sz val="9"/>
            <color indexed="81"/>
            <rFont val="Tahoma"/>
            <family val="2"/>
          </rPr>
          <t>Rob McKenna:</t>
        </r>
        <r>
          <rPr>
            <sz val="9"/>
            <color indexed="81"/>
            <rFont val="Tahoma"/>
            <family val="2"/>
          </rPr>
          <t xml:space="preserve">
Date is a placeholder and just needs to be pre-1980 for this analysis</t>
        </r>
      </text>
    </comment>
    <comment ref="G48" authorId="0">
      <text>
        <r>
          <rPr>
            <b/>
            <sz val="9"/>
            <color indexed="81"/>
            <rFont val="Tahoma"/>
            <family val="2"/>
          </rPr>
          <t>Rob McKenna:</t>
        </r>
        <r>
          <rPr>
            <sz val="9"/>
            <color indexed="81"/>
            <rFont val="Tahoma"/>
            <family val="2"/>
          </rPr>
          <t xml:space="preserve">
Date is a placeholder and just needs to be pre-1980 for this analysis</t>
        </r>
      </text>
    </comment>
    <comment ref="F49" authorId="0">
      <text>
        <r>
          <rPr>
            <b/>
            <sz val="9"/>
            <color indexed="81"/>
            <rFont val="Tahoma"/>
            <family val="2"/>
          </rPr>
          <t>Rob McKenna:</t>
        </r>
        <r>
          <rPr>
            <sz val="9"/>
            <color indexed="81"/>
            <rFont val="Tahoma"/>
            <family val="2"/>
          </rPr>
          <t xml:space="preserve">
Date is a placeholder and just needs to be pre-1980 for this analysis</t>
        </r>
      </text>
    </comment>
    <comment ref="G49" authorId="0">
      <text>
        <r>
          <rPr>
            <b/>
            <sz val="9"/>
            <color indexed="81"/>
            <rFont val="Tahoma"/>
            <family val="2"/>
          </rPr>
          <t>Rob McKenna:</t>
        </r>
        <r>
          <rPr>
            <sz val="9"/>
            <color indexed="81"/>
            <rFont val="Tahoma"/>
            <family val="2"/>
          </rPr>
          <t xml:space="preserve">
Date is a placeholder and just needs to be pre-1980 for this analysis</t>
        </r>
      </text>
    </comment>
    <comment ref="F50" authorId="0">
      <text>
        <r>
          <rPr>
            <b/>
            <sz val="9"/>
            <color indexed="81"/>
            <rFont val="Tahoma"/>
            <family val="2"/>
          </rPr>
          <t>Rob McKenna:</t>
        </r>
        <r>
          <rPr>
            <sz val="9"/>
            <color indexed="81"/>
            <rFont val="Tahoma"/>
            <family val="2"/>
          </rPr>
          <t xml:space="preserve">
Date is a placeholder and just needs to be pre-1980 for this analysis</t>
        </r>
      </text>
    </comment>
    <comment ref="G50" authorId="0">
      <text>
        <r>
          <rPr>
            <b/>
            <sz val="9"/>
            <color indexed="81"/>
            <rFont val="Tahoma"/>
            <family val="2"/>
          </rPr>
          <t>Rob McKenna:</t>
        </r>
        <r>
          <rPr>
            <sz val="9"/>
            <color indexed="81"/>
            <rFont val="Tahoma"/>
            <family val="2"/>
          </rPr>
          <t xml:space="preserve">
Date is a placeholder and just needs to be pre-1980 for this analysis</t>
        </r>
      </text>
    </comment>
    <comment ref="I63" authorId="0">
      <text>
        <r>
          <rPr>
            <b/>
            <sz val="9"/>
            <color indexed="81"/>
            <rFont val="Tahoma"/>
            <family val="2"/>
          </rPr>
          <t>Bridget Flowers:</t>
        </r>
        <r>
          <rPr>
            <sz val="9"/>
            <color indexed="81"/>
            <rFont val="Tahoma"/>
            <family val="2"/>
          </rPr>
          <t xml:space="preserve">
Sold floors 1 &amp; 2 in 2004</t>
        </r>
      </text>
    </comment>
  </commentList>
</comments>
</file>

<file path=xl/comments2.xml><?xml version="1.0" encoding="utf-8"?>
<comments xmlns="http://schemas.openxmlformats.org/spreadsheetml/2006/main">
  <authors>
    <author>jfarr</author>
  </authors>
  <commentList>
    <comment ref="C10" authorId="0">
      <text>
        <r>
          <rPr>
            <b/>
            <sz val="10"/>
            <color indexed="81"/>
            <rFont val="Tahoma"/>
            <family val="2"/>
          </rPr>
          <t>Source: CA-CP</t>
        </r>
      </text>
    </comment>
    <comment ref="C11" authorId="0">
      <text>
        <r>
          <rPr>
            <b/>
            <sz val="10"/>
            <color indexed="81"/>
            <rFont val="Tahoma"/>
            <family val="2"/>
          </rPr>
          <t>Source: CA-CP</t>
        </r>
      </text>
    </comment>
  </commentList>
</comments>
</file>

<file path=xl/comments3.xml><?xml version="1.0" encoding="utf-8"?>
<comments xmlns="http://schemas.openxmlformats.org/spreadsheetml/2006/main">
  <authors>
    <author>jfarr</author>
  </authors>
  <commentList>
    <comment ref="C10" authorId="0">
      <text>
        <r>
          <rPr>
            <b/>
            <sz val="10"/>
            <color indexed="81"/>
            <rFont val="Tahoma"/>
            <family val="2"/>
          </rPr>
          <t>Source: CA-CP</t>
        </r>
      </text>
    </comment>
    <comment ref="C11" authorId="0">
      <text>
        <r>
          <rPr>
            <b/>
            <sz val="10"/>
            <color indexed="81"/>
            <rFont val="Tahoma"/>
            <family val="2"/>
          </rPr>
          <t>Source: CA-CP</t>
        </r>
      </text>
    </comment>
  </commentList>
</comments>
</file>

<file path=xl/comments4.xml><?xml version="1.0" encoding="utf-8"?>
<comments xmlns="http://schemas.openxmlformats.org/spreadsheetml/2006/main">
  <authors>
    <author>jfarr</author>
    <author>NTravis</author>
  </authors>
  <commentList>
    <comment ref="O2" authorId="0">
      <text>
        <r>
          <rPr>
            <sz val="10"/>
            <color indexed="81"/>
            <rFont val="Tahoma"/>
            <family val="2"/>
          </rPr>
          <t xml:space="preserve">Delivered price for biomass in any year is calculated as:
                (A / B / C x (1+D)^N)*1000000 + E x F x G
Where:
A = 2010$/short ton of raw biomass = $30, multiple sources (Drew Lewis, Ohio State (John Carter range was $25-$35), Dennis Hazel (NC State 2006 presentation $25-28 with a developed market).  Also value used at UNC in 2009$.  Don’t adjust to get to 2010$.
B = pound per short ton = 2000
C = Btu per pound = 4,950 Btu/lb for NCSU (9,000 Btu/bone dry lb * 55%, assuming 45% moisture ( John Carter)
D = Real annual inflation rate = 1.55% (equal to the real inflation rate for the mid-trend NG forecast at OSU)
E = the percentage of the carbon cost for coal that is ascribed to biomass as a premium = 25% (used at OSU, note increased from 50% to 65% over time at UNC)
F = mtCO2e per MMBtu of coal = .0931 (or whatever published factor you are using, be consistent)
G = Cost of carbon in the relevant fiscal year expressed as 2010$ per metric ton emission allowance from our carbon allowance price forecast
N = the number of years since the first year of the forecast
</t>
        </r>
      </text>
    </comment>
    <comment ref="P2" authorId="0">
      <text>
        <r>
          <rPr>
            <sz val="10"/>
            <color indexed="81"/>
            <rFont val="Tahoma"/>
            <family val="2"/>
          </rPr>
          <t xml:space="preserve">Delivered price for biomass in any year is calculated as:
                (A / B / C x (1+D)^N)*1000000 + E x F x G
Where:
A = 2010$/short ton of raw biomass = $30, multiple sources (Drew Lewis, Ohio State (John Carter range was $25-$35), Dennis Hazel (NC State 2006 presentation $25-28 with a developed market).  Also value used at UNC in 2009$.  Don’t adjust to get to 2010$.
B = pound per short ton = 2000
C = Btu per pound = 4,950 Btu/lb for NCSU (9,000 Btu/bone dry lb * 55%, assuming 45% moisture ( John Carter)
D = Real annual inflation rate = 1.55% (equal to the real inflation rate for the mid-trend NG forecast at OSU)
E = the percentage of the carbon cost for coal that is ascribed to biomass as a premium = 25% (used at OSU, note increased from 50% to 65% over time at UNC)
F = mtCO2e per MMBtu of coal = .0931 (or whatever published factor you are using, be consistent)
G = Cost of carbon in the relevant fiscal year expressed as 2010$ per metric ton emission allowance from our carbon allowance price forecast
N = the number of years since the first year of the forecast
</t>
        </r>
      </text>
    </comment>
    <comment ref="D5" authorId="1">
      <text>
        <r>
          <rPr>
            <b/>
            <sz val="8"/>
            <color indexed="81"/>
            <rFont val="Tahoma"/>
            <family val="2"/>
          </rPr>
          <t>NTravis:</t>
        </r>
        <r>
          <rPr>
            <sz val="8"/>
            <color indexed="81"/>
            <rFont val="Tahoma"/>
            <family val="2"/>
          </rPr>
          <t xml:space="preserve">
EPA is source for conversion factor</t>
        </r>
      </text>
    </comment>
    <comment ref="E5" authorId="1">
      <text>
        <r>
          <rPr>
            <b/>
            <sz val="8"/>
            <color indexed="81"/>
            <rFont val="Tahoma"/>
            <family val="2"/>
          </rPr>
          <t>NTravis:</t>
        </r>
        <r>
          <rPr>
            <sz val="8"/>
            <color indexed="81"/>
            <rFont val="Tahoma"/>
            <family val="2"/>
          </rPr>
          <t xml:space="preserve">
Based on actual national averages for 2010 and forecast for 2011, EIA as of 6/17/2010.  Escalation after 2011 at 1.55% per year consistent with NG forecast.</t>
        </r>
      </text>
    </comment>
    <comment ref="G5" authorId="1">
      <text>
        <r>
          <rPr>
            <b/>
            <sz val="8"/>
            <color indexed="81"/>
            <rFont val="Tahoma"/>
            <family val="2"/>
          </rPr>
          <t>NTravis:</t>
        </r>
        <r>
          <rPr>
            <sz val="8"/>
            <color indexed="81"/>
            <rFont val="Tahoma"/>
            <family val="2"/>
          </rPr>
          <t xml:space="preserve">
EPA is source for conversion factor
</t>
        </r>
      </text>
    </comment>
    <comment ref="H5" authorId="1">
      <text>
        <r>
          <rPr>
            <b/>
            <sz val="8"/>
            <color indexed="81"/>
            <rFont val="Tahoma"/>
            <family val="2"/>
          </rPr>
          <t>NTravis:</t>
        </r>
        <r>
          <rPr>
            <sz val="8"/>
            <color indexed="81"/>
            <rFont val="Tahoma"/>
            <family val="2"/>
          </rPr>
          <t xml:space="preserve">
Based on actual 2010 national averages and projected for 2011.  Source EIA.  Differential to gasoline helpd constant at $.20 per gallon.</t>
        </r>
      </text>
    </comment>
  </commentList>
</comments>
</file>

<file path=xl/comments5.xml><?xml version="1.0" encoding="utf-8"?>
<comments xmlns="http://schemas.openxmlformats.org/spreadsheetml/2006/main">
  <authors>
    <author>rmckenna</author>
  </authors>
  <commentList>
    <comment ref="H2" authorId="0">
      <text>
        <r>
          <rPr>
            <b/>
            <sz val="8"/>
            <color indexed="81"/>
            <rFont val="Tahoma"/>
            <family val="2"/>
          </rPr>
          <t>rmckenna:</t>
        </r>
        <r>
          <rPr>
            <sz val="8"/>
            <color indexed="81"/>
            <rFont val="Tahoma"/>
            <family val="2"/>
          </rPr>
          <t xml:space="preserve">
This includes:
Scope 1 - Stationary, Mobile, Refrigerants and Chemicals
Scope 2 - Purchased Electricity, Purchased Steam and Purchased Chilled Water
Scope 3 - Directly Financed Air Travel and Purchased Electricity T&amp;D Losses</t>
        </r>
      </text>
    </comment>
  </commentList>
</comments>
</file>

<file path=xl/comments6.xml><?xml version="1.0" encoding="utf-8"?>
<comments xmlns="http://schemas.openxmlformats.org/spreadsheetml/2006/main">
  <authors>
    <author>jfarr</author>
    <author>Rob McKenna</author>
    <author>rmckenna</author>
  </authors>
  <commentList>
    <comment ref="BB17" authorId="0">
      <text>
        <r>
          <rPr>
            <b/>
            <sz val="10"/>
            <color indexed="81"/>
            <rFont val="Tahoma"/>
            <family val="2"/>
          </rPr>
          <t>reflects Margaret's revised forecast ( see campus area tab for assumptions)</t>
        </r>
      </text>
    </comment>
    <comment ref="AU49" authorId="1">
      <text>
        <r>
          <rPr>
            <b/>
            <sz val="9"/>
            <color indexed="81"/>
            <rFont val="Tahoma"/>
            <family val="2"/>
          </rPr>
          <t>Rob McKenna:</t>
        </r>
        <r>
          <rPr>
            <sz val="9"/>
            <color indexed="81"/>
            <rFont val="Tahoma"/>
            <family val="2"/>
          </rPr>
          <t xml:space="preserve">
Hold constant per Steve Campbell</t>
        </r>
      </text>
    </comment>
    <comment ref="AU62" authorId="2">
      <text>
        <r>
          <rPr>
            <b/>
            <sz val="8"/>
            <color indexed="81"/>
            <rFont val="Tahoma"/>
            <family val="2"/>
          </rPr>
          <t>rmckenna:</t>
        </r>
        <r>
          <rPr>
            <sz val="8"/>
            <color indexed="81"/>
            <rFont val="Tahoma"/>
            <family val="2"/>
          </rPr>
          <t xml:space="preserve">
75th percentile for Total Maintenance Cost per (see Mike Walters for reference)…p. 27</t>
        </r>
      </text>
    </comment>
  </commentList>
</comments>
</file>

<file path=xl/comments7.xml><?xml version="1.0" encoding="utf-8"?>
<comments xmlns="http://schemas.openxmlformats.org/spreadsheetml/2006/main">
  <authors>
    <author>Rob McKenna</author>
  </authors>
  <commentList>
    <comment ref="AU21" authorId="0">
      <text>
        <r>
          <rPr>
            <b/>
            <sz val="9"/>
            <color indexed="81"/>
            <rFont val="Tahoma"/>
            <family val="2"/>
          </rPr>
          <t>Rob McKenna:</t>
        </r>
        <r>
          <rPr>
            <sz val="9"/>
            <color indexed="81"/>
            <rFont val="Tahoma"/>
            <family val="2"/>
          </rPr>
          <t xml:space="preserve">
Per Appendix A November 2009 Chilled Water Loop Study by Starr &amp; Sons.</t>
        </r>
      </text>
    </comment>
    <comment ref="AU23" authorId="0">
      <text>
        <r>
          <rPr>
            <b/>
            <sz val="9"/>
            <color indexed="81"/>
            <rFont val="Tahoma"/>
            <family val="2"/>
          </rPr>
          <t>Rob McKenna:</t>
        </r>
        <r>
          <rPr>
            <sz val="9"/>
            <color indexed="81"/>
            <rFont val="Tahoma"/>
            <family val="2"/>
          </rPr>
          <t xml:space="preserve">
Per page 3 November 2009 Chilled Water Loop Study by Starr &amp; Sons.</t>
        </r>
      </text>
    </comment>
    <comment ref="AW44" authorId="0">
      <text>
        <r>
          <rPr>
            <b/>
            <sz val="9"/>
            <color indexed="81"/>
            <rFont val="Tahoma"/>
            <family val="2"/>
          </rPr>
          <t>Rob McKenna:</t>
        </r>
        <r>
          <rPr>
            <sz val="9"/>
            <color indexed="81"/>
            <rFont val="Tahoma"/>
            <family val="2"/>
          </rPr>
          <t xml:space="preserve">
Per Gene Matthes, CWRU is responsible for the indoor work and a commensurate portion of the fees and soft costs by phase as outlined in the November 2009 Chilled Water Loop Study by Starr &amp; Sons.</t>
        </r>
      </text>
    </comment>
    <comment ref="AW53" authorId="0">
      <text>
        <r>
          <rPr>
            <b/>
            <sz val="9"/>
            <color indexed="81"/>
            <rFont val="Tahoma"/>
            <family val="2"/>
          </rPr>
          <t>Rob McKenna:</t>
        </r>
        <r>
          <rPr>
            <sz val="9"/>
            <color indexed="81"/>
            <rFont val="Tahoma"/>
            <family val="2"/>
          </rPr>
          <t xml:space="preserve">
Source: Discussion with Mike Heise.</t>
        </r>
      </text>
    </comment>
    <comment ref="AW54" authorId="0">
      <text>
        <r>
          <rPr>
            <b/>
            <sz val="9"/>
            <color indexed="81"/>
            <rFont val="Tahoma"/>
            <family val="2"/>
          </rPr>
          <t>Rob McKenna:</t>
        </r>
        <r>
          <rPr>
            <sz val="9"/>
            <color indexed="81"/>
            <rFont val="Tahoma"/>
            <family val="2"/>
          </rPr>
          <t xml:space="preserve">
Source: Discussion with Mike Heise.</t>
        </r>
      </text>
    </comment>
  </commentList>
</comments>
</file>

<file path=xl/comments8.xml><?xml version="1.0" encoding="utf-8"?>
<comments xmlns="http://schemas.openxmlformats.org/spreadsheetml/2006/main">
  <authors>
    <author>Nick Travis</author>
    <author>Rob McKenna</author>
    <author>NTravis</author>
  </authors>
  <commentList>
    <comment ref="BZ30" authorId="0">
      <text>
        <r>
          <rPr>
            <b/>
            <sz val="9"/>
            <color indexed="81"/>
            <rFont val="Tahoma"/>
            <family val="2"/>
          </rPr>
          <t>Nick Travis:</t>
        </r>
        <r>
          <rPr>
            <sz val="9"/>
            <color indexed="81"/>
            <rFont val="Tahoma"/>
            <family val="2"/>
          </rPr>
          <t xml:space="preserve">
Based on Net Steam Enthalpy</t>
        </r>
      </text>
    </comment>
    <comment ref="BA31" authorId="1">
      <text>
        <r>
          <rPr>
            <b/>
            <sz val="9"/>
            <color indexed="81"/>
            <rFont val="Tahoma"/>
            <family val="2"/>
          </rPr>
          <t>Rob McKenna:</t>
        </r>
        <r>
          <rPr>
            <sz val="9"/>
            <color indexed="81"/>
            <rFont val="Tahoma"/>
            <family val="2"/>
          </rPr>
          <t xml:space="preserve">
Estimated Capital cost for the CHP is $90MM per discussion with Mike Heise.  This assumes that CWRU is responsible for 42% of the cost…in line with the load they impose on MCCo.</t>
        </r>
      </text>
    </comment>
    <comment ref="BJ38" authorId="0">
      <text>
        <r>
          <rPr>
            <b/>
            <sz val="9"/>
            <color indexed="81"/>
            <rFont val="Tahoma"/>
            <family val="2"/>
          </rPr>
          <t>Nick Travis:</t>
        </r>
        <r>
          <rPr>
            <sz val="9"/>
            <color indexed="81"/>
            <rFont val="Tahoma"/>
            <family val="2"/>
          </rPr>
          <t xml:space="preserve">
Based on hourly load profile data at OSU</t>
        </r>
      </text>
    </comment>
    <comment ref="BJ39" authorId="0">
      <text>
        <r>
          <rPr>
            <b/>
            <sz val="9"/>
            <color indexed="81"/>
            <rFont val="Tahoma"/>
            <family val="2"/>
          </rPr>
          <t>Nick Travis:</t>
        </r>
        <r>
          <rPr>
            <sz val="9"/>
            <color indexed="81"/>
            <rFont val="Tahoma"/>
            <family val="2"/>
          </rPr>
          <t xml:space="preserve">
Actual CWR data</t>
        </r>
      </text>
    </comment>
    <comment ref="BJ41" authorId="0">
      <text>
        <r>
          <rPr>
            <b/>
            <sz val="9"/>
            <color indexed="81"/>
            <rFont val="Tahoma"/>
            <family val="2"/>
          </rPr>
          <t>Nick Travis:</t>
        </r>
        <r>
          <rPr>
            <sz val="9"/>
            <color indexed="81"/>
            <rFont val="Tahoma"/>
            <family val="2"/>
          </rPr>
          <t xml:space="preserve">
Actual CWR data</t>
        </r>
      </text>
    </comment>
    <comment ref="BJ42" authorId="0">
      <text>
        <r>
          <rPr>
            <b/>
            <sz val="9"/>
            <color indexed="81"/>
            <rFont val="Tahoma"/>
            <family val="2"/>
          </rPr>
          <t>Nick Travis:</t>
        </r>
        <r>
          <rPr>
            <sz val="9"/>
            <color indexed="81"/>
            <rFont val="Tahoma"/>
            <family val="2"/>
          </rPr>
          <t xml:space="preserve">
Actuak CWR data</t>
        </r>
      </text>
    </comment>
    <comment ref="BJ59" authorId="2">
      <text>
        <r>
          <rPr>
            <b/>
            <sz val="8"/>
            <color indexed="81"/>
            <rFont val="Tahoma"/>
            <family val="2"/>
          </rPr>
          <t>NTravis:</t>
        </r>
        <r>
          <rPr>
            <sz val="8"/>
            <color indexed="81"/>
            <rFont val="Tahoma"/>
            <family val="2"/>
          </rPr>
          <t xml:space="preserve">
Rounded based on average 2007, 2008 value from AEI "2009_11_16 CT Analysis"</t>
        </r>
      </text>
    </comment>
    <comment ref="BP59" authorId="2">
      <text>
        <r>
          <rPr>
            <b/>
            <sz val="8"/>
            <color indexed="81"/>
            <rFont val="Tahoma"/>
            <family val="2"/>
          </rPr>
          <t>NTravis:</t>
        </r>
        <r>
          <rPr>
            <sz val="8"/>
            <color indexed="81"/>
            <rFont val="Tahoma"/>
            <family val="2"/>
          </rPr>
          <t xml:space="preserve">
Rounded based on average 2007, 2008 value from "2009_11_16 CT Analysis"</t>
        </r>
      </text>
    </comment>
    <comment ref="BL65" authorId="2">
      <text>
        <r>
          <rPr>
            <b/>
            <sz val="8"/>
            <color indexed="81"/>
            <rFont val="Tahoma"/>
            <family val="2"/>
          </rPr>
          <t xml:space="preserve">NTravis:
George Howe indicated this is a reasonable value within the rage of 80-85%).  </t>
        </r>
      </text>
    </comment>
    <comment ref="BJ123" authorId="1">
      <text>
        <r>
          <rPr>
            <b/>
            <sz val="9"/>
            <color indexed="81"/>
            <rFont val="Tahoma"/>
            <family val="2"/>
          </rPr>
          <t>Rob McKenna:</t>
        </r>
        <r>
          <rPr>
            <sz val="9"/>
            <color indexed="81"/>
            <rFont val="Tahoma"/>
            <family val="2"/>
          </rPr>
          <t xml:space="preserve">
From discussion with Mike Heise</t>
        </r>
      </text>
    </comment>
  </commentList>
</comments>
</file>

<file path=xl/comments9.xml><?xml version="1.0" encoding="utf-8"?>
<comments xmlns="http://schemas.openxmlformats.org/spreadsheetml/2006/main">
  <authors>
    <author xml:space="preserve"> JLB</author>
  </authors>
  <commentList>
    <comment ref="BD18" authorId="0">
      <text>
        <r>
          <rPr>
            <b/>
            <sz val="8"/>
            <color indexed="81"/>
            <rFont val="Tahoma"/>
            <family val="2"/>
          </rPr>
          <t xml:space="preserve"> JLB:</t>
        </r>
        <r>
          <rPr>
            <sz val="8"/>
            <color indexed="81"/>
            <rFont val="Tahoma"/>
            <family val="2"/>
          </rPr>
          <t xml:space="preserve">
275 square meters approximately
</t>
        </r>
      </text>
    </comment>
    <comment ref="BD19" authorId="0">
      <text>
        <r>
          <rPr>
            <b/>
            <sz val="8"/>
            <color indexed="81"/>
            <rFont val="Tahoma"/>
            <family val="2"/>
          </rPr>
          <t xml:space="preserve"> JLB:</t>
        </r>
        <r>
          <rPr>
            <sz val="8"/>
            <color indexed="81"/>
            <rFont val="Tahoma"/>
            <family val="2"/>
          </rPr>
          <t xml:space="preserve">
2500 square meters
</t>
        </r>
      </text>
    </comment>
  </commentList>
</comments>
</file>

<file path=xl/connections.xml><?xml version="1.0" encoding="utf-8"?>
<connections xmlns="http://schemas.openxmlformats.org/spreadsheetml/2006/main">
  <connection id="1" name="sps_building_tab1" type="6" refreshedVersion="3" background="1" saveData="1">
    <textPr codePage="437" sourceFile="C:\Documents and Settings\brf2\Desktop\Space Downloads\sps_building_tab.csv" comma="1">
      <textFields count="10">
        <textField type="text"/>
        <textField/>
        <textField/>
        <textField/>
        <textField/>
        <textField/>
        <textField/>
        <textField/>
        <textField/>
        <textField/>
      </textFields>
    </textPr>
  </connection>
</connections>
</file>

<file path=xl/sharedStrings.xml><?xml version="1.0" encoding="utf-8"?>
<sst xmlns="http://schemas.openxmlformats.org/spreadsheetml/2006/main" count="8350" uniqueCount="3000">
  <si>
    <t>#</t>
  </si>
  <si>
    <t>Total Enrollment</t>
  </si>
  <si>
    <t>Total Campus Population</t>
  </si>
  <si>
    <t>FYE</t>
  </si>
  <si>
    <t>Students</t>
  </si>
  <si>
    <t>Total Faculty /Staff</t>
  </si>
  <si>
    <t>Campus Population</t>
  </si>
  <si>
    <t>Total</t>
  </si>
  <si>
    <t>Electric</t>
  </si>
  <si>
    <t>Steam</t>
  </si>
  <si>
    <t>Chilled Water</t>
  </si>
  <si>
    <t>Gross Square Feet</t>
  </si>
  <si>
    <t>Rank</t>
  </si>
  <si>
    <t>Space types for utilities</t>
  </si>
  <si>
    <t>Commercial (Student centers, dining halls) (400, gym, others not included in space analysis)</t>
  </si>
  <si>
    <t>Office/Classroom (Residential) (110, 300)</t>
  </si>
  <si>
    <t>Light Research (210, 220)</t>
  </si>
  <si>
    <t>Heavy Research (250/255)</t>
  </si>
  <si>
    <t>Net GSF Additions by 2050 (To be based on enrollment cap)</t>
  </si>
  <si>
    <t>Inputs for Demand Forecast</t>
  </si>
  <si>
    <t>Total:</t>
  </si>
  <si>
    <t>Total Main Campus</t>
  </si>
  <si>
    <t>Notes:</t>
  </si>
  <si>
    <t>Steam (pph/GSF)</t>
  </si>
  <si>
    <t>Chilled Water (GSF/ton)</t>
  </si>
  <si>
    <t>GSF</t>
  </si>
  <si>
    <t>Other</t>
  </si>
  <si>
    <t>Students per Faculty/ Staff</t>
  </si>
  <si>
    <t>Sub-Total</t>
  </si>
  <si>
    <t>Forecasted Annual Load Factors (KBTU/GSF)</t>
  </si>
  <si>
    <t>Electric (W/GSF)</t>
  </si>
  <si>
    <t>Forecasted Peak Diversified Load Factors</t>
  </si>
  <si>
    <t>CO2</t>
  </si>
  <si>
    <t>CH4</t>
  </si>
  <si>
    <t>N2O</t>
  </si>
  <si>
    <t>CO2e</t>
  </si>
  <si>
    <t>NATURAL GAS</t>
  </si>
  <si>
    <t>TOTAL</t>
  </si>
  <si>
    <t>SOURCE</t>
  </si>
  <si>
    <t xml:space="preserve"> </t>
  </si>
  <si>
    <t>FUEL OIL</t>
  </si>
  <si>
    <t>VEHICLE (GAS)</t>
  </si>
  <si>
    <t>AIR TRAVEL</t>
  </si>
  <si>
    <t>SOLID WASTE</t>
  </si>
  <si>
    <t>WASTEWATER</t>
  </si>
  <si>
    <t>PAPER PURCHASING</t>
  </si>
  <si>
    <t>SCOPE 1</t>
  </si>
  <si>
    <t>SCOPE 2</t>
  </si>
  <si>
    <t>SCOPE 3</t>
  </si>
  <si>
    <t>OFFSETS</t>
  </si>
  <si>
    <t>SCOPE</t>
  </si>
  <si>
    <t>VEHICLE (BIODIESEL)</t>
  </si>
  <si>
    <t>EMISSIONS (MTeCO2)</t>
  </si>
  <si>
    <t>EMISSIONS (%)</t>
  </si>
  <si>
    <t>Forecast Drivers</t>
  </si>
  <si>
    <t>Building Area (GSF), Energy Use Intensity</t>
  </si>
  <si>
    <t>Follow up</t>
  </si>
  <si>
    <t>Building Area (GSF)</t>
  </si>
  <si>
    <t>NG Consumption</t>
  </si>
  <si>
    <t>Electricity Consumption</t>
  </si>
  <si>
    <t>MWh</t>
  </si>
  <si>
    <t>NG EUI</t>
  </si>
  <si>
    <t>KBTU/GSF</t>
  </si>
  <si>
    <t>MMBTU</t>
  </si>
  <si>
    <t>Electric EUI</t>
  </si>
  <si>
    <t>Total Primary Energy</t>
  </si>
  <si>
    <t>Total EUI</t>
  </si>
  <si>
    <t>Factors Used in Model:</t>
  </si>
  <si>
    <t>GHG Emission Factors</t>
  </si>
  <si>
    <t xml:space="preserve">CO2 </t>
  </si>
  <si>
    <t>HFC,CFC,HCFC</t>
  </si>
  <si>
    <t>SF6</t>
  </si>
  <si>
    <t>PFC</t>
  </si>
  <si>
    <t>kg / lb</t>
  </si>
  <si>
    <t>(MTCDE/MMBtu)</t>
  </si>
  <si>
    <t>MTCO2e/MMBtu</t>
  </si>
  <si>
    <t>metric ton / kg</t>
  </si>
  <si>
    <t>Coal</t>
  </si>
  <si>
    <t>million metric tons / metric ton</t>
  </si>
  <si>
    <t>Diesel Oil #2</t>
  </si>
  <si>
    <t>lb / short ton</t>
  </si>
  <si>
    <t>Diesel - Fleet</t>
  </si>
  <si>
    <t>metric ton / short ton</t>
  </si>
  <si>
    <t>Gasoline - Fleet</t>
  </si>
  <si>
    <t>m3 / ft3</t>
  </si>
  <si>
    <t>Natural Gas</t>
  </si>
  <si>
    <t>liters / gallon</t>
  </si>
  <si>
    <t>Propane</t>
  </si>
  <si>
    <t>m3 / barrel</t>
  </si>
  <si>
    <t>Residual Oil #6</t>
  </si>
  <si>
    <t xml:space="preserve">Purchased Electricity  </t>
  </si>
  <si>
    <t>Global Warming Potential</t>
  </si>
  <si>
    <t>kg/Metric Ton</t>
  </si>
  <si>
    <t>g/Metric Ton</t>
  </si>
  <si>
    <t>kWh/MWh</t>
  </si>
  <si>
    <t>Btu/MMBtu</t>
  </si>
  <si>
    <t>lbs/short Ton</t>
  </si>
  <si>
    <t>lbs/Metric Ton</t>
  </si>
  <si>
    <t>Therms/MMBtu</t>
  </si>
  <si>
    <t>Btu/lb</t>
  </si>
  <si>
    <t>CF/KCF</t>
  </si>
  <si>
    <t>Btu/Gallon of Gasoline (Source:EIA)</t>
  </si>
  <si>
    <t>Btu Conversion Factors</t>
  </si>
  <si>
    <t>Electricity</t>
  </si>
  <si>
    <t>Btu/kWh</t>
  </si>
  <si>
    <t>Btu/ton hr</t>
  </si>
  <si>
    <t>Growth Factors:</t>
  </si>
  <si>
    <t>Inflation</t>
  </si>
  <si>
    <t>Escalation, capital costs</t>
  </si>
  <si>
    <t>Loss Factors:</t>
  </si>
  <si>
    <t>CW</t>
  </si>
  <si>
    <t>Other Factors:</t>
  </si>
  <si>
    <t>T</t>
  </si>
  <si>
    <t>N</t>
  </si>
  <si>
    <t>Total Campus Energy Consumption</t>
  </si>
  <si>
    <t>Total Campus EUI</t>
  </si>
  <si>
    <r>
      <t>GSF per Student</t>
    </r>
    <r>
      <rPr>
        <sz val="11"/>
        <rFont val="Calibri"/>
        <family val="2"/>
        <scheme val="minor"/>
      </rPr>
      <t xml:space="preserve"> (Right Axis)</t>
    </r>
    <r>
      <rPr>
        <sz val="11"/>
        <color theme="0"/>
        <rFont val="Calibri"/>
        <family val="2"/>
        <scheme val="minor"/>
      </rPr>
      <t xml:space="preserve">
</t>
    </r>
  </si>
  <si>
    <t>Total Campus NG Consumption</t>
  </si>
  <si>
    <t>Total Campus Electricity Consumption</t>
  </si>
  <si>
    <t>Total Campus EUI (Right Axis)</t>
  </si>
  <si>
    <t>This outline describes the layout of this model and provides links to the components of the analysis.</t>
  </si>
  <si>
    <t>This "HOME" icon is located at the top left corner of every sheet.  Click on this icon to return to this page.</t>
  </si>
  <si>
    <t>Sheet</t>
  </si>
  <si>
    <t>Description</t>
  </si>
  <si>
    <t>Base Case/Business-as-Usual Components</t>
  </si>
  <si>
    <t>Population Forecast</t>
  </si>
  <si>
    <t>Campus Area (GSF) Forecast</t>
  </si>
  <si>
    <t>This describes the forecasted campus building area through 2050</t>
  </si>
  <si>
    <t>Commodity Price Assumptions</t>
  </si>
  <si>
    <t>This sheet illustrates the commodity prices used in the calculation of the primary energy expenses.</t>
  </si>
  <si>
    <t>Emission factors used to calculate the GHG emissions.</t>
  </si>
  <si>
    <t>GHG Regulatory Financial Exposure</t>
  </si>
  <si>
    <t>Valuation of GHG Mitigation Actions</t>
  </si>
  <si>
    <t>Action Valuation Summary Sheet</t>
  </si>
  <si>
    <t>This sheet provides a summary overview of the valuation metrics for all the actions considered for inclusion in the CAP with a link to a detailed valuation of each action considered.  The individual valuation sheets describe the assumptions for each action.</t>
  </si>
  <si>
    <t>Abatement Curve</t>
  </si>
  <si>
    <t>This sheet shows the abatement curve that illustrates the value and potential impact of each alternative relative to the other alternatives.</t>
  </si>
  <si>
    <t>Portfolio Development</t>
  </si>
  <si>
    <t>Miscellaneous</t>
  </si>
  <si>
    <t>Other Factors</t>
  </si>
  <si>
    <t>Describes other factors used in the calculations in the CAP model.</t>
  </si>
  <si>
    <t>For problems or questions contact Rob McKenna at rmckenna@energystrat.com or (801) 355-4365.</t>
  </si>
  <si>
    <t>Describes the forecasted primary energy consumption and primary energy use intensity.</t>
  </si>
  <si>
    <t>Describes the 2008 GHG inventory and describes the key drivers assumed for forecasting purposes</t>
  </si>
  <si>
    <t>Return to Primary Energy Overview</t>
  </si>
  <si>
    <t>Link to Primary Energy Detail</t>
  </si>
  <si>
    <t>Row</t>
  </si>
  <si>
    <t>TOTAL SCOPE 1</t>
  </si>
  <si>
    <t>TOTAL SCOPE 3</t>
  </si>
  <si>
    <t>Link to GHG Emissions Forecast</t>
  </si>
  <si>
    <t>TOTAL GHG EMISSIONS</t>
  </si>
  <si>
    <t>This sheet illustrates the potential direct and indirect exposure the University has to possible GHG regulation.</t>
  </si>
  <si>
    <t>Return to GHG Forecast Chart</t>
  </si>
  <si>
    <t>Link to GHG Forecast Detail</t>
  </si>
  <si>
    <t>Chart illustrating the forecasted business-as-usual GHG emissions.</t>
  </si>
  <si>
    <t>Moderate Climate Change Policy Scenario</t>
  </si>
  <si>
    <t>GHG Emission Allowance Prices</t>
  </si>
  <si>
    <t>Emissions (MTCO2e)</t>
  </si>
  <si>
    <t>Financial Exposure</t>
  </si>
  <si>
    <t>Copy Latest Values from GHG Price Deck here</t>
  </si>
  <si>
    <t xml:space="preserve">Mandated Cap </t>
  </si>
  <si>
    <t>Purchased Allowance Allocation</t>
  </si>
  <si>
    <t>Emissions Subject to Compliance Cost</t>
  </si>
  <si>
    <t>2008$ per MTCDE</t>
  </si>
  <si>
    <t>Total GHG Emissions</t>
  </si>
  <si>
    <t>Total GHG Emissions Potentially Subject to Compliance Costs</t>
  </si>
  <si>
    <t>GHG Emissions Subject to Compliance Cost</t>
  </si>
  <si>
    <t>Expected Value or Choose Scenario:</t>
  </si>
  <si>
    <t>Energy Strategies - Low Trend (P10)</t>
  </si>
  <si>
    <t>P30</t>
  </si>
  <si>
    <t>Energy Strategies - Mid Trend (unweighted or P50)</t>
  </si>
  <si>
    <t>P70</t>
  </si>
  <si>
    <t>Energy Strategies - High Trend (P90)</t>
  </si>
  <si>
    <t>Energy Strategies - Mid Trend (weighted or EV)</t>
  </si>
  <si>
    <t>Stringent Auction</t>
  </si>
  <si>
    <t>Moderate Auction</t>
  </si>
  <si>
    <t>Soft Auction</t>
  </si>
  <si>
    <t>Energy Strategies Stringent Case</t>
  </si>
  <si>
    <t>Energy Strategies Moderate Case</t>
  </si>
  <si>
    <t>Energy Strategies Weak Case</t>
  </si>
  <si>
    <t>Auction</t>
  </si>
  <si>
    <t>CAP</t>
  </si>
  <si>
    <t>Curent Version from Exhibits for Memo - r8a  - 12_16_08.xlsx, 2008$</t>
  </si>
  <si>
    <t>Select Legislative Scenario Here:</t>
  </si>
  <si>
    <t>Curent Version from Exhibits for Memo - r8a  - 12_16_08.xlsx, Sheet Exhibit 5</t>
  </si>
  <si>
    <t>Choices</t>
  </si>
  <si>
    <t>Percentages for Science line 1</t>
  </si>
  <si>
    <t>Weak</t>
  </si>
  <si>
    <t>Moderate</t>
  </si>
  <si>
    <t>Stringent</t>
  </si>
  <si>
    <t>Select Technology Case Here:</t>
  </si>
  <si>
    <t>Breakthrough Advances</t>
  </si>
  <si>
    <t>Moderate Advances</t>
  </si>
  <si>
    <t>Minimal Advances</t>
  </si>
  <si>
    <t>slope</t>
  </si>
  <si>
    <t>Technology/Legislative Combinations</t>
  </si>
  <si>
    <t>PriceChoice</t>
  </si>
  <si>
    <t>All Carbon</t>
  </si>
  <si>
    <t>Subject to Compliance Cost</t>
  </si>
  <si>
    <t>GHG Emissions Not Subject to Compliance Cost</t>
  </si>
  <si>
    <t>IPCC Climate Stabilization Scenario 1</t>
  </si>
  <si>
    <t>Legislative Scenario Cap for Economy-wide Emissions</t>
  </si>
  <si>
    <t>Low Trend (P10)</t>
  </si>
  <si>
    <t>Mid Trend (unweighted or P50)</t>
  </si>
  <si>
    <t>High Trend (P90)</t>
  </si>
  <si>
    <t>Mid Trend (weighted or EV)</t>
  </si>
  <si>
    <t>Expected Value</t>
  </si>
  <si>
    <t>Choose</t>
  </si>
  <si>
    <t>Sources of Compliance Costs</t>
  </si>
  <si>
    <t>Technology Scenario</t>
  </si>
  <si>
    <t>Legislative Scenario</t>
  </si>
  <si>
    <t>Current Selection:</t>
  </si>
  <si>
    <t>Use this interface to choose the possible future GHG policy and pricing scenario that will be used in the model.  In the grey box below select either Expected Value or "Choose".  If "Choose" is selected you will then choose a Legislative Scenario and a Technology Case to select the associated GHG price curve.</t>
  </si>
  <si>
    <t>Scope 1: Stationary Combustion</t>
  </si>
  <si>
    <t>Scope 1: Mobile Combustion</t>
  </si>
  <si>
    <t>Scope 3: Air Travel</t>
  </si>
  <si>
    <t>Primary Energy Inputs/Overview</t>
  </si>
  <si>
    <t>Return to Primary Energy Inputs/Overview</t>
  </si>
  <si>
    <t>GHG Emissions Forecast Chart</t>
  </si>
  <si>
    <t>MTCDE</t>
  </si>
  <si>
    <t>GHG EMISSIONS PER KGSF</t>
  </si>
  <si>
    <t>Return to Financial Exposure</t>
  </si>
  <si>
    <t>Action Hierarchy</t>
  </si>
  <si>
    <t>Organization chart to describes the alternatives that are considered.</t>
  </si>
  <si>
    <t>View GHG Pricing Scenarios</t>
  </si>
  <si>
    <t>Link to Financial Exposure</t>
  </si>
  <si>
    <t>Actionable Alternative:</t>
  </si>
  <si>
    <t>NPV through 2050</t>
  </si>
  <si>
    <t>Cumulative Carbon Abatement (2010 - 2050)</t>
  </si>
  <si>
    <t>Contribution toward Neutralilty in</t>
  </si>
  <si>
    <t>Year Implemented:</t>
  </si>
  <si>
    <t>Avoided Compliance Risk:</t>
  </si>
  <si>
    <t>Reference Case:</t>
  </si>
  <si>
    <t>BAU</t>
  </si>
  <si>
    <t>Incremental Fuel Savings (Cost):</t>
  </si>
  <si>
    <t>Average</t>
  </si>
  <si>
    <t>Return to Summary</t>
  </si>
  <si>
    <t>Avoided Capital Cost:</t>
  </si>
  <si>
    <t>New Capital Cost:</t>
  </si>
  <si>
    <t>Avoided Operating Costs:</t>
  </si>
  <si>
    <t>New Operating Costs:</t>
  </si>
  <si>
    <t>Incremental Cash Flow:</t>
  </si>
  <si>
    <t>DPI:</t>
  </si>
  <si>
    <t>IRR:</t>
  </si>
  <si>
    <t>Simple Payback:</t>
  </si>
  <si>
    <t>Total Incremental Savings (Cost) w/o Compliance Savings:</t>
  </si>
  <si>
    <t>Levelized Cost (Savings) per MTCDE Avoided:</t>
  </si>
  <si>
    <t>Levelized Avoided Compliance Cost per MTCDE Avoided:</t>
  </si>
  <si>
    <t>Incremental Utility Demand Savings</t>
  </si>
  <si>
    <t>Electricity Supply</t>
  </si>
  <si>
    <t>GHG and Compliance Risk Reductions</t>
  </si>
  <si>
    <t>Incremental Fuel Savings (Cost)</t>
  </si>
  <si>
    <t>Incremental Non-Fuel OPEX/Capital Savings (Cost)</t>
  </si>
  <si>
    <t>Reference Electric Load</t>
  </si>
  <si>
    <t>% Reduction from Reference</t>
  </si>
  <si>
    <t>Change in Electricity Demand</t>
  </si>
  <si>
    <t>Beginning Required P/E</t>
  </si>
  <si>
    <t>Displaced P/E</t>
  </si>
  <si>
    <t>New Electricity Source</t>
  </si>
  <si>
    <t>Ending Required P/E</t>
  </si>
  <si>
    <t>New Heat Source</t>
  </si>
  <si>
    <t>Scope 1</t>
  </si>
  <si>
    <t>Scope 2</t>
  </si>
  <si>
    <t>Scope 3 (Commuting)</t>
  </si>
  <si>
    <t>Scope 3 (Air Travel, other)</t>
  </si>
  <si>
    <t>Avoided Compliance Risk</t>
  </si>
  <si>
    <t>Electricity Savings</t>
  </si>
  <si>
    <t>New Electricity Source Fuel Cost</t>
  </si>
  <si>
    <t>NG Savings</t>
  </si>
  <si>
    <t>Campus Fleet Fuel</t>
  </si>
  <si>
    <t>Avoided Capital Cost</t>
  </si>
  <si>
    <t>New Capital Cost</t>
  </si>
  <si>
    <t>Incremental Capital</t>
  </si>
  <si>
    <t>Avoided Operating Costs</t>
  </si>
  <si>
    <t>New Operating Costs</t>
  </si>
  <si>
    <t>Incremental OPEX</t>
  </si>
  <si>
    <t>Incremental Cash Flow</t>
  </si>
  <si>
    <t>Cumulative Cash Flow</t>
  </si>
  <si>
    <t>MMBtu</t>
  </si>
  <si>
    <t>Template</t>
  </si>
  <si>
    <t>Energy Type</t>
  </si>
  <si>
    <t>Natural Gas - Transportation</t>
  </si>
  <si>
    <t>Natural Gas - Distribution</t>
  </si>
  <si>
    <t>Motor Gasoline</t>
  </si>
  <si>
    <t>Purchased Electricity</t>
  </si>
  <si>
    <t>Biomass</t>
  </si>
  <si>
    <t>Unit</t>
  </si>
  <si>
    <t>2009$/MMBtu</t>
  </si>
  <si>
    <t>2009$/Gallon</t>
  </si>
  <si>
    <t>2009$/MWh</t>
  </si>
  <si>
    <t>Number of Alternatives</t>
  </si>
  <si>
    <t>List of Alternatives</t>
  </si>
  <si>
    <t>Names of Alternatives</t>
  </si>
  <si>
    <t>Reference Case</t>
  </si>
  <si>
    <t>Year Implemented</t>
  </si>
  <si>
    <t>Adjusted Levelized Cost (Savings) per MTCDE Avoided</t>
  </si>
  <si>
    <t>PV of Incremental Capital ($MM)</t>
  </si>
  <si>
    <t>IRR</t>
  </si>
  <si>
    <t>Row offset</t>
  </si>
  <si>
    <t>Column offset</t>
  </si>
  <si>
    <t>Scope 1 Abatement</t>
  </si>
  <si>
    <t>Scope 2 Abatement</t>
  </si>
  <si>
    <t>Scope 3 Commute Abatement</t>
  </si>
  <si>
    <t>Scope 3 Air Abatement</t>
  </si>
  <si>
    <t>GHGSavings</t>
  </si>
  <si>
    <t>FuelSavings</t>
  </si>
  <si>
    <t>CAPEX</t>
  </si>
  <si>
    <t>OPEX</t>
  </si>
  <si>
    <t>Column Offset</t>
  </si>
  <si>
    <t>GHG Emissions (MTCO2e)</t>
  </si>
  <si>
    <t>Business As Usual (No Grid Footprint Change)</t>
  </si>
  <si>
    <t>Neutrality by 2050</t>
  </si>
  <si>
    <t>BAU Less Portfolio</t>
  </si>
  <si>
    <t>Remaining Scope 3 - Other (Air Travel, etc.)</t>
  </si>
  <si>
    <t>Remaining Scope 3 - Commuting</t>
  </si>
  <si>
    <t>Remaining Scope 2</t>
  </si>
  <si>
    <t>Remaining Scope 1</t>
  </si>
  <si>
    <t>Offsets Required for Neutrality</t>
  </si>
  <si>
    <t>Need to fix this formula once all portolio wedges are in</t>
  </si>
  <si>
    <t>Alternative (click on link below to see detailed asssumptions)</t>
  </si>
  <si>
    <t>A</t>
  </si>
  <si>
    <t>B</t>
  </si>
  <si>
    <t>C</t>
  </si>
  <si>
    <t>D</t>
  </si>
  <si>
    <t>E</t>
  </si>
  <si>
    <t>F</t>
  </si>
  <si>
    <t>G</t>
  </si>
  <si>
    <t>H</t>
  </si>
  <si>
    <t>I</t>
  </si>
  <si>
    <t>J</t>
  </si>
  <si>
    <t>K</t>
  </si>
  <si>
    <t>Cummulative Abatement (%)</t>
  </si>
  <si>
    <t>Include Label?</t>
  </si>
  <si>
    <t>Label</t>
  </si>
  <si>
    <t>Commodity Forecast Initial Year</t>
  </si>
  <si>
    <t>Current Year</t>
  </si>
  <si>
    <t>(MTCDE/MWh)</t>
  </si>
  <si>
    <t>L</t>
  </si>
  <si>
    <t>M</t>
  </si>
  <si>
    <t>O</t>
  </si>
  <si>
    <t>P</t>
  </si>
  <si>
    <t>Q</t>
  </si>
  <si>
    <t>R</t>
  </si>
  <si>
    <t>S</t>
  </si>
  <si>
    <t>U</t>
  </si>
  <si>
    <t>V</t>
  </si>
  <si>
    <t>W</t>
  </si>
  <si>
    <t>X</t>
  </si>
  <si>
    <t>Y</t>
  </si>
  <si>
    <t>Z</t>
  </si>
  <si>
    <t>Other Revenue</t>
  </si>
  <si>
    <t>Net Emissions</t>
  </si>
  <si>
    <t>AA</t>
  </si>
  <si>
    <t>Diesel</t>
  </si>
  <si>
    <t>Avoided CAPEX</t>
  </si>
  <si>
    <t>Electricity Footprint Change</t>
  </si>
  <si>
    <t>AB</t>
  </si>
  <si>
    <t>AC</t>
  </si>
  <si>
    <t>AD</t>
  </si>
  <si>
    <t>Year</t>
  </si>
  <si>
    <t>Renovation</t>
  </si>
  <si>
    <t>Energy Use Intensity</t>
  </si>
  <si>
    <t>Historical</t>
  </si>
  <si>
    <t>NG (KBTU/GSF)</t>
  </si>
  <si>
    <t>Electricity (KBTU/GSF)</t>
  </si>
  <si>
    <t>Current of "State of the Art"</t>
  </si>
  <si>
    <t>See Calculated EUI on Primary Energy worksheet</t>
  </si>
  <si>
    <t>EPA kg/gallon</t>
  </si>
  <si>
    <t>Additions to the Portfolio</t>
  </si>
  <si>
    <t>Levelized Cost (Savings) per MTCO2e</t>
  </si>
  <si>
    <t>Portfolio Order</t>
  </si>
  <si>
    <t>Business As Usual (MMBTU)</t>
  </si>
  <si>
    <t>Business As Usual (MWh)</t>
  </si>
  <si>
    <t>Scope1</t>
  </si>
  <si>
    <t>Business As Usual</t>
  </si>
  <si>
    <t>Scope2</t>
  </si>
  <si>
    <t>Scope3Commute</t>
  </si>
  <si>
    <t>Scope3Air</t>
  </si>
  <si>
    <t>CashFlow</t>
  </si>
  <si>
    <t>Principal &amp; Interest</t>
  </si>
  <si>
    <t>Term of Debt (Years)</t>
  </si>
  <si>
    <t>Interest Rate</t>
  </si>
  <si>
    <t>Portfolio Dashboard</t>
  </si>
  <si>
    <t>Displays impacts of alternatives selected in the portfolio.</t>
  </si>
  <si>
    <t>Action Valuation Summary</t>
  </si>
  <si>
    <t>Overview</t>
  </si>
  <si>
    <t>JF added reduction in electricity demand to each column</t>
  </si>
  <si>
    <t>This sheet provides the modeling assumptions for each alternative as well as output metrics.</t>
  </si>
  <si>
    <t>Portfolio Cash Flow w/o GHG Compliance Savings</t>
  </si>
  <si>
    <t>Portfolio Cash Flow w/ GHG Compliance Savings</t>
  </si>
  <si>
    <t>Portfolio NPV w/o GHG Compliance Savings</t>
  </si>
  <si>
    <t>Portfolio NPV w/ GHG Compliance Savings</t>
  </si>
  <si>
    <t>Grid Footprint (MTCO2e/MWh)</t>
  </si>
  <si>
    <t>starting point is factor from current inventory</t>
  </si>
  <si>
    <t>Purchased Natural Gas</t>
  </si>
  <si>
    <t>* select chart and mouse over items for details</t>
  </si>
  <si>
    <t>Average Contribution Toward Neutrality</t>
  </si>
  <si>
    <t>BAU Less Portfolio (NG Scope 1)</t>
  </si>
  <si>
    <t>BAU Less Portfolio (Other Scope 1)</t>
  </si>
  <si>
    <t>Frequently Asked Questions</t>
  </si>
  <si>
    <t>Provides answers to questions that have been asked regarding modeling assumptions, location of information, etc.  Please send any additional questions for inclusion to Rob McKenna per the e-mail address below.</t>
  </si>
  <si>
    <t>A1: The initial and forecasted primary energy/utility costs for natural gas, purchased electricity, etc  are found on the Commodity Pricing tab.</t>
  </si>
  <si>
    <t>Q1: Initial utility costs assumed in the model?</t>
  </si>
  <si>
    <t>Q2: Escalation factors used in the model?</t>
  </si>
  <si>
    <t>Return to FAQs</t>
  </si>
  <si>
    <t>Q3: What GHG allowance pricing assumptions were used in the model?</t>
  </si>
  <si>
    <t>Return to FAQ</t>
  </si>
  <si>
    <t>Link to GHG Allowance Prices Used in Model</t>
  </si>
  <si>
    <t>Link to Factors tab</t>
  </si>
  <si>
    <t>Link to Commodity Pricing tab</t>
  </si>
  <si>
    <t>Link to GHG Allowance Pricing Chart</t>
  </si>
  <si>
    <t>A2: All dollar values are reflected as real rather than nominal values, i.e. 2010 dollar denomination.  Where an inflation factor may have been required to adjust an assumption from a different year dollar denomination to 2010 dollars, the escalation factor and inflations factor used on the Factors tab (follow link at right) was used.</t>
  </si>
  <si>
    <t>A3: The allowance prices used to value each unit of GHG emissions vary by year.  The assumptions for each year used in the model are found at the link to the right.  The values at this link represented the expected value allowance price curve.</t>
  </si>
  <si>
    <t xml:space="preserve">A3: A chart depicting all of the Energy Strategies' allowance price curves are found at the link to the right.  The values used in the model and found at the link above are represented by the expected value allowance price curve on this chart.  </t>
  </si>
  <si>
    <t>Q4: What is the time period used for each measure's NPV calculation?</t>
  </si>
  <si>
    <t>Link to Action Valuation Summary Sheet</t>
  </si>
  <si>
    <t>A4: The implementation time period for each measure can be found on the Action Valuation Summary Sheet (see link at right).  The NPV calculation incorporates cash flow for each action/measure from the time cash flow begins for the project through 2050.  Additional detail on the NPV calculation for each measure can be found on the individual valuation sheet for each measure linked to from the Action Valuation Summary Sheet.</t>
  </si>
  <si>
    <t>Q5: What is the interest rate utilized for the NPV calculations?</t>
  </si>
  <si>
    <t>A5: The cost of capital/interest rate used in the NPV calculation for each NPV calculation in this model is the discount factor found on the Factors tab at the link to the right.</t>
  </si>
  <si>
    <t>Q6: Methodology used for GHG calculations?</t>
  </si>
  <si>
    <t>A6: The methodology and definitions for scopes of GHG emissions are the sames as used in the 2008 NC State GHG inventory according the the protocol defined by the Climate Registry and described in the NC State GHG inventory document found at http://issuu.com/ncstatesustainability/docs/ncstate_2008ghginventory.  The specific factors used in the calculation for each primary energy source are found at the link to the right.</t>
  </si>
  <si>
    <t>Q7: Any other assumptions that impact all of the measures?</t>
  </si>
  <si>
    <t>A7: All other coversion factors, btu conversion factors, energy use intensity factors, etc. that impact all measures are found on the factor tabs linked to at the right.</t>
  </si>
  <si>
    <t>If this list is added to, make sure to change formula in cell A18 on overview page.</t>
  </si>
  <si>
    <t>Air Travel</t>
  </si>
  <si>
    <t>PURCHASED ELECTRICITY</t>
  </si>
  <si>
    <t>VEHICLE (DIESEL)</t>
  </si>
  <si>
    <t>Sequestration</t>
  </si>
  <si>
    <t>Net GSF Additions by 2017</t>
  </si>
  <si>
    <t xml:space="preserve">Existing Space Summary </t>
  </si>
  <si>
    <t xml:space="preserve">Main Campus </t>
  </si>
  <si>
    <t>Growth Model</t>
  </si>
  <si>
    <t>Historical Trend (Default)</t>
  </si>
  <si>
    <t>Front-loaded to 2050 Value</t>
  </si>
  <si>
    <t>Straight-line to 2050 Value</t>
  </si>
  <si>
    <t>Back-loaded to 2050 Value</t>
  </si>
  <si>
    <t>Faculty/Staff - 2050</t>
  </si>
  <si>
    <t>Select Only One Option Above</t>
  </si>
  <si>
    <t>MATH USED TO CALCULATE GROWTH PATTERNS. DO NOT DELETE!</t>
  </si>
  <si>
    <t>Starting Year</t>
  </si>
  <si>
    <t>Ending Year</t>
  </si>
  <si>
    <t>Slope</t>
  </si>
  <si>
    <t>Power</t>
  </si>
  <si>
    <t>Student Population</t>
  </si>
  <si>
    <t>Faculty/Staff Population</t>
  </si>
  <si>
    <t>Historical Trend</t>
  </si>
  <si>
    <t>Front-loaded</t>
  </si>
  <si>
    <t>Straight-line</t>
  </si>
  <si>
    <t>Back-loaded</t>
  </si>
  <si>
    <t>BAU Growth Model</t>
  </si>
  <si>
    <t>Average Net BAU Additions per Year</t>
  </si>
  <si>
    <t>Unrenovated Existing Space</t>
  </si>
  <si>
    <t>Renovated Existing Space</t>
  </si>
  <si>
    <t>Net Additions</t>
  </si>
  <si>
    <t>Total GSF</t>
  </si>
  <si>
    <t>Campus Area GSF (1,000's)</t>
  </si>
  <si>
    <t>On this Worksheet: CO2 emissions from all sources. These numbers are the product of the emission factor and the input data. Some sources have no formulas because they have no CO2 emissions, but are included to keep formatting consistent.</t>
  </si>
  <si>
    <t>MODULE</t>
  </si>
  <si>
    <t>Summary</t>
  </si>
  <si>
    <t>WORKSHEET</t>
  </si>
  <si>
    <t>UNIVERSITY</t>
  </si>
  <si>
    <t>CASE WESTERN RESERVE UNIVERSITY</t>
  </si>
  <si>
    <t>--- Scope 1 Emissions Sources ---</t>
  </si>
  <si>
    <t>--- Scope 2 Emissions Sources ---</t>
  </si>
  <si>
    <t>--- Scope 3 Emissions Sources ---</t>
  </si>
  <si>
    <t>--- Offsets ---</t>
  </si>
  <si>
    <t>On-Campus Stationary Sources</t>
  </si>
  <si>
    <t>Direct Transportation Sources</t>
  </si>
  <si>
    <t>Refrigerants &amp; Chemicals</t>
  </si>
  <si>
    <t>Agriculture Sources</t>
  </si>
  <si>
    <t>Electricity, Steam, and Chilled Water</t>
  </si>
  <si>
    <t>Commuting</t>
  </si>
  <si>
    <t>Directly Financed Outsourced Travel</t>
  </si>
  <si>
    <t>Study Abroad Travel</t>
  </si>
  <si>
    <t>Solid Waste</t>
  </si>
  <si>
    <t>Wastewater</t>
  </si>
  <si>
    <t>Paper</t>
  </si>
  <si>
    <t>Misc</t>
  </si>
  <si>
    <t>Fiscal Year</t>
  </si>
  <si>
    <t>On-Campus Cogeneration Plant(s)</t>
  </si>
  <si>
    <t>Other On-Campus Stationary Sources</t>
  </si>
  <si>
    <t>University Fleet</t>
  </si>
  <si>
    <t>Fertilizer</t>
  </si>
  <si>
    <t>Animal Husbandry</t>
  </si>
  <si>
    <t>Faculty / Staff Commuting</t>
  </si>
  <si>
    <t>Student Commuting</t>
  </si>
  <si>
    <t>Incinerated Waste</t>
  </si>
  <si>
    <t>Landfilled Waste</t>
  </si>
  <si>
    <t>Septic System</t>
  </si>
  <si>
    <t>Central Treatment System</t>
  </si>
  <si>
    <t>Uncoated Freesheet</t>
  </si>
  <si>
    <t>Paperboard: Uncoated Bleached Kraft</t>
  </si>
  <si>
    <t>Offsets with Additionality</t>
  </si>
  <si>
    <t>Non-Additional Renewable Energy Certificates (RECs)</t>
  </si>
  <si>
    <t>Residual Oil (#5-6)</t>
  </si>
  <si>
    <t>Distillate Oil (#1-4)</t>
  </si>
  <si>
    <t>LPG (Propane)</t>
  </si>
  <si>
    <t>Coal (Steam Coal)</t>
  </si>
  <si>
    <t>Wood Chips</t>
  </si>
  <si>
    <t>Wood Pellets</t>
  </si>
  <si>
    <t>Grass Pellets</t>
  </si>
  <si>
    <t>Residual BioHeat</t>
  </si>
  <si>
    <t>Distillate BioHeat</t>
  </si>
  <si>
    <t>Other Biogenic</t>
  </si>
  <si>
    <t>Gasoline Fleet</t>
  </si>
  <si>
    <t>Diesel Fleet</t>
  </si>
  <si>
    <t>Natural Gas Fleet</t>
  </si>
  <si>
    <t>E85 Fleet</t>
  </si>
  <si>
    <t>B5 Fleet</t>
  </si>
  <si>
    <t>B20 Fleet</t>
  </si>
  <si>
    <t>B100</t>
  </si>
  <si>
    <t>Hydrogen</t>
  </si>
  <si>
    <t>Other Fleet Fuel</t>
  </si>
  <si>
    <t>Electric Fleet</t>
  </si>
  <si>
    <t>HFC-134a</t>
  </si>
  <si>
    <t>HFC-404a</t>
  </si>
  <si>
    <t>HCFC-22</t>
  </si>
  <si>
    <t>HCFE-235da2</t>
  </si>
  <si>
    <t>HG-10</t>
  </si>
  <si>
    <t>Synthetic</t>
  </si>
  <si>
    <t>Organic</t>
  </si>
  <si>
    <t>Dairy Cows</t>
  </si>
  <si>
    <t>Beef Cows</t>
  </si>
  <si>
    <t>Swine</t>
  </si>
  <si>
    <t>Goats</t>
  </si>
  <si>
    <t>Sheep</t>
  </si>
  <si>
    <t>Horses</t>
  </si>
  <si>
    <t>Poultry</t>
  </si>
  <si>
    <t>Automobile</t>
  </si>
  <si>
    <t>Bus</t>
  </si>
  <si>
    <t>Light Rail</t>
  </si>
  <si>
    <t>Commuter Rail</t>
  </si>
  <si>
    <t>Faculty / Staff</t>
  </si>
  <si>
    <t>Train</t>
  </si>
  <si>
    <t>Taxi / Ferry / Rental Car</t>
  </si>
  <si>
    <t>Alternative Fuel Bus</t>
  </si>
  <si>
    <t>Personal Mileage Reimbursement</t>
  </si>
  <si>
    <t>Air</t>
  </si>
  <si>
    <t>Mass Burn</t>
  </si>
  <si>
    <t>Refuse Derived Fuel (RDF)</t>
  </si>
  <si>
    <t>No CH4 Recovery</t>
  </si>
  <si>
    <t>CH4 Recovery and Flaring</t>
  </si>
  <si>
    <t>CH4 Recovery and Electric Generation</t>
  </si>
  <si>
    <t>Aerobic</t>
  </si>
  <si>
    <t>Anaerobic</t>
  </si>
  <si>
    <t>Anaerobic Digestion</t>
  </si>
  <si>
    <t>Transportation &amp; Distribution Losses</t>
  </si>
  <si>
    <t>On-campus Composting</t>
  </si>
  <si>
    <t>Forest Preservation</t>
  </si>
  <si>
    <t>Retail Offsets (High End)</t>
  </si>
  <si>
    <t>Retail Offsets (Low End)</t>
  </si>
  <si>
    <t>Green Power Certificates</t>
  </si>
  <si>
    <t>kg CO2</t>
  </si>
  <si>
    <t>On this Worksheet: CH4 emissions from all sources. These numbers are the product of the emission factor and the input data. Some sources have no formulas because they have no CO2 emissions, but are included to keep formatting consistent.</t>
  </si>
  <si>
    <t>kg CH4</t>
  </si>
  <si>
    <t>On this Worksheet: N2O emissions from all sources. These numbers are the product of the emission factor and the input data. Some sources have no formulas because they have no CO2 emissions, but are included to keep formatting consistent.</t>
  </si>
  <si>
    <t>kg N2O</t>
  </si>
  <si>
    <t>Total Emissions in Metric Tonnes CO2 Equivalents</t>
  </si>
  <si>
    <t>Scope 3</t>
  </si>
  <si>
    <t>Offsets</t>
  </si>
  <si>
    <t>Co-gen Electricity</t>
  </si>
  <si>
    <t>Co-gen Steam</t>
  </si>
  <si>
    <t>Other On-Campus Stationary</t>
  </si>
  <si>
    <t>Direct Transportation</t>
  </si>
  <si>
    <t>Agriculture</t>
  </si>
  <si>
    <t>Purchased Steam / Chilled Water</t>
  </si>
  <si>
    <t>Directly Financed Air Travel</t>
  </si>
  <si>
    <t>Other Directly Financed Travel</t>
  </si>
  <si>
    <t>Study Abroad Air Travel</t>
  </si>
  <si>
    <t xml:space="preserve">Paper Purchasing </t>
  </si>
  <si>
    <t>Scope 2 T&amp;D Losses</t>
  </si>
  <si>
    <t>Additional</t>
  </si>
  <si>
    <t>Non-Additional</t>
  </si>
  <si>
    <t>Total Scope 1</t>
  </si>
  <si>
    <t>Total Scope 2</t>
  </si>
  <si>
    <t>Total Scope 3</t>
  </si>
  <si>
    <t>Biogenic</t>
  </si>
  <si>
    <t>Total Offsets</t>
  </si>
  <si>
    <t>Total Emissions</t>
  </si>
  <si>
    <t>MT eCO2</t>
  </si>
  <si>
    <t>PURCHASED STEAM</t>
  </si>
  <si>
    <t>PURCHASED CHILLED WATER</t>
  </si>
  <si>
    <t>2009 GHG INVENTORY SUMMARY</t>
  </si>
  <si>
    <t>TOTAL SCOPE 2</t>
  </si>
  <si>
    <t>Full time</t>
  </si>
  <si>
    <t>Part time</t>
  </si>
  <si>
    <t>Facutly</t>
  </si>
  <si>
    <t>Staff</t>
  </si>
  <si>
    <t>Actual values from Case Western Clean Air Cool Planet Inventory</t>
  </si>
  <si>
    <t>Faculty/Staff</t>
  </si>
  <si>
    <t>Case Western Potential GHG Financial Exposure</t>
  </si>
  <si>
    <t>kg CO2e</t>
  </si>
  <si>
    <t>Return to 2009 Inventory</t>
  </si>
  <si>
    <t>Case Western Reserve University Climate Action Plan Model</t>
  </si>
  <si>
    <t>AGRICULTURE</t>
  </si>
  <si>
    <t>DIRECTLY FINANCED AIR TRAVEL</t>
  </si>
  <si>
    <t>FACULTY/STAFF COMMUTING</t>
  </si>
  <si>
    <t>STUDENT COMMUTING</t>
  </si>
  <si>
    <t>SCOPE 2 T&amp;D LOSSES</t>
  </si>
  <si>
    <t>REFRIGERANTS</t>
  </si>
  <si>
    <t>% of Purchased Electricity</t>
  </si>
  <si>
    <t>SEQUESTRATION</t>
  </si>
  <si>
    <t>Enrollment - 2050</t>
  </si>
  <si>
    <t>Utility Demand</t>
  </si>
  <si>
    <t>Total Utilty Demand</t>
  </si>
  <si>
    <t>Purchased Steam</t>
  </si>
  <si>
    <t>Purchased Cooling</t>
  </si>
  <si>
    <t>Campus-wide EUI (KBTU per GSF)</t>
  </si>
  <si>
    <t>Describes the forecasted utility demand and campus-wide building level energy use intensity.</t>
  </si>
  <si>
    <t>Scope 1: Refrigerants</t>
  </si>
  <si>
    <t>Scope 2: Purchased Utilities</t>
  </si>
  <si>
    <t>Technique: http://peltiertech.com/Excel/Charts/waterfallcrossing.html</t>
  </si>
  <si>
    <t>Y label</t>
  </si>
  <si>
    <t xml:space="preserve">grn pos  </t>
  </si>
  <si>
    <t xml:space="preserve">red pos  </t>
  </si>
  <si>
    <t xml:space="preserve">blank pos  </t>
  </si>
  <si>
    <t xml:space="preserve">grn neg  </t>
  </si>
  <si>
    <t xml:space="preserve">red neg  </t>
  </si>
  <si>
    <t xml:space="preserve">blank neg  </t>
  </si>
  <si>
    <t>EndPoints</t>
  </si>
  <si>
    <t>Cumulative</t>
  </si>
  <si>
    <t>Amount</t>
  </si>
  <si>
    <t>Year:</t>
  </si>
  <si>
    <t>School:</t>
  </si>
  <si>
    <t xml:space="preserve">Purchased Electricity </t>
  </si>
  <si>
    <t>Mobile Combustion (Fleet)</t>
  </si>
  <si>
    <t>Refrigerants and Other Chemicals</t>
  </si>
  <si>
    <t>Stationary Combustion</t>
  </si>
  <si>
    <t>Purchased Chilled Water</t>
  </si>
  <si>
    <t>Case Western Reserve University</t>
  </si>
  <si>
    <t>Physical/Operational Boundary</t>
  </si>
  <si>
    <t>2009 GHG Inventory</t>
  </si>
  <si>
    <t>Building Area (GSF), Energy Use Intensity, Fuel Mix, Efficiencies (Conversion &amp; T&amp;D)</t>
  </si>
  <si>
    <t>Residential gas boilers (heat, hot water), academic campus, farm.</t>
  </si>
  <si>
    <t>Assumption Owners/Notes</t>
  </si>
  <si>
    <t>Reductions will ocurr with new chiller projects</t>
  </si>
  <si>
    <t>incorporate the plan for more back-up generators in existing facilities, driven by risk management</t>
  </si>
  <si>
    <t>Constant</t>
  </si>
  <si>
    <t>abatement opp - electric vehicles</t>
  </si>
  <si>
    <t>Incorporate distribution losses</t>
  </si>
  <si>
    <t>will ramp up.  Include plans for chilled water (talk to Mike)</t>
  </si>
  <si>
    <t>The Temple</t>
  </si>
  <si>
    <t>University Center</t>
  </si>
  <si>
    <t>Fieldhouse</t>
  </si>
  <si>
    <t>Include NG, remove parking structures</t>
  </si>
  <si>
    <t>2008-2009 jump: renovation of ARC and data centers</t>
  </si>
  <si>
    <t>Anand Natarajan: Gene will forward his files.</t>
  </si>
  <si>
    <t>Additional Academic</t>
  </si>
  <si>
    <t>Wedge Group Names</t>
  </si>
  <si>
    <t>Wedge Group:</t>
  </si>
  <si>
    <t>Group1</t>
  </si>
  <si>
    <t>Group9</t>
  </si>
  <si>
    <t>Wedge Group</t>
  </si>
  <si>
    <t>Reference Steam Load</t>
  </si>
  <si>
    <t>Change in Steam Demand</t>
  </si>
  <si>
    <t>Reference Chilled Water Load</t>
  </si>
  <si>
    <t>Change in Chilled Water Demand</t>
  </si>
  <si>
    <t>Steam Supply</t>
  </si>
  <si>
    <t>Chilled Water Supply</t>
  </si>
  <si>
    <t>Beginning Required Steam</t>
  </si>
  <si>
    <t>Displaced Steam</t>
  </si>
  <si>
    <t>Ending Required Steam</t>
  </si>
  <si>
    <t>Beginning Required Chilled Water</t>
  </si>
  <si>
    <t>Displaced Chilled Water</t>
  </si>
  <si>
    <t>New Cooling Source</t>
  </si>
  <si>
    <t>Ending Required Chilled Water</t>
  </si>
  <si>
    <t>Steam Savings</t>
  </si>
  <si>
    <t>New Steam Source Fuel Cost</t>
  </si>
  <si>
    <t>Chilled Water Savings</t>
  </si>
  <si>
    <t>New Chilled Water Source Fuel Cost</t>
  </si>
  <si>
    <t>SteamConsumption</t>
  </si>
  <si>
    <t>CWConsumption</t>
  </si>
  <si>
    <t>Natural Gas Cons. (Mmbtu)</t>
  </si>
  <si>
    <t>Purchased Utilities</t>
  </si>
  <si>
    <t>Cooling</t>
  </si>
  <si>
    <t>Inventory</t>
  </si>
  <si>
    <t>Peak Year</t>
  </si>
  <si>
    <t>Growth to peak</t>
  </si>
  <si>
    <t>Year Start</t>
  </si>
  <si>
    <t>% of 2020</t>
  </si>
  <si>
    <t>% of 2050</t>
  </si>
  <si>
    <t>Business as Usual GHG Emissions (000's MT CO2e)</t>
  </si>
  <si>
    <t>Base</t>
  </si>
  <si>
    <t xml:space="preserve">Campus Planning and the Built Environment </t>
  </si>
  <si>
    <t xml:space="preserve">Community Outreach/Campus Life </t>
  </si>
  <si>
    <t>Energy Consumption and Conservation (including IT)</t>
  </si>
  <si>
    <t>Transportation/ Waste</t>
  </si>
  <si>
    <t>Waste</t>
  </si>
  <si>
    <t>On Campus Renewable Energy</t>
  </si>
  <si>
    <t>Lake Erie Wind</t>
  </si>
  <si>
    <t>Offsets/Other</t>
  </si>
  <si>
    <t>Capital Outlay for Turbines</t>
  </si>
  <si>
    <t>Cumulative Number of Turbines Installed</t>
  </si>
  <si>
    <t>MWh Produced</t>
  </si>
  <si>
    <t>Step 1: Define Impact of Wedges</t>
  </si>
  <si>
    <t>Step 2: Define Turbine Investment Through Electric Premium</t>
  </si>
  <si>
    <t>Long Term Strategy - Abate all Remaining GHG Emissions with Lake Erie Wind</t>
  </si>
  <si>
    <t>Wind Installed Cost</t>
  </si>
  <si>
    <t>per kW Installed</t>
  </si>
  <si>
    <t>Avoided Electricity Purchases (net of turbine O&amp;M)</t>
  </si>
  <si>
    <t>per MWh</t>
  </si>
  <si>
    <t>Turbine Size</t>
  </si>
  <si>
    <t>MW</t>
  </si>
  <si>
    <t>Installed Cost per Turbine</t>
  </si>
  <si>
    <t>Wind Capacity Factor</t>
  </si>
  <si>
    <t>average annual</t>
  </si>
  <si>
    <t>Premium per kWh</t>
  </si>
  <si>
    <t>to MCCO Reserve Fund</t>
  </si>
  <si>
    <t>2010 Purchased Elec.</t>
  </si>
  <si>
    <t>2010 Annual Electric Premium</t>
  </si>
  <si>
    <t>$2010 Millions</t>
  </si>
  <si>
    <t>2050 Emissions</t>
  </si>
  <si>
    <t>Duration of Premium</t>
  </si>
  <si>
    <t>years</t>
  </si>
  <si>
    <t>Purchased Elec. GHG Intensity</t>
  </si>
  <si>
    <t>MTCO2e/MWh</t>
  </si>
  <si>
    <t>Installed Wind Capacity (MW)</t>
  </si>
  <si>
    <t>Present Value of Invested Capital in Wind</t>
  </si>
  <si>
    <t>Calculated Cells</t>
  </si>
  <si>
    <t>Inputs Cells</t>
  </si>
  <si>
    <t>Cash Flow</t>
  </si>
  <si>
    <t>Notes/Description of Assumptions
Please describe all assumptions for modeling here:</t>
  </si>
  <si>
    <t>Assuming portfolio balance is covered by purchasing</t>
  </si>
  <si>
    <t>Green Power from the grid</t>
  </si>
  <si>
    <t>Premium per MWh for green power</t>
  </si>
  <si>
    <t xml:space="preserve">Growth Scenarios </t>
  </si>
  <si>
    <t>Select Growth:</t>
  </si>
  <si>
    <t>Energy Source</t>
  </si>
  <si>
    <t>Unit of Measure</t>
  </si>
  <si>
    <t>Multiplier</t>
  </si>
  <si>
    <t>Coal (anthracite)</t>
  </si>
  <si>
    <t>Lbs. (pounds)</t>
  </si>
  <si>
    <t>MBtu (million Btu)</t>
  </si>
  <si>
    <t>KLbs. (thousand pounds)</t>
  </si>
  <si>
    <t>MLbs. (million pounds)</t>
  </si>
  <si>
    <t>Tons</t>
  </si>
  <si>
    <t>Coal (bituminous)</t>
  </si>
  <si>
    <t>Coke</t>
  </si>
  <si>
    <t>Gallons</t>
  </si>
  <si>
    <t>Liters</t>
  </si>
  <si>
    <t xml:space="preserve">District Chilled Water </t>
  </si>
  <si>
    <t>District Chilled Water</t>
  </si>
  <si>
    <t>Ton Hours</t>
  </si>
  <si>
    <t>District Hot Water</t>
  </si>
  <si>
    <t>Therms</t>
  </si>
  <si>
    <t>District Steam</t>
  </si>
  <si>
    <t>Electricity - Grid</t>
  </si>
  <si>
    <t>kWh (thousand Watt-hours)</t>
  </si>
  <si>
    <t>MWh (million Watt-hours)</t>
  </si>
  <si>
    <t>Electricity – Onsite Renewables (solar and wind)</t>
  </si>
  <si>
    <t>Fuel Oil (No. 1)</t>
  </si>
  <si>
    <t>Fuel Oil (No. 2)</t>
  </si>
  <si>
    <t>Fuel Oil (No. 4)</t>
  </si>
  <si>
    <t>Fuel Oil (No. 5 &amp; No. 6)</t>
  </si>
  <si>
    <t>Kerosene</t>
  </si>
  <si>
    <t>Liquid Propane</t>
  </si>
  <si>
    <t>kcf (thousand cubic feet)</t>
  </si>
  <si>
    <t>cf (cubic feet)</t>
  </si>
  <si>
    <t>ccf (hundred cubic feet)</t>
  </si>
  <si>
    <t>therms</t>
  </si>
  <si>
    <t>MCF (million cubic feet)</t>
  </si>
  <si>
    <t>Cubic Meters</t>
  </si>
  <si>
    <t>Wood</t>
  </si>
  <si>
    <t>Energy Units Conversion Table from Energystar</t>
  </si>
  <si>
    <t>1. Locate the energy source and the applicable unit of measure.</t>
  </si>
  <si>
    <t>2. Select the conversion multiplier from the right column.</t>
  </si>
  <si>
    <t>3. Multiply non-kBtu units of energy by multiplier and this converts the energy unit to kBtu equivalent.</t>
  </si>
  <si>
    <t>The previous table provides the multiplier to convert a unit of measure to kBtu:</t>
  </si>
  <si>
    <t>Calculated</t>
  </si>
  <si>
    <t>Current year value from Gene</t>
  </si>
  <si>
    <t>GreenPwr1</t>
  </si>
  <si>
    <t>Select amount of PE for alternative</t>
  </si>
  <si>
    <t xml:space="preserve">Partial MWh </t>
  </si>
  <si>
    <t>Partial</t>
  </si>
  <si>
    <t>Green Power Purchase Opt 2</t>
  </si>
  <si>
    <t>Wind</t>
  </si>
  <si>
    <t>Online Date</t>
  </si>
  <si>
    <t>Capacity Factor</t>
  </si>
  <si>
    <t>New Capital</t>
  </si>
  <si>
    <t>Installed Capacity (kW)</t>
  </si>
  <si>
    <t>Annual Production (MWh)</t>
  </si>
  <si>
    <t>Cost per kWh</t>
  </si>
  <si>
    <t>Useful Life (yrs)</t>
  </si>
  <si>
    <t>Questions:</t>
  </si>
  <si>
    <t>Reinvest in plant after useful life? At what cost?</t>
  </si>
  <si>
    <t>Hold cost per kwh constant? Or increase?</t>
  </si>
  <si>
    <t>Note:O&amp;M and REC covered in cost/kWh</t>
  </si>
  <si>
    <t>GreenPwr2</t>
  </si>
  <si>
    <t>Short-term Energy Conservation Measures</t>
  </si>
  <si>
    <t>Mid-term Energy Conservation Measures</t>
  </si>
  <si>
    <t>Long-term Energy Conservation Measures</t>
  </si>
  <si>
    <t>ShortECM</t>
  </si>
  <si>
    <t>MidECM</t>
  </si>
  <si>
    <t>LongECM</t>
  </si>
  <si>
    <t>Steam Line Improvements</t>
  </si>
  <si>
    <t>Install new lines and abandon the steam tunnel.</t>
  </si>
  <si>
    <t>SteamLineImp</t>
  </si>
  <si>
    <t>Starting steam loss</t>
  </si>
  <si>
    <t>Steam loss after improvements</t>
  </si>
  <si>
    <t>Losses before Improvements</t>
  </si>
  <si>
    <t>Losses After Improvements</t>
  </si>
  <si>
    <t>Reduction in Losses</t>
  </si>
  <si>
    <t>Capital Cost</t>
  </si>
  <si>
    <t>Useful life (yrs)</t>
  </si>
  <si>
    <t>Unitary Chiller Upgrades</t>
  </si>
  <si>
    <t>Bio Enterprise (2)</t>
  </si>
  <si>
    <t>CCSB</t>
  </si>
  <si>
    <t>Pathology</t>
  </si>
  <si>
    <t>NRV House 2</t>
  </si>
  <si>
    <t>Fribley</t>
  </si>
  <si>
    <t>Carleton Commons</t>
  </si>
  <si>
    <t>Wade Commons</t>
  </si>
  <si>
    <t>House 6</t>
  </si>
  <si>
    <t>ton Trane units</t>
  </si>
  <si>
    <t>ton air cooled chiller</t>
  </si>
  <si>
    <t>ton (r-11) Carrier unit</t>
  </si>
  <si>
    <t>ton York</t>
  </si>
  <si>
    <t>tons estimated</t>
  </si>
  <si>
    <t>tons (2 recip units)</t>
  </si>
  <si>
    <t>ton recip unit</t>
  </si>
  <si>
    <t>Current Production factor (kw/ton)</t>
  </si>
  <si>
    <t>New Producton factor (kw/ton)</t>
  </si>
  <si>
    <t>Replacement cost ($/ton)</t>
  </si>
  <si>
    <t>tons</t>
  </si>
  <si>
    <t>Replace in Year</t>
  </si>
  <si>
    <t>Replacement Cost</t>
  </si>
  <si>
    <t>Building</t>
  </si>
  <si>
    <t>Unit Description</t>
  </si>
  <si>
    <t>UnitaryChiller</t>
  </si>
  <si>
    <t>Geo Exchange</t>
  </si>
  <si>
    <t>O&amp;M</t>
  </si>
  <si>
    <t>Natural Gas Savings (MMBtu)</t>
  </si>
  <si>
    <t>Purch. Elec increase (MWh)</t>
  </si>
  <si>
    <t>Efficiency</t>
  </si>
  <si>
    <t>GeoExchange</t>
  </si>
  <si>
    <t>Behavior Change</t>
  </si>
  <si>
    <t>Purchased Steam Efficiency</t>
  </si>
  <si>
    <t>Solar DHW</t>
  </si>
  <si>
    <t>Units</t>
  </si>
  <si>
    <t>Occupancy Rate</t>
  </si>
  <si>
    <t>Estimate daily water use in gallons</t>
  </si>
  <si>
    <t>panels</t>
  </si>
  <si>
    <t>Gallon storage Tank</t>
  </si>
  <si>
    <t>per panel</t>
  </si>
  <si>
    <t>Total Capital in 1st year</t>
  </si>
  <si>
    <t>Energy Reductions (Mmbtu of Steam)</t>
  </si>
  <si>
    <t>Capital Expense</t>
  </si>
  <si>
    <t>O&amp;M as % of Capital</t>
  </si>
  <si>
    <t>SolarDHW</t>
  </si>
  <si>
    <t>More details below:</t>
  </si>
  <si>
    <t>Waste Reduction</t>
  </si>
  <si>
    <t>Starting Date</t>
  </si>
  <si>
    <t>Total annual O$M</t>
  </si>
  <si>
    <t>Emissions from Solid Waste</t>
  </si>
  <si>
    <t>% Reduction</t>
  </si>
  <si>
    <t>Emission Reduction</t>
  </si>
  <si>
    <t>%</t>
  </si>
  <si>
    <t>Resulting Emissions</t>
  </si>
  <si>
    <t>WasteReduction</t>
  </si>
  <si>
    <t>Waste Diversion</t>
  </si>
  <si>
    <t>Start Date</t>
  </si>
  <si>
    <t>First year reduction</t>
  </si>
  <si>
    <t>Second year reduction (through forecast)</t>
  </si>
  <si>
    <t>supplies (replacement of bins and such)</t>
  </si>
  <si>
    <t>savings (possibly realized by housekeeping)</t>
  </si>
  <si>
    <t>Fuel?</t>
  </si>
  <si>
    <t>Totals by Year</t>
  </si>
  <si>
    <t>Utilization Rate</t>
  </si>
  <si>
    <t>ton-hrs</t>
  </si>
  <si>
    <t>Cummulative ton-hrs</t>
  </si>
  <si>
    <t>Varies</t>
  </si>
  <si>
    <t>Annual O&amp;M</t>
  </si>
  <si>
    <t>None</t>
  </si>
  <si>
    <t>Energy (kWh)</t>
  </si>
  <si>
    <t>Energy Value ($)</t>
  </si>
  <si>
    <t>Operating Expenses</t>
  </si>
  <si>
    <t>Fixed O&amp;M Annual</t>
  </si>
  <si>
    <t>Fixed O&amp;M</t>
  </si>
  <si>
    <t>Variable O&amp;M</t>
  </si>
  <si>
    <t>Fuel O&amp;M</t>
  </si>
  <si>
    <t>Insurance</t>
  </si>
  <si>
    <t>Property Taxes</t>
  </si>
  <si>
    <t>Net Salvage Value</t>
  </si>
  <si>
    <t>Operating Costs</t>
  </si>
  <si>
    <t>Deductible Expenses</t>
  </si>
  <si>
    <t>Financing</t>
  </si>
  <si>
    <t>Debt Balance</t>
  </si>
  <si>
    <t>Debt Interest Payment</t>
  </si>
  <si>
    <t>Debt Repayment</t>
  </si>
  <si>
    <t>Debt Total Payment</t>
  </si>
  <si>
    <t>Investment Based Incentives (IBI)</t>
  </si>
  <si>
    <t>Federal IBI</t>
  </si>
  <si>
    <t>State IBI</t>
  </si>
  <si>
    <t>Utility IBI</t>
  </si>
  <si>
    <t>Other IBI</t>
  </si>
  <si>
    <t>Capacity Based Incentives (CBI)</t>
  </si>
  <si>
    <t>Federal CBI</t>
  </si>
  <si>
    <t>State CBI</t>
  </si>
  <si>
    <t>Utility CBI</t>
  </si>
  <si>
    <t>Other CBI</t>
  </si>
  <si>
    <t>Performance Based Incentives (PBI)</t>
  </si>
  <si>
    <t>Federal PBI</t>
  </si>
  <si>
    <t>State PBI</t>
  </si>
  <si>
    <t>Utility PBI</t>
  </si>
  <si>
    <t>Other PBI</t>
  </si>
  <si>
    <t>Federal PTC</t>
  </si>
  <si>
    <t>State PTC</t>
  </si>
  <si>
    <t>Federal ITC</t>
  </si>
  <si>
    <t>State ITC</t>
  </si>
  <si>
    <t>Sales Tax Deduction</t>
  </si>
  <si>
    <t>Tax Effect on Equity (State)</t>
  </si>
  <si>
    <t>State Depreciation Schedule (%)</t>
  </si>
  <si>
    <t>State Depreciation</t>
  </si>
  <si>
    <t>State Incentive Income Less Deductions</t>
  </si>
  <si>
    <t>State Taxable Income Less Deductions</t>
  </si>
  <si>
    <t>State Income Taxes</t>
  </si>
  <si>
    <t>State Tax Savings</t>
  </si>
  <si>
    <t>Tax Effect on Equity (Federal)</t>
  </si>
  <si>
    <t>Federal Depreciation Schedule (%)</t>
  </si>
  <si>
    <t>Federal Depreciation</t>
  </si>
  <si>
    <t>Federal Incentive Income Less Deductions</t>
  </si>
  <si>
    <t>Federal Taxable Incentive Income Less Deductions</t>
  </si>
  <si>
    <t>Federal Income Taxes</t>
  </si>
  <si>
    <t>Federal Tax Savings</t>
  </si>
  <si>
    <t>After Tax Cost</t>
  </si>
  <si>
    <t>After Tax Cashflow</t>
  </si>
  <si>
    <t>Payback - expenses included</t>
  </si>
  <si>
    <t>Cumulative payback - expenses included</t>
  </si>
  <si>
    <t>Payback - expenses excluded</t>
  </si>
  <si>
    <t>Cumulative payback - expenses excluded</t>
  </si>
  <si>
    <t>Source: NREL's System Advisor Model</t>
  </si>
  <si>
    <t>Installed Cost ($)</t>
  </si>
  <si>
    <t>Installed Cost per Capacity ($/kW)</t>
  </si>
  <si>
    <t>Total Land Area (Acres)</t>
  </si>
  <si>
    <t>Annual Energy (kWh)</t>
  </si>
  <si>
    <t>Dish Stirling</t>
  </si>
  <si>
    <t>Community Outreach</t>
  </si>
  <si>
    <t>Research &amp; Curriculum</t>
  </si>
  <si>
    <t>Campus Planning</t>
  </si>
  <si>
    <t>Energy Conservation</t>
  </si>
  <si>
    <t>Information Technology</t>
  </si>
  <si>
    <t>Transportation</t>
  </si>
  <si>
    <t>Renewable Energy</t>
  </si>
  <si>
    <t>Parabolic Trough</t>
  </si>
  <si>
    <t>DishStirling</t>
  </si>
  <si>
    <t>Parabolic</t>
  </si>
  <si>
    <t>Nameplate capacity (kW)</t>
  </si>
  <si>
    <t>Savings in Electricity (more data available)</t>
  </si>
  <si>
    <t>See SAM</t>
  </si>
  <si>
    <t>Annual Cost Years 1 - 5</t>
  </si>
  <si>
    <t>Annual Cost Years 5 - 10</t>
  </si>
  <si>
    <t>Reduction in Electricity Demand</t>
  </si>
  <si>
    <t>Green IT</t>
  </si>
  <si>
    <t>GreenIT</t>
  </si>
  <si>
    <t>Building Design &amp; Construction Standards</t>
  </si>
  <si>
    <t>GreenBuild</t>
  </si>
  <si>
    <t>Space Planning &amp; Management</t>
  </si>
  <si>
    <t>SpacePlanning</t>
  </si>
  <si>
    <t>Combined Heat &amp; Power</t>
  </si>
  <si>
    <t>Coal to Natural Gas Conversion @ Steam Plant</t>
  </si>
  <si>
    <t>CHP</t>
  </si>
  <si>
    <t>CoalToNG</t>
  </si>
  <si>
    <t>Central Chiller Expansion</t>
  </si>
  <si>
    <t>CentralChillerExp</t>
  </si>
  <si>
    <t>Rooftop Solar PV</t>
  </si>
  <si>
    <t>RooftopPV</t>
  </si>
  <si>
    <t>Need to size for Veale/Emerson</t>
  </si>
  <si>
    <t>Reduced Air Travel</t>
  </si>
  <si>
    <t>Reduced Automobile Reliance Strategies</t>
  </si>
  <si>
    <t>ReducedAir</t>
  </si>
  <si>
    <t>ReducedAuto</t>
  </si>
  <si>
    <t>Program Start Date</t>
  </si>
  <si>
    <t>New Purchased Electricity EUI</t>
  </si>
  <si>
    <t>Academic</t>
  </si>
  <si>
    <t>Medical</t>
  </si>
  <si>
    <t>Residential</t>
  </si>
  <si>
    <t>New Purchased Steam EUI</t>
  </si>
  <si>
    <t>New Purchased Cooling EUI</t>
  </si>
  <si>
    <t>Target GSF</t>
  </si>
  <si>
    <t>Baseline GSF</t>
  </si>
  <si>
    <t>Reduction</t>
  </si>
  <si>
    <t>% Share of Reduction in new GSF</t>
  </si>
  <si>
    <t>Avoided Capital from Space Planning Academic</t>
  </si>
  <si>
    <t>Avoided Capital from Space Planning Medical</t>
  </si>
  <si>
    <t>Avoided Capital from Space Planning Residential</t>
  </si>
  <si>
    <t>Total Avoided Capital from New Space</t>
  </si>
  <si>
    <t>Reduction in Electricity - Academic</t>
  </si>
  <si>
    <t>Reduction in Electricity - Medical</t>
  </si>
  <si>
    <t>Reduction in Electricity - Residential</t>
  </si>
  <si>
    <t>Reduction in Electricity - Total</t>
  </si>
  <si>
    <t>Reduction in Steam - Academic</t>
  </si>
  <si>
    <t>Reduction in Steam - Medical</t>
  </si>
  <si>
    <t>Reduction in Steam - Residential</t>
  </si>
  <si>
    <t>Reduction in Steam - Total</t>
  </si>
  <si>
    <t>Reduction in Cooling - Academic</t>
  </si>
  <si>
    <t>Reduction in Cooling - Medical</t>
  </si>
  <si>
    <t>Reduction in Cooling - Residential</t>
  </si>
  <si>
    <t>Reduction in Cooling - Total</t>
  </si>
  <si>
    <t>Renovated Space</t>
  </si>
  <si>
    <t>GSF per year</t>
  </si>
  <si>
    <t>Capital Cost of Renovated space</t>
  </si>
  <si>
    <t>of Capital of new space</t>
  </si>
  <si>
    <t>$</t>
  </si>
  <si>
    <t xml:space="preserve">Location </t>
  </si>
  <si>
    <t xml:space="preserve">Roof Area (sq meters) </t>
  </si>
  <si>
    <t>Available Space for Panels (sq meters)</t>
  </si>
  <si>
    <t># of panels</t>
  </si>
  <si>
    <t>Baseline (Mmbtu)</t>
  </si>
  <si>
    <t xml:space="preserve">Proposed (Mmbtu) </t>
  </si>
  <si>
    <t xml:space="preserve">Savings (MMBtu) </t>
  </si>
  <si>
    <t xml:space="preserve">Installed Cost per panel ($) </t>
  </si>
  <si>
    <t xml:space="preserve">Total Panel cost </t>
  </si>
  <si>
    <t xml:space="preserve">Cost of Storage tank </t>
  </si>
  <si>
    <t xml:space="preserve">Total Installed Costs </t>
  </si>
  <si>
    <t xml:space="preserve">Sherman Hall - North Residnential Campus </t>
  </si>
  <si>
    <t xml:space="preserve">Total roof square footage </t>
  </si>
  <si>
    <t>PV Panel Footprint</t>
  </si>
  <si>
    <t xml:space="preserve">Tilt </t>
  </si>
  <si>
    <t xml:space="preserve">KW </t>
  </si>
  <si>
    <t xml:space="preserve"># of Panels  </t>
  </si>
  <si>
    <t xml:space="preserve">Cost per KW  </t>
  </si>
  <si>
    <t xml:space="preserve">Total Cost </t>
  </si>
  <si>
    <t xml:space="preserve">Total kWh </t>
  </si>
  <si>
    <t xml:space="preserve">Kelvin Smith Library (West wing) </t>
  </si>
  <si>
    <t>Latitude</t>
  </si>
  <si>
    <t xml:space="preserve">Parking Lot (Lot 61) </t>
  </si>
  <si>
    <t>10 degrees</t>
  </si>
  <si>
    <t>Month</t>
  </si>
  <si>
    <t xml:space="preserve">Parking Lot </t>
  </si>
  <si>
    <t>January</t>
  </si>
  <si>
    <t>February</t>
  </si>
  <si>
    <t>March</t>
  </si>
  <si>
    <t>April</t>
  </si>
  <si>
    <t>May</t>
  </si>
  <si>
    <t>June</t>
  </si>
  <si>
    <t>July</t>
  </si>
  <si>
    <t>August</t>
  </si>
  <si>
    <t>September</t>
  </si>
  <si>
    <t>October</t>
  </si>
  <si>
    <t>November</t>
  </si>
  <si>
    <t>December</t>
  </si>
  <si>
    <t xml:space="preserve">Available Space (Acres) </t>
  </si>
  <si>
    <t># of Wells</t>
  </si>
  <si>
    <t xml:space="preserve">Electricity Savings (kWh) </t>
  </si>
  <si>
    <t xml:space="preserve">Natural Gas Savings (MMBtu) </t>
  </si>
  <si>
    <t xml:space="preserve">Installed Costs </t>
  </si>
  <si>
    <t xml:space="preserve">O&amp;M Costs </t>
  </si>
  <si>
    <t xml:space="preserve">Van Horn Field </t>
  </si>
  <si>
    <t>Source: Email from JL on 11_5_10</t>
  </si>
  <si>
    <t>Square meters of roof space needed</t>
  </si>
  <si>
    <t>Energy Reductions (Mmbtu of NG)</t>
  </si>
  <si>
    <t xml:space="preserve">K Smith Library </t>
  </si>
  <si>
    <t>Useful Life</t>
  </si>
  <si>
    <t>Electricity Savings (kWh)</t>
  </si>
  <si>
    <t>Source: email from JL on 11-5-10</t>
  </si>
  <si>
    <t>New Space Reduction - Steam</t>
  </si>
  <si>
    <t>New Space Reduction - Electricity</t>
  </si>
  <si>
    <t>New Space Reduction - Cooling</t>
  </si>
  <si>
    <t>New Space Capital Savings</t>
  </si>
  <si>
    <t>New Space Reduction by Space Type</t>
  </si>
  <si>
    <t>Cummulative New Space</t>
  </si>
  <si>
    <t>1000 GSF</t>
  </si>
  <si>
    <t>1,000 GSF</t>
  </si>
  <si>
    <t>BAU Purchased Electricity from New Space</t>
  </si>
  <si>
    <t>BAU Purchased Steam from New Space</t>
  </si>
  <si>
    <t>BAU Purchased Cooling from New Space</t>
  </si>
  <si>
    <t>% Share of New Space by Building Type</t>
  </si>
  <si>
    <t>Renovated Purchased Electricity</t>
  </si>
  <si>
    <t>Renovated Purchased Steam</t>
  </si>
  <si>
    <t>Renovated Purchased Cooling</t>
  </si>
  <si>
    <t>BAU Renovated Space Purchased Utilities</t>
  </si>
  <si>
    <t>Cost of Renovated Space</t>
  </si>
  <si>
    <t>Cost of New Space</t>
  </si>
  <si>
    <t>Summary Metrics for Sample Initiative: Energy Source - CHP/Cogeneration at Central Plant</t>
  </si>
  <si>
    <t>Financial</t>
  </si>
  <si>
    <t>Energy and GHG Intensity (Sample Year)</t>
  </si>
  <si>
    <t>Qualitative TBL Criteria</t>
  </si>
  <si>
    <t>Capital Commitment</t>
  </si>
  <si>
    <t>2010 $MM</t>
  </si>
  <si>
    <t>Sample Year</t>
  </si>
  <si>
    <t>FYE 2013</t>
  </si>
  <si>
    <t xml:space="preserve">Sample </t>
  </si>
  <si>
    <t>Capital for Initiative</t>
  </si>
  <si>
    <t>Impact on Energy Intensity: Source</t>
  </si>
  <si>
    <t>Avoided Capital</t>
  </si>
  <si>
    <t>MMBtu (millions)</t>
  </si>
  <si>
    <t>Support transinstitutional execution</t>
  </si>
  <si>
    <t>Overall Change in Capital</t>
  </si>
  <si>
    <t>MMBTtu/Gsf</t>
  </si>
  <si>
    <t>Students First</t>
  </si>
  <si>
    <t>% of Total for Institution</t>
  </si>
  <si>
    <t>Faculty, Staff Talent, Culture</t>
  </si>
  <si>
    <t>Average Annual Change in OPEX</t>
  </si>
  <si>
    <t>2010 $</t>
  </si>
  <si>
    <t>% of Total in Scope of Initiative</t>
  </si>
  <si>
    <t>Research Prominence</t>
  </si>
  <si>
    <t>End of Economic Life:</t>
  </si>
  <si>
    <t>Excluding GHG Cost</t>
  </si>
  <si>
    <t xml:space="preserve">  - Reliable utilities for research</t>
  </si>
  <si>
    <t>Additional with GHG Cost</t>
  </si>
  <si>
    <t>Impact on Energy Intensity: Site</t>
  </si>
  <si>
    <t>Outreach &amp; Collaboration</t>
  </si>
  <si>
    <t>Operating and Financial Soundness</t>
  </si>
  <si>
    <t>PV of Total Incremental Savings (Cost) w/o GHG Compliance Savings</t>
  </si>
  <si>
    <t>2010$ MM</t>
  </si>
  <si>
    <t xml:space="preserve">  - Fuel diversity</t>
  </si>
  <si>
    <t>Levelized Cost (Savings) before GHG Compliance Cost</t>
  </si>
  <si>
    <t>2010$/MTCDe Avoided</t>
  </si>
  <si>
    <t>Impact on Revenue Requirement</t>
  </si>
  <si>
    <t>NPV</t>
  </si>
  <si>
    <t xml:space="preserve">Levelized Avoided Compliance Cost </t>
  </si>
  <si>
    <t>Capital Recovery</t>
  </si>
  <si>
    <t>Carbon Abatement</t>
  </si>
  <si>
    <t>OPEX - Fuel &amp; P/E (w/o GHG)</t>
  </si>
  <si>
    <t>Key</t>
  </si>
  <si>
    <t>Total all years</t>
  </si>
  <si>
    <t>MTCDe</t>
  </si>
  <si>
    <t>OPEX - Non - Fuel</t>
  </si>
  <si>
    <t>Impact on GHG Emissions (1000's)</t>
  </si>
  <si>
    <t xml:space="preserve">MTCO2e </t>
  </si>
  <si>
    <t>Positive</t>
  </si>
  <si>
    <t>Average Annual</t>
  </si>
  <si>
    <t>Subtotal w/o GHG</t>
  </si>
  <si>
    <t>Scope 1 (Direct)</t>
  </si>
  <si>
    <t>Caution</t>
  </si>
  <si>
    <t>OPEX - GHG Cost</t>
  </si>
  <si>
    <t>Scope 2 (Indirect)</t>
  </si>
  <si>
    <t>Stop</t>
  </si>
  <si>
    <t>Total Utility Rate Impact with GHG</t>
  </si>
  <si>
    <t>Scope 3 (Indirect)</t>
  </si>
  <si>
    <r>
      <rPr>
        <b/>
        <u/>
        <sz val="8"/>
        <color theme="1"/>
        <rFont val="Calibri"/>
        <family val="2"/>
        <scheme val="minor"/>
      </rPr>
      <t xml:space="preserve">Note
</t>
    </r>
    <r>
      <rPr>
        <sz val="8"/>
        <color theme="1"/>
        <rFont val="Calibri"/>
        <family val="2"/>
        <scheme val="minor"/>
      </rPr>
      <t xml:space="preserve">Positive (black) values represent an inflow of cash or decrease in EUI, GHG emissions, and utility rates.
</t>
    </r>
    <r>
      <rPr>
        <sz val="8"/>
        <color rgb="FFFF0000"/>
        <rFont val="Calibri"/>
        <family val="2"/>
        <scheme val="minor"/>
      </rPr>
      <t xml:space="preserve">Negative (red) values represent an outflow of cash or increase in EUI, GHG emissions, and utility rates.
</t>
    </r>
    <r>
      <rPr>
        <sz val="8"/>
        <rFont val="Calibri"/>
        <family val="2"/>
        <scheme val="minor"/>
      </rPr>
      <t>Revenue Requirement is used to establish utility rates.</t>
    </r>
  </si>
  <si>
    <t>Capital Efficiency</t>
  </si>
  <si>
    <t>w/o GHG</t>
  </si>
  <si>
    <t>with GHG</t>
  </si>
  <si>
    <t>IRR (Real)</t>
  </si>
  <si>
    <t>DPI (Real)</t>
  </si>
  <si>
    <t>Sample Impact on Utility Rates</t>
  </si>
  <si>
    <t>Simple Payback (years)</t>
  </si>
  <si>
    <t>$/mlb</t>
  </si>
  <si>
    <t>$/MWh</t>
  </si>
  <si>
    <t>Nominal</t>
  </si>
  <si>
    <t>Real</t>
  </si>
  <si>
    <t>Discount Rate:</t>
  </si>
  <si>
    <t>Coal Supply</t>
  </si>
  <si>
    <t>NG Supply</t>
  </si>
  <si>
    <t>Incremental OPEX - Fuel &amp; P/E w/o GHG Compliance Decrease (Increase)</t>
  </si>
  <si>
    <t xml:space="preserve">Incremental OPEX - GHG Compliance Risk Decrease (Increase) </t>
  </si>
  <si>
    <t>Incremental OPEX - Non-Fuel Decrease (Increase)</t>
  </si>
  <si>
    <t xml:space="preserve">Overall Incremental
Cash Flow </t>
  </si>
  <si>
    <t>Sample Initiative: Energy Source - NG CHP/Cogeneration - Central Plant
Quantitative Assumptions</t>
  </si>
  <si>
    <t>Sample Initiative: Energy Source - Cogeneration
Other Quantitative Assumptions - General for Case Western Reserve Campus in Sample Year</t>
  </si>
  <si>
    <t>Sample Utility Rate Impact</t>
  </si>
  <si>
    <t>Reference CW Load</t>
  </si>
  <si>
    <t>Change in CW Demand</t>
  </si>
  <si>
    <t>Reference  NG Demand</t>
  </si>
  <si>
    <t>Change in NG Demand</t>
  </si>
  <si>
    <t>Beginning Required Electricity Supply</t>
  </si>
  <si>
    <t>Beginning Customer Generation</t>
  </si>
  <si>
    <t>New Source Electric Supply 
CT</t>
  </si>
  <si>
    <t>Beginning Required Steam Supply</t>
  </si>
  <si>
    <t>Beginning Boiler Generation</t>
  </si>
  <si>
    <t>New Source
HRSG - Unfired</t>
  </si>
  <si>
    <t>New Source
HRSG Fired</t>
  </si>
  <si>
    <t>Displaced Coal Boiler Generation</t>
  </si>
  <si>
    <t>Ending Required Boiler</t>
  </si>
  <si>
    <t>Beginning Coal Required</t>
  </si>
  <si>
    <t>Displaced Coal</t>
  </si>
  <si>
    <t>Ending Coal Required</t>
  </si>
  <si>
    <t>Beginning Required NG</t>
  </si>
  <si>
    <t>Displaced NG</t>
  </si>
  <si>
    <t>New Source Electric Supply
CT</t>
  </si>
  <si>
    <t>New Source Thermal Supply
HRSG - DB</t>
  </si>
  <si>
    <t>Net Change in Required NG</t>
  </si>
  <si>
    <t>Ending Required NG</t>
  </si>
  <si>
    <t>Total Incremental OPEX - 
Fuel</t>
  </si>
  <si>
    <t>Scope 1
Emissions</t>
  </si>
  <si>
    <t>Scope 2
Emissions</t>
  </si>
  <si>
    <t>Scope 3 (Transmission  Losses)</t>
  </si>
  <si>
    <t>Scope 3 (other)</t>
  </si>
  <si>
    <t>Total Subject to Compliance Risk</t>
  </si>
  <si>
    <t xml:space="preserve">Allowance Price 
per MtCO2e
</t>
  </si>
  <si>
    <t>Avoided   OPEX 
Non-Fuel</t>
  </si>
  <si>
    <t>New  OPEX 
Non-Fuel</t>
  </si>
  <si>
    <t>Incremental Opex Non-Fuel</t>
  </si>
  <si>
    <t>w/o
GHG</t>
  </si>
  <si>
    <t>with
GHG</t>
  </si>
  <si>
    <t>Value</t>
  </si>
  <si>
    <t>Notes</t>
  </si>
  <si>
    <t>Incremental Impact on Revenue Requirement</t>
  </si>
  <si>
    <t>MMBtu in Frame</t>
  </si>
  <si>
    <t>Total Campus Demands</t>
  </si>
  <si>
    <t>Allocation of Revenue Requirement Impact
w/o GHG</t>
  </si>
  <si>
    <t>Sample Rate Impact 
w/o GHG</t>
  </si>
  <si>
    <t>Mlb</t>
  </si>
  <si>
    <t xml:space="preserve"> Tons</t>
  </si>
  <si>
    <t>MMBtu HHV</t>
  </si>
  <si>
    <t>2010 $/MWh</t>
  </si>
  <si>
    <t>2010$</t>
  </si>
  <si>
    <t>2010 $/MMBtu</t>
  </si>
  <si>
    <t>Design Basis</t>
  </si>
  <si>
    <t>Process-match to minimum steam</t>
  </si>
  <si>
    <t>Bond PMT</t>
  </si>
  <si>
    <t>Opex (w/o GHG)</t>
  </si>
  <si>
    <t>Opex (with GHG)</t>
  </si>
  <si>
    <t>Net (w/o GHG)</t>
  </si>
  <si>
    <t>Net (with GHG)</t>
  </si>
  <si>
    <t xml:space="preserve">MMBtu  </t>
  </si>
  <si>
    <t>% of Total</t>
  </si>
  <si>
    <t>mlb</t>
  </si>
  <si>
    <t>2010 $/mlb</t>
  </si>
  <si>
    <t>Operation</t>
  </si>
  <si>
    <t>Electric: baseload. Steam: load follow</t>
  </si>
  <si>
    <t>Space</t>
  </si>
  <si>
    <t>Conditioned</t>
  </si>
  <si>
    <t>million Gsf</t>
  </si>
  <si>
    <t>Equipment</t>
  </si>
  <si>
    <t xml:space="preserve">  Prime Mover</t>
  </si>
  <si>
    <t>Nominal 15 MW combustion gas turbines</t>
  </si>
  <si>
    <t>Quantity</t>
  </si>
  <si>
    <t>Energy Use</t>
  </si>
  <si>
    <t xml:space="preserve">  Boilers (HRSGs)</t>
  </si>
  <si>
    <t>With duct burner (DB, supplemental firing)</t>
  </si>
  <si>
    <t xml:space="preserve">  Natural Gas</t>
  </si>
  <si>
    <t>million MMBtu</t>
  </si>
  <si>
    <t xml:space="preserve">  STG</t>
  </si>
  <si>
    <t>N/A</t>
  </si>
  <si>
    <t xml:space="preserve">  Purchased Electricity</t>
  </si>
  <si>
    <t>GWh</t>
  </si>
  <si>
    <t>Demand</t>
  </si>
  <si>
    <t xml:space="preserve">  Total: Source</t>
  </si>
  <si>
    <t xml:space="preserve">  BAU: Electric</t>
  </si>
  <si>
    <t>Historical: Energy</t>
  </si>
  <si>
    <t>MWh/yr</t>
  </si>
  <si>
    <t>FYE 2010</t>
  </si>
  <si>
    <t xml:space="preserve">  Total: Site</t>
  </si>
  <si>
    <t xml:space="preserve">  </t>
  </si>
  <si>
    <t>Historical: Minimum Demand</t>
  </si>
  <si>
    <t>Projected: FYE 2011</t>
  </si>
  <si>
    <t>GHG Emissions</t>
  </si>
  <si>
    <t>MTCO2e (1000's)</t>
  </si>
  <si>
    <t>Growth Rate</t>
  </si>
  <si>
    <t>per year</t>
  </si>
  <si>
    <t xml:space="preserve">  BAU: Steam</t>
  </si>
  <si>
    <t>Historical: FYE 2009</t>
  </si>
  <si>
    <t>klbs/yr</t>
  </si>
  <si>
    <t>Historical: FYE 2010</t>
  </si>
  <si>
    <t>Saturated Steam Enthalpy, 185 psi</t>
  </si>
  <si>
    <t xml:space="preserve">AEI (George Howe) </t>
  </si>
  <si>
    <r>
      <t>Superheated Steam Enthlapy, 560</t>
    </r>
    <r>
      <rPr>
        <vertAlign val="superscript"/>
        <sz val="12"/>
        <color theme="1"/>
        <rFont val="Calibri"/>
        <family val="2"/>
        <scheme val="minor"/>
      </rPr>
      <t>o</t>
    </r>
    <r>
      <rPr>
        <sz val="12"/>
        <color theme="1"/>
        <rFont val="Calibri"/>
        <family val="2"/>
        <scheme val="minor"/>
      </rPr>
      <t xml:space="preserve"> F</t>
    </r>
  </si>
  <si>
    <r>
      <t>Condensate Enthlapy, 85% at 180</t>
    </r>
    <r>
      <rPr>
        <vertAlign val="superscript"/>
        <sz val="12"/>
        <color theme="1"/>
        <rFont val="Calibri"/>
        <family val="2"/>
        <scheme val="minor"/>
      </rPr>
      <t>o</t>
    </r>
    <r>
      <rPr>
        <sz val="12"/>
        <color theme="1"/>
        <rFont val="Calibri"/>
        <family val="2"/>
        <scheme val="minor"/>
      </rPr>
      <t xml:space="preserve"> F</t>
    </r>
  </si>
  <si>
    <r>
      <t>Make-up Water Enthlapy, 15% at 50</t>
    </r>
    <r>
      <rPr>
        <vertAlign val="superscript"/>
        <sz val="12"/>
        <color theme="1"/>
        <rFont val="Calibri"/>
        <family val="2"/>
        <scheme val="minor"/>
      </rPr>
      <t>o</t>
    </r>
    <r>
      <rPr>
        <sz val="12"/>
        <color theme="1"/>
        <rFont val="Calibri"/>
        <family val="2"/>
        <scheme val="minor"/>
      </rPr>
      <t xml:space="preserve"> F</t>
    </r>
  </si>
  <si>
    <t xml:space="preserve">Net Steam Enthalpy </t>
  </si>
  <si>
    <t>Supply</t>
  </si>
  <si>
    <r>
      <t xml:space="preserve">  </t>
    </r>
    <r>
      <rPr>
        <b/>
        <sz val="12"/>
        <color theme="1"/>
        <rFont val="Calibri"/>
        <family val="2"/>
        <scheme val="minor"/>
      </rPr>
      <t>BAU: Electric</t>
    </r>
  </si>
  <si>
    <t>Grid Purchases</t>
  </si>
  <si>
    <t>Assumed  avg coal 2005</t>
  </si>
  <si>
    <t>Existing Boilers</t>
  </si>
  <si>
    <t xml:space="preserve">  Cogen: Electric</t>
  </si>
  <si>
    <t>Gas Turbine Generators Export to Campus</t>
  </si>
  <si>
    <t>Remaining Grid Purchases</t>
  </si>
  <si>
    <t>Total Electric Supplied</t>
  </si>
  <si>
    <t xml:space="preserve">  Cogen: Steam</t>
  </si>
  <si>
    <t>HRSGs: Unfired</t>
  </si>
  <si>
    <t>HRSGs: Supplemental Firing</t>
  </si>
  <si>
    <t>Total HRSGs</t>
  </si>
  <si>
    <t>Remaining Existing Boilers</t>
  </si>
  <si>
    <t>Total Steam Supplied</t>
  </si>
  <si>
    <t>BAU Assumptions</t>
  </si>
  <si>
    <t xml:space="preserve">  Boiler</t>
  </si>
  <si>
    <t>HHV</t>
  </si>
  <si>
    <t>Variable non-fuel operating expense</t>
  </si>
  <si>
    <t>2009 $/klb</t>
  </si>
  <si>
    <t>Placeholder</t>
  </si>
  <si>
    <r>
      <t xml:space="preserve">  </t>
    </r>
    <r>
      <rPr>
        <b/>
        <sz val="12"/>
        <color theme="1"/>
        <rFont val="Calibri"/>
        <family val="2"/>
        <scheme val="minor"/>
      </rPr>
      <t>Avoidable Capex</t>
    </r>
  </si>
  <si>
    <t xml:space="preserve"> Avoid new boilers</t>
  </si>
  <si>
    <t>Total Installed Cost</t>
  </si>
  <si>
    <t>$MM 2010</t>
  </si>
  <si>
    <t>Expenditure Schedule</t>
  </si>
  <si>
    <t xml:space="preserve"> Avoid reciprocating engines</t>
  </si>
  <si>
    <t>Size</t>
  </si>
  <si>
    <t>Cost</t>
  </si>
  <si>
    <t>$/kW</t>
  </si>
  <si>
    <t>Maintenance</t>
  </si>
  <si>
    <t>of original capex annually</t>
  </si>
  <si>
    <t>Sample Initiative: Energy Source - NG CHP/Cogeneration - Central Plant
Quantitative Assumptions (continued)</t>
  </si>
  <si>
    <t>CHP Case Assumptions</t>
  </si>
  <si>
    <t xml:space="preserve">  Turbine (GT)</t>
  </si>
  <si>
    <t>Nominal Power Production</t>
  </si>
  <si>
    <t>Vendor: rounded</t>
  </si>
  <si>
    <t>Net Turbine Power Production</t>
  </si>
  <si>
    <t>Fuel Consumption (LHV)</t>
  </si>
  <si>
    <t>MMBtu/hr</t>
  </si>
  <si>
    <t>Compressor and Auxiliary Loads</t>
  </si>
  <si>
    <t>Net Generation for Campus Loads</t>
  </si>
  <si>
    <t>Availability</t>
  </si>
  <si>
    <t>% of year</t>
  </si>
  <si>
    <t>Hours of Operation</t>
  </si>
  <si>
    <t>Annual</t>
  </si>
  <si>
    <t>Average CTG Loading</t>
  </si>
  <si>
    <t>% of available capacity</t>
  </si>
  <si>
    <t>Fuel Chargeable to Power (HHV)</t>
  </si>
  <si>
    <t xml:space="preserve">  HRSGs</t>
  </si>
  <si>
    <t>Max Steam Contributed by each GT (unfired)</t>
  </si>
  <si>
    <t>kpph</t>
  </si>
  <si>
    <t>Max Steam Contributed by each HRSG (DB)</t>
  </si>
  <si>
    <t>Max Steam Flow by Each HRSG</t>
  </si>
  <si>
    <t>Deaerator Steam Consumption</t>
  </si>
  <si>
    <t>Max Steam Flow to Process</t>
  </si>
  <si>
    <t>Duct Burner Fuel Consumption (LHV)</t>
  </si>
  <si>
    <t xml:space="preserve">  GT/HRSG Capex</t>
  </si>
  <si>
    <t>*</t>
  </si>
  <si>
    <t>2010 $/kWh</t>
  </si>
  <si>
    <t>Commercial Operation Date</t>
  </si>
  <si>
    <t>Expenditure Schedule by FYE</t>
  </si>
  <si>
    <t>Economic Life</t>
  </si>
  <si>
    <t>Years</t>
  </si>
  <si>
    <t>Renewal Cost at End of Economic Life</t>
  </si>
  <si>
    <t>% of initial installed cost</t>
  </si>
  <si>
    <t xml:space="preserve">  GT/HRSG Opex</t>
  </si>
  <si>
    <t>Variable</t>
  </si>
  <si>
    <t>2009 $/kWh</t>
  </si>
  <si>
    <t>Fixed</t>
  </si>
  <si>
    <t>2009 $/mo/GT</t>
  </si>
  <si>
    <t>Same as BAU</t>
  </si>
  <si>
    <t>General Assumptions</t>
  </si>
  <si>
    <r>
      <t xml:space="preserve">  </t>
    </r>
    <r>
      <rPr>
        <b/>
        <sz val="12"/>
        <color theme="1"/>
        <rFont val="Calibri"/>
        <family val="2"/>
        <scheme val="minor"/>
      </rPr>
      <t>Carbon Intensity</t>
    </r>
  </si>
  <si>
    <t>Grid Power at Generation Source (Average)</t>
  </si>
  <si>
    <t>MTCDE per MWh</t>
  </si>
  <si>
    <t>Grid Power Loss Factor for Transmission</t>
  </si>
  <si>
    <t>MTCDE per MMBTU</t>
  </si>
  <si>
    <t>MTCDE per MMBTU (HHV)</t>
  </si>
  <si>
    <r>
      <t xml:space="preserve">  </t>
    </r>
    <r>
      <rPr>
        <b/>
        <sz val="12"/>
        <color theme="1"/>
        <rFont val="Calibri"/>
        <family val="2"/>
        <scheme val="minor"/>
      </rPr>
      <t>Commodity Prices</t>
    </r>
  </si>
  <si>
    <t>Grid Power</t>
  </si>
  <si>
    <t>GHG Allowances (Carbon)</t>
  </si>
  <si>
    <t xml:space="preserve">  Conversion Factors</t>
  </si>
  <si>
    <t>LHV/HHV</t>
  </si>
  <si>
    <r>
      <t xml:space="preserve">  </t>
    </r>
    <r>
      <rPr>
        <b/>
        <sz val="12"/>
        <color theme="1"/>
        <rFont val="Calibri"/>
        <family val="2"/>
        <scheme val="minor"/>
      </rPr>
      <t>Discount Rate</t>
    </r>
  </si>
  <si>
    <t>Cost of Capital (Nominal)</t>
  </si>
  <si>
    <t>General Annual Inflation Rate</t>
  </si>
  <si>
    <t>Real Discount Rate</t>
  </si>
  <si>
    <t>Reference Model</t>
  </si>
  <si>
    <t>Variables you may need values for - let me know if anything else is needed</t>
  </si>
  <si>
    <t>                - Percent of coal displaced by NG, 0% to 100%, default 50%</t>
  </si>
  <si>
    <t>                - MMBtu coal per klb steam, 1.15 to 1.40, default 1.3</t>
  </si>
  <si>
    <t>                - Starting price of coal, 2010$/MMBtu, $4.00 to $6.00</t>
  </si>
  <si>
    <t>                - Change in coal prices, real % per year, 0% to 2%</t>
  </si>
  <si>
    <t>                - Starting NG price, 2010$/MMBtu, $5.00 to $7.00</t>
  </si>
  <si>
    <t>                - Change in NG prices, real % per year, 0% to 2%</t>
  </si>
  <si>
    <t>Variables:</t>
  </si>
  <si>
    <t>                - NG Fuel heating value, factor as % of Coal Fuel Heating Value, range 100% to 110%, default 105%</t>
  </si>
  <si>
    <t>                - Maintenance increase/decrease when NG is used</t>
  </si>
  <si>
    <t>                                - No change in initial analysis</t>
  </si>
  <si>
    <t>MMBtu coal per klb steam (1.15 to 1.40)</t>
  </si>
  <si>
    <t>Percent of coal displace by NG</t>
  </si>
  <si>
    <t>Coal to produce entire steam load</t>
  </si>
  <si>
    <t>Inputs calculated on GreenPwr2 Data worksheet</t>
  </si>
  <si>
    <t>See input assumptions on CHP_NG_Baseload_withDB</t>
  </si>
  <si>
    <t>NG Fuel heating value, factor as %</t>
  </si>
  <si>
    <t>of Coal Fuel Heating Value, 100% to 110%</t>
  </si>
  <si>
    <t>NG to produce remaing steam</t>
  </si>
  <si>
    <t>Weighted Average EUI for New</t>
  </si>
  <si>
    <t>Building Cost Premium per GSF</t>
  </si>
  <si>
    <t>% Share of Renovated Space by Building Type</t>
  </si>
  <si>
    <t>Cost of Renovated Space as % of New Space Cost</t>
  </si>
  <si>
    <t>BAU renovations per year</t>
  </si>
  <si>
    <t>On-site Wind</t>
  </si>
  <si>
    <t>O&amp;M per kW-year</t>
  </si>
  <si>
    <t>CF</t>
  </si>
  <si>
    <t>Capacity Factor (SAM)</t>
  </si>
  <si>
    <t>Capital Cost (Gene)</t>
  </si>
  <si>
    <t>klb</t>
  </si>
  <si>
    <t>Purch Elec EUI (kBtu/GSF)</t>
  </si>
  <si>
    <t>Purch Steam EUI (kBtu/GSF)</t>
  </si>
  <si>
    <t>Purch Cooling EUI (kBtu/GSF)</t>
  </si>
  <si>
    <t>Need to fill in</t>
  </si>
  <si>
    <t>Existing unitary chillers retired, tons</t>
  </si>
  <si>
    <t>Future, non-diversified peak load</t>
  </si>
  <si>
    <t>Diversified peak load with Bingham</t>
  </si>
  <si>
    <t>Diversified Load</t>
  </si>
  <si>
    <t>Full load hours</t>
  </si>
  <si>
    <t>Existing Unitary Chillers</t>
  </si>
  <si>
    <t>New Unitary Chillers</t>
  </si>
  <si>
    <t>ton-hours</t>
  </si>
  <si>
    <t>Coal &amp; NG from NT email on 11-8-10</t>
  </si>
  <si>
    <t>Increase in Fuel Cost</t>
  </si>
  <si>
    <t>BAU cost</t>
  </si>
  <si>
    <t>Alternative cost</t>
  </si>
  <si>
    <t>BAU Emissions</t>
  </si>
  <si>
    <t>Alternative Emissions</t>
  </si>
  <si>
    <t>Reduction in Scope 2 Emissions</t>
  </si>
  <si>
    <t>BAU steam</t>
  </si>
  <si>
    <t>klbs</t>
  </si>
  <si>
    <t>(Electricity Only)</t>
  </si>
  <si>
    <t>BAU Scope 2 Emissions</t>
  </si>
  <si>
    <t>BehaviorChange</t>
  </si>
  <si>
    <t>Reduction by 5 years</t>
  </si>
  <si>
    <t>Reduction by 10 years</t>
  </si>
  <si>
    <t>Avoided Capital Cost per GSF of new space Avoided</t>
  </si>
  <si>
    <t>Purchased Electricity EUI for Avoided Space</t>
  </si>
  <si>
    <t>Purchased Steam EUI</t>
  </si>
  <si>
    <t>Purchased Steam EUI for Avoided Space</t>
  </si>
  <si>
    <t>Purchased Cooling EUI for Avoided Space</t>
  </si>
  <si>
    <t>Avoided Operating Cost per GSF</t>
  </si>
  <si>
    <t>Cumulative Reduction in GSF</t>
  </si>
  <si>
    <t>Academic Share of Cumulative Reduction</t>
  </si>
  <si>
    <t>Medical Share of Cumulative Reduction</t>
  </si>
  <si>
    <t>Residential Share of Cumulative  Reduction</t>
  </si>
  <si>
    <t xml:space="preserve">Renovated Space </t>
  </si>
  <si>
    <t>Electricity EUI - Existing</t>
  </si>
  <si>
    <t>Purchased Steam EUI - Existing</t>
  </si>
  <si>
    <t>Purchased Chilled Water EUI - Existing</t>
  </si>
  <si>
    <t>Total EUI  - Existing</t>
  </si>
  <si>
    <t>Electricity EUI - New Space</t>
  </si>
  <si>
    <t>Purchased Steam EUI - New Space</t>
  </si>
  <si>
    <t>Purchased Chilled Water EUI - New Space</t>
  </si>
  <si>
    <t>Total EUI  - New Space</t>
  </si>
  <si>
    <t>Electricity EUI - Incremental From Renovations</t>
  </si>
  <si>
    <t>Purchased Steam EUI - Incremental From Renovations</t>
  </si>
  <si>
    <t>Purchased Chilled Water EUI - Incremental From Renovations</t>
  </si>
  <si>
    <t>Total EUI  - Incremental From Renovations</t>
  </si>
  <si>
    <t>New Space</t>
  </si>
  <si>
    <t>Revised</t>
  </si>
  <si>
    <t>New GSF by 2050</t>
  </si>
  <si>
    <t>Avoided</t>
  </si>
  <si>
    <t>BAU Mix</t>
  </si>
  <si>
    <t>New Mix</t>
  </si>
  <si>
    <t>Electricity EUI</t>
  </si>
  <si>
    <t>Purchased Chilled Water EUI</t>
  </si>
  <si>
    <t>Incremental EUI as result of renovation</t>
  </si>
  <si>
    <t>Increase in Steam - Medical</t>
  </si>
  <si>
    <t>Increase in Electricity - Academic</t>
  </si>
  <si>
    <t>Increase in Cooling - Residential</t>
  </si>
  <si>
    <t>Incremental Energy From Renovations</t>
  </si>
  <si>
    <t>Incremental Cost of Renovations - Total</t>
  </si>
  <si>
    <t>BAU EUI for New Space  - (Linked to Utility Demand worksheet)</t>
  </si>
  <si>
    <t>% Reduction Relative to BAU for New</t>
  </si>
  <si>
    <t>Unitary Existing</t>
  </si>
  <si>
    <t>Unitary New</t>
  </si>
  <si>
    <t>Central Plant</t>
  </si>
  <si>
    <t>Electric Consumption per Ton (kW/ton)</t>
  </si>
  <si>
    <t>Central Capital Cost for 2000 tons after peak exceeds 2000 tons</t>
  </si>
  <si>
    <t>Capital cost for unitary chiller replacement per ton</t>
  </si>
  <si>
    <t>New unitary chillers (tons)</t>
  </si>
  <si>
    <t>Existing Non-diversified peak with Bingham</t>
  </si>
  <si>
    <t>New Non-diversified peak</t>
  </si>
  <si>
    <t>tons (trigger for new central capacity)</t>
  </si>
  <si>
    <t>Annual Load on Existing Unitary</t>
  </si>
  <si>
    <t>Annual Load on New Unitary</t>
  </si>
  <si>
    <t>Capital Cost for New Unitary Chillers</t>
  </si>
  <si>
    <t>Existing Central Plant</t>
  </si>
  <si>
    <t>New Central Plant</t>
  </si>
  <si>
    <t>Capital Cost for New Central Chiller Capacity</t>
  </si>
  <si>
    <t>Total Annual Load</t>
  </si>
  <si>
    <t>Capital Expenditure Schedule for Distribution Expansion</t>
  </si>
  <si>
    <t>Cumulative Savings</t>
  </si>
  <si>
    <t>Years For Full Implementation</t>
  </si>
  <si>
    <t>Total Capital Cost</t>
  </si>
  <si>
    <t>Electric Savings (MWh)</t>
  </si>
  <si>
    <t>Steam Savings (klb)</t>
  </si>
  <si>
    <t>Chilling Savings (ton-hr)</t>
  </si>
  <si>
    <t>First year of implementation</t>
  </si>
  <si>
    <t>Source: Mike Walters (AEI)/Gene Matthews (CWRU)</t>
  </si>
  <si>
    <t>Incremental Fuel (Coal-NG</t>
  </si>
  <si>
    <t>Marker</t>
  </si>
  <si>
    <t>Labels</t>
  </si>
  <si>
    <t>Y1</t>
  </si>
  <si>
    <t>Source: Jeannette LeBoyer (AEI)/Jeff Gumpf (CWRU)</t>
  </si>
  <si>
    <t>Centralized Energy Management of PC</t>
  </si>
  <si>
    <t>Server Virtualization</t>
  </si>
  <si>
    <t>per computer per year</t>
  </si>
  <si>
    <t>computers</t>
  </si>
  <si>
    <t>Utility Costs:</t>
  </si>
  <si>
    <t>Capital Cost:</t>
  </si>
  <si>
    <t>Compliance Risk</t>
  </si>
  <si>
    <t>Operating Costs:</t>
  </si>
  <si>
    <t>BAU Cap Cost per GSF</t>
  </si>
  <si>
    <t>BAU Cash Flow</t>
  </si>
  <si>
    <t>Portion of Air Travel Impacted</t>
  </si>
  <si>
    <t>% of above reduced in first 5 years</t>
  </si>
  <si>
    <t>% of above reduced in by 10 years</t>
  </si>
  <si>
    <t>Total 2009 Air Travel Cost</t>
  </si>
  <si>
    <t>Air Travel Cost per GHG Emitted</t>
  </si>
  <si>
    <t>Non-Utility Operating Costs:</t>
  </si>
  <si>
    <t>First 10 years GHG Reductions</t>
  </si>
  <si>
    <t>Constant after year 10</t>
  </si>
  <si>
    <t>Reduced Parking Fees per Year per Driver</t>
  </si>
  <si>
    <t>Number of Drivers not Purchasing Pass</t>
  </si>
  <si>
    <t>Lost Revenue</t>
  </si>
  <si>
    <t>Reduction in solid waste emission by 2017</t>
  </si>
  <si>
    <t>Community Education</t>
  </si>
  <si>
    <t>Research and Curriculum</t>
  </si>
  <si>
    <t>Percent of Allowance</t>
  </si>
  <si>
    <t xml:space="preserve">Cost per Voluntary Offset </t>
  </si>
  <si>
    <t>PV of Offsets Required for Neutrality</t>
  </si>
  <si>
    <t>Portfolio Combinations</t>
  </si>
  <si>
    <t>Least Cost</t>
  </si>
  <si>
    <t>At any cost</t>
  </si>
  <si>
    <t>Green Power Purchase Opt 1 (Partial)</t>
  </si>
  <si>
    <t>Sustainability Brand</t>
  </si>
  <si>
    <t>Intutive</t>
  </si>
  <si>
    <t>Year of Implementation</t>
  </si>
  <si>
    <t>x</t>
  </si>
  <si>
    <t>Percent of Steam Produced from Coal</t>
  </si>
  <si>
    <t>Green Power Purchase (MCCo Reserve Fund)</t>
  </si>
  <si>
    <t>GHG Compliance Savings</t>
  </si>
  <si>
    <t>Offset</t>
  </si>
  <si>
    <t>Column</t>
  </si>
  <si>
    <t>MTCO2e</t>
  </si>
  <si>
    <t>Item #</t>
  </si>
  <si>
    <t>Other Revenue (Expense)</t>
  </si>
  <si>
    <t>NG Savings (Cost)</t>
  </si>
  <si>
    <t>2016-2020</t>
  </si>
  <si>
    <t>2021-2025</t>
  </si>
  <si>
    <t>2026-2030</t>
  </si>
  <si>
    <t>2031-2035</t>
  </si>
  <si>
    <t>2036-2040</t>
  </si>
  <si>
    <t>2041-2045</t>
  </si>
  <si>
    <t>2046-2050</t>
  </si>
  <si>
    <t>GHG Reductions</t>
  </si>
  <si>
    <t>Incremental Cash Flow w/o Compliance Savings</t>
  </si>
  <si>
    <t>Incremental Cash Flow w/ Compliance Savings</t>
  </si>
  <si>
    <t>Total GHG Savings</t>
  </si>
  <si>
    <t>Steering Committee Portfolio from 11/11 meeting</t>
  </si>
  <si>
    <t>Premium</t>
  </si>
  <si>
    <t>Sustainability Driven-Master Plan</t>
  </si>
  <si>
    <t>Cost years 1-5</t>
  </si>
  <si>
    <t>Cost years 6-10</t>
  </si>
  <si>
    <t>Portfolio Cash Flow Statement</t>
  </si>
  <si>
    <t>CWRU</t>
  </si>
  <si>
    <t>MCCO</t>
  </si>
  <si>
    <t>Phase 3</t>
  </si>
  <si>
    <t>Year On-line</t>
  </si>
  <si>
    <t>Current Rate</t>
  </si>
  <si>
    <t>$/ton-hr</t>
  </si>
  <si>
    <t>Change</t>
  </si>
  <si>
    <t>CHW Rate Paid to MCCo</t>
  </si>
  <si>
    <t>Plant Expansion</t>
  </si>
  <si>
    <t>Phase 4 + Bingham</t>
  </si>
  <si>
    <t>Undiversified Load Connected</t>
  </si>
  <si>
    <t>Incremental Centrally Connected Load</t>
  </si>
  <si>
    <t>Electricity Consumption without Central</t>
  </si>
  <si>
    <t>Electricity Consumption with Central</t>
  </si>
  <si>
    <t>Phase 1 &amp; 2</t>
  </si>
  <si>
    <t>Years of Premium:</t>
  </si>
  <si>
    <t>Cost of Capital:</t>
  </si>
  <si>
    <t>Assumes CWRU owns 50% of a 2MW turbine</t>
  </si>
  <si>
    <t>Reserve Fund Balance with Reinvestment of Avoided Purchases</t>
  </si>
  <si>
    <t>Net housing additions, Student Life</t>
  </si>
  <si>
    <t>BAU Reconciliation per historical growth</t>
  </si>
  <si>
    <t>Boundary: Main Campus, Residential, Medical Campus.  Excludes parking and farm.</t>
  </si>
  <si>
    <t>Chilled Water Savings (Cost)</t>
  </si>
  <si>
    <t>Term of MCCO Debt</t>
  </si>
  <si>
    <t>Cost of MCCO Debt</t>
  </si>
  <si>
    <t>Discount Rate (Nominal)</t>
  </si>
  <si>
    <t xml:space="preserve">  GDP Chain-type Price Index (2005=1.000)</t>
  </si>
  <si>
    <t>MCCO Debt passed through in rates</t>
  </si>
  <si>
    <t>Vintage</t>
  </si>
  <si>
    <t>New Debt</t>
  </si>
  <si>
    <t>off campus, may not have utility info</t>
  </si>
  <si>
    <t>Do not include. Not CWRU owned or responsible for utilities</t>
  </si>
  <si>
    <t>May not have received utility info on these properties</t>
  </si>
  <si>
    <t>VA - VA Hospital</t>
  </si>
  <si>
    <t>1C01</t>
  </si>
  <si>
    <t>VA - LDV Building</t>
  </si>
  <si>
    <t>1D01</t>
  </si>
  <si>
    <t>VA - Brecksville VA</t>
  </si>
  <si>
    <t>BV01</t>
  </si>
  <si>
    <t>UH - Wearn Lab</t>
  </si>
  <si>
    <t>4C17</t>
  </si>
  <si>
    <t>UH - Rainbow Babies &amp; Children</t>
  </si>
  <si>
    <t>4C01</t>
  </si>
  <si>
    <t>UH - Parkway Medical Center</t>
  </si>
  <si>
    <t>1Z30</t>
  </si>
  <si>
    <t>UH - Mather Pavillion</t>
  </si>
  <si>
    <t>4C40</t>
  </si>
  <si>
    <t>UH - MacDonald House</t>
  </si>
  <si>
    <t>4C03</t>
  </si>
  <si>
    <t>UH - Lakeside</t>
  </si>
  <si>
    <t>4C15</t>
  </si>
  <si>
    <t>UH - Hanna Pavillion</t>
  </si>
  <si>
    <t>4C23</t>
  </si>
  <si>
    <t>UH - Gerber Building - UCRC #2</t>
  </si>
  <si>
    <t>5A01</t>
  </si>
  <si>
    <t>UH - Foley</t>
  </si>
  <si>
    <t>4D05</t>
  </si>
  <si>
    <t>UH - Cornell</t>
  </si>
  <si>
    <t>4D07</t>
  </si>
  <si>
    <t>UH - Cleveland Fairhill</t>
  </si>
  <si>
    <t>7A01</t>
  </si>
  <si>
    <t>UH - Bolwell</t>
  </si>
  <si>
    <t>4C08</t>
  </si>
  <si>
    <t>UH - Bishop Building</t>
  </si>
  <si>
    <t>4C07</t>
  </si>
  <si>
    <t>UH - Andrews Wing</t>
  </si>
  <si>
    <t>4C06</t>
  </si>
  <si>
    <t>Tudor Arms</t>
  </si>
  <si>
    <t>4A01</t>
  </si>
  <si>
    <t>The Temple - Tifereth Israel</t>
  </si>
  <si>
    <t>2B01</t>
  </si>
  <si>
    <t>Service Building</t>
  </si>
  <si>
    <t>5C09</t>
  </si>
  <si>
    <t>Nassau Station</t>
  </si>
  <si>
    <t>N001</t>
  </si>
  <si>
    <t>MH - Towers</t>
  </si>
  <si>
    <t>MG20</t>
  </si>
  <si>
    <t>MH - Research</t>
  </si>
  <si>
    <t>MG03</t>
  </si>
  <si>
    <t>MH - Rammelkamp</t>
  </si>
  <si>
    <t>MG11</t>
  </si>
  <si>
    <t>MH - Quadrangle</t>
  </si>
  <si>
    <t>MG02</t>
  </si>
  <si>
    <t>MH - Outpatient</t>
  </si>
  <si>
    <t>MG30</t>
  </si>
  <si>
    <t>MH - North</t>
  </si>
  <si>
    <t>MG16</t>
  </si>
  <si>
    <t>MH - Hamann</t>
  </si>
  <si>
    <t>MG06</t>
  </si>
  <si>
    <t>MH - Core</t>
  </si>
  <si>
    <t>MG07</t>
  </si>
  <si>
    <t>MH - Bel Greve</t>
  </si>
  <si>
    <t>MG04</t>
  </si>
  <si>
    <t>FS</t>
  </si>
  <si>
    <t>NONE</t>
  </si>
  <si>
    <t>Magnolia 11130 - Delta Tau Delta</t>
  </si>
  <si>
    <t>2E13</t>
  </si>
  <si>
    <t>Magnolia 11016 - Phi Kappa Theta</t>
  </si>
  <si>
    <t>2D19</t>
  </si>
  <si>
    <t xml:space="preserve">Cleveland Hearing &amp; Speech 11206 Euclid Old </t>
  </si>
  <si>
    <t>4C39</t>
  </si>
  <si>
    <t>FULL</t>
  </si>
  <si>
    <t>Cleveland Hearing &amp; Speech</t>
  </si>
  <si>
    <t>3E75</t>
  </si>
  <si>
    <t>CCF - Lerner Research Institute</t>
  </si>
  <si>
    <t>3A01</t>
  </si>
  <si>
    <t>Bellflower 11333 - Delta Sigma Delta</t>
  </si>
  <si>
    <t>3D37</t>
  </si>
  <si>
    <t>Bellflower 11327 - Zeta Beta Tau</t>
  </si>
  <si>
    <t>3D35</t>
  </si>
  <si>
    <t>Bellflower 11317 - Phi Gamma Delta</t>
  </si>
  <si>
    <t>3D33</t>
  </si>
  <si>
    <t>NON-UNIVERSITY OWNED PROPERTIES</t>
  </si>
  <si>
    <t>Owner</t>
  </si>
  <si>
    <t>Replacement
Value</t>
  </si>
  <si>
    <t>Use</t>
  </si>
  <si>
    <t>Sprinklered</t>
  </si>
  <si>
    <t>Year removed from CWRU Inventory</t>
  </si>
  <si>
    <t>Year added to CWRU Inventory</t>
  </si>
  <si>
    <t>Acquisition</t>
  </si>
  <si>
    <t>Construction</t>
  </si>
  <si>
    <t>Zone</t>
  </si>
  <si>
    <t>Name</t>
  </si>
  <si>
    <t>ID</t>
  </si>
  <si>
    <t>Valley Ridge Farm - Octagon Building</t>
  </si>
  <si>
    <t>FV04</t>
  </si>
  <si>
    <t>Valley Ridge Farm - House 9</t>
  </si>
  <si>
    <t>FV06</t>
  </si>
  <si>
    <t>Valley Ridge Farm - House 8</t>
  </si>
  <si>
    <t>FV05</t>
  </si>
  <si>
    <t>Valley Ridge Farm - Horse Barn</t>
  </si>
  <si>
    <t>FV01</t>
  </si>
  <si>
    <t>Valley Ridge Farm - Dairy Barn</t>
  </si>
  <si>
    <t>FV02</t>
  </si>
  <si>
    <t>Valley Ridge Farm - Art Studio Barn</t>
  </si>
  <si>
    <t>FV03</t>
  </si>
  <si>
    <t>Valley Ridge Farm - 37325 Fairmount</t>
  </si>
  <si>
    <t>FV09</t>
  </si>
  <si>
    <t>Valley Ridge Farm - 37125 Fairmount House</t>
  </si>
  <si>
    <t>FV08</t>
  </si>
  <si>
    <t>Valley Ridge Farm - 2505 SOM Center House</t>
  </si>
  <si>
    <t>FV07</t>
  </si>
  <si>
    <t>Squire Valleevue Farm - Woodshop</t>
  </si>
  <si>
    <t>FB15</t>
  </si>
  <si>
    <t>Squire Valleevue Farm - White Barn</t>
  </si>
  <si>
    <t>FB17</t>
  </si>
  <si>
    <t>Squire Valleevue Farm - Tin Barn</t>
  </si>
  <si>
    <t>FB13</t>
  </si>
  <si>
    <t>Squire Valleevue Farm - Straw Barn</t>
  </si>
  <si>
    <t>FB06</t>
  </si>
  <si>
    <t>Squire Valleevue Farm - Storage Shed 1</t>
  </si>
  <si>
    <t>FB08</t>
  </si>
  <si>
    <t>Squire Valleevue Farm - Sheep Barn</t>
  </si>
  <si>
    <t>FB05</t>
  </si>
  <si>
    <t>Squire Valleevue Farm - Pump House</t>
  </si>
  <si>
    <t>FB02</t>
  </si>
  <si>
    <t>Squire Valleevue Farm - Pink Pig Silo Restroom</t>
  </si>
  <si>
    <t>FB03</t>
  </si>
  <si>
    <t>Squire Valleevue Farm - Pink Pig</t>
  </si>
  <si>
    <t>FB01</t>
  </si>
  <si>
    <t>Squire Valleevue Farm - Picnic Grounds Restroom</t>
  </si>
  <si>
    <t>FB12</t>
  </si>
  <si>
    <t>Squire Valleevue Farm - Manor House</t>
  </si>
  <si>
    <t>FB20</t>
  </si>
  <si>
    <t>Squire Valleevue Farm - Main Barn</t>
  </si>
  <si>
    <t>FB04</t>
  </si>
  <si>
    <t>Squire Valleevue Farm - Greenhouse Lab</t>
  </si>
  <si>
    <t>FB07</t>
  </si>
  <si>
    <t>Squire Valleevue Farm - Garden Shed</t>
  </si>
  <si>
    <t>FB09</t>
  </si>
  <si>
    <t>Squire Valleevue Farm - Chicken House</t>
  </si>
  <si>
    <t>FB14</t>
  </si>
  <si>
    <t>Squire Valleevue Farm - Boiler Shed</t>
  </si>
  <si>
    <t>FB16</t>
  </si>
  <si>
    <t>Squire Valleevue Farm - Boat Shed</t>
  </si>
  <si>
    <t>FB10</t>
  </si>
  <si>
    <t>FARM</t>
  </si>
  <si>
    <t>Owner Id</t>
  </si>
  <si>
    <t>PARTIAL</t>
  </si>
  <si>
    <t>Triangle Parking Garage</t>
  </si>
  <si>
    <t>4D13</t>
  </si>
  <si>
    <t>Circle Drive 2242</t>
  </si>
  <si>
    <t>Lot S-55 - Health Science Garage</t>
  </si>
  <si>
    <t>5C19</t>
  </si>
  <si>
    <t>Adelbert Road 2158</t>
  </si>
  <si>
    <t>Lot S-53 - Adelbert Garage</t>
  </si>
  <si>
    <t>5B04</t>
  </si>
  <si>
    <t>Lot 52B - MSASS Garage</t>
  </si>
  <si>
    <t>Cedar Avenue 11000</t>
  </si>
  <si>
    <t>Lot S-48 - Bioenterprise Garage</t>
  </si>
  <si>
    <t>5A08</t>
  </si>
  <si>
    <t>Lot S-46 - NRV Garage</t>
  </si>
  <si>
    <t>3E65</t>
  </si>
  <si>
    <t>Euclid Avenue 11001</t>
  </si>
  <si>
    <t>Lot S-29 - Campus Center Garage</t>
  </si>
  <si>
    <t>3C03</t>
  </si>
  <si>
    <t>East 101 Street 1819</t>
  </si>
  <si>
    <t>Lot S-14 - West Campus Parking Garage</t>
  </si>
  <si>
    <t>1B02</t>
  </si>
  <si>
    <t>Euclid Avenue 10900</t>
  </si>
  <si>
    <t xml:space="preserve">Lot S-10 - Crawford Hall </t>
  </si>
  <si>
    <t>GARAGES</t>
  </si>
  <si>
    <t xml:space="preserve">NONE </t>
  </si>
  <si>
    <t>Carlton 11925</t>
  </si>
  <si>
    <t>Carlton 11925 - Zeta Psi</t>
  </si>
  <si>
    <t>6C13</t>
  </si>
  <si>
    <t>Murray Hill 2255/53</t>
  </si>
  <si>
    <t>Murray Hill 2255/53 - Sigma Phi Epsilon</t>
  </si>
  <si>
    <t>6C19</t>
  </si>
  <si>
    <t>Magnolia 11136</t>
  </si>
  <si>
    <t>Magnolia 11136 - Theta Chi</t>
  </si>
  <si>
    <t>2E18</t>
  </si>
  <si>
    <t>Murray Hill 2235</t>
  </si>
  <si>
    <t>Murray Hill 2235 - Sigma Nu</t>
  </si>
  <si>
    <t>6C17</t>
  </si>
  <si>
    <t>Carlton 11911</t>
  </si>
  <si>
    <t>Carlton 11911 - Sigma Chi</t>
  </si>
  <si>
    <t>6C07</t>
  </si>
  <si>
    <t>Carlton 11915</t>
  </si>
  <si>
    <t>Carlton 11915 - Sigma Alpha Epsilon</t>
  </si>
  <si>
    <t>6C11</t>
  </si>
  <si>
    <t>Bellflower 11418</t>
  </si>
  <si>
    <t>Bellflower 11418 - Phi Mu</t>
  </si>
  <si>
    <t>3D23</t>
  </si>
  <si>
    <t>Murray Hill 2225</t>
  </si>
  <si>
    <t>Murray Hill 2225 - Phi Delta Theta</t>
  </si>
  <si>
    <t>6C21</t>
  </si>
  <si>
    <t>Bellflower 11421</t>
  </si>
  <si>
    <t>Bellflower 11421 - Alpha Chi</t>
  </si>
  <si>
    <t>3D56</t>
  </si>
  <si>
    <t>OWNED FRATERNITIES</t>
  </si>
  <si>
    <t>Van Aken Boulevard 18975</t>
  </si>
  <si>
    <t>1Z33</t>
  </si>
  <si>
    <t>Lakeshore Boulevard 12817</t>
  </si>
  <si>
    <t>Putnam House - 12817 Lakeshore Blvd</t>
  </si>
  <si>
    <t>1Z20</t>
  </si>
  <si>
    <t>Bellflower Court 11377</t>
  </si>
  <si>
    <t>Silver Spartan Diner</t>
  </si>
  <si>
    <t>3D58</t>
  </si>
  <si>
    <t>One to One Fitness</t>
  </si>
  <si>
    <t>5B16</t>
  </si>
  <si>
    <t>Nord Chilled Water Plant</t>
  </si>
  <si>
    <t>5B12</t>
  </si>
  <si>
    <t>Lorain Avenue 3404</t>
  </si>
  <si>
    <t>1Z10</t>
  </si>
  <si>
    <t>OTHER</t>
  </si>
  <si>
    <t>Juniper 11451</t>
  </si>
  <si>
    <t>3E15</t>
  </si>
  <si>
    <t>Juniper 11435</t>
  </si>
  <si>
    <t>Tyler House</t>
  </si>
  <si>
    <t>3E19</t>
  </si>
  <si>
    <t>Murray Hill 2355</t>
  </si>
  <si>
    <t>Tippit House</t>
  </si>
  <si>
    <t>6B09</t>
  </si>
  <si>
    <t>Juniper 11331</t>
  </si>
  <si>
    <t>Taplin House</t>
  </si>
  <si>
    <t>2D11</t>
  </si>
  <si>
    <t>Juniper 11341</t>
  </si>
  <si>
    <t>Taft House</t>
  </si>
  <si>
    <t>2D03</t>
  </si>
  <si>
    <t>Mistletoe Drive 1615</t>
  </si>
  <si>
    <t>Storrs House</t>
  </si>
  <si>
    <t>2E09</t>
  </si>
  <si>
    <t>Murray Hill 2365</t>
  </si>
  <si>
    <t>Staley House</t>
  </si>
  <si>
    <t>6B03</t>
  </si>
  <si>
    <t>Juniper 11311</t>
  </si>
  <si>
    <t>Smith House</t>
  </si>
  <si>
    <t>2D01</t>
  </si>
  <si>
    <t>Juniper 11439</t>
  </si>
  <si>
    <t>Sherman House</t>
  </si>
  <si>
    <t>3E13</t>
  </si>
  <si>
    <t>Juniper 11447</t>
  </si>
  <si>
    <t>Raymond House</t>
  </si>
  <si>
    <t>3E11</t>
  </si>
  <si>
    <t>East 115 Street 1636</t>
  </si>
  <si>
    <t>Pierce House</t>
  </si>
  <si>
    <t>2E03</t>
  </si>
  <si>
    <t>Juniper 11443</t>
  </si>
  <si>
    <t>Norton House</t>
  </si>
  <si>
    <t>3E21</t>
  </si>
  <si>
    <t>East 117 Street 1611</t>
  </si>
  <si>
    <t>North Residential Village - House 7</t>
  </si>
  <si>
    <t>3E07</t>
  </si>
  <si>
    <t>East 117 Street 1623</t>
  </si>
  <si>
    <t>North Residential Village - House 6</t>
  </si>
  <si>
    <t>3E06</t>
  </si>
  <si>
    <t>East 117 Street 1641</t>
  </si>
  <si>
    <t>North Residential Village - House 5</t>
  </si>
  <si>
    <t>3E05</t>
  </si>
  <si>
    <t>East 117 Street 1665</t>
  </si>
  <si>
    <t>North Residential Village - House 4</t>
  </si>
  <si>
    <t>3E04</t>
  </si>
  <si>
    <t>East 117 Street 1677</t>
  </si>
  <si>
    <t>North Residential Village - House 3A</t>
  </si>
  <si>
    <t>3E10</t>
  </si>
  <si>
    <t>East 117 Street 1681</t>
  </si>
  <si>
    <t>North Residential Village - House 3</t>
  </si>
  <si>
    <t>3E03</t>
  </si>
  <si>
    <t>East 117 Street 1697</t>
  </si>
  <si>
    <t>North Residential Village - House 2</t>
  </si>
  <si>
    <t>3E02</t>
  </si>
  <si>
    <t>East 117 Street 1672</t>
  </si>
  <si>
    <t>North Residential Village - House 1</t>
  </si>
  <si>
    <t>3E01</t>
  </si>
  <si>
    <t>Carlton Road 11896</t>
  </si>
  <si>
    <t>Michelson House</t>
  </si>
  <si>
    <t>6C01</t>
  </si>
  <si>
    <t>Mistletoe Drive 1619</t>
  </si>
  <si>
    <t>Leutner Commons</t>
  </si>
  <si>
    <t>2E01</t>
  </si>
  <si>
    <t>Carlton Road 11904</t>
  </si>
  <si>
    <t>Kusch House</t>
  </si>
  <si>
    <t>6C05</t>
  </si>
  <si>
    <t>Murray Hill 2335</t>
  </si>
  <si>
    <t>Howe House</t>
  </si>
  <si>
    <t>6B07</t>
  </si>
  <si>
    <t>East 115 Street 1626</t>
  </si>
  <si>
    <t>Hitchcock House</t>
  </si>
  <si>
    <t>3E23</t>
  </si>
  <si>
    <t>Carlton Road 11900</t>
  </si>
  <si>
    <t>Glaser House</t>
  </si>
  <si>
    <t>6C03</t>
  </si>
  <si>
    <t>Murray Hill 2315</t>
  </si>
  <si>
    <t>Fribley Commons</t>
  </si>
  <si>
    <t>6B11</t>
  </si>
  <si>
    <t>Juniper 11301</t>
  </si>
  <si>
    <t>Cutter House</t>
  </si>
  <si>
    <t>2D07</t>
  </si>
  <si>
    <t>East 115 Street 1616</t>
  </si>
  <si>
    <t>Cutler House</t>
  </si>
  <si>
    <t>2E05</t>
  </si>
  <si>
    <t>East 115 Street 1596</t>
  </si>
  <si>
    <t>Clarke Tower</t>
  </si>
  <si>
    <t>2E11</t>
  </si>
  <si>
    <t>Carlton Road 11892</t>
  </si>
  <si>
    <t>Carlton Commons</t>
  </si>
  <si>
    <t>6B01</t>
  </si>
  <si>
    <t>East 116 Street 1727</t>
  </si>
  <si>
    <t>Apartment 1727 East 116th Street</t>
  </si>
  <si>
    <t>3E61</t>
  </si>
  <si>
    <t>East 116 Street 1720/28</t>
  </si>
  <si>
    <t>Apartment 1720/28 East 116th Street - The Noble</t>
  </si>
  <si>
    <t>3E59</t>
  </si>
  <si>
    <t>East 116 Street 1719</t>
  </si>
  <si>
    <t>Apartment 1719 East 116th Street</t>
  </si>
  <si>
    <t>3E60</t>
  </si>
  <si>
    <t>East 115 Street 1715</t>
  </si>
  <si>
    <t>Apartment 1715 East 115th Street - Twin Gables</t>
  </si>
  <si>
    <t>3D65</t>
  </si>
  <si>
    <t>East 117 Street 1680</t>
  </si>
  <si>
    <t>Apartment 1680 East 117th Street</t>
  </si>
  <si>
    <t>3E71</t>
  </si>
  <si>
    <t>Murray Hill 2345</t>
  </si>
  <si>
    <t>Alumni House - 2345 Murray Hill</t>
  </si>
  <si>
    <t>6B05</t>
  </si>
  <si>
    <t>RESIDENTIAL</t>
  </si>
  <si>
    <t>CR</t>
  </si>
  <si>
    <t>Wade Park 11420</t>
  </si>
  <si>
    <t>Wade Park 11420 - House</t>
  </si>
  <si>
    <t>2E12</t>
  </si>
  <si>
    <t>Murray Hill 2265</t>
  </si>
  <si>
    <t>Murray Hill 2265 - Murray Hill House</t>
  </si>
  <si>
    <t>6C15</t>
  </si>
  <si>
    <t>Murray Hill 2272</t>
  </si>
  <si>
    <t>Murray Hill 2272 - House</t>
  </si>
  <si>
    <t>5C28</t>
  </si>
  <si>
    <t>Murray Hill 2266</t>
  </si>
  <si>
    <t>Murray Hill 2266 - House</t>
  </si>
  <si>
    <t>5C29</t>
  </si>
  <si>
    <t>Magnolia 11116</t>
  </si>
  <si>
    <t>Magnolia 11116 - Magnolia House</t>
  </si>
  <si>
    <t>2E15</t>
  </si>
  <si>
    <t>Juniper Drive 11321</t>
  </si>
  <si>
    <t>Juniper 11320</t>
  </si>
  <si>
    <t>3D48</t>
  </si>
  <si>
    <t>Ford 1901</t>
  </si>
  <si>
    <t>Glidden House - 1901 Ford</t>
  </si>
  <si>
    <t>3D43</t>
  </si>
  <si>
    <t>Glenwood 11409</t>
  </si>
  <si>
    <t>Glenwood 11409 - House</t>
  </si>
  <si>
    <t>6B20</t>
  </si>
  <si>
    <t>Glenwood 11407</t>
  </si>
  <si>
    <t>Glenwood 11407 - House</t>
  </si>
  <si>
    <t>6B19</t>
  </si>
  <si>
    <t>Fairchild 11430</t>
  </si>
  <si>
    <t>Fairchild 11430 - House</t>
  </si>
  <si>
    <t>6B13</t>
  </si>
  <si>
    <t xml:space="preserve">Fairchild 11426 </t>
  </si>
  <si>
    <t>Fairchild 11426 - House</t>
  </si>
  <si>
    <t>6B15</t>
  </si>
  <si>
    <t>Fairchild 11422</t>
  </si>
  <si>
    <t>Fairchild 11422 - House</t>
  </si>
  <si>
    <t>6B14</t>
  </si>
  <si>
    <t>Fairchild 11414</t>
  </si>
  <si>
    <t>Fairchild 11414 - Fairchild House</t>
  </si>
  <si>
    <t>6B18</t>
  </si>
  <si>
    <t>Carlton Road 11921/11923</t>
  </si>
  <si>
    <t>Carlton 11921/11923 - duplex</t>
  </si>
  <si>
    <t>6C09</t>
  </si>
  <si>
    <t>Carlton Road 11920</t>
  </si>
  <si>
    <t>Carlton 11920 - Guest House</t>
  </si>
  <si>
    <t>6C08</t>
  </si>
  <si>
    <t>Carlton Road 11901</t>
  </si>
  <si>
    <t>Carlton 11901 - Scholars House</t>
  </si>
  <si>
    <t>6C04</t>
  </si>
  <si>
    <t>Bellflower Road 11424.5</t>
  </si>
  <si>
    <t>Bellflower 11424.5 - Carriage House</t>
  </si>
  <si>
    <t>3D67</t>
  </si>
  <si>
    <t>COMMERCIAL RESIDENTIAL</t>
  </si>
  <si>
    <t>Mayfield Road 11477</t>
  </si>
  <si>
    <t>Triangle Tower 2</t>
  </si>
  <si>
    <t>4D11</t>
  </si>
  <si>
    <t>Mayfield Road 11457</t>
  </si>
  <si>
    <t>Triangle Tower 1</t>
  </si>
  <si>
    <t>4D10</t>
  </si>
  <si>
    <t>Ford 1903</t>
  </si>
  <si>
    <t>Ford 1903 - Land Only</t>
  </si>
  <si>
    <t>3D44</t>
  </si>
  <si>
    <t>Bellflower Road 11401</t>
  </si>
  <si>
    <t>Bellflower 11401 - L'Albatros</t>
  </si>
  <si>
    <t>3D50</t>
  </si>
  <si>
    <t>Juniper Drive 11310</t>
  </si>
  <si>
    <t>Juniper 11310 - Barking Spider</t>
  </si>
  <si>
    <t>3D51</t>
  </si>
  <si>
    <t>Juniper Drive11300</t>
  </si>
  <si>
    <t xml:space="preserve">Juniper 11300 - Coffee House @ University Circle </t>
  </si>
  <si>
    <t>3D49</t>
  </si>
  <si>
    <t>COMMERCIAL</t>
  </si>
  <si>
    <t>Bellflower Road 11318</t>
  </si>
  <si>
    <t>Wolstein Hall</t>
  </si>
  <si>
    <t>3D13</t>
  </si>
  <si>
    <t>Martin Luther King Jr. Drive 2121</t>
  </si>
  <si>
    <t>Tomlinson Hall</t>
  </si>
  <si>
    <t>4B27</t>
  </si>
  <si>
    <t>Euclid Avenue 11111</t>
  </si>
  <si>
    <t>Thwing Center</t>
  </si>
  <si>
    <t>3C07</t>
  </si>
  <si>
    <t>Bellflower Road 11421.5</t>
  </si>
  <si>
    <t>Protective Services Satellite Office</t>
  </si>
  <si>
    <t>3D55</t>
  </si>
  <si>
    <t>East 115 Street 1725</t>
  </si>
  <si>
    <t>North Campus Security Office</t>
  </si>
  <si>
    <t>3D66</t>
  </si>
  <si>
    <t>Cedar Avenue 11201</t>
  </si>
  <si>
    <t>Lincoln Storage</t>
  </si>
  <si>
    <t>5B01</t>
  </si>
  <si>
    <t>Adelbert Road 2145</t>
  </si>
  <si>
    <t>Health Services Building</t>
  </si>
  <si>
    <t>5C05</t>
  </si>
  <si>
    <t>Harcourt 2163</t>
  </si>
  <si>
    <t>Harcourt House - Harcourt 2163</t>
  </si>
  <si>
    <t>6C02</t>
  </si>
  <si>
    <t>Cedar Avenue 10620</t>
  </si>
  <si>
    <t>Cedar Avenue Service Center</t>
  </si>
  <si>
    <t>5A07</t>
  </si>
  <si>
    <t>BioEnterprise / University West</t>
  </si>
  <si>
    <t>5A02</t>
  </si>
  <si>
    <t>Bellflower Road 11424</t>
  </si>
  <si>
    <t>Bellflower 11424 - Computing Center</t>
  </si>
  <si>
    <t>3D57</t>
  </si>
  <si>
    <t>Bellflower Road 11416</t>
  </si>
  <si>
    <t>Bellflower 11416 - Carriage House</t>
  </si>
  <si>
    <t>3D24</t>
  </si>
  <si>
    <t>Alumni House - 11310 Juniper</t>
  </si>
  <si>
    <t>3D47</t>
  </si>
  <si>
    <t>Euclid Avenue 11000</t>
  </si>
  <si>
    <t>Allen Memorial Library</t>
  </si>
  <si>
    <t>4C35</t>
  </si>
  <si>
    <t>Adelbert Road 2040</t>
  </si>
  <si>
    <t>Adelbert Hall</t>
  </si>
  <si>
    <t>4B29</t>
  </si>
  <si>
    <t>ADMINISTRATIVE</t>
  </si>
  <si>
    <t>Martin Luther King Jr. Drive 2049</t>
  </si>
  <si>
    <t>Yost Hall</t>
  </si>
  <si>
    <t>4B17</t>
  </si>
  <si>
    <t>Adelbert Road 2123</t>
  </si>
  <si>
    <t>Wood Research Tower</t>
  </si>
  <si>
    <t>5C18</t>
  </si>
  <si>
    <t>Adelbert Road 2109</t>
  </si>
  <si>
    <t>Wood Building</t>
  </si>
  <si>
    <t>5C17</t>
  </si>
  <si>
    <t>Cornell Road 2103</t>
  </si>
  <si>
    <t>Wolstein Research Building</t>
  </si>
  <si>
    <t>5D02</t>
  </si>
  <si>
    <t>Martin Luther King Jr. Drive 2071</t>
  </si>
  <si>
    <t>Wickenden</t>
  </si>
  <si>
    <t>4B07</t>
  </si>
  <si>
    <t>Martin Luther King Jr. Drive 2111</t>
  </si>
  <si>
    <t>White Building</t>
  </si>
  <si>
    <t>5B13</t>
  </si>
  <si>
    <t>Adelbert Road 2138</t>
  </si>
  <si>
    <t>Veale Center</t>
  </si>
  <si>
    <t>5B06</t>
  </si>
  <si>
    <t>Adelbert Road 2125</t>
  </si>
  <si>
    <t>Strosacker Auditorium</t>
  </si>
  <si>
    <t>4B03</t>
  </si>
  <si>
    <t>Stone Hall</t>
  </si>
  <si>
    <t>2D09</t>
  </si>
  <si>
    <t>Circle Drive 2210</t>
  </si>
  <si>
    <t>Sears Tower</t>
  </si>
  <si>
    <t>Martin Luther King Jr. Drive 2083</t>
  </si>
  <si>
    <t>Sears</t>
  </si>
  <si>
    <t>4B01</t>
  </si>
  <si>
    <t>Adelbert Road 2076</t>
  </si>
  <si>
    <t>Rockefeller</t>
  </si>
  <si>
    <t>4B09</t>
  </si>
  <si>
    <t>Robbins Building</t>
  </si>
  <si>
    <t>5C13</t>
  </si>
  <si>
    <t>Bellflower Road 11119</t>
  </si>
  <si>
    <t>Peter B Lewis</t>
  </si>
  <si>
    <t>3D39</t>
  </si>
  <si>
    <t>Adelbert Road 2085</t>
  </si>
  <si>
    <t>Pathology Building</t>
  </si>
  <si>
    <t>4C05</t>
  </si>
  <si>
    <t>Martin Luther King Jr. Drive 2101</t>
  </si>
  <si>
    <t>Olin Building</t>
  </si>
  <si>
    <t>5B19</t>
  </si>
  <si>
    <t>Cornell Road 2120</t>
  </si>
  <si>
    <t>Nursing School</t>
  </si>
  <si>
    <t>5C21</t>
  </si>
  <si>
    <t>Martin Luther King Jr. Drive 2095</t>
  </si>
  <si>
    <t>Nord Hall</t>
  </si>
  <si>
    <t>4B05</t>
  </si>
  <si>
    <t>Adelbert Road 2090</t>
  </si>
  <si>
    <t>Morley Chemistry</t>
  </si>
  <si>
    <t>4B11</t>
  </si>
  <si>
    <t>Adelbert Road 2074</t>
  </si>
  <si>
    <t>Millis Hall</t>
  </si>
  <si>
    <t>4B13</t>
  </si>
  <si>
    <t>Bellflower Road 11220</t>
  </si>
  <si>
    <t>Mather Memorial Building</t>
  </si>
  <si>
    <t>3D05</t>
  </si>
  <si>
    <t>Euclid Avenue 11201</t>
  </si>
  <si>
    <t>Mather House</t>
  </si>
  <si>
    <t>3C13</t>
  </si>
  <si>
    <t>Bellflower Road 11040</t>
  </si>
  <si>
    <t>Mather Dance Center</t>
  </si>
  <si>
    <t>3C19</t>
  </si>
  <si>
    <t>Bellflower Road 11235</t>
  </si>
  <si>
    <t>Mandel School of Applied Social Sciences</t>
  </si>
  <si>
    <t>3D29</t>
  </si>
  <si>
    <t>Bellflower Road 11402</t>
  </si>
  <si>
    <t>Mandel Center for Nonprofit</t>
  </si>
  <si>
    <t>3D15</t>
  </si>
  <si>
    <t>East Boulevard 11075</t>
  </si>
  <si>
    <t>Law School</t>
  </si>
  <si>
    <t>3D42</t>
  </si>
  <si>
    <t>Adelbert Road 2100</t>
  </si>
  <si>
    <t>Kent Hale Smith</t>
  </si>
  <si>
    <t>5B23</t>
  </si>
  <si>
    <t>Euclid Avenue 11055</t>
  </si>
  <si>
    <t>Kelvin Smith Library</t>
  </si>
  <si>
    <t>3C09</t>
  </si>
  <si>
    <t>Bellflower Road 11118</t>
  </si>
  <si>
    <t>Haydn Hall</t>
  </si>
  <si>
    <t>3C15</t>
  </si>
  <si>
    <t>Bellflower Road 11200</t>
  </si>
  <si>
    <t>Harkness Chapel</t>
  </si>
  <si>
    <t>3D03</t>
  </si>
  <si>
    <t>Bellflower Road 11112</t>
  </si>
  <si>
    <t>Guilford House</t>
  </si>
  <si>
    <t>3C23</t>
  </si>
  <si>
    <t>Martin Luther King Jr. Drive 2123</t>
  </si>
  <si>
    <t>Glennan Building</t>
  </si>
  <si>
    <t>5B09</t>
  </si>
  <si>
    <t>Emerson Gym</t>
  </si>
  <si>
    <t>5B03</t>
  </si>
  <si>
    <t>Adelbert Road 2070</t>
  </si>
  <si>
    <t>Eldred Hall</t>
  </si>
  <si>
    <t>4B23</t>
  </si>
  <si>
    <t>Bellflower Road 11240</t>
  </si>
  <si>
    <t>Dively Building</t>
  </si>
  <si>
    <t>3D09</t>
  </si>
  <si>
    <t>Cornell Road 2124</t>
  </si>
  <si>
    <t>Dental School</t>
  </si>
  <si>
    <t>5C23</t>
  </si>
  <si>
    <t>East 115th 1650</t>
  </si>
  <si>
    <t>Denison Hall</t>
  </si>
  <si>
    <t>3E17</t>
  </si>
  <si>
    <t>Crawford Hall</t>
  </si>
  <si>
    <t>4B30</t>
  </si>
  <si>
    <t>Bellflower Road 11130</t>
  </si>
  <si>
    <t>Clark Hall</t>
  </si>
  <si>
    <t>3C21</t>
  </si>
  <si>
    <t>East 101st 1819</t>
  </si>
  <si>
    <t>CCSB &amp; Wright Fuel Cell</t>
  </si>
  <si>
    <t>2B05</t>
  </si>
  <si>
    <t>Biomedical Research Building</t>
  </si>
  <si>
    <t>5C15</t>
  </si>
  <si>
    <t>Adelbert Road 2104</t>
  </si>
  <si>
    <t>Bingham Building</t>
  </si>
  <si>
    <t>5B15</t>
  </si>
  <si>
    <t>Bellflower Road 11427</t>
  </si>
  <si>
    <t>Bellflower 11427 - Bellflower House</t>
  </si>
  <si>
    <t>3E09</t>
  </si>
  <si>
    <t>Adelbert Road 2102</t>
  </si>
  <si>
    <t>AW Smith</t>
  </si>
  <si>
    <t>5B21</t>
  </si>
  <si>
    <t>Adelbert Road 2215</t>
  </si>
  <si>
    <t>Art Studio</t>
  </si>
  <si>
    <t>5C24</t>
  </si>
  <si>
    <t>Euclid Avenue 10940</t>
  </si>
  <si>
    <t>Amasa Stone Chapel</t>
  </si>
  <si>
    <t>4B31</t>
  </si>
  <si>
    <t>Adelbert Road 2128</t>
  </si>
  <si>
    <t>Adelbert Gym</t>
  </si>
  <si>
    <t>5B17</t>
  </si>
  <si>
    <t>ACADEMIC</t>
  </si>
  <si>
    <t>Address</t>
  </si>
  <si>
    <t>Renovation Threshold</t>
  </si>
  <si>
    <t>Average Replacement Value</t>
  </si>
  <si>
    <t>Garage</t>
  </si>
  <si>
    <t>Fraternity/Sorority</t>
  </si>
  <si>
    <t>Farm</t>
  </si>
  <si>
    <t>Commercial Residential</t>
  </si>
  <si>
    <t>Commercial</t>
  </si>
  <si>
    <t>Average SF per Building</t>
  </si>
  <si>
    <t>Administrative</t>
  </si>
  <si>
    <t>Implied Average Cost per GSF for Major Renovation</t>
  </si>
  <si>
    <r>
      <rPr>
        <b/>
        <i/>
        <sz val="11"/>
        <color theme="1"/>
        <rFont val="Calibri"/>
        <family val="2"/>
        <scheme val="minor"/>
      </rPr>
      <t>CWRU</t>
    </r>
    <r>
      <rPr>
        <b/>
        <sz val="11"/>
        <color theme="1"/>
        <rFont val="Calibri"/>
        <family val="2"/>
        <scheme val="minor"/>
      </rPr>
      <t xml:space="preserve"> Owned Buildings</t>
    </r>
  </si>
  <si>
    <t>Major Renovation Projects per Year</t>
  </si>
  <si>
    <t>Minimum Cost per Major Renovation Project</t>
  </si>
  <si>
    <t>Non-University Owned</t>
  </si>
  <si>
    <t xml:space="preserve">Garage </t>
  </si>
  <si>
    <t>GRAND TOTAL</t>
  </si>
  <si>
    <t>Sold</t>
  </si>
  <si>
    <t>AC + AD =</t>
  </si>
  <si>
    <t>CWRU Leased</t>
  </si>
  <si>
    <t>UH</t>
  </si>
  <si>
    <t>MCCo</t>
  </si>
  <si>
    <t>Owner ID</t>
  </si>
  <si>
    <t>USE</t>
  </si>
  <si>
    <t>No longer in use by CWRU</t>
  </si>
  <si>
    <t>= Multiple ID's counted as 1 building</t>
  </si>
  <si>
    <r>
      <t xml:space="preserve">Replacement Value </t>
    </r>
    <r>
      <rPr>
        <sz val="11"/>
        <color theme="1"/>
        <rFont val="Calibri"/>
        <family val="2"/>
        <scheme val="minor"/>
      </rPr>
      <t>as of 11/2009</t>
    </r>
  </si>
  <si>
    <t>KEY</t>
  </si>
  <si>
    <t>YearCWRUAdded</t>
  </si>
  <si>
    <t>TYPE</t>
  </si>
  <si>
    <t>AVERAGE PER YEAR SINCE 1980</t>
  </si>
  <si>
    <t>AVERAGE PER DECADE SINCE 1980</t>
  </si>
  <si>
    <t>W/O GARAGES AND FARMS - TRAILING 10 YRS</t>
  </si>
  <si>
    <t>TOTAL - TRAILING 10 YRS</t>
  </si>
  <si>
    <t>W/O GARAGES AND FARMS</t>
  </si>
  <si>
    <t>YEAR</t>
  </si>
  <si>
    <t>Grand Total</t>
  </si>
  <si>
    <t>Sum of GSF</t>
  </si>
  <si>
    <t>Row Labels</t>
  </si>
  <si>
    <t>Since</t>
  </si>
  <si>
    <t>prior to 2005</t>
  </si>
  <si>
    <t>TRIANGLE BLDG Total</t>
  </si>
  <si>
    <t>Demolished 1995</t>
  </si>
  <si>
    <t>Pardee</t>
  </si>
  <si>
    <t>Demolished  1998, replaced with Veale</t>
  </si>
  <si>
    <t>Quail</t>
  </si>
  <si>
    <t>Demolished 2005</t>
  </si>
  <si>
    <t>BAKER MEMORIAL Total</t>
  </si>
  <si>
    <t>_x000C__x001A_</t>
  </si>
  <si>
    <t>Wood Bldg-VA Research Space</t>
  </si>
  <si>
    <t>HSC Garage/Dock-Canopy/Waste Room</t>
  </si>
  <si>
    <t>Adelbert Room 6</t>
  </si>
  <si>
    <t>BRB Catwalk Extension</t>
  </si>
  <si>
    <t>Guilford - Roof Replacement</t>
  </si>
  <si>
    <t>Univ West Bldg-Renovation 3rd Fl</t>
  </si>
  <si>
    <t>/  /</t>
  </si>
  <si>
    <t>Kent Smith E&amp;S Mechanical</t>
  </si>
  <si>
    <t>Veale-install new overhang lights</t>
  </si>
  <si>
    <t>11901 Carlton Renovation</t>
  </si>
  <si>
    <t>Yost/Adelbert-indoor air quality report</t>
  </si>
  <si>
    <t>Nursing-duct extension</t>
  </si>
  <si>
    <t>Law School AC 3 &amp; 4 Replacement</t>
  </si>
  <si>
    <t>Wood Bldg, VA Relocations</t>
  </si>
  <si>
    <t>Eldred Hall-Entrance Facade Lighting</t>
  </si>
  <si>
    <t>Montville-window replacement</t>
  </si>
  <si>
    <t>Staley - Transformer Replacement</t>
  </si>
  <si>
    <t>Housing, Shower Walls</t>
  </si>
  <si>
    <t>Med East - Air Quality</t>
  </si>
  <si>
    <t>Amasa Stone-Panels</t>
  </si>
  <si>
    <t>MH Frat/Fribley Commons Biolers-Design</t>
  </si>
  <si>
    <t>Bike Racks</t>
  </si>
  <si>
    <t>Housing Landscaping 1992</t>
  </si>
  <si>
    <t>Allen Memorial Library-Key Recore</t>
  </si>
  <si>
    <t>Millis 4th Floor Undergrad Labs</t>
  </si>
  <si>
    <t>Olin - Furniture</t>
  </si>
  <si>
    <t>Science Center-Furnishings</t>
  </si>
  <si>
    <t>Bellflower Hall Landscaping</t>
  </si>
  <si>
    <t>Wood Building-removal of rooms</t>
  </si>
  <si>
    <t>Dental School Fire System Reno.</t>
  </si>
  <si>
    <t>Rockefeller Attic PCB Removal</t>
  </si>
  <si>
    <t>Zone 4-Air Compressor Replacement</t>
  </si>
  <si>
    <t>Adelbert Hall Lighting</t>
  </si>
  <si>
    <t>11427 Bellflower Fire Alarm System</t>
  </si>
  <si>
    <t>Lot 1 - Landscape Design</t>
  </si>
  <si>
    <t>Health Services Bldg A/C Upgrade</t>
  </si>
  <si>
    <t>White Building - Rekey All Locks</t>
  </si>
  <si>
    <t>Tomlinson -Undergrad Admission Offices</t>
  </si>
  <si>
    <t>Med E TB Research 2</t>
  </si>
  <si>
    <t>University West-exterior entrance</t>
  </si>
  <si>
    <t>Baker-installation of strainer</t>
  </si>
  <si>
    <t>Montville Observatory Door Upgrades</t>
  </si>
  <si>
    <t>Glennan Antenna Installations</t>
  </si>
  <si>
    <t>Glennan air handler A/C Drives</t>
  </si>
  <si>
    <t>Fribley Transformer Replacement</t>
  </si>
  <si>
    <t>Alpha Chi-carpet replacement</t>
  </si>
  <si>
    <t>Eldred Theater-Exterior Masonry Restoration</t>
  </si>
  <si>
    <t>Veale Convo. Center - Ice Damage Repairs</t>
  </si>
  <si>
    <t>Wood Bldg Office Renovations WG-30</t>
  </si>
  <si>
    <t>Thwing Commuter Lounge</t>
  </si>
  <si>
    <t>Finnigan Field Backstop Repairs</t>
  </si>
  <si>
    <t>Sears-Reception Area Second Floor</t>
  </si>
  <si>
    <t>Enterprise Carpeting</t>
  </si>
  <si>
    <t>Thwing Skylights</t>
  </si>
  <si>
    <t>Case Quad-5000 KVA substation upgrade</t>
  </si>
  <si>
    <t>Carlton-Tennis Courts</t>
  </si>
  <si>
    <t>Murray Hill Electrical Loop-Design</t>
  </si>
  <si>
    <t>Carlton Rd Dorms-Fire Alarms</t>
  </si>
  <si>
    <t>Phi Mu-carpet replacement</t>
  </si>
  <si>
    <t>Murray Hill Cable Break</t>
  </si>
  <si>
    <t>Baker Building-room 120 renovations</t>
  </si>
  <si>
    <t>Mather Memorial-refinish hallway chandelier</t>
  </si>
  <si>
    <t>Pathology Harding 105/107</t>
  </si>
  <si>
    <t>White-chilled water</t>
  </si>
  <si>
    <t>Alumni Center-Design</t>
  </si>
  <si>
    <t>Univ West Bldg-Fume Hood/Exhaust System</t>
  </si>
  <si>
    <t>University West-Generic Research Labs</t>
  </si>
  <si>
    <t>Med E. 628, Neurosciences Lab</t>
  </si>
  <si>
    <t>Apartments-chaseways</t>
  </si>
  <si>
    <t>White Building-Student Lounge</t>
  </si>
  <si>
    <t>Manor House Concrete Repairs</t>
  </si>
  <si>
    <t>U West - Fire Alarm Replacement</t>
  </si>
  <si>
    <t>Dental School-exhaust improvements</t>
  </si>
  <si>
    <t>HSC Repair Hot Water Main</t>
  </si>
  <si>
    <t>Med. E. 5th Fl. Exhaust Cleaning</t>
  </si>
  <si>
    <t>Manor House-install air conditioning</t>
  </si>
  <si>
    <t>MSASS Library Updates</t>
  </si>
  <si>
    <t>Med School ARC Accreditation Work</t>
  </si>
  <si>
    <t>1727 E. 116th St Apt#6 Renovation</t>
  </si>
  <si>
    <t>BRB -- Add Cabinet Locks</t>
  </si>
  <si>
    <t>BRB-upholstery replacement</t>
  </si>
  <si>
    <t>U. West Security Cameras</t>
  </si>
  <si>
    <t>CASC Rental Storage Area</t>
  </si>
  <si>
    <t>1720 E116th St Rehab Apt #9</t>
  </si>
  <si>
    <t>Yost Statistics Faceplates</t>
  </si>
  <si>
    <t>Hearing &amp; Speech-remodel rm. 110</t>
  </si>
  <si>
    <t>Millis 203S Explosion Repairs</t>
  </si>
  <si>
    <t>Carlton Road Tennis Court Repairs</t>
  </si>
  <si>
    <t>Rad Store Room-floor repairs</t>
  </si>
  <si>
    <t>BRB - Hemoc 301 Lab</t>
  </si>
  <si>
    <t>Smith Chem Astronomy CWRU-Net</t>
  </si>
  <si>
    <t>Strosacker-interior renovations</t>
  </si>
  <si>
    <t>Dental 4th Floor Buss Duct Replacement</t>
  </si>
  <si>
    <t>Campus automatic light sensors</t>
  </si>
  <si>
    <t>White 334-338 Processing Lab</t>
  </si>
  <si>
    <t>Campus EMS Network Maintenance</t>
  </si>
  <si>
    <t>Glennan-Stairwell panic devices</t>
  </si>
  <si>
    <t>Van Horn Sewer Damage Repair</t>
  </si>
  <si>
    <t>Mather House Roof Replacement</t>
  </si>
  <si>
    <t>Wood Bldg 1600 Amp Bolt Loc Replace</t>
  </si>
  <si>
    <t>1728 E 116th The Noble #6</t>
  </si>
  <si>
    <t>Med E., Physiology Minor Renovations</t>
  </si>
  <si>
    <t>Crawford Microgravity Center</t>
  </si>
  <si>
    <t>Yost HVAC Renovation</t>
  </si>
  <si>
    <t>Taft Lounge Damage</t>
  </si>
  <si>
    <t>Campus Bench Program - Design</t>
  </si>
  <si>
    <t>Kent Smith Library ETS Testing Room</t>
  </si>
  <si>
    <t>Housing Mechanical 1992</t>
  </si>
  <si>
    <t>Bellflower Road-Landscape Improvements</t>
  </si>
  <si>
    <t>Clark Hall Painting</t>
  </si>
  <si>
    <t>BRB 728 Genetics Admin Office</t>
  </si>
  <si>
    <t>Triangle Bldg Pediatrics Department Minor Renovation</t>
  </si>
  <si>
    <t>SV Farm-CWRUnet Installation</t>
  </si>
  <si>
    <t>Emerson gym &amp; lobbing lighting</t>
  </si>
  <si>
    <t>Dental - Computer Lab</t>
  </si>
  <si>
    <t>Glennan Lock Recoring</t>
  </si>
  <si>
    <t>Murray Hill Boilers - Engin.</t>
  </si>
  <si>
    <t>Farm Fuel Storage Tank Replacement</t>
  </si>
  <si>
    <t>BRB Windows</t>
  </si>
  <si>
    <t>Medical School-ARC floor drains</t>
  </si>
  <si>
    <t>Tomlinson HVAC Supplement</t>
  </si>
  <si>
    <t>Glennan  XPS Install Upgrades</t>
  </si>
  <si>
    <t>CASC-second shift office</t>
  </si>
  <si>
    <t>Wearn CWRU-Net</t>
  </si>
  <si>
    <t>Olin Renovation Deans Office</t>
  </si>
  <si>
    <t>CWRUnet-White Building</t>
  </si>
  <si>
    <t>K.H. Smith-Student Lounge</t>
  </si>
  <si>
    <t>Glennan 308 HP Lab Upgrades</t>
  </si>
  <si>
    <t>Mather Memorial Pole Lighting</t>
  </si>
  <si>
    <t>Leutner Commons-Cooling Tower Replacement</t>
  </si>
  <si>
    <t>Wickenden-Waterproofing of Ductwork</t>
  </si>
  <si>
    <t>Dively Supplemental Landscaping</t>
  </si>
  <si>
    <t>Wood Bldg Emergency Power</t>
  </si>
  <si>
    <t>Sears Library-chilled water filter</t>
  </si>
  <si>
    <t>University West-design &amp; remodel rooms 285-220</t>
  </si>
  <si>
    <t>White Foundry Exhaust Repair</t>
  </si>
  <si>
    <t>Health Services Heating System Upgrade</t>
  </si>
  <si>
    <t>11427 Bellflower Renovation - Design</t>
  </si>
  <si>
    <t>Med T103, Vice Dean's Office</t>
  </si>
  <si>
    <t>Thwing Center-Alterations</t>
  </si>
  <si>
    <t>Dively Room 104 Remodel</t>
  </si>
  <si>
    <t>Glennan-Hood exhaust upgrade</t>
  </si>
  <si>
    <t>Housing, M.H. Hot Water Line</t>
  </si>
  <si>
    <t>Adelbert Gym-Exterior Masonry Restoration</t>
  </si>
  <si>
    <t>Science Center-Courtyard</t>
  </si>
  <si>
    <t>Dental Lab Retro-fit Lighting</t>
  </si>
  <si>
    <t>1719/1727 Fire Alarm &amp; Redecorating</t>
  </si>
  <si>
    <t>Wood Bldg Env Health Office Renovations</t>
  </si>
  <si>
    <t>Bingham Electrical &amp; Fire Systems</t>
  </si>
  <si>
    <t>1680 East 117th-suite renovation</t>
  </si>
  <si>
    <t>Bellflower House-Basement Plumbing Upgrade Existing</t>
  </si>
  <si>
    <t>Baker Bldg-Renovation Assessment</t>
  </si>
  <si>
    <t>Bingham Magnablast Maintenance</t>
  </si>
  <si>
    <t>MSASS 3rd Floor Remodel</t>
  </si>
  <si>
    <t>Adelbert Gym Window Replacement</t>
  </si>
  <si>
    <t>Campus Bench Installations</t>
  </si>
  <si>
    <t>Mather Quad-Merging Fountain</t>
  </si>
  <si>
    <t>FY04-05</t>
  </si>
  <si>
    <t>U. West Training Room</t>
  </si>
  <si>
    <t>Dormitory ATM Upgrades</t>
  </si>
  <si>
    <t>Thwing-Install new pole lights</t>
  </si>
  <si>
    <t>Thwing-Exterior light replacement</t>
  </si>
  <si>
    <t>White 241C and 322</t>
  </si>
  <si>
    <t>Nursing Mailroom Remodeling</t>
  </si>
  <si>
    <t>Rockefeller - Texcoat Tile Walls</t>
  </si>
  <si>
    <t>Haydn Carpet Replacement</t>
  </si>
  <si>
    <t>U West Exterior Light Bases</t>
  </si>
  <si>
    <t>Olin 1st Floor Renovation</t>
  </si>
  <si>
    <t>Theta Chi (carriage house)-demo</t>
  </si>
  <si>
    <t>Med E., ARC Heating Coils</t>
  </si>
  <si>
    <t>White Bldg-Chilled Water Filter</t>
  </si>
  <si>
    <t>Health Science Complex Concrete</t>
  </si>
  <si>
    <t>Veale Center-add ice guards</t>
  </si>
  <si>
    <t>Mather Memorial - 137 Renovations</t>
  </si>
  <si>
    <t>Kent Hale Smith-cleaning &amp; repainting</t>
  </si>
  <si>
    <t>Crawford Mechanical Improvements</t>
  </si>
  <si>
    <t>Valley Ridge Farm-upgrade electrical service</t>
  </si>
  <si>
    <t>1680 East 117th Apts-Suite 301 Renovation</t>
  </si>
  <si>
    <t>Allen Mem. Lib.-Fire Alarm Upgrade &amp; Sprinkler</t>
  </si>
  <si>
    <t>Olin Renovation Closeout</t>
  </si>
  <si>
    <t>1715 E 115th Street Twin Gables</t>
  </si>
  <si>
    <t>1727 E 116th Street Back Stairs</t>
  </si>
  <si>
    <t>Eldred-window replacement</t>
  </si>
  <si>
    <t>Veale-Install access landings on HVAC units</t>
  </si>
  <si>
    <t>PiKA House Repairs</t>
  </si>
  <si>
    <t>Med East Clock Installations</t>
  </si>
  <si>
    <t>Mather Quad-Heating Hot Waterline</t>
  </si>
  <si>
    <t>Elephant Steps-Addl. lighting</t>
  </si>
  <si>
    <t>Graduate House Tower Tuckpointing</t>
  </si>
  <si>
    <t>Crawford-Duct System Cleaning</t>
  </si>
  <si>
    <t>Hearing &amp; Speech COSI Renovation</t>
  </si>
  <si>
    <t>School of Mgmt.-New sprinklers on Level 2</t>
  </si>
  <si>
    <t>Pardee - Signage</t>
  </si>
  <si>
    <t>White 115 Deformation Lab</t>
  </si>
  <si>
    <t>Adelbert-offices in 320 &amp; 329</t>
  </si>
  <si>
    <t>Stone Commons CWRU-Net</t>
  </si>
  <si>
    <t>Schmidt Auditorium overhead Projector</t>
  </si>
  <si>
    <t>Med East - E725 Neuroscience Electrophor</t>
  </si>
  <si>
    <t>White 511, 521, 523 Lab Remodel</t>
  </si>
  <si>
    <t>Housing, Bldg Maint</t>
  </si>
  <si>
    <t>MSASS Library CWRU-Net Phase II</t>
  </si>
  <si>
    <t>Adelbert Gym-concrete plaza</t>
  </si>
  <si>
    <t>Clark Hall Moving</t>
  </si>
  <si>
    <t>FY97/98 Painting Public Areas</t>
  </si>
  <si>
    <t>Guilford - 106 Renovation</t>
  </si>
  <si>
    <t>Stone Commons-Skylite system</t>
  </si>
  <si>
    <t>Denison Band Room Expansion</t>
  </si>
  <si>
    <t>Bingham LN2 Installation</t>
  </si>
  <si>
    <t>Sears Library-Carpet replacement</t>
  </si>
  <si>
    <t>U. West Sprinkler System</t>
  </si>
  <si>
    <t>Rockefeller Cryogenic Laboratory</t>
  </si>
  <si>
    <t>Squire Valleevue Farm-roof replacements</t>
  </si>
  <si>
    <t>Millis Electrical Switch Repair</t>
  </si>
  <si>
    <t>Yost - Relocations From Pardee</t>
  </si>
  <si>
    <t>C.I.A. CWRU-Net</t>
  </si>
  <si>
    <t>BRB, Security Move From Med E.</t>
  </si>
  <si>
    <t>Med East HVAC Engineering</t>
  </si>
  <si>
    <t>Phi Delta Theta Kitchen Fire</t>
  </si>
  <si>
    <t>Benton Sculpture-"Block Construct"</t>
  </si>
  <si>
    <t>Crawford 7th floor-asbestos ceiling tiles</t>
  </si>
  <si>
    <t>Crawford Hall-Lighting upgrade</t>
  </si>
  <si>
    <t>New Medical-replacement of stair treads</t>
  </si>
  <si>
    <t>Hanna Perkins School CWRU-Net</t>
  </si>
  <si>
    <t>MSASS Furnishing Upgrades</t>
  </si>
  <si>
    <t>Fribley-Boiler room removal</t>
  </si>
  <si>
    <t>Eldred-Millis Steam Return Line</t>
  </si>
  <si>
    <t>W. Reserve Hist. Soc. CWRU-Net</t>
  </si>
  <si>
    <t>Van Horn Field Water Main</t>
  </si>
  <si>
    <t>Leutner Commons-back-up heating converter</t>
  </si>
  <si>
    <t>BRB, 10th Floor Orthopaedics Histology Lab</t>
  </si>
  <si>
    <t>Baker-Baker Lounge remodel</t>
  </si>
  <si>
    <t>Montville Observatory Spectrograph Enclosure</t>
  </si>
  <si>
    <t>Yost-Registrar Furniture</t>
  </si>
  <si>
    <t>Housing, Summer Plumbing</t>
  </si>
  <si>
    <t>Harcourt Exterior Painting</t>
  </si>
  <si>
    <t>Emerson Gym-Weight Room Floor &amp; Walls</t>
  </si>
  <si>
    <t>Emerson Gym Office Relocations</t>
  </si>
  <si>
    <t>University West-New chair rail &amp; wall fabric</t>
  </si>
  <si>
    <t>Glennan Emergency Generator</t>
  </si>
  <si>
    <t>Law School Construction Closeout</t>
  </si>
  <si>
    <t>Science Center-CWRUnet</t>
  </si>
  <si>
    <t>Strosacker-Fire alarm upgrade</t>
  </si>
  <si>
    <t>U West Waterproof Floor</t>
  </si>
  <si>
    <t>Dively Supplemental Signage</t>
  </si>
  <si>
    <t>Carlton Commons-Housing Zone Office</t>
  </si>
  <si>
    <t>Freiberger Field Lighting</t>
  </si>
  <si>
    <t>Move Snack Shops, Leutner/Fribley</t>
  </si>
  <si>
    <t>Millis Rm 8S Renovation</t>
  </si>
  <si>
    <t>Millis 301NA Clean Room</t>
  </si>
  <si>
    <t>Dormitory Elevator Engineering</t>
  </si>
  <si>
    <t>Science Center Moving Phase II</t>
  </si>
  <si>
    <t>U. West Archives Expansion</t>
  </si>
  <si>
    <t>Housing-summer maintenance</t>
  </si>
  <si>
    <t>Wade Commons-Wade World</t>
  </si>
  <si>
    <t>Bingham Elevator Remodeling</t>
  </si>
  <si>
    <t>Health Services-Building envelope restoration</t>
  </si>
  <si>
    <t>Med E., E302 &amp; E304 AHEC Offices</t>
  </si>
  <si>
    <t>U. West Shelving &amp; Cabinets</t>
  </si>
  <si>
    <t>Med E., Duct Cleaning</t>
  </si>
  <si>
    <t>Quad Gas Line</t>
  </si>
  <si>
    <t>Thwing CWRU-Net</t>
  </si>
  <si>
    <t>Job Corp Window System</t>
  </si>
  <si>
    <t>1720-28 E. 116th, Apt #13</t>
  </si>
  <si>
    <t>Veale Center-new electrical service</t>
  </si>
  <si>
    <t>Pathology Card Access</t>
  </si>
  <si>
    <t>Mather House Condenser Replacement</t>
  </si>
  <si>
    <t>Med East - E6 Physiology Office Renovation</t>
  </si>
  <si>
    <t>1719-27 East 116th Apts-Window Replacement</t>
  </si>
  <si>
    <t>Dental School-Student Lounge Remodel</t>
  </si>
  <si>
    <t>Pathology Water Main Risers</t>
  </si>
  <si>
    <t>Pardee Removal</t>
  </si>
  <si>
    <t>11945 Carlton Garage Demolition</t>
  </si>
  <si>
    <t>MSASS-Mieczkowski Sculpture</t>
  </si>
  <si>
    <t>Law Library-Master Plan Renovation</t>
  </si>
  <si>
    <t>Law School-Acoustic Treatments</t>
  </si>
  <si>
    <t>Med E. -- E636 Lab Eye Core</t>
  </si>
  <si>
    <t>East Wing - Lab B-39 renovations</t>
  </si>
  <si>
    <t>Med School ARC Superheated Tank</t>
  </si>
  <si>
    <t>Housing Enhancement Program</t>
  </si>
  <si>
    <t>Glennan HP Lab CWRU-Net</t>
  </si>
  <si>
    <t>Smith Library ESS Relocation</t>
  </si>
  <si>
    <t>Fairchild House-Exterior Stairs Replace</t>
  </si>
  <si>
    <t>Campus AutoCAD Drawings</t>
  </si>
  <si>
    <t>U. West Door Hardware</t>
  </si>
  <si>
    <t>Service Building-CWRUnet\</t>
  </si>
  <si>
    <t>Wood Bldg.-Ceiling &amp; Lighting Upgrade</t>
  </si>
  <si>
    <t>Thwing-Student Community Services</t>
  </si>
  <si>
    <t>University West-Buildout of Room 145</t>
  </si>
  <si>
    <t>North Dorm Entrances - Design</t>
  </si>
  <si>
    <t>Cutter-Roof replacement</t>
  </si>
  <si>
    <t>Eldred transformer relocation</t>
  </si>
  <si>
    <t>Graduate House-windows</t>
  </si>
  <si>
    <t>Pierce-Roof replacement</t>
  </si>
  <si>
    <t>White 2nd Floor Lab</t>
  </si>
  <si>
    <t>Emerson Gym Heating Repiping</t>
  </si>
  <si>
    <t>2272 Murray Hill-Renovation</t>
  </si>
  <si>
    <t>Campus Card Access, Phase II</t>
  </si>
  <si>
    <t>Mather House Interior Upgrades</t>
  </si>
  <si>
    <t>Clarke Tower CWRU-Net II</t>
  </si>
  <si>
    <t>Clark Hall - Electronic Classrooms</t>
  </si>
  <si>
    <t>Campus Information Booth</t>
  </si>
  <si>
    <t>Harcourt House-Basement waterproofing</t>
  </si>
  <si>
    <t>Mather Memorial-Rm. 26 Offices</t>
  </si>
  <si>
    <t>Various cafeterias-interior painting</t>
  </si>
  <si>
    <t>Glennan-fire stop all floor openings</t>
  </si>
  <si>
    <t>Med East - B24 Kern Lab Reno.</t>
  </si>
  <si>
    <t>Dental School-phase II of duct cleaning</t>
  </si>
  <si>
    <t>Emerson Gym Sewer Correction</t>
  </si>
  <si>
    <t>Montville Observatory-Shutter system repair</t>
  </si>
  <si>
    <t>Sears - Relocations From Pardee</t>
  </si>
  <si>
    <t>Pathology Bldg-HVAC Upgrades</t>
  </si>
  <si>
    <t>Yost/Tomlinson Landscaping</t>
  </si>
  <si>
    <t>Pardee Hall - Removal</t>
  </si>
  <si>
    <t>CASC-NetCom Warehouse</t>
  </si>
  <si>
    <t>Med East HVAC Duct Detectors</t>
  </si>
  <si>
    <t>Eldred Theater-CWRUnet</t>
  </si>
  <si>
    <t>Sears Library HVAC Design</t>
  </si>
  <si>
    <t>Baker Telemarketing Center</t>
  </si>
  <si>
    <t>U West - Human Genetics</t>
  </si>
  <si>
    <t>Harkness - Multimedia Room</t>
  </si>
  <si>
    <t>Emerson Shower Wall Resurfacing</t>
  </si>
  <si>
    <t>Olin Bldg/White Bldg-Walkway Remodeling</t>
  </si>
  <si>
    <t>Van Horn Field-Landscaping</t>
  </si>
  <si>
    <t>U West Tenant Modifications</t>
  </si>
  <si>
    <t>Guilford-upgrade to rooms</t>
  </si>
  <si>
    <t>Law School-Classroom(159) lighting-PhaseIII</t>
  </si>
  <si>
    <t>Mather Dance-K. Haring Sculpture</t>
  </si>
  <si>
    <t>Bellflower Hall CWRU-Net</t>
  </si>
  <si>
    <t>Med East - E414 Office Renovations</t>
  </si>
  <si>
    <t>Carlton Road Fire Doors</t>
  </si>
  <si>
    <t>Baker Annual Giving Offices</t>
  </si>
  <si>
    <t>Fribley Commons - Fire Alarm Upgrade</t>
  </si>
  <si>
    <t>Med E., Cooling Tower Roof</t>
  </si>
  <si>
    <t>HSC Distilled Water Improvements</t>
  </si>
  <si>
    <t>1680 East 117th Apts-Exterior Stairs Replace</t>
  </si>
  <si>
    <t>Dental School Pre-Clinical Labs</t>
  </si>
  <si>
    <t>Yost Fan Coil Replacements</t>
  </si>
  <si>
    <t>Med East-Humidifier Install</t>
  </si>
  <si>
    <t>Med. East - Ground Floor Mixing Boxes</t>
  </si>
  <si>
    <t>Smith Library Mather Room Furniture</t>
  </si>
  <si>
    <t>HSC Aluminum Feeder Replacements III</t>
  </si>
  <si>
    <t>Scholar's House CWRU-Net</t>
  </si>
  <si>
    <t>Mather Mem. &amp; Clark basement walls</t>
  </si>
  <si>
    <t>Various, building improvements</t>
  </si>
  <si>
    <t>Carlton Electrical Distrib. - Engin.</t>
  </si>
  <si>
    <t>BRB 10th Floor Fire Repairs</t>
  </si>
  <si>
    <t>Case Quad - Irrigation System</t>
  </si>
  <si>
    <t>SV Farm-Pig Barn Pottery Program Remodel</t>
  </si>
  <si>
    <t>Mather II "Start" - D. Davis</t>
  </si>
  <si>
    <t>Law School Carpet Replacement</t>
  </si>
  <si>
    <t>Med/BRB Card Access &amp; Opthal Relo</t>
  </si>
  <si>
    <t>Smith 417 &amp; 419 Computer Classroom</t>
  </si>
  <si>
    <t>Murray Hill - waterline</t>
  </si>
  <si>
    <t>Law School CCTV/Card Access</t>
  </si>
  <si>
    <t>Campus Roofing 1996</t>
  </si>
  <si>
    <t>Campus Acid Tank Cleaning</t>
  </si>
  <si>
    <t>Dental School-Ceiling &amp; Exit Sign Replacements</t>
  </si>
  <si>
    <t>Campus fire alarm changes</t>
  </si>
  <si>
    <t>Science Center-Moving 97-98</t>
  </si>
  <si>
    <t>Kelvin Smith Library Closeout</t>
  </si>
  <si>
    <t>Yost Fire Alarm Renova.</t>
  </si>
  <si>
    <t>Olin, Glennan -- Olin &amp; Glennan set-ups</t>
  </si>
  <si>
    <t>Carlton Commons-Roof replacement</t>
  </si>
  <si>
    <t>Veale Dedication Signage</t>
  </si>
  <si>
    <t>Olin Lobby, canopy, floor distress</t>
  </si>
  <si>
    <t>Thwing Masonry Repairs</t>
  </si>
  <si>
    <t>Finnigan N. Fieldhouse HVAC</t>
  </si>
  <si>
    <t>South Dorm Electrical Failure</t>
  </si>
  <si>
    <t>Leutner Transformer Replacement</t>
  </si>
  <si>
    <t>Med East HSC Library Paint/Carpet</t>
  </si>
  <si>
    <t>Sigma Chi Renovation</t>
  </si>
  <si>
    <t>Job Corp 6th Floor Restoration</t>
  </si>
  <si>
    <t>CASC Improvements</t>
  </si>
  <si>
    <t>Kent Hale Smith Bldg-Classroom CWRUNet II</t>
  </si>
  <si>
    <t>Kent Smith Supplemental Construction</t>
  </si>
  <si>
    <t>Wickenden Bldg-Biomed Eng Office Furniture</t>
  </si>
  <si>
    <t>Rockefeller Rm 16 Lab Reno.</t>
  </si>
  <si>
    <t>Millis 305N Renovation</t>
  </si>
  <si>
    <t>Law School-Lighting Upgrade</t>
  </si>
  <si>
    <t>Crawford-install new H.V. switch &amp; V.F.D.</t>
  </si>
  <si>
    <t>Allen Memorial Library-Security Systems</t>
  </si>
  <si>
    <t>Wood 454 Fire Repairs</t>
  </si>
  <si>
    <t>Hearing &amp; Speech COSI CWRU-Net</t>
  </si>
  <si>
    <t>Smith Elevator -- Handicapped Access</t>
  </si>
  <si>
    <t>Wood Bldg/Sears Bldg-Elevator Refurbishment</t>
  </si>
  <si>
    <t>Pathology 311 Renovations</t>
  </si>
  <si>
    <t>Adelbert Main-bldg. envelope restoration</t>
  </si>
  <si>
    <t>Clark Hall-CWRUnet</t>
  </si>
  <si>
    <t>Leutner Roof Replacement</t>
  </si>
  <si>
    <t>Bingham Electrical Changes</t>
  </si>
  <si>
    <t>Crawford AC2 Coil Replacement</t>
  </si>
  <si>
    <t>Campus EMS Replacement, Area 3</t>
  </si>
  <si>
    <t>Law School Room 57 &amp; 58 Upgrades</t>
  </si>
  <si>
    <t>North Campus Patrol Office-Interior Renovation</t>
  </si>
  <si>
    <t>Glennan 4/12/96 Storm Damage</t>
  </si>
  <si>
    <t>Medical School Wire Replacements</t>
  </si>
  <si>
    <t>11409 Glenwood Renovation</t>
  </si>
  <si>
    <t>Millis 301N Lab Renovation</t>
  </si>
  <si>
    <t>Dental Office in Pizza Hut Space</t>
  </si>
  <si>
    <t>Science Center-Phase II CWRUnet</t>
  </si>
  <si>
    <t>Rockefeller Physics Undergraduate Lab</t>
  </si>
  <si>
    <t>Dental Ortho Clinic Remodel</t>
  </si>
  <si>
    <t>Thwing Fire Alarm Replacement</t>
  </si>
  <si>
    <t>Pardee-Landscape Planning</t>
  </si>
  <si>
    <t>Yost Statistics Improvements</t>
  </si>
  <si>
    <t>Med. School East Wing-Phase IV duct cleaning</t>
  </si>
  <si>
    <t>Medical School - A.R.C.</t>
  </si>
  <si>
    <t>Tippit-Roof replacement</t>
  </si>
  <si>
    <t>1680 E. 117th Roof &amp; Tuckpoint</t>
  </si>
  <si>
    <t>Crawford/Tomlinson Podium Reno.</t>
  </si>
  <si>
    <t>Health Service ID/Parking Counter</t>
  </si>
  <si>
    <t>Glennan-Dean's Office expansion</t>
  </si>
  <si>
    <t>Pathology FM Room 114</t>
  </si>
  <si>
    <t>Dively Classroom Network</t>
  </si>
  <si>
    <t>Med. School - Duct Cleaning/Phase II</t>
  </si>
  <si>
    <t>UCRC #1 Start-Up Operations</t>
  </si>
  <si>
    <t>Smith Chem Roofing</t>
  </si>
  <si>
    <t>Med East - ARC Markowitz Lab</t>
  </si>
  <si>
    <t>Crawford-remodel room 317</t>
  </si>
  <si>
    <t>Med East - E324 Classroom Renovation</t>
  </si>
  <si>
    <t>Sears 2nd Floor CWRU-Net</t>
  </si>
  <si>
    <t>Campus Asbestos Abatement</t>
  </si>
  <si>
    <t>Euclid Avenue-conduit crossing</t>
  </si>
  <si>
    <t>CASC Stockroom Roof Phase II</t>
  </si>
  <si>
    <t>Mather House-stabilization of floors</t>
  </si>
  <si>
    <t>MSASS Library CWRU-Net Changes</t>
  </si>
  <si>
    <t>Science Center-Phase III CWRUnet</t>
  </si>
  <si>
    <t>Gund Development Offices</t>
  </si>
  <si>
    <t>Farm Greenhouse Lab Renovation</t>
  </si>
  <si>
    <t>Graduate House Lightning Repairs</t>
  </si>
  <si>
    <t>Rockefeller-sewer repair</t>
  </si>
  <si>
    <t>BRB, Genetics Revisions</t>
  </si>
  <si>
    <t>Smith House CWRU-net</t>
  </si>
  <si>
    <t>SOM-Animal Resource Center Phase II</t>
  </si>
  <si>
    <t>HSC Podium Expansion Joint Repairs</t>
  </si>
  <si>
    <t>Wickenden Bldg-Moving</t>
  </si>
  <si>
    <t>Yost Hall-CWRUnet</t>
  </si>
  <si>
    <t>Med East - B03/B05 Prabhakar Lab</t>
  </si>
  <si>
    <t>Law School-Classroom (158) lighting Phase II</t>
  </si>
  <si>
    <t>Eldred Theatre - Renovation Closeout</t>
  </si>
  <si>
    <t>Sears Library-Stairwell renovations</t>
  </si>
  <si>
    <t>Clarke Tower - CWRUnet</t>
  </si>
  <si>
    <t>Farm Barn &amp; Mgr Res. Reroofing</t>
  </si>
  <si>
    <t>U West Athersys Inc</t>
  </si>
  <si>
    <t>CASC Main Stockroom Roof Phase I</t>
  </si>
  <si>
    <t>U West Copernicus Inc</t>
  </si>
  <si>
    <t>White 214 Crystal Laboratory</t>
  </si>
  <si>
    <t>Crawford Cleaning &amp; Repairs</t>
  </si>
  <si>
    <t>Hearing &amp; Speech CWRU-Net</t>
  </si>
  <si>
    <t>Baker/Amasa Stone Steam Line Extension</t>
  </si>
  <si>
    <t>Dental School-Ortho Clinic remodel</t>
  </si>
  <si>
    <t>Baker-Relocation of University Architect</t>
  </si>
  <si>
    <t>Clarke Tower - Tuckpointing Phase II</t>
  </si>
  <si>
    <t>HSC - CWRU-Net</t>
  </si>
  <si>
    <t>Sears 1st Floor BME Swing Space</t>
  </si>
  <si>
    <t>Wickenden/Olin Barco Units</t>
  </si>
  <si>
    <t>Thwing Center Improvements</t>
  </si>
  <si>
    <t>Kelvin Smith Library-Emergency Power</t>
  </si>
  <si>
    <t>1997 Carpet &amp; Painting Academics</t>
  </si>
  <si>
    <t>Bingham Hood Relocations</t>
  </si>
  <si>
    <t>Graduate House - Masonry</t>
  </si>
  <si>
    <t>Zeta Beta Tau CWRU-Net</t>
  </si>
  <si>
    <t>H. Wood Bldg.-Phase V duct cleaning</t>
  </si>
  <si>
    <t>Clarke Tower Structural Repairs</t>
  </si>
  <si>
    <t>Campus Spine Phase III</t>
  </si>
  <si>
    <t>Med East - ARC Keck Animal Rooms</t>
  </si>
  <si>
    <t>Kent Smith Air System</t>
  </si>
  <si>
    <t>Baker, Dental, ARC-Ground duct cleaning</t>
  </si>
  <si>
    <t>Allen Memorial Library Roofing</t>
  </si>
  <si>
    <t>Juniper Road Landscaping</t>
  </si>
  <si>
    <t>Bingham Building-Exterior Masonry</t>
  </si>
  <si>
    <t>Enterprise-Room 410 wiring</t>
  </si>
  <si>
    <t>Dental School-Motor Control Center Upgrade</t>
  </si>
  <si>
    <t>White Caster Foundation</t>
  </si>
  <si>
    <t>CASC Roofing Phase 4</t>
  </si>
  <si>
    <t>Veale Center Additional Walkways</t>
  </si>
  <si>
    <t>Campus 4/12/96 Storm Damage</t>
  </si>
  <si>
    <t>Pathology 201 Remodeling</t>
  </si>
  <si>
    <t>Pardee Moves</t>
  </si>
  <si>
    <t>Thwing West Windows</t>
  </si>
  <si>
    <t>MSASS-Floor Finish Renovation</t>
  </si>
  <si>
    <t>Crawford North/E/W Masonry</t>
  </si>
  <si>
    <t>Thwing New Commuter Lounge</t>
  </si>
  <si>
    <t>Emerson Gym Windows</t>
  </si>
  <si>
    <t>Tyler House fire renovation</t>
  </si>
  <si>
    <t>Olin Supplemental Construction</t>
  </si>
  <si>
    <t>U. West Chiller Failure</t>
  </si>
  <si>
    <t>Glennan Electrical Feeder</t>
  </si>
  <si>
    <t>10900 Carnegie CCSB CWRU-Net</t>
  </si>
  <si>
    <t>Allen Memorial Library Tuckpointing</t>
  </si>
  <si>
    <t>Bingham Smokestack Removal</t>
  </si>
  <si>
    <t>White Bldg-Rm 411 Upgrade</t>
  </si>
  <si>
    <t>Yost Statistics Renovation</t>
  </si>
  <si>
    <t>Dively &amp; Pierce-A. Gibbons Sculptures</t>
  </si>
  <si>
    <t>Dental School-Lighting Upgrade</t>
  </si>
  <si>
    <t>Rockefeller/AW Smith-Dahm relocation</t>
  </si>
  <si>
    <t>Classroom Renewal Cycle 97-98</t>
  </si>
  <si>
    <t>North Dormitory Landscaping Design</t>
  </si>
  <si>
    <t>University West - Replacement of Mechanical Room Roof</t>
  </si>
  <si>
    <t>Campuswide-Classrooms &amp; Teaching Labs</t>
  </si>
  <si>
    <t>98/99 Classrooms</t>
  </si>
  <si>
    <t>Leutner Renovation</t>
  </si>
  <si>
    <t>Veale Garage Improvement Design</t>
  </si>
  <si>
    <t>Wood Bldg.-Pharmacology tissue culture</t>
  </si>
  <si>
    <t>East Wing-Animal Facility Barrier</t>
  </si>
  <si>
    <t>HSC Fire System Division</t>
  </si>
  <si>
    <t>Bingham Bldg-Structures Laboratory</t>
  </si>
  <si>
    <t>1720-28 E 116th The Noble #10</t>
  </si>
  <si>
    <t>Mather Memorial Paint and Carpet</t>
  </si>
  <si>
    <t>Farm Sewage Treatment Facility</t>
  </si>
  <si>
    <t>South Dorm Landscaping Design</t>
  </si>
  <si>
    <t>Nursing School-Lighting/Interior Upgrade</t>
  </si>
  <si>
    <t>Med East - E656 Neurosci. Lab Reno</t>
  </si>
  <si>
    <t>Veale Center-East End Brick Facade</t>
  </si>
  <si>
    <t>Med School East-Exhaust Fan Installation</t>
  </si>
  <si>
    <t>Veale Center Improvements</t>
  </si>
  <si>
    <t>Med School-Valve Installations</t>
  </si>
  <si>
    <t>Fribley HVAC Replacement</t>
  </si>
  <si>
    <t>Eldred Theater-Exterior Masonry</t>
  </si>
  <si>
    <t>Mather Gym Locker Room Renovation</t>
  </si>
  <si>
    <t>11116 Magnolia Vandalism Repairs</t>
  </si>
  <si>
    <t>Murray Hill Frat New Furniture</t>
  </si>
  <si>
    <t>Bldg. Management System-Y2K Upgrade</t>
  </si>
  <si>
    <t>Crawford Hall-CWRUnet Phase II</t>
  </si>
  <si>
    <t>A.W. Smith Bldg Fire System Reno.</t>
  </si>
  <si>
    <t>Allen Library CWRU-Net</t>
  </si>
  <si>
    <t>Health Services Dispatch Reno.</t>
  </si>
  <si>
    <t>Lincoln Storage Site &amp; Lot 46-Parking Feasibility Study</t>
  </si>
  <si>
    <t>Allen Memorial Library-install new fire alarm system</t>
  </si>
  <si>
    <t>Millis Air Handler Replacement</t>
  </si>
  <si>
    <t>Nursing School-Fire Alarm Upgrade</t>
  </si>
  <si>
    <t>SAM/PHI PSI - Transformer</t>
  </si>
  <si>
    <t>Clarke Tower-Exterior Masonry Restoration</t>
  </si>
  <si>
    <t>Campus ADA Compliance Measures</t>
  </si>
  <si>
    <t>Mather Memorial-Fire Alarm Upgrade</t>
  </si>
  <si>
    <t>Campus-new generators (housing)</t>
  </si>
  <si>
    <t>Univ West Bldg-Garage S-48 Restoration</t>
  </si>
  <si>
    <t>Univ West Bldg-Building Envelope Restoration</t>
  </si>
  <si>
    <t>Freiberger Site Improvements</t>
  </si>
  <si>
    <t>Campus-New Generators</t>
  </si>
  <si>
    <t>Yost Hall-Elevator Upgrade</t>
  </si>
  <si>
    <t>Millis Elevators -- Handicapped Access</t>
  </si>
  <si>
    <t>Biology Electrical Distribution</t>
  </si>
  <si>
    <t>Millis 109 Cullis Lab</t>
  </si>
  <si>
    <t>Phi Kappa Tau division</t>
  </si>
  <si>
    <t>Crawford Relo's Phase II</t>
  </si>
  <si>
    <t>Glennan-Sung Lab (Glennan 108)</t>
  </si>
  <si>
    <t>Allen Memorial Library-Sprinkler Feed &amp; Risers New</t>
  </si>
  <si>
    <t>Thwing Window Replacements</t>
  </si>
  <si>
    <t>Med East Duct Extensions</t>
  </si>
  <si>
    <t>Kent Smith Classroom CWRU-Net</t>
  </si>
  <si>
    <t>Carlton Commons &amp; Dorms - new electrical service</t>
  </si>
  <si>
    <t>Science Center-Phase III Moving</t>
  </si>
  <si>
    <t>Law School Benton Sculptures</t>
  </si>
  <si>
    <t>Veale Center CWRU-Net</t>
  </si>
  <si>
    <t>Med School Coil Replacements</t>
  </si>
  <si>
    <t>Crawford Hall-Fire Alarm Upgrade</t>
  </si>
  <si>
    <t>Leutner HVAC Replacement</t>
  </si>
  <si>
    <t>Mather II - 1999 Renovations</t>
  </si>
  <si>
    <t>Crawford Relo's from Pardee &amp; Wickenden</t>
  </si>
  <si>
    <t>Wade &amp; Norton - Roofing</t>
  </si>
  <si>
    <t>HSC coil &amp; drain pan replacement</t>
  </si>
  <si>
    <t>Tomlinson HVAC Replacement</t>
  </si>
  <si>
    <t>Wickenden CWRU-Net</t>
  </si>
  <si>
    <t>Amasa Stone Structural Repairs</t>
  </si>
  <si>
    <t>Carlton Dorm-Leutner Commons Elevators</t>
  </si>
  <si>
    <t>Campus Structural Repairs</t>
  </si>
  <si>
    <t>1997 Roofing Academics</t>
  </si>
  <si>
    <t>White Bldg-Interior Upgrade Phase I</t>
  </si>
  <si>
    <t>Carlton Frats Electrical Renovation</t>
  </si>
  <si>
    <t>White Bldg-Elevator Upgrade</t>
  </si>
  <si>
    <t>Pardee Hall Landscaping</t>
  </si>
  <si>
    <t>Campus-wide - roof replacements</t>
  </si>
  <si>
    <t>Veale Center Sound System</t>
  </si>
  <si>
    <t>Job Corps-Masonry Restoration</t>
  </si>
  <si>
    <t>Adelbert Gym-Exterior Masonry</t>
  </si>
  <si>
    <t>Dental Chairs Phase II</t>
  </si>
  <si>
    <t>White Bldg-Window Replacement</t>
  </si>
  <si>
    <t>Sherman House Renovation</t>
  </si>
  <si>
    <t>Tomlinson/Crawford Chilled Water</t>
  </si>
  <si>
    <t>Campus Greens-Remedial Work</t>
  </si>
  <si>
    <t>Med East "A" Chiller Repairs</t>
  </si>
  <si>
    <t>Murray Hill Dorm Elevators</t>
  </si>
  <si>
    <t>Pathology CWRU-Net</t>
  </si>
  <si>
    <t>HSC Sears Elevator Renovation</t>
  </si>
  <si>
    <t>South Dorms Hi-Rise Fire Alarm Replacement</t>
  </si>
  <si>
    <t>Med.School(East Wing &amp; Sears Tower)-Roof Replacement</t>
  </si>
  <si>
    <t>Mather Memorial-Exterior Masonry Restoration</t>
  </si>
  <si>
    <t>Kelvin Smith Library CWRU-Net Phase II</t>
  </si>
  <si>
    <t>Emerson Gym Deferred Maintenance</t>
  </si>
  <si>
    <t>Bellflower Hall-Construction Phase</t>
  </si>
  <si>
    <t>East Wing-Herlitze Lab (Neuroscience Lab)</t>
  </si>
  <si>
    <t>Wood Bldg Pharmacology Renovation</t>
  </si>
  <si>
    <t>Freiberger Demolition</t>
  </si>
  <si>
    <t>Mather Quad-Electrical Service Upgrade</t>
  </si>
  <si>
    <t>East Wing - Animal BL3 Facility</t>
  </si>
  <si>
    <t>Mather House-Fire Alarm Upgrade</t>
  </si>
  <si>
    <t>CWRU-Net Adelbert Hall</t>
  </si>
  <si>
    <t>Pardee Hall - Demolition</t>
  </si>
  <si>
    <t>Law School-Rms A59 &amp; A64 A/V Tech: Courtrooms</t>
  </si>
  <si>
    <t>Mather I &amp; Adelbert-2000 renovations</t>
  </si>
  <si>
    <t>HSC Walkway Phase II</t>
  </si>
  <si>
    <t>Crawford CWRU-Net</t>
  </si>
  <si>
    <t>Allen Memorial Library-new bldg. sprinkler system</t>
  </si>
  <si>
    <t>Wood Bldg Fire Alarms</t>
  </si>
  <si>
    <t>North Campus Dorms-Main Entrances</t>
  </si>
  <si>
    <t>White Foundry Renovation</t>
  </si>
  <si>
    <t>Murray Hill Frat Electrical Syst.</t>
  </si>
  <si>
    <t>Housing Furniture 1998</t>
  </si>
  <si>
    <t>Dental School-Fire alarm system</t>
  </si>
  <si>
    <t>Med E301 Electronic Classroom</t>
  </si>
  <si>
    <t>Pathology Autopsy Suite HVAC</t>
  </si>
  <si>
    <t>Science Center-Passenger Elevators</t>
  </si>
  <si>
    <t>Deferred Maintenance Study</t>
  </si>
  <si>
    <t>Wood Bldg Structural Repairs</t>
  </si>
  <si>
    <t>Millis 4th Floor Fire Repairs</t>
  </si>
  <si>
    <t>Bingham Demolition Phase II</t>
  </si>
  <si>
    <t>CWRU-Net Kent Smith Eng &amp; Sci Bldg</t>
  </si>
  <si>
    <t>Med. East-Elevator Control Upgrades</t>
  </si>
  <si>
    <t>Campus Steam Line Replacement</t>
  </si>
  <si>
    <t>Med School Transformer Replacement</t>
  </si>
  <si>
    <t>Chemistry Revitalization</t>
  </si>
  <si>
    <t>Law School-replace air handling units</t>
  </si>
  <si>
    <t>Yost Mechanical Upgrade</t>
  </si>
  <si>
    <t>Millis A/C 5-7 Replacements</t>
  </si>
  <si>
    <t>Apartment Renovations</t>
  </si>
  <si>
    <t>Mather Memorial Heating System Upgrade</t>
  </si>
  <si>
    <t>Wood Bldg-Standby Power</t>
  </si>
  <si>
    <t>U. West Archives Relocation</t>
  </si>
  <si>
    <t>South Residential Village Landscaping-Construction</t>
  </si>
  <si>
    <t>Mather I-Furniture 2000</t>
  </si>
  <si>
    <t>Robbins Bldg-Fire Alarm System Replace</t>
  </si>
  <si>
    <t>HSC Radiation and Chem Storage</t>
  </si>
  <si>
    <t>Dental Clinic Expansion</t>
  </si>
  <si>
    <t>U. West Non-EDA Work</t>
  </si>
  <si>
    <t>Sears WSOM Expansion</t>
  </si>
  <si>
    <t>Olin CWRU-Net</t>
  </si>
  <si>
    <t>Crawford-HVAC replacement</t>
  </si>
  <si>
    <t>Murray Hill Electrical-Construction</t>
  </si>
  <si>
    <t>Classroom of the Future</t>
  </si>
  <si>
    <t>Dental School-CWRUnet</t>
  </si>
  <si>
    <t>Scholar's House Renovation</t>
  </si>
  <si>
    <t>Yost Window Replacement</t>
  </si>
  <si>
    <t>Bingham Bldg-Electrical System Upgrade</t>
  </si>
  <si>
    <t>Service Bldg DOES Relocation</t>
  </si>
  <si>
    <t>Med East - ARC Expansion</t>
  </si>
  <si>
    <t>Allen Memorial Library-Electrical Upgrade</t>
  </si>
  <si>
    <t>Harcourt House--Interior Maintenance Upgrade</t>
  </si>
  <si>
    <t>Stone Commons - ELS Relocation</t>
  </si>
  <si>
    <t>Merging Sculpture-refurbishment</t>
  </si>
  <si>
    <t>North Dorm Grounds Phase I</t>
  </si>
  <si>
    <t>A.W. Smith-renovation</t>
  </si>
  <si>
    <t>Murray Hill Dorm Boilers</t>
  </si>
  <si>
    <t>North Residential Village-Landscaping</t>
  </si>
  <si>
    <t>Turning Point Sculpture</t>
  </si>
  <si>
    <t>Murray Hill Frats/Fribley Commons Boilers</t>
  </si>
  <si>
    <t>Adelbert demolition &amp; salvage</t>
  </si>
  <si>
    <t>HSC Garage Renovations</t>
  </si>
  <si>
    <t>Kelvin Smith Library-Roof replacement</t>
  </si>
  <si>
    <t>CWRU-Net Kelvin Smith Library</t>
  </si>
  <si>
    <t>Murray Hill Frat Renovations</t>
  </si>
  <si>
    <t>Aquatech Library Storage</t>
  </si>
  <si>
    <t>Millis Chiller Replacements</t>
  </si>
  <si>
    <t>Sears-2nd Floor Construction</t>
  </si>
  <si>
    <t>Yost Hall-General Trades Work</t>
  </si>
  <si>
    <t>Bingham FES Clean Room</t>
  </si>
  <si>
    <t>Kent H. Smith-Air Handler</t>
  </si>
  <si>
    <t>West Campus Electrical Substation</t>
  </si>
  <si>
    <t>Carlton Road Landscaping</t>
  </si>
  <si>
    <t>Rockefeller - Rooftop Repairs</t>
  </si>
  <si>
    <t>Carlton Frat Renovation</t>
  </si>
  <si>
    <t>BRB/Bolwell Bridge</t>
  </si>
  <si>
    <t>Apartments-Engineering of exterior restoration</t>
  </si>
  <si>
    <t>Housing Furniture 1999</t>
  </si>
  <si>
    <t>Putnam House Renovation (Agency)</t>
  </si>
  <si>
    <t>Bingham Bldg-Outdoor Substation Upgrade</t>
  </si>
  <si>
    <t>Bingham Bldg-Windows &amp; Entrances</t>
  </si>
  <si>
    <t>Sears Bldg-Air Handler Units Replacement</t>
  </si>
  <si>
    <t>Veale Parking Tower Construction</t>
  </si>
  <si>
    <t>Service Bldg-Office Project 2nd Floor</t>
  </si>
  <si>
    <t>White HVAC Replacement</t>
  </si>
  <si>
    <t>Leutner Dining Renovation-Phase I</t>
  </si>
  <si>
    <t>Med E., Physiology/Biophysics Ph. VI</t>
  </si>
  <si>
    <t>Science Center-Phase III Design</t>
  </si>
  <si>
    <t>Mather II Dorms-Renovation</t>
  </si>
  <si>
    <t>CWRU-Net Phase 7/BRB</t>
  </si>
  <si>
    <t>CWRU-Net Phase 8</t>
  </si>
  <si>
    <t>Clarke Tower-Renovation</t>
  </si>
  <si>
    <t>Health Sciences Podium-Construction</t>
  </si>
  <si>
    <t>Clark Hall-Renovation</t>
  </si>
  <si>
    <t>Campus Greens-Lot 29 Plaza Development</t>
  </si>
  <si>
    <t>U. West EDA Renovation</t>
  </si>
  <si>
    <t>Mather I &amp; Adelbert-Renovations 2000 construction</t>
  </si>
  <si>
    <t>Wickenden Bldg-Biomed Renovation</t>
  </si>
  <si>
    <t>Science Center-Construction</t>
  </si>
  <si>
    <t>Science Center-Phase II</t>
  </si>
  <si>
    <t>Science Center-Phase III Construction</t>
  </si>
  <si>
    <t>demolition</t>
  </si>
  <si>
    <t>Quail Building Demolition</t>
  </si>
  <si>
    <t>new building</t>
  </si>
  <si>
    <t>Macromolecular Science Building</t>
  </si>
  <si>
    <t>Dively Center</t>
  </si>
  <si>
    <t>&lt;</t>
  </si>
  <si>
    <t>Library of the Future</t>
  </si>
  <si>
    <t>Lot 29 Parking Garage Construction</t>
  </si>
  <si>
    <t>Veale Center Construction</t>
  </si>
  <si>
    <t>Peter B. Lewis Bldg-Building</t>
  </si>
  <si>
    <t>Wood Bldg-Biochemistry Renovation: addition of Wood Research Tower</t>
  </si>
  <si>
    <t>&gt;=</t>
  </si>
  <si>
    <t>Veale Center-Pool Renovation</t>
  </si>
  <si>
    <t xml:space="preserve">July 1990 - June 2000 </t>
  </si>
  <si>
    <t>Renovations:</t>
  </si>
  <si>
    <t>Year of Project</t>
  </si>
  <si>
    <t>Other Costs</t>
  </si>
  <si>
    <t>Include</t>
  </si>
  <si>
    <t>Exclude</t>
  </si>
  <si>
    <t>Renovation Costs (Inflation Adjusted to 2011$)</t>
  </si>
  <si>
    <t>Renovation Costs</t>
  </si>
  <si>
    <t>Title (Building-Short Description)</t>
  </si>
  <si>
    <t>(CIP35 9xxx)</t>
  </si>
  <si>
    <t>Closed</t>
  </si>
  <si>
    <t>Date</t>
  </si>
  <si>
    <t>remove landscape projects and garage work or anything that is just utilities or infrastructure</t>
  </si>
  <si>
    <t>Project #</t>
  </si>
  <si>
    <t>Start</t>
  </si>
  <si>
    <t>20K per year.</t>
  </si>
  <si>
    <t>[NOTE: NEW BUILDING CONSTRUCTION COSTS REMOVED &amp; SET ASIDE]</t>
  </si>
  <si>
    <t>Major Construction Project Log - July 1990 thru June 2000</t>
  </si>
  <si>
    <t>adjust $ to 2011$</t>
  </si>
  <si>
    <t>Campus Planning and Facilities Management</t>
  </si>
  <si>
    <t>Case (BAU or Revised Growth)</t>
  </si>
  <si>
    <t>One-Time Additions Not in Average Additions</t>
  </si>
  <si>
    <t>Generic</t>
  </si>
  <si>
    <t>Assume Major Renovation GSF per Year between 1990 and 2000</t>
  </si>
  <si>
    <t>Growth 1980 - 2010</t>
  </si>
  <si>
    <t>Growth 1990 - 2005</t>
  </si>
  <si>
    <t>% of Growth 1990-2005</t>
  </si>
  <si>
    <t>% Growth All other Years</t>
  </si>
  <si>
    <t>Average Major Renovations 1980 to 2010</t>
  </si>
  <si>
    <t>New Operating Costs (including Debt Service)</t>
  </si>
  <si>
    <t>Renovations per Year (1,000 GSF)</t>
  </si>
  <si>
    <t>Average Additions Growth Model (1,000 GSF)</t>
  </si>
  <si>
    <t>Roundown to</t>
  </si>
  <si>
    <t>Dry lab research on west campus, including dental and nursing</t>
  </si>
  <si>
    <t>PV (2011$)</t>
  </si>
  <si>
    <t>Offsets or Other Abatement Required for Neutrality</t>
  </si>
  <si>
    <t>New Average Additions (1,000 GSF)</t>
  </si>
  <si>
    <t>Components of Value by Portfolio Option</t>
  </si>
  <si>
    <t>Provides a value source graph that shows the components of value for each portfolio resource, one at a time.</t>
  </si>
  <si>
    <t>Incremental OPEX (Non-Fuel and Fuel)</t>
  </si>
  <si>
    <t>Avoided Operating Costs (Non-Fuel and Fuel)</t>
  </si>
  <si>
    <t>New Operating Costs (Non-Fuel and Fuel)</t>
  </si>
  <si>
    <t>Incremental CAPEX</t>
  </si>
  <si>
    <t>Portfolio CAPEX Summary</t>
  </si>
  <si>
    <t>Portfolio OPEX (Non-Fuel &amp; Fuel) Summary</t>
  </si>
  <si>
    <t>Displays Portfolio Cash Flow Statement</t>
  </si>
  <si>
    <t>Displays Incremental (New less Avoided) CAPEX by Portfolio Element</t>
  </si>
  <si>
    <t>Displays Incremental (New less Avoided) OPEX (Non-Fuel and Fuel) by Portfolio Element</t>
  </si>
  <si>
    <t>tons per well</t>
  </si>
  <si>
    <t>per ton of capacity</t>
  </si>
  <si>
    <t>compared to boiler and chiller</t>
  </si>
  <si>
    <t>per lf well</t>
  </si>
  <si>
    <t>ft - depth of well</t>
  </si>
  <si>
    <t>per ton for heat exchanger</t>
  </si>
  <si>
    <t>sf per well</t>
  </si>
  <si>
    <t>Count of Options</t>
  </si>
  <si>
    <t>Include? (X=Yes)</t>
  </si>
  <si>
    <t>New O&amp;M</t>
  </si>
  <si>
    <t>Avoided Purchased Electricity</t>
  </si>
  <si>
    <t>ending balance</t>
  </si>
  <si>
    <t>Historical Campus Area</t>
  </si>
  <si>
    <t>This graph illustrates the historical campus growth rate since 1980</t>
  </si>
  <si>
    <t>This describes the business-as-usual population forecast</t>
  </si>
  <si>
    <t>Natural Gas - Transport</t>
  </si>
  <si>
    <t>Natural Gas - Through LDC</t>
  </si>
  <si>
    <t>Discount Rate (Real)</t>
  </si>
  <si>
    <t>CAP Base Portfolio (CAP document 2/9/2011)</t>
  </si>
  <si>
    <t>Remaining in 2050</t>
  </si>
  <si>
    <t>Scope 3 - Commuting</t>
  </si>
  <si>
    <t>Scope 3 - Air Travel</t>
  </si>
  <si>
    <t>Live</t>
  </si>
  <si>
    <t>Base Portfolio</t>
  </si>
  <si>
    <t>Base w/ CHP</t>
  </si>
  <si>
    <t>Base w/ MCCo Reserve Fund</t>
  </si>
  <si>
    <t>Base w/ CHP &amp; MCCo Reserve Fund</t>
  </si>
  <si>
    <t>Student Center</t>
  </si>
  <si>
    <t>Original Values from AEI</t>
  </si>
  <si>
    <t>Revised Values per M. Walters, 3/22/2011</t>
  </si>
  <si>
    <t>Year Online</t>
  </si>
  <si>
    <t>Average Annual Fuel (Primary Energy) Savings</t>
  </si>
  <si>
    <t>http://www.nativeenergy.com/pages/travel_calculator/465.php</t>
  </si>
  <si>
    <t>per MTCO2e</t>
  </si>
  <si>
    <t>http://ecosystemmarketplace.com/documents/cms_documents/StateOfTheVoluntaryCarbonMarkets_2009.pdf</t>
  </si>
  <si>
    <t>Voluntary market</t>
  </si>
  <si>
    <t>Air travel offset</t>
  </si>
  <si>
    <t>Outsourced Travel</t>
  </si>
  <si>
    <t>MMBtu / passenger mile</t>
  </si>
  <si>
    <t>On this Worksheet: Emission factors for transportation sources</t>
  </si>
  <si>
    <t xml:space="preserve">Source: </t>
  </si>
  <si>
    <t>©2001-2009 Clean Air-Cool Planet, Inc. All rights reserved</t>
  </si>
  <si>
    <t>MT eCO2 / Mile</t>
  </si>
  <si>
    <t>Miles</t>
  </si>
  <si>
    <t>actual</t>
  </si>
  <si>
    <t>PV New Capital Costs</t>
  </si>
  <si>
    <t>PV Avoided Capital Costs</t>
  </si>
  <si>
    <t>Average Annual Abatement (MTCDE)</t>
  </si>
  <si>
    <t>Average Annual New Non-Fuel Operating Costs</t>
  </si>
  <si>
    <t>Average Annual Avoided Non-Fuel Operating Costs</t>
  </si>
  <si>
    <t>Portfolio (Live)</t>
  </si>
  <si>
    <t>w/ Combined Heat &amp; Power</t>
  </si>
  <si>
    <t>Scope 3 - Air</t>
  </si>
  <si>
    <t>Live too</t>
  </si>
  <si>
    <t>Air Travel Offset Program</t>
  </si>
  <si>
    <t>GHG Neutral Fuel Strategy @ MCCo</t>
  </si>
</sst>
</file>

<file path=xl/styles.xml><?xml version="1.0" encoding="utf-8"?>
<styleSheet xmlns="http://schemas.openxmlformats.org/spreadsheetml/2006/main">
  <numFmts count="5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0.0"/>
    <numFmt numFmtId="167" formatCode="_(* #,##0_);_(* \(#,##0\);_(* &quot;-&quot;??_);_(@_)"/>
    <numFmt numFmtId="168" formatCode="#,##0.000"/>
    <numFmt numFmtId="169" formatCode="0.000"/>
    <numFmt numFmtId="170" formatCode="0.0%"/>
    <numFmt numFmtId="171" formatCode="0.0000"/>
    <numFmt numFmtId="172" formatCode="_([$€-2]* #,##0.00_);_([$€-2]* \(#,##0.00\);_([$€-2]* &quot;-&quot;??_)"/>
    <numFmt numFmtId="173" formatCode="_-* #,##0\ &quot;F&quot;_-;\-* #,##0\ &quot;F&quot;_-;_-* &quot;-&quot;\ &quot;F&quot;_-;_-@_-"/>
    <numFmt numFmtId="174" formatCode="_(* #,##0.0_);_(* \(#,##0.0\);_(* &quot;-&quot;_);_(@_)"/>
    <numFmt numFmtId="175" formatCode="_(* #,##0.0_);_(* \(#,##0.0\);_(* &quot;&quot;??_);_(@_)"/>
    <numFmt numFmtId="176" formatCode="&quot;$&quot;###0;[Red]\(&quot;$&quot;###0\)"/>
    <numFmt numFmtId="177" formatCode="&quot;$&quot;#,##0\ ;\(&quot;$&quot;#,##0\)"/>
    <numFmt numFmtId="178" formatCode="#.00"/>
    <numFmt numFmtId="179" formatCode="#;\ m\W"/>
    <numFmt numFmtId="180" formatCode="#,##0.000;[Red]\-#,##0.000"/>
    <numFmt numFmtId="181" formatCode="#,##0.0_);\(#,##0.0\);\-\ ;"/>
    <numFmt numFmtId="182" formatCode="General_)"/>
    <numFmt numFmtId="183" formatCode="0_);\(0\)"/>
    <numFmt numFmtId="184" formatCode="&quot;$&quot;#,##0.0_);[Red]\(&quot;$&quot;#,##0.0\)"/>
    <numFmt numFmtId="185" formatCode="#,##0.0_);[Red]\(#,##0.0\)"/>
    <numFmt numFmtId="186" formatCode="0%&quot; Recycled&quot;"/>
    <numFmt numFmtId="187" formatCode="#,##0.0_);[Red]\(#,##0.0\);&quot;-&quot;"/>
    <numFmt numFmtId="188" formatCode="&quot;$&quot;#,##0.000_);[Red]\(&quot;$&quot;#,##0.000\)"/>
    <numFmt numFmtId="189" formatCode="&quot;$&quot;#,##0.00000_);[Red]\(&quot;$&quot;#,##0.00000\)"/>
    <numFmt numFmtId="190" formatCode="#,##0;[Red]#,##0"/>
    <numFmt numFmtId="191" formatCode="_(&quot;$&quot;* #,##0.0_);_(&quot;$&quot;* \(#,##0.0\);_(&quot;$&quot;* &quot;-&quot;??_);_(@_)"/>
    <numFmt numFmtId="192" formatCode="[$-409]mmm\-yy;@"/>
    <numFmt numFmtId="193" formatCode="0.0_);[Red]\(0.0\)"/>
    <numFmt numFmtId="194" formatCode="0.00_);[Red]\(0.00\)"/>
    <numFmt numFmtId="195" formatCode="0_);[Red]\(0\)"/>
    <numFmt numFmtId="196" formatCode="_(* #,##0.0_);_(* \(#,##0.0\);_(* &quot;-&quot;??_);_(@_)"/>
    <numFmt numFmtId="197" formatCode="&quot;$&quot;#,##0"/>
    <numFmt numFmtId="198" formatCode="_(&quot;$&quot;* #,##0.000_);_(&quot;$&quot;* \(#,##0.000\);_(&quot;$&quot;* &quot;-&quot;??_);_(@_)"/>
    <numFmt numFmtId="199" formatCode="0.000%"/>
    <numFmt numFmtId="200" formatCode="_([$$-409]* #,##0.000_);_([$$-409]* \(#,##0.000\);_([$$-409]* &quot;-&quot;??_);_(@_)"/>
    <numFmt numFmtId="201" formatCode="[$-409]mmmm\-yy;@"/>
    <numFmt numFmtId="202" formatCode="&quot;$&quot;#,##0.0000_);[Red]\(&quot;$&quot;#,##0.0000\)"/>
    <numFmt numFmtId="203" formatCode="&quot;Total GSF w/o Farms and Garages&quot;"/>
    <numFmt numFmtId="204" formatCode="&quot;Total GSF&quot;"/>
    <numFmt numFmtId="205" formatCode="#."/>
    <numFmt numFmtId="206" formatCode="#,##0.00000"/>
  </numFmts>
  <fonts count="116">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font>
    <font>
      <sz val="10"/>
      <color theme="0"/>
      <name val="Arial"/>
      <family val="2"/>
    </font>
    <font>
      <sz val="10"/>
      <color indexed="8"/>
      <name val="Arial"/>
      <family val="2"/>
    </font>
    <font>
      <sz val="10"/>
      <name val="Arial"/>
      <family val="2"/>
    </font>
    <font>
      <b/>
      <sz val="12"/>
      <name val="Arial"/>
      <family val="2"/>
    </font>
    <font>
      <b/>
      <sz val="10"/>
      <name val="Arial"/>
      <family val="2"/>
    </font>
    <font>
      <sz val="11"/>
      <color theme="0"/>
      <name val="Arial"/>
      <family val="2"/>
    </font>
    <font>
      <sz val="16"/>
      <color theme="1"/>
      <name val="Calibri"/>
      <family val="2"/>
      <scheme val="minor"/>
    </font>
    <font>
      <b/>
      <sz val="14"/>
      <name val="Arial"/>
      <family val="2"/>
    </font>
    <font>
      <sz val="11"/>
      <color theme="1"/>
      <name val="Calibri"/>
      <family val="2"/>
      <scheme val="minor"/>
    </font>
    <font>
      <b/>
      <sz val="8"/>
      <name val="Arial"/>
      <family val="2"/>
    </font>
    <font>
      <sz val="8"/>
      <name val="Arial"/>
      <family val="2"/>
    </font>
    <font>
      <sz val="7"/>
      <name val="Arial"/>
      <family val="2"/>
    </font>
    <font>
      <b/>
      <sz val="8"/>
      <color indexed="81"/>
      <name val="Tahoma"/>
      <family val="2"/>
    </font>
    <font>
      <sz val="8"/>
      <color indexed="81"/>
      <name val="Tahoma"/>
      <family val="2"/>
    </font>
    <font>
      <b/>
      <sz val="10"/>
      <color indexed="9"/>
      <name val="Arial"/>
      <family val="2"/>
    </font>
    <font>
      <sz val="10"/>
      <color indexed="10"/>
      <name val="Arial"/>
      <family val="2"/>
    </font>
    <font>
      <sz val="10"/>
      <name val="MS Sans Serif"/>
      <family val="2"/>
    </font>
    <font>
      <b/>
      <sz val="14"/>
      <color indexed="9"/>
      <name val="Arial"/>
      <family val="2"/>
    </font>
    <font>
      <sz val="11"/>
      <name val="Arial"/>
      <family val="2"/>
    </font>
    <font>
      <b/>
      <sz val="12"/>
      <color indexed="9"/>
      <name val="Arial"/>
      <family val="2"/>
    </font>
    <font>
      <sz val="16"/>
      <color theme="0"/>
      <name val="Calibri"/>
      <family val="2"/>
      <scheme val="minor"/>
    </font>
    <font>
      <b/>
      <sz val="11"/>
      <color theme="0"/>
      <name val="Calibri"/>
      <family val="2"/>
    </font>
    <font>
      <sz val="11"/>
      <color theme="0"/>
      <name val="Calibri"/>
      <family val="2"/>
    </font>
    <font>
      <sz val="11"/>
      <color theme="1"/>
      <name val="Calibri"/>
      <family val="2"/>
    </font>
    <font>
      <sz val="9"/>
      <name val="Geneva"/>
    </font>
    <font>
      <sz val="11"/>
      <name val="Calibri"/>
      <family val="2"/>
    </font>
    <font>
      <b/>
      <sz val="11"/>
      <color theme="1"/>
      <name val="Calibri"/>
      <family val="2"/>
    </font>
    <font>
      <sz val="11"/>
      <color indexed="8"/>
      <name val="Calibri"/>
      <family val="2"/>
    </font>
    <font>
      <b/>
      <sz val="11"/>
      <color indexed="8"/>
      <name val="Calibri"/>
      <family val="2"/>
    </font>
    <font>
      <sz val="11"/>
      <name val="Calibri"/>
      <family val="2"/>
      <scheme val="minor"/>
    </font>
    <font>
      <sz val="18"/>
      <color theme="1"/>
      <name val="Calibri"/>
      <family val="2"/>
      <scheme val="minor"/>
    </font>
    <font>
      <strike/>
      <sz val="11"/>
      <color theme="1"/>
      <name val="Calibri"/>
      <family val="2"/>
      <scheme val="minor"/>
    </font>
    <font>
      <sz val="12"/>
      <name val="Tms Rmn"/>
    </font>
    <font>
      <sz val="10"/>
      <color indexed="8"/>
      <name val="Times New Roman"/>
      <family val="2"/>
    </font>
    <font>
      <sz val="10"/>
      <color indexed="24"/>
      <name val="Courier New"/>
      <family val="3"/>
    </font>
    <font>
      <sz val="10"/>
      <color theme="1"/>
      <name val="Times New Roman"/>
      <family val="2"/>
    </font>
    <font>
      <sz val="8"/>
      <name val="Helv"/>
    </font>
    <font>
      <sz val="1"/>
      <color indexed="8"/>
      <name val="Courier"/>
      <family val="3"/>
    </font>
    <font>
      <b/>
      <sz val="16"/>
      <name val="Times New Roman"/>
      <family val="1"/>
    </font>
    <font>
      <b/>
      <sz val="1"/>
      <color indexed="8"/>
      <name val="Courier"/>
      <family val="3"/>
    </font>
    <font>
      <sz val="11"/>
      <color indexed="18"/>
      <name val="Arial"/>
      <family val="2"/>
    </font>
    <font>
      <sz val="12"/>
      <color indexed="12"/>
      <name val="Times New Roman"/>
      <family val="1"/>
    </font>
    <font>
      <sz val="12"/>
      <name val="Times New Roman"/>
      <family val="1"/>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i/>
      <sz val="8"/>
      <color indexed="9"/>
      <name val="Arial"/>
      <family val="2"/>
    </font>
    <font>
      <sz val="10"/>
      <name val="LinePrinter"/>
      <family val="3"/>
    </font>
    <font>
      <sz val="8"/>
      <color indexed="12"/>
      <name val="Arial"/>
      <family val="2"/>
    </font>
    <font>
      <sz val="11"/>
      <color rgb="FFFFFFFF"/>
      <name val="Calibri"/>
      <family val="2"/>
      <scheme val="minor"/>
    </font>
    <font>
      <b/>
      <sz val="20"/>
      <color rgb="FFC00000"/>
      <name val="Calibri"/>
      <family val="2"/>
      <scheme val="minor"/>
    </font>
    <font>
      <b/>
      <sz val="9"/>
      <color theme="1"/>
      <name val="Calibri"/>
      <family val="2"/>
      <scheme val="minor"/>
    </font>
    <font>
      <b/>
      <sz val="11"/>
      <color rgb="FFFF0000"/>
      <name val="Calibri"/>
      <family val="2"/>
      <scheme val="minor"/>
    </font>
    <font>
      <b/>
      <sz val="11"/>
      <color indexed="8"/>
      <name val="Calibri"/>
      <family val="2"/>
      <scheme val="minor"/>
    </font>
    <font>
      <sz val="10"/>
      <color theme="1"/>
      <name val="Calibri"/>
      <family val="2"/>
      <scheme val="minor"/>
    </font>
    <font>
      <sz val="10"/>
      <color theme="0"/>
      <name val="Calibri"/>
      <family val="2"/>
      <scheme val="minor"/>
    </font>
    <font>
      <b/>
      <sz val="10"/>
      <color theme="1"/>
      <name val="Calibri"/>
      <family val="2"/>
      <scheme val="minor"/>
    </font>
    <font>
      <b/>
      <sz val="14"/>
      <color rgb="FF000000"/>
      <name val="Calibri"/>
      <family val="2"/>
      <scheme val="minor"/>
    </font>
    <font>
      <b/>
      <sz val="10"/>
      <color indexed="81"/>
      <name val="Tahoma"/>
      <family val="2"/>
    </font>
    <font>
      <sz val="10"/>
      <color indexed="81"/>
      <name val="Tahoma"/>
      <family val="2"/>
    </font>
    <font>
      <b/>
      <sz val="12"/>
      <color theme="0"/>
      <name val="Arial"/>
      <family val="2"/>
    </font>
    <font>
      <b/>
      <sz val="10"/>
      <color theme="0"/>
      <name val="Arial"/>
      <family val="2"/>
    </font>
    <font>
      <b/>
      <sz val="9"/>
      <name val="Arial"/>
      <family val="2"/>
    </font>
    <font>
      <strike/>
      <sz val="10"/>
      <name val="Arial"/>
      <family val="2"/>
    </font>
    <font>
      <strike/>
      <sz val="10"/>
      <color indexed="8"/>
      <name val="Arial"/>
      <family val="2"/>
    </font>
    <font>
      <b/>
      <sz val="14"/>
      <color theme="0"/>
      <name val="Calibri"/>
      <family val="2"/>
      <scheme val="minor"/>
    </font>
    <font>
      <sz val="11"/>
      <color rgb="FFFF0000"/>
      <name val="Calibri"/>
      <family val="2"/>
      <scheme val="minor"/>
    </font>
    <font>
      <b/>
      <sz val="8"/>
      <name val="Times New Roman"/>
      <family val="1"/>
    </font>
    <font>
      <u/>
      <sz val="8"/>
      <color indexed="12"/>
      <name val="Times New Roman"/>
      <family val="1"/>
    </font>
    <font>
      <sz val="8"/>
      <name val="Times New Roman"/>
      <family val="1"/>
    </font>
    <font>
      <b/>
      <u/>
      <sz val="8"/>
      <color indexed="12"/>
      <name val="Times New Roman"/>
      <family val="1"/>
    </font>
    <font>
      <u/>
      <sz val="8"/>
      <name val="Times New Roman"/>
      <family val="1"/>
    </font>
    <font>
      <b/>
      <u/>
      <sz val="8"/>
      <name val="Times New Roman"/>
      <family val="1"/>
    </font>
    <font>
      <sz val="10"/>
      <name val="Arial Narrow"/>
      <family val="2"/>
    </font>
    <font>
      <b/>
      <sz val="11"/>
      <color indexed="9"/>
      <name val="Calibri"/>
      <family val="2"/>
    </font>
    <font>
      <b/>
      <sz val="11"/>
      <color rgb="FF000000"/>
      <name val="Calibri"/>
      <family val="2"/>
      <scheme val="minor"/>
    </font>
    <font>
      <sz val="11"/>
      <color rgb="FF000000"/>
      <name val="Calibri"/>
      <family val="2"/>
      <scheme val="minor"/>
    </font>
    <font>
      <b/>
      <sz val="10"/>
      <color theme="1"/>
      <name val="Arial"/>
      <family val="2"/>
    </font>
    <font>
      <sz val="10"/>
      <color theme="1"/>
      <name val="Arial"/>
      <family val="2"/>
    </font>
    <font>
      <sz val="9"/>
      <color theme="1"/>
      <name val="Calibri"/>
      <family val="2"/>
      <scheme val="minor"/>
    </font>
    <font>
      <u/>
      <sz val="11"/>
      <color theme="1"/>
      <name val="Calibri"/>
      <family val="2"/>
      <scheme val="minor"/>
    </font>
    <font>
      <b/>
      <u/>
      <sz val="11"/>
      <color theme="1"/>
      <name val="Calibri"/>
      <family val="2"/>
      <scheme val="minor"/>
    </font>
    <font>
      <sz val="8"/>
      <color theme="1"/>
      <name val="Calibri"/>
      <family val="2"/>
      <scheme val="minor"/>
    </font>
    <font>
      <u/>
      <sz val="10"/>
      <color theme="1"/>
      <name val="Calibri"/>
      <family val="2"/>
      <scheme val="minor"/>
    </font>
    <font>
      <b/>
      <sz val="8"/>
      <color theme="1"/>
      <name val="Calibri"/>
      <family val="2"/>
      <scheme val="minor"/>
    </font>
    <font>
      <b/>
      <u/>
      <sz val="8"/>
      <color theme="1"/>
      <name val="Calibri"/>
      <family val="2"/>
      <scheme val="minor"/>
    </font>
    <font>
      <sz val="8"/>
      <color rgb="FFFF0000"/>
      <name val="Calibri"/>
      <family val="2"/>
      <scheme val="minor"/>
    </font>
    <font>
      <sz val="8"/>
      <name val="Calibri"/>
      <family val="2"/>
      <scheme val="minor"/>
    </font>
    <font>
      <sz val="8"/>
      <color theme="0"/>
      <name val="Calibri"/>
      <family val="2"/>
      <scheme val="minor"/>
    </font>
    <font>
      <b/>
      <sz val="12"/>
      <color theme="1"/>
      <name val="Calibri"/>
      <family val="2"/>
      <scheme val="minor"/>
    </font>
    <font>
      <sz val="12"/>
      <color theme="1"/>
      <name val="Calibri"/>
      <family val="2"/>
      <scheme val="minor"/>
    </font>
    <font>
      <b/>
      <u/>
      <sz val="12"/>
      <color theme="1"/>
      <name val="Calibri"/>
      <family val="2"/>
      <scheme val="minor"/>
    </font>
    <font>
      <u/>
      <sz val="12"/>
      <color theme="1"/>
      <name val="Calibri"/>
      <family val="2"/>
      <scheme val="minor"/>
    </font>
    <font>
      <u val="singleAccounting"/>
      <sz val="12"/>
      <color theme="1"/>
      <name val="Calibri"/>
      <family val="2"/>
      <scheme val="minor"/>
    </font>
    <font>
      <vertAlign val="superscript"/>
      <sz val="12"/>
      <color theme="1"/>
      <name val="Calibri"/>
      <family val="2"/>
      <scheme val="minor"/>
    </font>
    <font>
      <sz val="10"/>
      <color rgb="FFFF0000"/>
      <name val="Calibri"/>
      <family val="2"/>
      <scheme val="minor"/>
    </font>
    <font>
      <sz val="12"/>
      <name val="Calibri"/>
      <family val="2"/>
      <scheme val="minor"/>
    </font>
    <font>
      <b/>
      <sz val="9"/>
      <color indexed="81"/>
      <name val="Tahoma"/>
      <family val="2"/>
    </font>
    <font>
      <sz val="9"/>
      <color indexed="81"/>
      <name val="Tahoma"/>
      <family val="2"/>
    </font>
    <font>
      <u/>
      <sz val="10"/>
      <color theme="10"/>
      <name val="Arial"/>
      <family val="2"/>
    </font>
    <font>
      <sz val="11"/>
      <color theme="1"/>
      <name val="CG Times"/>
      <family val="2"/>
    </font>
    <font>
      <u/>
      <sz val="11"/>
      <color theme="0"/>
      <name val="Calibri"/>
      <family val="2"/>
    </font>
    <font>
      <b/>
      <i/>
      <sz val="11"/>
      <color theme="1"/>
      <name val="Calibri"/>
      <family val="2"/>
      <scheme val="minor"/>
    </font>
    <font>
      <b/>
      <sz val="11"/>
      <name val="Arial"/>
      <family val="2"/>
    </font>
    <font>
      <b/>
      <sz val="10"/>
      <color rgb="FFFF0000"/>
      <name val="Arial"/>
      <family val="2"/>
    </font>
    <font>
      <b/>
      <i/>
      <sz val="10"/>
      <name val="Arial"/>
      <family val="2"/>
    </font>
    <font>
      <sz val="10"/>
      <color rgb="FFFF0000"/>
      <name val="Arial"/>
      <family val="2"/>
    </font>
    <font>
      <u/>
      <sz val="10"/>
      <color theme="10"/>
      <name val="Calibri"/>
      <family val="2"/>
    </font>
  </fonts>
  <fills count="7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indexed="63"/>
        <bgColor indexed="64"/>
      </patternFill>
    </fill>
    <fill>
      <patternFill patternType="solid">
        <fgColor indexed="55"/>
        <bgColor indexed="64"/>
      </patternFill>
    </fill>
    <fill>
      <patternFill patternType="solid">
        <fgColor indexed="43"/>
        <bgColor indexed="64"/>
      </patternFill>
    </fill>
    <fill>
      <patternFill patternType="solid">
        <fgColor indexed="13"/>
        <bgColor indexed="64"/>
      </patternFill>
    </fill>
    <fill>
      <patternFill patternType="solid">
        <fgColor indexed="8"/>
        <bgColor indexed="64"/>
      </patternFill>
    </fill>
    <fill>
      <patternFill patternType="solid">
        <fgColor indexed="4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A9DA74"/>
        <bgColor indexed="64"/>
      </patternFill>
    </fill>
    <fill>
      <patternFill patternType="gray0625">
        <bgColor theme="0" tint="-0.249977111117893"/>
      </patternFill>
    </fill>
    <fill>
      <patternFill patternType="solid">
        <fgColor rgb="FFFFC000"/>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3"/>
        <bgColor indexed="64"/>
      </patternFill>
    </fill>
    <fill>
      <patternFill patternType="solid">
        <fgColor theme="0" tint="-0.249977111117893"/>
        <bgColor indexed="64"/>
      </patternFill>
    </fill>
    <fill>
      <patternFill patternType="solid">
        <fgColor indexed="26"/>
        <bgColor indexed="64"/>
      </patternFill>
    </fill>
    <fill>
      <patternFill patternType="solid">
        <fgColor indexed="9"/>
        <bgColor indexed="64"/>
      </patternFill>
    </fill>
    <fill>
      <patternFill patternType="solid">
        <fgColor indexed="43"/>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62"/>
        <bgColor indexed="64"/>
      </patternFill>
    </fill>
    <fill>
      <patternFill patternType="solid">
        <fgColor indexed="14"/>
        <bgColor indexed="64"/>
      </patternFill>
    </fill>
    <fill>
      <patternFill patternType="solid">
        <fgColor rgb="FF7030A0"/>
        <bgColor indexed="64"/>
      </patternFill>
    </fill>
    <fill>
      <patternFill patternType="solid">
        <fgColor rgb="FFFFFF66"/>
        <bgColor indexed="64"/>
      </patternFill>
    </fill>
    <fill>
      <patternFill patternType="solid">
        <fgColor theme="2" tint="-9.9978637043366805E-2"/>
        <bgColor indexed="64"/>
      </patternFill>
    </fill>
    <fill>
      <patternFill patternType="solid">
        <fgColor theme="9"/>
        <bgColor indexed="64"/>
      </patternFill>
    </fill>
    <fill>
      <patternFill patternType="solid">
        <fgColor indexed="26"/>
        <bgColor indexed="9"/>
      </patternFill>
    </fill>
    <fill>
      <patternFill patternType="solid">
        <fgColor indexed="51"/>
        <bgColor indexed="64"/>
      </patternFill>
    </fill>
    <fill>
      <patternFill patternType="solid">
        <fgColor indexed="47"/>
        <bgColor indexed="64"/>
      </patternFill>
    </fill>
    <fill>
      <patternFill patternType="solid">
        <fgColor indexed="23"/>
        <bgColor indexed="64"/>
      </patternFill>
    </fill>
    <fill>
      <patternFill patternType="solid">
        <fgColor theme="8"/>
        <bgColor indexed="64"/>
      </patternFill>
    </fill>
    <fill>
      <patternFill patternType="solid">
        <fgColor rgb="FFFFFFCC"/>
      </patternFill>
    </fill>
    <fill>
      <patternFill patternType="solid">
        <fgColor rgb="FFFF00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99"/>
        <bgColor indexed="64"/>
      </patternFill>
    </fill>
    <fill>
      <patternFill patternType="solid">
        <fgColor theme="0" tint="-0.34998626667073579"/>
        <bgColor indexed="64"/>
      </patternFill>
    </fill>
  </fills>
  <borders count="263">
    <border>
      <left/>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theme="0"/>
      </right>
      <top style="thin">
        <color theme="0"/>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theme="0"/>
      </right>
      <top style="thin">
        <color theme="0"/>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bottom style="thin">
        <color theme="0"/>
      </bottom>
      <diagonal/>
    </border>
    <border>
      <left/>
      <right/>
      <top/>
      <bottom style="thin">
        <color theme="0"/>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left>
      <right style="thin">
        <color indexed="64"/>
      </right>
      <top style="thin">
        <color theme="0"/>
      </top>
      <bottom/>
      <diagonal/>
    </border>
    <border>
      <left style="thin">
        <color theme="0"/>
      </left>
      <right style="thin">
        <color auto="1"/>
      </right>
      <top/>
      <bottom/>
      <diagonal/>
    </border>
    <border>
      <left style="thin">
        <color theme="0"/>
      </left>
      <right style="thin">
        <color auto="1"/>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double">
        <color indexed="64"/>
      </left>
      <right style="double">
        <color indexed="64"/>
      </right>
      <top style="double">
        <color indexed="64"/>
      </top>
      <bottom style="double">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theme="0"/>
      </right>
      <top style="thin">
        <color theme="0"/>
      </top>
      <bottom style="thin">
        <color theme="0"/>
      </bottom>
      <diagonal/>
    </border>
    <border>
      <left style="thin">
        <color indexed="64"/>
      </left>
      <right/>
      <top style="thin">
        <color indexed="64"/>
      </top>
      <bottom style="thin">
        <color theme="0"/>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theme="0"/>
      </left>
      <right style="medium">
        <color indexed="64"/>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medium">
        <color indexed="64"/>
      </left>
      <right style="thin">
        <color theme="0"/>
      </right>
      <top style="medium">
        <color indexed="64"/>
      </top>
      <bottom style="thin">
        <color indexed="64"/>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theme="0"/>
      </left>
      <right/>
      <top style="thin">
        <color indexed="64"/>
      </top>
      <bottom style="thin">
        <color indexed="64"/>
      </bottom>
      <diagonal/>
    </border>
    <border>
      <left style="thin">
        <color auto="1"/>
      </left>
      <right style="thin">
        <color auto="1"/>
      </right>
      <top style="thin">
        <color theme="0"/>
      </top>
      <bottom style="thin">
        <color auto="1"/>
      </bottom>
      <diagonal/>
    </border>
    <border>
      <left/>
      <right/>
      <top style="thin">
        <color theme="0"/>
      </top>
      <bottom style="thin">
        <color theme="0"/>
      </bottom>
      <diagonal/>
    </border>
    <border>
      <left style="thin">
        <color auto="1"/>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auto="1"/>
      </right>
      <top style="thin">
        <color auto="1"/>
      </top>
      <bottom style="dashed">
        <color auto="1"/>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medium">
        <color indexed="23"/>
      </left>
      <right style="thin">
        <color indexed="23"/>
      </right>
      <top style="medium">
        <color indexed="23"/>
      </top>
      <bottom style="thin">
        <color indexed="23"/>
      </bottom>
      <diagonal/>
    </border>
    <border>
      <left style="thin">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style="thin">
        <color indexed="23"/>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medium">
        <color indexed="23"/>
      </right>
      <top style="thin">
        <color indexed="23"/>
      </top>
      <bottom style="thin">
        <color indexed="23"/>
      </bottom>
      <diagonal/>
    </border>
    <border>
      <left style="medium">
        <color indexed="23"/>
      </left>
      <right/>
      <top style="thin">
        <color indexed="23"/>
      </top>
      <bottom/>
      <diagonal/>
    </border>
    <border>
      <left style="thin">
        <color indexed="23"/>
      </left>
      <right/>
      <top style="thin">
        <color indexed="23"/>
      </top>
      <bottom style="medium">
        <color indexed="23"/>
      </bottom>
      <diagonal/>
    </border>
    <border>
      <left/>
      <right/>
      <top style="thin">
        <color indexed="23"/>
      </top>
      <bottom style="medium">
        <color indexed="23"/>
      </bottom>
      <diagonal/>
    </border>
    <border>
      <left/>
      <right/>
      <top style="thin">
        <color indexed="23"/>
      </top>
      <bottom/>
      <diagonal/>
    </border>
    <border>
      <left/>
      <right style="medium">
        <color indexed="23"/>
      </right>
      <top style="thin">
        <color indexed="23"/>
      </top>
      <bottom/>
      <diagonal/>
    </border>
    <border>
      <left style="medium">
        <color indexed="23"/>
      </left>
      <right style="medium">
        <color indexed="23"/>
      </right>
      <top style="medium">
        <color indexed="23"/>
      </top>
      <bottom/>
      <diagonal/>
    </border>
    <border>
      <left style="medium">
        <color indexed="23"/>
      </left>
      <right/>
      <top style="medium">
        <color indexed="23"/>
      </top>
      <bottom/>
      <diagonal/>
    </border>
    <border>
      <left/>
      <right/>
      <top style="medium">
        <color indexed="23"/>
      </top>
      <bottom/>
      <diagonal/>
    </border>
    <border>
      <left/>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style="medium">
        <color indexed="23"/>
      </left>
      <right/>
      <top style="medium">
        <color indexed="23"/>
      </top>
      <bottom style="medium">
        <color indexed="23"/>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23"/>
      </left>
      <right/>
      <top style="medium">
        <color indexed="23"/>
      </top>
      <bottom style="medium">
        <color indexed="23"/>
      </bottom>
      <diagonal/>
    </border>
    <border>
      <left/>
      <right style="thin">
        <color indexed="23"/>
      </right>
      <top style="medium">
        <color indexed="23"/>
      </top>
      <bottom/>
      <diagonal/>
    </border>
    <border>
      <left style="thin">
        <color indexed="23"/>
      </left>
      <right/>
      <top style="medium">
        <color indexed="23"/>
      </top>
      <bottom/>
      <diagonal/>
    </border>
    <border>
      <left/>
      <right style="thin">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thin">
        <color indexed="23"/>
      </left>
      <right style="thin">
        <color indexed="23"/>
      </right>
      <top/>
      <bottom style="thin">
        <color indexed="23"/>
      </bottom>
      <diagonal/>
    </border>
    <border>
      <left style="thin">
        <color indexed="23"/>
      </left>
      <right style="mediumDashed">
        <color indexed="23"/>
      </right>
      <top style="medium">
        <color indexed="23"/>
      </top>
      <bottom style="thin">
        <color indexed="23"/>
      </bottom>
      <diagonal/>
    </border>
    <border>
      <left/>
      <right style="thin">
        <color indexed="23"/>
      </right>
      <top/>
      <bottom style="thin">
        <color indexed="23"/>
      </bottom>
      <diagonal/>
    </border>
    <border>
      <left style="thin">
        <color indexed="23"/>
      </left>
      <right style="medium">
        <color indexed="23"/>
      </right>
      <top/>
      <bottom style="thin">
        <color indexed="23"/>
      </bottom>
      <diagonal/>
    </border>
    <border>
      <left style="thin">
        <color indexed="23"/>
      </left>
      <right/>
      <top/>
      <bottom style="thin">
        <color indexed="23"/>
      </bottom>
      <diagonal/>
    </border>
    <border>
      <left style="medium">
        <color indexed="23"/>
      </left>
      <right style="medium">
        <color indexed="23"/>
      </right>
      <top/>
      <bottom style="thin">
        <color indexed="23"/>
      </bottom>
      <diagonal/>
    </border>
    <border>
      <left style="medium">
        <color indexed="23"/>
      </left>
      <right style="medium">
        <color indexed="23"/>
      </right>
      <top style="medium">
        <color indexed="23"/>
      </top>
      <bottom style="thin">
        <color indexed="23"/>
      </bottom>
      <diagonal/>
    </border>
    <border>
      <left/>
      <right style="thin">
        <color indexed="23"/>
      </right>
      <top style="medium">
        <color indexed="23"/>
      </top>
      <bottom style="thin">
        <color indexed="23"/>
      </bottom>
      <diagonal/>
    </border>
    <border>
      <left style="mediumDashed">
        <color indexed="23"/>
      </left>
      <right style="thin">
        <color indexed="23"/>
      </right>
      <top/>
      <bottom style="thin">
        <color indexed="23"/>
      </bottom>
      <diagonal/>
    </border>
    <border>
      <left/>
      <right/>
      <top/>
      <bottom style="thin">
        <color indexed="23"/>
      </bottom>
      <diagonal/>
    </border>
    <border>
      <left style="thin">
        <color indexed="23"/>
      </left>
      <right style="mediumDashed">
        <color indexed="23"/>
      </right>
      <top/>
      <bottom style="thin">
        <color indexed="23"/>
      </bottom>
      <diagonal/>
    </border>
    <border>
      <left style="medium">
        <color indexed="23"/>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style="mediumDashed">
        <color indexed="23"/>
      </right>
      <top style="thin">
        <color indexed="23"/>
      </top>
      <bottom style="double">
        <color indexed="23"/>
      </bottom>
      <diagonal/>
    </border>
    <border>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medium">
        <color indexed="23"/>
      </left>
      <right style="medium">
        <color indexed="23"/>
      </right>
      <top style="thin">
        <color indexed="23"/>
      </top>
      <bottom style="double">
        <color indexed="23"/>
      </bottom>
      <diagonal/>
    </border>
    <border>
      <left style="thin">
        <color indexed="23"/>
      </left>
      <right style="medium">
        <color indexed="23"/>
      </right>
      <top style="thin">
        <color indexed="23"/>
      </top>
      <bottom style="double">
        <color indexed="23"/>
      </bottom>
      <diagonal/>
    </border>
    <border>
      <left style="medium">
        <color indexed="23"/>
      </left>
      <right style="thin">
        <color indexed="23"/>
      </right>
      <top/>
      <bottom style="double">
        <color indexed="23"/>
      </bottom>
      <diagonal/>
    </border>
    <border>
      <left style="thin">
        <color indexed="23"/>
      </left>
      <right/>
      <top/>
      <bottom style="double">
        <color indexed="23"/>
      </bottom>
      <diagonal/>
    </border>
    <border>
      <left style="mediumDashed">
        <color indexed="23"/>
      </left>
      <right style="thin">
        <color indexed="23"/>
      </right>
      <top style="thin">
        <color indexed="23"/>
      </top>
      <bottom style="double">
        <color indexed="23"/>
      </bottom>
      <diagonal/>
    </border>
    <border>
      <left style="medium">
        <color indexed="23"/>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medium">
        <color indexed="23"/>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style="mediumDashed">
        <color indexed="23"/>
      </right>
      <top style="thin">
        <color indexed="23"/>
      </top>
      <bottom/>
      <diagonal/>
    </border>
    <border>
      <left style="medium">
        <color indexed="23"/>
      </left>
      <right style="medium">
        <color indexed="23"/>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medium">
        <color indexed="23"/>
      </left>
      <right style="thin">
        <color indexed="23"/>
      </right>
      <top style="thin">
        <color indexed="23"/>
      </top>
      <bottom style="double">
        <color indexed="23"/>
      </bottom>
      <diagonal/>
    </border>
    <border>
      <left style="medium">
        <color indexed="23"/>
      </left>
      <right style="medium">
        <color indexed="23"/>
      </right>
      <top style="thin">
        <color indexed="23"/>
      </top>
      <bottom style="double">
        <color indexed="23"/>
      </bottom>
      <diagonal/>
    </border>
    <border>
      <left style="medium">
        <color indexed="23"/>
      </left>
      <right style="thin">
        <color indexed="23"/>
      </right>
      <top style="double">
        <color indexed="23"/>
      </top>
      <bottom style="double">
        <color indexed="23"/>
      </bottom>
      <diagonal/>
    </border>
    <border>
      <left style="thin">
        <color indexed="23"/>
      </left>
      <right style="thin">
        <color indexed="23"/>
      </right>
      <top style="double">
        <color indexed="23"/>
      </top>
      <bottom style="double">
        <color indexed="23"/>
      </bottom>
      <diagonal/>
    </border>
    <border>
      <left style="thin">
        <color indexed="23"/>
      </left>
      <right style="medium">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mediumDashed">
        <color indexed="23"/>
      </left>
      <right style="thin">
        <color indexed="23"/>
      </right>
      <top style="thin">
        <color indexed="23"/>
      </top>
      <bottom style="double">
        <color indexed="23"/>
      </bottom>
      <diagonal/>
    </border>
    <border>
      <left style="thin">
        <color indexed="23"/>
      </left>
      <right style="medium">
        <color indexed="23"/>
      </right>
      <top style="thin">
        <color indexed="23"/>
      </top>
      <bottom style="double">
        <color indexed="23"/>
      </bottom>
      <diagonal/>
    </border>
    <border>
      <left style="thin">
        <color indexed="23"/>
      </left>
      <right style="mediumDashed">
        <color indexed="23"/>
      </right>
      <top style="double">
        <color indexed="23"/>
      </top>
      <bottom style="double">
        <color indexed="23"/>
      </bottom>
      <diagonal/>
    </border>
    <border>
      <left/>
      <right style="thin">
        <color indexed="23"/>
      </right>
      <top style="double">
        <color indexed="23"/>
      </top>
      <bottom style="double">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double">
        <color indexed="23"/>
      </top>
      <bottom style="thin">
        <color indexed="23"/>
      </bottom>
      <diagonal/>
    </border>
    <border>
      <left style="thin">
        <color indexed="23"/>
      </left>
      <right style="mediumDashed">
        <color indexed="23"/>
      </right>
      <top style="double">
        <color indexed="23"/>
      </top>
      <bottom style="thin">
        <color indexed="23"/>
      </bottom>
      <diagonal/>
    </border>
    <border>
      <left/>
      <right style="thin">
        <color indexed="23"/>
      </right>
      <top style="double">
        <color indexed="23"/>
      </top>
      <bottom style="thin">
        <color indexed="23"/>
      </bottom>
      <diagonal/>
    </border>
    <border>
      <left style="thin">
        <color indexed="23"/>
      </left>
      <right/>
      <top style="double">
        <color indexed="23"/>
      </top>
      <bottom style="thin">
        <color indexed="23"/>
      </bottom>
      <diagonal/>
    </border>
    <border>
      <left style="medium">
        <color indexed="23"/>
      </left>
      <right style="thin">
        <color indexed="23"/>
      </right>
      <top style="double">
        <color indexed="23"/>
      </top>
      <bottom style="thin">
        <color indexed="23"/>
      </bottom>
      <diagonal/>
    </border>
    <border>
      <left style="medium">
        <color indexed="23"/>
      </left>
      <right style="medium">
        <color indexed="23"/>
      </right>
      <top style="double">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thin">
        <color indexed="23"/>
      </left>
      <right/>
      <top style="thin">
        <color indexed="23"/>
      </top>
      <bottom style="medium">
        <color indexed="23"/>
      </bottom>
      <diagonal/>
    </border>
    <border>
      <left style="mediumDashed">
        <color indexed="23"/>
      </left>
      <right style="thin">
        <color indexed="23"/>
      </right>
      <top style="double">
        <color indexed="23"/>
      </top>
      <bottom style="thin">
        <color indexed="23"/>
      </bottom>
      <diagonal/>
    </border>
    <border>
      <left style="thin">
        <color indexed="23"/>
      </left>
      <right style="medium">
        <color indexed="23"/>
      </right>
      <top style="double">
        <color indexed="23"/>
      </top>
      <bottom style="thin">
        <color indexed="23"/>
      </bottom>
      <diagonal/>
    </border>
    <border>
      <left/>
      <right style="thin">
        <color indexed="23"/>
      </right>
      <top style="thin">
        <color indexed="23"/>
      </top>
      <bottom style="medium">
        <color indexed="23"/>
      </bottom>
      <diagonal/>
    </border>
    <border>
      <left/>
      <right/>
      <top style="double">
        <color indexed="23"/>
      </top>
      <bottom style="thin">
        <color indexed="23"/>
      </bottom>
      <diagonal/>
    </border>
    <border>
      <left style="thin">
        <color indexed="23"/>
      </left>
      <right style="mediumDashed">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mediumDashed">
        <color indexed="23"/>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medium">
        <color indexed="23"/>
      </left>
      <right style="medium">
        <color indexed="23"/>
      </right>
      <top style="thin">
        <color indexed="23"/>
      </top>
      <bottom style="thin">
        <color indexed="23"/>
      </bottom>
      <diagonal/>
    </border>
    <border>
      <left style="mediumDashed">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right/>
      <top style="thin">
        <color indexed="23"/>
      </top>
      <bottom style="thin">
        <color indexed="23"/>
      </bottom>
      <diagonal/>
    </border>
    <border>
      <left/>
      <right style="medium">
        <color indexed="23"/>
      </right>
      <top style="thin">
        <color indexed="23"/>
      </top>
      <bottom style="thin">
        <color indexed="23"/>
      </bottom>
      <diagonal/>
    </border>
    <border>
      <left style="medium">
        <color indexed="23"/>
      </left>
      <right/>
      <top style="thin">
        <color indexed="23"/>
      </top>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Dashed">
        <color indexed="23"/>
      </left>
      <right style="thin">
        <color indexed="23"/>
      </right>
      <top style="medium">
        <color indexed="23"/>
      </top>
      <bottom style="thin">
        <color indexed="23"/>
      </bottom>
      <diagonal/>
    </border>
    <border>
      <left style="thin">
        <color indexed="23"/>
      </left>
      <right/>
      <top style="thin">
        <color indexed="23"/>
      </top>
      <bottom/>
      <diagonal/>
    </border>
    <border>
      <left style="medium">
        <color indexed="23"/>
      </left>
      <right style="medium">
        <color indexed="23"/>
      </right>
      <top style="thin">
        <color indexed="23"/>
      </top>
      <bottom/>
      <diagonal/>
    </border>
    <border>
      <left style="medium">
        <color indexed="23"/>
      </left>
      <right style="thin">
        <color indexed="23"/>
      </right>
      <top/>
      <bottom/>
      <diagonal/>
    </border>
    <border>
      <left style="thin">
        <color indexed="23"/>
      </left>
      <right/>
      <top/>
      <bottom/>
      <diagonal/>
    </border>
    <border>
      <left style="mediumDashed">
        <color indexed="23"/>
      </left>
      <right style="thin">
        <color indexed="23"/>
      </right>
      <top style="thin">
        <color indexed="23"/>
      </top>
      <bottom/>
      <diagonal/>
    </border>
    <border>
      <left style="thin">
        <color indexed="23"/>
      </left>
      <right/>
      <top style="double">
        <color indexed="23"/>
      </top>
      <bottom style="double">
        <color indexed="23"/>
      </bottom>
      <diagonal/>
    </border>
    <border>
      <left style="mediumDashed">
        <color indexed="23"/>
      </left>
      <right style="thin">
        <color indexed="23"/>
      </right>
      <top style="double">
        <color indexed="23"/>
      </top>
      <bottom style="double">
        <color indexed="23"/>
      </bottom>
      <diagonal/>
    </border>
    <border>
      <left style="medium">
        <color indexed="23"/>
      </left>
      <right style="thin">
        <color indexed="23"/>
      </right>
      <top style="double">
        <color indexed="23"/>
      </top>
      <bottom style="medium">
        <color indexed="23"/>
      </bottom>
      <diagonal/>
    </border>
    <border>
      <left style="thin">
        <color indexed="23"/>
      </left>
      <right style="thin">
        <color indexed="23"/>
      </right>
      <top style="double">
        <color indexed="23"/>
      </top>
      <bottom style="medium">
        <color indexed="23"/>
      </bottom>
      <diagonal/>
    </border>
    <border>
      <left style="mediumDashed">
        <color indexed="23"/>
      </left>
      <right style="thin">
        <color indexed="23"/>
      </right>
      <top style="thin">
        <color indexed="23"/>
      </top>
      <bottom style="medium">
        <color indexed="23"/>
      </bottom>
      <diagonal/>
    </border>
    <border>
      <left style="thin">
        <color indexed="23"/>
      </left>
      <right style="mediumDashed">
        <color indexed="23"/>
      </right>
      <top style="thin">
        <color indexed="23"/>
      </top>
      <bottom style="double">
        <color indexed="23"/>
      </bottom>
      <diagonal/>
    </border>
    <border>
      <left/>
      <right style="medium">
        <color indexed="23"/>
      </right>
      <top style="double">
        <color indexed="23"/>
      </top>
      <bottom style="thin">
        <color indexed="23"/>
      </bottom>
      <diagonal/>
    </border>
    <border>
      <left/>
      <right style="medium">
        <color indexed="23"/>
      </right>
      <top style="thin">
        <color indexed="23"/>
      </top>
      <bottom/>
      <diagonal/>
    </border>
    <border>
      <left style="medium">
        <color indexed="23"/>
      </left>
      <right/>
      <top/>
      <bottom/>
      <diagonal/>
    </border>
    <border>
      <left/>
      <right style="medium">
        <color indexed="23"/>
      </right>
      <top/>
      <bottom/>
      <diagonal/>
    </border>
    <border>
      <left style="medium">
        <color indexed="23"/>
      </left>
      <right style="medium">
        <color indexed="23"/>
      </right>
      <top/>
      <bottom style="medium">
        <color indexed="23"/>
      </bottom>
      <diagonal/>
    </border>
    <border>
      <left style="thin">
        <color indexed="23"/>
      </left>
      <right style="thin">
        <color indexed="23"/>
      </right>
      <top/>
      <bottom/>
      <diagonal/>
    </border>
    <border>
      <left/>
      <right style="thin">
        <color indexed="23"/>
      </right>
      <top/>
      <bottom/>
      <diagonal/>
    </border>
    <border>
      <left style="thin">
        <color indexed="23"/>
      </left>
      <right style="medium">
        <color indexed="23"/>
      </right>
      <top/>
      <bottom/>
      <diagonal/>
    </border>
    <border>
      <left style="medium">
        <color indexed="23"/>
      </left>
      <right/>
      <top style="double">
        <color indexed="23"/>
      </top>
      <bottom style="double">
        <color indexed="23"/>
      </bottom>
      <diagonal/>
    </border>
    <border>
      <left style="medium">
        <color indexed="23"/>
      </left>
      <right style="thin">
        <color indexed="23"/>
      </right>
      <top style="double">
        <color indexed="23"/>
      </top>
      <bottom/>
      <diagonal/>
    </border>
    <border>
      <left style="thin">
        <color indexed="23"/>
      </left>
      <right style="thin">
        <color indexed="23"/>
      </right>
      <top style="double">
        <color indexed="23"/>
      </top>
      <bottom/>
      <diagonal/>
    </border>
    <border>
      <left style="thin">
        <color indexed="23"/>
      </left>
      <right/>
      <top style="double">
        <color indexed="23"/>
      </top>
      <bottom/>
      <diagonal/>
    </border>
    <border>
      <left style="medium">
        <color indexed="23"/>
      </left>
      <right style="medium">
        <color indexed="23"/>
      </right>
      <top style="double">
        <color indexed="23"/>
      </top>
      <bottom/>
      <diagonal/>
    </border>
    <border>
      <left/>
      <right style="thin">
        <color indexed="23"/>
      </right>
      <top style="double">
        <color indexed="23"/>
      </top>
      <bottom/>
      <diagonal/>
    </border>
    <border>
      <left style="thin">
        <color indexed="23"/>
      </left>
      <right style="medium">
        <color indexed="23"/>
      </right>
      <top style="double">
        <color indexed="23"/>
      </top>
      <bottom/>
      <diagonal/>
    </border>
    <border>
      <left style="medium">
        <color indexed="23"/>
      </left>
      <right/>
      <top style="double">
        <color indexed="23"/>
      </top>
      <bottom/>
      <diagonal/>
    </border>
    <border>
      <left style="medium">
        <color indexed="23"/>
      </left>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auto="1"/>
      </right>
      <top style="thin">
        <color auto="1"/>
      </top>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auto="1"/>
      </left>
      <right style="thin">
        <color auto="1"/>
      </right>
      <top/>
      <bottom style="thin">
        <color auto="1"/>
      </bottom>
      <diagonal/>
    </border>
    <border>
      <left style="thin">
        <color theme="0"/>
      </left>
      <right style="thin">
        <color indexed="64"/>
      </right>
      <top style="thin">
        <color indexed="64"/>
      </top>
      <bottom style="thin">
        <color indexed="64"/>
      </bottom>
      <diagonal/>
    </border>
    <border>
      <left style="thin">
        <color theme="0"/>
      </left>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top style="thin">
        <color indexed="64"/>
      </top>
      <bottom style="thin">
        <color theme="0"/>
      </bottom>
      <diagonal/>
    </border>
    <border>
      <left/>
      <right/>
      <top style="thin">
        <color indexed="64"/>
      </top>
      <bottom style="thin">
        <color theme="0"/>
      </bottom>
      <diagonal/>
    </border>
    <border>
      <left style="thin">
        <color theme="0"/>
      </left>
      <right style="thin">
        <color theme="0"/>
      </right>
      <top style="thin">
        <color indexed="64"/>
      </top>
      <bottom style="thin">
        <color indexed="64"/>
      </bottom>
      <diagonal/>
    </border>
    <border>
      <left style="thin">
        <color indexed="64"/>
      </left>
      <right/>
      <top style="thin">
        <color indexed="64"/>
      </top>
      <bottom style="thin">
        <color theme="0"/>
      </bottom>
      <diagonal/>
    </border>
    <border>
      <left style="thin">
        <color indexed="64"/>
      </left>
      <right/>
      <top style="thin">
        <color theme="0"/>
      </top>
      <bottom style="thin">
        <color indexed="64"/>
      </bottom>
      <diagonal/>
    </border>
    <border>
      <left style="thin">
        <color indexed="64"/>
      </left>
      <right/>
      <top/>
      <bottom style="thin">
        <color indexed="64"/>
      </bottom>
      <diagonal/>
    </border>
    <border>
      <left style="thin">
        <color indexed="64"/>
      </left>
      <right style="thin">
        <color indexed="9"/>
      </right>
      <top/>
      <bottom style="thin">
        <color indexed="64"/>
      </bottom>
      <diagonal/>
    </border>
    <border>
      <left style="thin">
        <color indexed="64"/>
      </left>
      <right style="thin">
        <color theme="0"/>
      </right>
      <top/>
      <bottom style="thin">
        <color indexed="64"/>
      </bottom>
      <diagonal/>
    </border>
    <border>
      <left style="thin">
        <color indexed="64"/>
      </left>
      <right style="thin">
        <color indexed="9"/>
      </right>
      <top style="thin">
        <color indexed="9"/>
      </top>
      <bottom style="thin">
        <color indexed="64"/>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right style="thin">
        <color auto="1"/>
      </right>
      <top style="thin">
        <color auto="1"/>
      </top>
      <bottom/>
      <diagonal/>
    </border>
    <border>
      <left style="thin">
        <color theme="0"/>
      </left>
      <right/>
      <top style="thin">
        <color auto="1"/>
      </top>
      <bottom style="thin">
        <color theme="0"/>
      </bottom>
      <diagonal/>
    </border>
    <border>
      <left/>
      <right style="thin">
        <color auto="1"/>
      </right>
      <top style="thin">
        <color auto="1"/>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B2B2B2"/>
      </left>
      <right style="thin">
        <color rgb="FFB2B2B2"/>
      </right>
      <top style="thin">
        <color rgb="FFB2B2B2"/>
      </top>
      <bottom style="thin">
        <color rgb="FFB2B2B2"/>
      </bottom>
      <diagonal/>
    </border>
    <border>
      <left/>
      <right/>
      <top/>
      <bottom style="thin">
        <color indexed="22"/>
      </bottom>
      <diagonal/>
    </border>
    <border>
      <left style="thin">
        <color auto="1"/>
      </left>
      <right/>
      <top/>
      <bottom style="thin">
        <color auto="1"/>
      </bottom>
      <diagonal/>
    </border>
    <border>
      <left/>
      <right style="thin">
        <color auto="1"/>
      </right>
      <top/>
      <bottom style="thin">
        <color auto="1"/>
      </bottom>
      <diagonal/>
    </border>
    <border>
      <left/>
      <right/>
      <top/>
      <bottom style="thin">
        <color indexed="64"/>
      </bottom>
      <diagonal/>
    </border>
    <border>
      <left/>
      <right style="thin">
        <color auto="1"/>
      </right>
      <top/>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5"/>
      </left>
      <right/>
      <top style="thin">
        <color indexed="8"/>
      </top>
      <bottom/>
      <diagonal/>
    </border>
    <border>
      <left style="thin">
        <color indexed="8"/>
      </left>
      <right/>
      <top style="thin">
        <color indexed="8"/>
      </top>
      <bottom/>
      <diagonal/>
    </border>
    <border>
      <left style="thin">
        <color theme="0"/>
      </left>
      <right/>
      <top/>
      <bottom/>
      <diagonal/>
    </border>
  </borders>
  <cellStyleXfs count="398">
    <xf numFmtId="0" fontId="0" fillId="0" borderId="0"/>
    <xf numFmtId="0" fontId="4" fillId="0" borderId="0" applyNumberFormat="0" applyFill="0" applyBorder="0" applyAlignment="0" applyProtection="0">
      <alignment vertical="top"/>
      <protection locked="0"/>
    </xf>
    <xf numFmtId="0" fontId="7" fillId="0" borderId="0"/>
    <xf numFmtId="44" fontId="7" fillId="0" borderId="0" applyFont="0" applyFill="0" applyBorder="0" applyAlignment="0" applyProtection="0"/>
    <xf numFmtId="9" fontId="13"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21" fillId="0" borderId="0" applyNumberFormat="0" applyFont="0" applyFill="0" applyBorder="0" applyAlignment="0" applyProtection="0">
      <alignment horizontal="left"/>
    </xf>
    <xf numFmtId="0" fontId="29" fillId="0" borderId="0"/>
    <xf numFmtId="0" fontId="7" fillId="0" borderId="0"/>
    <xf numFmtId="9" fontId="32" fillId="0" borderId="0" applyFont="0" applyFill="0" applyBorder="0" applyAlignment="0" applyProtection="0"/>
    <xf numFmtId="172" fontId="13" fillId="0" borderId="0"/>
    <xf numFmtId="172" fontId="37" fillId="0" borderId="0"/>
    <xf numFmtId="172" fontId="13" fillId="0" borderId="0"/>
    <xf numFmtId="172"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4" fontId="7" fillId="0" borderId="0" applyFont="0" applyFill="0" applyBorder="0" applyAlignment="0" applyProtection="0"/>
    <xf numFmtId="175" fontId="7" fillId="0" borderId="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32"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3" fontId="3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40" fillId="0" borderId="0" applyFont="0" applyFill="0" applyBorder="0" applyAlignment="0" applyProtection="0"/>
    <xf numFmtId="176" fontId="41" fillId="0" borderId="0" applyFont="0" applyFill="0" applyBorder="0" applyProtection="0">
      <alignment horizontal="right"/>
    </xf>
    <xf numFmtId="177" fontId="39" fillId="0" borderId="0" applyFont="0" applyFill="0" applyBorder="0" applyAlignment="0" applyProtection="0"/>
    <xf numFmtId="172" fontId="42" fillId="0" borderId="0">
      <protection locked="0"/>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8" fontId="42" fillId="0" borderId="0">
      <protection locked="0"/>
    </xf>
    <xf numFmtId="172" fontId="16" fillId="0" borderId="0" applyFont="0" applyFill="0" applyBorder="0" applyAlignment="0" applyProtection="0">
      <alignment horizontal="left"/>
    </xf>
    <xf numFmtId="38" fontId="15" fillId="7" borderId="0" applyNumberFormat="0" applyBorder="0" applyAlignment="0" applyProtection="0"/>
    <xf numFmtId="172" fontId="43" fillId="0" borderId="0"/>
    <xf numFmtId="172" fontId="8" fillId="0" borderId="44" applyNumberFormat="0" applyAlignment="0" applyProtection="0">
      <alignment horizontal="left" vertical="center"/>
    </xf>
    <xf numFmtId="172" fontId="8" fillId="0" borderId="46">
      <alignment horizontal="left" vertical="center"/>
    </xf>
    <xf numFmtId="172" fontId="44" fillId="0" borderId="0">
      <protection locked="0"/>
    </xf>
    <xf numFmtId="172" fontId="44" fillId="0" borderId="0">
      <protection locked="0"/>
    </xf>
    <xf numFmtId="172" fontId="7" fillId="0" borderId="0" applyNumberFormat="0" applyFill="0" applyBorder="0" applyProtection="0">
      <alignment wrapText="1"/>
    </xf>
    <xf numFmtId="172" fontId="7" fillId="0" borderId="0" applyNumberFormat="0" applyFill="0" applyBorder="0" applyProtection="0">
      <alignment horizontal="justify" vertical="top" wrapText="1"/>
    </xf>
    <xf numFmtId="10" fontId="15" fillId="37" borderId="3" applyNumberFormat="0" applyBorder="0" applyAlignment="0" applyProtection="0"/>
    <xf numFmtId="172" fontId="45" fillId="0" borderId="3">
      <alignment vertical="center" wrapText="1"/>
    </xf>
    <xf numFmtId="166" fontId="14" fillId="0" borderId="0" applyNumberFormat="0" applyFill="0" applyBorder="0" applyAlignment="0" applyProtection="0"/>
    <xf numFmtId="179" fontId="7" fillId="38" borderId="0">
      <alignment horizontal="center"/>
    </xf>
    <xf numFmtId="167" fontId="46" fillId="0" borderId="0" applyFont="0" applyAlignment="0" applyProtection="0"/>
    <xf numFmtId="172" fontId="15" fillId="0" borderId="49" applyNumberFormat="0" applyBorder="0" applyAlignment="0"/>
    <xf numFmtId="180" fontId="7" fillId="0" borderId="0"/>
    <xf numFmtId="172" fontId="7" fillId="0" borderId="0"/>
    <xf numFmtId="172" fontId="7" fillId="0" borderId="0"/>
    <xf numFmtId="0"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7" fillId="0" borderId="0"/>
    <xf numFmtId="172" fontId="13" fillId="0" borderId="0"/>
    <xf numFmtId="0" fontId="21" fillId="0" borderId="0"/>
    <xf numFmtId="172" fontId="21" fillId="0" borderId="0"/>
    <xf numFmtId="172" fontId="21" fillId="0" borderId="0"/>
    <xf numFmtId="172" fontId="7" fillId="0" borderId="0"/>
    <xf numFmtId="172" fontId="13" fillId="0" borderId="0"/>
    <xf numFmtId="172" fontId="13" fillId="0" borderId="0"/>
    <xf numFmtId="172" fontId="7" fillId="0" borderId="0"/>
    <xf numFmtId="0" fontId="7" fillId="0" borderId="0"/>
    <xf numFmtId="172" fontId="13" fillId="0" borderId="0"/>
    <xf numFmtId="181" fontId="47" fillId="0" borderId="0" applyFont="0" applyFill="0" applyBorder="0" applyProtection="0"/>
    <xf numFmtId="12" fontId="8" fillId="14" borderId="37">
      <alignment horizontal="left"/>
    </xf>
    <xf numFmtId="10"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0"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7" fillId="0" borderId="0" applyFont="0" applyFill="0" applyBorder="0" applyAlignment="0" applyProtection="0"/>
    <xf numFmtId="4" fontId="21" fillId="0" borderId="0" applyFont="0" applyFill="0" applyBorder="0" applyAlignment="0" applyProtection="0"/>
    <xf numFmtId="4" fontId="48" fillId="39" borderId="50" applyNumberFormat="0" applyProtection="0">
      <alignment vertical="center"/>
    </xf>
    <xf numFmtId="4" fontId="49" fillId="15" borderId="50" applyNumberFormat="0" applyProtection="0">
      <alignment vertical="center"/>
    </xf>
    <xf numFmtId="4" fontId="48" fillId="15" borderId="50" applyNumberFormat="0" applyProtection="0">
      <alignment horizontal="left" vertical="center" indent="1"/>
    </xf>
    <xf numFmtId="172" fontId="48" fillId="15" borderId="50" applyNumberFormat="0" applyProtection="0">
      <alignment horizontal="left" vertical="top" indent="1"/>
    </xf>
    <xf numFmtId="4" fontId="48" fillId="18" borderId="50" applyNumberFormat="0" applyProtection="0"/>
    <xf numFmtId="4" fontId="6" fillId="40" borderId="50" applyNumberFormat="0" applyProtection="0">
      <alignment horizontal="right" vertical="center"/>
    </xf>
    <xf numFmtId="4" fontId="6" fillId="41" borderId="50" applyNumberFormat="0" applyProtection="0">
      <alignment horizontal="right" vertical="center"/>
    </xf>
    <xf numFmtId="4" fontId="6" fillId="42" borderId="50" applyNumberFormat="0" applyProtection="0">
      <alignment horizontal="right" vertical="center"/>
    </xf>
    <xf numFmtId="4" fontId="6" fillId="43" borderId="50" applyNumberFormat="0" applyProtection="0">
      <alignment horizontal="right" vertical="center"/>
    </xf>
    <xf numFmtId="4" fontId="6" fillId="44" borderId="50" applyNumberFormat="0" applyProtection="0">
      <alignment horizontal="right" vertical="center"/>
    </xf>
    <xf numFmtId="4" fontId="6" fillId="45" borderId="50" applyNumberFormat="0" applyProtection="0">
      <alignment horizontal="right" vertical="center"/>
    </xf>
    <xf numFmtId="4" fontId="6" fillId="46" borderId="50" applyNumberFormat="0" applyProtection="0">
      <alignment horizontal="right" vertical="center"/>
    </xf>
    <xf numFmtId="4" fontId="6" fillId="47" borderId="50" applyNumberFormat="0" applyProtection="0">
      <alignment horizontal="right" vertical="center"/>
    </xf>
    <xf numFmtId="4" fontId="6" fillId="48" borderId="50" applyNumberFormat="0" applyProtection="0">
      <alignment horizontal="right" vertical="center"/>
    </xf>
    <xf numFmtId="4" fontId="48" fillId="49" borderId="51" applyNumberFormat="0" applyProtection="0">
      <alignment horizontal="left" vertical="center" indent="1"/>
    </xf>
    <xf numFmtId="4" fontId="6" fillId="50" borderId="0" applyNumberFormat="0" applyProtection="0">
      <alignment horizontal="left" indent="1"/>
    </xf>
    <xf numFmtId="4" fontId="50" fillId="51" borderId="0" applyNumberFormat="0" applyProtection="0">
      <alignment horizontal="left" vertical="center" indent="1"/>
    </xf>
    <xf numFmtId="4" fontId="6" fillId="52" borderId="50" applyNumberFormat="0" applyProtection="0">
      <alignment horizontal="right" vertical="center"/>
    </xf>
    <xf numFmtId="4" fontId="51" fillId="53" borderId="0" applyNumberFormat="0" applyProtection="0">
      <alignment horizontal="left" indent="1"/>
    </xf>
    <xf numFmtId="4" fontId="52" fillId="54" borderId="0" applyNumberFormat="0" applyProtection="0"/>
    <xf numFmtId="172" fontId="7" fillId="51" borderId="50" applyNumberFormat="0" applyProtection="0">
      <alignment horizontal="left" vertical="center" indent="1"/>
    </xf>
    <xf numFmtId="172" fontId="7" fillId="51" borderId="50" applyNumberFormat="0" applyProtection="0">
      <alignment horizontal="left" vertical="top" indent="1"/>
    </xf>
    <xf numFmtId="172" fontId="7" fillId="18" borderId="50" applyNumberFormat="0" applyProtection="0">
      <alignment horizontal="left" vertical="center" indent="1"/>
    </xf>
    <xf numFmtId="172" fontId="7" fillId="18" borderId="50" applyNumberFormat="0" applyProtection="0">
      <alignment horizontal="left" vertical="top" indent="1"/>
    </xf>
    <xf numFmtId="172" fontId="7" fillId="55" borderId="50" applyNumberFormat="0" applyProtection="0">
      <alignment horizontal="left" vertical="center" indent="1"/>
    </xf>
    <xf numFmtId="172" fontId="7" fillId="55" borderId="50" applyNumberFormat="0" applyProtection="0">
      <alignment horizontal="left" vertical="top" indent="1"/>
    </xf>
    <xf numFmtId="172" fontId="7" fillId="56" borderId="50" applyNumberFormat="0" applyProtection="0">
      <alignment horizontal="left" vertical="center" indent="1"/>
    </xf>
    <xf numFmtId="172" fontId="7" fillId="56" borderId="50" applyNumberFormat="0" applyProtection="0">
      <alignment horizontal="left" vertical="top" indent="1"/>
    </xf>
    <xf numFmtId="4" fontId="6" fillId="37" borderId="50" applyNumberFormat="0" applyProtection="0">
      <alignment vertical="center"/>
    </xf>
    <xf numFmtId="4" fontId="53" fillId="37" borderId="50" applyNumberFormat="0" applyProtection="0">
      <alignment vertical="center"/>
    </xf>
    <xf numFmtId="4" fontId="6" fillId="37" borderId="50" applyNumberFormat="0" applyProtection="0">
      <alignment horizontal="left" vertical="center" indent="1"/>
    </xf>
    <xf numFmtId="172" fontId="6" fillId="37" borderId="50" applyNumberFormat="0" applyProtection="0">
      <alignment horizontal="left" vertical="top" indent="1"/>
    </xf>
    <xf numFmtId="4" fontId="6" fillId="0" borderId="50" applyNumberFormat="0" applyProtection="0">
      <alignment horizontal="right" vertical="center"/>
    </xf>
    <xf numFmtId="4" fontId="53" fillId="50" borderId="50" applyNumberFormat="0" applyProtection="0">
      <alignment horizontal="right" vertical="center"/>
    </xf>
    <xf numFmtId="4" fontId="6" fillId="0" borderId="50" applyNumberFormat="0" applyProtection="0">
      <alignment horizontal="left" vertical="center" indent="1"/>
    </xf>
    <xf numFmtId="172" fontId="6" fillId="18" borderId="50" applyNumberFormat="0" applyProtection="0">
      <alignment horizontal="left" vertical="top"/>
    </xf>
    <xf numFmtId="4" fontId="12" fillId="57" borderId="0" applyNumberFormat="0" applyProtection="0">
      <alignment horizontal="left"/>
    </xf>
    <xf numFmtId="4" fontId="20" fillId="50" borderId="50" applyNumberFormat="0" applyProtection="0">
      <alignment horizontal="right" vertical="center"/>
    </xf>
    <xf numFmtId="172" fontId="7" fillId="0" borderId="0">
      <alignment horizontal="left" wrapText="1"/>
    </xf>
    <xf numFmtId="172" fontId="22" fillId="13" borderId="0" applyNumberFormat="0" applyBorder="0" applyAlignment="0" applyProtection="0"/>
    <xf numFmtId="172" fontId="12" fillId="0" borderId="0" applyNumberFormat="0" applyFill="0" applyBorder="0" applyAlignment="0" applyProtection="0"/>
    <xf numFmtId="172" fontId="24" fillId="13" borderId="0" applyNumberFormat="0" applyBorder="0" applyAlignment="0" applyProtection="0"/>
    <xf numFmtId="172" fontId="8" fillId="0" borderId="0" applyNumberFormat="0" applyFill="0" applyBorder="0" applyAlignment="0" applyProtection="0"/>
    <xf numFmtId="172" fontId="9" fillId="13" borderId="0" applyNumberFormat="0" applyBorder="0" applyAlignment="0" applyProtection="0"/>
    <xf numFmtId="172" fontId="19" fillId="17" borderId="0" applyNumberFormat="0" applyBorder="0" applyAlignment="0" applyProtection="0"/>
    <xf numFmtId="172" fontId="19" fillId="17" borderId="0" applyNumberFormat="0" applyBorder="0" applyProtection="0">
      <alignment horizontal="center"/>
    </xf>
    <xf numFmtId="172" fontId="54" fillId="17" borderId="0" applyNumberFormat="0" applyBorder="0" applyAlignment="0" applyProtection="0"/>
    <xf numFmtId="172" fontId="7" fillId="0" borderId="0" applyNumberFormat="0" applyFont="0" applyFill="0" applyBorder="0" applyProtection="0">
      <alignment horizontal="right"/>
    </xf>
    <xf numFmtId="172" fontId="7" fillId="0" borderId="0" applyNumberFormat="0" applyFont="0" applyFill="0" applyBorder="0" applyProtection="0">
      <alignment horizontal="left"/>
    </xf>
    <xf numFmtId="172" fontId="15" fillId="0" borderId="0" applyNumberFormat="0" applyFill="0" applyBorder="0" applyAlignment="0" applyProtection="0"/>
    <xf numFmtId="172" fontId="14" fillId="0" borderId="0" applyNumberFormat="0" applyFill="0" applyBorder="0" applyAlignment="0" applyProtection="0"/>
    <xf numFmtId="172" fontId="7" fillId="58" borderId="0" applyNumberFormat="0" applyFont="0" applyBorder="0" applyAlignment="0" applyProtection="0"/>
    <xf numFmtId="171" fontId="7" fillId="0" borderId="0" applyFont="0" applyFill="0" applyBorder="0" applyAlignment="0" applyProtection="0"/>
    <xf numFmtId="2" fontId="7" fillId="0" borderId="0" applyFont="0" applyFill="0" applyBorder="0" applyAlignment="0" applyProtection="0"/>
    <xf numFmtId="166" fontId="7" fillId="0" borderId="0" applyFont="0" applyFill="0" applyBorder="0" applyAlignment="0" applyProtection="0"/>
    <xf numFmtId="172" fontId="7" fillId="0" borderId="37" applyNumberFormat="0" applyFont="0" applyFill="0" applyAlignment="0" applyProtection="0"/>
    <xf numFmtId="172" fontId="9" fillId="0" borderId="3">
      <alignment horizontal="center" vertical="center" wrapText="1"/>
    </xf>
    <xf numFmtId="182" fontId="55" fillId="0" borderId="0">
      <alignment horizontal="left"/>
    </xf>
    <xf numFmtId="37" fontId="15" fillId="15" borderId="0" applyNumberFormat="0" applyBorder="0" applyAlignment="0" applyProtection="0"/>
    <xf numFmtId="37" fontId="15" fillId="0" borderId="0"/>
    <xf numFmtId="3" fontId="56" fillId="59" borderId="43"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72" fontId="23" fillId="0" borderId="0"/>
    <xf numFmtId="172" fontId="7" fillId="0" borderId="0"/>
    <xf numFmtId="42"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0" fontId="5" fillId="2" borderId="0" applyAlignment="0">
      <alignment horizontal="center" vertical="top" wrapText="1"/>
    </xf>
    <xf numFmtId="0" fontId="28" fillId="0" borderId="0"/>
    <xf numFmtId="0" fontId="29" fillId="0" borderId="0"/>
    <xf numFmtId="0" fontId="81" fillId="0" borderId="0"/>
    <xf numFmtId="43" fontId="13" fillId="0" borderId="0" applyFont="0" applyFill="0" applyBorder="0" applyAlignment="0" applyProtection="0"/>
    <xf numFmtId="164" fontId="13" fillId="0" borderId="0"/>
    <xf numFmtId="20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3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0"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3" fontId="41" fillId="0" borderId="251">
      <alignment horizontal="right"/>
    </xf>
    <xf numFmtId="200" fontId="47" fillId="0" borderId="0" applyFont="0" applyFill="0" applyBorder="0" applyAlignment="0" applyProtection="0">
      <alignment vertical="top"/>
    </xf>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1" fontId="107" fillId="0" borderId="0" applyNumberFormat="0" applyFill="0" applyBorder="0" applyAlignment="0" applyProtection="0">
      <alignment vertical="top"/>
      <protection locked="0"/>
    </xf>
    <xf numFmtId="200" fontId="7" fillId="0" borderId="0"/>
    <xf numFmtId="200" fontId="7" fillId="0" borderId="0"/>
    <xf numFmtId="200" fontId="7" fillId="0" borderId="0"/>
    <xf numFmtId="200" fontId="7" fillId="0" borderId="0"/>
    <xf numFmtId="200" fontId="7" fillId="0" borderId="0"/>
    <xf numFmtId="200" fontId="7" fillId="0" borderId="0"/>
    <xf numFmtId="200" fontId="7" fillId="0" borderId="0"/>
    <xf numFmtId="200" fontId="7" fillId="0" borderId="0"/>
    <xf numFmtId="200" fontId="7" fillId="0" borderId="0"/>
    <xf numFmtId="200" fontId="7" fillId="0" borderId="0"/>
    <xf numFmtId="0" fontId="40" fillId="0" borderId="0"/>
    <xf numFmtId="200" fontId="40" fillId="0" borderId="0"/>
    <xf numFmtId="200" fontId="40" fillId="0" borderId="0"/>
    <xf numFmtId="200" fontId="40" fillId="0" borderId="0"/>
    <xf numFmtId="200" fontId="40" fillId="0" borderId="0"/>
    <xf numFmtId="200" fontId="40" fillId="0" borderId="0"/>
    <xf numFmtId="200" fontId="40" fillId="0" borderId="0"/>
    <xf numFmtId="200" fontId="40" fillId="0" borderId="0"/>
    <xf numFmtId="200" fontId="40" fillId="0" borderId="0"/>
    <xf numFmtId="200" fontId="40" fillId="0" borderId="0"/>
    <xf numFmtId="201" fontId="86" fillId="0" borderId="0"/>
    <xf numFmtId="201" fontId="86" fillId="0" borderId="0"/>
    <xf numFmtId="201" fontId="86" fillId="0" borderId="0"/>
    <xf numFmtId="201" fontId="86" fillId="0" borderId="0"/>
    <xf numFmtId="201" fontId="13" fillId="0" borderId="0"/>
    <xf numFmtId="201" fontId="13" fillId="0" borderId="0"/>
    <xf numFmtId="201" fontId="13" fillId="0" borderId="0"/>
    <xf numFmtId="201" fontId="13" fillId="0" borderId="0"/>
    <xf numFmtId="201" fontId="13" fillId="0" borderId="0"/>
    <xf numFmtId="0" fontId="7" fillId="0" borderId="0"/>
    <xf numFmtId="200" fontId="40" fillId="0" borderId="0"/>
    <xf numFmtId="200" fontId="40" fillId="0" borderId="0"/>
    <xf numFmtId="201" fontId="7" fillId="0" borderId="0"/>
    <xf numFmtId="200" fontId="40" fillId="0" borderId="0"/>
    <xf numFmtId="200" fontId="40" fillId="0" borderId="0"/>
    <xf numFmtId="200" fontId="40" fillId="0" borderId="0"/>
    <xf numFmtId="200" fontId="40" fillId="0" borderId="0"/>
    <xf numFmtId="200" fontId="13" fillId="0" borderId="0"/>
    <xf numFmtId="200" fontId="13" fillId="0" borderId="0"/>
    <xf numFmtId="200" fontId="13" fillId="0" borderId="0"/>
    <xf numFmtId="200" fontId="7" fillId="0" borderId="0"/>
    <xf numFmtId="200" fontId="13" fillId="0" borderId="0"/>
    <xf numFmtId="200" fontId="13" fillId="0" borderId="0"/>
    <xf numFmtId="200" fontId="7"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201" fontId="40" fillId="0" borderId="0"/>
    <xf numFmtId="201" fontId="40" fillId="0" borderId="0"/>
    <xf numFmtId="200" fontId="13" fillId="0" borderId="0"/>
    <xf numFmtId="0" fontId="13" fillId="0" borderId="0"/>
    <xf numFmtId="200" fontId="13" fillId="0" borderId="0"/>
    <xf numFmtId="0" fontId="108" fillId="0" borderId="0"/>
    <xf numFmtId="200" fontId="13" fillId="0" borderId="0"/>
    <xf numFmtId="200" fontId="7" fillId="0" borderId="0"/>
    <xf numFmtId="0" fontId="7" fillId="0" borderId="0"/>
    <xf numFmtId="0" fontId="13" fillId="0" borderId="0"/>
    <xf numFmtId="0" fontId="13" fillId="0" borderId="0"/>
    <xf numFmtId="0" fontId="13" fillId="0" borderId="0"/>
    <xf numFmtId="201" fontId="7" fillId="0" borderId="0"/>
    <xf numFmtId="0" fontId="13" fillId="0" borderId="0"/>
    <xf numFmtId="0" fontId="13" fillId="0" borderId="0"/>
    <xf numFmtId="0" fontId="13" fillId="0" borderId="0"/>
    <xf numFmtId="0" fontId="13" fillId="0" borderId="0"/>
    <xf numFmtId="172" fontId="13" fillId="0" borderId="0"/>
    <xf numFmtId="200" fontId="7" fillId="0" borderId="0"/>
    <xf numFmtId="200" fontId="13" fillId="0" borderId="0"/>
    <xf numFmtId="200" fontId="7" fillId="0" borderId="0"/>
    <xf numFmtId="200" fontId="7" fillId="0" borderId="0"/>
    <xf numFmtId="200" fontId="13" fillId="0" borderId="0"/>
    <xf numFmtId="201" fontId="13" fillId="69" borderId="250"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0" fontId="7"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cellStyleXfs>
  <cellXfs count="1750">
    <xf numFmtId="0" fontId="0" fillId="0" borderId="0" xfId="0"/>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4"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7" xfId="0" applyFont="1" applyFill="1" applyBorder="1" applyAlignment="1">
      <alignment horizontal="center"/>
    </xf>
    <xf numFmtId="0" fontId="1" fillId="2" borderId="12" xfId="0" applyFont="1" applyFill="1" applyBorder="1" applyAlignment="1">
      <alignment horizontal="center" vertical="center" wrapText="1"/>
    </xf>
    <xf numFmtId="0" fontId="1" fillId="2" borderId="14" xfId="0" applyFont="1" applyFill="1" applyBorder="1" applyAlignment="1">
      <alignment horizontal="center" vertical="center"/>
    </xf>
    <xf numFmtId="0" fontId="0" fillId="3" borderId="0" xfId="0" applyFill="1" applyAlignment="1">
      <alignment horizontal="center"/>
    </xf>
    <xf numFmtId="0" fontId="0" fillId="3" borderId="0" xfId="0" applyFill="1" applyAlignment="1">
      <alignment horizontal="right"/>
    </xf>
    <xf numFmtId="0" fontId="0" fillId="3" borderId="0" xfId="0" applyFill="1"/>
    <xf numFmtId="0" fontId="0" fillId="3" borderId="6" xfId="0" applyFill="1" applyBorder="1" applyAlignment="1">
      <alignment horizontal="center"/>
    </xf>
    <xf numFmtId="3" fontId="2" fillId="3" borderId="6" xfId="0" applyNumberFormat="1" applyFont="1" applyFill="1" applyBorder="1" applyAlignment="1">
      <alignment horizontal="center" vertical="center"/>
    </xf>
    <xf numFmtId="0" fontId="0" fillId="3" borderId="3" xfId="0" applyFill="1" applyBorder="1" applyAlignment="1">
      <alignment horizontal="center"/>
    </xf>
    <xf numFmtId="3" fontId="0" fillId="3" borderId="3" xfId="0" applyNumberFormat="1" applyFill="1" applyBorder="1" applyAlignment="1">
      <alignment horizontal="center" vertical="center"/>
    </xf>
    <xf numFmtId="6" fontId="0" fillId="3" borderId="0" xfId="0" applyNumberFormat="1" applyFill="1"/>
    <xf numFmtId="0" fontId="2" fillId="3" borderId="0" xfId="0" applyFont="1" applyFill="1"/>
    <xf numFmtId="0" fontId="0" fillId="3" borderId="0" xfId="0" applyFill="1" applyAlignment="1">
      <alignment horizontal="left"/>
    </xf>
    <xf numFmtId="3" fontId="0" fillId="4" borderId="6" xfId="0" applyNumberFormat="1" applyFill="1" applyBorder="1" applyAlignment="1">
      <alignment horizontal="center" vertical="center"/>
    </xf>
    <xf numFmtId="3" fontId="2" fillId="4" borderId="6" xfId="0" applyNumberFormat="1" applyFont="1" applyFill="1" applyBorder="1" applyAlignment="1">
      <alignment horizontal="center" vertical="center"/>
    </xf>
    <xf numFmtId="0" fontId="0" fillId="4" borderId="3" xfId="0" applyFill="1" applyBorder="1" applyAlignment="1">
      <alignment horizontal="left"/>
    </xf>
    <xf numFmtId="0" fontId="3" fillId="2" borderId="18" xfId="0" applyFont="1" applyFill="1" applyBorder="1" applyAlignment="1">
      <alignment horizontal="center" vertical="center"/>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0" fillId="0" borderId="0" xfId="0" applyFont="1"/>
    <xf numFmtId="0" fontId="0" fillId="0" borderId="0" xfId="0" applyFont="1" applyAlignment="1">
      <alignment horizontal="center"/>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0" fillId="0" borderId="6" xfId="0" applyFont="1" applyBorder="1"/>
    <xf numFmtId="0" fontId="0" fillId="0" borderId="3" xfId="0" applyFont="1" applyBorder="1"/>
    <xf numFmtId="0" fontId="11" fillId="0" borderId="0" xfId="0" applyFont="1"/>
    <xf numFmtId="0" fontId="0" fillId="0" borderId="0" xfId="0" applyFont="1" applyBorder="1"/>
    <xf numFmtId="0" fontId="0" fillId="0" borderId="3" xfId="0" applyBorder="1" applyAlignment="1">
      <alignment horizontal="right"/>
    </xf>
    <xf numFmtId="3" fontId="0" fillId="0" borderId="6" xfId="0" applyNumberFormat="1" applyFont="1" applyBorder="1" applyAlignment="1">
      <alignment horizontal="center"/>
    </xf>
    <xf numFmtId="3" fontId="0" fillId="0" borderId="3" xfId="0" applyNumberFormat="1" applyFont="1" applyBorder="1" applyAlignment="1">
      <alignment horizontal="center"/>
    </xf>
    <xf numFmtId="0" fontId="0" fillId="0" borderId="0" xfId="0" applyBorder="1"/>
    <xf numFmtId="0" fontId="0" fillId="0" borderId="0" xfId="0" applyAlignment="1">
      <alignment vertical="center"/>
    </xf>
    <xf numFmtId="0" fontId="0" fillId="0" borderId="0" xfId="0" applyAlignment="1">
      <alignment horizontal="center" vertical="center"/>
    </xf>
    <xf numFmtId="0" fontId="0" fillId="0" borderId="3" xfId="0" applyBorder="1"/>
    <xf numFmtId="0" fontId="0" fillId="5" borderId="3" xfId="0" applyFill="1" applyBorder="1" applyAlignment="1">
      <alignment horizontal="center"/>
    </xf>
    <xf numFmtId="3" fontId="0" fillId="5" borderId="3" xfId="0" applyNumberFormat="1" applyFill="1" applyBorder="1" applyAlignment="1">
      <alignment horizontal="center" vertical="center"/>
    </xf>
    <xf numFmtId="3" fontId="2" fillId="5" borderId="3" xfId="0" applyNumberFormat="1" applyFont="1" applyFill="1" applyBorder="1" applyAlignment="1">
      <alignment horizontal="center" vertical="center"/>
    </xf>
    <xf numFmtId="0" fontId="1" fillId="2" borderId="32" xfId="0" applyFont="1" applyFill="1" applyBorder="1" applyAlignment="1">
      <alignment horizontal="center" vertical="center"/>
    </xf>
    <xf numFmtId="164" fontId="0" fillId="3" borderId="3" xfId="0" applyNumberFormat="1" applyFill="1" applyBorder="1" applyAlignment="1">
      <alignment horizontal="center"/>
    </xf>
    <xf numFmtId="0" fontId="0" fillId="3" borderId="0" xfId="0" applyFill="1" applyAlignment="1">
      <alignment horizontal="center" vertical="center"/>
    </xf>
    <xf numFmtId="0" fontId="0" fillId="3" borderId="0" xfId="0" applyFill="1" applyAlignment="1">
      <alignment vertical="center"/>
    </xf>
    <xf numFmtId="3" fontId="0" fillId="4" borderId="3" xfId="0" applyNumberFormat="1" applyFill="1" applyBorder="1" applyAlignment="1">
      <alignment horizontal="center" vertical="center"/>
    </xf>
    <xf numFmtId="3" fontId="2" fillId="3" borderId="3" xfId="0" applyNumberFormat="1" applyFont="1" applyFill="1" applyBorder="1" applyAlignment="1">
      <alignment horizontal="center" vertical="center"/>
    </xf>
    <xf numFmtId="3" fontId="2" fillId="4" borderId="3" xfId="0" applyNumberFormat="1" applyFont="1" applyFill="1" applyBorder="1" applyAlignment="1">
      <alignment horizontal="center" vertical="center"/>
    </xf>
    <xf numFmtId="0" fontId="3" fillId="2" borderId="32" xfId="0" applyFont="1" applyFill="1" applyBorder="1" applyAlignment="1">
      <alignment horizontal="center" vertical="center"/>
    </xf>
    <xf numFmtId="3" fontId="2" fillId="3" borderId="3" xfId="0" applyNumberFormat="1" applyFont="1" applyFill="1" applyBorder="1" applyAlignment="1">
      <alignment horizontal="center"/>
    </xf>
    <xf numFmtId="3" fontId="0" fillId="3" borderId="0" xfId="0" applyNumberFormat="1" applyFill="1" applyBorder="1" applyAlignment="1">
      <alignment horizontal="center" vertical="center"/>
    </xf>
    <xf numFmtId="0" fontId="0" fillId="3" borderId="0" xfId="0" applyFill="1" applyBorder="1" applyAlignment="1">
      <alignment horizontal="center"/>
    </xf>
    <xf numFmtId="0" fontId="0" fillId="6" borderId="3" xfId="0" applyFill="1" applyBorder="1" applyAlignment="1">
      <alignment horizontal="center" vertical="center"/>
    </xf>
    <xf numFmtId="0" fontId="0" fillId="3" borderId="0" xfId="0" applyFill="1" applyBorder="1"/>
    <xf numFmtId="0" fontId="10" fillId="2" borderId="32" xfId="0" applyFont="1" applyFill="1" applyBorder="1" applyAlignment="1">
      <alignment horizontal="center" vertical="center" wrapText="1"/>
    </xf>
    <xf numFmtId="0" fontId="0" fillId="0" borderId="3" xfId="0" applyFont="1" applyBorder="1" applyAlignment="1">
      <alignment horizontal="center"/>
    </xf>
    <xf numFmtId="166" fontId="0" fillId="0" borderId="3" xfId="0" applyNumberFormat="1" applyFont="1" applyBorder="1" applyAlignment="1">
      <alignment horizontal="center"/>
    </xf>
    <xf numFmtId="0" fontId="3" fillId="2" borderId="8" xfId="0" applyFont="1" applyFill="1" applyBorder="1" applyAlignment="1">
      <alignment horizontal="center" wrapText="1"/>
    </xf>
    <xf numFmtId="3" fontId="0" fillId="6" borderId="3" xfId="0" applyNumberFormat="1" applyFill="1" applyBorder="1" applyAlignment="1">
      <alignment horizontal="center" vertical="center"/>
    </xf>
    <xf numFmtId="0" fontId="0" fillId="6" borderId="3" xfId="0" applyFill="1" applyBorder="1" applyAlignment="1">
      <alignment vertical="center"/>
    </xf>
    <xf numFmtId="0" fontId="0" fillId="20" borderId="3" xfId="0" applyFill="1" applyBorder="1" applyAlignment="1">
      <alignment vertical="center"/>
    </xf>
    <xf numFmtId="3" fontId="0" fillId="20" borderId="3" xfId="0" applyNumberFormat="1" applyFill="1" applyBorder="1" applyAlignment="1">
      <alignment horizontal="center" vertical="center"/>
    </xf>
    <xf numFmtId="10" fontId="0" fillId="20" borderId="3" xfId="0" applyNumberFormat="1" applyFill="1" applyBorder="1" applyAlignment="1">
      <alignment horizontal="center" vertical="center"/>
    </xf>
    <xf numFmtId="0" fontId="0" fillId="6" borderId="4" xfId="0" applyFill="1" applyBorder="1" applyAlignment="1">
      <alignment horizontal="center" vertical="center"/>
    </xf>
    <xf numFmtId="10" fontId="0" fillId="6" borderId="4" xfId="0" applyNumberFormat="1" applyFill="1" applyBorder="1" applyAlignment="1">
      <alignment horizontal="center" vertical="center"/>
    </xf>
    <xf numFmtId="3" fontId="3" fillId="2" borderId="29" xfId="0" applyNumberFormat="1" applyFont="1" applyFill="1" applyBorder="1" applyAlignment="1">
      <alignment horizontal="center" vertical="center"/>
    </xf>
    <xf numFmtId="10" fontId="3" fillId="2" borderId="30" xfId="0" applyNumberFormat="1" applyFont="1" applyFill="1" applyBorder="1" applyAlignment="1">
      <alignment horizontal="center" vertical="center"/>
    </xf>
    <xf numFmtId="0" fontId="0" fillId="9" borderId="3" xfId="0" applyFill="1" applyBorder="1" applyAlignment="1">
      <alignment vertical="center"/>
    </xf>
    <xf numFmtId="0" fontId="0" fillId="22" borderId="3" xfId="0" applyFill="1" applyBorder="1" applyAlignment="1">
      <alignment vertical="center"/>
    </xf>
    <xf numFmtId="0" fontId="0" fillId="23" borderId="3" xfId="0" applyFill="1" applyBorder="1" applyAlignment="1">
      <alignment vertical="center"/>
    </xf>
    <xf numFmtId="0" fontId="0" fillId="24" borderId="3" xfId="0" applyFill="1" applyBorder="1" applyAlignment="1">
      <alignment vertical="center"/>
    </xf>
    <xf numFmtId="0" fontId="0" fillId="25" borderId="6" xfId="0" applyFill="1" applyBorder="1" applyAlignment="1">
      <alignment vertical="center"/>
    </xf>
    <xf numFmtId="0" fontId="0" fillId="26" borderId="3" xfId="0" applyFill="1" applyBorder="1" applyAlignment="1">
      <alignment vertical="center"/>
    </xf>
    <xf numFmtId="0" fontId="0" fillId="11" borderId="3" xfId="0" applyFill="1" applyBorder="1" applyAlignment="1">
      <alignment vertical="center"/>
    </xf>
    <xf numFmtId="0" fontId="0" fillId="27" borderId="3" xfId="0" applyFill="1" applyBorder="1" applyAlignment="1">
      <alignment vertical="center"/>
    </xf>
    <xf numFmtId="0" fontId="0" fillId="28" borderId="3" xfId="0" applyFill="1" applyBorder="1" applyAlignment="1">
      <alignment vertical="center"/>
    </xf>
    <xf numFmtId="3" fontId="0" fillId="6" borderId="4" xfId="0" applyNumberFormat="1" applyFill="1" applyBorder="1" applyAlignment="1">
      <alignment horizontal="center" vertical="center"/>
    </xf>
    <xf numFmtId="3" fontId="0" fillId="25" borderId="6" xfId="0" applyNumberFormat="1" applyFill="1" applyBorder="1" applyAlignment="1">
      <alignment horizontal="center" vertical="center"/>
    </xf>
    <xf numFmtId="3" fontId="0" fillId="26" borderId="3" xfId="0" applyNumberFormat="1" applyFill="1" applyBorder="1" applyAlignment="1">
      <alignment horizontal="center" vertical="center"/>
    </xf>
    <xf numFmtId="3" fontId="0" fillId="27" borderId="3" xfId="0" applyNumberFormat="1" applyFill="1" applyBorder="1" applyAlignment="1">
      <alignment horizontal="center" vertical="center"/>
    </xf>
    <xf numFmtId="3" fontId="0" fillId="11" borderId="3" xfId="0" applyNumberFormat="1" applyFill="1" applyBorder="1" applyAlignment="1">
      <alignment horizontal="center" vertical="center"/>
    </xf>
    <xf numFmtId="3" fontId="0" fillId="28" borderId="3" xfId="0" applyNumberFormat="1" applyFill="1" applyBorder="1" applyAlignment="1">
      <alignment horizontal="center" vertical="center"/>
    </xf>
    <xf numFmtId="3" fontId="0" fillId="9" borderId="3" xfId="0" applyNumberFormat="1" applyFill="1" applyBorder="1" applyAlignment="1">
      <alignment horizontal="center" vertical="center"/>
    </xf>
    <xf numFmtId="3" fontId="0" fillId="22" borderId="3" xfId="0" applyNumberFormat="1" applyFill="1" applyBorder="1" applyAlignment="1">
      <alignment horizontal="center" vertical="center"/>
    </xf>
    <xf numFmtId="3" fontId="0" fillId="23" borderId="3" xfId="0" applyNumberFormat="1" applyFill="1" applyBorder="1" applyAlignment="1">
      <alignment horizontal="center" vertical="center"/>
    </xf>
    <xf numFmtId="3" fontId="0" fillId="24" borderId="3" xfId="0" applyNumberFormat="1" applyFill="1" applyBorder="1" applyAlignment="1">
      <alignment horizontal="center" vertical="center"/>
    </xf>
    <xf numFmtId="10" fontId="0" fillId="25" borderId="6" xfId="0" applyNumberFormat="1" applyFill="1" applyBorder="1" applyAlignment="1">
      <alignment horizontal="center" vertical="center"/>
    </xf>
    <xf numFmtId="10" fontId="0" fillId="26" borderId="3" xfId="0" applyNumberFormat="1" applyFill="1" applyBorder="1" applyAlignment="1">
      <alignment horizontal="center" vertical="center"/>
    </xf>
    <xf numFmtId="10" fontId="0" fillId="27" borderId="3" xfId="0" applyNumberFormat="1" applyFill="1" applyBorder="1" applyAlignment="1">
      <alignment horizontal="center" vertical="center"/>
    </xf>
    <xf numFmtId="10" fontId="0" fillId="11" borderId="3" xfId="0" applyNumberFormat="1" applyFill="1" applyBorder="1" applyAlignment="1">
      <alignment horizontal="center" vertical="center"/>
    </xf>
    <xf numFmtId="10" fontId="0" fillId="28" borderId="3" xfId="0" applyNumberFormat="1" applyFill="1" applyBorder="1" applyAlignment="1">
      <alignment horizontal="center" vertical="center"/>
    </xf>
    <xf numFmtId="10" fontId="0" fillId="9" borderId="3" xfId="0" applyNumberFormat="1" applyFill="1" applyBorder="1" applyAlignment="1">
      <alignment horizontal="center" vertical="center"/>
    </xf>
    <xf numFmtId="10" fontId="0" fillId="22" borderId="3" xfId="0" applyNumberFormat="1" applyFill="1" applyBorder="1" applyAlignment="1">
      <alignment horizontal="center" vertical="center"/>
    </xf>
    <xf numFmtId="10" fontId="0" fillId="23" borderId="3" xfId="0" applyNumberFormat="1" applyFill="1" applyBorder="1" applyAlignment="1">
      <alignment horizontal="center" vertical="center"/>
    </xf>
    <xf numFmtId="10" fontId="0" fillId="24" borderId="3" xfId="0" applyNumberFormat="1" applyFill="1" applyBorder="1" applyAlignment="1">
      <alignment horizontal="center" vertical="center"/>
    </xf>
    <xf numFmtId="0" fontId="0" fillId="29" borderId="3" xfId="0" applyFill="1" applyBorder="1" applyAlignment="1">
      <alignment vertical="center"/>
    </xf>
    <xf numFmtId="3" fontId="0" fillId="29" borderId="3" xfId="0" applyNumberFormat="1" applyFill="1" applyBorder="1" applyAlignment="1">
      <alignment horizontal="center" vertical="center"/>
    </xf>
    <xf numFmtId="10" fontId="0" fillId="29" borderId="3" xfId="0" applyNumberFormat="1" applyFill="1" applyBorder="1" applyAlignment="1">
      <alignment horizontal="center" vertical="center"/>
    </xf>
    <xf numFmtId="0" fontId="0" fillId="30" borderId="3" xfId="0" applyFill="1" applyBorder="1" applyAlignment="1">
      <alignment vertical="center"/>
    </xf>
    <xf numFmtId="3" fontId="0" fillId="30" borderId="3" xfId="0" applyNumberFormat="1" applyFill="1" applyBorder="1" applyAlignment="1">
      <alignment horizontal="center" vertical="center"/>
    </xf>
    <xf numFmtId="10" fontId="0" fillId="30" borderId="3" xfId="0" applyNumberFormat="1" applyFill="1" applyBorder="1" applyAlignment="1">
      <alignment horizontal="center" vertical="center"/>
    </xf>
    <xf numFmtId="0" fontId="0" fillId="0" borderId="0" xfId="0" applyBorder="1" applyAlignment="1">
      <alignment vertical="center"/>
    </xf>
    <xf numFmtId="3" fontId="2" fillId="6" borderId="3" xfId="0" applyNumberFormat="1" applyFont="1" applyFill="1" applyBorder="1" applyAlignment="1">
      <alignment horizontal="center" vertical="center"/>
    </xf>
    <xf numFmtId="0" fontId="3" fillId="2" borderId="47" xfId="0" applyFont="1" applyFill="1" applyBorder="1" applyAlignment="1">
      <alignment horizontal="center" vertical="center" wrapText="1"/>
    </xf>
    <xf numFmtId="0" fontId="26" fillId="2" borderId="0" xfId="0" applyFont="1" applyFill="1"/>
    <xf numFmtId="0" fontId="27" fillId="2" borderId="0" xfId="0" applyFont="1" applyFill="1"/>
    <xf numFmtId="0" fontId="28" fillId="0" borderId="0" xfId="0" applyFont="1"/>
    <xf numFmtId="0" fontId="3" fillId="2" borderId="0" xfId="0" applyFont="1" applyFill="1" applyAlignment="1">
      <alignment horizontal="center"/>
    </xf>
    <xf numFmtId="0" fontId="30" fillId="0" borderId="0" xfId="8" applyNumberFormat="1" applyFont="1" applyFill="1" applyBorder="1" applyAlignment="1" applyProtection="1">
      <alignment horizontal="right" vertical="center" wrapText="1"/>
    </xf>
    <xf numFmtId="0" fontId="30" fillId="0" borderId="0" xfId="9" applyFont="1"/>
    <xf numFmtId="0" fontId="0" fillId="3" borderId="3" xfId="0" applyFill="1" applyBorder="1"/>
    <xf numFmtId="171" fontId="0" fillId="25" borderId="3" xfId="0" applyNumberFormat="1" applyFill="1" applyBorder="1"/>
    <xf numFmtId="0" fontId="0" fillId="25" borderId="3" xfId="0" applyFill="1" applyBorder="1"/>
    <xf numFmtId="0" fontId="0" fillId="31" borderId="3" xfId="0" applyFill="1" applyBorder="1"/>
    <xf numFmtId="171" fontId="0" fillId="3" borderId="3" xfId="0" applyNumberFormat="1" applyFill="1" applyBorder="1"/>
    <xf numFmtId="171" fontId="0" fillId="25" borderId="3" xfId="0" applyNumberFormat="1" applyFill="1" applyBorder="1" applyAlignment="1">
      <alignment horizontal="right"/>
    </xf>
    <xf numFmtId="0" fontId="0" fillId="25" borderId="3" xfId="0" applyFill="1" applyBorder="1" applyAlignment="1">
      <alignment horizontal="right"/>
    </xf>
    <xf numFmtId="0" fontId="0" fillId="31" borderId="3" xfId="0" applyFill="1" applyBorder="1" applyAlignment="1">
      <alignment horizontal="right"/>
    </xf>
    <xf numFmtId="0" fontId="1" fillId="2" borderId="3" xfId="0" applyFont="1" applyFill="1" applyBorder="1"/>
    <xf numFmtId="0" fontId="3" fillId="2" borderId="0" xfId="0" applyFont="1" applyFill="1" applyBorder="1" applyAlignment="1">
      <alignment horizontal="center"/>
    </xf>
    <xf numFmtId="0" fontId="3" fillId="2" borderId="3" xfId="0" applyFont="1" applyFill="1" applyBorder="1" applyAlignment="1">
      <alignment horizontal="center"/>
    </xf>
    <xf numFmtId="0" fontId="0" fillId="0" borderId="3" xfId="0" applyFill="1" applyBorder="1"/>
    <xf numFmtId="3" fontId="0" fillId="0" borderId="0" xfId="0" applyNumberFormat="1"/>
    <xf numFmtId="164" fontId="0" fillId="0" borderId="0" xfId="0" applyNumberFormat="1"/>
    <xf numFmtId="0" fontId="1" fillId="2" borderId="0" xfId="0" applyFont="1" applyFill="1"/>
    <xf numFmtId="0" fontId="3" fillId="2" borderId="0" xfId="0" applyFont="1" applyFill="1"/>
    <xf numFmtId="0" fontId="26" fillId="2" borderId="0" xfId="0" applyFont="1" applyFill="1" applyBorder="1" applyAlignment="1">
      <alignment horizontal="centerContinuous"/>
    </xf>
    <xf numFmtId="170" fontId="28" fillId="0" borderId="0" xfId="10" applyNumberFormat="1" applyFont="1"/>
    <xf numFmtId="0" fontId="28" fillId="0" borderId="0" xfId="0" applyFont="1" applyBorder="1"/>
    <xf numFmtId="170" fontId="13" fillId="0" borderId="0" xfId="10" applyNumberFormat="1" applyFont="1" applyAlignment="1">
      <alignment horizontal="right"/>
    </xf>
    <xf numFmtId="0" fontId="28" fillId="0" borderId="0" xfId="0" applyFont="1" applyFill="1" applyBorder="1"/>
    <xf numFmtId="0" fontId="33" fillId="0" borderId="0" xfId="0" applyFont="1"/>
    <xf numFmtId="0" fontId="30" fillId="0" borderId="0" xfId="8" applyNumberFormat="1" applyFont="1" applyFill="1" applyBorder="1" applyAlignment="1" applyProtection="1">
      <alignment horizontal="left" vertical="center" wrapText="1"/>
    </xf>
    <xf numFmtId="170" fontId="30" fillId="0" borderId="0" xfId="10" applyNumberFormat="1" applyFont="1" applyFill="1" applyBorder="1" applyAlignment="1" applyProtection="1">
      <alignment horizontal="right"/>
    </xf>
    <xf numFmtId="0" fontId="26" fillId="2" borderId="0" xfId="8" applyNumberFormat="1" applyFont="1" applyFill="1" applyBorder="1" applyAlignment="1" applyProtection="1">
      <alignment horizontal="left" vertical="center" wrapText="1"/>
    </xf>
    <xf numFmtId="170" fontId="30" fillId="0" borderId="0" xfId="0" applyNumberFormat="1" applyFont="1" applyBorder="1" applyAlignment="1">
      <alignment vertical="center"/>
    </xf>
    <xf numFmtId="0" fontId="30" fillId="0" borderId="0" xfId="1" applyFont="1" applyAlignment="1" applyProtection="1"/>
    <xf numFmtId="3" fontId="0" fillId="6" borderId="3" xfId="0" applyNumberFormat="1" applyFill="1" applyBorder="1" applyAlignment="1">
      <alignment horizontal="center"/>
    </xf>
    <xf numFmtId="3" fontId="0" fillId="3" borderId="3" xfId="0" applyNumberFormat="1" applyFill="1" applyBorder="1" applyAlignment="1">
      <alignment horizontal="center"/>
    </xf>
    <xf numFmtId="3" fontId="2" fillId="6" borderId="3" xfId="0" applyNumberFormat="1" applyFont="1" applyFill="1" applyBorder="1" applyAlignment="1">
      <alignment horizontal="center"/>
    </xf>
    <xf numFmtId="3" fontId="0" fillId="34" borderId="3" xfId="0" applyNumberFormat="1" applyFill="1" applyBorder="1" applyAlignment="1">
      <alignment horizontal="center" vertical="center"/>
    </xf>
    <xf numFmtId="0" fontId="34" fillId="3" borderId="0" xfId="0" applyFont="1" applyFill="1"/>
    <xf numFmtId="3" fontId="2" fillId="34" borderId="3" xfId="0" applyNumberFormat="1" applyFont="1" applyFill="1" applyBorder="1" applyAlignment="1">
      <alignment horizontal="center" vertical="center"/>
    </xf>
    <xf numFmtId="0" fontId="1" fillId="2" borderId="15" xfId="0" applyFont="1" applyFill="1" applyBorder="1" applyAlignment="1">
      <alignment horizontal="center" vertical="center"/>
    </xf>
    <xf numFmtId="172" fontId="35" fillId="3" borderId="0" xfId="0" applyNumberFormat="1" applyFont="1" applyFill="1"/>
    <xf numFmtId="172" fontId="0" fillId="3" borderId="0" xfId="0" applyNumberFormat="1" applyFill="1"/>
    <xf numFmtId="172" fontId="1" fillId="2" borderId="7" xfId="0" applyNumberFormat="1" applyFont="1" applyFill="1" applyBorder="1" applyAlignment="1">
      <alignment horizontal="center" vertical="center"/>
    </xf>
    <xf numFmtId="172" fontId="1" fillId="2" borderId="30" xfId="0" applyNumberFormat="1" applyFont="1" applyFill="1" applyBorder="1" applyAlignment="1">
      <alignment horizontal="center" vertical="center"/>
    </xf>
    <xf numFmtId="172" fontId="0" fillId="3" borderId="0" xfId="0" applyNumberFormat="1" applyFill="1" applyAlignment="1">
      <alignment vertical="center"/>
    </xf>
    <xf numFmtId="172" fontId="0" fillId="3" borderId="3" xfId="0" applyNumberFormat="1" applyFill="1" applyBorder="1" applyAlignment="1">
      <alignment vertical="center"/>
    </xf>
    <xf numFmtId="172" fontId="0" fillId="3" borderId="3" xfId="0" applyNumberFormat="1" applyFill="1" applyBorder="1" applyAlignment="1">
      <alignment vertical="center" wrapText="1"/>
    </xf>
    <xf numFmtId="0" fontId="4" fillId="0" borderId="3" xfId="1" applyBorder="1" applyAlignment="1" applyProtection="1">
      <alignment vertical="center"/>
    </xf>
    <xf numFmtId="0" fontId="4" fillId="0" borderId="3" xfId="1" applyBorder="1" applyAlignment="1" applyProtection="1">
      <alignment horizontal="left" vertical="center" indent="2"/>
    </xf>
    <xf numFmtId="0" fontId="36" fillId="0" borderId="0" xfId="0" applyFont="1"/>
    <xf numFmtId="3" fontId="0" fillId="36" borderId="3" xfId="0" applyNumberFormat="1" applyFill="1" applyBorder="1" applyAlignment="1">
      <alignment horizontal="center"/>
    </xf>
    <xf numFmtId="0" fontId="3" fillId="2" borderId="26" xfId="0" applyFont="1" applyFill="1" applyBorder="1" applyAlignment="1">
      <alignment horizontal="center"/>
    </xf>
    <xf numFmtId="3" fontId="2" fillId="36" borderId="3" xfId="0" applyNumberFormat="1" applyFont="1" applyFill="1" applyBorder="1" applyAlignment="1">
      <alignment horizontal="center"/>
    </xf>
    <xf numFmtId="171" fontId="0" fillId="6" borderId="3" xfId="0" applyNumberFormat="1" applyFill="1" applyBorder="1"/>
    <xf numFmtId="183" fontId="0" fillId="0" borderId="0" xfId="11" applyNumberFormat="1" applyFont="1"/>
    <xf numFmtId="172" fontId="3" fillId="9" borderId="0" xfId="11" applyFont="1" applyFill="1" applyAlignment="1">
      <alignment horizontal="centerContinuous"/>
    </xf>
    <xf numFmtId="172" fontId="0" fillId="9" borderId="0" xfId="11" applyFont="1" applyFill="1" applyAlignment="1">
      <alignment horizontal="centerContinuous"/>
    </xf>
    <xf numFmtId="172" fontId="0" fillId="0" borderId="0" xfId="11" applyFont="1"/>
    <xf numFmtId="172" fontId="3" fillId="10" borderId="0" xfId="11" applyFont="1" applyFill="1" applyAlignment="1">
      <alignment horizontal="centerContinuous" wrapText="1"/>
    </xf>
    <xf numFmtId="172" fontId="57" fillId="60" borderId="0" xfId="11" applyFont="1" applyFill="1" applyAlignment="1">
      <alignment horizontal="centerContinuous"/>
    </xf>
    <xf numFmtId="172" fontId="3" fillId="2" borderId="7" xfId="11" applyFont="1" applyFill="1" applyBorder="1" applyAlignment="1">
      <alignment horizontal="centerContinuous"/>
    </xf>
    <xf numFmtId="172" fontId="3" fillId="2" borderId="30" xfId="11" applyFont="1" applyFill="1" applyBorder="1" applyAlignment="1">
      <alignment horizontal="centerContinuous"/>
    </xf>
    <xf numFmtId="1" fontId="0" fillId="0" borderId="0" xfId="11" applyNumberFormat="1" applyFont="1"/>
    <xf numFmtId="172" fontId="2" fillId="0" borderId="0" xfId="11" applyFont="1"/>
    <xf numFmtId="9" fontId="0" fillId="0" borderId="0" xfId="11" applyNumberFormat="1" applyFont="1"/>
    <xf numFmtId="3" fontId="0" fillId="0" borderId="0" xfId="11" applyNumberFormat="1" applyFont="1"/>
    <xf numFmtId="183" fontId="3" fillId="2" borderId="0" xfId="11" applyNumberFormat="1" applyFont="1" applyFill="1"/>
    <xf numFmtId="172" fontId="3" fillId="2" borderId="0" xfId="11" applyFont="1" applyFill="1" applyAlignment="1">
      <alignment horizontal="center" wrapText="1"/>
    </xf>
    <xf numFmtId="172" fontId="0" fillId="0" borderId="0" xfId="11" applyFont="1" applyAlignment="1">
      <alignment horizontal="right"/>
    </xf>
    <xf numFmtId="172" fontId="0" fillId="32" borderId="0" xfId="11" applyFont="1" applyFill="1" applyAlignment="1">
      <alignment horizontal="center"/>
    </xf>
    <xf numFmtId="172" fontId="2" fillId="0" borderId="0" xfId="11" applyNumberFormat="1" applyFont="1" applyAlignment="1">
      <alignment horizontal="center" vertical="center" wrapText="1"/>
    </xf>
    <xf numFmtId="183" fontId="0" fillId="3" borderId="6" xfId="11" applyNumberFormat="1" applyFont="1" applyFill="1" applyBorder="1" applyAlignment="1">
      <alignment horizontal="center" vertical="center"/>
    </xf>
    <xf numFmtId="172" fontId="0" fillId="31" borderId="6" xfId="11" applyFont="1" applyFill="1" applyBorder="1" applyAlignment="1">
      <alignment horizontal="center" wrapText="1"/>
    </xf>
    <xf numFmtId="183" fontId="0" fillId="3" borderId="3" xfId="11" applyNumberFormat="1" applyFont="1" applyFill="1" applyBorder="1" applyAlignment="1">
      <alignment horizontal="center" vertical="center"/>
    </xf>
    <xf numFmtId="172" fontId="0" fillId="31" borderId="3" xfId="11" applyFont="1" applyFill="1" applyBorder="1"/>
    <xf numFmtId="172" fontId="0" fillId="32" borderId="3" xfId="11" applyFont="1" applyFill="1" applyBorder="1" applyAlignment="1">
      <alignment horizontal="center"/>
    </xf>
    <xf numFmtId="172" fontId="3" fillId="2" borderId="18" xfId="11" applyFont="1" applyFill="1" applyBorder="1" applyAlignment="1">
      <alignment horizontal="center"/>
    </xf>
    <xf numFmtId="172" fontId="3" fillId="2" borderId="14" xfId="11" applyFont="1" applyFill="1" applyBorder="1" applyAlignment="1">
      <alignment horizontal="center"/>
    </xf>
    <xf numFmtId="172" fontId="3" fillId="2" borderId="15" xfId="11" applyFont="1" applyFill="1" applyBorder="1" applyAlignment="1">
      <alignment horizontal="center"/>
    </xf>
    <xf numFmtId="8" fontId="0" fillId="0" borderId="0" xfId="11" applyNumberFormat="1" applyFont="1"/>
    <xf numFmtId="172" fontId="0" fillId="0" borderId="0" xfId="11" applyNumberFormat="1" applyFont="1"/>
    <xf numFmtId="6" fontId="0" fillId="0" borderId="0" xfId="11" applyNumberFormat="1" applyFont="1"/>
    <xf numFmtId="172" fontId="7" fillId="0" borderId="0" xfId="12" applyNumberFormat="1" applyFont="1" applyBorder="1"/>
    <xf numFmtId="9" fontId="0" fillId="31" borderId="3" xfId="11" applyNumberFormat="1" applyFont="1" applyFill="1" applyBorder="1"/>
    <xf numFmtId="8" fontId="0" fillId="61" borderId="3" xfId="11" applyNumberFormat="1" applyFont="1" applyFill="1" applyBorder="1" applyAlignment="1">
      <alignment horizontal="center"/>
    </xf>
    <xf numFmtId="3" fontId="0" fillId="5" borderId="3" xfId="11" applyNumberFormat="1" applyFont="1" applyFill="1" applyBorder="1" applyAlignment="1">
      <alignment horizontal="center"/>
    </xf>
    <xf numFmtId="3" fontId="0" fillId="5" borderId="6" xfId="11" applyNumberFormat="1" applyFont="1" applyFill="1" applyBorder="1" applyAlignment="1">
      <alignment horizontal="center"/>
    </xf>
    <xf numFmtId="170" fontId="13" fillId="0" borderId="0" xfId="4" applyNumberFormat="1" applyFont="1"/>
    <xf numFmtId="9" fontId="0" fillId="24" borderId="3" xfId="11" applyNumberFormat="1" applyFont="1" applyFill="1" applyBorder="1"/>
    <xf numFmtId="44" fontId="0" fillId="24" borderId="3" xfId="11" applyNumberFormat="1" applyFont="1" applyFill="1" applyBorder="1"/>
    <xf numFmtId="8" fontId="0" fillId="24" borderId="3" xfId="11" applyNumberFormat="1" applyFont="1" applyFill="1" applyBorder="1" applyAlignment="1">
      <alignment horizontal="center"/>
    </xf>
    <xf numFmtId="8" fontId="0" fillId="5" borderId="3" xfId="11" applyNumberFormat="1" applyFont="1" applyFill="1" applyBorder="1" applyAlignment="1">
      <alignment horizontal="center"/>
    </xf>
    <xf numFmtId="171" fontId="0" fillId="0" borderId="0" xfId="11" applyNumberFormat="1" applyFont="1"/>
    <xf numFmtId="2" fontId="0" fillId="0" borderId="0" xfId="11" applyNumberFormat="1" applyFont="1"/>
    <xf numFmtId="9" fontId="13" fillId="0" borderId="0" xfId="4" applyFont="1"/>
    <xf numFmtId="170" fontId="0" fillId="0" borderId="0" xfId="11" applyNumberFormat="1" applyFont="1" applyAlignment="1">
      <alignment horizontal="center"/>
    </xf>
    <xf numFmtId="3" fontId="0" fillId="0" borderId="0" xfId="11" applyNumberFormat="1" applyFont="1" applyAlignment="1">
      <alignment horizontal="center"/>
    </xf>
    <xf numFmtId="170" fontId="0" fillId="3" borderId="52" xfId="13" applyNumberFormat="1" applyFont="1" applyFill="1" applyBorder="1" applyAlignment="1">
      <alignment horizontal="center"/>
    </xf>
    <xf numFmtId="170" fontId="0" fillId="3" borderId="17" xfId="13" applyNumberFormat="1" applyFont="1" applyFill="1" applyBorder="1" applyAlignment="1">
      <alignment horizontal="center"/>
    </xf>
    <xf numFmtId="170" fontId="0" fillId="3" borderId="54" xfId="13" applyNumberFormat="1" applyFont="1" applyFill="1" applyBorder="1" applyAlignment="1">
      <alignment horizontal="center"/>
    </xf>
    <xf numFmtId="170" fontId="0" fillId="3" borderId="56" xfId="13" applyNumberFormat="1" applyFont="1" applyFill="1" applyBorder="1" applyAlignment="1">
      <alignment horizontal="center"/>
    </xf>
    <xf numFmtId="170" fontId="0" fillId="3" borderId="6" xfId="13" applyNumberFormat="1" applyFont="1" applyFill="1" applyBorder="1" applyAlignment="1">
      <alignment horizontal="center"/>
    </xf>
    <xf numFmtId="4" fontId="0" fillId="0" borderId="0" xfId="11" applyNumberFormat="1" applyFont="1"/>
    <xf numFmtId="4" fontId="7" fillId="0" borderId="27" xfId="12" applyNumberFormat="1" applyFont="1" applyBorder="1"/>
    <xf numFmtId="6" fontId="0" fillId="0" borderId="3" xfId="11" applyNumberFormat="1" applyFont="1" applyBorder="1" applyAlignment="1">
      <alignment horizontal="center"/>
    </xf>
    <xf numFmtId="4" fontId="0" fillId="3" borderId="0" xfId="13" applyNumberFormat="1" applyFont="1" applyFill="1"/>
    <xf numFmtId="4" fontId="2" fillId="3" borderId="0" xfId="13" applyNumberFormat="1" applyFont="1" applyFill="1" applyAlignment="1">
      <alignment horizontal="right"/>
    </xf>
    <xf numFmtId="4" fontId="3" fillId="2" borderId="18" xfId="13" applyNumberFormat="1" applyFont="1" applyFill="1" applyBorder="1" applyAlignment="1">
      <alignment horizontal="center" vertical="center"/>
    </xf>
    <xf numFmtId="4" fontId="3" fillId="2" borderId="14" xfId="13" applyNumberFormat="1" applyFont="1" applyFill="1" applyBorder="1" applyAlignment="1">
      <alignment horizontal="center" vertical="center"/>
    </xf>
    <xf numFmtId="4" fontId="3" fillId="2" borderId="15" xfId="13" applyNumberFormat="1" applyFont="1" applyFill="1" applyBorder="1" applyAlignment="1">
      <alignment horizontal="center" vertical="center"/>
    </xf>
    <xf numFmtId="4" fontId="3" fillId="2" borderId="10" xfId="13" applyNumberFormat="1" applyFont="1" applyFill="1" applyBorder="1" applyAlignment="1">
      <alignment horizontal="center" vertical="center" textRotation="90" wrapText="1"/>
    </xf>
    <xf numFmtId="4" fontId="0" fillId="3" borderId="24" xfId="13" applyNumberFormat="1" applyFont="1" applyFill="1" applyBorder="1" applyAlignment="1">
      <alignment horizontal="center" vertical="center" wrapText="1"/>
    </xf>
    <xf numFmtId="4" fontId="34" fillId="3" borderId="0" xfId="13" applyNumberFormat="1" applyFont="1" applyFill="1"/>
    <xf numFmtId="4" fontId="3" fillId="2" borderId="13" xfId="13" applyNumberFormat="1" applyFont="1" applyFill="1" applyBorder="1" applyAlignment="1">
      <alignment horizontal="center" vertical="center" textRotation="90" wrapText="1"/>
    </xf>
    <xf numFmtId="4" fontId="3" fillId="2" borderId="15" xfId="13" applyNumberFormat="1" applyFont="1" applyFill="1" applyBorder="1" applyAlignment="1">
      <alignment horizontal="center" vertical="center" textRotation="90" wrapText="1"/>
    </xf>
    <xf numFmtId="4" fontId="0" fillId="3" borderId="0" xfId="13" applyNumberFormat="1" applyFont="1" applyFill="1" applyBorder="1"/>
    <xf numFmtId="4" fontId="2" fillId="3" borderId="0" xfId="13" applyNumberFormat="1" applyFont="1" applyFill="1"/>
    <xf numFmtId="0" fontId="3" fillId="2" borderId="28" xfId="0" applyFont="1" applyFill="1" applyBorder="1" applyAlignment="1">
      <alignment horizontal="center"/>
    </xf>
    <xf numFmtId="0" fontId="0" fillId="25" borderId="4" xfId="0" applyFill="1" applyBorder="1" applyAlignment="1">
      <alignment horizontal="center" vertical="center" wrapText="1"/>
    </xf>
    <xf numFmtId="0" fontId="0" fillId="26" borderId="4" xfId="0" applyFill="1" applyBorder="1" applyAlignment="1">
      <alignment horizontal="center" vertical="center" wrapText="1"/>
    </xf>
    <xf numFmtId="0" fontId="0" fillId="27" borderId="4" xfId="0" applyFill="1" applyBorder="1" applyAlignment="1">
      <alignment horizontal="center" vertical="center" wrapText="1"/>
    </xf>
    <xf numFmtId="0" fontId="0" fillId="11" borderId="4" xfId="0" applyFill="1" applyBorder="1" applyAlignment="1">
      <alignment horizontal="center" vertical="center" wrapText="1"/>
    </xf>
    <xf numFmtId="0" fontId="0" fillId="28" borderId="4" xfId="0" applyFill="1" applyBorder="1" applyAlignment="1">
      <alignment horizontal="center" vertical="center" wrapText="1"/>
    </xf>
    <xf numFmtId="0" fontId="0" fillId="29" borderId="4" xfId="0" applyFill="1" applyBorder="1" applyAlignment="1">
      <alignment horizontal="center" vertical="center" wrapText="1"/>
    </xf>
    <xf numFmtId="0" fontId="2" fillId="20" borderId="4" xfId="0" applyFont="1" applyFill="1" applyBorder="1" applyAlignment="1">
      <alignment horizontal="center" vertical="center" wrapText="1"/>
    </xf>
    <xf numFmtId="0" fontId="0" fillId="9" borderId="4" xfId="0" applyFill="1" applyBorder="1" applyAlignment="1">
      <alignment horizontal="center" vertical="center" wrapText="1"/>
    </xf>
    <xf numFmtId="0" fontId="0" fillId="22" borderId="4" xfId="0" applyFill="1" applyBorder="1" applyAlignment="1">
      <alignment horizontal="center" vertical="center" wrapText="1"/>
    </xf>
    <xf numFmtId="0" fontId="0" fillId="23" borderId="4" xfId="0" applyFill="1" applyBorder="1" applyAlignment="1">
      <alignment horizontal="center" vertical="center" wrapText="1"/>
    </xf>
    <xf numFmtId="0" fontId="0" fillId="24" borderId="4" xfId="0" applyFill="1" applyBorder="1" applyAlignment="1">
      <alignment horizontal="center" vertical="center" wrapText="1"/>
    </xf>
    <xf numFmtId="0" fontId="0" fillId="30" borderId="4" xfId="0" applyFill="1" applyBorder="1" applyAlignment="1">
      <alignment horizontal="center" vertical="center" wrapText="1"/>
    </xf>
    <xf numFmtId="0" fontId="0" fillId="6" borderId="4" xfId="0" applyFill="1" applyBorder="1" applyAlignment="1">
      <alignment horizontal="center" vertical="center" wrapText="1"/>
    </xf>
    <xf numFmtId="0" fontId="0" fillId="25" borderId="6" xfId="0" applyFill="1" applyBorder="1" applyAlignment="1">
      <alignment horizontal="center" vertical="center" wrapText="1"/>
    </xf>
    <xf numFmtId="0" fontId="0" fillId="26" borderId="6" xfId="0" applyFill="1" applyBorder="1" applyAlignment="1">
      <alignment horizontal="center" vertical="center" wrapText="1"/>
    </xf>
    <xf numFmtId="0" fontId="0" fillId="27" borderId="6" xfId="0" applyFill="1" applyBorder="1" applyAlignment="1">
      <alignment horizontal="center" vertical="center" wrapText="1"/>
    </xf>
    <xf numFmtId="0" fontId="0" fillId="11" borderId="6" xfId="0" applyFill="1" applyBorder="1" applyAlignment="1">
      <alignment horizontal="center" vertical="center" wrapText="1"/>
    </xf>
    <xf numFmtId="0" fontId="0" fillId="28" borderId="6" xfId="0" applyFill="1" applyBorder="1" applyAlignment="1">
      <alignment horizontal="center" vertical="center" wrapText="1"/>
    </xf>
    <xf numFmtId="0" fontId="0" fillId="29" borderId="6" xfId="0" applyFill="1" applyBorder="1" applyAlignment="1">
      <alignment horizontal="center" vertical="center" wrapText="1"/>
    </xf>
    <xf numFmtId="0" fontId="2" fillId="29" borderId="6"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0" fillId="9" borderId="6" xfId="0" applyFill="1" applyBorder="1" applyAlignment="1">
      <alignment horizontal="center" vertical="center" wrapText="1"/>
    </xf>
    <xf numFmtId="0" fontId="0" fillId="22" borderId="6" xfId="0" applyFill="1" applyBorder="1" applyAlignment="1">
      <alignment horizontal="center" vertical="center" wrapText="1"/>
    </xf>
    <xf numFmtId="0" fontId="0" fillId="23" borderId="6" xfId="0" applyFill="1" applyBorder="1" applyAlignment="1">
      <alignment horizontal="center" vertical="center" wrapText="1"/>
    </xf>
    <xf numFmtId="0" fontId="0" fillId="24" borderId="6" xfId="0" applyFill="1" applyBorder="1" applyAlignment="1">
      <alignment horizontal="center" vertical="center" wrapText="1"/>
    </xf>
    <xf numFmtId="0" fontId="0" fillId="30" borderId="6" xfId="0" applyFill="1" applyBorder="1" applyAlignment="1">
      <alignment horizontal="center" vertical="center" wrapText="1"/>
    </xf>
    <xf numFmtId="0" fontId="2" fillId="30" borderId="6" xfId="0" applyFont="1" applyFill="1" applyBorder="1" applyAlignment="1">
      <alignment horizontal="center" vertical="center" wrapText="1"/>
    </xf>
    <xf numFmtId="0" fontId="0" fillId="6" borderId="6" xfId="0" applyFill="1" applyBorder="1" applyAlignment="1">
      <alignment horizontal="center" vertical="center" wrapText="1"/>
    </xf>
    <xf numFmtId="0" fontId="3" fillId="2" borderId="6" xfId="0" applyFont="1" applyFill="1" applyBorder="1" applyAlignment="1">
      <alignment horizontal="center" vertical="center"/>
    </xf>
    <xf numFmtId="0" fontId="3" fillId="2" borderId="2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3" fillId="2" borderId="30" xfId="0" applyFont="1" applyFill="1" applyBorder="1" applyAlignment="1">
      <alignment horizontal="center" vertical="center" wrapText="1"/>
    </xf>
    <xf numFmtId="164" fontId="2" fillId="3" borderId="3" xfId="0" applyNumberFormat="1" applyFont="1" applyFill="1" applyBorder="1" applyAlignment="1">
      <alignment horizontal="center"/>
    </xf>
    <xf numFmtId="0" fontId="3" fillId="2" borderId="7" xfId="0" applyFont="1" applyFill="1" applyBorder="1" applyAlignment="1">
      <alignment horizontal="center" vertical="center"/>
    </xf>
    <xf numFmtId="1" fontId="2" fillId="0" borderId="0" xfId="0" applyNumberFormat="1" applyFont="1" applyAlignment="1">
      <alignment horizontal="right"/>
    </xf>
    <xf numFmtId="1" fontId="2" fillId="0" borderId="0" xfId="0" applyNumberFormat="1" applyFont="1" applyFill="1" applyAlignment="1"/>
    <xf numFmtId="1" fontId="0" fillId="0" borderId="0" xfId="0" applyNumberFormat="1"/>
    <xf numFmtId="1" fontId="3" fillId="2" borderId="7" xfId="0" applyNumberFormat="1" applyFont="1" applyFill="1" applyBorder="1" applyAlignment="1">
      <alignment horizontal="center" vertical="center" wrapText="1"/>
    </xf>
    <xf numFmtId="1" fontId="3" fillId="2" borderId="67" xfId="0" applyNumberFormat="1" applyFont="1" applyFill="1" applyBorder="1" applyAlignment="1">
      <alignment horizontal="center" vertical="center" wrapText="1"/>
    </xf>
    <xf numFmtId="1" fontId="3" fillId="2" borderId="10" xfId="0" applyNumberFormat="1" applyFont="1" applyFill="1" applyBorder="1" applyAlignment="1">
      <alignment horizontal="center" vertical="center" wrapText="1"/>
    </xf>
    <xf numFmtId="1" fontId="2" fillId="0" borderId="0" xfId="0" applyNumberFormat="1" applyFont="1" applyAlignment="1"/>
    <xf numFmtId="0" fontId="0" fillId="0" borderId="0" xfId="0" applyAlignment="1">
      <alignment wrapText="1"/>
    </xf>
    <xf numFmtId="1" fontId="2" fillId="0" borderId="0" xfId="0" applyNumberFormat="1" applyFont="1" applyFill="1" applyAlignment="1">
      <alignment horizontal="center"/>
    </xf>
    <xf numFmtId="1" fontId="60" fillId="0" borderId="0" xfId="0" applyNumberFormat="1" applyFont="1" applyFill="1" applyAlignment="1">
      <alignment horizontal="left"/>
    </xf>
    <xf numFmtId="1" fontId="0" fillId="0" borderId="0" xfId="0" applyNumberFormat="1" applyAlignment="1">
      <alignment horizontal="right"/>
    </xf>
    <xf numFmtId="6" fontId="0" fillId="0" borderId="0" xfId="0" applyNumberFormat="1" applyAlignment="1">
      <alignment horizontal="center"/>
    </xf>
    <xf numFmtId="3" fontId="0" fillId="0" borderId="0" xfId="0" applyNumberFormat="1" applyAlignment="1">
      <alignment horizontal="center"/>
    </xf>
    <xf numFmtId="1" fontId="3" fillId="2" borderId="68" xfId="0" applyNumberFormat="1" applyFont="1" applyFill="1" applyBorder="1" applyAlignment="1">
      <alignment horizontal="center"/>
    </xf>
    <xf numFmtId="1" fontId="0" fillId="0" borderId="0" xfId="0" applyNumberFormat="1" applyAlignment="1">
      <alignment horizontal="center"/>
    </xf>
    <xf numFmtId="1" fontId="0" fillId="0" borderId="0" xfId="0" applyNumberFormat="1" applyFill="1"/>
    <xf numFmtId="0" fontId="0" fillId="0" borderId="0" xfId="0" applyFill="1"/>
    <xf numFmtId="1" fontId="61" fillId="0" borderId="0" xfId="0" applyNumberFormat="1" applyFont="1" applyFill="1" applyAlignment="1">
      <alignment horizontal="right"/>
    </xf>
    <xf numFmtId="1" fontId="0" fillId="0" borderId="0" xfId="0" applyNumberFormat="1" applyFill="1" applyAlignment="1">
      <alignment horizontal="right"/>
    </xf>
    <xf numFmtId="6" fontId="0" fillId="0" borderId="0" xfId="0" applyNumberFormat="1" applyFill="1" applyAlignment="1">
      <alignment horizontal="center"/>
    </xf>
    <xf numFmtId="1" fontId="0" fillId="0" borderId="0" xfId="0" applyNumberFormat="1" applyFill="1" applyAlignment="1">
      <alignment horizontal="center"/>
    </xf>
    <xf numFmtId="3" fontId="0" fillId="0" borderId="0" xfId="0" applyNumberFormat="1" applyFill="1" applyAlignment="1">
      <alignment horizontal="center"/>
    </xf>
    <xf numFmtId="0" fontId="0" fillId="0" borderId="0" xfId="0" applyFill="1" applyAlignment="1">
      <alignment wrapText="1"/>
    </xf>
    <xf numFmtId="0" fontId="4" fillId="0" borderId="0" xfId="1" applyFill="1" applyAlignment="1" applyProtection="1">
      <alignment horizontal="center"/>
    </xf>
    <xf numFmtId="10" fontId="0" fillId="0" borderId="0" xfId="0" applyNumberFormat="1" applyFill="1" applyAlignment="1">
      <alignment horizontal="center"/>
    </xf>
    <xf numFmtId="1" fontId="2" fillId="0" borderId="0" xfId="0" applyNumberFormat="1" applyFont="1" applyFill="1"/>
    <xf numFmtId="1" fontId="2" fillId="0" borderId="0" xfId="0" applyNumberFormat="1" applyFont="1" applyFill="1" applyAlignment="1">
      <alignment horizontal="right"/>
    </xf>
    <xf numFmtId="6" fontId="0" fillId="0" borderId="0" xfId="0" applyNumberFormat="1" applyFill="1"/>
    <xf numFmtId="166" fontId="0" fillId="0" borderId="0" xfId="0" applyNumberFormat="1" applyFill="1"/>
    <xf numFmtId="164" fontId="0" fillId="0" borderId="0" xfId="0" quotePrefix="1" applyNumberFormat="1" applyFill="1" applyAlignment="1">
      <alignment horizontal="center"/>
    </xf>
    <xf numFmtId="9" fontId="0" fillId="0" borderId="0" xfId="0" applyNumberFormat="1" applyFill="1" applyAlignment="1">
      <alignment horizontal="center"/>
    </xf>
    <xf numFmtId="166" fontId="0" fillId="0" borderId="0" xfId="0" applyNumberFormat="1" applyFill="1" applyAlignment="1">
      <alignment horizontal="center"/>
    </xf>
    <xf numFmtId="2" fontId="0" fillId="0" borderId="0" xfId="0" applyNumberFormat="1" applyFill="1" applyAlignment="1">
      <alignment horizontal="center"/>
    </xf>
    <xf numFmtId="1" fontId="62" fillId="0" borderId="0" xfId="0" applyNumberFormat="1" applyFont="1" applyFill="1" applyAlignment="1">
      <alignment vertical="center"/>
    </xf>
    <xf numFmtId="0" fontId="62" fillId="0" borderId="0" xfId="0" applyFont="1"/>
    <xf numFmtId="0" fontId="62" fillId="0" borderId="0" xfId="0" applyFont="1" applyAlignment="1">
      <alignment wrapText="1"/>
    </xf>
    <xf numFmtId="1" fontId="62" fillId="0" borderId="0" xfId="0" applyNumberFormat="1" applyFont="1" applyAlignment="1">
      <alignment horizontal="center" vertical="center"/>
    </xf>
    <xf numFmtId="1" fontId="63" fillId="2" borderId="11" xfId="0" applyNumberFormat="1" applyFont="1" applyFill="1" applyBorder="1" applyAlignment="1">
      <alignment horizontal="center" vertical="center" wrapText="1"/>
    </xf>
    <xf numFmtId="1" fontId="63" fillId="2" borderId="47" xfId="0" applyNumberFormat="1" applyFont="1" applyFill="1" applyBorder="1" applyAlignment="1">
      <alignment horizontal="center" vertical="center" wrapText="1"/>
    </xf>
    <xf numFmtId="1" fontId="63" fillId="2" borderId="12" xfId="0" applyNumberFormat="1" applyFont="1" applyFill="1" applyBorder="1" applyAlignment="1">
      <alignment horizontal="center" vertical="center" wrapText="1"/>
    </xf>
    <xf numFmtId="1" fontId="63" fillId="2" borderId="12" xfId="0" applyNumberFormat="1" applyFont="1" applyFill="1" applyBorder="1" applyAlignment="1">
      <alignment horizontal="center" vertical="center"/>
    </xf>
    <xf numFmtId="1" fontId="0" fillId="0" borderId="63" xfId="0" applyNumberFormat="1" applyBorder="1" applyAlignment="1">
      <alignment horizontal="center"/>
    </xf>
    <xf numFmtId="1" fontId="3" fillId="2" borderId="18" xfId="0" applyNumberFormat="1" applyFont="1" applyFill="1" applyBorder="1" applyAlignment="1">
      <alignment horizontal="center"/>
    </xf>
    <xf numFmtId="1" fontId="3" fillId="2" borderId="16" xfId="0" applyNumberFormat="1" applyFont="1" applyFill="1" applyBorder="1" applyAlignment="1">
      <alignment horizontal="center"/>
    </xf>
    <xf numFmtId="1" fontId="3" fillId="2" borderId="14" xfId="0" applyNumberFormat="1" applyFont="1" applyFill="1" applyBorder="1" applyAlignment="1">
      <alignment horizontal="center"/>
    </xf>
    <xf numFmtId="0" fontId="0" fillId="0" borderId="0" xfId="0" applyAlignment="1">
      <alignment horizontal="center"/>
    </xf>
    <xf numFmtId="1" fontId="0" fillId="0" borderId="62" xfId="0" applyNumberFormat="1" applyFill="1" applyBorder="1" applyAlignment="1">
      <alignment horizontal="center" vertical="center"/>
    </xf>
    <xf numFmtId="3" fontId="0" fillId="5" borderId="6" xfId="0" quotePrefix="1" applyNumberFormat="1" applyFill="1" applyBorder="1" applyAlignment="1">
      <alignment horizontal="center"/>
    </xf>
    <xf numFmtId="170" fontId="0" fillId="5" borderId="6" xfId="0" applyNumberFormat="1" applyFill="1" applyBorder="1" applyAlignment="1">
      <alignment horizontal="center"/>
    </xf>
    <xf numFmtId="3" fontId="0" fillId="5" borderId="6" xfId="0" applyNumberFormat="1" applyFill="1" applyBorder="1" applyAlignment="1">
      <alignment horizontal="center"/>
    </xf>
    <xf numFmtId="3" fontId="0" fillId="0" borderId="6" xfId="0" applyNumberFormat="1" applyFill="1" applyBorder="1" applyAlignment="1">
      <alignment horizontal="center"/>
    </xf>
    <xf numFmtId="6" fontId="0" fillId="5" borderId="6" xfId="0" applyNumberFormat="1" applyFill="1" applyBorder="1" applyAlignment="1">
      <alignment horizontal="center"/>
    </xf>
    <xf numFmtId="6" fontId="0" fillId="0" borderId="6" xfId="0" applyNumberFormat="1" applyFill="1" applyBorder="1" applyAlignment="1">
      <alignment horizontal="center"/>
    </xf>
    <xf numFmtId="6" fontId="0" fillId="36" borderId="6" xfId="0" applyNumberFormat="1" applyFill="1" applyBorder="1" applyAlignment="1">
      <alignment horizontal="center"/>
    </xf>
    <xf numFmtId="6" fontId="0" fillId="0" borderId="6" xfId="0" applyNumberFormat="1" applyBorder="1" applyAlignment="1">
      <alignment horizontal="center"/>
    </xf>
    <xf numFmtId="6" fontId="0" fillId="0" borderId="0" xfId="0" applyNumberFormat="1"/>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0" fillId="0" borderId="62" xfId="0" applyBorder="1" applyAlignment="1">
      <alignment horizontal="center"/>
    </xf>
    <xf numFmtId="8" fontId="0" fillId="0" borderId="62" xfId="0" applyNumberFormat="1" applyBorder="1" applyAlignment="1">
      <alignment horizontal="center"/>
    </xf>
    <xf numFmtId="171" fontId="2" fillId="0" borderId="0" xfId="0" applyNumberFormat="1" applyFont="1" applyFill="1"/>
    <xf numFmtId="0" fontId="0" fillId="0" borderId="62" xfId="0" applyBorder="1"/>
    <xf numFmtId="1" fontId="3" fillId="2" borderId="29" xfId="0" applyNumberFormat="1" applyFont="1" applyFill="1" applyBorder="1" applyAlignment="1">
      <alignment horizontal="center" vertical="center" wrapText="1"/>
    </xf>
    <xf numFmtId="9" fontId="0" fillId="0" borderId="0" xfId="4" applyFont="1"/>
    <xf numFmtId="0" fontId="0" fillId="0" borderId="0" xfId="0" applyAlignment="1">
      <alignment horizontal="center" wrapText="1"/>
    </xf>
    <xf numFmtId="0" fontId="0" fillId="0" borderId="0" xfId="0" applyAlignment="1">
      <alignment horizontal="right"/>
    </xf>
    <xf numFmtId="1" fontId="0" fillId="0" borderId="62" xfId="0" applyNumberFormat="1" applyBorder="1" applyAlignment="1">
      <alignment horizontal="center" vertical="center" wrapText="1"/>
    </xf>
    <xf numFmtId="1" fontId="0" fillId="0" borderId="62" xfId="0" quotePrefix="1" applyNumberFormat="1" applyBorder="1" applyAlignment="1">
      <alignment horizontal="center" vertical="center" wrapText="1"/>
    </xf>
    <xf numFmtId="38" fontId="0" fillId="0" borderId="62" xfId="0" applyNumberFormat="1" applyBorder="1"/>
    <xf numFmtId="6" fontId="0" fillId="0" borderId="62" xfId="0" applyNumberFormat="1" applyBorder="1"/>
    <xf numFmtId="0" fontId="0" fillId="0" borderId="0" xfId="0" applyAlignment="1">
      <alignment horizontal="center" wrapText="1"/>
    </xf>
    <xf numFmtId="9" fontId="0" fillId="0" borderId="62" xfId="4" applyFont="1" applyBorder="1"/>
    <xf numFmtId="0" fontId="0" fillId="0" borderId="0" xfId="0" applyAlignment="1">
      <alignment horizontal="center" wrapText="1"/>
    </xf>
    <xf numFmtId="0" fontId="0" fillId="0" borderId="0" xfId="0" applyAlignment="1">
      <alignment horizontal="center" textRotation="90"/>
    </xf>
    <xf numFmtId="166" fontId="0" fillId="0" borderId="0" xfId="0" applyNumberFormat="1"/>
    <xf numFmtId="1" fontId="0" fillId="0" borderId="0" xfId="0" applyNumberFormat="1" applyAlignment="1">
      <alignment horizontal="center" textRotation="90"/>
    </xf>
    <xf numFmtId="0" fontId="3" fillId="2" borderId="8" xfId="0" applyFont="1" applyFill="1" applyBorder="1" applyAlignment="1">
      <alignment horizontal="center" vertical="center"/>
    </xf>
    <xf numFmtId="0" fontId="65" fillId="3" borderId="0" xfId="0" applyFont="1" applyFill="1" applyAlignment="1">
      <alignment horizontal="center" readingOrder="1"/>
    </xf>
    <xf numFmtId="0" fontId="4" fillId="0" borderId="62" xfId="1" applyBorder="1" applyAlignment="1" applyProtection="1"/>
    <xf numFmtId="3" fontId="0" fillId="3" borderId="0" xfId="0" applyNumberFormat="1" applyFill="1" applyAlignment="1">
      <alignment vertical="center"/>
    </xf>
    <xf numFmtId="0" fontId="0" fillId="0" borderId="0" xfId="0" applyAlignment="1">
      <alignment horizontal="center" wrapText="1"/>
    </xf>
    <xf numFmtId="3" fontId="0" fillId="0" borderId="62" xfId="0" applyNumberFormat="1" applyBorder="1"/>
    <xf numFmtId="0" fontId="1" fillId="2" borderId="66" xfId="0" applyFont="1" applyFill="1" applyBorder="1"/>
    <xf numFmtId="0" fontId="31" fillId="0" borderId="62" xfId="0" applyFont="1" applyBorder="1"/>
    <xf numFmtId="1" fontId="63" fillId="12" borderId="0" xfId="0" applyNumberFormat="1" applyFont="1" applyFill="1" applyBorder="1" applyAlignment="1">
      <alignment horizontal="center" vertical="center"/>
    </xf>
    <xf numFmtId="0" fontId="0" fillId="0" borderId="0" xfId="0" applyAlignment="1">
      <alignment horizontal="center" wrapText="1"/>
    </xf>
    <xf numFmtId="8" fontId="0" fillId="0" borderId="62" xfId="0" applyNumberFormat="1" applyFill="1" applyBorder="1" applyAlignment="1">
      <alignment horizontal="center"/>
    </xf>
    <xf numFmtId="38" fontId="0" fillId="0" borderId="0" xfId="0" applyNumberFormat="1"/>
    <xf numFmtId="1" fontId="0" fillId="0" borderId="62" xfId="0" applyNumberFormat="1" applyFill="1" applyBorder="1" applyAlignment="1">
      <alignment horizontal="center" vertical="center" wrapText="1"/>
    </xf>
    <xf numFmtId="0" fontId="0" fillId="0" borderId="0" xfId="0" applyAlignment="1">
      <alignment horizontal="center" wrapText="1"/>
    </xf>
    <xf numFmtId="2" fontId="0" fillId="0" borderId="0" xfId="0" applyNumberFormat="1"/>
    <xf numFmtId="0" fontId="0" fillId="3" borderId="62" xfId="0" applyFill="1" applyBorder="1" applyAlignment="1">
      <alignment horizontal="center" vertical="center"/>
    </xf>
    <xf numFmtId="169" fontId="0" fillId="3" borderId="0" xfId="0" applyNumberFormat="1" applyFill="1"/>
    <xf numFmtId="0" fontId="3" fillId="2" borderId="15" xfId="0" applyFont="1" applyFill="1" applyBorder="1" applyAlignment="1">
      <alignment horizontal="center" vertical="center"/>
    </xf>
    <xf numFmtId="2" fontId="28" fillId="0" borderId="0" xfId="0" applyNumberFormat="1" applyFont="1"/>
    <xf numFmtId="10" fontId="0" fillId="3" borderId="0" xfId="4" applyNumberFormat="1" applyFont="1" applyFill="1"/>
    <xf numFmtId="0" fontId="3" fillId="2" borderId="8" xfId="0" applyFont="1" applyFill="1" applyBorder="1" applyAlignment="1">
      <alignment horizontal="center" vertical="center"/>
    </xf>
    <xf numFmtId="0" fontId="0" fillId="0" borderId="0" xfId="0" applyAlignment="1">
      <alignment horizontal="center" wrapText="1"/>
    </xf>
    <xf numFmtId="0" fontId="0" fillId="5" borderId="66" xfId="0" applyFill="1" applyBorder="1" applyAlignment="1">
      <alignment horizontal="right"/>
    </xf>
    <xf numFmtId="0" fontId="0" fillId="5" borderId="66" xfId="0" applyFill="1" applyBorder="1" applyAlignment="1">
      <alignment horizontal="center"/>
    </xf>
    <xf numFmtId="0" fontId="3" fillId="2" borderId="71" xfId="0" applyFont="1" applyFill="1" applyBorder="1" applyAlignment="1">
      <alignment horizontal="center" vertical="center" wrapText="1"/>
    </xf>
    <xf numFmtId="6" fontId="0" fillId="3" borderId="0" xfId="0" applyNumberFormat="1" applyFill="1" applyAlignment="1">
      <alignment horizontal="center"/>
    </xf>
    <xf numFmtId="6" fontId="0" fillId="3" borderId="62" xfId="0" applyNumberFormat="1" applyFill="1" applyBorder="1" applyAlignment="1">
      <alignment horizontal="center"/>
    </xf>
    <xf numFmtId="0" fontId="0" fillId="5" borderId="62" xfId="0" applyFill="1" applyBorder="1"/>
    <xf numFmtId="0" fontId="0" fillId="6" borderId="62" xfId="0" applyFill="1" applyBorder="1"/>
    <xf numFmtId="3" fontId="0" fillId="5" borderId="62" xfId="0" applyNumberFormat="1" applyFill="1" applyBorder="1"/>
    <xf numFmtId="8" fontId="0" fillId="21" borderId="62" xfId="0" applyNumberFormat="1" applyFill="1" applyBorder="1" applyAlignment="1">
      <alignment horizontal="center"/>
    </xf>
    <xf numFmtId="0" fontId="0" fillId="0" borderId="0" xfId="0" applyNumberFormat="1"/>
    <xf numFmtId="6" fontId="0" fillId="5" borderId="62" xfId="0" applyNumberFormat="1" applyFill="1" applyBorder="1"/>
    <xf numFmtId="9" fontId="0" fillId="3" borderId="0" xfId="0" applyNumberFormat="1" applyFill="1"/>
    <xf numFmtId="184" fontId="0" fillId="5" borderId="62" xfId="0" applyNumberFormat="1" applyFill="1" applyBorder="1"/>
    <xf numFmtId="172" fontId="4" fillId="3" borderId="0" xfId="1" applyNumberFormat="1" applyFill="1" applyAlignment="1" applyProtection="1"/>
    <xf numFmtId="172" fontId="0" fillId="3" borderId="72" xfId="0" applyNumberFormat="1" applyFill="1" applyBorder="1"/>
    <xf numFmtId="172" fontId="4" fillId="0" borderId="6" xfId="1" applyNumberFormat="1" applyFill="1" applyBorder="1" applyAlignment="1" applyProtection="1">
      <alignment horizontal="left" vertical="center"/>
    </xf>
    <xf numFmtId="0" fontId="3" fillId="2" borderId="7" xfId="0" applyFont="1" applyFill="1" applyBorder="1" applyAlignment="1">
      <alignment horizontal="center" vertical="center"/>
    </xf>
    <xf numFmtId="0" fontId="0" fillId="0" borderId="0" xfId="0" applyAlignment="1">
      <alignment horizontal="center" wrapText="1"/>
    </xf>
    <xf numFmtId="0" fontId="28" fillId="0" borderId="62" xfId="1" applyFont="1" applyBorder="1" applyAlignment="1" applyProtection="1"/>
    <xf numFmtId="0" fontId="13" fillId="3" borderId="62" xfId="0" applyFont="1" applyFill="1" applyBorder="1"/>
    <xf numFmtId="168" fontId="0" fillId="0" borderId="62" xfId="0" applyNumberFormat="1" applyBorder="1" applyAlignment="1">
      <alignment horizontal="center"/>
    </xf>
    <xf numFmtId="1" fontId="0" fillId="0" borderId="0" xfId="0" applyNumberFormat="1" applyFill="1" applyAlignment="1">
      <alignment horizontal="left"/>
    </xf>
    <xf numFmtId="0" fontId="4" fillId="0" borderId="62" xfId="1" applyBorder="1" applyAlignment="1" applyProtection="1">
      <alignment vertical="center"/>
    </xf>
    <xf numFmtId="172" fontId="0" fillId="3" borderId="62" xfId="0" applyNumberFormat="1" applyFill="1" applyBorder="1" applyAlignment="1">
      <alignment vertical="center" wrapText="1"/>
    </xf>
    <xf numFmtId="0" fontId="0" fillId="3" borderId="62" xfId="0" applyFill="1" applyBorder="1" applyAlignment="1">
      <alignment vertical="center" wrapText="1"/>
    </xf>
    <xf numFmtId="0" fontId="4" fillId="3" borderId="62" xfId="1" applyFill="1" applyBorder="1" applyAlignment="1" applyProtection="1">
      <alignment vertical="center"/>
    </xf>
    <xf numFmtId="0" fontId="4" fillId="2" borderId="0" xfId="1" applyFill="1" applyAlignment="1" applyProtection="1"/>
    <xf numFmtId="172" fontId="4" fillId="0" borderId="6" xfId="1" applyNumberFormat="1" applyFill="1" applyBorder="1" applyAlignment="1" applyProtection="1">
      <alignment horizontal="center" wrapText="1"/>
    </xf>
    <xf numFmtId="0" fontId="4" fillId="0" borderId="0" xfId="1" applyAlignment="1" applyProtection="1"/>
    <xf numFmtId="0" fontId="0" fillId="0" borderId="5" xfId="0" applyFill="1" applyBorder="1"/>
    <xf numFmtId="0" fontId="0" fillId="0" borderId="62" xfId="0" applyBorder="1" applyAlignment="1">
      <alignment vertical="center"/>
    </xf>
    <xf numFmtId="0" fontId="0" fillId="0" borderId="62" xfId="0" applyFont="1" applyBorder="1" applyAlignment="1">
      <alignment vertical="center"/>
    </xf>
    <xf numFmtId="0" fontId="2" fillId="0" borderId="62" xfId="0" applyFont="1" applyFill="1" applyBorder="1" applyAlignment="1">
      <alignment horizontal="center" vertical="center"/>
    </xf>
    <xf numFmtId="0" fontId="2" fillId="3" borderId="62" xfId="0" applyFont="1" applyFill="1" applyBorder="1" applyAlignment="1">
      <alignment horizontal="center" vertical="center"/>
    </xf>
    <xf numFmtId="0" fontId="2" fillId="6" borderId="62" xfId="0" applyFont="1" applyFill="1" applyBorder="1" applyAlignment="1">
      <alignment horizontal="center" vertical="center"/>
    </xf>
    <xf numFmtId="3" fontId="34" fillId="63" borderId="62" xfId="0" applyNumberFormat="1" applyFont="1" applyFill="1" applyBorder="1" applyAlignment="1">
      <alignment horizontal="center" vertical="center"/>
    </xf>
    <xf numFmtId="0" fontId="34" fillId="63" borderId="62" xfId="0" applyFont="1" applyFill="1" applyBorder="1" applyAlignment="1">
      <alignment horizontal="center" vertical="center"/>
    </xf>
    <xf numFmtId="0" fontId="74" fillId="3" borderId="0" xfId="0" applyFont="1" applyFill="1"/>
    <xf numFmtId="0" fontId="0" fillId="3" borderId="41" xfId="0" applyFill="1" applyBorder="1"/>
    <xf numFmtId="0" fontId="0" fillId="3" borderId="42" xfId="0" applyFill="1" applyBorder="1"/>
    <xf numFmtId="3" fontId="0" fillId="3" borderId="42" xfId="0" applyNumberFormat="1" applyFill="1" applyBorder="1"/>
    <xf numFmtId="3" fontId="0" fillId="3" borderId="61" xfId="0" applyNumberFormat="1" applyFill="1" applyBorder="1"/>
    <xf numFmtId="0" fontId="0" fillId="3" borderId="38" xfId="0" applyFill="1" applyBorder="1"/>
    <xf numFmtId="3" fontId="0" fillId="3" borderId="0" xfId="0" applyNumberFormat="1" applyFill="1" applyBorder="1"/>
    <xf numFmtId="3" fontId="0" fillId="3" borderId="39" xfId="0" applyNumberFormat="1" applyFill="1" applyBorder="1"/>
    <xf numFmtId="168" fontId="0" fillId="3" borderId="0" xfId="0" applyNumberFormat="1" applyFill="1" applyBorder="1"/>
    <xf numFmtId="168" fontId="0" fillId="3" borderId="39" xfId="0" applyNumberFormat="1" applyFill="1" applyBorder="1"/>
    <xf numFmtId="0" fontId="0" fillId="3" borderId="36" xfId="0" applyFill="1" applyBorder="1"/>
    <xf numFmtId="0" fontId="0" fillId="3" borderId="37" xfId="0" applyFill="1" applyBorder="1"/>
    <xf numFmtId="0" fontId="0" fillId="3" borderId="40" xfId="0" applyFill="1" applyBorder="1"/>
    <xf numFmtId="0" fontId="3" fillId="2" borderId="73" xfId="0" applyFont="1" applyFill="1" applyBorder="1" applyAlignment="1">
      <alignment horizontal="center"/>
    </xf>
    <xf numFmtId="0" fontId="3" fillId="2" borderId="74" xfId="0" applyFont="1" applyFill="1" applyBorder="1" applyAlignment="1">
      <alignment horizontal="center"/>
    </xf>
    <xf numFmtId="0" fontId="3" fillId="2" borderId="74" xfId="0" applyFont="1" applyFill="1" applyBorder="1"/>
    <xf numFmtId="0" fontId="3" fillId="2" borderId="33" xfId="0" applyFont="1" applyFill="1" applyBorder="1"/>
    <xf numFmtId="3" fontId="0" fillId="3" borderId="62" xfId="0" applyNumberFormat="1" applyFill="1" applyBorder="1" applyAlignment="1">
      <alignment horizontal="center" vertical="center"/>
    </xf>
    <xf numFmtId="3" fontId="74" fillId="25" borderId="62" xfId="0" applyNumberFormat="1" applyFont="1" applyFill="1" applyBorder="1" applyAlignment="1">
      <alignment horizontal="center" vertical="center"/>
    </xf>
    <xf numFmtId="0" fontId="2" fillId="0" borderId="62" xfId="0" applyFont="1" applyFill="1" applyBorder="1" applyAlignment="1">
      <alignment horizontal="center"/>
    </xf>
    <xf numFmtId="0" fontId="2" fillId="3" borderId="62" xfId="0" applyFont="1" applyFill="1" applyBorder="1"/>
    <xf numFmtId="0" fontId="2" fillId="6" borderId="62" xfId="0" applyFont="1" applyFill="1" applyBorder="1" applyAlignment="1">
      <alignment horizontal="center"/>
    </xf>
    <xf numFmtId="0" fontId="3" fillId="2" borderId="75" xfId="0" applyFont="1" applyFill="1" applyBorder="1" applyAlignment="1">
      <alignment horizontal="center" vertical="center"/>
    </xf>
    <xf numFmtId="0" fontId="3" fillId="2" borderId="76" xfId="0" applyFont="1" applyFill="1" applyBorder="1" applyAlignment="1">
      <alignment horizontal="center" vertical="center"/>
    </xf>
    <xf numFmtId="3" fontId="3" fillId="2" borderId="12" xfId="0" applyNumberFormat="1" applyFont="1" applyFill="1" applyBorder="1" applyAlignment="1">
      <alignment horizontal="center" vertical="center" wrapText="1"/>
    </xf>
    <xf numFmtId="3" fontId="0" fillId="5" borderId="62" xfId="0" applyNumberFormat="1" applyFill="1" applyBorder="1" applyAlignment="1">
      <alignment horizontal="center" vertical="center"/>
    </xf>
    <xf numFmtId="0" fontId="0" fillId="3" borderId="6" xfId="0" applyFill="1" applyBorder="1" applyAlignment="1">
      <alignment horizontal="center" vertical="center"/>
    </xf>
    <xf numFmtId="3" fontId="0" fillId="3" borderId="6" xfId="0" applyNumberFormat="1" applyFill="1" applyBorder="1" applyAlignment="1">
      <alignment horizontal="center" vertical="center"/>
    </xf>
    <xf numFmtId="0" fontId="3" fillId="3" borderId="0" xfId="0" applyFont="1" applyFill="1"/>
    <xf numFmtId="3" fontId="2" fillId="4" borderId="3" xfId="0" applyNumberFormat="1" applyFont="1" applyFill="1" applyBorder="1" applyAlignment="1">
      <alignment horizontal="center"/>
    </xf>
    <xf numFmtId="3" fontId="0" fillId="3" borderId="62" xfId="0" applyNumberFormat="1" applyFont="1" applyFill="1" applyBorder="1" applyAlignment="1">
      <alignment horizontal="center"/>
    </xf>
    <xf numFmtId="0" fontId="0" fillId="3" borderId="62" xfId="0" applyFont="1" applyFill="1" applyBorder="1" applyAlignment="1">
      <alignment horizontal="left"/>
    </xf>
    <xf numFmtId="9" fontId="0" fillId="3" borderId="0" xfId="4" applyFont="1" applyFill="1" applyBorder="1" applyAlignment="1">
      <alignment horizontal="center" vertical="center"/>
    </xf>
    <xf numFmtId="0" fontId="0" fillId="38" borderId="0" xfId="0" applyFill="1"/>
    <xf numFmtId="0" fontId="75" fillId="38" borderId="0" xfId="0" applyFont="1" applyFill="1"/>
    <xf numFmtId="185" fontId="0" fillId="38" borderId="0" xfId="0" applyNumberFormat="1" applyFill="1"/>
    <xf numFmtId="0" fontId="75" fillId="64" borderId="77" xfId="254" applyFont="1" applyFill="1" applyBorder="1" applyAlignment="1">
      <alignment horizontal="right" vertical="center"/>
    </xf>
    <xf numFmtId="0" fontId="75" fillId="64" borderId="78" xfId="8" applyFont="1" applyFill="1" applyBorder="1" applyAlignment="1">
      <alignment horizontal="left" vertical="center"/>
    </xf>
    <xf numFmtId="0" fontId="0" fillId="37" borderId="79" xfId="0" applyFill="1" applyBorder="1"/>
    <xf numFmtId="0" fontId="0" fillId="37" borderId="80" xfId="0" applyFill="1" applyBorder="1"/>
    <xf numFmtId="0" fontId="75" fillId="64" borderId="81" xfId="254" applyFont="1" applyFill="1" applyBorder="1" applyAlignment="1">
      <alignment horizontal="right" vertical="center"/>
    </xf>
    <xf numFmtId="0" fontId="75" fillId="64" borderId="82" xfId="8" applyFont="1" applyFill="1" applyBorder="1" applyAlignment="1">
      <alignment horizontal="left" vertical="center"/>
    </xf>
    <xf numFmtId="0" fontId="0" fillId="37" borderId="83" xfId="0" applyFill="1" applyBorder="1"/>
    <xf numFmtId="0" fontId="0" fillId="37" borderId="84" xfId="0" applyFill="1" applyBorder="1"/>
    <xf numFmtId="0" fontId="75" fillId="37" borderId="85" xfId="0" applyFont="1" applyFill="1" applyBorder="1" applyAlignment="1">
      <alignment horizontal="right"/>
    </xf>
    <xf numFmtId="0" fontId="75" fillId="37" borderId="86" xfId="0" applyFont="1" applyFill="1" applyBorder="1"/>
    <xf numFmtId="0" fontId="0" fillId="37" borderId="87" xfId="0" applyFill="1" applyBorder="1"/>
    <xf numFmtId="0" fontId="0" fillId="37" borderId="88" xfId="0" applyFill="1" applyBorder="1"/>
    <xf numFmtId="0" fontId="0" fillId="37" borderId="89" xfId="0" applyFill="1" applyBorder="1"/>
    <xf numFmtId="0" fontId="0" fillId="37" borderId="90" xfId="0" applyFill="1" applyBorder="1"/>
    <xf numFmtId="0" fontId="75" fillId="65" borderId="91" xfId="0" quotePrefix="1" applyFont="1" applyFill="1" applyBorder="1" applyAlignment="1">
      <alignment vertical="center"/>
    </xf>
    <xf numFmtId="0" fontId="75" fillId="65" borderId="92" xfId="0" applyFont="1" applyFill="1" applyBorder="1" applyAlignment="1">
      <alignment vertical="center"/>
    </xf>
    <xf numFmtId="0" fontId="75" fillId="65" borderId="93" xfId="0" applyFont="1" applyFill="1" applyBorder="1" applyAlignment="1">
      <alignment vertical="center"/>
    </xf>
    <xf numFmtId="0" fontId="75" fillId="16" borderId="94" xfId="0" quotePrefix="1" applyFont="1" applyFill="1" applyBorder="1" applyAlignment="1">
      <alignment horizontal="centerContinuous" vertical="center"/>
    </xf>
    <xf numFmtId="0" fontId="75" fillId="16" borderId="92" xfId="0" applyFont="1" applyFill="1" applyBorder="1" applyAlignment="1">
      <alignment horizontal="centerContinuous" vertical="center"/>
    </xf>
    <xf numFmtId="0" fontId="75" fillId="37" borderId="95" xfId="0" quotePrefix="1" applyFont="1" applyFill="1" applyBorder="1" applyAlignment="1">
      <alignment vertical="center"/>
    </xf>
    <xf numFmtId="0" fontId="75" fillId="37" borderId="92" xfId="0" applyFont="1" applyFill="1" applyBorder="1" applyAlignment="1">
      <alignment vertical="center"/>
    </xf>
    <xf numFmtId="0" fontId="0" fillId="37" borderId="92" xfId="0" applyFill="1" applyBorder="1"/>
    <xf numFmtId="0" fontId="75" fillId="37" borderId="91" xfId="0" quotePrefix="1" applyFont="1" applyFill="1" applyBorder="1" applyAlignment="1">
      <alignment vertical="center"/>
    </xf>
    <xf numFmtId="0" fontId="0" fillId="37" borderId="92" xfId="0" applyFill="1" applyBorder="1" applyAlignment="1"/>
    <xf numFmtId="0" fontId="75" fillId="37" borderId="92" xfId="0" quotePrefix="1" applyFont="1" applyFill="1" applyBorder="1" applyAlignment="1">
      <alignment vertical="center"/>
    </xf>
    <xf numFmtId="0" fontId="0" fillId="37" borderId="96" xfId="0" applyFill="1" applyBorder="1" applyAlignment="1"/>
    <xf numFmtId="0" fontId="0" fillId="37" borderId="97" xfId="0" applyFill="1" applyBorder="1"/>
    <xf numFmtId="0" fontId="75" fillId="65" borderId="98" xfId="0" applyFont="1" applyFill="1" applyBorder="1" applyAlignment="1">
      <alignment horizontal="centerContinuous" vertical="center" wrapText="1"/>
    </xf>
    <xf numFmtId="0" fontId="75" fillId="65" borderId="99" xfId="0" applyFont="1" applyFill="1" applyBorder="1" applyAlignment="1">
      <alignment horizontal="centerContinuous" vertical="center" wrapText="1"/>
    </xf>
    <xf numFmtId="0" fontId="75" fillId="65" borderId="100" xfId="0" applyFont="1" applyFill="1" applyBorder="1" applyAlignment="1">
      <alignment horizontal="centerContinuous" vertical="center" wrapText="1"/>
    </xf>
    <xf numFmtId="0" fontId="75" fillId="65" borderId="101" xfId="0" applyFont="1" applyFill="1" applyBorder="1" applyAlignment="1">
      <alignment horizontal="centerContinuous" vertical="center" wrapText="1"/>
    </xf>
    <xf numFmtId="0" fontId="75" fillId="16" borderId="94" xfId="0" applyFont="1" applyFill="1" applyBorder="1" applyAlignment="1">
      <alignment horizontal="centerContinuous" vertical="center" wrapText="1"/>
    </xf>
    <xf numFmtId="0" fontId="75" fillId="16" borderId="102" xfId="0" applyFont="1" applyFill="1" applyBorder="1" applyAlignment="1">
      <alignment horizontal="centerContinuous" vertical="center" wrapText="1"/>
    </xf>
    <xf numFmtId="0" fontId="75" fillId="16" borderId="103" xfId="0" applyFont="1" applyFill="1" applyBorder="1" applyAlignment="1">
      <alignment horizontal="centerContinuous" vertical="center" wrapText="1"/>
    </xf>
    <xf numFmtId="0" fontId="75" fillId="37" borderId="98" xfId="1" applyFont="1" applyFill="1" applyBorder="1" applyAlignment="1" applyProtection="1">
      <alignment horizontal="centerContinuous" vertical="center" wrapText="1"/>
    </xf>
    <xf numFmtId="0" fontId="76" fillId="37" borderId="99" xfId="1" applyFont="1" applyFill="1" applyBorder="1" applyAlignment="1" applyProtection="1">
      <alignment horizontal="centerContinuous" vertical="center" wrapText="1"/>
    </xf>
    <xf numFmtId="0" fontId="76" fillId="37" borderId="100" xfId="1" applyFont="1" applyFill="1" applyBorder="1" applyAlignment="1" applyProtection="1">
      <alignment horizontal="centerContinuous" vertical="center" wrapText="1"/>
    </xf>
    <xf numFmtId="0" fontId="75" fillId="37" borderId="98" xfId="0" applyFont="1" applyFill="1" applyBorder="1" applyAlignment="1">
      <alignment horizontal="centerContinuous" vertical="center" wrapText="1"/>
    </xf>
    <xf numFmtId="0" fontId="75" fillId="37" borderId="104" xfId="0" applyFont="1" applyFill="1" applyBorder="1" applyAlignment="1">
      <alignment horizontal="centerContinuous" vertical="center" wrapText="1"/>
    </xf>
    <xf numFmtId="0" fontId="75" fillId="37" borderId="99" xfId="0" applyFont="1" applyFill="1" applyBorder="1" applyAlignment="1">
      <alignment horizontal="centerContinuous" vertical="center" wrapText="1"/>
    </xf>
    <xf numFmtId="0" fontId="75" fillId="37" borderId="101" xfId="0" applyFont="1" applyFill="1" applyBorder="1" applyAlignment="1">
      <alignment horizontal="centerContinuous" vertical="center" wrapText="1"/>
    </xf>
    <xf numFmtId="0" fontId="75" fillId="37" borderId="100" xfId="0" applyFont="1" applyFill="1" applyBorder="1" applyAlignment="1">
      <alignment horizontal="centerContinuous" vertical="center" wrapText="1"/>
    </xf>
    <xf numFmtId="0" fontId="75" fillId="37" borderId="95" xfId="0" applyFont="1" applyFill="1" applyBorder="1" applyAlignment="1">
      <alignment horizontal="centerContinuous" vertical="center" wrapText="1"/>
    </xf>
    <xf numFmtId="0" fontId="75" fillId="37" borderId="93" xfId="0" applyFont="1" applyFill="1" applyBorder="1" applyAlignment="1">
      <alignment horizontal="centerContinuous" vertical="center" wrapText="1"/>
    </xf>
    <xf numFmtId="0" fontId="75" fillId="37" borderId="105" xfId="0" applyFont="1" applyFill="1" applyBorder="1" applyAlignment="1">
      <alignment horizontal="centerContinuous" vertical="center" wrapText="1"/>
    </xf>
    <xf numFmtId="0" fontId="75" fillId="37" borderId="106" xfId="0" applyFont="1" applyFill="1" applyBorder="1" applyAlignment="1">
      <alignment vertical="center"/>
    </xf>
    <xf numFmtId="0" fontId="75" fillId="37" borderId="107" xfId="0" applyFont="1" applyFill="1" applyBorder="1" applyAlignment="1">
      <alignment vertical="center"/>
    </xf>
    <xf numFmtId="0" fontId="75" fillId="37" borderId="108" xfId="0" applyFont="1" applyFill="1" applyBorder="1" applyAlignment="1">
      <alignment vertical="center"/>
    </xf>
    <xf numFmtId="0" fontId="75" fillId="37" borderId="97" xfId="0" applyFont="1" applyFill="1" applyBorder="1" applyAlignment="1">
      <alignment horizontal="center"/>
    </xf>
    <xf numFmtId="0" fontId="77" fillId="65" borderId="81" xfId="0" applyFont="1" applyFill="1" applyBorder="1" applyAlignment="1">
      <alignment horizontal="centerContinuous" vertical="center" wrapText="1"/>
    </xf>
    <xf numFmtId="0" fontId="77" fillId="65" borderId="109" xfId="0" applyFont="1" applyFill="1" applyBorder="1" applyAlignment="1">
      <alignment horizontal="centerContinuous" vertical="center" wrapText="1"/>
    </xf>
    <xf numFmtId="0" fontId="77" fillId="65" borderId="110" xfId="0" applyFont="1" applyFill="1" applyBorder="1" applyAlignment="1">
      <alignment horizontal="centerContinuous" vertical="center" wrapText="1"/>
    </xf>
    <xf numFmtId="0" fontId="77" fillId="65" borderId="111" xfId="0" applyFont="1" applyFill="1" applyBorder="1" applyAlignment="1">
      <alignment horizontal="centerContinuous" vertical="center" wrapText="1"/>
    </xf>
    <xf numFmtId="0" fontId="77" fillId="65" borderId="112" xfId="0" applyFont="1" applyFill="1" applyBorder="1" applyAlignment="1">
      <alignment horizontal="centerContinuous" vertical="center" wrapText="1"/>
    </xf>
    <xf numFmtId="0" fontId="77" fillId="65" borderId="113" xfId="0" applyFont="1" applyFill="1" applyBorder="1" applyAlignment="1">
      <alignment horizontal="centerContinuous" vertical="center" wrapText="1"/>
    </xf>
    <xf numFmtId="0" fontId="77" fillId="16" borderId="114" xfId="0" applyFont="1" applyFill="1" applyBorder="1" applyAlignment="1">
      <alignment horizontal="centerContinuous" vertical="center" wrapText="1"/>
    </xf>
    <xf numFmtId="0" fontId="77" fillId="16" borderId="115" xfId="1" applyFont="1" applyFill="1" applyBorder="1" applyAlignment="1" applyProtection="1">
      <alignment horizontal="centerContinuous" vertical="center" wrapText="1"/>
    </xf>
    <xf numFmtId="0" fontId="77" fillId="16" borderId="116" xfId="0" applyFont="1" applyFill="1" applyBorder="1" applyAlignment="1">
      <alignment horizontal="center" vertical="center" wrapText="1"/>
    </xf>
    <xf numFmtId="0" fontId="77" fillId="16" borderId="78" xfId="0" applyFont="1" applyFill="1" applyBorder="1" applyAlignment="1">
      <alignment horizontal="center" vertical="center" wrapText="1"/>
    </xf>
    <xf numFmtId="0" fontId="77" fillId="37" borderId="81" xfId="0" applyFont="1" applyFill="1" applyBorder="1" applyAlignment="1">
      <alignment horizontal="centerContinuous" vertical="center" wrapText="1"/>
    </xf>
    <xf numFmtId="0" fontId="77" fillId="37" borderId="109" xfId="0" applyFont="1" applyFill="1" applyBorder="1" applyAlignment="1">
      <alignment horizontal="centerContinuous" vertical="center" wrapText="1"/>
    </xf>
    <xf numFmtId="0" fontId="77" fillId="37" borderId="113" xfId="0" applyFont="1" applyFill="1" applyBorder="1" applyAlignment="1">
      <alignment horizontal="centerContinuous" vertical="center" wrapText="1"/>
    </xf>
    <xf numFmtId="0" fontId="77" fillId="37" borderId="117" xfId="0" applyFont="1" applyFill="1" applyBorder="1" applyAlignment="1">
      <alignment horizontal="centerContinuous" vertical="center" wrapText="1"/>
    </xf>
    <xf numFmtId="0" fontId="77" fillId="37" borderId="112" xfId="0" applyFont="1" applyFill="1" applyBorder="1" applyAlignment="1">
      <alignment horizontal="centerContinuous" vertical="center" wrapText="1"/>
    </xf>
    <xf numFmtId="0" fontId="77" fillId="37" borderId="111" xfId="0" applyFont="1" applyFill="1" applyBorder="1" applyAlignment="1">
      <alignment horizontal="centerContinuous" vertical="center" wrapText="1"/>
    </xf>
    <xf numFmtId="0" fontId="0" fillId="37" borderId="81" xfId="0" applyFill="1" applyBorder="1" applyAlignment="1">
      <alignment horizontal="centerContinuous" vertical="center" wrapText="1"/>
    </xf>
    <xf numFmtId="0" fontId="0" fillId="37" borderId="109" xfId="0" applyFill="1" applyBorder="1" applyAlignment="1">
      <alignment horizontal="centerContinuous" vertical="center" wrapText="1"/>
    </xf>
    <xf numFmtId="0" fontId="0" fillId="37" borderId="112" xfId="0" applyFill="1" applyBorder="1" applyAlignment="1">
      <alignment horizontal="centerContinuous" vertical="center" wrapText="1"/>
    </xf>
    <xf numFmtId="0" fontId="0" fillId="37" borderId="118" xfId="0" applyFill="1" applyBorder="1" applyAlignment="1">
      <alignment horizontal="centerContinuous" vertical="center" wrapText="1"/>
    </xf>
    <xf numFmtId="0" fontId="0" fillId="37" borderId="119" xfId="0" applyFill="1" applyBorder="1" applyAlignment="1">
      <alignment horizontal="centerContinuous" vertical="center" wrapText="1"/>
    </xf>
    <xf numFmtId="0" fontId="0" fillId="37" borderId="111" xfId="0" applyFill="1" applyBorder="1" applyAlignment="1">
      <alignment horizontal="centerContinuous" vertical="center" wrapText="1"/>
    </xf>
    <xf numFmtId="0" fontId="77" fillId="65" borderId="120" xfId="0" applyFont="1" applyFill="1" applyBorder="1" applyAlignment="1">
      <alignment horizontal="center" vertical="center" wrapText="1"/>
    </xf>
    <xf numFmtId="0" fontId="77" fillId="65" borderId="121" xfId="0" applyFont="1" applyFill="1" applyBorder="1" applyAlignment="1">
      <alignment horizontal="center" vertical="center" wrapText="1"/>
    </xf>
    <xf numFmtId="0" fontId="77" fillId="65" borderId="122" xfId="1" applyFont="1" applyFill="1" applyBorder="1" applyAlignment="1" applyProtection="1">
      <alignment horizontal="center" vertical="center" wrapText="1"/>
    </xf>
    <xf numFmtId="0" fontId="77" fillId="65" borderId="123" xfId="0" applyFont="1" applyFill="1" applyBorder="1" applyAlignment="1">
      <alignment horizontal="center" vertical="center" wrapText="1"/>
    </xf>
    <xf numFmtId="0" fontId="77" fillId="65" borderId="124" xfId="1" applyFont="1" applyFill="1" applyBorder="1" applyAlignment="1" applyProtection="1">
      <alignment horizontal="center" vertical="center" wrapText="1"/>
    </xf>
    <xf numFmtId="0" fontId="77" fillId="66" borderId="121" xfId="0" applyFont="1" applyFill="1" applyBorder="1" applyAlignment="1">
      <alignment horizontal="center" vertical="center" wrapText="1"/>
    </xf>
    <xf numFmtId="0" fontId="77" fillId="16" borderId="125" xfId="0" applyFont="1" applyFill="1" applyBorder="1" applyAlignment="1">
      <alignment horizontal="center" vertical="center" wrapText="1"/>
    </xf>
    <xf numFmtId="3" fontId="77" fillId="65" borderId="120" xfId="0" applyNumberFormat="1" applyFont="1" applyFill="1" applyBorder="1" applyAlignment="1">
      <alignment horizontal="center" vertical="center" wrapText="1"/>
    </xf>
    <xf numFmtId="3" fontId="77" fillId="65" borderId="121" xfId="0" applyNumberFormat="1" applyFont="1" applyFill="1" applyBorder="1" applyAlignment="1">
      <alignment horizontal="center" vertical="center" wrapText="1"/>
    </xf>
    <xf numFmtId="0" fontId="77" fillId="65" borderId="126" xfId="0" applyFont="1" applyFill="1" applyBorder="1" applyAlignment="1">
      <alignment horizontal="center" vertical="center" wrapText="1"/>
    </xf>
    <xf numFmtId="0" fontId="77" fillId="65" borderId="124" xfId="0" applyFont="1" applyFill="1" applyBorder="1" applyAlignment="1">
      <alignment horizontal="center" vertical="center" wrapText="1"/>
    </xf>
    <xf numFmtId="0" fontId="78" fillId="16" borderId="97" xfId="1" applyFont="1" applyFill="1" applyBorder="1" applyAlignment="1" applyProtection="1">
      <alignment horizontal="centerContinuous" vertical="center" wrapText="1"/>
    </xf>
    <xf numFmtId="0" fontId="78" fillId="16" borderId="127" xfId="1" applyFont="1" applyFill="1" applyBorder="1" applyAlignment="1" applyProtection="1">
      <alignment horizontal="center" vertical="center" wrapText="1"/>
    </xf>
    <xf numFmtId="0" fontId="78" fillId="16" borderId="128" xfId="1" applyFont="1" applyFill="1" applyBorder="1" applyAlignment="1" applyProtection="1">
      <alignment horizontal="center" vertical="center" wrapText="1"/>
    </xf>
    <xf numFmtId="0" fontId="77" fillId="37" borderId="120" xfId="0" applyFont="1" applyFill="1" applyBorder="1" applyAlignment="1">
      <alignment horizontal="center" vertical="center" wrapText="1"/>
    </xf>
    <xf numFmtId="0" fontId="77" fillId="37" borderId="121" xfId="0" applyFont="1" applyFill="1" applyBorder="1" applyAlignment="1">
      <alignment horizontal="center" vertical="center" wrapText="1"/>
    </xf>
    <xf numFmtId="0" fontId="77" fillId="37" borderId="124" xfId="0" applyFont="1" applyFill="1" applyBorder="1" applyAlignment="1">
      <alignment horizontal="center" vertical="center" wrapText="1"/>
    </xf>
    <xf numFmtId="0" fontId="77" fillId="37" borderId="129" xfId="0" applyFont="1" applyFill="1" applyBorder="1" applyAlignment="1">
      <alignment horizontal="center" vertical="center" wrapText="1"/>
    </xf>
    <xf numFmtId="0" fontId="77" fillId="37" borderId="126" xfId="0" applyFont="1" applyFill="1" applyBorder="1" applyAlignment="1">
      <alignment horizontal="center" vertical="center" wrapText="1"/>
    </xf>
    <xf numFmtId="0" fontId="77" fillId="37" borderId="123" xfId="0" applyFont="1" applyFill="1" applyBorder="1" applyAlignment="1">
      <alignment horizontal="center" vertical="center" wrapText="1"/>
    </xf>
    <xf numFmtId="0" fontId="77" fillId="37" borderId="125" xfId="0" applyFont="1" applyFill="1" applyBorder="1" applyAlignment="1">
      <alignment horizontal="center" vertical="center" wrapText="1"/>
    </xf>
    <xf numFmtId="0" fontId="0" fillId="37" borderId="130" xfId="0" applyFill="1" applyBorder="1" applyAlignment="1">
      <alignment horizontal="center" vertical="center" wrapText="1"/>
    </xf>
    <xf numFmtId="0" fontId="0" fillId="37" borderId="131" xfId="0" applyFill="1" applyBorder="1" applyAlignment="1">
      <alignment horizontal="center" vertical="center" wrapText="1"/>
    </xf>
    <xf numFmtId="0" fontId="0" fillId="37" borderId="132" xfId="0" applyFill="1" applyBorder="1" applyAlignment="1">
      <alignment horizontal="center" vertical="center" wrapText="1"/>
    </xf>
    <xf numFmtId="0" fontId="77" fillId="37" borderId="130" xfId="0" applyFont="1" applyFill="1" applyBorder="1" applyAlignment="1">
      <alignment horizontal="center" vertical="center" wrapText="1"/>
    </xf>
    <xf numFmtId="0" fontId="77" fillId="37" borderId="131" xfId="0" applyFont="1" applyFill="1" applyBorder="1" applyAlignment="1">
      <alignment horizontal="center" vertical="center" wrapText="1"/>
    </xf>
    <xf numFmtId="0" fontId="77" fillId="37" borderId="132" xfId="0" applyFont="1" applyFill="1" applyBorder="1" applyAlignment="1">
      <alignment horizontal="center" vertical="center" wrapText="1"/>
    </xf>
    <xf numFmtId="186" fontId="77" fillId="37" borderId="133" xfId="0" applyNumberFormat="1" applyFont="1" applyFill="1" applyBorder="1" applyAlignment="1">
      <alignment horizontal="center" vertical="center" wrapText="1"/>
    </xf>
    <xf numFmtId="186" fontId="77" fillId="37" borderId="131" xfId="0" applyNumberFormat="1" applyFont="1" applyFill="1" applyBorder="1" applyAlignment="1">
      <alignment horizontal="center" vertical="center" wrapText="1"/>
    </xf>
    <xf numFmtId="186" fontId="77" fillId="37" borderId="132" xfId="0" applyNumberFormat="1" applyFont="1" applyFill="1" applyBorder="1" applyAlignment="1">
      <alignment horizontal="center" vertical="center" wrapText="1"/>
    </xf>
    <xf numFmtId="0" fontId="0" fillId="37" borderId="134" xfId="0" applyFill="1" applyBorder="1" applyAlignment="1">
      <alignment horizontal="center" vertical="center" wrapText="1"/>
    </xf>
    <xf numFmtId="0" fontId="0" fillId="37" borderId="135" xfId="0" applyFill="1" applyBorder="1" applyAlignment="1">
      <alignment horizontal="center" vertical="center" wrapText="1"/>
    </xf>
    <xf numFmtId="0" fontId="0" fillId="37" borderId="133" xfId="0" applyFill="1" applyBorder="1" applyAlignment="1">
      <alignment horizontal="center" vertical="center" wrapText="1"/>
    </xf>
    <xf numFmtId="0" fontId="0" fillId="37" borderId="136" xfId="0" applyFill="1" applyBorder="1"/>
    <xf numFmtId="0" fontId="77" fillId="65" borderId="137" xfId="0" applyFont="1" applyFill="1" applyBorder="1" applyAlignment="1">
      <alignment horizontal="center" vertical="center" wrapText="1"/>
    </xf>
    <xf numFmtId="0" fontId="77" fillId="65" borderId="138" xfId="0" applyFont="1" applyFill="1" applyBorder="1" applyAlignment="1">
      <alignment horizontal="center" vertical="center" wrapText="1"/>
    </xf>
    <xf numFmtId="0" fontId="77" fillId="65" borderId="139" xfId="1" applyFont="1" applyFill="1" applyBorder="1" applyAlignment="1" applyProtection="1">
      <alignment horizontal="center" vertical="center" wrapText="1"/>
    </xf>
    <xf numFmtId="0" fontId="77" fillId="65" borderId="140" xfId="0" applyFont="1" applyFill="1" applyBorder="1" applyAlignment="1">
      <alignment horizontal="center" vertical="center" wrapText="1"/>
    </xf>
    <xf numFmtId="0" fontId="77" fillId="66" borderId="138" xfId="0" applyFont="1" applyFill="1" applyBorder="1" applyAlignment="1">
      <alignment horizontal="center" vertical="center" wrapText="1"/>
    </xf>
    <xf numFmtId="0" fontId="77" fillId="16" borderId="141" xfId="0" applyFont="1" applyFill="1" applyBorder="1" applyAlignment="1">
      <alignment horizontal="center" vertical="center" wrapText="1"/>
    </xf>
    <xf numFmtId="0" fontId="77" fillId="65" borderId="142" xfId="0" applyFont="1" applyFill="1" applyBorder="1" applyAlignment="1">
      <alignment horizontal="center" vertical="center" wrapText="1"/>
    </xf>
    <xf numFmtId="0" fontId="77" fillId="65" borderId="143" xfId="0" applyFont="1" applyFill="1" applyBorder="1" applyAlignment="1">
      <alignment horizontal="center" vertical="center" wrapText="1"/>
    </xf>
    <xf numFmtId="0" fontId="77" fillId="65" borderId="144" xfId="0" applyFont="1" applyFill="1" applyBorder="1" applyAlignment="1">
      <alignment horizontal="center" vertical="center" wrapText="1"/>
    </xf>
    <xf numFmtId="0" fontId="77" fillId="16" borderId="145" xfId="1" applyFont="1" applyFill="1" applyBorder="1" applyAlignment="1" applyProtection="1">
      <alignment horizontal="centerContinuous" vertical="center" wrapText="1"/>
    </xf>
    <xf numFmtId="0" fontId="77" fillId="16" borderId="127" xfId="1" applyFont="1" applyFill="1" applyBorder="1" applyAlignment="1" applyProtection="1">
      <alignment horizontal="center" vertical="center" wrapText="1"/>
    </xf>
    <xf numFmtId="0" fontId="77" fillId="16" borderId="128" xfId="1" applyFont="1" applyFill="1" applyBorder="1" applyAlignment="1" applyProtection="1">
      <alignment horizontal="center" vertical="center" wrapText="1"/>
    </xf>
    <xf numFmtId="0" fontId="77" fillId="37" borderId="140" xfId="0" applyFont="1" applyFill="1" applyBorder="1" applyAlignment="1">
      <alignment horizontal="center" vertical="center" wrapText="1"/>
    </xf>
    <xf numFmtId="0" fontId="77" fillId="37" borderId="138" xfId="0" applyFont="1" applyFill="1" applyBorder="1" applyAlignment="1">
      <alignment horizontal="center" vertical="center" wrapText="1"/>
    </xf>
    <xf numFmtId="0" fontId="77" fillId="37" borderId="139" xfId="0" applyFont="1" applyFill="1" applyBorder="1" applyAlignment="1">
      <alignment horizontal="center" vertical="center" wrapText="1"/>
    </xf>
    <xf numFmtId="0" fontId="77" fillId="37" borderId="146" xfId="0" applyFont="1" applyFill="1" applyBorder="1" applyAlignment="1">
      <alignment horizontal="center" vertical="center" wrapText="1"/>
    </xf>
    <xf numFmtId="0" fontId="77" fillId="37" borderId="147" xfId="0" applyFont="1" applyFill="1" applyBorder="1" applyAlignment="1">
      <alignment horizontal="center" vertical="center" wrapText="1"/>
    </xf>
    <xf numFmtId="0" fontId="77" fillId="37" borderId="137" xfId="0" applyFont="1" applyFill="1" applyBorder="1" applyAlignment="1">
      <alignment horizontal="center" vertical="center" wrapText="1"/>
    </xf>
    <xf numFmtId="0" fontId="77" fillId="37" borderId="141" xfId="0" applyFont="1" applyFill="1" applyBorder="1" applyAlignment="1">
      <alignment horizontal="center" vertical="center" wrapText="1"/>
    </xf>
    <xf numFmtId="0" fontId="77" fillId="37" borderId="142" xfId="0" applyFont="1" applyFill="1" applyBorder="1" applyAlignment="1">
      <alignment horizontal="center" vertical="center" wrapText="1"/>
    </xf>
    <xf numFmtId="0" fontId="77" fillId="37" borderId="143" xfId="0" applyFont="1" applyFill="1" applyBorder="1" applyAlignment="1">
      <alignment horizontal="center" vertical="center" wrapText="1"/>
    </xf>
    <xf numFmtId="0" fontId="77" fillId="37" borderId="144" xfId="0" applyFont="1" applyFill="1" applyBorder="1" applyAlignment="1">
      <alignment horizontal="center" vertical="center" wrapText="1"/>
    </xf>
    <xf numFmtId="0" fontId="77" fillId="37" borderId="142" xfId="0" applyFont="1" applyFill="1" applyBorder="1" applyAlignment="1" applyProtection="1">
      <alignment horizontal="center" vertical="center" wrapText="1"/>
    </xf>
    <xf numFmtId="0" fontId="77" fillId="37" borderId="143" xfId="0" applyFont="1" applyFill="1" applyBorder="1" applyAlignment="1" applyProtection="1">
      <alignment horizontal="center" vertical="center" wrapText="1"/>
    </xf>
    <xf numFmtId="0" fontId="77" fillId="37" borderId="144" xfId="0" applyFont="1" applyFill="1" applyBorder="1" applyAlignment="1" applyProtection="1">
      <alignment horizontal="center" vertical="center" wrapText="1"/>
    </xf>
    <xf numFmtId="0" fontId="77" fillId="37" borderId="145" xfId="0" applyFont="1" applyFill="1" applyBorder="1" applyAlignment="1">
      <alignment horizontal="center" vertical="center" wrapText="1"/>
    </xf>
    <xf numFmtId="0" fontId="77" fillId="37" borderId="148" xfId="0" applyFont="1" applyFill="1" applyBorder="1" applyAlignment="1">
      <alignment horizontal="center" vertical="center" wrapText="1"/>
    </xf>
    <xf numFmtId="0" fontId="77" fillId="37" borderId="149" xfId="0" applyFont="1" applyFill="1" applyBorder="1" applyAlignment="1">
      <alignment horizontal="center" vertical="center" wrapText="1"/>
    </xf>
    <xf numFmtId="0" fontId="75" fillId="64" borderId="114" xfId="8" applyFont="1" applyFill="1" applyBorder="1" applyAlignment="1">
      <alignment horizontal="center"/>
    </xf>
    <xf numFmtId="187" fontId="0" fillId="0" borderId="150" xfId="0" applyNumberFormat="1" applyFont="1" applyBorder="1" applyAlignment="1"/>
    <xf numFmtId="187" fontId="0" fillId="0" borderId="151" xfId="0" applyNumberFormat="1" applyFont="1" applyBorder="1" applyAlignment="1"/>
    <xf numFmtId="187" fontId="0" fillId="0" borderId="151" xfId="0" applyNumberFormat="1" applyFont="1" applyFill="1" applyBorder="1" applyAlignment="1"/>
    <xf numFmtId="187" fontId="0" fillId="0" borderId="152" xfId="0" applyNumberFormat="1" applyFont="1" applyBorder="1" applyAlignment="1"/>
    <xf numFmtId="187" fontId="0" fillId="0" borderId="153" xfId="0" applyNumberFormat="1" applyFont="1" applyFill="1" applyBorder="1" applyAlignment="1"/>
    <xf numFmtId="187" fontId="0" fillId="0" borderId="154" xfId="1" applyNumberFormat="1" applyFont="1" applyFill="1" applyBorder="1" applyAlignment="1" applyProtection="1"/>
    <xf numFmtId="187" fontId="0" fillId="0" borderId="155" xfId="0" applyNumberFormat="1" applyFont="1" applyFill="1" applyBorder="1" applyAlignment="1"/>
    <xf numFmtId="187" fontId="0" fillId="0" borderId="156" xfId="0" applyNumberFormat="1" applyFont="1" applyFill="1" applyBorder="1" applyAlignment="1"/>
    <xf numFmtId="0" fontId="77" fillId="7" borderId="157" xfId="0" applyFont="1" applyFill="1" applyBorder="1" applyAlignment="1">
      <alignment horizontal="center" vertical="center" wrapText="1"/>
    </xf>
    <xf numFmtId="0" fontId="77" fillId="7" borderId="158" xfId="0" applyFont="1" applyFill="1" applyBorder="1" applyAlignment="1">
      <alignment horizontal="center" vertical="center" wrapText="1"/>
    </xf>
    <xf numFmtId="0" fontId="77" fillId="7" borderId="159" xfId="0" applyFont="1" applyFill="1" applyBorder="1" applyAlignment="1">
      <alignment horizontal="center" vertical="center" wrapText="1"/>
    </xf>
    <xf numFmtId="0" fontId="77" fillId="7" borderId="160" xfId="0" applyFont="1" applyFill="1" applyBorder="1" applyAlignment="1">
      <alignment horizontal="center" vertical="center" wrapText="1"/>
    </xf>
    <xf numFmtId="187" fontId="77" fillId="0" borderId="156" xfId="1" applyNumberFormat="1" applyFont="1" applyFill="1" applyBorder="1" applyAlignment="1" applyProtection="1"/>
    <xf numFmtId="187" fontId="77" fillId="0" borderId="155" xfId="1" applyNumberFormat="1" applyFont="1" applyFill="1" applyBorder="1" applyAlignment="1" applyProtection="1"/>
    <xf numFmtId="187" fontId="77" fillId="0" borderId="154" xfId="1" applyNumberFormat="1" applyFont="1" applyFill="1" applyBorder="1" applyAlignment="1" applyProtection="1"/>
    <xf numFmtId="187" fontId="77" fillId="0" borderId="155" xfId="0" applyNumberFormat="1" applyFont="1" applyFill="1" applyBorder="1" applyAlignment="1"/>
    <xf numFmtId="187" fontId="77" fillId="0" borderId="151" xfId="0" applyNumberFormat="1" applyFont="1" applyFill="1" applyBorder="1" applyAlignment="1"/>
    <xf numFmtId="187" fontId="77" fillId="0" borderId="154" xfId="0" applyNumberFormat="1" applyFont="1" applyFill="1" applyBorder="1" applyAlignment="1"/>
    <xf numFmtId="187" fontId="77" fillId="0" borderId="161" xfId="0" applyNumberFormat="1" applyFont="1" applyFill="1" applyBorder="1" applyAlignment="1"/>
    <xf numFmtId="187" fontId="77" fillId="0" borderId="162" xfId="0" applyNumberFormat="1" applyFont="1" applyFill="1" applyBorder="1" applyAlignment="1"/>
    <xf numFmtId="187" fontId="77" fillId="0" borderId="153" xfId="0" applyNumberFormat="1" applyFont="1" applyFill="1" applyBorder="1" applyAlignment="1"/>
    <xf numFmtId="187" fontId="77" fillId="0" borderId="156" xfId="0" applyNumberFormat="1" applyFont="1" applyFill="1" applyBorder="1" applyAlignment="1"/>
    <xf numFmtId="0" fontId="0" fillId="7" borderId="158" xfId="0" applyFill="1" applyBorder="1"/>
    <xf numFmtId="0" fontId="0" fillId="7" borderId="159" xfId="0" applyFill="1" applyBorder="1"/>
    <xf numFmtId="0" fontId="76" fillId="7" borderId="157" xfId="1" applyFont="1" applyFill="1" applyBorder="1" applyAlignment="1" applyProtection="1">
      <alignment wrapText="1"/>
    </xf>
    <xf numFmtId="0" fontId="76" fillId="7" borderId="158" xfId="1" applyFont="1" applyFill="1" applyBorder="1" applyAlignment="1" applyProtection="1">
      <alignment wrapText="1"/>
    </xf>
    <xf numFmtId="0" fontId="76" fillId="7" borderId="159" xfId="1" applyFont="1" applyFill="1" applyBorder="1" applyAlignment="1" applyProtection="1">
      <alignment wrapText="1"/>
    </xf>
    <xf numFmtId="0" fontId="76" fillId="7" borderId="163" xfId="1" applyFont="1" applyFill="1" applyBorder="1" applyAlignment="1" applyProtection="1">
      <alignment wrapText="1"/>
    </xf>
    <xf numFmtId="187" fontId="0" fillId="0" borderId="164" xfId="0" applyNumberFormat="1" applyBorder="1"/>
    <xf numFmtId="0" fontId="0" fillId="7" borderId="157" xfId="0" applyFill="1" applyBorder="1"/>
    <xf numFmtId="0" fontId="0" fillId="7" borderId="165" xfId="0" applyFill="1" applyBorder="1"/>
    <xf numFmtId="0" fontId="0" fillId="7" borderId="163" xfId="0" applyFill="1" applyBorder="1"/>
    <xf numFmtId="187" fontId="0" fillId="0" borderId="166" xfId="0" applyNumberFormat="1" applyFont="1" applyBorder="1" applyAlignment="1"/>
    <xf numFmtId="187" fontId="0" fillId="0" borderId="167" xfId="0" applyNumberFormat="1" applyFont="1" applyBorder="1" applyAlignment="1"/>
    <xf numFmtId="187" fontId="0" fillId="0" borderId="168" xfId="0" applyNumberFormat="1" applyFont="1" applyFill="1" applyBorder="1" applyAlignment="1"/>
    <xf numFmtId="187" fontId="0" fillId="0" borderId="166" xfId="0" applyNumberFormat="1" applyFont="1" applyFill="1" applyBorder="1" applyAlignment="1"/>
    <xf numFmtId="187" fontId="0" fillId="0" borderId="169" xfId="1" applyNumberFormat="1" applyFont="1" applyFill="1" applyBorder="1" applyAlignment="1" applyProtection="1"/>
    <xf numFmtId="187" fontId="0" fillId="0" borderId="150" xfId="0" applyNumberFormat="1" applyFont="1" applyFill="1" applyBorder="1" applyAlignment="1"/>
    <xf numFmtId="187" fontId="0" fillId="0" borderId="170" xfId="0" applyNumberFormat="1" applyFont="1" applyFill="1" applyBorder="1" applyAlignment="1"/>
    <xf numFmtId="187" fontId="77" fillId="0" borderId="170" xfId="1" applyNumberFormat="1" applyFont="1" applyFill="1" applyBorder="1" applyAlignment="1" applyProtection="1"/>
    <xf numFmtId="187" fontId="77" fillId="0" borderId="150" xfId="1" applyNumberFormat="1" applyFont="1" applyFill="1" applyBorder="1" applyAlignment="1" applyProtection="1"/>
    <xf numFmtId="187" fontId="77" fillId="0" borderId="169" xfId="1" applyNumberFormat="1" applyFont="1" applyFill="1" applyBorder="1" applyAlignment="1" applyProtection="1"/>
    <xf numFmtId="187" fontId="77" fillId="0" borderId="150" xfId="0" applyNumberFormat="1" applyFont="1" applyFill="1" applyBorder="1" applyAlignment="1"/>
    <xf numFmtId="187" fontId="77" fillId="0" borderId="166" xfId="0" applyNumberFormat="1" applyFont="1" applyFill="1" applyBorder="1" applyAlignment="1"/>
    <xf numFmtId="187" fontId="77" fillId="0" borderId="169" xfId="0" applyNumberFormat="1" applyFont="1" applyFill="1" applyBorder="1" applyAlignment="1"/>
    <xf numFmtId="187" fontId="77" fillId="0" borderId="171" xfId="0" applyNumberFormat="1" applyFont="1" applyFill="1" applyBorder="1" applyAlignment="1"/>
    <xf numFmtId="187" fontId="77" fillId="0" borderId="172" xfId="0" applyNumberFormat="1" applyFont="1" applyFill="1" applyBorder="1" applyAlignment="1"/>
    <xf numFmtId="187" fontId="77" fillId="0" borderId="168" xfId="0" applyNumberFormat="1" applyFont="1" applyFill="1" applyBorder="1" applyAlignment="1"/>
    <xf numFmtId="187" fontId="77" fillId="0" borderId="170" xfId="0" applyNumberFormat="1" applyFont="1" applyFill="1" applyBorder="1" applyAlignment="1"/>
    <xf numFmtId="187" fontId="0" fillId="0" borderId="173" xfId="0" applyNumberFormat="1" applyBorder="1"/>
    <xf numFmtId="187" fontId="0" fillId="38" borderId="0" xfId="0" applyNumberFormat="1" applyFill="1"/>
    <xf numFmtId="0" fontId="75" fillId="64" borderId="169" xfId="8" applyFont="1" applyFill="1" applyBorder="1" applyAlignment="1">
      <alignment horizontal="left" vertical="center"/>
    </xf>
    <xf numFmtId="0" fontId="0" fillId="37" borderId="173" xfId="0" applyFill="1" applyBorder="1"/>
    <xf numFmtId="0" fontId="0" fillId="37" borderId="174" xfId="0" applyFill="1" applyBorder="1"/>
    <xf numFmtId="0" fontId="75" fillId="37" borderId="175" xfId="0" applyFont="1" applyFill="1" applyBorder="1" applyAlignment="1">
      <alignment horizontal="right"/>
    </xf>
    <xf numFmtId="0" fontId="75" fillId="37" borderId="160" xfId="0" applyFont="1" applyFill="1" applyBorder="1"/>
    <xf numFmtId="0" fontId="0" fillId="37" borderId="176" xfId="0" applyFill="1" applyBorder="1"/>
    <xf numFmtId="0" fontId="0" fillId="37" borderId="177" xfId="0" applyFill="1" applyBorder="1"/>
    <xf numFmtId="0" fontId="75" fillId="37" borderId="0" xfId="0" applyFont="1" applyFill="1" applyBorder="1" applyAlignment="1">
      <alignment vertical="center"/>
    </xf>
    <xf numFmtId="0" fontId="0" fillId="37" borderId="105" xfId="0" applyFill="1" applyBorder="1"/>
    <xf numFmtId="0" fontId="75" fillId="65" borderId="93" xfId="0" applyFont="1" applyFill="1" applyBorder="1" applyAlignment="1">
      <alignment horizontal="centerContinuous" vertical="center" wrapText="1"/>
    </xf>
    <xf numFmtId="0" fontId="75" fillId="65" borderId="104" xfId="0" applyFont="1" applyFill="1" applyBorder="1" applyAlignment="1">
      <alignment horizontal="centerContinuous" vertical="center" wrapText="1"/>
    </xf>
    <xf numFmtId="0" fontId="79" fillId="37" borderId="99" xfId="1" applyFont="1" applyFill="1" applyBorder="1" applyAlignment="1" applyProtection="1">
      <alignment horizontal="centerContinuous" vertical="center" wrapText="1"/>
    </xf>
    <xf numFmtId="0" fontId="79" fillId="37" borderId="100" xfId="1" applyFont="1" applyFill="1" applyBorder="1" applyAlignment="1" applyProtection="1">
      <alignment horizontal="centerContinuous" vertical="center" wrapText="1"/>
    </xf>
    <xf numFmtId="0" fontId="75" fillId="37" borderId="178" xfId="0" applyFont="1" applyFill="1" applyBorder="1" applyAlignment="1">
      <alignment horizontal="centerContinuous" vertical="center" wrapText="1"/>
    </xf>
    <xf numFmtId="0" fontId="75" fillId="37" borderId="179" xfId="0" applyFont="1" applyFill="1" applyBorder="1" applyAlignment="1">
      <alignment horizontal="centerContinuous" vertical="center" wrapText="1"/>
    </xf>
    <xf numFmtId="0" fontId="75" fillId="37" borderId="180" xfId="0" applyFont="1" applyFill="1" applyBorder="1" applyAlignment="1">
      <alignment horizontal="centerContinuous" vertical="center" wrapText="1"/>
    </xf>
    <xf numFmtId="0" fontId="77" fillId="65" borderId="77" xfId="0" applyFont="1" applyFill="1" applyBorder="1" applyAlignment="1">
      <alignment horizontal="centerContinuous" vertical="center" wrapText="1"/>
    </xf>
    <xf numFmtId="0" fontId="77" fillId="65" borderId="181" xfId="0" applyFont="1" applyFill="1" applyBorder="1" applyAlignment="1">
      <alignment horizontal="centerContinuous" vertical="center" wrapText="1"/>
    </xf>
    <xf numFmtId="0" fontId="77" fillId="65" borderId="182" xfId="0" applyFont="1" applyFill="1" applyBorder="1" applyAlignment="1">
      <alignment horizontal="centerContinuous" vertical="center" wrapText="1"/>
    </xf>
    <xf numFmtId="0" fontId="0" fillId="37" borderId="77" xfId="0" applyFill="1" applyBorder="1" applyAlignment="1">
      <alignment horizontal="centerContinuous" vertical="center" wrapText="1"/>
    </xf>
    <xf numFmtId="0" fontId="0" fillId="37" borderId="181" xfId="0" applyFill="1" applyBorder="1" applyAlignment="1">
      <alignment horizontal="centerContinuous" vertical="center" wrapText="1"/>
    </xf>
    <xf numFmtId="0" fontId="77" fillId="37" borderId="181" xfId="0" applyFont="1" applyFill="1" applyBorder="1" applyAlignment="1">
      <alignment horizontal="centerContinuous" vertical="center" wrapText="1"/>
    </xf>
    <xf numFmtId="0" fontId="77" fillId="37" borderId="182" xfId="0" applyFont="1" applyFill="1" applyBorder="1" applyAlignment="1">
      <alignment horizontal="centerContinuous" vertical="center" wrapText="1"/>
    </xf>
    <xf numFmtId="0" fontId="0" fillId="37" borderId="115" xfId="0" applyFill="1" applyBorder="1" applyAlignment="1">
      <alignment horizontal="centerContinuous" vertical="center" wrapText="1"/>
    </xf>
    <xf numFmtId="0" fontId="77" fillId="37" borderId="116" xfId="0" applyFont="1" applyFill="1" applyBorder="1" applyAlignment="1">
      <alignment horizontal="centerContinuous" vertical="center" wrapText="1"/>
    </xf>
    <xf numFmtId="0" fontId="77" fillId="37" borderId="78" xfId="0" applyFont="1" applyFill="1" applyBorder="1" applyAlignment="1">
      <alignment horizontal="centerContinuous" vertical="center" wrapText="1"/>
    </xf>
    <xf numFmtId="0" fontId="77" fillId="37" borderId="183" xfId="0" applyFont="1" applyFill="1" applyBorder="1" applyAlignment="1">
      <alignment horizontal="centerContinuous" vertical="center" wrapText="1"/>
    </xf>
    <xf numFmtId="0" fontId="77" fillId="65" borderId="130" xfId="0" applyFont="1" applyFill="1" applyBorder="1" applyAlignment="1">
      <alignment horizontal="center" vertical="center" wrapText="1"/>
    </xf>
    <xf numFmtId="0" fontId="77" fillId="65" borderId="131" xfId="0" applyFont="1" applyFill="1" applyBorder="1" applyAlignment="1">
      <alignment horizontal="center" vertical="center" wrapText="1"/>
    </xf>
    <xf numFmtId="0" fontId="77" fillId="65" borderId="135" xfId="1" applyFont="1" applyFill="1" applyBorder="1" applyAlignment="1" applyProtection="1">
      <alignment horizontal="center" vertical="center" wrapText="1"/>
    </xf>
    <xf numFmtId="0" fontId="77" fillId="65" borderId="133" xfId="0" applyFont="1" applyFill="1" applyBorder="1" applyAlignment="1">
      <alignment horizontal="center" vertical="center" wrapText="1"/>
    </xf>
    <xf numFmtId="0" fontId="77" fillId="65" borderId="184" xfId="1" applyFont="1" applyFill="1" applyBorder="1" applyAlignment="1" applyProtection="1">
      <alignment horizontal="center" vertical="center" wrapText="1"/>
    </xf>
    <xf numFmtId="0" fontId="77" fillId="16" borderId="185" xfId="0" applyFont="1" applyFill="1" applyBorder="1" applyAlignment="1">
      <alignment horizontal="center" vertical="center" wrapText="1"/>
    </xf>
    <xf numFmtId="3" fontId="77" fillId="65" borderId="140" xfId="0" applyNumberFormat="1" applyFont="1" applyFill="1" applyBorder="1" applyAlignment="1">
      <alignment horizontal="center" vertical="center" wrapText="1"/>
    </xf>
    <xf numFmtId="3" fontId="77" fillId="65" borderId="138" xfId="0" applyNumberFormat="1" applyFont="1" applyFill="1" applyBorder="1" applyAlignment="1">
      <alignment horizontal="center" vertical="center" wrapText="1"/>
    </xf>
    <xf numFmtId="0" fontId="77" fillId="65" borderId="147" xfId="0" applyFont="1" applyFill="1" applyBorder="1" applyAlignment="1">
      <alignment horizontal="center" vertical="center" wrapText="1"/>
    </xf>
    <xf numFmtId="0" fontId="80" fillId="16" borderId="185" xfId="1" applyFont="1" applyFill="1" applyBorder="1" applyAlignment="1" applyProtection="1">
      <alignment horizontal="centerContinuous" vertical="center" wrapText="1"/>
    </xf>
    <xf numFmtId="0" fontId="80" fillId="16" borderId="186" xfId="1" applyFont="1" applyFill="1" applyBorder="1" applyAlignment="1" applyProtection="1">
      <alignment horizontal="center" vertical="center" wrapText="1"/>
    </xf>
    <xf numFmtId="0" fontId="80" fillId="16" borderId="187" xfId="1" applyFont="1" applyFill="1" applyBorder="1" applyAlignment="1" applyProtection="1">
      <alignment horizontal="center" vertical="center" wrapText="1"/>
    </xf>
    <xf numFmtId="0" fontId="77" fillId="37" borderId="184" xfId="0" applyFont="1" applyFill="1" applyBorder="1" applyAlignment="1">
      <alignment horizontal="center" vertical="center" wrapText="1"/>
    </xf>
    <xf numFmtId="0" fontId="77" fillId="37" borderId="188" xfId="0" applyFont="1" applyFill="1" applyBorder="1" applyAlignment="1">
      <alignment horizontal="center" vertical="center" wrapText="1"/>
    </xf>
    <xf numFmtId="0" fontId="77" fillId="37" borderId="133" xfId="0" applyFont="1" applyFill="1" applyBorder="1" applyAlignment="1">
      <alignment horizontal="center" vertical="center" wrapText="1"/>
    </xf>
    <xf numFmtId="0" fontId="77" fillId="37" borderId="185" xfId="0" applyFont="1" applyFill="1" applyBorder="1" applyAlignment="1">
      <alignment horizontal="center" vertical="center" wrapText="1"/>
    </xf>
    <xf numFmtId="0" fontId="0" fillId="37" borderId="141" xfId="0" applyFill="1" applyBorder="1" applyAlignment="1">
      <alignment horizontal="center" vertical="center" wrapText="1"/>
    </xf>
    <xf numFmtId="0" fontId="77" fillId="65" borderId="148" xfId="1" applyFont="1" applyFill="1" applyBorder="1" applyAlignment="1" applyProtection="1">
      <alignment horizontal="center" vertical="center" wrapText="1"/>
    </xf>
    <xf numFmtId="0" fontId="77" fillId="65" borderId="149" xfId="0" applyFont="1" applyFill="1" applyBorder="1" applyAlignment="1">
      <alignment horizontal="center" vertical="center" wrapText="1"/>
    </xf>
    <xf numFmtId="0" fontId="77" fillId="65" borderId="189" xfId="1" applyFont="1" applyFill="1" applyBorder="1" applyAlignment="1" applyProtection="1">
      <alignment horizontal="center" vertical="center" wrapText="1"/>
    </xf>
    <xf numFmtId="0" fontId="77" fillId="16" borderId="145" xfId="0" applyFont="1" applyFill="1" applyBorder="1" applyAlignment="1">
      <alignment horizontal="center" vertical="center" wrapText="1"/>
    </xf>
    <xf numFmtId="0" fontId="77" fillId="16" borderId="142" xfId="1" applyFont="1" applyFill="1" applyBorder="1" applyAlignment="1" applyProtection="1">
      <alignment horizontal="center" vertical="center" wrapText="1"/>
    </xf>
    <xf numFmtId="0" fontId="77" fillId="16" borderId="189" xfId="1" applyFont="1" applyFill="1" applyBorder="1" applyAlignment="1" applyProtection="1">
      <alignment horizontal="center" vertical="center" wrapText="1"/>
    </xf>
    <xf numFmtId="0" fontId="77" fillId="37" borderId="189" xfId="0" applyFont="1" applyFill="1" applyBorder="1" applyAlignment="1">
      <alignment horizontal="center" vertical="center" wrapText="1"/>
    </xf>
    <xf numFmtId="0" fontId="77" fillId="37" borderId="190" xfId="0" applyFont="1" applyFill="1" applyBorder="1" applyAlignment="1">
      <alignment horizontal="center" vertical="center" wrapText="1"/>
    </xf>
    <xf numFmtId="187" fontId="77" fillId="0" borderId="152" xfId="1" applyNumberFormat="1" applyFont="1" applyFill="1" applyBorder="1" applyAlignment="1" applyProtection="1"/>
    <xf numFmtId="0" fontId="77" fillId="7" borderId="157" xfId="0" applyFont="1" applyFill="1" applyBorder="1" applyAlignment="1">
      <alignment vertical="center"/>
    </xf>
    <xf numFmtId="0" fontId="77" fillId="7" borderId="158" xfId="0" applyFont="1" applyFill="1" applyBorder="1" applyAlignment="1">
      <alignment vertical="center"/>
    </xf>
    <xf numFmtId="0" fontId="77" fillId="7" borderId="159" xfId="0" applyFont="1" applyFill="1" applyBorder="1" applyAlignment="1">
      <alignment vertical="center"/>
    </xf>
    <xf numFmtId="0" fontId="77" fillId="7" borderId="191" xfId="0" applyFont="1" applyFill="1" applyBorder="1" applyAlignment="1">
      <alignment vertical="center"/>
    </xf>
    <xf numFmtId="0" fontId="77" fillId="7" borderId="192" xfId="0" applyFont="1" applyFill="1" applyBorder="1" applyAlignment="1">
      <alignment vertical="center"/>
    </xf>
    <xf numFmtId="0" fontId="77" fillId="0" borderId="155" xfId="8" applyNumberFormat="1" applyFont="1" applyFill="1" applyBorder="1" applyAlignment="1"/>
    <xf numFmtId="0" fontId="77" fillId="0" borderId="151" xfId="8" applyNumberFormat="1" applyFont="1" applyFill="1" applyBorder="1" applyAlignment="1"/>
    <xf numFmtId="0" fontId="77" fillId="0" borderId="162" xfId="8" applyNumberFormat="1" applyFont="1" applyFill="1" applyBorder="1" applyAlignment="1"/>
    <xf numFmtId="0" fontId="0" fillId="7" borderId="160" xfId="0" applyFill="1" applyBorder="1"/>
    <xf numFmtId="0" fontId="0" fillId="7" borderId="193" xfId="0" applyFill="1" applyBorder="1"/>
    <xf numFmtId="187" fontId="77" fillId="0" borderId="167" xfId="1" applyNumberFormat="1" applyFont="1" applyFill="1" applyBorder="1" applyAlignment="1" applyProtection="1"/>
    <xf numFmtId="0" fontId="77" fillId="0" borderId="150" xfId="8" applyNumberFormat="1" applyFont="1" applyFill="1" applyBorder="1" applyAlignment="1"/>
    <xf numFmtId="0" fontId="77" fillId="0" borderId="166" xfId="8" applyNumberFormat="1" applyFont="1" applyFill="1" applyBorder="1" applyAlignment="1"/>
    <xf numFmtId="0" fontId="77" fillId="0" borderId="172" xfId="8" applyNumberFormat="1" applyFont="1" applyFill="1" applyBorder="1" applyAlignment="1"/>
    <xf numFmtId="0" fontId="77" fillId="37" borderId="79" xfId="0" applyFont="1" applyFill="1" applyBorder="1" applyAlignment="1"/>
    <xf numFmtId="0" fontId="77" fillId="37" borderId="80" xfId="0" applyFont="1" applyFill="1" applyBorder="1" applyAlignment="1"/>
    <xf numFmtId="0" fontId="77" fillId="37" borderId="173" xfId="0" applyFont="1" applyFill="1" applyBorder="1" applyAlignment="1"/>
    <xf numFmtId="0" fontId="77" fillId="37" borderId="174" xfId="0" applyFont="1" applyFill="1" applyBorder="1" applyAlignment="1"/>
    <xf numFmtId="0" fontId="77" fillId="37" borderId="176" xfId="0" applyFont="1" applyFill="1" applyBorder="1" applyAlignment="1"/>
    <xf numFmtId="0" fontId="77" fillId="37" borderId="177" xfId="0" applyFont="1" applyFill="1" applyBorder="1" applyAlignment="1"/>
    <xf numFmtId="0" fontId="75" fillId="37" borderId="92" xfId="0" applyFont="1" applyFill="1" applyBorder="1"/>
    <xf numFmtId="0" fontId="0" fillId="65" borderId="81" xfId="0" applyFill="1" applyBorder="1" applyAlignment="1">
      <alignment horizontal="centerContinuous" vertical="center" wrapText="1"/>
    </xf>
    <xf numFmtId="0" fontId="0" fillId="65" borderId="109" xfId="0" applyFill="1" applyBorder="1" applyAlignment="1">
      <alignment horizontal="centerContinuous" vertical="center" wrapText="1"/>
    </xf>
    <xf numFmtId="0" fontId="0" fillId="65" borderId="112" xfId="0" applyFill="1" applyBorder="1" applyAlignment="1">
      <alignment horizontal="centerContinuous" vertical="center" wrapText="1"/>
    </xf>
    <xf numFmtId="0" fontId="0" fillId="37" borderId="113" xfId="0" applyFill="1" applyBorder="1" applyAlignment="1">
      <alignment horizontal="centerContinuous" vertical="center" wrapText="1"/>
    </xf>
    <xf numFmtId="0" fontId="0" fillId="37" borderId="117" xfId="0" applyFill="1" applyBorder="1" applyAlignment="1">
      <alignment horizontal="centerContinuous" vertical="center" wrapText="1"/>
    </xf>
    <xf numFmtId="0" fontId="77" fillId="65" borderId="194" xfId="1" applyFont="1" applyFill="1" applyBorder="1" applyAlignment="1" applyProtection="1">
      <alignment horizontal="center" vertical="center" wrapText="1"/>
    </xf>
    <xf numFmtId="0" fontId="78" fillId="16" borderId="186" xfId="1" applyFont="1" applyFill="1" applyBorder="1" applyAlignment="1" applyProtection="1">
      <alignment horizontal="center" vertical="center" wrapText="1"/>
    </xf>
    <xf numFmtId="0" fontId="78" fillId="16" borderId="187" xfId="1" applyFont="1" applyFill="1" applyBorder="1" applyAlignment="1" applyProtection="1">
      <alignment horizontal="center" vertical="center" wrapText="1"/>
    </xf>
    <xf numFmtId="0" fontId="0" fillId="37" borderId="184" xfId="0" applyFill="1" applyBorder="1" applyAlignment="1">
      <alignment horizontal="center" vertical="center" wrapText="1"/>
    </xf>
    <xf numFmtId="0" fontId="0" fillId="37" borderId="188" xfId="0" applyFill="1" applyBorder="1" applyAlignment="1">
      <alignment horizontal="center" vertical="center" wrapText="1"/>
    </xf>
    <xf numFmtId="0" fontId="77" fillId="65" borderId="144" xfId="1" applyFont="1" applyFill="1" applyBorder="1" applyAlignment="1" applyProtection="1">
      <alignment horizontal="center" vertical="center" wrapText="1"/>
    </xf>
    <xf numFmtId="0" fontId="77" fillId="16" borderId="144" xfId="1" applyFont="1" applyFill="1" applyBorder="1" applyAlignment="1" applyProtection="1">
      <alignment horizontal="center" vertical="center" wrapText="1"/>
    </xf>
    <xf numFmtId="187" fontId="77" fillId="0" borderId="162" xfId="1" applyNumberFormat="1" applyFont="1" applyFill="1" applyBorder="1" applyAlignment="1" applyProtection="1"/>
    <xf numFmtId="185" fontId="0" fillId="7" borderId="163" xfId="0" applyNumberFormat="1" applyFill="1" applyBorder="1" applyAlignment="1">
      <alignment horizontal="center" vertical="center"/>
    </xf>
    <xf numFmtId="185" fontId="0" fillId="7" borderId="158" xfId="0" applyNumberFormat="1" applyFill="1" applyBorder="1" applyAlignment="1">
      <alignment horizontal="center" vertical="center"/>
    </xf>
    <xf numFmtId="185" fontId="0" fillId="7" borderId="159" xfId="0" applyNumberFormat="1" applyFill="1" applyBorder="1" applyAlignment="1">
      <alignment horizontal="center" vertical="center"/>
    </xf>
    <xf numFmtId="185" fontId="0" fillId="7" borderId="177" xfId="0" applyNumberFormat="1" applyFill="1" applyBorder="1" applyAlignment="1">
      <alignment horizontal="center" vertical="center"/>
    </xf>
    <xf numFmtId="187" fontId="0" fillId="0" borderId="195" xfId="0" applyNumberFormat="1" applyBorder="1"/>
    <xf numFmtId="185" fontId="0" fillId="7" borderId="160" xfId="0" applyNumberFormat="1" applyFill="1" applyBorder="1" applyAlignment="1">
      <alignment horizontal="center" vertical="center"/>
    </xf>
    <xf numFmtId="185" fontId="0" fillId="7" borderId="193" xfId="0" applyNumberFormat="1" applyFill="1" applyBorder="1" applyAlignment="1">
      <alignment horizontal="center" vertical="center"/>
    </xf>
    <xf numFmtId="187" fontId="77" fillId="0" borderId="172" xfId="1" applyNumberFormat="1" applyFont="1" applyFill="1" applyBorder="1" applyAlignment="1" applyProtection="1"/>
    <xf numFmtId="187" fontId="0" fillId="0" borderId="174" xfId="0" applyNumberFormat="1" applyBorder="1"/>
    <xf numFmtId="0" fontId="75" fillId="37" borderId="184" xfId="0" applyFont="1" applyFill="1" applyBorder="1"/>
    <xf numFmtId="0" fontId="0" fillId="37" borderId="134" xfId="0" applyFill="1" applyBorder="1"/>
    <xf numFmtId="0" fontId="0" fillId="37" borderId="196" xfId="0" applyFill="1" applyBorder="1"/>
    <xf numFmtId="0" fontId="75" fillId="67" borderId="197" xfId="0" applyFont="1" applyFill="1" applyBorder="1" applyAlignment="1">
      <alignment horizontal="right"/>
    </xf>
    <xf numFmtId="0" fontId="75" fillId="67" borderId="0" xfId="0" applyFont="1" applyFill="1" applyBorder="1"/>
    <xf numFmtId="0" fontId="0" fillId="67" borderId="0" xfId="0" applyFill="1" applyBorder="1"/>
    <xf numFmtId="0" fontId="0" fillId="67" borderId="198" xfId="0" applyFill="1" applyBorder="1"/>
    <xf numFmtId="0" fontId="75" fillId="65" borderId="106" xfId="0" applyFont="1" applyFill="1" applyBorder="1" applyAlignment="1">
      <alignment horizontal="centerContinuous" vertical="center"/>
    </xf>
    <xf numFmtId="0" fontId="75" fillId="65" borderId="107" xfId="0" applyFont="1" applyFill="1" applyBorder="1" applyAlignment="1">
      <alignment horizontal="centerContinuous" vertical="center"/>
    </xf>
    <xf numFmtId="0" fontId="75" fillId="16" borderId="199" xfId="0" applyFont="1" applyFill="1" applyBorder="1" applyAlignment="1">
      <alignment horizontal="centerContinuous" vertical="center"/>
    </xf>
    <xf numFmtId="0" fontId="75" fillId="16" borderId="107" xfId="0" applyFont="1" applyFill="1" applyBorder="1" applyAlignment="1">
      <alignment horizontal="centerContinuous" vertical="center"/>
    </xf>
    <xf numFmtId="0" fontId="75" fillId="37" borderId="106" xfId="0" applyFont="1" applyFill="1" applyBorder="1" applyAlignment="1">
      <alignment horizontal="centerContinuous" vertical="center"/>
    </xf>
    <xf numFmtId="0" fontId="75" fillId="37" borderId="107" xfId="0" applyFont="1" applyFill="1" applyBorder="1" applyAlignment="1">
      <alignment horizontal="centerContinuous" vertical="center"/>
    </xf>
    <xf numFmtId="0" fontId="75" fillId="37" borderId="106" xfId="0" applyFont="1" applyFill="1" applyBorder="1" applyAlignment="1">
      <alignment horizontal="centerContinuous" vertical="center" wrapText="1"/>
    </xf>
    <xf numFmtId="0" fontId="75" fillId="67" borderId="97" xfId="0" applyFont="1" applyFill="1" applyBorder="1" applyAlignment="1">
      <alignment vertical="center" wrapText="1"/>
    </xf>
    <xf numFmtId="0" fontId="0" fillId="67" borderId="97" xfId="0" applyFill="1" applyBorder="1" applyAlignment="1">
      <alignment vertical="center" wrapText="1"/>
    </xf>
    <xf numFmtId="0" fontId="75" fillId="37" borderId="97" xfId="0" applyFont="1" applyFill="1" applyBorder="1" applyAlignment="1">
      <alignment horizontal="center" vertical="center"/>
    </xf>
    <xf numFmtId="0" fontId="75" fillId="65" borderId="186" xfId="0" applyFont="1" applyFill="1" applyBorder="1" applyAlignment="1">
      <alignment horizontal="centerContinuous" vertical="center" wrapText="1"/>
    </xf>
    <xf numFmtId="0" fontId="75" fillId="65" borderId="200" xfId="0" applyFont="1" applyFill="1" applyBorder="1" applyAlignment="1">
      <alignment horizontal="centerContinuous" vertical="center" wrapText="1"/>
    </xf>
    <xf numFmtId="0" fontId="75" fillId="65" borderId="201" xfId="0" applyFont="1" applyFill="1" applyBorder="1" applyAlignment="1">
      <alignment horizontal="centerContinuous" vertical="center" wrapText="1"/>
    </xf>
    <xf numFmtId="0" fontId="75" fillId="65" borderId="97" xfId="0" applyFont="1" applyFill="1" applyBorder="1" applyAlignment="1">
      <alignment horizontal="center" vertical="center" wrapText="1"/>
    </xf>
    <xf numFmtId="0" fontId="75" fillId="16" borderId="97" xfId="0" applyFont="1" applyFill="1" applyBorder="1" applyAlignment="1">
      <alignment horizontal="center" vertical="center" wrapText="1"/>
    </xf>
    <xf numFmtId="0" fontId="75" fillId="16" borderId="97" xfId="1" applyFont="1" applyFill="1" applyBorder="1" applyAlignment="1" applyProtection="1">
      <alignment horizontal="center" vertical="center" wrapText="1"/>
    </xf>
    <xf numFmtId="0" fontId="75" fillId="16" borderId="186" xfId="0" applyFont="1" applyFill="1" applyBorder="1" applyAlignment="1">
      <alignment horizontal="center" vertical="center" wrapText="1"/>
    </xf>
    <xf numFmtId="0" fontId="75" fillId="37" borderId="197" xfId="0" applyFont="1" applyFill="1" applyBorder="1" applyAlignment="1">
      <alignment horizontal="centerContinuous" vertical="center" wrapText="1"/>
    </xf>
    <xf numFmtId="0" fontId="75" fillId="37" borderId="202" xfId="0" applyFont="1" applyFill="1" applyBorder="1" applyAlignment="1">
      <alignment horizontal="centerContinuous" vertical="center" wrapText="1"/>
    </xf>
    <xf numFmtId="0" fontId="75" fillId="37" borderId="186" xfId="0" applyFont="1" applyFill="1" applyBorder="1" applyAlignment="1">
      <alignment horizontal="centerContinuous" vertical="center" wrapText="1"/>
    </xf>
    <xf numFmtId="0" fontId="75" fillId="37" borderId="200" xfId="0" applyFont="1" applyFill="1" applyBorder="1" applyAlignment="1">
      <alignment horizontal="centerContinuous" vertical="center" wrapText="1"/>
    </xf>
    <xf numFmtId="0" fontId="75" fillId="37" borderId="97" xfId="0" applyFont="1" applyFill="1" applyBorder="1" applyAlignment="1">
      <alignment horizontal="center" vertical="center" wrapText="1"/>
    </xf>
    <xf numFmtId="0" fontId="75" fillId="37" borderId="197" xfId="0" applyFont="1" applyFill="1" applyBorder="1" applyAlignment="1">
      <alignment horizontal="center" vertical="center" wrapText="1"/>
    </xf>
    <xf numFmtId="0" fontId="75" fillId="37" borderId="178" xfId="0" applyFont="1" applyFill="1" applyBorder="1" applyAlignment="1">
      <alignment horizontal="center" vertical="center" wrapText="1"/>
    </xf>
    <xf numFmtId="0" fontId="75" fillId="37" borderId="180" xfId="0" applyFont="1" applyFill="1" applyBorder="1" applyAlignment="1">
      <alignment horizontal="center" vertical="center" wrapText="1"/>
    </xf>
    <xf numFmtId="0" fontId="75" fillId="65" borderId="90" xfId="0" applyFont="1" applyFill="1" applyBorder="1" applyAlignment="1">
      <alignment horizontal="center" vertical="center" wrapText="1"/>
    </xf>
    <xf numFmtId="0" fontId="75" fillId="16" borderId="90" xfId="0" applyFont="1" applyFill="1" applyBorder="1" applyAlignment="1">
      <alignment horizontal="center" vertical="center" wrapText="1"/>
    </xf>
    <xf numFmtId="0" fontId="75" fillId="37" borderId="90" xfId="0" applyFont="1" applyFill="1" applyBorder="1" applyAlignment="1">
      <alignment horizontal="center" vertical="center" wrapText="1"/>
    </xf>
    <xf numFmtId="0" fontId="75" fillId="66" borderId="90" xfId="0" applyFont="1" applyFill="1" applyBorder="1" applyAlignment="1">
      <alignment horizontal="center" vertical="center" wrapText="1"/>
    </xf>
    <xf numFmtId="0" fontId="0" fillId="65" borderId="145" xfId="0" applyFill="1" applyBorder="1" applyAlignment="1">
      <alignment horizontal="center" vertical="center" wrapText="1"/>
    </xf>
    <xf numFmtId="0" fontId="0" fillId="16" borderId="145" xfId="0" applyFill="1" applyBorder="1" applyAlignment="1">
      <alignment horizontal="center" vertical="center" wrapText="1"/>
    </xf>
    <xf numFmtId="0" fontId="0" fillId="16" borderId="142" xfId="0" applyFill="1" applyBorder="1" applyAlignment="1">
      <alignment horizontal="center" vertical="center" wrapText="1"/>
    </xf>
    <xf numFmtId="0" fontId="77" fillId="37" borderId="203" xfId="0" applyFont="1" applyFill="1" applyBorder="1" applyAlignment="1">
      <alignment horizontal="center" vertical="center" wrapText="1"/>
    </xf>
    <xf numFmtId="0" fontId="0" fillId="37" borderId="145" xfId="0" applyFill="1" applyBorder="1" applyAlignment="1">
      <alignment horizontal="center" vertical="center" wrapText="1"/>
    </xf>
    <xf numFmtId="0" fontId="0" fillId="37" borderId="203" xfId="0" applyFill="1" applyBorder="1" applyAlignment="1">
      <alignment horizontal="center" vertical="center" wrapText="1"/>
    </xf>
    <xf numFmtId="0" fontId="0" fillId="37" borderId="142" xfId="0" applyFill="1" applyBorder="1" applyAlignment="1">
      <alignment horizontal="center" vertical="center" wrapText="1"/>
    </xf>
    <xf numFmtId="0" fontId="0" fillId="37" borderId="189" xfId="0" applyFill="1" applyBorder="1" applyAlignment="1">
      <alignment horizontal="center" vertical="center" wrapText="1"/>
    </xf>
    <xf numFmtId="0" fontId="0" fillId="66" borderId="145" xfId="0" applyFill="1" applyBorder="1" applyAlignment="1">
      <alignment horizontal="center" vertical="center" wrapText="1"/>
    </xf>
    <xf numFmtId="0" fontId="75" fillId="37" borderId="114" xfId="255" applyFont="1" applyFill="1" applyBorder="1" applyAlignment="1">
      <alignment horizontal="center" vertical="center" wrapText="1"/>
    </xf>
    <xf numFmtId="187" fontId="0" fillId="0" borderId="204" xfId="0" applyNumberFormat="1" applyBorder="1"/>
    <xf numFmtId="187" fontId="0" fillId="0" borderId="205" xfId="0" applyNumberFormat="1" applyBorder="1"/>
    <xf numFmtId="187" fontId="0" fillId="0" borderId="206" xfId="0" applyNumberFormat="1" applyBorder="1"/>
    <xf numFmtId="187" fontId="0" fillId="0" borderId="207" xfId="0" applyNumberFormat="1" applyBorder="1"/>
    <xf numFmtId="187" fontId="0" fillId="0" borderId="208" xfId="0" applyNumberFormat="1" applyBorder="1"/>
    <xf numFmtId="187" fontId="0" fillId="0" borderId="209" xfId="0" applyNumberFormat="1" applyBorder="1"/>
    <xf numFmtId="187" fontId="0" fillId="0" borderId="210" xfId="0" applyNumberFormat="1" applyBorder="1"/>
    <xf numFmtId="187" fontId="0" fillId="0" borderId="211" xfId="0" applyNumberFormat="1" applyBorder="1"/>
    <xf numFmtId="187" fontId="0" fillId="0" borderId="150" xfId="0" applyNumberFormat="1" applyBorder="1"/>
    <xf numFmtId="187" fontId="0" fillId="0" borderId="166" xfId="0" applyNumberFormat="1" applyBorder="1"/>
    <xf numFmtId="187" fontId="0" fillId="0" borderId="169" xfId="0" applyNumberFormat="1" applyBorder="1"/>
    <xf numFmtId="187" fontId="0" fillId="0" borderId="170" xfId="0" applyNumberFormat="1" applyBorder="1"/>
    <xf numFmtId="187" fontId="0" fillId="0" borderId="168" xfId="0" applyNumberFormat="1" applyBorder="1"/>
    <xf numFmtId="187" fontId="0" fillId="0" borderId="172" xfId="0" applyNumberFormat="1" applyBorder="1"/>
    <xf numFmtId="3" fontId="0" fillId="20" borderId="212" xfId="0" applyNumberFormat="1" applyFill="1" applyBorder="1" applyAlignment="1">
      <alignment horizontal="center" vertical="center"/>
    </xf>
    <xf numFmtId="0" fontId="2" fillId="20" borderId="213" xfId="0" applyFont="1" applyFill="1" applyBorder="1" applyAlignment="1">
      <alignment horizontal="center" vertical="center" wrapText="1"/>
    </xf>
    <xf numFmtId="3" fontId="2" fillId="36" borderId="212" xfId="0" applyNumberFormat="1" applyFont="1" applyFill="1" applyBorder="1" applyAlignment="1">
      <alignment horizontal="center"/>
    </xf>
    <xf numFmtId="0" fontId="3" fillId="3" borderId="213" xfId="0" applyFont="1" applyFill="1" applyBorder="1" applyAlignment="1">
      <alignment horizontal="center"/>
    </xf>
    <xf numFmtId="0" fontId="3" fillId="3" borderId="5" xfId="0" applyFont="1" applyFill="1" applyBorder="1"/>
    <xf numFmtId="0" fontId="3" fillId="3" borderId="6" xfId="0" applyFont="1" applyFill="1" applyBorder="1"/>
    <xf numFmtId="0" fontId="0" fillId="0" borderId="0" xfId="0" applyAlignment="1">
      <alignment horizontal="left" vertical="center"/>
    </xf>
    <xf numFmtId="3" fontId="0" fillId="6" borderId="212" xfId="0" applyNumberFormat="1" applyFill="1" applyBorder="1" applyAlignment="1">
      <alignment horizontal="center" vertical="center"/>
    </xf>
    <xf numFmtId="3" fontId="0" fillId="4" borderId="212" xfId="0" applyNumberFormat="1" applyFill="1" applyBorder="1" applyAlignment="1">
      <alignment horizontal="center" vertical="center"/>
    </xf>
    <xf numFmtId="3" fontId="74" fillId="25" borderId="212" xfId="0" applyNumberFormat="1" applyFont="1" applyFill="1" applyBorder="1" applyAlignment="1">
      <alignment horizontal="center" vertical="center"/>
    </xf>
    <xf numFmtId="0" fontId="3" fillId="0" borderId="0" xfId="0" applyFont="1" applyFill="1" applyBorder="1" applyAlignment="1">
      <alignment horizontal="center"/>
    </xf>
    <xf numFmtId="0" fontId="3" fillId="3" borderId="0" xfId="0" applyFont="1" applyFill="1" applyBorder="1" applyAlignment="1">
      <alignment horizontal="center"/>
    </xf>
    <xf numFmtId="3" fontId="0" fillId="3" borderId="0" xfId="0" applyNumberFormat="1" applyFill="1" applyAlignment="1">
      <alignment horizontal="center"/>
    </xf>
    <xf numFmtId="3" fontId="0" fillId="3" borderId="0" xfId="0" applyNumberFormat="1" applyFill="1"/>
    <xf numFmtId="0" fontId="3" fillId="2" borderId="68" xfId="0" applyFont="1" applyFill="1" applyBorder="1" applyAlignment="1">
      <alignment horizontal="center"/>
    </xf>
    <xf numFmtId="0" fontId="3" fillId="2" borderId="220" xfId="0" applyFont="1" applyFill="1" applyBorder="1" applyAlignment="1">
      <alignment horizontal="center"/>
    </xf>
    <xf numFmtId="3" fontId="0" fillId="3" borderId="212" xfId="0" applyNumberFormat="1" applyFill="1" applyBorder="1" applyAlignment="1">
      <alignment horizontal="center"/>
    </xf>
    <xf numFmtId="0" fontId="0" fillId="3" borderId="212" xfId="0" applyFill="1" applyBorder="1" applyAlignment="1">
      <alignment horizontal="center"/>
    </xf>
    <xf numFmtId="3" fontId="0" fillId="36" borderId="212" xfId="0" applyNumberFormat="1" applyFill="1" applyBorder="1" applyAlignment="1">
      <alignment horizontal="center"/>
    </xf>
    <xf numFmtId="0" fontId="0" fillId="36" borderId="212" xfId="0" applyFill="1" applyBorder="1" applyAlignment="1">
      <alignment horizontal="center"/>
    </xf>
    <xf numFmtId="3" fontId="0" fillId="3" borderId="221" xfId="0" applyNumberFormat="1" applyFill="1" applyBorder="1" applyAlignment="1">
      <alignment horizontal="center" wrapText="1"/>
    </xf>
    <xf numFmtId="0" fontId="0" fillId="3" borderId="221" xfId="0" applyFill="1" applyBorder="1" applyAlignment="1">
      <alignment horizontal="center"/>
    </xf>
    <xf numFmtId="0" fontId="3" fillId="2" borderId="222" xfId="0" applyFont="1" applyFill="1" applyBorder="1" applyAlignment="1">
      <alignment horizontal="center" vertical="center" wrapText="1"/>
    </xf>
    <xf numFmtId="3" fontId="3" fillId="2" borderId="223" xfId="0" applyNumberFormat="1" applyFont="1" applyFill="1" applyBorder="1" applyAlignment="1">
      <alignment horizontal="center" vertical="center" wrapText="1"/>
    </xf>
    <xf numFmtId="3" fontId="3" fillId="2" borderId="76" xfId="0" applyNumberFormat="1" applyFont="1" applyFill="1" applyBorder="1" applyAlignment="1">
      <alignment horizontal="center" vertical="center" wrapText="1"/>
    </xf>
    <xf numFmtId="0" fontId="3" fillId="2" borderId="224" xfId="0" applyFont="1" applyFill="1" applyBorder="1" applyAlignment="1">
      <alignment horizontal="center" vertical="center"/>
    </xf>
    <xf numFmtId="0" fontId="4" fillId="5" borderId="213" xfId="1" applyFill="1" applyBorder="1" applyAlignment="1" applyProtection="1">
      <alignment horizontal="center" vertical="center"/>
    </xf>
    <xf numFmtId="0" fontId="3" fillId="2" borderId="224" xfId="0" applyFont="1" applyFill="1" applyBorder="1" applyAlignment="1">
      <alignment horizontal="center" vertical="center" wrapText="1"/>
    </xf>
    <xf numFmtId="0" fontId="3" fillId="2" borderId="229" xfId="0" applyFont="1" applyFill="1" applyBorder="1" applyAlignment="1">
      <alignment horizontal="center" vertical="center"/>
    </xf>
    <xf numFmtId="0" fontId="3" fillId="2" borderId="222" xfId="0" applyFont="1" applyFill="1" applyBorder="1" applyAlignment="1">
      <alignment horizontal="center" vertical="center"/>
    </xf>
    <xf numFmtId="0" fontId="0" fillId="25" borderId="212" xfId="0" applyFill="1" applyBorder="1" applyAlignment="1">
      <alignment vertical="center"/>
    </xf>
    <xf numFmtId="0" fontId="0" fillId="0" borderId="212" xfId="0" applyBorder="1" applyAlignment="1">
      <alignment vertical="center"/>
    </xf>
    <xf numFmtId="0" fontId="0" fillId="26" borderId="212" xfId="0" applyFill="1" applyBorder="1" applyAlignment="1">
      <alignment vertical="center"/>
    </xf>
    <xf numFmtId="0" fontId="0" fillId="27" borderId="212" xfId="0" applyFill="1" applyBorder="1" applyAlignment="1">
      <alignment vertical="center"/>
    </xf>
    <xf numFmtId="0" fontId="0" fillId="11" borderId="212" xfId="0" applyFill="1" applyBorder="1" applyAlignment="1">
      <alignment vertical="center"/>
    </xf>
    <xf numFmtId="0" fontId="0" fillId="28" borderId="212" xfId="0" applyFill="1" applyBorder="1" applyAlignment="1">
      <alignment vertical="center"/>
    </xf>
    <xf numFmtId="0" fontId="0" fillId="29" borderId="212" xfId="0" applyFill="1" applyBorder="1" applyAlignment="1">
      <alignment vertical="center"/>
    </xf>
    <xf numFmtId="0" fontId="0" fillId="9" borderId="212" xfId="0" applyFill="1" applyBorder="1" applyAlignment="1">
      <alignment vertical="center"/>
    </xf>
    <xf numFmtId="0" fontId="0" fillId="22" borderId="212" xfId="0" applyFill="1" applyBorder="1" applyAlignment="1">
      <alignment vertical="center"/>
    </xf>
    <xf numFmtId="0" fontId="0" fillId="23" borderId="212" xfId="0" applyFill="1" applyBorder="1" applyAlignment="1">
      <alignment vertical="center"/>
    </xf>
    <xf numFmtId="0" fontId="0" fillId="24" borderId="212" xfId="0" applyFill="1" applyBorder="1" applyAlignment="1">
      <alignment vertical="center"/>
    </xf>
    <xf numFmtId="0" fontId="0" fillId="30" borderId="212" xfId="0" applyFill="1" applyBorder="1" applyAlignment="1">
      <alignment vertical="center"/>
    </xf>
    <xf numFmtId="0" fontId="0" fillId="6" borderId="212" xfId="0" applyFill="1" applyBorder="1" applyAlignment="1">
      <alignment vertical="center"/>
    </xf>
    <xf numFmtId="0" fontId="0" fillId="20" borderId="212" xfId="0" applyFill="1" applyBorder="1" applyAlignment="1">
      <alignment vertical="center" wrapText="1"/>
    </xf>
    <xf numFmtId="0" fontId="4" fillId="23" borderId="3" xfId="1" applyFill="1" applyBorder="1" applyAlignment="1" applyProtection="1">
      <alignment horizontal="center" vertical="center"/>
    </xf>
    <xf numFmtId="0" fontId="2" fillId="0" borderId="0" xfId="0" applyFont="1" applyFill="1" applyAlignment="1">
      <alignment horizontal="right"/>
    </xf>
    <xf numFmtId="0" fontId="0" fillId="0" borderId="0" xfId="0" applyAlignment="1">
      <alignment horizontal="center" wrapText="1"/>
    </xf>
    <xf numFmtId="0" fontId="0" fillId="0" borderId="212" xfId="0" applyBorder="1"/>
    <xf numFmtId="0" fontId="0" fillId="0" borderId="212" xfId="0" applyBorder="1" applyAlignment="1">
      <alignment horizontal="center"/>
    </xf>
    <xf numFmtId="3" fontId="0" fillId="3" borderId="6" xfId="0" applyNumberFormat="1" applyFill="1" applyBorder="1" applyAlignment="1">
      <alignment horizontal="center"/>
    </xf>
    <xf numFmtId="6" fontId="0" fillId="5" borderId="221" xfId="0" applyNumberFormat="1" applyFill="1" applyBorder="1" applyAlignment="1">
      <alignment horizontal="center"/>
    </xf>
    <xf numFmtId="0" fontId="64" fillId="0" borderId="0" xfId="0" applyFont="1" applyBorder="1" applyAlignment="1">
      <alignment horizontal="center" vertical="center" wrapText="1"/>
    </xf>
    <xf numFmtId="0" fontId="0" fillId="0" borderId="0" xfId="0" applyBorder="1" applyAlignment="1">
      <alignment horizontal="center" wrapText="1"/>
    </xf>
    <xf numFmtId="20" fontId="0" fillId="0" borderId="0" xfId="0" quotePrefix="1" applyNumberFormat="1" applyBorder="1" applyAlignment="1">
      <alignment wrapText="1"/>
    </xf>
    <xf numFmtId="0" fontId="0" fillId="0" borderId="0" xfId="0" applyBorder="1" applyAlignment="1">
      <alignment wrapText="1"/>
    </xf>
    <xf numFmtId="1" fontId="0" fillId="0" borderId="0" xfId="0" applyNumberFormat="1" applyFill="1" applyAlignment="1">
      <alignment horizontal="left"/>
    </xf>
    <xf numFmtId="0" fontId="0" fillId="0" borderId="0" xfId="0" applyAlignment="1">
      <alignment horizontal="center" wrapText="1"/>
    </xf>
    <xf numFmtId="0" fontId="3" fillId="2" borderId="219" xfId="0" applyFont="1" applyFill="1" applyBorder="1" applyAlignment="1">
      <alignment horizontal="center" vertical="center" wrapText="1"/>
    </xf>
    <xf numFmtId="0" fontId="0" fillId="0" borderId="0" xfId="0" applyFill="1" applyBorder="1"/>
    <xf numFmtId="0" fontId="0" fillId="3" borderId="0" xfId="137" applyNumberFormat="1" applyFont="1" applyFill="1"/>
    <xf numFmtId="0" fontId="0" fillId="3" borderId="0" xfId="137" applyNumberFormat="1" applyFont="1" applyFill="1" applyAlignment="1">
      <alignment horizontal="center"/>
    </xf>
    <xf numFmtId="0" fontId="0" fillId="0" borderId="0" xfId="137" applyNumberFormat="1" applyFont="1"/>
    <xf numFmtId="0" fontId="0" fillId="0" borderId="0" xfId="137" applyNumberFormat="1" applyFont="1" applyBorder="1"/>
    <xf numFmtId="3" fontId="0" fillId="0" borderId="0" xfId="137" applyNumberFormat="1" applyFont="1"/>
    <xf numFmtId="0" fontId="0" fillId="0" borderId="0" xfId="137" applyNumberFormat="1" applyFont="1" applyAlignment="1">
      <alignment horizontal="center"/>
    </xf>
    <xf numFmtId="0" fontId="0" fillId="6" borderId="62" xfId="137" applyNumberFormat="1" applyFont="1" applyFill="1" applyBorder="1" applyAlignment="1">
      <alignment horizontal="center"/>
    </xf>
    <xf numFmtId="0" fontId="0" fillId="6" borderId="0" xfId="137" applyNumberFormat="1" applyFont="1" applyFill="1" applyBorder="1" applyAlignment="1">
      <alignment horizontal="center"/>
    </xf>
    <xf numFmtId="3" fontId="0" fillId="0" borderId="0" xfId="137" applyNumberFormat="1" applyFont="1" applyAlignment="1">
      <alignment horizontal="center"/>
    </xf>
    <xf numFmtId="0" fontId="0" fillId="6" borderId="62" xfId="137" applyNumberFormat="1" applyFont="1" applyFill="1" applyBorder="1"/>
    <xf numFmtId="0" fontId="1" fillId="2" borderId="231" xfId="137" applyNumberFormat="1" applyFont="1" applyFill="1" applyBorder="1" applyAlignment="1">
      <alignment horizontal="center" vertical="center" wrapText="1"/>
    </xf>
    <xf numFmtId="0" fontId="0" fillId="0" borderId="0" xfId="137" applyNumberFormat="1" applyFont="1" applyBorder="1" applyAlignment="1">
      <alignment horizontal="center" vertical="center" wrapText="1"/>
    </xf>
    <xf numFmtId="0" fontId="1" fillId="2" borderId="16" xfId="137" applyNumberFormat="1" applyFont="1" applyFill="1" applyBorder="1" applyAlignment="1">
      <alignment horizontal="center" vertical="center" wrapText="1"/>
    </xf>
    <xf numFmtId="0" fontId="1" fillId="2" borderId="18" xfId="137" applyNumberFormat="1" applyFont="1" applyFill="1" applyBorder="1" applyAlignment="1">
      <alignment horizontal="center" vertical="center" wrapText="1"/>
    </xf>
    <xf numFmtId="0" fontId="1" fillId="2" borderId="232" xfId="137" applyNumberFormat="1" applyFont="1" applyFill="1" applyBorder="1" applyAlignment="1">
      <alignment horizontal="center" vertical="center" wrapText="1"/>
    </xf>
    <xf numFmtId="0" fontId="82" fillId="17" borderId="233" xfId="137" applyNumberFormat="1" applyFont="1" applyFill="1" applyBorder="1" applyAlignment="1">
      <alignment horizontal="center" vertical="center" wrapText="1"/>
    </xf>
    <xf numFmtId="0" fontId="1" fillId="2" borderId="234" xfId="137" applyNumberFormat="1" applyFont="1" applyFill="1" applyBorder="1" applyAlignment="1">
      <alignment horizontal="center" vertical="center" wrapText="1"/>
    </xf>
    <xf numFmtId="0" fontId="82" fillId="17" borderId="235" xfId="137" applyNumberFormat="1" applyFont="1" applyFill="1" applyBorder="1" applyAlignment="1">
      <alignment horizontal="center" vertical="center" wrapText="1"/>
    </xf>
    <xf numFmtId="0" fontId="82" fillId="17" borderId="0" xfId="137" applyNumberFormat="1" applyFont="1" applyFill="1" applyBorder="1" applyAlignment="1">
      <alignment horizontal="center" vertical="center" wrapText="1"/>
    </xf>
    <xf numFmtId="3" fontId="82" fillId="17" borderId="0" xfId="137" applyNumberFormat="1" applyFont="1" applyFill="1" applyBorder="1" applyAlignment="1">
      <alignment horizontal="center" vertical="center" wrapText="1"/>
    </xf>
    <xf numFmtId="0" fontId="0" fillId="0" borderId="212" xfId="137" applyNumberFormat="1" applyFont="1" applyBorder="1"/>
    <xf numFmtId="0" fontId="0" fillId="0" borderId="212" xfId="137" applyNumberFormat="1" applyFont="1" applyBorder="1" applyAlignment="1">
      <alignment horizontal="center"/>
    </xf>
    <xf numFmtId="3" fontId="0" fillId="0" borderId="212" xfId="137" applyNumberFormat="1" applyFont="1" applyBorder="1" applyAlignment="1">
      <alignment horizontal="center"/>
    </xf>
    <xf numFmtId="3" fontId="0" fillId="0" borderId="0" xfId="137" applyNumberFormat="1" applyFont="1" applyBorder="1" applyAlignment="1">
      <alignment horizontal="center"/>
    </xf>
    <xf numFmtId="6" fontId="0" fillId="0" borderId="212" xfId="137" applyNumberFormat="1" applyFont="1" applyBorder="1" applyAlignment="1">
      <alignment horizontal="center"/>
    </xf>
    <xf numFmtId="6" fontId="0" fillId="0" borderId="0" xfId="137" applyNumberFormat="1" applyFont="1"/>
    <xf numFmtId="0" fontId="2" fillId="3" borderId="0" xfId="137" applyNumberFormat="1" applyFont="1" applyFill="1"/>
    <xf numFmtId="0" fontId="2" fillId="3" borderId="212" xfId="137" applyNumberFormat="1" applyFont="1" applyFill="1" applyBorder="1"/>
    <xf numFmtId="0" fontId="0" fillId="3" borderId="212" xfId="137" applyNumberFormat="1" applyFont="1" applyFill="1" applyBorder="1"/>
    <xf numFmtId="0" fontId="0" fillId="6" borderId="212" xfId="137" applyNumberFormat="1" applyFont="1" applyFill="1" applyBorder="1" applyAlignment="1">
      <alignment horizontal="center"/>
    </xf>
    <xf numFmtId="9" fontId="0" fillId="6" borderId="212" xfId="137" applyNumberFormat="1" applyFont="1" applyFill="1" applyBorder="1" applyAlignment="1">
      <alignment horizontal="center"/>
    </xf>
    <xf numFmtId="6" fontId="0" fillId="6" borderId="212" xfId="137" applyNumberFormat="1" applyFont="1" applyFill="1" applyBorder="1" applyAlignment="1">
      <alignment horizontal="center"/>
    </xf>
    <xf numFmtId="3" fontId="0" fillId="6" borderId="212" xfId="137" applyNumberFormat="1" applyFont="1" applyFill="1" applyBorder="1" applyAlignment="1">
      <alignment horizontal="center"/>
    </xf>
    <xf numFmtId="6" fontId="0" fillId="11" borderId="212" xfId="137" applyNumberFormat="1" applyFont="1" applyFill="1" applyBorder="1" applyAlignment="1">
      <alignment horizontal="center"/>
    </xf>
    <xf numFmtId="0" fontId="0" fillId="3" borderId="212" xfId="137" applyNumberFormat="1" applyFont="1" applyFill="1" applyBorder="1" applyAlignment="1">
      <alignment horizontal="center"/>
    </xf>
    <xf numFmtId="0" fontId="0" fillId="3" borderId="212" xfId="137" applyNumberFormat="1" applyFont="1" applyFill="1" applyBorder="1" applyAlignment="1">
      <alignment horizontal="left"/>
    </xf>
    <xf numFmtId="9" fontId="0" fillId="3" borderId="0" xfId="137" applyNumberFormat="1" applyFont="1" applyFill="1"/>
    <xf numFmtId="188" fontId="0" fillId="6" borderId="212" xfId="137" applyNumberFormat="1" applyFont="1" applyFill="1" applyBorder="1" applyAlignment="1">
      <alignment horizontal="center"/>
    </xf>
    <xf numFmtId="3" fontId="0" fillId="11" borderId="212" xfId="137" applyNumberFormat="1" applyFont="1" applyFill="1" applyBorder="1" applyAlignment="1">
      <alignment horizontal="center"/>
    </xf>
    <xf numFmtId="184" fontId="0" fillId="11" borderId="212" xfId="137" applyNumberFormat="1" applyFont="1" applyFill="1" applyBorder="1" applyAlignment="1">
      <alignment horizontal="center"/>
    </xf>
    <xf numFmtId="0" fontId="0" fillId="11" borderId="212" xfId="137" applyNumberFormat="1" applyFont="1" applyFill="1" applyBorder="1" applyAlignment="1">
      <alignment horizontal="center"/>
    </xf>
    <xf numFmtId="0" fontId="0" fillId="3" borderId="0" xfId="137" applyNumberFormat="1" applyFont="1" applyFill="1" applyAlignment="1">
      <alignment horizontal="left"/>
    </xf>
    <xf numFmtId="6" fontId="0" fillId="0" borderId="212" xfId="0" applyNumberFormat="1" applyBorder="1"/>
    <xf numFmtId="1" fontId="63" fillId="2" borderId="236" xfId="0" applyNumberFormat="1" applyFont="1" applyFill="1" applyBorder="1" applyAlignment="1">
      <alignment horizontal="center" vertical="center" wrapText="1"/>
    </xf>
    <xf numFmtId="1" fontId="63" fillId="2" borderId="237" xfId="0" applyNumberFormat="1" applyFont="1" applyFill="1" applyBorder="1" applyAlignment="1">
      <alignment horizontal="center" vertical="center" wrapText="1"/>
    </xf>
    <xf numFmtId="1" fontId="3" fillId="2" borderId="15" xfId="0" applyNumberFormat="1" applyFont="1" applyFill="1" applyBorder="1" applyAlignment="1">
      <alignment horizontal="center"/>
    </xf>
    <xf numFmtId="0" fontId="84" fillId="0" borderId="242" xfId="0" applyFont="1" applyBorder="1"/>
    <xf numFmtId="0" fontId="0" fillId="0" borderId="243" xfId="0" applyBorder="1" applyAlignment="1">
      <alignment horizontal="center"/>
    </xf>
    <xf numFmtId="0" fontId="0" fillId="0" borderId="243" xfId="0" applyBorder="1"/>
    <xf numFmtId="0" fontId="0" fillId="0" borderId="238" xfId="0" applyBorder="1"/>
    <xf numFmtId="0" fontId="0" fillId="0" borderId="1" xfId="0" applyBorder="1"/>
    <xf numFmtId="6" fontId="0" fillId="0" borderId="0" xfId="0" applyNumberFormat="1" applyBorder="1"/>
    <xf numFmtId="0" fontId="0" fillId="0" borderId="27" xfId="0" applyBorder="1"/>
    <xf numFmtId="0" fontId="0" fillId="0" borderId="232" xfId="0" applyBorder="1"/>
    <xf numFmtId="0" fontId="0" fillId="0" borderId="244" xfId="0" applyBorder="1"/>
    <xf numFmtId="6" fontId="0" fillId="0" borderId="244" xfId="0" applyNumberFormat="1" applyBorder="1"/>
    <xf numFmtId="0" fontId="0" fillId="0" borderId="245" xfId="0" applyBorder="1"/>
    <xf numFmtId="0" fontId="31" fillId="0" borderId="0" xfId="1" applyFont="1" applyFill="1" applyAlignment="1" applyProtection="1">
      <alignment horizontal="left"/>
    </xf>
    <xf numFmtId="170" fontId="0" fillId="0" borderId="0" xfId="4" applyNumberFormat="1" applyFont="1"/>
    <xf numFmtId="0" fontId="34" fillId="10" borderId="241" xfId="0" applyFont="1" applyFill="1" applyBorder="1" applyAlignment="1">
      <alignment horizontal="center" vertical="center"/>
    </xf>
    <xf numFmtId="170" fontId="34" fillId="10" borderId="241" xfId="4" applyNumberFormat="1" applyFont="1" applyFill="1" applyBorder="1" applyAlignment="1">
      <alignment horizontal="center" vertical="center"/>
    </xf>
    <xf numFmtId="0" fontId="85" fillId="0" borderId="246" xfId="0" applyFont="1" applyBorder="1" applyAlignment="1">
      <alignment horizontal="center" vertical="top" wrapText="1"/>
    </xf>
    <xf numFmtId="0" fontId="85" fillId="0" borderId="247" xfId="0" applyFont="1" applyBorder="1" applyAlignment="1">
      <alignment horizontal="center" vertical="top" wrapText="1"/>
    </xf>
    <xf numFmtId="0" fontId="86" fillId="0" borderId="248" xfId="0" applyFont="1" applyBorder="1" applyAlignment="1">
      <alignment horizontal="left" vertical="top" wrapText="1" indent="1"/>
    </xf>
    <xf numFmtId="0" fontId="86" fillId="0" borderId="249" xfId="0" applyFont="1" applyBorder="1" applyAlignment="1">
      <alignment horizontal="left" vertical="top" wrapText="1" indent="1"/>
    </xf>
    <xf numFmtId="0" fontId="86" fillId="0" borderId="0" xfId="0" applyFont="1"/>
    <xf numFmtId="0" fontId="86" fillId="0" borderId="0" xfId="0" applyFont="1" applyAlignment="1">
      <alignment horizontal="left" indent="1"/>
    </xf>
    <xf numFmtId="189" fontId="0" fillId="21" borderId="62" xfId="0" applyNumberFormat="1" applyFill="1" applyBorder="1" applyAlignment="1">
      <alignment horizontal="center"/>
    </xf>
    <xf numFmtId="44" fontId="0" fillId="68" borderId="241" xfId="251" applyFont="1" applyFill="1" applyBorder="1"/>
    <xf numFmtId="0" fontId="0" fillId="68" borderId="241" xfId="0" applyFill="1" applyBorder="1" applyAlignment="1">
      <alignment horizontal="center"/>
    </xf>
    <xf numFmtId="3" fontId="0" fillId="68" borderId="241" xfId="0" applyNumberFormat="1" applyFill="1" applyBorder="1"/>
    <xf numFmtId="165" fontId="0" fillId="0" borderId="1" xfId="251" applyNumberFormat="1" applyFont="1" applyBorder="1"/>
    <xf numFmtId="0" fontId="0" fillId="68" borderId="241" xfId="0" applyFill="1" applyBorder="1"/>
    <xf numFmtId="170" fontId="0" fillId="68" borderId="241" xfId="4" applyNumberFormat="1" applyFont="1" applyFill="1" applyBorder="1"/>
    <xf numFmtId="165" fontId="0" fillId="68" borderId="241" xfId="251" applyNumberFormat="1" applyFont="1" applyFill="1" applyBorder="1"/>
    <xf numFmtId="44" fontId="0" fillId="68" borderId="241" xfId="251" applyNumberFormat="1" applyFont="1" applyFill="1" applyBorder="1"/>
    <xf numFmtId="3" fontId="0" fillId="5" borderId="241" xfId="0" quotePrefix="1" applyNumberFormat="1" applyFill="1" applyBorder="1" applyAlignment="1">
      <alignment horizontal="center"/>
    </xf>
    <xf numFmtId="1" fontId="0" fillId="0" borderId="0" xfId="0" applyNumberFormat="1" applyFill="1" applyAlignment="1">
      <alignment horizontal="left"/>
    </xf>
    <xf numFmtId="1" fontId="0" fillId="0" borderId="0" xfId="0" applyNumberFormat="1" applyFill="1" applyAlignment="1">
      <alignment horizontal="left"/>
    </xf>
    <xf numFmtId="0" fontId="74" fillId="0" borderId="1" xfId="0" applyFont="1" applyBorder="1"/>
    <xf numFmtId="1" fontId="0" fillId="0" borderId="0" xfId="0" applyNumberFormat="1" applyFill="1" applyAlignment="1">
      <alignment horizontal="left"/>
    </xf>
    <xf numFmtId="0" fontId="0" fillId="0" borderId="0" xfId="0" applyAlignment="1">
      <alignment horizontal="center" wrapText="1"/>
    </xf>
    <xf numFmtId="4" fontId="0" fillId="68" borderId="241" xfId="0" applyNumberFormat="1" applyFill="1" applyBorder="1"/>
    <xf numFmtId="165" fontId="0" fillId="0" borderId="6" xfId="0" applyNumberFormat="1" applyFill="1" applyBorder="1" applyAlignment="1">
      <alignment horizontal="center"/>
    </xf>
    <xf numFmtId="8" fontId="0" fillId="0" borderId="0" xfId="0" applyNumberFormat="1"/>
    <xf numFmtId="170" fontId="0" fillId="0" borderId="1" xfId="4" applyNumberFormat="1" applyFont="1" applyBorder="1"/>
    <xf numFmtId="0" fontId="0" fillId="0" borderId="0" xfId="0" applyAlignment="1">
      <alignment horizontal="center" vertical="center" wrapText="1"/>
    </xf>
    <xf numFmtId="1" fontId="0" fillId="0" borderId="0" xfId="0" applyNumberFormat="1" applyFill="1" applyAlignment="1">
      <alignment horizontal="left"/>
    </xf>
    <xf numFmtId="0" fontId="0" fillId="0" borderId="0" xfId="0" applyAlignment="1">
      <alignment horizontal="center" wrapText="1"/>
    </xf>
    <xf numFmtId="165" fontId="0" fillId="0" borderId="1" xfId="0" applyNumberFormat="1" applyBorder="1"/>
    <xf numFmtId="3" fontId="0" fillId="0" borderId="1" xfId="0" applyNumberFormat="1" applyBorder="1"/>
    <xf numFmtId="9" fontId="0" fillId="0" borderId="1" xfId="4" applyFont="1" applyBorder="1"/>
    <xf numFmtId="10" fontId="0" fillId="0" borderId="1" xfId="0" applyNumberFormat="1" applyBorder="1"/>
    <xf numFmtId="165" fontId="0" fillId="68" borderId="241" xfId="0" applyNumberFormat="1" applyFill="1" applyBorder="1"/>
    <xf numFmtId="9" fontId="0" fillId="68" borderId="241" xfId="0" applyNumberFormat="1" applyFill="1" applyBorder="1"/>
    <xf numFmtId="9" fontId="0" fillId="0" borderId="0" xfId="0" applyNumberFormat="1"/>
    <xf numFmtId="9" fontId="0" fillId="0" borderId="0" xfId="4" applyNumberFormat="1" applyFont="1"/>
    <xf numFmtId="38" fontId="0" fillId="5" borderId="6" xfId="0" applyNumberFormat="1" applyFill="1" applyBorder="1" applyAlignment="1">
      <alignment horizontal="center"/>
    </xf>
    <xf numFmtId="190" fontId="0" fillId="5" borderId="6" xfId="0" applyNumberFormat="1" applyFill="1" applyBorder="1" applyAlignment="1">
      <alignment horizontal="center"/>
    </xf>
    <xf numFmtId="0" fontId="0" fillId="0" borderId="241" xfId="0" applyBorder="1" applyAlignment="1">
      <alignment horizontal="center" wrapText="1"/>
    </xf>
    <xf numFmtId="0" fontId="0" fillId="0" borderId="241" xfId="0" applyBorder="1"/>
    <xf numFmtId="165" fontId="0" fillId="0" borderId="241" xfId="0" applyNumberFormat="1" applyBorder="1"/>
    <xf numFmtId="9" fontId="0" fillId="0" borderId="241" xfId="0" applyNumberFormat="1" applyBorder="1"/>
    <xf numFmtId="3" fontId="0" fillId="0" borderId="241" xfId="0" applyNumberFormat="1" applyBorder="1"/>
    <xf numFmtId="0" fontId="0" fillId="0" borderId="241" xfId="0" applyBorder="1" applyAlignment="1">
      <alignment horizontal="center"/>
    </xf>
    <xf numFmtId="165" fontId="0" fillId="0" borderId="241" xfId="0" applyNumberFormat="1" applyBorder="1" applyAlignment="1">
      <alignment horizontal="center"/>
    </xf>
    <xf numFmtId="0" fontId="0" fillId="0" borderId="241" xfId="0" applyFill="1" applyBorder="1" applyAlignment="1">
      <alignment horizontal="center"/>
    </xf>
    <xf numFmtId="0" fontId="0" fillId="68" borderId="241" xfId="0" applyFill="1" applyBorder="1" applyAlignment="1">
      <alignment horizontal="right"/>
    </xf>
    <xf numFmtId="166" fontId="0" fillId="68" borderId="241" xfId="0" applyNumberFormat="1" applyFill="1" applyBorder="1"/>
    <xf numFmtId="9" fontId="0" fillId="68" borderId="241" xfId="4" applyFont="1" applyFill="1" applyBorder="1"/>
    <xf numFmtId="0" fontId="59" fillId="0" borderId="0" xfId="0" applyFont="1"/>
    <xf numFmtId="0" fontId="87" fillId="0" borderId="0" xfId="0" applyFont="1"/>
    <xf numFmtId="3" fontId="87" fillId="0" borderId="0" xfId="0" applyNumberFormat="1" applyFont="1"/>
    <xf numFmtId="4" fontId="87" fillId="0" borderId="0" xfId="0" applyNumberFormat="1" applyFont="1"/>
    <xf numFmtId="4" fontId="0" fillId="0" borderId="0" xfId="0" applyNumberFormat="1"/>
    <xf numFmtId="170" fontId="0" fillId="0" borderId="0" xfId="0" applyNumberFormat="1"/>
    <xf numFmtId="3" fontId="0" fillId="3" borderId="3" xfId="0" applyNumberFormat="1" applyFont="1" applyFill="1" applyBorder="1" applyAlignment="1">
      <alignment horizontal="center" vertical="center"/>
    </xf>
    <xf numFmtId="3" fontId="0" fillId="0" borderId="241" xfId="0" applyNumberFormat="1" applyBorder="1" applyAlignment="1">
      <alignment horizontal="center"/>
    </xf>
    <xf numFmtId="1" fontId="0" fillId="0" borderId="241" xfId="0" applyNumberFormat="1" applyBorder="1" applyAlignment="1">
      <alignment horizontal="center"/>
    </xf>
    <xf numFmtId="0" fontId="0" fillId="0" borderId="1" xfId="0" applyFill="1" applyBorder="1"/>
    <xf numFmtId="44" fontId="0" fillId="0" borderId="0" xfId="0" applyNumberFormat="1"/>
    <xf numFmtId="0" fontId="0" fillId="0" borderId="241" xfId="0" applyFill="1" applyBorder="1" applyAlignment="1">
      <alignment horizontal="center" wrapText="1"/>
    </xf>
    <xf numFmtId="0" fontId="0" fillId="0" borderId="241" xfId="0" applyBorder="1" applyAlignment="1">
      <alignment wrapText="1"/>
    </xf>
    <xf numFmtId="191" fontId="0" fillId="0" borderId="0" xfId="251" applyNumberFormat="1" applyFont="1"/>
    <xf numFmtId="44" fontId="0" fillId="0" borderId="0" xfId="251" applyFont="1"/>
    <xf numFmtId="0" fontId="2" fillId="0" borderId="0" xfId="0" applyFont="1" applyAlignment="1">
      <alignment wrapText="1"/>
    </xf>
    <xf numFmtId="0" fontId="2" fillId="0" borderId="0" xfId="0" applyFont="1" applyAlignment="1">
      <alignment horizontal="center" vertical="center" wrapText="1"/>
    </xf>
    <xf numFmtId="43" fontId="0" fillId="0" borderId="0" xfId="256" applyFont="1"/>
    <xf numFmtId="44" fontId="0" fillId="0" borderId="0" xfId="251" applyFont="1" applyAlignment="1">
      <alignment horizontal="center" wrapText="1"/>
    </xf>
    <xf numFmtId="0" fontId="0" fillId="0" borderId="241" xfId="0" applyBorder="1" applyAlignment="1">
      <alignment horizontal="center"/>
    </xf>
    <xf numFmtId="0" fontId="0" fillId="0" borderId="0" xfId="0" applyAlignment="1">
      <alignment horizontal="center" wrapText="1"/>
    </xf>
    <xf numFmtId="0" fontId="74" fillId="0" borderId="0" xfId="0" applyFont="1" applyBorder="1"/>
    <xf numFmtId="165" fontId="0" fillId="0" borderId="0" xfId="251" applyNumberFormat="1" applyFont="1"/>
    <xf numFmtId="0" fontId="0" fillId="0" borderId="0" xfId="0" applyAlignment="1">
      <alignment horizontal="left"/>
    </xf>
    <xf numFmtId="6" fontId="2" fillId="0" borderId="1" xfId="0" applyNumberFormat="1" applyFont="1" applyBorder="1"/>
    <xf numFmtId="0" fontId="2" fillId="0" borderId="1" xfId="0" applyFont="1" applyFill="1" applyBorder="1"/>
    <xf numFmtId="0" fontId="2" fillId="0" borderId="1" xfId="0" applyFont="1" applyBorder="1"/>
    <xf numFmtId="0" fontId="0" fillId="0" borderId="241" xfId="0" applyBorder="1" applyAlignment="1">
      <alignment horizontal="center"/>
    </xf>
    <xf numFmtId="0" fontId="0" fillId="0" borderId="0" xfId="0" applyAlignment="1">
      <alignment horizontal="center" wrapText="1"/>
    </xf>
    <xf numFmtId="0" fontId="0" fillId="0" borderId="0" xfId="0" applyAlignment="1">
      <alignment horizontal="center"/>
    </xf>
    <xf numFmtId="5" fontId="0" fillId="0" borderId="0" xfId="0" applyNumberFormat="1"/>
    <xf numFmtId="192" fontId="0" fillId="0" borderId="0" xfId="257" applyNumberFormat="1" applyFont="1"/>
    <xf numFmtId="1" fontId="2" fillId="0" borderId="0" xfId="257" applyNumberFormat="1" applyFont="1" applyAlignment="1"/>
    <xf numFmtId="3" fontId="0" fillId="0" borderId="0" xfId="257" applyNumberFormat="1" applyFont="1" applyFill="1" applyBorder="1" applyAlignment="1">
      <alignment horizontal="right"/>
    </xf>
    <xf numFmtId="192" fontId="0" fillId="0" borderId="0" xfId="257" applyNumberFormat="1" applyFont="1" applyAlignment="1">
      <alignment wrapText="1"/>
    </xf>
    <xf numFmtId="1" fontId="0" fillId="0" borderId="0" xfId="257" applyNumberFormat="1" applyFont="1" applyFill="1"/>
    <xf numFmtId="192" fontId="88" fillId="0" borderId="0" xfId="257" applyNumberFormat="1" applyFont="1"/>
    <xf numFmtId="1" fontId="0" fillId="0" borderId="0" xfId="257" applyNumberFormat="1" applyFont="1"/>
    <xf numFmtId="167" fontId="13" fillId="0" borderId="0" xfId="256" applyNumberFormat="1" applyFont="1" applyFill="1" applyBorder="1" applyAlignment="1">
      <alignment horizontal="center"/>
    </xf>
    <xf numFmtId="192" fontId="0" fillId="0" borderId="0" xfId="257" applyNumberFormat="1" applyFont="1" applyFill="1"/>
    <xf numFmtId="192" fontId="0" fillId="0" borderId="242" xfId="257" applyNumberFormat="1" applyFont="1" applyBorder="1"/>
    <xf numFmtId="192" fontId="0" fillId="0" borderId="243" xfId="257" applyNumberFormat="1" applyFont="1" applyBorder="1"/>
    <xf numFmtId="1" fontId="89" fillId="0" borderId="243" xfId="257" applyNumberFormat="1" applyFont="1" applyBorder="1" applyAlignment="1">
      <alignment horizontal="right"/>
    </xf>
    <xf numFmtId="1" fontId="88" fillId="0" borderId="238" xfId="257" applyNumberFormat="1" applyFont="1" applyBorder="1" applyAlignment="1">
      <alignment horizontal="center"/>
    </xf>
    <xf numFmtId="192" fontId="0" fillId="0" borderId="242" xfId="257" applyNumberFormat="1" applyFont="1" applyFill="1" applyBorder="1"/>
    <xf numFmtId="192" fontId="0" fillId="0" borderId="243" xfId="257" applyNumberFormat="1" applyFont="1" applyFill="1" applyBorder="1"/>
    <xf numFmtId="192" fontId="0" fillId="0" borderId="238" xfId="257" applyNumberFormat="1" applyFont="1" applyFill="1" applyBorder="1" applyAlignment="1">
      <alignment horizontal="center"/>
    </xf>
    <xf numFmtId="167" fontId="0" fillId="0" borderId="0" xfId="256" applyNumberFormat="1" applyFont="1"/>
    <xf numFmtId="192" fontId="0" fillId="0" borderId="0" xfId="257" applyNumberFormat="1" applyFont="1" applyFill="1" applyAlignment="1">
      <alignment wrapText="1"/>
    </xf>
    <xf numFmtId="192" fontId="0" fillId="0" borderId="1" xfId="257" applyNumberFormat="1" applyFont="1" applyBorder="1"/>
    <xf numFmtId="192" fontId="0" fillId="0" borderId="0" xfId="257" applyNumberFormat="1" applyFont="1" applyBorder="1"/>
    <xf numFmtId="1" fontId="0" fillId="0" borderId="0" xfId="257" applyNumberFormat="1" applyFont="1" applyBorder="1" applyAlignment="1">
      <alignment horizontal="right"/>
    </xf>
    <xf numFmtId="6" fontId="0" fillId="0" borderId="27" xfId="257" applyNumberFormat="1" applyFont="1" applyBorder="1" applyAlignment="1">
      <alignment horizontal="center"/>
    </xf>
    <xf numFmtId="1" fontId="0" fillId="0" borderId="1" xfId="257" applyNumberFormat="1" applyFont="1" applyBorder="1"/>
    <xf numFmtId="1" fontId="0" fillId="0" borderId="0" xfId="257" applyNumberFormat="1" applyFont="1" applyBorder="1"/>
    <xf numFmtId="1" fontId="89" fillId="0" borderId="0" xfId="257" applyNumberFormat="1" applyFont="1" applyBorder="1" applyAlignment="1">
      <alignment horizontal="right"/>
    </xf>
    <xf numFmtId="1" fontId="88" fillId="0" borderId="27" xfId="257" applyNumberFormat="1" applyFont="1" applyBorder="1" applyAlignment="1">
      <alignment horizontal="center"/>
    </xf>
    <xf numFmtId="192" fontId="0" fillId="0" borderId="1" xfId="257" applyNumberFormat="1" applyFont="1" applyFill="1" applyBorder="1"/>
    <xf numFmtId="192" fontId="0" fillId="0" borderId="0" xfId="257" applyNumberFormat="1" applyFont="1" applyFill="1" applyBorder="1"/>
    <xf numFmtId="192" fontId="0" fillId="0" borderId="27" xfId="257" applyNumberFormat="1" applyFont="1" applyFill="1" applyBorder="1"/>
    <xf numFmtId="1" fontId="0" fillId="0" borderId="0" xfId="257" applyNumberFormat="1" applyFont="1" applyFill="1" applyBorder="1" applyAlignment="1">
      <alignment horizontal="right"/>
    </xf>
    <xf numFmtId="6" fontId="88" fillId="0" borderId="27" xfId="257" applyNumberFormat="1" applyFont="1" applyBorder="1" applyAlignment="1">
      <alignment horizontal="center"/>
    </xf>
    <xf numFmtId="1" fontId="0" fillId="0" borderId="1" xfId="257" applyNumberFormat="1" applyFont="1" applyBorder="1" applyAlignment="1">
      <alignment horizontal="right"/>
    </xf>
    <xf numFmtId="166" fontId="0" fillId="0" borderId="27" xfId="257" applyNumberFormat="1" applyFont="1" applyFill="1" applyBorder="1" applyAlignment="1">
      <alignment horizontal="center"/>
    </xf>
    <xf numFmtId="192" fontId="0" fillId="21" borderId="27" xfId="257" applyNumberFormat="1" applyFont="1" applyFill="1" applyBorder="1"/>
    <xf numFmtId="1" fontId="2" fillId="0" borderId="0" xfId="257" applyNumberFormat="1" applyFont="1" applyFill="1" applyAlignment="1">
      <alignment horizontal="right"/>
    </xf>
    <xf numFmtId="167" fontId="0" fillId="0" borderId="0" xfId="257" applyNumberFormat="1" applyFont="1" applyFill="1"/>
    <xf numFmtId="1" fontId="88" fillId="0" borderId="1" xfId="257" applyNumberFormat="1" applyFont="1" applyFill="1" applyBorder="1" applyAlignment="1">
      <alignment horizontal="right"/>
    </xf>
    <xf numFmtId="1" fontId="88" fillId="0" borderId="0" xfId="257" applyNumberFormat="1" applyFont="1" applyFill="1" applyBorder="1" applyAlignment="1">
      <alignment horizontal="right"/>
    </xf>
    <xf numFmtId="2" fontId="0" fillId="0" borderId="27" xfId="257" applyNumberFormat="1" applyFont="1" applyFill="1" applyBorder="1" applyAlignment="1">
      <alignment horizontal="center"/>
    </xf>
    <xf numFmtId="9" fontId="0" fillId="0" borderId="0" xfId="169" applyFont="1"/>
    <xf numFmtId="1" fontId="0" fillId="0" borderId="27" xfId="257" applyNumberFormat="1" applyFont="1" applyFill="1" applyBorder="1" applyAlignment="1">
      <alignment horizontal="right"/>
    </xf>
    <xf numFmtId="1" fontId="0" fillId="0" borderId="1" xfId="257" applyNumberFormat="1" applyFont="1" applyFill="1" applyBorder="1" applyAlignment="1">
      <alignment horizontal="right"/>
    </xf>
    <xf numFmtId="9" fontId="0" fillId="0" borderId="27" xfId="169" applyFont="1" applyFill="1" applyBorder="1" applyAlignment="1">
      <alignment horizontal="center"/>
    </xf>
    <xf numFmtId="1" fontId="2" fillId="0" borderId="0" xfId="257" applyNumberFormat="1" applyFont="1" applyAlignment="1">
      <alignment horizontal="right"/>
    </xf>
    <xf numFmtId="1" fontId="2" fillId="0" borderId="0" xfId="257" applyNumberFormat="1" applyFont="1" applyFill="1" applyAlignment="1">
      <alignment horizontal="center"/>
    </xf>
    <xf numFmtId="1" fontId="89" fillId="0" borderId="0" xfId="257" applyNumberFormat="1" applyFont="1" applyFill="1" applyBorder="1" applyAlignment="1">
      <alignment horizontal="right"/>
    </xf>
    <xf numFmtId="1" fontId="88" fillId="0" borderId="27" xfId="257" applyNumberFormat="1" applyFont="1" applyFill="1" applyBorder="1" applyAlignment="1">
      <alignment horizontal="center"/>
    </xf>
    <xf numFmtId="6" fontId="0" fillId="0" borderId="0" xfId="257" applyNumberFormat="1" applyFont="1" applyFill="1"/>
    <xf numFmtId="184" fontId="0" fillId="0" borderId="27" xfId="257" applyNumberFormat="1" applyFont="1" applyBorder="1" applyAlignment="1">
      <alignment horizontal="center"/>
    </xf>
    <xf numFmtId="184" fontId="88" fillId="0" borderId="27" xfId="257" applyNumberFormat="1" applyFont="1" applyBorder="1" applyAlignment="1">
      <alignment horizontal="center"/>
    </xf>
    <xf numFmtId="1" fontId="0" fillId="0" borderId="27" xfId="257" applyNumberFormat="1" applyFont="1" applyBorder="1" applyAlignment="1">
      <alignment horizontal="center"/>
    </xf>
    <xf numFmtId="193" fontId="0" fillId="0" borderId="27" xfId="257" applyNumberFormat="1" applyFont="1" applyFill="1" applyBorder="1" applyAlignment="1">
      <alignment horizontal="center"/>
    </xf>
    <xf numFmtId="172" fontId="0" fillId="0" borderId="242" xfId="257" applyNumberFormat="1" applyFont="1" applyFill="1" applyBorder="1"/>
    <xf numFmtId="172" fontId="0" fillId="0" borderId="243" xfId="257" applyNumberFormat="1" applyFont="1" applyFill="1" applyBorder="1"/>
    <xf numFmtId="1" fontId="0" fillId="0" borderId="243" xfId="257" applyNumberFormat="1" applyFont="1" applyFill="1" applyBorder="1" applyAlignment="1">
      <alignment horizontal="right"/>
    </xf>
    <xf numFmtId="6" fontId="0" fillId="0" borderId="243" xfId="257" applyNumberFormat="1" applyFont="1" applyFill="1" applyBorder="1" applyAlignment="1">
      <alignment horizontal="center"/>
    </xf>
    <xf numFmtId="192" fontId="90" fillId="0" borderId="238" xfId="257" applyNumberFormat="1" applyFont="1" applyFill="1" applyBorder="1" applyAlignment="1">
      <alignment horizontal="center" wrapText="1"/>
    </xf>
    <xf numFmtId="194" fontId="0" fillId="0" borderId="27" xfId="257" applyNumberFormat="1" applyFont="1" applyFill="1" applyBorder="1" applyAlignment="1">
      <alignment horizontal="center"/>
    </xf>
    <xf numFmtId="192" fontId="0" fillId="32" borderId="27" xfId="257" applyNumberFormat="1" applyFont="1" applyFill="1" applyBorder="1"/>
    <xf numFmtId="172" fontId="0" fillId="0" borderId="1" xfId="257" applyNumberFormat="1" applyFont="1" applyFill="1" applyBorder="1"/>
    <xf numFmtId="172" fontId="0" fillId="0" borderId="0" xfId="257" applyNumberFormat="1" applyFont="1" applyFill="1" applyBorder="1"/>
    <xf numFmtId="6" fontId="0" fillId="0" borderId="0" xfId="257" applyNumberFormat="1" applyFont="1" applyFill="1" applyBorder="1" applyAlignment="1">
      <alignment horizontal="center"/>
    </xf>
    <xf numFmtId="192" fontId="90" fillId="0" borderId="27" xfId="257" applyNumberFormat="1" applyFont="1" applyFill="1" applyBorder="1" applyAlignment="1">
      <alignment horizontal="center" wrapText="1"/>
    </xf>
    <xf numFmtId="9" fontId="74" fillId="0" borderId="27" xfId="169" applyFont="1" applyFill="1" applyBorder="1" applyAlignment="1">
      <alignment horizontal="center"/>
    </xf>
    <xf numFmtId="172" fontId="2" fillId="0" borderId="0" xfId="257" applyNumberFormat="1" applyFont="1" applyFill="1" applyBorder="1" applyAlignment="1">
      <alignment horizontal="right"/>
    </xf>
    <xf numFmtId="192" fontId="90" fillId="0" borderId="27" xfId="257" applyNumberFormat="1" applyFont="1" applyFill="1" applyBorder="1" applyAlignment="1">
      <alignment wrapText="1"/>
    </xf>
    <xf numFmtId="172" fontId="0" fillId="0" borderId="0" xfId="257" applyNumberFormat="1" applyFont="1" applyFill="1" applyBorder="1" applyAlignment="1">
      <alignment horizontal="right"/>
    </xf>
    <xf numFmtId="3" fontId="0" fillId="0" borderId="0" xfId="257" applyNumberFormat="1" applyFont="1" applyFill="1" applyBorder="1"/>
    <xf numFmtId="1" fontId="91" fillId="0" borderId="27" xfId="257" applyNumberFormat="1" applyFont="1" applyFill="1" applyBorder="1" applyAlignment="1">
      <alignment horizontal="center" wrapText="1"/>
    </xf>
    <xf numFmtId="192" fontId="0" fillId="21" borderId="1" xfId="257" applyNumberFormat="1" applyFont="1" applyFill="1" applyBorder="1"/>
    <xf numFmtId="172" fontId="0" fillId="0" borderId="232" xfId="257" applyNumberFormat="1" applyFont="1" applyFill="1" applyBorder="1"/>
    <xf numFmtId="172" fontId="0" fillId="0" borderId="244" xfId="257" applyNumberFormat="1" applyFont="1" applyFill="1" applyBorder="1"/>
    <xf numFmtId="172" fontId="0" fillId="0" borderId="244" xfId="257" applyNumberFormat="1" applyFont="1" applyFill="1" applyBorder="1" applyAlignment="1">
      <alignment horizontal="right"/>
    </xf>
    <xf numFmtId="167" fontId="0" fillId="0" borderId="244" xfId="256" applyNumberFormat="1" applyFont="1" applyFill="1" applyBorder="1"/>
    <xf numFmtId="192" fontId="90" fillId="0" borderId="245" xfId="257" applyNumberFormat="1" applyFont="1" applyFill="1" applyBorder="1" applyAlignment="1">
      <alignment horizontal="center" wrapText="1"/>
    </xf>
    <xf numFmtId="43" fontId="0" fillId="0" borderId="0" xfId="256" applyFont="1" applyFill="1"/>
    <xf numFmtId="195" fontId="0" fillId="0" borderId="27" xfId="257" applyNumberFormat="1" applyFont="1" applyFill="1" applyBorder="1" applyAlignment="1">
      <alignment horizontal="center"/>
    </xf>
    <xf numFmtId="192" fontId="0" fillId="32" borderId="1" xfId="257" applyNumberFormat="1" applyFont="1" applyFill="1" applyBorder="1"/>
    <xf numFmtId="192" fontId="0" fillId="70" borderId="1" xfId="257" applyNumberFormat="1" applyFont="1" applyFill="1" applyBorder="1"/>
    <xf numFmtId="1" fontId="88" fillId="0" borderId="0" xfId="257" applyNumberFormat="1" applyFont="1" applyBorder="1" applyAlignment="1">
      <alignment horizontal="right"/>
    </xf>
    <xf numFmtId="195" fontId="88" fillId="0" borderId="27" xfId="257" applyNumberFormat="1" applyFont="1" applyFill="1" applyBorder="1" applyAlignment="1">
      <alignment horizontal="center"/>
    </xf>
    <xf numFmtId="1" fontId="2" fillId="0" borderId="0" xfId="257" applyNumberFormat="1" applyFont="1" applyFill="1" applyBorder="1" applyAlignment="1">
      <alignment horizontal="right"/>
    </xf>
    <xf numFmtId="1" fontId="2" fillId="0" borderId="27" xfId="257" applyNumberFormat="1" applyFont="1" applyFill="1" applyBorder="1" applyAlignment="1">
      <alignment horizontal="right"/>
    </xf>
    <xf numFmtId="1" fontId="88" fillId="0" borderId="0" xfId="257" applyNumberFormat="1" applyFont="1" applyFill="1" applyBorder="1" applyAlignment="1">
      <alignment horizontal="center"/>
    </xf>
    <xf numFmtId="192" fontId="88" fillId="0" borderId="27" xfId="257" applyNumberFormat="1" applyFont="1" applyFill="1" applyBorder="1" applyAlignment="1">
      <alignment horizontal="center"/>
    </xf>
    <xf numFmtId="9" fontId="0" fillId="0" borderId="0" xfId="169" applyFont="1" applyFill="1" applyBorder="1" applyAlignment="1">
      <alignment horizontal="center"/>
    </xf>
    <xf numFmtId="166" fontId="0" fillId="0" borderId="0" xfId="257" applyNumberFormat="1" applyFont="1" applyFill="1" applyBorder="1" applyAlignment="1">
      <alignment horizontal="center"/>
    </xf>
    <xf numFmtId="192" fontId="0" fillId="0" borderId="232" xfId="257" applyNumberFormat="1" applyFont="1" applyFill="1" applyBorder="1"/>
    <xf numFmtId="1" fontId="0" fillId="0" borderId="244" xfId="257" applyNumberFormat="1" applyFont="1" applyFill="1" applyBorder="1" applyAlignment="1">
      <alignment horizontal="right"/>
    </xf>
    <xf numFmtId="1" fontId="0" fillId="0" borderId="244" xfId="257" applyNumberFormat="1" applyFont="1" applyFill="1" applyBorder="1" applyAlignment="1">
      <alignment horizontal="center"/>
    </xf>
    <xf numFmtId="1" fontId="0" fillId="0" borderId="245" xfId="257" applyNumberFormat="1" applyFont="1" applyFill="1" applyBorder="1" applyAlignment="1">
      <alignment horizontal="center"/>
    </xf>
    <xf numFmtId="192" fontId="0" fillId="0" borderId="244" xfId="257" applyNumberFormat="1" applyFont="1" applyFill="1" applyBorder="1" applyAlignment="1">
      <alignment horizontal="center"/>
    </xf>
    <xf numFmtId="44" fontId="0" fillId="0" borderId="244" xfId="70" applyFont="1" applyFill="1" applyBorder="1" applyAlignment="1">
      <alignment horizontal="center"/>
    </xf>
    <xf numFmtId="1" fontId="0" fillId="0" borderId="0" xfId="257" applyNumberFormat="1" applyFont="1" applyFill="1" applyAlignment="1">
      <alignment horizontal="center"/>
    </xf>
    <xf numFmtId="1" fontId="0" fillId="0" borderId="0" xfId="257" applyNumberFormat="1" applyFont="1" applyFill="1" applyAlignment="1">
      <alignment horizontal="right"/>
    </xf>
    <xf numFmtId="6" fontId="0" fillId="0" borderId="0" xfId="257" applyNumberFormat="1" applyFont="1" applyFill="1" applyAlignment="1">
      <alignment horizontal="center"/>
    </xf>
    <xf numFmtId="2" fontId="88" fillId="0" borderId="0" xfId="257" applyNumberFormat="1" applyFont="1" applyFill="1" applyAlignment="1">
      <alignment horizontal="center"/>
    </xf>
    <xf numFmtId="1" fontId="88" fillId="0" borderId="0" xfId="257" applyNumberFormat="1" applyFont="1" applyFill="1" applyAlignment="1">
      <alignment horizontal="center"/>
    </xf>
    <xf numFmtId="2" fontId="0" fillId="0" borderId="0" xfId="257" applyNumberFormat="1" applyFont="1" applyFill="1" applyAlignment="1">
      <alignment horizontal="center"/>
    </xf>
    <xf numFmtId="1" fontId="60" fillId="0" borderId="0" xfId="257" applyNumberFormat="1" applyFont="1" applyFill="1" applyAlignment="1">
      <alignment horizontal="left"/>
    </xf>
    <xf numFmtId="1" fontId="34" fillId="0" borderId="0" xfId="257" applyNumberFormat="1" applyFont="1" applyFill="1" applyAlignment="1">
      <alignment horizontal="right"/>
    </xf>
    <xf numFmtId="170" fontId="0" fillId="0" borderId="0" xfId="169" applyNumberFormat="1" applyFont="1" applyFill="1" applyAlignment="1">
      <alignment horizontal="center"/>
    </xf>
    <xf numFmtId="166" fontId="0" fillId="0" borderId="0" xfId="257" applyNumberFormat="1" applyFont="1" applyFill="1"/>
    <xf numFmtId="1" fontId="90" fillId="0" borderId="0" xfId="257" applyNumberFormat="1" applyFont="1" applyFill="1" applyAlignment="1">
      <alignment vertical="center"/>
    </xf>
    <xf numFmtId="1" fontId="96" fillId="10" borderId="230" xfId="257" applyNumberFormat="1" applyFont="1" applyFill="1" applyBorder="1" applyAlignment="1">
      <alignment vertical="center" wrapText="1"/>
    </xf>
    <xf numFmtId="1" fontId="96" fillId="10" borderId="20" xfId="257" applyNumberFormat="1" applyFont="1" applyFill="1" applyBorder="1" applyAlignment="1">
      <alignment vertical="center" wrapText="1"/>
    </xf>
    <xf numFmtId="1" fontId="96" fillId="10" borderId="218" xfId="257" applyNumberFormat="1" applyFont="1" applyFill="1" applyBorder="1" applyAlignment="1">
      <alignment vertical="center" wrapText="1"/>
    </xf>
    <xf numFmtId="192" fontId="90" fillId="0" borderId="0" xfId="257" applyNumberFormat="1" applyFont="1"/>
    <xf numFmtId="192" fontId="92" fillId="0" borderId="66" xfId="257" applyNumberFormat="1" applyFont="1" applyBorder="1" applyAlignment="1">
      <alignment horizontal="center" vertical="center" wrapText="1"/>
    </xf>
    <xf numFmtId="192" fontId="90" fillId="0" borderId="0" xfId="257" applyNumberFormat="1" applyFont="1" applyAlignment="1">
      <alignment horizontal="center" vertical="center"/>
    </xf>
    <xf numFmtId="1" fontId="90" fillId="0" borderId="0" xfId="257" applyNumberFormat="1" applyFont="1" applyAlignment="1">
      <alignment horizontal="center" vertical="center"/>
    </xf>
    <xf numFmtId="1" fontId="63" fillId="2" borderId="11" xfId="257" applyNumberFormat="1" applyFont="1" applyFill="1" applyBorder="1" applyAlignment="1">
      <alignment horizontal="center" vertical="center" wrapText="1"/>
    </xf>
    <xf numFmtId="1" fontId="63" fillId="2" borderId="47" xfId="257" applyNumberFormat="1" applyFont="1" applyFill="1" applyBorder="1" applyAlignment="1">
      <alignment horizontal="center" vertical="center" wrapText="1"/>
    </xf>
    <xf numFmtId="1" fontId="63" fillId="2" borderId="12" xfId="257" applyNumberFormat="1" applyFont="1" applyFill="1" applyBorder="1" applyAlignment="1">
      <alignment horizontal="center" vertical="center" wrapText="1"/>
    </xf>
    <xf numFmtId="1" fontId="96" fillId="2" borderId="12" xfId="257" applyNumberFormat="1" applyFont="1" applyFill="1" applyBorder="1" applyAlignment="1">
      <alignment horizontal="center" vertical="center" wrapText="1"/>
    </xf>
    <xf numFmtId="192" fontId="0" fillId="0" borderId="5" xfId="257" applyNumberFormat="1" applyFont="1" applyBorder="1" applyAlignment="1">
      <alignment horizontal="center" wrapText="1"/>
    </xf>
    <xf numFmtId="192" fontId="0" fillId="0" borderId="0" xfId="257" applyNumberFormat="1" applyFont="1" applyAlignment="1">
      <alignment horizontal="center"/>
    </xf>
    <xf numFmtId="192" fontId="98" fillId="0" borderId="1" xfId="257" applyNumberFormat="1" applyFont="1" applyBorder="1" applyAlignment="1">
      <alignment vertical="center" wrapText="1"/>
    </xf>
    <xf numFmtId="192" fontId="97" fillId="0" borderId="0" xfId="257" applyNumberFormat="1" applyFont="1" applyBorder="1" applyAlignment="1">
      <alignment horizontal="center" vertical="center"/>
    </xf>
    <xf numFmtId="192" fontId="99" fillId="0" borderId="0" xfId="257" applyNumberFormat="1" applyFont="1" applyBorder="1" applyAlignment="1">
      <alignment horizontal="center" vertical="center"/>
    </xf>
    <xf numFmtId="192" fontId="99" fillId="0" borderId="27" xfId="257" applyNumberFormat="1" applyFont="1" applyBorder="1" applyAlignment="1">
      <alignment horizontal="center" vertical="center"/>
    </xf>
    <xf numFmtId="192" fontId="96" fillId="2" borderId="0" xfId="257" applyNumberFormat="1" applyFont="1" applyFill="1" applyAlignment="1">
      <alignment horizontal="center" vertical="center"/>
    </xf>
    <xf numFmtId="1" fontId="0" fillId="0" borderId="63" xfId="257" applyNumberFormat="1" applyFont="1" applyBorder="1" applyAlignment="1">
      <alignment horizontal="center"/>
    </xf>
    <xf numFmtId="1" fontId="3" fillId="2" borderId="18" xfId="257" applyNumberFormat="1" applyFont="1" applyFill="1" applyBorder="1" applyAlignment="1">
      <alignment horizontal="center"/>
    </xf>
    <xf numFmtId="1" fontId="63" fillId="2" borderId="16" xfId="257" applyNumberFormat="1" applyFont="1" applyFill="1" applyBorder="1" applyAlignment="1">
      <alignment horizontal="center"/>
    </xf>
    <xf numFmtId="1" fontId="3" fillId="2" borderId="14" xfId="257" applyNumberFormat="1" applyFont="1" applyFill="1" applyBorder="1" applyAlignment="1">
      <alignment horizontal="center"/>
    </xf>
    <xf numFmtId="1" fontId="3" fillId="2" borderId="32" xfId="257" applyNumberFormat="1" applyFont="1" applyFill="1" applyBorder="1" applyAlignment="1">
      <alignment horizontal="center"/>
    </xf>
    <xf numFmtId="1" fontId="3" fillId="2" borderId="15" xfId="257" applyNumberFormat="1" applyFont="1" applyFill="1" applyBorder="1" applyAlignment="1">
      <alignment horizontal="center"/>
    </xf>
    <xf numFmtId="192" fontId="97" fillId="0" borderId="1" xfId="257" applyNumberFormat="1" applyFont="1" applyBorder="1" applyAlignment="1">
      <alignment vertical="center" wrapText="1"/>
    </xf>
    <xf numFmtId="192" fontId="98" fillId="0" borderId="0" xfId="257" applyNumberFormat="1" applyFont="1" applyBorder="1" applyAlignment="1">
      <alignment vertical="center"/>
    </xf>
    <xf numFmtId="192" fontId="97" fillId="0" borderId="27" xfId="257" applyNumberFormat="1" applyFont="1" applyBorder="1" applyAlignment="1">
      <alignment horizontal="center" vertical="center"/>
    </xf>
    <xf numFmtId="1" fontId="98" fillId="0" borderId="0" xfId="257" applyNumberFormat="1" applyFont="1" applyBorder="1" applyAlignment="1">
      <alignment horizontal="center" vertical="center"/>
    </xf>
    <xf numFmtId="192" fontId="98" fillId="0" borderId="0" xfId="257" applyNumberFormat="1" applyFont="1" applyBorder="1" applyAlignment="1">
      <alignment horizontal="center" vertical="center"/>
    </xf>
    <xf numFmtId="192" fontId="62" fillId="0" borderId="27" xfId="257" applyNumberFormat="1" applyFont="1" applyBorder="1" applyAlignment="1">
      <alignment horizontal="center" vertical="center"/>
    </xf>
    <xf numFmtId="192" fontId="96" fillId="2" borderId="0" xfId="257" applyNumberFormat="1" applyFont="1" applyFill="1" applyAlignment="1">
      <alignment horizontal="center"/>
    </xf>
    <xf numFmtId="192" fontId="96" fillId="2" borderId="0" xfId="257" applyNumberFormat="1" applyFont="1" applyFill="1" applyAlignment="1">
      <alignment horizontal="center" wrapText="1"/>
    </xf>
    <xf numFmtId="192" fontId="3" fillId="2" borderId="0" xfId="257" applyNumberFormat="1" applyFont="1" applyFill="1" applyAlignment="1">
      <alignment horizontal="center"/>
    </xf>
    <xf numFmtId="1" fontId="3" fillId="2" borderId="232" xfId="257" applyNumberFormat="1" applyFont="1" applyFill="1" applyBorder="1" applyAlignment="1">
      <alignment horizontal="center"/>
    </xf>
    <xf numFmtId="1" fontId="63" fillId="2" borderId="244" xfId="257" applyNumberFormat="1" applyFont="1" applyFill="1" applyBorder="1" applyAlignment="1">
      <alignment horizontal="center"/>
    </xf>
    <xf numFmtId="1" fontId="3" fillId="2" borderId="244" xfId="257" applyNumberFormat="1" applyFont="1" applyFill="1" applyBorder="1" applyAlignment="1">
      <alignment horizontal="center"/>
    </xf>
    <xf numFmtId="1" fontId="3" fillId="2" borderId="245" xfId="257" applyNumberFormat="1" applyFont="1" applyFill="1" applyBorder="1" applyAlignment="1">
      <alignment horizontal="center"/>
    </xf>
    <xf numFmtId="20" fontId="0" fillId="0" borderId="5" xfId="257" quotePrefix="1" applyNumberFormat="1" applyFont="1" applyBorder="1" applyAlignment="1">
      <alignment wrapText="1"/>
    </xf>
    <xf numFmtId="1" fontId="0" fillId="0" borderId="241" xfId="257" applyNumberFormat="1" applyFont="1" applyFill="1" applyBorder="1" applyAlignment="1">
      <alignment horizontal="center" vertical="center"/>
    </xf>
    <xf numFmtId="3" fontId="0" fillId="5" borderId="6" xfId="257" quotePrefix="1" applyNumberFormat="1" applyFont="1" applyFill="1" applyBorder="1" applyAlignment="1">
      <alignment horizontal="center"/>
    </xf>
    <xf numFmtId="170" fontId="0" fillId="5" borderId="6" xfId="257" applyNumberFormat="1" applyFont="1" applyFill="1" applyBorder="1" applyAlignment="1">
      <alignment horizontal="center"/>
    </xf>
    <xf numFmtId="3" fontId="0" fillId="5" borderId="6" xfId="257" applyNumberFormat="1" applyFont="1" applyFill="1" applyBorder="1" applyAlignment="1">
      <alignment horizontal="center"/>
    </xf>
    <xf numFmtId="167" fontId="0" fillId="5" borderId="6" xfId="256" applyNumberFormat="1" applyFont="1" applyFill="1" applyBorder="1" applyAlignment="1">
      <alignment horizontal="center"/>
    </xf>
    <xf numFmtId="3" fontId="0" fillId="0" borderId="6" xfId="257" applyNumberFormat="1" applyFont="1" applyFill="1" applyBorder="1" applyAlignment="1">
      <alignment horizontal="center"/>
    </xf>
    <xf numFmtId="6" fontId="0" fillId="5" borderId="6" xfId="257" applyNumberFormat="1" applyFont="1" applyFill="1" applyBorder="1" applyAlignment="1">
      <alignment horizontal="center"/>
    </xf>
    <xf numFmtId="7" fontId="0" fillId="5" borderId="6" xfId="70" applyNumberFormat="1" applyFont="1" applyFill="1" applyBorder="1" applyAlignment="1">
      <alignment horizontal="center"/>
    </xf>
    <xf numFmtId="44" fontId="0" fillId="5" borderId="6" xfId="257" applyNumberFormat="1" applyFont="1" applyFill="1" applyBorder="1" applyAlignment="1">
      <alignment horizontal="center"/>
    </xf>
    <xf numFmtId="165" fontId="0" fillId="5" borderId="6" xfId="70" applyNumberFormat="1" applyFont="1" applyFill="1" applyBorder="1" applyAlignment="1">
      <alignment horizontal="center"/>
    </xf>
    <xf numFmtId="6" fontId="0" fillId="36" borderId="6" xfId="257" applyNumberFormat="1" applyFont="1" applyFill="1" applyBorder="1" applyAlignment="1">
      <alignment horizontal="center"/>
    </xf>
    <xf numFmtId="6" fontId="0" fillId="0" borderId="6" xfId="257" applyNumberFormat="1" applyFont="1" applyFill="1" applyBorder="1" applyAlignment="1">
      <alignment horizontal="center"/>
    </xf>
    <xf numFmtId="6" fontId="0" fillId="0" borderId="6" xfId="257" applyNumberFormat="1" applyFont="1" applyBorder="1" applyAlignment="1">
      <alignment horizontal="center"/>
    </xf>
    <xf numFmtId="166" fontId="98" fillId="0" borderId="0" xfId="257" applyNumberFormat="1" applyFont="1" applyBorder="1" applyAlignment="1">
      <alignment horizontal="center" vertical="center"/>
    </xf>
    <xf numFmtId="3" fontId="0" fillId="0" borderId="0" xfId="257" applyNumberFormat="1" applyFont="1"/>
    <xf numFmtId="192" fontId="62" fillId="0" borderId="0" xfId="257" applyNumberFormat="1" applyFont="1" applyBorder="1" applyAlignment="1">
      <alignment horizontal="center" vertical="center"/>
    </xf>
    <xf numFmtId="165" fontId="74" fillId="0" borderId="0" xfId="70" applyNumberFormat="1" applyFont="1"/>
    <xf numFmtId="165" fontId="0" fillId="0" borderId="0" xfId="70" applyNumberFormat="1" applyFont="1"/>
    <xf numFmtId="3" fontId="0" fillId="0" borderId="0" xfId="169" applyNumberFormat="1" applyFont="1"/>
    <xf numFmtId="44" fontId="0" fillId="0" borderId="0" xfId="70" applyFont="1"/>
    <xf numFmtId="167" fontId="98" fillId="0" borderId="0" xfId="256" applyNumberFormat="1" applyFont="1" applyBorder="1" applyAlignment="1">
      <alignment horizontal="center" vertical="center"/>
    </xf>
    <xf numFmtId="167" fontId="98" fillId="0" borderId="0" xfId="256" applyNumberFormat="1" applyFont="1" applyBorder="1" applyAlignment="1">
      <alignment horizontal="left" vertical="center"/>
    </xf>
    <xf numFmtId="192" fontId="98" fillId="0" borderId="27" xfId="257" applyNumberFormat="1" applyFont="1" applyBorder="1" applyAlignment="1">
      <alignment horizontal="left" vertical="center"/>
    </xf>
    <xf numFmtId="2" fontId="0" fillId="0" borderId="0" xfId="257" applyNumberFormat="1" applyFont="1"/>
    <xf numFmtId="196" fontId="98" fillId="0" borderId="0" xfId="256" applyNumberFormat="1" applyFont="1" applyBorder="1" applyAlignment="1">
      <alignment horizontal="center" vertical="center"/>
    </xf>
    <xf numFmtId="9" fontId="98" fillId="0" borderId="0" xfId="169" applyFont="1" applyBorder="1" applyAlignment="1">
      <alignment horizontal="center" vertical="center"/>
    </xf>
    <xf numFmtId="192" fontId="100" fillId="0" borderId="0" xfId="257" applyNumberFormat="1" applyFont="1" applyBorder="1" applyAlignment="1">
      <alignment vertical="center"/>
    </xf>
    <xf numFmtId="167" fontId="101" fillId="0" borderId="0" xfId="256" applyNumberFormat="1" applyFont="1" applyBorder="1" applyAlignment="1">
      <alignment horizontal="center" vertical="center"/>
    </xf>
    <xf numFmtId="167" fontId="98" fillId="0" borderId="0" xfId="256" applyNumberFormat="1" applyFont="1" applyBorder="1"/>
    <xf numFmtId="192" fontId="98" fillId="0" borderId="0" xfId="257" applyNumberFormat="1" applyFont="1" applyBorder="1"/>
    <xf numFmtId="192" fontId="97" fillId="0" borderId="232" xfId="257" applyNumberFormat="1" applyFont="1" applyBorder="1" applyAlignment="1">
      <alignment vertical="center" wrapText="1"/>
    </xf>
    <xf numFmtId="192" fontId="98" fillId="0" borderId="244" xfId="257" applyNumberFormat="1" applyFont="1" applyBorder="1" applyAlignment="1">
      <alignment vertical="center"/>
    </xf>
    <xf numFmtId="167" fontId="98" fillId="0" borderId="244" xfId="256" applyNumberFormat="1" applyFont="1" applyBorder="1"/>
    <xf numFmtId="192" fontId="98" fillId="0" borderId="244" xfId="257" applyNumberFormat="1" applyFont="1" applyBorder="1"/>
    <xf numFmtId="192" fontId="98" fillId="0" borderId="245" xfId="257" applyNumberFormat="1" applyFont="1" applyBorder="1" applyAlignment="1">
      <alignment horizontal="left" vertical="center"/>
    </xf>
    <xf numFmtId="192" fontId="97" fillId="0" borderId="1" xfId="257" applyNumberFormat="1" applyFont="1" applyBorder="1" applyAlignment="1">
      <alignment horizontal="center" vertical="center" wrapText="1"/>
    </xf>
    <xf numFmtId="167" fontId="98" fillId="0" borderId="0" xfId="256" applyNumberFormat="1" applyFont="1" applyBorder="1" applyAlignment="1">
      <alignment vertical="center"/>
    </xf>
    <xf numFmtId="192" fontId="98" fillId="0" borderId="0" xfId="257" applyNumberFormat="1" applyFont="1" applyFill="1" applyBorder="1"/>
    <xf numFmtId="192" fontId="98" fillId="0" borderId="0" xfId="257" applyNumberFormat="1" applyFont="1" applyFill="1" applyBorder="1" applyAlignment="1">
      <alignment vertical="center"/>
    </xf>
    <xf numFmtId="192" fontId="98" fillId="0" borderId="1" xfId="257" applyNumberFormat="1" applyFont="1" applyBorder="1"/>
    <xf numFmtId="192" fontId="98" fillId="0" borderId="0" xfId="257" applyNumberFormat="1" applyFont="1" applyBorder="1" applyAlignment="1">
      <alignment horizontal="center"/>
    </xf>
    <xf numFmtId="192" fontId="98" fillId="0" borderId="27" xfId="257" applyNumberFormat="1" applyFont="1" applyBorder="1"/>
    <xf numFmtId="192" fontId="97" fillId="0" borderId="1" xfId="257" applyNumberFormat="1" applyFont="1" applyBorder="1"/>
    <xf numFmtId="167" fontId="98" fillId="0" borderId="0" xfId="257" applyNumberFormat="1" applyFont="1" applyBorder="1"/>
    <xf numFmtId="192" fontId="98" fillId="0" borderId="1" xfId="257" applyNumberFormat="1" applyFont="1" applyBorder="1" applyAlignment="1">
      <alignment horizontal="right"/>
    </xf>
    <xf numFmtId="192" fontId="100" fillId="0" borderId="0" xfId="257" applyNumberFormat="1" applyFont="1" applyBorder="1"/>
    <xf numFmtId="167" fontId="100" fillId="0" borderId="0" xfId="257" applyNumberFormat="1" applyFont="1" applyBorder="1"/>
    <xf numFmtId="43" fontId="0" fillId="0" borderId="0" xfId="257" applyNumberFormat="1" applyFont="1"/>
    <xf numFmtId="167" fontId="101" fillId="0" borderId="0" xfId="256" applyNumberFormat="1" applyFont="1" applyBorder="1"/>
    <xf numFmtId="167" fontId="0" fillId="0" borderId="0" xfId="257" applyNumberFormat="1" applyFont="1" applyBorder="1"/>
    <xf numFmtId="192" fontId="99" fillId="0" borderId="1" xfId="257" applyNumberFormat="1" applyFont="1" applyBorder="1"/>
    <xf numFmtId="9" fontId="98" fillId="0" borderId="0" xfId="169" applyFont="1" applyBorder="1"/>
    <xf numFmtId="44" fontId="98" fillId="0" borderId="0" xfId="70" applyFont="1" applyBorder="1"/>
    <xf numFmtId="192" fontId="100" fillId="0" borderId="1" xfId="257" applyNumberFormat="1" applyFont="1" applyBorder="1" applyAlignment="1">
      <alignment horizontal="right"/>
    </xf>
    <xf numFmtId="192" fontId="100" fillId="0" borderId="0" xfId="257" applyNumberFormat="1" applyFont="1" applyBorder="1" applyAlignment="1">
      <alignment horizontal="center"/>
    </xf>
    <xf numFmtId="192" fontId="0" fillId="0" borderId="6" xfId="257" applyNumberFormat="1" applyFont="1" applyBorder="1" applyAlignment="1">
      <alignment wrapText="1"/>
    </xf>
    <xf numFmtId="1" fontId="98" fillId="0" borderId="1" xfId="256" applyNumberFormat="1" applyFont="1" applyBorder="1"/>
    <xf numFmtId="170" fontId="98" fillId="0" borderId="0" xfId="169" applyNumberFormat="1" applyFont="1" applyBorder="1"/>
    <xf numFmtId="1" fontId="98" fillId="0" borderId="1" xfId="257" applyNumberFormat="1" applyFont="1" applyBorder="1"/>
    <xf numFmtId="197" fontId="0" fillId="0" borderId="0" xfId="257" applyNumberFormat="1" applyFont="1"/>
    <xf numFmtId="192" fontId="97" fillId="0" borderId="232" xfId="257" applyNumberFormat="1" applyFont="1" applyBorder="1"/>
    <xf numFmtId="192" fontId="98" fillId="0" borderId="245" xfId="257" applyNumberFormat="1" applyFont="1" applyBorder="1"/>
    <xf numFmtId="1" fontId="97" fillId="0" borderId="1" xfId="257" applyNumberFormat="1" applyFont="1" applyBorder="1"/>
    <xf numFmtId="192" fontId="100" fillId="0" borderId="1" xfId="257" applyNumberFormat="1" applyFont="1" applyBorder="1" applyAlignment="1">
      <alignment horizontal="right" wrapText="1"/>
    </xf>
    <xf numFmtId="43" fontId="98" fillId="0" borderId="0" xfId="256" applyFont="1" applyBorder="1"/>
    <xf numFmtId="192" fontId="0" fillId="0" borderId="27" xfId="257" applyNumberFormat="1" applyFont="1" applyBorder="1" applyAlignment="1">
      <alignment horizontal="left"/>
    </xf>
    <xf numFmtId="166" fontId="98" fillId="0" borderId="0" xfId="257" applyNumberFormat="1" applyFont="1" applyBorder="1"/>
    <xf numFmtId="165" fontId="98" fillId="0" borderId="0" xfId="70" applyNumberFormat="1" applyFont="1" applyBorder="1"/>
    <xf numFmtId="9" fontId="98" fillId="0" borderId="0" xfId="70" applyNumberFormat="1" applyFont="1" applyBorder="1"/>
    <xf numFmtId="1" fontId="98" fillId="0" borderId="0" xfId="257" applyNumberFormat="1" applyFont="1" applyBorder="1"/>
    <xf numFmtId="192" fontId="98" fillId="0" borderId="0" xfId="257" applyNumberFormat="1" applyFont="1" applyBorder="1" applyAlignment="1">
      <alignment wrapText="1"/>
    </xf>
    <xf numFmtId="1" fontId="100" fillId="0" borderId="0" xfId="257" applyNumberFormat="1" applyFont="1" applyBorder="1"/>
    <xf numFmtId="192" fontId="100" fillId="0" borderId="0" xfId="257" applyNumberFormat="1" applyFont="1" applyFill="1" applyBorder="1"/>
    <xf numFmtId="1" fontId="100" fillId="0" borderId="0" xfId="256" applyNumberFormat="1" applyFont="1" applyFill="1" applyBorder="1"/>
    <xf numFmtId="1" fontId="98" fillId="0" borderId="0" xfId="256" applyNumberFormat="1" applyFont="1" applyFill="1" applyBorder="1"/>
    <xf numFmtId="169" fontId="98" fillId="0" borderId="0" xfId="257" applyNumberFormat="1" applyFont="1" applyBorder="1"/>
    <xf numFmtId="2" fontId="98" fillId="0" borderId="0" xfId="257" applyNumberFormat="1" applyFont="1" applyBorder="1"/>
    <xf numFmtId="192" fontId="98" fillId="0" borderId="0" xfId="70" applyNumberFormat="1" applyFont="1" applyBorder="1"/>
    <xf numFmtId="9" fontId="98" fillId="0" borderId="0" xfId="169" applyFont="1" applyFill="1" applyBorder="1"/>
    <xf numFmtId="167" fontId="98" fillId="0" borderId="0" xfId="256" applyNumberFormat="1" applyFont="1" applyFill="1" applyBorder="1"/>
    <xf numFmtId="198" fontId="98" fillId="0" borderId="0" xfId="70" applyNumberFormat="1" applyFont="1" applyBorder="1"/>
    <xf numFmtId="192" fontId="103" fillId="0" borderId="1" xfId="257" applyNumberFormat="1" applyFont="1" applyBorder="1" applyAlignment="1">
      <alignment wrapText="1"/>
    </xf>
    <xf numFmtId="192" fontId="98" fillId="0" borderId="1" xfId="257" applyNumberFormat="1" applyFont="1" applyBorder="1" applyAlignment="1"/>
    <xf numFmtId="37" fontId="98" fillId="0" borderId="0" xfId="70" applyNumberFormat="1" applyFont="1" applyBorder="1"/>
    <xf numFmtId="199" fontId="0" fillId="0" borderId="0" xfId="257" applyNumberFormat="1" applyFont="1" applyBorder="1"/>
    <xf numFmtId="199" fontId="88" fillId="0" borderId="0" xfId="257" applyNumberFormat="1" applyFont="1" applyBorder="1"/>
    <xf numFmtId="192" fontId="98" fillId="0" borderId="232" xfId="257" applyNumberFormat="1" applyFont="1" applyBorder="1"/>
    <xf numFmtId="192" fontId="62" fillId="0" borderId="0" xfId="257" applyNumberFormat="1" applyFont="1" applyBorder="1"/>
    <xf numFmtId="192" fontId="98" fillId="0" borderId="0" xfId="137" applyNumberFormat="1" applyFont="1" applyFill="1" applyBorder="1"/>
    <xf numFmtId="169" fontId="104" fillId="0" borderId="0" xfId="137" applyNumberFormat="1" applyFont="1" applyBorder="1"/>
    <xf numFmtId="192" fontId="98" fillId="0" borderId="0" xfId="137" applyNumberFormat="1" applyFont="1" applyBorder="1"/>
    <xf numFmtId="192" fontId="90" fillId="0" borderId="244" xfId="257" applyNumberFormat="1" applyFont="1" applyBorder="1"/>
    <xf numFmtId="0" fontId="0" fillId="6" borderId="1" xfId="0" applyFill="1" applyBorder="1"/>
    <xf numFmtId="0" fontId="0" fillId="3" borderId="241" xfId="137" applyNumberFormat="1" applyFont="1" applyFill="1" applyBorder="1"/>
    <xf numFmtId="6" fontId="0" fillId="3" borderId="241" xfId="137" applyNumberFormat="1" applyFont="1" applyFill="1" applyBorder="1" applyAlignment="1">
      <alignment horizontal="center"/>
    </xf>
    <xf numFmtId="0" fontId="0" fillId="6" borderId="0" xfId="0" applyFill="1" applyBorder="1"/>
    <xf numFmtId="1" fontId="0" fillId="0" borderId="0" xfId="0" applyNumberFormat="1" applyFill="1" applyAlignment="1">
      <alignment horizontal="left"/>
    </xf>
    <xf numFmtId="0" fontId="0" fillId="0" borderId="241" xfId="0" applyBorder="1" applyAlignment="1">
      <alignment horizontal="center"/>
    </xf>
    <xf numFmtId="0" fontId="0" fillId="0" borderId="0" xfId="0" applyAlignment="1">
      <alignment horizontal="center" wrapText="1"/>
    </xf>
    <xf numFmtId="9" fontId="0" fillId="6" borderId="241" xfId="4" applyNumberFormat="1" applyFont="1" applyFill="1" applyBorder="1"/>
    <xf numFmtId="0" fontId="0" fillId="6" borderId="241" xfId="0" applyFill="1" applyBorder="1"/>
    <xf numFmtId="1" fontId="0" fillId="0" borderId="241" xfId="0" applyNumberFormat="1" applyBorder="1"/>
    <xf numFmtId="44" fontId="0" fillId="6" borderId="241" xfId="251" applyFont="1" applyFill="1" applyBorder="1"/>
    <xf numFmtId="9" fontId="0" fillId="6" borderId="241" xfId="4" applyFont="1" applyFill="1" applyBorder="1"/>
    <xf numFmtId="3" fontId="0" fillId="6" borderId="241" xfId="0" applyNumberFormat="1" applyFill="1" applyBorder="1"/>
    <xf numFmtId="0" fontId="0" fillId="6" borderId="0" xfId="0" applyFill="1"/>
    <xf numFmtId="0" fontId="0" fillId="0" borderId="254" xfId="0" applyBorder="1"/>
    <xf numFmtId="0" fontId="0" fillId="0" borderId="253" xfId="0" applyBorder="1"/>
    <xf numFmtId="8" fontId="0" fillId="21" borderId="241" xfId="0" applyNumberFormat="1" applyFill="1" applyBorder="1" applyAlignment="1">
      <alignment horizontal="center"/>
    </xf>
    <xf numFmtId="0" fontId="68" fillId="0" borderId="0" xfId="252" applyFont="1" applyFill="1" applyBorder="1" applyAlignment="1">
      <alignment vertical="center"/>
    </xf>
    <xf numFmtId="0" fontId="69" fillId="0" borderId="0" xfId="252" applyFont="1" applyFill="1" applyBorder="1" applyAlignment="1">
      <alignment vertical="top"/>
    </xf>
    <xf numFmtId="0" fontId="7" fillId="0" borderId="0" xfId="2" applyFont="1" applyFill="1" applyBorder="1"/>
    <xf numFmtId="0" fontId="52" fillId="0" borderId="0" xfId="0" applyFont="1" applyFill="1" applyBorder="1" applyAlignment="1">
      <alignment horizontal="center" vertical="center"/>
    </xf>
    <xf numFmtId="0" fontId="7" fillId="0" borderId="0" xfId="2" applyFont="1" applyFill="1" applyBorder="1" applyAlignment="1">
      <alignment horizontal="center"/>
    </xf>
    <xf numFmtId="0" fontId="6" fillId="0" borderId="0" xfId="0" applyFont="1" applyFill="1" applyBorder="1" applyAlignment="1">
      <alignment horizontal="center" vertical="top"/>
    </xf>
    <xf numFmtId="2" fontId="6" fillId="0" borderId="0" xfId="0" applyNumberFormat="1" applyFont="1" applyFill="1" applyBorder="1" applyAlignment="1">
      <alignment horizontal="center" vertical="top"/>
    </xf>
    <xf numFmtId="1" fontId="6" fillId="0" borderId="0" xfId="0" applyNumberFormat="1" applyFont="1" applyFill="1" applyBorder="1" applyAlignment="1">
      <alignment horizontal="center" vertical="top"/>
    </xf>
    <xf numFmtId="165" fontId="6" fillId="0" borderId="0" xfId="251" applyNumberFormat="1" applyFont="1" applyFill="1" applyBorder="1" applyAlignment="1">
      <alignment horizontal="center" vertical="top"/>
    </xf>
    <xf numFmtId="44" fontId="6" fillId="0" borderId="0" xfId="251" applyNumberFormat="1" applyFont="1" applyFill="1" applyBorder="1" applyAlignment="1">
      <alignment horizontal="center" vertical="top"/>
    </xf>
    <xf numFmtId="2" fontId="0" fillId="0" borderId="0" xfId="0" applyNumberFormat="1" applyFill="1" applyBorder="1"/>
    <xf numFmtId="0" fontId="71" fillId="0" borderId="0" xfId="2" applyFont="1" applyFill="1" applyBorder="1"/>
    <xf numFmtId="0" fontId="71" fillId="0" borderId="0" xfId="2" applyFont="1" applyFill="1" applyBorder="1" applyAlignment="1">
      <alignment horizontal="center"/>
    </xf>
    <xf numFmtId="0" fontId="72" fillId="0" borderId="0" xfId="0" applyFont="1" applyFill="1" applyBorder="1" applyAlignment="1">
      <alignment horizontal="center" vertical="top"/>
    </xf>
    <xf numFmtId="44" fontId="6" fillId="0" borderId="0" xfId="0" applyNumberFormat="1" applyFont="1" applyFill="1" applyBorder="1" applyAlignment="1">
      <alignment horizontal="center" vertical="top"/>
    </xf>
    <xf numFmtId="3" fontId="0" fillId="63" borderId="62" xfId="0" applyNumberFormat="1" applyFont="1" applyFill="1" applyBorder="1" applyAlignment="1">
      <alignment horizontal="center"/>
    </xf>
    <xf numFmtId="6" fontId="0" fillId="0" borderId="212" xfId="0" applyNumberFormat="1" applyBorder="1" applyAlignment="1">
      <alignment horizontal="center"/>
    </xf>
    <xf numFmtId="9" fontId="0" fillId="0" borderId="0" xfId="0" applyNumberFormat="1" applyBorder="1"/>
    <xf numFmtId="0" fontId="3" fillId="72" borderId="62" xfId="0" applyFont="1" applyFill="1" applyBorder="1"/>
    <xf numFmtId="0" fontId="34" fillId="32" borderId="62" xfId="0" applyFont="1" applyFill="1" applyBorder="1"/>
    <xf numFmtId="9" fontId="34" fillId="0" borderId="252" xfId="4" applyFont="1" applyFill="1" applyBorder="1" applyAlignment="1">
      <alignment horizontal="center"/>
    </xf>
    <xf numFmtId="0" fontId="34" fillId="0" borderId="253" xfId="0" applyFont="1" applyFill="1" applyBorder="1"/>
    <xf numFmtId="0" fontId="3" fillId="9" borderId="62" xfId="0" applyFont="1" applyFill="1" applyBorder="1"/>
    <xf numFmtId="3" fontId="3" fillId="9" borderId="62" xfId="0" applyNumberFormat="1" applyFont="1" applyFill="1" applyBorder="1" applyAlignment="1">
      <alignment horizontal="center"/>
    </xf>
    <xf numFmtId="3" fontId="3" fillId="72" borderId="62" xfId="0" applyNumberFormat="1" applyFont="1" applyFill="1" applyBorder="1" applyAlignment="1">
      <alignment horizontal="center"/>
    </xf>
    <xf numFmtId="3" fontId="34" fillId="32" borderId="62" xfId="0" applyNumberFormat="1" applyFont="1" applyFill="1" applyBorder="1" applyAlignment="1">
      <alignment horizontal="center"/>
    </xf>
    <xf numFmtId="9" fontId="0" fillId="3" borderId="0" xfId="0" applyNumberFormat="1" applyFill="1" applyAlignment="1">
      <alignment horizontal="center"/>
    </xf>
    <xf numFmtId="0" fontId="84" fillId="0" borderId="1" xfId="0" applyFont="1" applyBorder="1"/>
    <xf numFmtId="0" fontId="0" fillId="0" borderId="0" xfId="0" applyBorder="1" applyAlignment="1">
      <alignment horizontal="center"/>
    </xf>
    <xf numFmtId="0" fontId="0" fillId="0" borderId="255" xfId="0" applyBorder="1"/>
    <xf numFmtId="3" fontId="0" fillId="0" borderId="0" xfId="0" applyNumberFormat="1" applyBorder="1" applyAlignment="1">
      <alignment horizontal="center"/>
    </xf>
    <xf numFmtId="0" fontId="0" fillId="0" borderId="0" xfId="0" applyBorder="1" applyAlignment="1">
      <alignment horizontal="right"/>
    </xf>
    <xf numFmtId="9" fontId="0" fillId="0" borderId="255" xfId="0" applyNumberFormat="1" applyBorder="1"/>
    <xf numFmtId="9" fontId="0" fillId="68" borderId="212" xfId="0" applyNumberFormat="1" applyFill="1" applyBorder="1"/>
    <xf numFmtId="165" fontId="0" fillId="68" borderId="212" xfId="251" applyNumberFormat="1" applyFont="1" applyFill="1" applyBorder="1"/>
    <xf numFmtId="3" fontId="0" fillId="6" borderId="212" xfId="0" applyNumberFormat="1" applyFill="1" applyBorder="1"/>
    <xf numFmtId="0" fontId="0" fillId="68" borderId="212" xfId="0" applyFill="1" applyBorder="1"/>
    <xf numFmtId="3" fontId="34" fillId="32" borderId="212" xfId="0" applyNumberFormat="1" applyFont="1" applyFill="1" applyBorder="1" applyAlignment="1">
      <alignment horizontal="center"/>
    </xf>
    <xf numFmtId="3" fontId="0" fillId="0" borderId="1" xfId="0" applyNumberFormat="1" applyFill="1" applyBorder="1"/>
    <xf numFmtId="3" fontId="0" fillId="68" borderId="212" xfId="0" applyNumberFormat="1" applyFill="1" applyBorder="1"/>
    <xf numFmtId="8" fontId="0" fillId="0" borderId="1" xfId="0" applyNumberFormat="1" applyBorder="1"/>
    <xf numFmtId="6" fontId="0" fillId="0" borderId="1" xfId="0" applyNumberFormat="1" applyBorder="1"/>
    <xf numFmtId="0" fontId="0" fillId="0" borderId="1" xfId="0" applyNumberFormat="1" applyBorder="1"/>
    <xf numFmtId="0" fontId="4" fillId="3" borderId="0" xfId="1" applyFill="1" applyBorder="1" applyAlignment="1" applyProtection="1"/>
    <xf numFmtId="3" fontId="0" fillId="0" borderId="0" xfId="0" applyNumberFormat="1" applyAlignment="1">
      <alignment horizontal="center" vertical="center"/>
    </xf>
    <xf numFmtId="9" fontId="0" fillId="0" borderId="1" xfId="0" applyNumberFormat="1" applyBorder="1"/>
    <xf numFmtId="8" fontId="0" fillId="0" borderId="212" xfId="0" applyNumberFormat="1" applyBorder="1" applyAlignment="1">
      <alignment horizontal="center"/>
    </xf>
    <xf numFmtId="0" fontId="2" fillId="0" borderId="0" xfId="0" applyFont="1"/>
    <xf numFmtId="8" fontId="0" fillId="3" borderId="0" xfId="0" applyNumberFormat="1" applyFill="1"/>
    <xf numFmtId="0" fontId="0" fillId="0" borderId="0" xfId="0" applyAlignment="1">
      <alignment horizontal="center" wrapText="1"/>
    </xf>
    <xf numFmtId="0" fontId="2" fillId="3" borderId="0" xfId="0" applyFont="1" applyFill="1" applyAlignment="1">
      <alignment horizontal="center"/>
    </xf>
    <xf numFmtId="0" fontId="0" fillId="3" borderId="0" xfId="0" applyFill="1" applyAlignment="1">
      <alignment horizontal="left" indent="3"/>
    </xf>
    <xf numFmtId="0" fontId="2" fillId="3" borderId="0" xfId="0" applyFont="1" applyFill="1" applyAlignment="1">
      <alignment horizontal="left" indent="2"/>
    </xf>
    <xf numFmtId="3" fontId="2" fillId="3" borderId="0" xfId="0" applyNumberFormat="1" applyFont="1" applyFill="1" applyAlignment="1">
      <alignment horizontal="center"/>
    </xf>
    <xf numFmtId="0" fontId="2" fillId="3" borderId="256" xfId="0" applyFont="1" applyFill="1" applyBorder="1" applyAlignment="1">
      <alignment horizontal="left" indent="2"/>
    </xf>
    <xf numFmtId="0" fontId="2" fillId="3" borderId="256" xfId="0" applyFont="1" applyFill="1" applyBorder="1" applyAlignment="1">
      <alignment horizontal="center"/>
    </xf>
    <xf numFmtId="6" fontId="2" fillId="3" borderId="256" xfId="0" applyNumberFormat="1" applyFont="1" applyFill="1" applyBorder="1" applyAlignment="1">
      <alignment horizontal="center"/>
    </xf>
    <xf numFmtId="6" fontId="2" fillId="3" borderId="0" xfId="0" applyNumberFormat="1" applyFont="1" applyFill="1" applyAlignment="1">
      <alignment horizontal="center"/>
    </xf>
    <xf numFmtId="0" fontId="2" fillId="3" borderId="257" xfId="0" applyFont="1" applyFill="1" applyBorder="1" applyAlignment="1">
      <alignment horizontal="left"/>
    </xf>
    <xf numFmtId="0" fontId="2" fillId="3" borderId="257" xfId="0" applyFont="1" applyFill="1" applyBorder="1" applyAlignment="1">
      <alignment horizontal="center"/>
    </xf>
    <xf numFmtId="6" fontId="2" fillId="3" borderId="257" xfId="0" applyNumberFormat="1" applyFont="1" applyFill="1" applyBorder="1" applyAlignment="1">
      <alignment horizontal="center"/>
    </xf>
    <xf numFmtId="0" fontId="2" fillId="3" borderId="0" xfId="0" applyFont="1" applyFill="1" applyAlignment="1">
      <alignment horizontal="left"/>
    </xf>
    <xf numFmtId="3" fontId="2" fillId="3" borderId="256" xfId="0" applyNumberFormat="1" applyFont="1" applyFill="1" applyBorder="1" applyAlignment="1">
      <alignment horizontal="center"/>
    </xf>
    <xf numFmtId="3" fontId="2" fillId="3" borderId="0" xfId="0" applyNumberFormat="1" applyFont="1" applyFill="1" applyBorder="1" applyAlignment="1">
      <alignment horizontal="center"/>
    </xf>
    <xf numFmtId="6" fontId="0" fillId="6" borderId="241" xfId="0" applyNumberFormat="1" applyFill="1" applyBorder="1"/>
    <xf numFmtId="0" fontId="0" fillId="0" borderId="0" xfId="0" applyNumberFormat="1" applyBorder="1" applyAlignment="1">
      <alignment horizontal="center"/>
    </xf>
    <xf numFmtId="8" fontId="0" fillId="0" borderId="0" xfId="0" applyNumberFormat="1" applyBorder="1" applyAlignment="1">
      <alignment horizontal="center"/>
    </xf>
    <xf numFmtId="8" fontId="0" fillId="0" borderId="27" xfId="0" applyNumberFormat="1" applyBorder="1" applyAlignment="1">
      <alignment horizontal="center"/>
    </xf>
    <xf numFmtId="0" fontId="0" fillId="0" borderId="0" xfId="0" applyBorder="1" applyAlignment="1">
      <alignment horizontal="centerContinuous"/>
    </xf>
    <xf numFmtId="6" fontId="0" fillId="0" borderId="0" xfId="0" applyNumberFormat="1" applyBorder="1" applyAlignment="1">
      <alignment horizontal="center"/>
    </xf>
    <xf numFmtId="0" fontId="0" fillId="0" borderId="255" xfId="0" applyBorder="1" applyAlignment="1">
      <alignment horizontal="center"/>
    </xf>
    <xf numFmtId="0" fontId="0" fillId="0" borderId="255" xfId="0" applyBorder="1" applyAlignment="1">
      <alignment horizontal="centerContinuous"/>
    </xf>
    <xf numFmtId="188" fontId="0" fillId="0" borderId="0" xfId="0" applyNumberFormat="1"/>
    <xf numFmtId="0" fontId="0" fillId="0" borderId="0" xfId="0" applyNumberFormat="1" applyFill="1" applyBorder="1" applyAlignment="1">
      <alignment horizontal="center"/>
    </xf>
    <xf numFmtId="188" fontId="0" fillId="0" borderId="0" xfId="0" applyNumberFormat="1" applyBorder="1"/>
    <xf numFmtId="202" fontId="0" fillId="0" borderId="0" xfId="0" applyNumberFormat="1"/>
    <xf numFmtId="202" fontId="0" fillId="0" borderId="0" xfId="0" applyNumberFormat="1" applyBorder="1"/>
    <xf numFmtId="0" fontId="0" fillId="0" borderId="244" xfId="0" applyBorder="1" applyAlignment="1">
      <alignment horizontal="center"/>
    </xf>
    <xf numFmtId="3" fontId="0" fillId="0" borderId="244" xfId="0" applyNumberFormat="1" applyBorder="1" applyAlignment="1">
      <alignment horizontal="center"/>
    </xf>
    <xf numFmtId="0" fontId="0" fillId="63" borderId="62" xfId="0" applyFill="1" applyBorder="1"/>
    <xf numFmtId="0" fontId="0" fillId="3" borderId="0" xfId="0" applyFill="1" applyAlignment="1">
      <alignment horizontal="center"/>
    </xf>
    <xf numFmtId="0" fontId="0" fillId="3" borderId="0" xfId="0" applyFill="1" applyAlignment="1">
      <alignment horizontal="center"/>
    </xf>
    <xf numFmtId="10" fontId="13" fillId="0" borderId="0" xfId="0" applyNumberFormat="1" applyFont="1"/>
    <xf numFmtId="0" fontId="13" fillId="0" borderId="0" xfId="0" applyFont="1"/>
    <xf numFmtId="170" fontId="0" fillId="0" borderId="0" xfId="0" applyNumberFormat="1" applyBorder="1" applyAlignment="1">
      <alignment horizontal="center"/>
    </xf>
    <xf numFmtId="0" fontId="0" fillId="0" borderId="212" xfId="0" applyNumberFormat="1" applyBorder="1" applyAlignment="1">
      <alignment horizontal="center"/>
    </xf>
    <xf numFmtId="41" fontId="0" fillId="0" borderId="0" xfId="0" applyNumberFormat="1" applyAlignment="1">
      <alignment horizontal="right"/>
    </xf>
    <xf numFmtId="0" fontId="0" fillId="73" borderId="0" xfId="0" applyFill="1"/>
    <xf numFmtId="0" fontId="0" fillId="74" borderId="0" xfId="0" applyFill="1"/>
    <xf numFmtId="49" fontId="0" fillId="0" borderId="0" xfId="0" applyNumberFormat="1"/>
    <xf numFmtId="0" fontId="0" fillId="73" borderId="0" xfId="0" applyFill="1" applyBorder="1"/>
    <xf numFmtId="0" fontId="0" fillId="73" borderId="254" xfId="0" applyFill="1" applyBorder="1" applyAlignment="1">
      <alignment horizontal="center"/>
    </xf>
    <xf numFmtId="0" fontId="0" fillId="73" borderId="254" xfId="0" applyFill="1" applyBorder="1"/>
    <xf numFmtId="0" fontId="0" fillId="73" borderId="0" xfId="0" applyFill="1" applyAlignment="1">
      <alignment horizontal="center"/>
    </xf>
    <xf numFmtId="41" fontId="0" fillId="73" borderId="254" xfId="0" applyNumberFormat="1" applyFill="1" applyBorder="1" applyAlignment="1">
      <alignment horizontal="right"/>
    </xf>
    <xf numFmtId="49" fontId="0" fillId="73" borderId="254" xfId="0" applyNumberFormat="1" applyFill="1" applyBorder="1"/>
    <xf numFmtId="41" fontId="0" fillId="73" borderId="0" xfId="0" applyNumberFormat="1" applyFill="1" applyAlignment="1">
      <alignment horizontal="right"/>
    </xf>
    <xf numFmtId="49" fontId="0" fillId="73" borderId="0" xfId="0" applyNumberFormat="1" applyFill="1"/>
    <xf numFmtId="0" fontId="0" fillId="0" borderId="254" xfId="0" applyFill="1" applyBorder="1"/>
    <xf numFmtId="0" fontId="0" fillId="75" borderId="254" xfId="0" applyFill="1" applyBorder="1" applyAlignment="1">
      <alignment horizontal="center"/>
    </xf>
    <xf numFmtId="0" fontId="0" fillId="75" borderId="254" xfId="0" applyFill="1" applyBorder="1"/>
    <xf numFmtId="41" fontId="0" fillId="75" borderId="254" xfId="0" applyNumberFormat="1" applyFill="1" applyBorder="1" applyAlignment="1">
      <alignment horizontal="right"/>
    </xf>
    <xf numFmtId="0" fontId="89" fillId="75" borderId="254" xfId="0" applyFont="1" applyFill="1" applyBorder="1"/>
    <xf numFmtId="49" fontId="0" fillId="75" borderId="254" xfId="0" applyNumberFormat="1" applyFill="1" applyBorder="1"/>
    <xf numFmtId="0" fontId="2" fillId="0" borderId="0" xfId="0" applyFont="1" applyAlignment="1">
      <alignment horizontal="center"/>
    </xf>
    <xf numFmtId="0" fontId="2" fillId="0" borderId="0" xfId="0" applyFont="1" applyAlignment="1">
      <alignment horizontal="right" wrapText="1"/>
    </xf>
    <xf numFmtId="0" fontId="2" fillId="0" borderId="0" xfId="0" applyFont="1" applyAlignment="1">
      <alignment horizontal="center" wrapText="1"/>
    </xf>
    <xf numFmtId="41" fontId="2" fillId="0" borderId="0" xfId="0" applyNumberFormat="1" applyFont="1" applyAlignment="1">
      <alignment horizontal="right"/>
    </xf>
    <xf numFmtId="49" fontId="2" fillId="0" borderId="0" xfId="0" applyNumberFormat="1" applyFont="1"/>
    <xf numFmtId="0" fontId="0" fillId="0" borderId="254" xfId="0" applyBorder="1" applyAlignment="1">
      <alignment horizontal="center"/>
    </xf>
    <xf numFmtId="41" fontId="0" fillId="0" borderId="254" xfId="0" applyNumberFormat="1" applyBorder="1" applyAlignment="1">
      <alignment horizontal="right"/>
    </xf>
    <xf numFmtId="49" fontId="0" fillId="0" borderId="254" xfId="0" applyNumberFormat="1" applyBorder="1"/>
    <xf numFmtId="0" fontId="0" fillId="75" borderId="215" xfId="0" applyFill="1" applyBorder="1" applyAlignment="1">
      <alignment horizontal="center"/>
    </xf>
    <xf numFmtId="0" fontId="0" fillId="75" borderId="215" xfId="0" applyFill="1" applyBorder="1"/>
    <xf numFmtId="41" fontId="0" fillId="75" borderId="215" xfId="0" applyNumberFormat="1" applyFill="1" applyBorder="1" applyAlignment="1">
      <alignment horizontal="right"/>
    </xf>
    <xf numFmtId="0" fontId="89" fillId="75" borderId="215" xfId="0" applyFont="1" applyFill="1" applyBorder="1"/>
    <xf numFmtId="49" fontId="0" fillId="75" borderId="215" xfId="0" applyNumberFormat="1" applyFill="1" applyBorder="1"/>
    <xf numFmtId="0" fontId="0" fillId="74" borderId="0" xfId="0" applyFill="1" applyBorder="1"/>
    <xf numFmtId="0" fontId="0" fillId="74" borderId="254" xfId="0" applyFill="1" applyBorder="1" applyAlignment="1">
      <alignment horizontal="center"/>
    </xf>
    <xf numFmtId="0" fontId="0" fillId="74" borderId="254" xfId="0" applyFill="1" applyBorder="1"/>
    <xf numFmtId="0" fontId="0" fillId="74" borderId="0" xfId="0" applyFill="1" applyAlignment="1">
      <alignment horizontal="center"/>
    </xf>
    <xf numFmtId="41" fontId="0" fillId="74" borderId="254" xfId="0" applyNumberFormat="1" applyFill="1" applyBorder="1" applyAlignment="1">
      <alignment horizontal="right"/>
    </xf>
    <xf numFmtId="49" fontId="0" fillId="74" borderId="254" xfId="0" applyNumberFormat="1" applyFill="1" applyBorder="1"/>
    <xf numFmtId="0" fontId="0" fillId="0" borderId="0" xfId="0" applyFill="1" applyAlignment="1">
      <alignment horizontal="center"/>
    </xf>
    <xf numFmtId="49" fontId="0" fillId="0" borderId="0" xfId="0" applyNumberFormat="1" applyFill="1"/>
    <xf numFmtId="0" fontId="0" fillId="23" borderId="0" xfId="0" applyFill="1" applyAlignment="1">
      <alignment horizontal="center"/>
    </xf>
    <xf numFmtId="41" fontId="0" fillId="23" borderId="0" xfId="0" applyNumberFormat="1" applyFill="1" applyAlignment="1">
      <alignment horizontal="right"/>
    </xf>
    <xf numFmtId="0" fontId="0" fillId="23" borderId="0" xfId="0" applyFill="1" applyAlignment="1">
      <alignment horizontal="left"/>
    </xf>
    <xf numFmtId="3" fontId="0" fillId="74" borderId="254" xfId="0" applyNumberFormat="1" applyFill="1" applyBorder="1"/>
    <xf numFmtId="3" fontId="0" fillId="74" borderId="0" xfId="0" applyNumberFormat="1" applyFill="1"/>
    <xf numFmtId="41" fontId="0" fillId="74" borderId="0" xfId="0" applyNumberFormat="1" applyFill="1" applyAlignment="1">
      <alignment horizontal="right"/>
    </xf>
    <xf numFmtId="49" fontId="0" fillId="74" borderId="0" xfId="0" applyNumberFormat="1" applyFill="1"/>
    <xf numFmtId="3" fontId="0" fillId="0" borderId="254" xfId="0" applyNumberFormat="1" applyBorder="1"/>
    <xf numFmtId="0" fontId="0" fillId="6" borderId="254" xfId="0" applyFill="1" applyBorder="1"/>
    <xf numFmtId="3" fontId="0" fillId="0" borderId="0" xfId="0" applyNumberFormat="1" applyBorder="1"/>
    <xf numFmtId="41" fontId="0" fillId="0" borderId="0" xfId="0" applyNumberFormat="1" applyBorder="1" applyAlignment="1">
      <alignment horizontal="right"/>
    </xf>
    <xf numFmtId="49" fontId="0" fillId="0" borderId="0" xfId="0" applyNumberFormat="1" applyBorder="1"/>
    <xf numFmtId="3" fontId="0" fillId="0" borderId="0" xfId="0" applyNumberFormat="1" applyFill="1"/>
    <xf numFmtId="41" fontId="0" fillId="0" borderId="0" xfId="0" applyNumberFormat="1" applyFill="1" applyAlignment="1">
      <alignment horizontal="right"/>
    </xf>
    <xf numFmtId="0" fontId="0" fillId="0" borderId="0" xfId="0" applyFill="1" applyBorder="1" applyAlignment="1">
      <alignment horizontal="center"/>
    </xf>
    <xf numFmtId="3" fontId="0" fillId="0" borderId="0" xfId="0" applyNumberFormat="1" applyFill="1" applyBorder="1"/>
    <xf numFmtId="41" fontId="0" fillId="0" borderId="0" xfId="0" applyNumberFormat="1" applyFill="1" applyBorder="1" applyAlignment="1">
      <alignment horizontal="right"/>
    </xf>
    <xf numFmtId="49" fontId="0" fillId="0" borderId="0" xfId="0" applyNumberFormat="1" applyFill="1" applyBorder="1"/>
    <xf numFmtId="0" fontId="74" fillId="0" borderId="0" xfId="0" applyFont="1" applyAlignment="1">
      <alignment horizontal="center"/>
    </xf>
    <xf numFmtId="3" fontId="0" fillId="23" borderId="0" xfId="0" applyNumberFormat="1" applyFill="1"/>
    <xf numFmtId="0" fontId="0" fillId="23" borderId="0" xfId="0" applyFill="1"/>
    <xf numFmtId="49" fontId="0" fillId="23" borderId="0" xfId="0" applyNumberFormat="1" applyFill="1"/>
    <xf numFmtId="8" fontId="0" fillId="0" borderId="0" xfId="0" applyNumberFormat="1" applyAlignment="1">
      <alignment horizontal="center"/>
    </xf>
    <xf numFmtId="9" fontId="0" fillId="0" borderId="0" xfId="0" applyNumberFormat="1" applyAlignment="1">
      <alignment horizontal="center"/>
    </xf>
    <xf numFmtId="41" fontId="0" fillId="0" borderId="0" xfId="0" applyNumberFormat="1" applyAlignment="1">
      <alignment horizontal="center"/>
    </xf>
    <xf numFmtId="41" fontId="0" fillId="0" borderId="254" xfId="0" applyNumberFormat="1" applyBorder="1" applyAlignment="1">
      <alignment horizontal="center"/>
    </xf>
    <xf numFmtId="0" fontId="0" fillId="0" borderId="0" xfId="0" applyAlignment="1">
      <alignment horizontal="left" indent="6"/>
    </xf>
    <xf numFmtId="43" fontId="0" fillId="0" borderId="0" xfId="0" applyNumberFormat="1" applyAlignment="1">
      <alignment horizontal="center"/>
    </xf>
    <xf numFmtId="0" fontId="2" fillId="75" borderId="254" xfId="0" applyFont="1" applyFill="1" applyBorder="1" applyAlignment="1">
      <alignment horizontal="center"/>
    </xf>
    <xf numFmtId="0" fontId="2" fillId="0" borderId="0" xfId="0" applyFont="1" applyAlignment="1">
      <alignment horizontal="right"/>
    </xf>
    <xf numFmtId="6" fontId="0" fillId="0" borderId="254" xfId="0" applyNumberFormat="1" applyBorder="1" applyAlignment="1">
      <alignment horizontal="center"/>
    </xf>
    <xf numFmtId="9" fontId="0" fillId="0" borderId="0" xfId="0" applyNumberFormat="1" applyAlignment="1">
      <alignment horizontal="right"/>
    </xf>
    <xf numFmtId="6" fontId="0" fillId="21" borderId="212" xfId="0" applyNumberFormat="1" applyFill="1" applyBorder="1" applyAlignment="1">
      <alignment horizontal="right"/>
    </xf>
    <xf numFmtId="41" fontId="0" fillId="21" borderId="212" xfId="0" applyNumberFormat="1" applyFill="1" applyBorder="1" applyAlignment="1">
      <alignment horizontal="right"/>
    </xf>
    <xf numFmtId="6" fontId="2" fillId="0" borderId="0" xfId="0" applyNumberFormat="1" applyFont="1" applyAlignment="1">
      <alignment horizontal="center"/>
    </xf>
    <xf numFmtId="9" fontId="0" fillId="0" borderId="254" xfId="0" applyNumberFormat="1" applyBorder="1" applyAlignment="1">
      <alignment horizontal="right"/>
    </xf>
    <xf numFmtId="6" fontId="0" fillId="21" borderId="6" xfId="0" applyNumberFormat="1" applyFill="1" applyBorder="1" applyAlignment="1">
      <alignment horizontal="center"/>
    </xf>
    <xf numFmtId="0" fontId="0" fillId="21" borderId="6" xfId="0" applyFill="1" applyBorder="1" applyAlignment="1">
      <alignment horizontal="center"/>
    </xf>
    <xf numFmtId="6" fontId="0" fillId="21" borderId="258" xfId="0" applyNumberFormat="1" applyFill="1" applyBorder="1" applyAlignment="1">
      <alignment horizontal="center"/>
    </xf>
    <xf numFmtId="0" fontId="0" fillId="21" borderId="258" xfId="0" applyFill="1" applyBorder="1" applyAlignment="1">
      <alignment horizontal="center"/>
    </xf>
    <xf numFmtId="0" fontId="2" fillId="75" borderId="254" xfId="0" applyFont="1" applyFill="1" applyBorder="1"/>
    <xf numFmtId="0" fontId="0" fillId="0" borderId="0" xfId="0" quotePrefix="1"/>
    <xf numFmtId="0" fontId="2" fillId="0" borderId="0" xfId="0" applyFont="1" applyAlignment="1"/>
    <xf numFmtId="49" fontId="0" fillId="0" borderId="0" xfId="0" applyNumberFormat="1" applyAlignment="1">
      <alignment horizontal="center"/>
    </xf>
    <xf numFmtId="0" fontId="0" fillId="6" borderId="212" xfId="0" applyFill="1" applyBorder="1" applyAlignment="1">
      <alignment horizontal="center"/>
    </xf>
    <xf numFmtId="0" fontId="0" fillId="0" borderId="0" xfId="0" pivotButton="1"/>
    <xf numFmtId="203" fontId="0" fillId="0" borderId="0" xfId="0" applyNumberFormat="1" applyAlignment="1">
      <alignment horizontal="center"/>
    </xf>
    <xf numFmtId="204" fontId="0" fillId="0" borderId="0" xfId="0" applyNumberFormat="1" applyAlignment="1">
      <alignment horizontal="center"/>
    </xf>
    <xf numFmtId="38" fontId="0" fillId="0" borderId="259" xfId="0" applyNumberFormat="1" applyBorder="1"/>
    <xf numFmtId="0" fontId="0" fillId="0" borderId="260" xfId="0" applyBorder="1"/>
    <xf numFmtId="0" fontId="0" fillId="0" borderId="261" xfId="0" applyBorder="1"/>
    <xf numFmtId="38" fontId="9" fillId="0" borderId="259" xfId="0" applyNumberFormat="1" applyFont="1" applyBorder="1"/>
    <xf numFmtId="0" fontId="7" fillId="0" borderId="0" xfId="2"/>
    <xf numFmtId="0" fontId="7" fillId="0" borderId="0" xfId="2" applyFont="1"/>
    <xf numFmtId="38" fontId="7" fillId="0" borderId="0" xfId="2" applyNumberFormat="1" applyAlignment="1">
      <alignment horizontal="right"/>
    </xf>
    <xf numFmtId="0" fontId="7" fillId="0" borderId="0" xfId="2" applyAlignment="1">
      <alignment horizontal="center"/>
    </xf>
    <xf numFmtId="14" fontId="7" fillId="0" borderId="0" xfId="2" applyNumberFormat="1" applyAlignment="1">
      <alignment horizontal="right"/>
    </xf>
    <xf numFmtId="38" fontId="7" fillId="0" borderId="0" xfId="2" applyNumberFormat="1" applyFill="1" applyAlignment="1">
      <alignment horizontal="right"/>
    </xf>
    <xf numFmtId="0" fontId="7" fillId="0" borderId="0" xfId="2" applyFill="1"/>
    <xf numFmtId="0" fontId="7" fillId="0" borderId="0" xfId="2" applyFill="1" applyAlignment="1">
      <alignment horizontal="center"/>
    </xf>
    <xf numFmtId="14" fontId="7" fillId="0" borderId="0" xfId="2" applyNumberFormat="1" applyFill="1" applyAlignment="1">
      <alignment horizontal="right"/>
    </xf>
    <xf numFmtId="0" fontId="7" fillId="0" borderId="0" xfId="2" applyFont="1" applyBorder="1"/>
    <xf numFmtId="0" fontId="7" fillId="0" borderId="37" xfId="2" applyFont="1" applyBorder="1"/>
    <xf numFmtId="38" fontId="7" fillId="0" borderId="37" xfId="2" applyNumberFormat="1" applyFill="1" applyBorder="1" applyAlignment="1">
      <alignment horizontal="right"/>
    </xf>
    <xf numFmtId="0" fontId="7" fillId="0" borderId="37" xfId="2" applyFill="1" applyBorder="1"/>
    <xf numFmtId="0" fontId="7" fillId="0" borderId="37" xfId="2" applyFill="1" applyBorder="1" applyAlignment="1">
      <alignment horizontal="center"/>
    </xf>
    <xf numFmtId="14" fontId="7" fillId="0" borderId="37" xfId="2" applyNumberFormat="1" applyFill="1" applyBorder="1" applyAlignment="1">
      <alignment horizontal="right"/>
    </xf>
    <xf numFmtId="205" fontId="7" fillId="0" borderId="37" xfId="2" applyNumberFormat="1" applyFill="1" applyBorder="1" applyAlignment="1">
      <alignment horizontal="right"/>
    </xf>
    <xf numFmtId="14" fontId="7" fillId="0" borderId="0" xfId="2" applyNumberFormat="1" applyFill="1"/>
    <xf numFmtId="14" fontId="7" fillId="0" borderId="0" xfId="2" applyNumberFormat="1"/>
    <xf numFmtId="0" fontId="7" fillId="70" borderId="0" xfId="2" applyFill="1"/>
    <xf numFmtId="40" fontId="7" fillId="0" borderId="0" xfId="2" applyNumberFormat="1" applyFont="1" applyAlignment="1">
      <alignment horizontal="right"/>
    </xf>
    <xf numFmtId="38" fontId="7" fillId="0" borderId="0" xfId="2" applyNumberFormat="1" applyBorder="1" applyAlignment="1">
      <alignment horizontal="right"/>
    </xf>
    <xf numFmtId="38" fontId="7" fillId="0" borderId="0" xfId="2" applyNumberFormat="1" applyFont="1" applyAlignment="1">
      <alignment horizontal="right"/>
    </xf>
    <xf numFmtId="0" fontId="7" fillId="0" borderId="0" xfId="2" applyBorder="1"/>
    <xf numFmtId="0" fontId="7" fillId="0" borderId="0" xfId="2" applyBorder="1" applyAlignment="1">
      <alignment horizontal="center"/>
    </xf>
    <xf numFmtId="14" fontId="7" fillId="0" borderId="0" xfId="2" applyNumberFormat="1" applyBorder="1" applyAlignment="1">
      <alignment horizontal="right"/>
    </xf>
    <xf numFmtId="14" fontId="7" fillId="0" borderId="0" xfId="2" applyNumberFormat="1" applyBorder="1"/>
    <xf numFmtId="44" fontId="7" fillId="0" borderId="0" xfId="2" applyNumberFormat="1"/>
    <xf numFmtId="38" fontId="7" fillId="0" borderId="0" xfId="2" applyNumberFormat="1"/>
    <xf numFmtId="8" fontId="7" fillId="0" borderId="0" xfId="2" applyNumberFormat="1"/>
    <xf numFmtId="0" fontId="7" fillId="0" borderId="0" xfId="2" applyAlignment="1">
      <alignment wrapText="1"/>
    </xf>
    <xf numFmtId="165" fontId="111" fillId="3" borderId="0" xfId="3" applyNumberFormat="1" applyFont="1" applyFill="1" applyBorder="1" applyAlignment="1">
      <alignment vertical="center"/>
    </xf>
    <xf numFmtId="165" fontId="111" fillId="3" borderId="44" xfId="3" applyNumberFormat="1" applyFont="1" applyFill="1" applyBorder="1" applyAlignment="1">
      <alignment vertical="center"/>
    </xf>
    <xf numFmtId="0" fontId="111" fillId="3" borderId="44" xfId="2" applyFont="1" applyFill="1" applyBorder="1" applyAlignment="1">
      <alignment vertical="center"/>
    </xf>
    <xf numFmtId="0" fontId="9" fillId="3" borderId="44" xfId="2" applyFont="1" applyFill="1" applyBorder="1" applyAlignment="1">
      <alignment horizontal="center" vertical="center"/>
    </xf>
    <xf numFmtId="0" fontId="9" fillId="3" borderId="44" xfId="2" applyFont="1" applyFill="1" applyBorder="1" applyAlignment="1">
      <alignment vertical="center"/>
    </xf>
    <xf numFmtId="0" fontId="111" fillId="3" borderId="44" xfId="2" applyFont="1" applyFill="1" applyBorder="1" applyAlignment="1">
      <alignment horizontal="left" vertical="center"/>
    </xf>
    <xf numFmtId="3" fontId="7" fillId="0" borderId="0" xfId="2" applyNumberFormat="1"/>
    <xf numFmtId="0" fontId="9" fillId="3" borderId="0" xfId="2" applyFont="1" applyFill="1" applyBorder="1" applyAlignment="1">
      <alignment horizontal="center"/>
    </xf>
    <xf numFmtId="38" fontId="9" fillId="3" borderId="0" xfId="2" applyNumberFormat="1" applyFont="1" applyFill="1" applyBorder="1" applyAlignment="1">
      <alignment horizontal="center"/>
    </xf>
    <xf numFmtId="38" fontId="9" fillId="3" borderId="37" xfId="2" applyNumberFormat="1" applyFont="1" applyFill="1" applyBorder="1" applyAlignment="1">
      <alignment horizontal="center"/>
    </xf>
    <xf numFmtId="0" fontId="9" fillId="3" borderId="37" xfId="2" applyFont="1" applyFill="1" applyBorder="1"/>
    <xf numFmtId="0" fontId="9" fillId="3" borderId="37" xfId="2" applyFont="1" applyFill="1" applyBorder="1" applyAlignment="1">
      <alignment horizontal="center"/>
    </xf>
    <xf numFmtId="38" fontId="9" fillId="3" borderId="37" xfId="2" applyNumberFormat="1" applyFont="1" applyFill="1" applyBorder="1" applyAlignment="1">
      <alignment horizontal="center" wrapText="1"/>
    </xf>
    <xf numFmtId="0" fontId="7" fillId="3" borderId="0" xfId="2" applyFont="1" applyFill="1"/>
    <xf numFmtId="38" fontId="9" fillId="3" borderId="0" xfId="2" applyNumberFormat="1" applyFont="1" applyFill="1" applyAlignment="1">
      <alignment horizontal="center"/>
    </xf>
    <xf numFmtId="38" fontId="112" fillId="3" borderId="0" xfId="2" applyNumberFormat="1" applyFont="1" applyFill="1" applyAlignment="1">
      <alignment horizontal="center" vertical="center"/>
    </xf>
    <xf numFmtId="0" fontId="9" fillId="3" borderId="0" xfId="2" applyFont="1" applyFill="1" applyAlignment="1">
      <alignment horizontal="center"/>
    </xf>
    <xf numFmtId="9" fontId="7" fillId="0" borderId="0" xfId="2" applyNumberFormat="1"/>
    <xf numFmtId="0" fontId="113" fillId="3" borderId="0" xfId="2" applyFont="1" applyFill="1" applyAlignment="1">
      <alignment horizontal="center"/>
    </xf>
    <xf numFmtId="0" fontId="8" fillId="3" borderId="0" xfId="2" applyFont="1" applyFill="1" applyAlignment="1">
      <alignment horizontal="center"/>
    </xf>
    <xf numFmtId="0" fontId="114" fillId="3" borderId="0" xfId="2" applyFont="1" applyFill="1"/>
    <xf numFmtId="0" fontId="7" fillId="3" borderId="0" xfId="2" applyFill="1" applyAlignment="1">
      <alignment horizontal="center"/>
    </xf>
    <xf numFmtId="38" fontId="7" fillId="3" borderId="0" xfId="2" applyNumberFormat="1" applyFill="1" applyAlignment="1">
      <alignment horizontal="right"/>
    </xf>
    <xf numFmtId="0" fontId="7" fillId="3" borderId="0" xfId="2" applyFill="1"/>
    <xf numFmtId="0" fontId="0" fillId="6" borderId="212" xfId="0" applyFill="1" applyBorder="1"/>
    <xf numFmtId="165" fontId="0" fillId="6" borderId="212" xfId="251" applyNumberFormat="1" applyFont="1" applyFill="1" applyBorder="1"/>
    <xf numFmtId="9" fontId="0" fillId="6" borderId="212" xfId="4" applyFont="1" applyFill="1" applyBorder="1"/>
    <xf numFmtId="206" fontId="0" fillId="3" borderId="0" xfId="0" applyNumberFormat="1" applyFill="1"/>
    <xf numFmtId="0" fontId="0" fillId="3" borderId="62" xfId="0" applyFill="1" applyBorder="1"/>
    <xf numFmtId="3" fontId="0" fillId="6" borderId="62" xfId="0" applyNumberFormat="1" applyFont="1" applyFill="1" applyBorder="1" applyAlignment="1">
      <alignment horizontal="center"/>
    </xf>
    <xf numFmtId="8" fontId="0" fillId="3" borderId="0" xfId="0" applyNumberFormat="1" applyFill="1" applyAlignment="1">
      <alignment horizontal="center"/>
    </xf>
    <xf numFmtId="0" fontId="2" fillId="36" borderId="0" xfId="0" applyFont="1" applyFill="1" applyAlignment="1">
      <alignment horizontal="center"/>
    </xf>
    <xf numFmtId="0" fontId="0" fillId="36" borderId="0" xfId="0" applyFill="1" applyAlignment="1">
      <alignment horizontal="center"/>
    </xf>
    <xf numFmtId="6" fontId="0" fillId="36" borderId="0" xfId="0" applyNumberFormat="1" applyFill="1" applyAlignment="1">
      <alignment horizontal="center"/>
    </xf>
    <xf numFmtId="6" fontId="2" fillId="36" borderId="0" xfId="0" applyNumberFormat="1" applyFont="1" applyFill="1" applyAlignment="1">
      <alignment horizontal="center"/>
    </xf>
    <xf numFmtId="6" fontId="2" fillId="36" borderId="256" xfId="0" applyNumberFormat="1" applyFont="1" applyFill="1" applyBorder="1" applyAlignment="1">
      <alignment horizontal="center"/>
    </xf>
    <xf numFmtId="6" fontId="2" fillId="36" borderId="257" xfId="0" applyNumberFormat="1" applyFont="1" applyFill="1" applyBorder="1" applyAlignment="1">
      <alignment horizontal="center"/>
    </xf>
    <xf numFmtId="0" fontId="0" fillId="3" borderId="0" xfId="0" applyFill="1" applyAlignment="1">
      <alignment horizontal="center"/>
    </xf>
    <xf numFmtId="0" fontId="0" fillId="5" borderId="0" xfId="0" applyFill="1" applyAlignment="1">
      <alignment horizontal="left" indent="3"/>
    </xf>
    <xf numFmtId="0" fontId="0" fillId="5" borderId="0" xfId="0" applyFill="1" applyAlignment="1">
      <alignment horizontal="center"/>
    </xf>
    <xf numFmtId="6" fontId="0" fillId="5" borderId="0" xfId="0" applyNumberFormat="1" applyFill="1" applyAlignment="1">
      <alignment horizontal="center"/>
    </xf>
    <xf numFmtId="0" fontId="0" fillId="5" borderId="0" xfId="0" applyFill="1" applyBorder="1"/>
    <xf numFmtId="0" fontId="2" fillId="5" borderId="0" xfId="0" applyFont="1" applyFill="1" applyAlignment="1">
      <alignment horizontal="left" indent="2"/>
    </xf>
    <xf numFmtId="0" fontId="2" fillId="5" borderId="0" xfId="0" applyFont="1" applyFill="1" applyAlignment="1">
      <alignment horizontal="center"/>
    </xf>
    <xf numFmtId="6" fontId="2" fillId="5" borderId="0" xfId="0" applyNumberFormat="1" applyFont="1" applyFill="1" applyAlignment="1">
      <alignment horizontal="center"/>
    </xf>
    <xf numFmtId="0" fontId="2" fillId="5" borderId="256" xfId="0" applyFont="1" applyFill="1" applyBorder="1" applyAlignment="1">
      <alignment horizontal="left" indent="2"/>
    </xf>
    <xf numFmtId="0" fontId="2" fillId="5" borderId="256" xfId="0" applyFont="1" applyFill="1" applyBorder="1" applyAlignment="1">
      <alignment horizontal="center"/>
    </xf>
    <xf numFmtId="6" fontId="2" fillId="5" borderId="256" xfId="0" applyNumberFormat="1" applyFont="1" applyFill="1" applyBorder="1" applyAlignment="1">
      <alignment horizontal="center"/>
    </xf>
    <xf numFmtId="0" fontId="2" fillId="76" borderId="0" xfId="0" applyFont="1" applyFill="1" applyAlignment="1">
      <alignment horizontal="center"/>
    </xf>
    <xf numFmtId="6" fontId="0" fillId="76" borderId="0" xfId="0" applyNumberFormat="1" applyFill="1" applyAlignment="1">
      <alignment horizontal="center"/>
    </xf>
    <xf numFmtId="6" fontId="2" fillId="76" borderId="0" xfId="0" applyNumberFormat="1" applyFont="1" applyFill="1" applyAlignment="1">
      <alignment horizontal="center"/>
    </xf>
    <xf numFmtId="6" fontId="2" fillId="76" borderId="256" xfId="0" applyNumberFormat="1" applyFont="1" applyFill="1" applyBorder="1" applyAlignment="1">
      <alignment horizontal="center"/>
    </xf>
    <xf numFmtId="172" fontId="0" fillId="3" borderId="212" xfId="0" applyNumberFormat="1" applyFill="1" applyBorder="1" applyAlignment="1">
      <alignment vertical="center"/>
    </xf>
    <xf numFmtId="0" fontId="115" fillId="0" borderId="212" xfId="1" applyFont="1" applyBorder="1" applyAlignment="1" applyProtection="1">
      <alignment horizontal="left" vertical="center" indent="2"/>
    </xf>
    <xf numFmtId="0" fontId="3" fillId="2" borderId="70" xfId="0" applyFont="1" applyFill="1" applyBorder="1" applyAlignment="1">
      <alignment horizontal="center"/>
    </xf>
    <xf numFmtId="0" fontId="0" fillId="0" borderId="0" xfId="137" applyNumberFormat="1" applyFont="1" applyAlignment="1">
      <alignment horizontal="center" vertical="center" wrapText="1"/>
    </xf>
    <xf numFmtId="8" fontId="0" fillId="0" borderId="0" xfId="137" applyNumberFormat="1" applyFont="1" applyAlignment="1">
      <alignment horizontal="center" wrapText="1"/>
    </xf>
    <xf numFmtId="0" fontId="0" fillId="3" borderId="0" xfId="0" applyFill="1" applyAlignment="1">
      <alignment horizontal="center"/>
    </xf>
    <xf numFmtId="0" fontId="4" fillId="0" borderId="212" xfId="1" applyBorder="1" applyAlignment="1" applyProtection="1">
      <alignment horizontal="left" vertical="center" indent="2"/>
    </xf>
    <xf numFmtId="0" fontId="0" fillId="3" borderId="0" xfId="0" applyFill="1" applyAlignment="1">
      <alignment vertical="center" wrapText="1"/>
    </xf>
    <xf numFmtId="0" fontId="2" fillId="3" borderId="0" xfId="0" applyFont="1" applyFill="1" applyAlignment="1">
      <alignment horizontal="center" vertical="center" wrapText="1"/>
    </xf>
    <xf numFmtId="43" fontId="0" fillId="3" borderId="0" xfId="0" applyNumberFormat="1" applyFill="1"/>
    <xf numFmtId="170" fontId="0" fillId="3" borderId="0" xfId="0" applyNumberFormat="1" applyFill="1"/>
    <xf numFmtId="0" fontId="0" fillId="0" borderId="0" xfId="0" applyAlignment="1">
      <alignment horizontal="center" vertical="center" wrapText="1"/>
    </xf>
    <xf numFmtId="0" fontId="0" fillId="0" borderId="0" xfId="0" applyAlignment="1">
      <alignment horizontal="center" wrapText="1"/>
    </xf>
    <xf numFmtId="1" fontId="0" fillId="0" borderId="0" xfId="0" applyNumberFormat="1" applyAlignment="1">
      <alignment horizontal="center" vertical="center"/>
    </xf>
    <xf numFmtId="1" fontId="3" fillId="2" borderId="14" xfId="0" applyNumberFormat="1" applyFont="1" applyFill="1" applyBorder="1" applyAlignment="1">
      <alignment horizontal="center" vertical="center"/>
    </xf>
    <xf numFmtId="3" fontId="0" fillId="5" borderId="6" xfId="0" applyNumberFormat="1" applyFill="1" applyBorder="1" applyAlignment="1">
      <alignment horizontal="center" vertical="center"/>
    </xf>
    <xf numFmtId="1" fontId="2" fillId="0" borderId="0" xfId="0" applyNumberFormat="1" applyFont="1" applyAlignment="1">
      <alignment horizontal="center" vertical="center"/>
    </xf>
    <xf numFmtId="6" fontId="0" fillId="0" borderId="0" xfId="0" applyNumberFormat="1" applyFill="1" applyAlignment="1">
      <alignment horizontal="center" vertical="center"/>
    </xf>
    <xf numFmtId="1" fontId="0" fillId="0" borderId="0" xfId="0" applyNumberFormat="1" applyFill="1" applyAlignment="1">
      <alignment horizontal="center" vertical="center"/>
    </xf>
    <xf numFmtId="0" fontId="3" fillId="2" borderId="262" xfId="0" applyFont="1" applyFill="1" applyBorder="1" applyAlignment="1">
      <alignment horizontal="center" vertical="center" wrapText="1"/>
    </xf>
    <xf numFmtId="0" fontId="3" fillId="2" borderId="0" xfId="0" applyFont="1" applyFill="1" applyBorder="1" applyAlignment="1">
      <alignment horizontal="center" vertical="center" wrapText="1"/>
    </xf>
    <xf numFmtId="6" fontId="0" fillId="0" borderId="62" xfId="4" applyNumberFormat="1" applyFont="1" applyBorder="1"/>
    <xf numFmtId="8" fontId="0" fillId="0" borderId="62" xfId="0" applyNumberFormat="1" applyBorder="1"/>
    <xf numFmtId="184" fontId="0" fillId="0" borderId="0" xfId="0" applyNumberFormat="1"/>
    <xf numFmtId="3" fontId="0" fillId="6" borderId="0" xfId="0" applyNumberFormat="1" applyFill="1"/>
    <xf numFmtId="3" fontId="0" fillId="0" borderId="212" xfId="0" applyNumberFormat="1" applyBorder="1"/>
    <xf numFmtId="172" fontId="0" fillId="32" borderId="2" xfId="0" applyNumberFormat="1" applyFill="1" applyBorder="1" applyAlignment="1">
      <alignment horizontal="center" vertical="center"/>
    </xf>
    <xf numFmtId="172" fontId="0" fillId="32" borderId="45" xfId="0" applyNumberFormat="1" applyFill="1" applyBorder="1" applyAlignment="1">
      <alignment horizontal="center" vertical="center"/>
    </xf>
    <xf numFmtId="172" fontId="0" fillId="21" borderId="26" xfId="0" applyNumberFormat="1" applyFill="1" applyBorder="1" applyAlignment="1">
      <alignment horizontal="center" vertical="center"/>
    </xf>
    <xf numFmtId="172" fontId="0" fillId="21" borderId="45" xfId="0" applyNumberFormat="1" applyFill="1" applyBorder="1" applyAlignment="1">
      <alignment horizontal="center" vertical="center"/>
    </xf>
    <xf numFmtId="172" fontId="0" fillId="19" borderId="26" xfId="0" applyNumberFormat="1" applyFill="1" applyBorder="1" applyAlignment="1">
      <alignment horizontal="center" vertical="center"/>
    </xf>
    <xf numFmtId="172" fontId="0" fillId="19" borderId="45" xfId="0" applyNumberFormat="1" applyFill="1" applyBorder="1" applyAlignment="1">
      <alignment horizontal="center" vertical="center"/>
    </xf>
    <xf numFmtId="172" fontId="0" fillId="36" borderId="26" xfId="0" applyNumberFormat="1" applyFill="1" applyBorder="1" applyAlignment="1">
      <alignment horizontal="center" vertical="center"/>
    </xf>
    <xf numFmtId="172" fontId="0" fillId="36" borderId="45" xfId="0" applyNumberFormat="1" applyFill="1" applyBorder="1" applyAlignment="1">
      <alignment horizontal="center" vertical="center"/>
    </xf>
    <xf numFmtId="172" fontId="0" fillId="0" borderId="66" xfId="0" applyNumberFormat="1" applyFill="1" applyBorder="1" applyAlignment="1">
      <alignment horizontal="left" vertical="center"/>
    </xf>
    <xf numFmtId="172" fontId="0" fillId="0" borderId="6" xfId="0" applyNumberFormat="1" applyFill="1" applyBorder="1" applyAlignment="1">
      <alignment horizontal="left" vertical="center"/>
    </xf>
    <xf numFmtId="0" fontId="2" fillId="5" borderId="62" xfId="0" applyFont="1" applyFill="1" applyBorder="1" applyAlignment="1">
      <alignment horizontal="left" vertical="center"/>
    </xf>
    <xf numFmtId="0" fontId="73" fillId="2" borderId="70" xfId="0" applyFont="1" applyFill="1" applyBorder="1" applyAlignment="1">
      <alignment horizontal="center" vertical="center"/>
    </xf>
    <xf numFmtId="0" fontId="73" fillId="2" borderId="71" xfId="0" applyFont="1" applyFill="1" applyBorder="1" applyAlignment="1">
      <alignment horizontal="center" vertical="center"/>
    </xf>
    <xf numFmtId="9" fontId="48" fillId="0" borderId="0" xfId="0" applyNumberFormat="1" applyFont="1" applyFill="1" applyBorder="1" applyAlignment="1">
      <alignment horizontal="center" vertical="center" wrapText="1"/>
    </xf>
    <xf numFmtId="0" fontId="48" fillId="0" borderId="0" xfId="0" applyFont="1" applyFill="1" applyBorder="1" applyAlignment="1">
      <alignment horizontal="center" vertical="center" wrapText="1"/>
    </xf>
    <xf numFmtId="0" fontId="25" fillId="2" borderId="0" xfId="0" applyFont="1" applyFill="1" applyAlignment="1">
      <alignment horizontal="center"/>
    </xf>
    <xf numFmtId="0" fontId="3" fillId="2" borderId="0" xfId="0" applyFont="1" applyFill="1" applyAlignment="1">
      <alignment horizontal="center" vertical="center"/>
    </xf>
    <xf numFmtId="0" fontId="3" fillId="2" borderId="25" xfId="0" applyFont="1" applyFill="1" applyBorder="1" applyAlignment="1">
      <alignment horizontal="center" vertical="center"/>
    </xf>
    <xf numFmtId="0" fontId="7" fillId="0" borderId="0" xfId="2" applyFont="1" applyFill="1" applyBorder="1" applyAlignment="1">
      <alignment horizontal="center"/>
    </xf>
    <xf numFmtId="0" fontId="70" fillId="0" borderId="0" xfId="2" applyFont="1" applyFill="1" applyBorder="1" applyAlignment="1">
      <alignment horizontal="center" vertical="center" wrapText="1"/>
    </xf>
    <xf numFmtId="0" fontId="48" fillId="0" borderId="0" xfId="0" applyFont="1" applyFill="1" applyBorder="1" applyAlignment="1">
      <alignment horizontal="center" vertical="center"/>
    </xf>
    <xf numFmtId="0" fontId="0" fillId="0" borderId="0" xfId="0" applyAlignment="1">
      <alignment horizontal="center" vertical="center" wrapText="1"/>
    </xf>
    <xf numFmtId="0" fontId="75" fillId="37" borderId="90" xfId="0" applyFont="1" applyFill="1" applyBorder="1" applyAlignment="1">
      <alignment horizontal="center" vertical="center" wrapText="1"/>
    </xf>
    <xf numFmtId="0" fontId="75" fillId="37" borderId="114" xfId="0" applyFont="1" applyFill="1" applyBorder="1" applyAlignment="1">
      <alignment horizontal="center" vertical="center" wrapText="1"/>
    </xf>
    <xf numFmtId="0" fontId="77" fillId="0" borderId="114" xfId="0" applyFont="1" applyBorder="1" applyAlignment="1">
      <alignment horizontal="center" vertical="center" wrapText="1"/>
    </xf>
    <xf numFmtId="0" fontId="0" fillId="0" borderId="114" xfId="0" applyBorder="1" applyAlignment="1">
      <alignment horizontal="center" vertical="center" wrapText="1"/>
    </xf>
    <xf numFmtId="0" fontId="0" fillId="19" borderId="6" xfId="0" applyFill="1" applyBorder="1" applyAlignment="1">
      <alignment horizontal="center" vertical="center"/>
    </xf>
    <xf numFmtId="0" fontId="0" fillId="19" borderId="3" xfId="0" applyFill="1" applyBorder="1" applyAlignment="1">
      <alignment horizontal="center" vertical="center"/>
    </xf>
    <xf numFmtId="0" fontId="0" fillId="21" borderId="3" xfId="0" applyFill="1" applyBorder="1" applyAlignment="1">
      <alignment horizontal="center" vertical="center"/>
    </xf>
    <xf numFmtId="0" fontId="0" fillId="21" borderId="212" xfId="0" applyFill="1" applyBorder="1" applyAlignment="1">
      <alignment horizontal="center" vertical="center"/>
    </xf>
    <xf numFmtId="0" fontId="3" fillId="2" borderId="7"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0" fillId="20" borderId="213" xfId="0" applyFill="1" applyBorder="1" applyAlignment="1">
      <alignment horizontal="center" vertical="center"/>
    </xf>
    <xf numFmtId="0" fontId="0" fillId="20" borderId="5" xfId="0" applyFill="1" applyBorder="1" applyAlignment="1">
      <alignment horizontal="center" vertical="center"/>
    </xf>
    <xf numFmtId="0" fontId="0" fillId="20" borderId="221" xfId="0" applyFill="1" applyBorder="1" applyAlignment="1">
      <alignment horizontal="center" vertical="center"/>
    </xf>
    <xf numFmtId="0" fontId="0" fillId="4" borderId="216" xfId="0" applyFill="1" applyBorder="1" applyAlignment="1">
      <alignment horizontal="center"/>
    </xf>
    <xf numFmtId="0" fontId="0" fillId="4" borderId="212" xfId="0" applyFill="1" applyBorder="1" applyAlignment="1">
      <alignment horizontal="center"/>
    </xf>
    <xf numFmtId="0" fontId="3" fillId="2" borderId="226" xfId="0" applyFont="1" applyFill="1" applyBorder="1" applyAlignment="1">
      <alignment horizontal="center"/>
    </xf>
    <xf numFmtId="0" fontId="3" fillId="2" borderId="219" xfId="0" applyFont="1" applyFill="1" applyBorder="1" applyAlignment="1">
      <alignment horizontal="center"/>
    </xf>
    <xf numFmtId="0" fontId="3" fillId="2" borderId="227" xfId="0" applyFont="1" applyFill="1" applyBorder="1" applyAlignment="1">
      <alignment horizontal="center"/>
    </xf>
    <xf numFmtId="0" fontId="3" fillId="2" borderId="225" xfId="0" applyFont="1" applyFill="1" applyBorder="1" applyAlignment="1">
      <alignment horizontal="center"/>
    </xf>
    <xf numFmtId="0" fontId="3" fillId="2" borderId="228" xfId="0" applyFont="1" applyFill="1" applyBorder="1" applyAlignment="1">
      <alignment horizontal="center"/>
    </xf>
    <xf numFmtId="0" fontId="3" fillId="2" borderId="218" xfId="0" applyFont="1" applyFill="1" applyBorder="1" applyAlignment="1">
      <alignment horizontal="center"/>
    </xf>
    <xf numFmtId="0" fontId="3" fillId="2" borderId="8" xfId="0" applyFont="1" applyFill="1" applyBorder="1" applyAlignment="1">
      <alignment horizontal="center"/>
    </xf>
    <xf numFmtId="0" fontId="3" fillId="2" borderId="9" xfId="0" applyFont="1" applyFill="1" applyBorder="1" applyAlignment="1">
      <alignment horizontal="center"/>
    </xf>
    <xf numFmtId="0" fontId="3" fillId="2" borderId="10" xfId="0" applyFont="1" applyFill="1" applyBorder="1" applyAlignment="1">
      <alignment horizontal="center"/>
    </xf>
    <xf numFmtId="0" fontId="3" fillId="2" borderId="31" xfId="0" applyFont="1" applyFill="1" applyBorder="1" applyAlignment="1">
      <alignment horizontal="center" vertical="center"/>
    </xf>
    <xf numFmtId="0" fontId="3" fillId="2" borderId="69" xfId="0" applyFont="1" applyFill="1" applyBorder="1" applyAlignment="1">
      <alignment horizontal="center" vertical="center"/>
    </xf>
    <xf numFmtId="0" fontId="3" fillId="2" borderId="47" xfId="0" applyFont="1" applyFill="1" applyBorder="1" applyAlignment="1">
      <alignment horizontal="center" vertical="center"/>
    </xf>
    <xf numFmtId="0" fontId="3" fillId="2" borderId="70" xfId="0" applyFont="1" applyFill="1" applyBorder="1" applyAlignment="1">
      <alignment horizontal="center" vertical="center"/>
    </xf>
    <xf numFmtId="0" fontId="3" fillId="2" borderId="71"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24" xfId="0" applyFont="1" applyFill="1" applyBorder="1" applyAlignment="1">
      <alignment horizontal="center" vertical="center"/>
    </xf>
    <xf numFmtId="0" fontId="0" fillId="3" borderId="1" xfId="0" applyFill="1" applyBorder="1" applyAlignment="1">
      <alignment horizontal="center" vertical="center" wrapText="1"/>
    </xf>
    <xf numFmtId="0" fontId="0" fillId="3" borderId="0" xfId="0" applyFill="1" applyBorder="1" applyAlignment="1">
      <alignment horizontal="center" vertical="center" wrapText="1"/>
    </xf>
    <xf numFmtId="0" fontId="1" fillId="2" borderId="10" xfId="0" applyFont="1" applyFill="1" applyBorder="1" applyAlignment="1">
      <alignment horizontal="center" wrapText="1"/>
    </xf>
    <xf numFmtId="0" fontId="1" fillId="2" borderId="13" xfId="0" applyFont="1" applyFill="1" applyBorder="1" applyAlignment="1">
      <alignment horizontal="center" wrapText="1"/>
    </xf>
    <xf numFmtId="0" fontId="1" fillId="2" borderId="33" xfId="0" applyFont="1" applyFill="1" applyBorder="1" applyAlignment="1">
      <alignment horizontal="center" wrapText="1"/>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1" fillId="2" borderId="31" xfId="0" applyFont="1" applyFill="1" applyBorder="1" applyAlignment="1">
      <alignment horizontal="center" vertical="center" wrapText="1"/>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23" xfId="0" applyFont="1" applyFill="1" applyBorder="1" applyAlignment="1">
      <alignment horizontal="center" vertical="center"/>
    </xf>
    <xf numFmtId="0" fontId="10" fillId="2" borderId="9"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3" fillId="2" borderId="70" xfId="0" applyFont="1" applyFill="1" applyBorder="1" applyAlignment="1">
      <alignment horizontal="center"/>
    </xf>
    <xf numFmtId="0" fontId="3" fillId="2" borderId="71" xfId="0" applyFont="1" applyFill="1" applyBorder="1" applyAlignment="1">
      <alignment horizontal="center"/>
    </xf>
    <xf numFmtId="0" fontId="3" fillId="3" borderId="26" xfId="0" applyFont="1" applyFill="1" applyBorder="1" applyAlignment="1">
      <alignment horizontal="center"/>
    </xf>
    <xf numFmtId="0" fontId="3" fillId="3" borderId="24" xfId="0" applyFont="1" applyFill="1" applyBorder="1" applyAlignment="1">
      <alignment horizontal="center"/>
    </xf>
    <xf numFmtId="0" fontId="3" fillId="8" borderId="8" xfId="0" applyFont="1" applyFill="1" applyBorder="1" applyAlignment="1">
      <alignment horizontal="center" vertical="center"/>
    </xf>
    <xf numFmtId="0" fontId="3" fillId="8" borderId="9" xfId="0" applyFont="1" applyFill="1" applyBorder="1" applyAlignment="1">
      <alignment horizontal="center" vertical="center"/>
    </xf>
    <xf numFmtId="0" fontId="3" fillId="12" borderId="19" xfId="0" applyFont="1" applyFill="1" applyBorder="1" applyAlignment="1">
      <alignment horizontal="center" vertical="center" wrapText="1"/>
    </xf>
    <xf numFmtId="0" fontId="3" fillId="12" borderId="31" xfId="0" applyFont="1" applyFill="1" applyBorder="1" applyAlignment="1">
      <alignment horizontal="center" vertical="center" wrapText="1"/>
    </xf>
    <xf numFmtId="0" fontId="3" fillId="2" borderId="217" xfId="0" applyFont="1" applyFill="1" applyBorder="1" applyAlignment="1">
      <alignment horizontal="center" wrapText="1"/>
    </xf>
    <xf numFmtId="0" fontId="3" fillId="2" borderId="34" xfId="0" applyFont="1" applyFill="1" applyBorder="1" applyAlignment="1">
      <alignment horizontal="center" wrapText="1"/>
    </xf>
    <xf numFmtId="0" fontId="3" fillId="2" borderId="35" xfId="0" applyFont="1" applyFill="1" applyBorder="1" applyAlignment="1">
      <alignment horizontal="center" wrapText="1"/>
    </xf>
    <xf numFmtId="0" fontId="3" fillId="2" borderId="212" xfId="0" applyFont="1" applyFill="1" applyBorder="1" applyAlignment="1">
      <alignment horizontal="center" vertical="center"/>
    </xf>
    <xf numFmtId="0" fontId="0" fillId="3" borderId="212" xfId="0" applyFill="1" applyBorder="1" applyAlignment="1">
      <alignment horizontal="left"/>
    </xf>
    <xf numFmtId="0" fontId="3" fillId="8" borderId="218" xfId="0" applyFont="1" applyFill="1" applyBorder="1" applyAlignment="1">
      <alignment horizontal="center" vertical="center"/>
    </xf>
    <xf numFmtId="0" fontId="3" fillId="8" borderId="219" xfId="0" applyFont="1" applyFill="1" applyBorder="1" applyAlignment="1">
      <alignment horizontal="center" vertical="center"/>
    </xf>
    <xf numFmtId="0" fontId="3" fillId="2" borderId="74" xfId="0" applyFont="1" applyFill="1" applyBorder="1" applyAlignment="1">
      <alignment horizontal="center" vertical="center" wrapText="1"/>
    </xf>
    <xf numFmtId="0" fontId="3" fillId="2" borderId="76" xfId="0" applyFont="1" applyFill="1" applyBorder="1" applyAlignment="1">
      <alignment horizontal="center" vertical="center" wrapText="1"/>
    </xf>
    <xf numFmtId="3" fontId="3" fillId="2" borderId="8" xfId="0" applyNumberFormat="1" applyFont="1" applyFill="1" applyBorder="1" applyAlignment="1">
      <alignment horizontal="center"/>
    </xf>
    <xf numFmtId="0" fontId="3" fillId="35" borderId="10" xfId="0" applyFont="1" applyFill="1" applyBorder="1" applyAlignment="1">
      <alignment horizontal="center" vertical="center" wrapText="1"/>
    </xf>
    <xf numFmtId="0" fontId="3" fillId="35" borderId="13" xfId="0" applyFont="1" applyFill="1" applyBorder="1" applyAlignment="1">
      <alignment horizontal="center" vertical="center" wrapText="1"/>
    </xf>
    <xf numFmtId="0" fontId="3" fillId="8" borderId="48" xfId="0" applyFont="1" applyFill="1" applyBorder="1" applyAlignment="1">
      <alignment horizontal="center" vertical="center" wrapText="1"/>
    </xf>
    <xf numFmtId="0" fontId="3" fillId="8" borderId="20" xfId="0" applyFont="1" applyFill="1" applyBorder="1" applyAlignment="1">
      <alignment horizontal="center" vertical="center" wrapText="1"/>
    </xf>
    <xf numFmtId="0" fontId="3" fillId="8" borderId="21" xfId="0" applyFont="1" applyFill="1" applyBorder="1" applyAlignment="1">
      <alignment horizontal="center" vertical="center" wrapText="1"/>
    </xf>
    <xf numFmtId="0" fontId="4" fillId="3" borderId="25" xfId="1" applyFill="1" applyBorder="1" applyAlignment="1" applyProtection="1">
      <alignment horizontal="center" vertical="center"/>
    </xf>
    <xf numFmtId="0" fontId="3" fillId="35" borderId="9" xfId="0" applyFont="1" applyFill="1" applyBorder="1" applyAlignment="1">
      <alignment horizontal="center" vertical="center" wrapText="1"/>
    </xf>
    <xf numFmtId="0" fontId="3" fillId="35" borderId="12" xfId="0" applyFont="1" applyFill="1" applyBorder="1" applyAlignment="1">
      <alignment horizontal="center" vertical="center" wrapText="1"/>
    </xf>
    <xf numFmtId="0" fontId="3" fillId="8" borderId="21" xfId="0" applyFont="1" applyFill="1" applyBorder="1" applyAlignment="1">
      <alignment horizontal="center" vertical="center"/>
    </xf>
    <xf numFmtId="0" fontId="4" fillId="5" borderId="3" xfId="1" applyFill="1" applyBorder="1" applyAlignment="1" applyProtection="1">
      <alignment horizontal="center" vertical="center"/>
    </xf>
    <xf numFmtId="0" fontId="4" fillId="33" borderId="3" xfId="1" applyFill="1" applyBorder="1" applyAlignment="1" applyProtection="1">
      <alignment horizontal="center" vertical="center"/>
    </xf>
    <xf numFmtId="0" fontId="4" fillId="23" borderId="3" xfId="1" applyFill="1" applyBorder="1" applyAlignment="1" applyProtection="1">
      <alignment horizontal="center" vertic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2" fillId="19" borderId="3" xfId="0" applyFont="1" applyFill="1" applyBorder="1" applyAlignment="1">
      <alignment horizontal="center" vertical="center"/>
    </xf>
    <xf numFmtId="0" fontId="2" fillId="21" borderId="3" xfId="0" applyFont="1" applyFill="1" applyBorder="1" applyAlignment="1">
      <alignment horizontal="center" vertical="center"/>
    </xf>
    <xf numFmtId="0" fontId="2" fillId="21" borderId="212" xfId="0" applyFont="1" applyFill="1" applyBorder="1" applyAlignment="1">
      <alignment horizontal="center" vertical="center"/>
    </xf>
    <xf numFmtId="0" fontId="2" fillId="19" borderId="4"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1" borderId="4" xfId="0" applyFont="1" applyFill="1" applyBorder="1" applyAlignment="1">
      <alignment horizontal="center" vertical="center" wrapText="1"/>
    </xf>
    <xf numFmtId="0" fontId="2" fillId="21" borderId="5" xfId="0" applyFont="1" applyFill="1" applyBorder="1" applyAlignment="1">
      <alignment horizontal="center" vertical="center" wrapText="1"/>
    </xf>
    <xf numFmtId="0" fontId="4" fillId="4" borderId="3" xfId="1" applyFill="1" applyBorder="1" applyAlignment="1" applyProtection="1">
      <alignment horizontal="center" vertical="center"/>
    </xf>
    <xf numFmtId="0" fontId="4" fillId="4" borderId="212" xfId="1" applyFill="1" applyBorder="1" applyAlignment="1" applyProtection="1">
      <alignment horizontal="center" vertical="center"/>
    </xf>
    <xf numFmtId="0" fontId="2" fillId="20" borderId="214" xfId="0" applyFont="1" applyFill="1" applyBorder="1" applyAlignment="1">
      <alignment horizontal="center" vertical="center"/>
    </xf>
    <xf numFmtId="0" fontId="2" fillId="20" borderId="215" xfId="0" applyFont="1" applyFill="1" applyBorder="1" applyAlignment="1">
      <alignment horizontal="center" vertical="center"/>
    </xf>
    <xf numFmtId="0" fontId="2" fillId="20" borderId="216" xfId="0" applyFont="1" applyFill="1" applyBorder="1" applyAlignment="1">
      <alignment horizontal="center" vertical="center"/>
    </xf>
    <xf numFmtId="0" fontId="2" fillId="20" borderId="213"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4" fillId="3" borderId="0" xfId="1" applyFill="1" applyAlignment="1" applyProtection="1">
      <alignment horizontal="center" vertical="center"/>
    </xf>
    <xf numFmtId="172" fontId="3" fillId="2" borderId="8" xfId="11" applyFont="1" applyFill="1" applyBorder="1" applyAlignment="1">
      <alignment horizontal="center"/>
    </xf>
    <xf numFmtId="172" fontId="3" fillId="2" borderId="9" xfId="11" applyFont="1" applyFill="1" applyBorder="1" applyAlignment="1">
      <alignment horizontal="center"/>
    </xf>
    <xf numFmtId="172" fontId="3" fillId="2" borderId="10" xfId="11" applyFont="1" applyFill="1" applyBorder="1" applyAlignment="1">
      <alignment horizontal="center"/>
    </xf>
    <xf numFmtId="1" fontId="63" fillId="26" borderId="227" xfId="0" applyNumberFormat="1" applyFont="1" applyFill="1" applyBorder="1" applyAlignment="1">
      <alignment horizontal="center" vertical="center" wrapText="1"/>
    </xf>
    <xf numFmtId="1" fontId="63" fillId="26" borderId="228" xfId="0" applyNumberFormat="1" applyFont="1" applyFill="1" applyBorder="1" applyAlignment="1">
      <alignment horizontal="center" vertical="center" wrapText="1"/>
    </xf>
    <xf numFmtId="1" fontId="63" fillId="26" borderId="218" xfId="0" applyNumberFormat="1" applyFont="1" applyFill="1" applyBorder="1" applyAlignment="1">
      <alignment horizontal="center" vertical="center" wrapText="1"/>
    </xf>
    <xf numFmtId="1" fontId="63" fillId="12" borderId="9" xfId="0" applyNumberFormat="1" applyFont="1" applyFill="1" applyBorder="1" applyAlignment="1">
      <alignment horizontal="center" vertical="center"/>
    </xf>
    <xf numFmtId="1" fontId="63" fillId="12" borderId="19" xfId="0" applyNumberFormat="1" applyFont="1" applyFill="1" applyBorder="1" applyAlignment="1">
      <alignment horizontal="center" vertical="center"/>
    </xf>
    <xf numFmtId="0" fontId="3" fillId="10" borderId="239" xfId="0" applyFont="1" applyFill="1" applyBorder="1" applyAlignment="1">
      <alignment horizontal="center"/>
    </xf>
    <xf numFmtId="0" fontId="3" fillId="10" borderId="240" xfId="0" applyFont="1" applyFill="1" applyBorder="1" applyAlignment="1">
      <alignment horizontal="center"/>
    </xf>
    <xf numFmtId="0" fontId="83" fillId="68" borderId="241" xfId="0" applyFont="1" applyFill="1" applyBorder="1" applyAlignment="1">
      <alignment horizontal="center" wrapText="1"/>
    </xf>
    <xf numFmtId="1" fontId="0" fillId="0" borderId="0" xfId="0" applyNumberFormat="1" applyFill="1" applyAlignment="1">
      <alignment horizontal="left"/>
    </xf>
    <xf numFmtId="1" fontId="63" fillId="10" borderId="230" xfId="0" applyNumberFormat="1" applyFont="1" applyFill="1" applyBorder="1" applyAlignment="1">
      <alignment horizontal="center" vertical="center" wrapText="1"/>
    </xf>
    <xf numFmtId="1" fontId="63" fillId="10" borderId="228" xfId="0" applyNumberFormat="1" applyFont="1" applyFill="1" applyBorder="1" applyAlignment="1">
      <alignment horizontal="center" vertical="center" wrapText="1"/>
    </xf>
    <xf numFmtId="1" fontId="63" fillId="10" borderId="218" xfId="0" applyNumberFormat="1" applyFont="1" applyFill="1" applyBorder="1" applyAlignment="1">
      <alignment horizontal="center" vertical="center" wrapText="1"/>
    </xf>
    <xf numFmtId="1" fontId="63" fillId="9" borderId="19" xfId="0" applyNumberFormat="1" applyFont="1" applyFill="1" applyBorder="1" applyAlignment="1">
      <alignment horizontal="center" vertical="center" wrapText="1"/>
    </xf>
    <xf numFmtId="1" fontId="63" fillId="9" borderId="20" xfId="0" applyNumberFormat="1" applyFont="1" applyFill="1" applyBorder="1" applyAlignment="1">
      <alignment horizontal="center" vertical="center" wrapText="1"/>
    </xf>
    <xf numFmtId="1" fontId="63" fillId="9" borderId="21" xfId="0" applyNumberFormat="1" applyFont="1" applyFill="1" applyBorder="1" applyAlignment="1">
      <alignment horizontal="center" vertical="center" wrapText="1"/>
    </xf>
    <xf numFmtId="1" fontId="63" fillId="8" borderId="19" xfId="0" applyNumberFormat="1" applyFont="1" applyFill="1" applyBorder="1" applyAlignment="1">
      <alignment horizontal="center" vertical="center" wrapText="1"/>
    </xf>
    <xf numFmtId="1" fontId="63" fillId="8" borderId="20" xfId="0" applyNumberFormat="1" applyFont="1" applyFill="1" applyBorder="1" applyAlignment="1">
      <alignment horizontal="center" vertical="center" wrapText="1"/>
    </xf>
    <xf numFmtId="1" fontId="63" fillId="8" borderId="21" xfId="0" applyNumberFormat="1" applyFont="1" applyFill="1" applyBorder="1" applyAlignment="1">
      <alignment horizontal="center" vertical="center" wrapText="1"/>
    </xf>
    <xf numFmtId="1" fontId="63" fillId="12" borderId="227" xfId="0" applyNumberFormat="1" applyFont="1" applyFill="1" applyBorder="1" applyAlignment="1">
      <alignment horizontal="center" vertical="center" wrapText="1"/>
    </xf>
    <xf numFmtId="1" fontId="63" fillId="12" borderId="228" xfId="0" applyNumberFormat="1" applyFont="1" applyFill="1" applyBorder="1" applyAlignment="1">
      <alignment horizontal="center" vertical="center" wrapText="1"/>
    </xf>
    <xf numFmtId="1" fontId="63" fillId="12" borderId="218" xfId="0" applyNumberFormat="1" applyFont="1" applyFill="1" applyBorder="1" applyAlignment="1">
      <alignment horizontal="center" vertical="center" wrapText="1"/>
    </xf>
    <xf numFmtId="1" fontId="63" fillId="9" borderId="227" xfId="0" applyNumberFormat="1" applyFont="1" applyFill="1" applyBorder="1" applyAlignment="1">
      <alignment horizontal="center" vertical="center" wrapText="1"/>
    </xf>
    <xf numFmtId="1" fontId="63" fillId="9" borderId="228" xfId="0" applyNumberFormat="1" applyFont="1" applyFill="1" applyBorder="1" applyAlignment="1">
      <alignment horizontal="center" vertical="center" wrapText="1"/>
    </xf>
    <xf numFmtId="1" fontId="63" fillId="9" borderId="218" xfId="0" applyNumberFormat="1" applyFont="1" applyFill="1" applyBorder="1" applyAlignment="1">
      <alignment horizontal="center" vertical="center" wrapText="1"/>
    </xf>
    <xf numFmtId="4" fontId="0" fillId="3" borderId="53" xfId="13" applyNumberFormat="1" applyFont="1" applyFill="1" applyBorder="1" applyAlignment="1">
      <alignment horizontal="left"/>
    </xf>
    <xf numFmtId="4" fontId="0" fillId="3" borderId="17" xfId="13" applyNumberFormat="1" applyFont="1" applyFill="1" applyBorder="1" applyAlignment="1">
      <alignment horizontal="left"/>
    </xf>
    <xf numFmtId="4" fontId="0" fillId="3" borderId="0" xfId="13" applyNumberFormat="1" applyFont="1" applyFill="1" applyAlignment="1">
      <alignment horizontal="left" wrapText="1"/>
    </xf>
    <xf numFmtId="4" fontId="1" fillId="2" borderId="8" xfId="13" applyNumberFormat="1" applyFont="1" applyFill="1" applyBorder="1" applyAlignment="1">
      <alignment horizontal="center" vertical="center" textRotation="90"/>
    </xf>
    <xf numFmtId="4" fontId="1" fillId="2" borderId="11" xfId="13" applyNumberFormat="1" applyFont="1" applyFill="1" applyBorder="1" applyAlignment="1">
      <alignment horizontal="center" vertical="center" textRotation="90"/>
    </xf>
    <xf numFmtId="4" fontId="1" fillId="2" borderId="18" xfId="13" applyNumberFormat="1" applyFont="1" applyFill="1" applyBorder="1" applyAlignment="1">
      <alignment horizontal="center" vertical="center" textRotation="90"/>
    </xf>
    <xf numFmtId="4" fontId="109" fillId="2" borderId="60" xfId="1" applyNumberFormat="1" applyFont="1" applyFill="1" applyBorder="1" applyAlignment="1" applyProtection="1">
      <alignment horizontal="center"/>
    </xf>
    <xf numFmtId="4" fontId="109" fillId="2" borderId="59" xfId="1" applyNumberFormat="1" applyFont="1" applyFill="1" applyBorder="1" applyAlignment="1" applyProtection="1">
      <alignment horizontal="center"/>
    </xf>
    <xf numFmtId="4" fontId="109" fillId="2" borderId="58" xfId="1" applyNumberFormat="1" applyFont="1" applyFill="1" applyBorder="1" applyAlignment="1" applyProtection="1">
      <alignment horizontal="center"/>
    </xf>
    <xf numFmtId="4" fontId="0" fillId="3" borderId="57" xfId="13" applyNumberFormat="1" applyFont="1" applyFill="1" applyBorder="1" applyAlignment="1">
      <alignment horizontal="left"/>
    </xf>
    <xf numFmtId="4" fontId="0" fillId="3" borderId="6" xfId="13" applyNumberFormat="1" applyFont="1" applyFill="1" applyBorder="1" applyAlignment="1">
      <alignment horizontal="left"/>
    </xf>
    <xf numFmtId="4" fontId="0" fillId="3" borderId="55" xfId="13" applyNumberFormat="1" applyFont="1" applyFill="1" applyBorder="1" applyAlignment="1">
      <alignment horizontal="left"/>
    </xf>
    <xf numFmtId="4" fontId="0" fillId="3" borderId="3" xfId="13" applyNumberFormat="1" applyFont="1" applyFill="1" applyBorder="1" applyAlignment="1">
      <alignment horizontal="left"/>
    </xf>
    <xf numFmtId="4" fontId="109" fillId="2" borderId="8" xfId="1" applyNumberFormat="1" applyFont="1" applyFill="1" applyBorder="1" applyAlignment="1" applyProtection="1">
      <alignment horizontal="center"/>
    </xf>
    <xf numFmtId="4" fontId="109" fillId="2" borderId="9" xfId="1" applyNumberFormat="1" applyFont="1" applyFill="1" applyBorder="1" applyAlignment="1" applyProtection="1">
      <alignment horizontal="center"/>
    </xf>
    <xf numFmtId="4" fontId="109" fillId="2" borderId="10" xfId="1" applyNumberFormat="1" applyFont="1" applyFill="1" applyBorder="1" applyAlignment="1" applyProtection="1">
      <alignment horizontal="center"/>
    </xf>
    <xf numFmtId="4" fontId="59" fillId="3" borderId="41" xfId="13" applyNumberFormat="1" applyFont="1" applyFill="1" applyBorder="1" applyAlignment="1">
      <alignment horizontal="center" vertical="center" wrapText="1"/>
    </xf>
    <xf numFmtId="4" fontId="59" fillId="3" borderId="42" xfId="13" applyNumberFormat="1" applyFont="1" applyFill="1" applyBorder="1" applyAlignment="1">
      <alignment horizontal="center" vertical="center" wrapText="1"/>
    </xf>
    <xf numFmtId="4" fontId="59" fillId="3" borderId="61" xfId="13" applyNumberFormat="1" applyFont="1" applyFill="1" applyBorder="1" applyAlignment="1">
      <alignment horizontal="center" vertical="center" wrapText="1"/>
    </xf>
    <xf numFmtId="4" fontId="59" fillId="3" borderId="38" xfId="13" applyNumberFormat="1" applyFont="1" applyFill="1" applyBorder="1" applyAlignment="1">
      <alignment horizontal="center" vertical="center" wrapText="1"/>
    </xf>
    <xf numFmtId="4" fontId="59" fillId="3" borderId="0" xfId="13" applyNumberFormat="1" applyFont="1" applyFill="1" applyBorder="1" applyAlignment="1">
      <alignment horizontal="center" vertical="center" wrapText="1"/>
    </xf>
    <xf numFmtId="4" fontId="59" fillId="3" borderId="39" xfId="13" applyNumberFormat="1" applyFont="1" applyFill="1" applyBorder="1" applyAlignment="1">
      <alignment horizontal="center" vertical="center" wrapText="1"/>
    </xf>
    <xf numFmtId="4" fontId="59" fillId="3" borderId="36" xfId="13" applyNumberFormat="1" applyFont="1" applyFill="1" applyBorder="1" applyAlignment="1">
      <alignment horizontal="center" vertical="center" wrapText="1"/>
    </xf>
    <xf numFmtId="4" fontId="59" fillId="3" borderId="37" xfId="13" applyNumberFormat="1" applyFont="1" applyFill="1" applyBorder="1" applyAlignment="1">
      <alignment horizontal="center" vertical="center" wrapText="1"/>
    </xf>
    <xf numFmtId="4" fontId="59" fillId="3" borderId="40" xfId="13" applyNumberFormat="1" applyFont="1" applyFill="1" applyBorder="1" applyAlignment="1">
      <alignment horizontal="center" vertical="center" wrapText="1"/>
    </xf>
    <xf numFmtId="4" fontId="58" fillId="3" borderId="0" xfId="13" applyNumberFormat="1" applyFont="1" applyFill="1" applyAlignment="1">
      <alignment horizontal="center" vertical="center"/>
    </xf>
    <xf numFmtId="4" fontId="4" fillId="5" borderId="3" xfId="1" applyNumberFormat="1" applyFill="1" applyBorder="1" applyAlignment="1" applyProtection="1">
      <alignment horizontal="center"/>
    </xf>
    <xf numFmtId="4" fontId="0" fillId="32" borderId="2" xfId="11" applyNumberFormat="1" applyFont="1" applyFill="1" applyBorder="1" applyAlignment="1">
      <alignment horizontal="center"/>
    </xf>
    <xf numFmtId="4" fontId="0" fillId="32" borderId="45" xfId="11" applyNumberFormat="1" applyFont="1" applyFill="1" applyBorder="1" applyAlignment="1">
      <alignment horizontal="center"/>
    </xf>
    <xf numFmtId="0" fontId="0" fillId="0" borderId="241" xfId="0" applyBorder="1" applyAlignment="1">
      <alignment horizontal="center"/>
    </xf>
    <xf numFmtId="192" fontId="96" fillId="2" borderId="0" xfId="257" applyNumberFormat="1" applyFont="1" applyFill="1" applyAlignment="1">
      <alignment horizontal="center" vertical="center" wrapText="1"/>
    </xf>
    <xf numFmtId="192" fontId="3" fillId="2" borderId="0" xfId="257" applyNumberFormat="1" applyFont="1" applyFill="1" applyAlignment="1">
      <alignment horizontal="center"/>
    </xf>
    <xf numFmtId="192" fontId="97" fillId="0" borderId="63" xfId="257" applyNumberFormat="1" applyFont="1" applyBorder="1" applyAlignment="1">
      <alignment horizontal="center" vertical="center" wrapText="1"/>
    </xf>
    <xf numFmtId="192" fontId="97" fillId="0" borderId="64" xfId="257" applyNumberFormat="1" applyFont="1" applyBorder="1" applyAlignment="1">
      <alignment horizontal="center" vertical="center"/>
    </xf>
    <xf numFmtId="192" fontId="97" fillId="0" borderId="65" xfId="257" applyNumberFormat="1" applyFont="1" applyBorder="1" applyAlignment="1">
      <alignment horizontal="center" vertical="center"/>
    </xf>
    <xf numFmtId="192" fontId="90" fillId="21" borderId="0" xfId="257" applyNumberFormat="1" applyFont="1" applyFill="1" applyAlignment="1">
      <alignment horizontal="center"/>
    </xf>
    <xf numFmtId="1" fontId="96" fillId="2" borderId="31" xfId="257" applyNumberFormat="1" applyFont="1" applyFill="1" applyBorder="1" applyAlignment="1">
      <alignment horizontal="center" vertical="center" wrapText="1"/>
    </xf>
    <xf numFmtId="1" fontId="96" fillId="2" borderId="47" xfId="257" applyNumberFormat="1" applyFont="1" applyFill="1" applyBorder="1" applyAlignment="1">
      <alignment horizontal="center" vertical="center" wrapText="1"/>
    </xf>
    <xf numFmtId="1" fontId="96" fillId="2" borderId="31" xfId="257" applyNumberFormat="1" applyFont="1" applyFill="1" applyBorder="1" applyAlignment="1">
      <alignment horizontal="center" vertical="center"/>
    </xf>
    <xf numFmtId="1" fontId="96" fillId="2" borderId="47" xfId="257" applyNumberFormat="1" applyFont="1" applyFill="1" applyBorder="1" applyAlignment="1">
      <alignment horizontal="center" vertical="center"/>
    </xf>
    <xf numFmtId="192" fontId="96" fillId="2" borderId="0" xfId="257" applyNumberFormat="1" applyFont="1" applyFill="1" applyAlignment="1">
      <alignment horizontal="center" vertical="center"/>
    </xf>
    <xf numFmtId="1" fontId="63" fillId="26" borderId="227" xfId="257" applyNumberFormat="1" applyFont="1" applyFill="1" applyBorder="1" applyAlignment="1">
      <alignment horizontal="center" vertical="center" wrapText="1"/>
    </xf>
    <xf numFmtId="1" fontId="96" fillId="26" borderId="20" xfId="257" applyNumberFormat="1" applyFont="1" applyFill="1" applyBorder="1" applyAlignment="1">
      <alignment horizontal="center" vertical="center" wrapText="1"/>
    </xf>
    <xf numFmtId="1" fontId="96" fillId="26" borderId="218" xfId="257" applyNumberFormat="1" applyFont="1" applyFill="1" applyBorder="1" applyAlignment="1">
      <alignment horizontal="center" vertical="center" wrapText="1"/>
    </xf>
    <xf numFmtId="1" fontId="63" fillId="9" borderId="227" xfId="257" applyNumberFormat="1" applyFont="1" applyFill="1" applyBorder="1" applyAlignment="1">
      <alignment horizontal="center" vertical="center" wrapText="1"/>
    </xf>
    <xf numFmtId="1" fontId="63" fillId="9" borderId="20" xfId="257" applyNumberFormat="1" applyFont="1" applyFill="1" applyBorder="1" applyAlignment="1">
      <alignment horizontal="center" vertical="center" wrapText="1"/>
    </xf>
    <xf numFmtId="1" fontId="63" fillId="9" borderId="218" xfId="257" applyNumberFormat="1" applyFont="1" applyFill="1" applyBorder="1" applyAlignment="1">
      <alignment horizontal="center" vertical="center" wrapText="1"/>
    </xf>
    <xf numFmtId="1" fontId="96" fillId="12" borderId="227" xfId="257" applyNumberFormat="1" applyFont="1" applyFill="1" applyBorder="1" applyAlignment="1">
      <alignment horizontal="center" vertical="center"/>
    </xf>
    <xf numFmtId="1" fontId="96" fillId="12" borderId="20" xfId="257" applyNumberFormat="1" applyFont="1" applyFill="1" applyBorder="1" applyAlignment="1">
      <alignment horizontal="center" vertical="center"/>
    </xf>
    <xf numFmtId="1" fontId="96" fillId="12" borderId="218" xfId="257" applyNumberFormat="1" applyFont="1" applyFill="1" applyBorder="1" applyAlignment="1">
      <alignment horizontal="center" vertical="center"/>
    </xf>
    <xf numFmtId="1" fontId="96" fillId="22" borderId="227" xfId="257" applyNumberFormat="1" applyFont="1" applyFill="1" applyBorder="1" applyAlignment="1">
      <alignment horizontal="center" vertical="center"/>
    </xf>
    <xf numFmtId="1" fontId="96" fillId="22" borderId="20" xfId="257" applyNumberFormat="1" applyFont="1" applyFill="1" applyBorder="1" applyAlignment="1">
      <alignment horizontal="center" vertical="center"/>
    </xf>
    <xf numFmtId="1" fontId="96" fillId="34" borderId="0" xfId="257" applyNumberFormat="1" applyFont="1" applyFill="1" applyBorder="1" applyAlignment="1">
      <alignment horizontal="center" vertical="center" wrapText="1"/>
    </xf>
    <xf numFmtId="0" fontId="92" fillId="0" borderId="242" xfId="257" applyNumberFormat="1" applyFont="1" applyFill="1" applyBorder="1" applyAlignment="1">
      <alignment horizontal="center" wrapText="1"/>
    </xf>
    <xf numFmtId="0" fontId="92" fillId="0" borderId="243" xfId="257" applyNumberFormat="1" applyFont="1" applyFill="1" applyBorder="1" applyAlignment="1">
      <alignment horizontal="center"/>
    </xf>
    <xf numFmtId="0" fontId="92" fillId="0" borderId="238" xfId="257" applyNumberFormat="1" applyFont="1" applyFill="1" applyBorder="1" applyAlignment="1">
      <alignment horizontal="center"/>
    </xf>
    <xf numFmtId="0" fontId="92" fillId="0" borderId="1" xfId="257" applyNumberFormat="1" applyFont="1" applyFill="1" applyBorder="1" applyAlignment="1">
      <alignment horizontal="center"/>
    </xf>
    <xf numFmtId="0" fontId="92" fillId="0" borderId="0" xfId="257" applyNumberFormat="1" applyFont="1" applyFill="1" applyBorder="1" applyAlignment="1">
      <alignment horizontal="center"/>
    </xf>
    <xf numFmtId="0" fontId="92" fillId="0" borderId="27" xfId="257" applyNumberFormat="1" applyFont="1" applyFill="1" applyBorder="1" applyAlignment="1">
      <alignment horizontal="center"/>
    </xf>
    <xf numFmtId="0" fontId="92" fillId="0" borderId="232" xfId="257" applyNumberFormat="1" applyFont="1" applyFill="1" applyBorder="1" applyAlignment="1">
      <alignment horizontal="center"/>
    </xf>
    <xf numFmtId="0" fontId="92" fillId="0" borderId="244" xfId="257" applyNumberFormat="1" applyFont="1" applyFill="1" applyBorder="1" applyAlignment="1">
      <alignment horizontal="center"/>
    </xf>
    <xf numFmtId="0" fontId="92" fillId="0" borderId="245" xfId="257" applyNumberFormat="1" applyFont="1" applyFill="1" applyBorder="1" applyAlignment="1">
      <alignment horizontal="center"/>
    </xf>
    <xf numFmtId="166" fontId="89" fillId="0" borderId="1" xfId="257" applyNumberFormat="1" applyFont="1" applyFill="1" applyBorder="1" applyAlignment="1">
      <alignment horizontal="center"/>
    </xf>
    <xf numFmtId="166" fontId="89" fillId="0" borderId="0" xfId="257" applyNumberFormat="1" applyFont="1" applyFill="1" applyBorder="1" applyAlignment="1">
      <alignment horizontal="center"/>
    </xf>
    <xf numFmtId="166" fontId="89" fillId="0" borderId="27" xfId="257" applyNumberFormat="1" applyFont="1" applyFill="1" applyBorder="1" applyAlignment="1">
      <alignment horizontal="center"/>
    </xf>
    <xf numFmtId="1" fontId="96" fillId="9" borderId="20" xfId="257" applyNumberFormat="1" applyFont="1" applyFill="1" applyBorder="1" applyAlignment="1">
      <alignment horizontal="center" vertical="center" wrapText="1"/>
    </xf>
    <xf numFmtId="1" fontId="96" fillId="9" borderId="218" xfId="257" applyNumberFormat="1" applyFont="1" applyFill="1" applyBorder="1" applyAlignment="1">
      <alignment horizontal="center" vertical="center" wrapText="1"/>
    </xf>
    <xf numFmtId="1" fontId="63" fillId="71" borderId="227" xfId="257" applyNumberFormat="1" applyFont="1" applyFill="1" applyBorder="1" applyAlignment="1">
      <alignment horizontal="center" vertical="center" wrapText="1"/>
    </xf>
    <xf numFmtId="1" fontId="63" fillId="71" borderId="20" xfId="257" applyNumberFormat="1" applyFont="1" applyFill="1" applyBorder="1" applyAlignment="1">
      <alignment horizontal="center" vertical="center" wrapText="1"/>
    </xf>
    <xf numFmtId="1" fontId="96" fillId="71" borderId="20" xfId="257" applyNumberFormat="1" applyFont="1" applyFill="1" applyBorder="1" applyAlignment="1">
      <alignment horizontal="center" vertical="center" wrapText="1"/>
    </xf>
    <xf numFmtId="1" fontId="96" fillId="71" borderId="218" xfId="257" applyNumberFormat="1" applyFont="1" applyFill="1" applyBorder="1" applyAlignment="1">
      <alignment horizontal="center" vertical="center" wrapText="1"/>
    </xf>
    <xf numFmtId="1" fontId="96" fillId="34" borderId="227" xfId="257" applyNumberFormat="1" applyFont="1" applyFill="1" applyBorder="1" applyAlignment="1">
      <alignment horizontal="center" vertical="center" wrapText="1"/>
    </xf>
    <xf numFmtId="1" fontId="96" fillId="34" borderId="20" xfId="257" applyNumberFormat="1" applyFont="1" applyFill="1" applyBorder="1" applyAlignment="1">
      <alignment horizontal="center" vertical="center" wrapText="1"/>
    </xf>
    <xf numFmtId="1" fontId="96" fillId="34" borderId="218" xfId="257" applyNumberFormat="1" applyFont="1" applyFill="1" applyBorder="1" applyAlignment="1">
      <alignment horizontal="center" vertical="center" wrapText="1"/>
    </xf>
    <xf numFmtId="1" fontId="63" fillId="8" borderId="227" xfId="257" applyNumberFormat="1" applyFont="1" applyFill="1" applyBorder="1" applyAlignment="1">
      <alignment horizontal="center" vertical="center" wrapText="1"/>
    </xf>
    <xf numFmtId="1" fontId="96" fillId="8" borderId="20" xfId="257" applyNumberFormat="1" applyFont="1" applyFill="1" applyBorder="1" applyAlignment="1">
      <alignment horizontal="center" vertical="center" wrapText="1"/>
    </xf>
    <xf numFmtId="1" fontId="96" fillId="8" borderId="218" xfId="257" applyNumberFormat="1" applyFont="1" applyFill="1" applyBorder="1" applyAlignment="1">
      <alignment horizontal="center" vertical="center" wrapText="1"/>
    </xf>
    <xf numFmtId="192" fontId="88" fillId="0" borderId="1" xfId="257" applyNumberFormat="1" applyFont="1" applyFill="1" applyBorder="1" applyAlignment="1">
      <alignment horizontal="center"/>
    </xf>
    <xf numFmtId="192" fontId="88" fillId="0" borderId="0" xfId="257" applyNumberFormat="1" applyFont="1" applyFill="1" applyBorder="1" applyAlignment="1">
      <alignment horizontal="center"/>
    </xf>
    <xf numFmtId="192" fontId="88" fillId="0" borderId="27" xfId="257" applyNumberFormat="1" applyFont="1" applyFill="1" applyBorder="1" applyAlignment="1">
      <alignment horizontal="center"/>
    </xf>
    <xf numFmtId="192" fontId="2" fillId="0" borderId="63" xfId="257" applyNumberFormat="1" applyFont="1" applyBorder="1" applyAlignment="1">
      <alignment horizontal="center"/>
    </xf>
    <xf numFmtId="192" fontId="2" fillId="0" borderId="64" xfId="257" applyNumberFormat="1" applyFont="1" applyBorder="1" applyAlignment="1">
      <alignment horizontal="center"/>
    </xf>
    <xf numFmtId="192" fontId="2" fillId="0" borderId="65" xfId="257" applyNumberFormat="1" applyFont="1" applyBorder="1" applyAlignment="1">
      <alignment horizontal="center"/>
    </xf>
    <xf numFmtId="0" fontId="0" fillId="0" borderId="0" xfId="0" applyAlignment="1">
      <alignment horizontal="center" wrapText="1"/>
    </xf>
    <xf numFmtId="0" fontId="4" fillId="27" borderId="63" xfId="1" applyFill="1" applyBorder="1" applyAlignment="1" applyProtection="1">
      <alignment horizontal="center"/>
    </xf>
    <xf numFmtId="0" fontId="4" fillId="27" borderId="64" xfId="1" applyFill="1" applyBorder="1" applyAlignment="1" applyProtection="1">
      <alignment horizontal="center"/>
    </xf>
    <xf numFmtId="0" fontId="4" fillId="27" borderId="65" xfId="1" applyFill="1" applyBorder="1" applyAlignment="1" applyProtection="1">
      <alignment horizontal="center"/>
    </xf>
    <xf numFmtId="0" fontId="4" fillId="62" borderId="63" xfId="1" applyFill="1" applyBorder="1" applyAlignment="1" applyProtection="1">
      <alignment horizontal="center"/>
    </xf>
    <xf numFmtId="0" fontId="4" fillId="62" borderId="64" xfId="1" applyFill="1" applyBorder="1" applyAlignment="1" applyProtection="1">
      <alignment horizontal="center"/>
    </xf>
    <xf numFmtId="0" fontId="4" fillId="62" borderId="65" xfId="1" applyFill="1" applyBorder="1" applyAlignment="1" applyProtection="1">
      <alignment horizontal="center"/>
    </xf>
    <xf numFmtId="0" fontId="4" fillId="5" borderId="63" xfId="1" applyFill="1" applyBorder="1" applyAlignment="1" applyProtection="1">
      <alignment horizontal="center"/>
    </xf>
    <xf numFmtId="0" fontId="4" fillId="5" borderId="64" xfId="1" applyFill="1" applyBorder="1" applyAlignment="1" applyProtection="1">
      <alignment horizontal="center"/>
    </xf>
    <xf numFmtId="0" fontId="4" fillId="5" borderId="65" xfId="1" applyFill="1" applyBorder="1" applyAlignment="1" applyProtection="1">
      <alignment horizontal="center"/>
    </xf>
    <xf numFmtId="0" fontId="0" fillId="3" borderId="0" xfId="0" applyFill="1" applyAlignment="1">
      <alignment horizontal="center" textRotation="90"/>
    </xf>
    <xf numFmtId="0" fontId="0" fillId="0" borderId="62" xfId="0" applyBorder="1" applyAlignment="1">
      <alignment horizontal="center" wrapText="1"/>
    </xf>
    <xf numFmtId="0" fontId="0" fillId="3" borderId="0" xfId="0" applyFill="1" applyAlignment="1">
      <alignment horizontal="center"/>
    </xf>
    <xf numFmtId="0" fontId="113" fillId="3" borderId="0" xfId="2" applyFont="1" applyFill="1" applyAlignment="1">
      <alignment horizontal="center"/>
    </xf>
    <xf numFmtId="0" fontId="7" fillId="3" borderId="0" xfId="2" applyFill="1" applyAlignment="1">
      <alignment horizontal="center"/>
    </xf>
    <xf numFmtId="0" fontId="8" fillId="3" borderId="0" xfId="2" applyFont="1" applyFill="1" applyAlignment="1">
      <alignment horizontal="center"/>
    </xf>
  </cellXfs>
  <cellStyles count="398">
    <cellStyle name="=C:\WINNT\SYSTEM32\COMMAND.COM" xfId="14"/>
    <cellStyle name="=C:\WINNT\SYSTEM32\COMMAND.COM 2" xfId="258"/>
    <cellStyle name="Comma" xfId="256" builtinId="3"/>
    <cellStyle name="Comma  - Style1" xfId="15"/>
    <cellStyle name="Comma  - Style2" xfId="16"/>
    <cellStyle name="Comma  - Style3" xfId="17"/>
    <cellStyle name="Comma  - Style4" xfId="18"/>
    <cellStyle name="Comma  - Style5" xfId="19"/>
    <cellStyle name="Comma  - Style6" xfId="20"/>
    <cellStyle name="Comma  - Style7" xfId="21"/>
    <cellStyle name="Comma  - Style8" xfId="22"/>
    <cellStyle name="Comma [-]" xfId="23"/>
    <cellStyle name="Comma [Blank]" xfId="24"/>
    <cellStyle name="Comma 10" xfId="259"/>
    <cellStyle name="Comma 10 2" xfId="260"/>
    <cellStyle name="Comma 11" xfId="261"/>
    <cellStyle name="Comma 11 2" xfId="262"/>
    <cellStyle name="Comma 12" xfId="263"/>
    <cellStyle name="Comma 13" xfId="264"/>
    <cellStyle name="Comma 14" xfId="265"/>
    <cellStyle name="Comma 15" xfId="25"/>
    <cellStyle name="Comma 2" xfId="5"/>
    <cellStyle name="Comma 2 10" xfId="26"/>
    <cellStyle name="Comma 2 11" xfId="27"/>
    <cellStyle name="Comma 2 12" xfId="28"/>
    <cellStyle name="Comma 2 13" xfId="29"/>
    <cellStyle name="Comma 2 14" xfId="30"/>
    <cellStyle name="Comma 2 15" xfId="31"/>
    <cellStyle name="Comma 2 16" xfId="32"/>
    <cellStyle name="Comma 2 17" xfId="33"/>
    <cellStyle name="Comma 2 18" xfId="34"/>
    <cellStyle name="Comma 2 19" xfId="35"/>
    <cellStyle name="Comma 2 2" xfId="36"/>
    <cellStyle name="Comma 2 20" xfId="266"/>
    <cellStyle name="Comma 2 3" xfId="37"/>
    <cellStyle name="Comma 2 4" xfId="38"/>
    <cellStyle name="Comma 2 5" xfId="39"/>
    <cellStyle name="Comma 2 6" xfId="40"/>
    <cellStyle name="Comma 2 7" xfId="41"/>
    <cellStyle name="Comma 2 8" xfId="42"/>
    <cellStyle name="Comma 2 9" xfId="43"/>
    <cellStyle name="Comma 3" xfId="44"/>
    <cellStyle name="Comma 3 2" xfId="267"/>
    <cellStyle name="Comma 4" xfId="45"/>
    <cellStyle name="Comma 5" xfId="46"/>
    <cellStyle name="Comma 6" xfId="47"/>
    <cellStyle name="Comma 6 2" xfId="268"/>
    <cellStyle name="Comma 6 3" xfId="269"/>
    <cellStyle name="Comma 7" xfId="48"/>
    <cellStyle name="Comma 8" xfId="270"/>
    <cellStyle name="Comma 8 2" xfId="271"/>
    <cellStyle name="Comma 9" xfId="272"/>
    <cellStyle name="Comma 9 2" xfId="273"/>
    <cellStyle name="Comma0" xfId="49"/>
    <cellStyle name="Currency" xfId="251" builtinId="4"/>
    <cellStyle name="Currency 10" xfId="274"/>
    <cellStyle name="Currency 10 2" xfId="275"/>
    <cellStyle name="Currency 11" xfId="276"/>
    <cellStyle name="Currency 2" xfId="3"/>
    <cellStyle name="Currency 2 10" xfId="50"/>
    <cellStyle name="Currency 2 11" xfId="51"/>
    <cellStyle name="Currency 2 12" xfId="52"/>
    <cellStyle name="Currency 2 13" xfId="53"/>
    <cellStyle name="Currency 2 14" xfId="54"/>
    <cellStyle name="Currency 2 15" xfId="55"/>
    <cellStyle name="Currency 2 16" xfId="56"/>
    <cellStyle name="Currency 2 17" xfId="57"/>
    <cellStyle name="Currency 2 18" xfId="58"/>
    <cellStyle name="Currency 2 19" xfId="59"/>
    <cellStyle name="Currency 2 2" xfId="60"/>
    <cellStyle name="Currency 2 20" xfId="277"/>
    <cellStyle name="Currency 2 3" xfId="61"/>
    <cellStyle name="Currency 2 4" xfId="62"/>
    <cellStyle name="Currency 2 5" xfId="63"/>
    <cellStyle name="Currency 2 6" xfId="64"/>
    <cellStyle name="Currency 2 7" xfId="65"/>
    <cellStyle name="Currency 2 8" xfId="66"/>
    <cellStyle name="Currency 2 9" xfId="67"/>
    <cellStyle name="Currency 3" xfId="68"/>
    <cellStyle name="Currency 3 2" xfId="278"/>
    <cellStyle name="Currency 3 3" xfId="279"/>
    <cellStyle name="Currency 3 4" xfId="280"/>
    <cellStyle name="Currency 4" xfId="69"/>
    <cellStyle name="Currency 4 2" xfId="281"/>
    <cellStyle name="Currency 5" xfId="70"/>
    <cellStyle name="Currency 5 2" xfId="282"/>
    <cellStyle name="Currency 6" xfId="283"/>
    <cellStyle name="Currency 6 2" xfId="284"/>
    <cellStyle name="Currency 7" xfId="285"/>
    <cellStyle name="Currency 8" xfId="286"/>
    <cellStyle name="Currency 8 2" xfId="287"/>
    <cellStyle name="Currency 9" xfId="288"/>
    <cellStyle name="Currency 9 2" xfId="289"/>
    <cellStyle name="Currency No Comma" xfId="71"/>
    <cellStyle name="Currency0" xfId="72"/>
    <cellStyle name="Data" xfId="290"/>
    <cellStyle name="Date" xfId="73"/>
    <cellStyle name="Date 2" xfId="291"/>
    <cellStyle name="Euro" xfId="74"/>
    <cellStyle name="Euro 10" xfId="75"/>
    <cellStyle name="Euro 10 2" xfId="292"/>
    <cellStyle name="Euro 11" xfId="76"/>
    <cellStyle name="Euro 11 2" xfId="293"/>
    <cellStyle name="Euro 12" xfId="77"/>
    <cellStyle name="Euro 12 2" xfId="294"/>
    <cellStyle name="Euro 13" xfId="78"/>
    <cellStyle name="Euro 13 2" xfId="295"/>
    <cellStyle name="Euro 14" xfId="79"/>
    <cellStyle name="Euro 14 2" xfId="296"/>
    <cellStyle name="Euro 15" xfId="80"/>
    <cellStyle name="Euro 15 2" xfId="297"/>
    <cellStyle name="Euro 16" xfId="81"/>
    <cellStyle name="Euro 16 2" xfId="298"/>
    <cellStyle name="Euro 17" xfId="82"/>
    <cellStyle name="Euro 17 2" xfId="299"/>
    <cellStyle name="Euro 18" xfId="83"/>
    <cellStyle name="Euro 18 2" xfId="300"/>
    <cellStyle name="Euro 19" xfId="301"/>
    <cellStyle name="Euro 2" xfId="84"/>
    <cellStyle name="Euro 2 2" xfId="302"/>
    <cellStyle name="Euro 3" xfId="85"/>
    <cellStyle name="Euro 3 2" xfId="303"/>
    <cellStyle name="Euro 4" xfId="86"/>
    <cellStyle name="Euro 4 2" xfId="304"/>
    <cellStyle name="Euro 5" xfId="87"/>
    <cellStyle name="Euro 5 2" xfId="305"/>
    <cellStyle name="Euro 6" xfId="88"/>
    <cellStyle name="Euro 6 2" xfId="306"/>
    <cellStyle name="Euro 7" xfId="89"/>
    <cellStyle name="Euro 7 2" xfId="307"/>
    <cellStyle name="Euro 8" xfId="90"/>
    <cellStyle name="Euro 8 2" xfId="308"/>
    <cellStyle name="Euro 9" xfId="91"/>
    <cellStyle name="Euro 9 2" xfId="309"/>
    <cellStyle name="Fixed" xfId="92"/>
    <cellStyle name="General" xfId="93"/>
    <cellStyle name="Grey" xfId="94"/>
    <cellStyle name="header" xfId="95"/>
    <cellStyle name="Header1" xfId="96"/>
    <cellStyle name="Header2" xfId="97"/>
    <cellStyle name="Heading1" xfId="98"/>
    <cellStyle name="Heading2" xfId="99"/>
    <cellStyle name="HeadlineStyle" xfId="100"/>
    <cellStyle name="HeadlineStyleJustified" xfId="101"/>
    <cellStyle name="Hyperlink" xfId="1" builtinId="8"/>
    <cellStyle name="Hyperlink 2" xfId="310"/>
    <cellStyle name="Input [yellow]" xfId="102"/>
    <cellStyle name="Input Box" xfId="103"/>
    <cellStyle name="MCP" xfId="104"/>
    <cellStyle name="MW" xfId="105"/>
    <cellStyle name="nONE" xfId="106"/>
    <cellStyle name="noninput" xfId="107"/>
    <cellStyle name="Normal" xfId="0" builtinId="0"/>
    <cellStyle name="Normal - Style1" xfId="108"/>
    <cellStyle name="Normal 10" xfId="109"/>
    <cellStyle name="Normal 10 2" xfId="311"/>
    <cellStyle name="Normal 11" xfId="110"/>
    <cellStyle name="Normal 11 2" xfId="312"/>
    <cellStyle name="Normal 12" xfId="111"/>
    <cellStyle name="Normal 12 2" xfId="313"/>
    <cellStyle name="Normal 13" xfId="112"/>
    <cellStyle name="Normal 13 2" xfId="314"/>
    <cellStyle name="Normal 14" xfId="113"/>
    <cellStyle name="Normal 14 2" xfId="315"/>
    <cellStyle name="Normal 15" xfId="114"/>
    <cellStyle name="Normal 15 2" xfId="316"/>
    <cellStyle name="Normal 16" xfId="115"/>
    <cellStyle name="Normal 16 2" xfId="317"/>
    <cellStyle name="Normal 17" xfId="116"/>
    <cellStyle name="Normal 17 2" xfId="318"/>
    <cellStyle name="Normal 18" xfId="117"/>
    <cellStyle name="Normal 18 2" xfId="319"/>
    <cellStyle name="Normal 19" xfId="118"/>
    <cellStyle name="Normal 19 2" xfId="320"/>
    <cellStyle name="Normal 2" xfId="2"/>
    <cellStyle name="Normal 2 10" xfId="119"/>
    <cellStyle name="Normal 2 10 2" xfId="321"/>
    <cellStyle name="Normal 2 11" xfId="120"/>
    <cellStyle name="Normal 2 11 2" xfId="322"/>
    <cellStyle name="Normal 2 12" xfId="121"/>
    <cellStyle name="Normal 2 12 2" xfId="323"/>
    <cellStyle name="Normal 2 13" xfId="122"/>
    <cellStyle name="Normal 2 13 2" xfId="324"/>
    <cellStyle name="Normal 2 14" xfId="123"/>
    <cellStyle name="Normal 2 14 2" xfId="325"/>
    <cellStyle name="Normal 2 15" xfId="124"/>
    <cellStyle name="Normal 2 15 2" xfId="326"/>
    <cellStyle name="Normal 2 16" xfId="125"/>
    <cellStyle name="Normal 2 16 2" xfId="327"/>
    <cellStyle name="Normal 2 17" xfId="126"/>
    <cellStyle name="Normal 2 17 2" xfId="328"/>
    <cellStyle name="Normal 2 18" xfId="127"/>
    <cellStyle name="Normal 2 18 2" xfId="329"/>
    <cellStyle name="Normal 2 19" xfId="128"/>
    <cellStyle name="Normal 2 19 2" xfId="330"/>
    <cellStyle name="Normal 2 2" xfId="129"/>
    <cellStyle name="Normal 2 2 2" xfId="331"/>
    <cellStyle name="Normal 2 2 3" xfId="332"/>
    <cellStyle name="Normal 2 2 4" xfId="333"/>
    <cellStyle name="Normal 2 2 5" xfId="334"/>
    <cellStyle name="Normal 2 20" xfId="12"/>
    <cellStyle name="Normal 2 21" xfId="335"/>
    <cellStyle name="Normal 2 22" xfId="336"/>
    <cellStyle name="Normal 2 23" xfId="337"/>
    <cellStyle name="Normal 2 24" xfId="338"/>
    <cellStyle name="Normal 2 25" xfId="339"/>
    <cellStyle name="Normal 2 26" xfId="340"/>
    <cellStyle name="Normal 2 3" xfId="130"/>
    <cellStyle name="Normal 2 3 2" xfId="341"/>
    <cellStyle name="Normal 2 4" xfId="131"/>
    <cellStyle name="Normal 2 4 2" xfId="342"/>
    <cellStyle name="Normal 2 5" xfId="132"/>
    <cellStyle name="Normal 2 5 2" xfId="343"/>
    <cellStyle name="Normal 2 6" xfId="133"/>
    <cellStyle name="Normal 2 6 2" xfId="344"/>
    <cellStyle name="Normal 2 7" xfId="134"/>
    <cellStyle name="Normal 2 7 2" xfId="345"/>
    <cellStyle name="Normal 2 8" xfId="135"/>
    <cellStyle name="Normal 2 8 2" xfId="346"/>
    <cellStyle name="Normal 2 9" xfId="136"/>
    <cellStyle name="Normal 2 9 2" xfId="347"/>
    <cellStyle name="Normal 20" xfId="137"/>
    <cellStyle name="Normal 20 2" xfId="348"/>
    <cellStyle name="Normal 21" xfId="138"/>
    <cellStyle name="Normal 21 2" xfId="349"/>
    <cellStyle name="Normal 22" xfId="139"/>
    <cellStyle name="Normal 22 2" xfId="350"/>
    <cellStyle name="Normal 23" xfId="140"/>
    <cellStyle name="Normal 23 2" xfId="351"/>
    <cellStyle name="Normal 24" xfId="141"/>
    <cellStyle name="Normal 24 2" xfId="352"/>
    <cellStyle name="Normal 24 2 2" xfId="353"/>
    <cellStyle name="Normal 24 3" xfId="354"/>
    <cellStyle name="Normal 25" xfId="142"/>
    <cellStyle name="Normal 25 2" xfId="355"/>
    <cellStyle name="Normal 26" xfId="143"/>
    <cellStyle name="Normal 26 2" xfId="356"/>
    <cellStyle name="Normal 27" xfId="11"/>
    <cellStyle name="Normal 27 2" xfId="357"/>
    <cellStyle name="Normal 28" xfId="144"/>
    <cellStyle name="Normal 28 2" xfId="358"/>
    <cellStyle name="Normal 29" xfId="145"/>
    <cellStyle name="Normal 29 2" xfId="359"/>
    <cellStyle name="Normal 3" xfId="146"/>
    <cellStyle name="Normal 3 2" xfId="147"/>
    <cellStyle name="Normal 3 3" xfId="148"/>
    <cellStyle name="Normal 3 4" xfId="149"/>
    <cellStyle name="Normal 30" xfId="150"/>
    <cellStyle name="Normal 30 2" xfId="360"/>
    <cellStyle name="Normal 31" xfId="253"/>
    <cellStyle name="Normal 31 2" xfId="361"/>
    <cellStyle name="Normal 32" xfId="362"/>
    <cellStyle name="Normal 32 2" xfId="363"/>
    <cellStyle name="Normal 33" xfId="364"/>
    <cellStyle name="Normal 33 2" xfId="365"/>
    <cellStyle name="Normal 34" xfId="366"/>
    <cellStyle name="Normal 34 2" xfId="367"/>
    <cellStyle name="Normal 35" xfId="368"/>
    <cellStyle name="Normal 36" xfId="369"/>
    <cellStyle name="Normal 37" xfId="370"/>
    <cellStyle name="Normal 38" xfId="371"/>
    <cellStyle name="Normal 39" xfId="372"/>
    <cellStyle name="Normal 4" xfId="9"/>
    <cellStyle name="Normal 4 2" xfId="373"/>
    <cellStyle name="Normal 40" xfId="374"/>
    <cellStyle name="Normal 41" xfId="375"/>
    <cellStyle name="Normal 42" xfId="376"/>
    <cellStyle name="Normal 43" xfId="377"/>
    <cellStyle name="Normal 44" xfId="378"/>
    <cellStyle name="Normal 45" xfId="257"/>
    <cellStyle name="Normal 5" xfId="13"/>
    <cellStyle name="Normal 5 2" xfId="379"/>
    <cellStyle name="Normal 6" xfId="151"/>
    <cellStyle name="Normal 6 2" xfId="380"/>
    <cellStyle name="Normal 7" xfId="152"/>
    <cellStyle name="Normal 7 2" xfId="381"/>
    <cellStyle name="Normal 8" xfId="153"/>
    <cellStyle name="Normal 8 2" xfId="382"/>
    <cellStyle name="Normal 9" xfId="154"/>
    <cellStyle name="Normal 9 2" xfId="383"/>
    <cellStyle name="Normal_DynamicCharts" xfId="255"/>
    <cellStyle name="Normal_Input summary" xfId="8"/>
    <cellStyle name="Normal_Summary" xfId="254"/>
    <cellStyle name="Note 2" xfId="384"/>
    <cellStyle name="Number" xfId="155"/>
    <cellStyle name="Password" xfId="156"/>
    <cellStyle name="Percent" xfId="4" builtinId="5"/>
    <cellStyle name="Percent [2]" xfId="157"/>
    <cellStyle name="Percent 10" xfId="385"/>
    <cellStyle name="Percent 11" xfId="386"/>
    <cellStyle name="Percent 2" xfId="6"/>
    <cellStyle name="Percent 2 10" xfId="158"/>
    <cellStyle name="Percent 2 11" xfId="159"/>
    <cellStyle name="Percent 2 12" xfId="160"/>
    <cellStyle name="Percent 2 13" xfId="161"/>
    <cellStyle name="Percent 2 14" xfId="162"/>
    <cellStyle name="Percent 2 15" xfId="163"/>
    <cellStyle name="Percent 2 16" xfId="164"/>
    <cellStyle name="Percent 2 17" xfId="165"/>
    <cellStyle name="Percent 2 18" xfId="166"/>
    <cellStyle name="Percent 2 19" xfId="167"/>
    <cellStyle name="Percent 2 2" xfId="168"/>
    <cellStyle name="Percent 2 20" xfId="169"/>
    <cellStyle name="Percent 2 3" xfId="170"/>
    <cellStyle name="Percent 2 4" xfId="171"/>
    <cellStyle name="Percent 2 5" xfId="172"/>
    <cellStyle name="Percent 2 6" xfId="173"/>
    <cellStyle name="Percent 2 7" xfId="174"/>
    <cellStyle name="Percent 2 8" xfId="175"/>
    <cellStyle name="Percent 2 9" xfId="176"/>
    <cellStyle name="Percent 3" xfId="10"/>
    <cellStyle name="Percent 3 2" xfId="387"/>
    <cellStyle name="Percent 4" xfId="177"/>
    <cellStyle name="Percent 4 2" xfId="388"/>
    <cellStyle name="Percent 5" xfId="178"/>
    <cellStyle name="Percent 5 2" xfId="389"/>
    <cellStyle name="Percent 5 2 2" xfId="390"/>
    <cellStyle name="Percent 5 3" xfId="391"/>
    <cellStyle name="Percent 5 4" xfId="392"/>
    <cellStyle name="Percent 6" xfId="179"/>
    <cellStyle name="Percent 7" xfId="180"/>
    <cellStyle name="Percent 7 2" xfId="393"/>
    <cellStyle name="Percent 8" xfId="394"/>
    <cellStyle name="Percent 8 2" xfId="395"/>
    <cellStyle name="Percent 9" xfId="396"/>
    <cellStyle name="Percent 9 2" xfId="397"/>
    <cellStyle name="PSChar" xfId="7"/>
    <cellStyle name="PSDec" xfId="181"/>
    <cellStyle name="SAPBEXaggData" xfId="182"/>
    <cellStyle name="SAPBEXaggDataEmph" xfId="183"/>
    <cellStyle name="SAPBEXaggItem" xfId="184"/>
    <cellStyle name="SAPBEXaggItemX" xfId="185"/>
    <cellStyle name="SAPBEXchaText" xfId="186"/>
    <cellStyle name="SAPBEXexcBad7" xfId="187"/>
    <cellStyle name="SAPBEXexcBad8" xfId="188"/>
    <cellStyle name="SAPBEXexcBad9" xfId="189"/>
    <cellStyle name="SAPBEXexcCritical4" xfId="190"/>
    <cellStyle name="SAPBEXexcCritical5" xfId="191"/>
    <cellStyle name="SAPBEXexcCritical6" xfId="192"/>
    <cellStyle name="SAPBEXexcGood1" xfId="193"/>
    <cellStyle name="SAPBEXexcGood2" xfId="194"/>
    <cellStyle name="SAPBEXexcGood3" xfId="195"/>
    <cellStyle name="SAPBEXfilterDrill" xfId="196"/>
    <cellStyle name="SAPBEXfilterItem" xfId="197"/>
    <cellStyle name="SAPBEXfilterText" xfId="198"/>
    <cellStyle name="SAPBEXformats" xfId="199"/>
    <cellStyle name="SAPBEXheaderItem" xfId="200"/>
    <cellStyle name="SAPBEXheaderText" xfId="201"/>
    <cellStyle name="SAPBEXHLevel0" xfId="202"/>
    <cellStyle name="SAPBEXHLevel0X" xfId="203"/>
    <cellStyle name="SAPBEXHLevel1" xfId="204"/>
    <cellStyle name="SAPBEXHLevel1X" xfId="205"/>
    <cellStyle name="SAPBEXHLevel2" xfId="206"/>
    <cellStyle name="SAPBEXHLevel2X" xfId="207"/>
    <cellStyle name="SAPBEXHLevel3" xfId="208"/>
    <cellStyle name="SAPBEXHLevel3X" xfId="209"/>
    <cellStyle name="SAPBEXresData" xfId="210"/>
    <cellStyle name="SAPBEXresDataEmph" xfId="211"/>
    <cellStyle name="SAPBEXresItem" xfId="212"/>
    <cellStyle name="SAPBEXresItemX" xfId="213"/>
    <cellStyle name="SAPBEXstdData" xfId="214"/>
    <cellStyle name="SAPBEXstdDataEmph" xfId="215"/>
    <cellStyle name="SAPBEXstdItem" xfId="216"/>
    <cellStyle name="SAPBEXstdItemX" xfId="217"/>
    <cellStyle name="SAPBEXtitle" xfId="218"/>
    <cellStyle name="SAPBEXundefined" xfId="219"/>
    <cellStyle name="Style 1" xfId="220"/>
    <cellStyle name="Style 21" xfId="221"/>
    <cellStyle name="Style 22" xfId="222"/>
    <cellStyle name="Style 23" xfId="223"/>
    <cellStyle name="Style 24" xfId="224"/>
    <cellStyle name="Style 25" xfId="225"/>
    <cellStyle name="Style 26" xfId="226"/>
    <cellStyle name="Style 27" xfId="227"/>
    <cellStyle name="Style 28" xfId="228"/>
    <cellStyle name="Style 29" xfId="229"/>
    <cellStyle name="Style 30" xfId="230"/>
    <cellStyle name="Style 31" xfId="231"/>
    <cellStyle name="Style 32" xfId="232"/>
    <cellStyle name="Style 33" xfId="233"/>
    <cellStyle name="Style 34" xfId="234"/>
    <cellStyle name="Style 35" xfId="235"/>
    <cellStyle name="Style 36" xfId="236"/>
    <cellStyle name="Style 39" xfId="237"/>
    <cellStyle name="Titles" xfId="238"/>
    <cellStyle name="TRANSMISSION RELIABILITY PORTION OF PROJECT" xfId="239"/>
    <cellStyle name="Unprot" xfId="240"/>
    <cellStyle name="Unprot$" xfId="241"/>
    <cellStyle name="Unprotect" xfId="242"/>
    <cellStyle name="White on Black" xfId="252"/>
    <cellStyle name="콤마 [0]_010321-DubaiProductsMargins -- 4LG" xfId="245"/>
    <cellStyle name="콤마_010321-DubaiProductsMargins -- 4LG" xfId="246"/>
    <cellStyle name="표준_01DATA" xfId="247"/>
    <cellStyle name="千位分隔[0]_WELLFLOW.xls 图表 1" xfId="243"/>
    <cellStyle name="千位分隔_WELLFLOW.xls 图表 1" xfId="244"/>
    <cellStyle name="常规_TARDAT" xfId="248"/>
    <cellStyle name="货币[0]_WELLFLOW.xls 图表 1" xfId="249"/>
    <cellStyle name="货币_WELLFLOW.xls 图表 1" xfId="250"/>
  </cellStyles>
  <dxfs count="12">
    <dxf>
      <font>
        <b/>
        <i/>
        <color rgb="FFC00000"/>
      </font>
      <border>
        <left style="thin">
          <color auto="1"/>
        </left>
        <right style="thin">
          <color auto="1"/>
        </right>
        <top style="thin">
          <color auto="1"/>
        </top>
        <bottom style="thin">
          <color auto="1"/>
        </bottom>
      </border>
    </dxf>
    <dxf>
      <fill>
        <patternFill>
          <bgColor rgb="FFFF9900"/>
        </patternFill>
      </fill>
    </dxf>
    <dxf>
      <fill>
        <patternFill>
          <bgColor rgb="FF99FF33"/>
        </patternFill>
      </fill>
    </dxf>
    <dxf>
      <font>
        <color auto="1"/>
      </font>
      <fill>
        <patternFill patternType="none">
          <bgColor auto="1"/>
        </patternFill>
      </fill>
      <border>
        <left style="thin">
          <color auto="1"/>
        </left>
        <right style="thin">
          <color auto="1"/>
        </right>
        <top style="thin">
          <color auto="1"/>
        </top>
        <bottom style="thin">
          <color auto="1"/>
        </bottom>
      </border>
    </dxf>
    <dxf>
      <font>
        <color auto="1"/>
      </font>
      <fill>
        <patternFill patternType="solid">
          <bgColor theme="0"/>
        </patternFill>
      </fill>
      <border>
        <left style="thin">
          <color auto="1"/>
        </left>
        <right style="thin">
          <color auto="1"/>
        </right>
        <top style="thin">
          <color auto="1"/>
        </top>
        <bottom style="thin">
          <color auto="1"/>
        </bottom>
      </border>
    </dxf>
    <dxf>
      <font>
        <color auto="1"/>
      </font>
      <fill>
        <patternFill patternType="none">
          <bgColor auto="1"/>
        </patternFill>
      </fill>
      <border>
        <left style="thin">
          <color auto="1"/>
        </left>
        <right style="thin">
          <color auto="1"/>
        </right>
        <top style="thin">
          <color auto="1"/>
        </top>
        <bottom style="thin">
          <color auto="1"/>
        </bottom>
      </border>
    </dxf>
    <dxf>
      <font>
        <color theme="0"/>
      </font>
      <fill>
        <patternFill>
          <bgColor rgb="FFCC3300"/>
        </patternFill>
      </fill>
    </dxf>
    <dxf>
      <font>
        <color theme="0"/>
      </font>
      <fill>
        <patternFill>
          <bgColor rgb="FFCC3300"/>
        </patternFill>
      </fill>
    </dxf>
    <dxf>
      <font>
        <color theme="1"/>
      </font>
      <fill>
        <patternFill>
          <bgColor theme="0"/>
        </patternFill>
      </fill>
      <border>
        <left style="thin">
          <color auto="1"/>
        </left>
        <right style="thin">
          <color auto="1"/>
        </right>
        <top style="thin">
          <color auto="1"/>
        </top>
        <bottom style="thin">
          <color auto="1"/>
        </bottom>
        <vertical/>
        <horizontal/>
      </border>
    </dxf>
    <dxf>
      <font>
        <color auto="1"/>
      </font>
      <fill>
        <patternFill>
          <bgColor rgb="FFFFC000"/>
        </patternFill>
      </fill>
      <border>
        <left style="thin">
          <color auto="1"/>
        </left>
        <right style="thin">
          <color auto="1"/>
        </right>
        <top style="thin">
          <color auto="1"/>
        </top>
        <bottom style="thin">
          <color auto="1"/>
        </bottom>
      </border>
    </dxf>
    <dxf>
      <font>
        <color theme="0"/>
      </font>
      <fill>
        <patternFill>
          <bgColor rgb="FFCC3300"/>
        </patternFill>
      </fill>
    </dxf>
    <dxf>
      <font>
        <color auto="1"/>
      </font>
      <fill>
        <patternFill>
          <bgColor rgb="FFFFC000"/>
        </patternFill>
      </fill>
      <border>
        <left style="thin">
          <color auto="1"/>
        </left>
        <right style="thin">
          <color auto="1"/>
        </right>
        <top style="thin">
          <color auto="1"/>
        </top>
        <bottom style="thin">
          <color auto="1"/>
        </bottom>
      </border>
    </dxf>
  </dxfs>
  <tableStyles count="0" defaultTableStyle="TableStyleMedium9" defaultPivotStyle="PivotStyleLight16"/>
  <colors>
    <mruColors>
      <color rgb="FFA9DA74"/>
      <color rgb="FFCC3300"/>
      <color rgb="FFFF00FF"/>
      <color rgb="FF0000CC"/>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2.xml"/><Relationship Id="rId89" Type="http://schemas.openxmlformats.org/officeDocument/2006/relationships/worksheet" Target="worksheets/sheet8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hartsheet" Target="chartsheets/sheet1.xml"/><Relationship Id="rId79" Type="http://schemas.openxmlformats.org/officeDocument/2006/relationships/worksheet" Target="worksheets/sheet78.xml"/><Relationship Id="rId87" Type="http://schemas.openxmlformats.org/officeDocument/2006/relationships/worksheet" Target="worksheets/sheet85.xml"/><Relationship Id="rId102" Type="http://schemas.openxmlformats.org/officeDocument/2006/relationships/pivotCacheDefinition" Target="pivotCache/pivotCacheDefinition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0.xml"/><Relationship Id="rId90" Type="http://schemas.openxmlformats.org/officeDocument/2006/relationships/worksheet" Target="worksheets/sheet88.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6.xml"/><Relationship Id="rId100" Type="http://schemas.openxmlformats.org/officeDocument/2006/relationships/externalLink" Target="externalLinks/externalLink7.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hartsheet" Target="chartsheets/sheet2.xml"/><Relationship Id="rId85" Type="http://schemas.openxmlformats.org/officeDocument/2006/relationships/worksheet" Target="worksheets/sheet83.xml"/><Relationship Id="rId93" Type="http://schemas.openxmlformats.org/officeDocument/2006/relationships/worksheet" Target="worksheets/sheet91.xml"/><Relationship Id="rId9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4.xml"/><Relationship Id="rId83" Type="http://schemas.openxmlformats.org/officeDocument/2006/relationships/worksheet" Target="worksheets/sheet81.xml"/><Relationship Id="rId88" Type="http://schemas.openxmlformats.org/officeDocument/2006/relationships/worksheet" Target="worksheets/sheet86.xml"/><Relationship Id="rId91" Type="http://schemas.openxmlformats.org/officeDocument/2006/relationships/worksheet" Target="worksheets/sheet89.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7.xml"/><Relationship Id="rId81" Type="http://schemas.openxmlformats.org/officeDocument/2006/relationships/worksheet" Target="worksheets/sheet79.xml"/><Relationship Id="rId86" Type="http://schemas.openxmlformats.org/officeDocument/2006/relationships/worksheet" Target="worksheets/sheet84.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5.xml"/><Relationship Id="rId97" Type="http://schemas.openxmlformats.org/officeDocument/2006/relationships/externalLink" Target="externalLinks/externalLink4.xml"/><Relationship Id="rId10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image" Target="../media/image2.jpe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image" Target="../media/image5.png"/></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strRef>
          <c:f>VSG!$C$28</c:f>
          <c:strCache>
            <c:ptCount val="1"/>
            <c:pt idx="0">
              <c:v>Net GHG Emissions: Case Western Reserve University - 2009</c:v>
            </c:pt>
          </c:strCache>
        </c:strRef>
      </c:tx>
      <c:txPr>
        <a:bodyPr/>
        <a:lstStyle/>
        <a:p>
          <a:pPr>
            <a:defRPr sz="1800"/>
          </a:pPr>
          <a:endParaRPr lang="en-US"/>
        </a:p>
      </c:txPr>
    </c:title>
    <c:plotArea>
      <c:layout>
        <c:manualLayout>
          <c:layoutTarget val="inner"/>
          <c:xMode val="edge"/>
          <c:yMode val="edge"/>
          <c:x val="9.5930620425429866E-2"/>
          <c:y val="7.4414144697500781E-2"/>
          <c:w val="0.8916924467752021"/>
          <c:h val="0.73495196924828665"/>
        </c:manualLayout>
      </c:layout>
      <c:barChart>
        <c:barDir val="col"/>
        <c:grouping val="stacked"/>
        <c:ser>
          <c:idx val="0"/>
          <c:order val="0"/>
          <c:tx>
            <c:strRef>
              <c:f>VSG!$F$5</c:f>
              <c:strCache>
                <c:ptCount val="1"/>
                <c:pt idx="0">
                  <c:v>EndPoints</c:v>
                </c:pt>
              </c:strCache>
            </c:strRef>
          </c:tx>
          <c:spPr>
            <a:solidFill>
              <a:schemeClr val="tx1"/>
            </a:solidFill>
          </c:spPr>
          <c:cat>
            <c:strRef>
              <c:f>VSG!$C$6:$C$24</c:f>
              <c:strCache>
                <c:ptCount val="15"/>
                <c:pt idx="0">
                  <c:v>Stationary Combustion</c:v>
                </c:pt>
                <c:pt idx="1">
                  <c:v>Purchased Electricity </c:v>
                </c:pt>
                <c:pt idx="2">
                  <c:v>Purchased Steam</c:v>
                </c:pt>
                <c:pt idx="3">
                  <c:v>Purchased Chilled Water</c:v>
                </c:pt>
                <c:pt idx="4">
                  <c:v>SCOPE 2 T&amp;D LOSSES</c:v>
                </c:pt>
                <c:pt idx="5">
                  <c:v>FACULTY/STAFF COMMUTING</c:v>
                </c:pt>
                <c:pt idx="6">
                  <c:v>STUDENT COMMUTING</c:v>
                </c:pt>
                <c:pt idx="7">
                  <c:v>Air Travel</c:v>
                </c:pt>
                <c:pt idx="8">
                  <c:v>Mobile Combustion (Fleet)</c:v>
                </c:pt>
                <c:pt idx="9">
                  <c:v>Refrigerants and Other Chemicals</c:v>
                </c:pt>
                <c:pt idx="10">
                  <c:v>SOLID WASTE</c:v>
                </c:pt>
                <c:pt idx="11">
                  <c:v>WASTEWATER</c:v>
                </c:pt>
                <c:pt idx="12">
                  <c:v>PAPER PURCHASING</c:v>
                </c:pt>
                <c:pt idx="13">
                  <c:v>SEQUESTRATION</c:v>
                </c:pt>
                <c:pt idx="14">
                  <c:v>Total Emissions</c:v>
                </c:pt>
              </c:strCache>
            </c:strRef>
          </c:cat>
          <c:val>
            <c:numRef>
              <c:f>VSG!$F$6:$F$24</c:f>
              <c:numCache>
                <c:formatCode>General</c:formatCode>
                <c:ptCount val="15"/>
                <c:pt idx="14" formatCode="#,##0">
                  <c:v>263218.42990122223</c:v>
                </c:pt>
              </c:numCache>
            </c:numRef>
          </c:val>
        </c:ser>
        <c:ser>
          <c:idx val="1"/>
          <c:order val="1"/>
          <c:tx>
            <c:strRef>
              <c:f>VSG!$G$5</c:f>
              <c:strCache>
                <c:ptCount val="1"/>
                <c:pt idx="0">
                  <c:v>blank neg  </c:v>
                </c:pt>
              </c:strCache>
            </c:strRef>
          </c:tx>
          <c:spPr>
            <a:blipFill>
              <a:blip xmlns:r="http://schemas.openxmlformats.org/officeDocument/2006/relationships" r:embed="rId1"/>
              <a:tile tx="0" ty="0" sx="100000" sy="100000" flip="none" algn="tl"/>
            </a:blipFill>
          </c:spPr>
          <c:cat>
            <c:strRef>
              <c:f>VSG!$C$6:$C$24</c:f>
              <c:strCache>
                <c:ptCount val="15"/>
                <c:pt idx="0">
                  <c:v>Stationary Combustion</c:v>
                </c:pt>
                <c:pt idx="1">
                  <c:v>Purchased Electricity </c:v>
                </c:pt>
                <c:pt idx="2">
                  <c:v>Purchased Steam</c:v>
                </c:pt>
                <c:pt idx="3">
                  <c:v>Purchased Chilled Water</c:v>
                </c:pt>
                <c:pt idx="4">
                  <c:v>SCOPE 2 T&amp;D LOSSES</c:v>
                </c:pt>
                <c:pt idx="5">
                  <c:v>FACULTY/STAFF COMMUTING</c:v>
                </c:pt>
                <c:pt idx="6">
                  <c:v>STUDENT COMMUTING</c:v>
                </c:pt>
                <c:pt idx="7">
                  <c:v>Air Travel</c:v>
                </c:pt>
                <c:pt idx="8">
                  <c:v>Mobile Combustion (Fleet)</c:v>
                </c:pt>
                <c:pt idx="9">
                  <c:v>Refrigerants and Other Chemicals</c:v>
                </c:pt>
                <c:pt idx="10">
                  <c:v>SOLID WASTE</c:v>
                </c:pt>
                <c:pt idx="11">
                  <c:v>WASTEWATER</c:v>
                </c:pt>
                <c:pt idx="12">
                  <c:v>PAPER PURCHASING</c:v>
                </c:pt>
                <c:pt idx="13">
                  <c:v>SEQUESTRATION</c:v>
                </c:pt>
                <c:pt idx="14">
                  <c:v>Total Emissions</c:v>
                </c:pt>
              </c:strCache>
            </c:strRef>
          </c:cat>
          <c:val>
            <c:numRef>
              <c:f>VSG!$G$6:$G$24</c:f>
              <c:numCache>
                <c:formatCode>#,##0</c:formatCode>
                <c:ptCount val="15"/>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2"/>
          <c:order val="2"/>
          <c:tx>
            <c:strRef>
              <c:f>VSG!$H$5</c:f>
              <c:strCache>
                <c:ptCount val="1"/>
                <c:pt idx="0">
                  <c:v>red neg  </c:v>
                </c:pt>
              </c:strCache>
            </c:strRef>
          </c:tx>
          <c:spPr>
            <a:solidFill>
              <a:srgbClr val="FF0000"/>
            </a:solidFill>
          </c:spPr>
          <c:cat>
            <c:strRef>
              <c:f>VSG!$C$6:$C$24</c:f>
              <c:strCache>
                <c:ptCount val="15"/>
                <c:pt idx="0">
                  <c:v>Stationary Combustion</c:v>
                </c:pt>
                <c:pt idx="1">
                  <c:v>Purchased Electricity </c:v>
                </c:pt>
                <c:pt idx="2">
                  <c:v>Purchased Steam</c:v>
                </c:pt>
                <c:pt idx="3">
                  <c:v>Purchased Chilled Water</c:v>
                </c:pt>
                <c:pt idx="4">
                  <c:v>SCOPE 2 T&amp;D LOSSES</c:v>
                </c:pt>
                <c:pt idx="5">
                  <c:v>FACULTY/STAFF COMMUTING</c:v>
                </c:pt>
                <c:pt idx="6">
                  <c:v>STUDENT COMMUTING</c:v>
                </c:pt>
                <c:pt idx="7">
                  <c:v>Air Travel</c:v>
                </c:pt>
                <c:pt idx="8">
                  <c:v>Mobile Combustion (Fleet)</c:v>
                </c:pt>
                <c:pt idx="9">
                  <c:v>Refrigerants and Other Chemicals</c:v>
                </c:pt>
                <c:pt idx="10">
                  <c:v>SOLID WASTE</c:v>
                </c:pt>
                <c:pt idx="11">
                  <c:v>WASTEWATER</c:v>
                </c:pt>
                <c:pt idx="12">
                  <c:v>PAPER PURCHASING</c:v>
                </c:pt>
                <c:pt idx="13">
                  <c:v>SEQUESTRATION</c:v>
                </c:pt>
                <c:pt idx="14">
                  <c:v>Total Emissions</c:v>
                </c:pt>
              </c:strCache>
            </c:strRef>
          </c:cat>
          <c:val>
            <c:numRef>
              <c:f>VSG!$H$6:$H$24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3"/>
          <c:order val="3"/>
          <c:tx>
            <c:strRef>
              <c:f>VSG!$I$5</c:f>
              <c:strCache>
                <c:ptCount val="1"/>
                <c:pt idx="0">
                  <c:v>grn neg  </c:v>
                </c:pt>
              </c:strCache>
            </c:strRef>
          </c:tx>
          <c:spPr>
            <a:solidFill>
              <a:srgbClr val="00B050"/>
            </a:solidFill>
          </c:spPr>
          <c:cat>
            <c:strRef>
              <c:f>VSG!$C$6:$C$24</c:f>
              <c:strCache>
                <c:ptCount val="15"/>
                <c:pt idx="0">
                  <c:v>Stationary Combustion</c:v>
                </c:pt>
                <c:pt idx="1">
                  <c:v>Purchased Electricity </c:v>
                </c:pt>
                <c:pt idx="2">
                  <c:v>Purchased Steam</c:v>
                </c:pt>
                <c:pt idx="3">
                  <c:v>Purchased Chilled Water</c:v>
                </c:pt>
                <c:pt idx="4">
                  <c:v>SCOPE 2 T&amp;D LOSSES</c:v>
                </c:pt>
                <c:pt idx="5">
                  <c:v>FACULTY/STAFF COMMUTING</c:v>
                </c:pt>
                <c:pt idx="6">
                  <c:v>STUDENT COMMUTING</c:v>
                </c:pt>
                <c:pt idx="7">
                  <c:v>Air Travel</c:v>
                </c:pt>
                <c:pt idx="8">
                  <c:v>Mobile Combustion (Fleet)</c:v>
                </c:pt>
                <c:pt idx="9">
                  <c:v>Refrigerants and Other Chemicals</c:v>
                </c:pt>
                <c:pt idx="10">
                  <c:v>SOLID WASTE</c:v>
                </c:pt>
                <c:pt idx="11">
                  <c:v>WASTEWATER</c:v>
                </c:pt>
                <c:pt idx="12">
                  <c:v>PAPER PURCHASING</c:v>
                </c:pt>
                <c:pt idx="13">
                  <c:v>SEQUESTRATION</c:v>
                </c:pt>
                <c:pt idx="14">
                  <c:v>Total Emissions</c:v>
                </c:pt>
              </c:strCache>
            </c:strRef>
          </c:cat>
          <c:val>
            <c:numRef>
              <c:f>VSG!$I$6:$I$24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4"/>
          <c:order val="4"/>
          <c:tx>
            <c:strRef>
              <c:f>VSG!$J$5</c:f>
              <c:strCache>
                <c:ptCount val="1"/>
                <c:pt idx="0">
                  <c:v>blank pos  </c:v>
                </c:pt>
              </c:strCache>
            </c:strRef>
          </c:tx>
          <c:spPr>
            <a:noFill/>
          </c:spPr>
          <c:cat>
            <c:strRef>
              <c:f>VSG!$C$6:$C$24</c:f>
              <c:strCache>
                <c:ptCount val="15"/>
                <c:pt idx="0">
                  <c:v>Stationary Combustion</c:v>
                </c:pt>
                <c:pt idx="1">
                  <c:v>Purchased Electricity </c:v>
                </c:pt>
                <c:pt idx="2">
                  <c:v>Purchased Steam</c:v>
                </c:pt>
                <c:pt idx="3">
                  <c:v>Purchased Chilled Water</c:v>
                </c:pt>
                <c:pt idx="4">
                  <c:v>SCOPE 2 T&amp;D LOSSES</c:v>
                </c:pt>
                <c:pt idx="5">
                  <c:v>FACULTY/STAFF COMMUTING</c:v>
                </c:pt>
                <c:pt idx="6">
                  <c:v>STUDENT COMMUTING</c:v>
                </c:pt>
                <c:pt idx="7">
                  <c:v>Air Travel</c:v>
                </c:pt>
                <c:pt idx="8">
                  <c:v>Mobile Combustion (Fleet)</c:v>
                </c:pt>
                <c:pt idx="9">
                  <c:v>Refrigerants and Other Chemicals</c:v>
                </c:pt>
                <c:pt idx="10">
                  <c:v>SOLID WASTE</c:v>
                </c:pt>
                <c:pt idx="11">
                  <c:v>WASTEWATER</c:v>
                </c:pt>
                <c:pt idx="12">
                  <c:v>PAPER PURCHASING</c:v>
                </c:pt>
                <c:pt idx="13">
                  <c:v>SEQUESTRATION</c:v>
                </c:pt>
                <c:pt idx="14">
                  <c:v>Total Emissions</c:v>
                </c:pt>
              </c:strCache>
            </c:strRef>
          </c:cat>
          <c:val>
            <c:numRef>
              <c:f>VSG!$J$6:$J$24</c:f>
              <c:numCache>
                <c:formatCode>#,##0</c:formatCode>
                <c:ptCount val="15"/>
                <c:pt idx="1">
                  <c:v>5207.7354431957592</c:v>
                </c:pt>
                <c:pt idx="2">
                  <c:v>94287.225033474446</c:v>
                </c:pt>
                <c:pt idx="3">
                  <c:v>167259.9245284202</c:v>
                </c:pt>
                <c:pt idx="4">
                  <c:v>188210.85769082664</c:v>
                </c:pt>
                <c:pt idx="5">
                  <c:v>201964.26618808327</c:v>
                </c:pt>
                <c:pt idx="6">
                  <c:v>211298.96876571694</c:v>
                </c:pt>
                <c:pt idx="7">
                  <c:v>218110.66475039645</c:v>
                </c:pt>
                <c:pt idx="8">
                  <c:v>245977.06894394691</c:v>
                </c:pt>
                <c:pt idx="9">
                  <c:v>246542.43161365957</c:v>
                </c:pt>
                <c:pt idx="10">
                  <c:v>259939.12492119151</c:v>
                </c:pt>
                <c:pt idx="11">
                  <c:v>262460.35634976294</c:v>
                </c:pt>
                <c:pt idx="12">
                  <c:v>262589.84799129126</c:v>
                </c:pt>
                <c:pt idx="13">
                  <c:v>263218.42990122223</c:v>
                </c:pt>
              </c:numCache>
            </c:numRef>
          </c:val>
        </c:ser>
        <c:ser>
          <c:idx val="5"/>
          <c:order val="5"/>
          <c:tx>
            <c:strRef>
              <c:f>VSG!$K$5</c:f>
              <c:strCache>
                <c:ptCount val="1"/>
                <c:pt idx="0">
                  <c:v>red pos  </c:v>
                </c:pt>
              </c:strCache>
            </c:strRef>
          </c:tx>
          <c:spPr>
            <a:solidFill>
              <a:srgbClr val="FF0000"/>
            </a:solidFill>
          </c:spPr>
          <c:cat>
            <c:strRef>
              <c:f>VSG!$C$6:$C$24</c:f>
              <c:strCache>
                <c:ptCount val="15"/>
                <c:pt idx="0">
                  <c:v>Stationary Combustion</c:v>
                </c:pt>
                <c:pt idx="1">
                  <c:v>Purchased Electricity </c:v>
                </c:pt>
                <c:pt idx="2">
                  <c:v>Purchased Steam</c:v>
                </c:pt>
                <c:pt idx="3">
                  <c:v>Purchased Chilled Water</c:v>
                </c:pt>
                <c:pt idx="4">
                  <c:v>SCOPE 2 T&amp;D LOSSES</c:v>
                </c:pt>
                <c:pt idx="5">
                  <c:v>FACULTY/STAFF COMMUTING</c:v>
                </c:pt>
                <c:pt idx="6">
                  <c:v>STUDENT COMMUTING</c:v>
                </c:pt>
                <c:pt idx="7">
                  <c:v>Air Travel</c:v>
                </c:pt>
                <c:pt idx="8">
                  <c:v>Mobile Combustion (Fleet)</c:v>
                </c:pt>
                <c:pt idx="9">
                  <c:v>Refrigerants and Other Chemicals</c:v>
                </c:pt>
                <c:pt idx="10">
                  <c:v>SOLID WASTE</c:v>
                </c:pt>
                <c:pt idx="11">
                  <c:v>WASTEWATER</c:v>
                </c:pt>
                <c:pt idx="12">
                  <c:v>PAPER PURCHASING</c:v>
                </c:pt>
                <c:pt idx="13">
                  <c:v>SEQUESTRATION</c:v>
                </c:pt>
                <c:pt idx="14">
                  <c:v>Total Emissions</c:v>
                </c:pt>
              </c:strCache>
            </c:strRef>
          </c:cat>
          <c:val>
            <c:numRef>
              <c:f>VSG!$K$6:$K$24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131.6682254090158</c:v>
                </c:pt>
              </c:numCache>
            </c:numRef>
          </c:val>
        </c:ser>
        <c:ser>
          <c:idx val="6"/>
          <c:order val="6"/>
          <c:tx>
            <c:strRef>
              <c:f>VSG!$L$5</c:f>
              <c:strCache>
                <c:ptCount val="1"/>
                <c:pt idx="0">
                  <c:v>grn pos  </c:v>
                </c:pt>
              </c:strCache>
            </c:strRef>
          </c:tx>
          <c:spPr>
            <a:solidFill>
              <a:srgbClr val="00B050"/>
            </a:solidFill>
          </c:spPr>
          <c:cat>
            <c:strRef>
              <c:f>VSG!$C$6:$C$24</c:f>
              <c:strCache>
                <c:ptCount val="15"/>
                <c:pt idx="0">
                  <c:v>Stationary Combustion</c:v>
                </c:pt>
                <c:pt idx="1">
                  <c:v>Purchased Electricity </c:v>
                </c:pt>
                <c:pt idx="2">
                  <c:v>Purchased Steam</c:v>
                </c:pt>
                <c:pt idx="3">
                  <c:v>Purchased Chilled Water</c:v>
                </c:pt>
                <c:pt idx="4">
                  <c:v>SCOPE 2 T&amp;D LOSSES</c:v>
                </c:pt>
                <c:pt idx="5">
                  <c:v>FACULTY/STAFF COMMUTING</c:v>
                </c:pt>
                <c:pt idx="6">
                  <c:v>STUDENT COMMUTING</c:v>
                </c:pt>
                <c:pt idx="7">
                  <c:v>Air Travel</c:v>
                </c:pt>
                <c:pt idx="8">
                  <c:v>Mobile Combustion (Fleet)</c:v>
                </c:pt>
                <c:pt idx="9">
                  <c:v>Refrigerants and Other Chemicals</c:v>
                </c:pt>
                <c:pt idx="10">
                  <c:v>SOLID WASTE</c:v>
                </c:pt>
                <c:pt idx="11">
                  <c:v>WASTEWATER</c:v>
                </c:pt>
                <c:pt idx="12">
                  <c:v>PAPER PURCHASING</c:v>
                </c:pt>
                <c:pt idx="13">
                  <c:v>SEQUESTRATION</c:v>
                </c:pt>
                <c:pt idx="14">
                  <c:v>Total Emissions</c:v>
                </c:pt>
              </c:strCache>
            </c:strRef>
          </c:cat>
          <c:val>
            <c:numRef>
              <c:f>VSG!$L$6:$L$24</c:f>
              <c:numCache>
                <c:formatCode>#,##0</c:formatCode>
                <c:ptCount val="15"/>
                <c:pt idx="0">
                  <c:v>5207.7354431957592</c:v>
                </c:pt>
                <c:pt idx="1">
                  <c:v>89079.489590278681</c:v>
                </c:pt>
                <c:pt idx="2">
                  <c:v>72972.699494945773</c:v>
                </c:pt>
                <c:pt idx="3">
                  <c:v>20950.933162406443</c:v>
                </c:pt>
                <c:pt idx="4">
                  <c:v>13753.408497256623</c:v>
                </c:pt>
                <c:pt idx="5">
                  <c:v>9334.7025776336595</c:v>
                </c:pt>
                <c:pt idx="6">
                  <c:v>6811.6959846795144</c:v>
                </c:pt>
                <c:pt idx="7">
                  <c:v>27866.404193550476</c:v>
                </c:pt>
                <c:pt idx="8">
                  <c:v>565.36266971264968</c:v>
                </c:pt>
                <c:pt idx="9">
                  <c:v>13396.693307531941</c:v>
                </c:pt>
                <c:pt idx="10">
                  <c:v>2521.2314285714288</c:v>
                </c:pt>
                <c:pt idx="11">
                  <c:v>129.49164152832</c:v>
                </c:pt>
                <c:pt idx="12">
                  <c:v>760.25013534000004</c:v>
                </c:pt>
                <c:pt idx="13">
                  <c:v>0</c:v>
                </c:pt>
              </c:numCache>
            </c:numRef>
          </c:val>
        </c:ser>
        <c:gapWidth val="25"/>
        <c:overlap val="100"/>
        <c:axId val="97928704"/>
        <c:axId val="97930240"/>
      </c:barChart>
      <c:lineChart>
        <c:grouping val="standard"/>
        <c:ser>
          <c:idx val="7"/>
          <c:order val="7"/>
          <c:tx>
            <c:strRef>
              <c:f>VSG!$M$5</c:f>
              <c:strCache>
                <c:ptCount val="1"/>
                <c:pt idx="0">
                  <c:v>Y label</c:v>
                </c:pt>
              </c:strCache>
            </c:strRef>
          </c:tx>
          <c:spPr>
            <a:ln>
              <a:noFill/>
            </a:ln>
          </c:spPr>
          <c:marker>
            <c:symbol val="none"/>
          </c:marker>
          <c:dLbls>
            <c:dLbl>
              <c:idx val="0"/>
              <c:tx>
                <c:strRef>
                  <c:f>VSG!$D$6</c:f>
                  <c:strCache>
                    <c:ptCount val="1"/>
                    <c:pt idx="0">
                      <c:v>5,208</c:v>
                    </c:pt>
                  </c:strCache>
                </c:strRef>
              </c:tx>
              <c:dLblPos val="t"/>
              <c:showVal val="1"/>
            </c:dLbl>
            <c:dLbl>
              <c:idx val="1"/>
              <c:tx>
                <c:strRef>
                  <c:f>VSG!$D$7</c:f>
                  <c:strCache>
                    <c:ptCount val="1"/>
                    <c:pt idx="0">
                      <c:v>89,079</c:v>
                    </c:pt>
                  </c:strCache>
                </c:strRef>
              </c:tx>
              <c:dLblPos val="t"/>
              <c:showVal val="1"/>
            </c:dLbl>
            <c:dLbl>
              <c:idx val="2"/>
              <c:tx>
                <c:strRef>
                  <c:f>VSG!$D$8</c:f>
                  <c:strCache>
                    <c:ptCount val="1"/>
                    <c:pt idx="0">
                      <c:v>72,973</c:v>
                    </c:pt>
                  </c:strCache>
                </c:strRef>
              </c:tx>
              <c:dLblPos val="t"/>
              <c:showVal val="1"/>
            </c:dLbl>
            <c:dLbl>
              <c:idx val="3"/>
              <c:tx>
                <c:strRef>
                  <c:f>VSG!$D$9</c:f>
                  <c:strCache>
                    <c:ptCount val="1"/>
                    <c:pt idx="0">
                      <c:v>20,951</c:v>
                    </c:pt>
                  </c:strCache>
                </c:strRef>
              </c:tx>
              <c:dLblPos val="t"/>
              <c:showVal val="1"/>
            </c:dLbl>
            <c:dLbl>
              <c:idx val="4"/>
              <c:tx>
                <c:strRef>
                  <c:f>VSG!$D$10</c:f>
                  <c:strCache>
                    <c:ptCount val="1"/>
                    <c:pt idx="0">
                      <c:v>13,753</c:v>
                    </c:pt>
                  </c:strCache>
                </c:strRef>
              </c:tx>
              <c:dLblPos val="t"/>
              <c:showVal val="1"/>
            </c:dLbl>
            <c:dLbl>
              <c:idx val="5"/>
              <c:tx>
                <c:strRef>
                  <c:f>VSG!$D$11</c:f>
                  <c:strCache>
                    <c:ptCount val="1"/>
                    <c:pt idx="0">
                      <c:v>9,335</c:v>
                    </c:pt>
                  </c:strCache>
                </c:strRef>
              </c:tx>
              <c:dLblPos val="t"/>
              <c:showVal val="1"/>
            </c:dLbl>
            <c:dLbl>
              <c:idx val="6"/>
              <c:tx>
                <c:strRef>
                  <c:f>VSG!$D$12</c:f>
                  <c:strCache>
                    <c:ptCount val="1"/>
                    <c:pt idx="0">
                      <c:v>6,812</c:v>
                    </c:pt>
                  </c:strCache>
                </c:strRef>
              </c:tx>
              <c:dLblPos val="t"/>
              <c:showVal val="1"/>
            </c:dLbl>
            <c:dLbl>
              <c:idx val="7"/>
              <c:tx>
                <c:strRef>
                  <c:f>VSG!$D$13</c:f>
                  <c:strCache>
                    <c:ptCount val="1"/>
                    <c:pt idx="0">
                      <c:v>27,866</c:v>
                    </c:pt>
                  </c:strCache>
                </c:strRef>
              </c:tx>
              <c:dLblPos val="t"/>
              <c:showVal val="1"/>
            </c:dLbl>
            <c:dLbl>
              <c:idx val="8"/>
              <c:tx>
                <c:strRef>
                  <c:f>VSG!$D$14</c:f>
                  <c:strCache>
                    <c:ptCount val="1"/>
                    <c:pt idx="0">
                      <c:v>565</c:v>
                    </c:pt>
                  </c:strCache>
                </c:strRef>
              </c:tx>
              <c:dLblPos val="t"/>
              <c:showVal val="1"/>
            </c:dLbl>
            <c:dLbl>
              <c:idx val="9"/>
              <c:tx>
                <c:strRef>
                  <c:f>VSG!$D$15</c:f>
                  <c:strCache>
                    <c:ptCount val="1"/>
                    <c:pt idx="0">
                      <c:v>13,397</c:v>
                    </c:pt>
                  </c:strCache>
                </c:strRef>
              </c:tx>
              <c:dLblPos val="t"/>
              <c:showVal val="1"/>
            </c:dLbl>
            <c:dLbl>
              <c:idx val="10"/>
              <c:tx>
                <c:strRef>
                  <c:f>VSG!$D$16</c:f>
                  <c:strCache>
                    <c:ptCount val="1"/>
                    <c:pt idx="0">
                      <c:v>2,521</c:v>
                    </c:pt>
                  </c:strCache>
                </c:strRef>
              </c:tx>
              <c:dLblPos val="t"/>
              <c:showVal val="1"/>
            </c:dLbl>
            <c:dLbl>
              <c:idx val="11"/>
              <c:tx>
                <c:strRef>
                  <c:f>VSG!$D$17</c:f>
                  <c:strCache>
                    <c:ptCount val="1"/>
                    <c:pt idx="0">
                      <c:v>129</c:v>
                    </c:pt>
                  </c:strCache>
                </c:strRef>
              </c:tx>
              <c:dLblPos val="t"/>
              <c:showVal val="1"/>
            </c:dLbl>
            <c:dLbl>
              <c:idx val="12"/>
              <c:tx>
                <c:strRef>
                  <c:f>VSG!$D$18</c:f>
                  <c:strCache>
                    <c:ptCount val="1"/>
                    <c:pt idx="0">
                      <c:v>760</c:v>
                    </c:pt>
                  </c:strCache>
                </c:strRef>
              </c:tx>
              <c:dLblPos val="t"/>
              <c:showVal val="1"/>
            </c:dLbl>
            <c:dLbl>
              <c:idx val="13"/>
              <c:tx>
                <c:strRef>
                  <c:f>VSG!$D$19</c:f>
                  <c:strCache>
                    <c:ptCount val="1"/>
                    <c:pt idx="0">
                      <c:v>-132</c:v>
                    </c:pt>
                  </c:strCache>
                </c:strRef>
              </c:tx>
              <c:dLblPos val="t"/>
              <c:showVal val="1"/>
            </c:dLbl>
            <c:dLbl>
              <c:idx val="14"/>
              <c:tx>
                <c:strRef>
                  <c:f>VSG!$D$24</c:f>
                  <c:strCache>
                    <c:ptCount val="1"/>
                    <c:pt idx="0">
                      <c:v>263,218</c:v>
                    </c:pt>
                  </c:strCache>
                </c:strRef>
              </c:tx>
              <c:dLblPos val="t"/>
              <c:showVal val="1"/>
            </c:dLbl>
            <c:txPr>
              <a:bodyPr/>
              <a:lstStyle/>
              <a:p>
                <a:pPr>
                  <a:defRPr sz="1400"/>
                </a:pPr>
                <a:endParaRPr lang="en-US"/>
              </a:p>
            </c:txPr>
            <c:dLblPos val="t"/>
            <c:showVal val="1"/>
          </c:dLbls>
          <c:cat>
            <c:strRef>
              <c:f>VSG!$C$6:$C$24</c:f>
              <c:strCache>
                <c:ptCount val="15"/>
                <c:pt idx="0">
                  <c:v>Stationary Combustion</c:v>
                </c:pt>
                <c:pt idx="1">
                  <c:v>Purchased Electricity </c:v>
                </c:pt>
                <c:pt idx="2">
                  <c:v>Purchased Steam</c:v>
                </c:pt>
                <c:pt idx="3">
                  <c:v>Purchased Chilled Water</c:v>
                </c:pt>
                <c:pt idx="4">
                  <c:v>SCOPE 2 T&amp;D LOSSES</c:v>
                </c:pt>
                <c:pt idx="5">
                  <c:v>FACULTY/STAFF COMMUTING</c:v>
                </c:pt>
                <c:pt idx="6">
                  <c:v>STUDENT COMMUTING</c:v>
                </c:pt>
                <c:pt idx="7">
                  <c:v>Air Travel</c:v>
                </c:pt>
                <c:pt idx="8">
                  <c:v>Mobile Combustion (Fleet)</c:v>
                </c:pt>
                <c:pt idx="9">
                  <c:v>Refrigerants and Other Chemicals</c:v>
                </c:pt>
                <c:pt idx="10">
                  <c:v>SOLID WASTE</c:v>
                </c:pt>
                <c:pt idx="11">
                  <c:v>WASTEWATER</c:v>
                </c:pt>
                <c:pt idx="12">
                  <c:v>PAPER PURCHASING</c:v>
                </c:pt>
                <c:pt idx="13">
                  <c:v>SEQUESTRATION</c:v>
                </c:pt>
                <c:pt idx="14">
                  <c:v>Total Emissions</c:v>
                </c:pt>
              </c:strCache>
            </c:strRef>
          </c:cat>
          <c:val>
            <c:numRef>
              <c:f>VSG!$M$6:$M$24</c:f>
              <c:numCache>
                <c:formatCode>#,##0</c:formatCode>
                <c:ptCount val="15"/>
                <c:pt idx="0">
                  <c:v>5207.7354431957592</c:v>
                </c:pt>
                <c:pt idx="1">
                  <c:v>94287.225033474446</c:v>
                </c:pt>
                <c:pt idx="2">
                  <c:v>167259.9245284202</c:v>
                </c:pt>
                <c:pt idx="3">
                  <c:v>188210.85769082664</c:v>
                </c:pt>
                <c:pt idx="4">
                  <c:v>201964.26618808327</c:v>
                </c:pt>
                <c:pt idx="5">
                  <c:v>211298.96876571694</c:v>
                </c:pt>
                <c:pt idx="6">
                  <c:v>218110.66475039645</c:v>
                </c:pt>
                <c:pt idx="7">
                  <c:v>245977.06894394691</c:v>
                </c:pt>
                <c:pt idx="8">
                  <c:v>246542.43161365957</c:v>
                </c:pt>
                <c:pt idx="9">
                  <c:v>259939.12492119151</c:v>
                </c:pt>
                <c:pt idx="10">
                  <c:v>262460.35634976294</c:v>
                </c:pt>
                <c:pt idx="11">
                  <c:v>262589.84799129126</c:v>
                </c:pt>
                <c:pt idx="12">
                  <c:v>263350.09812663123</c:v>
                </c:pt>
                <c:pt idx="13">
                  <c:v>263350.09812663123</c:v>
                </c:pt>
                <c:pt idx="14">
                  <c:v>263218.42990122223</c:v>
                </c:pt>
              </c:numCache>
            </c:numRef>
          </c:val>
        </c:ser>
        <c:marker val="1"/>
        <c:axId val="97928704"/>
        <c:axId val="97930240"/>
      </c:lineChart>
      <c:catAx>
        <c:axId val="97928704"/>
        <c:scaling>
          <c:orientation val="minMax"/>
        </c:scaling>
        <c:axPos val="b"/>
        <c:numFmt formatCode="General" sourceLinked="1"/>
        <c:tickLblPos val="low"/>
        <c:txPr>
          <a:bodyPr/>
          <a:lstStyle/>
          <a:p>
            <a:pPr>
              <a:defRPr sz="1050"/>
            </a:pPr>
            <a:endParaRPr lang="en-US"/>
          </a:p>
        </c:txPr>
        <c:crossAx val="97930240"/>
        <c:crosses val="autoZero"/>
        <c:auto val="1"/>
        <c:lblAlgn val="ctr"/>
        <c:lblOffset val="100"/>
      </c:catAx>
      <c:valAx>
        <c:axId val="97930240"/>
        <c:scaling>
          <c:orientation val="minMax"/>
        </c:scaling>
        <c:axPos val="l"/>
        <c:majorGridlines/>
        <c:title>
          <c:tx>
            <c:rich>
              <a:bodyPr rot="-5400000" vert="horz"/>
              <a:lstStyle/>
              <a:p>
                <a:pPr>
                  <a:defRPr sz="1600"/>
                </a:pPr>
                <a:r>
                  <a:rPr lang="en-US" sz="1600"/>
                  <a:t>Net GHG Emissions (MTCDE)</a:t>
                </a:r>
              </a:p>
            </c:rich>
          </c:tx>
        </c:title>
        <c:numFmt formatCode="#,##0" sourceLinked="0"/>
        <c:tickLblPos val="nextTo"/>
        <c:crossAx val="97928704"/>
        <c:crosses val="autoZero"/>
        <c:crossBetween val="between"/>
      </c:valAx>
    </c:plotArea>
    <c:plotVisOnly val="1"/>
    <c:dispBlanksAs val="gap"/>
  </c:chart>
  <c:spPr>
    <a:ln>
      <a:noFill/>
    </a:ln>
  </c:spPr>
  <c:txPr>
    <a:bodyPr/>
    <a:lstStyle/>
    <a:p>
      <a:pPr>
        <a:defRPr sz="1200"/>
      </a:pPr>
      <a:endParaRPr lang="en-US"/>
    </a:p>
  </c:txPr>
  <c:printSettings>
    <c:headerFooter/>
    <c:pageMargins b="0.75000000000000699" l="0.70000000000000095" r="0.70000000000000095" t="0.75000000000000699" header="0.30000000000000032" footer="0.30000000000000032"/>
    <c:pageSetup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3083391388027228E-2"/>
          <c:y val="2.2473747528720688E-2"/>
          <c:w val="0.69912513491441364"/>
          <c:h val="0.91177840370439289"/>
        </c:manualLayout>
      </c:layout>
      <c:areaChart>
        <c:grouping val="stacked"/>
        <c:ser>
          <c:idx val="0"/>
          <c:order val="0"/>
          <c:tx>
            <c:strRef>
              <c:f>'GreenPwr2 Data'!$T$5</c:f>
              <c:strCache>
                <c:ptCount val="1"/>
                <c:pt idx="0">
                  <c:v>Base</c:v>
                </c:pt>
              </c:strCache>
            </c:strRef>
          </c:tx>
          <c:spPr>
            <a:solidFill>
              <a:schemeClr val="bg1">
                <a:lumMod val="75000"/>
              </a:schemeClr>
            </a:solidFill>
            <a:ln>
              <a:solidFill>
                <a:sysClr val="windowText" lastClr="000000"/>
              </a:solidFill>
            </a:ln>
          </c:spP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Data'!$T$6:$T$48</c:f>
              <c:numCache>
                <c:formatCode>#,##0</c:formatCode>
                <c:ptCount val="41"/>
                <c:pt idx="0">
                  <c:v>265.92231419164023</c:v>
                </c:pt>
                <c:pt idx="1">
                  <c:v>259.27425633684925</c:v>
                </c:pt>
                <c:pt idx="2">
                  <c:v>252.62619848205824</c:v>
                </c:pt>
                <c:pt idx="3">
                  <c:v>245.97814062726724</c:v>
                </c:pt>
                <c:pt idx="4">
                  <c:v>239.33008277247623</c:v>
                </c:pt>
                <c:pt idx="5">
                  <c:v>232.68202491768523</c:v>
                </c:pt>
                <c:pt idx="6">
                  <c:v>226.03396706289422</c:v>
                </c:pt>
                <c:pt idx="7">
                  <c:v>219.38590920810321</c:v>
                </c:pt>
                <c:pt idx="8">
                  <c:v>212.73785135331221</c:v>
                </c:pt>
                <c:pt idx="9">
                  <c:v>206.0897934985212</c:v>
                </c:pt>
                <c:pt idx="10">
                  <c:v>199.4417356437302</c:v>
                </c:pt>
                <c:pt idx="11">
                  <c:v>192.79367778893919</c:v>
                </c:pt>
                <c:pt idx="12">
                  <c:v>186.14561993414819</c:v>
                </c:pt>
                <c:pt idx="13">
                  <c:v>179.49756207935718</c:v>
                </c:pt>
                <c:pt idx="14">
                  <c:v>172.84950422456618</c:v>
                </c:pt>
                <c:pt idx="15">
                  <c:v>166.20144636977517</c:v>
                </c:pt>
                <c:pt idx="16">
                  <c:v>159.55338851498416</c:v>
                </c:pt>
                <c:pt idx="17">
                  <c:v>152.90533066019316</c:v>
                </c:pt>
                <c:pt idx="18">
                  <c:v>146.25727280540215</c:v>
                </c:pt>
                <c:pt idx="19">
                  <c:v>139.60921495061115</c:v>
                </c:pt>
                <c:pt idx="20">
                  <c:v>132.96115709582014</c:v>
                </c:pt>
                <c:pt idx="21">
                  <c:v>126.31309924102914</c:v>
                </c:pt>
                <c:pt idx="22">
                  <c:v>119.66504138623813</c:v>
                </c:pt>
                <c:pt idx="23">
                  <c:v>113.01698353144712</c:v>
                </c:pt>
                <c:pt idx="24">
                  <c:v>106.36892567665612</c:v>
                </c:pt>
                <c:pt idx="25">
                  <c:v>99.720867821865113</c:v>
                </c:pt>
                <c:pt idx="26">
                  <c:v>93.072809967074107</c:v>
                </c:pt>
                <c:pt idx="27">
                  <c:v>86.424752112283102</c:v>
                </c:pt>
                <c:pt idx="28">
                  <c:v>79.776694257492096</c:v>
                </c:pt>
                <c:pt idx="29">
                  <c:v>73.12863640270109</c:v>
                </c:pt>
                <c:pt idx="30">
                  <c:v>66.480578547910085</c:v>
                </c:pt>
                <c:pt idx="31">
                  <c:v>59.832520693119079</c:v>
                </c:pt>
                <c:pt idx="32">
                  <c:v>53.184462838328074</c:v>
                </c:pt>
                <c:pt idx="33">
                  <c:v>46.536404983537068</c:v>
                </c:pt>
                <c:pt idx="34">
                  <c:v>39.888347128746091</c:v>
                </c:pt>
                <c:pt idx="35">
                  <c:v>33.240289273955057</c:v>
                </c:pt>
                <c:pt idx="36">
                  <c:v>26.592231419164023</c:v>
                </c:pt>
                <c:pt idx="37">
                  <c:v>19.944173564373045</c:v>
                </c:pt>
                <c:pt idx="38">
                  <c:v>13.296115709582068</c:v>
                </c:pt>
                <c:pt idx="39">
                  <c:v>6.6480578547910341</c:v>
                </c:pt>
                <c:pt idx="40">
                  <c:v>0</c:v>
                </c:pt>
              </c:numCache>
            </c:numRef>
          </c:val>
        </c:ser>
        <c:ser>
          <c:idx val="12"/>
          <c:order val="1"/>
          <c:tx>
            <c:strRef>
              <c:f>'GreenPwr2 Data'!$AC$5</c:f>
              <c:strCache>
                <c:ptCount val="1"/>
                <c:pt idx="0">
                  <c:v>Offsets/Other</c:v>
                </c:pt>
              </c:strCache>
            </c:strRef>
          </c:tx>
          <c:spPr>
            <a:solidFill>
              <a:schemeClr val="tx1">
                <a:lumMod val="65000"/>
                <a:lumOff val="35000"/>
              </a:schemeClr>
            </a:solidFill>
            <a:ln>
              <a:solidFill>
                <a:sysClr val="windowText" lastClr="000000"/>
              </a:solidFill>
            </a:ln>
          </c:spP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Data'!$AC$6:$AC$48</c:f>
              <c:numCache>
                <c:formatCode>#,##0</c:formatCode>
                <c:ptCount val="41"/>
                <c:pt idx="0">
                  <c:v>0</c:v>
                </c:pt>
                <c:pt idx="1">
                  <c:v>4.2275365688095894</c:v>
                </c:pt>
                <c:pt idx="2">
                  <c:v>8.4550731376192072</c:v>
                </c:pt>
                <c:pt idx="3">
                  <c:v>10.533343706428827</c:v>
                </c:pt>
                <c:pt idx="4">
                  <c:v>14.760880275238442</c:v>
                </c:pt>
                <c:pt idx="5">
                  <c:v>18.056944391902295</c:v>
                </c:pt>
                <c:pt idx="6">
                  <c:v>19.203742508566151</c:v>
                </c:pt>
                <c:pt idx="7">
                  <c:v>22.499806625229994</c:v>
                </c:pt>
                <c:pt idx="8">
                  <c:v>23.646604741893853</c:v>
                </c:pt>
                <c:pt idx="9">
                  <c:v>26.942668858557703</c:v>
                </c:pt>
                <c:pt idx="10">
                  <c:v>28.089466975221555</c:v>
                </c:pt>
                <c:pt idx="11">
                  <c:v>32.626582609380804</c:v>
                </c:pt>
                <c:pt idx="12">
                  <c:v>37.16369824354004</c:v>
                </c:pt>
                <c:pt idx="13">
                  <c:v>41.700813877699275</c:v>
                </c:pt>
                <c:pt idx="14">
                  <c:v>46.237929511858525</c:v>
                </c:pt>
                <c:pt idx="15">
                  <c:v>50.77504514601776</c:v>
                </c:pt>
                <c:pt idx="16">
                  <c:v>55.31216078017701</c:v>
                </c:pt>
                <c:pt idx="17">
                  <c:v>59.849276414336245</c:v>
                </c:pt>
                <c:pt idx="18">
                  <c:v>64.386392048495495</c:v>
                </c:pt>
                <c:pt idx="19">
                  <c:v>68.923507682654716</c:v>
                </c:pt>
                <c:pt idx="20">
                  <c:v>73.460623316813979</c:v>
                </c:pt>
                <c:pt idx="21">
                  <c:v>77.997738950973201</c:v>
                </c:pt>
                <c:pt idx="22">
                  <c:v>82.53485458513245</c:v>
                </c:pt>
                <c:pt idx="23">
                  <c:v>87.071970219291686</c:v>
                </c:pt>
                <c:pt idx="24">
                  <c:v>91.609085853450949</c:v>
                </c:pt>
                <c:pt idx="25">
                  <c:v>96.146201487610185</c:v>
                </c:pt>
                <c:pt idx="26">
                  <c:v>100.68331712176942</c:v>
                </c:pt>
                <c:pt idx="27">
                  <c:v>105.22043275592867</c:v>
                </c:pt>
                <c:pt idx="28">
                  <c:v>109.75754839008792</c:v>
                </c:pt>
                <c:pt idx="29">
                  <c:v>114.29466402424717</c:v>
                </c:pt>
                <c:pt idx="30">
                  <c:v>118.8317796584064</c:v>
                </c:pt>
                <c:pt idx="31">
                  <c:v>123.36889529256564</c:v>
                </c:pt>
                <c:pt idx="32">
                  <c:v>127.90601092672492</c:v>
                </c:pt>
                <c:pt idx="33">
                  <c:v>132.44312656088414</c:v>
                </c:pt>
                <c:pt idx="34">
                  <c:v>136.98024219504336</c:v>
                </c:pt>
                <c:pt idx="35">
                  <c:v>141.51735782920264</c:v>
                </c:pt>
                <c:pt idx="36">
                  <c:v>146.05447346336192</c:v>
                </c:pt>
                <c:pt idx="37">
                  <c:v>150.59158909752111</c:v>
                </c:pt>
                <c:pt idx="38">
                  <c:v>155.12870473168036</c:v>
                </c:pt>
                <c:pt idx="39">
                  <c:v>159.66582036583964</c:v>
                </c:pt>
                <c:pt idx="40">
                  <c:v>164.20293600000002</c:v>
                </c:pt>
              </c:numCache>
            </c:numRef>
          </c:val>
        </c:ser>
        <c:ser>
          <c:idx val="6"/>
          <c:order val="2"/>
          <c:tx>
            <c:strRef>
              <c:f>'GreenPwr2 Data'!$AB$5</c:f>
              <c:strCache>
                <c:ptCount val="1"/>
                <c:pt idx="0">
                  <c:v>Lake Erie Wind</c:v>
                </c:pt>
              </c:strCache>
            </c:strRef>
          </c:tx>
          <c:spPr>
            <a:ln>
              <a:solidFill>
                <a:sysClr val="windowText" lastClr="000000"/>
              </a:solidFill>
            </a:ln>
          </c:spPr>
          <c:val>
            <c:numRef>
              <c:f>'GreenPwr2 Data'!$AB$8:$AB$48</c:f>
              <c:numCache>
                <c:formatCode>#,##0</c:formatCode>
                <c:ptCount val="41"/>
                <c:pt idx="0">
                  <c:v>0</c:v>
                </c:pt>
                <c:pt idx="1">
                  <c:v>0</c:v>
                </c:pt>
                <c:pt idx="2">
                  <c:v>0</c:v>
                </c:pt>
                <c:pt idx="3">
                  <c:v>2.1492659999999999</c:v>
                </c:pt>
                <c:pt idx="4">
                  <c:v>2.1492659999999999</c:v>
                </c:pt>
                <c:pt idx="5">
                  <c:v>2.1492659999999999</c:v>
                </c:pt>
                <c:pt idx="6">
                  <c:v>4.2985319999999998</c:v>
                </c:pt>
                <c:pt idx="7">
                  <c:v>4.2985319999999998</c:v>
                </c:pt>
                <c:pt idx="8">
                  <c:v>6.4477979999999997</c:v>
                </c:pt>
                <c:pt idx="9">
                  <c:v>6.4477979999999997</c:v>
                </c:pt>
                <c:pt idx="10">
                  <c:v>8.5970639999999996</c:v>
                </c:pt>
                <c:pt idx="11">
                  <c:v>8.5970639999999996</c:v>
                </c:pt>
                <c:pt idx="12">
                  <c:v>8.5970639999999996</c:v>
                </c:pt>
                <c:pt idx="13">
                  <c:v>8.5970639999999996</c:v>
                </c:pt>
                <c:pt idx="14">
                  <c:v>8.5970639999999996</c:v>
                </c:pt>
                <c:pt idx="15">
                  <c:v>8.5970639999999996</c:v>
                </c:pt>
                <c:pt idx="16">
                  <c:v>8.5970639999999996</c:v>
                </c:pt>
                <c:pt idx="17">
                  <c:v>8.5970639999999996</c:v>
                </c:pt>
                <c:pt idx="18">
                  <c:v>8.5970639999999996</c:v>
                </c:pt>
                <c:pt idx="19">
                  <c:v>8.5970639999999996</c:v>
                </c:pt>
                <c:pt idx="20">
                  <c:v>8.5970639999999996</c:v>
                </c:pt>
                <c:pt idx="21">
                  <c:v>8.5970639999999996</c:v>
                </c:pt>
                <c:pt idx="22">
                  <c:v>8.5970639999999996</c:v>
                </c:pt>
                <c:pt idx="23">
                  <c:v>8.5970639999999996</c:v>
                </c:pt>
                <c:pt idx="24">
                  <c:v>8.5970639999999996</c:v>
                </c:pt>
                <c:pt idx="25">
                  <c:v>8.5970639999999996</c:v>
                </c:pt>
                <c:pt idx="26">
                  <c:v>8.5970639999999996</c:v>
                </c:pt>
                <c:pt idx="27">
                  <c:v>8.5970639999999996</c:v>
                </c:pt>
                <c:pt idx="28">
                  <c:v>8.5970639999999996</c:v>
                </c:pt>
                <c:pt idx="29">
                  <c:v>8.5970639999999996</c:v>
                </c:pt>
                <c:pt idx="30">
                  <c:v>8.5970639999999996</c:v>
                </c:pt>
                <c:pt idx="31">
                  <c:v>8.5970639999999996</c:v>
                </c:pt>
                <c:pt idx="32">
                  <c:v>8.5970639999999996</c:v>
                </c:pt>
                <c:pt idx="33">
                  <c:v>8.5970639999999996</c:v>
                </c:pt>
                <c:pt idx="34">
                  <c:v>8.5970639999999996</c:v>
                </c:pt>
                <c:pt idx="35">
                  <c:v>8.5970639999999996</c:v>
                </c:pt>
                <c:pt idx="36">
                  <c:v>8.5970639999999996</c:v>
                </c:pt>
                <c:pt idx="37">
                  <c:v>8.5970639999999996</c:v>
                </c:pt>
                <c:pt idx="38">
                  <c:v>8.5970639999999996</c:v>
                </c:pt>
                <c:pt idx="39">
                  <c:v>8.5970639999999996</c:v>
                </c:pt>
                <c:pt idx="40">
                  <c:v>8.5970639999999996</c:v>
                </c:pt>
              </c:numCache>
            </c:numRef>
          </c:val>
        </c:ser>
        <c:ser>
          <c:idx val="5"/>
          <c:order val="3"/>
          <c:tx>
            <c:strRef>
              <c:f>'GreenPwr2 Data'!$AA$5</c:f>
              <c:strCache>
                <c:ptCount val="1"/>
                <c:pt idx="0">
                  <c:v>On Campus Renewable Energy</c:v>
                </c:pt>
              </c:strCache>
            </c:strRef>
          </c:tx>
          <c:spPr>
            <a:solidFill>
              <a:schemeClr val="accent3">
                <a:lumMod val="60000"/>
                <a:lumOff val="40000"/>
              </a:schemeClr>
            </a:solidFill>
            <a:ln>
              <a:solidFill>
                <a:sysClr val="windowText" lastClr="000000"/>
              </a:solidFill>
            </a:ln>
          </c:spP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Data'!$AA$6:$AA$48</c:f>
              <c:numCache>
                <c:formatCode>#,##0</c:formatCode>
                <c:ptCount val="41"/>
                <c:pt idx="0">
                  <c:v>0</c:v>
                </c:pt>
                <c:pt idx="1">
                  <c:v>0</c:v>
                </c:pt>
                <c:pt idx="2">
                  <c:v>0</c:v>
                </c:pt>
                <c:pt idx="3">
                  <c:v>0</c:v>
                </c:pt>
                <c:pt idx="4">
                  <c:v>0</c:v>
                </c:pt>
                <c:pt idx="5">
                  <c:v>0.93147245214576635</c:v>
                </c:pt>
                <c:pt idx="6">
                  <c:v>1.8629449042915327</c:v>
                </c:pt>
                <c:pt idx="7">
                  <c:v>2.7944173564372989</c:v>
                </c:pt>
                <c:pt idx="8">
                  <c:v>3.7258898085830654</c:v>
                </c:pt>
                <c:pt idx="9">
                  <c:v>4.6573622607288314</c:v>
                </c:pt>
                <c:pt idx="10">
                  <c:v>5.5888347128745979</c:v>
                </c:pt>
                <c:pt idx="11">
                  <c:v>5.9358735557787776</c:v>
                </c:pt>
                <c:pt idx="12">
                  <c:v>6.2829123986829574</c:v>
                </c:pt>
                <c:pt idx="13">
                  <c:v>6.6299512415871371</c:v>
                </c:pt>
                <c:pt idx="14">
                  <c:v>6.9769900844913169</c:v>
                </c:pt>
                <c:pt idx="15">
                  <c:v>7.3240289273954966</c:v>
                </c:pt>
                <c:pt idx="16">
                  <c:v>7.6710677702996763</c:v>
                </c:pt>
                <c:pt idx="17">
                  <c:v>8.018106613203857</c:v>
                </c:pt>
                <c:pt idx="18">
                  <c:v>8.3651454561080367</c:v>
                </c:pt>
                <c:pt idx="19">
                  <c:v>8.7121842990122165</c:v>
                </c:pt>
                <c:pt idx="20">
                  <c:v>9.0592231419163962</c:v>
                </c:pt>
                <c:pt idx="21">
                  <c:v>9.406261984820576</c:v>
                </c:pt>
                <c:pt idx="22">
                  <c:v>9.7533008277247557</c:v>
                </c:pt>
                <c:pt idx="23">
                  <c:v>10.100339670628935</c:v>
                </c:pt>
                <c:pt idx="24">
                  <c:v>10.447378513533115</c:v>
                </c:pt>
                <c:pt idx="25">
                  <c:v>10.794417356437295</c:v>
                </c:pt>
                <c:pt idx="26">
                  <c:v>11.141456199341475</c:v>
                </c:pt>
                <c:pt idx="27">
                  <c:v>11.488495042245654</c:v>
                </c:pt>
                <c:pt idx="28">
                  <c:v>11.835533885149834</c:v>
                </c:pt>
                <c:pt idx="29">
                  <c:v>12.182572728054014</c:v>
                </c:pt>
                <c:pt idx="30">
                  <c:v>12.529611570958194</c:v>
                </c:pt>
                <c:pt idx="31">
                  <c:v>12.876650413862373</c:v>
                </c:pt>
                <c:pt idx="32">
                  <c:v>13.223689256766553</c:v>
                </c:pt>
                <c:pt idx="33">
                  <c:v>13.570728099670733</c:v>
                </c:pt>
                <c:pt idx="34">
                  <c:v>13.917766942574913</c:v>
                </c:pt>
                <c:pt idx="35">
                  <c:v>14.264805785479092</c:v>
                </c:pt>
                <c:pt idx="36">
                  <c:v>14.611844628383272</c:v>
                </c:pt>
                <c:pt idx="37">
                  <c:v>14.958883471287452</c:v>
                </c:pt>
                <c:pt idx="38">
                  <c:v>15.305922314191632</c:v>
                </c:pt>
                <c:pt idx="39">
                  <c:v>15.652961157095811</c:v>
                </c:pt>
                <c:pt idx="40">
                  <c:v>16</c:v>
                </c:pt>
              </c:numCache>
            </c:numRef>
          </c:val>
        </c:ser>
        <c:ser>
          <c:idx val="4"/>
          <c:order val="4"/>
          <c:tx>
            <c:strRef>
              <c:f>'GreenPwr2 Data'!$Z$5</c:f>
              <c:strCache>
                <c:ptCount val="1"/>
                <c:pt idx="0">
                  <c:v>Waste</c:v>
                </c:pt>
              </c:strCache>
            </c:strRef>
          </c:tx>
          <c:spPr>
            <a:ln>
              <a:solidFill>
                <a:sysClr val="windowText" lastClr="000000"/>
              </a:solidFill>
            </a:ln>
          </c:spP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Data'!$Z$6:$Z$48</c:f>
              <c:numCache>
                <c:formatCode>#,##0</c:formatCode>
                <c:ptCount val="41"/>
                <c:pt idx="0">
                  <c:v>0</c:v>
                </c:pt>
                <c:pt idx="1">
                  <c:v>0.13972086782186494</c:v>
                </c:pt>
                <c:pt idx="2">
                  <c:v>0.27944173564372987</c:v>
                </c:pt>
                <c:pt idx="3">
                  <c:v>0.41916260346559481</c:v>
                </c:pt>
                <c:pt idx="4">
                  <c:v>0.55888347128745974</c:v>
                </c:pt>
                <c:pt idx="5">
                  <c:v>0.69860433910932462</c:v>
                </c:pt>
                <c:pt idx="6">
                  <c:v>0.8383252069311895</c:v>
                </c:pt>
                <c:pt idx="7">
                  <c:v>0.97804607475305438</c:v>
                </c:pt>
                <c:pt idx="8">
                  <c:v>1.1177669425749193</c:v>
                </c:pt>
                <c:pt idx="9">
                  <c:v>1.2574878103967841</c:v>
                </c:pt>
                <c:pt idx="10">
                  <c:v>1.3972086782186495</c:v>
                </c:pt>
                <c:pt idx="11">
                  <c:v>1.4573017222780278</c:v>
                </c:pt>
                <c:pt idx="12">
                  <c:v>1.5173947663374061</c:v>
                </c:pt>
                <c:pt idx="13">
                  <c:v>1.5774878103967844</c:v>
                </c:pt>
                <c:pt idx="14">
                  <c:v>1.6375808544561627</c:v>
                </c:pt>
                <c:pt idx="15">
                  <c:v>1.6976738985155411</c:v>
                </c:pt>
                <c:pt idx="16">
                  <c:v>1.7577669425749194</c:v>
                </c:pt>
                <c:pt idx="17">
                  <c:v>1.8178599866342977</c:v>
                </c:pt>
                <c:pt idx="18">
                  <c:v>1.877953030693676</c:v>
                </c:pt>
                <c:pt idx="19">
                  <c:v>1.9380460747530543</c:v>
                </c:pt>
                <c:pt idx="20">
                  <c:v>1.9981391188124327</c:v>
                </c:pt>
                <c:pt idx="21">
                  <c:v>2.058232162871811</c:v>
                </c:pt>
                <c:pt idx="22">
                  <c:v>2.1183252069311895</c:v>
                </c:pt>
                <c:pt idx="23">
                  <c:v>2.1784182509905681</c:v>
                </c:pt>
                <c:pt idx="24">
                  <c:v>2.2385112950499466</c:v>
                </c:pt>
                <c:pt idx="25">
                  <c:v>2.2986043391093252</c:v>
                </c:pt>
                <c:pt idx="26">
                  <c:v>2.3586973831687037</c:v>
                </c:pt>
                <c:pt idx="27">
                  <c:v>2.4187904272280822</c:v>
                </c:pt>
                <c:pt idx="28">
                  <c:v>2.4788834712874608</c:v>
                </c:pt>
                <c:pt idx="29">
                  <c:v>2.5389765153468393</c:v>
                </c:pt>
                <c:pt idx="30">
                  <c:v>2.5990695594062179</c:v>
                </c:pt>
                <c:pt idx="31">
                  <c:v>2.6591626034655964</c:v>
                </c:pt>
                <c:pt idx="32">
                  <c:v>2.719255647524975</c:v>
                </c:pt>
                <c:pt idx="33">
                  <c:v>2.7793486915843535</c:v>
                </c:pt>
                <c:pt idx="34">
                  <c:v>2.839441735643732</c:v>
                </c:pt>
                <c:pt idx="35">
                  <c:v>2.8995347797031106</c:v>
                </c:pt>
                <c:pt idx="36">
                  <c:v>2.9596278237624891</c:v>
                </c:pt>
                <c:pt idx="37">
                  <c:v>3.0197208678218677</c:v>
                </c:pt>
                <c:pt idx="38">
                  <c:v>3.0798139118812462</c:v>
                </c:pt>
                <c:pt idx="39">
                  <c:v>3.1399069559406247</c:v>
                </c:pt>
                <c:pt idx="40">
                  <c:v>3.2</c:v>
                </c:pt>
              </c:numCache>
            </c:numRef>
          </c:val>
        </c:ser>
        <c:ser>
          <c:idx val="3"/>
          <c:order val="5"/>
          <c:tx>
            <c:strRef>
              <c:f>'GreenPwr2 Data'!$Y$5</c:f>
              <c:strCache>
                <c:ptCount val="1"/>
                <c:pt idx="0">
                  <c:v>Transportation/ Waste</c:v>
                </c:pt>
              </c:strCache>
            </c:strRef>
          </c:tx>
          <c:spPr>
            <a:solidFill>
              <a:schemeClr val="accent4">
                <a:lumMod val="60000"/>
                <a:lumOff val="40000"/>
              </a:schemeClr>
            </a:solidFill>
            <a:ln>
              <a:solidFill>
                <a:sysClr val="windowText" lastClr="000000"/>
              </a:solidFill>
            </a:ln>
          </c:spP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Data'!$Y$6:$Y$48</c:f>
              <c:numCache>
                <c:formatCode>#,##0</c:formatCode>
                <c:ptCount val="41"/>
                <c:pt idx="0">
                  <c:v>0</c:v>
                </c:pt>
                <c:pt idx="1">
                  <c:v>0.27944173564372987</c:v>
                </c:pt>
                <c:pt idx="2">
                  <c:v>0.55888347128745974</c:v>
                </c:pt>
                <c:pt idx="3">
                  <c:v>0.83832520693118961</c:v>
                </c:pt>
                <c:pt idx="4">
                  <c:v>1.1177669425749195</c:v>
                </c:pt>
                <c:pt idx="5">
                  <c:v>1.3972086782186492</c:v>
                </c:pt>
                <c:pt idx="6">
                  <c:v>1.676650413862379</c:v>
                </c:pt>
                <c:pt idx="7">
                  <c:v>1.9560921495061088</c:v>
                </c:pt>
                <c:pt idx="8">
                  <c:v>2.2355338851498385</c:v>
                </c:pt>
                <c:pt idx="9">
                  <c:v>2.5149756207935683</c:v>
                </c:pt>
                <c:pt idx="10">
                  <c:v>2.7944173564372989</c:v>
                </c:pt>
                <c:pt idx="11">
                  <c:v>2.9146034445560556</c:v>
                </c:pt>
                <c:pt idx="12">
                  <c:v>3.0347895326748122</c:v>
                </c:pt>
                <c:pt idx="13">
                  <c:v>3.1549756207935689</c:v>
                </c:pt>
                <c:pt idx="14">
                  <c:v>3.2751617089123255</c:v>
                </c:pt>
                <c:pt idx="15">
                  <c:v>3.3953477970310821</c:v>
                </c:pt>
                <c:pt idx="16">
                  <c:v>3.5155338851498388</c:v>
                </c:pt>
                <c:pt idx="17">
                  <c:v>3.6357199732685954</c:v>
                </c:pt>
                <c:pt idx="18">
                  <c:v>3.7559060613873521</c:v>
                </c:pt>
                <c:pt idx="19">
                  <c:v>3.8760921495061087</c:v>
                </c:pt>
                <c:pt idx="20">
                  <c:v>3.9962782376248653</c:v>
                </c:pt>
                <c:pt idx="21">
                  <c:v>4.116464325743622</c:v>
                </c:pt>
                <c:pt idx="22">
                  <c:v>4.2366504138623791</c:v>
                </c:pt>
                <c:pt idx="23">
                  <c:v>4.3568365019811361</c:v>
                </c:pt>
                <c:pt idx="24">
                  <c:v>4.4770225900998932</c:v>
                </c:pt>
                <c:pt idx="25">
                  <c:v>4.5972086782186503</c:v>
                </c:pt>
                <c:pt idx="26">
                  <c:v>4.7173947663374074</c:v>
                </c:pt>
                <c:pt idx="27">
                  <c:v>4.8375808544561645</c:v>
                </c:pt>
                <c:pt idx="28">
                  <c:v>4.9577669425749216</c:v>
                </c:pt>
                <c:pt idx="29">
                  <c:v>5.0779530306936786</c:v>
                </c:pt>
                <c:pt idx="30">
                  <c:v>5.1981391188124357</c:v>
                </c:pt>
                <c:pt idx="31">
                  <c:v>5.3183252069311928</c:v>
                </c:pt>
                <c:pt idx="32">
                  <c:v>5.4385112950499499</c:v>
                </c:pt>
                <c:pt idx="33">
                  <c:v>5.558697383168707</c:v>
                </c:pt>
                <c:pt idx="34">
                  <c:v>5.6788834712874641</c:v>
                </c:pt>
                <c:pt idx="35">
                  <c:v>5.7990695594062212</c:v>
                </c:pt>
                <c:pt idx="36">
                  <c:v>5.9192556475249782</c:v>
                </c:pt>
                <c:pt idx="37">
                  <c:v>6.0394417356437353</c:v>
                </c:pt>
                <c:pt idx="38">
                  <c:v>6.1596278237624924</c:v>
                </c:pt>
                <c:pt idx="39">
                  <c:v>6.2798139118812495</c:v>
                </c:pt>
                <c:pt idx="40">
                  <c:v>6.4</c:v>
                </c:pt>
              </c:numCache>
            </c:numRef>
          </c:val>
        </c:ser>
        <c:ser>
          <c:idx val="1"/>
          <c:order val="6"/>
          <c:tx>
            <c:strRef>
              <c:f>'GreenPwr2 Data'!$X$5</c:f>
              <c:strCache>
                <c:ptCount val="1"/>
                <c:pt idx="0">
                  <c:v>Energy Consumption and Conservation (including IT)</c:v>
                </c:pt>
              </c:strCache>
            </c:strRef>
          </c:tx>
          <c:spPr>
            <a:ln>
              <a:solidFill>
                <a:sysClr val="windowText" lastClr="000000"/>
              </a:solidFill>
            </a:ln>
          </c:spP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Data'!$X$6:$X$48</c:f>
              <c:numCache>
                <c:formatCode>#,##0</c:formatCode>
                <c:ptCount val="41"/>
                <c:pt idx="0">
                  <c:v>0</c:v>
                </c:pt>
                <c:pt idx="1">
                  <c:v>1.3972086782186495</c:v>
                </c:pt>
                <c:pt idx="2">
                  <c:v>2.7944173564372989</c:v>
                </c:pt>
                <c:pt idx="3">
                  <c:v>4.1916260346559486</c:v>
                </c:pt>
                <c:pt idx="4">
                  <c:v>5.5888347128745979</c:v>
                </c:pt>
                <c:pt idx="5">
                  <c:v>6.9860433910932471</c:v>
                </c:pt>
                <c:pt idx="6">
                  <c:v>8.3832520693118973</c:v>
                </c:pt>
                <c:pt idx="7">
                  <c:v>9.7804607475305474</c:v>
                </c:pt>
                <c:pt idx="8">
                  <c:v>11.177669425749198</c:v>
                </c:pt>
                <c:pt idx="9">
                  <c:v>12.574878103967848</c:v>
                </c:pt>
                <c:pt idx="10">
                  <c:v>13.972086782186494</c:v>
                </c:pt>
                <c:pt idx="11">
                  <c:v>15.639683889446944</c:v>
                </c:pt>
                <c:pt idx="12">
                  <c:v>17.307280996707394</c:v>
                </c:pt>
                <c:pt idx="13">
                  <c:v>18.974878103967846</c:v>
                </c:pt>
                <c:pt idx="14">
                  <c:v>20.642475211228298</c:v>
                </c:pt>
                <c:pt idx="15">
                  <c:v>22.31007231848875</c:v>
                </c:pt>
                <c:pt idx="16">
                  <c:v>23.977669425749202</c:v>
                </c:pt>
                <c:pt idx="17">
                  <c:v>25.645266533009654</c:v>
                </c:pt>
                <c:pt idx="18">
                  <c:v>27.312863640270105</c:v>
                </c:pt>
                <c:pt idx="19">
                  <c:v>28.980460747530557</c:v>
                </c:pt>
                <c:pt idx="20">
                  <c:v>30.648057854791009</c:v>
                </c:pt>
                <c:pt idx="21">
                  <c:v>32.315654962051461</c:v>
                </c:pt>
                <c:pt idx="22">
                  <c:v>33.983252069311909</c:v>
                </c:pt>
                <c:pt idx="23">
                  <c:v>35.650849176572358</c:v>
                </c:pt>
                <c:pt idx="24">
                  <c:v>37.318446283832806</c:v>
                </c:pt>
                <c:pt idx="25">
                  <c:v>38.986043391093254</c:v>
                </c:pt>
                <c:pt idx="26">
                  <c:v>40.653640498353703</c:v>
                </c:pt>
                <c:pt idx="27">
                  <c:v>42.321237605614151</c:v>
                </c:pt>
                <c:pt idx="28">
                  <c:v>43.988834712874599</c:v>
                </c:pt>
                <c:pt idx="29">
                  <c:v>45.656431820135047</c:v>
                </c:pt>
                <c:pt idx="30">
                  <c:v>47.324028927395496</c:v>
                </c:pt>
                <c:pt idx="31">
                  <c:v>48.991626034655944</c:v>
                </c:pt>
                <c:pt idx="32">
                  <c:v>50.659223141916392</c:v>
                </c:pt>
                <c:pt idx="33">
                  <c:v>52.326820249176841</c:v>
                </c:pt>
                <c:pt idx="34">
                  <c:v>53.994417356437289</c:v>
                </c:pt>
                <c:pt idx="35">
                  <c:v>55.662014463697737</c:v>
                </c:pt>
                <c:pt idx="36">
                  <c:v>57.329611570958185</c:v>
                </c:pt>
                <c:pt idx="37">
                  <c:v>58.997208678218634</c:v>
                </c:pt>
                <c:pt idx="38">
                  <c:v>60.664805785479082</c:v>
                </c:pt>
                <c:pt idx="39">
                  <c:v>62.33240289273953</c:v>
                </c:pt>
                <c:pt idx="40">
                  <c:v>64</c:v>
                </c:pt>
              </c:numCache>
            </c:numRef>
          </c:val>
        </c:ser>
        <c:ser>
          <c:idx val="2"/>
          <c:order val="7"/>
          <c:tx>
            <c:strRef>
              <c:f>'GreenPwr2 Data'!$W$5</c:f>
              <c:strCache>
                <c:ptCount val="1"/>
                <c:pt idx="0">
                  <c:v>Community Outreach/Campus Life </c:v>
                </c:pt>
              </c:strCache>
            </c:strRef>
          </c:tx>
          <c:spPr>
            <a:ln>
              <a:solidFill>
                <a:sysClr val="windowText" lastClr="000000"/>
              </a:solidFill>
            </a:ln>
          </c:spP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Data'!$W$6:$W$48</c:f>
              <c:numCache>
                <c:formatCode>#,##0</c:formatCode>
                <c:ptCount val="41"/>
                <c:pt idx="0">
                  <c:v>0</c:v>
                </c:pt>
                <c:pt idx="1">
                  <c:v>0.55888347128745974</c:v>
                </c:pt>
                <c:pt idx="2">
                  <c:v>1.1177669425749195</c:v>
                </c:pt>
                <c:pt idx="3">
                  <c:v>1.6766504138623792</c:v>
                </c:pt>
                <c:pt idx="4">
                  <c:v>2.235533885149839</c:v>
                </c:pt>
                <c:pt idx="5">
                  <c:v>2.7944173564372985</c:v>
                </c:pt>
                <c:pt idx="6">
                  <c:v>3.353300827724758</c:v>
                </c:pt>
                <c:pt idx="7">
                  <c:v>3.9121842990122175</c:v>
                </c:pt>
                <c:pt idx="8">
                  <c:v>4.4710677702996771</c:v>
                </c:pt>
                <c:pt idx="9">
                  <c:v>5.0299512415871366</c:v>
                </c:pt>
                <c:pt idx="10">
                  <c:v>5.5888347128745979</c:v>
                </c:pt>
                <c:pt idx="11">
                  <c:v>5.7225402224454447</c:v>
                </c:pt>
                <c:pt idx="12">
                  <c:v>5.8562457320162915</c:v>
                </c:pt>
                <c:pt idx="13">
                  <c:v>5.9899512415871383</c:v>
                </c:pt>
                <c:pt idx="14">
                  <c:v>6.1236567511579851</c:v>
                </c:pt>
                <c:pt idx="15">
                  <c:v>6.2573622607288319</c:v>
                </c:pt>
                <c:pt idx="16">
                  <c:v>6.3910677702996788</c:v>
                </c:pt>
                <c:pt idx="17">
                  <c:v>6.5247732798705256</c:v>
                </c:pt>
                <c:pt idx="18">
                  <c:v>6.6584787894413724</c:v>
                </c:pt>
                <c:pt idx="19">
                  <c:v>6.7921842990122192</c:v>
                </c:pt>
                <c:pt idx="20">
                  <c:v>6.925889808583066</c:v>
                </c:pt>
                <c:pt idx="21">
                  <c:v>7.0595953181539128</c:v>
                </c:pt>
                <c:pt idx="22">
                  <c:v>7.1933008277247596</c:v>
                </c:pt>
                <c:pt idx="23">
                  <c:v>7.3270063372956065</c:v>
                </c:pt>
                <c:pt idx="24">
                  <c:v>7.4607118468664533</c:v>
                </c:pt>
                <c:pt idx="25">
                  <c:v>7.5944173564373001</c:v>
                </c:pt>
                <c:pt idx="26">
                  <c:v>7.7281228660081469</c:v>
                </c:pt>
                <c:pt idx="27">
                  <c:v>7.8618283755789937</c:v>
                </c:pt>
                <c:pt idx="28">
                  <c:v>7.9955338851498405</c:v>
                </c:pt>
                <c:pt idx="29">
                  <c:v>8.1292393947206865</c:v>
                </c:pt>
                <c:pt idx="30">
                  <c:v>8.2629449042915333</c:v>
                </c:pt>
                <c:pt idx="31">
                  <c:v>8.3966504138623801</c:v>
                </c:pt>
                <c:pt idx="32">
                  <c:v>8.5303559234332269</c:v>
                </c:pt>
                <c:pt idx="33">
                  <c:v>8.6640614330040737</c:v>
                </c:pt>
                <c:pt idx="34">
                  <c:v>8.7977669425749205</c:v>
                </c:pt>
                <c:pt idx="35">
                  <c:v>8.9314724521457673</c:v>
                </c:pt>
                <c:pt idx="36">
                  <c:v>9.0651779617166142</c:v>
                </c:pt>
                <c:pt idx="37">
                  <c:v>9.198883471287461</c:v>
                </c:pt>
                <c:pt idx="38">
                  <c:v>9.3325889808583078</c:v>
                </c:pt>
                <c:pt idx="39">
                  <c:v>9.4662944904291546</c:v>
                </c:pt>
                <c:pt idx="40">
                  <c:v>9.6</c:v>
                </c:pt>
              </c:numCache>
            </c:numRef>
          </c:val>
        </c:ser>
        <c:ser>
          <c:idx val="17"/>
          <c:order val="11"/>
          <c:tx>
            <c:strRef>
              <c:f>'GreenPwr2 Data'!$V$5</c:f>
              <c:strCache>
                <c:ptCount val="1"/>
                <c:pt idx="0">
                  <c:v>Campus Planning and the Built Environment </c:v>
                </c:pt>
              </c:strCache>
            </c:strRef>
          </c:tx>
          <c:spPr>
            <a:solidFill>
              <a:schemeClr val="accent1">
                <a:lumMod val="75000"/>
              </a:schemeClr>
            </a:solidFill>
            <a:ln>
              <a:solidFill>
                <a:sysClr val="windowText" lastClr="000000"/>
              </a:solidFill>
            </a:ln>
          </c:spP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Data'!$V$6:$V$48</c:f>
              <c:numCache>
                <c:formatCode>#,##0</c:formatCode>
                <c:ptCount val="41"/>
                <c:pt idx="0">
                  <c:v>0</c:v>
                </c:pt>
                <c:pt idx="1">
                  <c:v>1.3972086782186495</c:v>
                </c:pt>
                <c:pt idx="2">
                  <c:v>2.7944173564372989</c:v>
                </c:pt>
                <c:pt idx="3">
                  <c:v>4.1916260346559486</c:v>
                </c:pt>
                <c:pt idx="4">
                  <c:v>5.5888347128745979</c:v>
                </c:pt>
                <c:pt idx="5">
                  <c:v>6.9860433910932471</c:v>
                </c:pt>
                <c:pt idx="6">
                  <c:v>8.3832520693118973</c:v>
                </c:pt>
                <c:pt idx="7">
                  <c:v>9.7804607475305474</c:v>
                </c:pt>
                <c:pt idx="8">
                  <c:v>11.177669425749198</c:v>
                </c:pt>
                <c:pt idx="9">
                  <c:v>12.574878103967848</c:v>
                </c:pt>
                <c:pt idx="10">
                  <c:v>13.972086782186494</c:v>
                </c:pt>
                <c:pt idx="11">
                  <c:v>15.106350556113611</c:v>
                </c:pt>
                <c:pt idx="12">
                  <c:v>16.240614330040728</c:v>
                </c:pt>
                <c:pt idx="13">
                  <c:v>17.374878103967845</c:v>
                </c:pt>
                <c:pt idx="14">
                  <c:v>18.509141877894962</c:v>
                </c:pt>
                <c:pt idx="15">
                  <c:v>19.643405651822079</c:v>
                </c:pt>
                <c:pt idx="16">
                  <c:v>20.777669425749195</c:v>
                </c:pt>
                <c:pt idx="17">
                  <c:v>21.911933199676312</c:v>
                </c:pt>
                <c:pt idx="18">
                  <c:v>23.046196973603429</c:v>
                </c:pt>
                <c:pt idx="19">
                  <c:v>24.180460747530546</c:v>
                </c:pt>
                <c:pt idx="20">
                  <c:v>25.314724521457663</c:v>
                </c:pt>
                <c:pt idx="21">
                  <c:v>26.44898829538478</c:v>
                </c:pt>
                <c:pt idx="22">
                  <c:v>27.583252069311897</c:v>
                </c:pt>
                <c:pt idx="23">
                  <c:v>28.717515843239013</c:v>
                </c:pt>
                <c:pt idx="24">
                  <c:v>29.85177961716613</c:v>
                </c:pt>
                <c:pt idx="25">
                  <c:v>30.986043391093247</c:v>
                </c:pt>
                <c:pt idx="26">
                  <c:v>32.120307165020364</c:v>
                </c:pt>
                <c:pt idx="27">
                  <c:v>33.254570938947481</c:v>
                </c:pt>
                <c:pt idx="28">
                  <c:v>34.388834712874598</c:v>
                </c:pt>
                <c:pt idx="29">
                  <c:v>35.523098486801715</c:v>
                </c:pt>
                <c:pt idx="30">
                  <c:v>36.657362260728831</c:v>
                </c:pt>
                <c:pt idx="31">
                  <c:v>37.791626034655948</c:v>
                </c:pt>
                <c:pt idx="32">
                  <c:v>38.925889808583065</c:v>
                </c:pt>
                <c:pt idx="33">
                  <c:v>40.060153582510182</c:v>
                </c:pt>
                <c:pt idx="34">
                  <c:v>41.194417356437299</c:v>
                </c:pt>
                <c:pt idx="35">
                  <c:v>42.328681130364416</c:v>
                </c:pt>
                <c:pt idx="36">
                  <c:v>43.462944904291533</c:v>
                </c:pt>
                <c:pt idx="37">
                  <c:v>44.597208678218649</c:v>
                </c:pt>
                <c:pt idx="38">
                  <c:v>45.731472452145766</c:v>
                </c:pt>
                <c:pt idx="39">
                  <c:v>46.865736226072883</c:v>
                </c:pt>
                <c:pt idx="40">
                  <c:v>48</c:v>
                </c:pt>
              </c:numCache>
            </c:numRef>
          </c:val>
        </c:ser>
        <c:axId val="267740672"/>
        <c:axId val="267742208"/>
      </c:areaChart>
      <c:lineChart>
        <c:grouping val="standard"/>
        <c:ser>
          <c:idx val="14"/>
          <c:order val="8"/>
          <c:tx>
            <c:strRef>
              <c:f>'GreenPwr2 Data'!$Q$5</c:f>
              <c:strCache>
                <c:ptCount val="1"/>
                <c:pt idx="0">
                  <c:v>Business as Usual GHG Emissions (000's MT CO2e)</c:v>
                </c:pt>
              </c:strCache>
            </c:strRef>
          </c:tx>
          <c:spPr>
            <a:ln w="25400">
              <a:solidFill>
                <a:schemeClr val="tx1"/>
              </a:solidFill>
            </a:ln>
          </c:spPr>
          <c:marker>
            <c:symbol val="circle"/>
            <c:size val="4"/>
            <c:spPr>
              <a:solidFill>
                <a:schemeClr val="tx2">
                  <a:lumMod val="60000"/>
                  <a:lumOff val="40000"/>
                </a:schemeClr>
              </a:solidFill>
              <a:ln w="15875">
                <a:solidFill>
                  <a:schemeClr val="tx1"/>
                </a:solidFill>
              </a:ln>
            </c:spPr>
          </c:marke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Data'!$Q$6:$Q$48</c:f>
              <c:numCache>
                <c:formatCode>#,##0</c:formatCode>
                <c:ptCount val="41"/>
                <c:pt idx="0">
                  <c:v>265.92231419164023</c:v>
                </c:pt>
                <c:pt idx="1">
                  <c:v>267.27425633684919</c:v>
                </c:pt>
                <c:pt idx="2">
                  <c:v>268.62619848205816</c:v>
                </c:pt>
                <c:pt idx="3">
                  <c:v>269.97814062726712</c:v>
                </c:pt>
                <c:pt idx="4">
                  <c:v>271.33008277247609</c:v>
                </c:pt>
                <c:pt idx="5">
                  <c:v>272.68202491768506</c:v>
                </c:pt>
                <c:pt idx="6">
                  <c:v>274.03396706289402</c:v>
                </c:pt>
                <c:pt idx="7">
                  <c:v>275.38590920810299</c:v>
                </c:pt>
                <c:pt idx="8">
                  <c:v>276.73785135331195</c:v>
                </c:pt>
                <c:pt idx="9">
                  <c:v>278.08979349852092</c:v>
                </c:pt>
                <c:pt idx="10">
                  <c:v>279.44173564372988</c:v>
                </c:pt>
                <c:pt idx="11">
                  <c:v>280.79367778893885</c:v>
                </c:pt>
                <c:pt idx="12">
                  <c:v>282.14561993414782</c:v>
                </c:pt>
                <c:pt idx="13">
                  <c:v>283.49756207935678</c:v>
                </c:pt>
                <c:pt idx="14">
                  <c:v>284.84950422456575</c:v>
                </c:pt>
                <c:pt idx="15">
                  <c:v>286.20144636977471</c:v>
                </c:pt>
                <c:pt idx="16">
                  <c:v>287.55338851498368</c:v>
                </c:pt>
                <c:pt idx="17">
                  <c:v>288.90533066019265</c:v>
                </c:pt>
                <c:pt idx="18">
                  <c:v>290.25727280540161</c:v>
                </c:pt>
                <c:pt idx="19">
                  <c:v>291.60921495061058</c:v>
                </c:pt>
                <c:pt idx="20">
                  <c:v>292.96115709581954</c:v>
                </c:pt>
                <c:pt idx="21">
                  <c:v>294.31309924102851</c:v>
                </c:pt>
                <c:pt idx="22">
                  <c:v>295.66504138623748</c:v>
                </c:pt>
                <c:pt idx="23">
                  <c:v>297.01698353144644</c:v>
                </c:pt>
                <c:pt idx="24">
                  <c:v>298.36892567665541</c:v>
                </c:pt>
                <c:pt idx="25">
                  <c:v>299.72086782186437</c:v>
                </c:pt>
                <c:pt idx="26">
                  <c:v>301.07280996707334</c:v>
                </c:pt>
                <c:pt idx="27">
                  <c:v>302.42475211228231</c:v>
                </c:pt>
                <c:pt idx="28">
                  <c:v>303.77669425749127</c:v>
                </c:pt>
                <c:pt idx="29">
                  <c:v>305.12863640270024</c:v>
                </c:pt>
                <c:pt idx="30">
                  <c:v>306.4805785479092</c:v>
                </c:pt>
                <c:pt idx="31">
                  <c:v>307.83252069311817</c:v>
                </c:pt>
                <c:pt idx="32">
                  <c:v>309.18446283832714</c:v>
                </c:pt>
                <c:pt idx="33">
                  <c:v>310.5364049835361</c:v>
                </c:pt>
                <c:pt idx="34">
                  <c:v>311.88834712874507</c:v>
                </c:pt>
                <c:pt idx="35">
                  <c:v>313.24028927395403</c:v>
                </c:pt>
                <c:pt idx="36">
                  <c:v>314.592231419163</c:v>
                </c:pt>
                <c:pt idx="37">
                  <c:v>315.94417356437197</c:v>
                </c:pt>
                <c:pt idx="38">
                  <c:v>317.29611570958093</c:v>
                </c:pt>
                <c:pt idx="39">
                  <c:v>318.6480578547899</c:v>
                </c:pt>
                <c:pt idx="40">
                  <c:v>320</c:v>
                </c:pt>
              </c:numCache>
            </c:numRef>
          </c:val>
        </c:ser>
        <c:ser>
          <c:idx val="15"/>
          <c:order val="9"/>
          <c:tx>
            <c:strRef>
              <c:f>'GreenPwr2 Data'!$R$5</c:f>
              <c:strCache>
                <c:ptCount val="1"/>
                <c:pt idx="0">
                  <c:v>80% Below 2010 Levels 
(Peak Year = 2010)</c:v>
                </c:pt>
              </c:strCache>
            </c:strRef>
          </c:tx>
          <c:spPr>
            <a:ln w="25400" cap="flat" cmpd="sng" algn="ctr">
              <a:solidFill>
                <a:schemeClr val="dk1"/>
              </a:solidFill>
              <a:prstDash val="sysDot"/>
            </a:ln>
            <a:effectLst/>
          </c:spPr>
          <c:marker>
            <c:symbol val="none"/>
          </c:marke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Data'!$R$6:$R$48</c:f>
            </c:numRef>
          </c:val>
        </c:ser>
        <c:ser>
          <c:idx val="16"/>
          <c:order val="10"/>
          <c:tx>
            <c:strRef>
              <c:f>'GreenPwr2 Data'!$S$5</c:f>
              <c:strCache>
                <c:ptCount val="1"/>
                <c:pt idx="0">
                  <c:v>100% Below 2010 Levels by 2050</c:v>
                </c:pt>
              </c:strCache>
            </c:strRef>
          </c:tx>
          <c:spPr>
            <a:ln>
              <a:solidFill>
                <a:srgbClr val="FF0000"/>
              </a:solidFill>
              <a:prstDash val="sysDash"/>
            </a:ln>
          </c:spPr>
          <c:marker>
            <c:symbol val="none"/>
          </c:marker>
          <c:cat>
            <c:numRef>
              <c:f>'GreenPwr2 Data'!$N$6:$N$48</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'GreenPwr2 Data'!$S$6:$S$48</c:f>
              <c:numCache>
                <c:formatCode>#,##0</c:formatCode>
                <c:ptCount val="41"/>
                <c:pt idx="0">
                  <c:v>265.92231419164023</c:v>
                </c:pt>
                <c:pt idx="1">
                  <c:v>259.27425633684925</c:v>
                </c:pt>
                <c:pt idx="2">
                  <c:v>252.62619848205824</c:v>
                </c:pt>
                <c:pt idx="3">
                  <c:v>245.97814062726724</c:v>
                </c:pt>
                <c:pt idx="4">
                  <c:v>239.33008277247623</c:v>
                </c:pt>
                <c:pt idx="5">
                  <c:v>232.68202491768523</c:v>
                </c:pt>
                <c:pt idx="6">
                  <c:v>226.03396706289422</c:v>
                </c:pt>
                <c:pt idx="7">
                  <c:v>219.38590920810321</c:v>
                </c:pt>
                <c:pt idx="8">
                  <c:v>212.73785135331221</c:v>
                </c:pt>
                <c:pt idx="9">
                  <c:v>206.0897934985212</c:v>
                </c:pt>
                <c:pt idx="10">
                  <c:v>199.4417356437302</c:v>
                </c:pt>
                <c:pt idx="11">
                  <c:v>192.79367778893919</c:v>
                </c:pt>
                <c:pt idx="12">
                  <c:v>186.14561993414819</c:v>
                </c:pt>
                <c:pt idx="13">
                  <c:v>179.49756207935718</c:v>
                </c:pt>
                <c:pt idx="14">
                  <c:v>172.84950422456618</c:v>
                </c:pt>
                <c:pt idx="15">
                  <c:v>166.20144636977517</c:v>
                </c:pt>
                <c:pt idx="16">
                  <c:v>159.55338851498416</c:v>
                </c:pt>
                <c:pt idx="17">
                  <c:v>152.90533066019316</c:v>
                </c:pt>
                <c:pt idx="18">
                  <c:v>146.25727280540215</c:v>
                </c:pt>
                <c:pt idx="19">
                  <c:v>139.60921495061115</c:v>
                </c:pt>
                <c:pt idx="20">
                  <c:v>132.96115709582014</c:v>
                </c:pt>
                <c:pt idx="21">
                  <c:v>126.31309924102914</c:v>
                </c:pt>
                <c:pt idx="22">
                  <c:v>119.66504138623813</c:v>
                </c:pt>
                <c:pt idx="23">
                  <c:v>113.01698353144712</c:v>
                </c:pt>
                <c:pt idx="24">
                  <c:v>106.36892567665612</c:v>
                </c:pt>
                <c:pt idx="25">
                  <c:v>99.720867821865113</c:v>
                </c:pt>
                <c:pt idx="26">
                  <c:v>93.072809967074107</c:v>
                </c:pt>
                <c:pt idx="27">
                  <c:v>86.424752112283102</c:v>
                </c:pt>
                <c:pt idx="28">
                  <c:v>79.776694257492096</c:v>
                </c:pt>
                <c:pt idx="29">
                  <c:v>73.12863640270109</c:v>
                </c:pt>
                <c:pt idx="30">
                  <c:v>66.480578547910085</c:v>
                </c:pt>
                <c:pt idx="31">
                  <c:v>59.832520693119079</c:v>
                </c:pt>
                <c:pt idx="32">
                  <c:v>53.184462838328074</c:v>
                </c:pt>
                <c:pt idx="33">
                  <c:v>46.536404983537068</c:v>
                </c:pt>
                <c:pt idx="34">
                  <c:v>39.888347128746062</c:v>
                </c:pt>
                <c:pt idx="35">
                  <c:v>33.240289273955057</c:v>
                </c:pt>
                <c:pt idx="36">
                  <c:v>26.592231419164051</c:v>
                </c:pt>
                <c:pt idx="37">
                  <c:v>19.944173564373045</c:v>
                </c:pt>
                <c:pt idx="38">
                  <c:v>13.29611570958204</c:v>
                </c:pt>
                <c:pt idx="39">
                  <c:v>6.6480578547910341</c:v>
                </c:pt>
                <c:pt idx="40">
                  <c:v>0</c:v>
                </c:pt>
              </c:numCache>
            </c:numRef>
          </c:val>
        </c:ser>
        <c:marker val="1"/>
        <c:axId val="267740672"/>
        <c:axId val="267742208"/>
      </c:lineChart>
      <c:catAx>
        <c:axId val="267740672"/>
        <c:scaling>
          <c:orientation val="minMax"/>
        </c:scaling>
        <c:axPos val="b"/>
        <c:numFmt formatCode="General" sourceLinked="0"/>
        <c:tickLblPos val="nextTo"/>
        <c:crossAx val="267742208"/>
        <c:crosses val="autoZero"/>
        <c:auto val="1"/>
        <c:lblAlgn val="ctr"/>
        <c:lblOffset val="100"/>
        <c:tickLblSkip val="5"/>
        <c:tickMarkSkip val="5"/>
      </c:catAx>
      <c:valAx>
        <c:axId val="267742208"/>
        <c:scaling>
          <c:orientation val="minMax"/>
        </c:scaling>
        <c:axPos val="l"/>
        <c:majorGridlines/>
        <c:title>
          <c:tx>
            <c:rich>
              <a:bodyPr rot="-5400000" vert="horz"/>
              <a:lstStyle/>
              <a:p>
                <a:pPr>
                  <a:defRPr/>
                </a:pPr>
                <a:r>
                  <a:rPr lang="en-US"/>
                  <a:t>MT CO2e (000's)</a:t>
                </a:r>
              </a:p>
            </c:rich>
          </c:tx>
        </c:title>
        <c:numFmt formatCode="#,##0" sourceLinked="0"/>
        <c:tickLblPos val="nextTo"/>
        <c:crossAx val="267740672"/>
        <c:crosses val="autoZero"/>
        <c:crossBetween val="between"/>
      </c:valAx>
    </c:plotArea>
    <c:legend>
      <c:legendPos val="r"/>
      <c:layout>
        <c:manualLayout>
          <c:xMode val="edge"/>
          <c:yMode val="edge"/>
          <c:x val="0.78494107155524473"/>
          <c:y val="0.15612405592158118"/>
          <c:w val="0.21505892844475522"/>
          <c:h val="0.67657158926562755"/>
        </c:manualLayout>
      </c:layout>
      <c:spPr>
        <a:noFill/>
        <a:ln w="25400" cap="flat" cmpd="sng" algn="ctr">
          <a:noFill/>
          <a:prstDash val="solid"/>
        </a:ln>
        <a:effectLst/>
      </c:spPr>
      <c:txPr>
        <a:bodyPr/>
        <a:lstStyle/>
        <a:p>
          <a:pPr>
            <a:defRPr sz="1000"/>
          </a:pPr>
          <a:endParaRPr lang="en-US"/>
        </a:p>
      </c:txPr>
    </c:legend>
    <c:plotVisOnly val="1"/>
    <c:dispBlanksAs val="zero"/>
  </c:chart>
  <c:spPr>
    <a:ln>
      <a:noFill/>
    </a:ln>
  </c:spPr>
  <c:txPr>
    <a:bodyPr/>
    <a:lstStyle/>
    <a:p>
      <a:pPr>
        <a:defRPr sz="1200"/>
      </a:pPr>
      <a:endParaRPr lang="en-US"/>
    </a:p>
  </c:txPr>
  <c:printSettings>
    <c:headerFooter/>
    <c:pageMargins b="0.75000000000000566" l="0.70000000000000062" r="0.70000000000000062" t="0.7500000000000056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areaChart>
        <c:grouping val="standard"/>
        <c:ser>
          <c:idx val="0"/>
          <c:order val="0"/>
          <c:tx>
            <c:strRef>
              <c:f>CurveData!$B$5</c:f>
              <c:strCache>
                <c:ptCount val="1"/>
                <c:pt idx="0">
                  <c:v>Space Planning &amp; Management</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CurveData!$B$6:$B$92</c:f>
              <c:numCache>
                <c:formatCode>0</c:formatCode>
                <c:ptCount val="69"/>
                <c:pt idx="0">
                  <c:v>-1076.846007063994</c:v>
                </c:pt>
                <c:pt idx="1">
                  <c:v>-1076.846007063994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
          <c:order val="1"/>
          <c:tx>
            <c:strRef>
              <c:f>CurveData!$C$5</c:f>
              <c:strCache>
                <c:ptCount val="1"/>
                <c:pt idx="0">
                  <c:v>Central Chiller Expansion</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CurveData!$C$6:$C$92</c:f>
              <c:numCache>
                <c:formatCode>0</c:formatCode>
                <c:ptCount val="69"/>
                <c:pt idx="0">
                  <c:v>0</c:v>
                </c:pt>
                <c:pt idx="1">
                  <c:v>0</c:v>
                </c:pt>
                <c:pt idx="2">
                  <c:v>0</c:v>
                </c:pt>
                <c:pt idx="3">
                  <c:v>-238.57707316254573</c:v>
                </c:pt>
                <c:pt idx="4">
                  <c:v>-238.57707316254573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
          <c:order val="2"/>
          <c:tx>
            <c:strRef>
              <c:f>CurveData!$D$5</c:f>
              <c:strCache>
                <c:ptCount val="1"/>
                <c:pt idx="0">
                  <c:v>Reduced Air Travel</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CurveData!$D$6:$D$92</c:f>
              <c:numCache>
                <c:formatCode>0</c:formatCode>
                <c:ptCount val="69"/>
                <c:pt idx="0">
                  <c:v>0</c:v>
                </c:pt>
                <c:pt idx="1">
                  <c:v>0</c:v>
                </c:pt>
                <c:pt idx="2">
                  <c:v>0</c:v>
                </c:pt>
                <c:pt idx="3">
                  <c:v>0</c:v>
                </c:pt>
                <c:pt idx="4">
                  <c:v>0</c:v>
                </c:pt>
                <c:pt idx="5">
                  <c:v>0</c:v>
                </c:pt>
                <c:pt idx="6">
                  <c:v>-220.06822112410663</c:v>
                </c:pt>
                <c:pt idx="7">
                  <c:v>-220.06822112410663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3"/>
          <c:order val="3"/>
          <c:tx>
            <c:strRef>
              <c:f>CurveData!$E$5</c:f>
              <c:strCache>
                <c:ptCount val="1"/>
                <c:pt idx="0">
                  <c:v>Green IT</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CurveData!$E$6:$E$92</c:f>
              <c:numCache>
                <c:formatCode>0</c:formatCode>
                <c:ptCount val="69"/>
                <c:pt idx="0">
                  <c:v>0</c:v>
                </c:pt>
                <c:pt idx="1">
                  <c:v>0</c:v>
                </c:pt>
                <c:pt idx="2">
                  <c:v>0</c:v>
                </c:pt>
                <c:pt idx="3">
                  <c:v>0</c:v>
                </c:pt>
                <c:pt idx="4">
                  <c:v>0</c:v>
                </c:pt>
                <c:pt idx="5">
                  <c:v>0</c:v>
                </c:pt>
                <c:pt idx="6">
                  <c:v>0</c:v>
                </c:pt>
                <c:pt idx="7">
                  <c:v>0</c:v>
                </c:pt>
                <c:pt idx="8">
                  <c:v>0</c:v>
                </c:pt>
                <c:pt idx="9">
                  <c:v>-125.45472871432995</c:v>
                </c:pt>
                <c:pt idx="10">
                  <c:v>-125.45472871432995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4"/>
          <c:order val="4"/>
          <c:tx>
            <c:strRef>
              <c:f>CurveData!$F$5</c:f>
              <c:strCache>
                <c:ptCount val="1"/>
                <c:pt idx="0">
                  <c:v>Short-term Energy Conservation Measures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CurveData!$F$6:$F$92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-115.74016509626473</c:v>
                </c:pt>
                <c:pt idx="13">
                  <c:v>-115.74016509626473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5"/>
          <c:order val="5"/>
          <c:tx>
            <c:strRef>
              <c:f>CurveData!$G$5</c:f>
              <c:strCache>
                <c:ptCount val="1"/>
                <c:pt idx="0">
                  <c:v>Behavior Change</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CurveData!$G$6:$G$92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-109.50809255997319</c:v>
                </c:pt>
                <c:pt idx="16">
                  <c:v>-109.50809255997319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6"/>
          <c:order val="6"/>
          <c:tx>
            <c:strRef>
              <c:f>CurveData!$H$5</c:f>
              <c:strCache>
                <c:ptCount val="1"/>
                <c:pt idx="0">
                  <c:v>Steam Line Improvements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CurveData!$H$6:$H$92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-97.677702400310238</c:v>
                </c:pt>
                <c:pt idx="19">
                  <c:v>-97.677702400310238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7"/>
          <c:order val="7"/>
          <c:tx>
            <c:strRef>
              <c:f>CurveData!$I$5</c:f>
              <c:strCache>
                <c:ptCount val="1"/>
                <c:pt idx="0">
                  <c:v>Mid-term Energy Conservation Measures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CurveData!$I$6:$I$92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-95.617893431330998</c:v>
                </c:pt>
                <c:pt idx="22">
                  <c:v>-95.617893431330998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8"/>
          <c:order val="8"/>
          <c:tx>
            <c:strRef>
              <c:f>CurveData!$J$5</c:f>
              <c:strCache>
                <c:ptCount val="1"/>
                <c:pt idx="0">
                  <c:v>Long-term Energy Conservation Measures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CurveData!$J$6:$J$92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-68.286883813284135</c:v>
                </c:pt>
                <c:pt idx="25">
                  <c:v>-68.286883813284135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9"/>
          <c:order val="9"/>
          <c:tx>
            <c:strRef>
              <c:f>CurveData!$K$5</c:f>
              <c:strCache>
                <c:ptCount val="1"/>
                <c:pt idx="0">
                  <c:v>Building Design &amp; Construction Standards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CurveData!$K$6:$K$92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-62.686548806655011</c:v>
                </c:pt>
                <c:pt idx="28">
                  <c:v>-62.686548806655011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0"/>
          <c:order val="10"/>
          <c:tx>
            <c:strRef>
              <c:f>CurveData!$L$5</c:f>
              <c:strCache>
                <c:ptCount val="1"/>
                <c:pt idx="0">
                  <c:v>Combined Heat &amp; Power</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CurveData!$L$6:$L$92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-31.807962579838971</c:v>
                </c:pt>
                <c:pt idx="31">
                  <c:v>-31.807962579838971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1"/>
          <c:order val="11"/>
          <c:tx>
            <c:strRef>
              <c:f>CurveData!$M$5</c:f>
              <c:strCache>
                <c:ptCount val="1"/>
                <c:pt idx="0">
                  <c:v>Waste Reduction</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CurveData!$M$6:$M$92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-17.097335758589974</c:v>
                </c:pt>
                <c:pt idx="34">
                  <c:v>-17.097335758589974</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2"/>
          <c:order val="12"/>
          <c:tx>
            <c:strRef>
              <c:f>CurveData!$N$5</c:f>
              <c:strCache>
                <c:ptCount val="1"/>
                <c:pt idx="0">
                  <c:v>Geo Exchange</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CurveData!$N$6:$N$92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2.6602481319010307</c:v>
                </c:pt>
                <c:pt idx="37">
                  <c:v>2.6602481319010307</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3"/>
          <c:order val="13"/>
          <c:tx>
            <c:strRef>
              <c:f>CurveData!$O$5</c:f>
              <c:strCache>
                <c:ptCount val="1"/>
                <c:pt idx="0">
                  <c:v>Solar DHW</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CurveData!$O$6:$O$92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6.1336299893506787</c:v>
                </c:pt>
                <c:pt idx="40">
                  <c:v>6.1336299893506787</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4"/>
          <c:order val="14"/>
          <c:tx>
            <c:strRef>
              <c:f>CurveData!$P$5</c:f>
              <c:strCache>
                <c:ptCount val="1"/>
                <c:pt idx="0">
                  <c:v>Green Power Purchase (MCCo Reserve Fund)</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CurveData!$P$6:$P$92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7.2056399874036217</c:v>
                </c:pt>
                <c:pt idx="43">
                  <c:v>7.2056399874036217</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5"/>
          <c:order val="15"/>
          <c:tx>
            <c:strRef>
              <c:f>CurveData!$Q$5</c:f>
              <c:strCache>
                <c:ptCount val="1"/>
                <c:pt idx="0">
                  <c:v>Coal to Natural Gas Conversion @ Steam Plant</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CurveData!$Q$6:$Q$92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17.959528154390838</c:v>
                </c:pt>
                <c:pt idx="46">
                  <c:v>17.959528154390838</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6"/>
          <c:order val="16"/>
          <c:tx>
            <c:strRef>
              <c:f>CurveData!$R$5</c:f>
              <c:strCache>
                <c:ptCount val="1"/>
                <c:pt idx="0">
                  <c:v>Unitary Chiller Upgrades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CurveData!$R$6:$R$92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33.389665773120427</c:v>
                </c:pt>
                <c:pt idx="49">
                  <c:v>33.389665773120427</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7"/>
          <c:order val="17"/>
          <c:tx>
            <c:strRef>
              <c:f>CurveData!$S$5</c:f>
              <c:strCache>
                <c:ptCount val="1"/>
                <c:pt idx="0">
                  <c:v>Green Power Purchase Opt 1 (Partial)</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CurveData!$S$6:$S$92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35.198540352427607</c:v>
                </c:pt>
                <c:pt idx="52">
                  <c:v>35.198540352427607</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8"/>
          <c:order val="18"/>
          <c:tx>
            <c:strRef>
              <c:f>CurveData!$T$5</c:f>
              <c:strCache>
                <c:ptCount val="1"/>
                <c:pt idx="0">
                  <c:v>On-site Wind</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CurveData!$T$6:$T$92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91.482591649640057</c:v>
                </c:pt>
                <c:pt idx="55">
                  <c:v>91.482591649640057</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9"/>
          <c:order val="19"/>
          <c:tx>
            <c:strRef>
              <c:f>CurveData!$U$5</c:f>
              <c:strCache>
                <c:ptCount val="1"/>
                <c:pt idx="0">
                  <c:v>Reduced Automobile Reliance Strategies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CurveData!$U$6:$U$92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123.79174629217583</c:v>
                </c:pt>
                <c:pt idx="58">
                  <c:v>123.79174629217583</c:v>
                </c:pt>
                <c:pt idx="59">
                  <c:v>0</c:v>
                </c:pt>
                <c:pt idx="60">
                  <c:v>0</c:v>
                </c:pt>
                <c:pt idx="61">
                  <c:v>0</c:v>
                </c:pt>
                <c:pt idx="62">
                  <c:v>0</c:v>
                </c:pt>
                <c:pt idx="63">
                  <c:v>0</c:v>
                </c:pt>
                <c:pt idx="64">
                  <c:v>0</c:v>
                </c:pt>
                <c:pt idx="65">
                  <c:v>0</c:v>
                </c:pt>
                <c:pt idx="66">
                  <c:v>0</c:v>
                </c:pt>
                <c:pt idx="67">
                  <c:v>0</c:v>
                </c:pt>
                <c:pt idx="68">
                  <c:v>0</c:v>
                </c:pt>
              </c:numCache>
            </c:numRef>
          </c:val>
        </c:ser>
        <c:ser>
          <c:idx val="20"/>
          <c:order val="20"/>
          <c:tx>
            <c:strRef>
              <c:f>CurveData!$V$5</c:f>
              <c:strCache>
                <c:ptCount val="1"/>
                <c:pt idx="0">
                  <c:v>Rooftop Solar PV</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CurveData!$V$6:$V$92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426.62337235953368</c:v>
                </c:pt>
                <c:pt idx="61">
                  <c:v>426.62337235953368</c:v>
                </c:pt>
                <c:pt idx="62">
                  <c:v>0</c:v>
                </c:pt>
                <c:pt idx="63">
                  <c:v>0</c:v>
                </c:pt>
                <c:pt idx="64">
                  <c:v>0</c:v>
                </c:pt>
                <c:pt idx="65">
                  <c:v>0</c:v>
                </c:pt>
                <c:pt idx="66">
                  <c:v>0</c:v>
                </c:pt>
                <c:pt idx="67">
                  <c:v>0</c:v>
                </c:pt>
                <c:pt idx="68">
                  <c:v>0</c:v>
                </c:pt>
              </c:numCache>
            </c:numRef>
          </c:val>
        </c:ser>
        <c:ser>
          <c:idx val="21"/>
          <c:order val="21"/>
          <c:tx>
            <c:strRef>
              <c:f>CurveData!$W$5</c:f>
              <c:strCache>
                <c:ptCount val="1"/>
                <c:pt idx="0">
                  <c:v>Dish Stirling</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CurveData!$W$6:$W$92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679.0247248054161</c:v>
                </c:pt>
                <c:pt idx="64">
                  <c:v>679.0247248054161</c:v>
                </c:pt>
                <c:pt idx="65">
                  <c:v>0</c:v>
                </c:pt>
                <c:pt idx="66">
                  <c:v>0</c:v>
                </c:pt>
                <c:pt idx="67">
                  <c:v>0</c:v>
                </c:pt>
                <c:pt idx="68">
                  <c:v>0</c:v>
                </c:pt>
              </c:numCache>
            </c:numRef>
          </c:val>
        </c:ser>
        <c:ser>
          <c:idx val="22"/>
          <c:order val="22"/>
          <c:tx>
            <c:strRef>
              <c:f>CurveData!$X$5</c:f>
              <c:strCache>
                <c:ptCount val="1"/>
                <c:pt idx="0">
                  <c:v>Parabolic Trough</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CurveData!$X$6:$X$92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980.91361256231767</c:v>
                </c:pt>
                <c:pt idx="67">
                  <c:v>980.91361256231767</c:v>
                </c:pt>
                <c:pt idx="68">
                  <c:v>0</c:v>
                </c:pt>
              </c:numCache>
            </c:numRef>
          </c:val>
        </c:ser>
        <c:ser>
          <c:idx val="23"/>
          <c:order val="23"/>
          <c:tx>
            <c:strRef>
              <c:f>CurveData!$Y$5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CurveData!$Y$6:$Y$92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4"/>
          <c:order val="24"/>
          <c:tx>
            <c:strRef>
              <c:f>CurveData!$Z$5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CurveData!$Z$6:$Z$92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5"/>
          <c:order val="25"/>
          <c:tx>
            <c:strRef>
              <c:f>CurveData!$AA$5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CurveData!$AA$6:$AA$92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6"/>
          <c:order val="26"/>
          <c:tx>
            <c:strRef>
              <c:f>CurveData!$AB$5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CurveData!$AB$6:$AB$92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7"/>
          <c:order val="27"/>
          <c:tx>
            <c:strRef>
              <c:f>CurveData!$AC$5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CurveData!$AC$6:$AC$92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8"/>
          <c:order val="28"/>
          <c:tx>
            <c:strRef>
              <c:f>CurveData!$AD$5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CurveData!$AD$6:$AD$92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30"/>
          <c:order val="30"/>
          <c:tx>
            <c:strRef>
              <c:f>CurveData!$AE$5</c:f>
              <c:strCache>
                <c:ptCount val="1"/>
              </c:strCache>
            </c:strRef>
          </c:tx>
          <c:spPr>
            <a:ln>
              <a:solidFill>
                <a:sysClr val="windowText" lastClr="000000"/>
              </a:solidFill>
            </a:ln>
          </c:spPr>
          <c:cat>
            <c:numRef>
              <c:f>CurveData!$A$6:$A$95</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CurveData!$AE$6:$AE$95</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axId val="286483968"/>
        <c:axId val="286505984"/>
      </c:areaChart>
      <c:lineChart>
        <c:grouping val="standard"/>
        <c:ser>
          <c:idx val="29"/>
          <c:order val="29"/>
          <c:tx>
            <c:strRef>
              <c:f>CurveData!$AF$5</c:f>
              <c:strCache>
                <c:ptCount val="1"/>
                <c:pt idx="0">
                  <c:v>Adjusted Levelized Cost (Savings) per MTCDE Avoided</c:v>
                </c:pt>
              </c:strCache>
            </c:strRef>
          </c:tx>
          <c:spPr>
            <a:ln>
              <a:solidFill>
                <a:sysClr val="windowText" lastClr="000000"/>
              </a:solidFill>
              <a:prstDash val="sysDash"/>
            </a:ln>
          </c:spPr>
          <c:marker>
            <c:symbol val="none"/>
          </c:marker>
          <c:cat>
            <c:numRef>
              <c:f>CurveData!$A$6:$A$95</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CurveData!$AF$6:$AF$95</c:f>
              <c:numCache>
                <c:formatCode>0.0</c:formatCode>
                <c:ptCount val="69"/>
                <c:pt idx="0">
                  <c:v>-1128.4783718743092</c:v>
                </c:pt>
                <c:pt idx="1">
                  <c:v>-1128.4783718743092</c:v>
                </c:pt>
                <c:pt idx="2">
                  <c:v>#N/A</c:v>
                </c:pt>
                <c:pt idx="3">
                  <c:v>-275.64890603375414</c:v>
                </c:pt>
                <c:pt idx="4">
                  <c:v>-275.64890603375414</c:v>
                </c:pt>
                <c:pt idx="5">
                  <c:v>#N/A</c:v>
                </c:pt>
                <c:pt idx="6">
                  <c:v>-254.18142929823298</c:v>
                </c:pt>
                <c:pt idx="7">
                  <c:v>-254.18142929823298</c:v>
                </c:pt>
                <c:pt idx="8">
                  <c:v>#N/A</c:v>
                </c:pt>
                <c:pt idx="9">
                  <c:v>-160.44127045849609</c:v>
                </c:pt>
                <c:pt idx="10">
                  <c:v>-160.44127045849609</c:v>
                </c:pt>
                <c:pt idx="11">
                  <c:v>#N/A</c:v>
                </c:pt>
                <c:pt idx="12">
                  <c:v>-150.64720887968093</c:v>
                </c:pt>
                <c:pt idx="13">
                  <c:v>-150.64720887968093</c:v>
                </c:pt>
                <c:pt idx="14">
                  <c:v>#N/A</c:v>
                </c:pt>
                <c:pt idx="15">
                  <c:v>-150.13509910940311</c:v>
                </c:pt>
                <c:pt idx="16">
                  <c:v>-150.13509910940311</c:v>
                </c:pt>
                <c:pt idx="17">
                  <c:v>#N/A</c:v>
                </c:pt>
                <c:pt idx="18">
                  <c:v>-133.70198211860105</c:v>
                </c:pt>
                <c:pt idx="19">
                  <c:v>-133.70198211860105</c:v>
                </c:pt>
                <c:pt idx="20">
                  <c:v>#N/A</c:v>
                </c:pt>
                <c:pt idx="21">
                  <c:v>-143.8430527163145</c:v>
                </c:pt>
                <c:pt idx="22">
                  <c:v>-143.8430527163145</c:v>
                </c:pt>
                <c:pt idx="23">
                  <c:v>#N/A</c:v>
                </c:pt>
                <c:pt idx="24">
                  <c:v>-136.14906242244243</c:v>
                </c:pt>
                <c:pt idx="25">
                  <c:v>-136.14906242244243</c:v>
                </c:pt>
                <c:pt idx="26">
                  <c:v>#N/A</c:v>
                </c:pt>
                <c:pt idx="27">
                  <c:v>-108.33339435312411</c:v>
                </c:pt>
                <c:pt idx="28">
                  <c:v>-108.33339435312411</c:v>
                </c:pt>
                <c:pt idx="29">
                  <c:v>#N/A</c:v>
                </c:pt>
                <c:pt idx="30">
                  <c:v>-73.486755247828725</c:v>
                </c:pt>
                <c:pt idx="31">
                  <c:v>-73.486755247828725</c:v>
                </c:pt>
                <c:pt idx="32">
                  <c:v>#N/A</c:v>
                </c:pt>
                <c:pt idx="33">
                  <c:v>-54.40091632071622</c:v>
                </c:pt>
                <c:pt idx="34">
                  <c:v>-54.40091632071622</c:v>
                </c:pt>
                <c:pt idx="35">
                  <c:v>#N/A</c:v>
                </c:pt>
                <c:pt idx="36">
                  <c:v>-34.570101158423299</c:v>
                </c:pt>
                <c:pt idx="37">
                  <c:v>-34.570101158423299</c:v>
                </c:pt>
                <c:pt idx="38">
                  <c:v>#N/A</c:v>
                </c:pt>
                <c:pt idx="39">
                  <c:v>-26.778720183058446</c:v>
                </c:pt>
                <c:pt idx="40">
                  <c:v>-26.778720183058446</c:v>
                </c:pt>
                <c:pt idx="41">
                  <c:v>#N/A</c:v>
                </c:pt>
                <c:pt idx="42">
                  <c:v>-37.076304746225581</c:v>
                </c:pt>
                <c:pt idx="43">
                  <c:v>-37.076304746225581</c:v>
                </c:pt>
                <c:pt idx="44">
                  <c:v>#N/A</c:v>
                </c:pt>
                <c:pt idx="45">
                  <c:v>-24.416256241023902</c:v>
                </c:pt>
                <c:pt idx="46">
                  <c:v>-24.416256241023902</c:v>
                </c:pt>
                <c:pt idx="47">
                  <c:v>#N/A</c:v>
                </c:pt>
                <c:pt idx="48">
                  <c:v>-1.1528467283680968</c:v>
                </c:pt>
                <c:pt idx="49">
                  <c:v>-1.1528467283680968</c:v>
                </c:pt>
                <c:pt idx="50">
                  <c:v>#N/A</c:v>
                </c:pt>
                <c:pt idx="51">
                  <c:v>4.2585168360537295</c:v>
                </c:pt>
                <c:pt idx="52">
                  <c:v>4.2585168360537295</c:v>
                </c:pt>
                <c:pt idx="53">
                  <c:v>#N/A</c:v>
                </c:pt>
                <c:pt idx="54">
                  <c:v>60.54256813326618</c:v>
                </c:pt>
                <c:pt idx="55">
                  <c:v>60.54256813326618</c:v>
                </c:pt>
                <c:pt idx="56">
                  <c:v>#N/A</c:v>
                </c:pt>
                <c:pt idx="57">
                  <c:v>123.79174629217583</c:v>
                </c:pt>
                <c:pt idx="58">
                  <c:v>123.79174629217583</c:v>
                </c:pt>
                <c:pt idx="59">
                  <c:v>#N/A</c:v>
                </c:pt>
                <c:pt idx="60">
                  <c:v>386.89308218614519</c:v>
                </c:pt>
                <c:pt idx="61">
                  <c:v>386.89308218614519</c:v>
                </c:pt>
                <c:pt idx="62">
                  <c:v>#N/A</c:v>
                </c:pt>
                <c:pt idx="63">
                  <c:v>631.32373065869183</c:v>
                </c:pt>
                <c:pt idx="64">
                  <c:v>631.32373065869183</c:v>
                </c:pt>
                <c:pt idx="65">
                  <c:v>#N/A</c:v>
                </c:pt>
                <c:pt idx="66">
                  <c:v>930.99450593519691</c:v>
                </c:pt>
                <c:pt idx="67">
                  <c:v>930.99450593519691</c:v>
                </c:pt>
                <c:pt idx="68">
                  <c:v>#N/A</c:v>
                </c:pt>
              </c:numCache>
            </c:numRef>
          </c:val>
        </c:ser>
        <c:marker val="1"/>
        <c:axId val="286483968"/>
        <c:axId val="286505984"/>
      </c:lineChart>
      <c:dateAx>
        <c:axId val="286483968"/>
        <c:scaling>
          <c:orientation val="minMax"/>
        </c:scaling>
        <c:axPos val="b"/>
        <c:majorGridlines/>
        <c:title>
          <c:tx>
            <c:rich>
              <a:bodyPr/>
              <a:lstStyle/>
              <a:p>
                <a:pPr>
                  <a:defRPr/>
                </a:pPr>
                <a:r>
                  <a:rPr lang="en-US" sz="1600"/>
                  <a:t>Relative Contribution Toward Neutrality in 2050</a:t>
                </a:r>
                <a:r>
                  <a:rPr lang="en-US" sz="1600" baseline="0"/>
                  <a:t> (MTCDE)</a:t>
                </a:r>
                <a:endParaRPr lang="en-US" sz="1600"/>
              </a:p>
            </c:rich>
          </c:tx>
        </c:title>
        <c:numFmt formatCode="General" sourceLinked="1"/>
        <c:tickLblPos val="none"/>
        <c:crossAx val="286505984"/>
        <c:crosses val="autoZero"/>
        <c:lblOffset val="100"/>
        <c:baseTimeUnit val="days"/>
        <c:majorUnit val="50"/>
        <c:majorTimeUnit val="days"/>
      </c:dateAx>
      <c:valAx>
        <c:axId val="286505984"/>
        <c:scaling>
          <c:orientation val="minMax"/>
          <c:max val="200"/>
          <c:min val="-300"/>
        </c:scaling>
        <c:axPos val="l"/>
        <c:majorGridlines/>
        <c:title>
          <c:tx>
            <c:rich>
              <a:bodyPr rot="-5400000" vert="horz"/>
              <a:lstStyle/>
              <a:p>
                <a:pPr>
                  <a:defRPr/>
                </a:pPr>
                <a:r>
                  <a:rPr lang="en-US" sz="1400" b="1" i="0" baseline="0"/>
                  <a:t>Levelelized Cost (Savings) per MTCDE Abated (2010$)</a:t>
                </a:r>
                <a:endParaRPr lang="en-US" sz="1400"/>
              </a:p>
            </c:rich>
          </c:tx>
        </c:title>
        <c:numFmt formatCode="&quot;$&quot;#,##0" sourceLinked="0"/>
        <c:tickLblPos val="nextTo"/>
        <c:crossAx val="286483968"/>
        <c:crosses val="autoZero"/>
        <c:crossBetween val="between"/>
      </c:valAx>
    </c:plotArea>
    <c:legend>
      <c:legendPos val="r"/>
      <c:layout>
        <c:manualLayout>
          <c:xMode val="edge"/>
          <c:yMode val="edge"/>
          <c:x val="0.66615775623975293"/>
          <c:y val="4.8930542139474377E-2"/>
          <c:w val="0.32506077307827935"/>
          <c:h val="0.88399744654458146"/>
        </c:manualLayout>
      </c:layout>
      <c:txPr>
        <a:bodyPr/>
        <a:lstStyle/>
        <a:p>
          <a:pPr>
            <a:defRPr sz="600"/>
          </a:pPr>
          <a:endParaRPr lang="en-US"/>
        </a:p>
      </c:txPr>
    </c:legend>
    <c:plotVisOnly val="1"/>
    <c:dispBlanksAs val="gap"/>
  </c:chart>
  <c:spPr>
    <a:ln>
      <a:noFill/>
    </a:ln>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areaChart>
        <c:grouping val="standard"/>
        <c:ser>
          <c:idx val="0"/>
          <c:order val="0"/>
          <c:tx>
            <c:strRef>
              <c:f>CurveData!$B$5</c:f>
              <c:strCache>
                <c:ptCount val="1"/>
                <c:pt idx="0">
                  <c:v>Space Planning &amp; Management</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CurveData!$B$6:$B$92</c:f>
              <c:numCache>
                <c:formatCode>0</c:formatCode>
                <c:ptCount val="69"/>
                <c:pt idx="0">
                  <c:v>-1076.846007063994</c:v>
                </c:pt>
                <c:pt idx="1">
                  <c:v>-1076.846007063994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
          <c:order val="1"/>
          <c:tx>
            <c:strRef>
              <c:f>CurveData!$C$5</c:f>
              <c:strCache>
                <c:ptCount val="1"/>
                <c:pt idx="0">
                  <c:v>Central Chiller Expansion</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CurveData!$C$6:$C$92</c:f>
              <c:numCache>
                <c:formatCode>0</c:formatCode>
                <c:ptCount val="69"/>
                <c:pt idx="0">
                  <c:v>0</c:v>
                </c:pt>
                <c:pt idx="1">
                  <c:v>0</c:v>
                </c:pt>
                <c:pt idx="2">
                  <c:v>0</c:v>
                </c:pt>
                <c:pt idx="3">
                  <c:v>-238.57707316254573</c:v>
                </c:pt>
                <c:pt idx="4">
                  <c:v>-238.57707316254573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
          <c:order val="2"/>
          <c:tx>
            <c:strRef>
              <c:f>CurveData!$D$5</c:f>
              <c:strCache>
                <c:ptCount val="1"/>
                <c:pt idx="0">
                  <c:v>Reduced Air Travel</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CurveData!$D$6:$D$92</c:f>
              <c:numCache>
                <c:formatCode>0</c:formatCode>
                <c:ptCount val="69"/>
                <c:pt idx="0">
                  <c:v>0</c:v>
                </c:pt>
                <c:pt idx="1">
                  <c:v>0</c:v>
                </c:pt>
                <c:pt idx="2">
                  <c:v>0</c:v>
                </c:pt>
                <c:pt idx="3">
                  <c:v>0</c:v>
                </c:pt>
                <c:pt idx="4">
                  <c:v>0</c:v>
                </c:pt>
                <c:pt idx="5">
                  <c:v>0</c:v>
                </c:pt>
                <c:pt idx="6">
                  <c:v>-220.06822112410663</c:v>
                </c:pt>
                <c:pt idx="7">
                  <c:v>-220.06822112410663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3"/>
          <c:order val="3"/>
          <c:tx>
            <c:strRef>
              <c:f>CurveData!$E$5</c:f>
              <c:strCache>
                <c:ptCount val="1"/>
                <c:pt idx="0">
                  <c:v>Green IT</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CurveData!$E$6:$E$92</c:f>
              <c:numCache>
                <c:formatCode>0</c:formatCode>
                <c:ptCount val="69"/>
                <c:pt idx="0">
                  <c:v>0</c:v>
                </c:pt>
                <c:pt idx="1">
                  <c:v>0</c:v>
                </c:pt>
                <c:pt idx="2">
                  <c:v>0</c:v>
                </c:pt>
                <c:pt idx="3">
                  <c:v>0</c:v>
                </c:pt>
                <c:pt idx="4">
                  <c:v>0</c:v>
                </c:pt>
                <c:pt idx="5">
                  <c:v>0</c:v>
                </c:pt>
                <c:pt idx="6">
                  <c:v>0</c:v>
                </c:pt>
                <c:pt idx="7">
                  <c:v>0</c:v>
                </c:pt>
                <c:pt idx="8">
                  <c:v>0</c:v>
                </c:pt>
                <c:pt idx="9">
                  <c:v>-125.45472871432995</c:v>
                </c:pt>
                <c:pt idx="10">
                  <c:v>-125.45472871432995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4"/>
          <c:order val="4"/>
          <c:tx>
            <c:strRef>
              <c:f>CurveData!$F$5</c:f>
              <c:strCache>
                <c:ptCount val="1"/>
                <c:pt idx="0">
                  <c:v>Short-term Energy Conservation Measures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CurveData!$F$6:$F$92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-115.74016509626473</c:v>
                </c:pt>
                <c:pt idx="13">
                  <c:v>-115.74016509626473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5"/>
          <c:order val="5"/>
          <c:tx>
            <c:strRef>
              <c:f>CurveData!$G$5</c:f>
              <c:strCache>
                <c:ptCount val="1"/>
                <c:pt idx="0">
                  <c:v>Behavior Change</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CurveData!$G$6:$G$92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-109.50809255997319</c:v>
                </c:pt>
                <c:pt idx="16">
                  <c:v>-109.50809255997319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6"/>
          <c:order val="6"/>
          <c:tx>
            <c:strRef>
              <c:f>CurveData!$H$5</c:f>
              <c:strCache>
                <c:ptCount val="1"/>
                <c:pt idx="0">
                  <c:v>Steam Line Improvements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CurveData!$H$6:$H$92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-97.677702400310238</c:v>
                </c:pt>
                <c:pt idx="19">
                  <c:v>-97.677702400310238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7"/>
          <c:order val="7"/>
          <c:tx>
            <c:strRef>
              <c:f>CurveData!$I$5</c:f>
              <c:strCache>
                <c:ptCount val="1"/>
                <c:pt idx="0">
                  <c:v>Mid-term Energy Conservation Measures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CurveData!$I$6:$I$92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-95.617893431330998</c:v>
                </c:pt>
                <c:pt idx="22">
                  <c:v>-95.617893431330998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8"/>
          <c:order val="8"/>
          <c:tx>
            <c:strRef>
              <c:f>CurveData!$J$5</c:f>
              <c:strCache>
                <c:ptCount val="1"/>
                <c:pt idx="0">
                  <c:v>Long-term Energy Conservation Measures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CurveData!$J$6:$J$92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-68.286883813284135</c:v>
                </c:pt>
                <c:pt idx="25">
                  <c:v>-68.286883813284135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9"/>
          <c:order val="9"/>
          <c:tx>
            <c:strRef>
              <c:f>CurveData!$K$5</c:f>
              <c:strCache>
                <c:ptCount val="1"/>
                <c:pt idx="0">
                  <c:v>Building Design &amp; Construction Standards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CurveData!$K$6:$K$92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-62.686548806655011</c:v>
                </c:pt>
                <c:pt idx="28">
                  <c:v>-62.686548806655011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0"/>
          <c:order val="10"/>
          <c:tx>
            <c:strRef>
              <c:f>CurveData!$L$5</c:f>
              <c:strCache>
                <c:ptCount val="1"/>
                <c:pt idx="0">
                  <c:v>Combined Heat &amp; Power</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CurveData!$L$6:$L$92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-31.807962579838971</c:v>
                </c:pt>
                <c:pt idx="31">
                  <c:v>-31.807962579838971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1"/>
          <c:order val="11"/>
          <c:tx>
            <c:strRef>
              <c:f>CurveData!$M$5</c:f>
              <c:strCache>
                <c:ptCount val="1"/>
                <c:pt idx="0">
                  <c:v>Waste Reduction</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CurveData!$M$6:$M$92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-17.097335758589974</c:v>
                </c:pt>
                <c:pt idx="34">
                  <c:v>-17.097335758589974</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2"/>
          <c:order val="12"/>
          <c:tx>
            <c:strRef>
              <c:f>CurveData!$N$5</c:f>
              <c:strCache>
                <c:ptCount val="1"/>
                <c:pt idx="0">
                  <c:v>Geo Exchange</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CurveData!$N$6:$N$92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2.6602481319010307</c:v>
                </c:pt>
                <c:pt idx="37">
                  <c:v>2.6602481319010307</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3"/>
          <c:order val="13"/>
          <c:tx>
            <c:strRef>
              <c:f>CurveData!$O$5</c:f>
              <c:strCache>
                <c:ptCount val="1"/>
                <c:pt idx="0">
                  <c:v>Solar DHW</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CurveData!$O$6:$O$92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6.1336299893506787</c:v>
                </c:pt>
                <c:pt idx="40">
                  <c:v>6.1336299893506787</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4"/>
          <c:order val="14"/>
          <c:tx>
            <c:strRef>
              <c:f>CurveData!$P$5</c:f>
              <c:strCache>
                <c:ptCount val="1"/>
                <c:pt idx="0">
                  <c:v>Green Power Purchase (MCCo Reserve Fund)</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CurveData!$P$6:$P$92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7.2056399874036217</c:v>
                </c:pt>
                <c:pt idx="43">
                  <c:v>7.2056399874036217</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5"/>
          <c:order val="15"/>
          <c:tx>
            <c:strRef>
              <c:f>CurveData!$Q$5</c:f>
              <c:strCache>
                <c:ptCount val="1"/>
                <c:pt idx="0">
                  <c:v>Coal to Natural Gas Conversion @ Steam Plant</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CurveData!$Q$6:$Q$92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17.959528154390838</c:v>
                </c:pt>
                <c:pt idx="46">
                  <c:v>17.959528154390838</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6"/>
          <c:order val="16"/>
          <c:tx>
            <c:strRef>
              <c:f>CurveData!$R$5</c:f>
              <c:strCache>
                <c:ptCount val="1"/>
                <c:pt idx="0">
                  <c:v>Unitary Chiller Upgrades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CurveData!$R$6:$R$92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33.389665773120427</c:v>
                </c:pt>
                <c:pt idx="49">
                  <c:v>33.389665773120427</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7"/>
          <c:order val="17"/>
          <c:tx>
            <c:strRef>
              <c:f>CurveData!$S$5</c:f>
              <c:strCache>
                <c:ptCount val="1"/>
                <c:pt idx="0">
                  <c:v>Green Power Purchase Opt 1 (Partial)</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CurveData!$S$6:$S$92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35.198540352427607</c:v>
                </c:pt>
                <c:pt idx="52">
                  <c:v>35.198540352427607</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8"/>
          <c:order val="18"/>
          <c:tx>
            <c:strRef>
              <c:f>CurveData!$T$5</c:f>
              <c:strCache>
                <c:ptCount val="1"/>
                <c:pt idx="0">
                  <c:v>On-site Wind</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CurveData!$T$6:$T$92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91.482591649640057</c:v>
                </c:pt>
                <c:pt idx="55">
                  <c:v>91.482591649640057</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19"/>
          <c:order val="19"/>
          <c:tx>
            <c:strRef>
              <c:f>CurveData!$U$5</c:f>
              <c:strCache>
                <c:ptCount val="1"/>
                <c:pt idx="0">
                  <c:v>Reduced Automobile Reliance Strategies</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CurveData!$U$6:$U$92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123.79174629217583</c:v>
                </c:pt>
                <c:pt idx="58">
                  <c:v>123.79174629217583</c:v>
                </c:pt>
                <c:pt idx="59">
                  <c:v>0</c:v>
                </c:pt>
                <c:pt idx="60">
                  <c:v>0</c:v>
                </c:pt>
                <c:pt idx="61">
                  <c:v>0</c:v>
                </c:pt>
                <c:pt idx="62">
                  <c:v>0</c:v>
                </c:pt>
                <c:pt idx="63">
                  <c:v>0</c:v>
                </c:pt>
                <c:pt idx="64">
                  <c:v>0</c:v>
                </c:pt>
                <c:pt idx="65">
                  <c:v>0</c:v>
                </c:pt>
                <c:pt idx="66">
                  <c:v>0</c:v>
                </c:pt>
                <c:pt idx="67">
                  <c:v>0</c:v>
                </c:pt>
                <c:pt idx="68">
                  <c:v>0</c:v>
                </c:pt>
              </c:numCache>
            </c:numRef>
          </c:val>
        </c:ser>
        <c:ser>
          <c:idx val="20"/>
          <c:order val="20"/>
          <c:tx>
            <c:strRef>
              <c:f>CurveData!$V$5</c:f>
              <c:strCache>
                <c:ptCount val="1"/>
                <c:pt idx="0">
                  <c:v>Rooftop Solar PV</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CurveData!$V$6:$V$92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426.62337235953368</c:v>
                </c:pt>
                <c:pt idx="61">
                  <c:v>426.62337235953368</c:v>
                </c:pt>
                <c:pt idx="62">
                  <c:v>0</c:v>
                </c:pt>
                <c:pt idx="63">
                  <c:v>0</c:v>
                </c:pt>
                <c:pt idx="64">
                  <c:v>0</c:v>
                </c:pt>
                <c:pt idx="65">
                  <c:v>0</c:v>
                </c:pt>
                <c:pt idx="66">
                  <c:v>0</c:v>
                </c:pt>
                <c:pt idx="67">
                  <c:v>0</c:v>
                </c:pt>
                <c:pt idx="68">
                  <c:v>0</c:v>
                </c:pt>
              </c:numCache>
            </c:numRef>
          </c:val>
        </c:ser>
        <c:ser>
          <c:idx val="21"/>
          <c:order val="21"/>
          <c:tx>
            <c:strRef>
              <c:f>CurveData!$W$5</c:f>
              <c:strCache>
                <c:ptCount val="1"/>
                <c:pt idx="0">
                  <c:v>Dish Stirling</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CurveData!$W$6:$W$92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679.0247248054161</c:v>
                </c:pt>
                <c:pt idx="64">
                  <c:v>679.0247248054161</c:v>
                </c:pt>
                <c:pt idx="65">
                  <c:v>0</c:v>
                </c:pt>
                <c:pt idx="66">
                  <c:v>0</c:v>
                </c:pt>
                <c:pt idx="67">
                  <c:v>0</c:v>
                </c:pt>
                <c:pt idx="68">
                  <c:v>0</c:v>
                </c:pt>
              </c:numCache>
            </c:numRef>
          </c:val>
        </c:ser>
        <c:ser>
          <c:idx val="22"/>
          <c:order val="22"/>
          <c:tx>
            <c:strRef>
              <c:f>CurveData!$X$5</c:f>
              <c:strCache>
                <c:ptCount val="1"/>
                <c:pt idx="0">
                  <c:v>Parabolic Trough</c:v>
                </c:pt>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CurveData!$X$6:$X$92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980.91361256231767</c:v>
                </c:pt>
                <c:pt idx="67">
                  <c:v>980.91361256231767</c:v>
                </c:pt>
                <c:pt idx="68">
                  <c:v>0</c:v>
                </c:pt>
              </c:numCache>
            </c:numRef>
          </c:val>
        </c:ser>
        <c:ser>
          <c:idx val="23"/>
          <c:order val="23"/>
          <c:tx>
            <c:strRef>
              <c:f>CurveData!$Y$5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CurveData!$Y$6:$Y$92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4"/>
          <c:order val="24"/>
          <c:tx>
            <c:strRef>
              <c:f>CurveData!$Z$5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CurveData!$Z$6:$Z$92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5"/>
          <c:order val="25"/>
          <c:tx>
            <c:strRef>
              <c:f>CurveData!$AA$5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CurveData!$AA$6:$AA$92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6"/>
          <c:order val="26"/>
          <c:tx>
            <c:strRef>
              <c:f>CurveData!$AB$5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CurveData!$AB$6:$AB$92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7"/>
          <c:order val="27"/>
          <c:tx>
            <c:strRef>
              <c:f>CurveData!$AC$5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CurveData!$AC$6:$AC$92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28"/>
          <c:order val="28"/>
          <c:tx>
            <c:strRef>
              <c:f>CurveData!$AD$5</c:f>
              <c:strCache>
                <c:ptCount val="1"/>
              </c:strCache>
            </c:strRef>
          </c:tx>
          <c:spPr>
            <a:ln>
              <a:solidFill>
                <a:sysClr val="windowText" lastClr="000000"/>
              </a:solidFill>
            </a:ln>
          </c:spPr>
          <c:cat>
            <c:numRef>
              <c:f>CurveData!$A$6:$A$92</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CurveData!$AD$6:$AD$92</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ser>
          <c:idx val="30"/>
          <c:order val="30"/>
          <c:tx>
            <c:strRef>
              <c:f>CurveData!$AE$5</c:f>
              <c:strCache>
                <c:ptCount val="1"/>
              </c:strCache>
            </c:strRef>
          </c:tx>
          <c:spPr>
            <a:ln>
              <a:solidFill>
                <a:sysClr val="windowText" lastClr="000000"/>
              </a:solidFill>
            </a:ln>
          </c:spPr>
          <c:cat>
            <c:numRef>
              <c:f>CurveData!$A$6:$A$95</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CurveData!$AE$6:$AE$95</c:f>
              <c:numCache>
                <c:formatCode>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ser>
        <c:axId val="287083520"/>
        <c:axId val="287090176"/>
      </c:areaChart>
      <c:lineChart>
        <c:grouping val="standard"/>
        <c:ser>
          <c:idx val="29"/>
          <c:order val="29"/>
          <c:tx>
            <c:strRef>
              <c:f>CurveData!$AF$5</c:f>
              <c:strCache>
                <c:ptCount val="1"/>
                <c:pt idx="0">
                  <c:v>Adjusted Levelized Cost (Savings) per MTCDE Avoided</c:v>
                </c:pt>
              </c:strCache>
            </c:strRef>
          </c:tx>
          <c:spPr>
            <a:ln>
              <a:solidFill>
                <a:sysClr val="windowText" lastClr="000000"/>
              </a:solidFill>
              <a:prstDash val="sysDash"/>
            </a:ln>
          </c:spPr>
          <c:marker>
            <c:symbol val="none"/>
          </c:marker>
          <c:cat>
            <c:numRef>
              <c:f>CurveData!$A$6:$A$95</c:f>
              <c:numCache>
                <c:formatCode>0</c:formatCode>
                <c:ptCount val="69"/>
                <c:pt idx="0" formatCode="General">
                  <c:v>0</c:v>
                </c:pt>
                <c:pt idx="1">
                  <c:v>43.298154826676765</c:v>
                </c:pt>
                <c:pt idx="2">
                  <c:v>43.298154826676765</c:v>
                </c:pt>
                <c:pt idx="3">
                  <c:v>43.298154826676765</c:v>
                </c:pt>
                <c:pt idx="4">
                  <c:v>48.220314972105946</c:v>
                </c:pt>
                <c:pt idx="5">
                  <c:v>48.220314972105946</c:v>
                </c:pt>
                <c:pt idx="6">
                  <c:v>48.220314972105946</c:v>
                </c:pt>
                <c:pt idx="7">
                  <c:v>49.028780774730144</c:v>
                </c:pt>
                <c:pt idx="8">
                  <c:v>49.028780774730144</c:v>
                </c:pt>
                <c:pt idx="9">
                  <c:v>49.028780774730144</c:v>
                </c:pt>
                <c:pt idx="10">
                  <c:v>54.44648048732823</c:v>
                </c:pt>
                <c:pt idx="11">
                  <c:v>54.44648048732823</c:v>
                </c:pt>
                <c:pt idx="12">
                  <c:v>54.44648048732823</c:v>
                </c:pt>
                <c:pt idx="13">
                  <c:v>67.153435077396921</c:v>
                </c:pt>
                <c:pt idx="14">
                  <c:v>67.153435077396921</c:v>
                </c:pt>
                <c:pt idx="15">
                  <c:v>67.153435077396921</c:v>
                </c:pt>
                <c:pt idx="16">
                  <c:v>70.579913100397206</c:v>
                </c:pt>
                <c:pt idx="17">
                  <c:v>70.579913100397206</c:v>
                </c:pt>
                <c:pt idx="18">
                  <c:v>70.579913100397206</c:v>
                </c:pt>
                <c:pt idx="19">
                  <c:v>74.388382642942844</c:v>
                </c:pt>
                <c:pt idx="20">
                  <c:v>74.388382642942844</c:v>
                </c:pt>
                <c:pt idx="21">
                  <c:v>74.388382642942844</c:v>
                </c:pt>
                <c:pt idx="22">
                  <c:v>84.540256043741579</c:v>
                </c:pt>
                <c:pt idx="23">
                  <c:v>84.540256043741579</c:v>
                </c:pt>
                <c:pt idx="24">
                  <c:v>84.540256043741579</c:v>
                </c:pt>
                <c:pt idx="25">
                  <c:v>90.073193508816544</c:v>
                </c:pt>
                <c:pt idx="26">
                  <c:v>90.073193508816544</c:v>
                </c:pt>
                <c:pt idx="27">
                  <c:v>90.073193508816544</c:v>
                </c:pt>
                <c:pt idx="28">
                  <c:v>103.45769233448128</c:v>
                </c:pt>
                <c:pt idx="29">
                  <c:v>103.45769233448128</c:v>
                </c:pt>
                <c:pt idx="30">
                  <c:v>103.45769233448128</c:v>
                </c:pt>
                <c:pt idx="31">
                  <c:v>167.1718771790114</c:v>
                </c:pt>
                <c:pt idx="32">
                  <c:v>167.1718771790114</c:v>
                </c:pt>
                <c:pt idx="33">
                  <c:v>167.1718771790114</c:v>
                </c:pt>
                <c:pt idx="34">
                  <c:v>167.37015518870214</c:v>
                </c:pt>
                <c:pt idx="35">
                  <c:v>167.37015518870214</c:v>
                </c:pt>
                <c:pt idx="36">
                  <c:v>167.37015518870214</c:v>
                </c:pt>
                <c:pt idx="37">
                  <c:v>168.69594028540277</c:v>
                </c:pt>
                <c:pt idx="38">
                  <c:v>168.69594028540277</c:v>
                </c:pt>
                <c:pt idx="39">
                  <c:v>168.69594028540277</c:v>
                </c:pt>
                <c:pt idx="40">
                  <c:v>168.73804665111203</c:v>
                </c:pt>
                <c:pt idx="41">
                  <c:v>168.73804665111203</c:v>
                </c:pt>
                <c:pt idx="42">
                  <c:v>168.73804665111203</c:v>
                </c:pt>
                <c:pt idx="43">
                  <c:v>175.97872332259288</c:v>
                </c:pt>
                <c:pt idx="44">
                  <c:v>175.97872332259288</c:v>
                </c:pt>
                <c:pt idx="45">
                  <c:v>175.97872332259288</c:v>
                </c:pt>
                <c:pt idx="46">
                  <c:v>197.56876177575398</c:v>
                </c:pt>
                <c:pt idx="47">
                  <c:v>197.56876177575398</c:v>
                </c:pt>
                <c:pt idx="48">
                  <c:v>197.56876177575398</c:v>
                </c:pt>
                <c:pt idx="49">
                  <c:v>199.7778975205882</c:v>
                </c:pt>
                <c:pt idx="50">
                  <c:v>199.7778975205882</c:v>
                </c:pt>
                <c:pt idx="51">
                  <c:v>199.7778975205882</c:v>
                </c:pt>
                <c:pt idx="52">
                  <c:v>235.29073377698677</c:v>
                </c:pt>
                <c:pt idx="53">
                  <c:v>235.29073377698677</c:v>
                </c:pt>
                <c:pt idx="54">
                  <c:v>235.29073377698677</c:v>
                </c:pt>
                <c:pt idx="55">
                  <c:v>235.41517075522918</c:v>
                </c:pt>
                <c:pt idx="56">
                  <c:v>235.41517075522918</c:v>
                </c:pt>
                <c:pt idx="57">
                  <c:v>235.41517075522918</c:v>
                </c:pt>
                <c:pt idx="58">
                  <c:v>236.79874305617744</c:v>
                </c:pt>
                <c:pt idx="59">
                  <c:v>236.79874305617744</c:v>
                </c:pt>
                <c:pt idx="60">
                  <c:v>236.79874305617744</c:v>
                </c:pt>
                <c:pt idx="61">
                  <c:v>237.29626946138228</c:v>
                </c:pt>
                <c:pt idx="62">
                  <c:v>237.29626946138228</c:v>
                </c:pt>
                <c:pt idx="63">
                  <c:v>237.29626946138228</c:v>
                </c:pt>
                <c:pt idx="64">
                  <c:v>237.76406346545653</c:v>
                </c:pt>
                <c:pt idx="65">
                  <c:v>237.76406346545653</c:v>
                </c:pt>
                <c:pt idx="66">
                  <c:v>237.76406346545653</c:v>
                </c:pt>
                <c:pt idx="67">
                  <c:v>238.22894151138405</c:v>
                </c:pt>
                <c:pt idx="68">
                  <c:v>238.22894151138405</c:v>
                </c:pt>
              </c:numCache>
            </c:numRef>
          </c:cat>
          <c:val>
            <c:numRef>
              <c:f>CurveData!$AF$6:$AF$95</c:f>
              <c:numCache>
                <c:formatCode>0.0</c:formatCode>
                <c:ptCount val="69"/>
                <c:pt idx="0">
                  <c:v>-1128.4783718743092</c:v>
                </c:pt>
                <c:pt idx="1">
                  <c:v>-1128.4783718743092</c:v>
                </c:pt>
                <c:pt idx="2">
                  <c:v>#N/A</c:v>
                </c:pt>
                <c:pt idx="3">
                  <c:v>-275.64890603375414</c:v>
                </c:pt>
                <c:pt idx="4">
                  <c:v>-275.64890603375414</c:v>
                </c:pt>
                <c:pt idx="5">
                  <c:v>#N/A</c:v>
                </c:pt>
                <c:pt idx="6">
                  <c:v>-254.18142929823298</c:v>
                </c:pt>
                <c:pt idx="7">
                  <c:v>-254.18142929823298</c:v>
                </c:pt>
                <c:pt idx="8">
                  <c:v>#N/A</c:v>
                </c:pt>
                <c:pt idx="9">
                  <c:v>-160.44127045849609</c:v>
                </c:pt>
                <c:pt idx="10">
                  <c:v>-160.44127045849609</c:v>
                </c:pt>
                <c:pt idx="11">
                  <c:v>#N/A</c:v>
                </c:pt>
                <c:pt idx="12">
                  <c:v>-150.64720887968093</c:v>
                </c:pt>
                <c:pt idx="13">
                  <c:v>-150.64720887968093</c:v>
                </c:pt>
                <c:pt idx="14">
                  <c:v>#N/A</c:v>
                </c:pt>
                <c:pt idx="15">
                  <c:v>-150.13509910940311</c:v>
                </c:pt>
                <c:pt idx="16">
                  <c:v>-150.13509910940311</c:v>
                </c:pt>
                <c:pt idx="17">
                  <c:v>#N/A</c:v>
                </c:pt>
                <c:pt idx="18">
                  <c:v>-133.70198211860105</c:v>
                </c:pt>
                <c:pt idx="19">
                  <c:v>-133.70198211860105</c:v>
                </c:pt>
                <c:pt idx="20">
                  <c:v>#N/A</c:v>
                </c:pt>
                <c:pt idx="21">
                  <c:v>-143.8430527163145</c:v>
                </c:pt>
                <c:pt idx="22">
                  <c:v>-143.8430527163145</c:v>
                </c:pt>
                <c:pt idx="23">
                  <c:v>#N/A</c:v>
                </c:pt>
                <c:pt idx="24">
                  <c:v>-136.14906242244243</c:v>
                </c:pt>
                <c:pt idx="25">
                  <c:v>-136.14906242244243</c:v>
                </c:pt>
                <c:pt idx="26">
                  <c:v>#N/A</c:v>
                </c:pt>
                <c:pt idx="27">
                  <c:v>-108.33339435312411</c:v>
                </c:pt>
                <c:pt idx="28">
                  <c:v>-108.33339435312411</c:v>
                </c:pt>
                <c:pt idx="29">
                  <c:v>#N/A</c:v>
                </c:pt>
                <c:pt idx="30">
                  <c:v>-73.486755247828725</c:v>
                </c:pt>
                <c:pt idx="31">
                  <c:v>-73.486755247828725</c:v>
                </c:pt>
                <c:pt idx="32">
                  <c:v>#N/A</c:v>
                </c:pt>
                <c:pt idx="33">
                  <c:v>-54.40091632071622</c:v>
                </c:pt>
                <c:pt idx="34">
                  <c:v>-54.40091632071622</c:v>
                </c:pt>
                <c:pt idx="35">
                  <c:v>#N/A</c:v>
                </c:pt>
                <c:pt idx="36">
                  <c:v>-34.570101158423299</c:v>
                </c:pt>
                <c:pt idx="37">
                  <c:v>-34.570101158423299</c:v>
                </c:pt>
                <c:pt idx="38">
                  <c:v>#N/A</c:v>
                </c:pt>
                <c:pt idx="39">
                  <c:v>-26.778720183058446</c:v>
                </c:pt>
                <c:pt idx="40">
                  <c:v>-26.778720183058446</c:v>
                </c:pt>
                <c:pt idx="41">
                  <c:v>#N/A</c:v>
                </c:pt>
                <c:pt idx="42">
                  <c:v>-37.076304746225581</c:v>
                </c:pt>
                <c:pt idx="43">
                  <c:v>-37.076304746225581</c:v>
                </c:pt>
                <c:pt idx="44">
                  <c:v>#N/A</c:v>
                </c:pt>
                <c:pt idx="45">
                  <c:v>-24.416256241023902</c:v>
                </c:pt>
                <c:pt idx="46">
                  <c:v>-24.416256241023902</c:v>
                </c:pt>
                <c:pt idx="47">
                  <c:v>#N/A</c:v>
                </c:pt>
                <c:pt idx="48">
                  <c:v>-1.1528467283680968</c:v>
                </c:pt>
                <c:pt idx="49">
                  <c:v>-1.1528467283680968</c:v>
                </c:pt>
                <c:pt idx="50">
                  <c:v>#N/A</c:v>
                </c:pt>
                <c:pt idx="51">
                  <c:v>4.2585168360537295</c:v>
                </c:pt>
                <c:pt idx="52">
                  <c:v>4.2585168360537295</c:v>
                </c:pt>
                <c:pt idx="53">
                  <c:v>#N/A</c:v>
                </c:pt>
                <c:pt idx="54">
                  <c:v>60.54256813326618</c:v>
                </c:pt>
                <c:pt idx="55">
                  <c:v>60.54256813326618</c:v>
                </c:pt>
                <c:pt idx="56">
                  <c:v>#N/A</c:v>
                </c:pt>
                <c:pt idx="57">
                  <c:v>123.79174629217583</c:v>
                </c:pt>
                <c:pt idx="58">
                  <c:v>123.79174629217583</c:v>
                </c:pt>
                <c:pt idx="59">
                  <c:v>#N/A</c:v>
                </c:pt>
                <c:pt idx="60">
                  <c:v>386.89308218614519</c:v>
                </c:pt>
                <c:pt idx="61">
                  <c:v>386.89308218614519</c:v>
                </c:pt>
                <c:pt idx="62">
                  <c:v>#N/A</c:v>
                </c:pt>
                <c:pt idx="63">
                  <c:v>631.32373065869183</c:v>
                </c:pt>
                <c:pt idx="64">
                  <c:v>631.32373065869183</c:v>
                </c:pt>
                <c:pt idx="65">
                  <c:v>#N/A</c:v>
                </c:pt>
                <c:pt idx="66">
                  <c:v>930.99450593519691</c:v>
                </c:pt>
                <c:pt idx="67">
                  <c:v>930.99450593519691</c:v>
                </c:pt>
                <c:pt idx="68">
                  <c:v>#N/A</c:v>
                </c:pt>
              </c:numCache>
            </c:numRef>
          </c:val>
        </c:ser>
        <c:marker val="1"/>
        <c:axId val="287083520"/>
        <c:axId val="287090176"/>
      </c:lineChart>
      <c:scatterChart>
        <c:scatterStyle val="lineMarker"/>
        <c:ser>
          <c:idx val="31"/>
          <c:order val="31"/>
          <c:tx>
            <c:strRef>
              <c:f>CurveData!$AO$2</c:f>
              <c:strCache>
                <c:ptCount val="1"/>
                <c:pt idx="0">
                  <c:v>Labels</c:v>
                </c:pt>
              </c:strCache>
            </c:strRef>
          </c:tx>
          <c:spPr>
            <a:ln w="28575">
              <a:noFill/>
            </a:ln>
          </c:spPr>
          <c:marker>
            <c:symbol val="picture"/>
            <c:spPr>
              <a:blipFill>
                <a:blip xmlns:r="http://schemas.openxmlformats.org/officeDocument/2006/relationships" r:embed="rId1"/>
                <a:stretch>
                  <a:fillRect/>
                </a:stretch>
              </a:blipFill>
              <a:ln w="9525">
                <a:noFill/>
              </a:ln>
            </c:spPr>
          </c:marker>
          <c:xVal>
            <c:numRef>
              <c:f>CurveData!$AO$5:$BR$5</c:f>
              <c:numCache>
                <c:formatCode>#,##0</c:formatCode>
                <c:ptCount val="30"/>
                <c:pt idx="0">
                  <c:v>21.649077413338382</c:v>
                </c:pt>
                <c:pt idx="1">
                  <c:v>45.759234899391352</c:v>
                </c:pt>
                <c:pt idx="2">
                  <c:v>0</c:v>
                </c:pt>
                <c:pt idx="3">
                  <c:v>0</c:v>
                </c:pt>
                <c:pt idx="4">
                  <c:v>0</c:v>
                </c:pt>
                <c:pt idx="5">
                  <c:v>0</c:v>
                </c:pt>
                <c:pt idx="6">
                  <c:v>0</c:v>
                </c:pt>
                <c:pt idx="7">
                  <c:v>0</c:v>
                </c:pt>
                <c:pt idx="8">
                  <c:v>0</c:v>
                </c:pt>
                <c:pt idx="9">
                  <c:v>0</c:v>
                </c:pt>
                <c:pt idx="10">
                  <c:v>135.31478475674635</c:v>
                </c:pt>
                <c:pt idx="11">
                  <c:v>0</c:v>
                </c:pt>
                <c:pt idx="12">
                  <c:v>0</c:v>
                </c:pt>
                <c:pt idx="13">
                  <c:v>0</c:v>
                </c:pt>
                <c:pt idx="14">
                  <c:v>172.35838498685243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xVal>
          <c:yVal>
            <c:numRef>
              <c:f>CurveData!$AO$6:$BR$6</c:f>
              <c:numCache>
                <c:formatCode>#,##0</c:formatCode>
                <c:ptCount val="30"/>
                <c:pt idx="0">
                  <c:v>10</c:v>
                </c:pt>
                <c:pt idx="1">
                  <c:v>10</c:v>
                </c:pt>
                <c:pt idx="2">
                  <c:v>-400</c:v>
                </c:pt>
                <c:pt idx="3">
                  <c:v>-400</c:v>
                </c:pt>
                <c:pt idx="4">
                  <c:v>-400</c:v>
                </c:pt>
                <c:pt idx="5">
                  <c:v>-400</c:v>
                </c:pt>
                <c:pt idx="6">
                  <c:v>-400</c:v>
                </c:pt>
                <c:pt idx="7">
                  <c:v>-400</c:v>
                </c:pt>
                <c:pt idx="8">
                  <c:v>-400</c:v>
                </c:pt>
                <c:pt idx="9">
                  <c:v>-400</c:v>
                </c:pt>
                <c:pt idx="10">
                  <c:v>10</c:v>
                </c:pt>
                <c:pt idx="11">
                  <c:v>-400</c:v>
                </c:pt>
                <c:pt idx="12">
                  <c:v>-400</c:v>
                </c:pt>
                <c:pt idx="13">
                  <c:v>-400</c:v>
                </c:pt>
                <c:pt idx="14">
                  <c:v>10</c:v>
                </c:pt>
                <c:pt idx="15">
                  <c:v>-400</c:v>
                </c:pt>
                <c:pt idx="16">
                  <c:v>-400</c:v>
                </c:pt>
                <c:pt idx="17">
                  <c:v>-400</c:v>
                </c:pt>
                <c:pt idx="18">
                  <c:v>-400</c:v>
                </c:pt>
                <c:pt idx="19">
                  <c:v>-400</c:v>
                </c:pt>
                <c:pt idx="20">
                  <c:v>-400</c:v>
                </c:pt>
                <c:pt idx="21">
                  <c:v>-400</c:v>
                </c:pt>
                <c:pt idx="22">
                  <c:v>-400</c:v>
                </c:pt>
                <c:pt idx="23">
                  <c:v>-400</c:v>
                </c:pt>
                <c:pt idx="24">
                  <c:v>-400</c:v>
                </c:pt>
                <c:pt idx="25">
                  <c:v>-400</c:v>
                </c:pt>
                <c:pt idx="26">
                  <c:v>-400</c:v>
                </c:pt>
                <c:pt idx="27">
                  <c:v>-400</c:v>
                </c:pt>
                <c:pt idx="28">
                  <c:v>-400</c:v>
                </c:pt>
                <c:pt idx="29">
                  <c:v>-400</c:v>
                </c:pt>
              </c:numCache>
            </c:numRef>
          </c:yVal>
        </c:ser>
        <c:axId val="287083520"/>
        <c:axId val="287090176"/>
      </c:scatterChart>
      <c:dateAx>
        <c:axId val="287083520"/>
        <c:scaling>
          <c:orientation val="minMax"/>
        </c:scaling>
        <c:axPos val="b"/>
        <c:majorGridlines/>
        <c:title>
          <c:tx>
            <c:rich>
              <a:bodyPr/>
              <a:lstStyle/>
              <a:p>
                <a:pPr>
                  <a:defRPr/>
                </a:pPr>
                <a:r>
                  <a:rPr lang="en-US" sz="1600"/>
                  <a:t>Relative Average Contribution Toward Neutrality Through 2050</a:t>
                </a:r>
                <a:r>
                  <a:rPr lang="en-US" sz="1600" baseline="0"/>
                  <a:t> (MTCDE)</a:t>
                </a:r>
                <a:endParaRPr lang="en-US" sz="1600"/>
              </a:p>
            </c:rich>
          </c:tx>
        </c:title>
        <c:numFmt formatCode="General" sourceLinked="1"/>
        <c:majorTickMark val="none"/>
        <c:tickLblPos val="none"/>
        <c:crossAx val="287090176"/>
        <c:crosses val="autoZero"/>
        <c:lblOffset val="100"/>
        <c:baseTimeUnit val="days"/>
        <c:majorUnit val="10"/>
        <c:majorTimeUnit val="days"/>
      </c:dateAx>
      <c:valAx>
        <c:axId val="287090176"/>
        <c:scaling>
          <c:orientation val="minMax"/>
          <c:max val="150"/>
          <c:min val="-150"/>
        </c:scaling>
        <c:axPos val="l"/>
        <c:majorGridlines/>
        <c:title>
          <c:tx>
            <c:rich>
              <a:bodyPr rot="-5400000" vert="horz"/>
              <a:lstStyle/>
              <a:p>
                <a:pPr>
                  <a:defRPr/>
                </a:pPr>
                <a:r>
                  <a:rPr lang="en-US" sz="1400" b="1" i="0" baseline="0"/>
                  <a:t>Levelelized Cost (Savings) per MTCDE Abated (2010$)</a:t>
                </a:r>
                <a:endParaRPr lang="en-US" sz="1400"/>
              </a:p>
            </c:rich>
          </c:tx>
        </c:title>
        <c:numFmt formatCode="&quot;$&quot;#,##0" sourceLinked="0"/>
        <c:tickLblPos val="nextTo"/>
        <c:crossAx val="287083520"/>
        <c:crosses val="autoZero"/>
        <c:crossBetween val="between"/>
      </c:valAx>
    </c:plotArea>
    <c:plotVisOnly val="1"/>
    <c:dispBlanksAs val="gap"/>
  </c:chart>
  <c:spPr>
    <a:ln>
      <a:noFill/>
    </a:ln>
  </c:spPr>
  <c:printSettings>
    <c:headerFooter/>
    <c:pageMargins b="0.75000000000001465" l="0.70000000000000062" r="0.70000000000000062" t="0.75000000000001465" header="0.30000000000000032" footer="0.30000000000000032"/>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lang val="en-US"/>
  <c:chart>
    <c:plotArea>
      <c:layout/>
      <c:areaChart>
        <c:grouping val="stacked"/>
        <c:ser>
          <c:idx val="3"/>
          <c:order val="2"/>
          <c:tx>
            <c:strRef>
              <c:f>PortfolioDashboard!$AD$3</c:f>
              <c:strCache>
                <c:ptCount val="1"/>
                <c:pt idx="0">
                  <c:v>BAU Less Portfolio</c:v>
                </c:pt>
              </c:strCache>
            </c:strRef>
          </c:tx>
          <c:spPr>
            <a:solidFill>
              <a:schemeClr val="bg1">
                <a:lumMod val="75000"/>
              </a:schemeClr>
            </a:solidFill>
            <a:ln w="9525">
              <a:solidFill>
                <a:schemeClr val="tx1"/>
              </a:solidFill>
            </a:ln>
          </c:spPr>
          <c:dLbls>
            <c:dLbl>
              <c:idx val="0"/>
              <c:layout>
                <c:manualLayout>
                  <c:x val="-0.33290653008963828"/>
                  <c:y val="6.5439686851348447E-2"/>
                </c:manualLayout>
              </c:layout>
              <c:showSerName val="1"/>
            </c:dLbl>
            <c:showSerName val="1"/>
          </c:dLbls>
          <c:val>
            <c:numRef>
              <c:f>PortfolioDashboard!$AD$9:$AD$49</c:f>
              <c:numCache>
                <c:formatCode>#,##0</c:formatCode>
                <c:ptCount val="41"/>
                <c:pt idx="0">
                  <c:v>264359.96142904804</c:v>
                </c:pt>
                <c:pt idx="1">
                  <c:v>259712.20285585424</c:v>
                </c:pt>
                <c:pt idx="2">
                  <c:v>252130.48632544713</c:v>
                </c:pt>
                <c:pt idx="3">
                  <c:v>246393.6283504258</c:v>
                </c:pt>
                <c:pt idx="4">
                  <c:v>239734.34109771159</c:v>
                </c:pt>
                <c:pt idx="5">
                  <c:v>218654.71987025294</c:v>
                </c:pt>
                <c:pt idx="6">
                  <c:v>215620.92562340829</c:v>
                </c:pt>
                <c:pt idx="7">
                  <c:v>213519.63446284452</c:v>
                </c:pt>
                <c:pt idx="8">
                  <c:v>211504.61200159031</c:v>
                </c:pt>
                <c:pt idx="9">
                  <c:v>206437.9048341405</c:v>
                </c:pt>
                <c:pt idx="10">
                  <c:v>199778.61758142628</c:v>
                </c:pt>
                <c:pt idx="11">
                  <c:v>193119.33032871207</c:v>
                </c:pt>
                <c:pt idx="12">
                  <c:v>186460.04307599785</c:v>
                </c:pt>
                <c:pt idx="13">
                  <c:v>179800.75582328366</c:v>
                </c:pt>
                <c:pt idx="14">
                  <c:v>173141.46857056941</c:v>
                </c:pt>
                <c:pt idx="15">
                  <c:v>166482.1813178552</c:v>
                </c:pt>
                <c:pt idx="16">
                  <c:v>159822.89406514104</c:v>
                </c:pt>
                <c:pt idx="17">
                  <c:v>153163.60681242682</c:v>
                </c:pt>
                <c:pt idx="18">
                  <c:v>146504.31955971252</c:v>
                </c:pt>
                <c:pt idx="19">
                  <c:v>139845.03230699836</c:v>
                </c:pt>
                <c:pt idx="20">
                  <c:v>133185.74505428411</c:v>
                </c:pt>
                <c:pt idx="21">
                  <c:v>126526.45780156989</c:v>
                </c:pt>
                <c:pt idx="22">
                  <c:v>119867.17054885568</c:v>
                </c:pt>
                <c:pt idx="23">
                  <c:v>113207.88329614143</c:v>
                </c:pt>
                <c:pt idx="24">
                  <c:v>106548.59604342721</c:v>
                </c:pt>
                <c:pt idx="25">
                  <c:v>99889.308790712996</c:v>
                </c:pt>
                <c:pt idx="26">
                  <c:v>93230.021537998808</c:v>
                </c:pt>
                <c:pt idx="27">
                  <c:v>86570.73428528459</c:v>
                </c:pt>
                <c:pt idx="28">
                  <c:v>79911.447032570373</c:v>
                </c:pt>
                <c:pt idx="29">
                  <c:v>73252.159779856214</c:v>
                </c:pt>
                <c:pt idx="30">
                  <c:v>66592.872527141939</c:v>
                </c:pt>
                <c:pt idx="31">
                  <c:v>59933.58527442778</c:v>
                </c:pt>
                <c:pt idx="32">
                  <c:v>53274.298021713621</c:v>
                </c:pt>
                <c:pt idx="33">
                  <c:v>46615.010768999346</c:v>
                </c:pt>
                <c:pt idx="34">
                  <c:v>39955.723516285128</c:v>
                </c:pt>
                <c:pt idx="35">
                  <c:v>33296.436263570853</c:v>
                </c:pt>
                <c:pt idx="36">
                  <c:v>26637.149010856752</c:v>
                </c:pt>
                <c:pt idx="37">
                  <c:v>19977.861758142477</c:v>
                </c:pt>
                <c:pt idx="38">
                  <c:v>13318.574505428318</c:v>
                </c:pt>
                <c:pt idx="39">
                  <c:v>6659.287252714159</c:v>
                </c:pt>
                <c:pt idx="40">
                  <c:v>0</c:v>
                </c:pt>
              </c:numCache>
            </c:numRef>
          </c:val>
        </c:ser>
        <c:ser>
          <c:idx val="4"/>
          <c:order val="3"/>
          <c:tx>
            <c:strRef>
              <c:f>PortfolioDashboard!$AE$3</c:f>
              <c:strCache>
                <c:ptCount val="1"/>
                <c:pt idx="0">
                  <c:v>Offsets or Other Abatement Required for Neutrality</c:v>
                </c:pt>
              </c:strCache>
            </c:strRef>
          </c:tx>
          <c:spPr>
            <a:solidFill>
              <a:schemeClr val="bg1">
                <a:lumMod val="50000"/>
              </a:schemeClr>
            </a:solidFill>
            <a:ln>
              <a:solidFill>
                <a:schemeClr val="tx1"/>
              </a:solidFill>
            </a:ln>
          </c:spPr>
          <c:dLbls>
            <c:dLbl>
              <c:idx val="0"/>
              <c:layout>
                <c:manualLayout>
                  <c:x val="0.29705505761843776"/>
                  <c:y val="7.9604755287941961E-2"/>
                </c:manualLayout>
              </c:layout>
              <c:showSerName val="1"/>
            </c:dLbl>
            <c:showSerName val="1"/>
          </c:dLbls>
          <c:val>
            <c:numRef>
              <c:f>PortfolioDashboard!$AE$9:$AE$49</c:f>
              <c:numCache>
                <c:formatCode>#,##0</c:formatCode>
                <c:ptCount val="41"/>
                <c:pt idx="0">
                  <c:v>0</c:v>
                </c:pt>
                <c:pt idx="1">
                  <c:v>1350.5557363123808</c:v>
                </c:pt>
                <c:pt idx="2">
                  <c:v>0</c:v>
                </c:pt>
                <c:pt idx="3">
                  <c:v>406.49943653674563</c:v>
                </c:pt>
                <c:pt idx="4">
                  <c:v>361.31646908793482</c:v>
                </c:pt>
                <c:pt idx="5">
                  <c:v>0</c:v>
                </c:pt>
                <c:pt idx="6">
                  <c:v>0</c:v>
                </c:pt>
                <c:pt idx="7">
                  <c:v>0</c:v>
                </c:pt>
                <c:pt idx="8">
                  <c:v>0</c:v>
                </c:pt>
                <c:pt idx="9">
                  <c:v>3053.4732802440121</c:v>
                </c:pt>
                <c:pt idx="10">
                  <c:v>7701.8766387166106</c:v>
                </c:pt>
                <c:pt idx="11">
                  <c:v>12353.075613676803</c:v>
                </c:pt>
                <c:pt idx="12">
                  <c:v>17173.373915544042</c:v>
                </c:pt>
                <c:pt idx="13">
                  <c:v>22315.242118714785</c:v>
                </c:pt>
                <c:pt idx="14">
                  <c:v>28070.428458774579</c:v>
                </c:pt>
                <c:pt idx="15">
                  <c:v>33823.141282971716</c:v>
                </c:pt>
                <c:pt idx="16">
                  <c:v>39573.553553784615</c:v>
                </c:pt>
                <c:pt idx="17">
                  <c:v>45321.815954455407</c:v>
                </c:pt>
                <c:pt idx="18">
                  <c:v>51068.061014752137</c:v>
                </c:pt>
                <c:pt idx="19">
                  <c:v>56812.406280447613</c:v>
                </c:pt>
                <c:pt idx="20">
                  <c:v>62554.956785905961</c:v>
                </c:pt>
                <c:pt idx="21">
                  <c:v>68346.459678382729</c:v>
                </c:pt>
                <c:pt idx="22">
                  <c:v>74136.347778393538</c:v>
                </c:pt>
                <c:pt idx="23">
                  <c:v>79924.698854030255</c:v>
                </c:pt>
                <c:pt idx="24">
                  <c:v>86710.347531049047</c:v>
                </c:pt>
                <c:pt idx="25">
                  <c:v>93494.595528069534</c:v>
                </c:pt>
                <c:pt idx="26">
                  <c:v>100277.50299308344</c:v>
                </c:pt>
                <c:pt idx="27">
                  <c:v>107059.12556265545</c:v>
                </c:pt>
                <c:pt idx="28">
                  <c:v>113839.51486949017</c:v>
                </c:pt>
                <c:pt idx="29">
                  <c:v>120618.71897480695</c:v>
                </c:pt>
                <c:pt idx="30">
                  <c:v>127396.78273901282</c:v>
                </c:pt>
                <c:pt idx="31">
                  <c:v>134173.74814137118</c:v>
                </c:pt>
                <c:pt idx="32">
                  <c:v>140949.65455721668</c:v>
                </c:pt>
                <c:pt idx="33">
                  <c:v>147724.53899960849</c:v>
                </c:pt>
                <c:pt idx="34">
                  <c:v>154498.43633100981</c:v>
                </c:pt>
                <c:pt idx="35">
                  <c:v>161271.37944956432</c:v>
                </c:pt>
                <c:pt idx="36">
                  <c:v>168043.39945372561</c:v>
                </c:pt>
                <c:pt idx="37">
                  <c:v>174814.52578834485</c:v>
                </c:pt>
                <c:pt idx="38">
                  <c:v>181584.78637480558</c:v>
                </c:pt>
                <c:pt idx="39">
                  <c:v>188354.20772736421</c:v>
                </c:pt>
                <c:pt idx="40">
                  <c:v>195122.81505751694</c:v>
                </c:pt>
              </c:numCache>
            </c:numRef>
          </c:val>
        </c:ser>
        <c:ser>
          <c:idx val="5"/>
          <c:order val="4"/>
          <c:tx>
            <c:strRef>
              <c:f>PortfolioDashboard!$AF$3</c:f>
              <c:strCache>
                <c:ptCount val="1"/>
                <c:pt idx="0">
                  <c:v>0</c:v>
                </c:pt>
              </c:strCache>
            </c:strRef>
          </c:tx>
          <c:spPr>
            <a:ln>
              <a:solidFill>
                <a:schemeClr val="tx1"/>
              </a:solidFill>
            </a:ln>
          </c:spPr>
          <c:val>
            <c:numRef>
              <c:f>PortfolioDashboard!$AF$9:$AF$49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6"/>
          <c:order val="5"/>
          <c:tx>
            <c:strRef>
              <c:f>PortfolioDashboard!$AG$3</c:f>
              <c:strCache>
                <c:ptCount val="1"/>
                <c:pt idx="0">
                  <c:v>0</c:v>
                </c:pt>
              </c:strCache>
            </c:strRef>
          </c:tx>
          <c:spPr>
            <a:ln>
              <a:solidFill>
                <a:schemeClr val="tx1"/>
              </a:solidFill>
            </a:ln>
          </c:spPr>
          <c:val>
            <c:numRef>
              <c:f>PortfolioDashboard!$AG$9:$AG$49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7"/>
          <c:order val="6"/>
          <c:tx>
            <c:strRef>
              <c:f>PortfolioDashboard!$AH$3</c:f>
              <c:strCache>
                <c:ptCount val="1"/>
                <c:pt idx="0">
                  <c:v>0</c:v>
                </c:pt>
              </c:strCache>
            </c:strRef>
          </c:tx>
          <c:spPr>
            <a:ln>
              <a:solidFill>
                <a:schemeClr val="tx1"/>
              </a:solidFill>
            </a:ln>
          </c:spPr>
          <c:val>
            <c:numRef>
              <c:f>PortfolioDashboard!$AH$9:$AH$49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8"/>
          <c:order val="7"/>
          <c:tx>
            <c:strRef>
              <c:f>PortfolioDashboard!$AI$3</c:f>
              <c:strCache>
                <c:ptCount val="1"/>
                <c:pt idx="0">
                  <c:v>0</c:v>
                </c:pt>
              </c:strCache>
            </c:strRef>
          </c:tx>
          <c:spPr>
            <a:ln>
              <a:solidFill>
                <a:schemeClr val="tx1"/>
              </a:solidFill>
            </a:ln>
          </c:spPr>
          <c:val>
            <c:numRef>
              <c:f>PortfolioDashboard!$AI$9:$AI$49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9"/>
          <c:order val="8"/>
          <c:tx>
            <c:strRef>
              <c:f>PortfolioDashboard!$AJ$3</c:f>
              <c:strCache>
                <c:ptCount val="1"/>
                <c:pt idx="0">
                  <c:v>0</c:v>
                </c:pt>
              </c:strCache>
            </c:strRef>
          </c:tx>
          <c:spPr>
            <a:ln>
              <a:solidFill>
                <a:schemeClr val="tx1"/>
              </a:solidFill>
            </a:ln>
          </c:spPr>
          <c:val>
            <c:numRef>
              <c:f>PortfolioDashboard!$AJ$9:$AJ$49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0"/>
          <c:order val="9"/>
          <c:tx>
            <c:strRef>
              <c:f>PortfolioDashboard!$AK$3</c:f>
              <c:strCache>
                <c:ptCount val="1"/>
                <c:pt idx="0">
                  <c:v>0</c:v>
                </c:pt>
              </c:strCache>
            </c:strRef>
          </c:tx>
          <c:spPr>
            <a:ln>
              <a:solidFill>
                <a:schemeClr val="tx1"/>
              </a:solidFill>
            </a:ln>
          </c:spPr>
          <c:val>
            <c:numRef>
              <c:f>PortfolioDashboard!$AK$9:$AK$49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1"/>
          <c:order val="10"/>
          <c:tx>
            <c:strRef>
              <c:f>PortfolioDashboard!$AL$3</c:f>
              <c:strCache>
                <c:ptCount val="1"/>
                <c:pt idx="0">
                  <c:v>0</c:v>
                </c:pt>
              </c:strCache>
            </c:strRef>
          </c:tx>
          <c:spPr>
            <a:ln>
              <a:solidFill>
                <a:schemeClr val="tx1"/>
              </a:solidFill>
            </a:ln>
          </c:spPr>
          <c:val>
            <c:numRef>
              <c:f>PortfolioDashboard!$AL$9:$AL$49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2"/>
          <c:order val="11"/>
          <c:tx>
            <c:strRef>
              <c:f>PortfolioDashboard!$AM$3</c:f>
              <c:strCache>
                <c:ptCount val="1"/>
                <c:pt idx="0">
                  <c:v>0</c:v>
                </c:pt>
              </c:strCache>
            </c:strRef>
          </c:tx>
          <c:spPr>
            <a:ln>
              <a:solidFill>
                <a:schemeClr val="tx1"/>
              </a:solidFill>
            </a:ln>
          </c:spPr>
          <c:val>
            <c:numRef>
              <c:f>PortfolioDashboard!$AM$9:$AM$49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3"/>
          <c:order val="12"/>
          <c:tx>
            <c:strRef>
              <c:f>PortfolioDashboard!$AN$3</c:f>
              <c:strCache>
                <c:ptCount val="1"/>
                <c:pt idx="0">
                  <c:v>0</c:v>
                </c:pt>
              </c:strCache>
            </c:strRef>
          </c:tx>
          <c:spPr>
            <a:ln>
              <a:solidFill>
                <a:schemeClr val="tx1"/>
              </a:solidFill>
            </a:ln>
          </c:spPr>
          <c:val>
            <c:numRef>
              <c:f>PortfolioDashboard!$AN$9:$AN$49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4"/>
          <c:order val="13"/>
          <c:tx>
            <c:strRef>
              <c:f>PortfolioDashboard!$AO$3</c:f>
              <c:strCache>
                <c:ptCount val="1"/>
                <c:pt idx="0">
                  <c:v>0</c:v>
                </c:pt>
              </c:strCache>
            </c:strRef>
          </c:tx>
          <c:spPr>
            <a:ln>
              <a:solidFill>
                <a:schemeClr val="tx1"/>
              </a:solidFill>
            </a:ln>
          </c:spPr>
          <c:val>
            <c:numRef>
              <c:f>PortfolioDashboard!$AO$9:$AO$49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5"/>
          <c:order val="14"/>
          <c:tx>
            <c:strRef>
              <c:f>PortfolioDashboard!$AP$3</c:f>
              <c:strCache>
                <c:ptCount val="1"/>
                <c:pt idx="0">
                  <c:v>0</c:v>
                </c:pt>
              </c:strCache>
            </c:strRef>
          </c:tx>
          <c:spPr>
            <a:ln>
              <a:solidFill>
                <a:schemeClr val="tx1"/>
              </a:solidFill>
            </a:ln>
          </c:spPr>
          <c:val>
            <c:numRef>
              <c:f>PortfolioDashboard!$AP$9:$AP$49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6"/>
          <c:order val="15"/>
          <c:tx>
            <c:strRef>
              <c:f>PortfolioDashboard!$AQ$3</c:f>
              <c:strCache>
                <c:ptCount val="1"/>
                <c:pt idx="0">
                  <c:v>0</c:v>
                </c:pt>
              </c:strCache>
            </c:strRef>
          </c:tx>
          <c:spPr>
            <a:ln>
              <a:solidFill>
                <a:schemeClr val="tx1"/>
              </a:solidFill>
            </a:ln>
          </c:spPr>
          <c:val>
            <c:numRef>
              <c:f>PortfolioDashboard!$AQ$9:$AQ$49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7"/>
          <c:order val="16"/>
          <c:tx>
            <c:strRef>
              <c:f>PortfolioDashboard!$AR$3</c:f>
              <c:strCache>
                <c:ptCount val="1"/>
                <c:pt idx="0">
                  <c:v>0</c:v>
                </c:pt>
              </c:strCache>
            </c:strRef>
          </c:tx>
          <c:spPr>
            <a:ln>
              <a:solidFill>
                <a:schemeClr val="tx1"/>
              </a:solidFill>
            </a:ln>
          </c:spPr>
          <c:val>
            <c:numRef>
              <c:f>PortfolioDashboard!$AR$9:$AR$49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8"/>
          <c:order val="17"/>
          <c:tx>
            <c:strRef>
              <c:f>PortfolioDashboard!$AS$3</c:f>
              <c:strCache>
                <c:ptCount val="1"/>
                <c:pt idx="0">
                  <c:v>0</c:v>
                </c:pt>
              </c:strCache>
            </c:strRef>
          </c:tx>
          <c:spPr>
            <a:ln>
              <a:solidFill>
                <a:schemeClr val="tx1"/>
              </a:solidFill>
            </a:ln>
          </c:spPr>
          <c:val>
            <c:numRef>
              <c:f>PortfolioDashboard!$AS$9:$AS$49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19"/>
          <c:order val="18"/>
          <c:tx>
            <c:strRef>
              <c:f>PortfolioDashboard!$AT$3</c:f>
              <c:strCache>
                <c:ptCount val="1"/>
                <c:pt idx="0">
                  <c:v>0</c:v>
                </c:pt>
              </c:strCache>
            </c:strRef>
          </c:tx>
          <c:spPr>
            <a:ln>
              <a:solidFill>
                <a:schemeClr val="tx1"/>
              </a:solidFill>
            </a:ln>
          </c:spPr>
          <c:val>
            <c:numRef>
              <c:f>PortfolioDashboard!$AT$9:$AT$49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20"/>
          <c:order val="19"/>
          <c:tx>
            <c:strRef>
              <c:f>PortfolioDashboard!$AU$3</c:f>
              <c:strCache>
                <c:ptCount val="1"/>
                <c:pt idx="0">
                  <c:v>0</c:v>
                </c:pt>
              </c:strCache>
            </c:strRef>
          </c:tx>
          <c:spPr>
            <a:ln>
              <a:solidFill>
                <a:schemeClr val="tx1"/>
              </a:solidFill>
            </a:ln>
          </c:spPr>
          <c:val>
            <c:numRef>
              <c:f>PortfolioDashboard!$AU$9:$AU$49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21"/>
          <c:order val="20"/>
          <c:tx>
            <c:strRef>
              <c:f>PortfolioDashboard!$AV$3</c:f>
              <c:strCache>
                <c:ptCount val="1"/>
                <c:pt idx="0">
                  <c:v>Rooftop Solar PV</c:v>
                </c:pt>
              </c:strCache>
            </c:strRef>
          </c:tx>
          <c:spPr>
            <a:ln>
              <a:solidFill>
                <a:schemeClr val="tx1"/>
              </a:solidFill>
            </a:ln>
          </c:spPr>
          <c:val>
            <c:numRef>
              <c:f>PortfolioDashboard!$AV$9:$AV$49</c:f>
              <c:numCache>
                <c:formatCode>#,##0</c:formatCode>
                <c:ptCount val="41"/>
                <c:pt idx="0">
                  <c:v>0</c:v>
                </c:pt>
                <c:pt idx="1">
                  <c:v>0</c:v>
                </c:pt>
                <c:pt idx="2">
                  <c:v>0</c:v>
                </c:pt>
                <c:pt idx="3">
                  <c:v>0</c:v>
                </c:pt>
                <c:pt idx="4">
                  <c:v>0</c:v>
                </c:pt>
                <c:pt idx="5">
                  <c:v>497.52640520481702</c:v>
                </c:pt>
                <c:pt idx="6">
                  <c:v>497.52640520481702</c:v>
                </c:pt>
                <c:pt idx="7">
                  <c:v>497.52640520481702</c:v>
                </c:pt>
                <c:pt idx="8">
                  <c:v>497.52640520481702</c:v>
                </c:pt>
                <c:pt idx="9">
                  <c:v>497.52640520481702</c:v>
                </c:pt>
                <c:pt idx="10">
                  <c:v>497.52640520481702</c:v>
                </c:pt>
                <c:pt idx="11">
                  <c:v>497.52640520481702</c:v>
                </c:pt>
                <c:pt idx="12">
                  <c:v>497.52640520481702</c:v>
                </c:pt>
                <c:pt idx="13">
                  <c:v>497.52640520481702</c:v>
                </c:pt>
                <c:pt idx="14">
                  <c:v>497.52640520481702</c:v>
                </c:pt>
                <c:pt idx="15">
                  <c:v>497.52640520481702</c:v>
                </c:pt>
                <c:pt idx="16">
                  <c:v>497.52640520481702</c:v>
                </c:pt>
                <c:pt idx="17">
                  <c:v>497.52640520481702</c:v>
                </c:pt>
                <c:pt idx="18">
                  <c:v>497.52640520481702</c:v>
                </c:pt>
                <c:pt idx="19">
                  <c:v>497.52640520481702</c:v>
                </c:pt>
                <c:pt idx="20">
                  <c:v>497.52640520481702</c:v>
                </c:pt>
                <c:pt idx="21">
                  <c:v>497.52640520481702</c:v>
                </c:pt>
                <c:pt idx="22">
                  <c:v>497.52640520481702</c:v>
                </c:pt>
                <c:pt idx="23">
                  <c:v>497.52640520481702</c:v>
                </c:pt>
                <c:pt idx="24">
                  <c:v>497.52640520481702</c:v>
                </c:pt>
                <c:pt idx="25">
                  <c:v>497.52640520481702</c:v>
                </c:pt>
                <c:pt idx="26">
                  <c:v>497.52640520481702</c:v>
                </c:pt>
                <c:pt idx="27">
                  <c:v>497.52640520481702</c:v>
                </c:pt>
                <c:pt idx="28">
                  <c:v>497.52640520481702</c:v>
                </c:pt>
                <c:pt idx="29">
                  <c:v>497.52640520481702</c:v>
                </c:pt>
                <c:pt idx="30">
                  <c:v>497.52640520481702</c:v>
                </c:pt>
                <c:pt idx="31">
                  <c:v>497.52640520481702</c:v>
                </c:pt>
                <c:pt idx="32">
                  <c:v>497.52640520481702</c:v>
                </c:pt>
                <c:pt idx="33">
                  <c:v>497.52640520481702</c:v>
                </c:pt>
                <c:pt idx="34">
                  <c:v>497.52640520481702</c:v>
                </c:pt>
                <c:pt idx="35">
                  <c:v>497.52640520481702</c:v>
                </c:pt>
                <c:pt idx="36">
                  <c:v>497.52640520481702</c:v>
                </c:pt>
                <c:pt idx="37">
                  <c:v>497.52640520481702</c:v>
                </c:pt>
                <c:pt idx="38">
                  <c:v>497.52640520481702</c:v>
                </c:pt>
                <c:pt idx="39">
                  <c:v>497.52640520481702</c:v>
                </c:pt>
                <c:pt idx="40">
                  <c:v>497.52640520481702</c:v>
                </c:pt>
              </c:numCache>
            </c:numRef>
          </c:val>
        </c:ser>
        <c:ser>
          <c:idx val="22"/>
          <c:order val="21"/>
          <c:tx>
            <c:strRef>
              <c:f>PortfolioDashboard!$AW$3</c:f>
              <c:strCache>
                <c:ptCount val="1"/>
                <c:pt idx="0">
                  <c:v>Geo Exchange</c:v>
                </c:pt>
              </c:strCache>
            </c:strRef>
          </c:tx>
          <c:spPr>
            <a:ln>
              <a:solidFill>
                <a:schemeClr val="tx1"/>
              </a:solidFill>
            </a:ln>
          </c:spPr>
          <c:val>
            <c:numRef>
              <c:f>PortfolioDashboard!$AW$9:$AW$49</c:f>
              <c:numCache>
                <c:formatCode>#,##0</c:formatCode>
                <c:ptCount val="41"/>
                <c:pt idx="0">
                  <c:v>0</c:v>
                </c:pt>
                <c:pt idx="1">
                  <c:v>0</c:v>
                </c:pt>
                <c:pt idx="2">
                  <c:v>0</c:v>
                </c:pt>
                <c:pt idx="3">
                  <c:v>680.80856317059579</c:v>
                </c:pt>
                <c:pt idx="4">
                  <c:v>680.80856317059579</c:v>
                </c:pt>
                <c:pt idx="5">
                  <c:v>1361.6171263411916</c:v>
                </c:pt>
                <c:pt idx="6">
                  <c:v>1361.6171263411916</c:v>
                </c:pt>
                <c:pt idx="7">
                  <c:v>1361.6171263411916</c:v>
                </c:pt>
                <c:pt idx="8">
                  <c:v>1361.6171263411916</c:v>
                </c:pt>
                <c:pt idx="9">
                  <c:v>1361.6171263411916</c:v>
                </c:pt>
                <c:pt idx="10">
                  <c:v>1361.6171263411916</c:v>
                </c:pt>
                <c:pt idx="11">
                  <c:v>1361.6171263411916</c:v>
                </c:pt>
                <c:pt idx="12">
                  <c:v>1361.6171263411916</c:v>
                </c:pt>
                <c:pt idx="13">
                  <c:v>1361.6171263411916</c:v>
                </c:pt>
                <c:pt idx="14">
                  <c:v>1361.6171263411916</c:v>
                </c:pt>
                <c:pt idx="15">
                  <c:v>1361.6171263411916</c:v>
                </c:pt>
                <c:pt idx="16">
                  <c:v>1361.6171263411916</c:v>
                </c:pt>
                <c:pt idx="17">
                  <c:v>1361.6171263411916</c:v>
                </c:pt>
                <c:pt idx="18">
                  <c:v>1361.6171263411916</c:v>
                </c:pt>
                <c:pt idx="19">
                  <c:v>1361.6171263411916</c:v>
                </c:pt>
                <c:pt idx="20">
                  <c:v>1361.6171263411916</c:v>
                </c:pt>
                <c:pt idx="21">
                  <c:v>1361.6171263411916</c:v>
                </c:pt>
                <c:pt idx="22">
                  <c:v>1361.6171263411916</c:v>
                </c:pt>
                <c:pt idx="23">
                  <c:v>1361.6171263411916</c:v>
                </c:pt>
                <c:pt idx="24">
                  <c:v>1361.6171263411916</c:v>
                </c:pt>
                <c:pt idx="25">
                  <c:v>1361.6171263411916</c:v>
                </c:pt>
                <c:pt idx="26">
                  <c:v>1361.6171263411916</c:v>
                </c:pt>
                <c:pt idx="27">
                  <c:v>1361.6171263411916</c:v>
                </c:pt>
                <c:pt idx="28">
                  <c:v>1361.6171263411916</c:v>
                </c:pt>
                <c:pt idx="29">
                  <c:v>1361.6171263411916</c:v>
                </c:pt>
                <c:pt idx="30">
                  <c:v>1361.6171263411916</c:v>
                </c:pt>
                <c:pt idx="31">
                  <c:v>1361.6171263411916</c:v>
                </c:pt>
                <c:pt idx="32">
                  <c:v>1361.6171263411916</c:v>
                </c:pt>
                <c:pt idx="33">
                  <c:v>1361.6171263411916</c:v>
                </c:pt>
                <c:pt idx="34">
                  <c:v>1361.6171263411916</c:v>
                </c:pt>
                <c:pt idx="35">
                  <c:v>1361.6171263411916</c:v>
                </c:pt>
                <c:pt idx="36">
                  <c:v>1361.6171263411916</c:v>
                </c:pt>
                <c:pt idx="37">
                  <c:v>1361.6171263411916</c:v>
                </c:pt>
                <c:pt idx="38">
                  <c:v>1361.6171263411916</c:v>
                </c:pt>
                <c:pt idx="39">
                  <c:v>1361.6171263411916</c:v>
                </c:pt>
                <c:pt idx="40">
                  <c:v>1361.6171263411916</c:v>
                </c:pt>
              </c:numCache>
            </c:numRef>
          </c:val>
        </c:ser>
        <c:ser>
          <c:idx val="23"/>
          <c:order val="22"/>
          <c:tx>
            <c:strRef>
              <c:f>PortfolioDashboard!$AX$3</c:f>
              <c:strCache>
                <c:ptCount val="1"/>
                <c:pt idx="0">
                  <c:v>Solar DHW</c:v>
                </c:pt>
              </c:strCache>
            </c:strRef>
          </c:tx>
          <c:spPr>
            <a:ln>
              <a:solidFill>
                <a:schemeClr val="tx1"/>
              </a:solidFill>
            </a:ln>
          </c:spPr>
          <c:val>
            <c:numRef>
              <c:f>PortfolioDashboard!$AX$9:$AX$49</c:f>
              <c:numCache>
                <c:formatCode>#,##0</c:formatCode>
                <c:ptCount val="41"/>
                <c:pt idx="0">
                  <c:v>0</c:v>
                </c:pt>
                <c:pt idx="1">
                  <c:v>0</c:v>
                </c:pt>
                <c:pt idx="2">
                  <c:v>42.106365709288561</c:v>
                </c:pt>
                <c:pt idx="3">
                  <c:v>42.106365709288561</c:v>
                </c:pt>
                <c:pt idx="4">
                  <c:v>42.106365709288561</c:v>
                </c:pt>
                <c:pt idx="5">
                  <c:v>42.106365709288561</c:v>
                </c:pt>
                <c:pt idx="6">
                  <c:v>42.106365709288561</c:v>
                </c:pt>
                <c:pt idx="7">
                  <c:v>42.106365709288561</c:v>
                </c:pt>
                <c:pt idx="8">
                  <c:v>42.106365709288561</c:v>
                </c:pt>
                <c:pt idx="9">
                  <c:v>42.106365709288561</c:v>
                </c:pt>
                <c:pt idx="10">
                  <c:v>42.106365709288561</c:v>
                </c:pt>
                <c:pt idx="11">
                  <c:v>42.106365709288561</c:v>
                </c:pt>
                <c:pt idx="12">
                  <c:v>42.106365709288561</c:v>
                </c:pt>
                <c:pt idx="13">
                  <c:v>42.106365709288561</c:v>
                </c:pt>
                <c:pt idx="14">
                  <c:v>42.106365709288561</c:v>
                </c:pt>
                <c:pt idx="15">
                  <c:v>42.106365709288561</c:v>
                </c:pt>
                <c:pt idx="16">
                  <c:v>42.106365709288561</c:v>
                </c:pt>
                <c:pt idx="17">
                  <c:v>42.106365709288561</c:v>
                </c:pt>
                <c:pt idx="18">
                  <c:v>42.106365709288561</c:v>
                </c:pt>
                <c:pt idx="19">
                  <c:v>42.106365709288561</c:v>
                </c:pt>
                <c:pt idx="20">
                  <c:v>42.106365709288561</c:v>
                </c:pt>
                <c:pt idx="21">
                  <c:v>42.106365709288561</c:v>
                </c:pt>
                <c:pt idx="22">
                  <c:v>42.106365709288561</c:v>
                </c:pt>
                <c:pt idx="23">
                  <c:v>42.106365709288561</c:v>
                </c:pt>
                <c:pt idx="24">
                  <c:v>42.106365709288561</c:v>
                </c:pt>
                <c:pt idx="25">
                  <c:v>42.106365709288561</c:v>
                </c:pt>
                <c:pt idx="26">
                  <c:v>42.106365709288561</c:v>
                </c:pt>
                <c:pt idx="27">
                  <c:v>42.106365709288561</c:v>
                </c:pt>
                <c:pt idx="28">
                  <c:v>42.106365709288561</c:v>
                </c:pt>
                <c:pt idx="29">
                  <c:v>42.106365709288561</c:v>
                </c:pt>
                <c:pt idx="30">
                  <c:v>42.106365709288561</c:v>
                </c:pt>
                <c:pt idx="31">
                  <c:v>42.106365709288561</c:v>
                </c:pt>
                <c:pt idx="32">
                  <c:v>42.106365709288561</c:v>
                </c:pt>
                <c:pt idx="33">
                  <c:v>42.106365709288561</c:v>
                </c:pt>
                <c:pt idx="34">
                  <c:v>42.106365709288561</c:v>
                </c:pt>
                <c:pt idx="35">
                  <c:v>42.106365709288561</c:v>
                </c:pt>
                <c:pt idx="36">
                  <c:v>42.106365709288561</c:v>
                </c:pt>
                <c:pt idx="37">
                  <c:v>42.106365709288561</c:v>
                </c:pt>
                <c:pt idx="38">
                  <c:v>42.106365709288561</c:v>
                </c:pt>
                <c:pt idx="39">
                  <c:v>42.106365709288561</c:v>
                </c:pt>
                <c:pt idx="40">
                  <c:v>42.106365709288561</c:v>
                </c:pt>
              </c:numCache>
            </c:numRef>
          </c:val>
        </c:ser>
        <c:ser>
          <c:idx val="24"/>
          <c:order val="23"/>
          <c:tx>
            <c:strRef>
              <c:f>PortfolioDashboard!$AY$3</c:f>
              <c:strCache>
                <c:ptCount val="1"/>
                <c:pt idx="0">
                  <c:v>On-site Wind</c:v>
                </c:pt>
              </c:strCache>
            </c:strRef>
          </c:tx>
          <c:spPr>
            <a:ln>
              <a:solidFill>
                <a:schemeClr val="tx1"/>
              </a:solidFill>
            </a:ln>
          </c:spPr>
          <c:val>
            <c:numRef>
              <c:f>PortfolioDashboard!$AY$9:$AY$49</c:f>
              <c:numCache>
                <c:formatCode>#,##0</c:formatCode>
                <c:ptCount val="41"/>
                <c:pt idx="0">
                  <c:v>0</c:v>
                </c:pt>
                <c:pt idx="1">
                  <c:v>124.43697824242066</c:v>
                </c:pt>
                <c:pt idx="2">
                  <c:v>124.43697824242066</c:v>
                </c:pt>
                <c:pt idx="3">
                  <c:v>124.43697824242066</c:v>
                </c:pt>
                <c:pt idx="4">
                  <c:v>124.43697824242066</c:v>
                </c:pt>
                <c:pt idx="5">
                  <c:v>124.43697824242066</c:v>
                </c:pt>
                <c:pt idx="6">
                  <c:v>124.43697824242066</c:v>
                </c:pt>
                <c:pt idx="7">
                  <c:v>124.43697824242066</c:v>
                </c:pt>
                <c:pt idx="8">
                  <c:v>124.43697824242066</c:v>
                </c:pt>
                <c:pt idx="9">
                  <c:v>124.43697824242066</c:v>
                </c:pt>
                <c:pt idx="10">
                  <c:v>124.43697824242066</c:v>
                </c:pt>
                <c:pt idx="11">
                  <c:v>124.43697824242066</c:v>
                </c:pt>
                <c:pt idx="12">
                  <c:v>124.43697824242066</c:v>
                </c:pt>
                <c:pt idx="13">
                  <c:v>124.43697824242066</c:v>
                </c:pt>
                <c:pt idx="14">
                  <c:v>124.43697824242066</c:v>
                </c:pt>
                <c:pt idx="15">
                  <c:v>124.43697824242066</c:v>
                </c:pt>
                <c:pt idx="16">
                  <c:v>124.43697824242066</c:v>
                </c:pt>
                <c:pt idx="17">
                  <c:v>124.43697824242066</c:v>
                </c:pt>
                <c:pt idx="18">
                  <c:v>124.43697824242066</c:v>
                </c:pt>
                <c:pt idx="19">
                  <c:v>124.43697824242066</c:v>
                </c:pt>
                <c:pt idx="20">
                  <c:v>124.43697824242066</c:v>
                </c:pt>
                <c:pt idx="21">
                  <c:v>124.43697824242066</c:v>
                </c:pt>
                <c:pt idx="22">
                  <c:v>124.43697824242066</c:v>
                </c:pt>
                <c:pt idx="23">
                  <c:v>124.43697824242066</c:v>
                </c:pt>
                <c:pt idx="24">
                  <c:v>124.43697824242066</c:v>
                </c:pt>
                <c:pt idx="25">
                  <c:v>124.43697824242066</c:v>
                </c:pt>
                <c:pt idx="26">
                  <c:v>124.43697824242066</c:v>
                </c:pt>
                <c:pt idx="27">
                  <c:v>124.43697824242066</c:v>
                </c:pt>
                <c:pt idx="28">
                  <c:v>124.43697824242066</c:v>
                </c:pt>
                <c:pt idx="29">
                  <c:v>124.43697824242066</c:v>
                </c:pt>
                <c:pt idx="30">
                  <c:v>124.43697824242066</c:v>
                </c:pt>
                <c:pt idx="31">
                  <c:v>124.43697824242066</c:v>
                </c:pt>
                <c:pt idx="32">
                  <c:v>124.43697824242066</c:v>
                </c:pt>
                <c:pt idx="33">
                  <c:v>124.43697824242066</c:v>
                </c:pt>
                <c:pt idx="34">
                  <c:v>124.43697824242066</c:v>
                </c:pt>
                <c:pt idx="35">
                  <c:v>124.43697824242066</c:v>
                </c:pt>
                <c:pt idx="36">
                  <c:v>124.43697824242066</c:v>
                </c:pt>
                <c:pt idx="37">
                  <c:v>124.43697824242066</c:v>
                </c:pt>
                <c:pt idx="38">
                  <c:v>124.43697824242066</c:v>
                </c:pt>
                <c:pt idx="39">
                  <c:v>124.43697824242066</c:v>
                </c:pt>
                <c:pt idx="40">
                  <c:v>124.43697824242066</c:v>
                </c:pt>
              </c:numCache>
            </c:numRef>
          </c:val>
        </c:ser>
        <c:ser>
          <c:idx val="25"/>
          <c:order val="24"/>
          <c:tx>
            <c:strRef>
              <c:f>PortfolioDashboard!$AZ$3</c:f>
              <c:strCache>
                <c:ptCount val="1"/>
                <c:pt idx="0">
                  <c:v>Coal to Natural Gas Conversion @ Steam Plant</c:v>
                </c:pt>
              </c:strCache>
            </c:strRef>
          </c:tx>
          <c:spPr>
            <a:ln>
              <a:solidFill>
                <a:schemeClr val="tx1"/>
              </a:solidFill>
            </a:ln>
          </c:spPr>
          <c:val>
            <c:numRef>
              <c:f>PortfolioDashboard!$AZ$9:$AZ$49</c:f>
              <c:numCache>
                <c:formatCode>#,##0</c:formatCode>
                <c:ptCount val="41"/>
                <c:pt idx="0">
                  <c:v>0</c:v>
                </c:pt>
                <c:pt idx="1">
                  <c:v>0</c:v>
                </c:pt>
                <c:pt idx="2">
                  <c:v>0</c:v>
                </c:pt>
                <c:pt idx="3">
                  <c:v>0</c:v>
                </c:pt>
                <c:pt idx="4">
                  <c:v>0</c:v>
                </c:pt>
                <c:pt idx="5">
                  <c:v>18056.365727671626</c:v>
                </c:pt>
                <c:pt idx="6">
                  <c:v>18258.289883413876</c:v>
                </c:pt>
                <c:pt idx="7">
                  <c:v>18460.214039156141</c:v>
                </c:pt>
                <c:pt idx="8">
                  <c:v>18662.138194898398</c:v>
                </c:pt>
                <c:pt idx="9">
                  <c:v>18864.062350640648</c:v>
                </c:pt>
                <c:pt idx="10">
                  <c:v>19065.986506382898</c:v>
                </c:pt>
                <c:pt idx="11">
                  <c:v>19267.910662125156</c:v>
                </c:pt>
                <c:pt idx="12">
                  <c:v>19469.83481786742</c:v>
                </c:pt>
                <c:pt idx="13">
                  <c:v>19671.758973609671</c:v>
                </c:pt>
                <c:pt idx="14">
                  <c:v>19873.683129351921</c:v>
                </c:pt>
                <c:pt idx="15">
                  <c:v>20075.607285094171</c:v>
                </c:pt>
                <c:pt idx="16">
                  <c:v>20277.531440836436</c:v>
                </c:pt>
                <c:pt idx="17">
                  <c:v>20479.455596578686</c:v>
                </c:pt>
                <c:pt idx="18">
                  <c:v>20681.379752320936</c:v>
                </c:pt>
                <c:pt idx="19">
                  <c:v>20883.303908063201</c:v>
                </c:pt>
                <c:pt idx="20">
                  <c:v>21085.228063805465</c:v>
                </c:pt>
                <c:pt idx="21">
                  <c:v>21287.152219547716</c:v>
                </c:pt>
                <c:pt idx="22">
                  <c:v>21489.076375289966</c:v>
                </c:pt>
                <c:pt idx="23">
                  <c:v>21691.000531032216</c:v>
                </c:pt>
                <c:pt idx="24">
                  <c:v>21892.924686774466</c:v>
                </c:pt>
                <c:pt idx="25">
                  <c:v>22094.848842516731</c:v>
                </c:pt>
                <c:pt idx="26">
                  <c:v>22296.772998258981</c:v>
                </c:pt>
                <c:pt idx="27">
                  <c:v>22498.697154001231</c:v>
                </c:pt>
                <c:pt idx="28">
                  <c:v>22700.621309743496</c:v>
                </c:pt>
                <c:pt idx="29">
                  <c:v>22902.545465485746</c:v>
                </c:pt>
                <c:pt idx="30">
                  <c:v>23104.469621227996</c:v>
                </c:pt>
                <c:pt idx="31">
                  <c:v>23306.393776970261</c:v>
                </c:pt>
                <c:pt idx="32">
                  <c:v>23508.317932712511</c:v>
                </c:pt>
                <c:pt idx="33">
                  <c:v>23710.242088454761</c:v>
                </c:pt>
                <c:pt idx="34">
                  <c:v>23912.166244197026</c:v>
                </c:pt>
                <c:pt idx="35">
                  <c:v>24114.090399939276</c:v>
                </c:pt>
                <c:pt idx="36">
                  <c:v>24316.014555681541</c:v>
                </c:pt>
                <c:pt idx="37">
                  <c:v>24517.938711423776</c:v>
                </c:pt>
                <c:pt idx="38">
                  <c:v>24719.862867166041</c:v>
                </c:pt>
                <c:pt idx="39">
                  <c:v>24921.787022908306</c:v>
                </c:pt>
                <c:pt idx="40">
                  <c:v>25123.711178650556</c:v>
                </c:pt>
              </c:numCache>
            </c:numRef>
          </c:val>
        </c:ser>
        <c:ser>
          <c:idx val="26"/>
          <c:order val="25"/>
          <c:tx>
            <c:strRef>
              <c:f>PortfolioDashboard!$BA$3</c:f>
              <c:strCache>
                <c:ptCount val="1"/>
                <c:pt idx="0">
                  <c:v>Steam Line Improvements</c:v>
                </c:pt>
              </c:strCache>
            </c:strRef>
          </c:tx>
          <c:spPr>
            <a:ln>
              <a:solidFill>
                <a:schemeClr val="tx1"/>
              </a:solidFill>
            </a:ln>
          </c:spPr>
          <c:val>
            <c:numRef>
              <c:f>PortfolioDashboard!$BA$9:$BA$49</c:f>
              <c:numCache>
                <c:formatCode>#,##0</c:formatCode>
                <c:ptCount val="41"/>
                <c:pt idx="0">
                  <c:v>0</c:v>
                </c:pt>
                <c:pt idx="1">
                  <c:v>0</c:v>
                </c:pt>
                <c:pt idx="2">
                  <c:v>3075.9772424453963</c:v>
                </c:pt>
                <c:pt idx="3">
                  <c:v>3125.3879734301372</c:v>
                </c:pt>
                <c:pt idx="4">
                  <c:v>3161.5430998748739</c:v>
                </c:pt>
                <c:pt idx="5">
                  <c:v>3233.0465050929606</c:v>
                </c:pt>
                <c:pt idx="6">
                  <c:v>3269.2016315376959</c:v>
                </c:pt>
                <c:pt idx="7">
                  <c:v>3305.3567579824307</c:v>
                </c:pt>
                <c:pt idx="8">
                  <c:v>3341.5118844271651</c:v>
                </c:pt>
                <c:pt idx="9">
                  <c:v>3377.6670108718999</c:v>
                </c:pt>
                <c:pt idx="10">
                  <c:v>3413.8221373166357</c:v>
                </c:pt>
                <c:pt idx="11">
                  <c:v>3449.9772637613701</c:v>
                </c:pt>
                <c:pt idx="12">
                  <c:v>3486.1323902061049</c:v>
                </c:pt>
                <c:pt idx="13">
                  <c:v>3522.2875166508402</c:v>
                </c:pt>
                <c:pt idx="14">
                  <c:v>3558.4426430955759</c:v>
                </c:pt>
                <c:pt idx="15">
                  <c:v>3594.5977695403094</c:v>
                </c:pt>
                <c:pt idx="16">
                  <c:v>3630.7528959850451</c:v>
                </c:pt>
                <c:pt idx="17">
                  <c:v>3666.9080224297791</c:v>
                </c:pt>
                <c:pt idx="18">
                  <c:v>3703.0631488745134</c:v>
                </c:pt>
                <c:pt idx="19">
                  <c:v>3739.2182753192492</c:v>
                </c:pt>
                <c:pt idx="20">
                  <c:v>3775.3734017639845</c:v>
                </c:pt>
                <c:pt idx="21">
                  <c:v>3811.5285282087202</c:v>
                </c:pt>
                <c:pt idx="22">
                  <c:v>3847.6836546534541</c:v>
                </c:pt>
                <c:pt idx="23">
                  <c:v>3883.8387810981894</c:v>
                </c:pt>
                <c:pt idx="24">
                  <c:v>3919.9939075429229</c:v>
                </c:pt>
                <c:pt idx="25">
                  <c:v>3956.1490339876577</c:v>
                </c:pt>
                <c:pt idx="26">
                  <c:v>3992.3041604323935</c:v>
                </c:pt>
                <c:pt idx="27">
                  <c:v>4028.4592868771292</c:v>
                </c:pt>
                <c:pt idx="28">
                  <c:v>4064.6144133218636</c:v>
                </c:pt>
                <c:pt idx="29">
                  <c:v>4100.7695397665984</c:v>
                </c:pt>
                <c:pt idx="30">
                  <c:v>4136.9246662113328</c:v>
                </c:pt>
                <c:pt idx="31">
                  <c:v>4173.0797926560681</c:v>
                </c:pt>
                <c:pt idx="32">
                  <c:v>4209.2349191008025</c:v>
                </c:pt>
                <c:pt idx="33">
                  <c:v>4245.3900455455369</c:v>
                </c:pt>
                <c:pt idx="34">
                  <c:v>4281.5451719902721</c:v>
                </c:pt>
                <c:pt idx="35">
                  <c:v>4317.7002984350074</c:v>
                </c:pt>
                <c:pt idx="36">
                  <c:v>4353.8554248797409</c:v>
                </c:pt>
                <c:pt idx="37">
                  <c:v>4390.0105513244744</c:v>
                </c:pt>
                <c:pt idx="38">
                  <c:v>4426.1656777692115</c:v>
                </c:pt>
                <c:pt idx="39">
                  <c:v>4462.3208042139468</c:v>
                </c:pt>
                <c:pt idx="40">
                  <c:v>4498.4759306586811</c:v>
                </c:pt>
              </c:numCache>
            </c:numRef>
          </c:val>
        </c:ser>
        <c:ser>
          <c:idx val="27"/>
          <c:order val="26"/>
          <c:tx>
            <c:strRef>
              <c:f>PortfolioDashboard!$BB$3</c:f>
              <c:strCache>
                <c:ptCount val="1"/>
                <c:pt idx="0">
                  <c:v>Waste Reduction</c:v>
                </c:pt>
              </c:strCache>
            </c:strRef>
          </c:tx>
          <c:spPr>
            <a:ln>
              <a:solidFill>
                <a:schemeClr val="tx1"/>
              </a:solidFill>
            </a:ln>
          </c:spPr>
          <c:val>
            <c:numRef>
              <c:f>PortfolioDashboard!$BB$9:$BB$49</c:f>
              <c:numCache>
                <c:formatCode>#,##0</c:formatCode>
                <c:ptCount val="41"/>
                <c:pt idx="0">
                  <c:v>0</c:v>
                </c:pt>
                <c:pt idx="1">
                  <c:v>0</c:v>
                </c:pt>
                <c:pt idx="2">
                  <c:v>40.884638161468658</c:v>
                </c:pt>
                <c:pt idx="3">
                  <c:v>81.937879892859442</c:v>
                </c:pt>
                <c:pt idx="4">
                  <c:v>123.12963392984285</c:v>
                </c:pt>
                <c:pt idx="5">
                  <c:v>164.44143102054525</c:v>
                </c:pt>
                <c:pt idx="6">
                  <c:v>205.86052642059221</c:v>
                </c:pt>
                <c:pt idx="7">
                  <c:v>206.14789241380251</c:v>
                </c:pt>
                <c:pt idx="8">
                  <c:v>206.41779245536574</c:v>
                </c:pt>
                <c:pt idx="9">
                  <c:v>206.6730702617173</c:v>
                </c:pt>
                <c:pt idx="10">
                  <c:v>206.91587260906391</c:v>
                </c:pt>
                <c:pt idx="11">
                  <c:v>207.14786732897221</c:v>
                </c:pt>
                <c:pt idx="12">
                  <c:v>207.37038076033295</c:v>
                </c:pt>
                <c:pt idx="13">
                  <c:v>207.58448829362001</c:v>
                </c:pt>
                <c:pt idx="14">
                  <c:v>207.79107620477433</c:v>
                </c:pt>
                <c:pt idx="15">
                  <c:v>207.99088517858286</c:v>
                </c:pt>
                <c:pt idx="16">
                  <c:v>208.18454174242908</c:v>
                </c:pt>
                <c:pt idx="17">
                  <c:v>208.37258147784658</c:v>
                </c:pt>
                <c:pt idx="18">
                  <c:v>208.555466495037</c:v>
                </c:pt>
                <c:pt idx="19">
                  <c:v>208.73359881376186</c:v>
                </c:pt>
                <c:pt idx="20">
                  <c:v>208.90733076504105</c:v>
                </c:pt>
                <c:pt idx="21">
                  <c:v>209.07697318635553</c:v>
                </c:pt>
                <c:pt idx="22">
                  <c:v>209.24280195681288</c:v>
                </c:pt>
                <c:pt idx="23">
                  <c:v>209.40506326564875</c:v>
                </c:pt>
                <c:pt idx="24">
                  <c:v>209.5639779018</c:v>
                </c:pt>
                <c:pt idx="25">
                  <c:v>209.71974477808931</c:v>
                </c:pt>
                <c:pt idx="26">
                  <c:v>209.87254385060123</c:v>
                </c:pt>
                <c:pt idx="27">
                  <c:v>210.02253855547011</c:v>
                </c:pt>
                <c:pt idx="28">
                  <c:v>210.16987785714261</c:v>
                </c:pt>
                <c:pt idx="29">
                  <c:v>210.31469798124689</c:v>
                </c:pt>
                <c:pt idx="30">
                  <c:v>210.45712388946993</c:v>
                </c:pt>
                <c:pt idx="31">
                  <c:v>210.59727054189074</c:v>
                </c:pt>
                <c:pt idx="32">
                  <c:v>210.73524398304829</c:v>
                </c:pt>
                <c:pt idx="33">
                  <c:v>210.87114228092466</c:v>
                </c:pt>
                <c:pt idx="34">
                  <c:v>211.00505634248034</c:v>
                </c:pt>
                <c:pt idx="35">
                  <c:v>211.13707062501715</c:v>
                </c:pt>
                <c:pt idx="36">
                  <c:v>211.26726375918435</c:v>
                </c:pt>
                <c:pt idx="37">
                  <c:v>211.39570909668265</c:v>
                </c:pt>
                <c:pt idx="38">
                  <c:v>211.52247519350044</c:v>
                </c:pt>
                <c:pt idx="39">
                  <c:v>211.64762623772032</c:v>
                </c:pt>
                <c:pt idx="40">
                  <c:v>211.77122242947524</c:v>
                </c:pt>
              </c:numCache>
            </c:numRef>
          </c:val>
        </c:ser>
        <c:ser>
          <c:idx val="28"/>
          <c:order val="27"/>
          <c:tx>
            <c:strRef>
              <c:f>PortfolioDashboard!$BC$3</c:f>
              <c:strCache>
                <c:ptCount val="1"/>
                <c:pt idx="0">
                  <c:v>Reduced Automobile Reliance Strategies</c:v>
                </c:pt>
              </c:strCache>
            </c:strRef>
          </c:tx>
          <c:spPr>
            <a:ln>
              <a:solidFill>
                <a:schemeClr val="tx1"/>
              </a:solidFill>
            </a:ln>
          </c:spPr>
          <c:val>
            <c:numRef>
              <c:f>PortfolioDashboard!$BC$9:$BC$49</c:f>
              <c:numCache>
                <c:formatCode>#,##0</c:formatCode>
                <c:ptCount val="41"/>
                <c:pt idx="0">
                  <c:v>0</c:v>
                </c:pt>
                <c:pt idx="1">
                  <c:v>0</c:v>
                </c:pt>
                <c:pt idx="2">
                  <c:v>162.81643397406458</c:v>
                </c:pt>
                <c:pt idx="3">
                  <c:v>326.1924377394069</c:v>
                </c:pt>
                <c:pt idx="4">
                  <c:v>489.99756396934276</c:v>
                </c:pt>
                <c:pt idx="5">
                  <c:v>654.16428845085125</c:v>
                </c:pt>
                <c:pt idx="6">
                  <c:v>818.64945967225867</c:v>
                </c:pt>
                <c:pt idx="7">
                  <c:v>983.42242590882825</c:v>
                </c:pt>
                <c:pt idx="8">
                  <c:v>1148.4599608720218</c:v>
                </c:pt>
                <c:pt idx="9">
                  <c:v>1313.7436763489204</c:v>
                </c:pt>
                <c:pt idx="10">
                  <c:v>1479.258544660677</c:v>
                </c:pt>
                <c:pt idx="11">
                  <c:v>1644.9919849094142</c:v>
                </c:pt>
                <c:pt idx="12">
                  <c:v>1644.9919849094142</c:v>
                </c:pt>
                <c:pt idx="13">
                  <c:v>1644.9919849094142</c:v>
                </c:pt>
                <c:pt idx="14">
                  <c:v>1644.9919849094142</c:v>
                </c:pt>
                <c:pt idx="15">
                  <c:v>1644.9919849094142</c:v>
                </c:pt>
                <c:pt idx="16">
                  <c:v>1644.9919849094142</c:v>
                </c:pt>
                <c:pt idx="17">
                  <c:v>1644.9919849094142</c:v>
                </c:pt>
                <c:pt idx="18">
                  <c:v>1644.9919849094142</c:v>
                </c:pt>
                <c:pt idx="19">
                  <c:v>1644.9919849094142</c:v>
                </c:pt>
                <c:pt idx="20">
                  <c:v>1644.9919849094142</c:v>
                </c:pt>
                <c:pt idx="21">
                  <c:v>1644.9919849094142</c:v>
                </c:pt>
                <c:pt idx="22">
                  <c:v>1644.9919849094142</c:v>
                </c:pt>
                <c:pt idx="23">
                  <c:v>1644.9919849094142</c:v>
                </c:pt>
                <c:pt idx="24">
                  <c:v>1644.9919849094142</c:v>
                </c:pt>
                <c:pt idx="25">
                  <c:v>1644.9919849094142</c:v>
                </c:pt>
                <c:pt idx="26">
                  <c:v>1644.9919849094142</c:v>
                </c:pt>
                <c:pt idx="27">
                  <c:v>1644.9919849094142</c:v>
                </c:pt>
                <c:pt idx="28">
                  <c:v>1644.9919849094142</c:v>
                </c:pt>
                <c:pt idx="29">
                  <c:v>1644.9919849094142</c:v>
                </c:pt>
                <c:pt idx="30">
                  <c:v>1644.9919849094142</c:v>
                </c:pt>
                <c:pt idx="31">
                  <c:v>1644.9919849094142</c:v>
                </c:pt>
                <c:pt idx="32">
                  <c:v>1644.9919849094142</c:v>
                </c:pt>
                <c:pt idx="33">
                  <c:v>1644.9919849094142</c:v>
                </c:pt>
                <c:pt idx="34">
                  <c:v>1644.9919849094142</c:v>
                </c:pt>
                <c:pt idx="35">
                  <c:v>1644.9919849094142</c:v>
                </c:pt>
                <c:pt idx="36">
                  <c:v>1644.9919849094142</c:v>
                </c:pt>
                <c:pt idx="37">
                  <c:v>1644.9919849094142</c:v>
                </c:pt>
                <c:pt idx="38">
                  <c:v>1644.9919849094142</c:v>
                </c:pt>
                <c:pt idx="39">
                  <c:v>1644.9919849094142</c:v>
                </c:pt>
                <c:pt idx="40">
                  <c:v>1644.9919849094142</c:v>
                </c:pt>
              </c:numCache>
            </c:numRef>
          </c:val>
        </c:ser>
        <c:ser>
          <c:idx val="29"/>
          <c:order val="28"/>
          <c:tx>
            <c:strRef>
              <c:f>PortfolioDashboard!$BD$3</c:f>
              <c:strCache>
                <c:ptCount val="1"/>
                <c:pt idx="0">
                  <c:v>Reduced Air Travel</c:v>
                </c:pt>
              </c:strCache>
            </c:strRef>
          </c:tx>
          <c:spPr>
            <a:ln>
              <a:solidFill>
                <a:schemeClr val="tx1"/>
              </a:solidFill>
            </a:ln>
          </c:spPr>
          <c:val>
            <c:numRef>
              <c:f>PortfolioDashboard!$BD$9:$BD$49</c:f>
              <c:numCache>
                <c:formatCode>#,##0</c:formatCode>
                <c:ptCount val="41"/>
                <c:pt idx="0">
                  <c:v>0</c:v>
                </c:pt>
                <c:pt idx="1">
                  <c:v>561.67481273159069</c:v>
                </c:pt>
                <c:pt idx="2">
                  <c:v>563.47528677760192</c:v>
                </c:pt>
                <c:pt idx="3">
                  <c:v>564.85683910426201</c:v>
                </c:pt>
                <c:pt idx="4">
                  <c:v>566.02154159217173</c:v>
                </c:pt>
                <c:pt idx="5">
                  <c:v>567.04766508302907</c:v>
                </c:pt>
                <c:pt idx="6">
                  <c:v>851.96302744449406</c:v>
                </c:pt>
                <c:pt idx="7">
                  <c:v>853.24267117910142</c:v>
                </c:pt>
                <c:pt idx="8">
                  <c:v>854.43373452629135</c:v>
                </c:pt>
                <c:pt idx="9">
                  <c:v>855.55240567912927</c:v>
                </c:pt>
                <c:pt idx="10">
                  <c:v>856.61047116245152</c:v>
                </c:pt>
                <c:pt idx="11">
                  <c:v>857.61682885044911</c:v>
                </c:pt>
                <c:pt idx="12">
                  <c:v>858.5783915062716</c:v>
                </c:pt>
                <c:pt idx="13">
                  <c:v>859.50065648756083</c:v>
                </c:pt>
                <c:pt idx="14">
                  <c:v>860.38808103075951</c:v>
                </c:pt>
                <c:pt idx="15">
                  <c:v>861.24433853777907</c:v>
                </c:pt>
                <c:pt idx="16">
                  <c:v>862.07249897000111</c:v>
                </c:pt>
                <c:pt idx="17">
                  <c:v>862.87515913365939</c:v>
                </c:pt>
                <c:pt idx="18">
                  <c:v>863.65453888617992</c:v>
                </c:pt>
                <c:pt idx="19">
                  <c:v>864.41255356388149</c:v>
                </c:pt>
                <c:pt idx="20">
                  <c:v>865.15086944257303</c:v>
                </c:pt>
                <c:pt idx="21">
                  <c:v>865.87094685010732</c:v>
                </c:pt>
                <c:pt idx="22">
                  <c:v>866.57407413353792</c:v>
                </c:pt>
                <c:pt idx="23">
                  <c:v>867.26139474581635</c:v>
                </c:pt>
                <c:pt idx="24">
                  <c:v>867.93392908247324</c:v>
                </c:pt>
                <c:pt idx="25">
                  <c:v>868.59259226087261</c:v>
                </c:pt>
                <c:pt idx="26">
                  <c:v>869.23820872711428</c:v>
                </c:pt>
                <c:pt idx="27">
                  <c:v>869.8715243561503</c:v>
                </c:pt>
                <c:pt idx="28">
                  <c:v>870.49321655168853</c:v>
                </c:pt>
                <c:pt idx="29">
                  <c:v>871.10390273575013</c:v>
                </c:pt>
                <c:pt idx="30">
                  <c:v>871.70414753099931</c:v>
                </c:pt>
                <c:pt idx="31">
                  <c:v>872.29446887375661</c:v>
                </c:pt>
                <c:pt idx="32">
                  <c:v>872.87534324606838</c:v>
                </c:pt>
                <c:pt idx="33">
                  <c:v>873.44721017719871</c:v>
                </c:pt>
                <c:pt idx="34">
                  <c:v>874.01047613549053</c:v>
                </c:pt>
                <c:pt idx="35">
                  <c:v>874.56551790856349</c:v>
                </c:pt>
                <c:pt idx="36">
                  <c:v>875.11268555174433</c:v>
                </c:pt>
                <c:pt idx="37">
                  <c:v>875.65230497027721</c:v>
                </c:pt>
                <c:pt idx="38">
                  <c:v>876.18468018942747</c:v>
                </c:pt>
                <c:pt idx="39">
                  <c:v>876.71009535737846</c:v>
                </c:pt>
                <c:pt idx="40">
                  <c:v>877.22881651838861</c:v>
                </c:pt>
              </c:numCache>
            </c:numRef>
          </c:val>
        </c:ser>
        <c:ser>
          <c:idx val="30"/>
          <c:order val="29"/>
          <c:tx>
            <c:strRef>
              <c:f>PortfolioDashboard!$BE$3</c:f>
              <c:strCache>
                <c:ptCount val="1"/>
                <c:pt idx="0">
                  <c:v>Green IT</c:v>
                </c:pt>
              </c:strCache>
            </c:strRef>
          </c:tx>
          <c:spPr>
            <a:ln>
              <a:solidFill>
                <a:schemeClr val="tx1"/>
              </a:solidFill>
            </a:ln>
          </c:spPr>
          <c:val>
            <c:numRef>
              <c:f>PortfolioDashboard!$BE$9:$BE$49</c:f>
              <c:numCache>
                <c:formatCode>#,##0</c:formatCode>
                <c:ptCount val="41"/>
                <c:pt idx="0">
                  <c:v>0</c:v>
                </c:pt>
                <c:pt idx="1">
                  <c:v>0</c:v>
                </c:pt>
                <c:pt idx="2">
                  <c:v>1948.4709492677364</c:v>
                </c:pt>
                <c:pt idx="3">
                  <c:v>3896.9418985354728</c:v>
                </c:pt>
                <c:pt idx="4">
                  <c:v>5845.4128478032089</c:v>
                </c:pt>
                <c:pt idx="5">
                  <c:v>5845.4128478032089</c:v>
                </c:pt>
                <c:pt idx="6">
                  <c:v>5845.4128478032089</c:v>
                </c:pt>
                <c:pt idx="7">
                  <c:v>5845.4128478032089</c:v>
                </c:pt>
                <c:pt idx="8">
                  <c:v>5845.4128478032089</c:v>
                </c:pt>
                <c:pt idx="9">
                  <c:v>5845.4128478032089</c:v>
                </c:pt>
                <c:pt idx="10">
                  <c:v>5845.4128478032089</c:v>
                </c:pt>
                <c:pt idx="11">
                  <c:v>5845.4128478032089</c:v>
                </c:pt>
                <c:pt idx="12">
                  <c:v>5845.4128478032089</c:v>
                </c:pt>
                <c:pt idx="13">
                  <c:v>5845.4128478032089</c:v>
                </c:pt>
                <c:pt idx="14">
                  <c:v>5845.4128478032089</c:v>
                </c:pt>
                <c:pt idx="15">
                  <c:v>5845.4128478032089</c:v>
                </c:pt>
                <c:pt idx="16">
                  <c:v>5845.4128478032089</c:v>
                </c:pt>
                <c:pt idx="17">
                  <c:v>5845.4128478032089</c:v>
                </c:pt>
                <c:pt idx="18">
                  <c:v>5845.4128478032089</c:v>
                </c:pt>
                <c:pt idx="19">
                  <c:v>5845.4128478032089</c:v>
                </c:pt>
                <c:pt idx="20">
                  <c:v>5845.4128478032089</c:v>
                </c:pt>
                <c:pt idx="21">
                  <c:v>5845.4128478032089</c:v>
                </c:pt>
                <c:pt idx="22">
                  <c:v>5845.4128478032089</c:v>
                </c:pt>
                <c:pt idx="23">
                  <c:v>5845.4128478032089</c:v>
                </c:pt>
                <c:pt idx="24">
                  <c:v>5845.4128478032089</c:v>
                </c:pt>
                <c:pt idx="25">
                  <c:v>5845.4128478032089</c:v>
                </c:pt>
                <c:pt idx="26">
                  <c:v>5845.4128478032089</c:v>
                </c:pt>
                <c:pt idx="27">
                  <c:v>5845.4128478032089</c:v>
                </c:pt>
                <c:pt idx="28">
                  <c:v>5845.4128478032089</c:v>
                </c:pt>
                <c:pt idx="29">
                  <c:v>5845.4128478032089</c:v>
                </c:pt>
                <c:pt idx="30">
                  <c:v>5845.4128478032089</c:v>
                </c:pt>
                <c:pt idx="31">
                  <c:v>5845.4128478032089</c:v>
                </c:pt>
                <c:pt idx="32">
                  <c:v>5845.4128478032089</c:v>
                </c:pt>
                <c:pt idx="33">
                  <c:v>5845.4128478032089</c:v>
                </c:pt>
                <c:pt idx="34">
                  <c:v>5845.4128478032089</c:v>
                </c:pt>
                <c:pt idx="35">
                  <c:v>5845.4128478032089</c:v>
                </c:pt>
                <c:pt idx="36">
                  <c:v>5845.4128478032089</c:v>
                </c:pt>
                <c:pt idx="37">
                  <c:v>5845.4128478032089</c:v>
                </c:pt>
                <c:pt idx="38">
                  <c:v>5845.4128478032089</c:v>
                </c:pt>
                <c:pt idx="39">
                  <c:v>5845.4128478032089</c:v>
                </c:pt>
                <c:pt idx="40">
                  <c:v>5845.4128478032089</c:v>
                </c:pt>
              </c:numCache>
            </c:numRef>
          </c:val>
        </c:ser>
        <c:ser>
          <c:idx val="31"/>
          <c:order val="30"/>
          <c:tx>
            <c:strRef>
              <c:f>PortfolioDashboard!$BF$3</c:f>
              <c:strCache>
                <c:ptCount val="1"/>
                <c:pt idx="0">
                  <c:v>Long-term Energy Conservation Measures</c:v>
                </c:pt>
              </c:strCache>
            </c:strRef>
          </c:tx>
          <c:spPr>
            <a:ln>
              <a:solidFill>
                <a:schemeClr val="tx1"/>
              </a:solidFill>
            </a:ln>
          </c:spPr>
          <c:val>
            <c:numRef>
              <c:f>PortfolioDashboard!$BF$9:$BF$49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1008.2241603025502</c:v>
                </c:pt>
                <c:pt idx="15">
                  <c:v>2016.4483206051004</c:v>
                </c:pt>
                <c:pt idx="16">
                  <c:v>3024.6724809076504</c:v>
                </c:pt>
                <c:pt idx="17">
                  <c:v>4032.8966412102009</c:v>
                </c:pt>
                <c:pt idx="18">
                  <c:v>5041.1208015127513</c:v>
                </c:pt>
                <c:pt idx="19">
                  <c:v>6049.3449618153018</c:v>
                </c:pt>
                <c:pt idx="20">
                  <c:v>7057.5691221178513</c:v>
                </c:pt>
                <c:pt idx="21">
                  <c:v>8065.7932824204017</c:v>
                </c:pt>
                <c:pt idx="22">
                  <c:v>9074.017442722954</c:v>
                </c:pt>
                <c:pt idx="23">
                  <c:v>10082.241603025503</c:v>
                </c:pt>
                <c:pt idx="24">
                  <c:v>10082.241603025503</c:v>
                </c:pt>
                <c:pt idx="25">
                  <c:v>10082.241603025503</c:v>
                </c:pt>
                <c:pt idx="26">
                  <c:v>10082.241603025503</c:v>
                </c:pt>
                <c:pt idx="27">
                  <c:v>10082.241603025503</c:v>
                </c:pt>
                <c:pt idx="28">
                  <c:v>10082.241603025503</c:v>
                </c:pt>
                <c:pt idx="29">
                  <c:v>10082.241603025503</c:v>
                </c:pt>
                <c:pt idx="30">
                  <c:v>10082.241603025503</c:v>
                </c:pt>
                <c:pt idx="31">
                  <c:v>10082.241603025503</c:v>
                </c:pt>
                <c:pt idx="32">
                  <c:v>10082.241603025503</c:v>
                </c:pt>
                <c:pt idx="33">
                  <c:v>10082.241603025503</c:v>
                </c:pt>
                <c:pt idx="34">
                  <c:v>10082.241603025503</c:v>
                </c:pt>
                <c:pt idx="35">
                  <c:v>10082.241603025503</c:v>
                </c:pt>
                <c:pt idx="36">
                  <c:v>10082.241603025503</c:v>
                </c:pt>
                <c:pt idx="37">
                  <c:v>10082.241603025503</c:v>
                </c:pt>
                <c:pt idx="38">
                  <c:v>10082.241603025503</c:v>
                </c:pt>
                <c:pt idx="39">
                  <c:v>10082.241603025503</c:v>
                </c:pt>
                <c:pt idx="40">
                  <c:v>10082.241603025503</c:v>
                </c:pt>
              </c:numCache>
            </c:numRef>
          </c:val>
        </c:ser>
        <c:ser>
          <c:idx val="32"/>
          <c:order val="31"/>
          <c:tx>
            <c:strRef>
              <c:f>PortfolioDashboard!$BG$3</c:f>
              <c:strCache>
                <c:ptCount val="1"/>
                <c:pt idx="0">
                  <c:v>Mid-term Energy Conservation Measures</c:v>
                </c:pt>
              </c:strCache>
            </c:strRef>
          </c:tx>
          <c:spPr>
            <a:ln>
              <a:solidFill>
                <a:schemeClr val="tx1"/>
              </a:solidFill>
            </a:ln>
          </c:spPr>
          <c:val>
            <c:numRef>
              <c:f>PortfolioDashboard!$BG$9:$BG$49</c:f>
              <c:numCache>
                <c:formatCode>#,##0</c:formatCode>
                <c:ptCount val="41"/>
                <c:pt idx="0">
                  <c:v>0</c:v>
                </c:pt>
                <c:pt idx="1">
                  <c:v>0</c:v>
                </c:pt>
                <c:pt idx="2">
                  <c:v>0</c:v>
                </c:pt>
                <c:pt idx="3">
                  <c:v>0</c:v>
                </c:pt>
                <c:pt idx="4">
                  <c:v>0</c:v>
                </c:pt>
                <c:pt idx="5">
                  <c:v>0</c:v>
                </c:pt>
                <c:pt idx="6">
                  <c:v>1651.693688225191</c:v>
                </c:pt>
                <c:pt idx="7">
                  <c:v>3303.3873764503819</c:v>
                </c:pt>
                <c:pt idx="8">
                  <c:v>4955.0810646755726</c:v>
                </c:pt>
                <c:pt idx="9">
                  <c:v>6606.7747529007638</c:v>
                </c:pt>
                <c:pt idx="10">
                  <c:v>8258.468441125955</c:v>
                </c:pt>
                <c:pt idx="11">
                  <c:v>9910.1621293511453</c:v>
                </c:pt>
                <c:pt idx="12">
                  <c:v>11561.855817576336</c:v>
                </c:pt>
                <c:pt idx="13">
                  <c:v>13213.549505801528</c:v>
                </c:pt>
                <c:pt idx="14">
                  <c:v>13213.549505801528</c:v>
                </c:pt>
                <c:pt idx="15">
                  <c:v>13213.549505801528</c:v>
                </c:pt>
                <c:pt idx="16">
                  <c:v>13213.549505801528</c:v>
                </c:pt>
                <c:pt idx="17">
                  <c:v>13213.549505801528</c:v>
                </c:pt>
                <c:pt idx="18">
                  <c:v>13213.549505801528</c:v>
                </c:pt>
                <c:pt idx="19">
                  <c:v>13213.549505801528</c:v>
                </c:pt>
                <c:pt idx="20">
                  <c:v>13213.549505801528</c:v>
                </c:pt>
                <c:pt idx="21">
                  <c:v>13213.549505801528</c:v>
                </c:pt>
                <c:pt idx="22">
                  <c:v>13213.549505801528</c:v>
                </c:pt>
                <c:pt idx="23">
                  <c:v>13213.549505801528</c:v>
                </c:pt>
                <c:pt idx="24">
                  <c:v>13213.549505801528</c:v>
                </c:pt>
                <c:pt idx="25">
                  <c:v>13213.549505801528</c:v>
                </c:pt>
                <c:pt idx="26">
                  <c:v>13213.549505801528</c:v>
                </c:pt>
                <c:pt idx="27">
                  <c:v>13213.549505801528</c:v>
                </c:pt>
                <c:pt idx="28">
                  <c:v>13213.549505801528</c:v>
                </c:pt>
                <c:pt idx="29">
                  <c:v>13213.549505801528</c:v>
                </c:pt>
                <c:pt idx="30">
                  <c:v>13213.549505801528</c:v>
                </c:pt>
                <c:pt idx="31">
                  <c:v>13213.549505801528</c:v>
                </c:pt>
                <c:pt idx="32">
                  <c:v>13213.549505801528</c:v>
                </c:pt>
                <c:pt idx="33">
                  <c:v>13213.549505801528</c:v>
                </c:pt>
                <c:pt idx="34">
                  <c:v>13213.549505801528</c:v>
                </c:pt>
                <c:pt idx="35">
                  <c:v>13213.549505801528</c:v>
                </c:pt>
                <c:pt idx="36">
                  <c:v>13213.549505801528</c:v>
                </c:pt>
                <c:pt idx="37">
                  <c:v>13213.549505801528</c:v>
                </c:pt>
                <c:pt idx="38">
                  <c:v>13213.549505801528</c:v>
                </c:pt>
                <c:pt idx="39">
                  <c:v>13213.549505801528</c:v>
                </c:pt>
                <c:pt idx="40">
                  <c:v>13213.549505801528</c:v>
                </c:pt>
              </c:numCache>
            </c:numRef>
          </c:val>
        </c:ser>
        <c:ser>
          <c:idx val="33"/>
          <c:order val="32"/>
          <c:tx>
            <c:strRef>
              <c:f>PortfolioDashboard!$BH$3</c:f>
              <c:strCache>
                <c:ptCount val="1"/>
                <c:pt idx="0">
                  <c:v>Short-term Energy Conservation Measures</c:v>
                </c:pt>
              </c:strCache>
            </c:strRef>
          </c:tx>
          <c:spPr>
            <a:ln>
              <a:solidFill>
                <a:schemeClr val="tx1"/>
              </a:solidFill>
            </a:ln>
          </c:spPr>
          <c:val>
            <c:numRef>
              <c:f>PortfolioDashboard!$BH$9:$BH$49</c:f>
              <c:numCache>
                <c:formatCode>#,##0</c:formatCode>
                <c:ptCount val="41"/>
                <c:pt idx="0">
                  <c:v>0</c:v>
                </c:pt>
                <c:pt idx="1">
                  <c:v>2742.0270431200861</c:v>
                </c:pt>
                <c:pt idx="2">
                  <c:v>5484.0540862401722</c:v>
                </c:pt>
                <c:pt idx="3">
                  <c:v>8226.0811293602583</c:v>
                </c:pt>
                <c:pt idx="4">
                  <c:v>10968.108172480344</c:v>
                </c:pt>
                <c:pt idx="5">
                  <c:v>13710.13521560043</c:v>
                </c:pt>
                <c:pt idx="6">
                  <c:v>13710.13521560043</c:v>
                </c:pt>
                <c:pt idx="7">
                  <c:v>13710.13521560043</c:v>
                </c:pt>
                <c:pt idx="8">
                  <c:v>13710.13521560043</c:v>
                </c:pt>
                <c:pt idx="9">
                  <c:v>13710.13521560043</c:v>
                </c:pt>
                <c:pt idx="10">
                  <c:v>13710.13521560043</c:v>
                </c:pt>
                <c:pt idx="11">
                  <c:v>13710.13521560043</c:v>
                </c:pt>
                <c:pt idx="12">
                  <c:v>13710.13521560043</c:v>
                </c:pt>
                <c:pt idx="13">
                  <c:v>13710.13521560043</c:v>
                </c:pt>
                <c:pt idx="14">
                  <c:v>13710.13521560043</c:v>
                </c:pt>
                <c:pt idx="15">
                  <c:v>13710.13521560043</c:v>
                </c:pt>
                <c:pt idx="16">
                  <c:v>13710.13521560043</c:v>
                </c:pt>
                <c:pt idx="17">
                  <c:v>13710.13521560043</c:v>
                </c:pt>
                <c:pt idx="18">
                  <c:v>13710.13521560043</c:v>
                </c:pt>
                <c:pt idx="19">
                  <c:v>13710.13521560043</c:v>
                </c:pt>
                <c:pt idx="20">
                  <c:v>13710.13521560043</c:v>
                </c:pt>
                <c:pt idx="21">
                  <c:v>13710.13521560043</c:v>
                </c:pt>
                <c:pt idx="22">
                  <c:v>13710.13521560043</c:v>
                </c:pt>
                <c:pt idx="23">
                  <c:v>13710.13521560043</c:v>
                </c:pt>
                <c:pt idx="24">
                  <c:v>13710.13521560043</c:v>
                </c:pt>
                <c:pt idx="25">
                  <c:v>13710.13521560043</c:v>
                </c:pt>
                <c:pt idx="26">
                  <c:v>13710.13521560043</c:v>
                </c:pt>
                <c:pt idx="27">
                  <c:v>13710.13521560043</c:v>
                </c:pt>
                <c:pt idx="28">
                  <c:v>13710.13521560043</c:v>
                </c:pt>
                <c:pt idx="29">
                  <c:v>13710.13521560043</c:v>
                </c:pt>
                <c:pt idx="30">
                  <c:v>13710.13521560043</c:v>
                </c:pt>
                <c:pt idx="31">
                  <c:v>13710.13521560043</c:v>
                </c:pt>
                <c:pt idx="32">
                  <c:v>13710.13521560043</c:v>
                </c:pt>
                <c:pt idx="33">
                  <c:v>13710.13521560043</c:v>
                </c:pt>
                <c:pt idx="34">
                  <c:v>13710.13521560043</c:v>
                </c:pt>
                <c:pt idx="35">
                  <c:v>13710.13521560043</c:v>
                </c:pt>
                <c:pt idx="36">
                  <c:v>13710.13521560043</c:v>
                </c:pt>
                <c:pt idx="37">
                  <c:v>13710.13521560043</c:v>
                </c:pt>
                <c:pt idx="38">
                  <c:v>13710.13521560043</c:v>
                </c:pt>
                <c:pt idx="39">
                  <c:v>13710.13521560043</c:v>
                </c:pt>
                <c:pt idx="40">
                  <c:v>13710.13521560043</c:v>
                </c:pt>
              </c:numCache>
            </c:numRef>
          </c:val>
        </c:ser>
        <c:ser>
          <c:idx val="34"/>
          <c:order val="33"/>
          <c:tx>
            <c:strRef>
              <c:f>PortfolioDashboard!$BI$3</c:f>
              <c:strCache>
                <c:ptCount val="1"/>
                <c:pt idx="0">
                  <c:v>Central Chiller Expansion</c:v>
                </c:pt>
              </c:strCache>
            </c:strRef>
          </c:tx>
          <c:spPr>
            <a:ln>
              <a:solidFill>
                <a:schemeClr val="tx1"/>
              </a:solidFill>
            </a:ln>
          </c:spPr>
          <c:val>
            <c:numRef>
              <c:f>PortfolioDashboard!$BI$9:$BI$49</c:f>
              <c:numCache>
                <c:formatCode>#,##0</c:formatCode>
                <c:ptCount val="41"/>
                <c:pt idx="0">
                  <c:v>0</c:v>
                </c:pt>
                <c:pt idx="1">
                  <c:v>0</c:v>
                </c:pt>
                <c:pt idx="2">
                  <c:v>2167.9819457268204</c:v>
                </c:pt>
                <c:pt idx="3">
                  <c:v>2218.6346143360465</c:v>
                </c:pt>
                <c:pt idx="4">
                  <c:v>4005.0410780820157</c:v>
                </c:pt>
                <c:pt idx="5">
                  <c:v>4055.6937466912427</c:v>
                </c:pt>
                <c:pt idx="6">
                  <c:v>4712.5079147936849</c:v>
                </c:pt>
                <c:pt idx="7">
                  <c:v>4763.1605834029124</c:v>
                </c:pt>
                <c:pt idx="8">
                  <c:v>4813.8132520121389</c:v>
                </c:pt>
                <c:pt idx="9">
                  <c:v>4864.4659206213655</c:v>
                </c:pt>
                <c:pt idx="10">
                  <c:v>4915.118589230593</c:v>
                </c:pt>
                <c:pt idx="11">
                  <c:v>4965.7712578398159</c:v>
                </c:pt>
                <c:pt idx="12">
                  <c:v>5016.4239264490425</c:v>
                </c:pt>
                <c:pt idx="13">
                  <c:v>5067.07659505827</c:v>
                </c:pt>
                <c:pt idx="14">
                  <c:v>5117.7292636674965</c:v>
                </c:pt>
                <c:pt idx="15">
                  <c:v>5168.3819322767222</c:v>
                </c:pt>
                <c:pt idx="16">
                  <c:v>5219.0346008859497</c:v>
                </c:pt>
                <c:pt idx="17">
                  <c:v>5269.6872694951762</c:v>
                </c:pt>
                <c:pt idx="18">
                  <c:v>5320.3399381044037</c:v>
                </c:pt>
                <c:pt idx="19">
                  <c:v>5370.9926067136303</c:v>
                </c:pt>
                <c:pt idx="20">
                  <c:v>5421.6452753228559</c:v>
                </c:pt>
                <c:pt idx="21">
                  <c:v>5421.6452753228559</c:v>
                </c:pt>
                <c:pt idx="22">
                  <c:v>5421.6452753228559</c:v>
                </c:pt>
                <c:pt idx="23">
                  <c:v>5421.6452753228559</c:v>
                </c:pt>
                <c:pt idx="24">
                  <c:v>5421.6452753228559</c:v>
                </c:pt>
                <c:pt idx="25">
                  <c:v>5421.6452753228559</c:v>
                </c:pt>
                <c:pt idx="26">
                  <c:v>5421.6452753228559</c:v>
                </c:pt>
                <c:pt idx="27">
                  <c:v>5421.6452753228559</c:v>
                </c:pt>
                <c:pt idx="28">
                  <c:v>5421.6452753228559</c:v>
                </c:pt>
                <c:pt idx="29">
                  <c:v>5421.6452753228559</c:v>
                </c:pt>
                <c:pt idx="30">
                  <c:v>5421.6452753228559</c:v>
                </c:pt>
                <c:pt idx="31">
                  <c:v>5421.6452753228559</c:v>
                </c:pt>
                <c:pt idx="32">
                  <c:v>5421.6452753228559</c:v>
                </c:pt>
                <c:pt idx="33">
                  <c:v>5421.6452753228559</c:v>
                </c:pt>
                <c:pt idx="34">
                  <c:v>5421.6452753228559</c:v>
                </c:pt>
                <c:pt idx="35">
                  <c:v>5421.6452753228559</c:v>
                </c:pt>
                <c:pt idx="36">
                  <c:v>5421.6452753228559</c:v>
                </c:pt>
                <c:pt idx="37">
                  <c:v>5421.6452753228559</c:v>
                </c:pt>
                <c:pt idx="38">
                  <c:v>5421.6452753228559</c:v>
                </c:pt>
                <c:pt idx="39">
                  <c:v>5421.6452753228559</c:v>
                </c:pt>
                <c:pt idx="40">
                  <c:v>5421.6452753228559</c:v>
                </c:pt>
              </c:numCache>
            </c:numRef>
          </c:val>
        </c:ser>
        <c:ser>
          <c:idx val="35"/>
          <c:order val="34"/>
          <c:tx>
            <c:strRef>
              <c:f>PortfolioDashboard!$BJ$3</c:f>
              <c:strCache>
                <c:ptCount val="1"/>
                <c:pt idx="0">
                  <c:v>Space Planning &amp; Management</c:v>
                </c:pt>
              </c:strCache>
            </c:strRef>
          </c:tx>
          <c:spPr>
            <a:ln>
              <a:solidFill>
                <a:schemeClr val="tx1"/>
              </a:solidFill>
            </a:ln>
          </c:spPr>
          <c:val>
            <c:numRef>
              <c:f>PortfolioDashboard!$BJ$9:$BJ$49</c:f>
              <c:numCache>
                <c:formatCode>#,##0</c:formatCode>
                <c:ptCount val="41"/>
                <c:pt idx="0">
                  <c:v>2011.5286795204174</c:v>
                </c:pt>
                <c:pt idx="1">
                  <c:v>4023.0573590408094</c:v>
                </c:pt>
                <c:pt idx="2">
                  <c:v>6034.5860385612268</c:v>
                </c:pt>
                <c:pt idx="3">
                  <c:v>8046.1147180816188</c:v>
                </c:pt>
                <c:pt idx="4">
                  <c:v>10057.643397602036</c:v>
                </c:pt>
                <c:pt idx="5">
                  <c:v>12069.172077122454</c:v>
                </c:pt>
                <c:pt idx="6">
                  <c:v>14080.700756642846</c:v>
                </c:pt>
                <c:pt idx="7">
                  <c:v>16092.229436163265</c:v>
                </c:pt>
                <c:pt idx="8">
                  <c:v>18103.758115683657</c:v>
                </c:pt>
                <c:pt idx="9">
                  <c:v>20115.286795204072</c:v>
                </c:pt>
                <c:pt idx="10">
                  <c:v>22126.815474724466</c:v>
                </c:pt>
                <c:pt idx="11">
                  <c:v>24138.344154244882</c:v>
                </c:pt>
                <c:pt idx="12">
                  <c:v>26149.872833765301</c:v>
                </c:pt>
                <c:pt idx="13">
                  <c:v>28161.401513285691</c:v>
                </c:pt>
                <c:pt idx="14">
                  <c:v>30172.93019280611</c:v>
                </c:pt>
                <c:pt idx="15">
                  <c:v>32184.45887232653</c:v>
                </c:pt>
                <c:pt idx="16">
                  <c:v>34195.98755184692</c:v>
                </c:pt>
                <c:pt idx="17">
                  <c:v>36207.516231367335</c:v>
                </c:pt>
                <c:pt idx="18">
                  <c:v>38219.044910887722</c:v>
                </c:pt>
                <c:pt idx="19">
                  <c:v>40230.573590408145</c:v>
                </c:pt>
                <c:pt idx="20">
                  <c:v>42242.102269928539</c:v>
                </c:pt>
                <c:pt idx="21">
                  <c:v>44253.630949448947</c:v>
                </c:pt>
                <c:pt idx="22">
                  <c:v>46265.15962896937</c:v>
                </c:pt>
                <c:pt idx="23">
                  <c:v>48276.688308489764</c:v>
                </c:pt>
                <c:pt idx="24">
                  <c:v>50288.216988010186</c:v>
                </c:pt>
                <c:pt idx="25">
                  <c:v>52299.745667530602</c:v>
                </c:pt>
                <c:pt idx="26">
                  <c:v>54311.274347050989</c:v>
                </c:pt>
                <c:pt idx="27">
                  <c:v>56322.803026571382</c:v>
                </c:pt>
                <c:pt idx="28">
                  <c:v>58334.331706091805</c:v>
                </c:pt>
                <c:pt idx="29">
                  <c:v>60345.860385612221</c:v>
                </c:pt>
                <c:pt idx="30">
                  <c:v>62357.389065132607</c:v>
                </c:pt>
                <c:pt idx="31">
                  <c:v>64368.91774465303</c:v>
                </c:pt>
                <c:pt idx="32">
                  <c:v>66380.446424173453</c:v>
                </c:pt>
                <c:pt idx="33">
                  <c:v>68391.97510369384</c:v>
                </c:pt>
                <c:pt idx="34">
                  <c:v>70403.503783214255</c:v>
                </c:pt>
                <c:pt idx="35">
                  <c:v>72415.032462734671</c:v>
                </c:pt>
                <c:pt idx="36">
                  <c:v>74426.561142255057</c:v>
                </c:pt>
                <c:pt idx="37">
                  <c:v>76438.089821775444</c:v>
                </c:pt>
                <c:pt idx="38">
                  <c:v>78449.618501295859</c:v>
                </c:pt>
                <c:pt idx="39">
                  <c:v>80461.14718081629</c:v>
                </c:pt>
                <c:pt idx="40">
                  <c:v>82472.675860336691</c:v>
                </c:pt>
              </c:numCache>
            </c:numRef>
          </c:val>
        </c:ser>
        <c:ser>
          <c:idx val="36"/>
          <c:order val="35"/>
          <c:tx>
            <c:strRef>
              <c:f>PortfolioDashboard!$BK$3</c:f>
              <c:strCache>
                <c:ptCount val="1"/>
                <c:pt idx="0">
                  <c:v>Building Design &amp; Construction Standards</c:v>
                </c:pt>
              </c:strCache>
            </c:strRef>
          </c:tx>
          <c:spPr>
            <a:ln>
              <a:solidFill>
                <a:schemeClr val="tx1"/>
              </a:solidFill>
            </a:ln>
          </c:spPr>
          <c:val>
            <c:numRef>
              <c:f>PortfolioDashboard!$BK$9:$BK$49</c:f>
              <c:numCache>
                <c:formatCode>#,##0</c:formatCode>
                <c:ptCount val="41"/>
                <c:pt idx="0">
                  <c:v>0</c:v>
                </c:pt>
                <c:pt idx="1">
                  <c:v>789.72264015453493</c:v>
                </c:pt>
                <c:pt idx="2">
                  <c:v>3573.5485844890363</c:v>
                </c:pt>
                <c:pt idx="3">
                  <c:v>4637.7326311296556</c:v>
                </c:pt>
                <c:pt idx="4">
                  <c:v>5052.878033826406</c:v>
                </c:pt>
                <c:pt idx="5">
                  <c:v>7226.3575762567925</c:v>
                </c:pt>
                <c:pt idx="6">
                  <c:v>7651.4767554743994</c:v>
                </c:pt>
                <c:pt idx="7">
                  <c:v>8077.790562160325</c:v>
                </c:pt>
                <c:pt idx="8">
                  <c:v>8505.2602187414213</c:v>
                </c:pt>
                <c:pt idx="9">
                  <c:v>8933.8486079716986</c:v>
                </c:pt>
                <c:pt idx="10">
                  <c:v>9363.5201850112971</c:v>
                </c:pt>
                <c:pt idx="11">
                  <c:v>9794.2408950338431</c:v>
                </c:pt>
                <c:pt idx="12">
                  <c:v>10225.978095960911</c:v>
                </c:pt>
                <c:pt idx="13">
                  <c:v>10658.700485955025</c:v>
                </c:pt>
                <c:pt idx="14">
                  <c:v>11092.378035332724</c:v>
                </c:pt>
                <c:pt idx="15">
                  <c:v>11526.981922587047</c:v>
                </c:pt>
                <c:pt idx="16">
                  <c:v>11962.484474232047</c:v>
                </c:pt>
                <c:pt idx="17">
                  <c:v>12398.859108206347</c:v>
                </c:pt>
                <c:pt idx="18">
                  <c:v>12836.080280592192</c:v>
                </c:pt>
                <c:pt idx="19">
                  <c:v>13274.123435425432</c:v>
                </c:pt>
                <c:pt idx="20">
                  <c:v>13712.964957389482</c:v>
                </c:pt>
                <c:pt idx="21">
                  <c:v>14152.582127201758</c:v>
                </c:pt>
                <c:pt idx="22">
                  <c:v>14592.953079515333</c:v>
                </c:pt>
                <c:pt idx="23">
                  <c:v>15034.056763171931</c:v>
                </c:pt>
                <c:pt idx="24">
                  <c:v>15475.872903654525</c:v>
                </c:pt>
                <c:pt idx="25">
                  <c:v>15918.381967598942</c:v>
                </c:pt>
                <c:pt idx="26">
                  <c:v>16361.565129233688</c:v>
                </c:pt>
                <c:pt idx="27">
                  <c:v>16805.404238626754</c:v>
                </c:pt>
                <c:pt idx="28">
                  <c:v>17249.881791627668</c:v>
                </c:pt>
                <c:pt idx="29">
                  <c:v>17694.980901399122</c:v>
                </c:pt>
                <c:pt idx="30">
                  <c:v>18140.685271441605</c:v>
                </c:pt>
                <c:pt idx="31">
                  <c:v>18586.97917002024</c:v>
                </c:pt>
                <c:pt idx="32">
                  <c:v>19033.847405909608</c:v>
                </c:pt>
                <c:pt idx="33">
                  <c:v>19481.275305378116</c:v>
                </c:pt>
                <c:pt idx="34">
                  <c:v>19929.24869033814</c:v>
                </c:pt>
                <c:pt idx="35">
                  <c:v>20377.753857594329</c:v>
                </c:pt>
                <c:pt idx="36">
                  <c:v>20826.777559125614</c:v>
                </c:pt>
                <c:pt idx="37">
                  <c:v>21276.306983341619</c:v>
                </c:pt>
                <c:pt idx="38">
                  <c:v>21726.329737257827</c:v>
                </c:pt>
                <c:pt idx="39">
                  <c:v>22176.83382953706</c:v>
                </c:pt>
                <c:pt idx="40">
                  <c:v>22627.807654349104</c:v>
                </c:pt>
              </c:numCache>
            </c:numRef>
          </c:val>
        </c:ser>
        <c:ser>
          <c:idx val="37"/>
          <c:order val="36"/>
          <c:tx>
            <c:strRef>
              <c:f>PortfolioDashboard!$BL$3</c:f>
              <c:strCache>
                <c:ptCount val="1"/>
                <c:pt idx="0">
                  <c:v>Behavior Change</c:v>
                </c:pt>
              </c:strCache>
            </c:strRef>
          </c:tx>
          <c:spPr>
            <a:ln>
              <a:solidFill>
                <a:schemeClr val="tx1"/>
              </a:solidFill>
            </a:ln>
          </c:spPr>
          <c:val>
            <c:numRef>
              <c:f>PortfolioDashboard!$BL$9:$BL$49</c:f>
              <c:numCache>
                <c:formatCode>#,##0</c:formatCode>
                <c:ptCount val="41"/>
                <c:pt idx="0">
                  <c:v>0</c:v>
                </c:pt>
                <c:pt idx="1">
                  <c:v>0</c:v>
                </c:pt>
                <c:pt idx="2">
                  <c:v>443.03041713126811</c:v>
                </c:pt>
                <c:pt idx="3">
                  <c:v>877.25965895883451</c:v>
                </c:pt>
                <c:pt idx="4">
                  <c:v>1300.8517178401214</c:v>
                </c:pt>
                <c:pt idx="5">
                  <c:v>1720.4743232307801</c:v>
                </c:pt>
                <c:pt idx="6">
                  <c:v>2130.2219889227813</c:v>
                </c:pt>
                <c:pt idx="7">
                  <c:v>2531.7905847036163</c:v>
                </c:pt>
                <c:pt idx="8">
                  <c:v>2841.5897522124551</c:v>
                </c:pt>
                <c:pt idx="9">
                  <c:v>3144.8176964852678</c:v>
                </c:pt>
                <c:pt idx="10">
                  <c:v>3441.464195208222</c:v>
                </c:pt>
                <c:pt idx="11">
                  <c:v>3731.5194545793479</c:v>
                </c:pt>
                <c:pt idx="12">
                  <c:v>4014.9740870877836</c:v>
                </c:pt>
                <c:pt idx="13">
                  <c:v>3973.9065654273677</c:v>
                </c:pt>
                <c:pt idx="14">
                  <c:v>3960.275297755366</c:v>
                </c:pt>
                <c:pt idx="15">
                  <c:v>3946.6043494384821</c:v>
                </c:pt>
                <c:pt idx="16">
                  <c:v>3932.894905899223</c:v>
                </c:pt>
                <c:pt idx="17">
                  <c:v>3919.1481058077857</c:v>
                </c:pt>
                <c:pt idx="18">
                  <c:v>3905.365043364422</c:v>
                </c:pt>
                <c:pt idx="19">
                  <c:v>3891.5467704493494</c:v>
                </c:pt>
                <c:pt idx="20">
                  <c:v>3877.694298649179</c:v>
                </c:pt>
                <c:pt idx="21">
                  <c:v>3863.8086011679702</c:v>
                </c:pt>
                <c:pt idx="22">
                  <c:v>3849.8906146305685</c:v>
                </c:pt>
                <c:pt idx="23">
                  <c:v>3835.9412407851964</c:v>
                </c:pt>
                <c:pt idx="24">
                  <c:v>3831.4219676905486</c:v>
                </c:pt>
                <c:pt idx="25">
                  <c:v>3826.8730124998601</c:v>
                </c:pt>
                <c:pt idx="26">
                  <c:v>3822.2951816346049</c:v>
                </c:pt>
                <c:pt idx="27">
                  <c:v>3817.6892525659619</c:v>
                </c:pt>
                <c:pt idx="28">
                  <c:v>3813.0559751023975</c:v>
                </c:pt>
                <c:pt idx="29">
                  <c:v>3808.39607260912</c:v>
                </c:pt>
                <c:pt idx="30">
                  <c:v>3803.7102431636122</c:v>
                </c:pt>
                <c:pt idx="31">
                  <c:v>3798.9991606510753</c:v>
                </c:pt>
                <c:pt idx="32">
                  <c:v>3794.2634758034219</c:v>
                </c:pt>
                <c:pt idx="33">
                  <c:v>3789.5038171851834</c:v>
                </c:pt>
                <c:pt idx="34">
                  <c:v>3784.7207921294653</c:v>
                </c:pt>
                <c:pt idx="35">
                  <c:v>3779.9149876268702</c:v>
                </c:pt>
                <c:pt idx="36">
                  <c:v>3775.0869711701425</c:v>
                </c:pt>
                <c:pt idx="37">
                  <c:v>3770.2372915570536</c:v>
                </c:pt>
                <c:pt idx="38">
                  <c:v>3765.3664796539692</c:v>
                </c:pt>
                <c:pt idx="39">
                  <c:v>3760.4750491222649</c:v>
                </c:pt>
                <c:pt idx="40">
                  <c:v>3755.5634971097347</c:v>
                </c:pt>
              </c:numCache>
            </c:numRef>
          </c:val>
        </c:ser>
        <c:ser>
          <c:idx val="0"/>
          <c:order val="37"/>
          <c:tx>
            <c:strRef>
              <c:f>PortfolioDashboard!$BM$3</c:f>
              <c:strCache>
                <c:ptCount val="1"/>
              </c:strCache>
            </c:strRef>
          </c:tx>
          <c:spPr>
            <a:solidFill>
              <a:schemeClr val="accent3">
                <a:lumMod val="75000"/>
              </a:schemeClr>
            </a:solidFill>
            <a:ln>
              <a:solidFill>
                <a:sysClr val="windowText" lastClr="000000"/>
              </a:solidFill>
            </a:ln>
          </c:spPr>
          <c:dLbls>
            <c:dLbl>
              <c:idx val="0"/>
              <c:layout>
                <c:manualLayout>
                  <c:x val="0.32437046521553986"/>
                  <c:y val="-5.3663570691434466E-2"/>
                </c:manualLayout>
              </c:layout>
              <c:showSerName val="1"/>
            </c:dLbl>
            <c:showSerName val="1"/>
          </c:dLbls>
          <c:val>
            <c:numRef>
              <c:f>PortfolioDashboard!$BM$9:$BM$49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axId val="82033664"/>
        <c:axId val="82052992"/>
      </c:areaChart>
      <c:lineChart>
        <c:grouping val="standard"/>
        <c:ser>
          <c:idx val="2"/>
          <c:order val="0"/>
          <c:tx>
            <c:strRef>
              <c:f>PortfolioDashboard!$AC$3</c:f>
              <c:strCache>
                <c:ptCount val="1"/>
                <c:pt idx="0">
                  <c:v>Neutrality by 2050</c:v>
                </c:pt>
              </c:strCache>
            </c:strRef>
          </c:tx>
          <c:spPr>
            <a:ln>
              <a:solidFill>
                <a:sysClr val="windowText" lastClr="000000"/>
              </a:solidFill>
              <a:prstDash val="sysDash"/>
            </a:ln>
          </c:spPr>
          <c:marker>
            <c:symbol val="none"/>
          </c:marker>
          <c:cat>
            <c:numRef>
              <c:f>PortfolioDashboard!$AA$9:$AA$49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PortfolioDashboard!$AC$9:$AC$49</c:f>
              <c:numCache>
                <c:formatCode>#,##0</c:formatCode>
                <c:ptCount val="41"/>
                <c:pt idx="0">
                  <c:v>266371.49010856845</c:v>
                </c:pt>
                <c:pt idx="1">
                  <c:v>259712.20285585424</c:v>
                </c:pt>
                <c:pt idx="2">
                  <c:v>253052.91560314002</c:v>
                </c:pt>
                <c:pt idx="3">
                  <c:v>246393.6283504258</c:v>
                </c:pt>
                <c:pt idx="4">
                  <c:v>239734.34109771159</c:v>
                </c:pt>
                <c:pt idx="5">
                  <c:v>233075.05384499737</c:v>
                </c:pt>
                <c:pt idx="6">
                  <c:v>226415.76659228315</c:v>
                </c:pt>
                <c:pt idx="7">
                  <c:v>219756.47933956893</c:v>
                </c:pt>
                <c:pt idx="8">
                  <c:v>213097.19208685472</c:v>
                </c:pt>
                <c:pt idx="9">
                  <c:v>206437.9048341405</c:v>
                </c:pt>
                <c:pt idx="10">
                  <c:v>199778.61758142628</c:v>
                </c:pt>
                <c:pt idx="11">
                  <c:v>193119.33032871207</c:v>
                </c:pt>
                <c:pt idx="12">
                  <c:v>186460.04307599785</c:v>
                </c:pt>
                <c:pt idx="13">
                  <c:v>179800.75582328363</c:v>
                </c:pt>
                <c:pt idx="14">
                  <c:v>173141.46857056941</c:v>
                </c:pt>
                <c:pt idx="15">
                  <c:v>166482.1813178552</c:v>
                </c:pt>
                <c:pt idx="16">
                  <c:v>159822.89406514098</c:v>
                </c:pt>
                <c:pt idx="17">
                  <c:v>153163.60681242676</c:v>
                </c:pt>
                <c:pt idx="18">
                  <c:v>146504.31955971255</c:v>
                </c:pt>
                <c:pt idx="19">
                  <c:v>139845.03230699833</c:v>
                </c:pt>
                <c:pt idx="20">
                  <c:v>133185.74505428411</c:v>
                </c:pt>
                <c:pt idx="21">
                  <c:v>126526.45780156989</c:v>
                </c:pt>
                <c:pt idx="22">
                  <c:v>119867.17054885568</c:v>
                </c:pt>
                <c:pt idx="23">
                  <c:v>113207.88329614146</c:v>
                </c:pt>
                <c:pt idx="24">
                  <c:v>106548.59604342724</c:v>
                </c:pt>
                <c:pt idx="25">
                  <c:v>99889.308790713025</c:v>
                </c:pt>
                <c:pt idx="26">
                  <c:v>93230.021537998808</c:v>
                </c:pt>
                <c:pt idx="27">
                  <c:v>86570.73428528459</c:v>
                </c:pt>
                <c:pt idx="28">
                  <c:v>79911.447032570373</c:v>
                </c:pt>
                <c:pt idx="29">
                  <c:v>73252.159779856156</c:v>
                </c:pt>
                <c:pt idx="30">
                  <c:v>66592.872527141939</c:v>
                </c:pt>
                <c:pt idx="31">
                  <c:v>59933.585274427729</c:v>
                </c:pt>
                <c:pt idx="32">
                  <c:v>53274.298021713519</c:v>
                </c:pt>
                <c:pt idx="33">
                  <c:v>46615.010768999309</c:v>
                </c:pt>
                <c:pt idx="34">
                  <c:v>39955.723516285099</c:v>
                </c:pt>
                <c:pt idx="35">
                  <c:v>33296.436263570889</c:v>
                </c:pt>
                <c:pt idx="36">
                  <c:v>26637.14901085668</c:v>
                </c:pt>
                <c:pt idx="37">
                  <c:v>19977.86175814247</c:v>
                </c:pt>
                <c:pt idx="38">
                  <c:v>13318.574505428258</c:v>
                </c:pt>
                <c:pt idx="39">
                  <c:v>6659.2872527140462</c:v>
                </c:pt>
                <c:pt idx="40">
                  <c:v>0</c:v>
                </c:pt>
              </c:numCache>
            </c:numRef>
          </c:val>
        </c:ser>
        <c:ser>
          <c:idx val="1"/>
          <c:order val="1"/>
          <c:tx>
            <c:strRef>
              <c:f>PortfolioDashboard!$AB$3</c:f>
              <c:strCache>
                <c:ptCount val="1"/>
                <c:pt idx="0">
                  <c:v>Business As Usual (No Grid Footprint Change)</c:v>
                </c:pt>
              </c:strCache>
            </c:strRef>
          </c:tx>
          <c:spPr>
            <a:ln>
              <a:solidFill>
                <a:sysClr val="windowText" lastClr="000000"/>
              </a:solidFill>
            </a:ln>
          </c:spPr>
          <c:marker>
            <c:symbol val="circle"/>
            <c:size val="5"/>
            <c:spPr>
              <a:solidFill>
                <a:srgbClr val="4F81BD"/>
              </a:solidFill>
              <a:ln w="25400">
                <a:solidFill>
                  <a:sysClr val="windowText" lastClr="000000"/>
                </a:solidFill>
              </a:ln>
            </c:spPr>
          </c:marker>
          <c:cat>
            <c:numRef>
              <c:f>PortfolioDashboard!$AA$9:$AA$49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PortfolioDashboard!$AB$9:$AB$49</c:f>
              <c:numCache>
                <c:formatCode>#,##0</c:formatCode>
                <c:ptCount val="41"/>
                <c:pt idx="0">
                  <c:v>266371.49010856845</c:v>
                </c:pt>
                <c:pt idx="1">
                  <c:v>269303.67742545606</c:v>
                </c:pt>
                <c:pt idx="2">
                  <c:v>275791.85529217363</c:v>
                </c:pt>
                <c:pt idx="3">
                  <c:v>279648.61947465339</c:v>
                </c:pt>
                <c:pt idx="4">
                  <c:v>282513.6365609222</c:v>
                </c:pt>
                <c:pt idx="5">
                  <c:v>287982.71814977459</c:v>
                </c:pt>
                <c:pt idx="6">
                  <c:v>290832.72619485745</c:v>
                </c:pt>
                <c:pt idx="7">
                  <c:v>293677.61173126666</c:v>
                </c:pt>
                <c:pt idx="8">
                  <c:v>296518.31091099617</c:v>
                </c:pt>
                <c:pt idx="9">
                  <c:v>299355.50534027134</c:v>
                </c:pt>
                <c:pt idx="10">
                  <c:v>302189.70957647648</c:v>
                </c:pt>
                <c:pt idx="11">
                  <c:v>305021.32337931462</c:v>
                </c:pt>
                <c:pt idx="12">
                  <c:v>307850.66465653217</c:v>
                </c:pt>
                <c:pt idx="13">
                  <c:v>310677.99116637878</c:v>
                </c:pt>
                <c:pt idx="14">
                  <c:v>313503.51533850358</c:v>
                </c:pt>
                <c:pt idx="15">
                  <c:v>316327.41470602393</c:v>
                </c:pt>
                <c:pt idx="16">
                  <c:v>319149.83943984361</c:v>
                </c:pt>
                <c:pt idx="17">
                  <c:v>321970.91791220132</c:v>
                </c:pt>
                <c:pt idx="18">
                  <c:v>324790.76088511513</c:v>
                </c:pt>
                <c:pt idx="19">
                  <c:v>327609.46471763018</c:v>
                </c:pt>
                <c:pt idx="20">
                  <c:v>330427.11385898734</c:v>
                </c:pt>
                <c:pt idx="21">
                  <c:v>333243.78281291976</c:v>
                </c:pt>
                <c:pt idx="22">
                  <c:v>336059.53770405636</c:v>
                </c:pt>
                <c:pt idx="23">
                  <c:v>338874.43754072115</c:v>
                </c:pt>
                <c:pt idx="24">
                  <c:v>341688.53524309385</c:v>
                </c:pt>
                <c:pt idx="25">
                  <c:v>344501.87848791596</c:v>
                </c:pt>
                <c:pt idx="26">
                  <c:v>347314.51040823129</c:v>
                </c:pt>
                <c:pt idx="27">
                  <c:v>350126.47017745476</c:v>
                </c:pt>
                <c:pt idx="28">
                  <c:v>352937.79350031726</c:v>
                </c:pt>
                <c:pt idx="29">
                  <c:v>355748.51302821358</c:v>
                </c:pt>
                <c:pt idx="30">
                  <c:v>358558.65871271305</c:v>
                </c:pt>
                <c:pt idx="31">
                  <c:v>361368.25810812588</c:v>
                </c:pt>
                <c:pt idx="32">
                  <c:v>364177.33663181978</c:v>
                </c:pt>
                <c:pt idx="33">
                  <c:v>366985.91778928402</c:v>
                </c:pt>
                <c:pt idx="34">
                  <c:v>369794.02336960268</c:v>
                </c:pt>
                <c:pt idx="35">
                  <c:v>372601.67361595959</c:v>
                </c:pt>
                <c:pt idx="36">
                  <c:v>375408.887374966</c:v>
                </c:pt>
                <c:pt idx="37">
                  <c:v>378215.68222793727</c:v>
                </c:pt>
                <c:pt idx="38">
                  <c:v>381022.07460672036</c:v>
                </c:pt>
                <c:pt idx="39">
                  <c:v>383828.07989623188</c:v>
                </c:pt>
                <c:pt idx="40">
                  <c:v>386633.71252553025</c:v>
                </c:pt>
              </c:numCache>
            </c:numRef>
          </c:val>
        </c:ser>
        <c:marker val="1"/>
        <c:axId val="82033664"/>
        <c:axId val="82052992"/>
      </c:lineChart>
      <c:catAx>
        <c:axId val="82033664"/>
        <c:scaling>
          <c:orientation val="minMax"/>
        </c:scaling>
        <c:axPos val="b"/>
        <c:tickLblPos val="nextTo"/>
        <c:crossAx val="82052992"/>
        <c:crosses val="autoZero"/>
        <c:auto val="1"/>
        <c:lblAlgn val="ctr"/>
        <c:lblOffset val="100"/>
        <c:tickLblSkip val="5"/>
        <c:tickMarkSkip val="5"/>
      </c:catAx>
      <c:valAx>
        <c:axId val="82052992"/>
        <c:scaling>
          <c:orientation val="minMax"/>
        </c:scaling>
        <c:axPos val="l"/>
        <c:majorGridlines/>
        <c:title>
          <c:tx>
            <c:rich>
              <a:bodyPr rot="-5400000" vert="horz"/>
              <a:lstStyle/>
              <a:p>
                <a:pPr>
                  <a:defRPr/>
                </a:pPr>
                <a:r>
                  <a:rPr lang="en-US"/>
                  <a:t>MTCO</a:t>
                </a:r>
                <a:r>
                  <a:rPr lang="en-US" baseline="-25000"/>
                  <a:t>2</a:t>
                </a:r>
                <a:r>
                  <a:rPr lang="en-US"/>
                  <a:t>e</a:t>
                </a:r>
              </a:p>
            </c:rich>
          </c:tx>
        </c:title>
        <c:numFmt formatCode="#,##0" sourceLinked="1"/>
        <c:tickLblPos val="nextTo"/>
        <c:crossAx val="82033664"/>
        <c:crosses val="autoZero"/>
        <c:crossBetween val="between"/>
      </c:valAx>
    </c:plotArea>
    <c:plotVisOnly val="1"/>
    <c:dispBlanksAs val="zero"/>
  </c:chart>
  <c:spPr>
    <a:ln>
      <a:solidFill>
        <a:sysClr val="windowText" lastClr="000000"/>
      </a:solidFill>
    </a:ln>
  </c:spPr>
  <c:printSettings>
    <c:headerFooter/>
    <c:pageMargins b="0.75000000000000955" l="0.70000000000000062" r="0.70000000000000062" t="0.7500000000000095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areaChart>
        <c:grouping val="stacked"/>
        <c:ser>
          <c:idx val="2"/>
          <c:order val="1"/>
          <c:tx>
            <c:strRef>
              <c:f>PortfolioDashboard!$AD$191</c:f>
              <c:strCache>
                <c:ptCount val="1"/>
                <c:pt idx="0">
                  <c:v>BAU Less Portfolio (Other Scope 1)</c:v>
                </c:pt>
              </c:strCache>
            </c:strRef>
          </c:tx>
          <c:spPr>
            <a:solidFill>
              <a:schemeClr val="accent3">
                <a:lumMod val="60000"/>
                <a:lumOff val="40000"/>
              </a:schemeClr>
            </a:solidFill>
            <a:ln>
              <a:solidFill>
                <a:sysClr val="windowText" lastClr="000000"/>
              </a:solidFill>
            </a:ln>
          </c:spP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PortfolioDashboard!$AD$197:$AD$237</c:f>
              <c:numCache>
                <c:formatCode>#,##0</c:formatCode>
                <c:ptCount val="41"/>
                <c:pt idx="0">
                  <c:v>19403.967151784022</c:v>
                </c:pt>
                <c:pt idx="1">
                  <c:v>19635.559920844986</c:v>
                </c:pt>
                <c:pt idx="2">
                  <c:v>20175.606093442471</c:v>
                </c:pt>
                <c:pt idx="3">
                  <c:v>20490.793479463464</c:v>
                </c:pt>
                <c:pt idx="4">
                  <c:v>20721.600734731339</c:v>
                </c:pt>
                <c:pt idx="5">
                  <c:v>21176.94694453691</c:v>
                </c:pt>
                <c:pt idx="6">
                  <c:v>21407.578677725378</c:v>
                </c:pt>
                <c:pt idx="7">
                  <c:v>21638.150505990383</c:v>
                </c:pt>
                <c:pt idx="8">
                  <c:v>21868.673377042745</c:v>
                </c:pt>
                <c:pt idx="9">
                  <c:v>22099.155261844102</c:v>
                </c:pt>
                <c:pt idx="10">
                  <c:v>22329.602177826593</c:v>
                </c:pt>
                <c:pt idx="11">
                  <c:v>22560.018799936457</c:v>
                </c:pt>
                <c:pt idx="12">
                  <c:v>22790.408845913007</c:v>
                </c:pt>
                <c:pt idx="13">
                  <c:v>23020.77533008498</c:v>
                </c:pt>
                <c:pt idx="14">
                  <c:v>23251.120736691468</c:v>
                </c:pt>
                <c:pt idx="15">
                  <c:v>23481.447141878285</c:v>
                </c:pt>
                <c:pt idx="16">
                  <c:v>23711.756301807087</c:v>
                </c:pt>
                <c:pt idx="17">
                  <c:v>23942.049717717506</c:v>
                </c:pt>
                <c:pt idx="18">
                  <c:v>24172.328684908407</c:v>
                </c:pt>
                <c:pt idx="19">
                  <c:v>24402.594330244665</c:v>
                </c:pt>
                <c:pt idx="20">
                  <c:v>24632.847641313125</c:v>
                </c:pt>
                <c:pt idx="21">
                  <c:v>24863.08948939394</c:v>
                </c:pt>
                <c:pt idx="22">
                  <c:v>25093.320647778608</c:v>
                </c:pt>
                <c:pt idx="23">
                  <c:v>25323.541806537673</c:v>
                </c:pt>
                <c:pt idx="24">
                  <c:v>25553.75358454444</c:v>
                </c:pt>
                <c:pt idx="25">
                  <c:v>25783.956539353247</c:v>
                </c:pt>
                <c:pt idx="26">
                  <c:v>26014.151175382554</c:v>
                </c:pt>
                <c:pt idx="27">
                  <c:v>26244.337950745237</c:v>
                </c:pt>
                <c:pt idx="28">
                  <c:v>26474.517282989938</c:v>
                </c:pt>
                <c:pt idx="29">
                  <c:v>26704.689553958251</c:v>
                </c:pt>
                <c:pt idx="30">
                  <c:v>26934.85511391886</c:v>
                </c:pt>
                <c:pt idx="31">
                  <c:v>27165.014285105874</c:v>
                </c:pt>
                <c:pt idx="32">
                  <c:v>27395.167364763012</c:v>
                </c:pt>
                <c:pt idx="33">
                  <c:v>27625.314627775704</c:v>
                </c:pt>
                <c:pt idx="34">
                  <c:v>27855.456328956927</c:v>
                </c:pt>
                <c:pt idx="35">
                  <c:v>28085.592705041225</c:v>
                </c:pt>
                <c:pt idx="36">
                  <c:v>28315.723976430982</c:v>
                </c:pt>
                <c:pt idx="37">
                  <c:v>28545.850348731648</c:v>
                </c:pt>
                <c:pt idx="38">
                  <c:v>28775.972014106253</c:v>
                </c:pt>
                <c:pt idx="39">
                  <c:v>29006.089152474538</c:v>
                </c:pt>
                <c:pt idx="40">
                  <c:v>29236.201932578002</c:v>
                </c:pt>
              </c:numCache>
            </c:numRef>
          </c:val>
        </c:ser>
        <c:ser>
          <c:idx val="1"/>
          <c:order val="2"/>
          <c:tx>
            <c:strRef>
              <c:f>PortfolioDashboard!$AC$191</c:f>
              <c:strCache>
                <c:ptCount val="1"/>
                <c:pt idx="0">
                  <c:v>BAU Less Portfolio (NG Scope 1)</c:v>
                </c:pt>
              </c:strCache>
            </c:strRef>
          </c:tx>
          <c:spPr>
            <a:solidFill>
              <a:schemeClr val="accent3">
                <a:lumMod val="75000"/>
              </a:schemeClr>
            </a:solidFill>
            <a:ln>
              <a:solidFill>
                <a:sysClr val="windowText" lastClr="000000"/>
              </a:solidFill>
            </a:ln>
          </c:spPr>
          <c:val>
            <c:numRef>
              <c:f>PortfolioDashboard!$AC$197:$AC$237</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axId val="82094720"/>
        <c:axId val="82112896"/>
      </c:areaChart>
      <c:lineChart>
        <c:grouping val="standard"/>
        <c:ser>
          <c:idx val="0"/>
          <c:order val="0"/>
          <c:tx>
            <c:strRef>
              <c:f>PortfolioDashboard!$AB$191</c:f>
              <c:strCache>
                <c:ptCount val="1"/>
                <c:pt idx="0">
                  <c:v>Business As Usual</c:v>
                </c:pt>
              </c:strCache>
            </c:strRef>
          </c:tx>
          <c:marker>
            <c:symbol val="none"/>
          </c:marke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PortfolioDashboard!$AB$197:$AB$237</c:f>
              <c:numCache>
                <c:formatCode>#,##0</c:formatCode>
                <c:ptCount val="41"/>
                <c:pt idx="0">
                  <c:v>19403.967151784022</c:v>
                </c:pt>
                <c:pt idx="1">
                  <c:v>19635.559920844986</c:v>
                </c:pt>
                <c:pt idx="2">
                  <c:v>20175.606093442471</c:v>
                </c:pt>
                <c:pt idx="3">
                  <c:v>20490.793479463464</c:v>
                </c:pt>
                <c:pt idx="4">
                  <c:v>20721.600734731339</c:v>
                </c:pt>
                <c:pt idx="5">
                  <c:v>21176.94694453691</c:v>
                </c:pt>
                <c:pt idx="6">
                  <c:v>21407.578677725378</c:v>
                </c:pt>
                <c:pt idx="7">
                  <c:v>21638.150505990383</c:v>
                </c:pt>
                <c:pt idx="8">
                  <c:v>21868.673377042745</c:v>
                </c:pt>
                <c:pt idx="9">
                  <c:v>22099.155261844102</c:v>
                </c:pt>
                <c:pt idx="10">
                  <c:v>22329.602177826593</c:v>
                </c:pt>
                <c:pt idx="11">
                  <c:v>22560.018799936457</c:v>
                </c:pt>
                <c:pt idx="12">
                  <c:v>22790.408845913007</c:v>
                </c:pt>
                <c:pt idx="13">
                  <c:v>23020.77533008498</c:v>
                </c:pt>
                <c:pt idx="14">
                  <c:v>23251.120736691468</c:v>
                </c:pt>
                <c:pt idx="15">
                  <c:v>23481.447141878285</c:v>
                </c:pt>
                <c:pt idx="16">
                  <c:v>23711.756301807087</c:v>
                </c:pt>
                <c:pt idx="17">
                  <c:v>23942.049717717506</c:v>
                </c:pt>
                <c:pt idx="18">
                  <c:v>24172.328684908407</c:v>
                </c:pt>
                <c:pt idx="19">
                  <c:v>24402.594330244665</c:v>
                </c:pt>
                <c:pt idx="20">
                  <c:v>24632.847641313125</c:v>
                </c:pt>
                <c:pt idx="21">
                  <c:v>24863.08948939394</c:v>
                </c:pt>
                <c:pt idx="22">
                  <c:v>25093.320647778608</c:v>
                </c:pt>
                <c:pt idx="23">
                  <c:v>25323.541806537673</c:v>
                </c:pt>
                <c:pt idx="24">
                  <c:v>25553.75358454444</c:v>
                </c:pt>
                <c:pt idx="25">
                  <c:v>25783.956539353247</c:v>
                </c:pt>
                <c:pt idx="26">
                  <c:v>26014.151175382554</c:v>
                </c:pt>
                <c:pt idx="27">
                  <c:v>26244.337950745237</c:v>
                </c:pt>
                <c:pt idx="28">
                  <c:v>26474.517282989938</c:v>
                </c:pt>
                <c:pt idx="29">
                  <c:v>26704.689553958251</c:v>
                </c:pt>
                <c:pt idx="30">
                  <c:v>26934.85511391886</c:v>
                </c:pt>
                <c:pt idx="31">
                  <c:v>27165.014285105874</c:v>
                </c:pt>
                <c:pt idx="32">
                  <c:v>27395.167364763012</c:v>
                </c:pt>
                <c:pt idx="33">
                  <c:v>27625.314627775704</c:v>
                </c:pt>
                <c:pt idx="34">
                  <c:v>27855.456328956927</c:v>
                </c:pt>
                <c:pt idx="35">
                  <c:v>28085.592705041225</c:v>
                </c:pt>
                <c:pt idx="36">
                  <c:v>28315.723976430982</c:v>
                </c:pt>
                <c:pt idx="37">
                  <c:v>28545.850348731648</c:v>
                </c:pt>
                <c:pt idx="38">
                  <c:v>28775.972014106253</c:v>
                </c:pt>
                <c:pt idx="39">
                  <c:v>29006.089152474538</c:v>
                </c:pt>
                <c:pt idx="40">
                  <c:v>29236.201932578002</c:v>
                </c:pt>
              </c:numCache>
            </c:numRef>
          </c:val>
        </c:ser>
        <c:marker val="1"/>
        <c:axId val="82094720"/>
        <c:axId val="82112896"/>
      </c:lineChart>
      <c:catAx>
        <c:axId val="82094720"/>
        <c:scaling>
          <c:orientation val="minMax"/>
        </c:scaling>
        <c:axPos val="b"/>
        <c:numFmt formatCode="General" sourceLinked="1"/>
        <c:tickLblPos val="nextTo"/>
        <c:crossAx val="82112896"/>
        <c:crosses val="autoZero"/>
        <c:auto val="1"/>
        <c:lblAlgn val="ctr"/>
        <c:lblOffset val="100"/>
        <c:tickLblSkip val="5"/>
        <c:tickMarkSkip val="5"/>
      </c:catAx>
      <c:valAx>
        <c:axId val="82112896"/>
        <c:scaling>
          <c:orientation val="minMax"/>
          <c:max val="250000"/>
        </c:scaling>
        <c:axPos val="l"/>
        <c:majorGridlines/>
        <c:title>
          <c:tx>
            <c:rich>
              <a:bodyPr rot="-5400000" vert="horz"/>
              <a:lstStyle/>
              <a:p>
                <a:pPr>
                  <a:defRPr/>
                </a:pPr>
                <a:r>
                  <a:rPr lang="en-US"/>
                  <a:t>Scope</a:t>
                </a:r>
                <a:r>
                  <a:rPr lang="en-US" baseline="0"/>
                  <a:t> 1 Emissions (MTCO2e)</a:t>
                </a:r>
                <a:endParaRPr lang="en-US"/>
              </a:p>
            </c:rich>
          </c:tx>
        </c:title>
        <c:numFmt formatCode="#,##0" sourceLinked="1"/>
        <c:tickLblPos val="nextTo"/>
        <c:crossAx val="82094720"/>
        <c:crosses val="autoZero"/>
        <c:crossBetween val="between"/>
      </c:valAx>
    </c:plotArea>
    <c:legend>
      <c:legendPos val="l"/>
      <c:layout>
        <c:manualLayout>
          <c:xMode val="edge"/>
          <c:yMode val="edge"/>
          <c:x val="0.25967086341705525"/>
          <c:y val="2.8861767279090202E-2"/>
          <c:w val="0.6560470742286536"/>
          <c:h val="0.1874790026246719"/>
        </c:manualLayout>
      </c:layout>
      <c:overlay val="1"/>
      <c:spPr>
        <a:solidFill>
          <a:schemeClr val="lt1"/>
        </a:solidFill>
        <a:ln w="254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legend>
    <c:plotVisOnly val="1"/>
    <c:dispBlanksAs val="zero"/>
  </c:chart>
  <c:spPr>
    <a:ln>
      <a:solidFill>
        <a:sysClr val="windowText" lastClr="000000"/>
      </a:solidFill>
    </a:ln>
  </c:spPr>
  <c:printSettings>
    <c:headerFooter/>
    <c:pageMargins b="0.75000000000000977" l="0.70000000000000062" r="0.70000000000000062" t="0.750000000000009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areaChart>
        <c:grouping val="stacked"/>
        <c:ser>
          <c:idx val="2"/>
          <c:order val="1"/>
          <c:tx>
            <c:strRef>
              <c:f>PortfolioDashboard!$AD$238</c:f>
              <c:strCache>
                <c:ptCount val="1"/>
                <c:pt idx="0">
                  <c:v>BAU Less Portfolio</c:v>
                </c:pt>
              </c:strCache>
            </c:strRef>
          </c:tx>
          <c:spPr>
            <a:solidFill>
              <a:schemeClr val="accent3">
                <a:lumMod val="75000"/>
              </a:schemeClr>
            </a:solidFill>
            <a:ln>
              <a:solidFill>
                <a:sysClr val="windowText" lastClr="000000"/>
              </a:solidFill>
            </a:ln>
          </c:spP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PortfolioDashboard!$AD$244:$AD$284</c:f>
              <c:numCache>
                <c:formatCode>#,##0</c:formatCode>
                <c:ptCount val="41"/>
                <c:pt idx="0">
                  <c:v>183365.5656504092</c:v>
                </c:pt>
                <c:pt idx="1">
                  <c:v>180071.82239167052</c:v>
                </c:pt>
                <c:pt idx="2">
                  <c:v>170282.56913104199</c:v>
                </c:pt>
                <c:pt idx="3">
                  <c:v>164507.51744774386</c:v>
                </c:pt>
                <c:pt idx="4">
                  <c:v>157518.1638063656</c:v>
                </c:pt>
                <c:pt idx="5">
                  <c:v>135408.05633511263</c:v>
                </c:pt>
                <c:pt idx="6">
                  <c:v>132389.04575446676</c:v>
                </c:pt>
                <c:pt idx="7">
                  <c:v>129983.18111575692</c:v>
                </c:pt>
                <c:pt idx="8">
                  <c:v>127667.9300554239</c:v>
                </c:pt>
                <c:pt idx="9">
                  <c:v>125358.13148567776</c:v>
                </c:pt>
                <c:pt idx="10">
                  <c:v>123053.83117367212</c:v>
                </c:pt>
                <c:pt idx="11">
                  <c:v>120755.07296803534</c:v>
                </c:pt>
                <c:pt idx="12">
                  <c:v>118461.89889835674</c:v>
                </c:pt>
                <c:pt idx="13">
                  <c:v>116492.26179378002</c:v>
                </c:pt>
                <c:pt idx="14">
                  <c:v>115137.70280375385</c:v>
                </c:pt>
                <c:pt idx="15">
                  <c:v>113782.25715649598</c:v>
                </c:pt>
                <c:pt idx="16">
                  <c:v>112425.95134006982</c:v>
                </c:pt>
                <c:pt idx="17">
                  <c:v>111068.81079786642</c:v>
                </c:pt>
                <c:pt idx="18">
                  <c:v>109710.85997960357</c:v>
                </c:pt>
                <c:pt idx="19">
                  <c:v>108352.12238936499</c:v>
                </c:pt>
                <c:pt idx="20">
                  <c:v>106992.62063088067</c:v>
                </c:pt>
                <c:pt idx="21">
                  <c:v>105683.02911883834</c:v>
                </c:pt>
                <c:pt idx="22">
                  <c:v>104372.71611335097</c:v>
                </c:pt>
                <c:pt idx="23">
                  <c:v>103061.70176382855</c:v>
                </c:pt>
                <c:pt idx="24">
                  <c:v>102748.76901703191</c:v>
                </c:pt>
                <c:pt idx="25">
                  <c:v>102435.1730288695</c:v>
                </c:pt>
                <c:pt idx="26">
                  <c:v>102120.9318186914</c:v>
                </c:pt>
                <c:pt idx="27">
                  <c:v>101806.06275895832</c:v>
                </c:pt>
                <c:pt idx="28">
                  <c:v>101490.58260401228</c:v>
                </c:pt>
                <c:pt idx="29">
                  <c:v>101174.50751732543</c:v>
                </c:pt>
                <c:pt idx="30">
                  <c:v>100857.85309731975</c:v>
                </c:pt>
                <c:pt idx="31">
                  <c:v>100540.63440184505</c:v>
                </c:pt>
                <c:pt idx="32">
                  <c:v>100222.86597139464</c:v>
                </c:pt>
                <c:pt idx="33">
                  <c:v>99904.561851135746</c:v>
                </c:pt>
                <c:pt idx="34">
                  <c:v>99585.735611822718</c:v>
                </c:pt>
                <c:pt idx="35">
                  <c:v>99266.400369660434</c:v>
                </c:pt>
                <c:pt idx="36">
                  <c:v>98946.568805177259</c:v>
                </c:pt>
                <c:pt idx="37">
                  <c:v>98626.253181165666</c:v>
                </c:pt>
                <c:pt idx="38">
                  <c:v>98305.465359743946</c:v>
                </c:pt>
                <c:pt idx="39">
                  <c:v>97984.216818587709</c:v>
                </c:pt>
                <c:pt idx="40">
                  <c:v>97662.518666379561</c:v>
                </c:pt>
              </c:numCache>
            </c:numRef>
          </c:val>
        </c:ser>
        <c:ser>
          <c:idx val="1"/>
          <c:order val="2"/>
          <c:tx>
            <c:v>Footprint Change</c:v>
          </c:tx>
          <c:spPr>
            <a:solidFill>
              <a:schemeClr val="accent3">
                <a:lumMod val="60000"/>
                <a:lumOff val="40000"/>
              </a:schemeClr>
            </a:solidFill>
            <a:ln>
              <a:solidFill>
                <a:schemeClr val="tx1"/>
              </a:solidFill>
            </a:ln>
          </c:spPr>
          <c:val>
            <c:numRef>
              <c:f>PortfolioDashboard!$BM$244:$BM$284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axId val="82239488"/>
        <c:axId val="82241024"/>
      </c:areaChart>
      <c:lineChart>
        <c:grouping val="standard"/>
        <c:ser>
          <c:idx val="0"/>
          <c:order val="0"/>
          <c:tx>
            <c:strRef>
              <c:f>PortfolioDashboard!$AB$238</c:f>
              <c:strCache>
                <c:ptCount val="1"/>
                <c:pt idx="0">
                  <c:v>Business As Usual</c:v>
                </c:pt>
              </c:strCache>
            </c:strRef>
          </c:tx>
          <c:marker>
            <c:symbol val="none"/>
          </c:marke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PortfolioDashboard!$AB$244:$AB$284</c:f>
              <c:numCache>
                <c:formatCode>#,##0</c:formatCode>
                <c:ptCount val="41"/>
                <c:pt idx="0">
                  <c:v>185377.09432992962</c:v>
                </c:pt>
                <c:pt idx="1">
                  <c:v>187751.06641222836</c:v>
                </c:pt>
                <c:pt idx="2">
                  <c:v>193176.76173885536</c:v>
                </c:pt>
                <c:pt idx="3">
                  <c:v>196383.02197869818</c:v>
                </c:pt>
                <c:pt idx="4">
                  <c:v>198756.99406099692</c:v>
                </c:pt>
                <c:pt idx="5">
                  <c:v>203350.40123007985</c:v>
                </c:pt>
                <c:pt idx="6">
                  <c:v>205724.37331237859</c:v>
                </c:pt>
                <c:pt idx="7">
                  <c:v>208098.34539467734</c:v>
                </c:pt>
                <c:pt idx="8">
                  <c:v>210472.31747697605</c:v>
                </c:pt>
                <c:pt idx="9">
                  <c:v>212846.28955927482</c:v>
                </c:pt>
                <c:pt idx="10">
                  <c:v>215220.26164157354</c:v>
                </c:pt>
                <c:pt idx="11">
                  <c:v>217594.23372387225</c:v>
                </c:pt>
                <c:pt idx="12">
                  <c:v>219968.205806171</c:v>
                </c:pt>
                <c:pt idx="13">
                  <c:v>222342.17788846977</c:v>
                </c:pt>
                <c:pt idx="14">
                  <c:v>224716.14997076849</c:v>
                </c:pt>
                <c:pt idx="15">
                  <c:v>227090.12205306723</c:v>
                </c:pt>
                <c:pt idx="16">
                  <c:v>229464.09413536597</c:v>
                </c:pt>
                <c:pt idx="17">
                  <c:v>231838.06621766463</c:v>
                </c:pt>
                <c:pt idx="18">
                  <c:v>234212.0382999634</c:v>
                </c:pt>
                <c:pt idx="19">
                  <c:v>236586.01038226217</c:v>
                </c:pt>
                <c:pt idx="20">
                  <c:v>238959.98246456092</c:v>
                </c:pt>
                <c:pt idx="21">
                  <c:v>241333.9545468596</c:v>
                </c:pt>
                <c:pt idx="22">
                  <c:v>243707.92662915835</c:v>
                </c:pt>
                <c:pt idx="23">
                  <c:v>246081.89871145709</c:v>
                </c:pt>
                <c:pt idx="24">
                  <c:v>248455.87079375581</c:v>
                </c:pt>
                <c:pt idx="25">
                  <c:v>250829.84287605452</c:v>
                </c:pt>
                <c:pt idx="26">
                  <c:v>253203.81495835329</c:v>
                </c:pt>
                <c:pt idx="27">
                  <c:v>255577.78704065201</c:v>
                </c:pt>
                <c:pt idx="28">
                  <c:v>257951.75912295078</c:v>
                </c:pt>
                <c:pt idx="29">
                  <c:v>260325.7312052495</c:v>
                </c:pt>
                <c:pt idx="30">
                  <c:v>262699.70328754815</c:v>
                </c:pt>
                <c:pt idx="31">
                  <c:v>265073.67536984698</c:v>
                </c:pt>
                <c:pt idx="32">
                  <c:v>267447.6474521457</c:v>
                </c:pt>
                <c:pt idx="33">
                  <c:v>269821.61953444441</c:v>
                </c:pt>
                <c:pt idx="34">
                  <c:v>272195.59161674313</c:v>
                </c:pt>
                <c:pt idx="35">
                  <c:v>274569.56369904184</c:v>
                </c:pt>
                <c:pt idx="36">
                  <c:v>276943.53578134062</c:v>
                </c:pt>
                <c:pt idx="37">
                  <c:v>279317.50786363927</c:v>
                </c:pt>
                <c:pt idx="38">
                  <c:v>281691.4799459381</c:v>
                </c:pt>
                <c:pt idx="39">
                  <c:v>284065.45202823682</c:v>
                </c:pt>
                <c:pt idx="40">
                  <c:v>286439.42411053559</c:v>
                </c:pt>
              </c:numCache>
            </c:numRef>
          </c:val>
        </c:ser>
        <c:marker val="1"/>
        <c:axId val="82239488"/>
        <c:axId val="82241024"/>
      </c:lineChart>
      <c:catAx>
        <c:axId val="82239488"/>
        <c:scaling>
          <c:orientation val="minMax"/>
        </c:scaling>
        <c:axPos val="b"/>
        <c:numFmt formatCode="General" sourceLinked="1"/>
        <c:tickLblPos val="nextTo"/>
        <c:crossAx val="82241024"/>
        <c:crosses val="autoZero"/>
        <c:auto val="1"/>
        <c:lblAlgn val="ctr"/>
        <c:lblOffset val="100"/>
        <c:tickLblSkip val="5"/>
        <c:tickMarkSkip val="5"/>
      </c:catAx>
      <c:valAx>
        <c:axId val="82241024"/>
        <c:scaling>
          <c:orientation val="minMax"/>
          <c:max val="300000"/>
        </c:scaling>
        <c:axPos val="l"/>
        <c:majorGridlines/>
        <c:title>
          <c:tx>
            <c:rich>
              <a:bodyPr rot="-5400000" vert="horz"/>
              <a:lstStyle/>
              <a:p>
                <a:pPr>
                  <a:defRPr/>
                </a:pPr>
                <a:r>
                  <a:rPr lang="en-US"/>
                  <a:t>Scope</a:t>
                </a:r>
                <a:r>
                  <a:rPr lang="en-US" baseline="0"/>
                  <a:t> 2 Emissions (MTCO2e)</a:t>
                </a:r>
                <a:endParaRPr lang="en-US"/>
              </a:p>
            </c:rich>
          </c:tx>
        </c:title>
        <c:numFmt formatCode="#,##0" sourceLinked="1"/>
        <c:tickLblPos val="nextTo"/>
        <c:crossAx val="82239488"/>
        <c:crosses val="autoZero"/>
        <c:crossBetween val="between"/>
      </c:valAx>
    </c:plotArea>
    <c:legend>
      <c:legendPos val="l"/>
      <c:layout>
        <c:manualLayout>
          <c:xMode val="edge"/>
          <c:yMode val="edge"/>
          <c:x val="0.25967086341705664"/>
          <c:y val="1.7750801983085467E-2"/>
          <c:w val="0.66921119592875322"/>
          <c:h val="0.14720822397200486"/>
        </c:manualLayout>
      </c:layout>
      <c:overlay val="1"/>
      <c:spPr>
        <a:solidFill>
          <a:schemeClr val="lt1"/>
        </a:solidFill>
        <a:ln w="25400" cap="flat" cmpd="sng" algn="ctr">
          <a:solidFill>
            <a:schemeClr val="dk1"/>
          </a:solidFill>
          <a:prstDash val="solid"/>
        </a:ln>
        <a:effectLst/>
      </c:spPr>
      <c:txPr>
        <a:bodyPr/>
        <a:lstStyle/>
        <a:p>
          <a:pPr>
            <a:defRPr sz="900">
              <a:solidFill>
                <a:schemeClr val="dk1"/>
              </a:solidFill>
              <a:latin typeface="+mn-lt"/>
              <a:ea typeface="+mn-ea"/>
              <a:cs typeface="+mn-cs"/>
            </a:defRPr>
          </a:pPr>
          <a:endParaRPr lang="en-US"/>
        </a:p>
      </c:txPr>
    </c:legend>
    <c:plotVisOnly val="1"/>
    <c:dispBlanksAs val="zero"/>
  </c:chart>
  <c:spPr>
    <a:ln>
      <a:solidFill>
        <a:sysClr val="windowText" lastClr="000000"/>
      </a:solidFill>
    </a:ln>
  </c:spPr>
  <c:printSettings>
    <c:headerFooter/>
    <c:pageMargins b="0.75000000000000999" l="0.70000000000000062" r="0.70000000000000062" t="0.7500000000000099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areaChart>
        <c:grouping val="standard"/>
        <c:ser>
          <c:idx val="2"/>
          <c:order val="1"/>
          <c:tx>
            <c:strRef>
              <c:f>PortfolioDashboard!$AD$285</c:f>
              <c:strCache>
                <c:ptCount val="1"/>
                <c:pt idx="0">
                  <c:v>BAU Less Portfolio</c:v>
                </c:pt>
              </c:strCache>
            </c:strRef>
          </c:tx>
          <c:spPr>
            <a:solidFill>
              <a:schemeClr val="accent3">
                <a:lumMod val="75000"/>
              </a:schemeClr>
            </a:solidFill>
            <a:ln>
              <a:solidFill>
                <a:sysClr val="windowText" lastClr="000000"/>
              </a:solidFill>
            </a:ln>
          </c:spP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PortfolioDashboard!$AD$291:$AD$331</c:f>
              <c:numCache>
                <c:formatCode>#,##0</c:formatCode>
                <c:ptCount val="41"/>
                <c:pt idx="0">
                  <c:v>16281.643397406457</c:v>
                </c:pt>
                <c:pt idx="1">
                  <c:v>16337.600376534232</c:v>
                </c:pt>
                <c:pt idx="2">
                  <c:v>16217.69618901952</c:v>
                </c:pt>
                <c:pt idx="3">
                  <c:v>16090.480010411444</c:v>
                </c:pt>
                <c:pt idx="4">
                  <c:v>15958.519558171398</c:v>
                </c:pt>
                <c:pt idx="5">
                  <c:v>15823.132335206108</c:v>
                </c:pt>
                <c:pt idx="6">
                  <c:v>15685.10403664711</c:v>
                </c:pt>
                <c:pt idx="7">
                  <c:v>15544.949121781041</c:v>
                </c:pt>
                <c:pt idx="8">
                  <c:v>15403.026870303636</c:v>
                </c:pt>
                <c:pt idx="9">
                  <c:v>15259.600348524797</c:v>
                </c:pt>
                <c:pt idx="10">
                  <c:v>15114.869296064064</c:v>
                </c:pt>
                <c:pt idx="11">
                  <c:v>14968.989796422808</c:v>
                </c:pt>
                <c:pt idx="12">
                  <c:v>14988.027981714706</c:v>
                </c:pt>
                <c:pt idx="13">
                  <c:v>15006.342939560818</c:v>
                </c:pt>
                <c:pt idx="14">
                  <c:v>15024.010926086292</c:v>
                </c:pt>
                <c:pt idx="15">
                  <c:v>15041.095670509651</c:v>
                </c:pt>
                <c:pt idx="16">
                  <c:v>15057.65107976356</c:v>
                </c:pt>
                <c:pt idx="17">
                  <c:v>15073.723235660607</c:v>
                </c:pt>
                <c:pt idx="18">
                  <c:v>15089.351898432873</c:v>
                </c:pt>
                <c:pt idx="19">
                  <c:v>15104.571658047698</c:v>
                </c:pt>
                <c:pt idx="20">
                  <c:v>15119.412829187801</c:v>
                </c:pt>
                <c:pt idx="21">
                  <c:v>15133.902156380282</c:v>
                </c:pt>
                <c:pt idx="22">
                  <c:v>15148.063376292877</c:v>
                </c:pt>
                <c:pt idx="23">
                  <c:v>15161.91767104415</c:v>
                </c:pt>
                <c:pt idx="24">
                  <c:v>15175.484037284878</c:v>
                </c:pt>
                <c:pt idx="25">
                  <c:v>15188.779589424114</c:v>
                </c:pt>
                <c:pt idx="26">
                  <c:v>15201.819810816407</c:v>
                </c:pt>
                <c:pt idx="27">
                  <c:v>15214.61876342641</c:v>
                </c:pt>
                <c:pt idx="28">
                  <c:v>15227.189264064065</c:v>
                </c:pt>
                <c:pt idx="29">
                  <c:v>15239.543033482882</c:v>
                </c:pt>
                <c:pt idx="30">
                  <c:v>15251.690823280158</c:v>
                </c:pt>
                <c:pt idx="31">
                  <c:v>15263.642524509611</c:v>
                </c:pt>
                <c:pt idx="32">
                  <c:v>15275.407261127853</c:v>
                </c:pt>
                <c:pt idx="33">
                  <c:v>15286.993470785532</c:v>
                </c:pt>
                <c:pt idx="34">
                  <c:v>15298.408974996779</c:v>
                </c:pt>
                <c:pt idx="35">
                  <c:v>15309.66104034556</c:v>
                </c:pt>
                <c:pt idx="36">
                  <c:v>15320.756432089704</c:v>
                </c:pt>
                <c:pt idx="37">
                  <c:v>15331.701461285826</c:v>
                </c:pt>
                <c:pt idx="38">
                  <c:v>15342.50202636734</c:v>
                </c:pt>
                <c:pt idx="39">
                  <c:v>15353.163649953269</c:v>
                </c:pt>
                <c:pt idx="40">
                  <c:v>15363.691511539932</c:v>
                </c:pt>
              </c:numCache>
            </c:numRef>
          </c:val>
        </c:ser>
        <c:axId val="82349440"/>
        <c:axId val="82363520"/>
      </c:areaChart>
      <c:lineChart>
        <c:grouping val="standard"/>
        <c:ser>
          <c:idx val="0"/>
          <c:order val="0"/>
          <c:tx>
            <c:strRef>
              <c:f>PortfolioDashboard!$AB$285</c:f>
              <c:strCache>
                <c:ptCount val="1"/>
                <c:pt idx="0">
                  <c:v>Business As Usual</c:v>
                </c:pt>
              </c:strCache>
            </c:strRef>
          </c:tx>
          <c:marker>
            <c:symbol val="none"/>
          </c:marke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PortfolioDashboard!$AB$291:$AB$331</c:f>
              <c:numCache>
                <c:formatCode>#,##0</c:formatCode>
                <c:ptCount val="41"/>
                <c:pt idx="0">
                  <c:v>16281.643397406457</c:v>
                </c:pt>
                <c:pt idx="1">
                  <c:v>16337.600376534232</c:v>
                </c:pt>
                <c:pt idx="2">
                  <c:v>16380.512622993585</c:v>
                </c:pt>
                <c:pt idx="3">
                  <c:v>16416.67244815085</c:v>
                </c:pt>
                <c:pt idx="4">
                  <c:v>16448.51712214074</c:v>
                </c:pt>
                <c:pt idx="5">
                  <c:v>16477.296623656959</c:v>
                </c:pt>
                <c:pt idx="6">
                  <c:v>16503.753496319368</c:v>
                </c:pt>
                <c:pt idx="7">
                  <c:v>16528.371547689869</c:v>
                </c:pt>
                <c:pt idx="8">
                  <c:v>16551.486831175658</c:v>
                </c:pt>
                <c:pt idx="9">
                  <c:v>16573.344024873717</c:v>
                </c:pt>
                <c:pt idx="10">
                  <c:v>16594.127840724741</c:v>
                </c:pt>
                <c:pt idx="11">
                  <c:v>16613.981781332222</c:v>
                </c:pt>
                <c:pt idx="12">
                  <c:v>16633.019966624121</c:v>
                </c:pt>
                <c:pt idx="13">
                  <c:v>16651.334924470233</c:v>
                </c:pt>
                <c:pt idx="14">
                  <c:v>16669.002910995707</c:v>
                </c:pt>
                <c:pt idx="15">
                  <c:v>16686.087655419065</c:v>
                </c:pt>
                <c:pt idx="16">
                  <c:v>16702.643064672975</c:v>
                </c:pt>
                <c:pt idx="17">
                  <c:v>16718.715220570022</c:v>
                </c:pt>
                <c:pt idx="18">
                  <c:v>16734.343883342288</c:v>
                </c:pt>
                <c:pt idx="19">
                  <c:v>16749.563642957113</c:v>
                </c:pt>
                <c:pt idx="20">
                  <c:v>16764.404814097215</c:v>
                </c:pt>
                <c:pt idx="21">
                  <c:v>16778.894141289697</c:v>
                </c:pt>
                <c:pt idx="22">
                  <c:v>16793.055361202292</c:v>
                </c:pt>
                <c:pt idx="23">
                  <c:v>16806.909655953565</c:v>
                </c:pt>
                <c:pt idx="24">
                  <c:v>16820.476022194292</c:v>
                </c:pt>
                <c:pt idx="25">
                  <c:v>16833.771574333528</c:v>
                </c:pt>
                <c:pt idx="26">
                  <c:v>16846.811795725822</c:v>
                </c:pt>
                <c:pt idx="27">
                  <c:v>16859.610748335825</c:v>
                </c:pt>
                <c:pt idx="28">
                  <c:v>16872.18124897348</c:v>
                </c:pt>
                <c:pt idx="29">
                  <c:v>16884.535018392296</c:v>
                </c:pt>
                <c:pt idx="30">
                  <c:v>16896.682808189573</c:v>
                </c:pt>
                <c:pt idx="31">
                  <c:v>16908.634509419026</c:v>
                </c:pt>
                <c:pt idx="32">
                  <c:v>16920.399246037268</c:v>
                </c:pt>
                <c:pt idx="33">
                  <c:v>16931.985455694947</c:v>
                </c:pt>
                <c:pt idx="34">
                  <c:v>16943.400959906194</c:v>
                </c:pt>
                <c:pt idx="35">
                  <c:v>16954.653025254975</c:v>
                </c:pt>
                <c:pt idx="36">
                  <c:v>16965.748416999118</c:v>
                </c:pt>
                <c:pt idx="37">
                  <c:v>16976.693446195241</c:v>
                </c:pt>
                <c:pt idx="38">
                  <c:v>16987.494011276754</c:v>
                </c:pt>
                <c:pt idx="39">
                  <c:v>16998.155634862684</c:v>
                </c:pt>
                <c:pt idx="40">
                  <c:v>17008.683496449346</c:v>
                </c:pt>
              </c:numCache>
            </c:numRef>
          </c:val>
        </c:ser>
        <c:marker val="1"/>
        <c:axId val="82349440"/>
        <c:axId val="82363520"/>
      </c:lineChart>
      <c:catAx>
        <c:axId val="82349440"/>
        <c:scaling>
          <c:orientation val="minMax"/>
        </c:scaling>
        <c:axPos val="b"/>
        <c:numFmt formatCode="General" sourceLinked="1"/>
        <c:tickLblPos val="nextTo"/>
        <c:crossAx val="82363520"/>
        <c:crosses val="autoZero"/>
        <c:auto val="1"/>
        <c:lblAlgn val="ctr"/>
        <c:lblOffset val="100"/>
        <c:tickLblSkip val="5"/>
        <c:tickMarkSkip val="5"/>
      </c:catAx>
      <c:valAx>
        <c:axId val="82363520"/>
        <c:scaling>
          <c:orientation val="minMax"/>
          <c:max val="250000"/>
        </c:scaling>
        <c:axPos val="l"/>
        <c:majorGridlines/>
        <c:title>
          <c:tx>
            <c:rich>
              <a:bodyPr rot="-5400000" vert="horz"/>
              <a:lstStyle/>
              <a:p>
                <a:pPr>
                  <a:defRPr/>
                </a:pPr>
                <a:r>
                  <a:rPr lang="en-US"/>
                  <a:t>Scope</a:t>
                </a:r>
                <a:r>
                  <a:rPr lang="en-US" baseline="0"/>
                  <a:t> 3 Commuter Emissions (MTCO2e)</a:t>
                </a:r>
                <a:endParaRPr lang="en-US"/>
              </a:p>
            </c:rich>
          </c:tx>
        </c:title>
        <c:numFmt formatCode="#,##0" sourceLinked="1"/>
        <c:tickLblPos val="nextTo"/>
        <c:crossAx val="82349440"/>
        <c:crosses val="autoZero"/>
        <c:crossBetween val="between"/>
      </c:valAx>
    </c:plotArea>
    <c:legend>
      <c:legendPos val="l"/>
      <c:layout>
        <c:manualLayout>
          <c:xMode val="edge"/>
          <c:yMode val="edge"/>
          <c:x val="0.29652179441085214"/>
          <c:y val="1.2195100612423461E-2"/>
          <c:w val="0.59340293574412872"/>
          <c:h val="0.13116506270049574"/>
        </c:manualLayout>
      </c:layout>
      <c:overlay val="1"/>
      <c:spPr>
        <a:solidFill>
          <a:schemeClr val="lt1"/>
        </a:solidFill>
        <a:ln w="254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legend>
    <c:plotVisOnly val="1"/>
    <c:dispBlanksAs val="gap"/>
  </c:chart>
  <c:spPr>
    <a:ln>
      <a:solidFill>
        <a:sysClr val="windowText" lastClr="000000"/>
      </a:solidFill>
    </a:ln>
  </c:spPr>
  <c:printSettings>
    <c:headerFooter/>
    <c:pageMargins b="0.75000000000000999" l="0.70000000000000062" r="0.70000000000000062" t="0.7500000000000099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areaChart>
        <c:grouping val="standard"/>
        <c:ser>
          <c:idx val="2"/>
          <c:order val="1"/>
          <c:tx>
            <c:strRef>
              <c:f>PortfolioDashboard!$AD$332</c:f>
              <c:strCache>
                <c:ptCount val="1"/>
                <c:pt idx="0">
                  <c:v>BAU Less Portfolio</c:v>
                </c:pt>
              </c:strCache>
            </c:strRef>
          </c:tx>
          <c:spPr>
            <a:solidFill>
              <a:schemeClr val="accent3">
                <a:lumMod val="75000"/>
              </a:schemeClr>
            </a:solidFill>
            <a:ln>
              <a:solidFill>
                <a:sysClr val="windowText" lastClr="000000"/>
              </a:solidFill>
            </a:ln>
          </c:spP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PortfolioDashboard!$AD$338:$AD$378</c:f>
              <c:numCache>
                <c:formatCode>#,##0</c:formatCode>
                <c:ptCount val="41"/>
                <c:pt idx="0">
                  <c:v>45441.480365382726</c:v>
                </c:pt>
                <c:pt idx="1">
                  <c:v>45712.571212049814</c:v>
                </c:pt>
                <c:pt idx="2">
                  <c:v>46029.605289521925</c:v>
                </c:pt>
                <c:pt idx="3">
                  <c:v>46165.661177061251</c:v>
                </c:pt>
                <c:pt idx="4">
                  <c:v>46230.491546234407</c:v>
                </c:pt>
                <c:pt idx="5">
                  <c:v>46458.092695257648</c:v>
                </c:pt>
                <c:pt idx="6">
                  <c:v>46512.756424039675</c:v>
                </c:pt>
                <c:pt idx="7">
                  <c:v>46563.894623993889</c:v>
                </c:pt>
                <c:pt idx="8">
                  <c:v>46612.122221914789</c:v>
                </c:pt>
                <c:pt idx="9">
                  <c:v>46657.888419552095</c:v>
                </c:pt>
                <c:pt idx="10">
                  <c:v>46701.533474005897</c:v>
                </c:pt>
                <c:pt idx="11">
                  <c:v>46743.322637082791</c:v>
                </c:pt>
                <c:pt idx="12">
                  <c:v>46949.40885687813</c:v>
                </c:pt>
                <c:pt idx="13">
                  <c:v>47154.221611206187</c:v>
                </c:pt>
                <c:pt idx="14">
                  <c:v>47357.895167910261</c:v>
                </c:pt>
                <c:pt idx="15">
                  <c:v>47560.541738260363</c:v>
                </c:pt>
                <c:pt idx="16">
                  <c:v>47762.256239061331</c:v>
                </c:pt>
                <c:pt idx="17">
                  <c:v>47963.119809125696</c:v>
                </c:pt>
                <c:pt idx="18">
                  <c:v>48163.202456604762</c:v>
                </c:pt>
                <c:pt idx="19">
                  <c:v>48362.565086148868</c:v>
                </c:pt>
                <c:pt idx="20">
                  <c:v>48561.261074730137</c:v>
                </c:pt>
                <c:pt idx="21">
                  <c:v>48759.337513188191</c:v>
                </c:pt>
                <c:pt idx="22">
                  <c:v>48956.836196285862</c:v>
                </c:pt>
                <c:pt idx="23">
                  <c:v>49153.794420869657</c:v>
                </c:pt>
                <c:pt idx="24">
                  <c:v>49350.245635725681</c:v>
                </c:pt>
                <c:pt idx="25">
                  <c:v>49546.219975481799</c:v>
                </c:pt>
                <c:pt idx="26">
                  <c:v>49741.744702883487</c:v>
                </c:pt>
                <c:pt idx="27">
                  <c:v>49936.844577958909</c:v>
                </c:pt>
                <c:pt idx="28">
                  <c:v>50131.542168323933</c:v>
                </c:pt>
                <c:pt idx="29">
                  <c:v>50325.858111705951</c:v>
                </c:pt>
                <c:pt idx="30">
                  <c:v>50519.811339382992</c:v>
                </c:pt>
                <c:pt idx="31">
                  <c:v>50713.419267422818</c:v>
                </c:pt>
                <c:pt idx="32">
                  <c:v>50906.697961218713</c:v>
                </c:pt>
                <c:pt idx="33">
                  <c:v>51099.66227774226</c:v>
                </c:pt>
                <c:pt idx="34">
                  <c:v>51292.325989094141</c:v>
                </c:pt>
                <c:pt idx="35">
                  <c:v>51484.70189027334</c:v>
                </c:pt>
                <c:pt idx="36">
                  <c:v>51676.801893560492</c:v>
                </c:pt>
                <c:pt idx="37">
                  <c:v>51868.637111493103</c:v>
                </c:pt>
                <c:pt idx="38">
                  <c:v>52060.217930074316</c:v>
                </c:pt>
                <c:pt idx="39">
                  <c:v>52251.554073584142</c:v>
                </c:pt>
                <c:pt idx="40">
                  <c:v>52442.654662141533</c:v>
                </c:pt>
              </c:numCache>
            </c:numRef>
          </c:val>
        </c:ser>
        <c:axId val="281492864"/>
        <c:axId val="286688384"/>
      </c:areaChart>
      <c:lineChart>
        <c:grouping val="standard"/>
        <c:ser>
          <c:idx val="0"/>
          <c:order val="0"/>
          <c:tx>
            <c:strRef>
              <c:f>PortfolioDashboard!$AB$332</c:f>
              <c:strCache>
                <c:ptCount val="1"/>
                <c:pt idx="0">
                  <c:v>Business As Usual</c:v>
                </c:pt>
              </c:strCache>
            </c:strRef>
          </c:tx>
          <c:marker>
            <c:symbol val="none"/>
          </c:marke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PortfolioDashboard!$AB$338:$AB$378</c:f>
              <c:numCache>
                <c:formatCode>#,##0</c:formatCode>
                <c:ptCount val="41"/>
                <c:pt idx="0">
                  <c:v>45441.480365382726</c:v>
                </c:pt>
                <c:pt idx="1">
                  <c:v>45712.571212049814</c:v>
                </c:pt>
                <c:pt idx="2">
                  <c:v>46192.421723495987</c:v>
                </c:pt>
                <c:pt idx="3">
                  <c:v>46491.853614800661</c:v>
                </c:pt>
                <c:pt idx="4">
                  <c:v>46720.489110203751</c:v>
                </c:pt>
                <c:pt idx="5">
                  <c:v>47112.256983708503</c:v>
                </c:pt>
                <c:pt idx="6">
                  <c:v>47331.405883711937</c:v>
                </c:pt>
                <c:pt idx="7">
                  <c:v>47547.317049902718</c:v>
                </c:pt>
                <c:pt idx="8">
                  <c:v>47760.582182786813</c:v>
                </c:pt>
                <c:pt idx="9">
                  <c:v>47971.632095901019</c:v>
                </c:pt>
                <c:pt idx="10">
                  <c:v>48180.792018666572</c:v>
                </c:pt>
                <c:pt idx="11">
                  <c:v>48388.314621992206</c:v>
                </c:pt>
                <c:pt idx="12">
                  <c:v>48594.400841787545</c:v>
                </c:pt>
                <c:pt idx="13">
                  <c:v>48799.213596115602</c:v>
                </c:pt>
                <c:pt idx="14">
                  <c:v>49002.887152819676</c:v>
                </c:pt>
                <c:pt idx="15">
                  <c:v>49205.533723169778</c:v>
                </c:pt>
                <c:pt idx="16">
                  <c:v>49407.248223970746</c:v>
                </c:pt>
                <c:pt idx="17">
                  <c:v>49608.111794035111</c:v>
                </c:pt>
                <c:pt idx="18">
                  <c:v>49808.194441514177</c:v>
                </c:pt>
                <c:pt idx="19">
                  <c:v>50007.557071058283</c:v>
                </c:pt>
                <c:pt idx="20">
                  <c:v>50206.253059639552</c:v>
                </c:pt>
                <c:pt idx="21">
                  <c:v>50404.329498097606</c:v>
                </c:pt>
                <c:pt idx="22">
                  <c:v>50601.828181195277</c:v>
                </c:pt>
                <c:pt idx="23">
                  <c:v>50798.786405779072</c:v>
                </c:pt>
                <c:pt idx="24">
                  <c:v>50995.237620635096</c:v>
                </c:pt>
                <c:pt idx="25">
                  <c:v>51191.211960391214</c:v>
                </c:pt>
                <c:pt idx="26">
                  <c:v>51386.736687792902</c:v>
                </c:pt>
                <c:pt idx="27">
                  <c:v>51581.836562868324</c:v>
                </c:pt>
                <c:pt idx="28">
                  <c:v>51776.534153233348</c:v>
                </c:pt>
                <c:pt idx="29">
                  <c:v>51970.850096615366</c:v>
                </c:pt>
                <c:pt idx="30">
                  <c:v>52164.803324292407</c:v>
                </c:pt>
                <c:pt idx="31">
                  <c:v>52358.411252332233</c:v>
                </c:pt>
                <c:pt idx="32">
                  <c:v>52551.689946128128</c:v>
                </c:pt>
                <c:pt idx="33">
                  <c:v>52744.654262651675</c:v>
                </c:pt>
                <c:pt idx="34">
                  <c:v>52937.317974003556</c:v>
                </c:pt>
                <c:pt idx="35">
                  <c:v>53129.693875182755</c:v>
                </c:pt>
                <c:pt idx="36">
                  <c:v>53321.793878469907</c:v>
                </c:pt>
                <c:pt idx="37">
                  <c:v>53513.629096402517</c:v>
                </c:pt>
                <c:pt idx="38">
                  <c:v>53705.20991498373</c:v>
                </c:pt>
                <c:pt idx="39">
                  <c:v>53896.546058493557</c:v>
                </c:pt>
                <c:pt idx="40">
                  <c:v>54087.646647050948</c:v>
                </c:pt>
              </c:numCache>
            </c:numRef>
          </c:val>
        </c:ser>
        <c:marker val="1"/>
        <c:axId val="281492864"/>
        <c:axId val="286688384"/>
      </c:lineChart>
      <c:catAx>
        <c:axId val="281492864"/>
        <c:scaling>
          <c:orientation val="minMax"/>
        </c:scaling>
        <c:axPos val="b"/>
        <c:numFmt formatCode="General" sourceLinked="1"/>
        <c:tickLblPos val="nextTo"/>
        <c:crossAx val="286688384"/>
        <c:crosses val="autoZero"/>
        <c:auto val="1"/>
        <c:lblAlgn val="ctr"/>
        <c:lblOffset val="100"/>
        <c:tickLblSkip val="5"/>
        <c:tickMarkSkip val="5"/>
      </c:catAx>
      <c:valAx>
        <c:axId val="286688384"/>
        <c:scaling>
          <c:orientation val="minMax"/>
          <c:max val="250000"/>
        </c:scaling>
        <c:axPos val="l"/>
        <c:majorGridlines/>
        <c:title>
          <c:tx>
            <c:rich>
              <a:bodyPr rot="-5400000" vert="horz"/>
              <a:lstStyle/>
              <a:p>
                <a:pPr>
                  <a:defRPr/>
                </a:pPr>
                <a:r>
                  <a:rPr lang="en-US"/>
                  <a:t>Scope</a:t>
                </a:r>
                <a:r>
                  <a:rPr lang="en-US" baseline="0"/>
                  <a:t> 3 Air Travel Emissions (MTCO2e)</a:t>
                </a:r>
                <a:endParaRPr lang="en-US"/>
              </a:p>
            </c:rich>
          </c:tx>
        </c:title>
        <c:numFmt formatCode="#,##0" sourceLinked="1"/>
        <c:tickLblPos val="nextTo"/>
        <c:crossAx val="281492864"/>
        <c:crosses val="autoZero"/>
        <c:crossBetween val="between"/>
      </c:valAx>
    </c:plotArea>
    <c:legend>
      <c:legendPos val="l"/>
      <c:layout>
        <c:manualLayout>
          <c:xMode val="edge"/>
          <c:yMode val="edge"/>
          <c:x val="0.30038321545685465"/>
          <c:y val="6.6395450568678916E-3"/>
          <c:w val="0.59340293574412839"/>
          <c:h val="0.13116506270049574"/>
        </c:manualLayout>
      </c:layout>
      <c:overlay val="1"/>
      <c:spPr>
        <a:solidFill>
          <a:schemeClr val="lt1"/>
        </a:solidFill>
        <a:ln w="254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legend>
    <c:plotVisOnly val="1"/>
    <c:dispBlanksAs val="gap"/>
  </c:chart>
  <c:spPr>
    <a:ln>
      <a:solidFill>
        <a:sysClr val="windowText" lastClr="000000"/>
      </a:solidFill>
    </a:ln>
  </c:spPr>
  <c:printSettings>
    <c:headerFooter/>
    <c:pageMargins b="0.75000000000001021" l="0.70000000000000062" r="0.70000000000000062" t="0.7500000000000102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areaChart>
        <c:grouping val="stacked"/>
        <c:ser>
          <c:idx val="4"/>
          <c:order val="2"/>
          <c:tx>
            <c:strRef>
              <c:f>PortfolioDashboard!$AF$379</c:f>
              <c:strCache>
                <c:ptCount val="1"/>
                <c:pt idx="0">
                  <c:v>Avoided CAPEX</c:v>
                </c:pt>
              </c:strCache>
            </c:strRef>
          </c:tx>
          <c:cat>
            <c:numRef>
              <c:f>PortfolioDashboard!$AA$380:$AA$420</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PortfolioDashboard!$AF$380:$AF$420</c:f>
              <c:numCache>
                <c:formatCode>"$"#,##0.0_);[Red]\("$"#,##0.0\)</c:formatCode>
                <c:ptCount val="41"/>
                <c:pt idx="0">
                  <c:v>0</c:v>
                </c:pt>
                <c:pt idx="1">
                  <c:v>25.224484237428442</c:v>
                </c:pt>
                <c:pt idx="2">
                  <c:v>25.224484237428761</c:v>
                </c:pt>
                <c:pt idx="3">
                  <c:v>25.224484237428442</c:v>
                </c:pt>
                <c:pt idx="4">
                  <c:v>25.774484237428762</c:v>
                </c:pt>
                <c:pt idx="5">
                  <c:v>25.774484237428762</c:v>
                </c:pt>
                <c:pt idx="6">
                  <c:v>25.774484237428442</c:v>
                </c:pt>
                <c:pt idx="7">
                  <c:v>25.774484237428762</c:v>
                </c:pt>
                <c:pt idx="8">
                  <c:v>25.774484237428442</c:v>
                </c:pt>
                <c:pt idx="9">
                  <c:v>25.774484237428762</c:v>
                </c:pt>
                <c:pt idx="10">
                  <c:v>25.774484237428442</c:v>
                </c:pt>
                <c:pt idx="11">
                  <c:v>25.774484237428762</c:v>
                </c:pt>
                <c:pt idx="12">
                  <c:v>25.774484237428762</c:v>
                </c:pt>
                <c:pt idx="13">
                  <c:v>25.774484237428442</c:v>
                </c:pt>
                <c:pt idx="14">
                  <c:v>25.774484237428762</c:v>
                </c:pt>
                <c:pt idx="15">
                  <c:v>25.774484237428762</c:v>
                </c:pt>
                <c:pt idx="16">
                  <c:v>25.774484237428442</c:v>
                </c:pt>
                <c:pt idx="17">
                  <c:v>25.774484237428762</c:v>
                </c:pt>
                <c:pt idx="18">
                  <c:v>25.774484237428442</c:v>
                </c:pt>
                <c:pt idx="19">
                  <c:v>25.774484237428762</c:v>
                </c:pt>
                <c:pt idx="20">
                  <c:v>25.774484237428442</c:v>
                </c:pt>
                <c:pt idx="21">
                  <c:v>25.774484237428762</c:v>
                </c:pt>
                <c:pt idx="22">
                  <c:v>25.774484237428762</c:v>
                </c:pt>
                <c:pt idx="23">
                  <c:v>25.774484237428442</c:v>
                </c:pt>
                <c:pt idx="24">
                  <c:v>25.224484237428761</c:v>
                </c:pt>
                <c:pt idx="25">
                  <c:v>25.224484237428761</c:v>
                </c:pt>
                <c:pt idx="26">
                  <c:v>25.224484237428442</c:v>
                </c:pt>
                <c:pt idx="27">
                  <c:v>25.224484237428442</c:v>
                </c:pt>
                <c:pt idx="28">
                  <c:v>25.224484237428761</c:v>
                </c:pt>
                <c:pt idx="29">
                  <c:v>25.224484237428761</c:v>
                </c:pt>
                <c:pt idx="30">
                  <c:v>25.224484237428442</c:v>
                </c:pt>
                <c:pt idx="31">
                  <c:v>25.224484237428761</c:v>
                </c:pt>
                <c:pt idx="32">
                  <c:v>25.224484237428761</c:v>
                </c:pt>
                <c:pt idx="33">
                  <c:v>25.224484237428442</c:v>
                </c:pt>
                <c:pt idx="34">
                  <c:v>25.224484237428761</c:v>
                </c:pt>
                <c:pt idx="35">
                  <c:v>25.224484237428761</c:v>
                </c:pt>
                <c:pt idx="36">
                  <c:v>25.224484237428442</c:v>
                </c:pt>
                <c:pt idx="37">
                  <c:v>25.224484237428442</c:v>
                </c:pt>
                <c:pt idx="38">
                  <c:v>25.224484237428761</c:v>
                </c:pt>
                <c:pt idx="39">
                  <c:v>25.224484237428761</c:v>
                </c:pt>
                <c:pt idx="40">
                  <c:v>25.224484237428442</c:v>
                </c:pt>
              </c:numCache>
            </c:numRef>
          </c:val>
        </c:ser>
        <c:ser>
          <c:idx val="0"/>
          <c:order val="3"/>
          <c:tx>
            <c:strRef>
              <c:f>PortfolioDashboard!$AB$379</c:f>
              <c:strCache>
                <c:ptCount val="1"/>
                <c:pt idx="0">
                  <c:v>FuelSavings</c:v>
                </c:pt>
              </c:strCache>
            </c:strRef>
          </c:tx>
          <c:cat>
            <c:numRef>
              <c:f>PortfolioDashboard!$AA$380:$AA$420</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PortfolioDashboard!$AB$380:$AB$420</c:f>
              <c:numCache>
                <c:formatCode>"$"#,##0.0_);[Red]\("$"#,##0.0\)</c:formatCode>
                <c:ptCount val="41"/>
                <c:pt idx="0">
                  <c:v>0.23705205335287288</c:v>
                </c:pt>
                <c:pt idx="1">
                  <c:v>0.88301672922954266</c:v>
                </c:pt>
                <c:pt idx="2">
                  <c:v>2.8399370249352978</c:v>
                </c:pt>
                <c:pt idx="3">
                  <c:v>3.8657950970597179</c:v>
                </c:pt>
                <c:pt idx="4">
                  <c:v>5.0890428612498866</c:v>
                </c:pt>
                <c:pt idx="5">
                  <c:v>5.7842099928214887</c:v>
                </c:pt>
                <c:pt idx="6">
                  <c:v>5.843798377420657</c:v>
                </c:pt>
                <c:pt idx="7">
                  <c:v>6.383670147390796</c:v>
                </c:pt>
                <c:pt idx="8">
                  <c:v>6.8400402090856911</c:v>
                </c:pt>
                <c:pt idx="9">
                  <c:v>7.3895362248694321</c:v>
                </c:pt>
                <c:pt idx="10">
                  <c:v>7.9438919293682249</c:v>
                </c:pt>
                <c:pt idx="11">
                  <c:v>8.5031395250208774</c:v>
                </c:pt>
                <c:pt idx="12">
                  <c:v>9.0673115761306171</c:v>
                </c:pt>
                <c:pt idx="13">
                  <c:v>9.6364410037512123</c:v>
                </c:pt>
                <c:pt idx="14">
                  <c:v>10.134903297633398</c:v>
                </c:pt>
                <c:pt idx="15">
                  <c:v>10.63747248746648</c:v>
                </c:pt>
                <c:pt idx="16">
                  <c:v>11.144175657517698</c:v>
                </c:pt>
                <c:pt idx="17">
                  <c:v>11.655040186302475</c:v>
                </c:pt>
                <c:pt idx="18">
                  <c:v>12.170093742970089</c:v>
                </c:pt>
                <c:pt idx="19">
                  <c:v>12.689364283976673</c:v>
                </c:pt>
                <c:pt idx="20">
                  <c:v>13.21288005002682</c:v>
                </c:pt>
                <c:pt idx="21">
                  <c:v>13.720475930521419</c:v>
                </c:pt>
                <c:pt idx="22">
                  <c:v>14.379409505301417</c:v>
                </c:pt>
                <c:pt idx="23">
                  <c:v>14.895234172563233</c:v>
                </c:pt>
                <c:pt idx="24">
                  <c:v>15.485945857706694</c:v>
                </c:pt>
                <c:pt idx="25">
                  <c:v>15.879364349837246</c:v>
                </c:pt>
                <c:pt idx="26">
                  <c:v>16.937471937146555</c:v>
                </c:pt>
                <c:pt idx="27">
                  <c:v>17.337382825577286</c:v>
                </c:pt>
                <c:pt idx="28">
                  <c:v>17.828870153277641</c:v>
                </c:pt>
                <c:pt idx="29">
                  <c:v>18.235359422939446</c:v>
                </c:pt>
                <c:pt idx="30">
                  <c:v>18.645170643759606</c:v>
                </c:pt>
                <c:pt idx="31">
                  <c:v>19.058325928482873</c:v>
                </c:pt>
                <c:pt idx="32">
                  <c:v>19.474847592541312</c:v>
                </c:pt>
                <c:pt idx="33">
                  <c:v>19.89475815291744</c:v>
                </c:pt>
                <c:pt idx="34">
                  <c:v>20.318080327118576</c:v>
                </c:pt>
                <c:pt idx="35">
                  <c:v>20.744837032256363</c:v>
                </c:pt>
                <c:pt idx="36">
                  <c:v>21.175051384225743</c:v>
                </c:pt>
                <c:pt idx="37">
                  <c:v>21.608746696977938</c:v>
                </c:pt>
                <c:pt idx="38">
                  <c:v>22.045946481882417</c:v>
                </c:pt>
                <c:pt idx="39">
                  <c:v>22.486674447173197</c:v>
                </c:pt>
                <c:pt idx="40">
                  <c:v>22.930954497475188</c:v>
                </c:pt>
              </c:numCache>
            </c:numRef>
          </c:val>
        </c:ser>
        <c:ser>
          <c:idx val="2"/>
          <c:order val="4"/>
          <c:tx>
            <c:strRef>
              <c:f>PortfolioDashboard!$AD$379</c:f>
              <c:strCache>
                <c:ptCount val="1"/>
                <c:pt idx="0">
                  <c:v>GHG Compliance Savings</c:v>
                </c:pt>
              </c:strCache>
            </c:strRef>
          </c:tx>
          <c:cat>
            <c:numRef>
              <c:f>PortfolioDashboard!$AA$380:$AA$420</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PortfolioDashboard!$AD$380:$AD$420</c:f>
              <c:numCache>
                <c:formatCode>"$"#,##0.0_);[Red]\("$"#,##0.0\)</c:formatCode>
                <c:ptCount val="41"/>
                <c:pt idx="0">
                  <c:v>0</c:v>
                </c:pt>
                <c:pt idx="1">
                  <c:v>0</c:v>
                </c:pt>
                <c:pt idx="2">
                  <c:v>0</c:v>
                </c:pt>
                <c:pt idx="3">
                  <c:v>0</c:v>
                </c:pt>
                <c:pt idx="4">
                  <c:v>0</c:v>
                </c:pt>
                <c:pt idx="5">
                  <c:v>0.68087126242280516</c:v>
                </c:pt>
                <c:pt idx="6">
                  <c:v>0.84825883682396741</c:v>
                </c:pt>
                <c:pt idx="7">
                  <c:v>1.0255459197491434</c:v>
                </c:pt>
                <c:pt idx="8">
                  <c:v>1.2229809569596186</c:v>
                </c:pt>
                <c:pt idx="9">
                  <c:v>1.4413093589616914</c:v>
                </c:pt>
                <c:pt idx="10">
                  <c:v>1.6812396061215906</c:v>
                </c:pt>
                <c:pt idx="11">
                  <c:v>1.9641530637966476</c:v>
                </c:pt>
                <c:pt idx="12">
                  <c:v>2.273897354200253</c:v>
                </c:pt>
                <c:pt idx="13">
                  <c:v>2.6112192079983725</c:v>
                </c:pt>
                <c:pt idx="14">
                  <c:v>2.9589630946188707</c:v>
                </c:pt>
                <c:pt idx="15">
                  <c:v>3.3324692868474712</c:v>
                </c:pt>
                <c:pt idx="16">
                  <c:v>3.7606519033597321</c:v>
                </c:pt>
                <c:pt idx="17">
                  <c:v>4.2196458027996977</c:v>
                </c:pt>
                <c:pt idx="18">
                  <c:v>4.7099141146960424</c:v>
                </c:pt>
                <c:pt idx="19">
                  <c:v>5.2318605817050585</c:v>
                </c:pt>
                <c:pt idx="20">
                  <c:v>5.785829881977917</c:v>
                </c:pt>
                <c:pt idx="21">
                  <c:v>6.4198299952247408</c:v>
                </c:pt>
                <c:pt idx="22">
                  <c:v>7.0917248448730081</c:v>
                </c:pt>
                <c:pt idx="23">
                  <c:v>7.7379208838469795</c:v>
                </c:pt>
                <c:pt idx="24">
                  <c:v>8.2931396148468046</c:v>
                </c:pt>
                <c:pt idx="25">
                  <c:v>8.8722259238483794</c:v>
                </c:pt>
                <c:pt idx="26">
                  <c:v>9.540194976912959</c:v>
                </c:pt>
                <c:pt idx="27">
                  <c:v>10.224276728621509</c:v>
                </c:pt>
                <c:pt idx="28">
                  <c:v>10.922979279577195</c:v>
                </c:pt>
                <c:pt idx="29">
                  <c:v>11.63497325477409</c:v>
                </c:pt>
                <c:pt idx="30">
                  <c:v>12.39076785434187</c:v>
                </c:pt>
                <c:pt idx="31">
                  <c:v>13.147781312267746</c:v>
                </c:pt>
                <c:pt idx="32">
                  <c:v>13.901403222424548</c:v>
                </c:pt>
                <c:pt idx="33">
                  <c:v>14.740371420895551</c:v>
                </c:pt>
                <c:pt idx="34">
                  <c:v>15.682003666711037</c:v>
                </c:pt>
                <c:pt idx="35">
                  <c:v>16.75067995406781</c:v>
                </c:pt>
                <c:pt idx="36">
                  <c:v>17.900929718486942</c:v>
                </c:pt>
                <c:pt idx="37">
                  <c:v>19.142443935754333</c:v>
                </c:pt>
                <c:pt idx="38">
                  <c:v>20.485951402818273</c:v>
                </c:pt>
                <c:pt idx="39">
                  <c:v>21.943199659029872</c:v>
                </c:pt>
                <c:pt idx="40">
                  <c:v>23.526931166744671</c:v>
                </c:pt>
              </c:numCache>
            </c:numRef>
          </c:val>
        </c:ser>
        <c:axId val="82136064"/>
        <c:axId val="82137856"/>
      </c:areaChart>
      <c:areaChart>
        <c:grouping val="stacked"/>
        <c:ser>
          <c:idx val="1"/>
          <c:order val="0"/>
          <c:tx>
            <c:strRef>
              <c:f>PortfolioDashboard!$AC$379</c:f>
              <c:strCache>
                <c:ptCount val="1"/>
                <c:pt idx="0">
                  <c:v>OPEX</c:v>
                </c:pt>
              </c:strCache>
            </c:strRef>
          </c:tx>
          <c:spPr>
            <a:solidFill>
              <a:schemeClr val="accent2">
                <a:lumMod val="75000"/>
              </a:schemeClr>
            </a:solidFill>
          </c:spPr>
          <c:val>
            <c:numRef>
              <c:f>PortfolioDashboard!$AC$380:$AC$420</c:f>
              <c:numCache>
                <c:formatCode>"$"#,##0.0_);[Red]\("$"#,##0.0\)</c:formatCode>
                <c:ptCount val="41"/>
                <c:pt idx="0">
                  <c:v>0</c:v>
                </c:pt>
                <c:pt idx="1">
                  <c:v>0.13296412108404104</c:v>
                </c:pt>
                <c:pt idx="2">
                  <c:v>0.63171202030252027</c:v>
                </c:pt>
                <c:pt idx="3">
                  <c:v>0.81221972816342891</c:v>
                </c:pt>
                <c:pt idx="4">
                  <c:v>1.0076797142660756</c:v>
                </c:pt>
                <c:pt idx="5">
                  <c:v>1.1951092035353554</c:v>
                </c:pt>
                <c:pt idx="6">
                  <c:v>1.460013692599164</c:v>
                </c:pt>
                <c:pt idx="7">
                  <c:v>1.612498973617505</c:v>
                </c:pt>
                <c:pt idx="8">
                  <c:v>1.8149647609075581</c:v>
                </c:pt>
                <c:pt idx="9">
                  <c:v>2.0174146169761791</c:v>
                </c:pt>
                <c:pt idx="10">
                  <c:v>2.2198511356629176</c:v>
                </c:pt>
                <c:pt idx="11">
                  <c:v>2.422276275107123</c:v>
                </c:pt>
                <c:pt idx="12">
                  <c:v>2.6271665565882829</c:v>
                </c:pt>
                <c:pt idx="13">
                  <c:v>2.8320481899001111</c:v>
                </c:pt>
                <c:pt idx="14">
                  <c:v>3.0369221559387083</c:v>
                </c:pt>
                <c:pt idx="15">
                  <c:v>3.2417892631030947</c:v>
                </c:pt>
                <c:pt idx="16">
                  <c:v>3.4466501869942103</c:v>
                </c:pt>
                <c:pt idx="17">
                  <c:v>3.6515054990865874</c:v>
                </c:pt>
                <c:pt idx="18">
                  <c:v>3.8563556879002956</c:v>
                </c:pt>
                <c:pt idx="19">
                  <c:v>4.0612011749399963</c:v>
                </c:pt>
                <c:pt idx="20">
                  <c:v>4.2660423269000383</c:v>
                </c:pt>
                <c:pt idx="21">
                  <c:v>4.4708794651521799</c:v>
                </c:pt>
                <c:pt idx="22">
                  <c:v>4.6757128732206619</c:v>
                </c:pt>
                <c:pt idx="23">
                  <c:v>4.8805428027431379</c:v>
                </c:pt>
                <c:pt idx="24">
                  <c:v>5.0853694782762444</c:v>
                </c:pt>
                <c:pt idx="25">
                  <c:v>5.2901931012082288</c:v>
                </c:pt>
                <c:pt idx="26">
                  <c:v>5.4950138529734733</c:v>
                </c:pt>
                <c:pt idx="27">
                  <c:v>5.6998318977153559</c:v>
                </c:pt>
                <c:pt idx="28">
                  <c:v>5.904647384508908</c:v>
                </c:pt>
                <c:pt idx="29">
                  <c:v>6.1094604492290934</c:v>
                </c:pt>
                <c:pt idx="30">
                  <c:v>6.314271216131413</c:v>
                </c:pt>
                <c:pt idx="31">
                  <c:v>6.5190797991971996</c:v>
                </c:pt>
                <c:pt idx="32">
                  <c:v>6.7238863032850027</c:v>
                </c:pt>
                <c:pt idx="33">
                  <c:v>6.9286908251212482</c:v>
                </c:pt>
                <c:pt idx="34">
                  <c:v>7.1334934541567012</c:v>
                </c:pt>
                <c:pt idx="35">
                  <c:v>7.3382942733103453</c:v>
                </c:pt>
                <c:pt idx="36">
                  <c:v>7.5430933596182266</c:v>
                </c:pt>
                <c:pt idx="37">
                  <c:v>7.7478907848017391</c:v>
                </c:pt>
                <c:pt idx="38">
                  <c:v>7.9526866157671812</c:v>
                </c:pt>
                <c:pt idx="39">
                  <c:v>8.1574809150465377</c:v>
                </c:pt>
                <c:pt idx="40">
                  <c:v>8.3622737411876908</c:v>
                </c:pt>
              </c:numCache>
            </c:numRef>
          </c:val>
        </c:ser>
        <c:ser>
          <c:idx val="3"/>
          <c:order val="1"/>
          <c:tx>
            <c:strRef>
              <c:f>PortfolioDashboard!$AE$379</c:f>
              <c:strCache>
                <c:ptCount val="1"/>
                <c:pt idx="0">
                  <c:v>Principal &amp; Interest</c:v>
                </c:pt>
              </c:strCache>
            </c:strRef>
          </c:tx>
          <c:spPr>
            <a:solidFill>
              <a:schemeClr val="accent2">
                <a:lumMod val="60000"/>
                <a:lumOff val="40000"/>
              </a:schemeClr>
            </a:solidFill>
          </c:spPr>
          <c:val>
            <c:numRef>
              <c:f>PortfolioDashboard!$AE$380:$AE$420</c:f>
              <c:numCache>
                <c:formatCode>"$"#,##0.0_);[Red]\("$"#,##0.0\)</c:formatCode>
                <c:ptCount val="41"/>
                <c:pt idx="0">
                  <c:v>-8.0242587190691318E-3</c:v>
                </c:pt>
                <c:pt idx="1">
                  <c:v>-0.17583435418652033</c:v>
                </c:pt>
                <c:pt idx="2">
                  <c:v>-0.46685159277946275</c:v>
                </c:pt>
                <c:pt idx="3">
                  <c:v>-0.65512103430265922</c:v>
                </c:pt>
                <c:pt idx="4">
                  <c:v>-1.1321405900036254</c:v>
                </c:pt>
                <c:pt idx="5">
                  <c:v>-1.3515651660993322</c:v>
                </c:pt>
                <c:pt idx="6">
                  <c:v>-1.4473327746946651</c:v>
                </c:pt>
                <c:pt idx="7">
                  <c:v>-1.5431003832899979</c:v>
                </c:pt>
                <c:pt idx="8">
                  <c:v>-1.6388679918853308</c:v>
                </c:pt>
                <c:pt idx="9">
                  <c:v>-1.7346356004806636</c:v>
                </c:pt>
                <c:pt idx="10">
                  <c:v>-1.8304032090759965</c:v>
                </c:pt>
                <c:pt idx="11">
                  <c:v>-1.9261708176713279</c:v>
                </c:pt>
                <c:pt idx="12">
                  <c:v>-2.0219384262666593</c:v>
                </c:pt>
                <c:pt idx="13">
                  <c:v>-2.1177060348619934</c:v>
                </c:pt>
                <c:pt idx="14">
                  <c:v>-2.2197821250861125</c:v>
                </c:pt>
                <c:pt idx="15">
                  <c:v>-2.3218582153102325</c:v>
                </c:pt>
                <c:pt idx="16">
                  <c:v>-2.423934305534353</c:v>
                </c:pt>
                <c:pt idx="17">
                  <c:v>-2.5260103957584721</c:v>
                </c:pt>
                <c:pt idx="18">
                  <c:v>-2.6280864859825921</c:v>
                </c:pt>
                <c:pt idx="19">
                  <c:v>-2.7301625762067139</c:v>
                </c:pt>
                <c:pt idx="20">
                  <c:v>-2.8242144077117652</c:v>
                </c:pt>
                <c:pt idx="21">
                  <c:v>-2.7584804024684328</c:v>
                </c:pt>
                <c:pt idx="22">
                  <c:v>-2.5695392540996091</c:v>
                </c:pt>
                <c:pt idx="23">
                  <c:v>-2.4833459028005329</c:v>
                </c:pt>
                <c:pt idx="24">
                  <c:v>-2.0416516782580634</c:v>
                </c:pt>
                <c:pt idx="25">
                  <c:v>-1.8575524333208526</c:v>
                </c:pt>
                <c:pt idx="26">
                  <c:v>-1.850182603051943</c:v>
                </c:pt>
                <c:pt idx="27">
                  <c:v>-1.7897403256151079</c:v>
                </c:pt>
                <c:pt idx="28">
                  <c:v>-1.7292980481782712</c:v>
                </c:pt>
                <c:pt idx="29">
                  <c:v>-1.6688557707414344</c:v>
                </c:pt>
                <c:pt idx="30">
                  <c:v>-1.608413493304599</c:v>
                </c:pt>
                <c:pt idx="31">
                  <c:v>-1.5479712158677661</c:v>
                </c:pt>
                <c:pt idx="32">
                  <c:v>-1.4875289384309309</c:v>
                </c:pt>
                <c:pt idx="33">
                  <c:v>-1.4270866609940944</c:v>
                </c:pt>
                <c:pt idx="34">
                  <c:v>-1.3603359019284715</c:v>
                </c:pt>
                <c:pt idx="35">
                  <c:v>-1.2935851428628475</c:v>
                </c:pt>
                <c:pt idx="36">
                  <c:v>-1.2268343837972249</c:v>
                </c:pt>
                <c:pt idx="37">
                  <c:v>-1.1600836247316033</c:v>
                </c:pt>
                <c:pt idx="38">
                  <c:v>-1.093332865665982</c:v>
                </c:pt>
                <c:pt idx="39">
                  <c:v>-1.0265821066003566</c:v>
                </c:pt>
                <c:pt idx="40">
                  <c:v>-0.95983134753473376</c:v>
                </c:pt>
              </c:numCache>
            </c:numRef>
          </c:val>
        </c:ser>
        <c:axId val="82141568"/>
        <c:axId val="82139776"/>
      </c:areaChart>
      <c:lineChart>
        <c:grouping val="standard"/>
        <c:ser>
          <c:idx val="5"/>
          <c:order val="5"/>
          <c:tx>
            <c:strRef>
              <c:f>PortfolioDashboard!$AG$379</c:f>
              <c:strCache>
                <c:ptCount val="1"/>
                <c:pt idx="0">
                  <c:v>Portfolio Cash Flow w/o GHG Compliance Savings</c:v>
                </c:pt>
              </c:strCache>
            </c:strRef>
          </c:tx>
          <c:spPr>
            <a:ln>
              <a:solidFill>
                <a:sysClr val="windowText" lastClr="000000"/>
              </a:solidFill>
              <a:prstDash val="sysDash"/>
            </a:ln>
          </c:spPr>
          <c:marker>
            <c:symbol val="none"/>
          </c:marker>
          <c:val>
            <c:numRef>
              <c:f>PortfolioDashboard!$AG$380:$AG$420</c:f>
              <c:numCache>
                <c:formatCode>"$"#,##0.0_);[Red]\("$"#,##0.0\)</c:formatCode>
                <c:ptCount val="41"/>
                <c:pt idx="0">
                  <c:v>0.22902779463380374</c:v>
                </c:pt>
                <c:pt idx="1">
                  <c:v>26.064630733555504</c:v>
                </c:pt>
                <c:pt idx="2">
                  <c:v>28.229281689887117</c:v>
                </c:pt>
                <c:pt idx="3">
                  <c:v>29.24737802834893</c:v>
                </c:pt>
                <c:pt idx="4">
                  <c:v>30.739066222941098</c:v>
                </c:pt>
                <c:pt idx="5">
                  <c:v>31.402238267686272</c:v>
                </c:pt>
                <c:pt idx="6">
                  <c:v>31.630963532753597</c:v>
                </c:pt>
                <c:pt idx="7">
                  <c:v>32.227552975147063</c:v>
                </c:pt>
                <c:pt idx="8">
                  <c:v>32.790621215536362</c:v>
                </c:pt>
                <c:pt idx="9">
                  <c:v>33.446799478793707</c:v>
                </c:pt>
                <c:pt idx="10">
                  <c:v>34.107824093383584</c:v>
                </c:pt>
                <c:pt idx="11">
                  <c:v>34.773729219885439</c:v>
                </c:pt>
                <c:pt idx="12">
                  <c:v>35.447023943881</c:v>
                </c:pt>
                <c:pt idx="13">
                  <c:v>36.125267396217772</c:v>
                </c:pt>
                <c:pt idx="14">
                  <c:v>36.726527565914758</c:v>
                </c:pt>
                <c:pt idx="15">
                  <c:v>37.331887772688106</c:v>
                </c:pt>
                <c:pt idx="16">
                  <c:v>37.941375776405998</c:v>
                </c:pt>
                <c:pt idx="17">
                  <c:v>38.555019527059351</c:v>
                </c:pt>
                <c:pt idx="18">
                  <c:v>39.172847182316232</c:v>
                </c:pt>
                <c:pt idx="19">
                  <c:v>39.794887120138718</c:v>
                </c:pt>
                <c:pt idx="20">
                  <c:v>40.429192206643535</c:v>
                </c:pt>
                <c:pt idx="21">
                  <c:v>41.207359230633926</c:v>
                </c:pt>
                <c:pt idx="22">
                  <c:v>42.260067361851227</c:v>
                </c:pt>
                <c:pt idx="23">
                  <c:v>43.066915309934281</c:v>
                </c:pt>
                <c:pt idx="24">
                  <c:v>43.754147895153636</c:v>
                </c:pt>
                <c:pt idx="25">
                  <c:v>44.536489255153384</c:v>
                </c:pt>
                <c:pt idx="26">
                  <c:v>45.80678742449652</c:v>
                </c:pt>
                <c:pt idx="27">
                  <c:v>46.471958635105977</c:v>
                </c:pt>
                <c:pt idx="28">
                  <c:v>47.228703727037043</c:v>
                </c:pt>
                <c:pt idx="29">
                  <c:v>47.900448338855867</c:v>
                </c:pt>
                <c:pt idx="30">
                  <c:v>48.575512604014861</c:v>
                </c:pt>
                <c:pt idx="31">
                  <c:v>49.253918749241066</c:v>
                </c:pt>
                <c:pt idx="32">
                  <c:v>49.93568919482415</c:v>
                </c:pt>
                <c:pt idx="33">
                  <c:v>50.620846554473033</c:v>
                </c:pt>
                <c:pt idx="34">
                  <c:v>51.315722116775568</c:v>
                </c:pt>
                <c:pt idx="35">
                  <c:v>52.014030400132626</c:v>
                </c:pt>
                <c:pt idx="36">
                  <c:v>52.715794597475181</c:v>
                </c:pt>
                <c:pt idx="37">
                  <c:v>53.421038094476515</c:v>
                </c:pt>
                <c:pt idx="38">
                  <c:v>54.129784469412378</c:v>
                </c:pt>
                <c:pt idx="39">
                  <c:v>54.842057493048138</c:v>
                </c:pt>
                <c:pt idx="40">
                  <c:v>55.557881128556588</c:v>
                </c:pt>
              </c:numCache>
            </c:numRef>
          </c:val>
        </c:ser>
        <c:ser>
          <c:idx val="6"/>
          <c:order val="6"/>
          <c:tx>
            <c:strRef>
              <c:f>PortfolioDashboard!$AH$379</c:f>
              <c:strCache>
                <c:ptCount val="1"/>
                <c:pt idx="0">
                  <c:v>Portfolio Cash Flow w/ GHG Compliance Savings</c:v>
                </c:pt>
              </c:strCache>
            </c:strRef>
          </c:tx>
          <c:spPr>
            <a:ln>
              <a:solidFill>
                <a:sysClr val="windowText" lastClr="000000"/>
              </a:solidFill>
              <a:prstDash val="sysDot"/>
            </a:ln>
          </c:spPr>
          <c:marker>
            <c:symbol val="none"/>
          </c:marker>
          <c:val>
            <c:numRef>
              <c:f>PortfolioDashboard!$AH$380:$AH$420</c:f>
              <c:numCache>
                <c:formatCode>"$"#,##0.0_);[Red]\("$"#,##0.0\)</c:formatCode>
                <c:ptCount val="41"/>
                <c:pt idx="0">
                  <c:v>0.22902779463380374</c:v>
                </c:pt>
                <c:pt idx="1">
                  <c:v>26.064630733555504</c:v>
                </c:pt>
                <c:pt idx="2">
                  <c:v>28.229281689887117</c:v>
                </c:pt>
                <c:pt idx="3">
                  <c:v>29.24737802834893</c:v>
                </c:pt>
                <c:pt idx="4">
                  <c:v>30.739066222941098</c:v>
                </c:pt>
                <c:pt idx="5">
                  <c:v>32.083109530109077</c:v>
                </c:pt>
                <c:pt idx="6">
                  <c:v>32.479222369577563</c:v>
                </c:pt>
                <c:pt idx="7">
                  <c:v>33.253098894896212</c:v>
                </c:pt>
                <c:pt idx="8">
                  <c:v>34.013602172495979</c:v>
                </c:pt>
                <c:pt idx="9">
                  <c:v>34.888108837755397</c:v>
                </c:pt>
                <c:pt idx="10">
                  <c:v>35.789063699505178</c:v>
                </c:pt>
                <c:pt idx="11">
                  <c:v>36.737882283682083</c:v>
                </c:pt>
                <c:pt idx="12">
                  <c:v>37.720921298081251</c:v>
                </c:pt>
                <c:pt idx="13">
                  <c:v>38.73648660421614</c:v>
                </c:pt>
                <c:pt idx="14">
                  <c:v>39.685490660533631</c:v>
                </c:pt>
                <c:pt idx="15">
                  <c:v>40.664357059535575</c:v>
                </c:pt>
                <c:pt idx="16">
                  <c:v>41.702027679765735</c:v>
                </c:pt>
                <c:pt idx="17">
                  <c:v>42.774665329859047</c:v>
                </c:pt>
                <c:pt idx="18">
                  <c:v>43.88276129701228</c:v>
                </c:pt>
                <c:pt idx="19">
                  <c:v>45.026747701843775</c:v>
                </c:pt>
                <c:pt idx="20">
                  <c:v>46.215022088621453</c:v>
                </c:pt>
                <c:pt idx="21">
                  <c:v>47.627189225858672</c:v>
                </c:pt>
                <c:pt idx="22">
                  <c:v>49.351792206724241</c:v>
                </c:pt>
                <c:pt idx="23">
                  <c:v>50.804836193781256</c:v>
                </c:pt>
                <c:pt idx="24">
                  <c:v>52.047287510000444</c:v>
                </c:pt>
                <c:pt idx="25">
                  <c:v>53.40871517900176</c:v>
                </c:pt>
                <c:pt idx="26">
                  <c:v>55.346982401409477</c:v>
                </c:pt>
                <c:pt idx="27">
                  <c:v>56.696235363727489</c:v>
                </c:pt>
                <c:pt idx="28">
                  <c:v>58.151683006614235</c:v>
                </c:pt>
                <c:pt idx="29">
                  <c:v>59.535421593629955</c:v>
                </c:pt>
                <c:pt idx="30">
                  <c:v>60.966280458356735</c:v>
                </c:pt>
                <c:pt idx="31">
                  <c:v>62.401700061508812</c:v>
                </c:pt>
                <c:pt idx="32">
                  <c:v>63.837092417248691</c:v>
                </c:pt>
                <c:pt idx="33">
                  <c:v>65.361217975368589</c:v>
                </c:pt>
                <c:pt idx="34">
                  <c:v>66.997725783486601</c:v>
                </c:pt>
                <c:pt idx="35">
                  <c:v>68.764710354200432</c:v>
                </c:pt>
                <c:pt idx="36">
                  <c:v>70.616724315962131</c:v>
                </c:pt>
                <c:pt idx="37">
                  <c:v>72.563482030230858</c:v>
                </c:pt>
                <c:pt idx="38">
                  <c:v>74.615735872230658</c:v>
                </c:pt>
                <c:pt idx="39">
                  <c:v>76.785257152078003</c:v>
                </c:pt>
                <c:pt idx="40">
                  <c:v>79.084812295301262</c:v>
                </c:pt>
              </c:numCache>
            </c:numRef>
          </c:val>
        </c:ser>
        <c:marker val="1"/>
        <c:axId val="82141568"/>
        <c:axId val="82139776"/>
      </c:lineChart>
      <c:catAx>
        <c:axId val="82136064"/>
        <c:scaling>
          <c:orientation val="minMax"/>
        </c:scaling>
        <c:axPos val="b"/>
        <c:numFmt formatCode="General" sourceLinked="1"/>
        <c:tickLblPos val="low"/>
        <c:crossAx val="82137856"/>
        <c:crosses val="autoZero"/>
        <c:auto val="1"/>
        <c:lblAlgn val="ctr"/>
        <c:lblOffset val="100"/>
        <c:tickLblSkip val="5"/>
        <c:tickMarkSkip val="5"/>
      </c:catAx>
      <c:valAx>
        <c:axId val="82137856"/>
        <c:scaling>
          <c:orientation val="minMax"/>
          <c:max val="80"/>
          <c:min val="-20"/>
        </c:scaling>
        <c:axPos val="l"/>
        <c:majorGridlines/>
        <c:title>
          <c:tx>
            <c:rich>
              <a:bodyPr rot="-5400000" vert="horz"/>
              <a:lstStyle/>
              <a:p>
                <a:pPr>
                  <a:defRPr/>
                </a:pPr>
                <a:r>
                  <a:rPr lang="en-US"/>
                  <a:t>Portfolio Cashflow ($2010 MM)</a:t>
                </a:r>
              </a:p>
            </c:rich>
          </c:tx>
        </c:title>
        <c:numFmt formatCode="&quot;$&quot;#,##0_);[Red]\(&quot;$&quot;#,##0\)" sourceLinked="0"/>
        <c:tickLblPos val="nextTo"/>
        <c:crossAx val="82136064"/>
        <c:crosses val="autoZero"/>
        <c:crossBetween val="between"/>
      </c:valAx>
      <c:valAx>
        <c:axId val="82139776"/>
        <c:scaling>
          <c:orientation val="minMax"/>
          <c:max val="80"/>
          <c:min val="-20"/>
        </c:scaling>
        <c:delete val="1"/>
        <c:axPos val="r"/>
        <c:numFmt formatCode="&quot;$&quot;#,##0.0_);[Red]\(&quot;$&quot;#,##0.0\)" sourceLinked="1"/>
        <c:tickLblPos val="none"/>
        <c:crossAx val="82141568"/>
        <c:crosses val="max"/>
        <c:crossBetween val="between"/>
      </c:valAx>
      <c:catAx>
        <c:axId val="82141568"/>
        <c:scaling>
          <c:orientation val="minMax"/>
        </c:scaling>
        <c:delete val="1"/>
        <c:axPos val="b"/>
        <c:tickLblPos val="none"/>
        <c:crossAx val="82139776"/>
        <c:crosses val="autoZero"/>
        <c:auto val="1"/>
        <c:lblAlgn val="ctr"/>
        <c:lblOffset val="100"/>
      </c:catAx>
    </c:plotArea>
    <c:legend>
      <c:legendPos val="l"/>
      <c:layout>
        <c:manualLayout>
          <c:xMode val="edge"/>
          <c:yMode val="edge"/>
          <c:x val="0.10592907000581422"/>
          <c:y val="1.4779732459093158E-2"/>
          <c:w val="0.72031590161345072"/>
          <c:h val="0.12168377614583151"/>
        </c:manualLayout>
      </c:layout>
      <c:overlay val="1"/>
      <c:spPr>
        <a:solidFill>
          <a:schemeClr val="lt1"/>
        </a:solidFill>
        <a:ln w="25400" cap="flat" cmpd="sng" algn="ctr">
          <a:solidFill>
            <a:schemeClr val="dk1"/>
          </a:solidFill>
          <a:prstDash val="solid"/>
        </a:ln>
        <a:effectLst/>
      </c:spPr>
      <c:txPr>
        <a:bodyPr/>
        <a:lstStyle/>
        <a:p>
          <a:pPr>
            <a:defRPr sz="800">
              <a:solidFill>
                <a:schemeClr val="dk1"/>
              </a:solidFill>
              <a:latin typeface="+mn-lt"/>
              <a:ea typeface="+mn-ea"/>
              <a:cs typeface="+mn-cs"/>
            </a:defRPr>
          </a:pPr>
          <a:endParaRPr lang="en-US"/>
        </a:p>
      </c:txPr>
    </c:legend>
    <c:plotVisOnly val="1"/>
    <c:dispBlanksAs val="zero"/>
  </c:chart>
  <c:spPr>
    <a:ln>
      <a:solidFill>
        <a:sysClr val="windowText" lastClr="000000"/>
      </a:solidFill>
    </a:ln>
  </c:spPr>
  <c:printSettings>
    <c:headerFooter/>
    <c:pageMargins b="0.75000000000000955" l="0.70000000000000062" r="0.70000000000000062" t="0.7500000000000095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chart>
    <c:plotArea>
      <c:layout/>
      <c:areaChart>
        <c:grouping val="standard"/>
        <c:ser>
          <c:idx val="2"/>
          <c:order val="1"/>
          <c:tx>
            <c:strRef>
              <c:f>PortfolioDashboard!$AD$97</c:f>
              <c:strCache>
                <c:ptCount val="1"/>
                <c:pt idx="0">
                  <c:v>BAU Less Portfolio</c:v>
                </c:pt>
              </c:strCache>
            </c:strRef>
          </c:tx>
          <c:spPr>
            <a:solidFill>
              <a:schemeClr val="accent3">
                <a:lumMod val="75000"/>
              </a:schemeClr>
            </a:solidFill>
            <a:ln>
              <a:solidFill>
                <a:sysClr val="windowText" lastClr="000000"/>
              </a:solidFill>
            </a:ln>
          </c:spP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PortfolioDashboard!$AD$103:$AD$143</c:f>
              <c:numCache>
                <c:formatCode>#,##0</c:formatCode>
                <c:ptCount val="41"/>
                <c:pt idx="0">
                  <c:v>678074.34788952675</c:v>
                </c:pt>
                <c:pt idx="1">
                  <c:v>662488.42315347015</c:v>
                </c:pt>
                <c:pt idx="2">
                  <c:v>619647.86410018068</c:v>
                </c:pt>
                <c:pt idx="3">
                  <c:v>595547.36958931689</c:v>
                </c:pt>
                <c:pt idx="4">
                  <c:v>581302.36670086486</c:v>
                </c:pt>
                <c:pt idx="5">
                  <c:v>556996.88615264825</c:v>
                </c:pt>
                <c:pt idx="6">
                  <c:v>548468.34638919635</c:v>
                </c:pt>
                <c:pt idx="7">
                  <c:v>539939.80662574433</c:v>
                </c:pt>
                <c:pt idx="8">
                  <c:v>531411.26686229242</c:v>
                </c:pt>
                <c:pt idx="9">
                  <c:v>522882.72709884041</c:v>
                </c:pt>
                <c:pt idx="10">
                  <c:v>514354.18733538844</c:v>
                </c:pt>
                <c:pt idx="11">
                  <c:v>505825.64757193648</c:v>
                </c:pt>
                <c:pt idx="12">
                  <c:v>497297.1078084847</c:v>
                </c:pt>
                <c:pt idx="13">
                  <c:v>488768.56804503273</c:v>
                </c:pt>
                <c:pt idx="14">
                  <c:v>482028.17265658069</c:v>
                </c:pt>
                <c:pt idx="15">
                  <c:v>475287.7772681287</c:v>
                </c:pt>
                <c:pt idx="16">
                  <c:v>468547.38187967677</c:v>
                </c:pt>
                <c:pt idx="17">
                  <c:v>461806.98649122484</c:v>
                </c:pt>
                <c:pt idx="18">
                  <c:v>455066.5911027728</c:v>
                </c:pt>
                <c:pt idx="19">
                  <c:v>448326.19571432099</c:v>
                </c:pt>
                <c:pt idx="20">
                  <c:v>441585.80032586906</c:v>
                </c:pt>
                <c:pt idx="21">
                  <c:v>434845.40493741713</c:v>
                </c:pt>
                <c:pt idx="22">
                  <c:v>428105.00954896508</c:v>
                </c:pt>
                <c:pt idx="23">
                  <c:v>421364.61416051321</c:v>
                </c:pt>
                <c:pt idx="24">
                  <c:v>420352.69627206109</c:v>
                </c:pt>
                <c:pt idx="25">
                  <c:v>419340.77838360931</c:v>
                </c:pt>
                <c:pt idx="26">
                  <c:v>418328.86049515742</c:v>
                </c:pt>
                <c:pt idx="27">
                  <c:v>417316.94260670542</c:v>
                </c:pt>
                <c:pt idx="28">
                  <c:v>416305.02471825341</c:v>
                </c:pt>
                <c:pt idx="29">
                  <c:v>415293.10682980157</c:v>
                </c:pt>
                <c:pt idx="30">
                  <c:v>414281.18894134951</c:v>
                </c:pt>
                <c:pt idx="31">
                  <c:v>413269.27105289756</c:v>
                </c:pt>
                <c:pt idx="32">
                  <c:v>412257.35316444549</c:v>
                </c:pt>
                <c:pt idx="33">
                  <c:v>411245.43527599366</c:v>
                </c:pt>
                <c:pt idx="34">
                  <c:v>410233.51738754183</c:v>
                </c:pt>
                <c:pt idx="35">
                  <c:v>409221.59949908988</c:v>
                </c:pt>
                <c:pt idx="36">
                  <c:v>408209.68161063781</c:v>
                </c:pt>
                <c:pt idx="37">
                  <c:v>407197.76372218586</c:v>
                </c:pt>
                <c:pt idx="38">
                  <c:v>406185.84583373391</c:v>
                </c:pt>
                <c:pt idx="39">
                  <c:v>405173.92794528208</c:v>
                </c:pt>
                <c:pt idx="40">
                  <c:v>404162.01005683013</c:v>
                </c:pt>
              </c:numCache>
            </c:numRef>
          </c:val>
        </c:ser>
        <c:axId val="286690688"/>
        <c:axId val="88170880"/>
      </c:areaChart>
      <c:lineChart>
        <c:grouping val="standard"/>
        <c:ser>
          <c:idx val="0"/>
          <c:order val="0"/>
          <c:tx>
            <c:strRef>
              <c:f>PortfolioDashboard!$AB$97</c:f>
              <c:strCache>
                <c:ptCount val="1"/>
                <c:pt idx="0">
                  <c:v>Business As Usual (MMBTU)</c:v>
                </c:pt>
              </c:strCache>
            </c:strRef>
          </c:tx>
          <c:marker>
            <c:symbol val="none"/>
          </c:marke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PortfolioDashboard!$AB$103:$AB$143</c:f>
              <c:numCache>
                <c:formatCode>#,##0</c:formatCode>
                <c:ptCount val="41"/>
                <c:pt idx="0">
                  <c:v>685461.01512967527</c:v>
                </c:pt>
                <c:pt idx="1">
                  <c:v>693847.61425935081</c:v>
                </c:pt>
                <c:pt idx="2">
                  <c:v>713508.44544344163</c:v>
                </c:pt>
                <c:pt idx="3">
                  <c:v>724969.83513341204</c:v>
                </c:pt>
                <c:pt idx="4">
                  <c:v>733356.43426308746</c:v>
                </c:pt>
                <c:pt idx="5">
                  <c:v>749942.47488688328</c:v>
                </c:pt>
                <c:pt idx="6">
                  <c:v>758329.0740165587</c:v>
                </c:pt>
                <c:pt idx="7">
                  <c:v>766715.67314623413</c:v>
                </c:pt>
                <c:pt idx="8">
                  <c:v>775102.27227590943</c:v>
                </c:pt>
                <c:pt idx="9">
                  <c:v>783488.87140558485</c:v>
                </c:pt>
                <c:pt idx="10">
                  <c:v>791875.47053526016</c:v>
                </c:pt>
                <c:pt idx="11">
                  <c:v>800262.06966493546</c:v>
                </c:pt>
                <c:pt idx="12">
                  <c:v>808648.668794611</c:v>
                </c:pt>
                <c:pt idx="13">
                  <c:v>817035.26792428643</c:v>
                </c:pt>
                <c:pt idx="14">
                  <c:v>825421.86705396173</c:v>
                </c:pt>
                <c:pt idx="15">
                  <c:v>833808.46618363715</c:v>
                </c:pt>
                <c:pt idx="16">
                  <c:v>842195.06531331246</c:v>
                </c:pt>
                <c:pt idx="17">
                  <c:v>850581.66444298776</c:v>
                </c:pt>
                <c:pt idx="18">
                  <c:v>858968.26357266307</c:v>
                </c:pt>
                <c:pt idx="19">
                  <c:v>867354.86270233872</c:v>
                </c:pt>
                <c:pt idx="20">
                  <c:v>875741.46183201415</c:v>
                </c:pt>
                <c:pt idx="21">
                  <c:v>884128.06096168945</c:v>
                </c:pt>
                <c:pt idx="22">
                  <c:v>892514.66009136476</c:v>
                </c:pt>
                <c:pt idx="23">
                  <c:v>900901.25922104018</c:v>
                </c:pt>
                <c:pt idx="24">
                  <c:v>909287.85835071537</c:v>
                </c:pt>
                <c:pt idx="25">
                  <c:v>917674.45748039079</c:v>
                </c:pt>
                <c:pt idx="26">
                  <c:v>926061.05661006644</c:v>
                </c:pt>
                <c:pt idx="27">
                  <c:v>934447.65573974175</c:v>
                </c:pt>
                <c:pt idx="28">
                  <c:v>942834.25486941705</c:v>
                </c:pt>
                <c:pt idx="29">
                  <c:v>951220.85399909248</c:v>
                </c:pt>
                <c:pt idx="30">
                  <c:v>959607.45312876778</c:v>
                </c:pt>
                <c:pt idx="31">
                  <c:v>967994.0522584432</c:v>
                </c:pt>
                <c:pt idx="32">
                  <c:v>976380.65138811851</c:v>
                </c:pt>
                <c:pt idx="33">
                  <c:v>984767.25051779393</c:v>
                </c:pt>
                <c:pt idx="34">
                  <c:v>993153.84964746935</c:v>
                </c:pt>
                <c:pt idx="35">
                  <c:v>1001540.4487771448</c:v>
                </c:pt>
                <c:pt idx="36">
                  <c:v>1009927.04790682</c:v>
                </c:pt>
                <c:pt idx="37">
                  <c:v>1018313.6470364953</c:v>
                </c:pt>
                <c:pt idx="38">
                  <c:v>1026700.2461661708</c:v>
                </c:pt>
                <c:pt idx="39">
                  <c:v>1035086.8452958462</c:v>
                </c:pt>
                <c:pt idx="40">
                  <c:v>1043473.4444255217</c:v>
                </c:pt>
              </c:numCache>
            </c:numRef>
          </c:val>
        </c:ser>
        <c:marker val="1"/>
        <c:axId val="286690688"/>
        <c:axId val="88170880"/>
      </c:lineChart>
      <c:catAx>
        <c:axId val="286690688"/>
        <c:scaling>
          <c:orientation val="minMax"/>
        </c:scaling>
        <c:axPos val="b"/>
        <c:numFmt formatCode="General" sourceLinked="1"/>
        <c:tickLblPos val="nextTo"/>
        <c:crossAx val="88170880"/>
        <c:crosses val="autoZero"/>
        <c:auto val="1"/>
        <c:lblAlgn val="ctr"/>
        <c:lblOffset val="100"/>
        <c:tickLblSkip val="5"/>
        <c:tickMarkSkip val="5"/>
      </c:catAx>
      <c:valAx>
        <c:axId val="88170880"/>
        <c:scaling>
          <c:orientation val="minMax"/>
        </c:scaling>
        <c:axPos val="l"/>
        <c:majorGridlines/>
        <c:title>
          <c:tx>
            <c:rich>
              <a:bodyPr rot="-5400000" vert="horz"/>
              <a:lstStyle/>
              <a:p>
                <a:pPr>
                  <a:defRPr/>
                </a:pPr>
                <a:r>
                  <a:rPr lang="en-US"/>
                  <a:t>Purchased Steam (MMBTU)</a:t>
                </a:r>
              </a:p>
            </c:rich>
          </c:tx>
        </c:title>
        <c:numFmt formatCode="#,##0" sourceLinked="1"/>
        <c:tickLblPos val="nextTo"/>
        <c:crossAx val="286690688"/>
        <c:crosses val="autoZero"/>
        <c:crossBetween val="between"/>
      </c:valAx>
    </c:plotArea>
    <c:legend>
      <c:legendPos val="l"/>
      <c:layout>
        <c:manualLayout>
          <c:xMode val="edge"/>
          <c:yMode val="edge"/>
          <c:x val="0.28600829476468842"/>
          <c:y val="1.7750801983085467E-2"/>
          <c:w val="0.59340293574412872"/>
          <c:h val="0.13116506270049574"/>
        </c:manualLayout>
      </c:layout>
      <c:overlay val="1"/>
      <c:spPr>
        <a:solidFill>
          <a:schemeClr val="lt1"/>
        </a:solidFill>
        <a:ln w="254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legend>
    <c:plotVisOnly val="1"/>
    <c:dispBlanksAs val="gap"/>
  </c:chart>
  <c:spPr>
    <a:ln>
      <a:solidFill>
        <a:sysClr val="windowText" lastClr="000000"/>
      </a:solidFill>
    </a:ln>
  </c:spPr>
  <c:printSettings>
    <c:headerFooter/>
    <c:pageMargins b="0.75000000000000999" l="0.70000000000000062" r="0.70000000000000062" t="0.750000000000009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areaChart>
        <c:grouping val="stacked"/>
        <c:ser>
          <c:idx val="1"/>
          <c:order val="0"/>
          <c:tx>
            <c:strRef>
              <c:f>Population!$E$4</c:f>
              <c:strCache>
                <c:ptCount val="1"/>
                <c:pt idx="0">
                  <c:v>Total Enrollment</c:v>
                </c:pt>
              </c:strCache>
            </c:strRef>
          </c:tx>
          <c:cat>
            <c:numRef>
              <c:f>Population!$B$7:$B$52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Population!$E$7:$E$52</c:f>
              <c:numCache>
                <c:formatCode>#,##0</c:formatCode>
                <c:ptCount val="46"/>
                <c:pt idx="3">
                  <c:v>9884</c:v>
                </c:pt>
                <c:pt idx="4">
                  <c:v>9814</c:v>
                </c:pt>
                <c:pt idx="5">
                  <c:v>9921.1352006555844</c:v>
                </c:pt>
                <c:pt idx="6">
                  <c:v>9965.5120537746898</c:v>
                </c:pt>
                <c:pt idx="7">
                  <c:v>9999.5636108145573</c:v>
                </c:pt>
                <c:pt idx="8">
                  <c:v>10028.270401311167</c:v>
                </c:pt>
                <c:pt idx="9">
                  <c:v>10053.561591448964</c:v>
                </c:pt>
                <c:pt idx="10">
                  <c:v>10076.42657509687</c:v>
                </c:pt>
                <c:pt idx="11">
                  <c:v>10097.453097595679</c:v>
                </c:pt>
                <c:pt idx="12">
                  <c:v>10117.02410754938</c:v>
                </c:pt>
                <c:pt idx="13">
                  <c:v>10135.405601966751</c:v>
                </c:pt>
                <c:pt idx="14">
                  <c:v>10152.791251650809</c:v>
                </c:pt>
                <c:pt idx="15">
                  <c:v>10169.32726241401</c:v>
                </c:pt>
                <c:pt idx="16">
                  <c:v>10185.127221629115</c:v>
                </c:pt>
                <c:pt idx="17">
                  <c:v>10200.28145937083</c:v>
                </c:pt>
                <c:pt idx="18">
                  <c:v>10214.863214916473</c:v>
                </c:pt>
                <c:pt idx="19">
                  <c:v>10228.932847931666</c:v>
                </c:pt>
                <c:pt idx="20">
                  <c:v>10242.540802622336</c:v>
                </c:pt>
                <c:pt idx="21">
                  <c:v>10255.729748524715</c:v>
                </c:pt>
                <c:pt idx="22">
                  <c:v>10268.536161324068</c:v>
                </c:pt>
                <c:pt idx="23">
                  <c:v>10280.991512953642</c:v>
                </c:pt>
                <c:pt idx="24">
                  <c:v>10293.123182897931</c:v>
                </c:pt>
                <c:pt idx="25">
                  <c:v>10304.955166598495</c:v>
                </c:pt>
                <c:pt idx="26">
                  <c:v>10316.508633586796</c:v>
                </c:pt>
                <c:pt idx="27">
                  <c:v>10327.802372560482</c:v>
                </c:pt>
                <c:pt idx="28">
                  <c:v>10338.85315019374</c:v>
                </c:pt>
                <c:pt idx="29">
                  <c:v>10349.676003277918</c:v>
                </c:pt>
                <c:pt idx="30">
                  <c:v>10360.284478735501</c:v>
                </c:pt>
                <c:pt idx="31">
                  <c:v>10370.690832443674</c:v>
                </c:pt>
                <c:pt idx="32">
                  <c:v>10380.906195191357</c:v>
                </c:pt>
                <c:pt idx="33">
                  <c:v>10390.940712175743</c:v>
                </c:pt>
                <c:pt idx="34">
                  <c:v>10400.803661019056</c:v>
                </c:pt>
                <c:pt idx="35">
                  <c:v>10410.503552214803</c:v>
                </c:pt>
                <c:pt idx="36">
                  <c:v>10420.048215098757</c:v>
                </c:pt>
                <c:pt idx="37">
                  <c:v>10429.444871815424</c:v>
                </c:pt>
                <c:pt idx="38">
                  <c:v>10438.700201267307</c:v>
                </c:pt>
                <c:pt idx="39">
                  <c:v>10447.820394656819</c:v>
                </c:pt>
                <c:pt idx="40">
                  <c:v>10456.811203933503</c:v>
                </c:pt>
                <c:pt idx="41">
                  <c:v>10465.677984223767</c:v>
                </c:pt>
                <c:pt idx="42">
                  <c:v>10474.425731132171</c:v>
                </c:pt>
                <c:pt idx="43">
                  <c:v>10483.059113652131</c:v>
                </c:pt>
                <c:pt idx="44">
                  <c:v>10491.582503301619</c:v>
                </c:pt>
                <c:pt idx="45">
                  <c:v>10500</c:v>
                </c:pt>
              </c:numCache>
            </c:numRef>
          </c:val>
        </c:ser>
        <c:ser>
          <c:idx val="5"/>
          <c:order val="1"/>
          <c:tx>
            <c:strRef>
              <c:f>Population!$H$4</c:f>
              <c:strCache>
                <c:ptCount val="1"/>
                <c:pt idx="0">
                  <c:v>Total Faculty /Staff</c:v>
                </c:pt>
              </c:strCache>
            </c:strRef>
          </c:tx>
          <c:cat>
            <c:numRef>
              <c:f>Population!$B$7:$B$52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Population!$H$7:$H$52</c:f>
              <c:numCache>
                <c:formatCode>#,##0</c:formatCode>
                <c:ptCount val="46"/>
                <c:pt idx="3">
                  <c:v>4996</c:v>
                </c:pt>
                <c:pt idx="4">
                  <c:v>5044</c:v>
                </c:pt>
                <c:pt idx="5">
                  <c:v>5052.7457306657616</c:v>
                </c:pt>
                <c:pt idx="6">
                  <c:v>5056.3683309203825</c:v>
                </c:pt>
                <c:pt idx="7">
                  <c:v>5059.1480498624132</c:v>
                </c:pt>
                <c:pt idx="8">
                  <c:v>5061.4914613315241</c:v>
                </c:pt>
                <c:pt idx="9">
                  <c:v>5063.5560482815481</c:v>
                </c:pt>
                <c:pt idx="10">
                  <c:v>5065.4225775589284</c:v>
                </c:pt>
                <c:pt idx="11">
                  <c:v>5067.1390283751571</c:v>
                </c:pt>
                <c:pt idx="12">
                  <c:v>5068.7366618407659</c:v>
                </c:pt>
                <c:pt idx="13">
                  <c:v>5070.2371919972857</c:v>
                </c:pt>
                <c:pt idx="14">
                  <c:v>5071.6564287061883</c:v>
                </c:pt>
                <c:pt idx="15">
                  <c:v>5073.0063071358372</c:v>
                </c:pt>
                <c:pt idx="16">
                  <c:v>5074.2960997248256</c:v>
                </c:pt>
                <c:pt idx="17">
                  <c:v>5075.5331803568024</c:v>
                </c:pt>
                <c:pt idx="18">
                  <c:v>5076.7235277482832</c:v>
                </c:pt>
                <c:pt idx="19">
                  <c:v>5077.8720692189117</c:v>
                </c:pt>
                <c:pt idx="20">
                  <c:v>5078.9829226630482</c:v>
                </c:pt>
                <c:pt idx="21">
                  <c:v>5080.0595713081402</c:v>
                </c:pt>
                <c:pt idx="22">
                  <c:v>5081.1049927611484</c:v>
                </c:pt>
                <c:pt idx="23">
                  <c:v>5082.1217561594813</c:v>
                </c:pt>
                <c:pt idx="24">
                  <c:v>5083.1120965630962</c:v>
                </c:pt>
                <c:pt idx="25">
                  <c:v>5084.0779727835506</c:v>
                </c:pt>
                <c:pt idx="26">
                  <c:v>5085.0211129458612</c:v>
                </c:pt>
                <c:pt idx="27">
                  <c:v>5085.9430508212636</c:v>
                </c:pt>
                <c:pt idx="28">
                  <c:v>5086.8451551178559</c:v>
                </c:pt>
                <c:pt idx="29">
                  <c:v>5087.7286533288097</c:v>
                </c:pt>
                <c:pt idx="30">
                  <c:v>5088.5946513253466</c:v>
                </c:pt>
                <c:pt idx="31">
                  <c:v>5089.4441495872388</c:v>
                </c:pt>
                <c:pt idx="32">
                  <c:v>5090.278056750315</c:v>
                </c:pt>
                <c:pt idx="33">
                  <c:v>5091.0972009939378</c:v>
                </c:pt>
                <c:pt idx="34">
                  <c:v>5091.9023396750245</c:v>
                </c:pt>
                <c:pt idx="35">
                  <c:v>5092.6941675277394</c:v>
                </c:pt>
                <c:pt idx="36">
                  <c:v>5093.4733236815309</c:v>
                </c:pt>
                <c:pt idx="37">
                  <c:v>5094.2403976992182</c:v>
                </c:pt>
                <c:pt idx="38">
                  <c:v>5094.9959347973308</c:v>
                </c:pt>
                <c:pt idx="39">
                  <c:v>5095.7404403801484</c:v>
                </c:pt>
                <c:pt idx="40">
                  <c:v>5096.4743839945713</c:v>
                </c:pt>
                <c:pt idx="41">
                  <c:v>5097.1982027937765</c:v>
                </c:pt>
                <c:pt idx="42">
                  <c:v>5097.912304582218</c:v>
                </c:pt>
                <c:pt idx="43">
                  <c:v>5098.617070502215</c:v>
                </c:pt>
                <c:pt idx="44">
                  <c:v>5099.3128574123766</c:v>
                </c:pt>
                <c:pt idx="45">
                  <c:v>5100</c:v>
                </c:pt>
              </c:numCache>
            </c:numRef>
          </c:val>
        </c:ser>
        <c:axId val="98146560"/>
        <c:axId val="100603008"/>
      </c:areaChart>
      <c:lineChart>
        <c:grouping val="standard"/>
        <c:ser>
          <c:idx val="9"/>
          <c:order val="2"/>
          <c:tx>
            <c:strRef>
              <c:f>Population!$I$3</c:f>
              <c:strCache>
                <c:ptCount val="1"/>
                <c:pt idx="0">
                  <c:v>Total Campus Population</c:v>
                </c:pt>
              </c:strCache>
            </c:strRef>
          </c:tx>
          <c:spPr>
            <a:ln>
              <a:solidFill>
                <a:schemeClr val="tx1"/>
              </a:solidFill>
            </a:ln>
          </c:spPr>
          <c:marker>
            <c:symbol val="circle"/>
            <c:size val="7"/>
            <c:spPr>
              <a:solidFill>
                <a:schemeClr val="accent1"/>
              </a:solidFill>
              <a:ln w="28575">
                <a:solidFill>
                  <a:sysClr val="windowText" lastClr="000000"/>
                </a:solidFill>
              </a:ln>
            </c:spPr>
          </c:marker>
          <c:cat>
            <c:numRef>
              <c:f>Population!$B$6:$B$52</c:f>
              <c:numCache>
                <c:formatCode>General</c:formatCode>
                <c:ptCount val="4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pt idx="27">
                  <c:v>2031</c:v>
                </c:pt>
                <c:pt idx="28">
                  <c:v>2032</c:v>
                </c:pt>
                <c:pt idx="29">
                  <c:v>2033</c:v>
                </c:pt>
                <c:pt idx="30">
                  <c:v>2034</c:v>
                </c:pt>
                <c:pt idx="31">
                  <c:v>2035</c:v>
                </c:pt>
                <c:pt idx="32">
                  <c:v>2036</c:v>
                </c:pt>
                <c:pt idx="33">
                  <c:v>2037</c:v>
                </c:pt>
                <c:pt idx="34">
                  <c:v>2038</c:v>
                </c:pt>
                <c:pt idx="35">
                  <c:v>2039</c:v>
                </c:pt>
                <c:pt idx="36">
                  <c:v>2040</c:v>
                </c:pt>
                <c:pt idx="37">
                  <c:v>2041</c:v>
                </c:pt>
                <c:pt idx="38">
                  <c:v>2042</c:v>
                </c:pt>
                <c:pt idx="39">
                  <c:v>2043</c:v>
                </c:pt>
                <c:pt idx="40">
                  <c:v>2044</c:v>
                </c:pt>
                <c:pt idx="41">
                  <c:v>2045</c:v>
                </c:pt>
                <c:pt idx="42">
                  <c:v>2046</c:v>
                </c:pt>
                <c:pt idx="43">
                  <c:v>2047</c:v>
                </c:pt>
                <c:pt idx="44">
                  <c:v>2048</c:v>
                </c:pt>
                <c:pt idx="45">
                  <c:v>2049</c:v>
                </c:pt>
                <c:pt idx="46">
                  <c:v>2050</c:v>
                </c:pt>
              </c:numCache>
            </c:numRef>
          </c:cat>
          <c:val>
            <c:numRef>
              <c:f>Population!$I$7:$I$52</c:f>
              <c:numCache>
                <c:formatCode>#,##0</c:formatCode>
                <c:ptCount val="46"/>
                <c:pt idx="3">
                  <c:v>14880</c:v>
                </c:pt>
                <c:pt idx="4">
                  <c:v>14858</c:v>
                </c:pt>
                <c:pt idx="5">
                  <c:v>14973.880931321346</c:v>
                </c:pt>
                <c:pt idx="6">
                  <c:v>15021.880384695072</c:v>
                </c:pt>
                <c:pt idx="7">
                  <c:v>15058.71166067697</c:v>
                </c:pt>
                <c:pt idx="8">
                  <c:v>15089.761862642692</c:v>
                </c:pt>
                <c:pt idx="9">
                  <c:v>15117.117639730513</c:v>
                </c:pt>
                <c:pt idx="10">
                  <c:v>15141.849152655799</c:v>
                </c:pt>
                <c:pt idx="11">
                  <c:v>15164.592125970836</c:v>
                </c:pt>
                <c:pt idx="12">
                  <c:v>15185.760769390145</c:v>
                </c:pt>
                <c:pt idx="13">
                  <c:v>15205.642793964038</c:v>
                </c:pt>
                <c:pt idx="14">
                  <c:v>15224.447680356998</c:v>
                </c:pt>
                <c:pt idx="15">
                  <c:v>15242.333569549846</c:v>
                </c:pt>
                <c:pt idx="16">
                  <c:v>15259.423321353941</c:v>
                </c:pt>
                <c:pt idx="17">
                  <c:v>15275.814639727632</c:v>
                </c:pt>
                <c:pt idx="18">
                  <c:v>15291.586742664756</c:v>
                </c:pt>
                <c:pt idx="19">
                  <c:v>15306.804917150577</c:v>
                </c:pt>
                <c:pt idx="20">
                  <c:v>15321.523725285384</c:v>
                </c:pt>
                <c:pt idx="21">
                  <c:v>15335.789319832855</c:v>
                </c:pt>
                <c:pt idx="22">
                  <c:v>15349.641154085217</c:v>
                </c:pt>
                <c:pt idx="23">
                  <c:v>15363.113269113124</c:v>
                </c:pt>
                <c:pt idx="24">
                  <c:v>15376.235279461027</c:v>
                </c:pt>
                <c:pt idx="25">
                  <c:v>15389.033139382045</c:v>
                </c:pt>
                <c:pt idx="26">
                  <c:v>15401.529746532658</c:v>
                </c:pt>
                <c:pt idx="27">
                  <c:v>15413.745423381744</c:v>
                </c:pt>
                <c:pt idx="28">
                  <c:v>15425.698305311595</c:v>
                </c:pt>
                <c:pt idx="29">
                  <c:v>15437.404656606728</c:v>
                </c:pt>
                <c:pt idx="30">
                  <c:v>15448.879130060846</c:v>
                </c:pt>
                <c:pt idx="31">
                  <c:v>15460.134982030911</c:v>
                </c:pt>
                <c:pt idx="32">
                  <c:v>15471.184251941671</c:v>
                </c:pt>
                <c:pt idx="33">
                  <c:v>15482.037913169681</c:v>
                </c:pt>
                <c:pt idx="34">
                  <c:v>15492.706000694081</c:v>
                </c:pt>
                <c:pt idx="35">
                  <c:v>15503.197719742542</c:v>
                </c:pt>
                <c:pt idx="36">
                  <c:v>15513.521538780289</c:v>
                </c:pt>
                <c:pt idx="37">
                  <c:v>15523.685269514641</c:v>
                </c:pt>
                <c:pt idx="38">
                  <c:v>15533.696136064638</c:v>
                </c:pt>
                <c:pt idx="39">
                  <c:v>15543.560835036968</c:v>
                </c:pt>
                <c:pt idx="40">
                  <c:v>15553.285587928074</c:v>
                </c:pt>
                <c:pt idx="41">
                  <c:v>15562.876187017544</c:v>
                </c:pt>
                <c:pt idx="42">
                  <c:v>15572.338035714389</c:v>
                </c:pt>
                <c:pt idx="43">
                  <c:v>15581.676184154345</c:v>
                </c:pt>
                <c:pt idx="44">
                  <c:v>15590.895360713996</c:v>
                </c:pt>
                <c:pt idx="45">
                  <c:v>15600</c:v>
                </c:pt>
              </c:numCache>
            </c:numRef>
          </c:val>
        </c:ser>
        <c:marker val="1"/>
        <c:axId val="98146560"/>
        <c:axId val="100603008"/>
      </c:lineChart>
      <c:catAx>
        <c:axId val="98146560"/>
        <c:scaling>
          <c:orientation val="minMax"/>
        </c:scaling>
        <c:axPos val="b"/>
        <c:numFmt formatCode="General" sourceLinked="1"/>
        <c:tickLblPos val="nextTo"/>
        <c:crossAx val="100603008"/>
        <c:crosses val="autoZero"/>
        <c:auto val="1"/>
        <c:lblAlgn val="ctr"/>
        <c:lblOffset val="100"/>
        <c:tickLblSkip val="5"/>
        <c:tickMarkSkip val="5"/>
      </c:catAx>
      <c:valAx>
        <c:axId val="100603008"/>
        <c:scaling>
          <c:orientation val="minMax"/>
        </c:scaling>
        <c:axPos val="l"/>
        <c:majorGridlines/>
        <c:title>
          <c:tx>
            <c:rich>
              <a:bodyPr rot="-5400000" vert="horz"/>
              <a:lstStyle/>
              <a:p>
                <a:pPr>
                  <a:defRPr/>
                </a:pPr>
                <a:r>
                  <a:rPr lang="en-US"/>
                  <a:t>Population</a:t>
                </a:r>
              </a:p>
            </c:rich>
          </c:tx>
        </c:title>
        <c:numFmt formatCode="#,##0" sourceLinked="1"/>
        <c:tickLblPos val="nextTo"/>
        <c:crossAx val="98146560"/>
        <c:crosses val="autoZero"/>
        <c:crossBetween val="between"/>
      </c:valAx>
    </c:plotArea>
    <c:legend>
      <c:legendPos val="r"/>
      <c:layout>
        <c:manualLayout>
          <c:xMode val="edge"/>
          <c:yMode val="edge"/>
          <c:x val="0.7667114964434506"/>
          <c:y val="0.54594255496176958"/>
          <c:w val="0.19643892798398668"/>
          <c:h val="0.31139088241277385"/>
        </c:manualLayout>
      </c:layout>
      <c:overlay val="1"/>
      <c:spPr>
        <a:solidFill>
          <a:schemeClr val="lt1"/>
        </a:solidFill>
        <a:ln w="25400" cap="flat" cmpd="sng" algn="ctr">
          <a:solidFill>
            <a:schemeClr val="dk1"/>
          </a:solidFill>
          <a:prstDash val="solid"/>
        </a:ln>
        <a:effectLst/>
      </c:spPr>
    </c:legend>
    <c:dispBlanksAs val="zero"/>
  </c:chart>
  <c:txPr>
    <a:bodyPr/>
    <a:lstStyle/>
    <a:p>
      <a:pPr>
        <a:defRPr sz="105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US"/>
  <c:chart>
    <c:plotArea>
      <c:layout/>
      <c:areaChart>
        <c:grouping val="standard"/>
        <c:ser>
          <c:idx val="2"/>
          <c:order val="1"/>
          <c:tx>
            <c:strRef>
              <c:f>PortfolioDashboard!$AD$50</c:f>
              <c:strCache>
                <c:ptCount val="1"/>
                <c:pt idx="0">
                  <c:v>BAU Less Portfolio</c:v>
                </c:pt>
              </c:strCache>
            </c:strRef>
          </c:tx>
          <c:spPr>
            <a:solidFill>
              <a:schemeClr val="accent3">
                <a:lumMod val="75000"/>
              </a:schemeClr>
            </a:solidFill>
            <a:ln>
              <a:solidFill>
                <a:sysClr val="windowText" lastClr="000000"/>
              </a:solidFill>
            </a:ln>
          </c:spP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PortfolioDashboard!$AD$56:$AD$96</c:f>
              <c:numCache>
                <c:formatCode>#,##0</c:formatCode>
                <c:ptCount val="41"/>
                <c:pt idx="0">
                  <c:v>127163.99016669342</c:v>
                </c:pt>
                <c:pt idx="1">
                  <c:v>125343.16963995527</c:v>
                </c:pt>
                <c:pt idx="2">
                  <c:v>113507.60182405892</c:v>
                </c:pt>
                <c:pt idx="3">
                  <c:v>109218.09697479419</c:v>
                </c:pt>
                <c:pt idx="4">
                  <c:v>98143.335887137262</c:v>
                </c:pt>
                <c:pt idx="5">
                  <c:v>96171.214257446176</c:v>
                </c:pt>
                <c:pt idx="6">
                  <c:v>92099.523103294239</c:v>
                </c:pt>
                <c:pt idx="7">
                  <c:v>90171.506627065217</c:v>
                </c:pt>
                <c:pt idx="8">
                  <c:v>88371.301946838576</c:v>
                </c:pt>
                <c:pt idx="9">
                  <c:v>86578.999735595804</c:v>
                </c:pt>
                <c:pt idx="10">
                  <c:v>84794.657260399574</c:v>
                </c:pt>
                <c:pt idx="11">
                  <c:v>83018.329387719365</c:v>
                </c:pt>
                <c:pt idx="12">
                  <c:v>81250.068707916012</c:v>
                </c:pt>
                <c:pt idx="13">
                  <c:v>79937.527925978837</c:v>
                </c:pt>
                <c:pt idx="14">
                  <c:v>79358.931374820997</c:v>
                </c:pt>
                <c:pt idx="15">
                  <c:v>78779.273331070261</c:v>
                </c:pt>
                <c:pt idx="16">
                  <c:v>78198.585505834562</c:v>
                </c:pt>
                <c:pt idx="17">
                  <c:v>77616.89835955578</c:v>
                </c:pt>
                <c:pt idx="18">
                  <c:v>77034.241163065279</c:v>
                </c:pt>
                <c:pt idx="19">
                  <c:v>76450.642055095755</c:v>
                </c:pt>
                <c:pt idx="20">
                  <c:v>75866.128096490007</c:v>
                </c:pt>
                <c:pt idx="21">
                  <c:v>75494.673321323382</c:v>
                </c:pt>
                <c:pt idx="22">
                  <c:v>75122.354785144809</c:v>
                </c:pt>
                <c:pt idx="23">
                  <c:v>74749.196610522384</c:v>
                </c:pt>
                <c:pt idx="24">
                  <c:v>74628.302030069332</c:v>
                </c:pt>
                <c:pt idx="25">
                  <c:v>74506.613427110293</c:v>
                </c:pt>
                <c:pt idx="26">
                  <c:v>74384.152374137964</c:v>
                </c:pt>
                <c:pt idx="27">
                  <c:v>74260.939669198837</c:v>
                </c:pt>
                <c:pt idx="28">
                  <c:v>74136.99537033723</c:v>
                </c:pt>
                <c:pt idx="29">
                  <c:v>74012.338828216743</c:v>
                </c:pt>
                <c:pt idx="30">
                  <c:v>73886.988717031825</c:v>
                </c:pt>
                <c:pt idx="31">
                  <c:v>73760.963063811738</c:v>
                </c:pt>
                <c:pt idx="32">
                  <c:v>73634.279276214802</c:v>
                </c:pt>
                <c:pt idx="33">
                  <c:v>73506.954168902026</c:v>
                </c:pt>
                <c:pt idx="34">
                  <c:v>73379.003988574972</c:v>
                </c:pt>
                <c:pt idx="35">
                  <c:v>73250.44443775501</c:v>
                </c:pt>
                <c:pt idx="36">
                  <c:v>73121.290697378514</c:v>
                </c:pt>
                <c:pt idx="37">
                  <c:v>72991.557448274689</c:v>
                </c:pt>
                <c:pt idx="38">
                  <c:v>72861.258891591642</c:v>
                </c:pt>
                <c:pt idx="39">
                  <c:v>72730.408768228648</c:v>
                </c:pt>
                <c:pt idx="40">
                  <c:v>72599.020377332039</c:v>
                </c:pt>
              </c:numCache>
            </c:numRef>
          </c:val>
        </c:ser>
        <c:axId val="88210048"/>
        <c:axId val="88224128"/>
      </c:areaChart>
      <c:lineChart>
        <c:grouping val="standard"/>
        <c:ser>
          <c:idx val="0"/>
          <c:order val="0"/>
          <c:tx>
            <c:strRef>
              <c:f>PortfolioDashboard!$AB$50</c:f>
              <c:strCache>
                <c:ptCount val="1"/>
                <c:pt idx="0">
                  <c:v>Business As Usual (MWh)</c:v>
                </c:pt>
              </c:strCache>
            </c:strRef>
          </c:tx>
          <c:marker>
            <c:symbol val="none"/>
          </c:marker>
          <c:cat>
            <c:numRef>
              <c:f>PortfolioDashboard!$AA$56:$AA$96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PortfolioDashboard!$AB$56:$AB$96</c:f>
              <c:numCache>
                <c:formatCode>#,##0</c:formatCode>
                <c:ptCount val="41"/>
                <c:pt idx="0">
                  <c:v>128552.63513418502</c:v>
                </c:pt>
                <c:pt idx="1">
                  <c:v>130129.26073503707</c:v>
                </c:pt>
                <c:pt idx="2">
                  <c:v>133825.36797702796</c:v>
                </c:pt>
                <c:pt idx="3">
                  <c:v>135980.03402546333</c:v>
                </c:pt>
                <c:pt idx="4">
                  <c:v>137556.65962631535</c:v>
                </c:pt>
                <c:pt idx="5">
                  <c:v>140674.7264207229</c:v>
                </c:pt>
                <c:pt idx="6">
                  <c:v>142251.35202157494</c:v>
                </c:pt>
                <c:pt idx="7">
                  <c:v>143827.97762242699</c:v>
                </c:pt>
                <c:pt idx="8">
                  <c:v>145404.603223279</c:v>
                </c:pt>
                <c:pt idx="9">
                  <c:v>146981.22882413102</c:v>
                </c:pt>
                <c:pt idx="10">
                  <c:v>148557.85442498306</c:v>
                </c:pt>
                <c:pt idx="11">
                  <c:v>150134.48002583507</c:v>
                </c:pt>
                <c:pt idx="12">
                  <c:v>151711.10562668712</c:v>
                </c:pt>
                <c:pt idx="13">
                  <c:v>153287.73122753916</c:v>
                </c:pt>
                <c:pt idx="14">
                  <c:v>154864.35682839117</c:v>
                </c:pt>
                <c:pt idx="15">
                  <c:v>156440.98242924322</c:v>
                </c:pt>
                <c:pt idx="16">
                  <c:v>158017.60803009526</c:v>
                </c:pt>
                <c:pt idx="17">
                  <c:v>159594.23363094722</c:v>
                </c:pt>
                <c:pt idx="18">
                  <c:v>161170.85923179929</c:v>
                </c:pt>
                <c:pt idx="19">
                  <c:v>162747.48483265133</c:v>
                </c:pt>
                <c:pt idx="20">
                  <c:v>164324.11043350337</c:v>
                </c:pt>
                <c:pt idx="21">
                  <c:v>165900.73603435536</c:v>
                </c:pt>
                <c:pt idx="22">
                  <c:v>167477.3616352074</c:v>
                </c:pt>
                <c:pt idx="23">
                  <c:v>169053.98723605942</c:v>
                </c:pt>
                <c:pt idx="24">
                  <c:v>170630.61283691146</c:v>
                </c:pt>
                <c:pt idx="25">
                  <c:v>172207.23843776347</c:v>
                </c:pt>
                <c:pt idx="26">
                  <c:v>173783.86403861555</c:v>
                </c:pt>
                <c:pt idx="27">
                  <c:v>175360.48963946756</c:v>
                </c:pt>
                <c:pt idx="28">
                  <c:v>176937.1152403196</c:v>
                </c:pt>
                <c:pt idx="29">
                  <c:v>178513.74084117162</c:v>
                </c:pt>
                <c:pt idx="30">
                  <c:v>180090.36644202363</c:v>
                </c:pt>
                <c:pt idx="31">
                  <c:v>181666.99204287567</c:v>
                </c:pt>
                <c:pt idx="32">
                  <c:v>183243.61764372772</c:v>
                </c:pt>
                <c:pt idx="33">
                  <c:v>184820.24324457973</c:v>
                </c:pt>
                <c:pt idx="34">
                  <c:v>186396.86884543177</c:v>
                </c:pt>
                <c:pt idx="35">
                  <c:v>187973.49444628376</c:v>
                </c:pt>
                <c:pt idx="36">
                  <c:v>189550.12004713583</c:v>
                </c:pt>
                <c:pt idx="37">
                  <c:v>191126.74564798782</c:v>
                </c:pt>
                <c:pt idx="38">
                  <c:v>192703.37124883989</c:v>
                </c:pt>
                <c:pt idx="39">
                  <c:v>194279.99684969187</c:v>
                </c:pt>
                <c:pt idx="40">
                  <c:v>195856.62245054395</c:v>
                </c:pt>
              </c:numCache>
            </c:numRef>
          </c:val>
        </c:ser>
        <c:marker val="1"/>
        <c:axId val="88210048"/>
        <c:axId val="88224128"/>
      </c:lineChart>
      <c:catAx>
        <c:axId val="88210048"/>
        <c:scaling>
          <c:orientation val="minMax"/>
        </c:scaling>
        <c:axPos val="b"/>
        <c:numFmt formatCode="General" sourceLinked="1"/>
        <c:tickLblPos val="low"/>
        <c:crossAx val="88224128"/>
        <c:crosses val="autoZero"/>
        <c:auto val="1"/>
        <c:lblAlgn val="ctr"/>
        <c:lblOffset val="100"/>
        <c:tickLblSkip val="5"/>
        <c:tickMarkSkip val="5"/>
      </c:catAx>
      <c:valAx>
        <c:axId val="88224128"/>
        <c:scaling>
          <c:orientation val="minMax"/>
        </c:scaling>
        <c:axPos val="l"/>
        <c:majorGridlines/>
        <c:title>
          <c:tx>
            <c:rich>
              <a:bodyPr rot="-5400000" vert="horz"/>
              <a:lstStyle/>
              <a:p>
                <a:pPr>
                  <a:defRPr/>
                </a:pPr>
                <a:r>
                  <a:rPr lang="en-US"/>
                  <a:t>Purchased Electricity (MWh)</a:t>
                </a:r>
              </a:p>
            </c:rich>
          </c:tx>
        </c:title>
        <c:numFmt formatCode="#,##0" sourceLinked="1"/>
        <c:tickLblPos val="nextTo"/>
        <c:crossAx val="88210048"/>
        <c:crosses val="autoZero"/>
        <c:crossBetween val="between"/>
      </c:valAx>
    </c:plotArea>
    <c:legend>
      <c:legendPos val="l"/>
      <c:layout>
        <c:manualLayout>
          <c:xMode val="edge"/>
          <c:yMode val="edge"/>
          <c:x val="0.25967086341705647"/>
          <c:y val="1.7750801983085467E-2"/>
          <c:w val="0.59340293574412906"/>
          <c:h val="0.13116506270049574"/>
        </c:manualLayout>
      </c:layout>
      <c:overlay val="1"/>
      <c:spPr>
        <a:solidFill>
          <a:schemeClr val="lt1"/>
        </a:solidFill>
        <a:ln w="254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legend>
    <c:plotVisOnly val="1"/>
    <c:dispBlanksAs val="gap"/>
  </c:chart>
  <c:spPr>
    <a:ln>
      <a:solidFill>
        <a:sysClr val="windowText" lastClr="000000"/>
      </a:solidFill>
    </a:ln>
  </c:spPr>
  <c:printSettings>
    <c:headerFooter/>
    <c:pageMargins b="0.75000000000000977" l="0.70000000000000062" r="0.70000000000000062" t="0.750000000000009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solidFill>
                  <a:schemeClr val="dk1"/>
                </a:solidFill>
                <a:latin typeface="+mn-lt"/>
                <a:ea typeface="+mn-ea"/>
                <a:cs typeface="+mn-cs"/>
              </a:defRPr>
            </a:pPr>
            <a:r>
              <a:rPr lang="en-US" sz="1200">
                <a:solidFill>
                  <a:schemeClr val="dk1"/>
                </a:solidFill>
                <a:latin typeface="+mn-lt"/>
                <a:ea typeface="+mn-ea"/>
                <a:cs typeface="+mn-cs"/>
              </a:rPr>
              <a:t>Components of Portfolio</a:t>
            </a:r>
            <a:r>
              <a:rPr lang="en-US" sz="1200" baseline="0">
                <a:solidFill>
                  <a:schemeClr val="dk1"/>
                </a:solidFill>
                <a:latin typeface="+mn-lt"/>
                <a:ea typeface="+mn-ea"/>
                <a:cs typeface="+mn-cs"/>
              </a:rPr>
              <a:t> Value (2011$ millions)</a:t>
            </a:r>
            <a:endParaRPr lang="en-US" sz="1200">
              <a:solidFill>
                <a:schemeClr val="dk1"/>
              </a:solidFill>
              <a:latin typeface="+mn-lt"/>
              <a:ea typeface="+mn-ea"/>
              <a:cs typeface="+mn-cs"/>
            </a:endParaRPr>
          </a:p>
        </c:rich>
      </c:tx>
      <c:overlay val="1"/>
      <c:spPr>
        <a:solidFill>
          <a:schemeClr val="lt1"/>
        </a:solidFill>
        <a:ln w="25400" cap="flat" cmpd="sng" algn="ctr">
          <a:solidFill>
            <a:schemeClr val="dk1"/>
          </a:solidFill>
          <a:prstDash val="solid"/>
        </a:ln>
        <a:effectLst/>
      </c:spPr>
    </c:title>
    <c:plotArea>
      <c:layout/>
      <c:barChart>
        <c:barDir val="col"/>
        <c:grouping val="stacked"/>
        <c:ser>
          <c:idx val="0"/>
          <c:order val="0"/>
          <c:tx>
            <c:strRef>
              <c:f>'VSG (3)'!$F$2</c:f>
              <c:strCache>
                <c:ptCount val="1"/>
                <c:pt idx="0">
                  <c:v>EndPoints</c:v>
                </c:pt>
              </c:strCache>
            </c:strRef>
          </c:tx>
          <c:spPr>
            <a:solidFill>
              <a:schemeClr val="tx1"/>
            </a:solidFill>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(3)'!$F$3:$F$18</c:f>
              <c:numCache>
                <c:formatCode>"$"#,##0_);[Red]\("$"#,##0\)</c:formatCode>
                <c:ptCount val="16"/>
                <c:pt idx="13">
                  <c:v>541.70889245092985</c:v>
                </c:pt>
                <c:pt idx="15">
                  <c:v>604.61174930926472</c:v>
                </c:pt>
              </c:numCache>
            </c:numRef>
          </c:val>
        </c:ser>
        <c:ser>
          <c:idx val="1"/>
          <c:order val="1"/>
          <c:tx>
            <c:strRef>
              <c:f>'VSG (3)'!$G$2</c:f>
              <c:strCache>
                <c:ptCount val="1"/>
                <c:pt idx="0">
                  <c:v>blank neg  </c:v>
                </c:pt>
              </c:strCache>
            </c:strRef>
          </c:tx>
          <c:spPr>
            <a:noFill/>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(3)'!$G$3:$G$18</c:f>
              <c:numCache>
                <c:formatCode>"$"#,##0_);[Red]\("$"#,##0\)</c:formatCode>
                <c:ptCount val="16"/>
                <c:pt idx="1">
                  <c:v>0</c:v>
                </c:pt>
                <c:pt idx="2">
                  <c:v>0</c:v>
                </c:pt>
                <c:pt idx="3">
                  <c:v>0</c:v>
                </c:pt>
                <c:pt idx="4">
                  <c:v>0</c:v>
                </c:pt>
                <c:pt idx="5">
                  <c:v>0</c:v>
                </c:pt>
                <c:pt idx="6">
                  <c:v>0</c:v>
                </c:pt>
                <c:pt idx="7">
                  <c:v>0</c:v>
                </c:pt>
                <c:pt idx="8">
                  <c:v>0</c:v>
                </c:pt>
                <c:pt idx="9">
                  <c:v>0</c:v>
                </c:pt>
                <c:pt idx="10">
                  <c:v>0</c:v>
                </c:pt>
                <c:pt idx="11">
                  <c:v>0</c:v>
                </c:pt>
                <c:pt idx="12">
                  <c:v>0</c:v>
                </c:pt>
                <c:pt idx="14">
                  <c:v>0</c:v>
                </c:pt>
              </c:numCache>
            </c:numRef>
          </c:val>
        </c:ser>
        <c:ser>
          <c:idx val="2"/>
          <c:order val="2"/>
          <c:tx>
            <c:strRef>
              <c:f>'VSG (3)'!$H$2</c:f>
              <c:strCache>
                <c:ptCount val="1"/>
                <c:pt idx="0">
                  <c:v>red neg  </c:v>
                </c:pt>
              </c:strCache>
            </c:strRef>
          </c:tx>
          <c:spPr>
            <a:solidFill>
              <a:srgbClr val="FF0000"/>
            </a:solidFill>
            <a:ln>
              <a:solidFill>
                <a:sysClr val="windowText" lastClr="000000"/>
              </a:solidFill>
            </a:ln>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(3)'!$H$3:$H$18</c:f>
              <c:numCache>
                <c:formatCode>"$"#,##0_);[Red]\("$"#,##0\)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4">
                  <c:v>0</c:v>
                </c:pt>
              </c:numCache>
            </c:numRef>
          </c:val>
        </c:ser>
        <c:ser>
          <c:idx val="3"/>
          <c:order val="3"/>
          <c:tx>
            <c:strRef>
              <c:f>'VSG (3)'!$I$2</c:f>
              <c:strCache>
                <c:ptCount val="1"/>
                <c:pt idx="0">
                  <c:v>grn neg  </c:v>
                </c:pt>
              </c:strCache>
            </c:strRef>
          </c:tx>
          <c:spPr>
            <a:solidFill>
              <a:srgbClr val="00B050"/>
            </a:solidFill>
            <a:ln>
              <a:solidFill>
                <a:sysClr val="windowText" lastClr="000000"/>
              </a:solidFill>
            </a:ln>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(3)'!$I$3:$I$18</c:f>
              <c:numCache>
                <c:formatCode>"$"#,##0_);[Red]\("$"#,##0\)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4">
                  <c:v>0</c:v>
                </c:pt>
              </c:numCache>
            </c:numRef>
          </c:val>
        </c:ser>
        <c:ser>
          <c:idx val="4"/>
          <c:order val="4"/>
          <c:tx>
            <c:strRef>
              <c:f>'VSG (3)'!$J$2</c:f>
              <c:strCache>
                <c:ptCount val="1"/>
                <c:pt idx="0">
                  <c:v>blank pos  </c:v>
                </c:pt>
              </c:strCache>
            </c:strRef>
          </c:tx>
          <c:spPr>
            <a:noFill/>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(3)'!$J$3:$J$18</c:f>
              <c:numCache>
                <c:formatCode>"$"#,##0_);[Red]\("$"#,##0\)</c:formatCode>
                <c:ptCount val="16"/>
                <c:pt idx="1">
                  <c:v>90.493263964832991</c:v>
                </c:pt>
                <c:pt idx="2">
                  <c:v>90.493263964832991</c:v>
                </c:pt>
                <c:pt idx="3">
                  <c:v>142.40231050654836</c:v>
                </c:pt>
                <c:pt idx="4">
                  <c:v>142.40231050654836</c:v>
                </c:pt>
                <c:pt idx="5">
                  <c:v>149.12749143784069</c:v>
                </c:pt>
                <c:pt idx="6">
                  <c:v>149.12749143784069</c:v>
                </c:pt>
                <c:pt idx="7">
                  <c:v>149.12749143784069</c:v>
                </c:pt>
                <c:pt idx="8">
                  <c:v>149.12749143784069</c:v>
                </c:pt>
                <c:pt idx="9">
                  <c:v>504.34318790035491</c:v>
                </c:pt>
                <c:pt idx="10">
                  <c:v>504.34318790035491</c:v>
                </c:pt>
                <c:pt idx="11">
                  <c:v>541.70889245092985</c:v>
                </c:pt>
                <c:pt idx="12">
                  <c:v>541.70889245092985</c:v>
                </c:pt>
                <c:pt idx="14">
                  <c:v>541.70889245092985</c:v>
                </c:pt>
              </c:numCache>
            </c:numRef>
          </c:val>
        </c:ser>
        <c:ser>
          <c:idx val="5"/>
          <c:order val="5"/>
          <c:tx>
            <c:strRef>
              <c:f>'VSG (3)'!$K$2</c:f>
              <c:strCache>
                <c:ptCount val="1"/>
                <c:pt idx="0">
                  <c:v>red pos  </c:v>
                </c:pt>
              </c:strCache>
            </c:strRef>
          </c:tx>
          <c:spPr>
            <a:solidFill>
              <a:srgbClr val="FF0000"/>
            </a:solidFill>
            <a:ln>
              <a:solidFill>
                <a:sysClr val="windowText" lastClr="000000"/>
              </a:solidFill>
            </a:ln>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(3)'!$K$3:$K$18</c:f>
              <c:numCache>
                <c:formatCode>"$"#,##0_);[Red]\("$"#,##0\)</c:formatCode>
                <c:ptCount val="16"/>
                <c:pt idx="0">
                  <c:v>0</c:v>
                </c:pt>
                <c:pt idx="1">
                  <c:v>1.4891904806596066</c:v>
                </c:pt>
                <c:pt idx="2">
                  <c:v>0</c:v>
                </c:pt>
                <c:pt idx="3">
                  <c:v>4.2289761405559281</c:v>
                </c:pt>
                <c:pt idx="4">
                  <c:v>0</c:v>
                </c:pt>
                <c:pt idx="5">
                  <c:v>9.7821102226704966</c:v>
                </c:pt>
                <c:pt idx="6">
                  <c:v>0</c:v>
                </c:pt>
                <c:pt idx="7">
                  <c:v>0</c:v>
                </c:pt>
                <c:pt idx="8">
                  <c:v>0</c:v>
                </c:pt>
                <c:pt idx="9">
                  <c:v>24.662921665798507</c:v>
                </c:pt>
                <c:pt idx="10">
                  <c:v>0</c:v>
                </c:pt>
                <c:pt idx="11">
                  <c:v>9.533811315730782</c:v>
                </c:pt>
                <c:pt idx="12">
                  <c:v>0</c:v>
                </c:pt>
                <c:pt idx="14">
                  <c:v>0</c:v>
                </c:pt>
              </c:numCache>
            </c:numRef>
          </c:val>
        </c:ser>
        <c:ser>
          <c:idx val="6"/>
          <c:order val="6"/>
          <c:tx>
            <c:strRef>
              <c:f>'VSG (3)'!$L$2</c:f>
              <c:strCache>
                <c:ptCount val="1"/>
                <c:pt idx="0">
                  <c:v>grn pos  </c:v>
                </c:pt>
              </c:strCache>
            </c:strRef>
          </c:tx>
          <c:spPr>
            <a:solidFill>
              <a:srgbClr val="00B050"/>
            </a:solidFill>
            <a:ln>
              <a:solidFill>
                <a:sysClr val="windowText" lastClr="000000"/>
              </a:solidFill>
            </a:ln>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(3)'!$L$3:$L$18</c:f>
              <c:numCache>
                <c:formatCode>"$"#,##0_);[Red]\("$"#,##0\)</c:formatCode>
                <c:ptCount val="16"/>
                <c:pt idx="0">
                  <c:v>91.982454445492593</c:v>
                </c:pt>
                <c:pt idx="1">
                  <c:v>0</c:v>
                </c:pt>
                <c:pt idx="2">
                  <c:v>56.138022682271277</c:v>
                </c:pt>
                <c:pt idx="3">
                  <c:v>0</c:v>
                </c:pt>
                <c:pt idx="4">
                  <c:v>16.507291153962836</c:v>
                </c:pt>
                <c:pt idx="5">
                  <c:v>0</c:v>
                </c:pt>
                <c:pt idx="6">
                  <c:v>0</c:v>
                </c:pt>
                <c:pt idx="7">
                  <c:v>0</c:v>
                </c:pt>
                <c:pt idx="8">
                  <c:v>379.87861812831278</c:v>
                </c:pt>
                <c:pt idx="9">
                  <c:v>0</c:v>
                </c:pt>
                <c:pt idx="10">
                  <c:v>46.89951586630567</c:v>
                </c:pt>
                <c:pt idx="11">
                  <c:v>0</c:v>
                </c:pt>
                <c:pt idx="12">
                  <c:v>0</c:v>
                </c:pt>
                <c:pt idx="14">
                  <c:v>62.902856858334836</c:v>
                </c:pt>
              </c:numCache>
            </c:numRef>
          </c:val>
        </c:ser>
        <c:gapWidth val="26"/>
        <c:overlap val="100"/>
        <c:axId val="93896064"/>
        <c:axId val="93897856"/>
      </c:barChart>
      <c:lineChart>
        <c:grouping val="standard"/>
        <c:ser>
          <c:idx val="7"/>
          <c:order val="7"/>
          <c:tx>
            <c:strRef>
              <c:f>'VSG (3)'!$M$2</c:f>
              <c:strCache>
                <c:ptCount val="1"/>
                <c:pt idx="0">
                  <c:v>Y label</c:v>
                </c:pt>
              </c:strCache>
            </c:strRef>
          </c:tx>
          <c:spPr>
            <a:ln>
              <a:noFill/>
            </a:ln>
          </c:spPr>
          <c:marker>
            <c:symbol val="none"/>
          </c:marker>
          <c:dLbls>
            <c:dLbl>
              <c:idx val="0"/>
              <c:tx>
                <c:strRef>
                  <c:f>'VSG (3)'!$D$3</c:f>
                  <c:strCache>
                    <c:ptCount val="1"/>
                    <c:pt idx="0">
                      <c:v>$92 </c:v>
                    </c:pt>
                  </c:strCache>
                </c:strRef>
              </c:tx>
              <c:dLblPos val="t"/>
              <c:showVal val="1"/>
            </c:dLbl>
            <c:dLbl>
              <c:idx val="1"/>
              <c:tx>
                <c:strRef>
                  <c:f>'VSG (3)'!$D$4</c:f>
                  <c:strCache>
                    <c:ptCount val="1"/>
                    <c:pt idx="0">
                      <c:v>($1)</c:v>
                    </c:pt>
                  </c:strCache>
                </c:strRef>
              </c:tx>
              <c:dLblPos val="t"/>
              <c:showVal val="1"/>
            </c:dLbl>
            <c:dLbl>
              <c:idx val="2"/>
              <c:tx>
                <c:strRef>
                  <c:f>'VSG (3)'!$D$5</c:f>
                  <c:strCache>
                    <c:ptCount val="1"/>
                    <c:pt idx="0">
                      <c:v>$56 </c:v>
                    </c:pt>
                  </c:strCache>
                </c:strRef>
              </c:tx>
              <c:dLblPos val="t"/>
              <c:showVal val="1"/>
            </c:dLbl>
            <c:dLbl>
              <c:idx val="3"/>
              <c:tx>
                <c:strRef>
                  <c:f>'VSG (3)'!$D$6</c:f>
                  <c:strCache>
                    <c:ptCount val="1"/>
                    <c:pt idx="0">
                      <c:v>($4)</c:v>
                    </c:pt>
                  </c:strCache>
                </c:strRef>
              </c:tx>
              <c:dLblPos val="t"/>
              <c:showVal val="1"/>
            </c:dLbl>
            <c:dLbl>
              <c:idx val="4"/>
              <c:tx>
                <c:strRef>
                  <c:f>'VSG (3)'!$D$7</c:f>
                  <c:strCache>
                    <c:ptCount val="1"/>
                    <c:pt idx="0">
                      <c:v>$17 </c:v>
                    </c:pt>
                  </c:strCache>
                </c:strRef>
              </c:tx>
              <c:dLblPos val="t"/>
              <c:showVal val="1"/>
            </c:dLbl>
            <c:dLbl>
              <c:idx val="5"/>
              <c:tx>
                <c:strRef>
                  <c:f>'VSG (3)'!$D$8</c:f>
                  <c:strCache>
                    <c:ptCount val="1"/>
                    <c:pt idx="0">
                      <c:v>($10)</c:v>
                    </c:pt>
                  </c:strCache>
                </c:strRef>
              </c:tx>
              <c:dLblPos val="t"/>
              <c:showVal val="1"/>
            </c:dLbl>
            <c:dLbl>
              <c:idx val="6"/>
              <c:tx>
                <c:strRef>
                  <c:f>'VSG (3)'!$D$9</c:f>
                  <c:strCache>
                    <c:ptCount val="1"/>
                    <c:pt idx="0">
                      <c:v>$0 </c:v>
                    </c:pt>
                  </c:strCache>
                </c:strRef>
              </c:tx>
              <c:dLblPos val="t"/>
              <c:showVal val="1"/>
            </c:dLbl>
            <c:dLbl>
              <c:idx val="7"/>
              <c:tx>
                <c:rich>
                  <a:bodyPr/>
                  <a:lstStyle/>
                  <a:p>
                    <a:r>
                      <a:rPr lang="en-US"/>
                      <a:t>0</a:t>
                    </a:r>
                  </a:p>
                </c:rich>
              </c:tx>
              <c:dLblPos val="t"/>
              <c:showVal val="1"/>
            </c:dLbl>
            <c:dLbl>
              <c:idx val="8"/>
              <c:tx>
                <c:strRef>
                  <c:f>'VSG (3)'!$D$11</c:f>
                  <c:strCache>
                    <c:ptCount val="1"/>
                    <c:pt idx="0">
                      <c:v>$380 </c:v>
                    </c:pt>
                  </c:strCache>
                </c:strRef>
              </c:tx>
              <c:dLblPos val="t"/>
              <c:showVal val="1"/>
            </c:dLbl>
            <c:dLbl>
              <c:idx val="9"/>
              <c:tx>
                <c:strRef>
                  <c:f>'VSG (3)'!$D$12</c:f>
                  <c:strCache>
                    <c:ptCount val="1"/>
                    <c:pt idx="0">
                      <c:v>($25)</c:v>
                    </c:pt>
                  </c:strCache>
                </c:strRef>
              </c:tx>
              <c:dLblPos val="t"/>
              <c:showVal val="1"/>
            </c:dLbl>
            <c:dLbl>
              <c:idx val="10"/>
              <c:tx>
                <c:strRef>
                  <c:f>'VSG (3)'!$D$13</c:f>
                  <c:strCache>
                    <c:ptCount val="1"/>
                    <c:pt idx="0">
                      <c:v>$47 </c:v>
                    </c:pt>
                  </c:strCache>
                </c:strRef>
              </c:tx>
              <c:dLblPos val="t"/>
              <c:showVal val="1"/>
            </c:dLbl>
            <c:dLbl>
              <c:idx val="11"/>
              <c:tx>
                <c:strRef>
                  <c:f>'VSG (3)'!$D$14</c:f>
                  <c:strCache>
                    <c:ptCount val="1"/>
                    <c:pt idx="0">
                      <c:v>($10)</c:v>
                    </c:pt>
                  </c:strCache>
                </c:strRef>
              </c:tx>
              <c:dLblPos val="t"/>
              <c:showVal val="1"/>
            </c:dLbl>
            <c:dLbl>
              <c:idx val="12"/>
              <c:tx>
                <c:strRef>
                  <c:f>'VSG (3)'!$D$15</c:f>
                  <c:strCache>
                    <c:ptCount val="1"/>
                    <c:pt idx="0">
                      <c:v>$0 </c:v>
                    </c:pt>
                  </c:strCache>
                </c:strRef>
              </c:tx>
              <c:dLblPos val="t"/>
              <c:showVal val="1"/>
            </c:dLbl>
            <c:dLbl>
              <c:idx val="13"/>
              <c:tx>
                <c:strRef>
                  <c:f>'VSG (3)'!$D$16</c:f>
                  <c:strCache>
                    <c:ptCount val="1"/>
                    <c:pt idx="0">
                      <c:v>$542 </c:v>
                    </c:pt>
                  </c:strCache>
                </c:strRef>
              </c:tx>
              <c:dLblPos val="t"/>
              <c:showVal val="1"/>
            </c:dLbl>
            <c:dLbl>
              <c:idx val="14"/>
              <c:tx>
                <c:strRef>
                  <c:f>'VSG (3)'!$D$17</c:f>
                  <c:strCache>
                    <c:ptCount val="1"/>
                    <c:pt idx="0">
                      <c:v>$63 </c:v>
                    </c:pt>
                  </c:strCache>
                </c:strRef>
              </c:tx>
              <c:dLblPos val="t"/>
              <c:showVal val="1"/>
            </c:dLbl>
            <c:dLbl>
              <c:idx val="15"/>
              <c:tx>
                <c:strRef>
                  <c:f>'VSG (3)'!$D$18</c:f>
                  <c:strCache>
                    <c:ptCount val="1"/>
                    <c:pt idx="0">
                      <c:v>$605 </c:v>
                    </c:pt>
                  </c:strCache>
                </c:strRef>
              </c:tx>
              <c:dLblPos val="t"/>
              <c:showVal val="1"/>
            </c:dLbl>
            <c:dLblPos val="t"/>
            <c:showVal val="1"/>
          </c:dLbls>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(3)'!$M$3:$M$18</c:f>
              <c:numCache>
                <c:formatCode>"$"#,##0_);[Red]\("$"#,##0\)</c:formatCode>
                <c:ptCount val="16"/>
                <c:pt idx="0">
                  <c:v>91.982454445492593</c:v>
                </c:pt>
                <c:pt idx="1">
                  <c:v>91.982454445492593</c:v>
                </c:pt>
                <c:pt idx="2">
                  <c:v>146.63128664710428</c:v>
                </c:pt>
                <c:pt idx="3">
                  <c:v>146.63128664710428</c:v>
                </c:pt>
                <c:pt idx="4">
                  <c:v>158.90960166051119</c:v>
                </c:pt>
                <c:pt idx="5">
                  <c:v>158.90960166051119</c:v>
                </c:pt>
                <c:pt idx="6">
                  <c:v>149.12749143784069</c:v>
                </c:pt>
                <c:pt idx="7">
                  <c:v>149.12749143784069</c:v>
                </c:pt>
                <c:pt idx="8">
                  <c:v>529.00610956615344</c:v>
                </c:pt>
                <c:pt idx="9">
                  <c:v>529.00610956615344</c:v>
                </c:pt>
                <c:pt idx="10">
                  <c:v>551.24270376666061</c:v>
                </c:pt>
                <c:pt idx="11">
                  <c:v>551.24270376666061</c:v>
                </c:pt>
                <c:pt idx="12">
                  <c:v>541.70889245092985</c:v>
                </c:pt>
                <c:pt idx="13">
                  <c:v>541.70889245092985</c:v>
                </c:pt>
                <c:pt idx="14">
                  <c:v>604.61174930926472</c:v>
                </c:pt>
                <c:pt idx="15">
                  <c:v>604.61174930926472</c:v>
                </c:pt>
              </c:numCache>
            </c:numRef>
          </c:val>
        </c:ser>
        <c:marker val="1"/>
        <c:axId val="93896064"/>
        <c:axId val="93897856"/>
      </c:lineChart>
      <c:catAx>
        <c:axId val="93896064"/>
        <c:scaling>
          <c:orientation val="minMax"/>
        </c:scaling>
        <c:axPos val="b"/>
        <c:tickLblPos val="low"/>
        <c:txPr>
          <a:bodyPr/>
          <a:lstStyle/>
          <a:p>
            <a:pPr>
              <a:defRPr sz="600"/>
            </a:pPr>
            <a:endParaRPr lang="en-US"/>
          </a:p>
        </c:txPr>
        <c:crossAx val="93897856"/>
        <c:crosses val="autoZero"/>
        <c:auto val="1"/>
        <c:lblAlgn val="ctr"/>
        <c:lblOffset val="100"/>
      </c:catAx>
      <c:valAx>
        <c:axId val="93897856"/>
        <c:scaling>
          <c:orientation val="minMax"/>
          <c:max val="700"/>
        </c:scaling>
        <c:axPos val="l"/>
        <c:majorGridlines/>
        <c:numFmt formatCode="&quot;$&quot;#,##0_);[Red]\(&quot;$&quot;#,##0\)" sourceLinked="1"/>
        <c:tickLblPos val="nextTo"/>
        <c:crossAx val="93896064"/>
        <c:crosses val="autoZero"/>
        <c:crossBetween val="between"/>
      </c:valAx>
    </c:plotArea>
    <c:plotVisOnly val="1"/>
    <c:dispBlanksAs val="gap"/>
  </c:chart>
  <c:spPr>
    <a:ln>
      <a:solidFill>
        <a:sysClr val="windowText" lastClr="000000"/>
      </a:solidFill>
    </a:ln>
  </c:spPr>
  <c:printSettings>
    <c:headerFooter/>
    <c:pageMargins b="0.75000000000000355" l="0.70000000000000062" r="0.70000000000000062" t="0.750000000000003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style val="13"/>
  <c:chart>
    <c:title>
      <c:tx>
        <c:rich>
          <a:bodyPr/>
          <a:lstStyle/>
          <a:p>
            <a:pPr>
              <a:defRPr/>
            </a:pPr>
            <a:r>
              <a:rPr lang="en-US"/>
              <a:t>Remaining Emissions in 2050</a:t>
            </a:r>
          </a:p>
        </c:rich>
      </c:tx>
    </c:title>
    <c:plotArea>
      <c:layout/>
      <c:barChart>
        <c:barDir val="col"/>
        <c:grouping val="stacked"/>
        <c:ser>
          <c:idx val="0"/>
          <c:order val="0"/>
          <c:tx>
            <c:strRef>
              <c:f>PortfolioDashboard!$O$247</c:f>
              <c:strCache>
                <c:ptCount val="1"/>
                <c:pt idx="0">
                  <c:v>Scope 1</c:v>
                </c:pt>
              </c:strCache>
            </c:strRef>
          </c:tx>
          <c:dLbls>
            <c:showVal val="1"/>
          </c:dLbls>
          <c:cat>
            <c:strRef>
              <c:f>PortfolioDashboard!$P$246:$S$246</c:f>
              <c:strCache>
                <c:ptCount val="4"/>
                <c:pt idx="0">
                  <c:v>Base Portfolio</c:v>
                </c:pt>
                <c:pt idx="1">
                  <c:v>Base w/ CHP</c:v>
                </c:pt>
                <c:pt idx="2">
                  <c:v>Base w/ MCCo Reserve Fund</c:v>
                </c:pt>
                <c:pt idx="3">
                  <c:v>Base w/ CHP &amp; MCCo Reserve Fund</c:v>
                </c:pt>
              </c:strCache>
            </c:strRef>
          </c:cat>
          <c:val>
            <c:numRef>
              <c:f>PortfolioDashboard!$P$247:$S$247</c:f>
              <c:numCache>
                <c:formatCode>#,##0</c:formatCode>
                <c:ptCount val="4"/>
                <c:pt idx="0">
                  <c:v>29236.201932578002</c:v>
                </c:pt>
                <c:pt idx="1">
                  <c:v>29236.201932578002</c:v>
                </c:pt>
                <c:pt idx="2">
                  <c:v>29236.201932578002</c:v>
                </c:pt>
                <c:pt idx="3">
                  <c:v>29236.201932578002</c:v>
                </c:pt>
              </c:numCache>
            </c:numRef>
          </c:val>
        </c:ser>
        <c:ser>
          <c:idx val="1"/>
          <c:order val="1"/>
          <c:tx>
            <c:strRef>
              <c:f>PortfolioDashboard!$O$248</c:f>
              <c:strCache>
                <c:ptCount val="1"/>
                <c:pt idx="0">
                  <c:v>Scope 2</c:v>
                </c:pt>
              </c:strCache>
            </c:strRef>
          </c:tx>
          <c:dLbls>
            <c:showVal val="1"/>
          </c:dLbls>
          <c:cat>
            <c:strRef>
              <c:f>PortfolioDashboard!$P$246:$S$246</c:f>
              <c:strCache>
                <c:ptCount val="4"/>
                <c:pt idx="0">
                  <c:v>Base Portfolio</c:v>
                </c:pt>
                <c:pt idx="1">
                  <c:v>Base w/ CHP</c:v>
                </c:pt>
                <c:pt idx="2">
                  <c:v>Base w/ MCCo Reserve Fund</c:v>
                </c:pt>
                <c:pt idx="3">
                  <c:v>Base w/ CHP &amp; MCCo Reserve Fund</c:v>
                </c:pt>
              </c:strCache>
            </c:strRef>
          </c:cat>
          <c:val>
            <c:numRef>
              <c:f>PortfolioDashboard!$P$248:$S$248</c:f>
              <c:numCache>
                <c:formatCode>#,##0</c:formatCode>
                <c:ptCount val="4"/>
                <c:pt idx="0">
                  <c:v>97786.955644622009</c:v>
                </c:pt>
                <c:pt idx="1">
                  <c:v>53735.266134925536</c:v>
                </c:pt>
                <c:pt idx="2">
                  <c:v>89076.367167652556</c:v>
                </c:pt>
                <c:pt idx="3">
                  <c:v>45024.677657956083</c:v>
                </c:pt>
              </c:numCache>
            </c:numRef>
          </c:val>
        </c:ser>
        <c:ser>
          <c:idx val="2"/>
          <c:order val="2"/>
          <c:tx>
            <c:strRef>
              <c:f>PortfolioDashboard!$O$249</c:f>
              <c:strCache>
                <c:ptCount val="1"/>
                <c:pt idx="0">
                  <c:v>Scope 3 - Commuting</c:v>
                </c:pt>
              </c:strCache>
            </c:strRef>
          </c:tx>
          <c:dLbls>
            <c:showVal val="1"/>
          </c:dLbls>
          <c:cat>
            <c:strRef>
              <c:f>PortfolioDashboard!$P$246:$S$246</c:f>
              <c:strCache>
                <c:ptCount val="4"/>
                <c:pt idx="0">
                  <c:v>Base Portfolio</c:v>
                </c:pt>
                <c:pt idx="1">
                  <c:v>Base w/ CHP</c:v>
                </c:pt>
                <c:pt idx="2">
                  <c:v>Base w/ MCCo Reserve Fund</c:v>
                </c:pt>
                <c:pt idx="3">
                  <c:v>Base w/ CHP &amp; MCCo Reserve Fund</c:v>
                </c:pt>
              </c:strCache>
            </c:strRef>
          </c:cat>
          <c:val>
            <c:numRef>
              <c:f>PortfolioDashboard!$P$249:$S$249</c:f>
              <c:numCache>
                <c:formatCode>#,##0</c:formatCode>
                <c:ptCount val="4"/>
                <c:pt idx="0">
                  <c:v>15363.691511539932</c:v>
                </c:pt>
                <c:pt idx="1">
                  <c:v>15363.691511539932</c:v>
                </c:pt>
                <c:pt idx="2">
                  <c:v>15363.691511539932</c:v>
                </c:pt>
                <c:pt idx="3">
                  <c:v>15363.691511539932</c:v>
                </c:pt>
              </c:numCache>
            </c:numRef>
          </c:val>
        </c:ser>
        <c:ser>
          <c:idx val="3"/>
          <c:order val="3"/>
          <c:tx>
            <c:strRef>
              <c:f>PortfolioDashboard!$O$250</c:f>
              <c:strCache>
                <c:ptCount val="1"/>
                <c:pt idx="0">
                  <c:v>Scope 3 - Air Travel</c:v>
                </c:pt>
              </c:strCache>
            </c:strRef>
          </c:tx>
          <c:dLbls>
            <c:showVal val="1"/>
          </c:dLbls>
          <c:cat>
            <c:strRef>
              <c:f>PortfolioDashboard!$P$246:$S$246</c:f>
              <c:strCache>
                <c:ptCount val="4"/>
                <c:pt idx="0">
                  <c:v>Base Portfolio</c:v>
                </c:pt>
                <c:pt idx="1">
                  <c:v>Base w/ CHP</c:v>
                </c:pt>
                <c:pt idx="2">
                  <c:v>Base w/ MCCo Reserve Fund</c:v>
                </c:pt>
                <c:pt idx="3">
                  <c:v>Base w/ CHP &amp; MCCo Reserve Fund</c:v>
                </c:pt>
              </c:strCache>
            </c:strRef>
          </c:cat>
          <c:val>
            <c:numRef>
              <c:f>PortfolioDashboard!$P$250:$S$250</c:f>
              <c:numCache>
                <c:formatCode>#,##0</c:formatCode>
                <c:ptCount val="4"/>
                <c:pt idx="0">
                  <c:v>52442.654662141533</c:v>
                </c:pt>
                <c:pt idx="1">
                  <c:v>52442.654662141533</c:v>
                </c:pt>
                <c:pt idx="2">
                  <c:v>52442.654662141533</c:v>
                </c:pt>
                <c:pt idx="3">
                  <c:v>52442.654662141533</c:v>
                </c:pt>
              </c:numCache>
            </c:numRef>
          </c:val>
        </c:ser>
        <c:gapWidth val="100"/>
        <c:overlap val="100"/>
        <c:axId val="88112128"/>
        <c:axId val="88130304"/>
      </c:barChart>
      <c:catAx>
        <c:axId val="88112128"/>
        <c:scaling>
          <c:orientation val="minMax"/>
        </c:scaling>
        <c:axPos val="b"/>
        <c:tickLblPos val="nextTo"/>
        <c:crossAx val="88130304"/>
        <c:crosses val="autoZero"/>
        <c:auto val="1"/>
        <c:lblAlgn val="ctr"/>
        <c:lblOffset val="100"/>
      </c:catAx>
      <c:valAx>
        <c:axId val="88130304"/>
        <c:scaling>
          <c:orientation val="minMax"/>
        </c:scaling>
        <c:axPos val="l"/>
        <c:majorGridlines/>
        <c:title>
          <c:tx>
            <c:rich>
              <a:bodyPr rot="-5400000" vert="horz"/>
              <a:lstStyle/>
              <a:p>
                <a:pPr>
                  <a:defRPr/>
                </a:pPr>
                <a:r>
                  <a:rPr lang="en-US"/>
                  <a:t>MTCO2e</a:t>
                </a:r>
              </a:p>
            </c:rich>
          </c:tx>
        </c:title>
        <c:numFmt formatCode="#,##0" sourceLinked="1"/>
        <c:tickLblPos val="nextTo"/>
        <c:crossAx val="88112128"/>
        <c:crosses val="autoZero"/>
        <c:crossBetween val="between"/>
      </c:valAx>
    </c:plotArea>
    <c:legend>
      <c:legendPos val="r"/>
    </c:legend>
    <c:plotVisOnly val="1"/>
  </c:chart>
  <c:printSettings>
    <c:headerFooter/>
    <c:pageMargins b="0.75000000000000044" l="0.7000000000000004" r="0.7000000000000004" t="0.75000000000000044" header="0.30000000000000021" footer="0.3000000000000002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chart>
    <c:plotArea>
      <c:layout/>
      <c:areaChart>
        <c:grouping val="stacked"/>
        <c:ser>
          <c:idx val="3"/>
          <c:order val="2"/>
          <c:tx>
            <c:strRef>
              <c:f>PortfolioDashboard!$AD$3</c:f>
              <c:strCache>
                <c:ptCount val="1"/>
                <c:pt idx="0">
                  <c:v>BAU Less Portfolio</c:v>
                </c:pt>
              </c:strCache>
            </c:strRef>
          </c:tx>
          <c:spPr>
            <a:solidFill>
              <a:schemeClr val="bg1">
                <a:lumMod val="75000"/>
              </a:schemeClr>
            </a:solidFill>
            <a:ln w="9525">
              <a:solidFill>
                <a:schemeClr val="tx1"/>
              </a:solidFill>
            </a:ln>
          </c:spPr>
          <c:dLbls>
            <c:dLbl>
              <c:idx val="0"/>
              <c:layout>
                <c:manualLayout>
                  <c:x val="-0.27621562138506073"/>
                  <c:y val="1.5904049145559599E-2"/>
                </c:manualLayout>
              </c:layout>
              <c:showSerName val="1"/>
            </c:dLbl>
            <c:showSerName val="1"/>
          </c:dLbls>
          <c:val>
            <c:numRef>
              <c:f>PortfolioDashboard!$AD$9:$AD$19</c:f>
              <c:numCache>
                <c:formatCode>#,##0</c:formatCode>
                <c:ptCount val="11"/>
                <c:pt idx="0">
                  <c:v>264359.96142904804</c:v>
                </c:pt>
                <c:pt idx="1">
                  <c:v>259712.20285585424</c:v>
                </c:pt>
                <c:pt idx="2">
                  <c:v>252130.48632544713</c:v>
                </c:pt>
                <c:pt idx="3">
                  <c:v>246393.6283504258</c:v>
                </c:pt>
                <c:pt idx="4">
                  <c:v>239734.34109771159</c:v>
                </c:pt>
                <c:pt idx="5">
                  <c:v>218654.71987025294</c:v>
                </c:pt>
                <c:pt idx="6">
                  <c:v>215620.92562340829</c:v>
                </c:pt>
                <c:pt idx="7">
                  <c:v>213519.63446284452</c:v>
                </c:pt>
                <c:pt idx="8">
                  <c:v>211504.61200159031</c:v>
                </c:pt>
                <c:pt idx="9">
                  <c:v>206437.9048341405</c:v>
                </c:pt>
                <c:pt idx="10">
                  <c:v>199778.61758142628</c:v>
                </c:pt>
              </c:numCache>
            </c:numRef>
          </c:val>
        </c:ser>
        <c:ser>
          <c:idx val="4"/>
          <c:order val="3"/>
          <c:tx>
            <c:strRef>
              <c:f>PortfolioDashboard!$AE$3</c:f>
              <c:strCache>
                <c:ptCount val="1"/>
                <c:pt idx="0">
                  <c:v>Offsets or Other Abatement Required for Neutrality</c:v>
                </c:pt>
              </c:strCache>
            </c:strRef>
          </c:tx>
          <c:spPr>
            <a:solidFill>
              <a:schemeClr val="bg1">
                <a:lumMod val="50000"/>
              </a:schemeClr>
            </a:solidFill>
            <a:ln>
              <a:solidFill>
                <a:schemeClr val="tx1"/>
              </a:solidFill>
            </a:ln>
          </c:spPr>
          <c:dLbls>
            <c:dLbl>
              <c:idx val="0"/>
              <c:delete val="1"/>
            </c:dLbl>
            <c:showSerName val="1"/>
          </c:dLbls>
          <c:val>
            <c:numRef>
              <c:f>PortfolioDashboard!$AE$9:$AE$19</c:f>
              <c:numCache>
                <c:formatCode>#,##0</c:formatCode>
                <c:ptCount val="11"/>
                <c:pt idx="0">
                  <c:v>0</c:v>
                </c:pt>
                <c:pt idx="1">
                  <c:v>1350.5557363123808</c:v>
                </c:pt>
                <c:pt idx="2">
                  <c:v>0</c:v>
                </c:pt>
                <c:pt idx="3">
                  <c:v>406.49943653674563</c:v>
                </c:pt>
                <c:pt idx="4">
                  <c:v>361.31646908793482</c:v>
                </c:pt>
                <c:pt idx="5">
                  <c:v>0</c:v>
                </c:pt>
                <c:pt idx="6">
                  <c:v>0</c:v>
                </c:pt>
                <c:pt idx="7">
                  <c:v>0</c:v>
                </c:pt>
                <c:pt idx="8">
                  <c:v>0</c:v>
                </c:pt>
                <c:pt idx="9">
                  <c:v>3053.4732802440121</c:v>
                </c:pt>
                <c:pt idx="10">
                  <c:v>7701.8766387166106</c:v>
                </c:pt>
              </c:numCache>
            </c:numRef>
          </c:val>
        </c:ser>
        <c:ser>
          <c:idx val="5"/>
          <c:order val="4"/>
          <c:tx>
            <c:strRef>
              <c:f>PortfolioDashboard!$AF$3</c:f>
              <c:strCache>
                <c:ptCount val="1"/>
                <c:pt idx="0">
                  <c:v>0</c:v>
                </c:pt>
              </c:strCache>
            </c:strRef>
          </c:tx>
          <c:spPr>
            <a:ln>
              <a:solidFill>
                <a:schemeClr val="tx1"/>
              </a:solidFill>
            </a:ln>
          </c:spPr>
          <c:val>
            <c:numRef>
              <c:f>PortfolioDashboard!$AF$9:$AF$19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6"/>
          <c:order val="5"/>
          <c:tx>
            <c:strRef>
              <c:f>PortfolioDashboard!$AG$3</c:f>
              <c:strCache>
                <c:ptCount val="1"/>
                <c:pt idx="0">
                  <c:v>0</c:v>
                </c:pt>
              </c:strCache>
            </c:strRef>
          </c:tx>
          <c:spPr>
            <a:ln>
              <a:solidFill>
                <a:schemeClr val="tx1"/>
              </a:solidFill>
            </a:ln>
          </c:spPr>
          <c:val>
            <c:numRef>
              <c:f>PortfolioDashboard!$AG$9:$AG$19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7"/>
          <c:order val="6"/>
          <c:tx>
            <c:strRef>
              <c:f>PortfolioDashboard!$AH$3</c:f>
              <c:strCache>
                <c:ptCount val="1"/>
                <c:pt idx="0">
                  <c:v>0</c:v>
                </c:pt>
              </c:strCache>
            </c:strRef>
          </c:tx>
          <c:spPr>
            <a:ln>
              <a:solidFill>
                <a:schemeClr val="tx1"/>
              </a:solidFill>
            </a:ln>
          </c:spPr>
          <c:val>
            <c:numRef>
              <c:f>PortfolioDashboard!$AH$9:$AH$19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8"/>
          <c:order val="7"/>
          <c:tx>
            <c:strRef>
              <c:f>PortfolioDashboard!$AI$3</c:f>
              <c:strCache>
                <c:ptCount val="1"/>
                <c:pt idx="0">
                  <c:v>0</c:v>
                </c:pt>
              </c:strCache>
            </c:strRef>
          </c:tx>
          <c:spPr>
            <a:ln>
              <a:solidFill>
                <a:schemeClr val="tx1"/>
              </a:solidFill>
            </a:ln>
          </c:spPr>
          <c:val>
            <c:numRef>
              <c:f>PortfolioDashboard!$AI$9:$AI$19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9"/>
          <c:order val="8"/>
          <c:tx>
            <c:strRef>
              <c:f>PortfolioDashboard!$AJ$3</c:f>
              <c:strCache>
                <c:ptCount val="1"/>
                <c:pt idx="0">
                  <c:v>0</c:v>
                </c:pt>
              </c:strCache>
            </c:strRef>
          </c:tx>
          <c:spPr>
            <a:ln>
              <a:solidFill>
                <a:schemeClr val="tx1"/>
              </a:solidFill>
            </a:ln>
          </c:spPr>
          <c:val>
            <c:numRef>
              <c:f>PortfolioDashboard!$AJ$9:$AJ$19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0"/>
          <c:order val="9"/>
          <c:tx>
            <c:strRef>
              <c:f>PortfolioDashboard!$AK$3</c:f>
              <c:strCache>
                <c:ptCount val="1"/>
                <c:pt idx="0">
                  <c:v>0</c:v>
                </c:pt>
              </c:strCache>
            </c:strRef>
          </c:tx>
          <c:spPr>
            <a:ln>
              <a:solidFill>
                <a:schemeClr val="tx1"/>
              </a:solidFill>
            </a:ln>
          </c:spPr>
          <c:val>
            <c:numRef>
              <c:f>PortfolioDashboard!$AK$9:$AK$19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1"/>
          <c:order val="10"/>
          <c:tx>
            <c:strRef>
              <c:f>PortfolioDashboard!$AL$3</c:f>
              <c:strCache>
                <c:ptCount val="1"/>
                <c:pt idx="0">
                  <c:v>0</c:v>
                </c:pt>
              </c:strCache>
            </c:strRef>
          </c:tx>
          <c:spPr>
            <a:ln>
              <a:solidFill>
                <a:schemeClr val="tx1"/>
              </a:solidFill>
            </a:ln>
          </c:spPr>
          <c:val>
            <c:numRef>
              <c:f>PortfolioDashboard!$AL$9:$AL$19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2"/>
          <c:order val="11"/>
          <c:tx>
            <c:strRef>
              <c:f>PortfolioDashboard!$AM$3</c:f>
              <c:strCache>
                <c:ptCount val="1"/>
                <c:pt idx="0">
                  <c:v>0</c:v>
                </c:pt>
              </c:strCache>
            </c:strRef>
          </c:tx>
          <c:spPr>
            <a:ln>
              <a:solidFill>
                <a:schemeClr val="tx1"/>
              </a:solidFill>
            </a:ln>
          </c:spPr>
          <c:val>
            <c:numRef>
              <c:f>PortfolioDashboard!$AM$9:$AM$19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3"/>
          <c:order val="12"/>
          <c:tx>
            <c:strRef>
              <c:f>PortfolioDashboard!$AN$3</c:f>
              <c:strCache>
                <c:ptCount val="1"/>
                <c:pt idx="0">
                  <c:v>0</c:v>
                </c:pt>
              </c:strCache>
            </c:strRef>
          </c:tx>
          <c:spPr>
            <a:ln>
              <a:solidFill>
                <a:schemeClr val="tx1"/>
              </a:solidFill>
            </a:ln>
          </c:spPr>
          <c:val>
            <c:numRef>
              <c:f>PortfolioDashboard!$AN$9:$AN$19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4"/>
          <c:order val="13"/>
          <c:tx>
            <c:strRef>
              <c:f>PortfolioDashboard!$AO$3</c:f>
              <c:strCache>
                <c:ptCount val="1"/>
                <c:pt idx="0">
                  <c:v>0</c:v>
                </c:pt>
              </c:strCache>
            </c:strRef>
          </c:tx>
          <c:spPr>
            <a:ln>
              <a:solidFill>
                <a:schemeClr val="tx1"/>
              </a:solidFill>
            </a:ln>
          </c:spPr>
          <c:val>
            <c:numRef>
              <c:f>PortfolioDashboard!$AO$9:$AO$19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5"/>
          <c:order val="14"/>
          <c:tx>
            <c:strRef>
              <c:f>PortfolioDashboard!$AP$3</c:f>
              <c:strCache>
                <c:ptCount val="1"/>
                <c:pt idx="0">
                  <c:v>0</c:v>
                </c:pt>
              </c:strCache>
            </c:strRef>
          </c:tx>
          <c:spPr>
            <a:ln>
              <a:solidFill>
                <a:schemeClr val="tx1"/>
              </a:solidFill>
            </a:ln>
          </c:spPr>
          <c:val>
            <c:numRef>
              <c:f>PortfolioDashboard!$AP$9:$AP$19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6"/>
          <c:order val="15"/>
          <c:tx>
            <c:strRef>
              <c:f>PortfolioDashboard!$AQ$3</c:f>
              <c:strCache>
                <c:ptCount val="1"/>
                <c:pt idx="0">
                  <c:v>0</c:v>
                </c:pt>
              </c:strCache>
            </c:strRef>
          </c:tx>
          <c:spPr>
            <a:ln>
              <a:solidFill>
                <a:schemeClr val="tx1"/>
              </a:solidFill>
            </a:ln>
          </c:spPr>
          <c:val>
            <c:numRef>
              <c:f>PortfolioDashboard!$AQ$9:$AQ$19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7"/>
          <c:order val="16"/>
          <c:tx>
            <c:strRef>
              <c:f>PortfolioDashboard!$AR$3</c:f>
              <c:strCache>
                <c:ptCount val="1"/>
                <c:pt idx="0">
                  <c:v>0</c:v>
                </c:pt>
              </c:strCache>
            </c:strRef>
          </c:tx>
          <c:spPr>
            <a:ln>
              <a:solidFill>
                <a:schemeClr val="tx1"/>
              </a:solidFill>
            </a:ln>
          </c:spPr>
          <c:val>
            <c:numRef>
              <c:f>PortfolioDashboard!$AR$9:$AR$19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8"/>
          <c:order val="17"/>
          <c:tx>
            <c:strRef>
              <c:f>PortfolioDashboard!$AS$3</c:f>
              <c:strCache>
                <c:ptCount val="1"/>
                <c:pt idx="0">
                  <c:v>0</c:v>
                </c:pt>
              </c:strCache>
            </c:strRef>
          </c:tx>
          <c:spPr>
            <a:ln>
              <a:solidFill>
                <a:schemeClr val="tx1"/>
              </a:solidFill>
            </a:ln>
          </c:spPr>
          <c:val>
            <c:numRef>
              <c:f>PortfolioDashboard!$AS$9:$AS$19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9"/>
          <c:order val="18"/>
          <c:tx>
            <c:strRef>
              <c:f>PortfolioDashboard!$AT$3</c:f>
              <c:strCache>
                <c:ptCount val="1"/>
                <c:pt idx="0">
                  <c:v>0</c:v>
                </c:pt>
              </c:strCache>
            </c:strRef>
          </c:tx>
          <c:spPr>
            <a:ln>
              <a:solidFill>
                <a:schemeClr val="tx1"/>
              </a:solidFill>
            </a:ln>
          </c:spPr>
          <c:val>
            <c:numRef>
              <c:f>PortfolioDashboard!$AT$9:$AT$19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20"/>
          <c:order val="19"/>
          <c:tx>
            <c:strRef>
              <c:f>PortfolioDashboard!$AU$3</c:f>
              <c:strCache>
                <c:ptCount val="1"/>
                <c:pt idx="0">
                  <c:v>0</c:v>
                </c:pt>
              </c:strCache>
            </c:strRef>
          </c:tx>
          <c:spPr>
            <a:ln>
              <a:solidFill>
                <a:schemeClr val="tx1"/>
              </a:solidFill>
            </a:ln>
          </c:spPr>
          <c:val>
            <c:numRef>
              <c:f>PortfolioDashboard!$AU$9:$AU$19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21"/>
          <c:order val="20"/>
          <c:tx>
            <c:strRef>
              <c:f>PortfolioDashboard!$AV$3</c:f>
              <c:strCache>
                <c:ptCount val="1"/>
                <c:pt idx="0">
                  <c:v>Rooftop Solar PV</c:v>
                </c:pt>
              </c:strCache>
            </c:strRef>
          </c:tx>
          <c:spPr>
            <a:ln>
              <a:solidFill>
                <a:schemeClr val="tx1"/>
              </a:solidFill>
            </a:ln>
          </c:spPr>
          <c:val>
            <c:numRef>
              <c:f>PortfolioDashboard!$AV$9:$AV$19</c:f>
              <c:numCache>
                <c:formatCode>#,##0</c:formatCode>
                <c:ptCount val="11"/>
                <c:pt idx="0">
                  <c:v>0</c:v>
                </c:pt>
                <c:pt idx="1">
                  <c:v>0</c:v>
                </c:pt>
                <c:pt idx="2">
                  <c:v>0</c:v>
                </c:pt>
                <c:pt idx="3">
                  <c:v>0</c:v>
                </c:pt>
                <c:pt idx="4">
                  <c:v>0</c:v>
                </c:pt>
                <c:pt idx="5">
                  <c:v>497.52640520481702</c:v>
                </c:pt>
                <c:pt idx="6">
                  <c:v>497.52640520481702</c:v>
                </c:pt>
                <c:pt idx="7">
                  <c:v>497.52640520481702</c:v>
                </c:pt>
                <c:pt idx="8">
                  <c:v>497.52640520481702</c:v>
                </c:pt>
                <c:pt idx="9">
                  <c:v>497.52640520481702</c:v>
                </c:pt>
                <c:pt idx="10">
                  <c:v>497.52640520481702</c:v>
                </c:pt>
              </c:numCache>
            </c:numRef>
          </c:val>
        </c:ser>
        <c:ser>
          <c:idx val="22"/>
          <c:order val="21"/>
          <c:tx>
            <c:strRef>
              <c:f>PortfolioDashboard!$AW$3</c:f>
              <c:strCache>
                <c:ptCount val="1"/>
                <c:pt idx="0">
                  <c:v>Geo Exchange</c:v>
                </c:pt>
              </c:strCache>
            </c:strRef>
          </c:tx>
          <c:spPr>
            <a:ln>
              <a:solidFill>
                <a:schemeClr val="tx1"/>
              </a:solidFill>
            </a:ln>
          </c:spPr>
          <c:val>
            <c:numRef>
              <c:f>PortfolioDashboard!$AW$9:$AW$19</c:f>
              <c:numCache>
                <c:formatCode>#,##0</c:formatCode>
                <c:ptCount val="11"/>
                <c:pt idx="0">
                  <c:v>0</c:v>
                </c:pt>
                <c:pt idx="1">
                  <c:v>0</c:v>
                </c:pt>
                <c:pt idx="2">
                  <c:v>0</c:v>
                </c:pt>
                <c:pt idx="3">
                  <c:v>680.80856317059579</c:v>
                </c:pt>
                <c:pt idx="4">
                  <c:v>680.80856317059579</c:v>
                </c:pt>
                <c:pt idx="5">
                  <c:v>1361.6171263411916</c:v>
                </c:pt>
                <c:pt idx="6">
                  <c:v>1361.6171263411916</c:v>
                </c:pt>
                <c:pt idx="7">
                  <c:v>1361.6171263411916</c:v>
                </c:pt>
                <c:pt idx="8">
                  <c:v>1361.6171263411916</c:v>
                </c:pt>
                <c:pt idx="9">
                  <c:v>1361.6171263411916</c:v>
                </c:pt>
                <c:pt idx="10">
                  <c:v>1361.6171263411916</c:v>
                </c:pt>
              </c:numCache>
            </c:numRef>
          </c:val>
        </c:ser>
        <c:ser>
          <c:idx val="23"/>
          <c:order val="22"/>
          <c:tx>
            <c:strRef>
              <c:f>PortfolioDashboard!$AX$3</c:f>
              <c:strCache>
                <c:ptCount val="1"/>
                <c:pt idx="0">
                  <c:v>Solar DHW</c:v>
                </c:pt>
              </c:strCache>
            </c:strRef>
          </c:tx>
          <c:spPr>
            <a:ln>
              <a:solidFill>
                <a:schemeClr val="tx1"/>
              </a:solidFill>
            </a:ln>
          </c:spPr>
          <c:val>
            <c:numRef>
              <c:f>PortfolioDashboard!$AX$9:$AX$19</c:f>
              <c:numCache>
                <c:formatCode>#,##0</c:formatCode>
                <c:ptCount val="11"/>
                <c:pt idx="0">
                  <c:v>0</c:v>
                </c:pt>
                <c:pt idx="1">
                  <c:v>0</c:v>
                </c:pt>
                <c:pt idx="2">
                  <c:v>42.106365709288561</c:v>
                </c:pt>
                <c:pt idx="3">
                  <c:v>42.106365709288561</c:v>
                </c:pt>
                <c:pt idx="4">
                  <c:v>42.106365709288561</c:v>
                </c:pt>
                <c:pt idx="5">
                  <c:v>42.106365709288561</c:v>
                </c:pt>
                <c:pt idx="6">
                  <c:v>42.106365709288561</c:v>
                </c:pt>
                <c:pt idx="7">
                  <c:v>42.106365709288561</c:v>
                </c:pt>
                <c:pt idx="8">
                  <c:v>42.106365709288561</c:v>
                </c:pt>
                <c:pt idx="9">
                  <c:v>42.106365709288561</c:v>
                </c:pt>
                <c:pt idx="10">
                  <c:v>42.106365709288561</c:v>
                </c:pt>
              </c:numCache>
            </c:numRef>
          </c:val>
        </c:ser>
        <c:ser>
          <c:idx val="24"/>
          <c:order val="23"/>
          <c:tx>
            <c:strRef>
              <c:f>PortfolioDashboard!$AY$3</c:f>
              <c:strCache>
                <c:ptCount val="1"/>
                <c:pt idx="0">
                  <c:v>On-site Wind</c:v>
                </c:pt>
              </c:strCache>
            </c:strRef>
          </c:tx>
          <c:spPr>
            <a:ln>
              <a:solidFill>
                <a:schemeClr val="tx1"/>
              </a:solidFill>
            </a:ln>
          </c:spPr>
          <c:val>
            <c:numRef>
              <c:f>PortfolioDashboard!$AY$9:$AY$19</c:f>
              <c:numCache>
                <c:formatCode>#,##0</c:formatCode>
                <c:ptCount val="11"/>
                <c:pt idx="0">
                  <c:v>0</c:v>
                </c:pt>
                <c:pt idx="1">
                  <c:v>124.43697824242066</c:v>
                </c:pt>
                <c:pt idx="2">
                  <c:v>124.43697824242066</c:v>
                </c:pt>
                <c:pt idx="3">
                  <c:v>124.43697824242066</c:v>
                </c:pt>
                <c:pt idx="4">
                  <c:v>124.43697824242066</c:v>
                </c:pt>
                <c:pt idx="5">
                  <c:v>124.43697824242066</c:v>
                </c:pt>
                <c:pt idx="6">
                  <c:v>124.43697824242066</c:v>
                </c:pt>
                <c:pt idx="7">
                  <c:v>124.43697824242066</c:v>
                </c:pt>
                <c:pt idx="8">
                  <c:v>124.43697824242066</c:v>
                </c:pt>
                <c:pt idx="9">
                  <c:v>124.43697824242066</c:v>
                </c:pt>
                <c:pt idx="10">
                  <c:v>124.43697824242066</c:v>
                </c:pt>
              </c:numCache>
            </c:numRef>
          </c:val>
        </c:ser>
        <c:ser>
          <c:idx val="25"/>
          <c:order val="24"/>
          <c:tx>
            <c:strRef>
              <c:f>PortfolioDashboard!$AZ$3</c:f>
              <c:strCache>
                <c:ptCount val="1"/>
                <c:pt idx="0">
                  <c:v>Coal to Natural Gas Conversion @ Steam Plant</c:v>
                </c:pt>
              </c:strCache>
            </c:strRef>
          </c:tx>
          <c:spPr>
            <a:ln>
              <a:solidFill>
                <a:schemeClr val="tx1"/>
              </a:solidFill>
            </a:ln>
          </c:spPr>
          <c:val>
            <c:numRef>
              <c:f>PortfolioDashboard!$AZ$9:$AZ$19</c:f>
              <c:numCache>
                <c:formatCode>#,##0</c:formatCode>
                <c:ptCount val="11"/>
                <c:pt idx="0">
                  <c:v>0</c:v>
                </c:pt>
                <c:pt idx="1">
                  <c:v>0</c:v>
                </c:pt>
                <c:pt idx="2">
                  <c:v>0</c:v>
                </c:pt>
                <c:pt idx="3">
                  <c:v>0</c:v>
                </c:pt>
                <c:pt idx="4">
                  <c:v>0</c:v>
                </c:pt>
                <c:pt idx="5">
                  <c:v>18056.365727671626</c:v>
                </c:pt>
                <c:pt idx="6">
                  <c:v>18258.289883413876</c:v>
                </c:pt>
                <c:pt idx="7">
                  <c:v>18460.214039156141</c:v>
                </c:pt>
                <c:pt idx="8">
                  <c:v>18662.138194898398</c:v>
                </c:pt>
                <c:pt idx="9">
                  <c:v>18864.062350640648</c:v>
                </c:pt>
                <c:pt idx="10">
                  <c:v>19065.986506382898</c:v>
                </c:pt>
              </c:numCache>
            </c:numRef>
          </c:val>
        </c:ser>
        <c:ser>
          <c:idx val="26"/>
          <c:order val="25"/>
          <c:tx>
            <c:strRef>
              <c:f>PortfolioDashboard!$BA$3</c:f>
              <c:strCache>
                <c:ptCount val="1"/>
                <c:pt idx="0">
                  <c:v>Steam Line Improvements</c:v>
                </c:pt>
              </c:strCache>
            </c:strRef>
          </c:tx>
          <c:spPr>
            <a:ln>
              <a:solidFill>
                <a:schemeClr val="tx1"/>
              </a:solidFill>
            </a:ln>
          </c:spPr>
          <c:val>
            <c:numRef>
              <c:f>PortfolioDashboard!$BA$9:$BA$19</c:f>
              <c:numCache>
                <c:formatCode>#,##0</c:formatCode>
                <c:ptCount val="11"/>
                <c:pt idx="0">
                  <c:v>0</c:v>
                </c:pt>
                <c:pt idx="1">
                  <c:v>0</c:v>
                </c:pt>
                <c:pt idx="2">
                  <c:v>3075.9772424453963</c:v>
                </c:pt>
                <c:pt idx="3">
                  <c:v>3125.3879734301372</c:v>
                </c:pt>
                <c:pt idx="4">
                  <c:v>3161.5430998748739</c:v>
                </c:pt>
                <c:pt idx="5">
                  <c:v>3233.0465050929606</c:v>
                </c:pt>
                <c:pt idx="6">
                  <c:v>3269.2016315376959</c:v>
                </c:pt>
                <c:pt idx="7">
                  <c:v>3305.3567579824307</c:v>
                </c:pt>
                <c:pt idx="8">
                  <c:v>3341.5118844271651</c:v>
                </c:pt>
                <c:pt idx="9">
                  <c:v>3377.6670108718999</c:v>
                </c:pt>
                <c:pt idx="10">
                  <c:v>3413.8221373166357</c:v>
                </c:pt>
              </c:numCache>
            </c:numRef>
          </c:val>
        </c:ser>
        <c:ser>
          <c:idx val="27"/>
          <c:order val="26"/>
          <c:tx>
            <c:strRef>
              <c:f>PortfolioDashboard!$BB$3</c:f>
              <c:strCache>
                <c:ptCount val="1"/>
                <c:pt idx="0">
                  <c:v>Waste Reduction</c:v>
                </c:pt>
              </c:strCache>
            </c:strRef>
          </c:tx>
          <c:spPr>
            <a:ln>
              <a:solidFill>
                <a:schemeClr val="tx1"/>
              </a:solidFill>
            </a:ln>
          </c:spPr>
          <c:val>
            <c:numRef>
              <c:f>PortfolioDashboard!$BB$9:$BB$19</c:f>
              <c:numCache>
                <c:formatCode>#,##0</c:formatCode>
                <c:ptCount val="11"/>
                <c:pt idx="0">
                  <c:v>0</c:v>
                </c:pt>
                <c:pt idx="1">
                  <c:v>0</c:v>
                </c:pt>
                <c:pt idx="2">
                  <c:v>40.884638161468658</c:v>
                </c:pt>
                <c:pt idx="3">
                  <c:v>81.937879892859442</c:v>
                </c:pt>
                <c:pt idx="4">
                  <c:v>123.12963392984285</c:v>
                </c:pt>
                <c:pt idx="5">
                  <c:v>164.44143102054525</c:v>
                </c:pt>
                <c:pt idx="6">
                  <c:v>205.86052642059221</c:v>
                </c:pt>
                <c:pt idx="7">
                  <c:v>206.14789241380251</c:v>
                </c:pt>
                <c:pt idx="8">
                  <c:v>206.41779245536574</c:v>
                </c:pt>
                <c:pt idx="9">
                  <c:v>206.6730702617173</c:v>
                </c:pt>
                <c:pt idx="10">
                  <c:v>206.91587260906391</c:v>
                </c:pt>
              </c:numCache>
            </c:numRef>
          </c:val>
        </c:ser>
        <c:ser>
          <c:idx val="28"/>
          <c:order val="27"/>
          <c:tx>
            <c:strRef>
              <c:f>PortfolioDashboard!$BC$3</c:f>
              <c:strCache>
                <c:ptCount val="1"/>
                <c:pt idx="0">
                  <c:v>Reduced Automobile Reliance Strategies</c:v>
                </c:pt>
              </c:strCache>
            </c:strRef>
          </c:tx>
          <c:spPr>
            <a:ln>
              <a:solidFill>
                <a:schemeClr val="tx1"/>
              </a:solidFill>
            </a:ln>
          </c:spPr>
          <c:val>
            <c:numRef>
              <c:f>PortfolioDashboard!$BC$9:$BC$19</c:f>
              <c:numCache>
                <c:formatCode>#,##0</c:formatCode>
                <c:ptCount val="11"/>
                <c:pt idx="0">
                  <c:v>0</c:v>
                </c:pt>
                <c:pt idx="1">
                  <c:v>0</c:v>
                </c:pt>
                <c:pt idx="2">
                  <c:v>162.81643397406458</c:v>
                </c:pt>
                <c:pt idx="3">
                  <c:v>326.1924377394069</c:v>
                </c:pt>
                <c:pt idx="4">
                  <c:v>489.99756396934276</c:v>
                </c:pt>
                <c:pt idx="5">
                  <c:v>654.16428845085125</c:v>
                </c:pt>
                <c:pt idx="6">
                  <c:v>818.64945967225867</c:v>
                </c:pt>
                <c:pt idx="7">
                  <c:v>983.42242590882825</c:v>
                </c:pt>
                <c:pt idx="8">
                  <c:v>1148.4599608720218</c:v>
                </c:pt>
                <c:pt idx="9">
                  <c:v>1313.7436763489204</c:v>
                </c:pt>
                <c:pt idx="10">
                  <c:v>1479.258544660677</c:v>
                </c:pt>
              </c:numCache>
            </c:numRef>
          </c:val>
        </c:ser>
        <c:ser>
          <c:idx val="29"/>
          <c:order val="28"/>
          <c:tx>
            <c:strRef>
              <c:f>PortfolioDashboard!$BD$3</c:f>
              <c:strCache>
                <c:ptCount val="1"/>
                <c:pt idx="0">
                  <c:v>Reduced Air Travel</c:v>
                </c:pt>
              </c:strCache>
            </c:strRef>
          </c:tx>
          <c:spPr>
            <a:ln>
              <a:solidFill>
                <a:schemeClr val="tx1"/>
              </a:solidFill>
            </a:ln>
          </c:spPr>
          <c:val>
            <c:numRef>
              <c:f>PortfolioDashboard!$BD$9:$BD$19</c:f>
              <c:numCache>
                <c:formatCode>#,##0</c:formatCode>
                <c:ptCount val="11"/>
                <c:pt idx="0">
                  <c:v>0</c:v>
                </c:pt>
                <c:pt idx="1">
                  <c:v>561.67481273159069</c:v>
                </c:pt>
                <c:pt idx="2">
                  <c:v>563.47528677760192</c:v>
                </c:pt>
                <c:pt idx="3">
                  <c:v>564.85683910426201</c:v>
                </c:pt>
                <c:pt idx="4">
                  <c:v>566.02154159217173</c:v>
                </c:pt>
                <c:pt idx="5">
                  <c:v>567.04766508302907</c:v>
                </c:pt>
                <c:pt idx="6">
                  <c:v>851.96302744449406</c:v>
                </c:pt>
                <c:pt idx="7">
                  <c:v>853.24267117910142</c:v>
                </c:pt>
                <c:pt idx="8">
                  <c:v>854.43373452629135</c:v>
                </c:pt>
                <c:pt idx="9">
                  <c:v>855.55240567912927</c:v>
                </c:pt>
                <c:pt idx="10">
                  <c:v>856.61047116245152</c:v>
                </c:pt>
              </c:numCache>
            </c:numRef>
          </c:val>
        </c:ser>
        <c:ser>
          <c:idx val="30"/>
          <c:order val="29"/>
          <c:tx>
            <c:strRef>
              <c:f>PortfolioDashboard!$BE$3</c:f>
              <c:strCache>
                <c:ptCount val="1"/>
                <c:pt idx="0">
                  <c:v>Green IT</c:v>
                </c:pt>
              </c:strCache>
            </c:strRef>
          </c:tx>
          <c:spPr>
            <a:ln>
              <a:solidFill>
                <a:schemeClr val="tx1"/>
              </a:solidFill>
            </a:ln>
          </c:spPr>
          <c:val>
            <c:numRef>
              <c:f>PortfolioDashboard!$BE$9:$BE$19</c:f>
              <c:numCache>
                <c:formatCode>#,##0</c:formatCode>
                <c:ptCount val="11"/>
                <c:pt idx="0">
                  <c:v>0</c:v>
                </c:pt>
                <c:pt idx="1">
                  <c:v>0</c:v>
                </c:pt>
                <c:pt idx="2">
                  <c:v>1948.4709492677364</c:v>
                </c:pt>
                <c:pt idx="3">
                  <c:v>3896.9418985354728</c:v>
                </c:pt>
                <c:pt idx="4">
                  <c:v>5845.4128478032089</c:v>
                </c:pt>
                <c:pt idx="5">
                  <c:v>5845.4128478032089</c:v>
                </c:pt>
                <c:pt idx="6">
                  <c:v>5845.4128478032089</c:v>
                </c:pt>
                <c:pt idx="7">
                  <c:v>5845.4128478032089</c:v>
                </c:pt>
                <c:pt idx="8">
                  <c:v>5845.4128478032089</c:v>
                </c:pt>
                <c:pt idx="9">
                  <c:v>5845.4128478032089</c:v>
                </c:pt>
                <c:pt idx="10">
                  <c:v>5845.4128478032089</c:v>
                </c:pt>
              </c:numCache>
            </c:numRef>
          </c:val>
        </c:ser>
        <c:ser>
          <c:idx val="31"/>
          <c:order val="30"/>
          <c:tx>
            <c:strRef>
              <c:f>PortfolioDashboard!$BF$3</c:f>
              <c:strCache>
                <c:ptCount val="1"/>
                <c:pt idx="0">
                  <c:v>Long-term Energy Conservation Measures</c:v>
                </c:pt>
              </c:strCache>
            </c:strRef>
          </c:tx>
          <c:spPr>
            <a:ln>
              <a:solidFill>
                <a:schemeClr val="tx1"/>
              </a:solidFill>
            </a:ln>
          </c:spPr>
          <c:val>
            <c:numRef>
              <c:f>PortfolioDashboard!$BF$9:$BF$19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2"/>
          <c:order val="31"/>
          <c:tx>
            <c:strRef>
              <c:f>PortfolioDashboard!$BG$3</c:f>
              <c:strCache>
                <c:ptCount val="1"/>
                <c:pt idx="0">
                  <c:v>Mid-term Energy Conservation Measures</c:v>
                </c:pt>
              </c:strCache>
            </c:strRef>
          </c:tx>
          <c:spPr>
            <a:ln>
              <a:solidFill>
                <a:schemeClr val="tx1"/>
              </a:solidFill>
            </a:ln>
          </c:spPr>
          <c:val>
            <c:numRef>
              <c:f>PortfolioDashboard!$BG$9:$BG$19</c:f>
              <c:numCache>
                <c:formatCode>#,##0</c:formatCode>
                <c:ptCount val="11"/>
                <c:pt idx="0">
                  <c:v>0</c:v>
                </c:pt>
                <c:pt idx="1">
                  <c:v>0</c:v>
                </c:pt>
                <c:pt idx="2">
                  <c:v>0</c:v>
                </c:pt>
                <c:pt idx="3">
                  <c:v>0</c:v>
                </c:pt>
                <c:pt idx="4">
                  <c:v>0</c:v>
                </c:pt>
                <c:pt idx="5">
                  <c:v>0</c:v>
                </c:pt>
                <c:pt idx="6">
                  <c:v>1651.693688225191</c:v>
                </c:pt>
                <c:pt idx="7">
                  <c:v>3303.3873764503819</c:v>
                </c:pt>
                <c:pt idx="8">
                  <c:v>4955.0810646755726</c:v>
                </c:pt>
                <c:pt idx="9">
                  <c:v>6606.7747529007638</c:v>
                </c:pt>
                <c:pt idx="10">
                  <c:v>8258.468441125955</c:v>
                </c:pt>
              </c:numCache>
            </c:numRef>
          </c:val>
        </c:ser>
        <c:ser>
          <c:idx val="33"/>
          <c:order val="32"/>
          <c:tx>
            <c:strRef>
              <c:f>PortfolioDashboard!$BH$3</c:f>
              <c:strCache>
                <c:ptCount val="1"/>
                <c:pt idx="0">
                  <c:v>Short-term Energy Conservation Measures</c:v>
                </c:pt>
              </c:strCache>
            </c:strRef>
          </c:tx>
          <c:spPr>
            <a:ln>
              <a:solidFill>
                <a:schemeClr val="tx1"/>
              </a:solidFill>
            </a:ln>
          </c:spPr>
          <c:val>
            <c:numRef>
              <c:f>PortfolioDashboard!$BH$9:$BH$19</c:f>
              <c:numCache>
                <c:formatCode>#,##0</c:formatCode>
                <c:ptCount val="11"/>
                <c:pt idx="0">
                  <c:v>0</c:v>
                </c:pt>
                <c:pt idx="1">
                  <c:v>2742.0270431200861</c:v>
                </c:pt>
                <c:pt idx="2">
                  <c:v>5484.0540862401722</c:v>
                </c:pt>
                <c:pt idx="3">
                  <c:v>8226.0811293602583</c:v>
                </c:pt>
                <c:pt idx="4">
                  <c:v>10968.108172480344</c:v>
                </c:pt>
                <c:pt idx="5">
                  <c:v>13710.13521560043</c:v>
                </c:pt>
                <c:pt idx="6">
                  <c:v>13710.13521560043</c:v>
                </c:pt>
                <c:pt idx="7">
                  <c:v>13710.13521560043</c:v>
                </c:pt>
                <c:pt idx="8">
                  <c:v>13710.13521560043</c:v>
                </c:pt>
                <c:pt idx="9">
                  <c:v>13710.13521560043</c:v>
                </c:pt>
                <c:pt idx="10">
                  <c:v>13710.13521560043</c:v>
                </c:pt>
              </c:numCache>
            </c:numRef>
          </c:val>
        </c:ser>
        <c:ser>
          <c:idx val="34"/>
          <c:order val="33"/>
          <c:tx>
            <c:strRef>
              <c:f>PortfolioDashboard!$BI$3</c:f>
              <c:strCache>
                <c:ptCount val="1"/>
                <c:pt idx="0">
                  <c:v>Central Chiller Expansion</c:v>
                </c:pt>
              </c:strCache>
            </c:strRef>
          </c:tx>
          <c:spPr>
            <a:ln>
              <a:solidFill>
                <a:schemeClr val="tx1"/>
              </a:solidFill>
            </a:ln>
          </c:spPr>
          <c:val>
            <c:numRef>
              <c:f>PortfolioDashboard!$BI$9:$BI$19</c:f>
              <c:numCache>
                <c:formatCode>#,##0</c:formatCode>
                <c:ptCount val="11"/>
                <c:pt idx="0">
                  <c:v>0</c:v>
                </c:pt>
                <c:pt idx="1">
                  <c:v>0</c:v>
                </c:pt>
                <c:pt idx="2">
                  <c:v>2167.9819457268204</c:v>
                </c:pt>
                <c:pt idx="3">
                  <c:v>2218.6346143360465</c:v>
                </c:pt>
                <c:pt idx="4">
                  <c:v>4005.0410780820157</c:v>
                </c:pt>
                <c:pt idx="5">
                  <c:v>4055.6937466912427</c:v>
                </c:pt>
                <c:pt idx="6">
                  <c:v>4712.5079147936849</c:v>
                </c:pt>
                <c:pt idx="7">
                  <c:v>4763.1605834029124</c:v>
                </c:pt>
                <c:pt idx="8">
                  <c:v>4813.8132520121389</c:v>
                </c:pt>
                <c:pt idx="9">
                  <c:v>4864.4659206213655</c:v>
                </c:pt>
                <c:pt idx="10">
                  <c:v>4915.118589230593</c:v>
                </c:pt>
              </c:numCache>
            </c:numRef>
          </c:val>
        </c:ser>
        <c:ser>
          <c:idx val="35"/>
          <c:order val="34"/>
          <c:tx>
            <c:strRef>
              <c:f>PortfolioDashboard!$BJ$3</c:f>
              <c:strCache>
                <c:ptCount val="1"/>
                <c:pt idx="0">
                  <c:v>Space Planning &amp; Management</c:v>
                </c:pt>
              </c:strCache>
            </c:strRef>
          </c:tx>
          <c:spPr>
            <a:ln>
              <a:solidFill>
                <a:schemeClr val="tx1"/>
              </a:solidFill>
            </a:ln>
          </c:spPr>
          <c:val>
            <c:numRef>
              <c:f>PortfolioDashboard!$BJ$9:$BJ$19</c:f>
              <c:numCache>
                <c:formatCode>#,##0</c:formatCode>
                <c:ptCount val="11"/>
                <c:pt idx="0">
                  <c:v>2011.5286795204174</c:v>
                </c:pt>
                <c:pt idx="1">
                  <c:v>4023.0573590408094</c:v>
                </c:pt>
                <c:pt idx="2">
                  <c:v>6034.5860385612268</c:v>
                </c:pt>
                <c:pt idx="3">
                  <c:v>8046.1147180816188</c:v>
                </c:pt>
                <c:pt idx="4">
                  <c:v>10057.643397602036</c:v>
                </c:pt>
                <c:pt idx="5">
                  <c:v>12069.172077122454</c:v>
                </c:pt>
                <c:pt idx="6">
                  <c:v>14080.700756642846</c:v>
                </c:pt>
                <c:pt idx="7">
                  <c:v>16092.229436163265</c:v>
                </c:pt>
                <c:pt idx="8">
                  <c:v>18103.758115683657</c:v>
                </c:pt>
                <c:pt idx="9">
                  <c:v>20115.286795204072</c:v>
                </c:pt>
                <c:pt idx="10">
                  <c:v>22126.815474724466</c:v>
                </c:pt>
              </c:numCache>
            </c:numRef>
          </c:val>
        </c:ser>
        <c:ser>
          <c:idx val="36"/>
          <c:order val="35"/>
          <c:tx>
            <c:strRef>
              <c:f>PortfolioDashboard!$BK$3</c:f>
              <c:strCache>
                <c:ptCount val="1"/>
                <c:pt idx="0">
                  <c:v>Building Design &amp; Construction Standards</c:v>
                </c:pt>
              </c:strCache>
            </c:strRef>
          </c:tx>
          <c:spPr>
            <a:ln>
              <a:solidFill>
                <a:schemeClr val="tx1"/>
              </a:solidFill>
            </a:ln>
          </c:spPr>
          <c:val>
            <c:numRef>
              <c:f>PortfolioDashboard!$BK$9:$BK$19</c:f>
              <c:numCache>
                <c:formatCode>#,##0</c:formatCode>
                <c:ptCount val="11"/>
                <c:pt idx="0">
                  <c:v>0</c:v>
                </c:pt>
                <c:pt idx="1">
                  <c:v>789.72264015453493</c:v>
                </c:pt>
                <c:pt idx="2">
                  <c:v>3573.5485844890363</c:v>
                </c:pt>
                <c:pt idx="3">
                  <c:v>4637.7326311296556</c:v>
                </c:pt>
                <c:pt idx="4">
                  <c:v>5052.878033826406</c:v>
                </c:pt>
                <c:pt idx="5">
                  <c:v>7226.3575762567925</c:v>
                </c:pt>
                <c:pt idx="6">
                  <c:v>7651.4767554743994</c:v>
                </c:pt>
                <c:pt idx="7">
                  <c:v>8077.790562160325</c:v>
                </c:pt>
                <c:pt idx="8">
                  <c:v>8505.2602187414213</c:v>
                </c:pt>
                <c:pt idx="9">
                  <c:v>8933.8486079716986</c:v>
                </c:pt>
                <c:pt idx="10">
                  <c:v>9363.5201850112971</c:v>
                </c:pt>
              </c:numCache>
            </c:numRef>
          </c:val>
        </c:ser>
        <c:ser>
          <c:idx val="37"/>
          <c:order val="36"/>
          <c:tx>
            <c:strRef>
              <c:f>PortfolioDashboard!$BL$3</c:f>
              <c:strCache>
                <c:ptCount val="1"/>
                <c:pt idx="0">
                  <c:v>Behavior Change</c:v>
                </c:pt>
              </c:strCache>
            </c:strRef>
          </c:tx>
          <c:spPr>
            <a:ln>
              <a:solidFill>
                <a:schemeClr val="tx1"/>
              </a:solidFill>
            </a:ln>
          </c:spPr>
          <c:val>
            <c:numRef>
              <c:f>PortfolioDashboard!$BL$9:$BL$19</c:f>
              <c:numCache>
                <c:formatCode>#,##0</c:formatCode>
                <c:ptCount val="11"/>
                <c:pt idx="0">
                  <c:v>0</c:v>
                </c:pt>
                <c:pt idx="1">
                  <c:v>0</c:v>
                </c:pt>
                <c:pt idx="2">
                  <c:v>443.03041713126811</c:v>
                </c:pt>
                <c:pt idx="3">
                  <c:v>877.25965895883451</c:v>
                </c:pt>
                <c:pt idx="4">
                  <c:v>1300.8517178401214</c:v>
                </c:pt>
                <c:pt idx="5">
                  <c:v>1720.4743232307801</c:v>
                </c:pt>
                <c:pt idx="6">
                  <c:v>2130.2219889227813</c:v>
                </c:pt>
                <c:pt idx="7">
                  <c:v>2531.7905847036163</c:v>
                </c:pt>
                <c:pt idx="8">
                  <c:v>2841.5897522124551</c:v>
                </c:pt>
                <c:pt idx="9">
                  <c:v>3144.8176964852678</c:v>
                </c:pt>
                <c:pt idx="10">
                  <c:v>3441.464195208222</c:v>
                </c:pt>
              </c:numCache>
            </c:numRef>
          </c:val>
        </c:ser>
        <c:ser>
          <c:idx val="0"/>
          <c:order val="37"/>
          <c:tx>
            <c:strRef>
              <c:f>PortfolioDashboard!$BM$3</c:f>
              <c:strCache>
                <c:ptCount val="1"/>
              </c:strCache>
            </c:strRef>
          </c:tx>
          <c:spPr>
            <a:solidFill>
              <a:schemeClr val="accent3">
                <a:lumMod val="75000"/>
              </a:schemeClr>
            </a:solidFill>
            <a:ln>
              <a:solidFill>
                <a:sysClr val="windowText" lastClr="000000"/>
              </a:solidFill>
            </a:ln>
          </c:spPr>
          <c:dLbls>
            <c:dLbl>
              <c:idx val="0"/>
              <c:layout>
                <c:manualLayout>
                  <c:x val="0.32437046521554008"/>
                  <c:y val="-5.3663570691434466E-2"/>
                </c:manualLayout>
              </c:layout>
              <c:showSerName val="1"/>
            </c:dLbl>
            <c:showSerName val="1"/>
          </c:dLbls>
          <c:val>
            <c:numRef>
              <c:f>PortfolioDashboard!$BM$9:$BM$19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axId val="94519296"/>
        <c:axId val="94521600"/>
      </c:areaChart>
      <c:lineChart>
        <c:grouping val="standard"/>
        <c:ser>
          <c:idx val="2"/>
          <c:order val="0"/>
          <c:tx>
            <c:strRef>
              <c:f>PortfolioDashboard!$AC$3</c:f>
              <c:strCache>
                <c:ptCount val="1"/>
                <c:pt idx="0">
                  <c:v>Neutrality by 2050</c:v>
                </c:pt>
              </c:strCache>
            </c:strRef>
          </c:tx>
          <c:spPr>
            <a:ln>
              <a:solidFill>
                <a:sysClr val="windowText" lastClr="000000"/>
              </a:solidFill>
              <a:prstDash val="sysDash"/>
            </a:ln>
          </c:spPr>
          <c:marker>
            <c:symbol val="none"/>
          </c:marker>
          <c:cat>
            <c:numRef>
              <c:f>PortfolioDashboard!$AA$9:$AA$49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PortfolioDashboard!$AC$9:$AC$19</c:f>
              <c:numCache>
                <c:formatCode>#,##0</c:formatCode>
                <c:ptCount val="11"/>
                <c:pt idx="0">
                  <c:v>266371.49010856845</c:v>
                </c:pt>
                <c:pt idx="1">
                  <c:v>259712.20285585424</c:v>
                </c:pt>
                <c:pt idx="2">
                  <c:v>253052.91560314002</c:v>
                </c:pt>
                <c:pt idx="3">
                  <c:v>246393.6283504258</c:v>
                </c:pt>
                <c:pt idx="4">
                  <c:v>239734.34109771159</c:v>
                </c:pt>
                <c:pt idx="5">
                  <c:v>233075.05384499737</c:v>
                </c:pt>
                <c:pt idx="6">
                  <c:v>226415.76659228315</c:v>
                </c:pt>
                <c:pt idx="7">
                  <c:v>219756.47933956893</c:v>
                </c:pt>
                <c:pt idx="8">
                  <c:v>213097.19208685472</c:v>
                </c:pt>
                <c:pt idx="9">
                  <c:v>206437.9048341405</c:v>
                </c:pt>
                <c:pt idx="10">
                  <c:v>199778.61758142628</c:v>
                </c:pt>
              </c:numCache>
            </c:numRef>
          </c:val>
        </c:ser>
        <c:ser>
          <c:idx val="1"/>
          <c:order val="1"/>
          <c:tx>
            <c:strRef>
              <c:f>PortfolioDashboard!$AB$3</c:f>
              <c:strCache>
                <c:ptCount val="1"/>
                <c:pt idx="0">
                  <c:v>Business As Usual (No Grid Footprint Change)</c:v>
                </c:pt>
              </c:strCache>
            </c:strRef>
          </c:tx>
          <c:spPr>
            <a:ln>
              <a:solidFill>
                <a:sysClr val="windowText" lastClr="000000"/>
              </a:solidFill>
            </a:ln>
          </c:spPr>
          <c:marker>
            <c:symbol val="circle"/>
            <c:size val="5"/>
            <c:spPr>
              <a:solidFill>
                <a:srgbClr val="4F81BD"/>
              </a:solidFill>
              <a:ln w="25400">
                <a:solidFill>
                  <a:sysClr val="windowText" lastClr="000000"/>
                </a:solidFill>
              </a:ln>
            </c:spPr>
          </c:marker>
          <c:cat>
            <c:numRef>
              <c:f>PortfolioDashboard!$AA$9:$AA$49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PortfolioDashboard!$AB$9:$AB$19</c:f>
              <c:numCache>
                <c:formatCode>#,##0</c:formatCode>
                <c:ptCount val="11"/>
                <c:pt idx="0">
                  <c:v>266371.49010856845</c:v>
                </c:pt>
                <c:pt idx="1">
                  <c:v>269303.67742545606</c:v>
                </c:pt>
                <c:pt idx="2">
                  <c:v>275791.85529217363</c:v>
                </c:pt>
                <c:pt idx="3">
                  <c:v>279648.61947465339</c:v>
                </c:pt>
                <c:pt idx="4">
                  <c:v>282513.6365609222</c:v>
                </c:pt>
                <c:pt idx="5">
                  <c:v>287982.71814977459</c:v>
                </c:pt>
                <c:pt idx="6">
                  <c:v>290832.72619485745</c:v>
                </c:pt>
                <c:pt idx="7">
                  <c:v>293677.61173126666</c:v>
                </c:pt>
                <c:pt idx="8">
                  <c:v>296518.31091099617</c:v>
                </c:pt>
                <c:pt idx="9">
                  <c:v>299355.50534027134</c:v>
                </c:pt>
                <c:pt idx="10">
                  <c:v>302189.70957647648</c:v>
                </c:pt>
              </c:numCache>
            </c:numRef>
          </c:val>
        </c:ser>
        <c:marker val="1"/>
        <c:axId val="94519296"/>
        <c:axId val="94521600"/>
      </c:lineChart>
      <c:catAx>
        <c:axId val="94519296"/>
        <c:scaling>
          <c:orientation val="minMax"/>
        </c:scaling>
        <c:axPos val="b"/>
        <c:tickLblPos val="nextTo"/>
        <c:crossAx val="94521600"/>
        <c:crosses val="autoZero"/>
        <c:auto val="1"/>
        <c:lblAlgn val="ctr"/>
        <c:lblOffset val="100"/>
        <c:tickLblSkip val="1"/>
        <c:tickMarkSkip val="1"/>
      </c:catAx>
      <c:valAx>
        <c:axId val="94521600"/>
        <c:scaling>
          <c:orientation val="minMax"/>
          <c:min val="200000"/>
        </c:scaling>
        <c:axPos val="l"/>
        <c:majorGridlines/>
        <c:title>
          <c:tx>
            <c:rich>
              <a:bodyPr rot="-5400000" vert="horz"/>
              <a:lstStyle/>
              <a:p>
                <a:pPr>
                  <a:defRPr/>
                </a:pPr>
                <a:r>
                  <a:rPr lang="en-US"/>
                  <a:t>MTCO</a:t>
                </a:r>
                <a:r>
                  <a:rPr lang="en-US" baseline="-25000"/>
                  <a:t>2</a:t>
                </a:r>
                <a:r>
                  <a:rPr lang="en-US"/>
                  <a:t>e</a:t>
                </a:r>
              </a:p>
            </c:rich>
          </c:tx>
        </c:title>
        <c:numFmt formatCode="#,##0" sourceLinked="1"/>
        <c:tickLblPos val="nextTo"/>
        <c:crossAx val="94519296"/>
        <c:crosses val="autoZero"/>
        <c:crossBetween val="between"/>
      </c:valAx>
    </c:plotArea>
    <c:plotVisOnly val="1"/>
    <c:dispBlanksAs val="zero"/>
  </c:chart>
  <c:spPr>
    <a:ln>
      <a:solidFill>
        <a:sysClr val="windowText" lastClr="000000"/>
      </a:solidFill>
    </a:ln>
  </c:spPr>
  <c:printSettings>
    <c:headerFooter/>
    <c:pageMargins b="0.75000000000000977" l="0.70000000000000062" r="0.70000000000000062" t="0.750000000000009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478842583701427"/>
          <c:y val="4.5830834613165623E-2"/>
          <c:w val="0.84419131297612215"/>
          <c:h val="0.8200892225933063"/>
        </c:manualLayout>
      </c:layout>
      <c:areaChart>
        <c:grouping val="stacked"/>
        <c:ser>
          <c:idx val="40"/>
          <c:order val="2"/>
          <c:tx>
            <c:strRef>
              <c:f>PortfolioDashboard!$BX$3</c:f>
              <c:strCache>
                <c:ptCount val="1"/>
                <c:pt idx="0">
                  <c:v>Scope 3 - Commuting</c:v>
                </c:pt>
              </c:strCache>
            </c:strRef>
          </c:tx>
          <c:spPr>
            <a:solidFill>
              <a:schemeClr val="bg1">
                <a:lumMod val="85000"/>
              </a:schemeClr>
            </a:solidFill>
            <a:ln>
              <a:solidFill>
                <a:sysClr val="windowText" lastClr="000000"/>
              </a:solidFill>
            </a:ln>
          </c:spPr>
          <c:dLbls>
            <c:dLbl>
              <c:idx val="0"/>
              <c:layout>
                <c:manualLayout>
                  <c:x val="5.7631393636771014E-2"/>
                  <c:y val="8.9092578597953958E-4"/>
                </c:manualLayout>
              </c:layout>
              <c:showSerName val="1"/>
            </c:dLbl>
            <c:spPr>
              <a:ln>
                <a:noFill/>
              </a:ln>
            </c:spPr>
            <c:showSerName val="1"/>
          </c:dLbls>
          <c:val>
            <c:numRef>
              <c:f>PortfolioDashboard!$BX$9:$BX$49</c:f>
              <c:numCache>
                <c:formatCode>#,##0</c:formatCode>
                <c:ptCount val="41"/>
                <c:pt idx="0">
                  <c:v>16281.643397406457</c:v>
                </c:pt>
                <c:pt idx="1">
                  <c:v>16337.600376534232</c:v>
                </c:pt>
                <c:pt idx="2">
                  <c:v>16217.69618901952</c:v>
                </c:pt>
                <c:pt idx="3">
                  <c:v>16090.480010411444</c:v>
                </c:pt>
                <c:pt idx="4">
                  <c:v>15958.519558171398</c:v>
                </c:pt>
                <c:pt idx="5">
                  <c:v>15823.132335206108</c:v>
                </c:pt>
                <c:pt idx="6">
                  <c:v>15685.10403664711</c:v>
                </c:pt>
                <c:pt idx="7">
                  <c:v>15544.949121781041</c:v>
                </c:pt>
                <c:pt idx="8">
                  <c:v>15403.026870303636</c:v>
                </c:pt>
                <c:pt idx="9">
                  <c:v>15259.600348524797</c:v>
                </c:pt>
                <c:pt idx="10">
                  <c:v>15114.869296064064</c:v>
                </c:pt>
                <c:pt idx="11">
                  <c:v>14968.989796422808</c:v>
                </c:pt>
                <c:pt idx="12">
                  <c:v>14988.027981714706</c:v>
                </c:pt>
                <c:pt idx="13">
                  <c:v>15006.342939560818</c:v>
                </c:pt>
                <c:pt idx="14">
                  <c:v>15024.010926086292</c:v>
                </c:pt>
                <c:pt idx="15">
                  <c:v>15041.095670509651</c:v>
                </c:pt>
                <c:pt idx="16">
                  <c:v>15057.65107976356</c:v>
                </c:pt>
                <c:pt idx="17">
                  <c:v>15073.723235660607</c:v>
                </c:pt>
                <c:pt idx="18">
                  <c:v>15089.351898432873</c:v>
                </c:pt>
                <c:pt idx="19">
                  <c:v>15104.571658047698</c:v>
                </c:pt>
                <c:pt idx="20">
                  <c:v>15119.412829187801</c:v>
                </c:pt>
                <c:pt idx="21">
                  <c:v>15133.902156380282</c:v>
                </c:pt>
                <c:pt idx="22">
                  <c:v>15148.063376292877</c:v>
                </c:pt>
                <c:pt idx="23">
                  <c:v>15161.91767104415</c:v>
                </c:pt>
                <c:pt idx="24">
                  <c:v>15175.484037284878</c:v>
                </c:pt>
                <c:pt idx="25">
                  <c:v>15188.779589424114</c:v>
                </c:pt>
                <c:pt idx="26">
                  <c:v>15201.819810816407</c:v>
                </c:pt>
                <c:pt idx="27">
                  <c:v>15214.61876342641</c:v>
                </c:pt>
                <c:pt idx="28">
                  <c:v>15227.189264064065</c:v>
                </c:pt>
                <c:pt idx="29">
                  <c:v>15239.543033482882</c:v>
                </c:pt>
                <c:pt idx="30">
                  <c:v>15251.690823280158</c:v>
                </c:pt>
                <c:pt idx="31">
                  <c:v>15263.642524509611</c:v>
                </c:pt>
                <c:pt idx="32">
                  <c:v>15275.407261127853</c:v>
                </c:pt>
                <c:pt idx="33">
                  <c:v>15286.993470785532</c:v>
                </c:pt>
                <c:pt idx="34">
                  <c:v>15298.408974996779</c:v>
                </c:pt>
                <c:pt idx="35">
                  <c:v>15309.66104034556</c:v>
                </c:pt>
                <c:pt idx="36">
                  <c:v>15320.756432089704</c:v>
                </c:pt>
                <c:pt idx="37">
                  <c:v>15331.701461285826</c:v>
                </c:pt>
                <c:pt idx="38">
                  <c:v>15342.50202636734</c:v>
                </c:pt>
                <c:pt idx="39">
                  <c:v>15353.163649953269</c:v>
                </c:pt>
                <c:pt idx="40">
                  <c:v>15363.691511539932</c:v>
                </c:pt>
              </c:numCache>
            </c:numRef>
          </c:val>
        </c:ser>
        <c:ser>
          <c:idx val="39"/>
          <c:order val="3"/>
          <c:tx>
            <c:strRef>
              <c:f>PortfolioDashboard!$BW$3</c:f>
              <c:strCache>
                <c:ptCount val="1"/>
                <c:pt idx="0">
                  <c:v>Scope 3 - Air</c:v>
                </c:pt>
              </c:strCache>
            </c:strRef>
          </c:tx>
          <c:spPr>
            <a:solidFill>
              <a:schemeClr val="bg1">
                <a:lumMod val="75000"/>
              </a:schemeClr>
            </a:solidFill>
            <a:ln>
              <a:solidFill>
                <a:sysClr val="windowText" lastClr="000000"/>
              </a:solidFill>
            </a:ln>
          </c:spPr>
          <c:dLbls>
            <c:dLbl>
              <c:idx val="0"/>
              <c:layout>
                <c:manualLayout>
                  <c:x val="0.12444961910249031"/>
                  <c:y val="4.1279669762641878E-3"/>
                </c:manualLayout>
              </c:layout>
              <c:showSerName val="1"/>
            </c:dLbl>
            <c:spPr>
              <a:ln>
                <a:noFill/>
              </a:ln>
            </c:spPr>
            <c:showSerName val="1"/>
          </c:dLbls>
          <c:val>
            <c:numRef>
              <c:f>PortfolioDashboard!$BW$9:$BW$49</c:f>
              <c:numCache>
                <c:formatCode>#,##0</c:formatCode>
                <c:ptCount val="41"/>
                <c:pt idx="0">
                  <c:v>45441.480365382726</c:v>
                </c:pt>
                <c:pt idx="1">
                  <c:v>45712.571212049814</c:v>
                </c:pt>
                <c:pt idx="2">
                  <c:v>46029.605289521925</c:v>
                </c:pt>
                <c:pt idx="3">
                  <c:v>46165.661177061251</c:v>
                </c:pt>
                <c:pt idx="4">
                  <c:v>46230.491546234407</c:v>
                </c:pt>
                <c:pt idx="5">
                  <c:v>46458.092695257648</c:v>
                </c:pt>
                <c:pt idx="6">
                  <c:v>46512.756424039675</c:v>
                </c:pt>
                <c:pt idx="7">
                  <c:v>46563.894623993889</c:v>
                </c:pt>
                <c:pt idx="8">
                  <c:v>46612.122221914789</c:v>
                </c:pt>
                <c:pt idx="9">
                  <c:v>46657.888419552095</c:v>
                </c:pt>
                <c:pt idx="10">
                  <c:v>46701.533474005897</c:v>
                </c:pt>
                <c:pt idx="11">
                  <c:v>46743.322637082791</c:v>
                </c:pt>
                <c:pt idx="12">
                  <c:v>46949.40885687813</c:v>
                </c:pt>
                <c:pt idx="13">
                  <c:v>47154.221611206187</c:v>
                </c:pt>
                <c:pt idx="14">
                  <c:v>47357.895167910261</c:v>
                </c:pt>
                <c:pt idx="15">
                  <c:v>47560.541738260363</c:v>
                </c:pt>
                <c:pt idx="16">
                  <c:v>47762.256239061331</c:v>
                </c:pt>
                <c:pt idx="17">
                  <c:v>47963.119809125696</c:v>
                </c:pt>
                <c:pt idx="18">
                  <c:v>48163.202456604762</c:v>
                </c:pt>
                <c:pt idx="19">
                  <c:v>48362.565086148868</c:v>
                </c:pt>
                <c:pt idx="20">
                  <c:v>48561.261074730137</c:v>
                </c:pt>
                <c:pt idx="21">
                  <c:v>48759.337513188191</c:v>
                </c:pt>
                <c:pt idx="22">
                  <c:v>48956.836196285862</c:v>
                </c:pt>
                <c:pt idx="23">
                  <c:v>49153.794420869657</c:v>
                </c:pt>
                <c:pt idx="24">
                  <c:v>49350.245635725681</c:v>
                </c:pt>
                <c:pt idx="25">
                  <c:v>49546.219975481799</c:v>
                </c:pt>
                <c:pt idx="26">
                  <c:v>49741.744702883487</c:v>
                </c:pt>
                <c:pt idx="27">
                  <c:v>44683.781774261777</c:v>
                </c:pt>
                <c:pt idx="28">
                  <c:v>37782.609902846038</c:v>
                </c:pt>
                <c:pt idx="29">
                  <c:v>30881.646654224431</c:v>
                </c:pt>
                <c:pt idx="30">
                  <c:v>23980.881697689918</c:v>
                </c:pt>
                <c:pt idx="31">
                  <c:v>17080.305527896686</c:v>
                </c:pt>
                <c:pt idx="32">
                  <c:v>10179.909375396674</c:v>
                </c:pt>
                <c:pt idx="33">
                  <c:v>3279.685129269521</c:v>
                </c:pt>
                <c:pt idx="34">
                  <c:v>0</c:v>
                </c:pt>
                <c:pt idx="35">
                  <c:v>0</c:v>
                </c:pt>
                <c:pt idx="36">
                  <c:v>0</c:v>
                </c:pt>
                <c:pt idx="37">
                  <c:v>0</c:v>
                </c:pt>
                <c:pt idx="38">
                  <c:v>0</c:v>
                </c:pt>
                <c:pt idx="39">
                  <c:v>0</c:v>
                </c:pt>
                <c:pt idx="40">
                  <c:v>0</c:v>
                </c:pt>
              </c:numCache>
            </c:numRef>
          </c:val>
        </c:ser>
        <c:ser>
          <c:idx val="38"/>
          <c:order val="4"/>
          <c:tx>
            <c:strRef>
              <c:f>PortfolioDashboard!$BV$3</c:f>
              <c:strCache>
                <c:ptCount val="1"/>
                <c:pt idx="0">
                  <c:v>Remaining Scope 2</c:v>
                </c:pt>
              </c:strCache>
            </c:strRef>
          </c:tx>
          <c:spPr>
            <a:solidFill>
              <a:schemeClr val="bg1">
                <a:lumMod val="65000"/>
              </a:schemeClr>
            </a:solidFill>
            <a:ln>
              <a:solidFill>
                <a:sysClr val="windowText" lastClr="000000"/>
              </a:solidFill>
            </a:ln>
          </c:spPr>
          <c:dLbls>
            <c:dLbl>
              <c:idx val="0"/>
              <c:layout>
                <c:manualLayout>
                  <c:x val="-0.16977658280519814"/>
                  <c:y val="-8.255933952528386E-3"/>
                </c:manualLayout>
              </c:layout>
              <c:showSerName val="1"/>
            </c:dLbl>
            <c:showSerName val="1"/>
          </c:dLbls>
          <c:val>
            <c:numRef>
              <c:f>PortfolioDashboard!$BV$9:$BV$49</c:f>
              <c:numCache>
                <c:formatCode>#,##0</c:formatCode>
                <c:ptCount val="41"/>
                <c:pt idx="0">
                  <c:v>183365.5656504092</c:v>
                </c:pt>
                <c:pt idx="1">
                  <c:v>178721.26665535814</c:v>
                </c:pt>
                <c:pt idx="2">
                  <c:v>170282.56913104199</c:v>
                </c:pt>
                <c:pt idx="3">
                  <c:v>164101.01801120711</c:v>
                </c:pt>
                <c:pt idx="4">
                  <c:v>157156.84733727766</c:v>
                </c:pt>
                <c:pt idx="5">
                  <c:v>135408.05633511263</c:v>
                </c:pt>
                <c:pt idx="6">
                  <c:v>132389.04575446676</c:v>
                </c:pt>
                <c:pt idx="7">
                  <c:v>129983.18111575692</c:v>
                </c:pt>
                <c:pt idx="8">
                  <c:v>127667.9300554239</c:v>
                </c:pt>
                <c:pt idx="9">
                  <c:v>122304.65820543375</c:v>
                </c:pt>
                <c:pt idx="10">
                  <c:v>115351.95453495551</c:v>
                </c:pt>
                <c:pt idx="11">
                  <c:v>108401.99735435854</c:v>
                </c:pt>
                <c:pt idx="12">
                  <c:v>101288.5249828127</c:v>
                </c:pt>
                <c:pt idx="13">
                  <c:v>94177.019675065239</c:v>
                </c:pt>
                <c:pt idx="14">
                  <c:v>87067.274344979276</c:v>
                </c:pt>
                <c:pt idx="15">
                  <c:v>79959.115873524264</c:v>
                </c:pt>
                <c:pt idx="16">
                  <c:v>72852.397786285204</c:v>
                </c:pt>
                <c:pt idx="17">
                  <c:v>65746.994843411012</c:v>
                </c:pt>
                <c:pt idx="18">
                  <c:v>58642.798964851434</c:v>
                </c:pt>
                <c:pt idx="19">
                  <c:v>51539.716108917375</c:v>
                </c:pt>
                <c:pt idx="20">
                  <c:v>44437.663844974712</c:v>
                </c:pt>
                <c:pt idx="21">
                  <c:v>37336.569440455612</c:v>
                </c:pt>
                <c:pt idx="22">
                  <c:v>30236.368334957428</c:v>
                </c:pt>
                <c:pt idx="23">
                  <c:v>23137.002909798292</c:v>
                </c:pt>
                <c:pt idx="24">
                  <c:v>16038.421485982864</c:v>
                </c:pt>
                <c:pt idx="25">
                  <c:v>8940.5775007999619</c:v>
                </c:pt>
                <c:pt idx="26">
                  <c:v>1843.4288256079599</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4"/>
          <c:order val="5"/>
          <c:tx>
            <c:strRef>
              <c:f>PortfolioDashboard!$BU$3</c:f>
              <c:strCache>
                <c:ptCount val="1"/>
                <c:pt idx="0">
                  <c:v>Remaining Scope 1</c:v>
                </c:pt>
              </c:strCache>
            </c:strRef>
          </c:tx>
          <c:spPr>
            <a:solidFill>
              <a:schemeClr val="bg1">
                <a:lumMod val="50000"/>
              </a:schemeClr>
            </a:solidFill>
            <a:ln>
              <a:solidFill>
                <a:schemeClr val="tx1"/>
              </a:solidFill>
            </a:ln>
          </c:spPr>
          <c:dLbls>
            <c:dLbl>
              <c:idx val="0"/>
              <c:layout>
                <c:manualLayout>
                  <c:x val="0.32477642276422786"/>
                  <c:y val="0.1651186790505676"/>
                </c:manualLayout>
              </c:layout>
              <c:showSerName val="1"/>
            </c:dLbl>
            <c:showSerName val="1"/>
          </c:dLbls>
          <c:val>
            <c:numRef>
              <c:f>PortfolioDashboard!$BU$9:$BU$49</c:f>
              <c:numCache>
                <c:formatCode>#,##0</c:formatCode>
                <c:ptCount val="41"/>
                <c:pt idx="0">
                  <c:v>19403.967151784022</c:v>
                </c:pt>
                <c:pt idx="1">
                  <c:v>19635.559920844986</c:v>
                </c:pt>
                <c:pt idx="2">
                  <c:v>20175.606093442471</c:v>
                </c:pt>
                <c:pt idx="3">
                  <c:v>20490.793479463464</c:v>
                </c:pt>
                <c:pt idx="4">
                  <c:v>20721.600734731339</c:v>
                </c:pt>
                <c:pt idx="5">
                  <c:v>21176.94694453691</c:v>
                </c:pt>
                <c:pt idx="6">
                  <c:v>21407.578677725378</c:v>
                </c:pt>
                <c:pt idx="7">
                  <c:v>21638.150505990383</c:v>
                </c:pt>
                <c:pt idx="8">
                  <c:v>21868.673377042745</c:v>
                </c:pt>
                <c:pt idx="9">
                  <c:v>22099.155261844102</c:v>
                </c:pt>
                <c:pt idx="10">
                  <c:v>22329.602177826593</c:v>
                </c:pt>
                <c:pt idx="11">
                  <c:v>22560.018799936457</c:v>
                </c:pt>
                <c:pt idx="12">
                  <c:v>22790.408845913007</c:v>
                </c:pt>
                <c:pt idx="13">
                  <c:v>23020.77533008498</c:v>
                </c:pt>
                <c:pt idx="14">
                  <c:v>23251.120736691468</c:v>
                </c:pt>
                <c:pt idx="15">
                  <c:v>23481.447141878285</c:v>
                </c:pt>
                <c:pt idx="16">
                  <c:v>23711.756301807087</c:v>
                </c:pt>
                <c:pt idx="17">
                  <c:v>23942.049717717506</c:v>
                </c:pt>
                <c:pt idx="18">
                  <c:v>24172.328684908407</c:v>
                </c:pt>
                <c:pt idx="19">
                  <c:v>24402.594330244665</c:v>
                </c:pt>
                <c:pt idx="20">
                  <c:v>24632.847641313125</c:v>
                </c:pt>
                <c:pt idx="21">
                  <c:v>24863.08948939394</c:v>
                </c:pt>
                <c:pt idx="22">
                  <c:v>25093.320647778608</c:v>
                </c:pt>
                <c:pt idx="23">
                  <c:v>25323.541806537673</c:v>
                </c:pt>
                <c:pt idx="24">
                  <c:v>25553.75358454444</c:v>
                </c:pt>
                <c:pt idx="25">
                  <c:v>25783.956539353247</c:v>
                </c:pt>
                <c:pt idx="26">
                  <c:v>26014.151175382554</c:v>
                </c:pt>
                <c:pt idx="27">
                  <c:v>26244.337950745237</c:v>
                </c:pt>
                <c:pt idx="28">
                  <c:v>26474.517282989938</c:v>
                </c:pt>
                <c:pt idx="29">
                  <c:v>26704.689553958251</c:v>
                </c:pt>
                <c:pt idx="30">
                  <c:v>26934.85511391886</c:v>
                </c:pt>
                <c:pt idx="31">
                  <c:v>27165.014285105874</c:v>
                </c:pt>
                <c:pt idx="32">
                  <c:v>27395.167364763012</c:v>
                </c:pt>
                <c:pt idx="33">
                  <c:v>27625.314627775704</c:v>
                </c:pt>
                <c:pt idx="34">
                  <c:v>27855.456328956927</c:v>
                </c:pt>
                <c:pt idx="35">
                  <c:v>28085.592705041225</c:v>
                </c:pt>
                <c:pt idx="36">
                  <c:v>28315.723976430982</c:v>
                </c:pt>
                <c:pt idx="37">
                  <c:v>28545.850348731648</c:v>
                </c:pt>
                <c:pt idx="38">
                  <c:v>28775.972014106253</c:v>
                </c:pt>
                <c:pt idx="39">
                  <c:v>29006.089152474538</c:v>
                </c:pt>
                <c:pt idx="40">
                  <c:v>29236.201932578002</c:v>
                </c:pt>
              </c:numCache>
            </c:numRef>
          </c:val>
        </c:ser>
        <c:ser>
          <c:idx val="6"/>
          <c:order val="6"/>
          <c:tx>
            <c:strRef>
              <c:f>PortfolioDashboard!$BZ$3</c:f>
              <c:strCache>
                <c:ptCount val="1"/>
                <c:pt idx="0">
                  <c:v>Air Travel Offset Program</c:v>
                </c:pt>
              </c:strCache>
            </c:strRef>
          </c:tx>
          <c:spPr>
            <a:solidFill>
              <a:schemeClr val="tx2">
                <a:lumMod val="20000"/>
                <a:lumOff val="80000"/>
              </a:schemeClr>
            </a:solidFill>
            <a:ln>
              <a:solidFill>
                <a:sysClr val="windowText" lastClr="000000"/>
              </a:solidFill>
            </a:ln>
          </c:spPr>
          <c:dLbls>
            <c:dLbl>
              <c:idx val="0"/>
              <c:layout>
                <c:manualLayout>
                  <c:x val="0.33536585365853672"/>
                  <c:y val="0.11145510835913311"/>
                </c:manualLayout>
              </c:layout>
              <c:showSerName val="1"/>
            </c:dLbl>
            <c:showSerName val="1"/>
          </c:dLbls>
          <c:val>
            <c:numRef>
              <c:f>PortfolioDashboard!$BZ$9:$BZ$49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5253.062803697132</c:v>
                </c:pt>
                <c:pt idx="28">
                  <c:v>12348.932265477895</c:v>
                </c:pt>
                <c:pt idx="29">
                  <c:v>19444.21145748152</c:v>
                </c:pt>
                <c:pt idx="30">
                  <c:v>26538.929641693074</c:v>
                </c:pt>
                <c:pt idx="31">
                  <c:v>33633.113739526132</c:v>
                </c:pt>
                <c:pt idx="32">
                  <c:v>40726.78858582204</c:v>
                </c:pt>
                <c:pt idx="33">
                  <c:v>47819.977148472739</c:v>
                </c:pt>
                <c:pt idx="34">
                  <c:v>51292.325989094141</c:v>
                </c:pt>
                <c:pt idx="35">
                  <c:v>51484.70189027334</c:v>
                </c:pt>
                <c:pt idx="36">
                  <c:v>51676.801893560492</c:v>
                </c:pt>
                <c:pt idx="37">
                  <c:v>51868.637111493103</c:v>
                </c:pt>
                <c:pt idx="38">
                  <c:v>52060.217930074316</c:v>
                </c:pt>
                <c:pt idx="39">
                  <c:v>52251.554073584142</c:v>
                </c:pt>
                <c:pt idx="40">
                  <c:v>52442.654662141533</c:v>
                </c:pt>
              </c:numCache>
            </c:numRef>
          </c:val>
        </c:ser>
        <c:ser>
          <c:idx val="3"/>
          <c:order val="7"/>
          <c:tx>
            <c:strRef>
              <c:f>PortfolioDashboard!$CA$3</c:f>
              <c:strCache>
                <c:ptCount val="1"/>
                <c:pt idx="0">
                  <c:v>GHG Neutral Fuel Strategy @ MCCo</c:v>
                </c:pt>
              </c:strCache>
            </c:strRef>
          </c:tx>
          <c:spPr>
            <a:solidFill>
              <a:schemeClr val="tx2">
                <a:lumMod val="40000"/>
                <a:lumOff val="60000"/>
              </a:schemeClr>
            </a:solidFill>
            <a:ln>
              <a:solidFill>
                <a:sysClr val="windowText" lastClr="000000"/>
              </a:solidFill>
            </a:ln>
          </c:spPr>
          <c:dLbls>
            <c:dLbl>
              <c:idx val="0"/>
              <c:layout>
                <c:manualLayout>
                  <c:x val="0.25609756097560982"/>
                  <c:y val="3.7151702786377652E-2"/>
                </c:manualLayout>
              </c:layout>
              <c:showSerName val="1"/>
            </c:dLbl>
            <c:showSerName val="1"/>
          </c:dLbls>
          <c:val>
            <c:numRef>
              <c:f>PortfolioDashboard!$CA$9:$CA$49</c:f>
              <c:numCache>
                <c:formatCode>#,##0</c:formatCode>
                <c:ptCount val="41"/>
                <c:pt idx="0">
                  <c:v>0</c:v>
                </c:pt>
                <c:pt idx="1">
                  <c:v>1350.5557363123808</c:v>
                </c:pt>
                <c:pt idx="2">
                  <c:v>0</c:v>
                </c:pt>
                <c:pt idx="3">
                  <c:v>406.49943653674563</c:v>
                </c:pt>
                <c:pt idx="4">
                  <c:v>361.31646908793482</c:v>
                </c:pt>
                <c:pt idx="5">
                  <c:v>0</c:v>
                </c:pt>
                <c:pt idx="6">
                  <c:v>0</c:v>
                </c:pt>
                <c:pt idx="7">
                  <c:v>0</c:v>
                </c:pt>
                <c:pt idx="8">
                  <c:v>0</c:v>
                </c:pt>
                <c:pt idx="9">
                  <c:v>3053.4732802440121</c:v>
                </c:pt>
                <c:pt idx="10">
                  <c:v>7701.8766387166106</c:v>
                </c:pt>
                <c:pt idx="11">
                  <c:v>12353.075613676803</c:v>
                </c:pt>
                <c:pt idx="12">
                  <c:v>17173.373915544042</c:v>
                </c:pt>
                <c:pt idx="13">
                  <c:v>22315.242118714785</c:v>
                </c:pt>
                <c:pt idx="14">
                  <c:v>28070.428458774579</c:v>
                </c:pt>
                <c:pt idx="15">
                  <c:v>33823.141282971716</c:v>
                </c:pt>
                <c:pt idx="16">
                  <c:v>39573.553553784615</c:v>
                </c:pt>
                <c:pt idx="17">
                  <c:v>45321.815954455407</c:v>
                </c:pt>
                <c:pt idx="18">
                  <c:v>51068.061014752137</c:v>
                </c:pt>
                <c:pt idx="19">
                  <c:v>56812.406280447613</c:v>
                </c:pt>
                <c:pt idx="20">
                  <c:v>62554.956785905961</c:v>
                </c:pt>
                <c:pt idx="21">
                  <c:v>68346.459678382729</c:v>
                </c:pt>
                <c:pt idx="22">
                  <c:v>74136.347778393538</c:v>
                </c:pt>
                <c:pt idx="23">
                  <c:v>79924.698854030255</c:v>
                </c:pt>
                <c:pt idx="24">
                  <c:v>86710.347531049047</c:v>
                </c:pt>
                <c:pt idx="25">
                  <c:v>93494.595528069534</c:v>
                </c:pt>
                <c:pt idx="26">
                  <c:v>100277.50299308344</c:v>
                </c:pt>
                <c:pt idx="27">
                  <c:v>101806.06275895832</c:v>
                </c:pt>
                <c:pt idx="28">
                  <c:v>101490.58260401228</c:v>
                </c:pt>
                <c:pt idx="29">
                  <c:v>101174.50751732543</c:v>
                </c:pt>
                <c:pt idx="30">
                  <c:v>100857.85309731975</c:v>
                </c:pt>
                <c:pt idx="31">
                  <c:v>100540.63440184505</c:v>
                </c:pt>
                <c:pt idx="32">
                  <c:v>100222.86597139464</c:v>
                </c:pt>
                <c:pt idx="33">
                  <c:v>99904.561851135746</c:v>
                </c:pt>
                <c:pt idx="34">
                  <c:v>99585.735611822718</c:v>
                </c:pt>
                <c:pt idx="35">
                  <c:v>99266.400369660434</c:v>
                </c:pt>
                <c:pt idx="36">
                  <c:v>98946.568805177259</c:v>
                </c:pt>
                <c:pt idx="37">
                  <c:v>98626.253181165666</c:v>
                </c:pt>
                <c:pt idx="38">
                  <c:v>98305.465359743946</c:v>
                </c:pt>
                <c:pt idx="39">
                  <c:v>97984.216818587709</c:v>
                </c:pt>
                <c:pt idx="40">
                  <c:v>97662.518666379561</c:v>
                </c:pt>
              </c:numCache>
            </c:numRef>
          </c:val>
        </c:ser>
        <c:ser>
          <c:idx val="0"/>
          <c:order val="8"/>
          <c:tx>
            <c:strRef>
              <c:f>PortfolioDashboard!$CB$3</c:f>
              <c:strCache>
                <c:ptCount val="1"/>
                <c:pt idx="0">
                  <c:v>w/ Combined Heat &amp; Power</c:v>
                </c:pt>
              </c:strCache>
            </c:strRef>
          </c:tx>
          <c:spPr>
            <a:solidFill>
              <a:schemeClr val="accent1">
                <a:lumMod val="40000"/>
                <a:lumOff val="60000"/>
              </a:schemeClr>
            </a:solidFill>
            <a:ln>
              <a:solidFill>
                <a:sysClr val="windowText" lastClr="000000"/>
              </a:solidFill>
            </a:ln>
          </c:spPr>
          <c:dLbls>
            <c:dLbl>
              <c:idx val="0"/>
              <c:layout>
                <c:manualLayout>
                  <c:x val="0.32266325224071701"/>
                  <c:y val="0"/>
                </c:manualLayout>
              </c:layout>
              <c:showSerName val="1"/>
            </c:dLbl>
            <c:showSerName val="1"/>
          </c:dLbls>
          <c:val>
            <c:numRef>
              <c:f>PortfolioDashboard!$CB$9:$CB$49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5"/>
          <c:order val="9"/>
          <c:tx>
            <c:strRef>
              <c:f>PortfolioDashboard!$BY$3</c:f>
              <c:strCache>
                <c:ptCount val="1"/>
                <c:pt idx="0">
                  <c:v>Base Portfolio</c:v>
                </c:pt>
              </c:strCache>
            </c:strRef>
          </c:tx>
          <c:spPr>
            <a:solidFill>
              <a:schemeClr val="tx2">
                <a:lumMod val="60000"/>
                <a:lumOff val="40000"/>
              </a:schemeClr>
            </a:solidFill>
            <a:ln>
              <a:solidFill>
                <a:sysClr val="windowText" lastClr="000000"/>
              </a:solidFill>
            </a:ln>
          </c:spPr>
          <c:dLbls>
            <c:dLbl>
              <c:idx val="0"/>
              <c:layout>
                <c:manualLayout>
                  <c:x val="0.31412718736662415"/>
                  <c:y val="-4.9535603715170295E-2"/>
                </c:manualLayout>
              </c:layout>
              <c:showSerName val="1"/>
            </c:dLbl>
            <c:showSerName val="1"/>
          </c:dLbls>
          <c:val>
            <c:numRef>
              <c:f>PortfolioDashboard!$BY$9:$BY$49</c:f>
              <c:numCache>
                <c:formatCode>#,##0</c:formatCode>
                <c:ptCount val="41"/>
                <c:pt idx="0">
                  <c:v>2011.5286795204174</c:v>
                </c:pt>
                <c:pt idx="1">
                  <c:v>8240.918833289441</c:v>
                </c:pt>
                <c:pt idx="2">
                  <c:v>23661.368966726499</c:v>
                </c:pt>
                <c:pt idx="3">
                  <c:v>32848.491687690854</c:v>
                </c:pt>
                <c:pt idx="4">
                  <c:v>42417.97899412267</c:v>
                </c:pt>
                <c:pt idx="5">
                  <c:v>69327.998279521635</c:v>
                </c:pt>
                <c:pt idx="6">
                  <c:v>75211.800571449174</c:v>
                </c:pt>
                <c:pt idx="7">
                  <c:v>80157.977268422153</c:v>
                </c:pt>
                <c:pt idx="8">
                  <c:v>85013.698909405837</c:v>
                </c:pt>
                <c:pt idx="9">
                  <c:v>89864.127225886827</c:v>
                </c:pt>
                <c:pt idx="10">
                  <c:v>94709.215356333603</c:v>
                </c:pt>
                <c:pt idx="11">
                  <c:v>99548.917436925753</c:v>
                </c:pt>
                <c:pt idx="12">
                  <c:v>104217.24766499028</c:v>
                </c:pt>
                <c:pt idx="13">
                  <c:v>108561.99322438035</c:v>
                </c:pt>
                <c:pt idx="14">
                  <c:v>112291.61830915957</c:v>
                </c:pt>
                <c:pt idx="15">
                  <c:v>116022.09210519702</c:v>
                </c:pt>
                <c:pt idx="16">
                  <c:v>119753.391820918</c:v>
                </c:pt>
                <c:pt idx="17">
                  <c:v>123485.49514531913</c:v>
                </c:pt>
                <c:pt idx="18">
                  <c:v>127218.38031065046</c:v>
                </c:pt>
                <c:pt idx="19">
                  <c:v>130952.02613018424</c:v>
                </c:pt>
                <c:pt idx="20">
                  <c:v>134686.41201879727</c:v>
                </c:pt>
                <c:pt idx="21">
                  <c:v>138370.86533296714</c:v>
                </c:pt>
                <c:pt idx="22">
                  <c:v>142056.01937680715</c:v>
                </c:pt>
                <c:pt idx="23">
                  <c:v>145741.85539054943</c:v>
                </c:pt>
                <c:pt idx="24">
                  <c:v>148429.59166861756</c:v>
                </c:pt>
                <c:pt idx="25">
                  <c:v>151117.97416913341</c:v>
                </c:pt>
                <c:pt idx="26">
                  <c:v>153806.98587714904</c:v>
                </c:pt>
                <c:pt idx="27">
                  <c:v>156496.61032951472</c:v>
                </c:pt>
                <c:pt idx="28">
                  <c:v>159186.83159825671</c:v>
                </c:pt>
                <c:pt idx="29">
                  <c:v>161877.63427355047</c:v>
                </c:pt>
                <c:pt idx="30">
                  <c:v>164569.00344655829</c:v>
                </c:pt>
                <c:pt idx="31">
                  <c:v>167260.92469232698</c:v>
                </c:pt>
                <c:pt idx="32">
                  <c:v>169953.3840528896</c:v>
                </c:pt>
                <c:pt idx="33">
                  <c:v>172646.36802067622</c:v>
                </c:pt>
                <c:pt idx="34">
                  <c:v>175339.86352230777</c:v>
                </c:pt>
                <c:pt idx="35">
                  <c:v>178033.85790282438</c:v>
                </c:pt>
                <c:pt idx="36">
                  <c:v>180728.3389103837</c:v>
                </c:pt>
                <c:pt idx="37">
                  <c:v>183423.29468144994</c:v>
                </c:pt>
                <c:pt idx="38">
                  <c:v>186118.71372648652</c:v>
                </c:pt>
                <c:pt idx="39">
                  <c:v>188814.58491615363</c:v>
                </c:pt>
                <c:pt idx="40">
                  <c:v>191510.89746801331</c:v>
                </c:pt>
              </c:numCache>
            </c:numRef>
          </c:val>
        </c:ser>
        <c:axId val="95191424"/>
        <c:axId val="95194112"/>
      </c:areaChart>
      <c:lineChart>
        <c:grouping val="standard"/>
        <c:ser>
          <c:idx val="2"/>
          <c:order val="0"/>
          <c:tx>
            <c:strRef>
              <c:f>PortfolioDashboard!$AC$3</c:f>
              <c:strCache>
                <c:ptCount val="1"/>
                <c:pt idx="0">
                  <c:v>Neutrality by 2050</c:v>
                </c:pt>
              </c:strCache>
            </c:strRef>
          </c:tx>
          <c:spPr>
            <a:ln>
              <a:solidFill>
                <a:sysClr val="windowText" lastClr="000000"/>
              </a:solidFill>
              <a:prstDash val="sysDash"/>
            </a:ln>
          </c:spPr>
          <c:marker>
            <c:symbol val="none"/>
          </c:marker>
          <c:cat>
            <c:numRef>
              <c:f>PortfolioDashboard!$AA$9:$AA$49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PortfolioDashboard!$AC$9:$AC$49</c:f>
              <c:numCache>
                <c:formatCode>#,##0</c:formatCode>
                <c:ptCount val="41"/>
                <c:pt idx="0">
                  <c:v>266371.49010856845</c:v>
                </c:pt>
                <c:pt idx="1">
                  <c:v>259712.20285585424</c:v>
                </c:pt>
                <c:pt idx="2">
                  <c:v>253052.91560314002</c:v>
                </c:pt>
                <c:pt idx="3">
                  <c:v>246393.6283504258</c:v>
                </c:pt>
                <c:pt idx="4">
                  <c:v>239734.34109771159</c:v>
                </c:pt>
                <c:pt idx="5">
                  <c:v>233075.05384499737</c:v>
                </c:pt>
                <c:pt idx="6">
                  <c:v>226415.76659228315</c:v>
                </c:pt>
                <c:pt idx="7">
                  <c:v>219756.47933956893</c:v>
                </c:pt>
                <c:pt idx="8">
                  <c:v>213097.19208685472</c:v>
                </c:pt>
                <c:pt idx="9">
                  <c:v>206437.9048341405</c:v>
                </c:pt>
                <c:pt idx="10">
                  <c:v>199778.61758142628</c:v>
                </c:pt>
                <c:pt idx="11">
                  <c:v>193119.33032871207</c:v>
                </c:pt>
                <c:pt idx="12">
                  <c:v>186460.04307599785</c:v>
                </c:pt>
                <c:pt idx="13">
                  <c:v>179800.75582328363</c:v>
                </c:pt>
                <c:pt idx="14">
                  <c:v>173141.46857056941</c:v>
                </c:pt>
                <c:pt idx="15">
                  <c:v>166482.1813178552</c:v>
                </c:pt>
                <c:pt idx="16">
                  <c:v>159822.89406514098</c:v>
                </c:pt>
                <c:pt idx="17">
                  <c:v>153163.60681242676</c:v>
                </c:pt>
                <c:pt idx="18">
                  <c:v>146504.31955971255</c:v>
                </c:pt>
                <c:pt idx="19">
                  <c:v>139845.03230699833</c:v>
                </c:pt>
                <c:pt idx="20">
                  <c:v>133185.74505428411</c:v>
                </c:pt>
                <c:pt idx="21">
                  <c:v>126526.45780156989</c:v>
                </c:pt>
                <c:pt idx="22">
                  <c:v>119867.17054885568</c:v>
                </c:pt>
                <c:pt idx="23">
                  <c:v>113207.88329614146</c:v>
                </c:pt>
                <c:pt idx="24">
                  <c:v>106548.59604342724</c:v>
                </c:pt>
                <c:pt idx="25">
                  <c:v>99889.308790713025</c:v>
                </c:pt>
                <c:pt idx="26">
                  <c:v>93230.021537998808</c:v>
                </c:pt>
                <c:pt idx="27">
                  <c:v>86570.73428528459</c:v>
                </c:pt>
                <c:pt idx="28">
                  <c:v>79911.447032570373</c:v>
                </c:pt>
                <c:pt idx="29">
                  <c:v>73252.159779856156</c:v>
                </c:pt>
                <c:pt idx="30">
                  <c:v>66592.872527141939</c:v>
                </c:pt>
                <c:pt idx="31">
                  <c:v>59933.585274427729</c:v>
                </c:pt>
                <c:pt idx="32">
                  <c:v>53274.298021713519</c:v>
                </c:pt>
                <c:pt idx="33">
                  <c:v>46615.010768999309</c:v>
                </c:pt>
                <c:pt idx="34">
                  <c:v>39955.723516285099</c:v>
                </c:pt>
                <c:pt idx="35">
                  <c:v>33296.436263570889</c:v>
                </c:pt>
                <c:pt idx="36">
                  <c:v>26637.14901085668</c:v>
                </c:pt>
                <c:pt idx="37">
                  <c:v>19977.86175814247</c:v>
                </c:pt>
                <c:pt idx="38">
                  <c:v>13318.574505428258</c:v>
                </c:pt>
                <c:pt idx="39">
                  <c:v>6659.2872527140462</c:v>
                </c:pt>
                <c:pt idx="40">
                  <c:v>0</c:v>
                </c:pt>
              </c:numCache>
            </c:numRef>
          </c:val>
        </c:ser>
        <c:ser>
          <c:idx val="1"/>
          <c:order val="1"/>
          <c:tx>
            <c:strRef>
              <c:f>PortfolioDashboard!$AB$3</c:f>
              <c:strCache>
                <c:ptCount val="1"/>
                <c:pt idx="0">
                  <c:v>Business As Usual (No Grid Footprint Change)</c:v>
                </c:pt>
              </c:strCache>
            </c:strRef>
          </c:tx>
          <c:spPr>
            <a:ln>
              <a:solidFill>
                <a:sysClr val="windowText" lastClr="000000"/>
              </a:solidFill>
            </a:ln>
          </c:spPr>
          <c:marker>
            <c:symbol val="circle"/>
            <c:size val="5"/>
            <c:spPr>
              <a:solidFill>
                <a:srgbClr val="4F81BD"/>
              </a:solidFill>
              <a:ln w="25400">
                <a:solidFill>
                  <a:sysClr val="windowText" lastClr="000000"/>
                </a:solidFill>
              </a:ln>
            </c:spPr>
          </c:marker>
          <c:cat>
            <c:numRef>
              <c:f>PortfolioDashboard!$AA$9:$AA$49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PortfolioDashboard!$AB$9:$AB$49</c:f>
              <c:numCache>
                <c:formatCode>#,##0</c:formatCode>
                <c:ptCount val="41"/>
                <c:pt idx="0">
                  <c:v>266371.49010856845</c:v>
                </c:pt>
                <c:pt idx="1">
                  <c:v>269303.67742545606</c:v>
                </c:pt>
                <c:pt idx="2">
                  <c:v>275791.85529217363</c:v>
                </c:pt>
                <c:pt idx="3">
                  <c:v>279648.61947465339</c:v>
                </c:pt>
                <c:pt idx="4">
                  <c:v>282513.6365609222</c:v>
                </c:pt>
                <c:pt idx="5">
                  <c:v>287982.71814977459</c:v>
                </c:pt>
                <c:pt idx="6">
                  <c:v>290832.72619485745</c:v>
                </c:pt>
                <c:pt idx="7">
                  <c:v>293677.61173126666</c:v>
                </c:pt>
                <c:pt idx="8">
                  <c:v>296518.31091099617</c:v>
                </c:pt>
                <c:pt idx="9">
                  <c:v>299355.50534027134</c:v>
                </c:pt>
                <c:pt idx="10">
                  <c:v>302189.70957647648</c:v>
                </c:pt>
                <c:pt idx="11">
                  <c:v>305021.32337931462</c:v>
                </c:pt>
                <c:pt idx="12">
                  <c:v>307850.66465653217</c:v>
                </c:pt>
                <c:pt idx="13">
                  <c:v>310677.99116637878</c:v>
                </c:pt>
                <c:pt idx="14">
                  <c:v>313503.51533850358</c:v>
                </c:pt>
                <c:pt idx="15">
                  <c:v>316327.41470602393</c:v>
                </c:pt>
                <c:pt idx="16">
                  <c:v>319149.83943984361</c:v>
                </c:pt>
                <c:pt idx="17">
                  <c:v>321970.91791220132</c:v>
                </c:pt>
                <c:pt idx="18">
                  <c:v>324790.76088511513</c:v>
                </c:pt>
                <c:pt idx="19">
                  <c:v>327609.46471763018</c:v>
                </c:pt>
                <c:pt idx="20">
                  <c:v>330427.11385898734</c:v>
                </c:pt>
                <c:pt idx="21">
                  <c:v>333243.78281291976</c:v>
                </c:pt>
                <c:pt idx="22">
                  <c:v>336059.53770405636</c:v>
                </c:pt>
                <c:pt idx="23">
                  <c:v>338874.43754072115</c:v>
                </c:pt>
                <c:pt idx="24">
                  <c:v>341688.53524309385</c:v>
                </c:pt>
                <c:pt idx="25">
                  <c:v>344501.87848791596</c:v>
                </c:pt>
                <c:pt idx="26">
                  <c:v>347314.51040823129</c:v>
                </c:pt>
                <c:pt idx="27">
                  <c:v>350126.47017745476</c:v>
                </c:pt>
                <c:pt idx="28">
                  <c:v>352937.79350031726</c:v>
                </c:pt>
                <c:pt idx="29">
                  <c:v>355748.51302821358</c:v>
                </c:pt>
                <c:pt idx="30">
                  <c:v>358558.65871271305</c:v>
                </c:pt>
                <c:pt idx="31">
                  <c:v>361368.25810812588</c:v>
                </c:pt>
                <c:pt idx="32">
                  <c:v>364177.33663181978</c:v>
                </c:pt>
                <c:pt idx="33">
                  <c:v>366985.91778928402</c:v>
                </c:pt>
                <c:pt idx="34">
                  <c:v>369794.02336960268</c:v>
                </c:pt>
                <c:pt idx="35">
                  <c:v>372601.67361595959</c:v>
                </c:pt>
                <c:pt idx="36">
                  <c:v>375408.887374966</c:v>
                </c:pt>
                <c:pt idx="37">
                  <c:v>378215.68222793727</c:v>
                </c:pt>
                <c:pt idx="38">
                  <c:v>381022.07460672036</c:v>
                </c:pt>
                <c:pt idx="39">
                  <c:v>383828.07989623188</c:v>
                </c:pt>
                <c:pt idx="40">
                  <c:v>386633.71252553025</c:v>
                </c:pt>
              </c:numCache>
            </c:numRef>
          </c:val>
        </c:ser>
        <c:marker val="1"/>
        <c:axId val="95191424"/>
        <c:axId val="95194112"/>
      </c:lineChart>
      <c:catAx>
        <c:axId val="95191424"/>
        <c:scaling>
          <c:orientation val="minMax"/>
        </c:scaling>
        <c:axPos val="b"/>
        <c:tickLblPos val="nextTo"/>
        <c:crossAx val="95194112"/>
        <c:crosses val="autoZero"/>
        <c:auto val="1"/>
        <c:lblAlgn val="ctr"/>
        <c:lblOffset val="100"/>
        <c:tickLblSkip val="5"/>
        <c:tickMarkSkip val="5"/>
      </c:catAx>
      <c:valAx>
        <c:axId val="95194112"/>
        <c:scaling>
          <c:orientation val="minMax"/>
        </c:scaling>
        <c:axPos val="l"/>
        <c:majorGridlines/>
        <c:title>
          <c:tx>
            <c:rich>
              <a:bodyPr rot="-5400000" vert="horz"/>
              <a:lstStyle/>
              <a:p>
                <a:pPr>
                  <a:defRPr/>
                </a:pPr>
                <a:r>
                  <a:rPr lang="en-US"/>
                  <a:t>MTCO</a:t>
                </a:r>
                <a:r>
                  <a:rPr lang="en-US" baseline="-25000"/>
                  <a:t>2</a:t>
                </a:r>
                <a:r>
                  <a:rPr lang="en-US"/>
                  <a:t>e</a:t>
                </a:r>
              </a:p>
            </c:rich>
          </c:tx>
        </c:title>
        <c:numFmt formatCode="#,##0" sourceLinked="1"/>
        <c:tickLblPos val="nextTo"/>
        <c:crossAx val="95191424"/>
        <c:crosses val="autoZero"/>
        <c:crossBetween val="between"/>
      </c:valAx>
    </c:plotArea>
    <c:plotVisOnly val="1"/>
    <c:dispBlanksAs val="zero"/>
  </c:chart>
  <c:spPr>
    <a:ln>
      <a:solidFill>
        <a:sysClr val="windowText" lastClr="000000"/>
      </a:solidFill>
    </a:ln>
  </c:spPr>
  <c:printSettings>
    <c:headerFooter/>
    <c:pageMargins b="0.75000000000000977" l="0.70000000000000062" r="0.70000000000000062" t="0.750000000000009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style val="5"/>
  <c:chart>
    <c:title>
      <c:tx>
        <c:strRef>
          <c:f>PortfolioDashboard!$J$248</c:f>
          <c:strCache>
            <c:ptCount val="1"/>
            <c:pt idx="0">
              <c:v>Total Remaining Emissions in 2050: 194,000 MTCO2e</c:v>
            </c:pt>
          </c:strCache>
        </c:strRef>
      </c:tx>
      <c:txPr>
        <a:bodyPr/>
        <a:lstStyle/>
        <a:p>
          <a:pPr>
            <a:defRPr sz="1400"/>
          </a:pPr>
          <a:endParaRPr lang="en-US"/>
        </a:p>
      </c:txPr>
    </c:title>
    <c:plotArea>
      <c:layout/>
      <c:doughnutChart>
        <c:varyColors val="1"/>
        <c:ser>
          <c:idx val="0"/>
          <c:order val="0"/>
          <c:spPr>
            <a:ln>
              <a:solidFill>
                <a:sysClr val="windowText" lastClr="000000"/>
              </a:solidFill>
            </a:ln>
          </c:spPr>
          <c:dLbls>
            <c:txPr>
              <a:bodyPr rot="0"/>
              <a:lstStyle/>
              <a:p>
                <a:pPr>
                  <a:defRPr sz="1200"/>
                </a:pPr>
                <a:endParaRPr lang="en-US"/>
              </a:p>
            </c:txPr>
            <c:showVal val="1"/>
            <c:showCatName val="1"/>
            <c:showPercent val="1"/>
            <c:showLeaderLines val="1"/>
          </c:dLbls>
          <c:cat>
            <c:strRef>
              <c:f>PortfolioDashboard!$O$247:$O$250</c:f>
              <c:strCache>
                <c:ptCount val="4"/>
                <c:pt idx="0">
                  <c:v>Scope 1</c:v>
                </c:pt>
                <c:pt idx="1">
                  <c:v>Scope 2</c:v>
                </c:pt>
                <c:pt idx="2">
                  <c:v>Scope 3 - Commuting</c:v>
                </c:pt>
                <c:pt idx="3">
                  <c:v>Scope 3 - Air Travel</c:v>
                </c:pt>
              </c:strCache>
            </c:strRef>
          </c:cat>
          <c:val>
            <c:numRef>
              <c:f>PortfolioDashboard!$N$247:$N$250</c:f>
              <c:numCache>
                <c:formatCode>#,##0</c:formatCode>
                <c:ptCount val="4"/>
                <c:pt idx="0">
                  <c:v>29000</c:v>
                </c:pt>
                <c:pt idx="1">
                  <c:v>98000</c:v>
                </c:pt>
                <c:pt idx="2">
                  <c:v>15000</c:v>
                </c:pt>
                <c:pt idx="3">
                  <c:v>52000</c:v>
                </c:pt>
              </c:numCache>
            </c:numRef>
          </c:val>
        </c:ser>
        <c:firstSliceAng val="20"/>
        <c:holeSize val="36"/>
      </c:doughnutChart>
    </c:plotArea>
    <c:plotVisOnly val="1"/>
  </c:chart>
  <c:spPr>
    <a:ln>
      <a:noFill/>
    </a:ln>
  </c:sp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style val="5"/>
  <c:chart>
    <c:title>
      <c:tx>
        <c:strRef>
          <c:f>PortfolioDashboard!$J$248</c:f>
          <c:strCache>
            <c:ptCount val="1"/>
            <c:pt idx="0">
              <c:v>Total Remaining Emissions in 2050: 194,000 MTCO2e</c:v>
            </c:pt>
          </c:strCache>
        </c:strRef>
      </c:tx>
      <c:layout>
        <c:manualLayout>
          <c:xMode val="edge"/>
          <c:yMode val="edge"/>
          <c:x val="8.5263587145868125E-2"/>
          <c:y val="1.6293275538533387E-2"/>
        </c:manualLayout>
      </c:layout>
      <c:overlay val="1"/>
      <c:spPr>
        <a:solidFill>
          <a:schemeClr val="lt1"/>
        </a:solidFill>
        <a:ln w="25400" cap="flat" cmpd="sng" algn="ctr">
          <a:solidFill>
            <a:schemeClr val="dk1"/>
          </a:solidFill>
          <a:prstDash val="solid"/>
        </a:ln>
        <a:effectLst/>
      </c:spPr>
    </c:title>
    <c:plotArea>
      <c:layout/>
      <c:barChart>
        <c:barDir val="col"/>
        <c:grouping val="stacked"/>
        <c:ser>
          <c:idx val="2"/>
          <c:order val="0"/>
          <c:tx>
            <c:strRef>
              <c:f>PortfolioDashboard!$O$249</c:f>
              <c:strCache>
                <c:ptCount val="1"/>
                <c:pt idx="0">
                  <c:v>Scope 3 - Commuting</c:v>
                </c:pt>
              </c:strCache>
            </c:strRef>
          </c:tx>
          <c:spPr>
            <a:ln>
              <a:solidFill>
                <a:sysClr val="windowText" lastClr="000000"/>
              </a:solidFill>
            </a:ln>
          </c:spPr>
          <c:dLbls>
            <c:txPr>
              <a:bodyPr/>
              <a:lstStyle/>
              <a:p>
                <a:pPr>
                  <a:defRPr sz="1200"/>
                </a:pPr>
                <a:endParaRPr lang="en-US"/>
              </a:p>
            </c:txPr>
            <c:showVal val="1"/>
          </c:dLbls>
          <c:cat>
            <c:strRef>
              <c:f>PortfolioDashboard!$O$246</c:f>
              <c:strCache>
                <c:ptCount val="1"/>
                <c:pt idx="0">
                  <c:v>Remaining in 2050</c:v>
                </c:pt>
              </c:strCache>
            </c:strRef>
          </c:cat>
          <c:val>
            <c:numRef>
              <c:f>PortfolioDashboard!$N$249</c:f>
              <c:numCache>
                <c:formatCode>#,##0</c:formatCode>
                <c:ptCount val="1"/>
                <c:pt idx="0">
                  <c:v>15000</c:v>
                </c:pt>
              </c:numCache>
            </c:numRef>
          </c:val>
        </c:ser>
        <c:ser>
          <c:idx val="3"/>
          <c:order val="1"/>
          <c:tx>
            <c:strRef>
              <c:f>PortfolioDashboard!$O$250</c:f>
              <c:strCache>
                <c:ptCount val="1"/>
                <c:pt idx="0">
                  <c:v>Scope 3 - Air Travel</c:v>
                </c:pt>
              </c:strCache>
            </c:strRef>
          </c:tx>
          <c:spPr>
            <a:ln>
              <a:solidFill>
                <a:sysClr val="windowText" lastClr="000000"/>
              </a:solidFill>
            </a:ln>
          </c:spPr>
          <c:dLbls>
            <c:txPr>
              <a:bodyPr/>
              <a:lstStyle/>
              <a:p>
                <a:pPr>
                  <a:defRPr sz="1200"/>
                </a:pPr>
                <a:endParaRPr lang="en-US"/>
              </a:p>
            </c:txPr>
            <c:showVal val="1"/>
          </c:dLbls>
          <c:cat>
            <c:strRef>
              <c:f>PortfolioDashboard!$O$246</c:f>
              <c:strCache>
                <c:ptCount val="1"/>
                <c:pt idx="0">
                  <c:v>Remaining in 2050</c:v>
                </c:pt>
              </c:strCache>
            </c:strRef>
          </c:cat>
          <c:val>
            <c:numRef>
              <c:f>PortfolioDashboard!$N$250</c:f>
              <c:numCache>
                <c:formatCode>#,##0</c:formatCode>
                <c:ptCount val="1"/>
                <c:pt idx="0">
                  <c:v>52000</c:v>
                </c:pt>
              </c:numCache>
            </c:numRef>
          </c:val>
        </c:ser>
        <c:ser>
          <c:idx val="1"/>
          <c:order val="2"/>
          <c:tx>
            <c:strRef>
              <c:f>PortfolioDashboard!$O$248</c:f>
              <c:strCache>
                <c:ptCount val="1"/>
                <c:pt idx="0">
                  <c:v>Scope 2</c:v>
                </c:pt>
              </c:strCache>
            </c:strRef>
          </c:tx>
          <c:spPr>
            <a:ln>
              <a:solidFill>
                <a:sysClr val="windowText" lastClr="000000"/>
              </a:solidFill>
            </a:ln>
          </c:spPr>
          <c:dLbls>
            <c:txPr>
              <a:bodyPr/>
              <a:lstStyle/>
              <a:p>
                <a:pPr>
                  <a:defRPr sz="1200"/>
                </a:pPr>
                <a:endParaRPr lang="en-US"/>
              </a:p>
            </c:txPr>
            <c:showVal val="1"/>
          </c:dLbls>
          <c:cat>
            <c:strRef>
              <c:f>PortfolioDashboard!$O$246</c:f>
              <c:strCache>
                <c:ptCount val="1"/>
                <c:pt idx="0">
                  <c:v>Remaining in 2050</c:v>
                </c:pt>
              </c:strCache>
            </c:strRef>
          </c:cat>
          <c:val>
            <c:numRef>
              <c:f>PortfolioDashboard!$N$248</c:f>
              <c:numCache>
                <c:formatCode>#,##0</c:formatCode>
                <c:ptCount val="1"/>
                <c:pt idx="0">
                  <c:v>98000</c:v>
                </c:pt>
              </c:numCache>
            </c:numRef>
          </c:val>
        </c:ser>
        <c:ser>
          <c:idx val="0"/>
          <c:order val="3"/>
          <c:tx>
            <c:strRef>
              <c:f>PortfolioDashboard!$O$247</c:f>
              <c:strCache>
                <c:ptCount val="1"/>
                <c:pt idx="0">
                  <c:v>Scope 1</c:v>
                </c:pt>
              </c:strCache>
            </c:strRef>
          </c:tx>
          <c:spPr>
            <a:ln>
              <a:solidFill>
                <a:sysClr val="windowText" lastClr="000000"/>
              </a:solidFill>
            </a:ln>
          </c:spPr>
          <c:dLbls>
            <c:txPr>
              <a:bodyPr/>
              <a:lstStyle/>
              <a:p>
                <a:pPr>
                  <a:defRPr sz="1200"/>
                </a:pPr>
                <a:endParaRPr lang="en-US"/>
              </a:p>
            </c:txPr>
            <c:showVal val="1"/>
          </c:dLbls>
          <c:cat>
            <c:strRef>
              <c:f>PortfolioDashboard!$O$246</c:f>
              <c:strCache>
                <c:ptCount val="1"/>
                <c:pt idx="0">
                  <c:v>Remaining in 2050</c:v>
                </c:pt>
              </c:strCache>
            </c:strRef>
          </c:cat>
          <c:val>
            <c:numRef>
              <c:f>PortfolioDashboard!$N$247</c:f>
              <c:numCache>
                <c:formatCode>#,##0</c:formatCode>
                <c:ptCount val="1"/>
                <c:pt idx="0">
                  <c:v>29000</c:v>
                </c:pt>
              </c:numCache>
            </c:numRef>
          </c:val>
        </c:ser>
        <c:overlap val="100"/>
        <c:axId val="96863744"/>
        <c:axId val="96865280"/>
      </c:barChart>
      <c:catAx>
        <c:axId val="96863744"/>
        <c:scaling>
          <c:orientation val="minMax"/>
        </c:scaling>
        <c:delete val="1"/>
        <c:axPos val="b"/>
        <c:tickLblPos val="none"/>
        <c:crossAx val="96865280"/>
        <c:crosses val="autoZero"/>
        <c:auto val="1"/>
        <c:lblAlgn val="ctr"/>
        <c:lblOffset val="100"/>
      </c:catAx>
      <c:valAx>
        <c:axId val="96865280"/>
        <c:scaling>
          <c:orientation val="minMax"/>
          <c:max val="250000"/>
          <c:min val="0"/>
        </c:scaling>
        <c:axPos val="l"/>
        <c:majorGridlines/>
        <c:title>
          <c:tx>
            <c:rich>
              <a:bodyPr rot="-5400000" vert="horz"/>
              <a:lstStyle/>
              <a:p>
                <a:pPr>
                  <a:defRPr/>
                </a:pPr>
                <a:r>
                  <a:rPr lang="en-US"/>
                  <a:t>MTCO</a:t>
                </a:r>
                <a:r>
                  <a:rPr lang="en-US" baseline="-25000"/>
                  <a:t>2</a:t>
                </a:r>
                <a:r>
                  <a:rPr lang="en-US"/>
                  <a:t>e</a:t>
                </a:r>
              </a:p>
            </c:rich>
          </c:tx>
        </c:title>
        <c:numFmt formatCode="#,##0" sourceLinked="1"/>
        <c:tickLblPos val="nextTo"/>
        <c:crossAx val="96863744"/>
        <c:crosses val="autoZero"/>
        <c:crossBetween val="between"/>
        <c:majorUnit val="50000"/>
        <c:minorUnit val="10000"/>
      </c:valAx>
    </c:plotArea>
    <c:legend>
      <c:legendPos val="r"/>
      <c:txPr>
        <a:bodyPr/>
        <a:lstStyle/>
        <a:p>
          <a:pPr>
            <a:defRPr sz="1100"/>
          </a:pPr>
          <a:endParaRPr lang="en-US"/>
        </a:p>
      </c:txPr>
    </c:legend>
    <c:plotVisOnly val="1"/>
  </c:chart>
  <c:spPr>
    <a:ln>
      <a:noFill/>
    </a:ln>
  </c:spPr>
  <c:txPr>
    <a:bodyPr/>
    <a:lstStyle/>
    <a:p>
      <a:pPr>
        <a:defRPr sz="1400"/>
      </a:pPr>
      <a:endParaRPr lang="en-US"/>
    </a:p>
  </c:tx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478842583701427"/>
          <c:y val="4.5830834613165623E-2"/>
          <c:w val="0.84419131297612249"/>
          <c:h val="0.82008922259330674"/>
        </c:manualLayout>
      </c:layout>
      <c:areaChart>
        <c:grouping val="stacked"/>
        <c:ser>
          <c:idx val="40"/>
          <c:order val="2"/>
          <c:tx>
            <c:strRef>
              <c:f>PortfolioDashboard!$BX$3</c:f>
              <c:strCache>
                <c:ptCount val="1"/>
                <c:pt idx="0">
                  <c:v>Scope 3 - Commuting</c:v>
                </c:pt>
              </c:strCache>
            </c:strRef>
          </c:tx>
          <c:spPr>
            <a:solidFill>
              <a:schemeClr val="bg1">
                <a:lumMod val="85000"/>
              </a:schemeClr>
            </a:solidFill>
            <a:ln>
              <a:solidFill>
                <a:sysClr val="windowText" lastClr="000000"/>
              </a:solidFill>
            </a:ln>
          </c:spPr>
          <c:dLbls>
            <c:dLbl>
              <c:idx val="0"/>
              <c:layout>
                <c:manualLayout>
                  <c:x val="0.11047692209205555"/>
                  <c:y val="8.9092578597953958E-4"/>
                </c:manualLayout>
              </c:layout>
              <c:spPr>
                <a:ln>
                  <a:noFill/>
                </a:ln>
              </c:spPr>
              <c:txPr>
                <a:bodyPr/>
                <a:lstStyle/>
                <a:p>
                  <a:pPr>
                    <a:defRPr/>
                  </a:pPr>
                  <a:endParaRPr lang="en-US"/>
                </a:p>
              </c:txPr>
              <c:showSerName val="1"/>
            </c:dLbl>
            <c:showSerName val="1"/>
          </c:dLbls>
          <c:val>
            <c:numRef>
              <c:f>PortfolioDashboard!$AD$291:$AD$331</c:f>
              <c:numCache>
                <c:formatCode>#,##0</c:formatCode>
                <c:ptCount val="41"/>
                <c:pt idx="0">
                  <c:v>16281.643397406457</c:v>
                </c:pt>
                <c:pt idx="1">
                  <c:v>16337.600376534232</c:v>
                </c:pt>
                <c:pt idx="2">
                  <c:v>16217.69618901952</c:v>
                </c:pt>
                <c:pt idx="3">
                  <c:v>16090.480010411444</c:v>
                </c:pt>
                <c:pt idx="4">
                  <c:v>15958.519558171398</c:v>
                </c:pt>
                <c:pt idx="5">
                  <c:v>15823.132335206108</c:v>
                </c:pt>
                <c:pt idx="6">
                  <c:v>15685.10403664711</c:v>
                </c:pt>
                <c:pt idx="7">
                  <c:v>15544.949121781041</c:v>
                </c:pt>
                <c:pt idx="8">
                  <c:v>15403.026870303636</c:v>
                </c:pt>
                <c:pt idx="9">
                  <c:v>15259.600348524797</c:v>
                </c:pt>
                <c:pt idx="10">
                  <c:v>15114.869296064064</c:v>
                </c:pt>
                <c:pt idx="11">
                  <c:v>14968.989796422808</c:v>
                </c:pt>
                <c:pt idx="12">
                  <c:v>14988.027981714706</c:v>
                </c:pt>
                <c:pt idx="13">
                  <c:v>15006.342939560818</c:v>
                </c:pt>
                <c:pt idx="14">
                  <c:v>15024.010926086292</c:v>
                </c:pt>
                <c:pt idx="15">
                  <c:v>15041.095670509651</c:v>
                </c:pt>
                <c:pt idx="16">
                  <c:v>15057.65107976356</c:v>
                </c:pt>
                <c:pt idx="17">
                  <c:v>15073.723235660607</c:v>
                </c:pt>
                <c:pt idx="18">
                  <c:v>15089.351898432873</c:v>
                </c:pt>
                <c:pt idx="19">
                  <c:v>15104.571658047698</c:v>
                </c:pt>
                <c:pt idx="20">
                  <c:v>15119.412829187801</c:v>
                </c:pt>
                <c:pt idx="21">
                  <c:v>15133.902156380282</c:v>
                </c:pt>
                <c:pt idx="22">
                  <c:v>15148.063376292877</c:v>
                </c:pt>
                <c:pt idx="23">
                  <c:v>15161.91767104415</c:v>
                </c:pt>
                <c:pt idx="24">
                  <c:v>15175.484037284878</c:v>
                </c:pt>
                <c:pt idx="25">
                  <c:v>15188.779589424114</c:v>
                </c:pt>
                <c:pt idx="26">
                  <c:v>15201.819810816407</c:v>
                </c:pt>
                <c:pt idx="27">
                  <c:v>15214.61876342641</c:v>
                </c:pt>
                <c:pt idx="28">
                  <c:v>15227.189264064065</c:v>
                </c:pt>
                <c:pt idx="29">
                  <c:v>15239.543033482882</c:v>
                </c:pt>
                <c:pt idx="30">
                  <c:v>15251.690823280158</c:v>
                </c:pt>
                <c:pt idx="31">
                  <c:v>15263.642524509611</c:v>
                </c:pt>
                <c:pt idx="32">
                  <c:v>15275.407261127853</c:v>
                </c:pt>
                <c:pt idx="33">
                  <c:v>15286.993470785532</c:v>
                </c:pt>
                <c:pt idx="34">
                  <c:v>15298.408974996779</c:v>
                </c:pt>
                <c:pt idx="35">
                  <c:v>15309.66104034556</c:v>
                </c:pt>
                <c:pt idx="36">
                  <c:v>15320.756432089704</c:v>
                </c:pt>
                <c:pt idx="37">
                  <c:v>15331.701461285826</c:v>
                </c:pt>
                <c:pt idx="38">
                  <c:v>15342.50202636734</c:v>
                </c:pt>
                <c:pt idx="39">
                  <c:v>15353.163649953269</c:v>
                </c:pt>
                <c:pt idx="40">
                  <c:v>15363.691511539932</c:v>
                </c:pt>
              </c:numCache>
            </c:numRef>
          </c:val>
        </c:ser>
        <c:ser>
          <c:idx val="39"/>
          <c:order val="3"/>
          <c:tx>
            <c:strRef>
              <c:f>PortfolioDashboard!$BW$3</c:f>
              <c:strCache>
                <c:ptCount val="1"/>
                <c:pt idx="0">
                  <c:v>Scope 3 - Air</c:v>
                </c:pt>
              </c:strCache>
            </c:strRef>
          </c:tx>
          <c:spPr>
            <a:solidFill>
              <a:schemeClr val="bg1">
                <a:lumMod val="75000"/>
              </a:schemeClr>
            </a:solidFill>
            <a:ln>
              <a:solidFill>
                <a:sysClr val="windowText" lastClr="000000"/>
              </a:solidFill>
            </a:ln>
          </c:spPr>
          <c:dLbls>
            <c:dLbl>
              <c:idx val="0"/>
              <c:layout>
                <c:manualLayout>
                  <c:x val="0.14883986300492938"/>
                  <c:y val="4.1279669762641878E-3"/>
                </c:manualLayout>
              </c:layout>
              <c:showSerName val="1"/>
            </c:dLbl>
            <c:spPr>
              <a:ln>
                <a:noFill/>
              </a:ln>
            </c:spPr>
            <c:showSerName val="1"/>
          </c:dLbls>
          <c:val>
            <c:numRef>
              <c:f>PortfolioDashboard!$AD$338:$AD$378</c:f>
              <c:numCache>
                <c:formatCode>#,##0</c:formatCode>
                <c:ptCount val="41"/>
                <c:pt idx="0">
                  <c:v>45441.480365382726</c:v>
                </c:pt>
                <c:pt idx="1">
                  <c:v>45712.571212049814</c:v>
                </c:pt>
                <c:pt idx="2">
                  <c:v>46029.605289521925</c:v>
                </c:pt>
                <c:pt idx="3">
                  <c:v>46165.661177061251</c:v>
                </c:pt>
                <c:pt idx="4">
                  <c:v>46230.491546234407</c:v>
                </c:pt>
                <c:pt idx="5">
                  <c:v>46458.092695257648</c:v>
                </c:pt>
                <c:pt idx="6">
                  <c:v>46512.756424039675</c:v>
                </c:pt>
                <c:pt idx="7">
                  <c:v>46563.894623993889</c:v>
                </c:pt>
                <c:pt idx="8">
                  <c:v>46612.122221914789</c:v>
                </c:pt>
                <c:pt idx="9">
                  <c:v>46657.888419552095</c:v>
                </c:pt>
                <c:pt idx="10">
                  <c:v>46701.533474005897</c:v>
                </c:pt>
                <c:pt idx="11">
                  <c:v>46743.322637082791</c:v>
                </c:pt>
                <c:pt idx="12">
                  <c:v>46949.40885687813</c:v>
                </c:pt>
                <c:pt idx="13">
                  <c:v>47154.221611206187</c:v>
                </c:pt>
                <c:pt idx="14">
                  <c:v>47357.895167910261</c:v>
                </c:pt>
                <c:pt idx="15">
                  <c:v>47560.541738260363</c:v>
                </c:pt>
                <c:pt idx="16">
                  <c:v>47762.256239061331</c:v>
                </c:pt>
                <c:pt idx="17">
                  <c:v>47963.119809125696</c:v>
                </c:pt>
                <c:pt idx="18">
                  <c:v>48163.202456604762</c:v>
                </c:pt>
                <c:pt idx="19">
                  <c:v>48362.565086148868</c:v>
                </c:pt>
                <c:pt idx="20">
                  <c:v>48561.261074730137</c:v>
                </c:pt>
                <c:pt idx="21">
                  <c:v>48759.337513188191</c:v>
                </c:pt>
                <c:pt idx="22">
                  <c:v>48956.836196285862</c:v>
                </c:pt>
                <c:pt idx="23">
                  <c:v>49153.794420869657</c:v>
                </c:pt>
                <c:pt idx="24">
                  <c:v>49350.245635725681</c:v>
                </c:pt>
                <c:pt idx="25">
                  <c:v>49546.219975481799</c:v>
                </c:pt>
                <c:pt idx="26">
                  <c:v>49741.744702883487</c:v>
                </c:pt>
                <c:pt idx="27">
                  <c:v>49936.844577958909</c:v>
                </c:pt>
                <c:pt idx="28">
                  <c:v>50131.542168323933</c:v>
                </c:pt>
                <c:pt idx="29">
                  <c:v>50325.858111705951</c:v>
                </c:pt>
                <c:pt idx="30">
                  <c:v>50519.811339382992</c:v>
                </c:pt>
                <c:pt idx="31">
                  <c:v>50713.419267422818</c:v>
                </c:pt>
                <c:pt idx="32">
                  <c:v>50906.697961218713</c:v>
                </c:pt>
                <c:pt idx="33">
                  <c:v>51099.66227774226</c:v>
                </c:pt>
                <c:pt idx="34">
                  <c:v>51292.325989094141</c:v>
                </c:pt>
                <c:pt idx="35">
                  <c:v>51484.70189027334</c:v>
                </c:pt>
                <c:pt idx="36">
                  <c:v>51676.801893560492</c:v>
                </c:pt>
                <c:pt idx="37">
                  <c:v>51868.637111493103</c:v>
                </c:pt>
                <c:pt idx="38">
                  <c:v>52060.217930074316</c:v>
                </c:pt>
                <c:pt idx="39">
                  <c:v>52251.554073584142</c:v>
                </c:pt>
                <c:pt idx="40">
                  <c:v>52442.654662141533</c:v>
                </c:pt>
              </c:numCache>
            </c:numRef>
          </c:val>
        </c:ser>
        <c:ser>
          <c:idx val="38"/>
          <c:order val="4"/>
          <c:tx>
            <c:strRef>
              <c:f>PortfolioDashboard!$BV$3</c:f>
              <c:strCache>
                <c:ptCount val="1"/>
                <c:pt idx="0">
                  <c:v>Remaining Scope 2</c:v>
                </c:pt>
              </c:strCache>
            </c:strRef>
          </c:tx>
          <c:spPr>
            <a:solidFill>
              <a:schemeClr val="bg1">
                <a:lumMod val="65000"/>
              </a:schemeClr>
            </a:solidFill>
            <a:ln>
              <a:solidFill>
                <a:sysClr val="windowText" lastClr="000000"/>
              </a:solidFill>
            </a:ln>
          </c:spPr>
          <c:dLbls>
            <c:dLbl>
              <c:idx val="0"/>
              <c:layout>
                <c:manualLayout>
                  <c:x val="0.31599577491837921"/>
                  <c:y val="4.1279669762641115E-3"/>
                </c:manualLayout>
              </c:layout>
              <c:showSerName val="1"/>
            </c:dLbl>
            <c:showSerName val="1"/>
          </c:dLbls>
          <c:val>
            <c:numRef>
              <c:f>PortfolioDashboard!$AD$244:$AD$284</c:f>
              <c:numCache>
                <c:formatCode>#,##0</c:formatCode>
                <c:ptCount val="41"/>
                <c:pt idx="0">
                  <c:v>183365.5656504092</c:v>
                </c:pt>
                <c:pt idx="1">
                  <c:v>180071.82239167052</c:v>
                </c:pt>
                <c:pt idx="2">
                  <c:v>170282.56913104199</c:v>
                </c:pt>
                <c:pt idx="3">
                  <c:v>164507.51744774386</c:v>
                </c:pt>
                <c:pt idx="4">
                  <c:v>157518.1638063656</c:v>
                </c:pt>
                <c:pt idx="5">
                  <c:v>135408.05633511263</c:v>
                </c:pt>
                <c:pt idx="6">
                  <c:v>132389.04575446676</c:v>
                </c:pt>
                <c:pt idx="7">
                  <c:v>129983.18111575692</c:v>
                </c:pt>
                <c:pt idx="8">
                  <c:v>127667.9300554239</c:v>
                </c:pt>
                <c:pt idx="9">
                  <c:v>125358.13148567776</c:v>
                </c:pt>
                <c:pt idx="10">
                  <c:v>123053.83117367212</c:v>
                </c:pt>
                <c:pt idx="11">
                  <c:v>120755.07296803534</c:v>
                </c:pt>
                <c:pt idx="12">
                  <c:v>118461.89889835674</c:v>
                </c:pt>
                <c:pt idx="13">
                  <c:v>116492.26179378002</c:v>
                </c:pt>
                <c:pt idx="14">
                  <c:v>115137.70280375385</c:v>
                </c:pt>
                <c:pt idx="15">
                  <c:v>113782.25715649598</c:v>
                </c:pt>
                <c:pt idx="16">
                  <c:v>112425.95134006982</c:v>
                </c:pt>
                <c:pt idx="17">
                  <c:v>111068.81079786642</c:v>
                </c:pt>
                <c:pt idx="18">
                  <c:v>109710.85997960357</c:v>
                </c:pt>
                <c:pt idx="19">
                  <c:v>108352.12238936499</c:v>
                </c:pt>
                <c:pt idx="20">
                  <c:v>106992.62063088067</c:v>
                </c:pt>
                <c:pt idx="21">
                  <c:v>105683.02911883834</c:v>
                </c:pt>
                <c:pt idx="22">
                  <c:v>104372.71611335097</c:v>
                </c:pt>
                <c:pt idx="23">
                  <c:v>103061.70176382855</c:v>
                </c:pt>
                <c:pt idx="24">
                  <c:v>102748.76901703191</c:v>
                </c:pt>
                <c:pt idx="25">
                  <c:v>102435.1730288695</c:v>
                </c:pt>
                <c:pt idx="26">
                  <c:v>102120.9318186914</c:v>
                </c:pt>
                <c:pt idx="27">
                  <c:v>101806.06275895832</c:v>
                </c:pt>
                <c:pt idx="28">
                  <c:v>101490.58260401228</c:v>
                </c:pt>
                <c:pt idx="29">
                  <c:v>101174.50751732543</c:v>
                </c:pt>
                <c:pt idx="30">
                  <c:v>100857.85309731975</c:v>
                </c:pt>
                <c:pt idx="31">
                  <c:v>100540.63440184505</c:v>
                </c:pt>
                <c:pt idx="32">
                  <c:v>100222.86597139464</c:v>
                </c:pt>
                <c:pt idx="33">
                  <c:v>99904.561851135746</c:v>
                </c:pt>
                <c:pt idx="34">
                  <c:v>99585.735611822718</c:v>
                </c:pt>
                <c:pt idx="35">
                  <c:v>99266.400369660434</c:v>
                </c:pt>
                <c:pt idx="36">
                  <c:v>98946.568805177259</c:v>
                </c:pt>
                <c:pt idx="37">
                  <c:v>98626.253181165666</c:v>
                </c:pt>
                <c:pt idx="38">
                  <c:v>98305.465359743946</c:v>
                </c:pt>
                <c:pt idx="39">
                  <c:v>97984.216818587709</c:v>
                </c:pt>
                <c:pt idx="40">
                  <c:v>97662.518666379561</c:v>
                </c:pt>
              </c:numCache>
            </c:numRef>
          </c:val>
        </c:ser>
        <c:ser>
          <c:idx val="4"/>
          <c:order val="5"/>
          <c:tx>
            <c:strRef>
              <c:f>PortfolioDashboard!$BU$3</c:f>
              <c:strCache>
                <c:ptCount val="1"/>
                <c:pt idx="0">
                  <c:v>Remaining Scope 1</c:v>
                </c:pt>
              </c:strCache>
            </c:strRef>
          </c:tx>
          <c:spPr>
            <a:solidFill>
              <a:schemeClr val="bg1">
                <a:lumMod val="50000"/>
              </a:schemeClr>
            </a:solidFill>
            <a:ln>
              <a:solidFill>
                <a:schemeClr val="tx1"/>
              </a:solidFill>
            </a:ln>
          </c:spPr>
          <c:dLbls>
            <c:dLbl>
              <c:idx val="0"/>
              <c:layout>
                <c:manualLayout>
                  <c:x val="0.30038617886178898"/>
                  <c:y val="8.255933952528393E-3"/>
                </c:manualLayout>
              </c:layout>
              <c:showSerName val="1"/>
            </c:dLbl>
            <c:showSerName val="1"/>
          </c:dLbls>
          <c:val>
            <c:numRef>
              <c:f>PortfolioDashboard!$AD$197:$AD$237</c:f>
              <c:numCache>
                <c:formatCode>#,##0</c:formatCode>
                <c:ptCount val="41"/>
                <c:pt idx="0">
                  <c:v>19403.967151784022</c:v>
                </c:pt>
                <c:pt idx="1">
                  <c:v>19635.559920844986</c:v>
                </c:pt>
                <c:pt idx="2">
                  <c:v>20175.606093442471</c:v>
                </c:pt>
                <c:pt idx="3">
                  <c:v>20490.793479463464</c:v>
                </c:pt>
                <c:pt idx="4">
                  <c:v>20721.600734731339</c:v>
                </c:pt>
                <c:pt idx="5">
                  <c:v>21176.94694453691</c:v>
                </c:pt>
                <c:pt idx="6">
                  <c:v>21407.578677725378</c:v>
                </c:pt>
                <c:pt idx="7">
                  <c:v>21638.150505990383</c:v>
                </c:pt>
                <c:pt idx="8">
                  <c:v>21868.673377042745</c:v>
                </c:pt>
                <c:pt idx="9">
                  <c:v>22099.155261844102</c:v>
                </c:pt>
                <c:pt idx="10">
                  <c:v>22329.602177826593</c:v>
                </c:pt>
                <c:pt idx="11">
                  <c:v>22560.018799936457</c:v>
                </c:pt>
                <c:pt idx="12">
                  <c:v>22790.408845913007</c:v>
                </c:pt>
                <c:pt idx="13">
                  <c:v>23020.77533008498</c:v>
                </c:pt>
                <c:pt idx="14">
                  <c:v>23251.120736691468</c:v>
                </c:pt>
                <c:pt idx="15">
                  <c:v>23481.447141878285</c:v>
                </c:pt>
                <c:pt idx="16">
                  <c:v>23711.756301807087</c:v>
                </c:pt>
                <c:pt idx="17">
                  <c:v>23942.049717717506</c:v>
                </c:pt>
                <c:pt idx="18">
                  <c:v>24172.328684908407</c:v>
                </c:pt>
                <c:pt idx="19">
                  <c:v>24402.594330244665</c:v>
                </c:pt>
                <c:pt idx="20">
                  <c:v>24632.847641313125</c:v>
                </c:pt>
                <c:pt idx="21">
                  <c:v>24863.08948939394</c:v>
                </c:pt>
                <c:pt idx="22">
                  <c:v>25093.320647778608</c:v>
                </c:pt>
                <c:pt idx="23">
                  <c:v>25323.541806537673</c:v>
                </c:pt>
                <c:pt idx="24">
                  <c:v>25553.75358454444</c:v>
                </c:pt>
                <c:pt idx="25">
                  <c:v>25783.956539353247</c:v>
                </c:pt>
                <c:pt idx="26">
                  <c:v>26014.151175382554</c:v>
                </c:pt>
                <c:pt idx="27">
                  <c:v>26244.337950745237</c:v>
                </c:pt>
                <c:pt idx="28">
                  <c:v>26474.517282989938</c:v>
                </c:pt>
                <c:pt idx="29">
                  <c:v>26704.689553958251</c:v>
                </c:pt>
                <c:pt idx="30">
                  <c:v>26934.85511391886</c:v>
                </c:pt>
                <c:pt idx="31">
                  <c:v>27165.014285105874</c:v>
                </c:pt>
                <c:pt idx="32">
                  <c:v>27395.167364763012</c:v>
                </c:pt>
                <c:pt idx="33">
                  <c:v>27625.314627775704</c:v>
                </c:pt>
                <c:pt idx="34">
                  <c:v>27855.456328956927</c:v>
                </c:pt>
                <c:pt idx="35">
                  <c:v>28085.592705041225</c:v>
                </c:pt>
                <c:pt idx="36">
                  <c:v>28315.723976430982</c:v>
                </c:pt>
                <c:pt idx="37">
                  <c:v>28545.850348731648</c:v>
                </c:pt>
                <c:pt idx="38">
                  <c:v>28775.972014106253</c:v>
                </c:pt>
                <c:pt idx="39">
                  <c:v>29006.089152474538</c:v>
                </c:pt>
                <c:pt idx="40">
                  <c:v>29236.201932578002</c:v>
                </c:pt>
              </c:numCache>
            </c:numRef>
          </c:val>
        </c:ser>
        <c:ser>
          <c:idx val="0"/>
          <c:order val="6"/>
          <c:tx>
            <c:strRef>
              <c:f>PortfolioDashboard!$CB$3</c:f>
              <c:strCache>
                <c:ptCount val="1"/>
                <c:pt idx="0">
                  <c:v>w/ Combined Heat &amp; Power</c:v>
                </c:pt>
              </c:strCache>
            </c:strRef>
          </c:tx>
          <c:spPr>
            <a:solidFill>
              <a:schemeClr val="accent1">
                <a:lumMod val="40000"/>
                <a:lumOff val="60000"/>
              </a:schemeClr>
            </a:solidFill>
            <a:ln>
              <a:solidFill>
                <a:sysClr val="windowText" lastClr="000000"/>
              </a:solidFill>
            </a:ln>
          </c:spPr>
          <c:dLbls>
            <c:dLbl>
              <c:idx val="0"/>
              <c:layout>
                <c:manualLayout>
                  <c:x val="0.32266325224071701"/>
                  <c:y val="0"/>
                </c:manualLayout>
              </c:layout>
              <c:showSerName val="1"/>
            </c:dLbl>
            <c:showSerName val="1"/>
          </c:dLbls>
          <c:val>
            <c:numRef>
              <c:f>PortfolioDashboard!$CB$9:$CB$49</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5"/>
          <c:order val="7"/>
          <c:tx>
            <c:strRef>
              <c:f>PortfolioDashboard!$BY$3</c:f>
              <c:strCache>
                <c:ptCount val="1"/>
                <c:pt idx="0">
                  <c:v>Base Portfolio</c:v>
                </c:pt>
              </c:strCache>
            </c:strRef>
          </c:tx>
          <c:spPr>
            <a:solidFill>
              <a:schemeClr val="tx2">
                <a:lumMod val="60000"/>
                <a:lumOff val="40000"/>
              </a:schemeClr>
            </a:solidFill>
            <a:ln>
              <a:solidFill>
                <a:sysClr val="windowText" lastClr="000000"/>
              </a:solidFill>
            </a:ln>
          </c:spPr>
          <c:dLbls>
            <c:dLbl>
              <c:idx val="0"/>
              <c:layout>
                <c:manualLayout>
                  <c:x val="0.31412718736662437"/>
                  <c:y val="-4.9535603715170302E-2"/>
                </c:manualLayout>
              </c:layout>
              <c:showSerName val="1"/>
            </c:dLbl>
            <c:showSerName val="1"/>
          </c:dLbls>
          <c:val>
            <c:numRef>
              <c:f>PortfolioDashboard!$BY$9:$BY$49</c:f>
              <c:numCache>
                <c:formatCode>#,##0</c:formatCode>
                <c:ptCount val="41"/>
                <c:pt idx="0">
                  <c:v>2011.5286795204174</c:v>
                </c:pt>
                <c:pt idx="1">
                  <c:v>8240.918833289441</c:v>
                </c:pt>
                <c:pt idx="2">
                  <c:v>23661.368966726499</c:v>
                </c:pt>
                <c:pt idx="3">
                  <c:v>32848.491687690854</c:v>
                </c:pt>
                <c:pt idx="4">
                  <c:v>42417.97899412267</c:v>
                </c:pt>
                <c:pt idx="5">
                  <c:v>69327.998279521635</c:v>
                </c:pt>
                <c:pt idx="6">
                  <c:v>75211.800571449174</c:v>
                </c:pt>
                <c:pt idx="7">
                  <c:v>80157.977268422153</c:v>
                </c:pt>
                <c:pt idx="8">
                  <c:v>85013.698909405837</c:v>
                </c:pt>
                <c:pt idx="9">
                  <c:v>89864.127225886827</c:v>
                </c:pt>
                <c:pt idx="10">
                  <c:v>94709.215356333603</c:v>
                </c:pt>
                <c:pt idx="11">
                  <c:v>99548.917436925753</c:v>
                </c:pt>
                <c:pt idx="12">
                  <c:v>104217.24766499028</c:v>
                </c:pt>
                <c:pt idx="13">
                  <c:v>108561.99322438035</c:v>
                </c:pt>
                <c:pt idx="14">
                  <c:v>112291.61830915957</c:v>
                </c:pt>
                <c:pt idx="15">
                  <c:v>116022.09210519702</c:v>
                </c:pt>
                <c:pt idx="16">
                  <c:v>119753.391820918</c:v>
                </c:pt>
                <c:pt idx="17">
                  <c:v>123485.49514531913</c:v>
                </c:pt>
                <c:pt idx="18">
                  <c:v>127218.38031065046</c:v>
                </c:pt>
                <c:pt idx="19">
                  <c:v>130952.02613018424</c:v>
                </c:pt>
                <c:pt idx="20">
                  <c:v>134686.41201879727</c:v>
                </c:pt>
                <c:pt idx="21">
                  <c:v>138370.86533296714</c:v>
                </c:pt>
                <c:pt idx="22">
                  <c:v>142056.01937680715</c:v>
                </c:pt>
                <c:pt idx="23">
                  <c:v>145741.85539054943</c:v>
                </c:pt>
                <c:pt idx="24">
                  <c:v>148429.59166861756</c:v>
                </c:pt>
                <c:pt idx="25">
                  <c:v>151117.97416913341</c:v>
                </c:pt>
                <c:pt idx="26">
                  <c:v>153806.98587714904</c:v>
                </c:pt>
                <c:pt idx="27">
                  <c:v>156496.61032951472</c:v>
                </c:pt>
                <c:pt idx="28">
                  <c:v>159186.83159825671</c:v>
                </c:pt>
                <c:pt idx="29">
                  <c:v>161877.63427355047</c:v>
                </c:pt>
                <c:pt idx="30">
                  <c:v>164569.00344655829</c:v>
                </c:pt>
                <c:pt idx="31">
                  <c:v>167260.92469232698</c:v>
                </c:pt>
                <c:pt idx="32">
                  <c:v>169953.3840528896</c:v>
                </c:pt>
                <c:pt idx="33">
                  <c:v>172646.36802067622</c:v>
                </c:pt>
                <c:pt idx="34">
                  <c:v>175339.86352230777</c:v>
                </c:pt>
                <c:pt idx="35">
                  <c:v>178033.85790282438</c:v>
                </c:pt>
                <c:pt idx="36">
                  <c:v>180728.3389103837</c:v>
                </c:pt>
                <c:pt idx="37">
                  <c:v>183423.29468144994</c:v>
                </c:pt>
                <c:pt idx="38">
                  <c:v>186118.71372648652</c:v>
                </c:pt>
                <c:pt idx="39">
                  <c:v>188814.58491615363</c:v>
                </c:pt>
                <c:pt idx="40">
                  <c:v>191510.89746801331</c:v>
                </c:pt>
              </c:numCache>
            </c:numRef>
          </c:val>
        </c:ser>
        <c:axId val="97081984"/>
        <c:axId val="97097216"/>
      </c:areaChart>
      <c:lineChart>
        <c:grouping val="standard"/>
        <c:ser>
          <c:idx val="2"/>
          <c:order val="0"/>
          <c:tx>
            <c:strRef>
              <c:f>PortfolioDashboard!$AC$3</c:f>
              <c:strCache>
                <c:ptCount val="1"/>
                <c:pt idx="0">
                  <c:v>Neutrality by 2050</c:v>
                </c:pt>
              </c:strCache>
            </c:strRef>
          </c:tx>
          <c:spPr>
            <a:ln>
              <a:solidFill>
                <a:sysClr val="windowText" lastClr="000000"/>
              </a:solidFill>
              <a:prstDash val="sysDash"/>
            </a:ln>
          </c:spPr>
          <c:marker>
            <c:symbol val="none"/>
          </c:marker>
          <c:cat>
            <c:numRef>
              <c:f>PortfolioDashboard!$AA$9:$AA$49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PortfolioDashboard!$AC$9:$AC$49</c:f>
              <c:numCache>
                <c:formatCode>#,##0</c:formatCode>
                <c:ptCount val="41"/>
                <c:pt idx="0">
                  <c:v>266371.49010856845</c:v>
                </c:pt>
                <c:pt idx="1">
                  <c:v>259712.20285585424</c:v>
                </c:pt>
                <c:pt idx="2">
                  <c:v>253052.91560314002</c:v>
                </c:pt>
                <c:pt idx="3">
                  <c:v>246393.6283504258</c:v>
                </c:pt>
                <c:pt idx="4">
                  <c:v>239734.34109771159</c:v>
                </c:pt>
                <c:pt idx="5">
                  <c:v>233075.05384499737</c:v>
                </c:pt>
                <c:pt idx="6">
                  <c:v>226415.76659228315</c:v>
                </c:pt>
                <c:pt idx="7">
                  <c:v>219756.47933956893</c:v>
                </c:pt>
                <c:pt idx="8">
                  <c:v>213097.19208685472</c:v>
                </c:pt>
                <c:pt idx="9">
                  <c:v>206437.9048341405</c:v>
                </c:pt>
                <c:pt idx="10">
                  <c:v>199778.61758142628</c:v>
                </c:pt>
                <c:pt idx="11">
                  <c:v>193119.33032871207</c:v>
                </c:pt>
                <c:pt idx="12">
                  <c:v>186460.04307599785</c:v>
                </c:pt>
                <c:pt idx="13">
                  <c:v>179800.75582328363</c:v>
                </c:pt>
                <c:pt idx="14">
                  <c:v>173141.46857056941</c:v>
                </c:pt>
                <c:pt idx="15">
                  <c:v>166482.1813178552</c:v>
                </c:pt>
                <c:pt idx="16">
                  <c:v>159822.89406514098</c:v>
                </c:pt>
                <c:pt idx="17">
                  <c:v>153163.60681242676</c:v>
                </c:pt>
                <c:pt idx="18">
                  <c:v>146504.31955971255</c:v>
                </c:pt>
                <c:pt idx="19">
                  <c:v>139845.03230699833</c:v>
                </c:pt>
                <c:pt idx="20">
                  <c:v>133185.74505428411</c:v>
                </c:pt>
                <c:pt idx="21">
                  <c:v>126526.45780156989</c:v>
                </c:pt>
                <c:pt idx="22">
                  <c:v>119867.17054885568</c:v>
                </c:pt>
                <c:pt idx="23">
                  <c:v>113207.88329614146</c:v>
                </c:pt>
                <c:pt idx="24">
                  <c:v>106548.59604342724</c:v>
                </c:pt>
                <c:pt idx="25">
                  <c:v>99889.308790713025</c:v>
                </c:pt>
                <c:pt idx="26">
                  <c:v>93230.021537998808</c:v>
                </c:pt>
                <c:pt idx="27">
                  <c:v>86570.73428528459</c:v>
                </c:pt>
                <c:pt idx="28">
                  <c:v>79911.447032570373</c:v>
                </c:pt>
                <c:pt idx="29">
                  <c:v>73252.159779856156</c:v>
                </c:pt>
                <c:pt idx="30">
                  <c:v>66592.872527141939</c:v>
                </c:pt>
                <c:pt idx="31">
                  <c:v>59933.585274427729</c:v>
                </c:pt>
                <c:pt idx="32">
                  <c:v>53274.298021713519</c:v>
                </c:pt>
                <c:pt idx="33">
                  <c:v>46615.010768999309</c:v>
                </c:pt>
                <c:pt idx="34">
                  <c:v>39955.723516285099</c:v>
                </c:pt>
                <c:pt idx="35">
                  <c:v>33296.436263570889</c:v>
                </c:pt>
                <c:pt idx="36">
                  <c:v>26637.14901085668</c:v>
                </c:pt>
                <c:pt idx="37">
                  <c:v>19977.86175814247</c:v>
                </c:pt>
                <c:pt idx="38">
                  <c:v>13318.574505428258</c:v>
                </c:pt>
                <c:pt idx="39">
                  <c:v>6659.2872527140462</c:v>
                </c:pt>
                <c:pt idx="40">
                  <c:v>0</c:v>
                </c:pt>
              </c:numCache>
            </c:numRef>
          </c:val>
        </c:ser>
        <c:ser>
          <c:idx val="1"/>
          <c:order val="1"/>
          <c:tx>
            <c:strRef>
              <c:f>PortfolioDashboard!$AB$3</c:f>
              <c:strCache>
                <c:ptCount val="1"/>
                <c:pt idx="0">
                  <c:v>Business As Usual (No Grid Footprint Change)</c:v>
                </c:pt>
              </c:strCache>
            </c:strRef>
          </c:tx>
          <c:spPr>
            <a:ln>
              <a:solidFill>
                <a:sysClr val="windowText" lastClr="000000"/>
              </a:solidFill>
            </a:ln>
          </c:spPr>
          <c:marker>
            <c:symbol val="circle"/>
            <c:size val="5"/>
            <c:spPr>
              <a:solidFill>
                <a:srgbClr val="4F81BD"/>
              </a:solidFill>
              <a:ln w="25400">
                <a:solidFill>
                  <a:sysClr val="windowText" lastClr="000000"/>
                </a:solidFill>
              </a:ln>
            </c:spPr>
          </c:marker>
          <c:cat>
            <c:numRef>
              <c:f>PortfolioDashboard!$AA$9:$AA$49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PortfolioDashboard!$AB$9:$AB$49</c:f>
              <c:numCache>
                <c:formatCode>#,##0</c:formatCode>
                <c:ptCount val="41"/>
                <c:pt idx="0">
                  <c:v>266371.49010856845</c:v>
                </c:pt>
                <c:pt idx="1">
                  <c:v>269303.67742545606</c:v>
                </c:pt>
                <c:pt idx="2">
                  <c:v>275791.85529217363</c:v>
                </c:pt>
                <c:pt idx="3">
                  <c:v>279648.61947465339</c:v>
                </c:pt>
                <c:pt idx="4">
                  <c:v>282513.6365609222</c:v>
                </c:pt>
                <c:pt idx="5">
                  <c:v>287982.71814977459</c:v>
                </c:pt>
                <c:pt idx="6">
                  <c:v>290832.72619485745</c:v>
                </c:pt>
                <c:pt idx="7">
                  <c:v>293677.61173126666</c:v>
                </c:pt>
                <c:pt idx="8">
                  <c:v>296518.31091099617</c:v>
                </c:pt>
                <c:pt idx="9">
                  <c:v>299355.50534027134</c:v>
                </c:pt>
                <c:pt idx="10">
                  <c:v>302189.70957647648</c:v>
                </c:pt>
                <c:pt idx="11">
                  <c:v>305021.32337931462</c:v>
                </c:pt>
                <c:pt idx="12">
                  <c:v>307850.66465653217</c:v>
                </c:pt>
                <c:pt idx="13">
                  <c:v>310677.99116637878</c:v>
                </c:pt>
                <c:pt idx="14">
                  <c:v>313503.51533850358</c:v>
                </c:pt>
                <c:pt idx="15">
                  <c:v>316327.41470602393</c:v>
                </c:pt>
                <c:pt idx="16">
                  <c:v>319149.83943984361</c:v>
                </c:pt>
                <c:pt idx="17">
                  <c:v>321970.91791220132</c:v>
                </c:pt>
                <c:pt idx="18">
                  <c:v>324790.76088511513</c:v>
                </c:pt>
                <c:pt idx="19">
                  <c:v>327609.46471763018</c:v>
                </c:pt>
                <c:pt idx="20">
                  <c:v>330427.11385898734</c:v>
                </c:pt>
                <c:pt idx="21">
                  <c:v>333243.78281291976</c:v>
                </c:pt>
                <c:pt idx="22">
                  <c:v>336059.53770405636</c:v>
                </c:pt>
                <c:pt idx="23">
                  <c:v>338874.43754072115</c:v>
                </c:pt>
                <c:pt idx="24">
                  <c:v>341688.53524309385</c:v>
                </c:pt>
                <c:pt idx="25">
                  <c:v>344501.87848791596</c:v>
                </c:pt>
                <c:pt idx="26">
                  <c:v>347314.51040823129</c:v>
                </c:pt>
                <c:pt idx="27">
                  <c:v>350126.47017745476</c:v>
                </c:pt>
                <c:pt idx="28">
                  <c:v>352937.79350031726</c:v>
                </c:pt>
                <c:pt idx="29">
                  <c:v>355748.51302821358</c:v>
                </c:pt>
                <c:pt idx="30">
                  <c:v>358558.65871271305</c:v>
                </c:pt>
                <c:pt idx="31">
                  <c:v>361368.25810812588</c:v>
                </c:pt>
                <c:pt idx="32">
                  <c:v>364177.33663181978</c:v>
                </c:pt>
                <c:pt idx="33">
                  <c:v>366985.91778928402</c:v>
                </c:pt>
                <c:pt idx="34">
                  <c:v>369794.02336960268</c:v>
                </c:pt>
                <c:pt idx="35">
                  <c:v>372601.67361595959</c:v>
                </c:pt>
                <c:pt idx="36">
                  <c:v>375408.887374966</c:v>
                </c:pt>
                <c:pt idx="37">
                  <c:v>378215.68222793727</c:v>
                </c:pt>
                <c:pt idx="38">
                  <c:v>381022.07460672036</c:v>
                </c:pt>
                <c:pt idx="39">
                  <c:v>383828.07989623188</c:v>
                </c:pt>
                <c:pt idx="40">
                  <c:v>386633.71252553025</c:v>
                </c:pt>
              </c:numCache>
            </c:numRef>
          </c:val>
        </c:ser>
        <c:marker val="1"/>
        <c:axId val="97081984"/>
        <c:axId val="97097216"/>
      </c:lineChart>
      <c:catAx>
        <c:axId val="97081984"/>
        <c:scaling>
          <c:orientation val="minMax"/>
        </c:scaling>
        <c:axPos val="b"/>
        <c:tickLblPos val="nextTo"/>
        <c:crossAx val="97097216"/>
        <c:crosses val="autoZero"/>
        <c:auto val="1"/>
        <c:lblAlgn val="ctr"/>
        <c:lblOffset val="100"/>
        <c:tickLblSkip val="5"/>
        <c:tickMarkSkip val="5"/>
      </c:catAx>
      <c:valAx>
        <c:axId val="97097216"/>
        <c:scaling>
          <c:orientation val="minMax"/>
        </c:scaling>
        <c:axPos val="l"/>
        <c:majorGridlines/>
        <c:title>
          <c:tx>
            <c:rich>
              <a:bodyPr rot="-5400000" vert="horz"/>
              <a:lstStyle/>
              <a:p>
                <a:pPr>
                  <a:defRPr/>
                </a:pPr>
                <a:r>
                  <a:rPr lang="en-US"/>
                  <a:t>MTCO</a:t>
                </a:r>
                <a:r>
                  <a:rPr lang="en-US" baseline="-25000"/>
                  <a:t>2</a:t>
                </a:r>
                <a:r>
                  <a:rPr lang="en-US"/>
                  <a:t>e</a:t>
                </a:r>
              </a:p>
            </c:rich>
          </c:tx>
        </c:title>
        <c:numFmt formatCode="#,##0" sourceLinked="1"/>
        <c:tickLblPos val="nextTo"/>
        <c:crossAx val="97081984"/>
        <c:crosses val="autoZero"/>
        <c:crossBetween val="between"/>
      </c:valAx>
    </c:plotArea>
    <c:plotVisOnly val="1"/>
    <c:dispBlanksAs val="zero"/>
  </c:chart>
  <c:spPr>
    <a:ln>
      <a:solidFill>
        <a:sysClr val="windowText" lastClr="000000"/>
      </a:solidFill>
    </a:ln>
  </c:spPr>
  <c:printSettings>
    <c:headerFooter/>
    <c:pageMargins b="0.75000000000000999" l="0.70000000000000062" r="0.70000000000000062" t="0.7500000000000099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style val="5"/>
  <c:chart>
    <c:title>
      <c:tx>
        <c:strRef>
          <c:f>PortfolioDashboard!$A$249</c:f>
          <c:strCache>
            <c:ptCount val="1"/>
            <c:pt idx="0">
              <c:v>Total Remaining Emissions in 2050: 44,000 MTCO2e</c:v>
            </c:pt>
          </c:strCache>
        </c:strRef>
      </c:tx>
      <c:layout>
        <c:manualLayout>
          <c:xMode val="edge"/>
          <c:yMode val="edge"/>
          <c:x val="8.5263587145868125E-2"/>
          <c:y val="1.6293275538533387E-2"/>
        </c:manualLayout>
      </c:layout>
      <c:overlay val="1"/>
      <c:spPr>
        <a:solidFill>
          <a:schemeClr val="lt1"/>
        </a:solidFill>
        <a:ln w="25400" cap="flat" cmpd="sng" algn="ctr">
          <a:solidFill>
            <a:schemeClr val="dk1"/>
          </a:solidFill>
          <a:prstDash val="solid"/>
        </a:ln>
        <a:effectLst/>
      </c:spPr>
    </c:title>
    <c:plotArea>
      <c:layout/>
      <c:barChart>
        <c:barDir val="col"/>
        <c:grouping val="stacked"/>
        <c:ser>
          <c:idx val="2"/>
          <c:order val="0"/>
          <c:tx>
            <c:strRef>
              <c:f>PortfolioDashboard!$O$249</c:f>
              <c:strCache>
                <c:ptCount val="1"/>
                <c:pt idx="0">
                  <c:v>Scope 3 - Commuting</c:v>
                </c:pt>
              </c:strCache>
            </c:strRef>
          </c:tx>
          <c:spPr>
            <a:ln>
              <a:solidFill>
                <a:sysClr val="windowText" lastClr="000000"/>
              </a:solidFill>
            </a:ln>
          </c:spPr>
          <c:dLbls>
            <c:txPr>
              <a:bodyPr/>
              <a:lstStyle/>
              <a:p>
                <a:pPr>
                  <a:defRPr sz="1200"/>
                </a:pPr>
                <a:endParaRPr lang="en-US"/>
              </a:p>
            </c:txPr>
            <c:showVal val="1"/>
          </c:dLbls>
          <c:cat>
            <c:strRef>
              <c:f>PortfolioDashboard!$O$246</c:f>
              <c:strCache>
                <c:ptCount val="1"/>
                <c:pt idx="0">
                  <c:v>Remaining in 2050</c:v>
                </c:pt>
              </c:strCache>
            </c:strRef>
          </c:cat>
          <c:val>
            <c:numRef>
              <c:f>PortfolioDashboard!$B$250</c:f>
              <c:numCache>
                <c:formatCode>#,##0</c:formatCode>
                <c:ptCount val="1"/>
                <c:pt idx="0">
                  <c:v>15000</c:v>
                </c:pt>
              </c:numCache>
            </c:numRef>
          </c:val>
        </c:ser>
        <c:ser>
          <c:idx val="3"/>
          <c:order val="1"/>
          <c:tx>
            <c:strRef>
              <c:f>PortfolioDashboard!$O$250</c:f>
              <c:strCache>
                <c:ptCount val="1"/>
                <c:pt idx="0">
                  <c:v>Scope 3 - Air Travel</c:v>
                </c:pt>
              </c:strCache>
            </c:strRef>
          </c:tx>
          <c:spPr>
            <a:ln>
              <a:solidFill>
                <a:sysClr val="windowText" lastClr="000000"/>
              </a:solidFill>
            </a:ln>
          </c:spPr>
          <c:dLbls>
            <c:txPr>
              <a:bodyPr/>
              <a:lstStyle/>
              <a:p>
                <a:pPr>
                  <a:defRPr sz="1200"/>
                </a:pPr>
                <a:endParaRPr lang="en-US"/>
              </a:p>
            </c:txPr>
            <c:showVal val="1"/>
          </c:dLbls>
          <c:cat>
            <c:strRef>
              <c:f>PortfolioDashboard!$O$246</c:f>
              <c:strCache>
                <c:ptCount val="1"/>
                <c:pt idx="0">
                  <c:v>Remaining in 2050</c:v>
                </c:pt>
              </c:strCache>
            </c:strRef>
          </c:cat>
          <c:val>
            <c:numRef>
              <c:f>PortfolioDashboard!$B$251</c:f>
              <c:numCache>
                <c:formatCode>#,##0</c:formatCode>
                <c:ptCount val="1"/>
              </c:numCache>
            </c:numRef>
          </c:val>
        </c:ser>
        <c:ser>
          <c:idx val="1"/>
          <c:order val="2"/>
          <c:tx>
            <c:strRef>
              <c:f>PortfolioDashboard!$O$248</c:f>
              <c:strCache>
                <c:ptCount val="1"/>
                <c:pt idx="0">
                  <c:v>Scope 2</c:v>
                </c:pt>
              </c:strCache>
            </c:strRef>
          </c:tx>
          <c:spPr>
            <a:ln>
              <a:solidFill>
                <a:sysClr val="windowText" lastClr="000000"/>
              </a:solidFill>
            </a:ln>
          </c:spPr>
          <c:dLbls>
            <c:txPr>
              <a:bodyPr/>
              <a:lstStyle/>
              <a:p>
                <a:pPr>
                  <a:defRPr sz="1200"/>
                </a:pPr>
                <a:endParaRPr lang="en-US"/>
              </a:p>
            </c:txPr>
            <c:showVal val="1"/>
          </c:dLbls>
          <c:cat>
            <c:strRef>
              <c:f>PortfolioDashboard!$O$246</c:f>
              <c:strCache>
                <c:ptCount val="1"/>
                <c:pt idx="0">
                  <c:v>Remaining in 2050</c:v>
                </c:pt>
              </c:strCache>
            </c:strRef>
          </c:cat>
          <c:val>
            <c:numRef>
              <c:f>PortfolioDashboard!$B$249</c:f>
              <c:numCache>
                <c:formatCode>#,##0</c:formatCode>
                <c:ptCount val="1"/>
              </c:numCache>
            </c:numRef>
          </c:val>
        </c:ser>
        <c:ser>
          <c:idx val="0"/>
          <c:order val="3"/>
          <c:tx>
            <c:strRef>
              <c:f>PortfolioDashboard!$O$247</c:f>
              <c:strCache>
                <c:ptCount val="1"/>
                <c:pt idx="0">
                  <c:v>Scope 1</c:v>
                </c:pt>
              </c:strCache>
            </c:strRef>
          </c:tx>
          <c:spPr>
            <a:ln>
              <a:solidFill>
                <a:sysClr val="windowText" lastClr="000000"/>
              </a:solidFill>
            </a:ln>
          </c:spPr>
          <c:dLbls>
            <c:txPr>
              <a:bodyPr/>
              <a:lstStyle/>
              <a:p>
                <a:pPr>
                  <a:defRPr sz="1200"/>
                </a:pPr>
                <a:endParaRPr lang="en-US"/>
              </a:p>
            </c:txPr>
            <c:showVal val="1"/>
          </c:dLbls>
          <c:cat>
            <c:strRef>
              <c:f>PortfolioDashboard!$O$246</c:f>
              <c:strCache>
                <c:ptCount val="1"/>
                <c:pt idx="0">
                  <c:v>Remaining in 2050</c:v>
                </c:pt>
              </c:strCache>
            </c:strRef>
          </c:cat>
          <c:val>
            <c:numRef>
              <c:f>PortfolioDashboard!$B$248</c:f>
              <c:numCache>
                <c:formatCode>#,##0</c:formatCode>
                <c:ptCount val="1"/>
                <c:pt idx="0">
                  <c:v>29000</c:v>
                </c:pt>
              </c:numCache>
            </c:numRef>
          </c:val>
        </c:ser>
        <c:overlap val="100"/>
        <c:axId val="97133312"/>
        <c:axId val="97134848"/>
      </c:barChart>
      <c:catAx>
        <c:axId val="97133312"/>
        <c:scaling>
          <c:orientation val="minMax"/>
        </c:scaling>
        <c:delete val="1"/>
        <c:axPos val="b"/>
        <c:tickLblPos val="none"/>
        <c:crossAx val="97134848"/>
        <c:crosses val="autoZero"/>
        <c:auto val="1"/>
        <c:lblAlgn val="ctr"/>
        <c:lblOffset val="100"/>
      </c:catAx>
      <c:valAx>
        <c:axId val="97134848"/>
        <c:scaling>
          <c:orientation val="minMax"/>
          <c:max val="250000"/>
          <c:min val="0"/>
        </c:scaling>
        <c:axPos val="l"/>
        <c:majorGridlines/>
        <c:title>
          <c:tx>
            <c:rich>
              <a:bodyPr rot="-5400000" vert="horz"/>
              <a:lstStyle/>
              <a:p>
                <a:pPr>
                  <a:defRPr/>
                </a:pPr>
                <a:r>
                  <a:rPr lang="en-US"/>
                  <a:t>MTCO</a:t>
                </a:r>
                <a:r>
                  <a:rPr lang="en-US" baseline="-25000"/>
                  <a:t>2</a:t>
                </a:r>
                <a:r>
                  <a:rPr lang="en-US"/>
                  <a:t>e</a:t>
                </a:r>
              </a:p>
            </c:rich>
          </c:tx>
        </c:title>
        <c:numFmt formatCode="#,##0" sourceLinked="1"/>
        <c:tickLblPos val="nextTo"/>
        <c:crossAx val="97133312"/>
        <c:crosses val="autoZero"/>
        <c:crossBetween val="between"/>
        <c:majorUnit val="50000"/>
        <c:minorUnit val="10000"/>
      </c:valAx>
    </c:plotArea>
    <c:legend>
      <c:legendPos val="r"/>
      <c:txPr>
        <a:bodyPr/>
        <a:lstStyle/>
        <a:p>
          <a:pPr>
            <a:defRPr sz="1100"/>
          </a:pPr>
          <a:endParaRPr lang="en-US"/>
        </a:p>
      </c:txPr>
    </c:legend>
    <c:plotVisOnly val="1"/>
  </c:chart>
  <c:spPr>
    <a:ln>
      <a:noFill/>
    </a:ln>
  </c:spPr>
  <c:txPr>
    <a:bodyPr/>
    <a:lstStyle/>
    <a:p>
      <a:pPr>
        <a:defRPr sz="1400"/>
      </a:pPr>
      <a:endParaRPr lang="en-US"/>
    </a:p>
  </c:txPr>
  <c:printSettings>
    <c:headerFooter/>
    <c:pageMargins b="0.75000000000000044" l="0.7000000000000004" r="0.7000000000000004" t="0.75000000000000044" header="0.30000000000000021" footer="0.3000000000000002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strRef>
          <c:f>PortfolioCFStatement!$D$159</c:f>
          <c:strCache>
            <c:ptCount val="1"/>
            <c:pt idx="0">
              <c:v>Electricity Savings</c:v>
            </c:pt>
          </c:strCache>
        </c:strRef>
      </c:tx>
      <c:overlay val="1"/>
    </c:title>
    <c:plotArea>
      <c:layout/>
      <c:pieChart>
        <c:varyColors val="1"/>
        <c:ser>
          <c:idx val="0"/>
          <c:order val="0"/>
          <c:dLbls>
            <c:showPercent val="1"/>
            <c:showLeaderLines val="1"/>
          </c:dLbls>
          <c:cat>
            <c:multiLvlStrRef>
              <c:f>PortfolioCFStatement!$D$129:$D$145</c:f>
            </c:multiLvlStrRef>
          </c:cat>
          <c:val>
            <c:numRef>
              <c:f>PortfolioCFStatement!$F$129:$F$145</c:f>
            </c:numRef>
          </c:val>
        </c:ser>
        <c:firstSliceAng val="0"/>
      </c:pieChart>
    </c:plotArea>
    <c:legend>
      <c:legendPos val="r"/>
    </c:legend>
    <c:plotVisOnly val="1"/>
  </c:chart>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061519560797255"/>
          <c:y val="4.0780604903727237E-2"/>
          <c:w val="0.80890718339430889"/>
          <c:h val="0.83991410164638514"/>
        </c:manualLayout>
      </c:layout>
      <c:areaChart>
        <c:grouping val="stacked"/>
        <c:ser>
          <c:idx val="1"/>
          <c:order val="0"/>
          <c:tx>
            <c:strRef>
              <c:f>CampusArea!$C$3</c:f>
              <c:strCache>
                <c:ptCount val="1"/>
                <c:pt idx="0">
                  <c:v>Unrenovated Existing Space</c:v>
                </c:pt>
              </c:strCache>
            </c:strRef>
          </c:tx>
          <c:spPr>
            <a:ln>
              <a:solidFill>
                <a:sysClr val="windowText" lastClr="000000"/>
              </a:solidFill>
            </a:ln>
          </c:spPr>
          <c:cat>
            <c:numRef>
              <c:f>CampusArea!$B$7:$B$52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CampusArea!$C$7:$C$52</c:f>
              <c:numCache>
                <c:formatCode>#,##0</c:formatCode>
                <c:ptCount val="46"/>
                <c:pt idx="0">
                  <c:v>6536.7910000000002</c:v>
                </c:pt>
                <c:pt idx="1">
                  <c:v>6536.7910000000002</c:v>
                </c:pt>
                <c:pt idx="2">
                  <c:v>6562.1940000000004</c:v>
                </c:pt>
                <c:pt idx="3">
                  <c:v>6604.1940000000004</c:v>
                </c:pt>
                <c:pt idx="4">
                  <c:v>6606.0540000000001</c:v>
                </c:pt>
                <c:pt idx="5">
                  <c:v>6584.0540000000001</c:v>
                </c:pt>
                <c:pt idx="6">
                  <c:v>6562.0540000000001</c:v>
                </c:pt>
                <c:pt idx="7">
                  <c:v>6540.0540000000001</c:v>
                </c:pt>
                <c:pt idx="8">
                  <c:v>6518.0540000000001</c:v>
                </c:pt>
                <c:pt idx="9">
                  <c:v>6496.0540000000001</c:v>
                </c:pt>
                <c:pt idx="10">
                  <c:v>6474.0540000000001</c:v>
                </c:pt>
                <c:pt idx="11">
                  <c:v>6452.0540000000001</c:v>
                </c:pt>
                <c:pt idx="12">
                  <c:v>6430.0540000000001</c:v>
                </c:pt>
                <c:pt idx="13">
                  <c:v>6408.0540000000001</c:v>
                </c:pt>
                <c:pt idx="14">
                  <c:v>6386.0540000000001</c:v>
                </c:pt>
                <c:pt idx="15">
                  <c:v>6364.0540000000001</c:v>
                </c:pt>
                <c:pt idx="16">
                  <c:v>6342.0540000000001</c:v>
                </c:pt>
                <c:pt idx="17">
                  <c:v>6320.0540000000001</c:v>
                </c:pt>
                <c:pt idx="18">
                  <c:v>6298.0540000000001</c:v>
                </c:pt>
                <c:pt idx="19">
                  <c:v>6276.0540000000001</c:v>
                </c:pt>
                <c:pt idx="20">
                  <c:v>6254.0540000000001</c:v>
                </c:pt>
                <c:pt idx="21">
                  <c:v>6232.0540000000001</c:v>
                </c:pt>
                <c:pt idx="22">
                  <c:v>6210.0540000000001</c:v>
                </c:pt>
                <c:pt idx="23">
                  <c:v>6188.0540000000001</c:v>
                </c:pt>
                <c:pt idx="24">
                  <c:v>6166.0540000000001</c:v>
                </c:pt>
                <c:pt idx="25">
                  <c:v>6144.0540000000001</c:v>
                </c:pt>
                <c:pt idx="26">
                  <c:v>6122.0540000000001</c:v>
                </c:pt>
                <c:pt idx="27">
                  <c:v>6100.0540000000001</c:v>
                </c:pt>
                <c:pt idx="28">
                  <c:v>6078.0540000000001</c:v>
                </c:pt>
                <c:pt idx="29">
                  <c:v>6056.0540000000001</c:v>
                </c:pt>
                <c:pt idx="30">
                  <c:v>6034.0540000000001</c:v>
                </c:pt>
                <c:pt idx="31">
                  <c:v>6012.0540000000001</c:v>
                </c:pt>
                <c:pt idx="32">
                  <c:v>5990.0540000000001</c:v>
                </c:pt>
                <c:pt idx="33">
                  <c:v>5968.0540000000001</c:v>
                </c:pt>
                <c:pt idx="34">
                  <c:v>5946.0540000000001</c:v>
                </c:pt>
                <c:pt idx="35">
                  <c:v>5924.0540000000001</c:v>
                </c:pt>
                <c:pt idx="36">
                  <c:v>5902.0540000000001</c:v>
                </c:pt>
                <c:pt idx="37">
                  <c:v>5880.0540000000001</c:v>
                </c:pt>
                <c:pt idx="38">
                  <c:v>5858.0540000000001</c:v>
                </c:pt>
                <c:pt idx="39">
                  <c:v>5836.0540000000001</c:v>
                </c:pt>
                <c:pt idx="40">
                  <c:v>5814.0540000000001</c:v>
                </c:pt>
                <c:pt idx="41">
                  <c:v>5792.0540000000001</c:v>
                </c:pt>
                <c:pt idx="42">
                  <c:v>5770.0540000000001</c:v>
                </c:pt>
                <c:pt idx="43">
                  <c:v>5748.0540000000001</c:v>
                </c:pt>
                <c:pt idx="44">
                  <c:v>5726.0540000000001</c:v>
                </c:pt>
                <c:pt idx="45">
                  <c:v>5704.0540000000001</c:v>
                </c:pt>
              </c:numCache>
            </c:numRef>
          </c:val>
        </c:ser>
        <c:ser>
          <c:idx val="4"/>
          <c:order val="1"/>
          <c:tx>
            <c:strRef>
              <c:f>CampusArea!$D$3</c:f>
              <c:strCache>
                <c:ptCount val="1"/>
                <c:pt idx="0">
                  <c:v>Renovated Existing Space</c:v>
                </c:pt>
              </c:strCache>
            </c:strRef>
          </c:tx>
          <c:spPr>
            <a:ln>
              <a:solidFill>
                <a:sysClr val="windowText" lastClr="000000"/>
              </a:solidFill>
            </a:ln>
          </c:spPr>
          <c:cat>
            <c:numRef>
              <c:f>CampusArea!$B$7:$B$52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CampusArea!$D$7:$D$52</c:f>
              <c:numCache>
                <c:formatCode>#,##0</c:formatCode>
                <c:ptCount val="46"/>
                <c:pt idx="5">
                  <c:v>22</c:v>
                </c:pt>
                <c:pt idx="6">
                  <c:v>44</c:v>
                </c:pt>
                <c:pt idx="7">
                  <c:v>66</c:v>
                </c:pt>
                <c:pt idx="8">
                  <c:v>88</c:v>
                </c:pt>
                <c:pt idx="9">
                  <c:v>110</c:v>
                </c:pt>
                <c:pt idx="10">
                  <c:v>132</c:v>
                </c:pt>
                <c:pt idx="11">
                  <c:v>154</c:v>
                </c:pt>
                <c:pt idx="12">
                  <c:v>176</c:v>
                </c:pt>
                <c:pt idx="13">
                  <c:v>198</c:v>
                </c:pt>
                <c:pt idx="14">
                  <c:v>220</c:v>
                </c:pt>
                <c:pt idx="15">
                  <c:v>242</c:v>
                </c:pt>
                <c:pt idx="16">
                  <c:v>264</c:v>
                </c:pt>
                <c:pt idx="17">
                  <c:v>286</c:v>
                </c:pt>
                <c:pt idx="18">
                  <c:v>308</c:v>
                </c:pt>
                <c:pt idx="19">
                  <c:v>330</c:v>
                </c:pt>
                <c:pt idx="20">
                  <c:v>352</c:v>
                </c:pt>
                <c:pt idx="21">
                  <c:v>374</c:v>
                </c:pt>
                <c:pt idx="22">
                  <c:v>396</c:v>
                </c:pt>
                <c:pt idx="23">
                  <c:v>418</c:v>
                </c:pt>
                <c:pt idx="24">
                  <c:v>440</c:v>
                </c:pt>
                <c:pt idx="25">
                  <c:v>462</c:v>
                </c:pt>
                <c:pt idx="26">
                  <c:v>484</c:v>
                </c:pt>
                <c:pt idx="27">
                  <c:v>506</c:v>
                </c:pt>
                <c:pt idx="28">
                  <c:v>528</c:v>
                </c:pt>
                <c:pt idx="29">
                  <c:v>550</c:v>
                </c:pt>
                <c:pt idx="30">
                  <c:v>572</c:v>
                </c:pt>
                <c:pt idx="31">
                  <c:v>594</c:v>
                </c:pt>
                <c:pt idx="32">
                  <c:v>616</c:v>
                </c:pt>
                <c:pt idx="33">
                  <c:v>638</c:v>
                </c:pt>
                <c:pt idx="34">
                  <c:v>660</c:v>
                </c:pt>
                <c:pt idx="35">
                  <c:v>682</c:v>
                </c:pt>
                <c:pt idx="36">
                  <c:v>704</c:v>
                </c:pt>
                <c:pt idx="37">
                  <c:v>726</c:v>
                </c:pt>
                <c:pt idx="38">
                  <c:v>748</c:v>
                </c:pt>
                <c:pt idx="39">
                  <c:v>770</c:v>
                </c:pt>
                <c:pt idx="40">
                  <c:v>792</c:v>
                </c:pt>
                <c:pt idx="41">
                  <c:v>814</c:v>
                </c:pt>
                <c:pt idx="42">
                  <c:v>836</c:v>
                </c:pt>
                <c:pt idx="43">
                  <c:v>858</c:v>
                </c:pt>
                <c:pt idx="44">
                  <c:v>880</c:v>
                </c:pt>
                <c:pt idx="45">
                  <c:v>902</c:v>
                </c:pt>
              </c:numCache>
            </c:numRef>
          </c:val>
        </c:ser>
        <c:ser>
          <c:idx val="2"/>
          <c:order val="2"/>
          <c:tx>
            <c:strRef>
              <c:f>CampusArea!$E$3</c:f>
              <c:strCache>
                <c:ptCount val="1"/>
                <c:pt idx="0">
                  <c:v>Net Additions</c:v>
                </c:pt>
              </c:strCache>
            </c:strRef>
          </c:tx>
          <c:spPr>
            <a:ln>
              <a:solidFill>
                <a:sysClr val="windowText" lastClr="000000"/>
              </a:solidFill>
            </a:ln>
          </c:spPr>
          <c:cat>
            <c:numRef>
              <c:f>CampusArea!$B$7:$B$52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CampusArea!$E$7:$E$52</c:f>
              <c:numCache>
                <c:formatCode>#,##0</c:formatCode>
                <c:ptCount val="46"/>
                <c:pt idx="5">
                  <c:v>81.826052525057094</c:v>
                </c:pt>
                <c:pt idx="6">
                  <c:v>163.6521050501151</c:v>
                </c:pt>
                <c:pt idx="7">
                  <c:v>355.47815757517219</c:v>
                </c:pt>
                <c:pt idx="8">
                  <c:v>467.30421010022928</c:v>
                </c:pt>
                <c:pt idx="9">
                  <c:v>549.13026262528729</c:v>
                </c:pt>
                <c:pt idx="10">
                  <c:v>710.95631515034438</c:v>
                </c:pt>
                <c:pt idx="11">
                  <c:v>792.78236767540147</c:v>
                </c:pt>
                <c:pt idx="12">
                  <c:v>874.60842020045948</c:v>
                </c:pt>
                <c:pt idx="13">
                  <c:v>956.43447272551657</c:v>
                </c:pt>
                <c:pt idx="14">
                  <c:v>1038.2605252505746</c:v>
                </c:pt>
                <c:pt idx="15">
                  <c:v>1120.0865777756317</c:v>
                </c:pt>
                <c:pt idx="16">
                  <c:v>1201.9126303006888</c:v>
                </c:pt>
                <c:pt idx="17">
                  <c:v>1283.7386828257459</c:v>
                </c:pt>
                <c:pt idx="18">
                  <c:v>1365.5647353508039</c:v>
                </c:pt>
                <c:pt idx="19">
                  <c:v>1447.390787875861</c:v>
                </c:pt>
                <c:pt idx="20">
                  <c:v>1529.216840400919</c:v>
                </c:pt>
                <c:pt idx="21">
                  <c:v>1611.042892925976</c:v>
                </c:pt>
                <c:pt idx="22">
                  <c:v>1692.8689454510331</c:v>
                </c:pt>
                <c:pt idx="23">
                  <c:v>1774.6949979760902</c:v>
                </c:pt>
                <c:pt idx="24">
                  <c:v>1856.5210505011491</c:v>
                </c:pt>
                <c:pt idx="25">
                  <c:v>1938.3471030262062</c:v>
                </c:pt>
                <c:pt idx="26">
                  <c:v>2020.1731555512633</c:v>
                </c:pt>
                <c:pt idx="27">
                  <c:v>2101.9992080763204</c:v>
                </c:pt>
                <c:pt idx="28">
                  <c:v>2183.8252606013775</c:v>
                </c:pt>
                <c:pt idx="29">
                  <c:v>2265.6513131264346</c:v>
                </c:pt>
                <c:pt idx="30">
                  <c:v>2347.4773656514917</c:v>
                </c:pt>
                <c:pt idx="31">
                  <c:v>2429.3034181765506</c:v>
                </c:pt>
                <c:pt idx="32">
                  <c:v>2511.1294707016077</c:v>
                </c:pt>
                <c:pt idx="33">
                  <c:v>2592.9555232266648</c:v>
                </c:pt>
                <c:pt idx="34">
                  <c:v>2674.7815757517219</c:v>
                </c:pt>
                <c:pt idx="35">
                  <c:v>2756.607628276779</c:v>
                </c:pt>
                <c:pt idx="36">
                  <c:v>2838.4336808018379</c:v>
                </c:pt>
                <c:pt idx="37">
                  <c:v>2920.259733326895</c:v>
                </c:pt>
                <c:pt idx="38">
                  <c:v>3002.0857858519521</c:v>
                </c:pt>
                <c:pt idx="39">
                  <c:v>3083.9118383770092</c:v>
                </c:pt>
                <c:pt idx="40">
                  <c:v>3165.7378909020663</c:v>
                </c:pt>
                <c:pt idx="41">
                  <c:v>3247.5639434271234</c:v>
                </c:pt>
                <c:pt idx="42">
                  <c:v>3329.3899959521805</c:v>
                </c:pt>
                <c:pt idx="43">
                  <c:v>3411.2160484772394</c:v>
                </c:pt>
                <c:pt idx="44">
                  <c:v>3493.0421010022965</c:v>
                </c:pt>
                <c:pt idx="45">
                  <c:v>3574.8681535273536</c:v>
                </c:pt>
              </c:numCache>
            </c:numRef>
          </c:val>
        </c:ser>
        <c:axId val="172116608"/>
        <c:axId val="172127744"/>
      </c:areaChart>
      <c:lineChart>
        <c:grouping val="standard"/>
        <c:ser>
          <c:idx val="3"/>
          <c:order val="3"/>
          <c:tx>
            <c:strRef>
              <c:f>CampusArea!$G$2</c:f>
              <c:strCache>
                <c:ptCount val="1"/>
                <c:pt idx="0">
                  <c:v>Total GSF</c:v>
                </c:pt>
              </c:strCache>
            </c:strRef>
          </c:tx>
          <c:spPr>
            <a:ln w="25400">
              <a:solidFill>
                <a:schemeClr val="tx1"/>
              </a:solidFill>
            </a:ln>
          </c:spPr>
          <c:marker>
            <c:symbol val="circle"/>
            <c:size val="5"/>
            <c:spPr>
              <a:solidFill>
                <a:schemeClr val="tx2">
                  <a:lumMod val="60000"/>
                  <a:lumOff val="40000"/>
                </a:schemeClr>
              </a:solidFill>
              <a:ln w="19050">
                <a:solidFill>
                  <a:sysClr val="windowText" lastClr="000000"/>
                </a:solidFill>
              </a:ln>
            </c:spPr>
          </c:marker>
          <c:cat>
            <c:numRef>
              <c:f>CampusArea!$B$7:$B$52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CampusArea!$G$7:$G$52</c:f>
              <c:numCache>
                <c:formatCode>#,##0</c:formatCode>
                <c:ptCount val="46"/>
                <c:pt idx="0">
                  <c:v>6536.7910000000002</c:v>
                </c:pt>
                <c:pt idx="1">
                  <c:v>6536.7910000000002</c:v>
                </c:pt>
                <c:pt idx="2">
                  <c:v>6562.1940000000004</c:v>
                </c:pt>
                <c:pt idx="3">
                  <c:v>6604.1940000000004</c:v>
                </c:pt>
                <c:pt idx="4">
                  <c:v>6606.0540000000001</c:v>
                </c:pt>
                <c:pt idx="5">
                  <c:v>6687.8800525250572</c:v>
                </c:pt>
                <c:pt idx="6">
                  <c:v>6769.7061050501152</c:v>
                </c:pt>
                <c:pt idx="7">
                  <c:v>6961.5321575751723</c:v>
                </c:pt>
                <c:pt idx="8">
                  <c:v>7073.3582101002294</c:v>
                </c:pt>
                <c:pt idx="9">
                  <c:v>7155.1842626252874</c:v>
                </c:pt>
                <c:pt idx="10">
                  <c:v>7317.0103151503445</c:v>
                </c:pt>
                <c:pt idx="11">
                  <c:v>7398.8363676754016</c:v>
                </c:pt>
                <c:pt idx="12">
                  <c:v>7480.6624202004596</c:v>
                </c:pt>
                <c:pt idx="13">
                  <c:v>7562.4884727255167</c:v>
                </c:pt>
                <c:pt idx="14">
                  <c:v>7644.3145252505747</c:v>
                </c:pt>
                <c:pt idx="15">
                  <c:v>7726.1405777756318</c:v>
                </c:pt>
                <c:pt idx="16">
                  <c:v>7807.9666303006888</c:v>
                </c:pt>
                <c:pt idx="17">
                  <c:v>7889.7926828257459</c:v>
                </c:pt>
                <c:pt idx="18">
                  <c:v>7971.6187353508039</c:v>
                </c:pt>
                <c:pt idx="19">
                  <c:v>8053.444787875861</c:v>
                </c:pt>
                <c:pt idx="20">
                  <c:v>8135.270840400919</c:v>
                </c:pt>
                <c:pt idx="21">
                  <c:v>8217.0968929259761</c:v>
                </c:pt>
                <c:pt idx="22">
                  <c:v>8298.9229454510332</c:v>
                </c:pt>
                <c:pt idx="23">
                  <c:v>8380.7489979760903</c:v>
                </c:pt>
                <c:pt idx="24">
                  <c:v>8462.5750505011492</c:v>
                </c:pt>
                <c:pt idx="25">
                  <c:v>8544.4011030262063</c:v>
                </c:pt>
                <c:pt idx="26">
                  <c:v>8626.2271555512634</c:v>
                </c:pt>
                <c:pt idx="27">
                  <c:v>8708.0532080763205</c:v>
                </c:pt>
                <c:pt idx="28">
                  <c:v>8789.8792606013776</c:v>
                </c:pt>
                <c:pt idx="29">
                  <c:v>8871.7053131264347</c:v>
                </c:pt>
                <c:pt idx="30">
                  <c:v>8953.5313656514918</c:v>
                </c:pt>
                <c:pt idx="31">
                  <c:v>9035.3574181765507</c:v>
                </c:pt>
                <c:pt idx="32">
                  <c:v>9117.1834707016078</c:v>
                </c:pt>
                <c:pt idx="33">
                  <c:v>9199.0095232266649</c:v>
                </c:pt>
                <c:pt idx="34">
                  <c:v>9280.835575751722</c:v>
                </c:pt>
                <c:pt idx="35">
                  <c:v>9362.6616282767791</c:v>
                </c:pt>
                <c:pt idx="36">
                  <c:v>9444.487680801838</c:v>
                </c:pt>
                <c:pt idx="37">
                  <c:v>9526.3137333268951</c:v>
                </c:pt>
                <c:pt idx="38">
                  <c:v>9608.1397858519522</c:v>
                </c:pt>
                <c:pt idx="39">
                  <c:v>9689.9658383770093</c:v>
                </c:pt>
                <c:pt idx="40">
                  <c:v>9771.7918909020664</c:v>
                </c:pt>
                <c:pt idx="41">
                  <c:v>9853.6179434271235</c:v>
                </c:pt>
                <c:pt idx="42">
                  <c:v>9935.4439959521806</c:v>
                </c:pt>
                <c:pt idx="43">
                  <c:v>10017.270048477239</c:v>
                </c:pt>
                <c:pt idx="44">
                  <c:v>10099.096101002297</c:v>
                </c:pt>
                <c:pt idx="45">
                  <c:v>10180.922153527354</c:v>
                </c:pt>
              </c:numCache>
            </c:numRef>
          </c:val>
        </c:ser>
        <c:marker val="1"/>
        <c:axId val="172116608"/>
        <c:axId val="172127744"/>
      </c:lineChart>
      <c:catAx>
        <c:axId val="172116608"/>
        <c:scaling>
          <c:orientation val="minMax"/>
        </c:scaling>
        <c:axPos val="b"/>
        <c:numFmt formatCode="General" sourceLinked="1"/>
        <c:tickLblPos val="nextTo"/>
        <c:crossAx val="172127744"/>
        <c:crosses val="autoZero"/>
        <c:auto val="1"/>
        <c:lblAlgn val="ctr"/>
        <c:lblOffset val="100"/>
        <c:tickLblSkip val="5"/>
        <c:tickMarkSkip val="5"/>
      </c:catAx>
      <c:valAx>
        <c:axId val="172127744"/>
        <c:scaling>
          <c:orientation val="minMax"/>
        </c:scaling>
        <c:axPos val="l"/>
        <c:majorGridlines/>
        <c:title>
          <c:tx>
            <c:strRef>
              <c:f>'[5]Campus Area'!$B$2:$G$2</c:f>
              <c:strCache>
                <c:ptCount val="1"/>
                <c:pt idx="0">
                  <c:v>Campus Area GSF (1,000's)</c:v>
                </c:pt>
              </c:strCache>
            </c:strRef>
          </c:tx>
          <c:txPr>
            <a:bodyPr rot="-5400000" vert="horz"/>
            <a:lstStyle/>
            <a:p>
              <a:pPr>
                <a:defRPr/>
              </a:pPr>
              <a:endParaRPr lang="en-US"/>
            </a:p>
          </c:txPr>
        </c:title>
        <c:numFmt formatCode="#,##0" sourceLinked="1"/>
        <c:tickLblPos val="nextTo"/>
        <c:crossAx val="172116608"/>
        <c:crosses val="autoZero"/>
        <c:crossBetween val="between"/>
      </c:valAx>
    </c:plotArea>
    <c:legend>
      <c:legendPos val="l"/>
      <c:layout>
        <c:manualLayout>
          <c:xMode val="edge"/>
          <c:yMode val="edge"/>
          <c:x val="0.18545124326269269"/>
          <c:y val="0.54083714742268751"/>
          <c:w val="0.28290557474391881"/>
          <c:h val="0.3321012559380529"/>
        </c:manualLayout>
      </c:layout>
      <c:overlay val="1"/>
      <c:spPr>
        <a:solidFill>
          <a:schemeClr val="lt1"/>
        </a:solidFill>
        <a:ln w="254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legend>
    <c:dispBlanksAs val="zero"/>
  </c:chart>
  <c:printSettings>
    <c:headerFooter/>
    <c:pageMargins b="0.75000000000000722" l="0.70000000000000062" r="0.70000000000000062" t="0.750000000000007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stacked"/>
        <c:ser>
          <c:idx val="0"/>
          <c:order val="0"/>
          <c:tx>
            <c:strRef>
              <c:f>'VSG (3)'!$F$2</c:f>
              <c:strCache>
                <c:ptCount val="1"/>
                <c:pt idx="0">
                  <c:v>EndPoints</c:v>
                </c:pt>
              </c:strCache>
            </c:strRef>
          </c:tx>
          <c:spPr>
            <a:solidFill>
              <a:schemeClr val="tx1"/>
            </a:solidFill>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(3)'!$F$3:$F$18</c:f>
              <c:numCache>
                <c:formatCode>"$"#,##0_);[Red]\("$"#,##0\)</c:formatCode>
                <c:ptCount val="16"/>
                <c:pt idx="13">
                  <c:v>541.70889245092985</c:v>
                </c:pt>
                <c:pt idx="15">
                  <c:v>604.61174930926472</c:v>
                </c:pt>
              </c:numCache>
            </c:numRef>
          </c:val>
        </c:ser>
        <c:ser>
          <c:idx val="1"/>
          <c:order val="1"/>
          <c:tx>
            <c:strRef>
              <c:f>'VSG (3)'!$G$2</c:f>
              <c:strCache>
                <c:ptCount val="1"/>
                <c:pt idx="0">
                  <c:v>blank neg  </c:v>
                </c:pt>
              </c:strCache>
            </c:strRef>
          </c:tx>
          <c:spPr>
            <a:noFill/>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(3)'!$G$3:$G$18</c:f>
              <c:numCache>
                <c:formatCode>"$"#,##0_);[Red]\("$"#,##0\)</c:formatCode>
                <c:ptCount val="16"/>
                <c:pt idx="1">
                  <c:v>0</c:v>
                </c:pt>
                <c:pt idx="2">
                  <c:v>0</c:v>
                </c:pt>
                <c:pt idx="3">
                  <c:v>0</c:v>
                </c:pt>
                <c:pt idx="4">
                  <c:v>0</c:v>
                </c:pt>
                <c:pt idx="5">
                  <c:v>0</c:v>
                </c:pt>
                <c:pt idx="6">
                  <c:v>0</c:v>
                </c:pt>
                <c:pt idx="7">
                  <c:v>0</c:v>
                </c:pt>
                <c:pt idx="8">
                  <c:v>0</c:v>
                </c:pt>
                <c:pt idx="9">
                  <c:v>0</c:v>
                </c:pt>
                <c:pt idx="10">
                  <c:v>0</c:v>
                </c:pt>
                <c:pt idx="11">
                  <c:v>0</c:v>
                </c:pt>
                <c:pt idx="12">
                  <c:v>0</c:v>
                </c:pt>
                <c:pt idx="14">
                  <c:v>0</c:v>
                </c:pt>
              </c:numCache>
            </c:numRef>
          </c:val>
        </c:ser>
        <c:ser>
          <c:idx val="2"/>
          <c:order val="2"/>
          <c:tx>
            <c:strRef>
              <c:f>'VSG (3)'!$H$2</c:f>
              <c:strCache>
                <c:ptCount val="1"/>
                <c:pt idx="0">
                  <c:v>red neg  </c:v>
                </c:pt>
              </c:strCache>
            </c:strRef>
          </c:tx>
          <c:spPr>
            <a:solidFill>
              <a:srgbClr val="FF0000"/>
            </a:solidFill>
            <a:ln>
              <a:solidFill>
                <a:sysClr val="windowText" lastClr="000000"/>
              </a:solidFill>
            </a:ln>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(3)'!$H$3:$H$18</c:f>
              <c:numCache>
                <c:formatCode>"$"#,##0_);[Red]\("$"#,##0\)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4">
                  <c:v>0</c:v>
                </c:pt>
              </c:numCache>
            </c:numRef>
          </c:val>
        </c:ser>
        <c:ser>
          <c:idx val="3"/>
          <c:order val="3"/>
          <c:tx>
            <c:strRef>
              <c:f>'VSG (3)'!$I$2</c:f>
              <c:strCache>
                <c:ptCount val="1"/>
                <c:pt idx="0">
                  <c:v>grn neg  </c:v>
                </c:pt>
              </c:strCache>
            </c:strRef>
          </c:tx>
          <c:spPr>
            <a:solidFill>
              <a:srgbClr val="00B050"/>
            </a:solidFill>
            <a:ln>
              <a:solidFill>
                <a:sysClr val="windowText" lastClr="000000"/>
              </a:solidFill>
            </a:ln>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(3)'!$I$3:$I$18</c:f>
              <c:numCache>
                <c:formatCode>"$"#,##0_);[Red]\("$"#,##0\)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4">
                  <c:v>0</c:v>
                </c:pt>
              </c:numCache>
            </c:numRef>
          </c:val>
        </c:ser>
        <c:ser>
          <c:idx val="4"/>
          <c:order val="4"/>
          <c:tx>
            <c:strRef>
              <c:f>'VSG (3)'!$J$2</c:f>
              <c:strCache>
                <c:ptCount val="1"/>
                <c:pt idx="0">
                  <c:v>blank pos  </c:v>
                </c:pt>
              </c:strCache>
            </c:strRef>
          </c:tx>
          <c:spPr>
            <a:noFill/>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(3)'!$J$3:$J$18</c:f>
              <c:numCache>
                <c:formatCode>"$"#,##0_);[Red]\("$"#,##0\)</c:formatCode>
                <c:ptCount val="16"/>
                <c:pt idx="1">
                  <c:v>90.493263964832991</c:v>
                </c:pt>
                <c:pt idx="2">
                  <c:v>90.493263964832991</c:v>
                </c:pt>
                <c:pt idx="3">
                  <c:v>142.40231050654836</c:v>
                </c:pt>
                <c:pt idx="4">
                  <c:v>142.40231050654836</c:v>
                </c:pt>
                <c:pt idx="5">
                  <c:v>149.12749143784069</c:v>
                </c:pt>
                <c:pt idx="6">
                  <c:v>149.12749143784069</c:v>
                </c:pt>
                <c:pt idx="7">
                  <c:v>149.12749143784069</c:v>
                </c:pt>
                <c:pt idx="8">
                  <c:v>149.12749143784069</c:v>
                </c:pt>
                <c:pt idx="9">
                  <c:v>504.34318790035491</c:v>
                </c:pt>
                <c:pt idx="10">
                  <c:v>504.34318790035491</c:v>
                </c:pt>
                <c:pt idx="11">
                  <c:v>541.70889245092985</c:v>
                </c:pt>
                <c:pt idx="12">
                  <c:v>541.70889245092985</c:v>
                </c:pt>
                <c:pt idx="14">
                  <c:v>541.70889245092985</c:v>
                </c:pt>
              </c:numCache>
            </c:numRef>
          </c:val>
        </c:ser>
        <c:ser>
          <c:idx val="5"/>
          <c:order val="5"/>
          <c:tx>
            <c:strRef>
              <c:f>'VSG (3)'!$K$2</c:f>
              <c:strCache>
                <c:ptCount val="1"/>
                <c:pt idx="0">
                  <c:v>red pos  </c:v>
                </c:pt>
              </c:strCache>
            </c:strRef>
          </c:tx>
          <c:spPr>
            <a:solidFill>
              <a:srgbClr val="FF0000"/>
            </a:solidFill>
            <a:ln>
              <a:solidFill>
                <a:sysClr val="windowText" lastClr="000000"/>
              </a:solidFill>
            </a:ln>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(3)'!$K$3:$K$18</c:f>
              <c:numCache>
                <c:formatCode>"$"#,##0_);[Red]\("$"#,##0\)</c:formatCode>
                <c:ptCount val="16"/>
                <c:pt idx="0">
                  <c:v>0</c:v>
                </c:pt>
                <c:pt idx="1">
                  <c:v>1.4891904806596066</c:v>
                </c:pt>
                <c:pt idx="2">
                  <c:v>0</c:v>
                </c:pt>
                <c:pt idx="3">
                  <c:v>4.2289761405559281</c:v>
                </c:pt>
                <c:pt idx="4">
                  <c:v>0</c:v>
                </c:pt>
                <c:pt idx="5">
                  <c:v>9.7821102226704966</c:v>
                </c:pt>
                <c:pt idx="6">
                  <c:v>0</c:v>
                </c:pt>
                <c:pt idx="7">
                  <c:v>0</c:v>
                </c:pt>
                <c:pt idx="8">
                  <c:v>0</c:v>
                </c:pt>
                <c:pt idx="9">
                  <c:v>24.662921665798507</c:v>
                </c:pt>
                <c:pt idx="10">
                  <c:v>0</c:v>
                </c:pt>
                <c:pt idx="11">
                  <c:v>9.533811315730782</c:v>
                </c:pt>
                <c:pt idx="12">
                  <c:v>0</c:v>
                </c:pt>
                <c:pt idx="14">
                  <c:v>0</c:v>
                </c:pt>
              </c:numCache>
            </c:numRef>
          </c:val>
        </c:ser>
        <c:ser>
          <c:idx val="6"/>
          <c:order val="6"/>
          <c:tx>
            <c:strRef>
              <c:f>'VSG (3)'!$L$2</c:f>
              <c:strCache>
                <c:ptCount val="1"/>
                <c:pt idx="0">
                  <c:v>grn pos  </c:v>
                </c:pt>
              </c:strCache>
            </c:strRef>
          </c:tx>
          <c:spPr>
            <a:solidFill>
              <a:srgbClr val="00B050"/>
            </a:solidFill>
            <a:ln>
              <a:solidFill>
                <a:sysClr val="windowText" lastClr="000000"/>
              </a:solidFill>
            </a:ln>
          </c:spPr>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(3)'!$L$3:$L$18</c:f>
              <c:numCache>
                <c:formatCode>"$"#,##0_);[Red]\("$"#,##0\)</c:formatCode>
                <c:ptCount val="16"/>
                <c:pt idx="0">
                  <c:v>91.982454445492593</c:v>
                </c:pt>
                <c:pt idx="1">
                  <c:v>0</c:v>
                </c:pt>
                <c:pt idx="2">
                  <c:v>56.138022682271277</c:v>
                </c:pt>
                <c:pt idx="3">
                  <c:v>0</c:v>
                </c:pt>
                <c:pt idx="4">
                  <c:v>16.507291153962836</c:v>
                </c:pt>
                <c:pt idx="5">
                  <c:v>0</c:v>
                </c:pt>
                <c:pt idx="6">
                  <c:v>0</c:v>
                </c:pt>
                <c:pt idx="7">
                  <c:v>0</c:v>
                </c:pt>
                <c:pt idx="8">
                  <c:v>379.87861812831278</c:v>
                </c:pt>
                <c:pt idx="9">
                  <c:v>0</c:v>
                </c:pt>
                <c:pt idx="10">
                  <c:v>46.89951586630567</c:v>
                </c:pt>
                <c:pt idx="11">
                  <c:v>0</c:v>
                </c:pt>
                <c:pt idx="12">
                  <c:v>0</c:v>
                </c:pt>
                <c:pt idx="14">
                  <c:v>62.902856858334836</c:v>
                </c:pt>
              </c:numCache>
            </c:numRef>
          </c:val>
        </c:ser>
        <c:gapWidth val="26"/>
        <c:overlap val="100"/>
        <c:axId val="96968064"/>
        <c:axId val="192107648"/>
      </c:barChart>
      <c:lineChart>
        <c:grouping val="standard"/>
        <c:ser>
          <c:idx val="7"/>
          <c:order val="7"/>
          <c:tx>
            <c:strRef>
              <c:f>'VSG (3)'!$M$2</c:f>
              <c:strCache>
                <c:ptCount val="1"/>
                <c:pt idx="0">
                  <c:v>Y label</c:v>
                </c:pt>
              </c:strCache>
            </c:strRef>
          </c:tx>
          <c:spPr>
            <a:ln>
              <a:noFill/>
            </a:ln>
          </c:spPr>
          <c:marker>
            <c:symbol val="none"/>
          </c:marker>
          <c:dLbls>
            <c:dLbl>
              <c:idx val="0"/>
              <c:tx>
                <c:strRef>
                  <c:f>'VSG (3)'!$D$3</c:f>
                  <c:strCache>
                    <c:ptCount val="1"/>
                    <c:pt idx="0">
                      <c:v>$92 </c:v>
                    </c:pt>
                  </c:strCache>
                </c:strRef>
              </c:tx>
              <c:dLblPos val="t"/>
              <c:showVal val="1"/>
            </c:dLbl>
            <c:dLbl>
              <c:idx val="1"/>
              <c:tx>
                <c:strRef>
                  <c:f>'VSG (3)'!$D$4</c:f>
                  <c:strCache>
                    <c:ptCount val="1"/>
                    <c:pt idx="0">
                      <c:v>($1)</c:v>
                    </c:pt>
                  </c:strCache>
                </c:strRef>
              </c:tx>
              <c:dLblPos val="t"/>
              <c:showVal val="1"/>
            </c:dLbl>
            <c:dLbl>
              <c:idx val="2"/>
              <c:tx>
                <c:strRef>
                  <c:f>'VSG (3)'!$D$5</c:f>
                  <c:strCache>
                    <c:ptCount val="1"/>
                    <c:pt idx="0">
                      <c:v>$56 </c:v>
                    </c:pt>
                  </c:strCache>
                </c:strRef>
              </c:tx>
              <c:dLblPos val="t"/>
              <c:showVal val="1"/>
            </c:dLbl>
            <c:dLbl>
              <c:idx val="3"/>
              <c:tx>
                <c:strRef>
                  <c:f>'VSG (3)'!$D$6</c:f>
                  <c:strCache>
                    <c:ptCount val="1"/>
                    <c:pt idx="0">
                      <c:v>($4)</c:v>
                    </c:pt>
                  </c:strCache>
                </c:strRef>
              </c:tx>
              <c:dLblPos val="t"/>
              <c:showVal val="1"/>
            </c:dLbl>
            <c:dLbl>
              <c:idx val="4"/>
              <c:tx>
                <c:strRef>
                  <c:f>'VSG (3)'!$D$7</c:f>
                  <c:strCache>
                    <c:ptCount val="1"/>
                    <c:pt idx="0">
                      <c:v>$17 </c:v>
                    </c:pt>
                  </c:strCache>
                </c:strRef>
              </c:tx>
              <c:dLblPos val="t"/>
              <c:showVal val="1"/>
            </c:dLbl>
            <c:dLbl>
              <c:idx val="5"/>
              <c:tx>
                <c:strRef>
                  <c:f>'VSG (3)'!$D$8</c:f>
                  <c:strCache>
                    <c:ptCount val="1"/>
                    <c:pt idx="0">
                      <c:v>($10)</c:v>
                    </c:pt>
                  </c:strCache>
                </c:strRef>
              </c:tx>
              <c:dLblPos val="t"/>
              <c:showVal val="1"/>
            </c:dLbl>
            <c:dLbl>
              <c:idx val="6"/>
              <c:tx>
                <c:strRef>
                  <c:f>'VSG (3)'!$D$9</c:f>
                  <c:strCache>
                    <c:ptCount val="1"/>
                    <c:pt idx="0">
                      <c:v>$0 </c:v>
                    </c:pt>
                  </c:strCache>
                </c:strRef>
              </c:tx>
              <c:dLblPos val="t"/>
              <c:showVal val="1"/>
            </c:dLbl>
            <c:dLbl>
              <c:idx val="7"/>
              <c:tx>
                <c:rich>
                  <a:bodyPr/>
                  <a:lstStyle/>
                  <a:p>
                    <a:r>
                      <a:rPr lang="en-US"/>
                      <a:t>0</a:t>
                    </a:r>
                  </a:p>
                </c:rich>
              </c:tx>
              <c:dLblPos val="t"/>
              <c:showVal val="1"/>
            </c:dLbl>
            <c:dLbl>
              <c:idx val="8"/>
              <c:tx>
                <c:strRef>
                  <c:f>'VSG (3)'!$D$11</c:f>
                  <c:strCache>
                    <c:ptCount val="1"/>
                    <c:pt idx="0">
                      <c:v>$380 </c:v>
                    </c:pt>
                  </c:strCache>
                </c:strRef>
              </c:tx>
              <c:dLblPos val="t"/>
              <c:showVal val="1"/>
            </c:dLbl>
            <c:dLbl>
              <c:idx val="9"/>
              <c:tx>
                <c:strRef>
                  <c:f>'VSG (3)'!$D$12</c:f>
                  <c:strCache>
                    <c:ptCount val="1"/>
                    <c:pt idx="0">
                      <c:v>($25)</c:v>
                    </c:pt>
                  </c:strCache>
                </c:strRef>
              </c:tx>
              <c:dLblPos val="t"/>
              <c:showVal val="1"/>
            </c:dLbl>
            <c:dLbl>
              <c:idx val="10"/>
              <c:tx>
                <c:strRef>
                  <c:f>'VSG (3)'!$D$13</c:f>
                  <c:strCache>
                    <c:ptCount val="1"/>
                    <c:pt idx="0">
                      <c:v>$47 </c:v>
                    </c:pt>
                  </c:strCache>
                </c:strRef>
              </c:tx>
              <c:dLblPos val="t"/>
              <c:showVal val="1"/>
            </c:dLbl>
            <c:dLbl>
              <c:idx val="11"/>
              <c:tx>
                <c:strRef>
                  <c:f>'VSG (3)'!$D$14</c:f>
                  <c:strCache>
                    <c:ptCount val="1"/>
                    <c:pt idx="0">
                      <c:v>($10)</c:v>
                    </c:pt>
                  </c:strCache>
                </c:strRef>
              </c:tx>
              <c:dLblPos val="t"/>
              <c:showVal val="1"/>
            </c:dLbl>
            <c:dLbl>
              <c:idx val="12"/>
              <c:tx>
                <c:strRef>
                  <c:f>'VSG (3)'!$D$15</c:f>
                  <c:strCache>
                    <c:ptCount val="1"/>
                    <c:pt idx="0">
                      <c:v>$0 </c:v>
                    </c:pt>
                  </c:strCache>
                </c:strRef>
              </c:tx>
              <c:dLblPos val="t"/>
              <c:showVal val="1"/>
            </c:dLbl>
            <c:dLbl>
              <c:idx val="13"/>
              <c:tx>
                <c:strRef>
                  <c:f>'VSG (3)'!$D$16</c:f>
                  <c:strCache>
                    <c:ptCount val="1"/>
                    <c:pt idx="0">
                      <c:v>$542 </c:v>
                    </c:pt>
                  </c:strCache>
                </c:strRef>
              </c:tx>
              <c:dLblPos val="t"/>
              <c:showVal val="1"/>
            </c:dLbl>
            <c:dLbl>
              <c:idx val="14"/>
              <c:tx>
                <c:strRef>
                  <c:f>'VSG (3)'!$D$17</c:f>
                  <c:strCache>
                    <c:ptCount val="1"/>
                    <c:pt idx="0">
                      <c:v>$63 </c:v>
                    </c:pt>
                  </c:strCache>
                </c:strRef>
              </c:tx>
              <c:dLblPos val="t"/>
              <c:showVal val="1"/>
            </c:dLbl>
            <c:dLbl>
              <c:idx val="15"/>
              <c:tx>
                <c:strRef>
                  <c:f>'VSG (3)'!$D$18</c:f>
                  <c:strCache>
                    <c:ptCount val="1"/>
                    <c:pt idx="0">
                      <c:v>$605 </c:v>
                    </c:pt>
                  </c:strCache>
                </c:strRef>
              </c:tx>
              <c:dLblPos val="t"/>
              <c:showVal val="1"/>
            </c:dLbl>
            <c:dLblPos val="t"/>
            <c:showVal val="1"/>
          </c:dLbls>
          <c:cat>
            <c:strRef>
              <c:f>'VSG (3)'!$C$3:$C$18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(3)'!$M$3:$M$18</c:f>
              <c:numCache>
                <c:formatCode>"$"#,##0_);[Red]\("$"#,##0\)</c:formatCode>
                <c:ptCount val="16"/>
                <c:pt idx="0">
                  <c:v>91.982454445492593</c:v>
                </c:pt>
                <c:pt idx="1">
                  <c:v>91.982454445492593</c:v>
                </c:pt>
                <c:pt idx="2">
                  <c:v>146.63128664710428</c:v>
                </c:pt>
                <c:pt idx="3">
                  <c:v>146.63128664710428</c:v>
                </c:pt>
                <c:pt idx="4">
                  <c:v>158.90960166051119</c:v>
                </c:pt>
                <c:pt idx="5">
                  <c:v>158.90960166051119</c:v>
                </c:pt>
                <c:pt idx="6">
                  <c:v>149.12749143784069</c:v>
                </c:pt>
                <c:pt idx="7">
                  <c:v>149.12749143784069</c:v>
                </c:pt>
                <c:pt idx="8">
                  <c:v>529.00610956615344</c:v>
                </c:pt>
                <c:pt idx="9">
                  <c:v>529.00610956615344</c:v>
                </c:pt>
                <c:pt idx="10">
                  <c:v>551.24270376666061</c:v>
                </c:pt>
                <c:pt idx="11">
                  <c:v>551.24270376666061</c:v>
                </c:pt>
                <c:pt idx="12">
                  <c:v>541.70889245092985</c:v>
                </c:pt>
                <c:pt idx="13">
                  <c:v>541.70889245092985</c:v>
                </c:pt>
                <c:pt idx="14">
                  <c:v>604.61174930926472</c:v>
                </c:pt>
                <c:pt idx="15">
                  <c:v>604.61174930926472</c:v>
                </c:pt>
              </c:numCache>
            </c:numRef>
          </c:val>
        </c:ser>
        <c:marker val="1"/>
        <c:axId val="96968064"/>
        <c:axId val="192107648"/>
      </c:lineChart>
      <c:catAx>
        <c:axId val="96968064"/>
        <c:scaling>
          <c:orientation val="minMax"/>
        </c:scaling>
        <c:axPos val="b"/>
        <c:tickLblPos val="low"/>
        <c:crossAx val="192107648"/>
        <c:crosses val="autoZero"/>
        <c:auto val="1"/>
        <c:lblAlgn val="ctr"/>
        <c:lblOffset val="100"/>
      </c:catAx>
      <c:valAx>
        <c:axId val="192107648"/>
        <c:scaling>
          <c:orientation val="minMax"/>
        </c:scaling>
        <c:axPos val="l"/>
        <c:majorGridlines/>
        <c:numFmt formatCode="&quot;$&quot;#,##0_);[Red]\(&quot;$&quot;#,##0\)" sourceLinked="1"/>
        <c:tickLblPos val="nextTo"/>
        <c:crossAx val="96968064"/>
        <c:crosses val="autoZero"/>
        <c:crossBetween val="between"/>
      </c:valAx>
    </c:plotArea>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strRef>
          <c:f>'VSG (4)'!$E$21</c:f>
          <c:strCache>
            <c:ptCount val="1"/>
            <c:pt idx="0">
              <c:v>Components of Value: Behavior Change</c:v>
            </c:pt>
          </c:strCache>
        </c:strRef>
      </c:tx>
    </c:title>
    <c:plotArea>
      <c:layout/>
      <c:barChart>
        <c:barDir val="col"/>
        <c:grouping val="stacked"/>
        <c:ser>
          <c:idx val="0"/>
          <c:order val="0"/>
          <c:tx>
            <c:strRef>
              <c:f>'VSG (4)'!$F$2</c:f>
              <c:strCache>
                <c:ptCount val="1"/>
                <c:pt idx="0">
                  <c:v>EndPoints</c:v>
                </c:pt>
              </c:strCache>
            </c:strRef>
          </c:tx>
          <c:spPr>
            <a:solidFill>
              <a:schemeClr val="tx1"/>
            </a:solidFill>
          </c:spPr>
          <c:cat>
            <c:strRef>
              <c:f>'VSG (4)'!$C$3:$C$18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(4)'!$F$3:$F$18</c:f>
              <c:numCache>
                <c:formatCode>"$"#,##0_);[Red]\("$"#,##0\)</c:formatCode>
                <c:ptCount val="16"/>
                <c:pt idx="13">
                  <c:v>4.5721549945188444</c:v>
                </c:pt>
                <c:pt idx="15">
                  <c:v>6.2375954816561556</c:v>
                </c:pt>
              </c:numCache>
            </c:numRef>
          </c:val>
        </c:ser>
        <c:ser>
          <c:idx val="1"/>
          <c:order val="1"/>
          <c:tx>
            <c:strRef>
              <c:f>'VSG (4)'!$G$2</c:f>
              <c:strCache>
                <c:ptCount val="1"/>
                <c:pt idx="0">
                  <c:v>blank neg  </c:v>
                </c:pt>
              </c:strCache>
            </c:strRef>
          </c:tx>
          <c:spPr>
            <a:noFill/>
          </c:spPr>
          <c:cat>
            <c:strRef>
              <c:f>'VSG (4)'!$C$3:$C$18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(4)'!$G$3:$G$18</c:f>
              <c:numCache>
                <c:formatCode>"$"#,##0_);[Red]\("$"#,##0\)</c:formatCode>
                <c:ptCount val="16"/>
                <c:pt idx="1">
                  <c:v>0</c:v>
                </c:pt>
                <c:pt idx="2">
                  <c:v>0</c:v>
                </c:pt>
                <c:pt idx="3">
                  <c:v>0</c:v>
                </c:pt>
                <c:pt idx="4">
                  <c:v>0</c:v>
                </c:pt>
                <c:pt idx="5">
                  <c:v>0</c:v>
                </c:pt>
                <c:pt idx="6">
                  <c:v>0</c:v>
                </c:pt>
                <c:pt idx="7">
                  <c:v>0</c:v>
                </c:pt>
                <c:pt idx="8">
                  <c:v>0</c:v>
                </c:pt>
                <c:pt idx="9">
                  <c:v>0</c:v>
                </c:pt>
                <c:pt idx="10">
                  <c:v>0</c:v>
                </c:pt>
                <c:pt idx="11">
                  <c:v>0</c:v>
                </c:pt>
                <c:pt idx="12">
                  <c:v>0</c:v>
                </c:pt>
                <c:pt idx="14">
                  <c:v>0</c:v>
                </c:pt>
              </c:numCache>
            </c:numRef>
          </c:val>
        </c:ser>
        <c:ser>
          <c:idx val="2"/>
          <c:order val="2"/>
          <c:tx>
            <c:strRef>
              <c:f>'VSG (4)'!$H$2</c:f>
              <c:strCache>
                <c:ptCount val="1"/>
                <c:pt idx="0">
                  <c:v>red neg  </c:v>
                </c:pt>
              </c:strCache>
            </c:strRef>
          </c:tx>
          <c:spPr>
            <a:solidFill>
              <a:srgbClr val="FF0000"/>
            </a:solidFill>
            <a:ln>
              <a:solidFill>
                <a:sysClr val="windowText" lastClr="000000"/>
              </a:solidFill>
            </a:ln>
          </c:spPr>
          <c:cat>
            <c:strRef>
              <c:f>'VSG (4)'!$C$3:$C$18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(4)'!$H$3:$H$18</c:f>
              <c:numCache>
                <c:formatCode>"$"#,##0_);[Red]\("$"#,##0\)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4">
                  <c:v>0</c:v>
                </c:pt>
              </c:numCache>
            </c:numRef>
          </c:val>
        </c:ser>
        <c:ser>
          <c:idx val="3"/>
          <c:order val="3"/>
          <c:tx>
            <c:strRef>
              <c:f>'VSG (4)'!$I$2</c:f>
              <c:strCache>
                <c:ptCount val="1"/>
                <c:pt idx="0">
                  <c:v>grn neg  </c:v>
                </c:pt>
              </c:strCache>
            </c:strRef>
          </c:tx>
          <c:spPr>
            <a:solidFill>
              <a:srgbClr val="00B050"/>
            </a:solidFill>
            <a:ln>
              <a:solidFill>
                <a:sysClr val="windowText" lastClr="000000"/>
              </a:solidFill>
            </a:ln>
          </c:spPr>
          <c:cat>
            <c:strRef>
              <c:f>'VSG (4)'!$C$3:$C$18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(4)'!$I$3:$I$18</c:f>
              <c:numCache>
                <c:formatCode>"$"#,##0_);[Red]\("$"#,##0\)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4">
                  <c:v>0</c:v>
                </c:pt>
              </c:numCache>
            </c:numRef>
          </c:val>
        </c:ser>
        <c:ser>
          <c:idx val="4"/>
          <c:order val="4"/>
          <c:tx>
            <c:strRef>
              <c:f>'VSG (4)'!$J$2</c:f>
              <c:strCache>
                <c:ptCount val="1"/>
                <c:pt idx="0">
                  <c:v>blank pos  </c:v>
                </c:pt>
              </c:strCache>
            </c:strRef>
          </c:tx>
          <c:spPr>
            <a:noFill/>
          </c:spPr>
          <c:cat>
            <c:strRef>
              <c:f>'VSG (4)'!$C$3:$C$18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(4)'!$J$3:$J$18</c:f>
              <c:numCache>
                <c:formatCode>"$"#,##0_);[Red]\("$"#,##0\)</c:formatCode>
                <c:ptCount val="16"/>
                <c:pt idx="1">
                  <c:v>5.4607428145088921</c:v>
                </c:pt>
                <c:pt idx="2">
                  <c:v>5.4607428145088921</c:v>
                </c:pt>
                <c:pt idx="3">
                  <c:v>5.4607428145088921</c:v>
                </c:pt>
                <c:pt idx="4">
                  <c:v>5.4607428145088921</c:v>
                </c:pt>
                <c:pt idx="5">
                  <c:v>5.4607428145088921</c:v>
                </c:pt>
                <c:pt idx="6">
                  <c:v>5.4607428145088921</c:v>
                </c:pt>
                <c:pt idx="7">
                  <c:v>5.4607428145088921</c:v>
                </c:pt>
                <c:pt idx="8">
                  <c:v>5.4607428145088921</c:v>
                </c:pt>
                <c:pt idx="9">
                  <c:v>5.4607428145088921</c:v>
                </c:pt>
                <c:pt idx="10">
                  <c:v>5.4607428145088921</c:v>
                </c:pt>
                <c:pt idx="11">
                  <c:v>4.5721549945188444</c:v>
                </c:pt>
                <c:pt idx="12">
                  <c:v>4.5721549945188444</c:v>
                </c:pt>
                <c:pt idx="14">
                  <c:v>4.5721549945188444</c:v>
                </c:pt>
              </c:numCache>
            </c:numRef>
          </c:val>
        </c:ser>
        <c:ser>
          <c:idx val="5"/>
          <c:order val="5"/>
          <c:tx>
            <c:strRef>
              <c:f>'VSG (4)'!$K$2</c:f>
              <c:strCache>
                <c:ptCount val="1"/>
                <c:pt idx="0">
                  <c:v>red pos  </c:v>
                </c:pt>
              </c:strCache>
            </c:strRef>
          </c:tx>
          <c:spPr>
            <a:solidFill>
              <a:srgbClr val="FF0000"/>
            </a:solidFill>
            <a:ln>
              <a:solidFill>
                <a:sysClr val="windowText" lastClr="000000"/>
              </a:solidFill>
            </a:ln>
          </c:spPr>
          <c:cat>
            <c:strRef>
              <c:f>'VSG (4)'!$C$3:$C$18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(4)'!$K$3:$K$18</c:f>
              <c:numCache>
                <c:formatCode>"$"#,##0_);[Red]\("$"#,##0\)</c:formatCode>
                <c:ptCount val="16"/>
                <c:pt idx="0">
                  <c:v>0</c:v>
                </c:pt>
                <c:pt idx="1">
                  <c:v>0</c:v>
                </c:pt>
                <c:pt idx="2">
                  <c:v>0</c:v>
                </c:pt>
                <c:pt idx="3">
                  <c:v>0</c:v>
                </c:pt>
                <c:pt idx="4">
                  <c:v>0</c:v>
                </c:pt>
                <c:pt idx="5">
                  <c:v>0</c:v>
                </c:pt>
                <c:pt idx="6">
                  <c:v>0</c:v>
                </c:pt>
                <c:pt idx="7">
                  <c:v>0</c:v>
                </c:pt>
                <c:pt idx="8">
                  <c:v>0</c:v>
                </c:pt>
                <c:pt idx="9">
                  <c:v>0</c:v>
                </c:pt>
                <c:pt idx="10">
                  <c:v>0</c:v>
                </c:pt>
                <c:pt idx="11">
                  <c:v>0.88858781999004788</c:v>
                </c:pt>
                <c:pt idx="12">
                  <c:v>0</c:v>
                </c:pt>
                <c:pt idx="14">
                  <c:v>0</c:v>
                </c:pt>
              </c:numCache>
            </c:numRef>
          </c:val>
        </c:ser>
        <c:ser>
          <c:idx val="6"/>
          <c:order val="6"/>
          <c:tx>
            <c:strRef>
              <c:f>'VSG (4)'!$L$2</c:f>
              <c:strCache>
                <c:ptCount val="1"/>
                <c:pt idx="0">
                  <c:v>grn pos  </c:v>
                </c:pt>
              </c:strCache>
            </c:strRef>
          </c:tx>
          <c:spPr>
            <a:solidFill>
              <a:srgbClr val="00B050"/>
            </a:solidFill>
            <a:ln>
              <a:solidFill>
                <a:sysClr val="windowText" lastClr="000000"/>
              </a:solidFill>
            </a:ln>
          </c:spPr>
          <c:cat>
            <c:strRef>
              <c:f>'VSG (4)'!$C$3:$C$18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(4)'!$L$3:$L$18</c:f>
              <c:numCache>
                <c:formatCode>"$"#,##0_);[Red]\("$"#,##0\)</c:formatCode>
                <c:ptCount val="16"/>
                <c:pt idx="0">
                  <c:v>5.4607428145088921</c:v>
                </c:pt>
                <c:pt idx="1">
                  <c:v>0</c:v>
                </c:pt>
                <c:pt idx="2">
                  <c:v>0</c:v>
                </c:pt>
                <c:pt idx="3">
                  <c:v>0</c:v>
                </c:pt>
                <c:pt idx="4">
                  <c:v>0</c:v>
                </c:pt>
                <c:pt idx="5">
                  <c:v>0</c:v>
                </c:pt>
                <c:pt idx="6">
                  <c:v>0</c:v>
                </c:pt>
                <c:pt idx="7">
                  <c:v>0</c:v>
                </c:pt>
                <c:pt idx="8">
                  <c:v>0</c:v>
                </c:pt>
                <c:pt idx="9">
                  <c:v>0</c:v>
                </c:pt>
                <c:pt idx="10">
                  <c:v>0</c:v>
                </c:pt>
                <c:pt idx="11">
                  <c:v>0</c:v>
                </c:pt>
                <c:pt idx="12">
                  <c:v>0</c:v>
                </c:pt>
                <c:pt idx="14">
                  <c:v>1.6654404871373114</c:v>
                </c:pt>
              </c:numCache>
            </c:numRef>
          </c:val>
        </c:ser>
        <c:gapWidth val="26"/>
        <c:overlap val="100"/>
        <c:axId val="197029248"/>
        <c:axId val="192423040"/>
      </c:barChart>
      <c:lineChart>
        <c:grouping val="standard"/>
        <c:ser>
          <c:idx val="7"/>
          <c:order val="7"/>
          <c:tx>
            <c:strRef>
              <c:f>'VSG (4)'!$M$2</c:f>
              <c:strCache>
                <c:ptCount val="1"/>
                <c:pt idx="0">
                  <c:v>Y label</c:v>
                </c:pt>
              </c:strCache>
            </c:strRef>
          </c:tx>
          <c:spPr>
            <a:ln>
              <a:noFill/>
            </a:ln>
          </c:spPr>
          <c:marker>
            <c:symbol val="none"/>
          </c:marker>
          <c:dLbls>
            <c:dLbl>
              <c:idx val="0"/>
              <c:tx>
                <c:strRef>
                  <c:f>'VSG (4)'!$D$3</c:f>
                  <c:strCache>
                    <c:ptCount val="1"/>
                    <c:pt idx="0">
                      <c:v>$5.46 </c:v>
                    </c:pt>
                  </c:strCache>
                </c:strRef>
              </c:tx>
              <c:dLblPos val="t"/>
              <c:showVal val="1"/>
            </c:dLbl>
            <c:dLbl>
              <c:idx val="1"/>
              <c:tx>
                <c:strRef>
                  <c:f>'VSG (4)'!$D$4</c:f>
                  <c:strCache>
                    <c:ptCount val="1"/>
                    <c:pt idx="0">
                      <c:v>$0.00 </c:v>
                    </c:pt>
                  </c:strCache>
                </c:strRef>
              </c:tx>
              <c:dLblPos val="t"/>
              <c:showVal val="1"/>
            </c:dLbl>
            <c:dLbl>
              <c:idx val="2"/>
              <c:tx>
                <c:strRef>
                  <c:f>'VSG (4)'!$D$5</c:f>
                  <c:strCache>
                    <c:ptCount val="1"/>
                    <c:pt idx="0">
                      <c:v>$0.00 </c:v>
                    </c:pt>
                  </c:strCache>
                </c:strRef>
              </c:tx>
              <c:dLblPos val="t"/>
              <c:showVal val="1"/>
            </c:dLbl>
            <c:dLbl>
              <c:idx val="3"/>
              <c:tx>
                <c:strRef>
                  <c:f>'VSG (4)'!$D$6</c:f>
                  <c:strCache>
                    <c:ptCount val="1"/>
                    <c:pt idx="0">
                      <c:v>$0.00 </c:v>
                    </c:pt>
                  </c:strCache>
                </c:strRef>
              </c:tx>
              <c:dLblPos val="t"/>
              <c:showVal val="1"/>
            </c:dLbl>
            <c:dLbl>
              <c:idx val="4"/>
              <c:tx>
                <c:strRef>
                  <c:f>'VSG (4)'!$D$7</c:f>
                  <c:strCache>
                    <c:ptCount val="1"/>
                    <c:pt idx="0">
                      <c:v>$0.00 </c:v>
                    </c:pt>
                  </c:strCache>
                </c:strRef>
              </c:tx>
              <c:dLblPos val="t"/>
              <c:showVal val="1"/>
            </c:dLbl>
            <c:dLbl>
              <c:idx val="5"/>
              <c:tx>
                <c:strRef>
                  <c:f>'VSG (4)'!$D$8</c:f>
                  <c:strCache>
                    <c:ptCount val="1"/>
                    <c:pt idx="0">
                      <c:v>$0.00 </c:v>
                    </c:pt>
                  </c:strCache>
                </c:strRef>
              </c:tx>
              <c:dLblPos val="t"/>
              <c:showVal val="1"/>
            </c:dLbl>
            <c:dLbl>
              <c:idx val="6"/>
              <c:tx>
                <c:strRef>
                  <c:f>'VSG (4)'!$D$9</c:f>
                  <c:strCache>
                    <c:ptCount val="1"/>
                    <c:pt idx="0">
                      <c:v>$0.00 </c:v>
                    </c:pt>
                  </c:strCache>
                </c:strRef>
              </c:tx>
              <c:dLblPos val="t"/>
              <c:showVal val="1"/>
            </c:dLbl>
            <c:dLbl>
              <c:idx val="7"/>
              <c:tx>
                <c:strRef>
                  <c:f>'VSG (4)'!$D$10</c:f>
                  <c:strCache>
                    <c:ptCount val="1"/>
                    <c:pt idx="0">
                      <c:v>$0.00 </c:v>
                    </c:pt>
                  </c:strCache>
                </c:strRef>
              </c:tx>
              <c:dLblPos val="t"/>
              <c:showVal val="1"/>
            </c:dLbl>
            <c:dLbl>
              <c:idx val="8"/>
              <c:tx>
                <c:strRef>
                  <c:f>'VSG (4)'!$D$11</c:f>
                  <c:strCache>
                    <c:ptCount val="1"/>
                    <c:pt idx="0">
                      <c:v>$0.00 </c:v>
                    </c:pt>
                  </c:strCache>
                </c:strRef>
              </c:tx>
              <c:dLblPos val="t"/>
              <c:showVal val="1"/>
            </c:dLbl>
            <c:dLbl>
              <c:idx val="9"/>
              <c:tx>
                <c:strRef>
                  <c:f>'VSG (4)'!$D$12</c:f>
                  <c:strCache>
                    <c:ptCount val="1"/>
                    <c:pt idx="0">
                      <c:v>$0.00 </c:v>
                    </c:pt>
                  </c:strCache>
                </c:strRef>
              </c:tx>
              <c:dLblPos val="t"/>
              <c:showVal val="1"/>
            </c:dLbl>
            <c:dLbl>
              <c:idx val="10"/>
              <c:tx>
                <c:strRef>
                  <c:f>'VSG (4)'!$D$13</c:f>
                  <c:strCache>
                    <c:ptCount val="1"/>
                    <c:pt idx="0">
                      <c:v>$0.00 </c:v>
                    </c:pt>
                  </c:strCache>
                </c:strRef>
              </c:tx>
              <c:dLblPos val="t"/>
              <c:showVal val="1"/>
            </c:dLbl>
            <c:dLbl>
              <c:idx val="11"/>
              <c:tx>
                <c:strRef>
                  <c:f>'VSG (4)'!$D$14</c:f>
                  <c:strCache>
                    <c:ptCount val="1"/>
                    <c:pt idx="0">
                      <c:v>($0.89)</c:v>
                    </c:pt>
                  </c:strCache>
                </c:strRef>
              </c:tx>
              <c:dLblPos val="t"/>
              <c:showVal val="1"/>
            </c:dLbl>
            <c:dLbl>
              <c:idx val="12"/>
              <c:tx>
                <c:strRef>
                  <c:f>'VSG (4)'!$D$15</c:f>
                  <c:strCache>
                    <c:ptCount val="1"/>
                    <c:pt idx="0">
                      <c:v>$0.00 </c:v>
                    </c:pt>
                  </c:strCache>
                </c:strRef>
              </c:tx>
              <c:dLblPos val="t"/>
              <c:showVal val="1"/>
            </c:dLbl>
            <c:dLbl>
              <c:idx val="13"/>
              <c:tx>
                <c:strRef>
                  <c:f>'VSG (4)'!$D$16</c:f>
                  <c:strCache>
                    <c:ptCount val="1"/>
                    <c:pt idx="0">
                      <c:v>$4.57 </c:v>
                    </c:pt>
                  </c:strCache>
                </c:strRef>
              </c:tx>
              <c:dLblPos val="t"/>
              <c:showVal val="1"/>
            </c:dLbl>
            <c:dLbl>
              <c:idx val="14"/>
              <c:tx>
                <c:strRef>
                  <c:f>'VSG (4)'!$D$17</c:f>
                  <c:strCache>
                    <c:ptCount val="1"/>
                    <c:pt idx="0">
                      <c:v>$1.67 </c:v>
                    </c:pt>
                  </c:strCache>
                </c:strRef>
              </c:tx>
              <c:dLblPos val="t"/>
              <c:showVal val="1"/>
            </c:dLbl>
            <c:dLbl>
              <c:idx val="15"/>
              <c:tx>
                <c:strRef>
                  <c:f>'VSG (4)'!$D$18</c:f>
                  <c:strCache>
                    <c:ptCount val="1"/>
                    <c:pt idx="0">
                      <c:v>$6.24 </c:v>
                    </c:pt>
                  </c:strCache>
                </c:strRef>
              </c:tx>
              <c:dLblPos val="t"/>
              <c:showVal val="1"/>
            </c:dLbl>
            <c:numFmt formatCode="&quot;$&quot;#,##0.0" sourceLinked="0"/>
            <c:dLblPos val="t"/>
            <c:showVal val="1"/>
          </c:dLbls>
          <c:cat>
            <c:strRef>
              <c:f>'VSG (4)'!$C$3:$C$18</c:f>
              <c:strCache>
                <c:ptCount val="16"/>
                <c:pt idx="0">
                  <c:v>Electricity Savings</c:v>
                </c:pt>
                <c:pt idx="1">
                  <c:v>New Electricity Source Fuel Cost</c:v>
                </c:pt>
                <c:pt idx="2">
                  <c:v>Steam Savings</c:v>
                </c:pt>
                <c:pt idx="3">
                  <c:v>New Steam Source Fuel Cost</c:v>
                </c:pt>
                <c:pt idx="4">
                  <c:v>Chilled Water Savings</c:v>
                </c:pt>
                <c:pt idx="5">
                  <c:v>New Chilled Water Source Fuel Cost</c:v>
                </c:pt>
                <c:pt idx="6">
                  <c:v>NG Savings (Cost)</c:v>
                </c:pt>
                <c:pt idx="7">
                  <c:v>Campus Fleet Fuel</c:v>
                </c:pt>
                <c:pt idx="8">
                  <c:v>Avoided Capital Cost</c:v>
                </c:pt>
                <c:pt idx="9">
                  <c:v>New Capital Cost</c:v>
                </c:pt>
                <c:pt idx="10">
                  <c:v>Avoided Operating Costs</c:v>
                </c:pt>
                <c:pt idx="11">
                  <c:v>New Operating Costs</c:v>
                </c:pt>
                <c:pt idx="12">
                  <c:v>Other Revenue (Expense)</c:v>
                </c:pt>
                <c:pt idx="13">
                  <c:v>Incremental Cash Flow w/o Compliance Savings</c:v>
                </c:pt>
                <c:pt idx="14">
                  <c:v>Avoided Compliance Risk</c:v>
                </c:pt>
                <c:pt idx="15">
                  <c:v>Incremental Cash Flow w/ Compliance Savings</c:v>
                </c:pt>
              </c:strCache>
            </c:strRef>
          </c:cat>
          <c:val>
            <c:numRef>
              <c:f>'VSG (4)'!$M$3:$M$18</c:f>
              <c:numCache>
                <c:formatCode>"$"#,##0_);[Red]\("$"#,##0\)</c:formatCode>
                <c:ptCount val="16"/>
                <c:pt idx="0">
                  <c:v>5.4607428145088921</c:v>
                </c:pt>
                <c:pt idx="1">
                  <c:v>5.4607428145088921</c:v>
                </c:pt>
                <c:pt idx="2">
                  <c:v>5.4607428145088921</c:v>
                </c:pt>
                <c:pt idx="3">
                  <c:v>5.4607428145088921</c:v>
                </c:pt>
                <c:pt idx="4">
                  <c:v>5.4607428145088921</c:v>
                </c:pt>
                <c:pt idx="5">
                  <c:v>5.4607428145088921</c:v>
                </c:pt>
                <c:pt idx="6">
                  <c:v>5.4607428145088921</c:v>
                </c:pt>
                <c:pt idx="7">
                  <c:v>5.4607428145088921</c:v>
                </c:pt>
                <c:pt idx="8">
                  <c:v>5.4607428145088921</c:v>
                </c:pt>
                <c:pt idx="9">
                  <c:v>5.4607428145088921</c:v>
                </c:pt>
                <c:pt idx="10">
                  <c:v>5.4607428145088921</c:v>
                </c:pt>
                <c:pt idx="11">
                  <c:v>5.4607428145088921</c:v>
                </c:pt>
                <c:pt idx="12">
                  <c:v>4.5721549945188444</c:v>
                </c:pt>
                <c:pt idx="13">
                  <c:v>4.5721549945188444</c:v>
                </c:pt>
                <c:pt idx="14">
                  <c:v>6.2375954816561556</c:v>
                </c:pt>
                <c:pt idx="15">
                  <c:v>6.2375954816561556</c:v>
                </c:pt>
              </c:numCache>
            </c:numRef>
          </c:val>
        </c:ser>
        <c:marker val="1"/>
        <c:axId val="197029248"/>
        <c:axId val="192423040"/>
      </c:lineChart>
      <c:catAx>
        <c:axId val="197029248"/>
        <c:scaling>
          <c:orientation val="minMax"/>
        </c:scaling>
        <c:axPos val="b"/>
        <c:tickLblPos val="low"/>
        <c:crossAx val="192423040"/>
        <c:crosses val="autoZero"/>
        <c:auto val="1"/>
        <c:lblAlgn val="ctr"/>
        <c:lblOffset val="100"/>
      </c:catAx>
      <c:valAx>
        <c:axId val="192423040"/>
        <c:scaling>
          <c:orientation val="minMax"/>
        </c:scaling>
        <c:axPos val="l"/>
        <c:majorGridlines/>
        <c:numFmt formatCode="&quot;$&quot;#,##0.0_);[Red]\(&quot;$&quot;#,##0.0\)" sourceLinked="0"/>
        <c:tickLblPos val="nextTo"/>
        <c:crossAx val="197029248"/>
        <c:crosses val="autoZero"/>
        <c:crossBetween val="between"/>
      </c:valAx>
    </c:plotArea>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plotArea>
      <c:layout/>
      <c:areaChart>
        <c:grouping val="stacked"/>
        <c:ser>
          <c:idx val="1"/>
          <c:order val="0"/>
          <c:tx>
            <c:strRef>
              <c:f>GSFBYYEAR!$B$31</c:f>
              <c:strCache>
                <c:ptCount val="1"/>
                <c:pt idx="0">
                  <c:v>ACADEMIC</c:v>
                </c:pt>
              </c:strCache>
            </c:strRef>
          </c:tx>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GSFBYYEAR!$B$32:$B$62</c:f>
              <c:numCache>
                <c:formatCode>#,##0</c:formatCode>
                <c:ptCount val="31"/>
                <c:pt idx="0">
                  <c:v>2409532.9999999995</c:v>
                </c:pt>
                <c:pt idx="1">
                  <c:v>2409532.9999999995</c:v>
                </c:pt>
                <c:pt idx="2">
                  <c:v>2409532.9999999995</c:v>
                </c:pt>
                <c:pt idx="3">
                  <c:v>2409532.9999999995</c:v>
                </c:pt>
                <c:pt idx="4">
                  <c:v>2409532.9999999995</c:v>
                </c:pt>
                <c:pt idx="5">
                  <c:v>2409532.9999999995</c:v>
                </c:pt>
                <c:pt idx="6">
                  <c:v>2409532.9999999995</c:v>
                </c:pt>
                <c:pt idx="7">
                  <c:v>2409532.9999999995</c:v>
                </c:pt>
                <c:pt idx="8">
                  <c:v>2470532.9999999995</c:v>
                </c:pt>
                <c:pt idx="9">
                  <c:v>2470532.9999999995</c:v>
                </c:pt>
                <c:pt idx="10">
                  <c:v>2534126.9999999995</c:v>
                </c:pt>
                <c:pt idx="11">
                  <c:v>2534126.9999999995</c:v>
                </c:pt>
                <c:pt idx="12">
                  <c:v>2799659.9999999995</c:v>
                </c:pt>
                <c:pt idx="13">
                  <c:v>2799659.9999999995</c:v>
                </c:pt>
                <c:pt idx="14">
                  <c:v>2930237.9999999995</c:v>
                </c:pt>
                <c:pt idx="15">
                  <c:v>2930237.9999999995</c:v>
                </c:pt>
                <c:pt idx="16">
                  <c:v>3123819.9999999995</c:v>
                </c:pt>
                <c:pt idx="17">
                  <c:v>3123819.9999999995</c:v>
                </c:pt>
                <c:pt idx="18">
                  <c:v>3123819.9999999995</c:v>
                </c:pt>
                <c:pt idx="19">
                  <c:v>3123819.9999999995</c:v>
                </c:pt>
                <c:pt idx="20">
                  <c:v>3244211.9999999995</c:v>
                </c:pt>
                <c:pt idx="21">
                  <c:v>3244211.9999999995</c:v>
                </c:pt>
                <c:pt idx="22">
                  <c:v>3394111.9999999995</c:v>
                </c:pt>
                <c:pt idx="23">
                  <c:v>3763855.9999999995</c:v>
                </c:pt>
                <c:pt idx="24">
                  <c:v>3763855.9999999995</c:v>
                </c:pt>
                <c:pt idx="25">
                  <c:v>3782369.9999999995</c:v>
                </c:pt>
                <c:pt idx="26">
                  <c:v>3855345.18550782</c:v>
                </c:pt>
                <c:pt idx="27">
                  <c:v>3891223.18550782</c:v>
                </c:pt>
                <c:pt idx="28">
                  <c:v>3891223.18550782</c:v>
                </c:pt>
                <c:pt idx="29">
                  <c:v>3891223.18550782</c:v>
                </c:pt>
                <c:pt idx="30">
                  <c:v>3891223.18550782</c:v>
                </c:pt>
              </c:numCache>
            </c:numRef>
          </c:val>
        </c:ser>
        <c:ser>
          <c:idx val="2"/>
          <c:order val="1"/>
          <c:tx>
            <c:strRef>
              <c:f>GSFBYYEAR!$C$31</c:f>
              <c:strCache>
                <c:ptCount val="1"/>
                <c:pt idx="0">
                  <c:v>ADMINISTRATIVE</c:v>
                </c:pt>
              </c:strCache>
            </c:strRef>
          </c:tx>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GSFBYYEAR!$C$32:$C$62</c:f>
              <c:numCache>
                <c:formatCode>#,##0</c:formatCode>
                <c:ptCount val="31"/>
                <c:pt idx="0">
                  <c:v>265987</c:v>
                </c:pt>
                <c:pt idx="1">
                  <c:v>265987</c:v>
                </c:pt>
                <c:pt idx="2">
                  <c:v>265987</c:v>
                </c:pt>
                <c:pt idx="3">
                  <c:v>265987</c:v>
                </c:pt>
                <c:pt idx="4">
                  <c:v>265987</c:v>
                </c:pt>
                <c:pt idx="5">
                  <c:v>265987</c:v>
                </c:pt>
                <c:pt idx="6">
                  <c:v>265987</c:v>
                </c:pt>
                <c:pt idx="7">
                  <c:v>276363</c:v>
                </c:pt>
                <c:pt idx="8">
                  <c:v>276363</c:v>
                </c:pt>
                <c:pt idx="9">
                  <c:v>276363</c:v>
                </c:pt>
                <c:pt idx="10">
                  <c:v>276363</c:v>
                </c:pt>
                <c:pt idx="11">
                  <c:v>276363</c:v>
                </c:pt>
                <c:pt idx="12">
                  <c:v>395829</c:v>
                </c:pt>
                <c:pt idx="13">
                  <c:v>524070</c:v>
                </c:pt>
                <c:pt idx="14">
                  <c:v>524070</c:v>
                </c:pt>
                <c:pt idx="15">
                  <c:v>524070</c:v>
                </c:pt>
                <c:pt idx="16">
                  <c:v>524070</c:v>
                </c:pt>
                <c:pt idx="17">
                  <c:v>524070</c:v>
                </c:pt>
                <c:pt idx="18">
                  <c:v>524070</c:v>
                </c:pt>
                <c:pt idx="19">
                  <c:v>524070</c:v>
                </c:pt>
                <c:pt idx="20">
                  <c:v>574470</c:v>
                </c:pt>
                <c:pt idx="21">
                  <c:v>574470</c:v>
                </c:pt>
                <c:pt idx="22">
                  <c:v>574470</c:v>
                </c:pt>
                <c:pt idx="23">
                  <c:v>574470</c:v>
                </c:pt>
                <c:pt idx="24">
                  <c:v>574470</c:v>
                </c:pt>
                <c:pt idx="25">
                  <c:v>574470</c:v>
                </c:pt>
                <c:pt idx="26">
                  <c:v>574470</c:v>
                </c:pt>
                <c:pt idx="27">
                  <c:v>574470</c:v>
                </c:pt>
                <c:pt idx="28">
                  <c:v>580163</c:v>
                </c:pt>
                <c:pt idx="29">
                  <c:v>580163</c:v>
                </c:pt>
                <c:pt idx="30">
                  <c:v>580163</c:v>
                </c:pt>
              </c:numCache>
            </c:numRef>
          </c:val>
        </c:ser>
        <c:ser>
          <c:idx val="4"/>
          <c:order val="2"/>
          <c:tx>
            <c:strRef>
              <c:f>GSFBYYEAR!$E$31</c:f>
              <c:strCache>
                <c:ptCount val="1"/>
                <c:pt idx="0">
                  <c:v>COMMERCIAL RESIDENTIAL</c:v>
                </c:pt>
              </c:strCache>
            </c:strRef>
          </c:tx>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GSFBYYEAR!$E$32:$E$62</c:f>
              <c:numCache>
                <c:formatCode>#,##0</c:formatCode>
                <c:ptCount val="31"/>
                <c:pt idx="0">
                  <c:v>50585</c:v>
                </c:pt>
                <c:pt idx="1">
                  <c:v>52585</c:v>
                </c:pt>
                <c:pt idx="2">
                  <c:v>52585</c:v>
                </c:pt>
                <c:pt idx="3">
                  <c:v>52585</c:v>
                </c:pt>
                <c:pt idx="4">
                  <c:v>52585</c:v>
                </c:pt>
                <c:pt idx="5">
                  <c:v>52585</c:v>
                </c:pt>
                <c:pt idx="6">
                  <c:v>52585</c:v>
                </c:pt>
                <c:pt idx="7">
                  <c:v>52585</c:v>
                </c:pt>
                <c:pt idx="8">
                  <c:v>52585</c:v>
                </c:pt>
                <c:pt idx="9">
                  <c:v>52585</c:v>
                </c:pt>
                <c:pt idx="10">
                  <c:v>54285</c:v>
                </c:pt>
                <c:pt idx="11">
                  <c:v>56185</c:v>
                </c:pt>
                <c:pt idx="12">
                  <c:v>59985</c:v>
                </c:pt>
                <c:pt idx="13">
                  <c:v>59985</c:v>
                </c:pt>
                <c:pt idx="14">
                  <c:v>59985</c:v>
                </c:pt>
                <c:pt idx="15">
                  <c:v>59985</c:v>
                </c:pt>
                <c:pt idx="16">
                  <c:v>59985</c:v>
                </c:pt>
                <c:pt idx="17">
                  <c:v>61985</c:v>
                </c:pt>
                <c:pt idx="18">
                  <c:v>64085</c:v>
                </c:pt>
                <c:pt idx="19">
                  <c:v>64085</c:v>
                </c:pt>
                <c:pt idx="20">
                  <c:v>64085</c:v>
                </c:pt>
                <c:pt idx="21">
                  <c:v>64085</c:v>
                </c:pt>
                <c:pt idx="22">
                  <c:v>65985</c:v>
                </c:pt>
                <c:pt idx="23">
                  <c:v>65985</c:v>
                </c:pt>
                <c:pt idx="24">
                  <c:v>65985</c:v>
                </c:pt>
                <c:pt idx="25">
                  <c:v>65985</c:v>
                </c:pt>
                <c:pt idx="26">
                  <c:v>65985</c:v>
                </c:pt>
                <c:pt idx="27">
                  <c:v>65985</c:v>
                </c:pt>
                <c:pt idx="28">
                  <c:v>65985</c:v>
                </c:pt>
                <c:pt idx="29">
                  <c:v>65985</c:v>
                </c:pt>
                <c:pt idx="30">
                  <c:v>65985</c:v>
                </c:pt>
              </c:numCache>
            </c:numRef>
          </c:val>
        </c:ser>
        <c:ser>
          <c:idx val="5"/>
          <c:order val="3"/>
          <c:tx>
            <c:strRef>
              <c:f>GSFBYYEAR!$F$31</c:f>
              <c:strCache>
                <c:ptCount val="1"/>
                <c:pt idx="0">
                  <c:v>RESIDENTIAL</c:v>
                </c:pt>
              </c:strCache>
            </c:strRef>
          </c:tx>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GSFBYYEAR!$F$32:$F$62</c:f>
              <c:numCache>
                <c:formatCode>#,##0</c:formatCode>
                <c:ptCount val="31"/>
                <c:pt idx="0">
                  <c:v>701032</c:v>
                </c:pt>
                <c:pt idx="1">
                  <c:v>701032</c:v>
                </c:pt>
                <c:pt idx="2">
                  <c:v>701032</c:v>
                </c:pt>
                <c:pt idx="3">
                  <c:v>701032</c:v>
                </c:pt>
                <c:pt idx="4">
                  <c:v>701032</c:v>
                </c:pt>
                <c:pt idx="5">
                  <c:v>701032</c:v>
                </c:pt>
                <c:pt idx="6">
                  <c:v>701032</c:v>
                </c:pt>
                <c:pt idx="7">
                  <c:v>701032</c:v>
                </c:pt>
                <c:pt idx="8">
                  <c:v>701032</c:v>
                </c:pt>
                <c:pt idx="9">
                  <c:v>737032</c:v>
                </c:pt>
                <c:pt idx="10">
                  <c:v>737032</c:v>
                </c:pt>
                <c:pt idx="11">
                  <c:v>737032</c:v>
                </c:pt>
                <c:pt idx="12">
                  <c:v>737032</c:v>
                </c:pt>
                <c:pt idx="13">
                  <c:v>737032</c:v>
                </c:pt>
                <c:pt idx="14">
                  <c:v>737032</c:v>
                </c:pt>
                <c:pt idx="15">
                  <c:v>737032</c:v>
                </c:pt>
                <c:pt idx="16">
                  <c:v>737032</c:v>
                </c:pt>
                <c:pt idx="17">
                  <c:v>737032</c:v>
                </c:pt>
                <c:pt idx="18">
                  <c:v>737032</c:v>
                </c:pt>
                <c:pt idx="19">
                  <c:v>737032</c:v>
                </c:pt>
                <c:pt idx="20">
                  <c:v>737032</c:v>
                </c:pt>
                <c:pt idx="21">
                  <c:v>737032</c:v>
                </c:pt>
                <c:pt idx="22">
                  <c:v>737032</c:v>
                </c:pt>
                <c:pt idx="23">
                  <c:v>737032</c:v>
                </c:pt>
                <c:pt idx="24">
                  <c:v>737032</c:v>
                </c:pt>
                <c:pt idx="25">
                  <c:v>1158954</c:v>
                </c:pt>
                <c:pt idx="26">
                  <c:v>1158954</c:v>
                </c:pt>
                <c:pt idx="27">
                  <c:v>1158954</c:v>
                </c:pt>
                <c:pt idx="28">
                  <c:v>1158954</c:v>
                </c:pt>
                <c:pt idx="29">
                  <c:v>1158954</c:v>
                </c:pt>
                <c:pt idx="30">
                  <c:v>1158954</c:v>
                </c:pt>
              </c:numCache>
            </c:numRef>
          </c:val>
        </c:ser>
        <c:ser>
          <c:idx val="6"/>
          <c:order val="4"/>
          <c:tx>
            <c:strRef>
              <c:f>GSFBYYEAR!$G$31</c:f>
              <c:strCache>
                <c:ptCount val="1"/>
                <c:pt idx="0">
                  <c:v>OTHER</c:v>
                </c:pt>
              </c:strCache>
            </c:strRef>
          </c:tx>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GSFBYYEAR!$G$32:$G$62</c:f>
              <c:numCache>
                <c:formatCode>#,##0</c:formatCode>
                <c:ptCount val="31"/>
                <c:pt idx="0">
                  <c:v>5500</c:v>
                </c:pt>
                <c:pt idx="1">
                  <c:v>5500</c:v>
                </c:pt>
                <c:pt idx="2">
                  <c:v>5500</c:v>
                </c:pt>
                <c:pt idx="3">
                  <c:v>5500</c:v>
                </c:pt>
                <c:pt idx="4">
                  <c:v>5500</c:v>
                </c:pt>
                <c:pt idx="5">
                  <c:v>5500</c:v>
                </c:pt>
                <c:pt idx="6">
                  <c:v>9386</c:v>
                </c:pt>
                <c:pt idx="7">
                  <c:v>38376</c:v>
                </c:pt>
                <c:pt idx="8">
                  <c:v>38376</c:v>
                </c:pt>
                <c:pt idx="9">
                  <c:v>38376</c:v>
                </c:pt>
                <c:pt idx="10">
                  <c:v>38376</c:v>
                </c:pt>
                <c:pt idx="11">
                  <c:v>38376</c:v>
                </c:pt>
                <c:pt idx="12">
                  <c:v>38376</c:v>
                </c:pt>
                <c:pt idx="13">
                  <c:v>38376</c:v>
                </c:pt>
                <c:pt idx="14">
                  <c:v>38376</c:v>
                </c:pt>
                <c:pt idx="15">
                  <c:v>38376</c:v>
                </c:pt>
                <c:pt idx="16">
                  <c:v>38376</c:v>
                </c:pt>
                <c:pt idx="17">
                  <c:v>38376</c:v>
                </c:pt>
                <c:pt idx="18">
                  <c:v>38376</c:v>
                </c:pt>
                <c:pt idx="19">
                  <c:v>38376</c:v>
                </c:pt>
                <c:pt idx="20">
                  <c:v>38376</c:v>
                </c:pt>
                <c:pt idx="21">
                  <c:v>38376</c:v>
                </c:pt>
                <c:pt idx="22">
                  <c:v>38376</c:v>
                </c:pt>
                <c:pt idx="23">
                  <c:v>45409</c:v>
                </c:pt>
                <c:pt idx="24">
                  <c:v>45409</c:v>
                </c:pt>
                <c:pt idx="25">
                  <c:v>45409</c:v>
                </c:pt>
                <c:pt idx="26">
                  <c:v>45409</c:v>
                </c:pt>
                <c:pt idx="27">
                  <c:v>45409</c:v>
                </c:pt>
                <c:pt idx="28">
                  <c:v>45409</c:v>
                </c:pt>
                <c:pt idx="29">
                  <c:v>47269</c:v>
                </c:pt>
                <c:pt idx="30">
                  <c:v>47269</c:v>
                </c:pt>
              </c:numCache>
            </c:numRef>
          </c:val>
        </c:ser>
        <c:ser>
          <c:idx val="7"/>
          <c:order val="5"/>
          <c:tx>
            <c:strRef>
              <c:f>GSFBYYEAR!$H$31</c:f>
              <c:strCache>
                <c:ptCount val="1"/>
                <c:pt idx="0">
                  <c:v>OWNED FRATERNITIES</c:v>
                </c:pt>
              </c:strCache>
            </c:strRef>
          </c:tx>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GSFBYYEAR!$H$32:$H$62</c:f>
              <c:numCache>
                <c:formatCode>#,##0</c:formatCode>
                <c:ptCount val="31"/>
                <c:pt idx="0">
                  <c:v>102523</c:v>
                </c:pt>
                <c:pt idx="1">
                  <c:v>102523</c:v>
                </c:pt>
                <c:pt idx="2">
                  <c:v>102523</c:v>
                </c:pt>
                <c:pt idx="3">
                  <c:v>102523</c:v>
                </c:pt>
                <c:pt idx="4">
                  <c:v>102523</c:v>
                </c:pt>
                <c:pt idx="5">
                  <c:v>102523</c:v>
                </c:pt>
                <c:pt idx="6">
                  <c:v>102523</c:v>
                </c:pt>
                <c:pt idx="7">
                  <c:v>102523</c:v>
                </c:pt>
                <c:pt idx="8">
                  <c:v>102523</c:v>
                </c:pt>
                <c:pt idx="9">
                  <c:v>102523</c:v>
                </c:pt>
                <c:pt idx="10">
                  <c:v>111273</c:v>
                </c:pt>
                <c:pt idx="11">
                  <c:v>111273</c:v>
                </c:pt>
                <c:pt idx="12">
                  <c:v>111273</c:v>
                </c:pt>
                <c:pt idx="13">
                  <c:v>111273</c:v>
                </c:pt>
                <c:pt idx="14">
                  <c:v>111273</c:v>
                </c:pt>
                <c:pt idx="15">
                  <c:v>111273</c:v>
                </c:pt>
                <c:pt idx="16">
                  <c:v>111273</c:v>
                </c:pt>
                <c:pt idx="17">
                  <c:v>111273</c:v>
                </c:pt>
                <c:pt idx="18">
                  <c:v>111273</c:v>
                </c:pt>
                <c:pt idx="19">
                  <c:v>111273</c:v>
                </c:pt>
                <c:pt idx="20">
                  <c:v>111273</c:v>
                </c:pt>
                <c:pt idx="21">
                  <c:v>111273</c:v>
                </c:pt>
                <c:pt idx="22">
                  <c:v>111273</c:v>
                </c:pt>
                <c:pt idx="23">
                  <c:v>111273</c:v>
                </c:pt>
                <c:pt idx="24">
                  <c:v>111273</c:v>
                </c:pt>
                <c:pt idx="25">
                  <c:v>111273</c:v>
                </c:pt>
                <c:pt idx="26">
                  <c:v>111273</c:v>
                </c:pt>
                <c:pt idx="27">
                  <c:v>111273</c:v>
                </c:pt>
                <c:pt idx="28">
                  <c:v>111273</c:v>
                </c:pt>
                <c:pt idx="29">
                  <c:v>111273</c:v>
                </c:pt>
                <c:pt idx="30">
                  <c:v>111273</c:v>
                </c:pt>
              </c:numCache>
            </c:numRef>
          </c:val>
        </c:ser>
        <c:ser>
          <c:idx val="10"/>
          <c:order val="6"/>
          <c:tx>
            <c:strRef>
              <c:f>GSFBYYEAR!$K$31</c:f>
              <c:strCache>
                <c:ptCount val="1"/>
                <c:pt idx="0">
                  <c:v>NON-UNIVERSITY OWNED PROPERTIES</c:v>
                </c:pt>
              </c:strCache>
            </c:strRef>
          </c:tx>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GSFBYYEAR!$K$32:$K$62</c:f>
              <c:numCache>
                <c:formatCode>#,##0</c:formatCode>
                <c:ptCount val="31"/>
                <c:pt idx="0">
                  <c:v>455204</c:v>
                </c:pt>
                <c:pt idx="1">
                  <c:v>455204</c:v>
                </c:pt>
                <c:pt idx="2">
                  <c:v>455204</c:v>
                </c:pt>
                <c:pt idx="3">
                  <c:v>455204</c:v>
                </c:pt>
                <c:pt idx="4">
                  <c:v>455204</c:v>
                </c:pt>
                <c:pt idx="5">
                  <c:v>455204</c:v>
                </c:pt>
                <c:pt idx="6">
                  <c:v>455204</c:v>
                </c:pt>
                <c:pt idx="7">
                  <c:v>455204</c:v>
                </c:pt>
                <c:pt idx="8">
                  <c:v>455204</c:v>
                </c:pt>
                <c:pt idx="9">
                  <c:v>455204</c:v>
                </c:pt>
                <c:pt idx="10">
                  <c:v>455204</c:v>
                </c:pt>
                <c:pt idx="11">
                  <c:v>455204</c:v>
                </c:pt>
                <c:pt idx="12">
                  <c:v>455204</c:v>
                </c:pt>
                <c:pt idx="13">
                  <c:v>455204</c:v>
                </c:pt>
                <c:pt idx="14">
                  <c:v>455204</c:v>
                </c:pt>
                <c:pt idx="15">
                  <c:v>455204</c:v>
                </c:pt>
                <c:pt idx="16">
                  <c:v>455204</c:v>
                </c:pt>
                <c:pt idx="17">
                  <c:v>455204</c:v>
                </c:pt>
                <c:pt idx="18">
                  <c:v>455204</c:v>
                </c:pt>
                <c:pt idx="19">
                  <c:v>455204</c:v>
                </c:pt>
                <c:pt idx="20">
                  <c:v>455204</c:v>
                </c:pt>
                <c:pt idx="21">
                  <c:v>455204</c:v>
                </c:pt>
                <c:pt idx="22">
                  <c:v>455204</c:v>
                </c:pt>
                <c:pt idx="23">
                  <c:v>455204</c:v>
                </c:pt>
                <c:pt idx="24">
                  <c:v>455204</c:v>
                </c:pt>
                <c:pt idx="25">
                  <c:v>455204</c:v>
                </c:pt>
                <c:pt idx="26">
                  <c:v>455204</c:v>
                </c:pt>
                <c:pt idx="27">
                  <c:v>455204</c:v>
                </c:pt>
                <c:pt idx="28">
                  <c:v>497204</c:v>
                </c:pt>
                <c:pt idx="29">
                  <c:v>497204</c:v>
                </c:pt>
                <c:pt idx="30">
                  <c:v>497204</c:v>
                </c:pt>
              </c:numCache>
            </c:numRef>
          </c:val>
        </c:ser>
        <c:ser>
          <c:idx val="3"/>
          <c:order val="7"/>
          <c:tx>
            <c:strRef>
              <c:f>GSFBYYEAR!$D$31</c:f>
              <c:strCache>
                <c:ptCount val="1"/>
                <c:pt idx="0">
                  <c:v>COMMERCIAL</c:v>
                </c:pt>
              </c:strCache>
            </c:strRef>
          </c:tx>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GSFBYYEAR!$D$32:$D$62</c:f>
              <c:numCache>
                <c:formatCode>#,##0</c:formatCode>
                <c:ptCount val="31"/>
                <c:pt idx="0">
                  <c:v>12200</c:v>
                </c:pt>
                <c:pt idx="1">
                  <c:v>12200</c:v>
                </c:pt>
                <c:pt idx="2">
                  <c:v>12200</c:v>
                </c:pt>
                <c:pt idx="3">
                  <c:v>12200</c:v>
                </c:pt>
                <c:pt idx="4">
                  <c:v>12200</c:v>
                </c:pt>
                <c:pt idx="5">
                  <c:v>12200</c:v>
                </c:pt>
                <c:pt idx="6">
                  <c:v>12200</c:v>
                </c:pt>
                <c:pt idx="7">
                  <c:v>12200</c:v>
                </c:pt>
                <c:pt idx="8">
                  <c:v>12200</c:v>
                </c:pt>
                <c:pt idx="9">
                  <c:v>12200</c:v>
                </c:pt>
                <c:pt idx="10">
                  <c:v>12200</c:v>
                </c:pt>
                <c:pt idx="11">
                  <c:v>12200</c:v>
                </c:pt>
                <c:pt idx="12">
                  <c:v>12200</c:v>
                </c:pt>
                <c:pt idx="13">
                  <c:v>12200</c:v>
                </c:pt>
                <c:pt idx="14">
                  <c:v>12200</c:v>
                </c:pt>
                <c:pt idx="15">
                  <c:v>12200</c:v>
                </c:pt>
                <c:pt idx="16">
                  <c:v>12200</c:v>
                </c:pt>
                <c:pt idx="17">
                  <c:v>12200</c:v>
                </c:pt>
                <c:pt idx="18">
                  <c:v>12200</c:v>
                </c:pt>
                <c:pt idx="19">
                  <c:v>12200</c:v>
                </c:pt>
                <c:pt idx="20">
                  <c:v>12200</c:v>
                </c:pt>
                <c:pt idx="21">
                  <c:v>12200</c:v>
                </c:pt>
                <c:pt idx="22">
                  <c:v>12200</c:v>
                </c:pt>
                <c:pt idx="23">
                  <c:v>12200</c:v>
                </c:pt>
                <c:pt idx="24">
                  <c:v>12200</c:v>
                </c:pt>
                <c:pt idx="25">
                  <c:v>266250</c:v>
                </c:pt>
                <c:pt idx="26">
                  <c:v>266250</c:v>
                </c:pt>
                <c:pt idx="27">
                  <c:v>266250</c:v>
                </c:pt>
                <c:pt idx="28">
                  <c:v>266250</c:v>
                </c:pt>
                <c:pt idx="29">
                  <c:v>266250</c:v>
                </c:pt>
                <c:pt idx="30">
                  <c:v>266250</c:v>
                </c:pt>
              </c:numCache>
            </c:numRef>
          </c:val>
        </c:ser>
        <c:ser>
          <c:idx val="8"/>
          <c:order val="8"/>
          <c:tx>
            <c:strRef>
              <c:f>GSFBYYEAR!$I$31</c:f>
              <c:strCache>
                <c:ptCount val="1"/>
                <c:pt idx="0">
                  <c:v>GARAGES</c:v>
                </c:pt>
              </c:strCache>
            </c:strRef>
          </c:tx>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GSFBYYEAR!$I$32:$I$62</c:f>
              <c:numCache>
                <c:formatCode>#,##0</c:formatCode>
                <c:ptCount val="31"/>
                <c:pt idx="0">
                  <c:v>533292</c:v>
                </c:pt>
                <c:pt idx="1">
                  <c:v>533292</c:v>
                </c:pt>
                <c:pt idx="2">
                  <c:v>533292</c:v>
                </c:pt>
                <c:pt idx="3">
                  <c:v>533292</c:v>
                </c:pt>
                <c:pt idx="4">
                  <c:v>533292</c:v>
                </c:pt>
                <c:pt idx="5">
                  <c:v>533292</c:v>
                </c:pt>
                <c:pt idx="6">
                  <c:v>533292</c:v>
                </c:pt>
                <c:pt idx="7">
                  <c:v>533292</c:v>
                </c:pt>
                <c:pt idx="8">
                  <c:v>533292</c:v>
                </c:pt>
                <c:pt idx="9">
                  <c:v>533292</c:v>
                </c:pt>
                <c:pt idx="10">
                  <c:v>533292</c:v>
                </c:pt>
                <c:pt idx="11">
                  <c:v>533292</c:v>
                </c:pt>
                <c:pt idx="12">
                  <c:v>873732</c:v>
                </c:pt>
                <c:pt idx="13">
                  <c:v>873732</c:v>
                </c:pt>
                <c:pt idx="14">
                  <c:v>873732</c:v>
                </c:pt>
                <c:pt idx="15">
                  <c:v>1113582</c:v>
                </c:pt>
                <c:pt idx="16">
                  <c:v>1113582</c:v>
                </c:pt>
                <c:pt idx="17">
                  <c:v>1113582</c:v>
                </c:pt>
                <c:pt idx="18">
                  <c:v>1113582</c:v>
                </c:pt>
                <c:pt idx="19">
                  <c:v>1113582</c:v>
                </c:pt>
                <c:pt idx="20">
                  <c:v>1113582</c:v>
                </c:pt>
                <c:pt idx="21">
                  <c:v>1113582</c:v>
                </c:pt>
                <c:pt idx="22">
                  <c:v>1113582</c:v>
                </c:pt>
                <c:pt idx="23">
                  <c:v>1113582</c:v>
                </c:pt>
                <c:pt idx="24">
                  <c:v>1113582</c:v>
                </c:pt>
                <c:pt idx="25">
                  <c:v>1632372</c:v>
                </c:pt>
                <c:pt idx="26">
                  <c:v>1632372</c:v>
                </c:pt>
                <c:pt idx="27">
                  <c:v>1632372</c:v>
                </c:pt>
                <c:pt idx="28">
                  <c:v>1632372</c:v>
                </c:pt>
                <c:pt idx="29">
                  <c:v>1632372</c:v>
                </c:pt>
                <c:pt idx="30">
                  <c:v>1632372</c:v>
                </c:pt>
              </c:numCache>
            </c:numRef>
          </c:val>
        </c:ser>
        <c:ser>
          <c:idx val="9"/>
          <c:order val="9"/>
          <c:tx>
            <c:strRef>
              <c:f>GSFBYYEAR!$J$31</c:f>
              <c:strCache>
                <c:ptCount val="1"/>
                <c:pt idx="0">
                  <c:v>FARM</c:v>
                </c:pt>
              </c:strCache>
            </c:strRef>
          </c:tx>
          <c:spPr>
            <a:solidFill>
              <a:schemeClr val="accent2">
                <a:lumMod val="60000"/>
                <a:lumOff val="40000"/>
              </a:schemeClr>
            </a:solidFill>
          </c:spPr>
          <c:cat>
            <c:numRef>
              <c:f>GSFBYYEAR!$A$32:$A$62</c:f>
              <c:numCache>
                <c:formatCode>General</c:formatCode>
                <c:ptCount val="3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numCache>
            </c:numRef>
          </c:cat>
          <c:val>
            <c:numRef>
              <c:f>GSFBYYEAR!$J$32:$J$62</c:f>
              <c:numCache>
                <c:formatCode>#,##0</c:formatCode>
                <c:ptCount val="31"/>
                <c:pt idx="0">
                  <c:v>58883</c:v>
                </c:pt>
                <c:pt idx="1">
                  <c:v>58883</c:v>
                </c:pt>
                <c:pt idx="2">
                  <c:v>58883</c:v>
                </c:pt>
                <c:pt idx="3">
                  <c:v>58883</c:v>
                </c:pt>
                <c:pt idx="4">
                  <c:v>58883</c:v>
                </c:pt>
                <c:pt idx="5">
                  <c:v>58883</c:v>
                </c:pt>
                <c:pt idx="6">
                  <c:v>58883</c:v>
                </c:pt>
                <c:pt idx="7">
                  <c:v>58883</c:v>
                </c:pt>
                <c:pt idx="8">
                  <c:v>58883</c:v>
                </c:pt>
                <c:pt idx="9">
                  <c:v>58883</c:v>
                </c:pt>
                <c:pt idx="10">
                  <c:v>58883</c:v>
                </c:pt>
                <c:pt idx="11">
                  <c:v>58883</c:v>
                </c:pt>
                <c:pt idx="12">
                  <c:v>58883</c:v>
                </c:pt>
                <c:pt idx="13">
                  <c:v>58883</c:v>
                </c:pt>
                <c:pt idx="14">
                  <c:v>58883</c:v>
                </c:pt>
                <c:pt idx="15">
                  <c:v>58883</c:v>
                </c:pt>
                <c:pt idx="16">
                  <c:v>58883</c:v>
                </c:pt>
                <c:pt idx="17">
                  <c:v>58883</c:v>
                </c:pt>
                <c:pt idx="18">
                  <c:v>58883</c:v>
                </c:pt>
                <c:pt idx="19">
                  <c:v>58883</c:v>
                </c:pt>
                <c:pt idx="20">
                  <c:v>58883</c:v>
                </c:pt>
                <c:pt idx="21">
                  <c:v>58883</c:v>
                </c:pt>
                <c:pt idx="22">
                  <c:v>58883</c:v>
                </c:pt>
                <c:pt idx="23">
                  <c:v>58883</c:v>
                </c:pt>
                <c:pt idx="24">
                  <c:v>58883</c:v>
                </c:pt>
                <c:pt idx="25">
                  <c:v>58883</c:v>
                </c:pt>
                <c:pt idx="26">
                  <c:v>58883</c:v>
                </c:pt>
                <c:pt idx="27">
                  <c:v>58883</c:v>
                </c:pt>
                <c:pt idx="28">
                  <c:v>58883</c:v>
                </c:pt>
                <c:pt idx="29">
                  <c:v>58883</c:v>
                </c:pt>
                <c:pt idx="30">
                  <c:v>58883</c:v>
                </c:pt>
              </c:numCache>
            </c:numRef>
          </c:val>
        </c:ser>
        <c:axId val="98190080"/>
        <c:axId val="98191232"/>
      </c:areaChart>
      <c:lineChart>
        <c:grouping val="standard"/>
        <c:ser>
          <c:idx val="11"/>
          <c:order val="10"/>
          <c:tx>
            <c:strRef>
              <c:f>GSFBYYEAR!$L$31</c:f>
              <c:strCache>
                <c:ptCount val="1"/>
                <c:pt idx="0">
                  <c:v>TOTAL</c:v>
                </c:pt>
              </c:strCache>
            </c:strRef>
          </c:tx>
          <c:spPr>
            <a:ln>
              <a:solidFill>
                <a:schemeClr val="tx1"/>
              </a:solidFill>
            </a:ln>
          </c:spPr>
          <c:marker>
            <c:symbol val="circle"/>
            <c:size val="7"/>
            <c:spPr>
              <a:solidFill>
                <a:srgbClr val="FFC000"/>
              </a:solidFill>
              <a:ln w="25400">
                <a:solidFill>
                  <a:sysClr val="windowText" lastClr="000000"/>
                </a:solidFill>
              </a:ln>
            </c:spPr>
          </c:marker>
          <c:trendline>
            <c:trendlineType val="linear"/>
          </c:trendline>
          <c:val>
            <c:numRef>
              <c:f>GSFBYYEAR!$L$32:$L$62</c:f>
              <c:numCache>
                <c:formatCode>#,##0</c:formatCode>
                <c:ptCount val="31"/>
                <c:pt idx="0">
                  <c:v>4594739</c:v>
                </c:pt>
                <c:pt idx="1">
                  <c:v>4596739</c:v>
                </c:pt>
                <c:pt idx="2">
                  <c:v>4596739</c:v>
                </c:pt>
                <c:pt idx="3">
                  <c:v>4596739</c:v>
                </c:pt>
                <c:pt idx="4">
                  <c:v>4596739</c:v>
                </c:pt>
                <c:pt idx="5">
                  <c:v>4596739</c:v>
                </c:pt>
                <c:pt idx="6">
                  <c:v>4600625</c:v>
                </c:pt>
                <c:pt idx="7">
                  <c:v>4639991</c:v>
                </c:pt>
                <c:pt idx="8">
                  <c:v>4700991</c:v>
                </c:pt>
                <c:pt idx="9">
                  <c:v>4736991</c:v>
                </c:pt>
                <c:pt idx="10">
                  <c:v>4811035</c:v>
                </c:pt>
                <c:pt idx="11">
                  <c:v>4812935</c:v>
                </c:pt>
                <c:pt idx="12">
                  <c:v>5542174</c:v>
                </c:pt>
                <c:pt idx="13">
                  <c:v>5670415</c:v>
                </c:pt>
                <c:pt idx="14">
                  <c:v>5800993</c:v>
                </c:pt>
                <c:pt idx="15">
                  <c:v>6040843</c:v>
                </c:pt>
                <c:pt idx="16">
                  <c:v>6234425</c:v>
                </c:pt>
                <c:pt idx="17">
                  <c:v>6236425</c:v>
                </c:pt>
                <c:pt idx="18">
                  <c:v>6238525</c:v>
                </c:pt>
                <c:pt idx="19">
                  <c:v>6238525</c:v>
                </c:pt>
                <c:pt idx="20">
                  <c:v>6409317</c:v>
                </c:pt>
                <c:pt idx="21">
                  <c:v>6409317</c:v>
                </c:pt>
                <c:pt idx="22">
                  <c:v>6561117</c:v>
                </c:pt>
                <c:pt idx="23">
                  <c:v>6937894</c:v>
                </c:pt>
                <c:pt idx="24">
                  <c:v>6937894</c:v>
                </c:pt>
                <c:pt idx="25">
                  <c:v>8151170</c:v>
                </c:pt>
                <c:pt idx="26">
                  <c:v>8224145.18550782</c:v>
                </c:pt>
                <c:pt idx="27">
                  <c:v>8260023.18550782</c:v>
                </c:pt>
                <c:pt idx="28">
                  <c:v>8307716.18550782</c:v>
                </c:pt>
                <c:pt idx="29">
                  <c:v>8309576.18550782</c:v>
                </c:pt>
                <c:pt idx="30">
                  <c:v>8309576.18550782</c:v>
                </c:pt>
              </c:numCache>
            </c:numRef>
          </c:val>
        </c:ser>
        <c:ser>
          <c:idx val="12"/>
          <c:order val="11"/>
          <c:tx>
            <c:strRef>
              <c:f>GSFBYYEAR!$M$31</c:f>
              <c:strCache>
                <c:ptCount val="1"/>
                <c:pt idx="0">
                  <c:v>W/O GARAGES AND FARMS</c:v>
                </c:pt>
              </c:strCache>
            </c:strRef>
          </c:tx>
          <c:spPr>
            <a:ln>
              <a:solidFill>
                <a:sysClr val="windowText" lastClr="000000"/>
              </a:solidFill>
            </a:ln>
          </c:spPr>
          <c:marker>
            <c:symbol val="circle"/>
            <c:size val="7"/>
            <c:spPr>
              <a:solidFill>
                <a:srgbClr val="92D050"/>
              </a:solidFill>
              <a:ln w="25400">
                <a:solidFill>
                  <a:sysClr val="windowText" lastClr="000000"/>
                </a:solidFill>
              </a:ln>
            </c:spPr>
          </c:marker>
          <c:trendline>
            <c:trendlineType val="linear"/>
          </c:trendline>
          <c:val>
            <c:numRef>
              <c:f>GSFBYYEAR!$M$32:$M$62</c:f>
              <c:numCache>
                <c:formatCode>#,##0</c:formatCode>
                <c:ptCount val="31"/>
                <c:pt idx="0">
                  <c:v>4002564</c:v>
                </c:pt>
                <c:pt idx="1">
                  <c:v>4004564</c:v>
                </c:pt>
                <c:pt idx="2">
                  <c:v>4004564</c:v>
                </c:pt>
                <c:pt idx="3">
                  <c:v>4004564</c:v>
                </c:pt>
                <c:pt idx="4">
                  <c:v>4004564</c:v>
                </c:pt>
                <c:pt idx="5">
                  <c:v>4004564</c:v>
                </c:pt>
                <c:pt idx="6">
                  <c:v>4008450</c:v>
                </c:pt>
                <c:pt idx="7">
                  <c:v>4047816</c:v>
                </c:pt>
                <c:pt idx="8">
                  <c:v>4108816</c:v>
                </c:pt>
                <c:pt idx="9">
                  <c:v>4144816</c:v>
                </c:pt>
                <c:pt idx="10">
                  <c:v>4218860</c:v>
                </c:pt>
                <c:pt idx="11">
                  <c:v>4220760</c:v>
                </c:pt>
                <c:pt idx="12">
                  <c:v>4609559</c:v>
                </c:pt>
                <c:pt idx="13">
                  <c:v>4737800</c:v>
                </c:pt>
                <c:pt idx="14">
                  <c:v>4868378</c:v>
                </c:pt>
                <c:pt idx="15">
                  <c:v>4868378</c:v>
                </c:pt>
                <c:pt idx="16">
                  <c:v>5061960</c:v>
                </c:pt>
                <c:pt idx="17">
                  <c:v>5063960</c:v>
                </c:pt>
                <c:pt idx="18">
                  <c:v>5066060</c:v>
                </c:pt>
                <c:pt idx="19">
                  <c:v>5066060</c:v>
                </c:pt>
                <c:pt idx="20">
                  <c:v>5236852</c:v>
                </c:pt>
                <c:pt idx="21">
                  <c:v>5236852</c:v>
                </c:pt>
                <c:pt idx="22">
                  <c:v>5388652</c:v>
                </c:pt>
                <c:pt idx="23">
                  <c:v>5765429</c:v>
                </c:pt>
                <c:pt idx="24">
                  <c:v>5765429</c:v>
                </c:pt>
                <c:pt idx="25">
                  <c:v>6459915</c:v>
                </c:pt>
                <c:pt idx="26">
                  <c:v>6532890.18550782</c:v>
                </c:pt>
                <c:pt idx="27">
                  <c:v>6568768.18550782</c:v>
                </c:pt>
                <c:pt idx="28">
                  <c:v>6616461.18550782</c:v>
                </c:pt>
                <c:pt idx="29">
                  <c:v>6618321.18550782</c:v>
                </c:pt>
                <c:pt idx="30">
                  <c:v>6618321.18550782</c:v>
                </c:pt>
              </c:numCache>
            </c:numRef>
          </c:val>
        </c:ser>
        <c:marker val="1"/>
        <c:axId val="98190080"/>
        <c:axId val="98191232"/>
      </c:lineChart>
      <c:catAx>
        <c:axId val="98190080"/>
        <c:scaling>
          <c:orientation val="minMax"/>
        </c:scaling>
        <c:axPos val="b"/>
        <c:numFmt formatCode="General" sourceLinked="1"/>
        <c:tickLblPos val="nextTo"/>
        <c:crossAx val="98191232"/>
        <c:crosses val="autoZero"/>
        <c:auto val="1"/>
        <c:lblAlgn val="ctr"/>
        <c:lblOffset val="100"/>
        <c:tickLblSkip val="5"/>
        <c:tickMarkSkip val="5"/>
      </c:catAx>
      <c:valAx>
        <c:axId val="98191232"/>
        <c:scaling>
          <c:orientation val="minMax"/>
        </c:scaling>
        <c:axPos val="l"/>
        <c:majorGridlines/>
        <c:numFmt formatCode="#,##0" sourceLinked="1"/>
        <c:tickLblPos val="nextTo"/>
        <c:crossAx val="98190080"/>
        <c:crosses val="autoZero"/>
        <c:crossBetween val="between"/>
      </c:valAx>
    </c:plotArea>
    <c:legend>
      <c:legendPos val="r"/>
    </c:legend>
    <c:plotVisOnly val="1"/>
    <c:dispBlanksAs val="zero"/>
  </c:chart>
  <c:printSettings>
    <c:headerFooter/>
    <c:pageMargins b="0.75000000000000089" l="0.70000000000000062" r="0.70000000000000062" t="0.75000000000000089"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Average Additions per Year Since…</a:t>
            </a:r>
          </a:p>
        </c:rich>
      </c:tx>
    </c:title>
    <c:plotArea>
      <c:layout/>
      <c:lineChart>
        <c:grouping val="standard"/>
        <c:ser>
          <c:idx val="1"/>
          <c:order val="0"/>
          <c:tx>
            <c:strRef>
              <c:f>Sheet6!$B$2</c:f>
              <c:strCache>
                <c:ptCount val="1"/>
                <c:pt idx="0">
                  <c:v>Total GSF</c:v>
                </c:pt>
              </c:strCache>
            </c:strRef>
          </c:tx>
          <c:marker>
            <c:symbol val="none"/>
          </c:marker>
          <c:cat>
            <c:numRef>
              <c:f>Sheet6!$A$3:$A$23</c:f>
              <c:numCache>
                <c:formatCode>General</c:formatCode>
                <c:ptCount val="2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numCache>
            </c:numRef>
          </c:cat>
          <c:val>
            <c:numRef>
              <c:f>Sheet6!$B$3:$B$23</c:f>
              <c:numCache>
                <c:formatCode>#,##0</c:formatCode>
                <c:ptCount val="21"/>
                <c:pt idx="0">
                  <c:v>119562.56666666668</c:v>
                </c:pt>
                <c:pt idx="1">
                  <c:v>123616.44827586207</c:v>
                </c:pt>
                <c:pt idx="2">
                  <c:v>128031.32142857143</c:v>
                </c:pt>
                <c:pt idx="3">
                  <c:v>132773.22222222222</c:v>
                </c:pt>
                <c:pt idx="4">
                  <c:v>137879.88461538462</c:v>
                </c:pt>
                <c:pt idx="5">
                  <c:v>143395.07999999999</c:v>
                </c:pt>
                <c:pt idx="6">
                  <c:v>149207.95833333334</c:v>
                </c:pt>
                <c:pt idx="7">
                  <c:v>153983.69565217392</c:v>
                </c:pt>
                <c:pt idx="8">
                  <c:v>157734.09090909091</c:v>
                </c:pt>
                <c:pt idx="9">
                  <c:v>163530.95238095237</c:v>
                </c:pt>
                <c:pt idx="10">
                  <c:v>168005.3</c:v>
                </c:pt>
                <c:pt idx="11">
                  <c:v>176747.68421052632</c:v>
                </c:pt>
                <c:pt idx="12">
                  <c:v>146053.72222222222</c:v>
                </c:pt>
                <c:pt idx="13">
                  <c:v>147101.5294117647</c:v>
                </c:pt>
                <c:pt idx="14">
                  <c:v>148134.25</c:v>
                </c:pt>
                <c:pt idx="15">
                  <c:v>142019.86666666667</c:v>
                </c:pt>
                <c:pt idx="16">
                  <c:v>141857.71428571429</c:v>
                </c:pt>
                <c:pt idx="17">
                  <c:v>152616</c:v>
                </c:pt>
                <c:pt idx="18">
                  <c:v>165159</c:v>
                </c:pt>
                <c:pt idx="19">
                  <c:v>180173.45454545456</c:v>
                </c:pt>
                <c:pt idx="20">
                  <c:v>181111.6</c:v>
                </c:pt>
              </c:numCache>
            </c:numRef>
          </c:val>
        </c:ser>
        <c:ser>
          <c:idx val="2"/>
          <c:order val="1"/>
          <c:tx>
            <c:strRef>
              <c:f>Sheet6!$C$2</c:f>
              <c:strCache>
                <c:ptCount val="1"/>
                <c:pt idx="0">
                  <c:v>Total GSF w/o Farms and Garages</c:v>
                </c:pt>
              </c:strCache>
            </c:strRef>
          </c:tx>
          <c:marker>
            <c:symbol val="none"/>
          </c:marker>
          <c:cat>
            <c:numRef>
              <c:f>Sheet6!$A$3:$A$23</c:f>
              <c:numCache>
                <c:formatCode>General</c:formatCode>
                <c:ptCount val="2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numCache>
            </c:numRef>
          </c:cat>
          <c:val>
            <c:numRef>
              <c:f>Sheet6!$C$3:$C$23</c:f>
              <c:numCache>
                <c:formatCode>#,##0</c:formatCode>
                <c:ptCount val="21"/>
                <c:pt idx="0">
                  <c:v>82926.566666666666</c:v>
                </c:pt>
                <c:pt idx="1">
                  <c:v>85717.137931034478</c:v>
                </c:pt>
                <c:pt idx="2">
                  <c:v>88778.46428571429</c:v>
                </c:pt>
                <c:pt idx="3">
                  <c:v>92066.555555555562</c:v>
                </c:pt>
                <c:pt idx="4">
                  <c:v>95607.576923076922</c:v>
                </c:pt>
                <c:pt idx="5">
                  <c:v>99431.88</c:v>
                </c:pt>
                <c:pt idx="6">
                  <c:v>103412.95833333333</c:v>
                </c:pt>
                <c:pt idx="7">
                  <c:v>106197.60869565218</c:v>
                </c:pt>
                <c:pt idx="8">
                  <c:v>107775.90909090909</c:v>
                </c:pt>
                <c:pt idx="9">
                  <c:v>111193.80952380951</c:v>
                </c:pt>
                <c:pt idx="10">
                  <c:v>113051.3</c:v>
                </c:pt>
                <c:pt idx="11">
                  <c:v>118901.36842105263</c:v>
                </c:pt>
                <c:pt idx="12">
                  <c:v>103907.05555555556</c:v>
                </c:pt>
                <c:pt idx="13">
                  <c:v>102475.64705882352</c:v>
                </c:pt>
                <c:pt idx="14">
                  <c:v>100719.25</c:v>
                </c:pt>
                <c:pt idx="15">
                  <c:v>107433.86666666667</c:v>
                </c:pt>
                <c:pt idx="16">
                  <c:v>104801.28571428571</c:v>
                </c:pt>
                <c:pt idx="17">
                  <c:v>112709.07692307692</c:v>
                </c:pt>
                <c:pt idx="18">
                  <c:v>121926.5</c:v>
                </c:pt>
                <c:pt idx="19">
                  <c:v>133010.72727272726</c:v>
                </c:pt>
                <c:pt idx="20">
                  <c:v>129232.6</c:v>
                </c:pt>
              </c:numCache>
            </c:numRef>
          </c:val>
        </c:ser>
        <c:marker val="1"/>
        <c:axId val="199229440"/>
        <c:axId val="199230976"/>
      </c:lineChart>
      <c:catAx>
        <c:axId val="199229440"/>
        <c:scaling>
          <c:orientation val="minMax"/>
        </c:scaling>
        <c:axPos val="b"/>
        <c:numFmt formatCode="General" sourceLinked="1"/>
        <c:tickLblPos val="nextTo"/>
        <c:crossAx val="199230976"/>
        <c:crosses val="autoZero"/>
        <c:auto val="1"/>
        <c:lblAlgn val="ctr"/>
        <c:lblOffset val="100"/>
        <c:tickLblSkip val="5"/>
        <c:tickMarkSkip val="5"/>
      </c:catAx>
      <c:valAx>
        <c:axId val="199230976"/>
        <c:scaling>
          <c:orientation val="minMax"/>
        </c:scaling>
        <c:axPos val="l"/>
        <c:majorGridlines/>
        <c:numFmt formatCode="#,##0" sourceLinked="0"/>
        <c:tickLblPos val="nextTo"/>
        <c:crossAx val="199229440"/>
        <c:crosses val="autoZero"/>
        <c:crossBetween val="between"/>
      </c:valAx>
    </c:plotArea>
    <c:legend>
      <c:legendPos val="b"/>
    </c:legend>
    <c:plotVisOnly val="1"/>
  </c:chart>
  <c:printSettings>
    <c:headerFooter/>
    <c:pageMargins b="0.75000000000000244" l="0.70000000000000062" r="0.70000000000000062" t="0.750000000000002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061519560797255"/>
          <c:y val="4.0780604903727286E-2"/>
          <c:w val="0.80890718339430889"/>
          <c:h val="0.83991410164638514"/>
        </c:manualLayout>
      </c:layout>
      <c:areaChart>
        <c:grouping val="stacked"/>
        <c:ser>
          <c:idx val="1"/>
          <c:order val="0"/>
          <c:tx>
            <c:strRef>
              <c:f>UtilityDemand!$C$3</c:f>
              <c:strCache>
                <c:ptCount val="1"/>
                <c:pt idx="0">
                  <c:v>Purchased Electricity</c:v>
                </c:pt>
              </c:strCache>
            </c:strRef>
          </c:tx>
          <c:spPr>
            <a:ln>
              <a:solidFill>
                <a:sysClr val="windowText" lastClr="000000"/>
              </a:solidFill>
            </a:ln>
          </c:spPr>
          <c:cat>
            <c:numRef>
              <c:f>UtilityDemand!$B$7:$B$52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UtilityDemand!$AI$7:$AI$52</c:f>
              <c:numCache>
                <c:formatCode>General</c:formatCode>
                <c:ptCount val="46"/>
                <c:pt idx="3">
                  <c:v>436321.85205866047</c:v>
                </c:pt>
                <c:pt idx="4">
                  <c:v>433242.14452773222</c:v>
                </c:pt>
                <c:pt idx="5">
                  <c:v>438621.59107783932</c:v>
                </c:pt>
                <c:pt idx="6">
                  <c:v>444001.03762794647</c:v>
                </c:pt>
                <c:pt idx="7">
                  <c:v>456612.15553761943</c:v>
                </c:pt>
                <c:pt idx="8">
                  <c:v>463963.87609488086</c:v>
                </c:pt>
                <c:pt idx="9">
                  <c:v>469343.32264498796</c:v>
                </c:pt>
                <c:pt idx="10">
                  <c:v>479982.16654750658</c:v>
                </c:pt>
                <c:pt idx="11">
                  <c:v>485361.61309761368</c:v>
                </c:pt>
                <c:pt idx="12">
                  <c:v>490741.05964772089</c:v>
                </c:pt>
                <c:pt idx="13">
                  <c:v>496120.50619782793</c:v>
                </c:pt>
                <c:pt idx="14">
                  <c:v>501499.95274793508</c:v>
                </c:pt>
                <c:pt idx="15">
                  <c:v>506879.39929804218</c:v>
                </c:pt>
                <c:pt idx="16">
                  <c:v>512258.84584814927</c:v>
                </c:pt>
                <c:pt idx="17">
                  <c:v>517638.29239825642</c:v>
                </c:pt>
                <c:pt idx="18">
                  <c:v>523017.73894836358</c:v>
                </c:pt>
                <c:pt idx="19">
                  <c:v>528397.18549847067</c:v>
                </c:pt>
                <c:pt idx="20">
                  <c:v>533776.63204857789</c:v>
                </c:pt>
                <c:pt idx="21">
                  <c:v>539156.07859868498</c:v>
                </c:pt>
                <c:pt idx="22">
                  <c:v>544535.52514879196</c:v>
                </c:pt>
                <c:pt idx="23">
                  <c:v>549914.97169889917</c:v>
                </c:pt>
                <c:pt idx="24">
                  <c:v>555294.41824900638</c:v>
                </c:pt>
                <c:pt idx="25">
                  <c:v>560673.86479911348</c:v>
                </c:pt>
                <c:pt idx="26">
                  <c:v>566053.31134922046</c:v>
                </c:pt>
                <c:pt idx="27">
                  <c:v>571432.75789932767</c:v>
                </c:pt>
                <c:pt idx="28">
                  <c:v>576812.20444943476</c:v>
                </c:pt>
                <c:pt idx="29">
                  <c:v>582191.65099954186</c:v>
                </c:pt>
                <c:pt idx="30">
                  <c:v>587571.09754964896</c:v>
                </c:pt>
                <c:pt idx="31">
                  <c:v>592950.54409975628</c:v>
                </c:pt>
                <c:pt idx="32">
                  <c:v>598329.99064986338</c:v>
                </c:pt>
                <c:pt idx="33">
                  <c:v>603709.43719997047</c:v>
                </c:pt>
                <c:pt idx="34">
                  <c:v>609088.88375007757</c:v>
                </c:pt>
                <c:pt idx="35">
                  <c:v>614468.33030018467</c:v>
                </c:pt>
                <c:pt idx="36">
                  <c:v>619847.77685029188</c:v>
                </c:pt>
                <c:pt idx="37">
                  <c:v>625227.22340039897</c:v>
                </c:pt>
                <c:pt idx="38">
                  <c:v>630606.66995050607</c:v>
                </c:pt>
                <c:pt idx="39">
                  <c:v>635986.11650061316</c:v>
                </c:pt>
                <c:pt idx="40">
                  <c:v>641365.56305072026</c:v>
                </c:pt>
                <c:pt idx="41">
                  <c:v>646745.00960082747</c:v>
                </c:pt>
                <c:pt idx="42">
                  <c:v>652124.45615093445</c:v>
                </c:pt>
                <c:pt idx="43">
                  <c:v>657503.90270104166</c:v>
                </c:pt>
                <c:pt idx="44">
                  <c:v>662883.34925114876</c:v>
                </c:pt>
                <c:pt idx="45">
                  <c:v>668262.79580125597</c:v>
                </c:pt>
              </c:numCache>
            </c:numRef>
          </c:val>
        </c:ser>
        <c:ser>
          <c:idx val="4"/>
          <c:order val="1"/>
          <c:tx>
            <c:strRef>
              <c:f>UtilityDemand!$E$3</c:f>
              <c:strCache>
                <c:ptCount val="1"/>
                <c:pt idx="0">
                  <c:v>Purchased Steam</c:v>
                </c:pt>
              </c:strCache>
            </c:strRef>
          </c:tx>
          <c:spPr>
            <a:ln>
              <a:solidFill>
                <a:sysClr val="windowText" lastClr="000000"/>
              </a:solidFill>
            </a:ln>
          </c:spPr>
          <c:cat>
            <c:numRef>
              <c:f>UtilityDemand!$B$7:$B$52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UtilityDemand!$E$7:$E$52</c:f>
              <c:numCache>
                <c:formatCode>#,##0</c:formatCode>
                <c:ptCount val="46"/>
                <c:pt idx="3">
                  <c:v>570142.41863245296</c:v>
                </c:pt>
                <c:pt idx="4">
                  <c:v>677074.41599999997</c:v>
                </c:pt>
                <c:pt idx="5">
                  <c:v>685461.01512967527</c:v>
                </c:pt>
                <c:pt idx="6">
                  <c:v>693847.61425935081</c:v>
                </c:pt>
                <c:pt idx="7">
                  <c:v>713508.44544344163</c:v>
                </c:pt>
                <c:pt idx="8">
                  <c:v>724969.83513341204</c:v>
                </c:pt>
                <c:pt idx="9">
                  <c:v>733356.43426308746</c:v>
                </c:pt>
                <c:pt idx="10">
                  <c:v>749942.47488688328</c:v>
                </c:pt>
                <c:pt idx="11">
                  <c:v>758329.0740165587</c:v>
                </c:pt>
                <c:pt idx="12">
                  <c:v>766715.67314623413</c:v>
                </c:pt>
                <c:pt idx="13">
                  <c:v>775102.27227590943</c:v>
                </c:pt>
                <c:pt idx="14">
                  <c:v>783488.87140558485</c:v>
                </c:pt>
                <c:pt idx="15">
                  <c:v>791875.47053526016</c:v>
                </c:pt>
                <c:pt idx="16">
                  <c:v>800262.06966493546</c:v>
                </c:pt>
                <c:pt idx="17">
                  <c:v>808648.668794611</c:v>
                </c:pt>
                <c:pt idx="18">
                  <c:v>817035.26792428643</c:v>
                </c:pt>
                <c:pt idx="19">
                  <c:v>825421.86705396173</c:v>
                </c:pt>
                <c:pt idx="20">
                  <c:v>833808.46618363715</c:v>
                </c:pt>
                <c:pt idx="21">
                  <c:v>842195.06531331246</c:v>
                </c:pt>
                <c:pt idx="22">
                  <c:v>850581.66444298776</c:v>
                </c:pt>
                <c:pt idx="23">
                  <c:v>858968.26357266307</c:v>
                </c:pt>
                <c:pt idx="24">
                  <c:v>867354.86270233872</c:v>
                </c:pt>
                <c:pt idx="25">
                  <c:v>875741.46183201415</c:v>
                </c:pt>
                <c:pt idx="26">
                  <c:v>884128.06096168945</c:v>
                </c:pt>
                <c:pt idx="27">
                  <c:v>892514.66009136476</c:v>
                </c:pt>
                <c:pt idx="28">
                  <c:v>900901.25922104018</c:v>
                </c:pt>
                <c:pt idx="29">
                  <c:v>909287.85835071537</c:v>
                </c:pt>
                <c:pt idx="30">
                  <c:v>917674.45748039079</c:v>
                </c:pt>
                <c:pt idx="31">
                  <c:v>926061.05661006644</c:v>
                </c:pt>
                <c:pt idx="32">
                  <c:v>934447.65573974175</c:v>
                </c:pt>
                <c:pt idx="33">
                  <c:v>942834.25486941705</c:v>
                </c:pt>
                <c:pt idx="34">
                  <c:v>951220.85399909248</c:v>
                </c:pt>
                <c:pt idx="35">
                  <c:v>959607.45312876778</c:v>
                </c:pt>
                <c:pt idx="36">
                  <c:v>967994.0522584432</c:v>
                </c:pt>
                <c:pt idx="37">
                  <c:v>976380.65138811851</c:v>
                </c:pt>
                <c:pt idx="38">
                  <c:v>984767.25051779393</c:v>
                </c:pt>
                <c:pt idx="39">
                  <c:v>993153.84964746935</c:v>
                </c:pt>
                <c:pt idx="40">
                  <c:v>1001540.4487771448</c:v>
                </c:pt>
                <c:pt idx="41">
                  <c:v>1009927.04790682</c:v>
                </c:pt>
                <c:pt idx="42">
                  <c:v>1018313.6470364953</c:v>
                </c:pt>
                <c:pt idx="43">
                  <c:v>1026700.2461661708</c:v>
                </c:pt>
                <c:pt idx="44">
                  <c:v>1035086.8452958462</c:v>
                </c:pt>
                <c:pt idx="45">
                  <c:v>1043473.4444255217</c:v>
                </c:pt>
              </c:numCache>
            </c:numRef>
          </c:val>
        </c:ser>
        <c:ser>
          <c:idx val="2"/>
          <c:order val="2"/>
          <c:tx>
            <c:strRef>
              <c:f>UtilityDemand!$G$3</c:f>
              <c:strCache>
                <c:ptCount val="1"/>
                <c:pt idx="0">
                  <c:v>Purchased Cooling</c:v>
                </c:pt>
              </c:strCache>
            </c:strRef>
          </c:tx>
          <c:spPr>
            <a:ln>
              <a:solidFill>
                <a:sysClr val="windowText" lastClr="000000"/>
              </a:solidFill>
            </a:ln>
          </c:spPr>
          <c:cat>
            <c:numRef>
              <c:f>UtilityDemand!$B$7:$B$52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UtilityDemand!$G$7:$G$52</c:f>
              <c:numCache>
                <c:formatCode>#,##0</c:formatCode>
                <c:ptCount val="46"/>
                <c:pt idx="3">
                  <c:v>175570</c:v>
                </c:pt>
                <c:pt idx="4">
                  <c:v>176377.86</c:v>
                </c:pt>
                <c:pt idx="5">
                  <c:v>179442.39456260367</c:v>
                </c:pt>
                <c:pt idx="6">
                  <c:v>182506.92912520736</c:v>
                </c:pt>
                <c:pt idx="7">
                  <c:v>188515.56027382973</c:v>
                </c:pt>
                <c:pt idx="8">
                  <c:v>192383.03026898397</c:v>
                </c:pt>
                <c:pt idx="9">
                  <c:v>195447.56483158763</c:v>
                </c:pt>
                <c:pt idx="10">
                  <c:v>200653.26054765948</c:v>
                </c:pt>
                <c:pt idx="11">
                  <c:v>203717.79511026316</c:v>
                </c:pt>
                <c:pt idx="12">
                  <c:v>206782.32967286685</c:v>
                </c:pt>
                <c:pt idx="13">
                  <c:v>209846.86423547054</c:v>
                </c:pt>
                <c:pt idx="14">
                  <c:v>212911.39879807425</c:v>
                </c:pt>
                <c:pt idx="15">
                  <c:v>215975.93336067794</c:v>
                </c:pt>
                <c:pt idx="16">
                  <c:v>219040.46792328163</c:v>
                </c:pt>
                <c:pt idx="17">
                  <c:v>222105.00248588528</c:v>
                </c:pt>
                <c:pt idx="18">
                  <c:v>225169.537048489</c:v>
                </c:pt>
                <c:pt idx="19">
                  <c:v>228234.07161109266</c:v>
                </c:pt>
                <c:pt idx="20">
                  <c:v>231298.6061736964</c:v>
                </c:pt>
                <c:pt idx="21">
                  <c:v>234363.14073630009</c:v>
                </c:pt>
                <c:pt idx="22">
                  <c:v>237427.67529890378</c:v>
                </c:pt>
                <c:pt idx="23">
                  <c:v>240492.20986150744</c:v>
                </c:pt>
                <c:pt idx="24">
                  <c:v>243556.74442411118</c:v>
                </c:pt>
                <c:pt idx="25">
                  <c:v>246621.27898671487</c:v>
                </c:pt>
                <c:pt idx="26">
                  <c:v>249685.81354931853</c:v>
                </c:pt>
                <c:pt idx="27">
                  <c:v>252750.34811192221</c:v>
                </c:pt>
                <c:pt idx="28">
                  <c:v>255814.8826745259</c:v>
                </c:pt>
                <c:pt idx="29">
                  <c:v>258879.41723712959</c:v>
                </c:pt>
                <c:pt idx="30">
                  <c:v>261943.95179973327</c:v>
                </c:pt>
                <c:pt idx="31">
                  <c:v>265008.48636233702</c:v>
                </c:pt>
                <c:pt idx="32">
                  <c:v>268073.02092494071</c:v>
                </c:pt>
                <c:pt idx="33">
                  <c:v>271137.55548754439</c:v>
                </c:pt>
                <c:pt idx="34">
                  <c:v>274202.09005014808</c:v>
                </c:pt>
                <c:pt idx="35">
                  <c:v>277266.62461275177</c:v>
                </c:pt>
                <c:pt idx="36">
                  <c:v>280331.15917535545</c:v>
                </c:pt>
                <c:pt idx="37">
                  <c:v>283395.69373795914</c:v>
                </c:pt>
                <c:pt idx="38">
                  <c:v>286460.22830056283</c:v>
                </c:pt>
                <c:pt idx="39">
                  <c:v>289524.76286316651</c:v>
                </c:pt>
                <c:pt idx="40">
                  <c:v>292589.2974257702</c:v>
                </c:pt>
                <c:pt idx="41">
                  <c:v>295653.83198837389</c:v>
                </c:pt>
                <c:pt idx="42">
                  <c:v>298718.36655097757</c:v>
                </c:pt>
                <c:pt idx="43">
                  <c:v>301782.90111358126</c:v>
                </c:pt>
                <c:pt idx="44">
                  <c:v>304847.43567618495</c:v>
                </c:pt>
                <c:pt idx="45">
                  <c:v>307911.97023878864</c:v>
                </c:pt>
              </c:numCache>
            </c:numRef>
          </c:val>
        </c:ser>
        <c:axId val="172316160"/>
        <c:axId val="172317696"/>
      </c:areaChart>
      <c:lineChart>
        <c:grouping val="standard"/>
        <c:ser>
          <c:idx val="3"/>
          <c:order val="4"/>
          <c:tx>
            <c:strRef>
              <c:f>UtilityDemand!$I$2</c:f>
              <c:strCache>
                <c:ptCount val="1"/>
                <c:pt idx="0">
                  <c:v>Total Utilty Demand</c:v>
                </c:pt>
              </c:strCache>
            </c:strRef>
          </c:tx>
          <c:spPr>
            <a:ln w="25400">
              <a:solidFill>
                <a:schemeClr val="tx1"/>
              </a:solidFill>
            </a:ln>
          </c:spPr>
          <c:marker>
            <c:symbol val="circle"/>
            <c:size val="5"/>
            <c:spPr>
              <a:solidFill>
                <a:schemeClr val="tx2">
                  <a:lumMod val="60000"/>
                  <a:lumOff val="40000"/>
                </a:schemeClr>
              </a:solidFill>
              <a:ln w="19050">
                <a:solidFill>
                  <a:sysClr val="windowText" lastClr="000000"/>
                </a:solidFill>
              </a:ln>
            </c:spPr>
          </c:marker>
          <c:cat>
            <c:numRef>
              <c:f>UtilityDemand!$B$7:$B$52</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UtilityDemand!$I$7:$I$52</c:f>
              <c:numCache>
                <c:formatCode>#,##0</c:formatCode>
                <c:ptCount val="46"/>
                <c:pt idx="3">
                  <c:v>1182034.2706911135</c:v>
                </c:pt>
                <c:pt idx="4">
                  <c:v>1286694.420527732</c:v>
                </c:pt>
                <c:pt idx="5">
                  <c:v>1303525.0007701183</c:v>
                </c:pt>
                <c:pt idx="6">
                  <c:v>1320355.5810125046</c:v>
                </c:pt>
                <c:pt idx="7">
                  <c:v>1358636.1612548907</c:v>
                </c:pt>
                <c:pt idx="8">
                  <c:v>1381316.7414972768</c:v>
                </c:pt>
                <c:pt idx="9">
                  <c:v>1398147.3217396631</c:v>
                </c:pt>
                <c:pt idx="10">
                  <c:v>1430577.9019820495</c:v>
                </c:pt>
                <c:pt idx="11">
                  <c:v>1447408.4822244355</c:v>
                </c:pt>
                <c:pt idx="12">
                  <c:v>1464239.0624668221</c:v>
                </c:pt>
                <c:pt idx="13">
                  <c:v>1481069.642709208</c:v>
                </c:pt>
                <c:pt idx="14">
                  <c:v>1497900.2229515943</c:v>
                </c:pt>
                <c:pt idx="15">
                  <c:v>1514730.8031939801</c:v>
                </c:pt>
                <c:pt idx="16">
                  <c:v>1531561.3834363665</c:v>
                </c:pt>
                <c:pt idx="17">
                  <c:v>1548391.9636787528</c:v>
                </c:pt>
                <c:pt idx="18">
                  <c:v>1565222.5439211391</c:v>
                </c:pt>
                <c:pt idx="19">
                  <c:v>1582053.1241635249</c:v>
                </c:pt>
                <c:pt idx="20">
                  <c:v>1598883.7044059115</c:v>
                </c:pt>
                <c:pt idx="21">
                  <c:v>1615714.2846482974</c:v>
                </c:pt>
                <c:pt idx="22">
                  <c:v>1632544.8648906837</c:v>
                </c:pt>
                <c:pt idx="23">
                  <c:v>1649375.4451330698</c:v>
                </c:pt>
                <c:pt idx="24">
                  <c:v>1666206.0253754563</c:v>
                </c:pt>
                <c:pt idx="25">
                  <c:v>1683036.6056178424</c:v>
                </c:pt>
                <c:pt idx="26">
                  <c:v>1699867.1858602285</c:v>
                </c:pt>
                <c:pt idx="27">
                  <c:v>1716697.7661026146</c:v>
                </c:pt>
                <c:pt idx="28">
                  <c:v>1733528.3463450009</c:v>
                </c:pt>
                <c:pt idx="29">
                  <c:v>1750358.9265873868</c:v>
                </c:pt>
                <c:pt idx="30">
                  <c:v>1767189.5068297731</c:v>
                </c:pt>
                <c:pt idx="31">
                  <c:v>1784020.0870721596</c:v>
                </c:pt>
                <c:pt idx="32">
                  <c:v>1800850.6673145457</c:v>
                </c:pt>
                <c:pt idx="33">
                  <c:v>1817681.2475569318</c:v>
                </c:pt>
                <c:pt idx="34">
                  <c:v>1834511.8277993181</c:v>
                </c:pt>
                <c:pt idx="35">
                  <c:v>1851342.4080417044</c:v>
                </c:pt>
                <c:pt idx="36">
                  <c:v>1868172.9882840905</c:v>
                </c:pt>
                <c:pt idx="37">
                  <c:v>1885003.5685264766</c:v>
                </c:pt>
                <c:pt idx="38">
                  <c:v>1901834.1487688629</c:v>
                </c:pt>
                <c:pt idx="39">
                  <c:v>1918664.7290112493</c:v>
                </c:pt>
                <c:pt idx="40">
                  <c:v>1935495.3092536354</c:v>
                </c:pt>
                <c:pt idx="41">
                  <c:v>1952325.8894960214</c:v>
                </c:pt>
                <c:pt idx="42">
                  <c:v>1969156.4697384073</c:v>
                </c:pt>
                <c:pt idx="43">
                  <c:v>1985987.0499807936</c:v>
                </c:pt>
                <c:pt idx="44">
                  <c:v>2002817.6302231799</c:v>
                </c:pt>
                <c:pt idx="45">
                  <c:v>2019648.2104655663</c:v>
                </c:pt>
              </c:numCache>
            </c:numRef>
          </c:val>
        </c:ser>
        <c:marker val="1"/>
        <c:axId val="172316160"/>
        <c:axId val="172317696"/>
      </c:lineChart>
      <c:lineChart>
        <c:grouping val="standard"/>
        <c:ser>
          <c:idx val="0"/>
          <c:order val="3"/>
          <c:tx>
            <c:strRef>
              <c:f>UtilityDemand!$J$2</c:f>
              <c:strCache>
                <c:ptCount val="1"/>
                <c:pt idx="0">
                  <c:v>Campus-wide EUI (KBTU per GSF)</c:v>
                </c:pt>
              </c:strCache>
            </c:strRef>
          </c:tx>
          <c:spPr>
            <a:ln w="25400">
              <a:solidFill>
                <a:schemeClr val="tx1"/>
              </a:solidFill>
              <a:prstDash val="sysDot"/>
            </a:ln>
          </c:spPr>
          <c:marker>
            <c:symbol val="none"/>
          </c:marker>
          <c:cat>
            <c:numRef>
              <c:f>UtilityDemand!$B$11:$B$52</c:f>
              <c:numCache>
                <c:formatCode>General</c:formatCode>
                <c:ptCount val="42"/>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pt idx="33">
                  <c:v>2042</c:v>
                </c:pt>
                <c:pt idx="34">
                  <c:v>2043</c:v>
                </c:pt>
                <c:pt idx="35">
                  <c:v>2044</c:v>
                </c:pt>
                <c:pt idx="36">
                  <c:v>2045</c:v>
                </c:pt>
                <c:pt idx="37">
                  <c:v>2046</c:v>
                </c:pt>
                <c:pt idx="38">
                  <c:v>2047</c:v>
                </c:pt>
                <c:pt idx="39">
                  <c:v>2048</c:v>
                </c:pt>
                <c:pt idx="40">
                  <c:v>2049</c:v>
                </c:pt>
                <c:pt idx="41">
                  <c:v>2050</c:v>
                </c:pt>
              </c:numCache>
            </c:numRef>
          </c:cat>
          <c:val>
            <c:numRef>
              <c:f>UtilityDemand!$J$7:$J$52</c:f>
              <c:numCache>
                <c:formatCode>#,##0</c:formatCode>
                <c:ptCount val="46"/>
                <c:pt idx="3">
                  <c:v>178.98236646154149</c:v>
                </c:pt>
                <c:pt idx="4">
                  <c:v>194.77503824941971</c:v>
                </c:pt>
                <c:pt idx="5">
                  <c:v>194.90854957513227</c:v>
                </c:pt>
                <c:pt idx="6">
                  <c:v>195.03883337380572</c:v>
                </c:pt>
                <c:pt idx="7">
                  <c:v>195.16338221270649</c:v>
                </c:pt>
                <c:pt idx="8">
                  <c:v>195.28443215626478</c:v>
                </c:pt>
                <c:pt idx="9">
                  <c:v>195.40339849007231</c:v>
                </c:pt>
                <c:pt idx="10">
                  <c:v>195.51399278745652</c:v>
                </c:pt>
                <c:pt idx="11">
                  <c:v>195.62650264141314</c:v>
                </c:pt>
                <c:pt idx="12">
                  <c:v>195.73655115258961</c:v>
                </c:pt>
                <c:pt idx="13">
                  <c:v>195.84421821610147</c:v>
                </c:pt>
                <c:pt idx="14">
                  <c:v>195.94958030622035</c:v>
                </c:pt>
                <c:pt idx="15">
                  <c:v>196.05271065752126</c:v>
                </c:pt>
                <c:pt idx="16">
                  <c:v>196.15367943463986</c:v>
                </c:pt>
                <c:pt idx="17">
                  <c:v>196.25255389146588</c:v>
                </c:pt>
                <c:pt idx="18">
                  <c:v>196.34939852053259</c:v>
                </c:pt>
                <c:pt idx="19">
                  <c:v>196.44427519329898</c:v>
                </c:pt>
                <c:pt idx="20">
                  <c:v>196.53724329196592</c:v>
                </c:pt>
                <c:pt idx="21">
                  <c:v>196.62835983341648</c:v>
                </c:pt>
                <c:pt idx="22">
                  <c:v>196.71767958582456</c:v>
                </c:pt>
                <c:pt idx="23">
                  <c:v>196.80525517843165</c:v>
                </c:pt>
                <c:pt idx="24">
                  <c:v>196.89113720495567</c:v>
                </c:pt>
                <c:pt idx="25">
                  <c:v>196.97537432105736</c:v>
                </c:pt>
                <c:pt idx="26">
                  <c:v>197.05801333625993</c:v>
                </c:pt>
                <c:pt idx="27">
                  <c:v>197.13909930068596</c:v>
                </c:pt>
                <c:pt idx="28">
                  <c:v>197.21867558694976</c:v>
                </c:pt>
                <c:pt idx="29">
                  <c:v>197.29678396751788</c:v>
                </c:pt>
                <c:pt idx="30">
                  <c:v>197.37346468782778</c:v>
                </c:pt>
                <c:pt idx="31">
                  <c:v>197.44875653543292</c:v>
                </c:pt>
                <c:pt idx="32">
                  <c:v>197.52269690542514</c:v>
                </c:pt>
                <c:pt idx="33">
                  <c:v>197.59532186236481</c:v>
                </c:pt>
                <c:pt idx="34">
                  <c:v>197.66666619893519</c:v>
                </c:pt>
                <c:pt idx="35">
                  <c:v>197.736763491521</c:v>
                </c:pt>
                <c:pt idx="36">
                  <c:v>197.80564615289776</c:v>
                </c:pt>
                <c:pt idx="37">
                  <c:v>197.87334548220602</c:v>
                </c:pt>
                <c:pt idx="38">
                  <c:v>197.93989171237143</c:v>
                </c:pt>
                <c:pt idx="39">
                  <c:v>198.00531405512262</c:v>
                </c:pt>
                <c:pt idx="40">
                  <c:v>198.0696407437473</c:v>
                </c:pt>
                <c:pt idx="41">
                  <c:v>198.13289907371785</c:v>
                </c:pt>
                <c:pt idx="42">
                  <c:v>198.19511544130944</c:v>
                </c:pt>
                <c:pt idx="43">
                  <c:v>198.25631538032565</c:v>
                </c:pt>
                <c:pt idx="44">
                  <c:v>198.31652359703835</c:v>
                </c:pt>
                <c:pt idx="45">
                  <c:v>198.37576400344292</c:v>
                </c:pt>
              </c:numCache>
            </c:numRef>
          </c:val>
        </c:ser>
        <c:marker val="1"/>
        <c:axId val="172325888"/>
        <c:axId val="172323968"/>
      </c:lineChart>
      <c:catAx>
        <c:axId val="172316160"/>
        <c:scaling>
          <c:orientation val="minMax"/>
        </c:scaling>
        <c:axPos val="b"/>
        <c:numFmt formatCode="General" sourceLinked="1"/>
        <c:tickLblPos val="nextTo"/>
        <c:crossAx val="172317696"/>
        <c:crosses val="autoZero"/>
        <c:auto val="1"/>
        <c:lblAlgn val="ctr"/>
        <c:lblOffset val="100"/>
        <c:tickLblSkip val="5"/>
        <c:tickMarkSkip val="5"/>
      </c:catAx>
      <c:valAx>
        <c:axId val="172317696"/>
        <c:scaling>
          <c:orientation val="minMax"/>
        </c:scaling>
        <c:axPos val="l"/>
        <c:majorGridlines/>
        <c:title>
          <c:tx>
            <c:strRef>
              <c:f>UtilityDemand!$AH$55</c:f>
              <c:strCache>
                <c:ptCount val="1"/>
                <c:pt idx="0">
                  <c:v>Utility Demand (MMBTU)</c:v>
                </c:pt>
              </c:strCache>
            </c:strRef>
          </c:tx>
          <c:layout/>
          <c:txPr>
            <a:bodyPr rot="-5400000" vert="horz"/>
            <a:lstStyle/>
            <a:p>
              <a:pPr>
                <a:defRPr/>
              </a:pPr>
              <a:endParaRPr lang="en-US"/>
            </a:p>
          </c:txPr>
        </c:title>
        <c:numFmt formatCode="#,##0" sourceLinked="0"/>
        <c:tickLblPos val="nextTo"/>
        <c:crossAx val="172316160"/>
        <c:crosses val="autoZero"/>
        <c:crossBetween val="between"/>
      </c:valAx>
      <c:valAx>
        <c:axId val="172323968"/>
        <c:scaling>
          <c:orientation val="minMax"/>
          <c:min val="0"/>
        </c:scaling>
        <c:axPos val="r"/>
        <c:title>
          <c:tx>
            <c:strRef>
              <c:f>UtilityDemand!$J$2</c:f>
              <c:strCache>
                <c:ptCount val="1"/>
                <c:pt idx="0">
                  <c:v>Campus-wide EUI (KBTU per GSF)</c:v>
                </c:pt>
              </c:strCache>
            </c:strRef>
          </c:tx>
          <c:layout/>
          <c:txPr>
            <a:bodyPr rot="-5400000" vert="horz"/>
            <a:lstStyle/>
            <a:p>
              <a:pPr>
                <a:defRPr/>
              </a:pPr>
              <a:endParaRPr lang="en-US"/>
            </a:p>
          </c:txPr>
        </c:title>
        <c:numFmt formatCode="#,##0" sourceLinked="1"/>
        <c:tickLblPos val="nextTo"/>
        <c:crossAx val="172325888"/>
        <c:crosses val="max"/>
        <c:crossBetween val="between"/>
      </c:valAx>
      <c:catAx>
        <c:axId val="172325888"/>
        <c:scaling>
          <c:orientation val="minMax"/>
        </c:scaling>
        <c:delete val="1"/>
        <c:axPos val="b"/>
        <c:numFmt formatCode="General" sourceLinked="1"/>
        <c:tickLblPos val="none"/>
        <c:crossAx val="172323968"/>
        <c:crosses val="autoZero"/>
        <c:auto val="1"/>
        <c:lblAlgn val="ctr"/>
        <c:lblOffset val="100"/>
      </c:catAx>
    </c:plotArea>
    <c:legend>
      <c:legendPos val="l"/>
      <c:layout>
        <c:manualLayout>
          <c:xMode val="edge"/>
          <c:yMode val="edge"/>
          <c:x val="0.60684174765142185"/>
          <c:y val="0.5298178636761316"/>
          <c:w val="0.28290557474391881"/>
          <c:h val="0.33210125593805301"/>
        </c:manualLayout>
      </c:layout>
      <c:overlay val="1"/>
      <c:spPr>
        <a:solidFill>
          <a:schemeClr val="lt1"/>
        </a:solidFill>
        <a:ln w="254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legend>
    <c:dispBlanksAs val="zero"/>
  </c:chart>
  <c:printSettings>
    <c:headerFooter/>
    <c:pageMargins b="0.75000000000000744" l="0.70000000000000062" r="0.70000000000000062" t="0.750000000000007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7254216826748028"/>
          <c:y val="4.3638022476667045E-2"/>
          <c:w val="0.80179610073946928"/>
          <c:h val="0.73404023863780565"/>
        </c:manualLayout>
      </c:layout>
      <c:barChart>
        <c:barDir val="col"/>
        <c:grouping val="stacked"/>
        <c:ser>
          <c:idx val="1"/>
          <c:order val="0"/>
          <c:tx>
            <c:strRef>
              <c:f>UtilityDemand!$C$3</c:f>
              <c:strCache>
                <c:ptCount val="1"/>
                <c:pt idx="0">
                  <c:v>Purchased Electricity</c:v>
                </c:pt>
              </c:strCache>
            </c:strRef>
          </c:tx>
          <c:spPr>
            <a:solidFill>
              <a:srgbClr val="C00000"/>
            </a:solidFill>
            <a:ln>
              <a:solidFill>
                <a:sysClr val="windowText" lastClr="000000"/>
              </a:solidFill>
            </a:ln>
          </c:spPr>
          <c:cat>
            <c:numRef>
              <c:f>UtilityDemand!$B$10:$B$52</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2030</c:v>
                </c:pt>
                <c:pt idx="14">
                  <c:v>2040</c:v>
                </c:pt>
                <c:pt idx="15">
                  <c:v>2050</c:v>
                </c:pt>
              </c:numCache>
            </c:numRef>
          </c:cat>
          <c:val>
            <c:numRef>
              <c:f>UtilityDemand!$AI$10:$AI$52</c:f>
              <c:numCache>
                <c:formatCode>General</c:formatCode>
                <c:ptCount val="16"/>
                <c:pt idx="0">
                  <c:v>436321.85205866047</c:v>
                </c:pt>
                <c:pt idx="1">
                  <c:v>433242.14452773222</c:v>
                </c:pt>
                <c:pt idx="2">
                  <c:v>438621.59107783932</c:v>
                </c:pt>
                <c:pt idx="3">
                  <c:v>444001.03762794647</c:v>
                </c:pt>
                <c:pt idx="4">
                  <c:v>456612.15553761943</c:v>
                </c:pt>
                <c:pt idx="5">
                  <c:v>463963.87609488086</c:v>
                </c:pt>
                <c:pt idx="6">
                  <c:v>469343.32264498796</c:v>
                </c:pt>
                <c:pt idx="7">
                  <c:v>479982.16654750658</c:v>
                </c:pt>
                <c:pt idx="8">
                  <c:v>485361.61309761368</c:v>
                </c:pt>
                <c:pt idx="9">
                  <c:v>490741.05964772089</c:v>
                </c:pt>
                <c:pt idx="10">
                  <c:v>496120.50619782793</c:v>
                </c:pt>
                <c:pt idx="11">
                  <c:v>501499.95274793508</c:v>
                </c:pt>
                <c:pt idx="12">
                  <c:v>506879.39929804218</c:v>
                </c:pt>
                <c:pt idx="13">
                  <c:v>560673.86479911348</c:v>
                </c:pt>
                <c:pt idx="14">
                  <c:v>614468.33030018467</c:v>
                </c:pt>
                <c:pt idx="15">
                  <c:v>668262.79580125597</c:v>
                </c:pt>
              </c:numCache>
            </c:numRef>
          </c:val>
        </c:ser>
        <c:ser>
          <c:idx val="3"/>
          <c:order val="1"/>
          <c:tx>
            <c:strRef>
              <c:f>UtilityDemand!$E$3</c:f>
              <c:strCache>
                <c:ptCount val="1"/>
                <c:pt idx="0">
                  <c:v>Purchased Steam</c:v>
                </c:pt>
              </c:strCache>
            </c:strRef>
          </c:tx>
          <c:spPr>
            <a:solidFill>
              <a:schemeClr val="accent5">
                <a:lumMod val="75000"/>
              </a:schemeClr>
            </a:solidFill>
            <a:ln>
              <a:solidFill>
                <a:sysClr val="windowText" lastClr="000000"/>
              </a:solidFill>
            </a:ln>
          </c:spPr>
          <c:cat>
            <c:numRef>
              <c:f>UtilityDemand!$B$10:$B$52</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2030</c:v>
                </c:pt>
                <c:pt idx="14">
                  <c:v>2040</c:v>
                </c:pt>
                <c:pt idx="15">
                  <c:v>2050</c:v>
                </c:pt>
              </c:numCache>
            </c:numRef>
          </c:cat>
          <c:val>
            <c:numRef>
              <c:f>UtilityDemand!$E$10:$E$52</c:f>
              <c:numCache>
                <c:formatCode>#,##0</c:formatCode>
                <c:ptCount val="16"/>
                <c:pt idx="0">
                  <c:v>570142.41863245296</c:v>
                </c:pt>
                <c:pt idx="1">
                  <c:v>677074.41599999997</c:v>
                </c:pt>
                <c:pt idx="2">
                  <c:v>685461.01512967527</c:v>
                </c:pt>
                <c:pt idx="3">
                  <c:v>693847.61425935081</c:v>
                </c:pt>
                <c:pt idx="4">
                  <c:v>713508.44544344163</c:v>
                </c:pt>
                <c:pt idx="5">
                  <c:v>724969.83513341204</c:v>
                </c:pt>
                <c:pt idx="6">
                  <c:v>733356.43426308746</c:v>
                </c:pt>
                <c:pt idx="7">
                  <c:v>749942.47488688328</c:v>
                </c:pt>
                <c:pt idx="8">
                  <c:v>758329.0740165587</c:v>
                </c:pt>
                <c:pt idx="9">
                  <c:v>766715.67314623413</c:v>
                </c:pt>
                <c:pt idx="10">
                  <c:v>775102.27227590943</c:v>
                </c:pt>
                <c:pt idx="11">
                  <c:v>783488.87140558485</c:v>
                </c:pt>
                <c:pt idx="12">
                  <c:v>791875.47053526016</c:v>
                </c:pt>
                <c:pt idx="13">
                  <c:v>875741.46183201415</c:v>
                </c:pt>
                <c:pt idx="14">
                  <c:v>959607.45312876778</c:v>
                </c:pt>
                <c:pt idx="15">
                  <c:v>1043473.4444255217</c:v>
                </c:pt>
              </c:numCache>
            </c:numRef>
          </c:val>
        </c:ser>
        <c:ser>
          <c:idx val="5"/>
          <c:order val="2"/>
          <c:tx>
            <c:strRef>
              <c:f>UtilityDemand!$G$3</c:f>
              <c:strCache>
                <c:ptCount val="1"/>
                <c:pt idx="0">
                  <c:v>Purchased Cooling</c:v>
                </c:pt>
              </c:strCache>
            </c:strRef>
          </c:tx>
          <c:spPr>
            <a:solidFill>
              <a:schemeClr val="accent3">
                <a:lumMod val="75000"/>
              </a:schemeClr>
            </a:solidFill>
            <a:ln>
              <a:solidFill>
                <a:sysClr val="windowText" lastClr="000000"/>
              </a:solidFill>
            </a:ln>
          </c:spPr>
          <c:cat>
            <c:numRef>
              <c:f>UtilityDemand!$B$10:$B$52</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2030</c:v>
                </c:pt>
                <c:pt idx="14">
                  <c:v>2040</c:v>
                </c:pt>
                <c:pt idx="15">
                  <c:v>2050</c:v>
                </c:pt>
              </c:numCache>
            </c:numRef>
          </c:cat>
          <c:val>
            <c:numRef>
              <c:f>UtilityDemand!$G$10:$G$52</c:f>
              <c:numCache>
                <c:formatCode>#,##0</c:formatCode>
                <c:ptCount val="16"/>
                <c:pt idx="0">
                  <c:v>175570</c:v>
                </c:pt>
                <c:pt idx="1">
                  <c:v>176377.86</c:v>
                </c:pt>
                <c:pt idx="2">
                  <c:v>179442.39456260367</c:v>
                </c:pt>
                <c:pt idx="3">
                  <c:v>182506.92912520736</c:v>
                </c:pt>
                <c:pt idx="4">
                  <c:v>188515.56027382973</c:v>
                </c:pt>
                <c:pt idx="5">
                  <c:v>192383.03026898397</c:v>
                </c:pt>
                <c:pt idx="6">
                  <c:v>195447.56483158763</c:v>
                </c:pt>
                <c:pt idx="7">
                  <c:v>200653.26054765948</c:v>
                </c:pt>
                <c:pt idx="8">
                  <c:v>203717.79511026316</c:v>
                </c:pt>
                <c:pt idx="9">
                  <c:v>206782.32967286685</c:v>
                </c:pt>
                <c:pt idx="10">
                  <c:v>209846.86423547054</c:v>
                </c:pt>
                <c:pt idx="11">
                  <c:v>212911.39879807425</c:v>
                </c:pt>
                <c:pt idx="12">
                  <c:v>215975.93336067794</c:v>
                </c:pt>
                <c:pt idx="13">
                  <c:v>246621.27898671487</c:v>
                </c:pt>
                <c:pt idx="14">
                  <c:v>277266.62461275177</c:v>
                </c:pt>
                <c:pt idx="15">
                  <c:v>307911.97023878864</c:v>
                </c:pt>
              </c:numCache>
            </c:numRef>
          </c:val>
        </c:ser>
        <c:overlap val="100"/>
        <c:axId val="172628608"/>
        <c:axId val="172634496"/>
      </c:barChart>
      <c:catAx>
        <c:axId val="172628608"/>
        <c:scaling>
          <c:orientation val="minMax"/>
        </c:scaling>
        <c:axPos val="b"/>
        <c:numFmt formatCode="General" sourceLinked="1"/>
        <c:tickLblPos val="nextTo"/>
        <c:crossAx val="172634496"/>
        <c:crosses val="autoZero"/>
        <c:auto val="1"/>
        <c:lblAlgn val="ctr"/>
        <c:lblOffset val="100"/>
      </c:catAx>
      <c:valAx>
        <c:axId val="172634496"/>
        <c:scaling>
          <c:orientation val="minMax"/>
        </c:scaling>
        <c:axPos val="l"/>
        <c:majorGridlines/>
        <c:title>
          <c:tx>
            <c:rich>
              <a:bodyPr rot="-5400000" vert="horz"/>
              <a:lstStyle/>
              <a:p>
                <a:pPr>
                  <a:defRPr/>
                </a:pPr>
                <a:r>
                  <a:rPr lang="en-US"/>
                  <a:t>Total Utility Demand (MMBTU)</a:t>
                </a:r>
              </a:p>
            </c:rich>
          </c:tx>
          <c:layout/>
        </c:title>
        <c:numFmt formatCode="#,##0" sourceLinked="0"/>
        <c:tickLblPos val="nextTo"/>
        <c:crossAx val="172628608"/>
        <c:crosses val="autoZero"/>
        <c:crossBetween val="between"/>
      </c:valAx>
    </c:plotArea>
    <c:legend>
      <c:legendPos val="b"/>
      <c:layout/>
    </c:legend>
    <c:plotVisOnly val="1"/>
  </c:chart>
  <c:spPr>
    <a:ln>
      <a:noFill/>
    </a:ln>
  </c:spPr>
  <c:printSettings>
    <c:headerFooter/>
    <c:pageMargins b="0.75000000000000555" l="0.70000000000000062" r="0.70000000000000062" t="0.7500000000000055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areaChart>
        <c:grouping val="stacked"/>
        <c:ser>
          <c:idx val="0"/>
          <c:order val="0"/>
          <c:tx>
            <c:strRef>
              <c:f>PrimaryEnergy!$J$2</c:f>
              <c:strCache>
                <c:ptCount val="1"/>
                <c:pt idx="0">
                  <c:v>Total Campus NG Consumption</c:v>
                </c:pt>
              </c:strCache>
            </c:strRef>
          </c:tx>
          <c:spPr>
            <a:ln w="12700">
              <a:solidFill>
                <a:sysClr val="windowText" lastClr="000000"/>
              </a:solidFill>
            </a:ln>
          </c:spPr>
          <c:cat>
            <c:numRef>
              <c:f>PrimaryEnergy!$B$5:$B$51</c:f>
              <c:numCache>
                <c:formatCode>General</c:formatCode>
                <c:ptCount val="4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pt idx="27">
                  <c:v>2031</c:v>
                </c:pt>
                <c:pt idx="28">
                  <c:v>2032</c:v>
                </c:pt>
                <c:pt idx="29">
                  <c:v>2033</c:v>
                </c:pt>
                <c:pt idx="30">
                  <c:v>2034</c:v>
                </c:pt>
                <c:pt idx="31">
                  <c:v>2035</c:v>
                </c:pt>
                <c:pt idx="32">
                  <c:v>2036</c:v>
                </c:pt>
                <c:pt idx="33">
                  <c:v>2037</c:v>
                </c:pt>
                <c:pt idx="34">
                  <c:v>2038</c:v>
                </c:pt>
                <c:pt idx="35">
                  <c:v>2039</c:v>
                </c:pt>
                <c:pt idx="36">
                  <c:v>2040</c:v>
                </c:pt>
                <c:pt idx="37">
                  <c:v>2041</c:v>
                </c:pt>
                <c:pt idx="38">
                  <c:v>2042</c:v>
                </c:pt>
                <c:pt idx="39">
                  <c:v>2043</c:v>
                </c:pt>
                <c:pt idx="40">
                  <c:v>2044</c:v>
                </c:pt>
                <c:pt idx="41">
                  <c:v>2045</c:v>
                </c:pt>
                <c:pt idx="42">
                  <c:v>2046</c:v>
                </c:pt>
                <c:pt idx="43">
                  <c:v>2047</c:v>
                </c:pt>
                <c:pt idx="44">
                  <c:v>2048</c:v>
                </c:pt>
                <c:pt idx="45">
                  <c:v>2049</c:v>
                </c:pt>
                <c:pt idx="46">
                  <c:v>2050</c:v>
                </c:pt>
              </c:numCache>
            </c:numRef>
          </c:cat>
          <c:val>
            <c:numRef>
              <c:f>PrimaryEnergy!$J$5:$J$51</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er>
        <c:ser>
          <c:idx val="1"/>
          <c:order val="1"/>
          <c:tx>
            <c:strRef>
              <c:f>PrimaryEnergy!$K$2</c:f>
              <c:strCache>
                <c:ptCount val="1"/>
                <c:pt idx="0">
                  <c:v>Total Campus Electricity Consumption</c:v>
                </c:pt>
              </c:strCache>
            </c:strRef>
          </c:tx>
          <c:spPr>
            <a:ln w="12700">
              <a:solidFill>
                <a:schemeClr val="tx1"/>
              </a:solidFill>
            </a:ln>
          </c:spPr>
          <c:cat>
            <c:numRef>
              <c:f>PrimaryEnergy!$B$5:$B$51</c:f>
              <c:numCache>
                <c:formatCode>General</c:formatCode>
                <c:ptCount val="4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pt idx="27">
                  <c:v>2031</c:v>
                </c:pt>
                <c:pt idx="28">
                  <c:v>2032</c:v>
                </c:pt>
                <c:pt idx="29">
                  <c:v>2033</c:v>
                </c:pt>
                <c:pt idx="30">
                  <c:v>2034</c:v>
                </c:pt>
                <c:pt idx="31">
                  <c:v>2035</c:v>
                </c:pt>
                <c:pt idx="32">
                  <c:v>2036</c:v>
                </c:pt>
                <c:pt idx="33">
                  <c:v>2037</c:v>
                </c:pt>
                <c:pt idx="34">
                  <c:v>2038</c:v>
                </c:pt>
                <c:pt idx="35">
                  <c:v>2039</c:v>
                </c:pt>
                <c:pt idx="36">
                  <c:v>2040</c:v>
                </c:pt>
                <c:pt idx="37">
                  <c:v>2041</c:v>
                </c:pt>
                <c:pt idx="38">
                  <c:v>2042</c:v>
                </c:pt>
                <c:pt idx="39">
                  <c:v>2043</c:v>
                </c:pt>
                <c:pt idx="40">
                  <c:v>2044</c:v>
                </c:pt>
                <c:pt idx="41">
                  <c:v>2045</c:v>
                </c:pt>
                <c:pt idx="42">
                  <c:v>2046</c:v>
                </c:pt>
                <c:pt idx="43">
                  <c:v>2047</c:v>
                </c:pt>
                <c:pt idx="44">
                  <c:v>2048</c:v>
                </c:pt>
                <c:pt idx="45">
                  <c:v>2049</c:v>
                </c:pt>
                <c:pt idx="46">
                  <c:v>2050</c:v>
                </c:pt>
              </c:numCache>
            </c:numRef>
          </c:cat>
          <c:val>
            <c:numRef>
              <c:f>PrimaryEnergy!$K$5:$K$51</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er>
        <c:axId val="172943616"/>
        <c:axId val="183623680"/>
      </c:areaChart>
      <c:lineChart>
        <c:grouping val="standard"/>
        <c:ser>
          <c:idx val="3"/>
          <c:order val="2"/>
          <c:tx>
            <c:strRef>
              <c:f>PrimaryEnergy!$M$2</c:f>
              <c:strCache>
                <c:ptCount val="1"/>
                <c:pt idx="0">
                  <c:v>Total Campus EUI (Right Axis)</c:v>
                </c:pt>
              </c:strCache>
            </c:strRef>
          </c:tx>
          <c:spPr>
            <a:ln w="25400" cap="flat" cmpd="sng" algn="ctr">
              <a:solidFill>
                <a:schemeClr val="dk1"/>
              </a:solidFill>
              <a:prstDash val="sysDash"/>
            </a:ln>
            <a:effectLst/>
          </c:spPr>
          <c:marker>
            <c:symbol val="none"/>
          </c:marker>
          <c:val>
            <c:numRef>
              <c:f>PrimaryEnergy!$M$5:$M$51</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er>
        <c:marker val="1"/>
        <c:axId val="189755392"/>
        <c:axId val="183625600"/>
      </c:lineChart>
      <c:catAx>
        <c:axId val="172943616"/>
        <c:scaling>
          <c:orientation val="minMax"/>
        </c:scaling>
        <c:axPos val="b"/>
        <c:numFmt formatCode="General" sourceLinked="1"/>
        <c:tickLblPos val="nextTo"/>
        <c:crossAx val="183623680"/>
        <c:crosses val="autoZero"/>
        <c:auto val="1"/>
        <c:lblAlgn val="ctr"/>
        <c:lblOffset val="100"/>
        <c:tickLblSkip val="5"/>
        <c:tickMarkSkip val="5"/>
      </c:catAx>
      <c:valAx>
        <c:axId val="183623680"/>
        <c:scaling>
          <c:orientation val="minMax"/>
        </c:scaling>
        <c:axPos val="l"/>
        <c:majorGridlines/>
        <c:title>
          <c:tx>
            <c:rich>
              <a:bodyPr rot="-5400000" vert="horz"/>
              <a:lstStyle/>
              <a:p>
                <a:pPr>
                  <a:defRPr/>
                </a:pPr>
                <a:r>
                  <a:rPr lang="en-US"/>
                  <a:t>Energy Consumption (MMBTU)</a:t>
                </a:r>
              </a:p>
            </c:rich>
          </c:tx>
        </c:title>
        <c:numFmt formatCode="#,##0" sourceLinked="1"/>
        <c:tickLblPos val="nextTo"/>
        <c:crossAx val="172943616"/>
        <c:crosses val="autoZero"/>
        <c:crossBetween val="between"/>
      </c:valAx>
      <c:valAx>
        <c:axId val="183625600"/>
        <c:scaling>
          <c:orientation val="minMax"/>
        </c:scaling>
        <c:axPos val="r"/>
        <c:title>
          <c:tx>
            <c:rich>
              <a:bodyPr rot="-5400000" vert="horz"/>
              <a:lstStyle/>
              <a:p>
                <a:pPr>
                  <a:defRPr/>
                </a:pPr>
                <a:r>
                  <a:rPr lang="en-US"/>
                  <a:t>Energy Use Intensity (KBTU/GSF)</a:t>
                </a:r>
              </a:p>
            </c:rich>
          </c:tx>
        </c:title>
        <c:numFmt formatCode="#,##0" sourceLinked="1"/>
        <c:tickLblPos val="nextTo"/>
        <c:crossAx val="189755392"/>
        <c:crosses val="max"/>
        <c:crossBetween val="between"/>
      </c:valAx>
      <c:catAx>
        <c:axId val="189755392"/>
        <c:scaling>
          <c:orientation val="minMax"/>
        </c:scaling>
        <c:delete val="1"/>
        <c:axPos val="b"/>
        <c:tickLblPos val="none"/>
        <c:crossAx val="183625600"/>
        <c:crosses val="autoZero"/>
        <c:auto val="1"/>
        <c:lblAlgn val="ctr"/>
        <c:lblOffset val="100"/>
      </c:catAx>
    </c:plotArea>
    <c:legend>
      <c:legendPos val="l"/>
      <c:layout>
        <c:manualLayout>
          <c:xMode val="edge"/>
          <c:yMode val="edge"/>
          <c:x val="0.58029350104819999"/>
          <c:y val="0.68452145281325694"/>
          <c:w val="0.29573165618448627"/>
          <c:h val="0.17352306540088658"/>
        </c:manualLayout>
      </c:layout>
      <c:overlay val="1"/>
      <c:spPr>
        <a:solidFill>
          <a:schemeClr val="lt1"/>
        </a:solidFill>
        <a:ln w="25400" cap="flat" cmpd="sng" algn="ctr">
          <a:solidFill>
            <a:schemeClr val="dk1"/>
          </a:solidFill>
          <a:prstDash val="solid"/>
        </a:ln>
        <a:effectLst/>
      </c:spPr>
      <c:txPr>
        <a:bodyPr/>
        <a:lstStyle/>
        <a:p>
          <a:pPr>
            <a:defRPr sz="900"/>
          </a:pPr>
          <a:endParaRPr lang="en-US"/>
        </a:p>
      </c:txPr>
    </c:legend>
    <c:plotVisOnly val="1"/>
    <c:dispBlanksAs val="zero"/>
  </c:chart>
  <c:txPr>
    <a:bodyPr/>
    <a:lstStyle/>
    <a:p>
      <a:pPr>
        <a:defRPr sz="1050"/>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areaChart>
        <c:grouping val="stacked"/>
        <c:ser>
          <c:idx val="1"/>
          <c:order val="0"/>
          <c:tx>
            <c:strRef>
              <c:f>'GHG Emissions'!$C$3</c:f>
              <c:strCache>
                <c:ptCount val="1"/>
                <c:pt idx="0">
                  <c:v>NATURAL GAS</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Emissions'!$C$7:$C$52</c:f>
              <c:numCache>
                <c:formatCode>#,##0</c:formatCode>
                <c:ptCount val="46"/>
                <c:pt idx="4">
                  <c:v>5189.1396527773722</c:v>
                </c:pt>
                <c:pt idx="5">
                  <c:v>5253.4150604243605</c:v>
                </c:pt>
                <c:pt idx="6">
                  <c:v>5317.6904680713496</c:v>
                </c:pt>
                <c:pt idx="7">
                  <c:v>5468.3722783613539</c:v>
                </c:pt>
                <c:pt idx="8">
                  <c:v>5556.2130685473467</c:v>
                </c:pt>
                <c:pt idx="9">
                  <c:v>5620.4884761943358</c:v>
                </c:pt>
                <c:pt idx="10">
                  <c:v>5747.6049039453355</c:v>
                </c:pt>
                <c:pt idx="11">
                  <c:v>5811.8803115923238</c:v>
                </c:pt>
                <c:pt idx="12">
                  <c:v>5876.1557192393129</c:v>
                </c:pt>
                <c:pt idx="13">
                  <c:v>5940.4311268863012</c:v>
                </c:pt>
                <c:pt idx="14">
                  <c:v>6004.7065345332903</c:v>
                </c:pt>
                <c:pt idx="15">
                  <c:v>6068.9819421802786</c:v>
                </c:pt>
                <c:pt idx="16">
                  <c:v>6133.2573498272668</c:v>
                </c:pt>
                <c:pt idx="17">
                  <c:v>6197.532757474255</c:v>
                </c:pt>
                <c:pt idx="18">
                  <c:v>6261.8081651212442</c:v>
                </c:pt>
                <c:pt idx="19">
                  <c:v>6326.0835727682324</c:v>
                </c:pt>
                <c:pt idx="20">
                  <c:v>6390.3589804152216</c:v>
                </c:pt>
                <c:pt idx="21">
                  <c:v>6454.6343880622098</c:v>
                </c:pt>
                <c:pt idx="22">
                  <c:v>6518.9097957091981</c:v>
                </c:pt>
                <c:pt idx="23">
                  <c:v>6583.1852033561863</c:v>
                </c:pt>
                <c:pt idx="24">
                  <c:v>6647.4606110031764</c:v>
                </c:pt>
                <c:pt idx="25">
                  <c:v>6711.7360186501646</c:v>
                </c:pt>
                <c:pt idx="26">
                  <c:v>6776.0114262971529</c:v>
                </c:pt>
                <c:pt idx="27">
                  <c:v>6840.2868339441411</c:v>
                </c:pt>
                <c:pt idx="28">
                  <c:v>6904.5622415911294</c:v>
                </c:pt>
                <c:pt idx="29">
                  <c:v>6968.8376492381176</c:v>
                </c:pt>
                <c:pt idx="30">
                  <c:v>7033.1130568851067</c:v>
                </c:pt>
                <c:pt idx="31">
                  <c:v>7097.3884645320959</c:v>
                </c:pt>
                <c:pt idx="32">
                  <c:v>7161.6638721790841</c:v>
                </c:pt>
                <c:pt idx="33">
                  <c:v>7225.9392798260724</c:v>
                </c:pt>
                <c:pt idx="34">
                  <c:v>7290.2146874730606</c:v>
                </c:pt>
                <c:pt idx="35">
                  <c:v>7354.4900951200489</c:v>
                </c:pt>
                <c:pt idx="36">
                  <c:v>7418.7655027670389</c:v>
                </c:pt>
                <c:pt idx="37">
                  <c:v>7483.0409104140272</c:v>
                </c:pt>
                <c:pt idx="38">
                  <c:v>7547.3163180610154</c:v>
                </c:pt>
                <c:pt idx="39">
                  <c:v>7611.5917257080037</c:v>
                </c:pt>
                <c:pt idx="40">
                  <c:v>7675.8671333549919</c:v>
                </c:pt>
                <c:pt idx="41">
                  <c:v>7740.1425410019801</c:v>
                </c:pt>
                <c:pt idx="42">
                  <c:v>7804.4179486489693</c:v>
                </c:pt>
                <c:pt idx="43">
                  <c:v>7868.6933562959584</c:v>
                </c:pt>
                <c:pt idx="44">
                  <c:v>7932.9687639429467</c:v>
                </c:pt>
                <c:pt idx="45">
                  <c:v>7997.2441715899349</c:v>
                </c:pt>
              </c:numCache>
            </c:numRef>
          </c:val>
        </c:ser>
        <c:ser>
          <c:idx val="2"/>
          <c:order val="1"/>
          <c:tx>
            <c:strRef>
              <c:f>'GHG Emissions'!$D$3</c:f>
              <c:strCache>
                <c:ptCount val="1"/>
                <c:pt idx="0">
                  <c:v>REFRIGERANTS</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Emissions'!$D$7:$D$52</c:f>
              <c:numCache>
                <c:formatCode>#,##0</c:formatCode>
                <c:ptCount val="46"/>
                <c:pt idx="4">
                  <c:v>13341.965971180001</c:v>
                </c:pt>
                <c:pt idx="5">
                  <c:v>13507.226565226809</c:v>
                </c:pt>
                <c:pt idx="6">
                  <c:v>13672.48715927362</c:v>
                </c:pt>
                <c:pt idx="7">
                  <c:v>14059.910069406522</c:v>
                </c:pt>
                <c:pt idx="8">
                  <c:v>14285.760386022266</c:v>
                </c:pt>
                <c:pt idx="9">
                  <c:v>14451.020980069077</c:v>
                </c:pt>
                <c:pt idx="10">
                  <c:v>14777.854167633044</c:v>
                </c:pt>
                <c:pt idx="11">
                  <c:v>14943.114761679853</c:v>
                </c:pt>
                <c:pt idx="12">
                  <c:v>15108.375355726665</c:v>
                </c:pt>
                <c:pt idx="13">
                  <c:v>15273.635949773474</c:v>
                </c:pt>
                <c:pt idx="14">
                  <c:v>15438.896543820283</c:v>
                </c:pt>
                <c:pt idx="15">
                  <c:v>15604.157137867092</c:v>
                </c:pt>
                <c:pt idx="16">
                  <c:v>15769.417731913902</c:v>
                </c:pt>
                <c:pt idx="17">
                  <c:v>15934.678325960711</c:v>
                </c:pt>
                <c:pt idx="18">
                  <c:v>16099.938920007522</c:v>
                </c:pt>
                <c:pt idx="19">
                  <c:v>16265.199514054331</c:v>
                </c:pt>
                <c:pt idx="20">
                  <c:v>16430.460108101142</c:v>
                </c:pt>
                <c:pt idx="21">
                  <c:v>16595.720702147952</c:v>
                </c:pt>
                <c:pt idx="22">
                  <c:v>16760.981296194761</c:v>
                </c:pt>
                <c:pt idx="23">
                  <c:v>16926.24189024157</c:v>
                </c:pt>
                <c:pt idx="24">
                  <c:v>17091.502484288383</c:v>
                </c:pt>
                <c:pt idx="25">
                  <c:v>17256.763078335192</c:v>
                </c:pt>
                <c:pt idx="26">
                  <c:v>17422.023672381998</c:v>
                </c:pt>
                <c:pt idx="27">
                  <c:v>17587.284266428807</c:v>
                </c:pt>
                <c:pt idx="28">
                  <c:v>17752.544860475617</c:v>
                </c:pt>
                <c:pt idx="29">
                  <c:v>17917.805454522426</c:v>
                </c:pt>
                <c:pt idx="30">
                  <c:v>18083.066048569235</c:v>
                </c:pt>
                <c:pt idx="31">
                  <c:v>18248.326642616048</c:v>
                </c:pt>
                <c:pt idx="32">
                  <c:v>18413.587236662857</c:v>
                </c:pt>
                <c:pt idx="33">
                  <c:v>18578.847830709667</c:v>
                </c:pt>
                <c:pt idx="34">
                  <c:v>18744.108424756476</c:v>
                </c:pt>
                <c:pt idx="35">
                  <c:v>18909.369018803285</c:v>
                </c:pt>
                <c:pt idx="36">
                  <c:v>19074.629612850098</c:v>
                </c:pt>
                <c:pt idx="37">
                  <c:v>19239.890206896907</c:v>
                </c:pt>
                <c:pt idx="38">
                  <c:v>19405.150800943717</c:v>
                </c:pt>
                <c:pt idx="39">
                  <c:v>19570.411394990526</c:v>
                </c:pt>
                <c:pt idx="40">
                  <c:v>19735.671989037335</c:v>
                </c:pt>
                <c:pt idx="41">
                  <c:v>19900.932583084144</c:v>
                </c:pt>
                <c:pt idx="42">
                  <c:v>20066.19317713095</c:v>
                </c:pt>
                <c:pt idx="43">
                  <c:v>20231.453771177763</c:v>
                </c:pt>
                <c:pt idx="44">
                  <c:v>20396.714365224572</c:v>
                </c:pt>
                <c:pt idx="45">
                  <c:v>20561.974959271382</c:v>
                </c:pt>
              </c:numCache>
            </c:numRef>
          </c:val>
        </c:ser>
        <c:ser>
          <c:idx val="4"/>
          <c:order val="2"/>
          <c:tx>
            <c:strRef>
              <c:f>'GHG Emissions'!$E$3</c:f>
              <c:strCache>
                <c:ptCount val="1"/>
                <c:pt idx="0">
                  <c:v>FUEL OIL</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Emissions'!$E$7:$E$52</c:f>
              <c:numCache>
                <c:formatCode>#,##0</c:formatCode>
                <c:ptCount val="46"/>
                <c:pt idx="4">
                  <c:v>18.59579041838726</c:v>
                </c:pt>
                <c:pt idx="5">
                  <c:v>18.826127639899514</c:v>
                </c:pt>
                <c:pt idx="6">
                  <c:v>19.056464861411769</c:v>
                </c:pt>
                <c:pt idx="7">
                  <c:v>19.596447893573252</c:v>
                </c:pt>
                <c:pt idx="8">
                  <c:v>19.911233972535296</c:v>
                </c:pt>
                <c:pt idx="9">
                  <c:v>20.141571194047554</c:v>
                </c:pt>
                <c:pt idx="10">
                  <c:v>20.597105368759248</c:v>
                </c:pt>
                <c:pt idx="11">
                  <c:v>20.827442590271502</c:v>
                </c:pt>
                <c:pt idx="12">
                  <c:v>21.057779811783757</c:v>
                </c:pt>
                <c:pt idx="13">
                  <c:v>21.288117033296011</c:v>
                </c:pt>
                <c:pt idx="14">
                  <c:v>21.518454254808269</c:v>
                </c:pt>
                <c:pt idx="15">
                  <c:v>21.748791476320523</c:v>
                </c:pt>
                <c:pt idx="16">
                  <c:v>21.979128697832778</c:v>
                </c:pt>
                <c:pt idx="17">
                  <c:v>22.209465919345032</c:v>
                </c:pt>
                <c:pt idx="18">
                  <c:v>22.439803140857286</c:v>
                </c:pt>
                <c:pt idx="19">
                  <c:v>22.670140362369541</c:v>
                </c:pt>
                <c:pt idx="20">
                  <c:v>22.900477583881798</c:v>
                </c:pt>
                <c:pt idx="21">
                  <c:v>23.130814805394053</c:v>
                </c:pt>
                <c:pt idx="22">
                  <c:v>23.361152026906304</c:v>
                </c:pt>
                <c:pt idx="23">
                  <c:v>23.591489248418558</c:v>
                </c:pt>
                <c:pt idx="24">
                  <c:v>23.821826469930816</c:v>
                </c:pt>
                <c:pt idx="25">
                  <c:v>24.05216369144307</c:v>
                </c:pt>
                <c:pt idx="26">
                  <c:v>24.282500912955324</c:v>
                </c:pt>
                <c:pt idx="27">
                  <c:v>24.512838134467579</c:v>
                </c:pt>
                <c:pt idx="28">
                  <c:v>24.743175355979833</c:v>
                </c:pt>
                <c:pt idx="29">
                  <c:v>24.973512577492087</c:v>
                </c:pt>
                <c:pt idx="30">
                  <c:v>25.203849799004338</c:v>
                </c:pt>
                <c:pt idx="31">
                  <c:v>25.4341870205166</c:v>
                </c:pt>
                <c:pt idx="32">
                  <c:v>25.66452424202885</c:v>
                </c:pt>
                <c:pt idx="33">
                  <c:v>25.894861463541105</c:v>
                </c:pt>
                <c:pt idx="34">
                  <c:v>26.125198685053359</c:v>
                </c:pt>
                <c:pt idx="35">
                  <c:v>26.355535906565613</c:v>
                </c:pt>
                <c:pt idx="36">
                  <c:v>26.585873128077871</c:v>
                </c:pt>
                <c:pt idx="37">
                  <c:v>26.816210349590126</c:v>
                </c:pt>
                <c:pt idx="38">
                  <c:v>27.04654757110238</c:v>
                </c:pt>
                <c:pt idx="39">
                  <c:v>27.276884792614634</c:v>
                </c:pt>
                <c:pt idx="40">
                  <c:v>27.507222014126885</c:v>
                </c:pt>
                <c:pt idx="41">
                  <c:v>27.737559235639139</c:v>
                </c:pt>
                <c:pt idx="42">
                  <c:v>27.967896457151394</c:v>
                </c:pt>
                <c:pt idx="43">
                  <c:v>28.198233678663652</c:v>
                </c:pt>
                <c:pt idx="44">
                  <c:v>28.428570900175906</c:v>
                </c:pt>
                <c:pt idx="45">
                  <c:v>28.65890812168816</c:v>
                </c:pt>
              </c:numCache>
            </c:numRef>
          </c:val>
        </c:ser>
        <c:ser>
          <c:idx val="5"/>
          <c:order val="3"/>
          <c:tx>
            <c:strRef>
              <c:f>'GHG Emissions'!$F$3</c:f>
              <c:strCache>
                <c:ptCount val="1"/>
                <c:pt idx="0">
                  <c:v>VEHICLE (GAS)</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Emissions'!$F$7:$F$52</c:f>
              <c:numCache>
                <c:formatCode>#,##0</c:formatCode>
                <c:ptCount val="46"/>
                <c:pt idx="4">
                  <c:v>410.5632587071712</c:v>
                </c:pt>
                <c:pt idx="5">
                  <c:v>413.76533521715328</c:v>
                </c:pt>
                <c:pt idx="6">
                  <c:v>415.09167873534415</c:v>
                </c:pt>
                <c:pt idx="7">
                  <c:v>416.10941791218295</c:v>
                </c:pt>
                <c:pt idx="8">
                  <c:v>416.9674117271353</c:v>
                </c:pt>
                <c:pt idx="9">
                  <c:v>417.72331945264636</c:v>
                </c:pt>
                <c:pt idx="10">
                  <c:v>418.40671227397928</c:v>
                </c:pt>
                <c:pt idx="11">
                  <c:v>419.03515683158537</c:v>
                </c:pt>
                <c:pt idx="12">
                  <c:v>419.62009876351709</c:v>
                </c:pt>
                <c:pt idx="13">
                  <c:v>420.16948823711743</c:v>
                </c:pt>
                <c:pt idx="14">
                  <c:v>420.68911372083744</c:v>
                </c:pt>
                <c:pt idx="15">
                  <c:v>421.1833450407924</c:v>
                </c:pt>
                <c:pt idx="16">
                  <c:v>421.65557711719475</c:v>
                </c:pt>
                <c:pt idx="17">
                  <c:v>422.10850975187032</c:v>
                </c:pt>
                <c:pt idx="18">
                  <c:v>422.54433193376093</c:v>
                </c:pt>
                <c:pt idx="19">
                  <c:v>422.96484770361371</c:v>
                </c:pt>
                <c:pt idx="20">
                  <c:v>423.37156474709951</c:v>
                </c:pt>
                <c:pt idx="21">
                  <c:v>423.76575837913646</c:v>
                </c:pt>
                <c:pt idx="22">
                  <c:v>424.14851879169004</c:v>
                </c:pt>
                <c:pt idx="23">
                  <c:v>424.52078662366847</c:v>
                </c:pt>
                <c:pt idx="24">
                  <c:v>424.88338019812159</c:v>
                </c:pt>
                <c:pt idx="25">
                  <c:v>425.23701669520403</c:v>
                </c:pt>
                <c:pt idx="26">
                  <c:v>425.58232883375155</c:v>
                </c:pt>
                <c:pt idx="27">
                  <c:v>425.91987817380232</c:v>
                </c:pt>
                <c:pt idx="28">
                  <c:v>426.25016584078725</c:v>
                </c:pt>
                <c:pt idx="29">
                  <c:v>426.57364125708153</c:v>
                </c:pt>
                <c:pt idx="30">
                  <c:v>426.89070931558683</c:v>
                </c:pt>
                <c:pt idx="31">
                  <c:v>427.20173632220656</c:v>
                </c:pt>
                <c:pt idx="32">
                  <c:v>427.50705495599954</c:v>
                </c:pt>
                <c:pt idx="33">
                  <c:v>427.80696843847869</c:v>
                </c:pt>
                <c:pt idx="34">
                  <c:v>428.10175406091719</c:v>
                </c:pt>
                <c:pt idx="35">
                  <c:v>428.39166618650449</c:v>
                </c:pt>
                <c:pt idx="36">
                  <c:v>428.67693881986298</c:v>
                </c:pt>
                <c:pt idx="37">
                  <c:v>428.95778781777102</c:v>
                </c:pt>
                <c:pt idx="38">
                  <c:v>429.23441280049076</c:v>
                </c:pt>
                <c:pt idx="39">
                  <c:v>429.5069988118143</c:v>
                </c:pt>
                <c:pt idx="40">
                  <c:v>429.77571776706361</c:v>
                </c:pt>
                <c:pt idx="41">
                  <c:v>430.04072972123828</c:v>
                </c:pt>
                <c:pt idx="42">
                  <c:v>430.30218398388268</c:v>
                </c:pt>
                <c:pt idx="43">
                  <c:v>430.56022010272773</c:v>
                </c:pt>
                <c:pt idx="44">
                  <c:v>430.81496873450368</c:v>
                </c:pt>
                <c:pt idx="45">
                  <c:v>431.06655241835176</c:v>
                </c:pt>
              </c:numCache>
            </c:numRef>
          </c:val>
        </c:ser>
        <c:ser>
          <c:idx val="6"/>
          <c:order val="4"/>
          <c:tx>
            <c:strRef>
              <c:f>'GHG Emissions'!$G$3</c:f>
              <c:strCache>
                <c:ptCount val="1"/>
                <c:pt idx="0">
                  <c:v>VEHICLE (BIODIESEL)</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Emissions'!$G$7:$G$52</c:f>
              <c:numCache>
                <c:formatCode>#,##0</c:formatCode>
                <c:ptCount val="46"/>
                <c:pt idx="4">
                  <c:v>154.79941100547845</c:v>
                </c:pt>
                <c:pt idx="5">
                  <c:v>156.00672692385982</c:v>
                </c:pt>
                <c:pt idx="6">
                  <c:v>156.50681355132232</c:v>
                </c:pt>
                <c:pt idx="7">
                  <c:v>156.89054351690169</c:v>
                </c:pt>
                <c:pt idx="8">
                  <c:v>157.21404284224121</c:v>
                </c:pt>
                <c:pt idx="9">
                  <c:v>157.4990514692968</c:v>
                </c:pt>
                <c:pt idx="10">
                  <c:v>157.75671896385251</c:v>
                </c:pt>
                <c:pt idx="11">
                  <c:v>157.99366867940512</c:v>
                </c:pt>
                <c:pt idx="12">
                  <c:v>158.21421609716617</c:v>
                </c:pt>
                <c:pt idx="13">
                  <c:v>158.42135876062258</c:v>
                </c:pt>
                <c:pt idx="14">
                  <c:v>158.61727916294154</c:v>
                </c:pt>
                <c:pt idx="15">
                  <c:v>158.8036249101728</c:v>
                </c:pt>
                <c:pt idx="16">
                  <c:v>158.9816760283249</c:v>
                </c:pt>
                <c:pt idx="17">
                  <c:v>159.15245045488638</c:v>
                </c:pt>
                <c:pt idx="18">
                  <c:v>159.31677352965988</c:v>
                </c:pt>
                <c:pt idx="19">
                  <c:v>159.47532545098062</c:v>
                </c:pt>
                <c:pt idx="20">
                  <c:v>159.62867467900395</c:v>
                </c:pt>
                <c:pt idx="21">
                  <c:v>159.77730206045445</c:v>
                </c:pt>
                <c:pt idx="22">
                  <c:v>159.92161864301005</c:v>
                </c:pt>
                <c:pt idx="23">
                  <c:v>160.06197908663088</c:v>
                </c:pt>
                <c:pt idx="24">
                  <c:v>160.19869193311513</c:v>
                </c:pt>
                <c:pt idx="25">
                  <c:v>160.33202758918623</c:v>
                </c:pt>
                <c:pt idx="26">
                  <c:v>160.46222461614019</c:v>
                </c:pt>
                <c:pt idx="27">
                  <c:v>160.58949474544909</c:v>
                </c:pt>
                <c:pt idx="28">
                  <c:v>160.71402692222651</c:v>
                </c:pt>
                <c:pt idx="29">
                  <c:v>160.83599059738532</c:v>
                </c:pt>
                <c:pt idx="30">
                  <c:v>160.95553843237627</c:v>
                </c:pt>
                <c:pt idx="31">
                  <c:v>161.07280853974814</c:v>
                </c:pt>
                <c:pt idx="32">
                  <c:v>161.18792635333179</c:v>
                </c:pt>
                <c:pt idx="33">
                  <c:v>161.3010062002391</c:v>
                </c:pt>
                <c:pt idx="34">
                  <c:v>161.41215263080392</c:v>
                </c:pt>
                <c:pt idx="35">
                  <c:v>161.52146155051969</c:v>
                </c:pt>
                <c:pt idx="36">
                  <c:v>161.62902118885395</c:v>
                </c:pt>
                <c:pt idx="37">
                  <c:v>161.73491293278286</c:v>
                </c:pt>
                <c:pt idx="38">
                  <c:v>161.83921204744124</c:v>
                </c:pt>
                <c:pt idx="39">
                  <c:v>161.94198830202885</c:v>
                </c:pt>
                <c:pt idx="40">
                  <c:v>162.04330651576672</c:v>
                </c:pt>
                <c:pt idx="41">
                  <c:v>162.14322703604128</c:v>
                </c:pt>
                <c:pt idx="42">
                  <c:v>162.24180615875596</c:v>
                </c:pt>
                <c:pt idx="43">
                  <c:v>162.33909649920466</c:v>
                </c:pt>
                <c:pt idx="44">
                  <c:v>162.43514732040467</c:v>
                </c:pt>
                <c:pt idx="45">
                  <c:v>162.53000482470475</c:v>
                </c:pt>
              </c:numCache>
            </c:numRef>
          </c:val>
        </c:ser>
        <c:ser>
          <c:idx val="7"/>
          <c:order val="5"/>
          <c:tx>
            <c:strRef>
              <c:f>'GHG Emissions'!$H$3</c:f>
              <c:strCache>
                <c:ptCount val="1"/>
                <c:pt idx="0">
                  <c:v>AGRICULTURE</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Emissions'!$H$7:$H$52</c:f>
              <c:numCache>
                <c:formatCode>#,##0</c:formatCode>
                <c:ptCount val="46"/>
                <c:pt idx="4">
                  <c:v>54.727336351939094</c:v>
                </c:pt>
                <c:pt idx="5">
                  <c:v>54.727336351939094</c:v>
                </c:pt>
                <c:pt idx="6">
                  <c:v>54.727336351939094</c:v>
                </c:pt>
                <c:pt idx="7">
                  <c:v>54.727336351939094</c:v>
                </c:pt>
                <c:pt idx="8">
                  <c:v>54.727336351939094</c:v>
                </c:pt>
                <c:pt idx="9">
                  <c:v>54.727336351939094</c:v>
                </c:pt>
                <c:pt idx="10">
                  <c:v>54.727336351939094</c:v>
                </c:pt>
                <c:pt idx="11">
                  <c:v>54.727336351939094</c:v>
                </c:pt>
                <c:pt idx="12">
                  <c:v>54.727336351939094</c:v>
                </c:pt>
                <c:pt idx="13">
                  <c:v>54.727336351939094</c:v>
                </c:pt>
                <c:pt idx="14">
                  <c:v>54.727336351939094</c:v>
                </c:pt>
                <c:pt idx="15">
                  <c:v>54.727336351939094</c:v>
                </c:pt>
                <c:pt idx="16">
                  <c:v>54.727336351939094</c:v>
                </c:pt>
                <c:pt idx="17">
                  <c:v>54.727336351939094</c:v>
                </c:pt>
                <c:pt idx="18">
                  <c:v>54.727336351939094</c:v>
                </c:pt>
                <c:pt idx="19">
                  <c:v>54.727336351939094</c:v>
                </c:pt>
                <c:pt idx="20">
                  <c:v>54.727336351939094</c:v>
                </c:pt>
                <c:pt idx="21">
                  <c:v>54.727336351939094</c:v>
                </c:pt>
                <c:pt idx="22">
                  <c:v>54.727336351939094</c:v>
                </c:pt>
                <c:pt idx="23">
                  <c:v>54.727336351939094</c:v>
                </c:pt>
                <c:pt idx="24">
                  <c:v>54.727336351939094</c:v>
                </c:pt>
                <c:pt idx="25">
                  <c:v>54.727336351939094</c:v>
                </c:pt>
                <c:pt idx="26">
                  <c:v>54.727336351939094</c:v>
                </c:pt>
                <c:pt idx="27">
                  <c:v>54.727336351939094</c:v>
                </c:pt>
                <c:pt idx="28">
                  <c:v>54.727336351939094</c:v>
                </c:pt>
                <c:pt idx="29">
                  <c:v>54.727336351939094</c:v>
                </c:pt>
                <c:pt idx="30">
                  <c:v>54.727336351939094</c:v>
                </c:pt>
                <c:pt idx="31">
                  <c:v>54.727336351939094</c:v>
                </c:pt>
                <c:pt idx="32">
                  <c:v>54.727336351939094</c:v>
                </c:pt>
                <c:pt idx="33">
                  <c:v>54.727336351939094</c:v>
                </c:pt>
                <c:pt idx="34">
                  <c:v>54.727336351939094</c:v>
                </c:pt>
                <c:pt idx="35">
                  <c:v>54.727336351939094</c:v>
                </c:pt>
                <c:pt idx="36">
                  <c:v>54.727336351939094</c:v>
                </c:pt>
                <c:pt idx="37">
                  <c:v>54.727336351939094</c:v>
                </c:pt>
                <c:pt idx="38">
                  <c:v>54.727336351939094</c:v>
                </c:pt>
                <c:pt idx="39">
                  <c:v>54.727336351939094</c:v>
                </c:pt>
                <c:pt idx="40">
                  <c:v>54.727336351939094</c:v>
                </c:pt>
                <c:pt idx="41">
                  <c:v>54.727336351939094</c:v>
                </c:pt>
                <c:pt idx="42">
                  <c:v>54.727336351939094</c:v>
                </c:pt>
                <c:pt idx="43">
                  <c:v>54.727336351939094</c:v>
                </c:pt>
                <c:pt idx="44">
                  <c:v>54.727336351939094</c:v>
                </c:pt>
                <c:pt idx="45">
                  <c:v>54.727336351939094</c:v>
                </c:pt>
              </c:numCache>
            </c:numRef>
          </c:val>
        </c:ser>
        <c:ser>
          <c:idx val="9"/>
          <c:order val="6"/>
          <c:tx>
            <c:strRef>
              <c:f>'GHG Emissions'!$J$3</c:f>
              <c:strCache>
                <c:ptCount val="1"/>
                <c:pt idx="0">
                  <c:v>PURCHASED ELECTRICITY</c:v>
                </c:pt>
              </c:strCache>
            </c:strRef>
          </c:tx>
          <c:spPr>
            <a:solidFill>
              <a:schemeClr val="accent4">
                <a:lumMod val="75000"/>
              </a:schemeClr>
            </a:solidFill>
            <a:ln>
              <a:solidFill>
                <a:schemeClr val="tx1"/>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Emissions'!$J$7:$J$52</c:f>
              <c:numCache>
                <c:formatCode>#,##0</c:formatCode>
                <c:ptCount val="46"/>
                <c:pt idx="4">
                  <c:v>89079.489590278681</c:v>
                </c:pt>
                <c:pt idx="5">
                  <c:v>90185.564700963238</c:v>
                </c:pt>
                <c:pt idx="6">
                  <c:v>91291.639811647809</c:v>
                </c:pt>
                <c:pt idx="7">
                  <c:v>93884.628422626716</c:v>
                </c:pt>
                <c:pt idx="8">
                  <c:v>95396.225397027927</c:v>
                </c:pt>
                <c:pt idx="9">
                  <c:v>96502.300507712484</c:v>
                </c:pt>
                <c:pt idx="10">
                  <c:v>98689.767254974737</c:v>
                </c:pt>
                <c:pt idx="11">
                  <c:v>99795.842365659308</c:v>
                </c:pt>
                <c:pt idx="12">
                  <c:v>100901.91747634388</c:v>
                </c:pt>
                <c:pt idx="13">
                  <c:v>102007.99258702844</c:v>
                </c:pt>
                <c:pt idx="14">
                  <c:v>103114.06769771299</c:v>
                </c:pt>
                <c:pt idx="15">
                  <c:v>104220.14280839756</c:v>
                </c:pt>
                <c:pt idx="16">
                  <c:v>105326.2179190821</c:v>
                </c:pt>
                <c:pt idx="17">
                  <c:v>106432.29302976668</c:v>
                </c:pt>
                <c:pt idx="18">
                  <c:v>107538.36814045125</c:v>
                </c:pt>
                <c:pt idx="19">
                  <c:v>108644.4432511358</c:v>
                </c:pt>
                <c:pt idx="20">
                  <c:v>109750.51836182037</c:v>
                </c:pt>
                <c:pt idx="21">
                  <c:v>110856.59347250494</c:v>
                </c:pt>
                <c:pt idx="22">
                  <c:v>111962.66858318946</c:v>
                </c:pt>
                <c:pt idx="23">
                  <c:v>113068.74369387404</c:v>
                </c:pt>
                <c:pt idx="24">
                  <c:v>114174.81880455861</c:v>
                </c:pt>
                <c:pt idx="25">
                  <c:v>115280.89391524318</c:v>
                </c:pt>
                <c:pt idx="26">
                  <c:v>116386.96902592771</c:v>
                </c:pt>
                <c:pt idx="27">
                  <c:v>117493.04413661228</c:v>
                </c:pt>
                <c:pt idx="28">
                  <c:v>118599.11924729684</c:v>
                </c:pt>
                <c:pt idx="29">
                  <c:v>119705.19435798141</c:v>
                </c:pt>
                <c:pt idx="30">
                  <c:v>120811.26946866597</c:v>
                </c:pt>
                <c:pt idx="31">
                  <c:v>121917.34457935055</c:v>
                </c:pt>
                <c:pt idx="32">
                  <c:v>123023.41969003511</c:v>
                </c:pt>
                <c:pt idx="33">
                  <c:v>124129.49480071968</c:v>
                </c:pt>
                <c:pt idx="34">
                  <c:v>125235.56991140422</c:v>
                </c:pt>
                <c:pt idx="35">
                  <c:v>126341.64502208878</c:v>
                </c:pt>
                <c:pt idx="36">
                  <c:v>127447.72013277335</c:v>
                </c:pt>
                <c:pt idx="37">
                  <c:v>128553.79524345792</c:v>
                </c:pt>
                <c:pt idx="38">
                  <c:v>129659.87035414246</c:v>
                </c:pt>
                <c:pt idx="39">
                  <c:v>130765.94546482703</c:v>
                </c:pt>
                <c:pt idx="40">
                  <c:v>131872.02057551156</c:v>
                </c:pt>
                <c:pt idx="41">
                  <c:v>132978.09568619617</c:v>
                </c:pt>
                <c:pt idx="42">
                  <c:v>134084.1707968807</c:v>
                </c:pt>
                <c:pt idx="43">
                  <c:v>135190.24590756532</c:v>
                </c:pt>
                <c:pt idx="44">
                  <c:v>136296.32101824984</c:v>
                </c:pt>
                <c:pt idx="45">
                  <c:v>137402.39612893443</c:v>
                </c:pt>
              </c:numCache>
            </c:numRef>
          </c:val>
        </c:ser>
        <c:ser>
          <c:idx val="3"/>
          <c:order val="7"/>
          <c:tx>
            <c:strRef>
              <c:f>'GHG Emissions'!$K$3</c:f>
              <c:strCache>
                <c:ptCount val="1"/>
                <c:pt idx="0">
                  <c:v>PURCHASED STEAM</c:v>
                </c:pt>
              </c:strCache>
            </c:strRef>
          </c:tx>
          <c:spPr>
            <a:solidFill>
              <a:schemeClr val="accent4">
                <a:lumMod val="60000"/>
                <a:lumOff val="40000"/>
              </a:schemeClr>
            </a:solidFill>
            <a:ln>
              <a:solidFill>
                <a:schemeClr val="tx1"/>
              </a:solidFill>
            </a:ln>
          </c:spPr>
          <c:val>
            <c:numRef>
              <c:f>'GHG Emissions'!$L$7:$L$52</c:f>
              <c:numCache>
                <c:formatCode>#,##0</c:formatCode>
                <c:ptCount val="46"/>
                <c:pt idx="4">
                  <c:v>20950.933162406443</c:v>
                </c:pt>
                <c:pt idx="5">
                  <c:v>21314.951972902243</c:v>
                </c:pt>
                <c:pt idx="6">
                  <c:v>21678.970783398043</c:v>
                </c:pt>
                <c:pt idx="7">
                  <c:v>22392.702255093758</c:v>
                </c:pt>
                <c:pt idx="8">
                  <c:v>22852.097245916804</c:v>
                </c:pt>
                <c:pt idx="9">
                  <c:v>23216.1160564126</c:v>
                </c:pt>
                <c:pt idx="10">
                  <c:v>23834.471347781066</c:v>
                </c:pt>
                <c:pt idx="11">
                  <c:v>24198.490158276862</c:v>
                </c:pt>
                <c:pt idx="12">
                  <c:v>24562.508968772661</c:v>
                </c:pt>
                <c:pt idx="13">
                  <c:v>24926.527779268461</c:v>
                </c:pt>
                <c:pt idx="14">
                  <c:v>25290.546589764261</c:v>
                </c:pt>
                <c:pt idx="15">
                  <c:v>25654.56540026006</c:v>
                </c:pt>
                <c:pt idx="16">
                  <c:v>26018.58421075586</c:v>
                </c:pt>
                <c:pt idx="17">
                  <c:v>26382.603021251653</c:v>
                </c:pt>
                <c:pt idx="18">
                  <c:v>26746.621831747456</c:v>
                </c:pt>
                <c:pt idx="19">
                  <c:v>27110.640642243248</c:v>
                </c:pt>
                <c:pt idx="20">
                  <c:v>27474.659452739055</c:v>
                </c:pt>
                <c:pt idx="21">
                  <c:v>27838.678263234855</c:v>
                </c:pt>
                <c:pt idx="22">
                  <c:v>28202.697073730651</c:v>
                </c:pt>
                <c:pt idx="23">
                  <c:v>28566.715884226447</c:v>
                </c:pt>
                <c:pt idx="24">
                  <c:v>28930.73469472225</c:v>
                </c:pt>
                <c:pt idx="25">
                  <c:v>29294.75350521805</c:v>
                </c:pt>
                <c:pt idx="26">
                  <c:v>29658.772315713843</c:v>
                </c:pt>
                <c:pt idx="27">
                  <c:v>30022.791126209642</c:v>
                </c:pt>
                <c:pt idx="28">
                  <c:v>30386.809936705438</c:v>
                </c:pt>
                <c:pt idx="29">
                  <c:v>30750.828747201238</c:v>
                </c:pt>
                <c:pt idx="30">
                  <c:v>31114.847557697034</c:v>
                </c:pt>
                <c:pt idx="31">
                  <c:v>31478.866368192837</c:v>
                </c:pt>
                <c:pt idx="32">
                  <c:v>31842.885178688637</c:v>
                </c:pt>
                <c:pt idx="33">
                  <c:v>32206.903989184433</c:v>
                </c:pt>
                <c:pt idx="34">
                  <c:v>32570.922799680233</c:v>
                </c:pt>
                <c:pt idx="35">
                  <c:v>32934.941610176029</c:v>
                </c:pt>
                <c:pt idx="36">
                  <c:v>33298.960420671829</c:v>
                </c:pt>
                <c:pt idx="37">
                  <c:v>33662.979231167628</c:v>
                </c:pt>
                <c:pt idx="38">
                  <c:v>34026.998041663428</c:v>
                </c:pt>
                <c:pt idx="39">
                  <c:v>34391.016852159228</c:v>
                </c:pt>
                <c:pt idx="40">
                  <c:v>34755.035662655027</c:v>
                </c:pt>
                <c:pt idx="41">
                  <c:v>35119.054473150827</c:v>
                </c:pt>
                <c:pt idx="42">
                  <c:v>35483.073283646627</c:v>
                </c:pt>
                <c:pt idx="43">
                  <c:v>35847.092094142427</c:v>
                </c:pt>
                <c:pt idx="44">
                  <c:v>36211.110904638226</c:v>
                </c:pt>
                <c:pt idx="45">
                  <c:v>36575.129715134026</c:v>
                </c:pt>
              </c:numCache>
            </c:numRef>
          </c:val>
        </c:ser>
        <c:ser>
          <c:idx val="8"/>
          <c:order val="8"/>
          <c:tx>
            <c:strRef>
              <c:f>'GHG Emissions'!$L$3</c:f>
              <c:strCache>
                <c:ptCount val="1"/>
                <c:pt idx="0">
                  <c:v>PURCHASED CHILLED WATER</c:v>
                </c:pt>
              </c:strCache>
            </c:strRef>
          </c:tx>
          <c:spPr>
            <a:solidFill>
              <a:schemeClr val="accent4">
                <a:lumMod val="20000"/>
                <a:lumOff val="80000"/>
              </a:schemeClr>
            </a:solidFill>
            <a:ln>
              <a:solidFill>
                <a:schemeClr val="tx1"/>
              </a:solidFill>
            </a:ln>
          </c:spPr>
          <c:val>
            <c:numRef>
              <c:f>'GHG Emissions'!$L$7:$L$52</c:f>
              <c:numCache>
                <c:formatCode>#,##0</c:formatCode>
                <c:ptCount val="46"/>
                <c:pt idx="4">
                  <c:v>20950.933162406443</c:v>
                </c:pt>
                <c:pt idx="5">
                  <c:v>21314.951972902243</c:v>
                </c:pt>
                <c:pt idx="6">
                  <c:v>21678.970783398043</c:v>
                </c:pt>
                <c:pt idx="7">
                  <c:v>22392.702255093758</c:v>
                </c:pt>
                <c:pt idx="8">
                  <c:v>22852.097245916804</c:v>
                </c:pt>
                <c:pt idx="9">
                  <c:v>23216.1160564126</c:v>
                </c:pt>
                <c:pt idx="10">
                  <c:v>23834.471347781066</c:v>
                </c:pt>
                <c:pt idx="11">
                  <c:v>24198.490158276862</c:v>
                </c:pt>
                <c:pt idx="12">
                  <c:v>24562.508968772661</c:v>
                </c:pt>
                <c:pt idx="13">
                  <c:v>24926.527779268461</c:v>
                </c:pt>
                <c:pt idx="14">
                  <c:v>25290.546589764261</c:v>
                </c:pt>
                <c:pt idx="15">
                  <c:v>25654.56540026006</c:v>
                </c:pt>
                <c:pt idx="16">
                  <c:v>26018.58421075586</c:v>
                </c:pt>
                <c:pt idx="17">
                  <c:v>26382.603021251653</c:v>
                </c:pt>
                <c:pt idx="18">
                  <c:v>26746.621831747456</c:v>
                </c:pt>
                <c:pt idx="19">
                  <c:v>27110.640642243248</c:v>
                </c:pt>
                <c:pt idx="20">
                  <c:v>27474.659452739055</c:v>
                </c:pt>
                <c:pt idx="21">
                  <c:v>27838.678263234855</c:v>
                </c:pt>
                <c:pt idx="22">
                  <c:v>28202.697073730651</c:v>
                </c:pt>
                <c:pt idx="23">
                  <c:v>28566.715884226447</c:v>
                </c:pt>
                <c:pt idx="24">
                  <c:v>28930.73469472225</c:v>
                </c:pt>
                <c:pt idx="25">
                  <c:v>29294.75350521805</c:v>
                </c:pt>
                <c:pt idx="26">
                  <c:v>29658.772315713843</c:v>
                </c:pt>
                <c:pt idx="27">
                  <c:v>30022.791126209642</c:v>
                </c:pt>
                <c:pt idx="28">
                  <c:v>30386.809936705438</c:v>
                </c:pt>
                <c:pt idx="29">
                  <c:v>30750.828747201238</c:v>
                </c:pt>
                <c:pt idx="30">
                  <c:v>31114.847557697034</c:v>
                </c:pt>
                <c:pt idx="31">
                  <c:v>31478.866368192837</c:v>
                </c:pt>
                <c:pt idx="32">
                  <c:v>31842.885178688637</c:v>
                </c:pt>
                <c:pt idx="33">
                  <c:v>32206.903989184433</c:v>
                </c:pt>
                <c:pt idx="34">
                  <c:v>32570.922799680233</c:v>
                </c:pt>
                <c:pt idx="35">
                  <c:v>32934.941610176029</c:v>
                </c:pt>
                <c:pt idx="36">
                  <c:v>33298.960420671829</c:v>
                </c:pt>
                <c:pt idx="37">
                  <c:v>33662.979231167628</c:v>
                </c:pt>
                <c:pt idx="38">
                  <c:v>34026.998041663428</c:v>
                </c:pt>
                <c:pt idx="39">
                  <c:v>34391.016852159228</c:v>
                </c:pt>
                <c:pt idx="40">
                  <c:v>34755.035662655027</c:v>
                </c:pt>
                <c:pt idx="41">
                  <c:v>35119.054473150827</c:v>
                </c:pt>
                <c:pt idx="42">
                  <c:v>35483.073283646627</c:v>
                </c:pt>
                <c:pt idx="43">
                  <c:v>35847.092094142427</c:v>
                </c:pt>
                <c:pt idx="44">
                  <c:v>36211.110904638226</c:v>
                </c:pt>
                <c:pt idx="45">
                  <c:v>36575.129715134026</c:v>
                </c:pt>
              </c:numCache>
            </c:numRef>
          </c:val>
        </c:ser>
        <c:ser>
          <c:idx val="10"/>
          <c:order val="9"/>
          <c:tx>
            <c:strRef>
              <c:f>'GHG Emissions'!$N$3</c:f>
              <c:strCache>
                <c:ptCount val="1"/>
                <c:pt idx="0">
                  <c:v>FACULTY/STAFF COMMUTING</c:v>
                </c:pt>
              </c:strCache>
            </c:strRef>
          </c:tx>
          <c:spPr>
            <a:solidFill>
              <a:schemeClr val="tx2">
                <a:lumMod val="60000"/>
                <a:lumOff val="40000"/>
              </a:schemeClr>
            </a:solidFill>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Emissions'!$N$7:$N$52</c:f>
              <c:numCache>
                <c:formatCode>#,##0</c:formatCode>
                <c:ptCount val="46"/>
                <c:pt idx="4">
                  <c:v>9334.7025776336595</c:v>
                </c:pt>
                <c:pt idx="5">
                  <c:v>9407.5060524151886</c:v>
                </c:pt>
                <c:pt idx="6">
                  <c:v>9437.6622390575849</c:v>
                </c:pt>
                <c:pt idx="7">
                  <c:v>9460.8018949228262</c:v>
                </c:pt>
                <c:pt idx="8">
                  <c:v>9480.3095271967159</c:v>
                </c:pt>
                <c:pt idx="9">
                  <c:v>9497.4960962433488</c:v>
                </c:pt>
                <c:pt idx="10">
                  <c:v>9513.0339423499863</c:v>
                </c:pt>
                <c:pt idx="11">
                  <c:v>9527.3224664869431</c:v>
                </c:pt>
                <c:pt idx="12">
                  <c:v>9540.6219004815084</c:v>
                </c:pt>
                <c:pt idx="13">
                  <c:v>9553.1130019782431</c:v>
                </c:pt>
                <c:pt idx="14">
                  <c:v>9564.9273795179161</c:v>
                </c:pt>
                <c:pt idx="15">
                  <c:v>9576.1643869180862</c:v>
                </c:pt>
                <c:pt idx="16">
                  <c:v>9586.9012122119875</c:v>
                </c:pt>
                <c:pt idx="17">
                  <c:v>9597.1992389904044</c:v>
                </c:pt>
                <c:pt idx="18">
                  <c:v>9607.1082368327698</c:v>
                </c:pt>
                <c:pt idx="19">
                  <c:v>9616.6692230085464</c:v>
                </c:pt>
                <c:pt idx="20">
                  <c:v>9625.9164767597686</c:v>
                </c:pt>
                <c:pt idx="21">
                  <c:v>9634.878994069888</c:v>
                </c:pt>
                <c:pt idx="22">
                  <c:v>9643.5815619054301</c:v>
                </c:pt>
                <c:pt idx="23">
                  <c:v>9652.0455669449493</c:v>
                </c:pt>
                <c:pt idx="24">
                  <c:v>9660.2896148530326</c:v>
                </c:pt>
                <c:pt idx="25">
                  <c:v>9668.3300116758164</c:v>
                </c:pt>
                <c:pt idx="26">
                  <c:v>9676.1811431188453</c:v>
                </c:pt>
                <c:pt idx="27">
                  <c:v>9683.8557769976105</c:v>
                </c:pt>
                <c:pt idx="28">
                  <c:v>9691.3653070663095</c:v>
                </c:pt>
                <c:pt idx="29">
                  <c:v>9698.7199515412958</c:v>
                </c:pt>
                <c:pt idx="30">
                  <c:v>9705.9289162020286</c:v>
                </c:pt>
                <c:pt idx="31">
                  <c:v>9713.0005295011542</c:v>
                </c:pt>
                <c:pt idx="32">
                  <c:v>9719.9423553402285</c:v>
                </c:pt>
                <c:pt idx="33">
                  <c:v>9726.7612878642467</c:v>
                </c:pt>
                <c:pt idx="34">
                  <c:v>9733.4636316596716</c:v>
                </c:pt>
                <c:pt idx="35">
                  <c:v>9740.0551700124433</c:v>
                </c:pt>
                <c:pt idx="36">
                  <c:v>9746.5412233293555</c:v>
                </c:pt>
                <c:pt idx="37">
                  <c:v>9752.9266994017962</c:v>
                </c:pt>
                <c:pt idx="38">
                  <c:v>9759.2161368623292</c:v>
                </c:pt>
                <c:pt idx="39">
                  <c:v>9765.4137429280581</c:v>
                </c:pt>
                <c:pt idx="40">
                  <c:v>9771.5234263228249</c:v>
                </c:pt>
                <c:pt idx="41">
                  <c:v>9777.5488261102473</c:v>
                </c:pt>
                <c:pt idx="42">
                  <c:v>9783.4933370417057</c:v>
                </c:pt>
                <c:pt idx="43">
                  <c:v>9789.3601319207464</c:v>
                </c:pt>
                <c:pt idx="44">
                  <c:v>9795.1521814021726</c:v>
                </c:pt>
                <c:pt idx="45">
                  <c:v>9800.8722715765889</c:v>
                </c:pt>
              </c:numCache>
            </c:numRef>
          </c:val>
        </c:ser>
        <c:ser>
          <c:idx val="15"/>
          <c:order val="10"/>
          <c:tx>
            <c:strRef>
              <c:f>'GHG Emissions'!$O$3</c:f>
              <c:strCache>
                <c:ptCount val="1"/>
                <c:pt idx="0">
                  <c:v>STUDENT COMMUTING</c:v>
                </c:pt>
              </c:strCache>
            </c:strRef>
          </c:tx>
          <c:spPr>
            <a:solidFill>
              <a:schemeClr val="tx2">
                <a:lumMod val="40000"/>
                <a:lumOff val="60000"/>
              </a:schemeClr>
            </a:solidFill>
            <a:ln>
              <a:solidFill>
                <a:schemeClr val="tx1"/>
              </a:solidFill>
            </a:ln>
          </c:spPr>
          <c:val>
            <c:numRef>
              <c:f>'GHG Emissions'!$O$7:$O$52</c:f>
              <c:numCache>
                <c:formatCode>#,##0</c:formatCode>
                <c:ptCount val="46"/>
                <c:pt idx="4">
                  <c:v>6811.6959846795144</c:v>
                </c:pt>
                <c:pt idx="5">
                  <c:v>6874.1373449912689</c:v>
                </c:pt>
                <c:pt idx="6">
                  <c:v>6899.9381374766463</c:v>
                </c:pt>
                <c:pt idx="7">
                  <c:v>6919.7107280707578</c:v>
                </c:pt>
                <c:pt idx="8">
                  <c:v>6936.362920954135</c:v>
                </c:pt>
                <c:pt idx="9">
                  <c:v>6951.0210258973921</c:v>
                </c:pt>
                <c:pt idx="10">
                  <c:v>6964.2626813069719</c:v>
                </c:pt>
                <c:pt idx="11">
                  <c:v>6976.4310298324244</c:v>
                </c:pt>
                <c:pt idx="12">
                  <c:v>6987.7496472083612</c:v>
                </c:pt>
                <c:pt idx="13">
                  <c:v>6998.3738291974132</c:v>
                </c:pt>
                <c:pt idx="14">
                  <c:v>7008.4166453558009</c:v>
                </c:pt>
                <c:pt idx="15">
                  <c:v>7017.9634538066539</c:v>
                </c:pt>
                <c:pt idx="16">
                  <c:v>7027.0805691202359</c:v>
                </c:pt>
                <c:pt idx="17">
                  <c:v>7035.8207276337171</c:v>
                </c:pt>
                <c:pt idx="18">
                  <c:v>7044.2266876374642</c:v>
                </c:pt>
                <c:pt idx="19">
                  <c:v>7052.3336879871613</c:v>
                </c:pt>
                <c:pt idx="20">
                  <c:v>7060.1711786592978</c:v>
                </c:pt>
                <c:pt idx="21">
                  <c:v>7067.7640706030861</c:v>
                </c:pt>
                <c:pt idx="22">
                  <c:v>7075.1336586645912</c:v>
                </c:pt>
                <c:pt idx="23">
                  <c:v>7082.2983163973386</c:v>
                </c:pt>
                <c:pt idx="24">
                  <c:v>7089.2740281040815</c:v>
                </c:pt>
                <c:pt idx="25">
                  <c:v>7096.0748024213999</c:v>
                </c:pt>
                <c:pt idx="26">
                  <c:v>7102.7129981708495</c:v>
                </c:pt>
                <c:pt idx="27">
                  <c:v>7109.1995842046799</c:v>
                </c:pt>
                <c:pt idx="28">
                  <c:v>7115.5443488872543</c:v>
                </c:pt>
                <c:pt idx="29">
                  <c:v>7121.7560706529976</c:v>
                </c:pt>
                <c:pt idx="30">
                  <c:v>7127.8426581315016</c:v>
                </c:pt>
                <c:pt idx="31">
                  <c:v>7133.8112662246658</c:v>
                </c:pt>
                <c:pt idx="32">
                  <c:v>7139.6683929955962</c:v>
                </c:pt>
                <c:pt idx="33">
                  <c:v>7145.4199611092345</c:v>
                </c:pt>
                <c:pt idx="34">
                  <c:v>7151.0713867326258</c:v>
                </c:pt>
                <c:pt idx="35">
                  <c:v>7156.6276381771286</c:v>
                </c:pt>
                <c:pt idx="36">
                  <c:v>7162.0932860896683</c:v>
                </c:pt>
                <c:pt idx="37">
                  <c:v>7167.4725466354739</c:v>
                </c:pt>
                <c:pt idx="38">
                  <c:v>7172.7693188326184</c:v>
                </c:pt>
                <c:pt idx="39">
                  <c:v>7177.9872169781356</c:v>
                </c:pt>
                <c:pt idx="40">
                  <c:v>7183.1295989321488</c:v>
                </c:pt>
                <c:pt idx="41">
                  <c:v>7188.1995908888721</c:v>
                </c:pt>
                <c:pt idx="42">
                  <c:v>7193.2001091535358</c:v>
                </c:pt>
                <c:pt idx="43">
                  <c:v>7198.133879356008</c:v>
                </c:pt>
                <c:pt idx="44">
                  <c:v>7203.0034534605111</c:v>
                </c:pt>
                <c:pt idx="45">
                  <c:v>7207.8112248727584</c:v>
                </c:pt>
              </c:numCache>
            </c:numRef>
          </c:val>
        </c:ser>
        <c:ser>
          <c:idx val="11"/>
          <c:order val="11"/>
          <c:tx>
            <c:strRef>
              <c:f>'GHG Emissions'!$P$3</c:f>
              <c:strCache>
                <c:ptCount val="1"/>
                <c:pt idx="0">
                  <c:v>AIR TRAVEL</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Emissions'!$P$7:$P$52</c:f>
              <c:numCache>
                <c:formatCode>#,##0</c:formatCode>
                <c:ptCount val="46"/>
                <c:pt idx="4">
                  <c:v>27866.404193550476</c:v>
                </c:pt>
                <c:pt idx="5">
                  <c:v>28083.740636579532</c:v>
                </c:pt>
                <c:pt idx="6">
                  <c:v>28173.764338880093</c:v>
                </c:pt>
                <c:pt idx="7">
                  <c:v>28242.841955213098</c:v>
                </c:pt>
                <c:pt idx="8">
                  <c:v>28301.077079608585</c:v>
                </c:pt>
                <c:pt idx="9">
                  <c:v>28352.383254151453</c:v>
                </c:pt>
                <c:pt idx="10">
                  <c:v>28398.767581483131</c:v>
                </c:pt>
                <c:pt idx="11">
                  <c:v>28441.422372636713</c:v>
                </c:pt>
                <c:pt idx="12">
                  <c:v>28481.124484209711</c:v>
                </c:pt>
                <c:pt idx="13">
                  <c:v>28518.413522637642</c:v>
                </c:pt>
                <c:pt idx="14">
                  <c:v>28553.682372081716</c:v>
                </c:pt>
                <c:pt idx="15">
                  <c:v>28587.227628348304</c:v>
                </c:pt>
                <c:pt idx="16">
                  <c:v>28619.279716875721</c:v>
                </c:pt>
                <c:pt idx="17">
                  <c:v>28650.021882918692</c:v>
                </c:pt>
                <c:pt idx="18">
                  <c:v>28679.602701025316</c:v>
                </c:pt>
                <c:pt idx="19">
                  <c:v>28708.144617925966</c:v>
                </c:pt>
                <c:pt idx="20">
                  <c:v>28735.749965666702</c:v>
                </c:pt>
                <c:pt idx="21">
                  <c:v>28762.50530445531</c:v>
                </c:pt>
                <c:pt idx="22">
                  <c:v>28788.484629539329</c:v>
                </c:pt>
                <c:pt idx="23">
                  <c:v>28813.751785462715</c:v>
                </c:pt>
                <c:pt idx="24">
                  <c:v>28838.362314752434</c:v>
                </c:pt>
                <c:pt idx="25">
                  <c:v>28862.364895003579</c:v>
                </c:pt>
                <c:pt idx="26">
                  <c:v>28885.802471117928</c:v>
                </c:pt>
                <c:pt idx="27">
                  <c:v>28908.713158193877</c:v>
                </c:pt>
                <c:pt idx="28">
                  <c:v>28931.130969415775</c:v>
                </c:pt>
                <c:pt idx="29">
                  <c:v>28953.086408695752</c:v>
                </c:pt>
                <c:pt idx="30">
                  <c:v>28974.606957570475</c:v>
                </c:pt>
                <c:pt idx="31">
                  <c:v>28995.717478538343</c:v>
                </c:pt>
                <c:pt idx="32">
                  <c:v>29016.44055172295</c:v>
                </c:pt>
                <c:pt idx="33">
                  <c:v>29036.796757858338</c:v>
                </c:pt>
                <c:pt idx="34">
                  <c:v>29056.804917699978</c:v>
                </c:pt>
                <c:pt idx="35">
                  <c:v>29076.482295791888</c:v>
                </c:pt>
                <c:pt idx="36">
                  <c:v>29095.844774868947</c:v>
                </c:pt>
                <c:pt idx="37">
                  <c:v>29114.907005906625</c:v>
                </c:pt>
                <c:pt idx="38">
                  <c:v>29133.682537849683</c:v>
                </c:pt>
                <c:pt idx="39">
                  <c:v>29152.18393028545</c:v>
                </c:pt>
                <c:pt idx="40">
                  <c:v>29170.422851724808</c:v>
                </c:pt>
                <c:pt idx="41">
                  <c:v>29188.410165675909</c:v>
                </c:pt>
                <c:pt idx="42">
                  <c:v>29206.15600631425</c:v>
                </c:pt>
                <c:pt idx="43">
                  <c:v>29223.66984524595</c:v>
                </c:pt>
                <c:pt idx="44">
                  <c:v>29240.960550612952</c:v>
                </c:pt>
                <c:pt idx="45">
                  <c:v>29258.03643958726</c:v>
                </c:pt>
              </c:numCache>
            </c:numRef>
          </c:val>
        </c:ser>
        <c:ser>
          <c:idx val="12"/>
          <c:order val="12"/>
          <c:tx>
            <c:strRef>
              <c:f>'GHG Emissions'!$Q$3</c:f>
              <c:strCache>
                <c:ptCount val="1"/>
                <c:pt idx="0">
                  <c:v>SOLID WASTE</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Emissions'!$Q$7:$Q$52</c:f>
              <c:numCache>
                <c:formatCode>#,##0</c:formatCode>
                <c:ptCount val="46"/>
                <c:pt idx="4">
                  <c:v>2521.2314285714288</c:v>
                </c:pt>
                <c:pt idx="5">
                  <c:v>2540.8950876116432</c:v>
                </c:pt>
                <c:pt idx="6">
                  <c:v>2549.0400418719801</c:v>
                </c:pt>
                <c:pt idx="7">
                  <c:v>2555.2898850917909</c:v>
                </c:pt>
                <c:pt idx="8">
                  <c:v>2560.5587466518573</c:v>
                </c:pt>
                <c:pt idx="9">
                  <c:v>2565.2007068717262</c:v>
                </c:pt>
                <c:pt idx="10">
                  <c:v>2569.3973596960195</c:v>
                </c:pt>
                <c:pt idx="11">
                  <c:v>2573.2565802574027</c:v>
                </c:pt>
                <c:pt idx="12">
                  <c:v>2576.8486551725314</c:v>
                </c:pt>
                <c:pt idx="13">
                  <c:v>2580.2224056920718</c:v>
                </c:pt>
                <c:pt idx="14">
                  <c:v>2583.4133782714662</c:v>
                </c:pt>
                <c:pt idx="15">
                  <c:v>2586.448407613299</c:v>
                </c:pt>
                <c:pt idx="16">
                  <c:v>2589.3483416121526</c:v>
                </c:pt>
                <c:pt idx="17">
                  <c:v>2592.1297595041619</c:v>
                </c:pt>
                <c:pt idx="18">
                  <c:v>2594.8061036702502</c:v>
                </c:pt>
                <c:pt idx="19">
                  <c:v>2597.3884525596791</c:v>
                </c:pt>
                <c:pt idx="20">
                  <c:v>2599.8860647322858</c:v>
                </c:pt>
                <c:pt idx="21">
                  <c:v>2602.3067717803633</c:v>
                </c:pt>
                <c:pt idx="22">
                  <c:v>2604.6572684730822</c:v>
                </c:pt>
                <c:pt idx="23">
                  <c:v>2606.9433311879625</c:v>
                </c:pt>
                <c:pt idx="24">
                  <c:v>2609.1699851720232</c:v>
                </c:pt>
                <c:pt idx="25">
                  <c:v>2611.341634563013</c:v>
                </c:pt>
                <c:pt idx="26">
                  <c:v>2613.4621648294442</c:v>
                </c:pt>
                <c:pt idx="27">
                  <c:v>2615.5350244601609</c:v>
                </c:pt>
                <c:pt idx="28">
                  <c:v>2617.5632908206094</c:v>
                </c:pt>
                <c:pt idx="29">
                  <c:v>2619.5497237724999</c:v>
                </c:pt>
                <c:pt idx="30">
                  <c:v>2621.4968097261162</c:v>
                </c:pt>
                <c:pt idx="31">
                  <c:v>2623.4067981325152</c:v>
                </c:pt>
                <c:pt idx="32">
                  <c:v>2625.2817319433761</c:v>
                </c:pt>
                <c:pt idx="33">
                  <c:v>2627.1234732142825</c:v>
                </c:pt>
                <c:pt idx="34">
                  <c:v>2628.9337247655862</c:v>
                </c:pt>
                <c:pt idx="35">
                  <c:v>2630.7140486183739</c:v>
                </c:pt>
                <c:pt idx="36">
                  <c:v>2632.465881773634</c:v>
                </c:pt>
                <c:pt idx="37">
                  <c:v>2634.1905497881035</c:v>
                </c:pt>
                <c:pt idx="38">
                  <c:v>2635.8892785115581</c:v>
                </c:pt>
                <c:pt idx="39">
                  <c:v>2637.5632042810043</c:v>
                </c:pt>
                <c:pt idx="40">
                  <c:v>2639.2133828127144</c:v>
                </c:pt>
                <c:pt idx="41">
                  <c:v>2640.8407969898044</c:v>
                </c:pt>
                <c:pt idx="42">
                  <c:v>2642.4463637085332</c:v>
                </c:pt>
                <c:pt idx="43">
                  <c:v>2644.0309399187554</c:v>
                </c:pt>
                <c:pt idx="44">
                  <c:v>2645.595327971504</c:v>
                </c:pt>
                <c:pt idx="45">
                  <c:v>2647.1402803684405</c:v>
                </c:pt>
              </c:numCache>
            </c:numRef>
          </c:val>
        </c:ser>
        <c:ser>
          <c:idx val="13"/>
          <c:order val="13"/>
          <c:tx>
            <c:strRef>
              <c:f>'GHG Emissions'!$R$3</c:f>
              <c:strCache>
                <c:ptCount val="1"/>
                <c:pt idx="0">
                  <c:v>WASTEWATER</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Emissions'!$R$7:$R$52</c:f>
              <c:numCache>
                <c:formatCode>#,##0</c:formatCode>
                <c:ptCount val="46"/>
                <c:pt idx="4">
                  <c:v>129.49164152832</c:v>
                </c:pt>
                <c:pt idx="5">
                  <c:v>131.09559297365365</c:v>
                </c:pt>
                <c:pt idx="6">
                  <c:v>132.69954441898733</c:v>
                </c:pt>
                <c:pt idx="7">
                  <c:v>136.45971205149038</c:v>
                </c:pt>
                <c:pt idx="8">
                  <c:v>138.65172245696115</c:v>
                </c:pt>
                <c:pt idx="9">
                  <c:v>140.25567390229483</c:v>
                </c:pt>
                <c:pt idx="10">
                  <c:v>143.4277825746608</c:v>
                </c:pt>
                <c:pt idx="11">
                  <c:v>145.03173401999447</c:v>
                </c:pt>
                <c:pt idx="12">
                  <c:v>146.63568546532815</c:v>
                </c:pt>
                <c:pt idx="13">
                  <c:v>148.23963691066183</c:v>
                </c:pt>
                <c:pt idx="14">
                  <c:v>149.84358835599551</c:v>
                </c:pt>
                <c:pt idx="15">
                  <c:v>151.44753980132919</c:v>
                </c:pt>
                <c:pt idx="16">
                  <c:v>153.05149124666283</c:v>
                </c:pt>
                <c:pt idx="17">
                  <c:v>154.65544269199648</c:v>
                </c:pt>
                <c:pt idx="18">
                  <c:v>156.25939413733016</c:v>
                </c:pt>
                <c:pt idx="19">
                  <c:v>157.86334558266381</c:v>
                </c:pt>
                <c:pt idx="20">
                  <c:v>159.46729702799749</c:v>
                </c:pt>
                <c:pt idx="21">
                  <c:v>161.07124847333114</c:v>
                </c:pt>
                <c:pt idx="22">
                  <c:v>162.67519991866482</c:v>
                </c:pt>
                <c:pt idx="23">
                  <c:v>164.27915136399847</c:v>
                </c:pt>
                <c:pt idx="24">
                  <c:v>165.88310280933214</c:v>
                </c:pt>
                <c:pt idx="25">
                  <c:v>167.48705425466582</c:v>
                </c:pt>
                <c:pt idx="26">
                  <c:v>169.09100569999947</c:v>
                </c:pt>
                <c:pt idx="27">
                  <c:v>170.69495714533312</c:v>
                </c:pt>
                <c:pt idx="28">
                  <c:v>172.29890859066677</c:v>
                </c:pt>
                <c:pt idx="29">
                  <c:v>173.90286003600045</c:v>
                </c:pt>
                <c:pt idx="30">
                  <c:v>175.5068114813341</c:v>
                </c:pt>
                <c:pt idx="31">
                  <c:v>177.11076292666777</c:v>
                </c:pt>
                <c:pt idx="32">
                  <c:v>178.71471437200145</c:v>
                </c:pt>
                <c:pt idx="33">
                  <c:v>180.3186658173351</c:v>
                </c:pt>
                <c:pt idx="34">
                  <c:v>181.92261726266875</c:v>
                </c:pt>
                <c:pt idx="35">
                  <c:v>183.5265687080024</c:v>
                </c:pt>
                <c:pt idx="36">
                  <c:v>185.13052015333611</c:v>
                </c:pt>
                <c:pt idx="37">
                  <c:v>186.73447159866976</c:v>
                </c:pt>
                <c:pt idx="38">
                  <c:v>188.33842304400341</c:v>
                </c:pt>
                <c:pt idx="39">
                  <c:v>189.94237448933708</c:v>
                </c:pt>
                <c:pt idx="40">
                  <c:v>191.54632593467073</c:v>
                </c:pt>
                <c:pt idx="41">
                  <c:v>193.15027738000438</c:v>
                </c:pt>
                <c:pt idx="42">
                  <c:v>194.75422882533803</c:v>
                </c:pt>
                <c:pt idx="43">
                  <c:v>196.35818027067174</c:v>
                </c:pt>
                <c:pt idx="44">
                  <c:v>197.96213171600539</c:v>
                </c:pt>
                <c:pt idx="45">
                  <c:v>199.56608316133904</c:v>
                </c:pt>
              </c:numCache>
            </c:numRef>
          </c:val>
        </c:ser>
        <c:ser>
          <c:idx val="17"/>
          <c:order val="14"/>
          <c:tx>
            <c:strRef>
              <c:f>'GHG Emissions'!$S$3</c:f>
              <c:strCache>
                <c:ptCount val="1"/>
                <c:pt idx="0">
                  <c:v>PAPER PURCHASING</c:v>
                </c:pt>
              </c:strCache>
            </c:strRef>
          </c:tx>
          <c:spPr>
            <a:ln>
              <a:solidFill>
                <a:schemeClr val="tx1"/>
              </a:solidFill>
            </a:ln>
          </c:spPr>
          <c:val>
            <c:numRef>
              <c:f>'GHG Emissions'!$S$7:$S$52</c:f>
              <c:numCache>
                <c:formatCode>#,##0</c:formatCode>
                <c:ptCount val="46"/>
                <c:pt idx="4">
                  <c:v>760.25013534000004</c:v>
                </c:pt>
                <c:pt idx="5">
                  <c:v>761.56832386543465</c:v>
                </c:pt>
                <c:pt idx="6">
                  <c:v>762.11433543043427</c:v>
                </c:pt>
                <c:pt idx="7">
                  <c:v>762.5333048400073</c:v>
                </c:pt>
                <c:pt idx="8">
                  <c:v>762.88651239086948</c:v>
                </c:pt>
                <c:pt idx="9">
                  <c:v>763.19769449003218</c:v>
                </c:pt>
                <c:pt idx="10">
                  <c:v>763.47902461210685</c:v>
                </c:pt>
                <c:pt idx="11">
                  <c:v>763.73773435939916</c:v>
                </c:pt>
                <c:pt idx="12">
                  <c:v>763.97853552086872</c:v>
                </c:pt>
                <c:pt idx="13">
                  <c:v>764.20470091630409</c:v>
                </c:pt>
                <c:pt idx="14">
                  <c:v>764.41861346587245</c:v>
                </c:pt>
                <c:pt idx="15">
                  <c:v>764.62207208181871</c:v>
                </c:pt>
                <c:pt idx="16">
                  <c:v>764.81647434001445</c:v>
                </c:pt>
                <c:pt idx="17">
                  <c:v>765.0029316591831</c:v>
                </c:pt>
                <c:pt idx="18">
                  <c:v>765.18234517335338</c:v>
                </c:pt>
                <c:pt idx="19">
                  <c:v>765.35545754617044</c:v>
                </c:pt>
                <c:pt idx="20">
                  <c:v>765.52288944173893</c:v>
                </c:pt>
                <c:pt idx="21">
                  <c:v>765.68516586484452</c:v>
                </c:pt>
                <c:pt idx="22">
                  <c:v>765.84273561130306</c:v>
                </c:pt>
                <c:pt idx="23">
                  <c:v>765.99598591090489</c:v>
                </c:pt>
                <c:pt idx="24">
                  <c:v>766.14525364006442</c:v>
                </c:pt>
                <c:pt idx="25">
                  <c:v>766.29083403802679</c:v>
                </c:pt>
                <c:pt idx="26">
                  <c:v>766.43298757411742</c:v>
                </c:pt>
                <c:pt idx="27">
                  <c:v>766.57194542394882</c:v>
                </c:pt>
                <c:pt idx="28">
                  <c:v>766.70791388421355</c:v>
                </c:pt>
                <c:pt idx="29">
                  <c:v>766.84107796717353</c:v>
                </c:pt>
                <c:pt idx="30">
                  <c:v>766.97160435378566</c:v>
                </c:pt>
                <c:pt idx="31">
                  <c:v>767.09964384002171</c:v>
                </c:pt>
                <c:pt idx="32">
                  <c:v>767.22533337879838</c:v>
                </c:pt>
                <c:pt idx="33">
                  <c:v>767.34879779633945</c:v>
                </c:pt>
                <c:pt idx="34">
                  <c:v>767.47015124425059</c:v>
                </c:pt>
                <c:pt idx="35">
                  <c:v>767.58949843540688</c:v>
                </c:pt>
                <c:pt idx="36">
                  <c:v>767.70693570173739</c:v>
                </c:pt>
                <c:pt idx="37">
                  <c:v>767.82255190430726</c:v>
                </c:pt>
                <c:pt idx="38">
                  <c:v>767.93642922014681</c:v>
                </c:pt>
                <c:pt idx="39">
                  <c:v>768.04864382563812</c:v>
                </c:pt>
                <c:pt idx="40">
                  <c:v>768.15926649260825</c:v>
                </c:pt>
                <c:pt idx="41">
                  <c:v>768.26836311038335</c:v>
                </c:pt>
                <c:pt idx="42">
                  <c:v>768.37599514474277</c:v>
                </c:pt>
                <c:pt idx="43">
                  <c:v>768.48222004285151</c:v>
                </c:pt>
                <c:pt idx="44">
                  <c:v>768.58709159174498</c:v>
                </c:pt>
                <c:pt idx="45">
                  <c:v>768.69066023671689</c:v>
                </c:pt>
              </c:numCache>
            </c:numRef>
          </c:val>
        </c:ser>
        <c:ser>
          <c:idx val="14"/>
          <c:order val="15"/>
          <c:tx>
            <c:strRef>
              <c:f>'GHG Emissions'!$T$3</c:f>
              <c:strCache>
                <c:ptCount val="1"/>
                <c:pt idx="0">
                  <c:v>SCOPE 2 T&amp;D LOSSES</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Emissions'!$T$7:$T$52</c:f>
              <c:numCache>
                <c:formatCode>#,##0</c:formatCode>
                <c:ptCount val="46"/>
                <c:pt idx="4">
                  <c:v>13753.408497256623</c:v>
                </c:pt>
                <c:pt idx="5">
                  <c:v>13924.180724352469</c:v>
                </c:pt>
                <c:pt idx="6">
                  <c:v>14094.952951448317</c:v>
                </c:pt>
                <c:pt idx="7">
                  <c:v>14495.296866299606</c:v>
                </c:pt>
                <c:pt idx="8">
                  <c:v>14728.679553692393</c:v>
                </c:pt>
                <c:pt idx="9">
                  <c:v>14899.451780788238</c:v>
                </c:pt>
                <c:pt idx="10">
                  <c:v>15237.185235342587</c:v>
                </c:pt>
                <c:pt idx="11">
                  <c:v>15407.957462438435</c:v>
                </c:pt>
                <c:pt idx="12">
                  <c:v>15578.729689534282</c:v>
                </c:pt>
                <c:pt idx="13">
                  <c:v>15749.501916630126</c:v>
                </c:pt>
                <c:pt idx="14">
                  <c:v>15920.27414372597</c:v>
                </c:pt>
                <c:pt idx="15">
                  <c:v>16091.046370821818</c:v>
                </c:pt>
                <c:pt idx="16">
                  <c:v>16261.818597917661</c:v>
                </c:pt>
                <c:pt idx="17">
                  <c:v>16432.590825013511</c:v>
                </c:pt>
                <c:pt idx="18">
                  <c:v>16603.363052109358</c:v>
                </c:pt>
                <c:pt idx="19">
                  <c:v>16774.135279205202</c:v>
                </c:pt>
                <c:pt idx="20">
                  <c:v>16944.90750630105</c:v>
                </c:pt>
                <c:pt idx="21">
                  <c:v>17115.679733396897</c:v>
                </c:pt>
                <c:pt idx="22">
                  <c:v>17286.451960492734</c:v>
                </c:pt>
                <c:pt idx="23">
                  <c:v>17457.224187588585</c:v>
                </c:pt>
                <c:pt idx="24">
                  <c:v>17627.996414684432</c:v>
                </c:pt>
                <c:pt idx="25">
                  <c:v>17798.76864178028</c:v>
                </c:pt>
                <c:pt idx="26">
                  <c:v>17969.54086887612</c:v>
                </c:pt>
                <c:pt idx="27">
                  <c:v>18140.313095971967</c:v>
                </c:pt>
                <c:pt idx="28">
                  <c:v>18311.085323067811</c:v>
                </c:pt>
                <c:pt idx="29">
                  <c:v>18481.857550163659</c:v>
                </c:pt>
                <c:pt idx="30">
                  <c:v>18652.629777259503</c:v>
                </c:pt>
                <c:pt idx="31">
                  <c:v>18823.402004355354</c:v>
                </c:pt>
                <c:pt idx="32">
                  <c:v>18994.174231451198</c:v>
                </c:pt>
                <c:pt idx="33">
                  <c:v>19164.946458547045</c:v>
                </c:pt>
                <c:pt idx="34">
                  <c:v>19335.718685642889</c:v>
                </c:pt>
                <c:pt idx="35">
                  <c:v>19506.490912738733</c:v>
                </c:pt>
                <c:pt idx="36">
                  <c:v>19677.26313983458</c:v>
                </c:pt>
                <c:pt idx="37">
                  <c:v>19848.035366930428</c:v>
                </c:pt>
                <c:pt idx="38">
                  <c:v>20018.807594026272</c:v>
                </c:pt>
                <c:pt idx="39">
                  <c:v>20189.579821122119</c:v>
                </c:pt>
                <c:pt idx="40">
                  <c:v>20360.352048217959</c:v>
                </c:pt>
                <c:pt idx="41">
                  <c:v>20531.12427531381</c:v>
                </c:pt>
                <c:pt idx="42">
                  <c:v>20701.896502409651</c:v>
                </c:pt>
                <c:pt idx="43">
                  <c:v>20872.668729505502</c:v>
                </c:pt>
                <c:pt idx="44">
                  <c:v>21043.440956601342</c:v>
                </c:pt>
                <c:pt idx="45">
                  <c:v>21214.213183697193</c:v>
                </c:pt>
              </c:numCache>
            </c:numRef>
          </c:val>
        </c:ser>
        <c:ser>
          <c:idx val="16"/>
          <c:order val="16"/>
          <c:tx>
            <c:strRef>
              <c:f>'GHG Emissions'!$V$3</c:f>
              <c:strCache>
                <c:ptCount val="1"/>
                <c:pt idx="0">
                  <c:v>SEQUESTRATION</c:v>
                </c:pt>
              </c:strCache>
            </c:strRef>
          </c:tx>
          <c:spPr>
            <a:ln>
              <a:solidFill>
                <a:sysClr val="windowText" lastClr="000000"/>
              </a:solidFill>
            </a:ln>
          </c:spP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Emissions'!$V$7:$V$52</c:f>
              <c:numCache>
                <c:formatCode>#,##0</c:formatCode>
                <c:ptCount val="46"/>
                <c:pt idx="4">
                  <c:v>-131.6682254090158</c:v>
                </c:pt>
                <c:pt idx="5">
                  <c:v>-132.69513593437759</c:v>
                </c:pt>
                <c:pt idx="6">
                  <c:v>-133.12049620132615</c:v>
                </c:pt>
                <c:pt idx="7">
                  <c:v>-133.44688661376969</c:v>
                </c:pt>
                <c:pt idx="8">
                  <c:v>-133.7220464597394</c:v>
                </c:pt>
                <c:pt idx="9">
                  <c:v>-133.9644671505348</c:v>
                </c:pt>
                <c:pt idx="10">
                  <c:v>-134.18363220764562</c:v>
                </c:pt>
                <c:pt idx="11">
                  <c:v>-134.38517527783782</c:v>
                </c:pt>
                <c:pt idx="12">
                  <c:v>-134.57276699363649</c:v>
                </c:pt>
                <c:pt idx="13">
                  <c:v>-134.74895698510124</c:v>
                </c:pt>
                <c:pt idx="14">
                  <c:v>-134.91560162235922</c:v>
                </c:pt>
                <c:pt idx="15">
                  <c:v>-135.07410231490766</c:v>
                </c:pt>
                <c:pt idx="16">
                  <c:v>-135.22554781852361</c:v>
                </c:pt>
                <c:pt idx="17">
                  <c:v>-135.37080396352144</c:v>
                </c:pt>
                <c:pt idx="18">
                  <c:v>-135.51057276179171</c:v>
                </c:pt>
                <c:pt idx="19">
                  <c:v>-135.64543277178717</c:v>
                </c:pt>
                <c:pt idx="20">
                  <c:v>-135.775867510463</c:v>
                </c:pt>
                <c:pt idx="21">
                  <c:v>-135.90228597314103</c:v>
                </c:pt>
                <c:pt idx="22">
                  <c:v>-136.02503778594681</c:v>
                </c:pt>
                <c:pt idx="23">
                  <c:v>-136.14442461312615</c:v>
                </c:pt>
                <c:pt idx="24">
                  <c:v>-136.2607088920538</c:v>
                </c:pt>
                <c:pt idx="25">
                  <c:v>-136.3741206234331</c:v>
                </c:pt>
                <c:pt idx="26">
                  <c:v>-136.48486272110136</c:v>
                </c:pt>
                <c:pt idx="27">
                  <c:v>-136.59311527816752</c:v>
                </c:pt>
                <c:pt idx="28">
                  <c:v>-136.6990390062754</c:v>
                </c:pt>
                <c:pt idx="29">
                  <c:v>-136.80277803582479</c:v>
                </c:pt>
                <c:pt idx="30">
                  <c:v>-136.90446221654943</c:v>
                </c:pt>
                <c:pt idx="31">
                  <c:v>-137.00420902327747</c:v>
                </c:pt>
                <c:pt idx="32">
                  <c:v>-137.1021251466598</c:v>
                </c:pt>
                <c:pt idx="33">
                  <c:v>-137.19830783027015</c:v>
                </c:pt>
                <c:pt idx="34">
                  <c:v>-137.2928460018172</c:v>
                </c:pt>
                <c:pt idx="35">
                  <c:v>-137.38582123594028</c:v>
                </c:pt>
                <c:pt idx="36">
                  <c:v>-137.47730857825715</c:v>
                </c:pt>
                <c:pt idx="37">
                  <c:v>-137.56737725434593</c:v>
                </c:pt>
                <c:pt idx="38">
                  <c:v>-137.65609128271078</c:v>
                </c:pt>
                <c:pt idx="39">
                  <c:v>-137.74351000716095</c:v>
                </c:pt>
                <c:pt idx="40">
                  <c:v>-137.8296885611866</c:v>
                </c:pt>
                <c:pt idx="41">
                  <c:v>-137.91467827465542</c:v>
                </c:pt>
                <c:pt idx="42">
                  <c:v>-137.9985270313523</c:v>
                </c:pt>
                <c:pt idx="43">
                  <c:v>-138.08127958443447</c:v>
                </c:pt>
                <c:pt idx="44">
                  <c:v>-138.16297783570258</c:v>
                </c:pt>
                <c:pt idx="45">
                  <c:v>-138.24366108363483</c:v>
                </c:pt>
              </c:numCache>
            </c:numRef>
          </c:val>
        </c:ser>
        <c:axId val="191905792"/>
        <c:axId val="191907328"/>
      </c:areaChart>
      <c:lineChart>
        <c:grouping val="standard"/>
        <c:ser>
          <c:idx val="0"/>
          <c:order val="17"/>
          <c:tx>
            <c:strRef>
              <c:f>'GHG Emissions'!$X$2:$X$3</c:f>
              <c:strCache>
                <c:ptCount val="1"/>
                <c:pt idx="0">
                  <c:v>GHG EMISSIONS PER KGSF</c:v>
                </c:pt>
              </c:strCache>
            </c:strRef>
          </c:tx>
          <c:spPr>
            <a:ln w="25400" cap="flat" cmpd="sng" algn="ctr">
              <a:solidFill>
                <a:schemeClr val="dk1"/>
              </a:solidFill>
              <a:prstDash val="sysDash"/>
            </a:ln>
            <a:effectLst/>
          </c:spPr>
          <c:marker>
            <c:symbol val="none"/>
          </c:marker>
          <c:cat>
            <c:numRef>
              <c:f>'GHG Emissions'!$B$10:$B$52</c:f>
              <c:numCache>
                <c:formatCode>General</c:formatCode>
                <c:ptCount val="4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pt idx="42">
                  <c:v>2050</c:v>
                </c:pt>
              </c:numCache>
            </c:numRef>
          </c:cat>
          <c:val>
            <c:numRef>
              <c:f>'GHG Emissions'!$X$10:$X$52</c:f>
              <c:numCache>
                <c:formatCode>#,##0.0</c:formatCode>
                <c:ptCount val="43"/>
                <c:pt idx="0" formatCode="#,##0">
                  <c:v>#N/A</c:v>
                </c:pt>
                <c:pt idx="1">
                  <c:v>39.845031527326647</c:v>
                </c:pt>
                <c:pt idx="2">
                  <c:v>39.828987364687855</c:v>
                </c:pt>
                <c:pt idx="3">
                  <c:v>39.780704397870231</c:v>
                </c:pt>
                <c:pt idx="4">
                  <c:v>39.616545474414202</c:v>
                </c:pt>
                <c:pt idx="5">
                  <c:v>39.535481049911475</c:v>
                </c:pt>
                <c:pt idx="6">
                  <c:v>39.483768159069875</c:v>
                </c:pt>
                <c:pt idx="7">
                  <c:v>39.357976242494516</c:v>
                </c:pt>
                <c:pt idx="8">
                  <c:v>39.307900829577683</c:v>
                </c:pt>
                <c:pt idx="9">
                  <c:v>39.258236134039713</c:v>
                </c:pt>
                <c:pt idx="10">
                  <c:v>39.209092612888455</c:v>
                </c:pt>
                <c:pt idx="11">
                  <c:v>39.160542695024532</c:v>
                </c:pt>
                <c:pt idx="12">
                  <c:v>39.112634119773858</c:v>
                </c:pt>
                <c:pt idx="13">
                  <c:v>39.065397922630218</c:v>
                </c:pt>
                <c:pt idx="14">
                  <c:v>39.018853477183484</c:v>
                </c:pt>
                <c:pt idx="15">
                  <c:v>38.97301181611352</c:v>
                </c:pt>
                <c:pt idx="16">
                  <c:v>38.92787789524187</c:v>
                </c:pt>
                <c:pt idx="17">
                  <c:v>38.883452181468471</c:v>
                </c:pt>
                <c:pt idx="18">
                  <c:v>38.839731793183162</c:v>
                </c:pt>
                <c:pt idx="19">
                  <c:v>38.796711335738607</c:v>
                </c:pt>
                <c:pt idx="20">
                  <c:v>38.754383523901083</c:v>
                </c:pt>
                <c:pt idx="21">
                  <c:v>38.712739652244423</c:v>
                </c:pt>
                <c:pt idx="22">
                  <c:v>38.671769954942611</c:v>
                </c:pt>
                <c:pt idx="23">
                  <c:v>38.631463883775233</c:v>
                </c:pt>
                <c:pt idx="24">
                  <c:v>38.591810324766563</c:v>
                </c:pt>
                <c:pt idx="25">
                  <c:v>38.55279776818417</c:v>
                </c:pt>
                <c:pt idx="26">
                  <c:v>38.514414442681826</c:v>
                </c:pt>
                <c:pt idx="27">
                  <c:v>38.476648421597254</c:v>
                </c:pt>
                <c:pt idx="28">
                  <c:v>38.439487707429699</c:v>
                </c:pt>
                <c:pt idx="29">
                  <c:v>38.402920299081245</c:v>
                </c:pt>
                <c:pt idx="30">
                  <c:v>38.36693424538602</c:v>
                </c:pt>
                <c:pt idx="31">
                  <c:v>38.331517687662398</c:v>
                </c:pt>
                <c:pt idx="32">
                  <c:v>38.296658893429075</c:v>
                </c:pt>
                <c:pt idx="33">
                  <c:v>38.26234628297442</c:v>
                </c:pt>
                <c:pt idx="34">
                  <c:v>38.228568450121507</c:v>
                </c:pt>
                <c:pt idx="35">
                  <c:v>38.195314178263011</c:v>
                </c:pt>
                <c:pt idx="36">
                  <c:v>38.162572452529943</c:v>
                </c:pt>
                <c:pt idx="37">
                  <c:v>38.13033246879386</c:v>
                </c:pt>
                <c:pt idx="38">
                  <c:v>38.09858364007134</c:v>
                </c:pt>
                <c:pt idx="39">
                  <c:v>38.067315600795183</c:v>
                </c:pt>
                <c:pt idx="40">
                  <c:v>38.036518209333977</c:v>
                </c:pt>
                <c:pt idx="41">
                  <c:v>38.006181549073332</c:v>
                </c:pt>
                <c:pt idx="42">
                  <c:v>37.976295928318677</c:v>
                </c:pt>
              </c:numCache>
            </c:numRef>
          </c:val>
        </c:ser>
        <c:marker val="1"/>
        <c:axId val="191911424"/>
        <c:axId val="191909248"/>
      </c:lineChart>
      <c:catAx>
        <c:axId val="191905792"/>
        <c:scaling>
          <c:orientation val="minMax"/>
        </c:scaling>
        <c:axPos val="b"/>
        <c:numFmt formatCode="General" sourceLinked="1"/>
        <c:tickLblPos val="nextTo"/>
        <c:crossAx val="191907328"/>
        <c:crosses val="autoZero"/>
        <c:auto val="1"/>
        <c:lblAlgn val="ctr"/>
        <c:lblOffset val="100"/>
        <c:tickLblSkip val="5"/>
        <c:tickMarkSkip val="5"/>
      </c:catAx>
      <c:valAx>
        <c:axId val="191907328"/>
        <c:scaling>
          <c:orientation val="minMax"/>
        </c:scaling>
        <c:axPos val="l"/>
        <c:majorGridlines/>
        <c:title>
          <c:tx>
            <c:rich>
              <a:bodyPr rot="-5400000" vert="horz"/>
              <a:lstStyle/>
              <a:p>
                <a:pPr>
                  <a:defRPr/>
                </a:pPr>
                <a:r>
                  <a:rPr lang="en-US"/>
                  <a:t>CAMPUS GHG EMISSIONS (MTCDE)</a:t>
                </a:r>
              </a:p>
            </c:rich>
          </c:tx>
        </c:title>
        <c:numFmt formatCode="#,##0" sourceLinked="0"/>
        <c:tickLblPos val="nextTo"/>
        <c:crossAx val="191905792"/>
        <c:crosses val="autoZero"/>
        <c:crossBetween val="between"/>
      </c:valAx>
      <c:valAx>
        <c:axId val="191909248"/>
        <c:scaling>
          <c:orientation val="minMax"/>
          <c:min val="0"/>
        </c:scaling>
        <c:axPos val="r"/>
        <c:title>
          <c:tx>
            <c:strRef>
              <c:f>'GHG Emissions'!$X$2:$X$3</c:f>
              <c:strCache>
                <c:ptCount val="1"/>
                <c:pt idx="0">
                  <c:v>GHG EMISSIONS PER KGSF</c:v>
                </c:pt>
              </c:strCache>
            </c:strRef>
          </c:tx>
          <c:txPr>
            <a:bodyPr rot="-5400000" vert="horz"/>
            <a:lstStyle/>
            <a:p>
              <a:pPr>
                <a:defRPr/>
              </a:pPr>
              <a:endParaRPr lang="en-US"/>
            </a:p>
          </c:txPr>
        </c:title>
        <c:numFmt formatCode="#,##0" sourceLinked="0"/>
        <c:tickLblPos val="nextTo"/>
        <c:crossAx val="191911424"/>
        <c:crosses val="max"/>
        <c:crossBetween val="between"/>
      </c:valAx>
      <c:catAx>
        <c:axId val="191911424"/>
        <c:scaling>
          <c:orientation val="minMax"/>
        </c:scaling>
        <c:delete val="1"/>
        <c:axPos val="b"/>
        <c:numFmt formatCode="General" sourceLinked="1"/>
        <c:tickLblPos val="none"/>
        <c:crossAx val="191909248"/>
        <c:crosses val="autoZero"/>
        <c:auto val="1"/>
        <c:lblAlgn val="ctr"/>
        <c:lblOffset val="100"/>
      </c:catAx>
    </c:plotArea>
    <c:legend>
      <c:legendPos val="r"/>
      <c:layout>
        <c:manualLayout>
          <c:xMode val="edge"/>
          <c:yMode val="edge"/>
          <c:x val="0.76708532630673465"/>
          <c:y val="2.8562445319335068E-2"/>
          <c:w val="0.22506383954214002"/>
          <c:h val="0.8734306649168857"/>
        </c:manualLayout>
      </c:layout>
    </c:legend>
    <c:dispBlanksAs val="zero"/>
  </c:chart>
  <c:txPr>
    <a:bodyPr/>
    <a:lstStyle/>
    <a:p>
      <a:pPr>
        <a:defRPr sz="11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stacked"/>
        <c:ser>
          <c:idx val="1"/>
          <c:order val="0"/>
          <c:tx>
            <c:strRef>
              <c:f>'GHG Emissions'!$C$3</c:f>
              <c:strCache>
                <c:ptCount val="1"/>
                <c:pt idx="0">
                  <c:v>NATURAL GAS</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Emissions'!$C$7:$C$52</c:f>
              <c:numCache>
                <c:formatCode>#,##0</c:formatCode>
                <c:ptCount val="6"/>
                <c:pt idx="0">
                  <c:v>5189.1396527773722</c:v>
                </c:pt>
                <c:pt idx="1">
                  <c:v>5253.4150604243605</c:v>
                </c:pt>
                <c:pt idx="2">
                  <c:v>6068.9819421802786</c:v>
                </c:pt>
                <c:pt idx="3">
                  <c:v>6711.7360186501646</c:v>
                </c:pt>
                <c:pt idx="4">
                  <c:v>7354.4900951200489</c:v>
                </c:pt>
                <c:pt idx="5">
                  <c:v>7997.2441715899349</c:v>
                </c:pt>
              </c:numCache>
            </c:numRef>
          </c:val>
        </c:ser>
        <c:ser>
          <c:idx val="2"/>
          <c:order val="1"/>
          <c:tx>
            <c:strRef>
              <c:f>'GHG Emissions'!$D$3</c:f>
              <c:strCache>
                <c:ptCount val="1"/>
                <c:pt idx="0">
                  <c:v>REFRIGERANTS</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Emissions'!$D$7:$D$52</c:f>
              <c:numCache>
                <c:formatCode>#,##0</c:formatCode>
                <c:ptCount val="6"/>
                <c:pt idx="0">
                  <c:v>13341.965971180001</c:v>
                </c:pt>
                <c:pt idx="1">
                  <c:v>13507.226565226809</c:v>
                </c:pt>
                <c:pt idx="2">
                  <c:v>15604.157137867092</c:v>
                </c:pt>
                <c:pt idx="3">
                  <c:v>17256.763078335192</c:v>
                </c:pt>
                <c:pt idx="4">
                  <c:v>18909.369018803285</c:v>
                </c:pt>
                <c:pt idx="5">
                  <c:v>20561.974959271382</c:v>
                </c:pt>
              </c:numCache>
            </c:numRef>
          </c:val>
        </c:ser>
        <c:ser>
          <c:idx val="4"/>
          <c:order val="2"/>
          <c:tx>
            <c:strRef>
              <c:f>'GHG Emissions'!$E$3</c:f>
              <c:strCache>
                <c:ptCount val="1"/>
                <c:pt idx="0">
                  <c:v>FUEL OIL</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Emissions'!$E$7:$E$52</c:f>
              <c:numCache>
                <c:formatCode>#,##0</c:formatCode>
                <c:ptCount val="6"/>
                <c:pt idx="0">
                  <c:v>18.59579041838726</c:v>
                </c:pt>
                <c:pt idx="1">
                  <c:v>18.826127639899514</c:v>
                </c:pt>
                <c:pt idx="2">
                  <c:v>21.748791476320523</c:v>
                </c:pt>
                <c:pt idx="3">
                  <c:v>24.05216369144307</c:v>
                </c:pt>
                <c:pt idx="4">
                  <c:v>26.355535906565613</c:v>
                </c:pt>
                <c:pt idx="5">
                  <c:v>28.65890812168816</c:v>
                </c:pt>
              </c:numCache>
            </c:numRef>
          </c:val>
        </c:ser>
        <c:ser>
          <c:idx val="5"/>
          <c:order val="3"/>
          <c:tx>
            <c:strRef>
              <c:f>'GHG Emissions'!$F$3</c:f>
              <c:strCache>
                <c:ptCount val="1"/>
                <c:pt idx="0">
                  <c:v>VEHICLE (GAS)</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Emissions'!$F$7:$F$52</c:f>
              <c:numCache>
                <c:formatCode>#,##0</c:formatCode>
                <c:ptCount val="6"/>
                <c:pt idx="0">
                  <c:v>410.5632587071712</c:v>
                </c:pt>
                <c:pt idx="1">
                  <c:v>413.76533521715328</c:v>
                </c:pt>
                <c:pt idx="2">
                  <c:v>421.1833450407924</c:v>
                </c:pt>
                <c:pt idx="3">
                  <c:v>425.23701669520403</c:v>
                </c:pt>
                <c:pt idx="4">
                  <c:v>428.39166618650449</c:v>
                </c:pt>
                <c:pt idx="5">
                  <c:v>431.06655241835176</c:v>
                </c:pt>
              </c:numCache>
            </c:numRef>
          </c:val>
        </c:ser>
        <c:ser>
          <c:idx val="6"/>
          <c:order val="4"/>
          <c:tx>
            <c:strRef>
              <c:f>'GHG Emissions'!$G$3</c:f>
              <c:strCache>
                <c:ptCount val="1"/>
                <c:pt idx="0">
                  <c:v>VEHICLE (BIODIESEL)</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Emissions'!$G$7:$G$52</c:f>
              <c:numCache>
                <c:formatCode>#,##0</c:formatCode>
                <c:ptCount val="6"/>
                <c:pt idx="0">
                  <c:v>154.79941100547845</c:v>
                </c:pt>
                <c:pt idx="1">
                  <c:v>156.00672692385982</c:v>
                </c:pt>
                <c:pt idx="2">
                  <c:v>158.8036249101728</c:v>
                </c:pt>
                <c:pt idx="3">
                  <c:v>160.33202758918623</c:v>
                </c:pt>
                <c:pt idx="4">
                  <c:v>161.52146155051969</c:v>
                </c:pt>
                <c:pt idx="5">
                  <c:v>162.53000482470475</c:v>
                </c:pt>
              </c:numCache>
            </c:numRef>
          </c:val>
        </c:ser>
        <c:ser>
          <c:idx val="7"/>
          <c:order val="5"/>
          <c:tx>
            <c:strRef>
              <c:f>'GHG Emissions'!$H$3</c:f>
              <c:strCache>
                <c:ptCount val="1"/>
                <c:pt idx="0">
                  <c:v>AGRICULTURE</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Emissions'!$H$7:$H$52</c:f>
              <c:numCache>
                <c:formatCode>#,##0</c:formatCode>
                <c:ptCount val="6"/>
                <c:pt idx="0">
                  <c:v>54.727336351939094</c:v>
                </c:pt>
                <c:pt idx="1">
                  <c:v>54.727336351939094</c:v>
                </c:pt>
                <c:pt idx="2">
                  <c:v>54.727336351939094</c:v>
                </c:pt>
                <c:pt idx="3">
                  <c:v>54.727336351939094</c:v>
                </c:pt>
                <c:pt idx="4">
                  <c:v>54.727336351939094</c:v>
                </c:pt>
                <c:pt idx="5">
                  <c:v>54.727336351939094</c:v>
                </c:pt>
              </c:numCache>
            </c:numRef>
          </c:val>
        </c:ser>
        <c:ser>
          <c:idx val="9"/>
          <c:order val="6"/>
          <c:tx>
            <c:strRef>
              <c:f>'GHG Emissions'!$J$3</c:f>
              <c:strCache>
                <c:ptCount val="1"/>
                <c:pt idx="0">
                  <c:v>PURCHASED ELECTRICITY</c:v>
                </c:pt>
              </c:strCache>
            </c:strRef>
          </c:tx>
          <c:spPr>
            <a:solidFill>
              <a:schemeClr val="accent4">
                <a:lumMod val="75000"/>
              </a:schemeClr>
            </a:solidFill>
            <a:ln>
              <a:solidFill>
                <a:schemeClr val="tx1"/>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Emissions'!$J$7:$J$52</c:f>
              <c:numCache>
                <c:formatCode>#,##0</c:formatCode>
                <c:ptCount val="6"/>
                <c:pt idx="0">
                  <c:v>89079.489590278681</c:v>
                </c:pt>
                <c:pt idx="1">
                  <c:v>90185.564700963238</c:v>
                </c:pt>
                <c:pt idx="2">
                  <c:v>104220.14280839756</c:v>
                </c:pt>
                <c:pt idx="3">
                  <c:v>115280.89391524318</c:v>
                </c:pt>
                <c:pt idx="4">
                  <c:v>126341.64502208878</c:v>
                </c:pt>
                <c:pt idx="5">
                  <c:v>137402.39612893443</c:v>
                </c:pt>
              </c:numCache>
            </c:numRef>
          </c:val>
        </c:ser>
        <c:ser>
          <c:idx val="3"/>
          <c:order val="7"/>
          <c:tx>
            <c:strRef>
              <c:f>'GHG Emissions'!$K$3</c:f>
              <c:strCache>
                <c:ptCount val="1"/>
                <c:pt idx="0">
                  <c:v>PURCHASED STEAM</c:v>
                </c:pt>
              </c:strCache>
            </c:strRef>
          </c:tx>
          <c:spPr>
            <a:solidFill>
              <a:schemeClr val="accent4">
                <a:lumMod val="60000"/>
                <a:lumOff val="40000"/>
              </a:schemeClr>
            </a:solidFill>
            <a:ln>
              <a:solidFill>
                <a:schemeClr val="tx1"/>
              </a:solidFill>
            </a:ln>
          </c:spPr>
          <c:val>
            <c:numRef>
              <c:f>'GHG Emissions'!$K$7:$K$52</c:f>
              <c:numCache>
                <c:formatCode>#,##0</c:formatCode>
                <c:ptCount val="6"/>
                <c:pt idx="0">
                  <c:v>72972.699494945773</c:v>
                </c:pt>
                <c:pt idx="1">
                  <c:v>73876.577656064139</c:v>
                </c:pt>
                <c:pt idx="2">
                  <c:v>85345.553432915913</c:v>
                </c:pt>
                <c:pt idx="3">
                  <c:v>94384.335044099687</c:v>
                </c:pt>
                <c:pt idx="4">
                  <c:v>103423.11665528339</c:v>
                </c:pt>
                <c:pt idx="5">
                  <c:v>112461.89826646713</c:v>
                </c:pt>
              </c:numCache>
            </c:numRef>
          </c:val>
        </c:ser>
        <c:ser>
          <c:idx val="8"/>
          <c:order val="8"/>
          <c:tx>
            <c:strRef>
              <c:f>'GHG Emissions'!$L$3</c:f>
              <c:strCache>
                <c:ptCount val="1"/>
                <c:pt idx="0">
                  <c:v>PURCHASED CHILLED WATER</c:v>
                </c:pt>
              </c:strCache>
            </c:strRef>
          </c:tx>
          <c:spPr>
            <a:solidFill>
              <a:schemeClr val="accent4">
                <a:lumMod val="20000"/>
                <a:lumOff val="80000"/>
              </a:schemeClr>
            </a:solidFill>
            <a:ln>
              <a:solidFill>
                <a:schemeClr val="tx1"/>
              </a:solidFill>
            </a:ln>
          </c:spPr>
          <c:val>
            <c:numRef>
              <c:f>'GHG Emissions'!$L$7:$L$52</c:f>
              <c:numCache>
                <c:formatCode>#,##0</c:formatCode>
                <c:ptCount val="6"/>
                <c:pt idx="0">
                  <c:v>20950.933162406443</c:v>
                </c:pt>
                <c:pt idx="1">
                  <c:v>21314.951972902243</c:v>
                </c:pt>
                <c:pt idx="2">
                  <c:v>25654.56540026006</c:v>
                </c:pt>
                <c:pt idx="3">
                  <c:v>29294.75350521805</c:v>
                </c:pt>
                <c:pt idx="4">
                  <c:v>32934.941610176029</c:v>
                </c:pt>
                <c:pt idx="5">
                  <c:v>36575.129715134026</c:v>
                </c:pt>
              </c:numCache>
            </c:numRef>
          </c:val>
        </c:ser>
        <c:ser>
          <c:idx val="10"/>
          <c:order val="9"/>
          <c:tx>
            <c:strRef>
              <c:f>'GHG Emissions'!$N$3</c:f>
              <c:strCache>
                <c:ptCount val="1"/>
                <c:pt idx="0">
                  <c:v>FACULTY/STAFF COMMUTING</c:v>
                </c:pt>
              </c:strCache>
            </c:strRef>
          </c:tx>
          <c:spPr>
            <a:solidFill>
              <a:schemeClr val="tx2">
                <a:lumMod val="60000"/>
                <a:lumOff val="40000"/>
              </a:schemeClr>
            </a:solidFill>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Emissions'!$N$7:$N$52</c:f>
              <c:numCache>
                <c:formatCode>#,##0</c:formatCode>
                <c:ptCount val="6"/>
                <c:pt idx="0">
                  <c:v>9334.7025776336595</c:v>
                </c:pt>
                <c:pt idx="1">
                  <c:v>9407.5060524151886</c:v>
                </c:pt>
                <c:pt idx="2">
                  <c:v>9576.1643869180862</c:v>
                </c:pt>
                <c:pt idx="3">
                  <c:v>9668.3300116758164</c:v>
                </c:pt>
                <c:pt idx="4">
                  <c:v>9740.0551700124433</c:v>
                </c:pt>
                <c:pt idx="5">
                  <c:v>9800.8722715765889</c:v>
                </c:pt>
              </c:numCache>
            </c:numRef>
          </c:val>
        </c:ser>
        <c:ser>
          <c:idx val="15"/>
          <c:order val="10"/>
          <c:tx>
            <c:strRef>
              <c:f>'GHG Emissions'!$O$3</c:f>
              <c:strCache>
                <c:ptCount val="1"/>
                <c:pt idx="0">
                  <c:v>STUDENT COMMUTING</c:v>
                </c:pt>
              </c:strCache>
            </c:strRef>
          </c:tx>
          <c:spPr>
            <a:solidFill>
              <a:schemeClr val="tx2">
                <a:lumMod val="40000"/>
                <a:lumOff val="60000"/>
              </a:schemeClr>
            </a:solidFill>
            <a:ln>
              <a:solidFill>
                <a:schemeClr val="tx1"/>
              </a:solidFill>
            </a:ln>
          </c:spPr>
          <c:val>
            <c:numRef>
              <c:f>'GHG Emissions'!$O$7:$O$52</c:f>
              <c:numCache>
                <c:formatCode>#,##0</c:formatCode>
                <c:ptCount val="6"/>
                <c:pt idx="0">
                  <c:v>6811.6959846795144</c:v>
                </c:pt>
                <c:pt idx="1">
                  <c:v>6874.1373449912689</c:v>
                </c:pt>
                <c:pt idx="2">
                  <c:v>7017.9634538066539</c:v>
                </c:pt>
                <c:pt idx="3">
                  <c:v>7096.0748024213999</c:v>
                </c:pt>
                <c:pt idx="4">
                  <c:v>7156.6276381771286</c:v>
                </c:pt>
                <c:pt idx="5">
                  <c:v>7207.8112248727584</c:v>
                </c:pt>
              </c:numCache>
            </c:numRef>
          </c:val>
        </c:ser>
        <c:ser>
          <c:idx val="11"/>
          <c:order val="11"/>
          <c:tx>
            <c:strRef>
              <c:f>'GHG Emissions'!$P$3</c:f>
              <c:strCache>
                <c:ptCount val="1"/>
                <c:pt idx="0">
                  <c:v>AIR TRAVEL</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Emissions'!$P$7:$P$52</c:f>
              <c:numCache>
                <c:formatCode>#,##0</c:formatCode>
                <c:ptCount val="6"/>
                <c:pt idx="0">
                  <c:v>27866.404193550476</c:v>
                </c:pt>
                <c:pt idx="1">
                  <c:v>28083.740636579532</c:v>
                </c:pt>
                <c:pt idx="2">
                  <c:v>28587.227628348304</c:v>
                </c:pt>
                <c:pt idx="3">
                  <c:v>28862.364895003579</c:v>
                </c:pt>
                <c:pt idx="4">
                  <c:v>29076.482295791888</c:v>
                </c:pt>
                <c:pt idx="5">
                  <c:v>29258.03643958726</c:v>
                </c:pt>
              </c:numCache>
            </c:numRef>
          </c:val>
        </c:ser>
        <c:ser>
          <c:idx val="12"/>
          <c:order val="12"/>
          <c:tx>
            <c:strRef>
              <c:f>'GHG Emissions'!$Q$3</c:f>
              <c:strCache>
                <c:ptCount val="1"/>
                <c:pt idx="0">
                  <c:v>SOLID WASTE</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Emissions'!$Q$7:$Q$52</c:f>
              <c:numCache>
                <c:formatCode>#,##0</c:formatCode>
                <c:ptCount val="6"/>
                <c:pt idx="0">
                  <c:v>2521.2314285714288</c:v>
                </c:pt>
                <c:pt idx="1">
                  <c:v>2540.8950876116432</c:v>
                </c:pt>
                <c:pt idx="2">
                  <c:v>2586.448407613299</c:v>
                </c:pt>
                <c:pt idx="3">
                  <c:v>2611.341634563013</c:v>
                </c:pt>
                <c:pt idx="4">
                  <c:v>2630.7140486183739</c:v>
                </c:pt>
                <c:pt idx="5">
                  <c:v>2647.1402803684405</c:v>
                </c:pt>
              </c:numCache>
            </c:numRef>
          </c:val>
        </c:ser>
        <c:ser>
          <c:idx val="13"/>
          <c:order val="13"/>
          <c:tx>
            <c:strRef>
              <c:f>'GHG Emissions'!$R$3</c:f>
              <c:strCache>
                <c:ptCount val="1"/>
                <c:pt idx="0">
                  <c:v>WASTEWATER</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Emissions'!$R$7:$R$52</c:f>
              <c:numCache>
                <c:formatCode>#,##0</c:formatCode>
                <c:ptCount val="6"/>
                <c:pt idx="0">
                  <c:v>129.49164152832</c:v>
                </c:pt>
                <c:pt idx="1">
                  <c:v>131.09559297365365</c:v>
                </c:pt>
                <c:pt idx="2">
                  <c:v>151.44753980132919</c:v>
                </c:pt>
                <c:pt idx="3">
                  <c:v>167.48705425466582</c:v>
                </c:pt>
                <c:pt idx="4">
                  <c:v>183.5265687080024</c:v>
                </c:pt>
                <c:pt idx="5">
                  <c:v>199.56608316133904</c:v>
                </c:pt>
              </c:numCache>
            </c:numRef>
          </c:val>
        </c:ser>
        <c:ser>
          <c:idx val="17"/>
          <c:order val="14"/>
          <c:tx>
            <c:strRef>
              <c:f>'GHG Emissions'!$S$3</c:f>
              <c:strCache>
                <c:ptCount val="1"/>
                <c:pt idx="0">
                  <c:v>PAPER PURCHASING</c:v>
                </c:pt>
              </c:strCache>
            </c:strRef>
          </c:tx>
          <c:spPr>
            <a:ln>
              <a:solidFill>
                <a:schemeClr val="tx1"/>
              </a:solidFill>
            </a:ln>
          </c:spPr>
          <c:val>
            <c:numRef>
              <c:f>'GHG Emissions'!$S$7:$S$52</c:f>
              <c:numCache>
                <c:formatCode>#,##0</c:formatCode>
                <c:ptCount val="6"/>
                <c:pt idx="0">
                  <c:v>760.25013534000004</c:v>
                </c:pt>
                <c:pt idx="1">
                  <c:v>761.56832386543465</c:v>
                </c:pt>
                <c:pt idx="2">
                  <c:v>764.62207208181871</c:v>
                </c:pt>
                <c:pt idx="3">
                  <c:v>766.29083403802679</c:v>
                </c:pt>
                <c:pt idx="4">
                  <c:v>767.58949843540688</c:v>
                </c:pt>
                <c:pt idx="5">
                  <c:v>768.69066023671689</c:v>
                </c:pt>
              </c:numCache>
            </c:numRef>
          </c:val>
        </c:ser>
        <c:ser>
          <c:idx val="14"/>
          <c:order val="15"/>
          <c:tx>
            <c:strRef>
              <c:f>'GHG Emissions'!$T$3</c:f>
              <c:strCache>
                <c:ptCount val="1"/>
                <c:pt idx="0">
                  <c:v>SCOPE 2 T&amp;D LOSSES</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Emissions'!$T$7:$T$52</c:f>
              <c:numCache>
                <c:formatCode>#,##0</c:formatCode>
                <c:ptCount val="6"/>
                <c:pt idx="0">
                  <c:v>13753.408497256623</c:v>
                </c:pt>
                <c:pt idx="1">
                  <c:v>13924.180724352469</c:v>
                </c:pt>
                <c:pt idx="2">
                  <c:v>16091.046370821818</c:v>
                </c:pt>
                <c:pt idx="3">
                  <c:v>17798.76864178028</c:v>
                </c:pt>
                <c:pt idx="4">
                  <c:v>19506.490912738733</c:v>
                </c:pt>
                <c:pt idx="5">
                  <c:v>21214.213183697193</c:v>
                </c:pt>
              </c:numCache>
            </c:numRef>
          </c:val>
        </c:ser>
        <c:ser>
          <c:idx val="16"/>
          <c:order val="16"/>
          <c:tx>
            <c:strRef>
              <c:f>'GHG Emissions'!$V$3</c:f>
              <c:strCache>
                <c:ptCount val="1"/>
                <c:pt idx="0">
                  <c:v>SEQUESTRATION</c:v>
                </c:pt>
              </c:strCache>
            </c:strRef>
          </c:tx>
          <c:spPr>
            <a:ln>
              <a:solidFill>
                <a:sysClr val="windowText" lastClr="000000"/>
              </a:solidFill>
            </a:ln>
          </c:spPr>
          <c:cat>
            <c:numRef>
              <c:f>'GHG Emissions'!$B$10:$B$52</c:f>
              <c:numCache>
                <c:formatCode>General</c:formatCode>
                <c:ptCount val="6"/>
                <c:pt idx="0">
                  <c:v>2009</c:v>
                </c:pt>
                <c:pt idx="1">
                  <c:v>2010</c:v>
                </c:pt>
                <c:pt idx="2">
                  <c:v>2020</c:v>
                </c:pt>
                <c:pt idx="3">
                  <c:v>2030</c:v>
                </c:pt>
                <c:pt idx="4">
                  <c:v>2040</c:v>
                </c:pt>
                <c:pt idx="5">
                  <c:v>2050</c:v>
                </c:pt>
              </c:numCache>
            </c:numRef>
          </c:cat>
          <c:val>
            <c:numRef>
              <c:f>'GHG Emissions'!$V$7:$V$52</c:f>
              <c:numCache>
                <c:formatCode>#,##0</c:formatCode>
                <c:ptCount val="6"/>
                <c:pt idx="0">
                  <c:v>-131.6682254090158</c:v>
                </c:pt>
                <c:pt idx="1">
                  <c:v>-132.69513593437759</c:v>
                </c:pt>
                <c:pt idx="2">
                  <c:v>-135.07410231490766</c:v>
                </c:pt>
                <c:pt idx="3">
                  <c:v>-136.3741206234331</c:v>
                </c:pt>
                <c:pt idx="4">
                  <c:v>-137.38582123594028</c:v>
                </c:pt>
                <c:pt idx="5">
                  <c:v>-138.24366108363483</c:v>
                </c:pt>
              </c:numCache>
            </c:numRef>
          </c:val>
        </c:ser>
        <c:overlap val="100"/>
        <c:axId val="191961728"/>
        <c:axId val="192000384"/>
      </c:barChart>
      <c:catAx>
        <c:axId val="191961728"/>
        <c:scaling>
          <c:orientation val="minMax"/>
        </c:scaling>
        <c:axPos val="b"/>
        <c:numFmt formatCode="General" sourceLinked="1"/>
        <c:tickLblPos val="nextTo"/>
        <c:crossAx val="192000384"/>
        <c:crosses val="autoZero"/>
        <c:auto val="1"/>
        <c:lblAlgn val="ctr"/>
        <c:lblOffset val="100"/>
        <c:tickLblSkip val="1"/>
        <c:tickMarkSkip val="1"/>
      </c:catAx>
      <c:valAx>
        <c:axId val="192000384"/>
        <c:scaling>
          <c:orientation val="minMax"/>
          <c:min val="0"/>
        </c:scaling>
        <c:axPos val="l"/>
        <c:majorGridlines/>
        <c:title>
          <c:tx>
            <c:rich>
              <a:bodyPr rot="-5400000" vert="horz"/>
              <a:lstStyle/>
              <a:p>
                <a:pPr>
                  <a:defRPr/>
                </a:pPr>
                <a:r>
                  <a:rPr lang="en-US"/>
                  <a:t>CAMPUS GHG EMISSIONS (MTCDE)</a:t>
                </a:r>
              </a:p>
            </c:rich>
          </c:tx>
        </c:title>
        <c:numFmt formatCode="#,##0" sourceLinked="0"/>
        <c:tickLblPos val="nextTo"/>
        <c:crossAx val="191961728"/>
        <c:crosses val="autoZero"/>
        <c:crossBetween val="between"/>
      </c:valAx>
    </c:plotArea>
    <c:legend>
      <c:legendPos val="r"/>
      <c:layout>
        <c:manualLayout>
          <c:xMode val="edge"/>
          <c:yMode val="edge"/>
          <c:x val="0.78147852225046943"/>
          <c:y val="9.8006889763780983E-2"/>
          <c:w val="0.21254175907108774"/>
          <c:h val="0.80685239865850678"/>
        </c:manualLayout>
      </c:layout>
    </c:legend>
    <c:plotVisOnly val="1"/>
    <c:dispBlanksAs val="zero"/>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181007779432935"/>
          <c:y val="2.7825863872280011E-2"/>
          <c:w val="0.80510409171826458"/>
          <c:h val="0.75468725938165671"/>
        </c:manualLayout>
      </c:layout>
      <c:areaChart>
        <c:grouping val="stacked"/>
        <c:ser>
          <c:idx val="1"/>
          <c:order val="0"/>
          <c:tx>
            <c:strRef>
              <c:f>ExposureCalculations!$I$2</c:f>
              <c:strCache>
                <c:ptCount val="1"/>
                <c:pt idx="0">
                  <c:v>GHG Emissions Subject to Compliance Cost</c:v>
                </c:pt>
              </c:strCache>
            </c:strRef>
          </c:tx>
          <c:spPr>
            <a:solidFill>
              <a:schemeClr val="tx2">
                <a:lumMod val="60000"/>
                <a:lumOff val="40000"/>
              </a:schemeClr>
            </a:solidFill>
            <a:ln w="25400">
              <a:solidFill>
                <a:schemeClr val="tx2">
                  <a:lumMod val="75000"/>
                </a:schemeClr>
              </a:solidFill>
            </a:ln>
          </c:spPr>
          <c:val>
            <c:numRef>
              <c:f>ExposureCalculations!$I$16:$I$56</c:f>
              <c:numCache>
                <c:formatCode>#,##0</c:formatCode>
                <c:ptCount val="41"/>
                <c:pt idx="0">
                  <c:v>0</c:v>
                </c:pt>
                <c:pt idx="1">
                  <c:v>0</c:v>
                </c:pt>
                <c:pt idx="2">
                  <c:v>0</c:v>
                </c:pt>
                <c:pt idx="3">
                  <c:v>0</c:v>
                </c:pt>
                <c:pt idx="4">
                  <c:v>0</c:v>
                </c:pt>
                <c:pt idx="5">
                  <c:v>99214.941624739731</c:v>
                </c:pt>
                <c:pt idx="6">
                  <c:v>109844.09141101484</c:v>
                </c:pt>
                <c:pt idx="7">
                  <c:v>120294.6978498075</c:v>
                </c:pt>
                <c:pt idx="8">
                  <c:v>130567.31149526406</c:v>
                </c:pt>
                <c:pt idx="9">
                  <c:v>140662.33320250741</c:v>
                </c:pt>
                <c:pt idx="10">
                  <c:v>150580.06558477593</c:v>
                </c:pt>
                <c:pt idx="11">
                  <c:v>160603.54330503062</c:v>
                </c:pt>
                <c:pt idx="12">
                  <c:v>170430.65034558042</c:v>
                </c:pt>
                <c:pt idx="13">
                  <c:v>180061.53829530219</c:v>
                </c:pt>
                <c:pt idx="14">
                  <c:v>189496.33208516537</c:v>
                </c:pt>
                <c:pt idx="15">
                  <c:v>198735.13612336194</c:v>
                </c:pt>
                <c:pt idx="16">
                  <c:v>207778.03872626123</c:v>
                </c:pt>
                <c:pt idx="17">
                  <c:v>216625.11539035029</c:v>
                </c:pt>
                <c:pt idx="18">
                  <c:v>225276.4312554723</c:v>
                </c:pt>
                <c:pt idx="19">
                  <c:v>233732.04299101891</c:v>
                </c:pt>
                <c:pt idx="20">
                  <c:v>241992.00026217202</c:v>
                </c:pt>
                <c:pt idx="21">
                  <c:v>250056.34688511345</c:v>
                </c:pt>
                <c:pt idx="22">
                  <c:v>257925.12174823327</c:v>
                </c:pt>
                <c:pt idx="23">
                  <c:v>264038.08610608958</c:v>
                </c:pt>
                <c:pt idx="24">
                  <c:v>268541.54671728302</c:v>
                </c:pt>
                <c:pt idx="25">
                  <c:v>273044.56361487327</c:v>
                </c:pt>
                <c:pt idx="26">
                  <c:v>277547.16216577723</c:v>
                </c:pt>
                <c:pt idx="27">
                  <c:v>282049.36540823121</c:v>
                </c:pt>
                <c:pt idx="28">
                  <c:v>286551.19434051815</c:v>
                </c:pt>
                <c:pt idx="29">
                  <c:v>291052.66816523467</c:v>
                </c:pt>
                <c:pt idx="30">
                  <c:v>295553.80449719395</c:v>
                </c:pt>
                <c:pt idx="31">
                  <c:v>300054.61954136478</c:v>
                </c:pt>
                <c:pt idx="32">
                  <c:v>304555.12824596633</c:v>
                </c:pt>
                <c:pt idx="33">
                  <c:v>309055.34443482879</c:v>
                </c:pt>
                <c:pt idx="34">
                  <c:v>313555.28092235251</c:v>
                </c:pt>
                <c:pt idx="35">
                  <c:v>318054.94961378287</c:v>
                </c:pt>
                <c:pt idx="36">
                  <c:v>322554.36159303057</c:v>
                </c:pt>
                <c:pt idx="37">
                  <c:v>327053.5271998762</c:v>
                </c:pt>
                <c:pt idx="38">
                  <c:v>331552.45609808929</c:v>
                </c:pt>
                <c:pt idx="39">
                  <c:v>336051.15733573126</c:v>
                </c:pt>
                <c:pt idx="40">
                  <c:v>340549.63939871575</c:v>
                </c:pt>
              </c:numCache>
            </c:numRef>
          </c:val>
        </c:ser>
        <c:ser>
          <c:idx val="0"/>
          <c:order val="1"/>
          <c:tx>
            <c:strRef>
              <c:f>ExposureCalculations!$AK$15</c:f>
              <c:strCache>
                <c:ptCount val="1"/>
                <c:pt idx="0">
                  <c:v>GHG Emissions Not Subject to Compliance Cost</c:v>
                </c:pt>
              </c:strCache>
            </c:strRef>
          </c:tx>
          <c:spPr>
            <a:solidFill>
              <a:schemeClr val="tx2">
                <a:lumMod val="40000"/>
                <a:lumOff val="60000"/>
              </a:schemeClr>
            </a:solidFill>
            <a:ln w="28575">
              <a:solidFill>
                <a:schemeClr val="tx2"/>
              </a:solidFill>
            </a:ln>
          </c:spPr>
          <c:cat>
            <c:numRef>
              <c:f>[6]ExposureCalculations!$A$16:$A$56</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ExposureCalculations!$AK$16:$AK$56</c:f>
              <c:numCache>
                <c:formatCode>#,##0</c:formatCode>
                <c:ptCount val="41"/>
                <c:pt idx="0">
                  <c:v>266371.49010856845</c:v>
                </c:pt>
                <c:pt idx="1">
                  <c:v>269303.67742545606</c:v>
                </c:pt>
                <c:pt idx="2">
                  <c:v>275791.85529217363</c:v>
                </c:pt>
                <c:pt idx="3">
                  <c:v>279648.61947465339</c:v>
                </c:pt>
                <c:pt idx="4">
                  <c:v>282513.6365609222</c:v>
                </c:pt>
                <c:pt idx="5">
                  <c:v>188767.77652503486</c:v>
                </c:pt>
                <c:pt idx="6">
                  <c:v>180988.6347838426</c:v>
                </c:pt>
                <c:pt idx="7">
                  <c:v>173382.91388145916</c:v>
                </c:pt>
                <c:pt idx="8">
                  <c:v>165950.99941573211</c:v>
                </c:pt>
                <c:pt idx="9">
                  <c:v>158693.17213776393</c:v>
                </c:pt>
                <c:pt idx="10">
                  <c:v>151609.64399170055</c:v>
                </c:pt>
                <c:pt idx="11">
                  <c:v>144417.780074284</c:v>
                </c:pt>
                <c:pt idx="12">
                  <c:v>137420.01431095175</c:v>
                </c:pt>
                <c:pt idx="13">
                  <c:v>130616.45287107659</c:v>
                </c:pt>
                <c:pt idx="14">
                  <c:v>124007.18325333821</c:v>
                </c:pt>
                <c:pt idx="15">
                  <c:v>117592.27858266199</c:v>
                </c:pt>
                <c:pt idx="16">
                  <c:v>111371.80071358237</c:v>
                </c:pt>
                <c:pt idx="17">
                  <c:v>105345.80252185103</c:v>
                </c:pt>
                <c:pt idx="18">
                  <c:v>99514.329629642831</c:v>
                </c:pt>
                <c:pt idx="19">
                  <c:v>93877.421726611268</c:v>
                </c:pt>
                <c:pt idx="20">
                  <c:v>88435.113596815325</c:v>
                </c:pt>
                <c:pt idx="21">
                  <c:v>83187.435927806306</c:v>
                </c:pt>
                <c:pt idx="22">
                  <c:v>78134.415955823089</c:v>
                </c:pt>
                <c:pt idx="23">
                  <c:v>74836.351434631564</c:v>
                </c:pt>
                <c:pt idx="24">
                  <c:v>73146.988525810826</c:v>
                </c:pt>
                <c:pt idx="25">
                  <c:v>71457.314873042691</c:v>
                </c:pt>
                <c:pt idx="26">
                  <c:v>69767.348242454056</c:v>
                </c:pt>
                <c:pt idx="27">
                  <c:v>68077.104769223544</c:v>
                </c:pt>
                <c:pt idx="28">
                  <c:v>66386.599159799109</c:v>
                </c:pt>
                <c:pt idx="29">
                  <c:v>64695.844862978905</c:v>
                </c:pt>
                <c:pt idx="30">
                  <c:v>63004.854215519095</c:v>
                </c:pt>
                <c:pt idx="31">
                  <c:v>61313.638566761103</c:v>
                </c:pt>
                <c:pt idx="32">
                  <c:v>59622.208385853446</c:v>
                </c:pt>
                <c:pt idx="33">
                  <c:v>57930.573354455235</c:v>
                </c:pt>
                <c:pt idx="34">
                  <c:v>56238.742447250173</c:v>
                </c:pt>
                <c:pt idx="35">
                  <c:v>54546.724002176721</c:v>
                </c:pt>
                <c:pt idx="36">
                  <c:v>52854.52578193543</c:v>
                </c:pt>
                <c:pt idx="37">
                  <c:v>51162.155028061068</c:v>
                </c:pt>
                <c:pt idx="38">
                  <c:v>49469.618508631072</c:v>
                </c:pt>
                <c:pt idx="39">
                  <c:v>47776.922560500621</c:v>
                </c:pt>
                <c:pt idx="40">
                  <c:v>46084.073126814503</c:v>
                </c:pt>
              </c:numCache>
            </c:numRef>
          </c:val>
        </c:ser>
        <c:axId val="204756096"/>
        <c:axId val="204759040"/>
      </c:areaChart>
      <c:lineChart>
        <c:grouping val="standard"/>
        <c:ser>
          <c:idx val="3"/>
          <c:order val="2"/>
          <c:tx>
            <c:strRef>
              <c:f>ExposureCalculations!$G$2</c:f>
              <c:strCache>
                <c:ptCount val="1"/>
                <c:pt idx="0">
                  <c:v>Total GHG Emissions</c:v>
                </c:pt>
              </c:strCache>
            </c:strRef>
          </c:tx>
          <c:spPr>
            <a:ln>
              <a:solidFill>
                <a:schemeClr val="tx2">
                  <a:lumMod val="50000"/>
                </a:schemeClr>
              </a:solidFill>
            </a:ln>
          </c:spPr>
          <c:marker>
            <c:symbol val="circle"/>
            <c:size val="6"/>
            <c:spPr>
              <a:solidFill>
                <a:schemeClr val="tx2">
                  <a:lumMod val="75000"/>
                </a:schemeClr>
              </a:solidFill>
              <a:ln>
                <a:solidFill>
                  <a:schemeClr val="tx2">
                    <a:lumMod val="50000"/>
                  </a:schemeClr>
                </a:solidFill>
              </a:ln>
            </c:spPr>
          </c:marker>
          <c:val>
            <c:numRef>
              <c:f>ExposureCalculations!$G$16:$G$56</c:f>
              <c:numCache>
                <c:formatCode>#,##0</c:formatCode>
                <c:ptCount val="41"/>
                <c:pt idx="0">
                  <c:v>266371.49010856845</c:v>
                </c:pt>
                <c:pt idx="1">
                  <c:v>269303.67742545606</c:v>
                </c:pt>
                <c:pt idx="2">
                  <c:v>275791.85529217363</c:v>
                </c:pt>
                <c:pt idx="3">
                  <c:v>279648.61947465339</c:v>
                </c:pt>
                <c:pt idx="4">
                  <c:v>282513.6365609222</c:v>
                </c:pt>
                <c:pt idx="5">
                  <c:v>287982.71814977459</c:v>
                </c:pt>
                <c:pt idx="6">
                  <c:v>290832.72619485745</c:v>
                </c:pt>
                <c:pt idx="7">
                  <c:v>293677.61173126666</c:v>
                </c:pt>
                <c:pt idx="8">
                  <c:v>296518.31091099617</c:v>
                </c:pt>
                <c:pt idx="9">
                  <c:v>299355.50534027134</c:v>
                </c:pt>
                <c:pt idx="10">
                  <c:v>302189.70957647648</c:v>
                </c:pt>
                <c:pt idx="11">
                  <c:v>305021.32337931462</c:v>
                </c:pt>
                <c:pt idx="12">
                  <c:v>307850.66465653217</c:v>
                </c:pt>
                <c:pt idx="13">
                  <c:v>310677.99116637878</c:v>
                </c:pt>
                <c:pt idx="14">
                  <c:v>313503.51533850358</c:v>
                </c:pt>
                <c:pt idx="15">
                  <c:v>316327.41470602393</c:v>
                </c:pt>
                <c:pt idx="16">
                  <c:v>319149.83943984361</c:v>
                </c:pt>
                <c:pt idx="17">
                  <c:v>321970.91791220132</c:v>
                </c:pt>
                <c:pt idx="18">
                  <c:v>324790.76088511513</c:v>
                </c:pt>
                <c:pt idx="19">
                  <c:v>327609.46471763018</c:v>
                </c:pt>
                <c:pt idx="20">
                  <c:v>330427.11385898734</c:v>
                </c:pt>
                <c:pt idx="21">
                  <c:v>333243.78281291976</c:v>
                </c:pt>
                <c:pt idx="22">
                  <c:v>336059.53770405636</c:v>
                </c:pt>
                <c:pt idx="23">
                  <c:v>338874.43754072115</c:v>
                </c:pt>
                <c:pt idx="24">
                  <c:v>341688.53524309385</c:v>
                </c:pt>
                <c:pt idx="25">
                  <c:v>344501.87848791596</c:v>
                </c:pt>
                <c:pt idx="26">
                  <c:v>347314.51040823129</c:v>
                </c:pt>
                <c:pt idx="27">
                  <c:v>350126.47017745476</c:v>
                </c:pt>
                <c:pt idx="28">
                  <c:v>352937.79350031726</c:v>
                </c:pt>
                <c:pt idx="29">
                  <c:v>355748.51302821358</c:v>
                </c:pt>
                <c:pt idx="30">
                  <c:v>358558.65871271305</c:v>
                </c:pt>
                <c:pt idx="31">
                  <c:v>361368.25810812588</c:v>
                </c:pt>
                <c:pt idx="32">
                  <c:v>364177.33663181978</c:v>
                </c:pt>
                <c:pt idx="33">
                  <c:v>366985.91778928402</c:v>
                </c:pt>
                <c:pt idx="34">
                  <c:v>369794.02336960268</c:v>
                </c:pt>
                <c:pt idx="35">
                  <c:v>372601.67361595959</c:v>
                </c:pt>
                <c:pt idx="36">
                  <c:v>375408.887374966</c:v>
                </c:pt>
                <c:pt idx="37">
                  <c:v>378215.68222793727</c:v>
                </c:pt>
                <c:pt idx="38">
                  <c:v>381022.07460672036</c:v>
                </c:pt>
                <c:pt idx="39">
                  <c:v>383828.07989623188</c:v>
                </c:pt>
                <c:pt idx="40">
                  <c:v>386633.71252553025</c:v>
                </c:pt>
              </c:numCache>
            </c:numRef>
          </c:val>
        </c:ser>
        <c:ser>
          <c:idx val="4"/>
          <c:order val="3"/>
          <c:tx>
            <c:strRef>
              <c:f>ExposureCalculations!$AM$15</c:f>
              <c:strCache>
                <c:ptCount val="1"/>
                <c:pt idx="0">
                  <c:v>IPCC Climate Stabilization Scenario 1</c:v>
                </c:pt>
              </c:strCache>
            </c:strRef>
          </c:tx>
          <c:spPr>
            <a:ln w="19050">
              <a:solidFill>
                <a:sysClr val="windowText" lastClr="000000"/>
              </a:solidFill>
              <a:prstDash val="sysDot"/>
            </a:ln>
          </c:spPr>
          <c:marker>
            <c:symbol val="none"/>
          </c:marker>
          <c:val>
            <c:numRef>
              <c:f>ExposureCalculations!$AM$16:$AM$56</c:f>
              <c:numCache>
                <c:formatCode>#,##0</c:formatCode>
                <c:ptCount val="41"/>
                <c:pt idx="0">
                  <c:v>221088.33679011179</c:v>
                </c:pt>
                <c:pt idx="1">
                  <c:v>216560.0214582661</c:v>
                </c:pt>
                <c:pt idx="2">
                  <c:v>212031.70612642044</c:v>
                </c:pt>
                <c:pt idx="3">
                  <c:v>207503.39079457478</c:v>
                </c:pt>
                <c:pt idx="4">
                  <c:v>202975.07546272912</c:v>
                </c:pt>
                <c:pt idx="5">
                  <c:v>198446.76013088343</c:v>
                </c:pt>
                <c:pt idx="6">
                  <c:v>193918.44479903777</c:v>
                </c:pt>
                <c:pt idx="7">
                  <c:v>189390.12946719211</c:v>
                </c:pt>
                <c:pt idx="8">
                  <c:v>184861.81413534645</c:v>
                </c:pt>
                <c:pt idx="9">
                  <c:v>180333.49880350076</c:v>
                </c:pt>
                <c:pt idx="10">
                  <c:v>175805.18347165509</c:v>
                </c:pt>
                <c:pt idx="11">
                  <c:v>171276.86813980943</c:v>
                </c:pt>
                <c:pt idx="12">
                  <c:v>166748.55280796377</c:v>
                </c:pt>
                <c:pt idx="13">
                  <c:v>162220.23747611808</c:v>
                </c:pt>
                <c:pt idx="14">
                  <c:v>157691.92214427242</c:v>
                </c:pt>
                <c:pt idx="15">
                  <c:v>153163.60681242676</c:v>
                </c:pt>
                <c:pt idx="16">
                  <c:v>148635.2914805811</c:v>
                </c:pt>
                <c:pt idx="17">
                  <c:v>144106.97614873541</c:v>
                </c:pt>
                <c:pt idx="18">
                  <c:v>139578.66081688975</c:v>
                </c:pt>
                <c:pt idx="19">
                  <c:v>135050.34548504409</c:v>
                </c:pt>
                <c:pt idx="20">
                  <c:v>130522.03015319842</c:v>
                </c:pt>
                <c:pt idx="21">
                  <c:v>125993.71482135275</c:v>
                </c:pt>
                <c:pt idx="22">
                  <c:v>121465.39948950708</c:v>
                </c:pt>
                <c:pt idx="23">
                  <c:v>116937.08415766142</c:v>
                </c:pt>
                <c:pt idx="24">
                  <c:v>112408.76882581576</c:v>
                </c:pt>
                <c:pt idx="25">
                  <c:v>107880.45349397008</c:v>
                </c:pt>
                <c:pt idx="26">
                  <c:v>103352.13816212442</c:v>
                </c:pt>
                <c:pt idx="27">
                  <c:v>98823.822830278747</c:v>
                </c:pt>
                <c:pt idx="28">
                  <c:v>94295.507498433086</c:v>
                </c:pt>
                <c:pt idx="29">
                  <c:v>89767.192166587411</c:v>
                </c:pt>
                <c:pt idx="30">
                  <c:v>85238.87683474175</c:v>
                </c:pt>
                <c:pt idx="31">
                  <c:v>80710.561502896075</c:v>
                </c:pt>
                <c:pt idx="32">
                  <c:v>76182.246171050414</c:v>
                </c:pt>
                <c:pt idx="33">
                  <c:v>71653.930839204739</c:v>
                </c:pt>
                <c:pt idx="34">
                  <c:v>67125.615507359078</c:v>
                </c:pt>
                <c:pt idx="35">
                  <c:v>62597.300175513403</c:v>
                </c:pt>
                <c:pt idx="36">
                  <c:v>58068.984843667735</c:v>
                </c:pt>
                <c:pt idx="37">
                  <c:v>53540.669511822067</c:v>
                </c:pt>
                <c:pt idx="38">
                  <c:v>49012.354179976399</c:v>
                </c:pt>
                <c:pt idx="39">
                  <c:v>44484.038848130738</c:v>
                </c:pt>
                <c:pt idx="40">
                  <c:v>39955.723516285267</c:v>
                </c:pt>
              </c:numCache>
            </c:numRef>
          </c:val>
        </c:ser>
        <c:ser>
          <c:idx val="5"/>
          <c:order val="4"/>
          <c:tx>
            <c:strRef>
              <c:f>ExposureCalculations!$AN$15</c:f>
              <c:strCache>
                <c:ptCount val="1"/>
                <c:pt idx="0">
                  <c:v>Legislative Scenario Cap for Economy-wide Emissions</c:v>
                </c:pt>
              </c:strCache>
            </c:strRef>
          </c:tx>
          <c:spPr>
            <a:ln w="25400">
              <a:solidFill>
                <a:sysClr val="windowText" lastClr="000000"/>
              </a:solidFill>
              <a:prstDash val="dash"/>
            </a:ln>
          </c:spPr>
          <c:marker>
            <c:symbol val="none"/>
          </c:marker>
          <c:val>
            <c:numRef>
              <c:f>ExposureCalculations!$AN$16:$AN$56</c:f>
              <c:numCache>
                <c:formatCode>#,##0</c:formatCode>
                <c:ptCount val="41"/>
                <c:pt idx="0">
                  <c:v>266371.49010856845</c:v>
                </c:pt>
                <c:pt idx="1">
                  <c:v>266371.49010856845</c:v>
                </c:pt>
                <c:pt idx="2">
                  <c:v>266371.49010856845</c:v>
                </c:pt>
                <c:pt idx="3">
                  <c:v>266371.49010856845</c:v>
                </c:pt>
                <c:pt idx="4">
                  <c:v>266371.49010856845</c:v>
                </c:pt>
                <c:pt idx="5">
                  <c:v>263707.77520748274</c:v>
                </c:pt>
                <c:pt idx="6">
                  <c:v>258913.08838552856</c:v>
                </c:pt>
                <c:pt idx="7">
                  <c:v>254118.40156357433</c:v>
                </c:pt>
                <c:pt idx="8">
                  <c:v>249323.71474162012</c:v>
                </c:pt>
                <c:pt idx="9">
                  <c:v>244529.02791966588</c:v>
                </c:pt>
                <c:pt idx="10">
                  <c:v>239734.34109771159</c:v>
                </c:pt>
                <c:pt idx="11">
                  <c:v>234406.91129554025</c:v>
                </c:pt>
                <c:pt idx="12">
                  <c:v>229079.48149336889</c:v>
                </c:pt>
                <c:pt idx="13">
                  <c:v>223752.05169119756</c:v>
                </c:pt>
                <c:pt idx="14">
                  <c:v>218424.6218890262</c:v>
                </c:pt>
                <c:pt idx="15">
                  <c:v>213097.19208685483</c:v>
                </c:pt>
                <c:pt idx="16">
                  <c:v>207769.7622846835</c:v>
                </c:pt>
                <c:pt idx="17">
                  <c:v>202442.33248251214</c:v>
                </c:pt>
                <c:pt idx="18">
                  <c:v>197114.90268034081</c:v>
                </c:pt>
                <c:pt idx="19">
                  <c:v>191787.47287816941</c:v>
                </c:pt>
                <c:pt idx="20">
                  <c:v>186460.04307599794</c:v>
                </c:pt>
                <c:pt idx="21">
                  <c:v>181132.61327382654</c:v>
                </c:pt>
                <c:pt idx="22">
                  <c:v>175805.18347165515</c:v>
                </c:pt>
                <c:pt idx="23">
                  <c:v>170477.75366948376</c:v>
                </c:pt>
                <c:pt idx="24">
                  <c:v>165150.32386731237</c:v>
                </c:pt>
                <c:pt idx="25">
                  <c:v>159822.89406514101</c:v>
                </c:pt>
                <c:pt idx="26">
                  <c:v>154495.46426296962</c:v>
                </c:pt>
                <c:pt idx="27">
                  <c:v>149168.03446079826</c:v>
                </c:pt>
                <c:pt idx="28">
                  <c:v>143840.60465862689</c:v>
                </c:pt>
                <c:pt idx="29">
                  <c:v>138513.1748564555</c:v>
                </c:pt>
                <c:pt idx="30">
                  <c:v>133185.74505428414</c:v>
                </c:pt>
                <c:pt idx="31">
                  <c:v>127858.31525211279</c:v>
                </c:pt>
                <c:pt idx="32">
                  <c:v>122530.88544994142</c:v>
                </c:pt>
                <c:pt idx="33">
                  <c:v>117203.45564777005</c:v>
                </c:pt>
                <c:pt idx="34">
                  <c:v>111876.02584559868</c:v>
                </c:pt>
                <c:pt idx="35">
                  <c:v>106548.5960434273</c:v>
                </c:pt>
                <c:pt idx="36">
                  <c:v>101221.16624125592</c:v>
                </c:pt>
                <c:pt idx="37">
                  <c:v>95893.736439084547</c:v>
                </c:pt>
                <c:pt idx="38">
                  <c:v>90566.306636913214</c:v>
                </c:pt>
                <c:pt idx="39">
                  <c:v>85238.876834741837</c:v>
                </c:pt>
                <c:pt idx="40">
                  <c:v>79911.447032570548</c:v>
                </c:pt>
              </c:numCache>
            </c:numRef>
          </c:val>
        </c:ser>
        <c:marker val="1"/>
        <c:axId val="204756096"/>
        <c:axId val="204759040"/>
      </c:lineChart>
      <c:lineChart>
        <c:grouping val="standard"/>
        <c:ser>
          <c:idx val="2"/>
          <c:order val="5"/>
          <c:tx>
            <c:strRef>
              <c:f>ExposureCalculations!$J$2</c:f>
              <c:strCache>
                <c:ptCount val="1"/>
                <c:pt idx="0">
                  <c:v>Annual Exposure 2010$ MM</c:v>
                </c:pt>
              </c:strCache>
            </c:strRef>
          </c:tx>
          <c:spPr>
            <a:ln>
              <a:solidFill>
                <a:srgbClr val="C00000"/>
              </a:solidFill>
            </a:ln>
          </c:spPr>
          <c:marker>
            <c:symbol val="circle"/>
            <c:size val="7"/>
            <c:spPr>
              <a:solidFill>
                <a:srgbClr val="C00000"/>
              </a:solidFill>
              <a:ln>
                <a:noFill/>
              </a:ln>
            </c:spPr>
          </c:marker>
          <c:cat>
            <c:numRef>
              <c:f>ExposureCalculations!$A$16:$A$56</c:f>
              <c:numCache>
                <c:formatCode>0_);\(0\)</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ExposureCalculations!$J$16:$J$56</c:f>
              <c:numCache>
                <c:formatCode>"$"#,##0.00_);[Red]\("$"#,##0.00\)</c:formatCode>
                <c:ptCount val="41"/>
                <c:pt idx="0">
                  <c:v>0</c:v>
                </c:pt>
                <c:pt idx="1">
                  <c:v>0</c:v>
                </c:pt>
                <c:pt idx="2">
                  <c:v>0</c:v>
                </c:pt>
                <c:pt idx="3">
                  <c:v>0</c:v>
                </c:pt>
                <c:pt idx="4">
                  <c:v>0</c:v>
                </c:pt>
                <c:pt idx="5">
                  <c:v>3.286482586686867</c:v>
                </c:pt>
                <c:pt idx="6">
                  <c:v>3.803107423592361</c:v>
                </c:pt>
                <c:pt idx="7">
                  <c:v>4.3461665137668017</c:v>
                </c:pt>
                <c:pt idx="8">
                  <c:v>4.9152012868223816</c:v>
                </c:pt>
                <c:pt idx="9">
                  <c:v>5.5097619043763677</c:v>
                </c:pt>
                <c:pt idx="10">
                  <c:v>6.1294087233403438</c:v>
                </c:pt>
                <c:pt idx="11">
                  <c:v>6.8417212511777183</c:v>
                </c:pt>
                <c:pt idx="12">
                  <c:v>7.5851617863939431</c:v>
                </c:pt>
                <c:pt idx="13">
                  <c:v>8.3590394962877248</c:v>
                </c:pt>
                <c:pt idx="14">
                  <c:v>9.1626764823260487</c:v>
                </c:pt>
                <c:pt idx="15">
                  <c:v>9.9954083143064185</c:v>
                </c:pt>
                <c:pt idx="16">
                  <c:v>10.939389790527708</c:v>
                </c:pt>
                <c:pt idx="17">
                  <c:v>11.91823134245827</c:v>
                </c:pt>
                <c:pt idx="18">
                  <c:v>12.931078006801711</c:v>
                </c:pt>
                <c:pt idx="19">
                  <c:v>13.977090443874161</c:v>
                </c:pt>
                <c:pt idx="20">
                  <c:v>15.055445438494537</c:v>
                </c:pt>
                <c:pt idx="21">
                  <c:v>16.292611106785323</c:v>
                </c:pt>
                <c:pt idx="22">
                  <c:v>17.568533460418216</c:v>
                </c:pt>
                <c:pt idx="23">
                  <c:v>18.771217848086703</c:v>
                </c:pt>
                <c:pt idx="24">
                  <c:v>19.896417568765557</c:v>
                </c:pt>
                <c:pt idx="25">
                  <c:v>21.05426804605705</c:v>
                </c:pt>
                <c:pt idx="26">
                  <c:v>22.39640579795439</c:v>
                </c:pt>
                <c:pt idx="27">
                  <c:v>23.74800617313214</c:v>
                </c:pt>
                <c:pt idx="28">
                  <c:v>25.105408228385038</c:v>
                </c:pt>
                <c:pt idx="29">
                  <c:v>26.465469311568182</c:v>
                </c:pt>
                <c:pt idx="30">
                  <c:v>27.896854270285949</c:v>
                </c:pt>
                <c:pt idx="31">
                  <c:v>29.302555417964399</c:v>
                </c:pt>
                <c:pt idx="32">
                  <c:v>30.673221806556889</c:v>
                </c:pt>
                <c:pt idx="33">
                  <c:v>32.20380678895873</c:v>
                </c:pt>
                <c:pt idx="34">
                  <c:v>33.927144952160177</c:v>
                </c:pt>
                <c:pt idx="35">
                  <c:v>35.88994849726739</c:v>
                </c:pt>
                <c:pt idx="36">
                  <c:v>37.988927231090891</c:v>
                </c:pt>
                <c:pt idx="37">
                  <c:v>40.240661207645324</c:v>
                </c:pt>
                <c:pt idx="38">
                  <c:v>42.663280453117743</c:v>
                </c:pt>
                <c:pt idx="39">
                  <c:v>45.276355606153636</c:v>
                </c:pt>
                <c:pt idx="40">
                  <c:v>48.100785007166593</c:v>
                </c:pt>
              </c:numCache>
            </c:numRef>
          </c:val>
        </c:ser>
        <c:marker val="1"/>
        <c:axId val="204767232"/>
        <c:axId val="204760960"/>
      </c:lineChart>
      <c:catAx>
        <c:axId val="204756096"/>
        <c:scaling>
          <c:orientation val="minMax"/>
        </c:scaling>
        <c:axPos val="b"/>
        <c:numFmt formatCode="General" sourceLinked="1"/>
        <c:tickLblPos val="nextTo"/>
        <c:crossAx val="204759040"/>
        <c:crosses val="autoZero"/>
        <c:auto val="1"/>
        <c:lblAlgn val="ctr"/>
        <c:lblOffset val="100"/>
        <c:tickLblSkip val="5"/>
        <c:tickMarkSkip val="5"/>
      </c:catAx>
      <c:valAx>
        <c:axId val="204759040"/>
        <c:scaling>
          <c:orientation val="minMax"/>
        </c:scaling>
        <c:axPos val="l"/>
        <c:majorGridlines/>
        <c:title>
          <c:tx>
            <c:rich>
              <a:bodyPr rot="-5400000" vert="horz"/>
              <a:lstStyle/>
              <a:p>
                <a:pPr>
                  <a:defRPr/>
                </a:pPr>
                <a:r>
                  <a:rPr lang="en-US"/>
                  <a:t>GHG Emissions (MTCO2e)</a:t>
                </a:r>
              </a:p>
            </c:rich>
          </c:tx>
        </c:title>
        <c:numFmt formatCode="#,##0" sourceLinked="0"/>
        <c:tickLblPos val="nextTo"/>
        <c:crossAx val="204756096"/>
        <c:crosses val="autoZero"/>
        <c:crossBetween val="between"/>
      </c:valAx>
      <c:valAx>
        <c:axId val="204760960"/>
        <c:scaling>
          <c:orientation val="minMax"/>
          <c:max val="120"/>
          <c:min val="0"/>
        </c:scaling>
        <c:axPos val="r"/>
        <c:title>
          <c:tx>
            <c:rich>
              <a:bodyPr rot="-5400000" vert="horz"/>
              <a:lstStyle/>
              <a:p>
                <a:pPr>
                  <a:defRPr/>
                </a:pPr>
                <a:r>
                  <a:rPr lang="en-US"/>
                  <a:t>Annual Financial Exposure 2010$ MM</a:t>
                </a:r>
              </a:p>
            </c:rich>
          </c:tx>
          <c:layout>
            <c:manualLayout>
              <c:xMode val="edge"/>
              <c:yMode val="edge"/>
              <c:x val="0.96400845151273085"/>
              <c:y val="0.20443710060867659"/>
            </c:manualLayout>
          </c:layout>
        </c:title>
        <c:numFmt formatCode="&quot;$&quot;#,##0_);[Red]\(&quot;$&quot;#,##0\)" sourceLinked="0"/>
        <c:tickLblPos val="nextTo"/>
        <c:crossAx val="204767232"/>
        <c:crosses val="max"/>
        <c:crossBetween val="between"/>
        <c:majorUnit val="20"/>
      </c:valAx>
      <c:catAx>
        <c:axId val="204767232"/>
        <c:scaling>
          <c:orientation val="minMax"/>
        </c:scaling>
        <c:delete val="1"/>
        <c:axPos val="b"/>
        <c:numFmt formatCode="0_);\(0\)" sourceLinked="1"/>
        <c:tickLblPos val="none"/>
        <c:crossAx val="204760960"/>
        <c:crosses val="autoZero"/>
        <c:auto val="1"/>
        <c:lblAlgn val="ctr"/>
        <c:lblOffset val="100"/>
      </c:catAx>
    </c:plotArea>
    <c:legend>
      <c:legendPos val="b"/>
      <c:layout>
        <c:manualLayout>
          <c:xMode val="edge"/>
          <c:yMode val="edge"/>
          <c:x val="0"/>
          <c:y val="0.87673349182529914"/>
          <c:w val="0.9968182405960907"/>
          <c:h val="0.11339886582699645"/>
        </c:manualLayout>
      </c:layout>
      <c:txPr>
        <a:bodyPr/>
        <a:lstStyle/>
        <a:p>
          <a:pPr>
            <a:defRPr sz="1000"/>
          </a:pPr>
          <a:endParaRPr lang="en-US"/>
        </a:p>
      </c:txPr>
    </c:legend>
    <c:plotVisOnly val="1"/>
    <c:dispBlanksAs val="zero"/>
  </c:chart>
  <c:txPr>
    <a:bodyPr/>
    <a:lstStyle/>
    <a:p>
      <a:pPr>
        <a:defRPr sz="11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6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71.xml"/></Relationships>
</file>

<file path=xl/chartsheets/sheet1.xml><?xml version="1.0" encoding="utf-8"?>
<chartsheet xmlns="http://schemas.openxmlformats.org/spreadsheetml/2006/main" xmlns:r="http://schemas.openxmlformats.org/officeDocument/2006/relationships">
  <sheetPr codeName="Chart110"/>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codeName="Chart2"/>
  <sheetViews>
    <sheetView zoomScale="13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hyperlink" Target="#Overview!A1"/></Relationships>
</file>

<file path=xl/drawings/_rels/drawing10.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Overview!A1"/></Relationships>
</file>

<file path=xl/drawings/_rels/drawing11.xml.rels><?xml version="1.0" encoding="UTF-8" standalone="yes"?>
<Relationships xmlns="http://schemas.openxmlformats.org/package/2006/relationships"><Relationship Id="rId3" Type="http://schemas.openxmlformats.org/officeDocument/2006/relationships/hyperlink" Target="#Overview!A1"/><Relationship Id="rId2" Type="http://schemas.openxmlformats.org/officeDocument/2006/relationships/chart" Target="../charts/chart5.xml"/><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hyperlink" Target="#Overview!A1"/></Relationships>
</file>

<file path=xl/drawings/_rels/drawing15.xml.rels><?xml version="1.0" encoding="UTF-8" standalone="yes"?>
<Relationships xmlns="http://schemas.openxmlformats.org/package/2006/relationships"><Relationship Id="rId1" Type="http://schemas.openxmlformats.org/officeDocument/2006/relationships/hyperlink" Target="#Overview!A1"/></Relationships>
</file>

<file path=xl/drawings/_rels/drawing1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hyperlink" Target="#Overview!A1"/><Relationship Id="rId1" Type="http://schemas.openxmlformats.org/officeDocument/2006/relationships/chart" Target="../charts/chart7.xml"/><Relationship Id="rId4" Type="http://schemas.openxmlformats.org/officeDocument/2006/relationships/hyperlink" Target="#Overview!A1"/></Relationships>
</file>

<file path=xl/drawings/_rels/drawing1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Overview!A1"/></Relationships>
</file>

<file path=xl/drawings/_rels/drawing19.xml.rels><?xml version="1.0" encoding="UTF-8" standalone="yes"?>
<Relationships xmlns="http://schemas.openxmlformats.org/package/2006/relationships"><Relationship Id="rId1" Type="http://schemas.openxmlformats.org/officeDocument/2006/relationships/hyperlink" Target="#Overview!A1"/></Relationships>
</file>

<file path=xl/drawings/_rels/drawing2.xml.rels><?xml version="1.0" encoding="UTF-8" standalone="yes"?>
<Relationships xmlns="http://schemas.openxmlformats.org/package/2006/relationships"><Relationship Id="rId1" Type="http://schemas.openxmlformats.org/officeDocument/2006/relationships/hyperlink" Target="#Overview!A1"/></Relationships>
</file>

<file path=xl/drawings/_rels/drawing2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Overview!A1"/></Relationships>
</file>

<file path=xl/drawings/_rels/drawing21.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chart" Target="../charts/chart9.xml"/></Relationships>
</file>

<file path=xl/drawings/_rels/drawing23.xml.rels><?xml version="1.0" encoding="UTF-8" standalone="yes"?>
<Relationships xmlns="http://schemas.openxmlformats.org/package/2006/relationships"><Relationship Id="rId1" Type="http://schemas.openxmlformats.org/officeDocument/2006/relationships/hyperlink" Target="#Overview!A1"/></Relationships>
</file>

<file path=xl/drawings/_rels/drawing24.xml.rels><?xml version="1.0" encoding="UTF-8" standalone="yes"?>
<Relationships xmlns="http://schemas.openxmlformats.org/package/2006/relationships"><Relationship Id="rId1" Type="http://schemas.openxmlformats.org/officeDocument/2006/relationships/hyperlink" Target="#Overview!A1"/></Relationships>
</file>

<file path=xl/drawings/_rels/drawing25.xml.rels><?xml version="1.0" encoding="UTF-8" standalone="yes"?>
<Relationships xmlns="http://schemas.openxmlformats.org/package/2006/relationships"><Relationship Id="rId1" Type="http://schemas.openxmlformats.org/officeDocument/2006/relationships/hyperlink" Target="#Overview!A1"/></Relationships>
</file>

<file path=xl/drawings/_rels/drawing26.xml.rels><?xml version="1.0" encoding="UTF-8" standalone="yes"?>
<Relationships xmlns="http://schemas.openxmlformats.org/package/2006/relationships"><Relationship Id="rId1" Type="http://schemas.openxmlformats.org/officeDocument/2006/relationships/hyperlink" Target="#Overview!A1"/></Relationships>
</file>

<file path=xl/drawings/_rels/drawing27.xml.rels><?xml version="1.0" encoding="UTF-8" standalone="yes"?>
<Relationships xmlns="http://schemas.openxmlformats.org/package/2006/relationships"><Relationship Id="rId1" Type="http://schemas.openxmlformats.org/officeDocument/2006/relationships/hyperlink" Target="#Overview!A1"/></Relationships>
</file>

<file path=xl/drawings/_rels/drawing28.xml.rels><?xml version="1.0" encoding="UTF-8" standalone="yes"?>
<Relationships xmlns="http://schemas.openxmlformats.org/package/2006/relationships"><Relationship Id="rId1" Type="http://schemas.openxmlformats.org/officeDocument/2006/relationships/hyperlink" Target="#Overview!A1"/></Relationships>
</file>

<file path=xl/drawings/_rels/drawing29.xml.rels><?xml version="1.0" encoding="UTF-8" standalone="yes"?>
<Relationships xmlns="http://schemas.openxmlformats.org/package/2006/relationships"><Relationship Id="rId1" Type="http://schemas.openxmlformats.org/officeDocument/2006/relationships/hyperlink" Target="#Overview!A1"/></Relationships>
</file>

<file path=xl/drawings/_rels/drawing3.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hyperlink" Target="#Overview!A1"/></Relationships>
</file>

<file path=xl/drawings/_rels/drawing31.xml.rels><?xml version="1.0" encoding="UTF-8" standalone="yes"?>
<Relationships xmlns="http://schemas.openxmlformats.org/package/2006/relationships"><Relationship Id="rId1" Type="http://schemas.openxmlformats.org/officeDocument/2006/relationships/hyperlink" Target="#Overview!A1"/></Relationships>
</file>

<file path=xl/drawings/_rels/drawing33.xml.rels><?xml version="1.0" encoding="UTF-8" standalone="yes"?>
<Relationships xmlns="http://schemas.openxmlformats.org/package/2006/relationships"><Relationship Id="rId1" Type="http://schemas.openxmlformats.org/officeDocument/2006/relationships/hyperlink" Target="#Overview!A1"/></Relationships>
</file>

<file path=xl/drawings/_rels/drawing34.xml.rels><?xml version="1.0" encoding="UTF-8" standalone="yes"?>
<Relationships xmlns="http://schemas.openxmlformats.org/package/2006/relationships"><Relationship Id="rId1" Type="http://schemas.openxmlformats.org/officeDocument/2006/relationships/hyperlink" Target="#Overview!A1"/></Relationships>
</file>

<file path=xl/drawings/_rels/drawing35.xml.rels><?xml version="1.0" encoding="UTF-8" standalone="yes"?>
<Relationships xmlns="http://schemas.openxmlformats.org/package/2006/relationships"><Relationship Id="rId1" Type="http://schemas.openxmlformats.org/officeDocument/2006/relationships/hyperlink" Target="#Overview!A1"/></Relationships>
</file>

<file path=xl/drawings/_rels/drawing36.xml.rels><?xml version="1.0" encoding="UTF-8" standalone="yes"?>
<Relationships xmlns="http://schemas.openxmlformats.org/package/2006/relationships"><Relationship Id="rId1" Type="http://schemas.openxmlformats.org/officeDocument/2006/relationships/hyperlink" Target="#Overview!A1"/></Relationships>
</file>

<file path=xl/drawings/_rels/drawing3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1" Type="http://schemas.openxmlformats.org/officeDocument/2006/relationships/hyperlink" Target="#Overview!A1"/></Relationships>
</file>

<file path=xl/drawings/_rels/drawing39.xml.rels><?xml version="1.0" encoding="UTF-8" standalone="yes"?>
<Relationships xmlns="http://schemas.openxmlformats.org/package/2006/relationships"><Relationship Id="rId1" Type="http://schemas.openxmlformats.org/officeDocument/2006/relationships/hyperlink" Target="#Overview!A1"/></Relationships>
</file>

<file path=xl/drawings/_rels/drawing4.xml.rels><?xml version="1.0" encoding="UTF-8" standalone="yes"?>
<Relationships xmlns="http://schemas.openxmlformats.org/package/2006/relationships"><Relationship Id="rId1" Type="http://schemas.openxmlformats.org/officeDocument/2006/relationships/hyperlink" Target="#Overview!A1"/></Relationships>
</file>

<file path=xl/drawings/_rels/drawing40.xml.rels><?xml version="1.0" encoding="UTF-8" standalone="yes"?>
<Relationships xmlns="http://schemas.openxmlformats.org/package/2006/relationships"><Relationship Id="rId1" Type="http://schemas.openxmlformats.org/officeDocument/2006/relationships/hyperlink" Target="#Overview!A1"/></Relationships>
</file>

<file path=xl/drawings/_rels/drawing41.xml.rels><?xml version="1.0" encoding="UTF-8" standalone="yes"?>
<Relationships xmlns="http://schemas.openxmlformats.org/package/2006/relationships"><Relationship Id="rId1" Type="http://schemas.openxmlformats.org/officeDocument/2006/relationships/hyperlink" Target="#Overview!A1"/></Relationships>
</file>

<file path=xl/drawings/_rels/drawing42.xml.rels><?xml version="1.0" encoding="UTF-8" standalone="yes"?>
<Relationships xmlns="http://schemas.openxmlformats.org/package/2006/relationships"><Relationship Id="rId1" Type="http://schemas.openxmlformats.org/officeDocument/2006/relationships/hyperlink" Target="#Overview!A1"/></Relationships>
</file>

<file path=xl/drawings/_rels/drawing43.xml.rels><?xml version="1.0" encoding="UTF-8" standalone="yes"?>
<Relationships xmlns="http://schemas.openxmlformats.org/package/2006/relationships"><Relationship Id="rId1" Type="http://schemas.openxmlformats.org/officeDocument/2006/relationships/hyperlink" Target="#Overview!A1"/></Relationships>
</file>

<file path=xl/drawings/_rels/drawing44.xml.rels><?xml version="1.0" encoding="UTF-8" standalone="yes"?>
<Relationships xmlns="http://schemas.openxmlformats.org/package/2006/relationships"><Relationship Id="rId1" Type="http://schemas.openxmlformats.org/officeDocument/2006/relationships/hyperlink" Target="#Overview!A1"/></Relationships>
</file>

<file path=xl/drawings/_rels/drawing45.xml.rels><?xml version="1.0" encoding="UTF-8" standalone="yes"?>
<Relationships xmlns="http://schemas.openxmlformats.org/package/2006/relationships"><Relationship Id="rId1" Type="http://schemas.openxmlformats.org/officeDocument/2006/relationships/hyperlink" Target="#Overview!A1"/></Relationships>
</file>

<file path=xl/drawings/_rels/drawing46.xml.rels><?xml version="1.0" encoding="UTF-8" standalone="yes"?>
<Relationships xmlns="http://schemas.openxmlformats.org/package/2006/relationships"><Relationship Id="rId1" Type="http://schemas.openxmlformats.org/officeDocument/2006/relationships/hyperlink" Target="#Overview!A1"/></Relationships>
</file>

<file path=xl/drawings/_rels/drawing47.xml.rels><?xml version="1.0" encoding="UTF-8" standalone="yes"?>
<Relationships xmlns="http://schemas.openxmlformats.org/package/2006/relationships"><Relationship Id="rId1" Type="http://schemas.openxmlformats.org/officeDocument/2006/relationships/hyperlink" Target="#Overview!A1"/></Relationships>
</file>

<file path=xl/drawings/_rels/drawing48.xml.rels><?xml version="1.0" encoding="UTF-8" standalone="yes"?>
<Relationships xmlns="http://schemas.openxmlformats.org/package/2006/relationships"><Relationship Id="rId1" Type="http://schemas.openxmlformats.org/officeDocument/2006/relationships/hyperlink" Target="#Overview!A1"/></Relationships>
</file>

<file path=xl/drawings/_rels/drawing49.xml.rels><?xml version="1.0" encoding="UTF-8" standalone="yes"?>
<Relationships xmlns="http://schemas.openxmlformats.org/package/2006/relationships"><Relationship Id="rId1" Type="http://schemas.openxmlformats.org/officeDocument/2006/relationships/hyperlink" Target="#Overview!A1"/></Relationships>
</file>

<file path=xl/drawings/_rels/drawing5.xml.rels><?xml version="1.0" encoding="UTF-8" standalone="yes"?>
<Relationships xmlns="http://schemas.openxmlformats.org/package/2006/relationships"><Relationship Id="rId1" Type="http://schemas.openxmlformats.org/officeDocument/2006/relationships/hyperlink" Target="#Overview!A1"/></Relationships>
</file>

<file path=xl/drawings/_rels/drawing50.xml.rels><?xml version="1.0" encoding="UTF-8" standalone="yes"?>
<Relationships xmlns="http://schemas.openxmlformats.org/package/2006/relationships"><Relationship Id="rId1" Type="http://schemas.openxmlformats.org/officeDocument/2006/relationships/hyperlink" Target="#Overview!A1"/></Relationships>
</file>

<file path=xl/drawings/_rels/drawing51.xml.rels><?xml version="1.0" encoding="UTF-8" standalone="yes"?>
<Relationships xmlns="http://schemas.openxmlformats.org/package/2006/relationships"><Relationship Id="rId1" Type="http://schemas.openxmlformats.org/officeDocument/2006/relationships/hyperlink" Target="#Overview!A1"/></Relationships>
</file>

<file path=xl/drawings/_rels/drawing52.xml.rels><?xml version="1.0" encoding="UTF-8" standalone="yes"?>
<Relationships xmlns="http://schemas.openxmlformats.org/package/2006/relationships"><Relationship Id="rId1" Type="http://schemas.openxmlformats.org/officeDocument/2006/relationships/hyperlink" Target="#Overview!A1"/></Relationships>
</file>

<file path=xl/drawings/_rels/drawing53.xml.rels><?xml version="1.0" encoding="UTF-8" standalone="yes"?>
<Relationships xmlns="http://schemas.openxmlformats.org/package/2006/relationships"><Relationship Id="rId1" Type="http://schemas.openxmlformats.org/officeDocument/2006/relationships/hyperlink" Target="#Overview!A1"/></Relationships>
</file>

<file path=xl/drawings/_rels/drawing54.xml.rels><?xml version="1.0" encoding="UTF-8" standalone="yes"?>
<Relationships xmlns="http://schemas.openxmlformats.org/package/2006/relationships"><Relationship Id="rId1" Type="http://schemas.openxmlformats.org/officeDocument/2006/relationships/hyperlink" Target="#Overview!A1"/></Relationships>
</file>

<file path=xl/drawings/_rels/drawing55.xml.rels><?xml version="1.0" encoding="UTF-8" standalone="yes"?>
<Relationships xmlns="http://schemas.openxmlformats.org/package/2006/relationships"><Relationship Id="rId1" Type="http://schemas.openxmlformats.org/officeDocument/2006/relationships/hyperlink" Target="#Overview!A1"/></Relationships>
</file>

<file path=xl/drawings/_rels/drawing56.xml.rels><?xml version="1.0" encoding="UTF-8" standalone="yes"?>
<Relationships xmlns="http://schemas.openxmlformats.org/package/2006/relationships"><Relationship Id="rId1" Type="http://schemas.openxmlformats.org/officeDocument/2006/relationships/hyperlink" Target="#Overview!A1"/></Relationships>
</file>

<file path=xl/drawings/_rels/drawing57.xml.rels><?xml version="1.0" encoding="UTF-8" standalone="yes"?>
<Relationships xmlns="http://schemas.openxmlformats.org/package/2006/relationships"><Relationship Id="rId1" Type="http://schemas.openxmlformats.org/officeDocument/2006/relationships/hyperlink" Target="#Overview!A1"/></Relationships>
</file>

<file path=xl/drawings/_rels/drawing58.xml.rels><?xml version="1.0" encoding="UTF-8" standalone="yes"?>
<Relationships xmlns="http://schemas.openxmlformats.org/package/2006/relationships"><Relationship Id="rId1" Type="http://schemas.openxmlformats.org/officeDocument/2006/relationships/hyperlink" Target="#Overview!A1"/></Relationships>
</file>

<file path=xl/drawings/_rels/drawing59.xml.rels><?xml version="1.0" encoding="UTF-8" standalone="yes"?>
<Relationships xmlns="http://schemas.openxmlformats.org/package/2006/relationships"><Relationship Id="rId1" Type="http://schemas.openxmlformats.org/officeDocument/2006/relationships/hyperlink" Target="#Overview!A1"/></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hyperlink" Target="#Overview!A1"/></Relationships>
</file>

<file path=xl/drawings/_rels/drawing61.xml.rels><?xml version="1.0" encoding="UTF-8" standalone="yes"?>
<Relationships xmlns="http://schemas.openxmlformats.org/package/2006/relationships"><Relationship Id="rId3" Type="http://schemas.openxmlformats.org/officeDocument/2006/relationships/hyperlink" Target="#PortfolioDashboard!A1"/><Relationship Id="rId2" Type="http://schemas.openxmlformats.org/officeDocument/2006/relationships/hyperlink" Target="#'Abatement Curve'!A1"/><Relationship Id="rId1" Type="http://schemas.openxmlformats.org/officeDocument/2006/relationships/hyperlink" Target="#Overview!A1"/></Relationships>
</file>

<file path=xl/drawings/_rels/drawing6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66.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hyperlink" Target="#'Other Cost'!A1"/><Relationship Id="rId18" Type="http://schemas.openxmlformats.org/officeDocument/2006/relationships/chart" Target="../charts/chart26.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1.xml"/><Relationship Id="rId17" Type="http://schemas.openxmlformats.org/officeDocument/2006/relationships/chart" Target="../charts/chart25.xml"/><Relationship Id="rId2" Type="http://schemas.openxmlformats.org/officeDocument/2006/relationships/chart" Target="../charts/chart14.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hyperlink" Target="#Summary!A1"/><Relationship Id="rId5" Type="http://schemas.openxmlformats.org/officeDocument/2006/relationships/chart" Target="../charts/chart17.xml"/><Relationship Id="rId15" Type="http://schemas.openxmlformats.org/officeDocument/2006/relationships/chart" Target="../charts/chart23.xml"/><Relationship Id="rId10" Type="http://schemas.openxmlformats.org/officeDocument/2006/relationships/hyperlink" Target="#'Abatement Curve'!A1"/><Relationship Id="rId19" Type="http://schemas.openxmlformats.org/officeDocument/2006/relationships/chart" Target="../charts/chart27.xml"/><Relationship Id="rId4" Type="http://schemas.openxmlformats.org/officeDocument/2006/relationships/chart" Target="../charts/chart16.xml"/><Relationship Id="rId9" Type="http://schemas.openxmlformats.org/officeDocument/2006/relationships/hyperlink" Target="#Overview!A1"/><Relationship Id="rId14" Type="http://schemas.openxmlformats.org/officeDocument/2006/relationships/chart" Target="../charts/chart22.xml"/></Relationships>
</file>

<file path=xl/drawings/_rels/drawing70.xml.rels><?xml version="1.0" encoding="UTF-8" standalone="yes"?>
<Relationships xmlns="http://schemas.openxmlformats.org/package/2006/relationships"><Relationship Id="rId1" Type="http://schemas.openxmlformats.org/officeDocument/2006/relationships/hyperlink" Target="#PortfolioDashboard!A1"/></Relationships>
</file>

<file path=xl/drawings/_rels/drawing7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72.xml.rels><?xml version="1.0" encoding="UTF-8" standalone="yes"?>
<Relationships xmlns="http://schemas.openxmlformats.org/package/2006/relationships"><Relationship Id="rId1" Type="http://schemas.openxmlformats.org/officeDocument/2006/relationships/hyperlink" Target="#Overview!A1"/></Relationships>
</file>

<file path=xl/drawings/_rels/drawing73.xml.rels><?xml version="1.0" encoding="UTF-8" standalone="yes"?>
<Relationships xmlns="http://schemas.openxmlformats.org/package/2006/relationships"><Relationship Id="rId1" Type="http://schemas.openxmlformats.org/officeDocument/2006/relationships/hyperlink" Target="#Overview!A1"/></Relationships>
</file>

<file path=xl/drawings/_rels/drawing74.xml.rels><?xml version="1.0" encoding="UTF-8" standalone="yes"?>
<Relationships xmlns="http://schemas.openxmlformats.org/package/2006/relationships"><Relationship Id="rId1" Type="http://schemas.openxmlformats.org/officeDocument/2006/relationships/hyperlink" Target="#Overview!A1"/></Relationships>
</file>

<file path=xl/drawings/_rels/drawing7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6.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chart" Target="../charts/chart3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3952875</xdr:colOff>
      <xdr:row>2</xdr:row>
      <xdr:rowOff>123825</xdr:rowOff>
    </xdr:from>
    <xdr:to>
      <xdr:col>1</xdr:col>
      <xdr:colOff>4826933</xdr:colOff>
      <xdr:row>4</xdr:row>
      <xdr:rowOff>22972</xdr:rowOff>
    </xdr:to>
    <xdr:sp macro="" textlink="">
      <xdr:nvSpPr>
        <xdr:cNvPr id="2" name="Oval 1" descr="5a885c27-2b5c-4a7b-86ad-99d3bde244bd">
          <a:hlinkClick xmlns:r="http://schemas.openxmlformats.org/officeDocument/2006/relationships" r:id="rId1"/>
        </xdr:cNvPr>
        <xdr:cNvSpPr/>
      </xdr:nvSpPr>
      <xdr:spPr>
        <a:xfrm>
          <a:off x="6191250" y="60960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694765</xdr:colOff>
      <xdr:row>2</xdr:row>
      <xdr:rowOff>78440</xdr:rowOff>
    </xdr:to>
    <xdr:sp macro="" textlink="">
      <xdr:nvSpPr>
        <xdr:cNvPr id="6" name="Oval 5" descr="5a885c27-2b5c-4a7b-86ad-99d3bde244bd">
          <a:hlinkClick xmlns:r="http://schemas.openxmlformats.org/officeDocument/2006/relationships" r:id="rId1"/>
        </xdr:cNvPr>
        <xdr:cNvSpPr/>
      </xdr:nvSpPr>
      <xdr:spPr>
        <a:xfrm>
          <a:off x="0" y="0"/>
          <a:ext cx="806824" cy="459440"/>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900"/>
            <a:t>HOME</a:t>
          </a:r>
        </a:p>
      </xdr:txBody>
    </xdr:sp>
    <xdr:clientData/>
  </xdr:twoCellAnchor>
  <xdr:twoCellAnchor>
    <xdr:from>
      <xdr:col>2</xdr:col>
      <xdr:colOff>33619</xdr:colOff>
      <xdr:row>53</xdr:row>
      <xdr:rowOff>1</xdr:rowOff>
    </xdr:from>
    <xdr:to>
      <xdr:col>10</xdr:col>
      <xdr:colOff>1966633</xdr:colOff>
      <xdr:row>71</xdr:row>
      <xdr:rowOff>28576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33619</xdr:colOff>
      <xdr:row>53</xdr:row>
      <xdr:rowOff>1</xdr:rowOff>
    </xdr:from>
    <xdr:to>
      <xdr:col>12</xdr:col>
      <xdr:colOff>1966633</xdr:colOff>
      <xdr:row>71</xdr:row>
      <xdr:rowOff>28576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344365</xdr:colOff>
      <xdr:row>4</xdr:row>
      <xdr:rowOff>0</xdr:rowOff>
    </xdr:from>
    <xdr:to>
      <xdr:col>26</xdr:col>
      <xdr:colOff>180975</xdr:colOff>
      <xdr:row>59</xdr:row>
      <xdr:rowOff>102577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xdr:col>
      <xdr:colOff>45383</xdr:colOff>
      <xdr:row>1</xdr:row>
      <xdr:rowOff>80122</xdr:rowOff>
    </xdr:to>
    <xdr:sp macro="" textlink="">
      <xdr:nvSpPr>
        <xdr:cNvPr id="5" name="Oval 4" descr="5a885c27-2b5c-4a7b-86ad-99d3bde244bd">
          <a:hlinkClick xmlns:r="http://schemas.openxmlformats.org/officeDocument/2006/relationships" r:id="rId3"/>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0.179</cdr:x>
      <cdr:y>0.06809</cdr:y>
    </cdr:from>
    <cdr:to>
      <cdr:x>0.32329</cdr:x>
      <cdr:y>0.06821</cdr:y>
    </cdr:to>
    <cdr:sp macro="" textlink="">
      <cdr:nvSpPr>
        <cdr:cNvPr id="4" name="Straight Arrow Connector 3"/>
        <cdr:cNvSpPr/>
      </cdr:nvSpPr>
      <cdr:spPr>
        <a:xfrm xmlns:a="http://schemas.openxmlformats.org/drawingml/2006/main">
          <a:off x="1375653" y="370824"/>
          <a:ext cx="1108907" cy="650"/>
        </a:xfrm>
        <a:prstGeom xmlns:a="http://schemas.openxmlformats.org/drawingml/2006/main" prst="straightConnector1">
          <a:avLst/>
        </a:prstGeom>
        <a:noFill xmlns:a="http://schemas.openxmlformats.org/drawingml/2006/main"/>
        <a:ln xmlns:a="http://schemas.openxmlformats.org/drawingml/2006/main" w="15875" cap="flat" cmpd="sng" algn="ctr">
          <a:solidFill>
            <a:sysClr val="windowText" lastClr="000000"/>
          </a:solidFill>
          <a:prstDash val="solid"/>
          <a:headEnd type="triangl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0.17709</cdr:x>
      <cdr:y>0.07838</cdr:y>
    </cdr:from>
    <cdr:to>
      <cdr:x>0.31957</cdr:x>
      <cdr:y>0.12592</cdr:y>
    </cdr:to>
    <cdr:sp macro="" textlink="">
      <cdr:nvSpPr>
        <cdr:cNvPr id="5" name="TextBox 2"/>
        <cdr:cNvSpPr txBox="1"/>
      </cdr:nvSpPr>
      <cdr:spPr>
        <a:xfrm xmlns:a="http://schemas.openxmlformats.org/drawingml/2006/main">
          <a:off x="1360988" y="426888"/>
          <a:ext cx="1094997" cy="25891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050"/>
            <a:t>Historic Demand</a:t>
          </a:r>
        </a:p>
      </cdr:txBody>
    </cdr:sp>
  </cdr:relSizeAnchor>
  <cdr:relSizeAnchor xmlns:cdr="http://schemas.openxmlformats.org/drawingml/2006/chartDrawing">
    <cdr:from>
      <cdr:x>0.32176</cdr:x>
      <cdr:y>0.04133</cdr:y>
    </cdr:from>
    <cdr:to>
      <cdr:x>0.32176</cdr:x>
      <cdr:y>0.77603</cdr:y>
    </cdr:to>
    <cdr:sp macro="" textlink="">
      <cdr:nvSpPr>
        <cdr:cNvPr id="7" name="Straight Connector 6"/>
        <cdr:cNvSpPr/>
      </cdr:nvSpPr>
      <cdr:spPr>
        <a:xfrm xmlns:a="http://schemas.openxmlformats.org/drawingml/2006/main" rot="5400000" flipH="1" flipV="1">
          <a:off x="472158" y="2225719"/>
          <a:ext cx="4001251"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0.32329</cdr:x>
      <cdr:y>0.06803</cdr:y>
    </cdr:from>
    <cdr:to>
      <cdr:x>0.97443</cdr:x>
      <cdr:y>0.06996</cdr:y>
    </cdr:to>
    <cdr:sp macro="" textlink="">
      <cdr:nvSpPr>
        <cdr:cNvPr id="8" name="Straight Arrow Connector 7"/>
        <cdr:cNvSpPr/>
      </cdr:nvSpPr>
      <cdr:spPr>
        <a:xfrm xmlns:a="http://schemas.openxmlformats.org/drawingml/2006/main" flipV="1">
          <a:off x="2484560" y="370497"/>
          <a:ext cx="5004139" cy="10502"/>
        </a:xfrm>
        <a:prstGeom xmlns:a="http://schemas.openxmlformats.org/drawingml/2006/main" prst="straightConnector1">
          <a:avLst/>
        </a:prstGeom>
        <a:noFill xmlns:a="http://schemas.openxmlformats.org/drawingml/2006/main"/>
        <a:ln xmlns:a="http://schemas.openxmlformats.org/drawingml/2006/main" w="15875" cap="flat" cmpd="sng" algn="ctr">
          <a:solidFill>
            <a:sysClr val="windowText" lastClr="000000"/>
          </a:solidFill>
          <a:prstDash val="solid"/>
          <a:headEnd type="triangl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0.35419</cdr:x>
      <cdr:y>0.07314</cdr:y>
    </cdr:from>
    <cdr:to>
      <cdr:x>0.9235</cdr:x>
      <cdr:y>0.15282</cdr:y>
    </cdr:to>
    <cdr:sp macro="" textlink="">
      <cdr:nvSpPr>
        <cdr:cNvPr id="9" name="TextBox 2"/>
        <cdr:cNvSpPr txBox="1"/>
      </cdr:nvSpPr>
      <cdr:spPr>
        <a:xfrm xmlns:a="http://schemas.openxmlformats.org/drawingml/2006/main">
          <a:off x="2722057" y="398314"/>
          <a:ext cx="4375267" cy="43394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50"/>
            <a:t>Projected Demand</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9524</xdr:colOff>
      <xdr:row>51</xdr:row>
      <xdr:rowOff>57149</xdr:rowOff>
    </xdr:from>
    <xdr:to>
      <xdr:col>6</xdr:col>
      <xdr:colOff>85724</xdr:colOff>
      <xdr:row>60</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717176</xdr:colOff>
      <xdr:row>1</xdr:row>
      <xdr:rowOff>268940</xdr:rowOff>
    </xdr:to>
    <xdr:sp macro="" textlink="">
      <xdr:nvSpPr>
        <xdr:cNvPr id="3" name="Oval 2" descr="5a885c27-2b5c-4a7b-86ad-99d3bde244bd">
          <a:hlinkClick xmlns:r="http://schemas.openxmlformats.org/officeDocument/2006/relationships" r:id="rId2"/>
        </xdr:cNvPr>
        <xdr:cNvSpPr/>
      </xdr:nvSpPr>
      <xdr:spPr>
        <a:xfrm>
          <a:off x="0" y="0"/>
          <a:ext cx="717176" cy="459440"/>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900"/>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526676</xdr:colOff>
      <xdr:row>2</xdr:row>
      <xdr:rowOff>107015</xdr:rowOff>
    </xdr:to>
    <xdr:sp macro="" textlink="">
      <xdr:nvSpPr>
        <xdr:cNvPr id="3" name="Oval 2" descr="5a885c27-2b5c-4a7b-86ad-99d3bde244bd">
          <a:hlinkClick xmlns:r="http://schemas.openxmlformats.org/officeDocument/2006/relationships" r:id="rId1"/>
        </xdr:cNvPr>
        <xdr:cNvSpPr/>
      </xdr:nvSpPr>
      <xdr:spPr>
        <a:xfrm>
          <a:off x="0" y="0"/>
          <a:ext cx="717176" cy="535640"/>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900"/>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526676</xdr:colOff>
      <xdr:row>1</xdr:row>
      <xdr:rowOff>152400</xdr:rowOff>
    </xdr:to>
    <xdr:sp macro="" textlink="">
      <xdr:nvSpPr>
        <xdr:cNvPr id="2" name="Oval 1" descr="5a885c27-2b5c-4a7b-86ad-99d3bde244bd">
          <a:hlinkClick xmlns:r="http://schemas.openxmlformats.org/officeDocument/2006/relationships" r:id="rId1"/>
        </xdr:cNvPr>
        <xdr:cNvSpPr/>
      </xdr:nvSpPr>
      <xdr:spPr>
        <a:xfrm>
          <a:off x="0" y="0"/>
          <a:ext cx="717176" cy="447675"/>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900"/>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219074</xdr:colOff>
      <xdr:row>1</xdr:row>
      <xdr:rowOff>104775</xdr:rowOff>
    </xdr:from>
    <xdr:to>
      <xdr:col>17</xdr:col>
      <xdr:colOff>171449</xdr:colOff>
      <xdr:row>30</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212351</xdr:colOff>
      <xdr:row>2</xdr:row>
      <xdr:rowOff>66675</xdr:rowOff>
    </xdr:to>
    <xdr:sp macro="" textlink="">
      <xdr:nvSpPr>
        <xdr:cNvPr id="3" name="Oval 2" descr="5a885c27-2b5c-4a7b-86ad-99d3bde244bd">
          <a:hlinkClick xmlns:r="http://schemas.openxmlformats.org/officeDocument/2006/relationships" r:id="rId2"/>
        </xdr:cNvPr>
        <xdr:cNvSpPr/>
      </xdr:nvSpPr>
      <xdr:spPr>
        <a:xfrm>
          <a:off x="0" y="0"/>
          <a:ext cx="821951" cy="447675"/>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900"/>
            <a:t>HOME</a:t>
          </a:r>
        </a:p>
      </xdr:txBody>
    </xdr:sp>
    <xdr:clientData/>
  </xdr:twoCellAnchor>
  <xdr:twoCellAnchor>
    <xdr:from>
      <xdr:col>23</xdr:col>
      <xdr:colOff>28575</xdr:colOff>
      <xdr:row>1</xdr:row>
      <xdr:rowOff>114300</xdr:rowOff>
    </xdr:from>
    <xdr:to>
      <xdr:col>38</xdr:col>
      <xdr:colOff>590550</xdr:colOff>
      <xdr:row>30</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209550</xdr:colOff>
      <xdr:row>0</xdr:row>
      <xdr:rowOff>19050</xdr:rowOff>
    </xdr:from>
    <xdr:to>
      <xdr:col>23</xdr:col>
      <xdr:colOff>421901</xdr:colOff>
      <xdr:row>2</xdr:row>
      <xdr:rowOff>85725</xdr:rowOff>
    </xdr:to>
    <xdr:sp macro="" textlink="">
      <xdr:nvSpPr>
        <xdr:cNvPr id="5" name="Oval 4" descr="5a885c27-2b5c-4a7b-86ad-99d3bde244bd">
          <a:hlinkClick xmlns:r="http://schemas.openxmlformats.org/officeDocument/2006/relationships" r:id="rId4"/>
        </xdr:cNvPr>
        <xdr:cNvSpPr/>
      </xdr:nvSpPr>
      <xdr:spPr>
        <a:xfrm>
          <a:off x="13620750" y="19050"/>
          <a:ext cx="821951" cy="514350"/>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900"/>
            <a:t>HOME</a:t>
          </a: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0.10402</cdr:x>
      <cdr:y>0.04167</cdr:y>
    </cdr:from>
    <cdr:to>
      <cdr:x>0.3277</cdr:x>
      <cdr:y>0.04247</cdr:y>
    </cdr:to>
    <cdr:sp macro="" textlink="">
      <cdr:nvSpPr>
        <cdr:cNvPr id="2" name="Straight Arrow Connector 1"/>
        <cdr:cNvSpPr/>
      </cdr:nvSpPr>
      <cdr:spPr>
        <a:xfrm xmlns:a="http://schemas.openxmlformats.org/drawingml/2006/main">
          <a:off x="1009651" y="228600"/>
          <a:ext cx="2170968" cy="4396"/>
        </a:xfrm>
        <a:prstGeom xmlns:a="http://schemas.openxmlformats.org/drawingml/2006/main" prst="straightConnector1">
          <a:avLst/>
        </a:prstGeom>
        <a:noFill xmlns:a="http://schemas.openxmlformats.org/drawingml/2006/main"/>
        <a:ln xmlns:a="http://schemas.openxmlformats.org/drawingml/2006/main" w="15875" cap="flat" cmpd="sng" algn="ctr">
          <a:solidFill>
            <a:sysClr val="windowText" lastClr="000000"/>
          </a:solidFill>
          <a:prstDash val="solid"/>
          <a:headEnd type="triangl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0.10501</cdr:x>
      <cdr:y>0.03312</cdr:y>
    </cdr:from>
    <cdr:to>
      <cdr:x>0.32921</cdr:x>
      <cdr:y>0.08004</cdr:y>
    </cdr:to>
    <cdr:sp macro="" textlink="">
      <cdr:nvSpPr>
        <cdr:cNvPr id="3" name="TextBox 2"/>
        <cdr:cNvSpPr txBox="1"/>
      </cdr:nvSpPr>
      <cdr:spPr>
        <a:xfrm xmlns:a="http://schemas.openxmlformats.org/drawingml/2006/main">
          <a:off x="1019176" y="181708"/>
          <a:ext cx="2176096" cy="2574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400"/>
            <a:t>Historic Emissions</a:t>
          </a:r>
        </a:p>
      </cdr:txBody>
    </cdr:sp>
  </cdr:relSizeAnchor>
  <cdr:relSizeAnchor xmlns:cdr="http://schemas.openxmlformats.org/drawingml/2006/chartDrawing">
    <cdr:from>
      <cdr:x>0.32868</cdr:x>
      <cdr:y>0.02778</cdr:y>
    </cdr:from>
    <cdr:to>
      <cdr:x>0.32868</cdr:x>
      <cdr:y>0.9188</cdr:y>
    </cdr:to>
    <cdr:sp macro="" textlink="">
      <cdr:nvSpPr>
        <cdr:cNvPr id="4" name="Straight Connector 3"/>
        <cdr:cNvSpPr/>
      </cdr:nvSpPr>
      <cdr:spPr>
        <a:xfrm xmlns:a="http://schemas.openxmlformats.org/drawingml/2006/main" rot="5400000" flipH="1" flipV="1">
          <a:off x="745884" y="2596662"/>
          <a:ext cx="4888524" cy="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0.32893</cdr:x>
      <cdr:y>0.04167</cdr:y>
    </cdr:from>
    <cdr:to>
      <cdr:x>0.7684</cdr:x>
      <cdr:y>0.0425</cdr:y>
    </cdr:to>
    <cdr:sp macro="" textlink="">
      <cdr:nvSpPr>
        <cdr:cNvPr id="5" name="Straight Arrow Connector 4"/>
        <cdr:cNvSpPr/>
      </cdr:nvSpPr>
      <cdr:spPr>
        <a:xfrm xmlns:a="http://schemas.openxmlformats.org/drawingml/2006/main" flipV="1">
          <a:off x="3192568" y="228600"/>
          <a:ext cx="4265507" cy="4594"/>
        </a:xfrm>
        <a:prstGeom xmlns:a="http://schemas.openxmlformats.org/drawingml/2006/main" prst="straightConnector1">
          <a:avLst/>
        </a:prstGeom>
        <a:noFill xmlns:a="http://schemas.openxmlformats.org/drawingml/2006/main"/>
        <a:ln xmlns:a="http://schemas.openxmlformats.org/drawingml/2006/main" w="15875" cap="flat" cmpd="sng" algn="ctr">
          <a:solidFill>
            <a:sysClr val="windowText" lastClr="000000"/>
          </a:solidFill>
          <a:prstDash val="solid"/>
          <a:headEnd type="triangl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0.32921</cdr:x>
      <cdr:y>0.03312</cdr:y>
    </cdr:from>
    <cdr:to>
      <cdr:x>0.77723</cdr:x>
      <cdr:y>0.08004</cdr:y>
    </cdr:to>
    <cdr:sp macro="" textlink="">
      <cdr:nvSpPr>
        <cdr:cNvPr id="6" name="TextBox 2"/>
        <cdr:cNvSpPr txBox="1"/>
      </cdr:nvSpPr>
      <cdr:spPr>
        <a:xfrm xmlns:a="http://schemas.openxmlformats.org/drawingml/2006/main">
          <a:off x="3195272" y="181708"/>
          <a:ext cx="4348528" cy="2574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400"/>
            <a:t>Projected Emissions</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1</xdr:row>
      <xdr:rowOff>89647</xdr:rowOff>
    </xdr:to>
    <xdr:sp macro="" textlink="">
      <xdr:nvSpPr>
        <xdr:cNvPr id="3" name="Oval 2"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twoCellAnchor editAs="oneCell">
    <xdr:from>
      <xdr:col>1</xdr:col>
      <xdr:colOff>47626</xdr:colOff>
      <xdr:row>1</xdr:row>
      <xdr:rowOff>101707</xdr:rowOff>
    </xdr:from>
    <xdr:to>
      <xdr:col>15</xdr:col>
      <xdr:colOff>361950</xdr:colOff>
      <xdr:row>34</xdr:row>
      <xdr:rowOff>138457</xdr:rowOff>
    </xdr:to>
    <xdr:pic>
      <xdr:nvPicPr>
        <xdr:cNvPr id="2048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57226" y="292207"/>
          <a:ext cx="8848724" cy="63232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0</xdr:row>
      <xdr:rowOff>38100</xdr:rowOff>
    </xdr:from>
    <xdr:to>
      <xdr:col>0</xdr:col>
      <xdr:colOff>969308</xdr:colOff>
      <xdr:row>0</xdr:row>
      <xdr:rowOff>318247</xdr:rowOff>
    </xdr:to>
    <xdr:sp macro="" textlink="">
      <xdr:nvSpPr>
        <xdr:cNvPr id="2" name="Oval 1" descr="5a885c27-2b5c-4a7b-86ad-99d3bde244bd">
          <a:hlinkClick xmlns:r="http://schemas.openxmlformats.org/officeDocument/2006/relationships" r:id="rId1"/>
        </xdr:cNvPr>
        <xdr:cNvSpPr/>
      </xdr:nvSpPr>
      <xdr:spPr>
        <a:xfrm>
          <a:off x="95250" y="3810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914400</xdr:colOff>
      <xdr:row>1</xdr:row>
      <xdr:rowOff>111251</xdr:rowOff>
    </xdr:to>
    <xdr:sp macro="" textlink="">
      <xdr:nvSpPr>
        <xdr:cNvPr id="2" name="Oval 1" descr="5a885c27-2b5c-4a7b-86ad-99d3bde244bd">
          <a:hlinkClick xmlns:r="http://schemas.openxmlformats.org/officeDocument/2006/relationships" r:id="rId1"/>
        </xdr:cNvPr>
        <xdr:cNvSpPr/>
      </xdr:nvSpPr>
      <xdr:spPr>
        <a:xfrm>
          <a:off x="0" y="-1"/>
          <a:ext cx="914400" cy="301752"/>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1</xdr:row>
      <xdr:rowOff>89647</xdr:rowOff>
    </xdr:to>
    <xdr:sp macro="" textlink="">
      <xdr:nvSpPr>
        <xdr:cNvPr id="6" name="Oval 5"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twoCellAnchor editAs="oneCell">
    <xdr:from>
      <xdr:col>1</xdr:col>
      <xdr:colOff>0</xdr:colOff>
      <xdr:row>2</xdr:row>
      <xdr:rowOff>0</xdr:rowOff>
    </xdr:from>
    <xdr:to>
      <xdr:col>15</xdr:col>
      <xdr:colOff>142875</xdr:colOff>
      <xdr:row>35</xdr:row>
      <xdr:rowOff>19050</xdr:rowOff>
    </xdr:to>
    <xdr:pic>
      <xdr:nvPicPr>
        <xdr:cNvPr id="2253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09600" y="381000"/>
          <a:ext cx="8677275" cy="63055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227867</xdr:colOff>
      <xdr:row>2</xdr:row>
      <xdr:rowOff>26378</xdr:rowOff>
    </xdr:from>
    <xdr:to>
      <xdr:col>18</xdr:col>
      <xdr:colOff>67408</xdr:colOff>
      <xdr:row>15</xdr:row>
      <xdr:rowOff>83528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4</xdr:row>
      <xdr:rowOff>57150</xdr:rowOff>
    </xdr:from>
    <xdr:to>
      <xdr:col>2</xdr:col>
      <xdr:colOff>464483</xdr:colOff>
      <xdr:row>6</xdr:row>
      <xdr:rowOff>51547</xdr:rowOff>
    </xdr:to>
    <xdr:sp macro="" textlink="">
      <xdr:nvSpPr>
        <xdr:cNvPr id="4" name="Oval 3" descr="5a885c27-2b5c-4a7b-86ad-99d3bde244bd">
          <a:hlinkClick xmlns:r="http://schemas.openxmlformats.org/officeDocument/2006/relationships" r:id="rId2"/>
        </xdr:cNvPr>
        <xdr:cNvSpPr/>
      </xdr:nvSpPr>
      <xdr:spPr>
        <a:xfrm>
          <a:off x="66675" y="819150"/>
          <a:ext cx="1617008" cy="37539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0.13439</cdr:x>
      <cdr:y>0.00672</cdr:y>
    </cdr:from>
    <cdr:to>
      <cdr:x>0.8195</cdr:x>
      <cdr:y>0.07923</cdr:y>
    </cdr:to>
    <cdr:sp macro="" textlink="ExposureCalculations!$N$34">
      <cdr:nvSpPr>
        <cdr:cNvPr id="3" name="TextBox 6"/>
        <cdr:cNvSpPr txBox="1"/>
      </cdr:nvSpPr>
      <cdr:spPr>
        <a:xfrm xmlns:a="http://schemas.openxmlformats.org/drawingml/2006/main">
          <a:off x="971550" y="29892"/>
          <a:ext cx="4953000" cy="322533"/>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Text" lastClr="000000"/>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fld id="{472A388E-2B0C-4B73-A09E-D48C98755086}" type="TxLink">
            <a:rPr lang="en-US" sz="1600" b="1"/>
            <a:pPr algn="ctr"/>
            <a:t>Present Value of Financial Exposure in 2010$ - $161MM</a:t>
          </a:fld>
          <a:endParaRPr lang="en-US" sz="1600" b="1"/>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9525</xdr:colOff>
      <xdr:row>46</xdr:row>
      <xdr:rowOff>19050</xdr:rowOff>
    </xdr:to>
    <xdr:pic>
      <xdr:nvPicPr>
        <xdr:cNvPr id="1433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982325" cy="8782050"/>
        </a:xfrm>
        <a:prstGeom prst="rect">
          <a:avLst/>
        </a:prstGeom>
        <a:noFill/>
      </xdr:spPr>
    </xdr:pic>
    <xdr:clientData/>
  </xdr:twoCellAnchor>
  <xdr:twoCellAnchor>
    <xdr:from>
      <xdr:col>0</xdr:col>
      <xdr:colOff>0</xdr:colOff>
      <xdr:row>0</xdr:row>
      <xdr:rowOff>0</xdr:rowOff>
    </xdr:from>
    <xdr:to>
      <xdr:col>1</xdr:col>
      <xdr:colOff>264458</xdr:colOff>
      <xdr:row>1</xdr:row>
      <xdr:rowOff>89647</xdr:rowOff>
    </xdr:to>
    <xdr:sp macro="" textlink="">
      <xdr:nvSpPr>
        <xdr:cNvPr id="4" name="Oval 3" descr="5a885c27-2b5c-4a7b-86ad-99d3bde244bd">
          <a:hlinkClick xmlns:r="http://schemas.openxmlformats.org/officeDocument/2006/relationships" r:id="rId2"/>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57</xdr:col>
      <xdr:colOff>28575</xdr:colOff>
      <xdr:row>26</xdr:row>
      <xdr:rowOff>19049</xdr:rowOff>
    </xdr:from>
    <xdr:to>
      <xdr:col>57</xdr:col>
      <xdr:colOff>3200400</xdr:colOff>
      <xdr:row>72</xdr:row>
      <xdr:rowOff>76200</xdr:rowOff>
    </xdr:to>
    <xdr:sp macro="" textlink="">
      <xdr:nvSpPr>
        <xdr:cNvPr id="2" name="TextBox 1"/>
        <xdr:cNvSpPr txBox="1"/>
      </xdr:nvSpPr>
      <xdr:spPr>
        <a:xfrm>
          <a:off x="48691800" y="5181599"/>
          <a:ext cx="3171825" cy="10267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200" b="1"/>
            <a:t>Notes/Description of Assumptions</a:t>
          </a:r>
        </a:p>
        <a:p>
          <a:r>
            <a:rPr lang="en-US" sz="1100" i="1"/>
            <a:t>(Assumptions from </a:t>
          </a:r>
          <a:r>
            <a:rPr lang="en-US" sz="1100" i="1" baseline="0"/>
            <a:t>AEI)</a:t>
          </a:r>
          <a:endParaRPr lang="en-US" sz="1100" i="1"/>
        </a:p>
        <a:p>
          <a:endParaRPr lang="en-US" sz="1100"/>
        </a:p>
        <a:p>
          <a:r>
            <a:rPr lang="en-US" sz="1100"/>
            <a:t>1. A 15 MW CHP</a:t>
          </a:r>
          <a:r>
            <a:rPr lang="en-US" sz="1100" baseline="0"/>
            <a:t> p</a:t>
          </a:r>
          <a:r>
            <a:rPr lang="en-US" sz="1100"/>
            <a:t>lant located at the Medical Center Plant.  One nominal 15 MW Solar Titan 130</a:t>
          </a:r>
          <a:r>
            <a:rPr lang="en-US" sz="1100" baseline="0"/>
            <a:t> </a:t>
          </a:r>
          <a:r>
            <a:rPr lang="en-US" sz="1100"/>
            <a:t>combustion</a:t>
          </a:r>
          <a:r>
            <a:rPr lang="en-US" sz="1100" baseline="0"/>
            <a:t> gas turbine with a heat recovery steam generatior (HRSG) with duct burner s(DB).  Steam capacities: ~ 55 klb unfired ; plus ~70 klb from supplemental firing using DB.  Power output  at site conditions averages 14.252 MW less .44 MW for compressor and auxiliary loads = 13.81 MW each .   Fueled with NG</a:t>
          </a:r>
        </a:p>
        <a:p>
          <a:endParaRPr lang="en-US" sz="1100" baseline="0"/>
        </a:p>
        <a:p>
          <a:r>
            <a:rPr lang="en-US" sz="1100" baseline="0"/>
            <a:t>2. Power produced at 12.47 kV; steam at 185 psi.  Steam enthalpy of 1018 saturated and 1305 superheated Btu/lb.  </a:t>
          </a:r>
        </a:p>
        <a:p>
          <a:endParaRPr lang="en-US" sz="1100" baseline="0"/>
        </a:p>
        <a:p>
          <a:r>
            <a:rPr lang="en-US" sz="1100" baseline="0"/>
            <a:t>3. Operate in baseload mode with duct firing given preference to boilers;  95% availability with average 90% CTG loading when available,   </a:t>
          </a: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4. Displaces purchases of power from the griid and steam produced in coal boilers at Medical Center Plant.  All power  and steam consumed on campus; no power sales to the grid.</a:t>
          </a:r>
          <a:endParaRPr lang="en-US"/>
        </a:p>
        <a:p>
          <a:endParaRPr lang="en-US" sz="1100"/>
        </a:p>
        <a:p>
          <a:r>
            <a:rPr lang="en-US" sz="1100"/>
            <a:t>5. </a:t>
          </a:r>
          <a:r>
            <a:rPr lang="en-US" sz="1100" baseline="0"/>
            <a:t> Incur cost of $2,500 per kW installed (2010$).  </a:t>
          </a:r>
          <a:r>
            <a:rPr lang="en-US" sz="1100" i="0" baseline="0">
              <a:solidFill>
                <a:schemeClr val="dk1"/>
              </a:solidFill>
              <a:latin typeface="+mn-lt"/>
              <a:ea typeface="+mn-ea"/>
              <a:cs typeface="+mn-cs"/>
            </a:rPr>
            <a:t>  Capital for upgrades to steam distribution assumed to be equal in all cases so not quantified.  Avoid $0 million for planned new boiler plus 0 x average 2.8MW  reciprocating engines to be located at buildings for back-up. </a:t>
          </a:r>
        </a:p>
        <a:p>
          <a:r>
            <a:rPr lang="en-US" sz="1100" i="0" baseline="0">
              <a:solidFill>
                <a:schemeClr val="dk1"/>
              </a:solidFill>
              <a:latin typeface="+mn-lt"/>
              <a:ea typeface="+mn-ea"/>
              <a:cs typeface="+mn-cs"/>
            </a:rPr>
            <a:t> </a:t>
          </a:r>
        </a:p>
        <a:p>
          <a:r>
            <a:rPr lang="en-US" sz="1100" i="0" baseline="0">
              <a:solidFill>
                <a:schemeClr val="dk1"/>
              </a:solidFill>
              <a:latin typeface="+mn-lt"/>
              <a:ea typeface="+mn-ea"/>
              <a:cs typeface="+mn-cs"/>
            </a:rPr>
            <a:t> 6. Commercial operation starting  7/1/12.  Expenditure schedule 10% in FYE 2010, 45% FYE 2011, 45% FYE 2012.</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7.  Fuel input of 141 </a:t>
          </a:r>
          <a:r>
            <a:rPr lang="en-US" sz="1100" baseline="0">
              <a:solidFill>
                <a:sysClr val="windowText" lastClr="000000"/>
              </a:solidFill>
              <a:latin typeface="+mn-lt"/>
              <a:ea typeface="+mn-ea"/>
              <a:cs typeface="+mn-cs"/>
            </a:rPr>
            <a:t>MMBtu LHV/hr for CTs. DB input is 79 MMBTU LHV/hr.  Coal boiler efficiency  is 85% HHV.</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latin typeface="+mn-lt"/>
              <a:ea typeface="+mn-ea"/>
              <a:cs typeface="+mn-cs"/>
            </a:rPr>
            <a:t>8. Incur variable non-fuel  operating expense for CHP of $0.003 per kWh plus $65,000 per month per CT including accrual for major overhauls.  Avoid $3.00 per klb variable non-fuel operating expense when coal boilers are not used.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9. Natural Gas,  mt CO2e/MMBtu= 0.053358. Coal, mt CO2e/MMBtu= 0.094.  Purchased Electricity, mt CO2e/MWh=.808  increased by transmission loss factor of 7%.</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10. Economic life 20 years.  Cost of renewal = 50% or original installed cost (not modeled).</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11. Modeling performed in constant  (real) 2010 dollars.  Nominal discount rate of 4.5% adjusted by general inflation rate of 2.1% with resulting real discount rate of 2.4%.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3" name="Oval 2"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9525</xdr:colOff>
      <xdr:row>1</xdr:row>
      <xdr:rowOff>0</xdr:rowOff>
    </xdr:from>
    <xdr:to>
      <xdr:col>8</xdr:col>
      <xdr:colOff>619125</xdr:colOff>
      <xdr:row>14</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0</xdr:rowOff>
    </xdr:from>
    <xdr:to>
      <xdr:col>0</xdr:col>
      <xdr:colOff>764801</xdr:colOff>
      <xdr:row>2</xdr:row>
      <xdr:rowOff>2240</xdr:rowOff>
    </xdr:to>
    <xdr:sp macro="" textlink="">
      <xdr:nvSpPr>
        <xdr:cNvPr id="2" name="Oval 1" descr="5a885c27-2b5c-4a7b-86ad-99d3bde244bd">
          <a:hlinkClick xmlns:r="http://schemas.openxmlformats.org/officeDocument/2006/relationships" r:id="rId1"/>
        </xdr:cNvPr>
        <xdr:cNvSpPr/>
      </xdr:nvSpPr>
      <xdr:spPr>
        <a:xfrm>
          <a:off x="47625" y="0"/>
          <a:ext cx="717176" cy="459440"/>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900"/>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264458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130968</xdr:colOff>
      <xdr:row>0</xdr:row>
      <xdr:rowOff>0</xdr:rowOff>
    </xdr:from>
    <xdr:to>
      <xdr:col>1</xdr:col>
      <xdr:colOff>446483</xdr:colOff>
      <xdr:row>0</xdr:row>
      <xdr:rowOff>262759</xdr:rowOff>
    </xdr:to>
    <xdr:sp macro="" textlink="">
      <xdr:nvSpPr>
        <xdr:cNvPr id="2" name="Oval 1" descr="5a885c27-2b5c-4a7b-86ad-99d3bde244bd">
          <a:hlinkClick xmlns:r="http://schemas.openxmlformats.org/officeDocument/2006/relationships" r:id="rId1"/>
        </xdr:cNvPr>
        <xdr:cNvSpPr/>
      </xdr:nvSpPr>
      <xdr:spPr>
        <a:xfrm>
          <a:off x="130968" y="0"/>
          <a:ext cx="880446" cy="262759"/>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900"/>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184347</xdr:colOff>
      <xdr:row>3</xdr:row>
      <xdr:rowOff>116487</xdr:rowOff>
    </xdr:from>
    <xdr:to>
      <xdr:col>13</xdr:col>
      <xdr:colOff>207065</xdr:colOff>
      <xdr:row>43</xdr:row>
      <xdr:rowOff>40288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47625</xdr:colOff>
      <xdr:row>0</xdr:row>
      <xdr:rowOff>28575</xdr:rowOff>
    </xdr:from>
    <xdr:to>
      <xdr:col>0</xdr:col>
      <xdr:colOff>921683</xdr:colOff>
      <xdr:row>1</xdr:row>
      <xdr:rowOff>118222</xdr:rowOff>
    </xdr:to>
    <xdr:sp macro="" textlink="">
      <xdr:nvSpPr>
        <xdr:cNvPr id="2" name="Oval 1" descr="5a885c27-2b5c-4a7b-86ad-99d3bde244bd">
          <a:hlinkClick xmlns:r="http://schemas.openxmlformats.org/officeDocument/2006/relationships" r:id="rId1"/>
        </xdr:cNvPr>
        <xdr:cNvSpPr/>
      </xdr:nvSpPr>
      <xdr:spPr>
        <a:xfrm>
          <a:off x="476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133350</xdr:colOff>
      <xdr:row>0</xdr:row>
      <xdr:rowOff>57150</xdr:rowOff>
    </xdr:from>
    <xdr:to>
      <xdr:col>1</xdr:col>
      <xdr:colOff>1007408</xdr:colOff>
      <xdr:row>0</xdr:row>
      <xdr:rowOff>337297</xdr:rowOff>
    </xdr:to>
    <xdr:sp macro="" textlink="">
      <xdr:nvSpPr>
        <xdr:cNvPr id="2" name="Oval 1" descr="5a885c27-2b5c-4a7b-86ad-99d3bde244bd">
          <a:hlinkClick xmlns:r="http://schemas.openxmlformats.org/officeDocument/2006/relationships" r:id="rId1"/>
        </xdr:cNvPr>
        <xdr:cNvSpPr/>
      </xdr:nvSpPr>
      <xdr:spPr>
        <a:xfrm>
          <a:off x="742950" y="5715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twoCellAnchor>
    <xdr:from>
      <xdr:col>1</xdr:col>
      <xdr:colOff>1390650</xdr:colOff>
      <xdr:row>0</xdr:row>
      <xdr:rowOff>66675</xdr:rowOff>
    </xdr:from>
    <xdr:to>
      <xdr:col>1</xdr:col>
      <xdr:colOff>2676525</xdr:colOff>
      <xdr:row>0</xdr:row>
      <xdr:rowOff>352425</xdr:rowOff>
    </xdr:to>
    <xdr:sp macro="" textlink="">
      <xdr:nvSpPr>
        <xdr:cNvPr id="5" name="Rectangle 4">
          <a:hlinkClick xmlns:r="http://schemas.openxmlformats.org/officeDocument/2006/relationships" r:id="rId2"/>
        </xdr:cNvPr>
        <xdr:cNvSpPr/>
      </xdr:nvSpPr>
      <xdr:spPr>
        <a:xfrm>
          <a:off x="2000250" y="66675"/>
          <a:ext cx="1285875"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Abatement Curve</a:t>
          </a:r>
        </a:p>
      </xdr:txBody>
    </xdr:sp>
    <xdr:clientData/>
  </xdr:twoCellAnchor>
  <xdr:twoCellAnchor>
    <xdr:from>
      <xdr:col>1</xdr:col>
      <xdr:colOff>3067051</xdr:colOff>
      <xdr:row>0</xdr:row>
      <xdr:rowOff>66675</xdr:rowOff>
    </xdr:from>
    <xdr:to>
      <xdr:col>1</xdr:col>
      <xdr:colOff>4476751</xdr:colOff>
      <xdr:row>0</xdr:row>
      <xdr:rowOff>342900</xdr:rowOff>
    </xdr:to>
    <xdr:sp macro="" textlink="">
      <xdr:nvSpPr>
        <xdr:cNvPr id="6" name="Rectangle 5">
          <a:hlinkClick xmlns:r="http://schemas.openxmlformats.org/officeDocument/2006/relationships" r:id="rId3"/>
        </xdr:cNvPr>
        <xdr:cNvSpPr/>
      </xdr:nvSpPr>
      <xdr:spPr>
        <a:xfrm>
          <a:off x="3676651" y="66675"/>
          <a:ext cx="14097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Portfolio</a:t>
          </a:r>
          <a:r>
            <a:rPr lang="en-US" sz="1100" baseline="0"/>
            <a:t> Dashboard</a:t>
          </a:r>
          <a:endParaRPr lang="en-US" sz="1100"/>
        </a:p>
      </xdr:txBody>
    </xdr:sp>
    <xdr:clientData/>
  </xdr:twoCellAnchor>
</xdr:wsDr>
</file>

<file path=xl/drawings/drawing6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0.20924</cdr:x>
      <cdr:y>0.05928</cdr:y>
    </cdr:from>
    <cdr:to>
      <cdr:x>0.42374</cdr:x>
      <cdr:y>0.21258</cdr:y>
    </cdr:to>
    <cdr:grpSp>
      <cdr:nvGrpSpPr>
        <cdr:cNvPr id="7" name="Group 6"/>
        <cdr:cNvGrpSpPr/>
      </cdr:nvGrpSpPr>
      <cdr:grpSpPr>
        <a:xfrm xmlns:a="http://schemas.openxmlformats.org/drawingml/2006/main">
          <a:off x="1815651" y="373493"/>
          <a:ext cx="1861294" cy="965863"/>
          <a:chOff x="1904082" y="742532"/>
          <a:chExt cx="2850051" cy="917333"/>
        </a:xfrm>
      </cdr:grpSpPr>
      <cdr:sp macro="" textlink="">
        <cdr:nvSpPr>
          <cdr:cNvPr id="3" name="TextBox 2"/>
          <cdr:cNvSpPr txBox="1"/>
        </cdr:nvSpPr>
        <cdr:spPr>
          <a:xfrm xmlns:a="http://schemas.openxmlformats.org/drawingml/2006/main">
            <a:off x="1904082" y="1381750"/>
            <a:ext cx="2850051" cy="278115"/>
          </a:xfrm>
          <a:prstGeom xmlns:a="http://schemas.openxmlformats.org/drawingml/2006/main" prst="rect">
            <a:avLst/>
          </a:prstGeom>
          <a:solidFill xmlns:a="http://schemas.openxmlformats.org/drawingml/2006/main">
            <a:schemeClr val="bg1"/>
          </a:solidFill>
          <a:ln xmlns:a="http://schemas.openxmlformats.org/drawingml/2006/main" w="25400">
            <a:solidFill>
              <a:schemeClr val="tx1"/>
            </a:solidFill>
          </a:ln>
        </cdr:spPr>
        <cdr:txBody>
          <a:bodyPr xmlns:a="http://schemas.openxmlformats.org/drawingml/2006/main" wrap="none" rtlCol="0"/>
          <a:lstStyle xmlns:a="http://schemas.openxmlformats.org/drawingml/2006/main"/>
          <a:p xmlns:a="http://schemas.openxmlformats.org/drawingml/2006/main">
            <a:r>
              <a:rPr lang="en-US" sz="1400" b="1"/>
              <a:t>Scale</a:t>
            </a:r>
            <a:r>
              <a:rPr lang="en-US" sz="1400" b="1" baseline="0"/>
              <a:t>      50,000 MTCDE</a:t>
            </a:r>
            <a:endParaRPr lang="en-US" sz="1400" b="1"/>
          </a:p>
        </cdr:txBody>
      </cdr:sp>
      <cdr:sp macro="" textlink="">
        <cdr:nvSpPr>
          <cdr:cNvPr id="4" name="Left Brace 3"/>
          <cdr:cNvSpPr/>
        </cdr:nvSpPr>
        <cdr:spPr>
          <a:xfrm xmlns:a="http://schemas.openxmlformats.org/drawingml/2006/main" rot="16200000">
            <a:off x="2405448" y="360598"/>
            <a:ext cx="741139" cy="1505008"/>
          </a:xfrm>
          <a:prstGeom xmlns:a="http://schemas.openxmlformats.org/drawingml/2006/main" prst="leftBrac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US"/>
          </a:p>
        </cdr:txBody>
      </cdr:sp>
    </cdr:grpSp>
  </cdr:relSizeAnchor>
</c:userShapes>
</file>

<file path=xl/drawings/drawing64.xml><?xml version="1.0" encoding="utf-8"?>
<xdr:wsDr xmlns:xdr="http://schemas.openxmlformats.org/drawingml/2006/spreadsheetDrawing" xmlns:a="http://schemas.openxmlformats.org/drawingml/2006/main">
  <xdr:twoCellAnchor>
    <xdr:from>
      <xdr:col>0</xdr:col>
      <xdr:colOff>48686</xdr:colOff>
      <xdr:row>1</xdr:row>
      <xdr:rowOff>27516</xdr:rowOff>
    </xdr:from>
    <xdr:to>
      <xdr:col>12</xdr:col>
      <xdr:colOff>645584</xdr:colOff>
      <xdr:row>32</xdr:row>
      <xdr:rowOff>105834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222250</xdr:colOff>
      <xdr:row>27</xdr:row>
      <xdr:rowOff>148168</xdr:rowOff>
    </xdr:from>
    <xdr:to>
      <xdr:col>12</xdr:col>
      <xdr:colOff>487891</xdr:colOff>
      <xdr:row>29</xdr:row>
      <xdr:rowOff>116417</xdr:rowOff>
    </xdr:to>
    <xdr:sp macro="" textlink="">
      <xdr:nvSpPr>
        <xdr:cNvPr id="15" name="Rectangle 14"/>
        <xdr:cNvSpPr/>
      </xdr:nvSpPr>
      <xdr:spPr>
        <a:xfrm>
          <a:off x="3905250" y="5291668"/>
          <a:ext cx="3948641" cy="34924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solidFill>
                <a:schemeClr val="tx1"/>
              </a:solidFill>
            </a:rPr>
            <a:t>---------</a:t>
          </a:r>
          <a:r>
            <a:rPr lang="en-US" sz="1600" b="1" baseline="0">
              <a:solidFill>
                <a:schemeClr val="tx1"/>
              </a:solidFill>
            </a:rPr>
            <a:t> </a:t>
          </a:r>
          <a:r>
            <a:rPr lang="en-US" sz="1100" b="1" baseline="0">
              <a:solidFill>
                <a:schemeClr val="tx1"/>
              </a:solidFill>
            </a:rPr>
            <a:t>Adjusted Levelized Cost (Savings) per MTCDE Avoided</a:t>
          </a:r>
          <a:endParaRPr lang="en-US" sz="1100" b="1">
            <a:solidFill>
              <a:schemeClr val="tx1"/>
            </a:solidFill>
          </a:endParaRPr>
        </a:p>
      </xdr:txBody>
    </xdr:sp>
    <xdr:clientData/>
  </xdr:twoCellAnchor>
</xdr:wsDr>
</file>

<file path=xl/drawings/drawing65.xml><?xml version="1.0" encoding="utf-8"?>
<c:userShapes xmlns:c="http://schemas.openxmlformats.org/drawingml/2006/chart">
  <cdr:relSizeAnchor xmlns:cdr="http://schemas.openxmlformats.org/drawingml/2006/chartDrawing">
    <cdr:from>
      <cdr:x>0.11289</cdr:x>
      <cdr:y>0.05051</cdr:y>
    </cdr:from>
    <cdr:to>
      <cdr:x>0.63476</cdr:x>
      <cdr:y>0.09803</cdr:y>
    </cdr:to>
    <cdr:grpSp>
      <cdr:nvGrpSpPr>
        <cdr:cNvPr id="7" name="Group 6"/>
        <cdr:cNvGrpSpPr>
          <a:grpSpLocks xmlns:a="http://schemas.openxmlformats.org/drawingml/2006/main" noChangeAspect="1"/>
        </cdr:cNvGrpSpPr>
      </cdr:nvGrpSpPr>
      <cdr:grpSpPr>
        <a:xfrm xmlns:a="http://schemas.openxmlformats.org/drawingml/2006/main">
          <a:off x="898932" y="307588"/>
          <a:ext cx="4155597" cy="289380"/>
          <a:chOff x="964914" y="302307"/>
          <a:chExt cx="1323193" cy="284324"/>
        </a:xfrm>
      </cdr:grpSpPr>
      <cdr:sp macro="" textlink="">
        <cdr:nvSpPr>
          <cdr:cNvPr id="3" name="TextBox 2"/>
          <cdr:cNvSpPr txBox="1"/>
        </cdr:nvSpPr>
        <cdr:spPr>
          <a:xfrm xmlns:a="http://schemas.openxmlformats.org/drawingml/2006/main">
            <a:off x="964914" y="302307"/>
            <a:ext cx="1323193" cy="284324"/>
          </a:xfrm>
          <a:prstGeom xmlns:a="http://schemas.openxmlformats.org/drawingml/2006/main" prst="rect">
            <a:avLst/>
          </a:prstGeom>
          <a:solidFill xmlns:a="http://schemas.openxmlformats.org/drawingml/2006/main">
            <a:schemeClr val="bg1"/>
          </a:solidFill>
          <a:ln xmlns:a="http://schemas.openxmlformats.org/drawingml/2006/main" w="25400">
            <a:solidFill>
              <a:schemeClr val="tx1"/>
            </a:solidFill>
          </a:ln>
        </cdr:spPr>
        <cdr:txBody>
          <a:bodyPr xmlns:a="http://schemas.openxmlformats.org/drawingml/2006/main" wrap="none" rtlCol="0"/>
          <a:lstStyle xmlns:a="http://schemas.openxmlformats.org/drawingml/2006/main"/>
          <a:p xmlns:a="http://schemas.openxmlformats.org/drawingml/2006/main">
            <a:r>
              <a:rPr lang="en-US" sz="1400" b="1" baseline="0"/>
              <a:t>Distance between vertical gridlines = 10,000 MTCDE</a:t>
            </a:r>
            <a:endParaRPr lang="en-US" sz="1400" b="1"/>
          </a:p>
        </cdr:txBody>
      </cdr:sp>
    </cdr:grpSp>
  </cdr:relSizeAnchor>
</c:userShapes>
</file>

<file path=xl/drawings/drawing66.xml><?xml version="1.0" encoding="utf-8"?>
<xdr:wsDr xmlns:xdr="http://schemas.openxmlformats.org/drawingml/2006/spreadsheetDrawing" xmlns:a="http://schemas.openxmlformats.org/drawingml/2006/main">
  <xdr:twoCellAnchor>
    <xdr:from>
      <xdr:col>2</xdr:col>
      <xdr:colOff>0</xdr:colOff>
      <xdr:row>0</xdr:row>
      <xdr:rowOff>1</xdr:rowOff>
    </xdr:from>
    <xdr:to>
      <xdr:col>14</xdr:col>
      <xdr:colOff>123825</xdr:colOff>
      <xdr:row>13</xdr:row>
      <xdr:rowOff>133351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152400</xdr:rowOff>
    </xdr:from>
    <xdr:to>
      <xdr:col>8</xdr:col>
      <xdr:colOff>133349</xdr:colOff>
      <xdr:row>54</xdr:row>
      <xdr:rowOff>152400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38100</xdr:colOff>
      <xdr:row>46</xdr:row>
      <xdr:rowOff>152400</xdr:rowOff>
    </xdr:from>
    <xdr:to>
      <xdr:col>14</xdr:col>
      <xdr:colOff>123825</xdr:colOff>
      <xdr:row>54</xdr:row>
      <xdr:rowOff>152400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54</xdr:row>
      <xdr:rowOff>152400</xdr:rowOff>
    </xdr:from>
    <xdr:to>
      <xdr:col>8</xdr:col>
      <xdr:colOff>133349</xdr:colOff>
      <xdr:row>66</xdr:row>
      <xdr:rowOff>152400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38100</xdr:colOff>
      <xdr:row>54</xdr:row>
      <xdr:rowOff>152400</xdr:rowOff>
    </xdr:from>
    <xdr:to>
      <xdr:col>14</xdr:col>
      <xdr:colOff>123825</xdr:colOff>
      <xdr:row>66</xdr:row>
      <xdr:rowOff>152400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923924</xdr:colOff>
      <xdr:row>66</xdr:row>
      <xdr:rowOff>152398</xdr:rowOff>
    </xdr:from>
    <xdr:to>
      <xdr:col>14</xdr:col>
      <xdr:colOff>123824</xdr:colOff>
      <xdr:row>88</xdr:row>
      <xdr:rowOff>104775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171450</xdr:rowOff>
    </xdr:from>
    <xdr:to>
      <xdr:col>8</xdr:col>
      <xdr:colOff>85725</xdr:colOff>
      <xdr:row>46</xdr:row>
      <xdr:rowOff>171450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38100</xdr:colOff>
      <xdr:row>34</xdr:row>
      <xdr:rowOff>171450</xdr:rowOff>
    </xdr:from>
    <xdr:to>
      <xdr:col>14</xdr:col>
      <xdr:colOff>123825</xdr:colOff>
      <xdr:row>46</xdr:row>
      <xdr:rowOff>171450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66675</xdr:colOff>
      <xdr:row>1</xdr:row>
      <xdr:rowOff>95250</xdr:rowOff>
    </xdr:from>
    <xdr:to>
      <xdr:col>0</xdr:col>
      <xdr:colOff>940733</xdr:colOff>
      <xdr:row>1</xdr:row>
      <xdr:rowOff>375397</xdr:rowOff>
    </xdr:to>
    <xdr:sp macro="" textlink="">
      <xdr:nvSpPr>
        <xdr:cNvPr id="15" name="Oval 14" descr="5a885c27-2b5c-4a7b-86ad-99d3bde244bd">
          <a:hlinkClick xmlns:r="http://schemas.openxmlformats.org/officeDocument/2006/relationships" r:id="rId9"/>
        </xdr:cNvPr>
        <xdr:cNvSpPr/>
      </xdr:nvSpPr>
      <xdr:spPr>
        <a:xfrm>
          <a:off x="66675" y="28575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twoCellAnchor>
    <xdr:from>
      <xdr:col>0</xdr:col>
      <xdr:colOff>962025</xdr:colOff>
      <xdr:row>1</xdr:row>
      <xdr:rowOff>66675</xdr:rowOff>
    </xdr:from>
    <xdr:to>
      <xdr:col>0</xdr:col>
      <xdr:colOff>2009775</xdr:colOff>
      <xdr:row>1</xdr:row>
      <xdr:rowOff>371475</xdr:rowOff>
    </xdr:to>
    <xdr:sp macro="" textlink="">
      <xdr:nvSpPr>
        <xdr:cNvPr id="16" name="Rectangle 15">
          <a:hlinkClick xmlns:r="http://schemas.openxmlformats.org/officeDocument/2006/relationships" r:id="rId10"/>
        </xdr:cNvPr>
        <xdr:cNvSpPr/>
      </xdr:nvSpPr>
      <xdr:spPr>
        <a:xfrm>
          <a:off x="962025" y="257175"/>
          <a:ext cx="1047750"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Abatement Curve</a:t>
          </a:r>
        </a:p>
      </xdr:txBody>
    </xdr:sp>
    <xdr:clientData/>
  </xdr:twoCellAnchor>
  <xdr:twoCellAnchor>
    <xdr:from>
      <xdr:col>0</xdr:col>
      <xdr:colOff>2057398</xdr:colOff>
      <xdr:row>1</xdr:row>
      <xdr:rowOff>66675</xdr:rowOff>
    </xdr:from>
    <xdr:to>
      <xdr:col>0</xdr:col>
      <xdr:colOff>3218686</xdr:colOff>
      <xdr:row>1</xdr:row>
      <xdr:rowOff>368427</xdr:rowOff>
    </xdr:to>
    <xdr:sp macro="" textlink="">
      <xdr:nvSpPr>
        <xdr:cNvPr id="17" name="Rectangle 16">
          <a:hlinkClick xmlns:r="http://schemas.openxmlformats.org/officeDocument/2006/relationships" r:id="rId11"/>
        </xdr:cNvPr>
        <xdr:cNvSpPr/>
      </xdr:nvSpPr>
      <xdr:spPr>
        <a:xfrm>
          <a:off x="2057398" y="257175"/>
          <a:ext cx="1161288" cy="3017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Action</a:t>
          </a:r>
          <a:r>
            <a:rPr lang="en-US" sz="1100" baseline="0"/>
            <a:t> Valuation Summary</a:t>
          </a:r>
          <a:endParaRPr lang="en-US" sz="1100"/>
        </a:p>
      </xdr:txBody>
    </xdr:sp>
    <xdr:clientData/>
  </xdr:twoCellAnchor>
  <xdr:twoCellAnchor>
    <xdr:from>
      <xdr:col>2</xdr:col>
      <xdr:colOff>0</xdr:colOff>
      <xdr:row>13</xdr:row>
      <xdr:rowOff>133351</xdr:rowOff>
    </xdr:from>
    <xdr:to>
      <xdr:col>14</xdr:col>
      <xdr:colOff>123825</xdr:colOff>
      <xdr:row>34</xdr:row>
      <xdr:rowOff>171451</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3009900</xdr:colOff>
      <xdr:row>27</xdr:row>
      <xdr:rowOff>85725</xdr:rowOff>
    </xdr:from>
    <xdr:to>
      <xdr:col>1</xdr:col>
      <xdr:colOff>913638</xdr:colOff>
      <xdr:row>29</xdr:row>
      <xdr:rowOff>6477</xdr:rowOff>
    </xdr:to>
    <xdr:sp macro="" textlink="">
      <xdr:nvSpPr>
        <xdr:cNvPr id="18" name="Rectangle 17">
          <a:hlinkClick xmlns:r="http://schemas.openxmlformats.org/officeDocument/2006/relationships" r:id="rId13"/>
        </xdr:cNvPr>
        <xdr:cNvSpPr/>
      </xdr:nvSpPr>
      <xdr:spPr>
        <a:xfrm>
          <a:off x="3009900" y="5695950"/>
          <a:ext cx="1161288" cy="3017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Non-GHG</a:t>
          </a:r>
          <a:r>
            <a:rPr lang="en-US" sz="1100" baseline="0"/>
            <a:t> Programs</a:t>
          </a:r>
          <a:endParaRPr lang="en-US" sz="1100"/>
        </a:p>
      </xdr:txBody>
    </xdr:sp>
    <xdr:clientData/>
  </xdr:twoCellAnchor>
  <xdr:twoCellAnchor>
    <xdr:from>
      <xdr:col>4</xdr:col>
      <xdr:colOff>133349</xdr:colOff>
      <xdr:row>251</xdr:row>
      <xdr:rowOff>180974</xdr:rowOff>
    </xdr:from>
    <xdr:to>
      <xdr:col>19</xdr:col>
      <xdr:colOff>352424</xdr:colOff>
      <xdr:row>280</xdr:row>
      <xdr:rowOff>38099</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xdr:colOff>
      <xdr:row>0</xdr:row>
      <xdr:rowOff>0</xdr:rowOff>
    </xdr:from>
    <xdr:to>
      <xdr:col>23</xdr:col>
      <xdr:colOff>409575</xdr:colOff>
      <xdr:row>13</xdr:row>
      <xdr:rowOff>133350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1</xdr:colOff>
      <xdr:row>15</xdr:row>
      <xdr:rowOff>0</xdr:rowOff>
    </xdr:from>
    <xdr:to>
      <xdr:col>24</xdr:col>
      <xdr:colOff>152401</xdr:colOff>
      <xdr:row>31</xdr:row>
      <xdr:rowOff>28575</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409575</xdr:colOff>
      <xdr:row>220</xdr:row>
      <xdr:rowOff>9525</xdr:rowOff>
    </xdr:from>
    <xdr:to>
      <xdr:col>20</xdr:col>
      <xdr:colOff>504825</xdr:colOff>
      <xdr:row>243</xdr:row>
      <xdr:rowOff>76200</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276224</xdr:colOff>
      <xdr:row>222</xdr:row>
      <xdr:rowOff>114299</xdr:rowOff>
    </xdr:from>
    <xdr:to>
      <xdr:col>10</xdr:col>
      <xdr:colOff>285750</xdr:colOff>
      <xdr:row>244</xdr:row>
      <xdr:rowOff>28575</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19050</xdr:colOff>
      <xdr:row>32</xdr:row>
      <xdr:rowOff>38100</xdr:rowOff>
    </xdr:from>
    <xdr:to>
      <xdr:col>24</xdr:col>
      <xdr:colOff>171450</xdr:colOff>
      <xdr:row>48</xdr:row>
      <xdr:rowOff>66675</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223</xdr:row>
      <xdr:rowOff>0</xdr:rowOff>
    </xdr:from>
    <xdr:to>
      <xdr:col>2</xdr:col>
      <xdr:colOff>95251</xdr:colOff>
      <xdr:row>244</xdr:row>
      <xdr:rowOff>104776</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0.13444</cdr:x>
      <cdr:y>0.06104</cdr:y>
    </cdr:from>
    <cdr:to>
      <cdr:x>0.57552</cdr:x>
      <cdr:y>0.14703</cdr:y>
    </cdr:to>
    <cdr:sp macro="" textlink="PortfolioDashboard!$Y$387">
      <cdr:nvSpPr>
        <cdr:cNvPr id="2" name="TextBox 14"/>
        <cdr:cNvSpPr txBox="1"/>
      </cdr:nvSpPr>
      <cdr:spPr>
        <a:xfrm xmlns:a="http://schemas.openxmlformats.org/drawingml/2006/main">
          <a:off x="1000103" y="187794"/>
          <a:ext cx="3281219" cy="264560"/>
        </a:xfrm>
        <a:prstGeom xmlns:a="http://schemas.openxmlformats.org/drawingml/2006/main" prst="rect">
          <a:avLst/>
        </a:prstGeom>
        <a:solidFill xmlns:a="http://schemas.openxmlformats.org/drawingml/2006/main">
          <a:sysClr val="window" lastClr="FFFFFF"/>
        </a:solidFill>
        <a:ln xmlns:a="http://schemas.openxmlformats.org/drawingml/2006/main" w="19050" cap="flat" cmpd="sng" algn="ctr">
          <a:solidFill>
            <a:sysClr val="windowText" lastClr="000000"/>
          </a:solidFill>
          <a:prstDash val="solid"/>
        </a:ln>
        <a:effec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BD9C4122-BDB8-43C1-B1FF-2934CE2DB781}" type="TxLink">
            <a:rPr lang="en-US" sz="1100"/>
            <a:pPr/>
            <a:t>Portfolio NPV w/o GHG Compliance Savings: $542 MM</a:t>
          </a:fld>
          <a:endParaRPr lang="en-US" sz="1100"/>
        </a:p>
      </cdr:txBody>
    </cdr:sp>
  </cdr:relSizeAnchor>
  <cdr:relSizeAnchor xmlns:cdr="http://schemas.openxmlformats.org/drawingml/2006/chartDrawing">
    <cdr:from>
      <cdr:x>0.13444</cdr:x>
      <cdr:y>0.14241</cdr:y>
    </cdr:from>
    <cdr:to>
      <cdr:x>0.56932</cdr:x>
      <cdr:y>0.2284</cdr:y>
    </cdr:to>
    <cdr:sp macro="" textlink="PortfolioDashboard!$Y$391">
      <cdr:nvSpPr>
        <cdr:cNvPr id="3" name="TextBox 14"/>
        <cdr:cNvSpPr txBox="1"/>
      </cdr:nvSpPr>
      <cdr:spPr>
        <a:xfrm xmlns:a="http://schemas.openxmlformats.org/drawingml/2006/main">
          <a:off x="1000103" y="438135"/>
          <a:ext cx="3235116" cy="264560"/>
        </a:xfrm>
        <a:prstGeom xmlns:a="http://schemas.openxmlformats.org/drawingml/2006/main" prst="rect">
          <a:avLst/>
        </a:prstGeom>
        <a:solidFill xmlns:a="http://schemas.openxmlformats.org/drawingml/2006/main">
          <a:sysClr val="window" lastClr="FFFFFF"/>
        </a:solidFill>
        <a:ln xmlns:a="http://schemas.openxmlformats.org/drawingml/2006/main" w="19050" cap="flat" cmpd="sng" algn="ctr">
          <a:solidFill>
            <a:sysClr val="windowText" lastClr="000000"/>
          </a:solidFill>
          <a:prstDash val="solid"/>
        </a:ln>
        <a:effec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38967BBF-AB02-4382-B6AB-A3C0BF1616FD}" type="TxLink">
            <a:rPr lang="en-US" sz="1100"/>
            <a:pPr/>
            <a:t>Portfolio NPV w/ GHG Compliance Savings: $605 MM</a:t>
          </a:fld>
          <a:endParaRPr lang="en-US" sz="1100"/>
        </a:p>
      </cdr:txBody>
    </cdr:sp>
  </cdr:relSizeAnchor>
  <cdr:relSizeAnchor xmlns:cdr="http://schemas.openxmlformats.org/drawingml/2006/chartDrawing">
    <cdr:from>
      <cdr:x>0.34015</cdr:x>
      <cdr:y>0.76716</cdr:y>
    </cdr:from>
    <cdr:to>
      <cdr:x>0.71785</cdr:x>
      <cdr:y>0.85316</cdr:y>
    </cdr:to>
    <cdr:sp macro="" textlink="PortfolioDashboard!$W$3">
      <cdr:nvSpPr>
        <cdr:cNvPr id="4" name="TextBox 17"/>
        <cdr:cNvSpPr txBox="1"/>
      </cdr:nvSpPr>
      <cdr:spPr>
        <a:xfrm xmlns:a="http://schemas.openxmlformats.org/drawingml/2006/main">
          <a:off x="2541461" y="2357108"/>
          <a:ext cx="2822079" cy="2642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F93463E3-759E-43EE-B9EF-B5473A5AAE73}" type="TxLink">
            <a:rPr lang="en-US" sz="1100"/>
            <a:pPr/>
            <a:t>PV of Offsets Required for Neutrality: $13MM</a:t>
          </a:fld>
          <a:endParaRPr lang="en-US" sz="1100"/>
        </a:p>
      </cdr:txBody>
    </cdr:sp>
  </cdr:relSizeAnchor>
</c:userShapes>
</file>

<file path=xl/drawings/drawing68.xml><?xml version="1.0" encoding="utf-8"?>
<c:userShapes xmlns:c="http://schemas.openxmlformats.org/drawingml/2006/chart">
  <cdr:relSizeAnchor xmlns:cdr="http://schemas.openxmlformats.org/drawingml/2006/chartDrawing">
    <cdr:from>
      <cdr:x>0.10756</cdr:x>
      <cdr:y>0.13713</cdr:y>
    </cdr:from>
    <cdr:to>
      <cdr:x>0.43792</cdr:x>
      <cdr:y>0.18964</cdr:y>
    </cdr:to>
    <cdr:sp macro="" textlink="PortfolioDashboard!$Y$387">
      <cdr:nvSpPr>
        <cdr:cNvPr id="2" name="TextBox 13"/>
        <cdr:cNvSpPr txBox="1"/>
      </cdr:nvSpPr>
      <cdr:spPr>
        <a:xfrm xmlns:a="http://schemas.openxmlformats.org/drawingml/2006/main">
          <a:off x="800142" y="568181"/>
          <a:ext cx="2457532" cy="217560"/>
        </a:xfrm>
        <a:prstGeom xmlns:a="http://schemas.openxmlformats.org/drawingml/2006/main" prst="rect">
          <a:avLst/>
        </a:prstGeom>
        <a:solidFill xmlns:a="http://schemas.openxmlformats.org/drawingml/2006/main">
          <a:sysClr val="window" lastClr="FFFFFF"/>
        </a:solidFill>
        <a:ln xmlns:a="http://schemas.openxmlformats.org/drawingml/2006/main" w="19050" cap="flat" cmpd="sng" algn="ctr">
          <a:solidFill>
            <a:sysClr val="windowText" lastClr="000000"/>
          </a:solidFill>
          <a:prstDash val="solid"/>
        </a:ln>
        <a:effec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9BEE3B11-F508-40C8-BDC4-8C7F355E246A}" type="TxLink">
            <a:rPr lang="en-US" sz="800"/>
            <a:pPr/>
            <a:t>Portfolio NPV w/o GHG Compliance Savings: $542 MM</a:t>
          </a:fld>
          <a:endParaRPr lang="en-US" sz="800"/>
        </a:p>
      </cdr:txBody>
    </cdr:sp>
  </cdr:relSizeAnchor>
  <cdr:relSizeAnchor xmlns:cdr="http://schemas.openxmlformats.org/drawingml/2006/chartDrawing">
    <cdr:from>
      <cdr:x>0.10755</cdr:x>
      <cdr:y>0.19209</cdr:y>
    </cdr:from>
    <cdr:to>
      <cdr:x>0.43063</cdr:x>
      <cdr:y>0.2446</cdr:y>
    </cdr:to>
    <cdr:sp macro="" textlink="PortfolioDashboard!$Y$391">
      <cdr:nvSpPr>
        <cdr:cNvPr id="3" name="TextBox 13"/>
        <cdr:cNvSpPr txBox="1"/>
      </cdr:nvSpPr>
      <cdr:spPr>
        <a:xfrm xmlns:a="http://schemas.openxmlformats.org/drawingml/2006/main">
          <a:off x="800067" y="795901"/>
          <a:ext cx="2403415" cy="217560"/>
        </a:xfrm>
        <a:prstGeom xmlns:a="http://schemas.openxmlformats.org/drawingml/2006/main" prst="rect">
          <a:avLst/>
        </a:prstGeom>
        <a:solidFill xmlns:a="http://schemas.openxmlformats.org/drawingml/2006/main">
          <a:sysClr val="window" lastClr="FFFFFF"/>
        </a:solidFill>
        <a:ln xmlns:a="http://schemas.openxmlformats.org/drawingml/2006/main" w="19050" cap="flat" cmpd="sng" algn="ctr">
          <a:solidFill>
            <a:sysClr val="windowText" lastClr="000000"/>
          </a:solidFill>
          <a:prstDash val="solid"/>
        </a:ln>
        <a:effec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FFFFE5A-846E-4C9F-B341-03F888528324}" type="TxLink">
            <a:rPr lang="en-US" sz="800"/>
            <a:pPr/>
            <a:t>Portfolio NPV w/ GHG Compliance Savings: $605 MM</a:t>
          </a:fld>
          <a:endParaRPr lang="en-US" sz="800"/>
        </a:p>
      </cdr:txBody>
    </cdr:sp>
  </cdr:relSizeAnchor>
</c:userShapes>
</file>

<file path=xl/drawings/drawing69.xml><?xml version="1.0" encoding="utf-8"?>
<c:userShapes xmlns:c="http://schemas.openxmlformats.org/drawingml/2006/chart">
  <cdr:relSizeAnchor xmlns:cdr="http://schemas.openxmlformats.org/drawingml/2006/chartDrawing">
    <cdr:from>
      <cdr:x>0.15666</cdr:x>
      <cdr:y>0.22832</cdr:y>
    </cdr:from>
    <cdr:to>
      <cdr:x>0.23093</cdr:x>
      <cdr:y>0.26903</cdr:y>
    </cdr:to>
    <cdr:sp macro="" textlink="PortfolioDashboard!$P$251">
      <cdr:nvSpPr>
        <cdr:cNvPr id="2" name="TextBox 1"/>
        <cdr:cNvSpPr txBox="1"/>
      </cdr:nvSpPr>
      <cdr:spPr>
        <a:xfrm xmlns:a="http://schemas.openxmlformats.org/drawingml/2006/main">
          <a:off x="1466853" y="1228726"/>
          <a:ext cx="695324" cy="219076"/>
        </a:xfrm>
        <a:prstGeom xmlns:a="http://schemas.openxmlformats.org/drawingml/2006/main" prst="rect">
          <a:avLst/>
        </a:prstGeom>
        <a:solidFill xmlns:a="http://schemas.openxmlformats.org/drawingml/2006/main">
          <a:schemeClr val="bg1">
            <a:alpha val="50000"/>
          </a:schemeClr>
        </a:solidFill>
      </cdr:spPr>
      <cdr:txBody>
        <a:bodyPr xmlns:a="http://schemas.openxmlformats.org/drawingml/2006/main" vertOverflow="clip" wrap="none" rtlCol="0" anchor="ctr"/>
        <a:lstStyle xmlns:a="http://schemas.openxmlformats.org/drawingml/2006/main"/>
        <a:p xmlns:a="http://schemas.openxmlformats.org/drawingml/2006/main">
          <a:fld id="{6CB818D4-9768-4466-BA3F-0EC66D877EE6}" type="TxLink">
            <a:rPr lang="en-US" sz="1200" b="1"/>
            <a:pPr/>
            <a:t>194,830</a:t>
          </a:fld>
          <a:endParaRPr lang="en-US" sz="1200" b="1"/>
        </a:p>
      </cdr:txBody>
    </cdr:sp>
  </cdr:relSizeAnchor>
  <cdr:relSizeAnchor xmlns:cdr="http://schemas.openxmlformats.org/drawingml/2006/chartDrawing">
    <cdr:from>
      <cdr:x>0.33978</cdr:x>
      <cdr:y>0.36814</cdr:y>
    </cdr:from>
    <cdr:to>
      <cdr:x>0.41404</cdr:x>
      <cdr:y>0.40885</cdr:y>
    </cdr:to>
    <cdr:sp macro="" textlink="PortfolioDashboard!$Q$251">
      <cdr:nvSpPr>
        <cdr:cNvPr id="3" name="TextBox 1"/>
        <cdr:cNvSpPr txBox="1"/>
      </cdr:nvSpPr>
      <cdr:spPr>
        <a:xfrm xmlns:a="http://schemas.openxmlformats.org/drawingml/2006/main">
          <a:off x="3181352" y="1981200"/>
          <a:ext cx="695324" cy="219076"/>
        </a:xfrm>
        <a:prstGeom xmlns:a="http://schemas.openxmlformats.org/drawingml/2006/main" prst="rect">
          <a:avLst/>
        </a:prstGeom>
        <a:solidFill xmlns:a="http://schemas.openxmlformats.org/drawingml/2006/main">
          <a:schemeClr val="bg1">
            <a:alpha val="5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1A807CA-F17E-4227-8817-21268E5C0A21}" type="TxLink">
            <a:rPr lang="en-US" sz="1200" b="1"/>
            <a:pPr/>
            <a:t>150,778</a:t>
          </a:fld>
          <a:endParaRPr lang="en-US" sz="1200" b="1"/>
        </a:p>
      </cdr:txBody>
    </cdr:sp>
  </cdr:relSizeAnchor>
  <cdr:relSizeAnchor xmlns:cdr="http://schemas.openxmlformats.org/drawingml/2006/chartDrawing">
    <cdr:from>
      <cdr:x>0.52391</cdr:x>
      <cdr:y>0.26018</cdr:y>
    </cdr:from>
    <cdr:to>
      <cdr:x>0.59817</cdr:x>
      <cdr:y>0.30089</cdr:y>
    </cdr:to>
    <cdr:sp macro="" textlink="PortfolioDashboard!$R$251">
      <cdr:nvSpPr>
        <cdr:cNvPr id="4" name="TextBox 1"/>
        <cdr:cNvSpPr txBox="1"/>
      </cdr:nvSpPr>
      <cdr:spPr>
        <a:xfrm xmlns:a="http://schemas.openxmlformats.org/drawingml/2006/main">
          <a:off x="4905377" y="1400175"/>
          <a:ext cx="695324" cy="219076"/>
        </a:xfrm>
        <a:prstGeom xmlns:a="http://schemas.openxmlformats.org/drawingml/2006/main" prst="rect">
          <a:avLst/>
        </a:prstGeom>
        <a:solidFill xmlns:a="http://schemas.openxmlformats.org/drawingml/2006/main">
          <a:schemeClr val="bg1">
            <a:alpha val="5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6C01AA7-33F0-4049-B320-AE994F057508}" type="TxLink">
            <a:rPr lang="en-US" sz="1200" b="1"/>
            <a:pPr/>
            <a:t>186,119</a:t>
          </a:fld>
          <a:endParaRPr lang="en-US" sz="1200" b="1"/>
        </a:p>
      </cdr:txBody>
    </cdr:sp>
  </cdr:relSizeAnchor>
  <cdr:relSizeAnchor xmlns:cdr="http://schemas.openxmlformats.org/drawingml/2006/chartDrawing">
    <cdr:from>
      <cdr:x>0.70702</cdr:x>
      <cdr:y>0.39646</cdr:y>
    </cdr:from>
    <cdr:to>
      <cdr:x>0.78128</cdr:x>
      <cdr:y>0.43717</cdr:y>
    </cdr:to>
    <cdr:sp macro="" textlink="PortfolioDashboard!$S$251">
      <cdr:nvSpPr>
        <cdr:cNvPr id="5" name="TextBox 1"/>
        <cdr:cNvSpPr txBox="1"/>
      </cdr:nvSpPr>
      <cdr:spPr>
        <a:xfrm xmlns:a="http://schemas.openxmlformats.org/drawingml/2006/main">
          <a:off x="6619877" y="2133600"/>
          <a:ext cx="695324" cy="219076"/>
        </a:xfrm>
        <a:prstGeom xmlns:a="http://schemas.openxmlformats.org/drawingml/2006/main" prst="rect">
          <a:avLst/>
        </a:prstGeom>
        <a:solidFill xmlns:a="http://schemas.openxmlformats.org/drawingml/2006/main">
          <a:schemeClr val="bg1">
            <a:alpha val="5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fld id="{C6B10508-80EE-4DEB-89E1-47C77F0CE3C9}" type="TxLink">
            <a:rPr lang="en-US" sz="1200" b="1">
              <a:latin typeface="+mn-lt"/>
              <a:ea typeface="+mn-ea"/>
              <a:cs typeface="+mn-cs"/>
            </a:rPr>
            <a:pPr marL="0" indent="0"/>
            <a:t>142,067</a:t>
          </a:fld>
          <a:endParaRPr lang="en-US" sz="1200" b="1">
            <a:latin typeface="+mn-lt"/>
            <a:ea typeface="+mn-ea"/>
            <a:cs typeface="+mn-cs"/>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0.09441</cdr:x>
      <cdr:y>0.07484</cdr:y>
    </cdr:from>
    <cdr:to>
      <cdr:x>0.39284</cdr:x>
      <cdr:y>0.80843</cdr:y>
    </cdr:to>
    <cdr:sp macro="" textlink="">
      <cdr:nvSpPr>
        <cdr:cNvPr id="3" name="Rectangle 2"/>
        <cdr:cNvSpPr/>
      </cdr:nvSpPr>
      <cdr:spPr>
        <a:xfrm xmlns:a="http://schemas.openxmlformats.org/drawingml/2006/main">
          <a:off x="1220151" y="507571"/>
          <a:ext cx="3856985" cy="4975022"/>
        </a:xfrm>
        <a:prstGeom xmlns:a="http://schemas.openxmlformats.org/drawingml/2006/main" prst="rect">
          <a:avLst/>
        </a:prstGeom>
        <a:solidFill xmlns:a="http://schemas.openxmlformats.org/drawingml/2006/main">
          <a:schemeClr val="tx2">
            <a:lumMod val="60000"/>
            <a:lumOff val="40000"/>
            <a:alpha val="2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pPr algn="ctr"/>
          <a:r>
            <a:rPr lang="en-US" sz="1600">
              <a:solidFill>
                <a:sysClr val="windowText" lastClr="000000"/>
              </a:solidFill>
            </a:rPr>
            <a:t>Building</a:t>
          </a:r>
          <a:r>
            <a:rPr lang="en-US" sz="1600" baseline="0">
              <a:solidFill>
                <a:sysClr val="windowText" lastClr="000000"/>
              </a:solidFill>
            </a:rPr>
            <a:t> Energy</a:t>
          </a:r>
          <a:endParaRPr lang="en-US" sz="1600">
            <a:solidFill>
              <a:sysClr val="windowText" lastClr="000000"/>
            </a:solidFill>
          </a:endParaRPr>
        </a:p>
      </cdr:txBody>
    </cdr:sp>
  </cdr:relSizeAnchor>
  <cdr:relSizeAnchor xmlns:cdr="http://schemas.openxmlformats.org/drawingml/2006/chartDrawing">
    <cdr:from>
      <cdr:x>0.39201</cdr:x>
      <cdr:y>0.07364</cdr:y>
    </cdr:from>
    <cdr:to>
      <cdr:x>0.63223</cdr:x>
      <cdr:y>0.812</cdr:y>
    </cdr:to>
    <cdr:sp macro="" textlink="">
      <cdr:nvSpPr>
        <cdr:cNvPr id="4" name="Rectangle 3"/>
        <cdr:cNvSpPr/>
      </cdr:nvSpPr>
      <cdr:spPr>
        <a:xfrm xmlns:a="http://schemas.openxmlformats.org/drawingml/2006/main">
          <a:off x="5066400" y="499383"/>
          <a:ext cx="3104565" cy="5007429"/>
        </a:xfrm>
        <a:prstGeom xmlns:a="http://schemas.openxmlformats.org/drawingml/2006/main" prst="rect">
          <a:avLst/>
        </a:prstGeom>
        <a:solidFill xmlns:a="http://schemas.openxmlformats.org/drawingml/2006/main">
          <a:srgbClr val="C00000">
            <a:alpha val="2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pPr algn="ctr"/>
          <a:r>
            <a:rPr lang="en-US" sz="1600">
              <a:solidFill>
                <a:sysClr val="windowText" lastClr="000000"/>
              </a:solidFill>
            </a:rPr>
            <a:t>Transportation</a:t>
          </a:r>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197827</xdr:colOff>
      <xdr:row>0</xdr:row>
      <xdr:rowOff>65942</xdr:rowOff>
    </xdr:from>
    <xdr:to>
      <xdr:col>0</xdr:col>
      <xdr:colOff>1607527</xdr:colOff>
      <xdr:row>0</xdr:row>
      <xdr:rowOff>342167</xdr:rowOff>
    </xdr:to>
    <xdr:sp macro="" textlink="">
      <xdr:nvSpPr>
        <xdr:cNvPr id="2" name="Rectangle 1">
          <a:hlinkClick xmlns:r="http://schemas.openxmlformats.org/officeDocument/2006/relationships" r:id="rId1"/>
        </xdr:cNvPr>
        <xdr:cNvSpPr/>
      </xdr:nvSpPr>
      <xdr:spPr>
        <a:xfrm>
          <a:off x="197827" y="65942"/>
          <a:ext cx="14097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Portfolio</a:t>
          </a:r>
          <a:r>
            <a:rPr lang="en-US" sz="1100" baseline="0"/>
            <a:t> Dashboard</a:t>
          </a:r>
          <a:endParaRPr lang="en-US" sz="1100"/>
        </a:p>
      </xdr:txBody>
    </xdr:sp>
    <xdr:clientData/>
  </xdr:twoCellAnchor>
</xdr:wsDr>
</file>

<file path=xl/drawings/drawing71.xml><?xml version="1.0" encoding="utf-8"?>
<xdr:wsDr xmlns:xdr="http://schemas.openxmlformats.org/drawingml/2006/spreadsheetDrawing" xmlns:a="http://schemas.openxmlformats.org/drawingml/2006/main">
  <xdr:absoluteAnchor>
    <xdr:pos x="0" y="0"/>
    <xdr:ext cx="8670192"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874058</xdr:colOff>
      <xdr:row>0</xdr:row>
      <xdr:rowOff>280147</xdr:rowOff>
    </xdr:to>
    <xdr:sp macro="" textlink="">
      <xdr:nvSpPr>
        <xdr:cNvPr id="2" name="Oval 1"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874058</xdr:colOff>
      <xdr:row>0</xdr:row>
      <xdr:rowOff>280147</xdr:rowOff>
    </xdr:to>
    <xdr:sp macro="" textlink="">
      <xdr:nvSpPr>
        <xdr:cNvPr id="4" name="Oval 3" descr="5a885c27-2b5c-4a7b-86ad-99d3bde244bd">
          <a:hlinkClick xmlns:r="http://schemas.openxmlformats.org/officeDocument/2006/relationships" r:id="rId1"/>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3</xdr:col>
      <xdr:colOff>1325218</xdr:colOff>
      <xdr:row>0</xdr:row>
      <xdr:rowOff>0</xdr:rowOff>
    </xdr:from>
    <xdr:to>
      <xdr:col>3</xdr:col>
      <xdr:colOff>2199276</xdr:colOff>
      <xdr:row>1</xdr:row>
      <xdr:rowOff>89647</xdr:rowOff>
    </xdr:to>
    <xdr:sp macro="" textlink="">
      <xdr:nvSpPr>
        <xdr:cNvPr id="2" name="Oval 1" descr="5a885c27-2b5c-4a7b-86ad-99d3bde244bd">
          <a:hlinkClick xmlns:r="http://schemas.openxmlformats.org/officeDocument/2006/relationships" r:id="rId1"/>
        </xdr:cNvPr>
        <xdr:cNvSpPr/>
      </xdr:nvSpPr>
      <xdr:spPr>
        <a:xfrm>
          <a:off x="1325218"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219075</xdr:colOff>
      <xdr:row>18</xdr:row>
      <xdr:rowOff>133350</xdr:rowOff>
    </xdr:from>
    <xdr:to>
      <xdr:col>14</xdr:col>
      <xdr:colOff>9525</xdr:colOff>
      <xdr:row>43</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152400</xdr:colOff>
      <xdr:row>0</xdr:row>
      <xdr:rowOff>381000</xdr:rowOff>
    </xdr:from>
    <xdr:to>
      <xdr:col>13</xdr:col>
      <xdr:colOff>552450</xdr:colOff>
      <xdr:row>25</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0</xdr:row>
      <xdr:rowOff>28575</xdr:rowOff>
    </xdr:from>
    <xdr:to>
      <xdr:col>2</xdr:col>
      <xdr:colOff>302558</xdr:colOff>
      <xdr:row>0</xdr:row>
      <xdr:rowOff>308722</xdr:rowOff>
    </xdr:to>
    <xdr:sp macro="" textlink="">
      <xdr:nvSpPr>
        <xdr:cNvPr id="4" name="Oval 3" descr="5a885c27-2b5c-4a7b-86ad-99d3bde244bd">
          <a:hlinkClick xmlns:r="http://schemas.openxmlformats.org/officeDocument/2006/relationships" r:id="rId2"/>
        </xdr:cNvPr>
        <xdr:cNvSpPr/>
      </xdr:nvSpPr>
      <xdr:spPr>
        <a:xfrm>
          <a:off x="238125" y="28575"/>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15</xdr:col>
      <xdr:colOff>304800</xdr:colOff>
      <xdr:row>0</xdr:row>
      <xdr:rowOff>495300</xdr:rowOff>
    </xdr:to>
    <xdr:sp macro="" textlink="">
      <xdr:nvSpPr>
        <xdr:cNvPr id="2" name="AutoShape 2" descr="00e201c39cd1$40fbaf40$ae9b1681@cwru"/>
        <xdr:cNvSpPr>
          <a:spLocks noChangeAspect="1" noChangeArrowheads="1"/>
        </xdr:cNvSpPr>
      </xdr:nvSpPr>
      <xdr:spPr bwMode="auto">
        <a:xfrm>
          <a:off x="9144000" y="0"/>
          <a:ext cx="304800" cy="190500"/>
        </a:xfrm>
        <a:prstGeom prst="rect">
          <a:avLst/>
        </a:prstGeom>
        <a:noFill/>
      </xdr:spPr>
    </xdr:sp>
    <xdr:clientData/>
  </xdr:twoCellAnchor>
  <xdr:twoCellAnchor editAs="oneCell">
    <xdr:from>
      <xdr:col>15</xdr:col>
      <xdr:colOff>0</xdr:colOff>
      <xdr:row>0</xdr:row>
      <xdr:rowOff>0</xdr:rowOff>
    </xdr:from>
    <xdr:to>
      <xdr:col>15</xdr:col>
      <xdr:colOff>304800</xdr:colOff>
      <xdr:row>0</xdr:row>
      <xdr:rowOff>495300</xdr:rowOff>
    </xdr:to>
    <xdr:sp macro="" textlink="">
      <xdr:nvSpPr>
        <xdr:cNvPr id="3" name="AutoShape 8" descr="00e201c39cd1$40fbaf40$ae9b1681@cwru"/>
        <xdr:cNvSpPr>
          <a:spLocks noChangeAspect="1" noChangeArrowheads="1"/>
        </xdr:cNvSpPr>
      </xdr:nvSpPr>
      <xdr:spPr bwMode="auto">
        <a:xfrm>
          <a:off x="9144000" y="0"/>
          <a:ext cx="304800" cy="190500"/>
        </a:xfrm>
        <a:prstGeom prst="rect">
          <a:avLst/>
        </a:prstGeom>
        <a:noFill/>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457199</xdr:colOff>
      <xdr:row>1</xdr:row>
      <xdr:rowOff>104775</xdr:rowOff>
    </xdr:from>
    <xdr:to>
      <xdr:col>12</xdr:col>
      <xdr:colOff>619124</xdr:colOff>
      <xdr:row>30</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264458</xdr:colOff>
      <xdr:row>1</xdr:row>
      <xdr:rowOff>89647</xdr:rowOff>
    </xdr:to>
    <xdr:sp macro="" textlink="">
      <xdr:nvSpPr>
        <xdr:cNvPr id="3" name="Oval 2" descr="5a885c27-2b5c-4a7b-86ad-99d3bde244bd">
          <a:hlinkClick xmlns:r="http://schemas.openxmlformats.org/officeDocument/2006/relationships" r:id="rId2"/>
        </xdr:cNvPr>
        <xdr:cNvSpPr/>
      </xdr:nvSpPr>
      <xdr:spPr>
        <a:xfrm>
          <a:off x="0" y="0"/>
          <a:ext cx="874058" cy="280147"/>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200"/>
            <a:t>HOME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3</xdr:col>
      <xdr:colOff>19050</xdr:colOff>
      <xdr:row>0</xdr:row>
      <xdr:rowOff>152400</xdr:rowOff>
    </xdr:from>
    <xdr:to>
      <xdr:col>15</xdr:col>
      <xdr:colOff>323850</xdr:colOff>
      <xdr:row>22</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53</xdr:row>
      <xdr:rowOff>28575</xdr:rowOff>
    </xdr:from>
    <xdr:to>
      <xdr:col>13</xdr:col>
      <xdr:colOff>219075</xdr:colOff>
      <xdr:row>72</xdr:row>
      <xdr:rowOff>112058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0</xdr:col>
      <xdr:colOff>784412</xdr:colOff>
      <xdr:row>2</xdr:row>
      <xdr:rowOff>179293</xdr:rowOff>
    </xdr:to>
    <xdr:sp macro="" textlink="">
      <xdr:nvSpPr>
        <xdr:cNvPr id="3" name="Oval 2" descr="5a885c27-2b5c-4a7b-86ad-99d3bde244bd">
          <a:hlinkClick xmlns:r="http://schemas.openxmlformats.org/officeDocument/2006/relationships" r:id="rId2"/>
        </xdr:cNvPr>
        <xdr:cNvSpPr/>
      </xdr:nvSpPr>
      <xdr:spPr>
        <a:xfrm>
          <a:off x="1" y="0"/>
          <a:ext cx="784411" cy="593911"/>
        </a:xfrm>
        <a:prstGeom prst="ellipse">
          <a:avLst/>
        </a:prstGeom>
      </xdr:spPr>
      <xdr:style>
        <a:lnRef idx="0">
          <a:schemeClr val="accent3"/>
        </a:lnRef>
        <a:fillRef idx="3">
          <a:schemeClr val="accent3"/>
        </a:fillRef>
        <a:effectRef idx="3">
          <a:schemeClr val="accent3"/>
        </a:effectRef>
        <a:fontRef idx="minor">
          <a:schemeClr val="lt1"/>
        </a:fontRef>
      </xdr:style>
      <xdr:txBody>
        <a:bodyPr rtlCol="0" anchor="ctr"/>
        <a:lstStyle/>
        <a:p>
          <a:pPr algn="ctr"/>
          <a:r>
            <a:rPr lang="en-US" sz="1100"/>
            <a:t>HOME</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0.17296</cdr:x>
      <cdr:y>0.32122</cdr:y>
    </cdr:from>
    <cdr:to>
      <cdr:x>0.17311</cdr:x>
      <cdr:y>0.88026</cdr:y>
    </cdr:to>
    <cdr:cxnSp macro="">
      <cdr:nvCxnSpPr>
        <cdr:cNvPr id="3" name="Straight Connector 2"/>
        <cdr:cNvCxnSpPr/>
      </cdr:nvCxnSpPr>
      <cdr:spPr>
        <a:xfrm xmlns:a="http://schemas.openxmlformats.org/drawingml/2006/main" rot="5400000" flipH="1" flipV="1">
          <a:off x="829508" y="2223734"/>
          <a:ext cx="2070115" cy="1616"/>
        </a:xfrm>
        <a:prstGeom xmlns:a="http://schemas.openxmlformats.org/drawingml/2006/main" prst="line">
          <a:avLst/>
        </a:prstGeom>
        <a:noFill xmlns:a="http://schemas.openxmlformats.org/drawingml/2006/main"/>
        <a:ln xmlns:a="http://schemas.openxmlformats.org/drawingml/2006/main" w="25400" cap="flat" cmpd="sng" algn="ctr">
          <a:solidFill>
            <a:sysClr val="windowText" lastClr="000000"/>
          </a:solidFill>
          <a:prstDash val="sysDash"/>
        </a:ln>
        <a:effectLst xmlns:a="http://schemas.openxmlformats.org/drawingml/2006/main">
          <a:outerShdw blurRad="40000" dist="20000" dir="5400000" rotWithShape="0">
            <a:srgbClr val="000000">
              <a:alpha val="38000"/>
            </a:srgbClr>
          </a:outerShdw>
        </a:effectLst>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rgy2\ESI\REGULATN\PA&amp;D\DSMRecov\2001\RECOV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usiness%20archive%20-%202009_07_24\Engagements%20-%20Active\Ithaca%20College\Ithaca%20CAP%20Model%20Final%202009%2009%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i\CLIENTS%20&amp;%20PROJECTS\Michigan%20State%20University\1105%20MSU%20Energy%20Plan\Model\MSUStrategicEnergyModel_r0l_2010_10_2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rmckenna\Local%20Settings\Temporary%20Internet%20Files\Content.Outlook\Y9RUGGXN\EXAMPLE%20CAP%20Model%20-%20r2n%202009_04_2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LIENTS%20&amp;%20PROJECTS\Ohio%20State%20University\1058\Model\OSU%20Financial%20Exposure%20-%20r1a%20-%202010_07_2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rmckenna\Application%20Data\Microsoft\Excel\Ithaca%20CAP%20Model%20Final%202009%2012%2023%20w%20NYSERDA%20Summary%20(version%202).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usiness%20archive%20-%202010_07_13\Engagements%20-%20Active\1058%20-%20Ohio%20State%20-%20Energy%20and%20Infrastructure%20Plan\E&amp;I%20Report\Cogeneration\Model_OSU_CHP_NG_Central%20Plant%20-%20rfinal%20-%202010_10_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travis.ESTRAT\AppData\Local\Microsoft\Windows\Temporary%20Internet%20Files\Content.Outlook\KGL5FNY9\Campus%20Utilites%20r1%202010_09_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s>
    <sheetDataSet>
      <sheetData sheetId="0"/>
      <sheetData sheetId="1"/>
      <sheetData sheetId="2"/>
      <sheetData sheetId="3"/>
      <sheetData sheetId="4"/>
      <sheetData sheetId="5" refreshError="1">
        <row r="21">
          <cell r="G21">
            <v>83871482</v>
          </cell>
          <cell r="J21">
            <v>0</v>
          </cell>
        </row>
        <row r="22">
          <cell r="J22">
            <v>1056426642</v>
          </cell>
        </row>
        <row r="23">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 Campus Utility Supply"/>
      <sheetName val="Chart2"/>
      <sheetName val="Overview"/>
      <sheetName val="CampusGrowth_EUI"/>
      <sheetName val="Utility Demand"/>
      <sheetName val="CHT_Demand"/>
      <sheetName val="Factors"/>
      <sheetName val="CommodityPricing"/>
      <sheetName val="IC Metrics"/>
      <sheetName val="Capital Plan"/>
      <sheetName val="Chart4"/>
      <sheetName val="Utility Supply"/>
      <sheetName val="Primary Energy"/>
      <sheetName val="GHG"/>
      <sheetName val="ExposureCalculations"/>
      <sheetName val="GHGFinExp"/>
      <sheetName val="Hours"/>
      <sheetName val="Control"/>
      <sheetName val="BEC Summary"/>
      <sheetName val="Summary"/>
      <sheetName val="AbateCurve"/>
      <sheetName val="Chart5"/>
      <sheetName val="Chart6"/>
      <sheetName val="CurveData"/>
      <sheetName val="Chart7"/>
      <sheetName val="Chart8"/>
      <sheetName val="Chart9"/>
      <sheetName val="PortfoliobyScope"/>
      <sheetName val="Chart10"/>
      <sheetName val="PortfolioValues"/>
      <sheetName val="Chart11"/>
      <sheetName val="CurveDataOffsets"/>
      <sheetName val="WedgeData"/>
      <sheetName val="Chart12"/>
      <sheetName val="Chart13"/>
      <sheetName val="CashFlow"/>
      <sheetName val="Scope 1"/>
      <sheetName val="Scope 2"/>
      <sheetName val="Scope 3 Commut"/>
      <sheetName val="Scope 3 Air"/>
      <sheetName val="GHGSavings"/>
      <sheetName val="FuelSavings"/>
      <sheetName val="CAPEX"/>
      <sheetName val="OPEX"/>
      <sheetName val="GHGComplianceSavings"/>
      <sheetName val="List of Alternatives"/>
      <sheetName val="MeterManage"/>
      <sheetName val="Behavior"/>
      <sheetName val="ApplianceEffStds"/>
      <sheetName val="SpaceMgt"/>
      <sheetName val="MechSysUpgrades"/>
      <sheetName val="LightingUpgrades"/>
      <sheetName val="GeoExchange"/>
      <sheetName val="Bldg Plant Upgrades"/>
      <sheetName val="RUPs"/>
      <sheetName val="CUP"/>
      <sheetName val="EGS_Chiller"/>
      <sheetName val="DesignStds"/>
      <sheetName val="WaterUpgrades"/>
      <sheetName val="SolarDHW"/>
      <sheetName val="SolarPV"/>
      <sheetName val="Wind"/>
      <sheetName val="EngineeredGeo"/>
      <sheetName val="Commuter_Mod"/>
      <sheetName val="Commuter_Reach"/>
      <sheetName val="FleetEfficiency"/>
      <sheetName val="FleetAFV"/>
      <sheetName val="AirTravel"/>
      <sheetName val="CommuterTravel"/>
      <sheetName val="Fleet Detail"/>
      <sheetName val="Air Summary"/>
      <sheetName val="M Campus GHG"/>
      <sheetName val="Chart14"/>
      <sheetName val="Chart15"/>
      <sheetName val="Utility Plant"/>
      <sheetName val="Chart1"/>
      <sheetName val="GHG_CHT"/>
      <sheetName val="RelativeAbatementCurve"/>
      <sheetName val="AbatementCurve"/>
      <sheetName val="CHT_BaseWedge"/>
      <sheetName val="CHT_Wedgewithbase"/>
      <sheetName val="CHT_Wedge"/>
      <sheetName val="CHT_Wedge by Scope"/>
      <sheetName val="AbateCurvePortfolio"/>
      <sheetName val="CashFlowChart"/>
      <sheetName val="CashFlowChartRef"/>
      <sheetName val="CN Chart1"/>
      <sheetName val="Chart3"/>
    </sheetNames>
    <sheetDataSet>
      <sheetData sheetId="0"/>
      <sheetData sheetId="1"/>
      <sheetData sheetId="2"/>
      <sheetData sheetId="3"/>
      <sheetData sheetId="4"/>
      <sheetData sheetId="5"/>
      <sheetData sheetId="6">
        <row r="9">
          <cell r="N9">
            <v>5.2943788333333339E-2</v>
          </cell>
        </row>
      </sheetData>
      <sheetData sheetId="7">
        <row r="2">
          <cell r="C2" t="str">
            <v>Natural Gas - Distribution</v>
          </cell>
        </row>
      </sheetData>
      <sheetData sheetId="8"/>
      <sheetData sheetId="9"/>
      <sheetData sheetId="10"/>
      <sheetData sheetId="11"/>
      <sheetData sheetId="12"/>
      <sheetData sheetId="13">
        <row r="17">
          <cell r="H17">
            <v>0.20150397803662468</v>
          </cell>
        </row>
      </sheetData>
      <sheetData sheetId="14">
        <row r="6">
          <cell r="N6" t="str">
            <v>Weak</v>
          </cell>
        </row>
      </sheetData>
      <sheetData sheetId="15"/>
      <sheetData sheetId="16"/>
      <sheetData sheetId="17">
        <row r="2">
          <cell r="A2">
            <v>22</v>
          </cell>
        </row>
      </sheetData>
      <sheetData sheetId="18"/>
      <sheetData sheetId="19">
        <row r="1">
          <cell r="A1" t="str">
            <v>Rank</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A3" t="str">
            <v>Scope 1 Abatement</v>
          </cell>
        </row>
      </sheetData>
      <sheetData sheetId="37">
        <row r="3">
          <cell r="A3" t="str">
            <v>Scope 2 Abatement</v>
          </cell>
        </row>
      </sheetData>
      <sheetData sheetId="38">
        <row r="3">
          <cell r="A3" t="str">
            <v>Scope 3 Commuting Abatement</v>
          </cell>
        </row>
      </sheetData>
      <sheetData sheetId="39">
        <row r="3">
          <cell r="A3" t="str">
            <v>Scope 3 Air Abatement</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19">
          <cell r="A19">
            <v>2010</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verview"/>
      <sheetName val="Overview (2)"/>
      <sheetName val="Notes"/>
      <sheetName val="General"/>
      <sheetName val="REFCASE_Overview"/>
      <sheetName val="REFCASE_Worksheet"/>
      <sheetName val="Test Year HourlyData"/>
      <sheetName val="RefCase_CampusArea"/>
      <sheetName val="RefCase_Supply"/>
      <sheetName val="RefCaseSteamSupply"/>
      <sheetName val="Max Hour"/>
      <sheetName val="Overhaul"/>
      <sheetName val="ExternalPlanning"/>
      <sheetName val="CommodityPricing"/>
      <sheetName val="SupplyModules"/>
      <sheetName val="Tables"/>
      <sheetName val="CHT_CampusArea"/>
      <sheetName val="Building Data"/>
      <sheetName val="CampusAreabyYear"/>
      <sheetName val="FutureBldgs"/>
      <sheetName val="Documentation User Interface"/>
      <sheetName val="Charter"/>
      <sheetName val="Scope"/>
      <sheetName val="PhysicalBoundary"/>
      <sheetName val="Metrics"/>
      <sheetName val="Change Log"/>
      <sheetName val="Glossary"/>
      <sheetName val="FAQ"/>
      <sheetName val="Plant"/>
      <sheetName val="DistElec"/>
      <sheetName val="DistSteam"/>
      <sheetName val="DistCHW"/>
      <sheetName val="Points of Integration"/>
      <sheetName val="SMEs"/>
      <sheetName val="APR 2008-2009"/>
      <sheetName val="Fuel Data"/>
      <sheetName val="Fuel Data-MMBTU"/>
      <sheetName val="Fuel Heating Value"/>
      <sheetName val="Electrical Data"/>
      <sheetName val="Maximum Demand Data"/>
      <sheetName val="Average Demand Data"/>
      <sheetName val="cht_STEAM"/>
      <sheetName val="Steam Data"/>
      <sheetName val="Performance Data"/>
      <sheetName val="Misc. Data"/>
    </sheetNames>
    <sheetDataSet>
      <sheetData sheetId="0"/>
      <sheetData sheetId="1"/>
      <sheetData sheetId="2"/>
      <sheetData sheetId="3">
        <row r="2">
          <cell r="B2">
            <v>2011</v>
          </cell>
        </row>
      </sheetData>
      <sheetData sheetId="4"/>
      <sheetData sheetId="5"/>
      <sheetData sheetId="6">
        <row r="1">
          <cell r="AD1">
            <v>0.8</v>
          </cell>
        </row>
      </sheetData>
      <sheetData sheetId="7"/>
      <sheetData sheetId="8"/>
      <sheetData sheetId="9" refreshError="1"/>
      <sheetData sheetId="10"/>
      <sheetData sheetId="11"/>
      <sheetData sheetId="12"/>
      <sheetData sheetId="13">
        <row r="4">
          <cell r="B4">
            <v>6.1454971333333326</v>
          </cell>
        </row>
      </sheetData>
      <sheetData sheetId="14"/>
      <sheetData sheetId="15"/>
      <sheetData sheetId="16">
        <row r="3">
          <cell r="B3" t="str">
            <v>Elec_Served</v>
          </cell>
          <cell r="D3">
            <v>60</v>
          </cell>
        </row>
        <row r="5">
          <cell r="AF5" t="str">
            <v>Owned</v>
          </cell>
          <cell r="AG5" t="str">
            <v>Owned</v>
          </cell>
          <cell r="AH5">
            <v>2</v>
          </cell>
        </row>
        <row r="6">
          <cell r="W6">
            <v>1990</v>
          </cell>
          <cell r="AF6" t="str">
            <v>Building Type</v>
          </cell>
          <cell r="AG6" t="str">
            <v>BuildingType</v>
          </cell>
          <cell r="AH6">
            <v>2</v>
          </cell>
        </row>
        <row r="7">
          <cell r="AF7" t="str">
            <v>Structure Type</v>
          </cell>
          <cell r="AG7" t="str">
            <v>StructureType</v>
          </cell>
          <cell r="AH7">
            <v>2</v>
          </cell>
        </row>
        <row r="8">
          <cell r="AF8" t="str">
            <v>Building Usage</v>
          </cell>
          <cell r="AG8" t="str">
            <v>BuildingUsage</v>
          </cell>
          <cell r="AH8">
            <v>7</v>
          </cell>
        </row>
        <row r="9">
          <cell r="AF9" t="str">
            <v>Central Control Connection</v>
          </cell>
          <cell r="AG9" t="str">
            <v>CentralControl</v>
          </cell>
          <cell r="AH9">
            <v>5</v>
          </cell>
        </row>
        <row r="10">
          <cell r="AF10" t="str">
            <v>Elec_Served</v>
          </cell>
          <cell r="AG10" t="str">
            <v>CentralElectric</v>
          </cell>
          <cell r="AH10">
            <v>2</v>
          </cell>
          <cell r="AJ10">
            <v>135</v>
          </cell>
        </row>
        <row r="11">
          <cell r="AF11" t="str">
            <v>Steam_Served</v>
          </cell>
          <cell r="AG11" t="str">
            <v>CentralSteam</v>
          </cell>
          <cell r="AH11">
            <v>2</v>
          </cell>
        </row>
        <row r="12">
          <cell r="AF12" t="str">
            <v>Either_Served</v>
          </cell>
          <cell r="AG12" t="str">
            <v>CentralEither</v>
          </cell>
          <cell r="AH12">
            <v>2</v>
          </cell>
        </row>
      </sheetData>
      <sheetData sheetId="17"/>
      <sheetData sheetId="18">
        <row r="1">
          <cell r="B1" t="str">
            <v>Owned</v>
          </cell>
        </row>
      </sheetData>
      <sheetData sheetId="19">
        <row r="2">
          <cell r="B2">
            <v>11</v>
          </cell>
        </row>
        <row r="5">
          <cell r="B5" t="str">
            <v>Broad Art Museum</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A5">
            <v>158.80000000000001</v>
          </cell>
        </row>
      </sheetData>
      <sheetData sheetId="36"/>
      <sheetData sheetId="37"/>
      <sheetData sheetId="38">
        <row r="5">
          <cell r="A5">
            <v>3230.95</v>
          </cell>
        </row>
      </sheetData>
      <sheetData sheetId="39"/>
      <sheetData sheetId="40"/>
      <sheetData sheetId="41" refreshError="1"/>
      <sheetData sheetId="42">
        <row r="5">
          <cell r="A5">
            <v>2831.9</v>
          </cell>
        </row>
      </sheetData>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aseCase"/>
      <sheetName val="BaseCaseBridge"/>
      <sheetName val="Output_Template"/>
      <sheetName val="PortfolioOutput"/>
      <sheetName val="Summary"/>
      <sheetName val="Portfolio"/>
      <sheetName val="PortfolioMetrics"/>
      <sheetName val="Chart1"/>
      <sheetName val="InputSheet"/>
      <sheetName val="OutputSheet"/>
      <sheetName val="CapitalandSpending"/>
      <sheetName val="Alternative_Template"/>
      <sheetName val="Campus_Pop_Area_EUI"/>
      <sheetName val="EUI per Capital Plan"/>
      <sheetName val="Revised Mar 2009 Strat Plan"/>
      <sheetName val="Utility Demand"/>
      <sheetName val="Demand (MMBtu) Chart"/>
      <sheetName val="Chart4"/>
      <sheetName val="Utility Plant"/>
      <sheetName val="Utility Supply"/>
      <sheetName val="HourlyCooling"/>
      <sheetName val="Chart5"/>
      <sheetName val="Primary Energy"/>
      <sheetName val="Primary Energy_CHT"/>
      <sheetName val="GHG"/>
      <sheetName val="Chart7"/>
      <sheetName val="Energy Flow"/>
      <sheetName val="Levitan 2025"/>
      <sheetName val="Compare"/>
      <sheetName val="2007-08"/>
      <sheetName val="Copy of Annual Economics"/>
      <sheetName val="GHGPricing"/>
      <sheetName val="GHG Financial Exposure"/>
      <sheetName val="Factors"/>
      <sheetName val="Emission Factors"/>
      <sheetName val="Campus Growth"/>
      <sheetName val="Enrollment"/>
      <sheetName val="Energy Price Forecasts-Summary"/>
      <sheetName val="Chart8"/>
      <sheetName val="Chart9"/>
      <sheetName val="Chart Data"/>
      <sheetName val="Chart10"/>
      <sheetName val="Supply Stack"/>
      <sheetName val="2- Value Source Graphic"/>
      <sheetName val="Instructions"/>
      <sheetName val="Inputs"/>
      <sheetName val="Geocode Inputs"/>
      <sheetName val="Assumptions"/>
      <sheetName val="Emissions Inputs"/>
      <sheetName val="Annualized Outputs"/>
      <sheetName val="Chart11"/>
      <sheetName val="Transportation_Emissions"/>
      <sheetName val="CommuterProgramCosts"/>
      <sheetName val="Daily Outputs"/>
      <sheetName val="Survey Veh"/>
      <sheetName val="Survey Bus"/>
      <sheetName val="Geocode Veh"/>
      <sheetName val="Geocode Bus"/>
      <sheetName val="Empl Geocode Data"/>
      <sheetName val="Survey Veh - UG"/>
      <sheetName val="Survey Bus - UG"/>
      <sheetName val="Geocode Veh - UG"/>
      <sheetName val="Geocode Bus - UG"/>
      <sheetName val="UG Geocode Data"/>
      <sheetName val="Survey Veh - G"/>
      <sheetName val="Survey Bus - G"/>
      <sheetName val="Geocode Veh - G"/>
      <sheetName val="Geocode Bus - G"/>
      <sheetName val="G Geocode Data"/>
      <sheetName val="Survey Veh (2)"/>
      <sheetName val="BusinessTravel"/>
      <sheetName val="FleetFuel"/>
      <sheetName val="Off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I1">
            <v>58</v>
          </cell>
        </row>
        <row r="3">
          <cell r="BO3" t="str">
            <v>BAU: Coal Through Forecast Period</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Overview"/>
      <sheetName val="Population"/>
      <sheetName val="Campus Area"/>
      <sheetName val="EUI"/>
      <sheetName val="CampusGrowth_EUI"/>
      <sheetName val="GrowthEUI"/>
      <sheetName val="Utility Demand"/>
      <sheetName val="CHT_Demand"/>
      <sheetName val="Factors"/>
      <sheetName val="CommodityPricing"/>
      <sheetName val="GHG_CHT"/>
      <sheetName val="Utility Supply"/>
      <sheetName val="Primary Energy"/>
      <sheetName val="GHG"/>
      <sheetName val="ExposureCalculations"/>
      <sheetName val="GHGFinExp"/>
      <sheetName val="ExposureCalculationsJeff"/>
      <sheetName val="GHGFinExpJeff"/>
      <sheetName val="RelativeAbatementCurve"/>
      <sheetName val="AbatementCurve"/>
      <sheetName val="CHT_BaseWedge"/>
      <sheetName val="CHT_Wedgewithbase"/>
      <sheetName val="CHT_Wedge"/>
      <sheetName val="CHT_Wedge by Scope"/>
      <sheetName val="AbateCurvePortfolio"/>
      <sheetName val="CashFlowChart"/>
      <sheetName val="CashFlowChartRef"/>
      <sheetName val="MeterManage"/>
      <sheetName val="CN Chart1"/>
      <sheetName val="Chart3"/>
    </sheetNames>
    <sheetDataSet>
      <sheetData sheetId="0" refreshError="1"/>
      <sheetData sheetId="1" refreshError="1"/>
      <sheetData sheetId="2" refreshError="1"/>
      <sheetData sheetId="3">
        <row r="2">
          <cell r="B2" t="str">
            <v>Campus Area GSF (1,000's)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 Campus Utility Supply"/>
      <sheetName val="Chart1"/>
      <sheetName val="Overview"/>
      <sheetName val="NYSERDA Summary"/>
      <sheetName val="CampusGrowth_EUI"/>
      <sheetName val="Utility Demand"/>
      <sheetName val="CHT_Demand"/>
      <sheetName val="Factors"/>
      <sheetName val="CommodityPricing"/>
      <sheetName val="IC Metrics"/>
      <sheetName val="Capital Plan"/>
      <sheetName val="GHG_CHT"/>
      <sheetName val="Utility Supply"/>
      <sheetName val="Primary Energy"/>
      <sheetName val="GHG"/>
      <sheetName val="ExposureCalculations"/>
      <sheetName val="Hours"/>
      <sheetName val="Control"/>
      <sheetName val="BEC Summary"/>
      <sheetName val="Summary"/>
      <sheetName val="AbateCurve"/>
      <sheetName val="RelativeAbatementCurve"/>
      <sheetName val="AbatementCurve"/>
      <sheetName val="CurveData"/>
      <sheetName val="CHT_BaseWedge"/>
      <sheetName val="CHT_Wedgewithbase"/>
      <sheetName val="CHT_Wedge"/>
      <sheetName val="PortfoliobyScope"/>
      <sheetName val="CHT_Wedge by Scope"/>
      <sheetName val="PortfolioValues"/>
      <sheetName val="AbateCurvePortfolio"/>
      <sheetName val="CurveDataOffsets"/>
      <sheetName val="WedgeData"/>
      <sheetName val="CashFlowChart"/>
      <sheetName val="CashFlowChartRef"/>
      <sheetName val="CashFlow"/>
      <sheetName val="Scope 1"/>
      <sheetName val="Scope 2"/>
      <sheetName val="Scope 3 Commut"/>
      <sheetName val="Scope 3 Air"/>
      <sheetName val="GHGSavings"/>
      <sheetName val="FuelSavings"/>
      <sheetName val="CAPEX"/>
      <sheetName val="OPEX"/>
      <sheetName val="GHGComplianceSavings"/>
      <sheetName val="List of Alternatives"/>
      <sheetName val="MeterManage"/>
      <sheetName val="Behavior"/>
      <sheetName val="ApplianceEffStds"/>
      <sheetName val="SpaceMgt"/>
      <sheetName val="MechSysUpgrades"/>
      <sheetName val="LightingUpgrades"/>
      <sheetName val="GeoExchange"/>
      <sheetName val="Bldg Plant Upgrades"/>
      <sheetName val="RUPs"/>
      <sheetName val="CUP"/>
      <sheetName val="EGS_Chiller"/>
      <sheetName val="DesignStds"/>
      <sheetName val="WaterUpgrades"/>
      <sheetName val="SolarDHW"/>
      <sheetName val="SolarPV"/>
      <sheetName val="Wind"/>
      <sheetName val="EngineeredGeo"/>
      <sheetName val="Commuter_Mod"/>
      <sheetName val="Commuter_Reach"/>
      <sheetName val="FleetEfficiency"/>
      <sheetName val="FleetAFV"/>
      <sheetName val="AirTravel"/>
      <sheetName val="CommuterTravel"/>
      <sheetName val="Fleet Detail"/>
      <sheetName val="Air Summary"/>
      <sheetName val="M Campus GHG"/>
      <sheetName val="CN Chart1"/>
      <sheetName val="Chart3"/>
      <sheetName val="Utility Plant"/>
    </sheetNames>
    <sheetDataSet>
      <sheetData sheetId="0" refreshError="1"/>
      <sheetData sheetId="1" refreshError="1"/>
      <sheetData sheetId="2" refreshError="1"/>
      <sheetData sheetId="3">
        <row r="1">
          <cell r="A1" t="str">
            <v>PROJECT SUMMARY SHEET</v>
          </cell>
        </row>
      </sheetData>
      <sheetData sheetId="4" refreshError="1"/>
      <sheetData sheetId="5" refreshError="1"/>
      <sheetData sheetId="6" refreshError="1"/>
      <sheetData sheetId="7">
        <row r="9">
          <cell r="N9">
            <v>5.2943788333333339E-2</v>
          </cell>
        </row>
      </sheetData>
      <sheetData sheetId="8">
        <row r="2">
          <cell r="C2" t="str">
            <v>Natural Gas - Distribution</v>
          </cell>
        </row>
      </sheetData>
      <sheetData sheetId="9" refreshError="1"/>
      <sheetData sheetId="10" refreshError="1"/>
      <sheetData sheetId="11" refreshError="1"/>
      <sheetData sheetId="12" refreshError="1"/>
      <sheetData sheetId="13" refreshError="1"/>
      <sheetData sheetId="14">
        <row r="1">
          <cell r="B1" t="str">
            <v>Scope 1</v>
          </cell>
        </row>
      </sheetData>
      <sheetData sheetId="15">
        <row r="2">
          <cell r="G2" t="str">
            <v>Total GHG Emissions</v>
          </cell>
        </row>
        <row r="16">
          <cell r="A16">
            <v>2010</v>
          </cell>
        </row>
        <row r="17">
          <cell r="A17">
            <v>2011</v>
          </cell>
        </row>
        <row r="18">
          <cell r="A18">
            <v>2012</v>
          </cell>
        </row>
        <row r="19">
          <cell r="A19">
            <v>2013</v>
          </cell>
        </row>
        <row r="20">
          <cell r="A20">
            <v>2014</v>
          </cell>
        </row>
        <row r="21">
          <cell r="A21">
            <v>2015</v>
          </cell>
        </row>
        <row r="22">
          <cell r="A22">
            <v>2016</v>
          </cell>
        </row>
        <row r="23">
          <cell r="A23">
            <v>2017</v>
          </cell>
        </row>
        <row r="24">
          <cell r="A24">
            <v>2018</v>
          </cell>
        </row>
        <row r="25">
          <cell r="A25">
            <v>2019</v>
          </cell>
        </row>
        <row r="26">
          <cell r="A26">
            <v>2020</v>
          </cell>
        </row>
        <row r="27">
          <cell r="A27">
            <v>2021</v>
          </cell>
        </row>
        <row r="28">
          <cell r="A28">
            <v>2022</v>
          </cell>
        </row>
        <row r="29">
          <cell r="A29">
            <v>2023</v>
          </cell>
        </row>
        <row r="30">
          <cell r="A30">
            <v>2024</v>
          </cell>
        </row>
        <row r="31">
          <cell r="A31">
            <v>2025</v>
          </cell>
        </row>
        <row r="32">
          <cell r="A32">
            <v>2026</v>
          </cell>
        </row>
        <row r="33">
          <cell r="A33">
            <v>2027</v>
          </cell>
        </row>
        <row r="34">
          <cell r="A34">
            <v>2028</v>
          </cell>
        </row>
        <row r="35">
          <cell r="A35">
            <v>2029</v>
          </cell>
        </row>
        <row r="36">
          <cell r="A36">
            <v>2030</v>
          </cell>
        </row>
        <row r="37">
          <cell r="A37">
            <v>2031</v>
          </cell>
        </row>
        <row r="38">
          <cell r="A38">
            <v>2032</v>
          </cell>
        </row>
        <row r="39">
          <cell r="A39">
            <v>2033</v>
          </cell>
        </row>
        <row r="40">
          <cell r="A40">
            <v>2034</v>
          </cell>
        </row>
        <row r="41">
          <cell r="A41">
            <v>2035</v>
          </cell>
        </row>
        <row r="42">
          <cell r="A42">
            <v>2036</v>
          </cell>
        </row>
        <row r="43">
          <cell r="A43">
            <v>2037</v>
          </cell>
        </row>
        <row r="44">
          <cell r="A44">
            <v>2038</v>
          </cell>
        </row>
        <row r="45">
          <cell r="A45">
            <v>2039</v>
          </cell>
        </row>
        <row r="46">
          <cell r="A46">
            <v>2040</v>
          </cell>
        </row>
        <row r="47">
          <cell r="A47">
            <v>2041</v>
          </cell>
        </row>
        <row r="48">
          <cell r="A48">
            <v>2042</v>
          </cell>
        </row>
        <row r="49">
          <cell r="A49">
            <v>2043</v>
          </cell>
        </row>
        <row r="50">
          <cell r="A50">
            <v>2044</v>
          </cell>
        </row>
        <row r="51">
          <cell r="A51">
            <v>2045</v>
          </cell>
        </row>
        <row r="52">
          <cell r="A52">
            <v>2046</v>
          </cell>
        </row>
        <row r="53">
          <cell r="A53">
            <v>2047</v>
          </cell>
        </row>
        <row r="54">
          <cell r="A54">
            <v>2048</v>
          </cell>
        </row>
        <row r="55">
          <cell r="A55">
            <v>2049</v>
          </cell>
        </row>
        <row r="56">
          <cell r="A56">
            <v>2050</v>
          </cell>
        </row>
      </sheetData>
      <sheetData sheetId="16" refreshError="1"/>
      <sheetData sheetId="17">
        <row r="2">
          <cell r="A2">
            <v>22</v>
          </cell>
        </row>
      </sheetData>
      <sheetData sheetId="18" refreshError="1"/>
      <sheetData sheetId="19">
        <row r="1">
          <cell r="A1" t="str">
            <v>Rank</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A3" t="str">
            <v>Scope 1 Abatement</v>
          </cell>
        </row>
      </sheetData>
      <sheetData sheetId="37">
        <row r="3">
          <cell r="A3" t="str">
            <v>Scope 2 Abatement</v>
          </cell>
        </row>
      </sheetData>
      <sheetData sheetId="38">
        <row r="3">
          <cell r="A3" t="str">
            <v>Scope 3 Commuting Abatement</v>
          </cell>
        </row>
      </sheetData>
      <sheetData sheetId="39">
        <row r="3">
          <cell r="A3" t="str">
            <v>Scope 3 Air Abatement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9">
          <cell r="A19">
            <v>2010</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itle Page"/>
      <sheetName val="CHP_NG_Baseload_With DB"/>
      <sheetName val="Summary for Metric Brief"/>
      <sheetName val="GHG Compliance "/>
      <sheetName val="NG Prices"/>
      <sheetName val="Results_AEI"/>
      <sheetName val="Assumptions_AEI"/>
      <sheetName val="Load Duration 2007-2008"/>
      <sheetName val="CT Load Duration 2007-2008_AEI"/>
      <sheetName val="Load Duration 2008-2009_AEI"/>
      <sheetName val="CT Load Duration 2008-2009_AEI"/>
      <sheetName val="CT 2007 sorted_AEI"/>
      <sheetName val="CT 2008 sorted_AEI"/>
      <sheetName val="July 2007 thru June 2008_AEI"/>
      <sheetName val="July 2008 thru June 2009_AEI"/>
      <sheetName val="Elec Duration 2007-2008_AEI"/>
      <sheetName val="Elec Duration 2008-2009_AEI"/>
      <sheetName val="Elec Duration 2007 sorted_AEI"/>
      <sheetName val="Elec Duration 2008 sorted_AEI"/>
      <sheetName val="Elec Hourly Data_AEI"/>
      <sheetName val="Thermal hourlydata_AEI"/>
      <sheetName val="Sheet1"/>
      <sheetName val="Sheet2"/>
      <sheetName val="Sheet3"/>
    </sheetNames>
    <sheetDataSet>
      <sheetData sheetId="0"/>
      <sheetData sheetId="1"/>
      <sheetData sheetId="2"/>
      <sheetData sheetId="3">
        <row r="8">
          <cell r="B8">
            <v>0</v>
          </cell>
        </row>
        <row r="9">
          <cell r="B9">
            <v>0</v>
          </cell>
        </row>
        <row r="10">
          <cell r="B10">
            <v>0</v>
          </cell>
        </row>
        <row r="11">
          <cell r="B11">
            <v>0</v>
          </cell>
        </row>
        <row r="12">
          <cell r="B12">
            <v>0</v>
          </cell>
        </row>
        <row r="13">
          <cell r="B13">
            <v>15.956370715305416</v>
          </cell>
        </row>
        <row r="14">
          <cell r="B14">
            <v>32.634285684812021</v>
          </cell>
        </row>
        <row r="15">
          <cell r="B15">
            <v>34.081540859881059</v>
          </cell>
        </row>
        <row r="16">
          <cell r="B16">
            <v>35.537337701616764</v>
          </cell>
        </row>
        <row r="17">
          <cell r="B17">
            <v>37.002103293352469</v>
          </cell>
        </row>
        <row r="18">
          <cell r="B18">
            <v>38.476286072588181</v>
          </cell>
        </row>
        <row r="19">
          <cell r="B19">
            <v>40.128497511026751</v>
          </cell>
        </row>
        <row r="20">
          <cell r="B20">
            <v>41.959232011011949</v>
          </cell>
        </row>
        <row r="21">
          <cell r="B21">
            <v>43.800868082676843</v>
          </cell>
        </row>
        <row r="22">
          <cell r="B22">
            <v>45.653950804605401</v>
          </cell>
        </row>
        <row r="23">
          <cell r="B23">
            <v>47.519052509310811</v>
          </cell>
        </row>
        <row r="24">
          <cell r="B24">
            <v>49.588746209690854</v>
          </cell>
        </row>
        <row r="25">
          <cell r="B25">
            <v>51.863662902341304</v>
          </cell>
        </row>
        <row r="26">
          <cell r="B26">
            <v>54.152493069928795</v>
          </cell>
        </row>
        <row r="27">
          <cell r="B27">
            <v>56.455932386200203</v>
          </cell>
        </row>
        <row r="28">
          <cell r="B28">
            <v>58.77471130858973</v>
          </cell>
        </row>
        <row r="29">
          <cell r="B29">
            <v>61.354776269366653</v>
          </cell>
        </row>
        <row r="30">
          <cell r="B30">
            <v>64.196932597852182</v>
          </cell>
        </row>
        <row r="31">
          <cell r="B31">
            <v>67.056846437870178</v>
          </cell>
        </row>
        <row r="32">
          <cell r="B32">
            <v>69.93540566499729</v>
          </cell>
        </row>
        <row r="33">
          <cell r="B33">
            <v>72.833542548588952</v>
          </cell>
        </row>
        <row r="34">
          <cell r="B34">
            <v>76.014426325153266</v>
          </cell>
        </row>
        <row r="35">
          <cell r="B35">
            <v>79.429114381541112</v>
          </cell>
        </row>
        <row r="36">
          <cell r="B36">
            <v>82.76165634097768</v>
          </cell>
        </row>
        <row r="37">
          <cell r="B37">
            <v>86.004544432276504</v>
          </cell>
        </row>
        <row r="38">
          <cell r="B38">
            <v>89.268623406856136</v>
          </cell>
        </row>
        <row r="39">
          <cell r="B39">
            <v>92.509155189366396</v>
          </cell>
        </row>
        <row r="40">
          <cell r="B40">
            <v>95.556619382063062</v>
          </cell>
        </row>
        <row r="41">
          <cell r="B41">
            <v>98.708584789330018</v>
          </cell>
        </row>
        <row r="42">
          <cell r="B42">
            <v>102.31492395919165</v>
          </cell>
        </row>
        <row r="43">
          <cell r="B43">
            <v>106.47741997347836</v>
          </cell>
        </row>
        <row r="44">
          <cell r="B44">
            <v>111.0891498606894</v>
          </cell>
        </row>
        <row r="45">
          <cell r="B45">
            <v>116.00156811972548</v>
          </cell>
        </row>
        <row r="46">
          <cell r="B46">
            <v>121.25312269370279</v>
          </cell>
        </row>
        <row r="47">
          <cell r="B47">
            <v>126.88450701766473</v>
          </cell>
        </row>
        <row r="48">
          <cell r="B48">
            <v>132.93819433553756</v>
          </cell>
        </row>
      </sheetData>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lectric"/>
      <sheetName val="Steam"/>
      <sheetName val="CHW"/>
      <sheetName val="Gas"/>
      <sheetName val="Water Sewer"/>
      <sheetName val="ElectricCHTComp"/>
      <sheetName val="SteamCHTComp"/>
      <sheetName val="MonthlyComp"/>
      <sheetName val="Summary"/>
      <sheetName val="STEAMELECCHT"/>
    </sheetNames>
    <sheetDataSet>
      <sheetData sheetId="0">
        <row r="708">
          <cell r="Q708">
            <v>127999908</v>
          </cell>
        </row>
      </sheetData>
      <sheetData sheetId="1">
        <row r="349">
          <cell r="O349">
            <v>547520.14500000002</v>
          </cell>
        </row>
        <row r="350">
          <cell r="O350">
            <v>566745.85444721067</v>
          </cell>
        </row>
      </sheetData>
      <sheetData sheetId="2"/>
      <sheetData sheetId="3"/>
      <sheetData sheetId="4"/>
      <sheetData sheetId="5" refreshError="1"/>
      <sheetData sheetId="6" refreshError="1"/>
      <sheetData sheetId="7" refreshError="1"/>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ase%20CAP%20Model%20r2e%202011_01_18.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ob McKenna" refreshedDate="40548.24067511574" createdVersion="3" refreshedVersion="3" minRefreshableVersion="3" recordCount="210">
  <cacheSource type="worksheet">
    <worksheetSource ref="A1:O214" sheet="BuildingListNoSpaces" r:id="rId2"/>
  </cacheSource>
  <cacheFields count="14">
    <cacheField name="ID" numFmtId="0">
      <sharedItems containsMixedTypes="1" containsNumber="1" containsInteger="1" minValue="0" maxValue="0"/>
    </cacheField>
    <cacheField name="TYPE" numFmtId="0">
      <sharedItems count="10">
        <s v="ACADEMIC"/>
        <s v="ADMINISTRATIVE"/>
        <s v="COMMERCIAL"/>
        <s v="COMMERCIAL RESIDENTIAL"/>
        <s v="GARAGES"/>
        <s v="NON-UNIVERSITY OWNED PROPERTIES"/>
        <s v="OTHER"/>
        <s v="OWNED FRATERNITIES"/>
        <s v="RESIDENTIAL"/>
        <s v="FARM"/>
      </sharedItems>
    </cacheField>
    <cacheField name="Name" numFmtId="0">
      <sharedItems/>
    </cacheField>
    <cacheField name="Address" numFmtId="0">
      <sharedItems containsMixedTypes="1" containsNumber="1" containsInteger="1" minValue="0" maxValue="0"/>
    </cacheField>
    <cacheField name="Zone" numFmtId="0">
      <sharedItems containsSemiMixedTypes="0" containsString="0" containsNumber="1" containsInteger="1" minValue="0" maxValue="6"/>
    </cacheField>
    <cacheField name="GSF" numFmtId="0">
      <sharedItems containsSemiMixedTypes="0" containsString="0" containsNumber="1" containsInteger="1" minValue="0" maxValue="388085"/>
    </cacheField>
    <cacheField name="Construction" numFmtId="0">
      <sharedItems containsSemiMixedTypes="0" containsString="0" containsNumber="1" containsInteger="1" minValue="0" maxValue="2008"/>
    </cacheField>
    <cacheField name="Acquisition" numFmtId="0">
      <sharedItems containsSemiMixedTypes="0" containsString="0" containsNumber="1" containsInteger="1" minValue="0" maxValue="2009"/>
    </cacheField>
    <cacheField name="YearCWRUAdded" numFmtId="0">
      <sharedItems containsSemiMixedTypes="0" containsString="0" containsNumber="1" containsInteger="1" minValue="0" maxValue="2009"/>
    </cacheField>
    <cacheField name="Air" numFmtId="0">
      <sharedItems containsMixedTypes="1" containsNumber="1" containsInteger="1" minValue="0" maxValue="0"/>
    </cacheField>
    <cacheField name="Sprinklered" numFmtId="0">
      <sharedItems containsMixedTypes="1" containsNumber="1" containsInteger="1" minValue="0" maxValue="0"/>
    </cacheField>
    <cacheField name="Use" numFmtId="0">
      <sharedItems containsMixedTypes="1" containsNumber="1" containsInteger="1" minValue="0" maxValue="0"/>
    </cacheField>
    <cacheField name="Replacement_x000a_Value" numFmtId="6">
      <sharedItems containsSemiMixedTypes="0" containsString="0" containsNumber="1" containsInteger="1" minValue="0" maxValue="97660166"/>
    </cacheField>
    <cacheField name="Owner" numFmtId="0">
      <sharedItems containsSemiMixedTypes="0" containsString="0" containsNumber="1" containsInteger="1" minValue="0" maxValue="6"/>
    </cacheField>
  </cacheFields>
</pivotCacheDefinition>
</file>

<file path=xl/pivotCache/pivotCacheRecords1.xml><?xml version="1.0" encoding="utf-8"?>
<pivotCacheRecords xmlns="http://schemas.openxmlformats.org/spreadsheetml/2006/main" xmlns:r="http://schemas.openxmlformats.org/officeDocument/2006/relationships" count="210">
  <r>
    <n v="0"/>
    <x v="0"/>
    <s v="Sears Tower"/>
    <s v="Circle Drive 2210"/>
    <n v="1"/>
    <n v="0"/>
    <n v="0"/>
    <n v="0"/>
    <n v="0"/>
    <n v="0"/>
    <n v="0"/>
    <n v="0"/>
    <n v="0"/>
    <n v="0"/>
  </r>
  <r>
    <s v="3D13"/>
    <x v="1"/>
    <s v="Wolstein Hall"/>
    <s v="Bellflower Road 11318"/>
    <n v="2"/>
    <n v="15902"/>
    <n v="0"/>
    <n v="0"/>
    <n v="0"/>
    <s v="Y"/>
    <s v="FULL"/>
    <s v="AD"/>
    <n v="2502704"/>
    <n v="1"/>
  </r>
  <r>
    <s v="3D44"/>
    <x v="2"/>
    <s v="Ford 1903 - Land Only"/>
    <s v="Ford 1903"/>
    <n v="0"/>
    <n v="0"/>
    <n v="0"/>
    <n v="0"/>
    <n v="0"/>
    <n v="0"/>
    <s v="NONE"/>
    <s v="C"/>
    <n v="0"/>
    <n v="1"/>
  </r>
  <r>
    <s v="3D67"/>
    <x v="3"/>
    <s v="Bellflower 11424.5 - Carriage House"/>
    <s v="Bellflower Road 11424.5"/>
    <n v="0"/>
    <n v="1096"/>
    <n v="0"/>
    <n v="0"/>
    <n v="0"/>
    <s v="Y"/>
    <s v="NONE"/>
    <s v="CR"/>
    <n v="0"/>
    <n v="1"/>
  </r>
  <r>
    <s v="6C04"/>
    <x v="3"/>
    <s v="Carlton 11901 - Scholars House"/>
    <s v="Carlton Road 11901"/>
    <n v="6"/>
    <n v="8844"/>
    <n v="0"/>
    <n v="0"/>
    <n v="0"/>
    <s v="N"/>
    <s v="NONE"/>
    <s v="CR"/>
    <n v="2468244"/>
    <n v="1"/>
  </r>
  <r>
    <s v="6B19"/>
    <x v="3"/>
    <s v="Glenwood 11407 - House"/>
    <s v="Glenwood 11407"/>
    <n v="0"/>
    <n v="0"/>
    <n v="0"/>
    <n v="0"/>
    <n v="0"/>
    <n v="0"/>
    <n v="0"/>
    <s v="CR"/>
    <n v="0"/>
    <n v="1"/>
  </r>
  <r>
    <s v="2E15"/>
    <x v="3"/>
    <s v="Magnolia 11116 - Magnolia House"/>
    <s v="Magnolia 11116"/>
    <n v="0"/>
    <n v="0"/>
    <n v="0"/>
    <n v="0"/>
    <n v="0"/>
    <s v="Y"/>
    <s v="PARTIAL"/>
    <s v="CR"/>
    <n v="1898168"/>
    <n v="1"/>
  </r>
  <r>
    <n v="0"/>
    <x v="4"/>
    <s v="Lot S-10 - Crawford Hall "/>
    <s v="Euclid Avenue 10900"/>
    <n v="0"/>
    <n v="0"/>
    <n v="0"/>
    <n v="0"/>
    <n v="0"/>
    <n v="0"/>
    <s v="FULL"/>
    <s v="G"/>
    <n v="0"/>
    <n v="0"/>
  </r>
  <r>
    <s v="1B02"/>
    <x v="4"/>
    <s v="Lot S-14 - West Campus Parking Garage"/>
    <s v="East 101 Street 1819"/>
    <n v="0"/>
    <n v="250000"/>
    <n v="0"/>
    <n v="0"/>
    <n v="0"/>
    <s v="N"/>
    <s v="NONE"/>
    <s v="G"/>
    <n v="10869280"/>
    <n v="1"/>
  </r>
  <r>
    <s v="5A08"/>
    <x v="4"/>
    <s v="Lot S-48 - Bioenterprise Garage"/>
    <s v="Cedar Avenue 11000"/>
    <n v="0"/>
    <n v="72292"/>
    <n v="0"/>
    <n v="0"/>
    <n v="0"/>
    <s v="N"/>
    <s v="FULL"/>
    <s v="G"/>
    <n v="0"/>
    <n v="1"/>
  </r>
  <r>
    <n v="0"/>
    <x v="4"/>
    <s v="Lot 52B - MSASS Garage"/>
    <n v="0"/>
    <n v="0"/>
    <n v="0"/>
    <n v="0"/>
    <n v="0"/>
    <n v="0"/>
    <n v="0"/>
    <s v="FULL"/>
    <s v="G"/>
    <n v="0"/>
    <n v="0"/>
  </r>
  <r>
    <s v="5C19"/>
    <x v="4"/>
    <s v="Lot S-55 - Health Science Garage"/>
    <s v="Circle Drive 2242"/>
    <n v="0"/>
    <n v="211000"/>
    <n v="0"/>
    <n v="0"/>
    <n v="0"/>
    <s v="N"/>
    <s v="FULL"/>
    <s v="G"/>
    <n v="8007618"/>
    <n v="1"/>
  </r>
  <r>
    <s v="3D33"/>
    <x v="5"/>
    <s v="Bellflower 11317 - Phi Gamma Delta"/>
    <n v="0"/>
    <n v="0"/>
    <n v="0"/>
    <n v="0"/>
    <n v="0"/>
    <n v="0"/>
    <n v="0"/>
    <s v="NONE"/>
    <s v="FS"/>
    <n v="0"/>
    <n v="5"/>
  </r>
  <r>
    <s v="3D35"/>
    <x v="5"/>
    <s v="Bellflower 11327 - Zeta Beta Tau"/>
    <n v="0"/>
    <n v="0"/>
    <n v="0"/>
    <n v="0"/>
    <n v="0"/>
    <n v="0"/>
    <n v="0"/>
    <s v="NONE"/>
    <s v="FS"/>
    <n v="0"/>
    <n v="5"/>
  </r>
  <r>
    <s v="3D37"/>
    <x v="5"/>
    <s v="Bellflower 11333 - Delta Sigma Delta"/>
    <n v="0"/>
    <n v="0"/>
    <n v="0"/>
    <n v="0"/>
    <n v="0"/>
    <n v="0"/>
    <n v="0"/>
    <s v="NONE"/>
    <s v="FS"/>
    <n v="0"/>
    <n v="5"/>
  </r>
  <r>
    <s v="4C39"/>
    <x v="5"/>
    <s v="Cleveland Hearing &amp; Speech 11206 Euclid Old "/>
    <n v="0"/>
    <n v="0"/>
    <n v="0"/>
    <n v="0"/>
    <n v="0"/>
    <n v="0"/>
    <n v="0"/>
    <n v="0"/>
    <s v="X"/>
    <n v="0"/>
    <n v="6"/>
  </r>
  <r>
    <s v="2D19"/>
    <x v="5"/>
    <s v="Magnolia 11016 - Phi Kappa Theta"/>
    <n v="0"/>
    <n v="0"/>
    <n v="0"/>
    <n v="0"/>
    <n v="0"/>
    <n v="0"/>
    <n v="0"/>
    <s v="NONE"/>
    <s v="FS"/>
    <n v="0"/>
    <n v="5"/>
  </r>
  <r>
    <s v="2E13"/>
    <x v="5"/>
    <s v="Magnolia 11130 - Delta Tau Delta"/>
    <n v="0"/>
    <n v="0"/>
    <n v="0"/>
    <n v="0"/>
    <n v="0"/>
    <n v="0"/>
    <n v="0"/>
    <s v="NONE"/>
    <s v="FS"/>
    <n v="0"/>
    <n v="5"/>
  </r>
  <r>
    <s v="MG04"/>
    <x v="5"/>
    <s v="MH - Bel Greve"/>
    <n v="0"/>
    <n v="0"/>
    <n v="3135"/>
    <n v="0"/>
    <n v="0"/>
    <n v="0"/>
    <n v="0"/>
    <n v="0"/>
    <s v="AC"/>
    <n v="0"/>
    <n v="3"/>
  </r>
  <r>
    <s v="MG07"/>
    <x v="5"/>
    <s v="MH - Core"/>
    <n v="0"/>
    <n v="0"/>
    <n v="1445"/>
    <n v="0"/>
    <n v="0"/>
    <n v="0"/>
    <n v="0"/>
    <n v="0"/>
    <s v="AC"/>
    <n v="0"/>
    <n v="3"/>
  </r>
  <r>
    <s v="MG06"/>
    <x v="5"/>
    <s v="MH - Hamann"/>
    <n v="0"/>
    <n v="0"/>
    <n v="7298"/>
    <n v="0"/>
    <n v="0"/>
    <n v="0"/>
    <n v="0"/>
    <n v="0"/>
    <s v="AC"/>
    <n v="0"/>
    <n v="3"/>
  </r>
  <r>
    <s v="MG16"/>
    <x v="5"/>
    <s v="MH - North"/>
    <n v="0"/>
    <n v="0"/>
    <n v="245"/>
    <n v="0"/>
    <n v="0"/>
    <n v="0"/>
    <n v="0"/>
    <n v="0"/>
    <s v="AC"/>
    <n v="0"/>
    <n v="3"/>
  </r>
  <r>
    <s v="MG30"/>
    <x v="5"/>
    <s v="MH - Outpatient"/>
    <n v="0"/>
    <n v="0"/>
    <n v="750"/>
    <n v="0"/>
    <n v="0"/>
    <n v="0"/>
    <n v="0"/>
    <n v="0"/>
    <s v="AC"/>
    <n v="0"/>
    <n v="3"/>
  </r>
  <r>
    <s v="MG02"/>
    <x v="5"/>
    <s v="MH - Quadrangle"/>
    <n v="0"/>
    <n v="0"/>
    <n v="995"/>
    <n v="0"/>
    <n v="0"/>
    <n v="0"/>
    <n v="0"/>
    <n v="0"/>
    <s v="AC"/>
    <n v="0"/>
    <n v="3"/>
  </r>
  <r>
    <s v="MG11"/>
    <x v="5"/>
    <s v="MH - Rammelkamp"/>
    <n v="0"/>
    <n v="0"/>
    <n v="4007"/>
    <n v="0"/>
    <n v="0"/>
    <n v="0"/>
    <n v="0"/>
    <n v="0"/>
    <s v="AC"/>
    <n v="0"/>
    <n v="3"/>
  </r>
  <r>
    <s v="MG03"/>
    <x v="5"/>
    <s v="MH - Research"/>
    <n v="0"/>
    <n v="0"/>
    <n v="6120"/>
    <n v="0"/>
    <n v="0"/>
    <n v="0"/>
    <n v="0"/>
    <n v="0"/>
    <s v="AC"/>
    <n v="0"/>
    <n v="3"/>
  </r>
  <r>
    <s v="MG20"/>
    <x v="5"/>
    <s v="MH - Towers"/>
    <n v="0"/>
    <n v="0"/>
    <n v="1011"/>
    <n v="0"/>
    <n v="0"/>
    <n v="0"/>
    <n v="0"/>
    <n v="0"/>
    <s v="AC"/>
    <n v="0"/>
    <n v="3"/>
  </r>
  <r>
    <s v="4C06"/>
    <x v="5"/>
    <s v="UH - Andrews Wing"/>
    <n v="0"/>
    <n v="0"/>
    <n v="5060"/>
    <n v="0"/>
    <n v="0"/>
    <n v="0"/>
    <n v="0"/>
    <n v="0"/>
    <s v="AC"/>
    <n v="0"/>
    <n v="3"/>
  </r>
  <r>
    <s v="4C07"/>
    <x v="5"/>
    <s v="UH - Bishop Building"/>
    <n v="0"/>
    <n v="0"/>
    <n v="440"/>
    <n v="0"/>
    <n v="0"/>
    <n v="0"/>
    <n v="0"/>
    <n v="0"/>
    <s v="AC"/>
    <n v="0"/>
    <n v="3"/>
  </r>
  <r>
    <s v="4C08"/>
    <x v="5"/>
    <s v="UH - Bolwell"/>
    <n v="0"/>
    <n v="0"/>
    <n v="0"/>
    <n v="0"/>
    <n v="0"/>
    <n v="0"/>
    <n v="0"/>
    <n v="0"/>
    <s v="AC"/>
    <n v="0"/>
    <n v="3"/>
  </r>
  <r>
    <s v="7A01"/>
    <x v="5"/>
    <s v="UH - Cleveland Fairhill"/>
    <n v="0"/>
    <n v="0"/>
    <n v="6304"/>
    <n v="0"/>
    <n v="0"/>
    <n v="0"/>
    <n v="0"/>
    <n v="0"/>
    <s v="AC"/>
    <n v="0"/>
    <n v="3"/>
  </r>
  <r>
    <s v="4D07"/>
    <x v="5"/>
    <s v="UH - Cornell"/>
    <n v="0"/>
    <n v="0"/>
    <n v="920"/>
    <n v="0"/>
    <n v="0"/>
    <n v="0"/>
    <n v="0"/>
    <n v="0"/>
    <s v="AC"/>
    <n v="0"/>
    <n v="3"/>
  </r>
  <r>
    <s v="4D05"/>
    <x v="5"/>
    <s v="UH - Foley"/>
    <n v="0"/>
    <n v="0"/>
    <n v="0"/>
    <n v="0"/>
    <n v="0"/>
    <n v="0"/>
    <n v="0"/>
    <n v="0"/>
    <s v="AC"/>
    <n v="0"/>
    <n v="3"/>
  </r>
  <r>
    <s v="5A01"/>
    <x v="5"/>
    <s v="UH - Gerber Building - UCRC #2"/>
    <n v="0"/>
    <n v="0"/>
    <n v="9387"/>
    <n v="0"/>
    <n v="0"/>
    <n v="0"/>
    <n v="0"/>
    <n v="0"/>
    <s v="AC"/>
    <n v="0"/>
    <n v="3"/>
  </r>
  <r>
    <s v="4C23"/>
    <x v="5"/>
    <s v="UH - Hanna Pavillion"/>
    <n v="0"/>
    <n v="0"/>
    <n v="7689"/>
    <n v="0"/>
    <n v="0"/>
    <n v="0"/>
    <n v="0"/>
    <n v="0"/>
    <s v="AC"/>
    <n v="0"/>
    <n v="3"/>
  </r>
  <r>
    <s v="4C15"/>
    <x v="5"/>
    <s v="UH - Lakeside"/>
    <n v="0"/>
    <n v="0"/>
    <n v="0"/>
    <n v="0"/>
    <n v="0"/>
    <n v="0"/>
    <n v="0"/>
    <n v="0"/>
    <s v="AC"/>
    <n v="0"/>
    <n v="3"/>
  </r>
  <r>
    <s v="4C03"/>
    <x v="5"/>
    <s v="UH - MacDonald House"/>
    <n v="0"/>
    <n v="0"/>
    <n v="8177"/>
    <n v="0"/>
    <n v="0"/>
    <n v="0"/>
    <n v="0"/>
    <n v="0"/>
    <s v="AC"/>
    <n v="0"/>
    <n v="3"/>
  </r>
  <r>
    <s v="4C40"/>
    <x v="5"/>
    <s v="UH - Mather Pavillion"/>
    <n v="0"/>
    <n v="0"/>
    <n v="0"/>
    <n v="0"/>
    <n v="0"/>
    <n v="0"/>
    <n v="0"/>
    <n v="0"/>
    <s v="AC"/>
    <n v="0"/>
    <n v="3"/>
  </r>
  <r>
    <s v="1Z30"/>
    <x v="5"/>
    <s v="UH - Parkway Medical Center"/>
    <n v="0"/>
    <n v="0"/>
    <n v="0"/>
    <n v="0"/>
    <n v="0"/>
    <n v="0"/>
    <n v="0"/>
    <n v="0"/>
    <s v="AC"/>
    <n v="0"/>
    <n v="3"/>
  </r>
  <r>
    <s v="4C01"/>
    <x v="5"/>
    <s v="UH - Rainbow Babies &amp; Children"/>
    <n v="0"/>
    <n v="0"/>
    <n v="15649"/>
    <n v="0"/>
    <n v="0"/>
    <n v="0"/>
    <n v="0"/>
    <n v="0"/>
    <s v="AC"/>
    <n v="0"/>
    <n v="3"/>
  </r>
  <r>
    <s v="4C17"/>
    <x v="5"/>
    <s v="UH - Wearn Lab"/>
    <n v="0"/>
    <n v="0"/>
    <n v="27440"/>
    <n v="0"/>
    <n v="0"/>
    <n v="0"/>
    <n v="0"/>
    <n v="0"/>
    <s v="AC"/>
    <n v="0"/>
    <n v="3"/>
  </r>
  <r>
    <s v="BV01"/>
    <x v="5"/>
    <s v="VA - Brecksville VA"/>
    <n v="0"/>
    <n v="0"/>
    <n v="4273"/>
    <n v="0"/>
    <n v="0"/>
    <n v="0"/>
    <n v="0"/>
    <n v="0"/>
    <s v="AC"/>
    <n v="0"/>
    <n v="3"/>
  </r>
  <r>
    <s v="1D01"/>
    <x v="5"/>
    <s v="VA - LDV Building"/>
    <n v="0"/>
    <n v="0"/>
    <n v="0"/>
    <n v="0"/>
    <n v="0"/>
    <n v="0"/>
    <n v="0"/>
    <n v="0"/>
    <s v="AC"/>
    <n v="0"/>
    <n v="3"/>
  </r>
  <r>
    <s v="1C01"/>
    <x v="5"/>
    <s v="VA - VA Hospital"/>
    <n v="0"/>
    <n v="0"/>
    <n v="37971"/>
    <n v="0"/>
    <n v="0"/>
    <n v="0"/>
    <n v="0"/>
    <n v="0"/>
    <s v="AC"/>
    <n v="0"/>
    <n v="3"/>
  </r>
  <r>
    <s v="4B29"/>
    <x v="1"/>
    <s v="Adelbert Hall"/>
    <s v="Adelbert Road 2040"/>
    <n v="3"/>
    <n v="50800"/>
    <n v="1882"/>
    <n v="0"/>
    <n v="1882"/>
    <s v="Y"/>
    <s v="FULL"/>
    <s v="AD"/>
    <n v="21972902"/>
    <n v="1"/>
  </r>
  <r>
    <s v="5B17"/>
    <x v="0"/>
    <s v="Adelbert Gym"/>
    <s v="Adelbert Road 2128"/>
    <n v="3"/>
    <n v="28550"/>
    <n v="1888"/>
    <n v="0"/>
    <n v="1888"/>
    <s v="N"/>
    <s v="NONE"/>
    <s v="AC"/>
    <n v="1874307"/>
    <n v="1"/>
  </r>
  <r>
    <s v="1Z20"/>
    <x v="6"/>
    <s v="Putnam House - 12817 Lakeshore Blvd"/>
    <s v="Lakeshore Boulevard 12817"/>
    <n v="0"/>
    <n v="5500"/>
    <n v="1890"/>
    <n v="0"/>
    <n v="1890"/>
    <n v="0"/>
    <s v="NONE"/>
    <s v="O"/>
    <n v="1813168"/>
    <n v="1"/>
  </r>
  <r>
    <s v="2E18"/>
    <x v="7"/>
    <s v="Magnolia 11136 - Theta Chi"/>
    <s v="Magnolia 11136"/>
    <n v="0"/>
    <n v="8500"/>
    <n v="1890"/>
    <n v="0"/>
    <n v="1890"/>
    <n v="0"/>
    <s v="NONE"/>
    <s v="FS"/>
    <n v="2455659"/>
    <n v="1"/>
  </r>
  <r>
    <s v="3C21"/>
    <x v="0"/>
    <s v="Clark Hall"/>
    <s v="Bellflower Road 11130"/>
    <n v="2"/>
    <n v="18611"/>
    <n v="1892"/>
    <n v="0"/>
    <n v="1892"/>
    <s v="Y"/>
    <s v="FULL"/>
    <s v="AC"/>
    <n v="4958391"/>
    <n v="1"/>
  </r>
  <r>
    <s v="3C23"/>
    <x v="0"/>
    <s v="Guilford House"/>
    <s v="Bellflower Road 11112"/>
    <n v="2"/>
    <n v="29251"/>
    <n v="1892"/>
    <n v="0"/>
    <n v="1892"/>
    <s v="Y"/>
    <s v="FULL"/>
    <s v="AC"/>
    <n v="3734973"/>
    <n v="1"/>
  </r>
  <r>
    <s v="5C05"/>
    <x v="1"/>
    <s v="Health Services Building"/>
    <s v="Adelbert Road 2145"/>
    <n v="1"/>
    <n v="12429"/>
    <n v="1890"/>
    <n v="1896"/>
    <n v="1896"/>
    <s v="Y"/>
    <s v="PARTIAL"/>
    <s v="AD"/>
    <n v="3980536"/>
    <n v="1"/>
  </r>
  <r>
    <s v="4B23"/>
    <x v="0"/>
    <s v="Eldred Hall"/>
    <s v="Adelbert Road 2070"/>
    <n v="3"/>
    <n v="18082"/>
    <n v="1897"/>
    <n v="0"/>
    <n v="1897"/>
    <s v="Y"/>
    <s v="FULL"/>
    <s v="AC"/>
    <n v="2969826"/>
    <n v="1"/>
  </r>
  <r>
    <s v="3D03"/>
    <x v="0"/>
    <s v="Harkness Chapel"/>
    <s v="Bellflower Road 11200"/>
    <n v="2"/>
    <n v="18208"/>
    <n v="1902"/>
    <n v="0"/>
    <n v="1902"/>
    <s v="Y"/>
    <s v="FULL"/>
    <s v="AC"/>
    <n v="6167047"/>
    <n v="1"/>
  </r>
  <r>
    <s v="3C15"/>
    <x v="0"/>
    <s v="Haydn Hall"/>
    <s v="Bellflower Road 11118"/>
    <n v="2"/>
    <n v="20178"/>
    <n v="1902"/>
    <n v="0"/>
    <n v="1902"/>
    <s v="Y"/>
    <s v="NONE"/>
    <s v="AC"/>
    <n v="2429366"/>
    <n v="1"/>
  </r>
  <r>
    <s v="4B09"/>
    <x v="0"/>
    <s v="Rockefeller"/>
    <s v="Adelbert Road 2076"/>
    <n v="3"/>
    <n v="62584"/>
    <n v="1905"/>
    <n v="0"/>
    <n v="1905"/>
    <s v="Y"/>
    <s v="FULL"/>
    <s v="AC"/>
    <n v="7305830"/>
    <n v="1"/>
  </r>
  <r>
    <s v="3C19"/>
    <x v="0"/>
    <s v="Mather Dance Center"/>
    <s v="Bellflower Road 11040"/>
    <n v="2"/>
    <n v="13474"/>
    <n v="1907"/>
    <n v="0"/>
    <n v="1907"/>
    <n v="0"/>
    <s v="FULL"/>
    <s v="AC"/>
    <n v="1761599"/>
    <n v="1"/>
  </r>
  <r>
    <s v="4B11"/>
    <x v="0"/>
    <s v="Morley Chemistry"/>
    <s v="Adelbert Road 2090"/>
    <n v="3"/>
    <n v="25483"/>
    <n v="1908"/>
    <n v="0"/>
    <n v="1908"/>
    <s v="Y"/>
    <s v="NONE"/>
    <s v="AC"/>
    <n v="3127918"/>
    <n v="1"/>
  </r>
  <r>
    <s v="4B31"/>
    <x v="0"/>
    <s v="Amasa Stone Chapel"/>
    <s v="Euclid Avenue 10940"/>
    <n v="3"/>
    <n v="18220"/>
    <n v="1909"/>
    <n v="0"/>
    <n v="1909"/>
    <s v="Y"/>
    <s v="FULL"/>
    <s v="AC"/>
    <n v="4297742"/>
    <n v="1"/>
  </r>
  <r>
    <s v="3D66"/>
    <x v="1"/>
    <s v="North Campus Security Office"/>
    <s v="East 115 Street 1725"/>
    <n v="0"/>
    <n v="5000"/>
    <n v="1910"/>
    <n v="0"/>
    <n v="1910"/>
    <s v="Y"/>
    <s v="NONE"/>
    <s v="AD"/>
    <n v="507890"/>
    <n v="1"/>
  </r>
  <r>
    <s v="3E71"/>
    <x v="8"/>
    <s v="Apartment 1680 East 117th Street"/>
    <s v="East 117 Street 1680"/>
    <n v="0"/>
    <n v="16000"/>
    <n v="1910"/>
    <n v="0"/>
    <n v="1910"/>
    <s v="N"/>
    <s v="NONE"/>
    <s v="R"/>
    <n v="890967"/>
    <n v="1"/>
  </r>
  <r>
    <s v="3C13"/>
    <x v="0"/>
    <s v="Mather House"/>
    <s v="Euclid Avenue 11201"/>
    <n v="2"/>
    <n v="22480"/>
    <n v="1913"/>
    <n v="0"/>
    <n v="1913"/>
    <n v="0"/>
    <s v="FULL"/>
    <s v="AC"/>
    <n v="3116074"/>
    <n v="1"/>
  </r>
  <r>
    <s v="3D05"/>
    <x v="0"/>
    <s v="Mather Memorial Building"/>
    <s v="Bellflower Road 11220"/>
    <n v="2"/>
    <n v="62835"/>
    <n v="1913"/>
    <n v="0"/>
    <n v="1913"/>
    <s v="N"/>
    <s v="NONE"/>
    <s v="AC"/>
    <n v="11862236"/>
    <n v="1"/>
  </r>
  <r>
    <s v="3D50"/>
    <x v="2"/>
    <s v="Bellflower 11401 - L'Albatros"/>
    <s v="Bellflower Road 11401"/>
    <n v="0"/>
    <n v="2800"/>
    <n v="1915"/>
    <n v="0"/>
    <n v="1915"/>
    <s v="Y"/>
    <s v="NONE"/>
    <s v="C"/>
    <n v="611176"/>
    <n v="1"/>
  </r>
  <r>
    <s v="3D65"/>
    <x v="8"/>
    <s v="Apartment 1715 East 115th Street - Twin Gables"/>
    <s v="East 115 Street 1715"/>
    <n v="0"/>
    <n v="16000"/>
    <n v="1915"/>
    <n v="0"/>
    <n v="1915"/>
    <s v="N"/>
    <s v="NONE"/>
    <s v="R"/>
    <n v="1293240"/>
    <n v="1"/>
  </r>
  <r>
    <s v="3D24"/>
    <x v="1"/>
    <s v="Bellflower 11416 - Carriage House"/>
    <s v="Bellflower Road 11416"/>
    <n v="0"/>
    <n v="1500"/>
    <n v="1920"/>
    <n v="0"/>
    <n v="1920"/>
    <s v="Y"/>
    <s v="NONE"/>
    <s v="AD"/>
    <n v="205720"/>
    <n v="1"/>
  </r>
  <r>
    <s v="3D57"/>
    <x v="1"/>
    <s v="Bellflower 11424 - Computing Center"/>
    <s v="Bellflower Road 11424"/>
    <n v="0"/>
    <n v="5693"/>
    <n v="1920"/>
    <n v="0"/>
    <n v="1920"/>
    <s v="Y"/>
    <s v="NONE"/>
    <s v="AD"/>
    <n v="222547"/>
    <n v="1"/>
  </r>
  <r>
    <s v="3D51"/>
    <x v="2"/>
    <s v="Juniper 11310 - Barking Spider"/>
    <s v="Juniper Drive 11310"/>
    <n v="0"/>
    <n v="1400"/>
    <n v="1920"/>
    <n v="0"/>
    <n v="1920"/>
    <s v="N"/>
    <s v="NONE"/>
    <s v="C"/>
    <n v="338873"/>
    <n v="1"/>
  </r>
  <r>
    <s v="3D48"/>
    <x v="3"/>
    <s v="Juniper 11320"/>
    <s v="Juniper Drive 11321"/>
    <n v="0"/>
    <n v="7000"/>
    <n v="1920"/>
    <n v="0"/>
    <n v="1920"/>
    <s v="N"/>
    <s v="NONE"/>
    <s v="CR"/>
    <n v="947351"/>
    <n v="1"/>
  </r>
  <r>
    <s v="3D23"/>
    <x v="7"/>
    <s v="Bellflower 11418 - Phi Mu"/>
    <s v="Bellflower 11418"/>
    <n v="0"/>
    <n v="7800"/>
    <n v="1920"/>
    <n v="0"/>
    <n v="1920"/>
    <n v="0"/>
    <s v="PARTIAL"/>
    <s v="FS"/>
    <n v="1709338"/>
    <n v="1"/>
  </r>
  <r>
    <s v="2B01"/>
    <x v="5"/>
    <s v="The Temple - Tifereth Israel"/>
    <n v="0"/>
    <n v="2"/>
    <n v="110000"/>
    <n v="1923"/>
    <n v="0"/>
    <n v="1923"/>
    <n v="0"/>
    <n v="0"/>
    <s v="AC"/>
    <n v="0"/>
    <n v="5"/>
  </r>
  <r>
    <s v="5C17"/>
    <x v="0"/>
    <s v="Wood Building"/>
    <s v="Adelbert Road 2109"/>
    <n v="1"/>
    <n v="213760"/>
    <n v="1924"/>
    <n v="0"/>
    <n v="1924"/>
    <s v="Y"/>
    <s v="PARTIAL"/>
    <s v="AC"/>
    <n v="48159603"/>
    <n v="1"/>
  </r>
  <r>
    <s v="4C35"/>
    <x v="1"/>
    <s v="Allen Memorial Library"/>
    <s v="Euclid Avenue 11000"/>
    <n v="3"/>
    <n v="46242"/>
    <n v="1926"/>
    <n v="0"/>
    <n v="1926"/>
    <s v="Y"/>
    <s v="PARTIAL"/>
    <s v="AD"/>
    <n v="13922647"/>
    <n v="1"/>
  </r>
  <r>
    <s v="5B15"/>
    <x v="0"/>
    <s v="Bingham Building"/>
    <s v="Adelbert Road 2104"/>
    <n v="3"/>
    <n v="94921"/>
    <n v="1927"/>
    <n v="0"/>
    <n v="1927"/>
    <s v="Y"/>
    <s v="PARTIAL"/>
    <s v="AC"/>
    <n v="18208909"/>
    <n v="1"/>
  </r>
  <r>
    <s v="4C05"/>
    <x v="0"/>
    <s v="Pathology Building"/>
    <s v="Adelbert Road 2085"/>
    <n v="1"/>
    <n v="62348"/>
    <n v="1929"/>
    <n v="0"/>
    <n v="1929"/>
    <s v="Y"/>
    <s v="NONE"/>
    <s v="AC"/>
    <n v="16818186"/>
    <n v="1"/>
  </r>
  <r>
    <s v="2E12"/>
    <x v="3"/>
    <s v="Wade Park 11420 - House"/>
    <s v="Wade Park 11420"/>
    <n v="0"/>
    <n v="5100"/>
    <n v="1930"/>
    <n v="0"/>
    <n v="1930"/>
    <n v="0"/>
    <s v="NONE"/>
    <s v="CR"/>
    <n v="563340"/>
    <n v="1"/>
  </r>
  <r>
    <s v="3C07"/>
    <x v="1"/>
    <s v="Thwing Center"/>
    <s v="Euclid Avenue 11111"/>
    <n v="2"/>
    <n v="84204"/>
    <n v="1900"/>
    <n v="1931"/>
    <n v="1931"/>
    <s v="Y"/>
    <s v="PARTIAL"/>
    <s v="AD"/>
    <n v="9222823"/>
    <n v="1"/>
  </r>
  <r>
    <s v="5C09"/>
    <x v="5"/>
    <s v="Service Building"/>
    <n v="0"/>
    <n v="1"/>
    <n v="41940"/>
    <n v="1931"/>
    <n v="0"/>
    <n v="1931"/>
    <s v="Y"/>
    <n v="0"/>
    <s v="AD"/>
    <n v="0"/>
    <n v="2"/>
  </r>
  <r>
    <s v="FB10"/>
    <x v="9"/>
    <s v="Squire Valleevue Farm - Boat Shed"/>
    <n v="0"/>
    <n v="4"/>
    <n v="576"/>
    <n v="0"/>
    <n v="1937"/>
    <n v="1937"/>
    <s v="N"/>
    <s v="NONE"/>
    <s v="F"/>
    <n v="0"/>
    <n v="1"/>
  </r>
  <r>
    <s v="FB16"/>
    <x v="9"/>
    <s v="Squire Valleevue Farm - Boiler Shed"/>
    <n v="0"/>
    <n v="4"/>
    <n v="240"/>
    <n v="0"/>
    <n v="1937"/>
    <n v="1937"/>
    <n v="0"/>
    <s v="NONE"/>
    <s v="F"/>
    <n v="0"/>
    <n v="1"/>
  </r>
  <r>
    <s v="FB09"/>
    <x v="9"/>
    <s v="Squire Valleevue Farm - Garden Shed"/>
    <n v="0"/>
    <n v="4"/>
    <n v="175"/>
    <n v="1900"/>
    <n v="1937"/>
    <n v="1937"/>
    <n v="0"/>
    <s v="NONE"/>
    <s v="F"/>
    <n v="0"/>
    <n v="1"/>
  </r>
  <r>
    <s v="FB20"/>
    <x v="9"/>
    <s v="Squire Valleevue Farm - Manor House"/>
    <n v="0"/>
    <n v="4"/>
    <n v="0"/>
    <n v="1930"/>
    <n v="1937"/>
    <n v="1937"/>
    <n v="0"/>
    <s v="NONE"/>
    <s v="F"/>
    <n v="1476025"/>
    <n v="1"/>
  </r>
  <r>
    <s v="FB12"/>
    <x v="9"/>
    <s v="Squire Valleevue Farm - Picnic Grounds Restroom"/>
    <n v="0"/>
    <n v="4"/>
    <n v="112"/>
    <n v="0"/>
    <n v="1937"/>
    <n v="1937"/>
    <s v="N"/>
    <s v="NONE"/>
    <s v="F"/>
    <n v="0"/>
    <n v="1"/>
  </r>
  <r>
    <s v="FB03"/>
    <x v="9"/>
    <s v="Squire Valleevue Farm - Pink Pig Silo Restroom"/>
    <n v="0"/>
    <n v="4"/>
    <n v="370"/>
    <n v="1900"/>
    <n v="1937"/>
    <n v="1937"/>
    <n v="0"/>
    <s v="NONE"/>
    <s v="F"/>
    <n v="88466"/>
    <n v="1"/>
  </r>
  <r>
    <s v="FB02"/>
    <x v="9"/>
    <s v="Squire Valleevue Farm - Pump House"/>
    <n v="0"/>
    <n v="4"/>
    <n v="195"/>
    <n v="1910"/>
    <n v="1937"/>
    <n v="1937"/>
    <n v="0"/>
    <s v="NONE"/>
    <s v="F"/>
    <n v="0"/>
    <n v="1"/>
  </r>
  <r>
    <s v="FB06"/>
    <x v="9"/>
    <s v="Squire Valleevue Farm - Straw Barn"/>
    <n v="0"/>
    <n v="4"/>
    <n v="1300"/>
    <n v="0"/>
    <n v="1937"/>
    <n v="1937"/>
    <n v="0"/>
    <s v="NONE"/>
    <s v="F"/>
    <n v="52042"/>
    <n v="1"/>
  </r>
  <r>
    <s v="FB13"/>
    <x v="9"/>
    <s v="Squire Valleevue Farm - Tin Barn"/>
    <n v="0"/>
    <n v="4"/>
    <n v="1200"/>
    <n v="0"/>
    <n v="1937"/>
    <n v="1937"/>
    <n v="0"/>
    <s v="NONE"/>
    <s v="F"/>
    <n v="180274"/>
    <n v="1"/>
  </r>
  <r>
    <s v="FB17"/>
    <x v="9"/>
    <s v="Squire Valleevue Farm - White Barn"/>
    <n v="0"/>
    <n v="4"/>
    <n v="1550"/>
    <n v="0"/>
    <n v="1937"/>
    <n v="1937"/>
    <n v="0"/>
    <s v="NONE"/>
    <s v="F"/>
    <n v="0"/>
    <n v="1"/>
  </r>
  <r>
    <s v="FB15"/>
    <x v="9"/>
    <s v="Squire Valleevue Farm - Woodshop"/>
    <n v="0"/>
    <n v="4"/>
    <n v="480"/>
    <n v="0"/>
    <n v="1937"/>
    <n v="1937"/>
    <n v="0"/>
    <s v="NONE"/>
    <s v="F"/>
    <n v="0"/>
    <n v="1"/>
  </r>
  <r>
    <s v="FB14"/>
    <x v="9"/>
    <s v="Squire Valleevue Farm - Chicken House"/>
    <n v="0"/>
    <n v="4"/>
    <n v="4900"/>
    <n v="1938"/>
    <n v="1937"/>
    <n v="1938"/>
    <n v="0"/>
    <s v="NONE"/>
    <s v="F"/>
    <n v="121886"/>
    <n v="1"/>
  </r>
  <r>
    <s v="5B21"/>
    <x v="0"/>
    <s v="AW Smith"/>
    <s v="Adelbert Road 2102"/>
    <n v="3"/>
    <n v="88536"/>
    <n v="1939"/>
    <n v="0"/>
    <n v="1939"/>
    <s v="N"/>
    <s v="NONE"/>
    <s v="AC"/>
    <n v="11336049"/>
    <n v="1"/>
  </r>
  <r>
    <s v="FB04"/>
    <x v="9"/>
    <s v="Squire Valleevue Farm - Main Barn"/>
    <n v="0"/>
    <n v="4"/>
    <n v="10030"/>
    <n v="1939"/>
    <n v="1937"/>
    <n v="1939"/>
    <n v="0"/>
    <s v="NONE"/>
    <s v="F"/>
    <n v="1408577"/>
    <n v="1"/>
  </r>
  <r>
    <s v="FB01"/>
    <x v="9"/>
    <s v="Squire Valleevue Farm - Pink Pig"/>
    <n v="0"/>
    <n v="4"/>
    <n v="1500"/>
    <n v="1940"/>
    <n v="1937"/>
    <n v="1940"/>
    <n v="0"/>
    <s v="NONE"/>
    <s v="F"/>
    <n v="104053"/>
    <n v="1"/>
  </r>
  <r>
    <s v="4B27"/>
    <x v="1"/>
    <s v="Tomlinson Hall"/>
    <s v="Martin Luther King Jr. Drive 2121"/>
    <n v="4"/>
    <n v="38545"/>
    <n v="1948"/>
    <n v="0"/>
    <n v="1948"/>
    <s v="N"/>
    <s v="PARTIAL"/>
    <s v="AD"/>
    <n v="5288868"/>
    <n v="1"/>
  </r>
  <r>
    <s v="FB08"/>
    <x v="9"/>
    <s v="Squire Valleevue Farm - Storage Shed 1"/>
    <n v="0"/>
    <n v="4"/>
    <n v="175"/>
    <n v="1950"/>
    <n v="1937"/>
    <n v="1950"/>
    <n v="0"/>
    <s v="NONE"/>
    <s v="F"/>
    <n v="0"/>
    <n v="1"/>
  </r>
  <r>
    <s v="4B17"/>
    <x v="0"/>
    <s v="Yost Hall"/>
    <s v="Martin Luther King Jr. Drive 2049"/>
    <n v="0"/>
    <n v="49292"/>
    <n v="1951"/>
    <n v="0"/>
    <n v="1951"/>
    <s v="Y"/>
    <s v="NONE"/>
    <s v="AC"/>
    <n v="7584360"/>
    <n v="1"/>
  </r>
  <r>
    <s v="3D47"/>
    <x v="1"/>
    <s v="Alumni House - 11310 Juniper"/>
    <s v="Juniper Drive 11310"/>
    <n v="0"/>
    <n v="11365"/>
    <n v="1911"/>
    <n v="1953"/>
    <n v="1953"/>
    <s v="Y"/>
    <s v="NONE"/>
    <s v="AD"/>
    <n v="1035126"/>
    <n v="1"/>
  </r>
  <r>
    <s v="4B07"/>
    <x v="0"/>
    <s v="Wickenden"/>
    <s v="Martin Luther King Jr. Drive 2071"/>
    <n v="4"/>
    <n v="72635"/>
    <n v="1955"/>
    <n v="0"/>
    <n v="1955"/>
    <s v="Y"/>
    <s v="FULL"/>
    <s v="AC"/>
    <n v="13377451"/>
    <n v="1"/>
  </r>
  <r>
    <s v="5B03"/>
    <x v="0"/>
    <s v="Emerson Gym"/>
    <s v="Adelbert Road 2138"/>
    <n v="4"/>
    <n v="92952"/>
    <n v="1957"/>
    <n v="1957"/>
    <n v="1957"/>
    <s v="Y"/>
    <s v="NONE"/>
    <s v="AC"/>
    <n v="9209593"/>
    <n v="1"/>
  </r>
  <r>
    <s v="N001"/>
    <x v="5"/>
    <s v="Nassau Station"/>
    <n v="0"/>
    <n v="4"/>
    <n v="2163"/>
    <n v="1957"/>
    <n v="0"/>
    <n v="1957"/>
    <n v="0"/>
    <n v="0"/>
    <s v="X"/>
    <n v="0"/>
    <n v="6"/>
  </r>
  <r>
    <s v="4B03"/>
    <x v="0"/>
    <s v="Strosacker Auditorium"/>
    <s v="Adelbert Road 2125"/>
    <n v="3"/>
    <n v="20058"/>
    <n v="1958"/>
    <n v="1958"/>
    <n v="1958"/>
    <s v="Y"/>
    <s v="NONE"/>
    <s v="AC"/>
    <n v="2849226"/>
    <n v="1"/>
  </r>
  <r>
    <s v="FB07"/>
    <x v="9"/>
    <s v="Squire Valleevue Farm - Greenhouse Lab"/>
    <n v="0"/>
    <n v="4"/>
    <n v="4880"/>
    <n v="1959"/>
    <n v="1937"/>
    <n v="1959"/>
    <n v="0"/>
    <s v="NONE"/>
    <s v="F"/>
    <n v="144602"/>
    <n v="1"/>
  </r>
  <r>
    <s v="4B01"/>
    <x v="0"/>
    <s v="Sears"/>
    <s v="Martin Luther King Jr. Drive 2083"/>
    <n v="4"/>
    <n v="85539"/>
    <n v="1960"/>
    <n v="1960"/>
    <n v="1960"/>
    <s v="Y"/>
    <s v="PARTIAL"/>
    <s v="AC"/>
    <n v="13771612"/>
    <n v="1"/>
  </r>
  <r>
    <s v="4A01"/>
    <x v="5"/>
    <s v="Tudor Arms"/>
    <n v="0"/>
    <n v="0"/>
    <n v="262785"/>
    <n v="1925"/>
    <n v="1960"/>
    <n v="1960"/>
    <n v="0"/>
    <n v="0"/>
    <s v="X"/>
    <n v="0"/>
    <n v="6"/>
  </r>
  <r>
    <s v="2D09"/>
    <x v="0"/>
    <s v="Stone Hall"/>
    <s v="Juniper Drive 11321"/>
    <n v="2"/>
    <n v="19068"/>
    <n v="1961"/>
    <n v="1961"/>
    <n v="1961"/>
    <s v="Y"/>
    <s v="NONE"/>
    <s v="AC"/>
    <n v="2692739"/>
    <n v="1"/>
  </r>
  <r>
    <s v="5B13"/>
    <x v="0"/>
    <s v="White Building"/>
    <s v="Martin Luther King Jr. Drive 2111"/>
    <n v="4"/>
    <n v="75290"/>
    <n v="1961"/>
    <n v="1961"/>
    <n v="1961"/>
    <s v="Y"/>
    <s v="NONE"/>
    <s v="AC"/>
    <n v="12376373"/>
    <n v="1"/>
  </r>
  <r>
    <s v="2D07"/>
    <x v="8"/>
    <s v="Cutter House"/>
    <s v="Juniper 11301"/>
    <n v="6"/>
    <n v="26471"/>
    <n v="1961"/>
    <n v="1961"/>
    <n v="1961"/>
    <s v="N"/>
    <s v="NONE"/>
    <s v="R"/>
    <n v="2848745"/>
    <n v="1"/>
  </r>
  <r>
    <s v="2D01"/>
    <x v="8"/>
    <s v="Smith House"/>
    <s v="Juniper 11311"/>
    <n v="6"/>
    <n v="26471"/>
    <n v="1961"/>
    <n v="1961"/>
    <n v="1961"/>
    <s v="N"/>
    <s v="NONE"/>
    <s v="R"/>
    <n v="2603586"/>
    <n v="1"/>
  </r>
  <r>
    <s v="2D03"/>
    <x v="8"/>
    <s v="Taft House"/>
    <s v="Juniper 11341"/>
    <n v="6"/>
    <n v="26471"/>
    <n v="1961"/>
    <n v="1961"/>
    <n v="1961"/>
    <s v="N"/>
    <s v="NONE"/>
    <s v="R"/>
    <n v="2608243"/>
    <n v="1"/>
  </r>
  <r>
    <s v="2D11"/>
    <x v="8"/>
    <s v="Taplin House"/>
    <s v="Juniper 11331"/>
    <n v="6"/>
    <n v="26471"/>
    <n v="1961"/>
    <n v="1961"/>
    <n v="1961"/>
    <s v="N"/>
    <s v="NONE"/>
    <s v="R"/>
    <n v="2594259"/>
    <n v="1"/>
  </r>
  <r>
    <s v="4B13"/>
    <x v="0"/>
    <s v="Millis Hall"/>
    <s v="Adelbert Road 2074"/>
    <n v="3"/>
    <n v="190677"/>
    <n v="1962"/>
    <n v="1962"/>
    <n v="1962"/>
    <s v="Y"/>
    <s v="FULL"/>
    <s v="AC"/>
    <n v="21557539"/>
    <n v="1"/>
  </r>
  <r>
    <s v="5B19"/>
    <x v="0"/>
    <s v="Olin Building"/>
    <s v="Martin Luther King Jr. Drive 2101"/>
    <n v="4"/>
    <n v="59611"/>
    <n v="1962"/>
    <n v="1962"/>
    <n v="1962"/>
    <s v="Y"/>
    <s v="NONE"/>
    <s v="AC"/>
    <n v="12825717"/>
    <n v="1"/>
  </r>
  <r>
    <s v="6C15"/>
    <x v="3"/>
    <s v="Murray Hill 2265 - Murray Hill House"/>
    <s v="Murray Hill 2265"/>
    <n v="6"/>
    <n v="13726"/>
    <n v="1964"/>
    <n v="0"/>
    <n v="1964"/>
    <s v="N"/>
    <s v="NONE"/>
    <s v="CR"/>
    <n v="2439173"/>
    <n v="1"/>
  </r>
  <r>
    <s v="6B05"/>
    <x v="8"/>
    <s v="Alumni House - 2345 Murray Hill"/>
    <s v="Murray Hill 2345"/>
    <n v="6"/>
    <n v="25251"/>
    <n v="1964"/>
    <n v="0"/>
    <n v="1964"/>
    <s v="N"/>
    <s v="NONE"/>
    <s v="R"/>
    <n v="3573203"/>
    <n v="1"/>
  </r>
  <r>
    <s v="2E05"/>
    <x v="8"/>
    <s v="Cutler House"/>
    <s v="East 115 Street 1616"/>
    <n v="6"/>
    <n v="22688"/>
    <n v="1964"/>
    <n v="1964"/>
    <n v="1964"/>
    <s v="N"/>
    <s v="NONE"/>
    <s v="R"/>
    <n v="2752407"/>
    <n v="1"/>
  </r>
  <r>
    <s v="6B11"/>
    <x v="8"/>
    <s v="Fribley Commons"/>
    <s v="Murray Hill 2315"/>
    <n v="6"/>
    <n v="25833"/>
    <n v="1964"/>
    <n v="1964"/>
    <n v="1964"/>
    <s v="Y"/>
    <s v="NONE"/>
    <s v="R"/>
    <n v="3658641"/>
    <n v="1"/>
  </r>
  <r>
    <s v="3E23"/>
    <x v="8"/>
    <s v="Hitchcock House"/>
    <s v="East 115 Street 1626"/>
    <n v="6"/>
    <n v="22688"/>
    <n v="1964"/>
    <n v="1964"/>
    <n v="1964"/>
    <s v="N"/>
    <s v="NONE"/>
    <s v="R"/>
    <n v="2796024"/>
    <n v="1"/>
  </r>
  <r>
    <s v="6B07"/>
    <x v="8"/>
    <s v="Howe House"/>
    <s v="Murray Hill 2335"/>
    <n v="6"/>
    <n v="23028"/>
    <n v="1964"/>
    <n v="1964"/>
    <n v="1964"/>
    <s v="N"/>
    <s v="NONE"/>
    <s v="R"/>
    <n v="3582550"/>
    <n v="1"/>
  </r>
  <r>
    <s v="2E01"/>
    <x v="8"/>
    <s v="Leutner Commons"/>
    <s v="Mistletoe Drive 1619"/>
    <n v="6"/>
    <n v="36454"/>
    <n v="1964"/>
    <n v="1964"/>
    <n v="1964"/>
    <s v="Y"/>
    <s v="FULL"/>
    <s v="R"/>
    <n v="5368196"/>
    <n v="1"/>
  </r>
  <r>
    <s v="2E03"/>
    <x v="8"/>
    <s v="Pierce House"/>
    <s v="East 115 Street 1636"/>
    <n v="6"/>
    <n v="22688"/>
    <n v="1964"/>
    <n v="1964"/>
    <n v="1964"/>
    <s v="N"/>
    <s v="NONE"/>
    <s v="R"/>
    <n v="2778512"/>
    <n v="1"/>
  </r>
  <r>
    <s v="6B03"/>
    <x v="8"/>
    <s v="Staley House"/>
    <s v="Murray Hill 2365"/>
    <n v="6"/>
    <n v="23028"/>
    <n v="1964"/>
    <n v="0"/>
    <n v="1964"/>
    <s v="N"/>
    <s v="PARTIAL"/>
    <s v="R"/>
    <n v="3594412"/>
    <n v="1"/>
  </r>
  <r>
    <s v="2E09"/>
    <x v="8"/>
    <s v="Storrs House"/>
    <s v="Mistletoe Drive 1615"/>
    <n v="6"/>
    <n v="22688"/>
    <n v="1964"/>
    <n v="1964"/>
    <n v="1964"/>
    <s v="N"/>
    <s v="NONE"/>
    <s v="R"/>
    <n v="2734139"/>
    <n v="1"/>
  </r>
  <r>
    <s v="6B09"/>
    <x v="8"/>
    <s v="Tippit House"/>
    <s v="Murray Hill 2355"/>
    <n v="6"/>
    <n v="24582"/>
    <n v="1964"/>
    <n v="1964"/>
    <n v="1964"/>
    <n v="0"/>
    <s v="PARTIAL"/>
    <s v="R"/>
    <n v="3548896"/>
    <n v="1"/>
  </r>
  <r>
    <s v="6C21"/>
    <x v="7"/>
    <s v="Murray Hill 2225 - Phi Delta Theta"/>
    <s v="Murray Hill 2225"/>
    <n v="6"/>
    <n v="13726"/>
    <n v="1964"/>
    <n v="0"/>
    <n v="1964"/>
    <s v="N"/>
    <s v="NONE"/>
    <s v="FS"/>
    <n v="1762730"/>
    <n v="1"/>
  </r>
  <r>
    <s v="6C17"/>
    <x v="7"/>
    <s v="Murray Hill 2235 - Sigma Nu"/>
    <s v="Murray Hill 2235"/>
    <n v="6"/>
    <n v="13882"/>
    <n v="1964"/>
    <n v="0"/>
    <n v="1964"/>
    <s v="N"/>
    <s v="NONE"/>
    <s v="FS"/>
    <n v="1795209"/>
    <n v="1"/>
  </r>
  <r>
    <s v="3E17"/>
    <x v="0"/>
    <s v="Denison Hall"/>
    <s v="East 115th 1650"/>
    <n v="2"/>
    <n v="8805"/>
    <n v="1965"/>
    <n v="1965"/>
    <n v="1965"/>
    <s v="Y"/>
    <s v="NONE"/>
    <s v="AC"/>
    <n v="1212307"/>
    <n v="1"/>
  </r>
  <r>
    <s v="3E21"/>
    <x v="8"/>
    <s v="Norton House"/>
    <s v="Juniper 11443"/>
    <n v="6"/>
    <n v="24714"/>
    <n v="1965"/>
    <n v="1965"/>
    <n v="1965"/>
    <s v="N"/>
    <s v="NONE"/>
    <s v="R"/>
    <n v="3204607"/>
    <n v="1"/>
  </r>
  <r>
    <s v="3E11"/>
    <x v="8"/>
    <s v="Raymond House"/>
    <s v="Juniper 11447"/>
    <n v="6"/>
    <n v="24714"/>
    <n v="1965"/>
    <n v="1965"/>
    <n v="1965"/>
    <s v="N"/>
    <s v="NONE"/>
    <s v="R"/>
    <n v="3178817"/>
    <n v="1"/>
  </r>
  <r>
    <s v="3E13"/>
    <x v="8"/>
    <s v="Sherman House"/>
    <s v="Juniper 11439"/>
    <n v="6"/>
    <n v="24714"/>
    <n v="1965"/>
    <n v="1965"/>
    <n v="1965"/>
    <s v="N"/>
    <s v="NONE"/>
    <s v="R"/>
    <n v="3115524"/>
    <n v="1"/>
  </r>
  <r>
    <s v="3E19"/>
    <x v="8"/>
    <s v="Tyler House"/>
    <s v="Juniper 11435"/>
    <n v="6"/>
    <n v="24714"/>
    <n v="1965"/>
    <n v="1965"/>
    <n v="1965"/>
    <s v="N"/>
    <s v="NONE"/>
    <s v="R"/>
    <n v="3178817"/>
    <n v="1"/>
  </r>
  <r>
    <s v="3E15"/>
    <x v="8"/>
    <s v="Wade Commons"/>
    <s v="Juniper 11451"/>
    <n v="6"/>
    <n v="12997"/>
    <n v="1965"/>
    <n v="1965"/>
    <n v="1965"/>
    <s v="Y"/>
    <s v="NONE"/>
    <s v="R"/>
    <n v="2244053"/>
    <n v="1"/>
  </r>
  <r>
    <s v="5C23"/>
    <x v="0"/>
    <s v="Dental School"/>
    <s v="Cornell Road 2124"/>
    <n v="1"/>
    <n v="143459"/>
    <n v="1967"/>
    <n v="1967"/>
    <n v="1967"/>
    <s v="Y"/>
    <s v="NONE"/>
    <s v="AC"/>
    <n v="14959053"/>
    <n v="1"/>
  </r>
  <r>
    <s v="5C21"/>
    <x v="0"/>
    <s v="Nursing School"/>
    <s v="Cornell Road 2120"/>
    <n v="1"/>
    <n v="92968"/>
    <n v="1967"/>
    <n v="1967"/>
    <n v="1967"/>
    <s v="Y"/>
    <s v="PARTIAL"/>
    <s v="AC"/>
    <n v="10225509"/>
    <n v="1"/>
  </r>
  <r>
    <s v="5C13"/>
    <x v="0"/>
    <s v="Robbins Building"/>
    <s v="Circle Drive 2210"/>
    <n v="1"/>
    <n v="388085"/>
    <n v="1967"/>
    <n v="1967"/>
    <n v="1967"/>
    <s v="Y"/>
    <s v="PARTIAL"/>
    <s v="AC"/>
    <n v="55030703"/>
    <n v="1"/>
  </r>
  <r>
    <s v="2E11"/>
    <x v="8"/>
    <s v="Clarke Tower"/>
    <s v="East 115 Street 1596"/>
    <n v="6"/>
    <n v="67337"/>
    <n v="1967"/>
    <n v="1967"/>
    <n v="1967"/>
    <s v="N"/>
    <s v="FULL"/>
    <s v="R"/>
    <n v="10447215"/>
    <n v="1"/>
  </r>
  <r>
    <s v="4B30"/>
    <x v="0"/>
    <s v="Crawford Hall"/>
    <s v="Euclid Avenue 10900"/>
    <n v="4"/>
    <n v="76080"/>
    <n v="1968"/>
    <n v="1968"/>
    <n v="1968"/>
    <s v="Y"/>
    <s v="NONE"/>
    <s v="AC"/>
    <n v="11930979"/>
    <n v="1"/>
  </r>
  <r>
    <s v="5B09"/>
    <x v="0"/>
    <s v="Glennan Building"/>
    <s v="Martin Luther King Jr. Drive 2123"/>
    <n v="4"/>
    <n v="116325"/>
    <n v="1968"/>
    <n v="1968"/>
    <n v="1968"/>
    <s v="Y"/>
    <s v="PARTIAL"/>
    <s v="AC"/>
    <n v="18225774"/>
    <n v="1"/>
  </r>
  <r>
    <s v="6C09"/>
    <x v="3"/>
    <s v="Carlton 11921/11923 - duplex"/>
    <s v="Carlton Road 11921/11923"/>
    <n v="6"/>
    <n v="14819"/>
    <n v="1968"/>
    <n v="0"/>
    <n v="1968"/>
    <s v="N"/>
    <s v="NONE"/>
    <s v="CR"/>
    <n v="1766782"/>
    <n v="1"/>
  </r>
  <r>
    <s v="6B01"/>
    <x v="8"/>
    <s v="Carlton Commons"/>
    <s v="Carlton Road 11892"/>
    <n v="6"/>
    <n v="29490"/>
    <n v="1968"/>
    <n v="0"/>
    <n v="1968"/>
    <s v="Y"/>
    <s v="PARTIAL"/>
    <s v="R"/>
    <n v="3727761"/>
    <n v="1"/>
  </r>
  <r>
    <s v="6C03"/>
    <x v="8"/>
    <s v="Glaser House"/>
    <s v="Carlton Road 11900"/>
    <n v="6"/>
    <n v="35180"/>
    <n v="1968"/>
    <n v="1968"/>
    <n v="1968"/>
    <s v="N"/>
    <s v="PARTIAL"/>
    <s v="R"/>
    <n v="5079838"/>
    <n v="1"/>
  </r>
  <r>
    <s v="6C05"/>
    <x v="8"/>
    <s v="Kusch House"/>
    <s v="Carlton Road 11904"/>
    <n v="6"/>
    <n v="35180"/>
    <n v="1968"/>
    <n v="1968"/>
    <n v="1968"/>
    <s v="N"/>
    <s v="PARTIAL"/>
    <s v="R"/>
    <n v="5097861"/>
    <n v="1"/>
  </r>
  <r>
    <s v="6C01"/>
    <x v="8"/>
    <s v="Michelson House"/>
    <s v="Carlton Road 11896"/>
    <n v="6"/>
    <n v="35180"/>
    <n v="1968"/>
    <n v="1968"/>
    <n v="1968"/>
    <s v="N"/>
    <s v="PARTIAL"/>
    <s v="R"/>
    <n v="4979966"/>
    <n v="1"/>
  </r>
  <r>
    <s v="6C11"/>
    <x v="7"/>
    <s v="Carlton 11915 - Sigma Alpha Epsilon"/>
    <s v="Carlton 11915"/>
    <n v="6"/>
    <n v="14957"/>
    <n v="1968"/>
    <n v="0"/>
    <n v="1968"/>
    <s v="N"/>
    <s v="NONE"/>
    <s v="FS"/>
    <n v="1901210"/>
    <n v="1"/>
  </r>
  <r>
    <s v="6C07"/>
    <x v="7"/>
    <s v="Carlton 11911 - Sigma Chi"/>
    <s v="Carlton 11911"/>
    <n v="6"/>
    <n v="14819"/>
    <n v="1968"/>
    <n v="0"/>
    <n v="1968"/>
    <s v="N"/>
    <s v="NONE"/>
    <s v="FS"/>
    <n v="1868013"/>
    <n v="1"/>
  </r>
  <r>
    <s v="6C13"/>
    <x v="7"/>
    <s v="Carlton 11925 - Zeta Psi"/>
    <s v="Carlton 11925"/>
    <n v="6"/>
    <n v="14957"/>
    <n v="1968"/>
    <n v="1968"/>
    <n v="1968"/>
    <s v="N"/>
    <s v="NONE "/>
    <s v="FS"/>
    <n v="1864647"/>
    <n v="1"/>
  </r>
  <r>
    <s v="FB05"/>
    <x v="9"/>
    <s v="Squire Valleevue Farm - Sheep Barn"/>
    <n v="0"/>
    <n v="4"/>
    <n v="4050"/>
    <n v="1970"/>
    <n v="1937"/>
    <n v="1970"/>
    <n v="0"/>
    <s v="NONE"/>
    <s v="F"/>
    <n v="190850"/>
    <n v="1"/>
  </r>
  <r>
    <s v="3D42"/>
    <x v="0"/>
    <s v="Law School"/>
    <s v="East Boulevard 11075"/>
    <n v="2"/>
    <n v="121168"/>
    <n v="1971"/>
    <n v="1971"/>
    <n v="1971"/>
    <s v="Y"/>
    <s v="PARTIAL"/>
    <s v="AC"/>
    <n v="24436588"/>
    <n v="1"/>
  </r>
  <r>
    <s v="3D49"/>
    <x v="2"/>
    <s v="Juniper 11300 - Coffee House @ University Circle "/>
    <s v="Juniper Drive11300"/>
    <n v="0"/>
    <n v="8000"/>
    <n v="1920"/>
    <n v="1975"/>
    <n v="1975"/>
    <s v="Y"/>
    <s v="NONE"/>
    <s v="C"/>
    <n v="1065941"/>
    <n v="1"/>
  </r>
  <r>
    <s v="3D43"/>
    <x v="3"/>
    <s v="Glidden House - 1901 Ford"/>
    <s v="Ford 1901"/>
    <n v="0"/>
    <n v="0"/>
    <n v="1901"/>
    <n v="1975"/>
    <n v="1975"/>
    <n v="0"/>
    <s v="FULL"/>
    <s v="CR"/>
    <n v="3507187"/>
    <n v="1"/>
  </r>
  <r>
    <s v="6C19"/>
    <x v="7"/>
    <s v="Murray Hill 2255/53 - Sigma Phi Epsilon"/>
    <s v="Murray Hill 2255/53"/>
    <n v="6"/>
    <n v="13882"/>
    <n v="1964"/>
    <n v="1975"/>
    <n v="1975"/>
    <n v="0"/>
    <s v="NONE"/>
    <s v="FS"/>
    <n v="1771544"/>
    <n v="1"/>
  </r>
  <r>
    <s v="FV07"/>
    <x v="9"/>
    <s v="Valley Ridge Farm - 2505 SOM Center House"/>
    <n v="0"/>
    <n v="4"/>
    <n v="1900"/>
    <n v="0"/>
    <n v="1977"/>
    <n v="1977"/>
    <n v="0"/>
    <s v="NONE"/>
    <s v="F"/>
    <n v="243748"/>
    <n v="1"/>
  </r>
  <r>
    <s v="FV08"/>
    <x v="9"/>
    <s v="Valley Ridge Farm - 37125 Fairmount House"/>
    <n v="0"/>
    <n v="4"/>
    <n v="2400"/>
    <n v="0"/>
    <n v="1977"/>
    <n v="1977"/>
    <n v="0"/>
    <s v="NONE"/>
    <s v="F"/>
    <n v="0"/>
    <n v="1"/>
  </r>
  <r>
    <s v="FV09"/>
    <x v="9"/>
    <s v="Valley Ridge Farm - 37325 Fairmount"/>
    <n v="0"/>
    <n v="4"/>
    <n v="1300"/>
    <n v="0"/>
    <n v="1977"/>
    <n v="1977"/>
    <n v="0"/>
    <s v="NONE"/>
    <s v="F"/>
    <n v="171550"/>
    <n v="1"/>
  </r>
  <r>
    <s v="FV03"/>
    <x v="9"/>
    <s v="Valley Ridge Farm - Art Studio Barn"/>
    <n v="0"/>
    <n v="4"/>
    <n v="1300"/>
    <n v="0"/>
    <n v="1977"/>
    <n v="1977"/>
    <n v="0"/>
    <s v="NONE"/>
    <s v="F"/>
    <n v="0"/>
    <n v="1"/>
  </r>
  <r>
    <s v="FV02"/>
    <x v="9"/>
    <s v="Valley Ridge Farm - Dairy Barn"/>
    <n v="0"/>
    <n v="4"/>
    <n v="4300"/>
    <n v="0"/>
    <n v="1977"/>
    <n v="1977"/>
    <n v="0"/>
    <s v="NONE"/>
    <s v="F"/>
    <n v="52583"/>
    <n v="1"/>
  </r>
  <r>
    <s v="FV01"/>
    <x v="9"/>
    <s v="Valley Ridge Farm - Horse Barn"/>
    <n v="0"/>
    <n v="4"/>
    <n v="11550"/>
    <n v="0"/>
    <n v="1977"/>
    <n v="1977"/>
    <n v="0"/>
    <s v="NONE"/>
    <s v="F"/>
    <n v="64205"/>
    <n v="1"/>
  </r>
  <r>
    <s v="FV05"/>
    <x v="9"/>
    <s v="Valley Ridge Farm - House 8"/>
    <n v="0"/>
    <n v="4"/>
    <n v="1900"/>
    <n v="0"/>
    <n v="1977"/>
    <n v="1977"/>
    <n v="0"/>
    <s v="NONE"/>
    <s v="F"/>
    <n v="0"/>
    <n v="1"/>
  </r>
  <r>
    <s v="FV06"/>
    <x v="9"/>
    <s v="Valley Ridge Farm - House 9"/>
    <n v="0"/>
    <n v="4"/>
    <n v="2100"/>
    <n v="0"/>
    <n v="1977"/>
    <n v="1977"/>
    <n v="0"/>
    <s v="NONE"/>
    <s v="F"/>
    <n v="0"/>
    <n v="1"/>
  </r>
  <r>
    <s v="FV04"/>
    <x v="9"/>
    <s v="Valley Ridge Farm - Octagon Building"/>
    <n v="0"/>
    <n v="4"/>
    <n v="400"/>
    <n v="0"/>
    <n v="1977"/>
    <n v="1977"/>
    <n v="0"/>
    <s v="NONE"/>
    <s v="F"/>
    <n v="0"/>
    <n v="1"/>
  </r>
  <r>
    <s v="6C08"/>
    <x v="3"/>
    <s v="Carlton 11920 - Guest House"/>
    <s v="Carlton Road 11920"/>
    <n v="0"/>
    <n v="2000"/>
    <n v="1926"/>
    <n v="1981"/>
    <n v="1981"/>
    <s v="N"/>
    <s v="NONE"/>
    <s v="CR"/>
    <n v="220887"/>
    <n v="1"/>
  </r>
  <r>
    <s v="5B12"/>
    <x v="6"/>
    <s v="Nord Chilled Water Plant"/>
    <n v="0"/>
    <n v="4"/>
    <n v="3886"/>
    <n v="1986"/>
    <n v="1986"/>
    <n v="1986"/>
    <s v="Y"/>
    <s v="NONE"/>
    <s v="O"/>
    <n v="1845316"/>
    <n v="1"/>
  </r>
  <r>
    <s v="6C02"/>
    <x v="1"/>
    <s v="Harcourt House - Harcourt 2163"/>
    <s v="Harcourt 2163"/>
    <n v="4"/>
    <n v="10376"/>
    <n v="1906"/>
    <n v="1987"/>
    <n v="1987"/>
    <s v="Y"/>
    <s v="NONE"/>
    <s v="AD"/>
    <n v="1700701"/>
    <n v="1"/>
  </r>
  <r>
    <s v="5B16"/>
    <x v="6"/>
    <s v="One to One Fitness"/>
    <n v="0"/>
    <n v="0"/>
    <n v="28990"/>
    <n v="1987"/>
    <n v="1987"/>
    <n v="1987"/>
    <s v="Y"/>
    <s v="FULL"/>
    <s v="O"/>
    <n v="1874307"/>
    <n v="1"/>
  </r>
  <r>
    <s v="3E09"/>
    <x v="0"/>
    <s v="Bellflower 11427 - Bellflower House"/>
    <s v="Bellflower Road 11427"/>
    <n v="0"/>
    <n v="10475"/>
    <n v="0"/>
    <n v="1988"/>
    <n v="1988"/>
    <s v="N"/>
    <s v="NONE"/>
    <s v="AC"/>
    <n v="1242980"/>
    <n v="1"/>
  </r>
  <r>
    <s v="4B05"/>
    <x v="0"/>
    <s v="Nord Hall"/>
    <s v="Martin Luther King Jr. Drive 2095"/>
    <n v="4"/>
    <n v="61000"/>
    <n v="1988"/>
    <n v="1988"/>
    <n v="1988"/>
    <s v="Y"/>
    <s v="FULL"/>
    <s v="AC"/>
    <n v="8871741"/>
    <n v="1"/>
  </r>
  <r>
    <s v="3E60"/>
    <x v="8"/>
    <s v="Apartment 1719 East 116th Street"/>
    <s v="East 116 Street 1719"/>
    <n v="0"/>
    <n v="9000"/>
    <n v="1905"/>
    <n v="1989"/>
    <n v="1989"/>
    <s v="N"/>
    <s v="NONE"/>
    <s v="R"/>
    <n v="454899"/>
    <n v="1"/>
  </r>
  <r>
    <s v="3E59"/>
    <x v="8"/>
    <s v="Apartment 1720/28 East 116th Street - The Noble"/>
    <s v="East 116 Street 1720/28"/>
    <n v="0"/>
    <n v="18000"/>
    <n v="1910"/>
    <n v="1989"/>
    <n v="1989"/>
    <s v="N"/>
    <s v="NONE"/>
    <s v="R"/>
    <n v="709100"/>
    <n v="1"/>
  </r>
  <r>
    <s v="3E61"/>
    <x v="8"/>
    <s v="Apartment 1727 East 116th Street"/>
    <s v="East 116 Street 1727"/>
    <n v="0"/>
    <n v="9000"/>
    <n v="1905"/>
    <n v="1989"/>
    <n v="1989"/>
    <s v="N"/>
    <s v="NONE"/>
    <s v="R"/>
    <n v="1017880"/>
    <n v="1"/>
  </r>
  <r>
    <s v="3D29"/>
    <x v="0"/>
    <s v="Mandel School of Applied Social Sciences"/>
    <s v="Bellflower Road 11235"/>
    <n v="2"/>
    <n v="63594"/>
    <n v="1990"/>
    <n v="1990"/>
    <n v="1990"/>
    <s v="Y"/>
    <s v="PARTIAL"/>
    <s v="AC"/>
    <n v="10389344"/>
    <n v="1"/>
  </r>
  <r>
    <s v="3D55"/>
    <x v="1"/>
    <s v="Protective Services Satellite Office"/>
    <s v="Bellflower Road 11421.5"/>
    <n v="0"/>
    <n v="0"/>
    <n v="0"/>
    <n v="1990"/>
    <n v="1990"/>
    <n v="0"/>
    <s v="NONE"/>
    <s v="AD"/>
    <n v="110761"/>
    <n v="1"/>
  </r>
  <r>
    <s v="6B13"/>
    <x v="3"/>
    <s v="Fairchild 11430 - House"/>
    <s v="Fairchild 11430"/>
    <n v="0"/>
    <n v="1700"/>
    <n v="1915"/>
    <n v="1990"/>
    <n v="1990"/>
    <s v="Y"/>
    <s v="NONE"/>
    <s v="CR"/>
    <n v="289010"/>
    <n v="1"/>
  </r>
  <r>
    <s v="3D56"/>
    <x v="7"/>
    <s v="Bellflower 11421 - Alpha Chi"/>
    <s v="Bellflower 11421"/>
    <n v="0"/>
    <n v="8750"/>
    <n v="1900"/>
    <n v="1990"/>
    <n v="1990"/>
    <s v="N"/>
    <s v="PARTIAL"/>
    <s v="FS"/>
    <n v="1878574"/>
    <n v="1"/>
  </r>
  <r>
    <s v="6B14"/>
    <x v="3"/>
    <s v="Fairchild 11422 - House"/>
    <s v="Fairchild 11422"/>
    <n v="0"/>
    <n v="1900"/>
    <n v="1915"/>
    <n v="1991"/>
    <n v="1991"/>
    <s v="Y"/>
    <s v="NONE"/>
    <s v="CR"/>
    <n v="289010"/>
    <n v="1"/>
  </r>
  <r>
    <s v="5C15"/>
    <x v="0"/>
    <s v="Biomedical Research Building"/>
    <s v="Adelbert Road 2109"/>
    <n v="1"/>
    <n v="265533"/>
    <n v="1992"/>
    <n v="0"/>
    <n v="1992"/>
    <s v="Y"/>
    <s v="FULL"/>
    <s v="AC"/>
    <n v="97660166"/>
    <n v="1"/>
  </r>
  <r>
    <s v="5A02"/>
    <x v="1"/>
    <s v="BioEnterprise / University West"/>
    <s v="Cedar Avenue 11000"/>
    <n v="4"/>
    <n v="119466"/>
    <n v="0"/>
    <n v="1992"/>
    <n v="1992"/>
    <s v="Y"/>
    <s v="PARTIAL"/>
    <s v="AD"/>
    <n v="21186013"/>
    <n v="1"/>
  </r>
  <r>
    <s v="6B18"/>
    <x v="3"/>
    <s v="Fairchild 11414 - Fairchild House"/>
    <s v="Fairchild 11414"/>
    <n v="0"/>
    <n v="2500"/>
    <n v="1915"/>
    <n v="1992"/>
    <n v="1992"/>
    <s v="Y"/>
    <s v="NONE"/>
    <s v="CR"/>
    <n v="411438"/>
    <n v="1"/>
  </r>
  <r>
    <s v="6B15"/>
    <x v="3"/>
    <s v="Fairchild 11426 - House"/>
    <s v="Fairchild 11426 "/>
    <n v="0"/>
    <n v="1300"/>
    <n v="1915"/>
    <n v="1992"/>
    <n v="1992"/>
    <s v="N"/>
    <s v="NONE"/>
    <s v="CR"/>
    <n v="289010"/>
    <n v="1"/>
  </r>
  <r>
    <s v="5B04"/>
    <x v="4"/>
    <s v="Lot S-53 - Adelbert Garage"/>
    <s v="Adelbert Road 2158"/>
    <n v="0"/>
    <n v="340440"/>
    <n v="1992"/>
    <n v="1992"/>
    <n v="1992"/>
    <s v="N"/>
    <s v="NONE"/>
    <s v="G"/>
    <n v="1824691"/>
    <n v="1"/>
  </r>
  <r>
    <s v="5A07"/>
    <x v="1"/>
    <s v="Cedar Avenue Service Center"/>
    <s v="Cedar Avenue 10620"/>
    <n v="4"/>
    <n v="128241"/>
    <n v="1970"/>
    <n v="1993"/>
    <n v="1993"/>
    <s v="N"/>
    <s v="PARTIAL"/>
    <s v="AD"/>
    <n v="13711143"/>
    <n v="1"/>
  </r>
  <r>
    <s v="3D09"/>
    <x v="0"/>
    <s v="Dively Building"/>
    <s v="Bellflower Road 11240"/>
    <n v="2"/>
    <n v="38063"/>
    <n v="1994"/>
    <n v="1994"/>
    <n v="1994"/>
    <s v="Y"/>
    <s v="FULL"/>
    <s v="AC"/>
    <n v="10796501"/>
    <n v="1"/>
  </r>
  <r>
    <s v="5B23"/>
    <x v="0"/>
    <s v="Kent Hale Smith"/>
    <s v="Adelbert Road 2100"/>
    <n v="3"/>
    <n v="92515"/>
    <n v="1994"/>
    <n v="1994"/>
    <n v="1994"/>
    <s v="Y"/>
    <s v="FULL"/>
    <s v="AC"/>
    <n v="34813038"/>
    <n v="1"/>
  </r>
  <r>
    <s v="3C03"/>
    <x v="4"/>
    <s v="Lot S-29 - Campus Center Garage"/>
    <s v="Euclid Avenue 11001"/>
    <n v="0"/>
    <n v="239850"/>
    <n v="1995"/>
    <n v="1995"/>
    <n v="1995"/>
    <s v="N"/>
    <s v="FULL"/>
    <s v="G"/>
    <n v="19996484"/>
    <n v="1"/>
  </r>
  <r>
    <s v="3C09"/>
    <x v="0"/>
    <s v="Kelvin Smith Library"/>
    <s v="Euclid Avenue 11055"/>
    <n v="2"/>
    <n v="144290"/>
    <n v="1996"/>
    <n v="1996"/>
    <n v="1996"/>
    <s v="Y"/>
    <s v="FULL"/>
    <s v="AC"/>
    <n v="35046746"/>
    <n v="1"/>
  </r>
  <r>
    <s v="6B20"/>
    <x v="3"/>
    <s v="Glenwood 11409 - House"/>
    <s v="Glenwood 11409"/>
    <n v="0"/>
    <n v="2000"/>
    <n v="1915"/>
    <n v="1997"/>
    <n v="1997"/>
    <s v="N"/>
    <s v="NONE"/>
    <s v="CR"/>
    <n v="95037"/>
    <n v="1"/>
  </r>
  <r>
    <s v="5C28"/>
    <x v="3"/>
    <s v="Murray Hill 2272 - House"/>
    <s v="Murray Hill 2272"/>
    <n v="0"/>
    <n v="2100"/>
    <n v="1910"/>
    <n v="1998"/>
    <n v="1998"/>
    <s v="N"/>
    <s v="NONE"/>
    <s v="CR"/>
    <n v="380143"/>
    <n v="1"/>
  </r>
  <r>
    <s v="3A01"/>
    <x v="5"/>
    <s v="CCF - Lerner Research Institute"/>
    <n v="0"/>
    <n v="0"/>
    <n v="0"/>
    <n v="1999"/>
    <n v="0"/>
    <n v="1999"/>
    <s v="Y"/>
    <s v="NONE"/>
    <s v="AC"/>
    <n v="0"/>
    <n v="3"/>
  </r>
  <r>
    <s v="5C24"/>
    <x v="0"/>
    <s v="Art Studio"/>
    <s v="Adelbert Road 2215"/>
    <n v="4"/>
    <n v="14323"/>
    <n v="1926"/>
    <n v="2000"/>
    <n v="2000"/>
    <s v="Y"/>
    <s v="FULL"/>
    <s v="AC"/>
    <n v="2154142"/>
    <n v="1"/>
  </r>
  <r>
    <s v="5B06"/>
    <x v="0"/>
    <s v="Veale Center"/>
    <s v="Adelbert Road 2138"/>
    <n v="4"/>
    <n v="106069"/>
    <n v="2000"/>
    <n v="2000"/>
    <n v="2000"/>
    <s v="Y"/>
    <s v="FULL"/>
    <s v="AC"/>
    <n v="16052799"/>
    <n v="1"/>
  </r>
  <r>
    <s v="5B01"/>
    <x v="1"/>
    <s v="Lincoln Storage"/>
    <s v="Cedar Avenue 11201"/>
    <n v="0"/>
    <n v="50400"/>
    <n v="1924"/>
    <n v="2000"/>
    <n v="2000"/>
    <s v="N"/>
    <s v="NONE"/>
    <s v="AD"/>
    <n v="3444659"/>
    <n v="1"/>
  </r>
  <r>
    <s v="3D39"/>
    <x v="0"/>
    <s v="Peter B Lewis"/>
    <s v="Bellflower Road 11119"/>
    <n v="2"/>
    <n v="149900"/>
    <n v="2002"/>
    <n v="2002"/>
    <n v="2002"/>
    <s v="Y"/>
    <s v="FULL"/>
    <s v="AC"/>
    <n v="70842353"/>
    <n v="1"/>
  </r>
  <r>
    <s v="5C29"/>
    <x v="3"/>
    <s v="Murray Hill 2266 - House"/>
    <s v="Murray Hill 2266"/>
    <n v="0"/>
    <n v="1900"/>
    <n v="1900"/>
    <n v="2002"/>
    <n v="2002"/>
    <s v="N"/>
    <s v="NONE"/>
    <s v="CR"/>
    <n v="172236"/>
    <n v="1"/>
  </r>
  <r>
    <s v="5D02"/>
    <x v="0"/>
    <s v="Wolstein Research Building"/>
    <s v="Cornell Road 2103"/>
    <n v="1"/>
    <n v="320000"/>
    <n v="2003"/>
    <n v="2003"/>
    <n v="2003"/>
    <s v="Y"/>
    <s v="FULL"/>
    <s v="AC"/>
    <n v="79811884"/>
    <n v="1"/>
  </r>
  <r>
    <s v="5C18"/>
    <x v="0"/>
    <s v="Wood Research Tower"/>
    <s v="Adelbert Road 2123"/>
    <n v="1"/>
    <n v="49744"/>
    <n v="2003"/>
    <n v="2003"/>
    <n v="2003"/>
    <s v="Y"/>
    <s v="FULL"/>
    <s v="AC"/>
    <n v="13771706"/>
    <n v="1"/>
  </r>
  <r>
    <s v="1Z10"/>
    <x v="6"/>
    <s v="Lorain Avenue 3404"/>
    <s v="Lorain Avenue 3404"/>
    <n v="0"/>
    <n v="4682"/>
    <n v="1930"/>
    <n v="2003"/>
    <n v="2003"/>
    <s v="Y"/>
    <s v="NONE"/>
    <s v="AC"/>
    <n v="103342"/>
    <n v="1"/>
  </r>
  <r>
    <s v="3D58"/>
    <x v="6"/>
    <s v="Silver Spartan Diner"/>
    <s v="Bellflower Court 11377"/>
    <n v="0"/>
    <n v="2351"/>
    <n v="2003"/>
    <n v="2003"/>
    <n v="2003"/>
    <s v="Y"/>
    <s v="NONE"/>
    <s v="O"/>
    <n v="524067"/>
    <n v="1"/>
  </r>
  <r>
    <s v="2B05"/>
    <x v="0"/>
    <s v="CCSB &amp; Wright Fuel Cell"/>
    <s v="East 101st 1819"/>
    <n v="2"/>
    <n v="18514"/>
    <n v="2005"/>
    <n v="2005"/>
    <n v="2005"/>
    <s v="Y"/>
    <s v="FULL"/>
    <s v="AC"/>
    <n v="7104105"/>
    <n v="1"/>
  </r>
  <r>
    <s v="4D10"/>
    <x v="2"/>
    <s v="Triangle Tower 1"/>
    <s v="Mayfield Road 11457"/>
    <n v="0"/>
    <n v="145170"/>
    <n v="1989"/>
    <n v="2005"/>
    <n v="2005"/>
    <n v="0"/>
    <s v="PARTIAL"/>
    <s v="C"/>
    <n v="0"/>
    <n v="1"/>
  </r>
  <r>
    <s v="4D11"/>
    <x v="2"/>
    <s v="Triangle Tower 2"/>
    <s v="Mayfield Road 11477"/>
    <n v="0"/>
    <n v="108880"/>
    <n v="1989"/>
    <n v="2005"/>
    <n v="2005"/>
    <n v="0"/>
    <s v="PARTIAL"/>
    <s v="C"/>
    <n v="0"/>
    <n v="1"/>
  </r>
  <r>
    <s v="3E01"/>
    <x v="8"/>
    <s v="North Residential Village - House 1"/>
    <s v="East 117 Street 1672"/>
    <n v="0"/>
    <n v="38054"/>
    <n v="2005"/>
    <n v="2005"/>
    <n v="2005"/>
    <s v="Y"/>
    <s v="FULL"/>
    <s v="R"/>
    <n v="0"/>
    <n v="1"/>
  </r>
  <r>
    <s v="3E02"/>
    <x v="8"/>
    <s v="North Residential Village - House 2"/>
    <s v="East 117 Street 1697"/>
    <n v="0"/>
    <n v="60683"/>
    <n v="2005"/>
    <n v="2005"/>
    <n v="2005"/>
    <s v="Y"/>
    <s v="FULL"/>
    <s v="R"/>
    <n v="0"/>
    <n v="1"/>
  </r>
  <r>
    <s v="3E03"/>
    <x v="8"/>
    <s v="North Residential Village - House 3"/>
    <s v="East 117 Street 1681"/>
    <n v="0"/>
    <n v="38508"/>
    <n v="2005"/>
    <n v="2005"/>
    <n v="2005"/>
    <s v="Y"/>
    <s v="FULL"/>
    <s v="R"/>
    <n v="0"/>
    <n v="1"/>
  </r>
  <r>
    <s v="3E10"/>
    <x v="8"/>
    <s v="North Residential Village - House 3A"/>
    <s v="East 117 Street 1677"/>
    <n v="0"/>
    <n v="43172"/>
    <n v="2005"/>
    <n v="2005"/>
    <n v="2005"/>
    <s v="Y"/>
    <s v="FULL"/>
    <s v="R"/>
    <n v="0"/>
    <n v="1"/>
  </r>
  <r>
    <s v="3E04"/>
    <x v="8"/>
    <s v="North Residential Village - House 4"/>
    <s v="East 117 Street 1665"/>
    <n v="0"/>
    <n v="48089"/>
    <n v="2005"/>
    <n v="2005"/>
    <n v="2005"/>
    <s v="Y"/>
    <s v="FULL"/>
    <s v="R"/>
    <n v="0"/>
    <n v="1"/>
  </r>
  <r>
    <s v="3E05"/>
    <x v="8"/>
    <s v="North Residential Village - House 5"/>
    <s v="East 117 Street 1641"/>
    <n v="0"/>
    <n v="59597"/>
    <n v="2005"/>
    <n v="2005"/>
    <n v="2005"/>
    <s v="Y"/>
    <s v="FULL"/>
    <s v="R"/>
    <n v="0"/>
    <n v="1"/>
  </r>
  <r>
    <s v="3E06"/>
    <x v="8"/>
    <s v="North Residential Village - House 6"/>
    <s v="East 117 Street 1623"/>
    <n v="0"/>
    <n v="55293"/>
    <n v="2005"/>
    <n v="2005"/>
    <n v="2005"/>
    <s v="Y"/>
    <s v="FULL"/>
    <s v="R"/>
    <n v="0"/>
    <n v="1"/>
  </r>
  <r>
    <s v="3E07"/>
    <x v="8"/>
    <s v="North Residential Village - House 7"/>
    <s v="East 117 Street 1611"/>
    <n v="0"/>
    <n v="78526"/>
    <n v="2005"/>
    <n v="2005"/>
    <n v="2005"/>
    <s v="Y"/>
    <s v="FULL"/>
    <s v="R"/>
    <n v="0"/>
    <n v="1"/>
  </r>
  <r>
    <s v="3E65"/>
    <x v="4"/>
    <s v="Lot S-46 - NRV Garage"/>
    <n v="0"/>
    <n v="0"/>
    <n v="386727"/>
    <n v="2005"/>
    <n v="2005"/>
    <n v="2005"/>
    <s v="N"/>
    <s v="PARTIAL"/>
    <s v="G"/>
    <n v="0"/>
    <n v="1"/>
  </r>
  <r>
    <s v="4D13"/>
    <x v="4"/>
    <s v="Triangle Parking Garage"/>
    <n v="0"/>
    <n v="0"/>
    <n v="132063"/>
    <n v="1989"/>
    <n v="2005"/>
    <n v="2005"/>
    <s v="N"/>
    <s v="PARTIAL"/>
    <s v="G"/>
    <n v="0"/>
    <n v="1"/>
  </r>
  <r>
    <s v="3D15"/>
    <x v="0"/>
    <s v="Mandel Center for Nonprofit"/>
    <s v="Bellflower Road 11402"/>
    <n v="0"/>
    <n v="25403"/>
    <n v="2007"/>
    <n v="2007"/>
    <n v="2007"/>
    <s v="Y"/>
    <s v="FULL"/>
    <s v="AC"/>
    <n v="9140220"/>
    <n v="1"/>
  </r>
  <r>
    <s v="3E75"/>
    <x v="5"/>
    <s v="Cleveland Hearing &amp; Speech"/>
    <n v="0"/>
    <n v="0"/>
    <n v="42000"/>
    <n v="2008"/>
    <n v="0"/>
    <n v="2008"/>
    <s v="Y"/>
    <s v="FULL"/>
    <s v="AC"/>
    <n v="0"/>
    <n v="5"/>
  </r>
  <r>
    <s v="1Z33"/>
    <x v="6"/>
    <s v="Van Aken Boulevard 18975"/>
    <s v="Van Aken Boulevard 18975"/>
    <n v="0"/>
    <n v="1860"/>
    <n v="1960"/>
    <n v="2009"/>
    <n v="2009"/>
    <n v="0"/>
    <s v="NONE"/>
    <s v="O"/>
    <n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14" firstHeaderRow="1" firstDataRow="1" firstDataCol="1"/>
  <pivotFields count="14">
    <pivotField showAll="0"/>
    <pivotField axis="axisRow" showAll="0">
      <items count="11">
        <item x="0"/>
        <item x="1"/>
        <item x="2"/>
        <item x="3"/>
        <item x="9"/>
        <item x="4"/>
        <item x="5"/>
        <item x="6"/>
        <item x="7"/>
        <item x="8"/>
        <item t="default"/>
      </items>
    </pivotField>
    <pivotField showAll="0"/>
    <pivotField showAll="0"/>
    <pivotField showAll="0"/>
    <pivotField dataField="1" showAll="0"/>
    <pivotField showAll="0"/>
    <pivotField showAll="0"/>
    <pivotField showAll="0"/>
    <pivotField showAll="0"/>
    <pivotField showAll="0"/>
    <pivotField showAll="0"/>
    <pivotField numFmtId="6" showAll="0"/>
    <pivotField showAll="0"/>
  </pivotFields>
  <rowFields count="1">
    <field x="1"/>
  </rowFields>
  <rowItems count="11">
    <i>
      <x/>
    </i>
    <i>
      <x v="1"/>
    </i>
    <i>
      <x v="2"/>
    </i>
    <i>
      <x v="3"/>
    </i>
    <i>
      <x v="4"/>
    </i>
    <i>
      <x v="5"/>
    </i>
    <i>
      <x v="6"/>
    </i>
    <i>
      <x v="7"/>
    </i>
    <i>
      <x v="8"/>
    </i>
    <i>
      <x v="9"/>
    </i>
    <i t="grand">
      <x/>
    </i>
  </rowItems>
  <colItems count="1">
    <i/>
  </colItems>
  <dataFields count="1">
    <dataField name="Sum of GSF" fld="5" baseField="0" baseItem="0"/>
  </dataFields>
  <pivotTableStyleInfo name="PivotStyleLight16" showRowHeaders="1" showColHeaders="1" showRowStripes="0" showColStripes="0" showLastColumn="1"/>
</pivotTableDefinition>
</file>

<file path=xl/queryTables/queryTable1.xml><?xml version="1.0" encoding="utf-8"?>
<queryTable xmlns="http://schemas.openxmlformats.org/spreadsheetml/2006/main" name="sps_building_tab"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0.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2.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9.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hyperlink" Target="http://www.energystar.gov/ia/business/tools_resources/target_finder/help/Energy_Units_Conversion_Table.htm" TargetMode="External"/><Relationship Id="rId4" Type="http://schemas.openxmlformats.org/officeDocument/2006/relationships/comments" Target="../comments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ecosystemmarketplace.com/documents/cms_documents/StateOfTheVoluntaryCarbonMarkets_2009.pdf" TargetMode="External"/><Relationship Id="rId1" Type="http://schemas.openxmlformats.org/officeDocument/2006/relationships/hyperlink" Target="http://www.nativeenergy.com/pages/travel_calculator/465.php" TargetMode="External"/><Relationship Id="rId4" Type="http://schemas.openxmlformats.org/officeDocument/2006/relationships/drawing" Target="../drawings/drawing45.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1.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drawing" Target="../drawings/drawing6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5.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6.xml"/><Relationship Id="rId1" Type="http://schemas.openxmlformats.org/officeDocument/2006/relationships/printerSettings" Target="../printerSettings/printerSettings36.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7.xml"/><Relationship Id="rId1" Type="http://schemas.openxmlformats.org/officeDocument/2006/relationships/printerSettings" Target="../printerSettings/printerSettings37.bin"/><Relationship Id="rId5" Type="http://schemas.openxmlformats.org/officeDocument/2006/relationships/comments" Target="../comments11.xml"/><Relationship Id="rId4" Type="http://schemas.openxmlformats.org/officeDocument/2006/relationships/queryTable" Target="../queryTables/queryTable1.x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sheetPr codeName="Sheet11"/>
  <dimension ref="A1:B42"/>
  <sheetViews>
    <sheetView tabSelected="1" zoomScaleNormal="100" workbookViewId="0"/>
  </sheetViews>
  <sheetFormatPr defaultRowHeight="15"/>
  <cols>
    <col min="1" max="1" width="38.42578125" style="146" customWidth="1"/>
    <col min="2" max="2" width="127.85546875" style="146" customWidth="1"/>
    <col min="3" max="16384" width="9.140625" style="146"/>
  </cols>
  <sheetData>
    <row r="1" spans="1:2" ht="23.25">
      <c r="A1" s="145" t="s">
        <v>593</v>
      </c>
    </row>
    <row r="3" spans="1:2">
      <c r="A3" s="146" t="s">
        <v>120</v>
      </c>
    </row>
    <row r="4" spans="1:2">
      <c r="A4" s="146" t="s">
        <v>121</v>
      </c>
    </row>
    <row r="6" spans="1:2">
      <c r="A6" s="147" t="s">
        <v>122</v>
      </c>
      <c r="B6" s="148" t="s">
        <v>123</v>
      </c>
    </row>
    <row r="7" spans="1:2" s="149" customFormat="1" ht="18.75" customHeight="1">
      <c r="A7" s="1505" t="s">
        <v>124</v>
      </c>
      <c r="B7" s="1506"/>
    </row>
    <row r="8" spans="1:2" s="149" customFormat="1" ht="18.75" customHeight="1">
      <c r="A8" s="152" t="s">
        <v>631</v>
      </c>
      <c r="B8" s="150" t="s">
        <v>143</v>
      </c>
    </row>
    <row r="9" spans="1:2" s="149" customFormat="1" ht="18.75" customHeight="1">
      <c r="A9" s="152" t="s">
        <v>125</v>
      </c>
      <c r="B9" s="150" t="s">
        <v>2958</v>
      </c>
    </row>
    <row r="10" spans="1:2" s="149" customFormat="1" ht="18.75" customHeight="1">
      <c r="A10" s="152" t="s">
        <v>126</v>
      </c>
      <c r="B10" s="150" t="s">
        <v>127</v>
      </c>
    </row>
    <row r="11" spans="1:2" s="149" customFormat="1" ht="18.75" customHeight="1">
      <c r="A11" s="1485" t="s">
        <v>2956</v>
      </c>
      <c r="B11" s="1479" t="s">
        <v>2957</v>
      </c>
    </row>
    <row r="12" spans="1:2" s="149" customFormat="1" ht="18.75" customHeight="1">
      <c r="A12" s="152" t="s">
        <v>603</v>
      </c>
      <c r="B12" s="150" t="s">
        <v>608</v>
      </c>
    </row>
    <row r="13" spans="1:2" s="149" customFormat="1" ht="18.75" hidden="1" customHeight="1">
      <c r="A13" s="152" t="s">
        <v>216</v>
      </c>
      <c r="B13" s="150" t="s">
        <v>142</v>
      </c>
    </row>
    <row r="14" spans="1:2" s="149" customFormat="1" ht="18.75" customHeight="1">
      <c r="A14" s="153" t="s">
        <v>128</v>
      </c>
      <c r="B14" s="150" t="s">
        <v>129</v>
      </c>
    </row>
    <row r="15" spans="1:2" s="149" customFormat="1" ht="18.75" customHeight="1">
      <c r="A15" s="152" t="s">
        <v>218</v>
      </c>
      <c r="B15" s="150" t="s">
        <v>154</v>
      </c>
    </row>
    <row r="16" spans="1:2" s="149" customFormat="1" ht="18.75" customHeight="1">
      <c r="A16" s="153" t="s">
        <v>68</v>
      </c>
      <c r="B16" s="150" t="s">
        <v>130</v>
      </c>
    </row>
    <row r="17" spans="1:2" s="149" customFormat="1" ht="18.75" customHeight="1">
      <c r="A17" s="152" t="s">
        <v>131</v>
      </c>
      <c r="B17" s="150" t="s">
        <v>151</v>
      </c>
    </row>
    <row r="18" spans="1:2" s="149" customFormat="1" ht="18.75" customHeight="1">
      <c r="A18" s="1507" t="s">
        <v>132</v>
      </c>
      <c r="B18" s="1508"/>
    </row>
    <row r="19" spans="1:2" s="149" customFormat="1" ht="15.75" customHeight="1">
      <c r="A19" s="369" t="s">
        <v>958</v>
      </c>
      <c r="B19" s="1513" t="s">
        <v>387</v>
      </c>
    </row>
    <row r="20" spans="1:2" s="149" customFormat="1" ht="14.25" customHeight="1">
      <c r="A20" s="370" t="str">
        <f ca="1">HYPERLINK("#"&amp;CELL("address",INDIRECT(OFFSET(Control!B4,MATCH(A19,Control!B1:B35,0)-4,-1))),"Link to Selected Alternative")</f>
        <v>Link to Selected Alternative</v>
      </c>
      <c r="B20" s="1514"/>
    </row>
    <row r="21" spans="1:2" s="149" customFormat="1">
      <c r="A21" s="152" t="s">
        <v>222</v>
      </c>
      <c r="B21" s="151" t="s">
        <v>223</v>
      </c>
    </row>
    <row r="22" spans="1:2" s="149" customFormat="1" ht="34.5" customHeight="1">
      <c r="A22" s="152" t="s">
        <v>133</v>
      </c>
      <c r="B22" s="151" t="s">
        <v>134</v>
      </c>
    </row>
    <row r="23" spans="1:2" s="149" customFormat="1">
      <c r="A23" s="152" t="s">
        <v>135</v>
      </c>
      <c r="B23" s="151" t="s">
        <v>136</v>
      </c>
    </row>
    <row r="24" spans="1:2" s="149" customFormat="1" ht="18.75" customHeight="1">
      <c r="A24" s="1509" t="s">
        <v>137</v>
      </c>
      <c r="B24" s="1510"/>
    </row>
    <row r="25" spans="1:2" s="149" customFormat="1" ht="18.75" customHeight="1">
      <c r="A25" s="152" t="s">
        <v>382</v>
      </c>
      <c r="B25" s="150" t="s">
        <v>383</v>
      </c>
    </row>
    <row r="26" spans="1:2" s="149" customFormat="1" ht="18.75" customHeight="1">
      <c r="A26" s="152" t="s">
        <v>1527</v>
      </c>
      <c r="B26" s="150" t="s">
        <v>2941</v>
      </c>
    </row>
    <row r="27" spans="1:2" s="149" customFormat="1" ht="18.75" customHeight="1">
      <c r="A27" s="1480" t="s">
        <v>2939</v>
      </c>
      <c r="B27" s="1479" t="s">
        <v>2942</v>
      </c>
    </row>
    <row r="28" spans="1:2" s="149" customFormat="1" ht="18.75" customHeight="1">
      <c r="A28" s="1480" t="s">
        <v>2940</v>
      </c>
      <c r="B28" s="1479" t="s">
        <v>2943</v>
      </c>
    </row>
    <row r="29" spans="1:2" s="149" customFormat="1" ht="18.75" customHeight="1">
      <c r="A29" s="152" t="s">
        <v>2933</v>
      </c>
      <c r="B29" s="150" t="s">
        <v>2934</v>
      </c>
    </row>
    <row r="30" spans="1:2">
      <c r="A30" s="1511" t="s">
        <v>138</v>
      </c>
      <c r="B30" s="1512"/>
    </row>
    <row r="31" spans="1:2" s="149" customFormat="1" ht="18.75" customHeight="1">
      <c r="A31" s="152" t="s">
        <v>139</v>
      </c>
      <c r="B31" s="150" t="s">
        <v>140</v>
      </c>
    </row>
    <row r="32" spans="1:2" s="149" customFormat="1" ht="30">
      <c r="A32" s="377" t="s">
        <v>399</v>
      </c>
      <c r="B32" s="378" t="s">
        <v>400</v>
      </c>
    </row>
    <row r="34" spans="1:1">
      <c r="A34" s="146" t="s">
        <v>22</v>
      </c>
    </row>
    <row r="35" spans="1:1">
      <c r="A35" s="146" t="s">
        <v>141</v>
      </c>
    </row>
    <row r="38" spans="1:1">
      <c r="A38" s="368"/>
    </row>
    <row r="41" spans="1:1">
      <c r="A41" s="368"/>
    </row>
    <row r="42" spans="1:1">
      <c r="A42" s="368"/>
    </row>
  </sheetData>
  <mergeCells count="5">
    <mergeCell ref="A7:B7"/>
    <mergeCell ref="A18:B18"/>
    <mergeCell ref="A24:B24"/>
    <mergeCell ref="A30:B30"/>
    <mergeCell ref="B19:B20"/>
  </mergeCells>
  <dataValidations count="1">
    <dataValidation type="list" allowBlank="1" showInputMessage="1" showErrorMessage="1" sqref="A19">
      <formula1>ListofOptionsAlphabetic</formula1>
    </dataValidation>
  </dataValidations>
  <hyperlinks>
    <hyperlink ref="A9" location="Population!A1" display="Population Forecast"/>
    <hyperlink ref="A10" location="CampusArea!A1" display="Campus Area (GSF) Forecast"/>
    <hyperlink ref="A13" location="PrimaryEnergyInputs!A1" display="Primary Energy"/>
    <hyperlink ref="A16" location="Factors!N3" display="GHG Emission Factors"/>
    <hyperlink ref="A31" location="Factors!A3" display="Other Factors"/>
    <hyperlink ref="A8" location="'2009 Inventory'!A1" display="2008 GHG Inventory"/>
    <hyperlink ref="A15" location="GHG_CHT!W1" display="GHG Emissions Forecast Chart"/>
    <hyperlink ref="A17" location="GHGFinExp!A1" display="GHG Regulatory Financial Exposure"/>
    <hyperlink ref="A21" location="ActionsOrgChart!A1" display="Action Hierarchy"/>
    <hyperlink ref="A22" location="Summary!A1" display="Action Valuation Summary Sheet"/>
    <hyperlink ref="A25" location="PortfolioDashboard!A1" display="Portfolio Dashboard"/>
    <hyperlink ref="A14" location="CommodityPricing!A1" display="Commodity Price Assumptions"/>
    <hyperlink ref="A23" location="'Abatement Curve'!A1" display="Abatement Curve"/>
    <hyperlink ref="A32" location="FAQ!A3" display="Frequently Asked Questions"/>
    <hyperlink ref="A12" location="UtilityDemand!A1" display="Utility Demand"/>
    <hyperlink ref="A26" location="PortfolioCFStatement!A1" display="Portfolio Cash Flow Statement"/>
    <hyperlink ref="A29" location="'VSG (4)'!A1" display="Components of Value by Portfolio Option"/>
    <hyperlink ref="A27" location="PortCAPEX!A1" display="Portfolio CAPEX Summary"/>
    <hyperlink ref="A28" location="PortOPEXwFuel!A1" display="Portfolio OPEX (Non-Fuel &amp; Fuel) Summary"/>
    <hyperlink ref="A11" location="GSFBYYEAR!A1" display="Historical Campus Area"/>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codeName="Sheet13"/>
  <dimension ref="A1:AC36"/>
  <sheetViews>
    <sheetView topLeftCell="B4" workbookViewId="0">
      <pane xSplit="1" ySplit="7" topLeftCell="C11" activePane="bottomRight" state="frozen"/>
      <selection activeCell="B4" sqref="B4"/>
      <selection pane="topRight" activeCell="C4" sqref="C4"/>
      <selection pane="bottomLeft" activeCell="B11" sqref="B11"/>
      <selection pane="bottomRight" activeCell="O30" activeCellId="2" sqref="N30 P30 O30"/>
    </sheetView>
  </sheetViews>
  <sheetFormatPr defaultRowHeight="15"/>
  <cols>
    <col min="2" max="2" width="12.42578125" customWidth="1"/>
    <col min="10" max="11" width="9.85546875" bestFit="1" customWidth="1"/>
    <col min="24" max="24" width="11.42578125" customWidth="1"/>
    <col min="28" max="29" width="9.85546875" bestFit="1" customWidth="1"/>
  </cols>
  <sheetData>
    <row r="1" spans="1:29">
      <c r="A1" s="425"/>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row>
    <row r="2" spans="1:29" ht="15.75" thickBot="1">
      <c r="A2" s="425"/>
      <c r="B2" s="426"/>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row>
    <row r="3" spans="1:29">
      <c r="A3" s="425"/>
      <c r="B3" s="428" t="s">
        <v>457</v>
      </c>
      <c r="C3" s="429" t="s">
        <v>458</v>
      </c>
      <c r="D3" s="430"/>
      <c r="E3" s="430"/>
      <c r="F3" s="430"/>
      <c r="G3" s="430"/>
      <c r="H3" s="430"/>
      <c r="I3" s="430"/>
      <c r="J3" s="430"/>
      <c r="K3" s="430"/>
      <c r="L3" s="430"/>
      <c r="M3" s="430"/>
      <c r="N3" s="430"/>
      <c r="O3" s="430"/>
      <c r="P3" s="430"/>
      <c r="Q3" s="430"/>
      <c r="R3" s="430"/>
      <c r="S3" s="430"/>
      <c r="T3" s="430"/>
      <c r="U3" s="430"/>
      <c r="V3" s="430"/>
      <c r="W3" s="430"/>
      <c r="X3" s="430"/>
      <c r="Y3" s="430"/>
      <c r="Z3" s="431"/>
      <c r="AA3" s="430"/>
      <c r="AB3" s="430"/>
      <c r="AC3" s="431"/>
    </row>
    <row r="4" spans="1:29">
      <c r="A4" s="425"/>
      <c r="B4" s="432" t="s">
        <v>459</v>
      </c>
      <c r="C4" s="613" t="s">
        <v>557</v>
      </c>
      <c r="D4" s="614"/>
      <c r="E4" s="614"/>
      <c r="F4" s="614"/>
      <c r="G4" s="614"/>
      <c r="H4" s="614"/>
      <c r="I4" s="614"/>
      <c r="J4" s="614"/>
      <c r="K4" s="614"/>
      <c r="L4" s="614"/>
      <c r="M4" s="614"/>
      <c r="N4" s="614"/>
      <c r="O4" s="614"/>
      <c r="P4" s="614"/>
      <c r="Q4" s="614"/>
      <c r="R4" s="614"/>
      <c r="S4" s="614"/>
      <c r="T4" s="614"/>
      <c r="U4" s="614"/>
      <c r="V4" s="614"/>
      <c r="W4" s="614"/>
      <c r="X4" s="614"/>
      <c r="Y4" s="614"/>
      <c r="Z4" s="615"/>
      <c r="AA4" s="614"/>
      <c r="AB4" s="614"/>
      <c r="AC4" s="615"/>
    </row>
    <row r="5" spans="1:29">
      <c r="A5" s="425"/>
      <c r="B5" s="616" t="s">
        <v>460</v>
      </c>
      <c r="C5" s="709" t="s">
        <v>461</v>
      </c>
      <c r="D5" s="710"/>
      <c r="E5" s="710"/>
      <c r="F5" s="710"/>
      <c r="G5" s="710"/>
      <c r="H5" s="710"/>
      <c r="I5" s="710"/>
      <c r="J5" s="710"/>
      <c r="K5" s="710"/>
      <c r="L5" s="710"/>
      <c r="M5" s="710"/>
      <c r="N5" s="710"/>
      <c r="O5" s="710"/>
      <c r="P5" s="710"/>
      <c r="Q5" s="710"/>
      <c r="R5" s="710"/>
      <c r="S5" s="710"/>
      <c r="T5" s="710"/>
      <c r="U5" s="710"/>
      <c r="V5" s="710"/>
      <c r="W5" s="710"/>
      <c r="X5" s="710"/>
      <c r="Y5" s="710"/>
      <c r="Z5" s="711"/>
      <c r="AA5" s="710"/>
      <c r="AB5" s="710"/>
      <c r="AC5" s="711"/>
    </row>
    <row r="6" spans="1:29">
      <c r="A6" s="425"/>
      <c r="B6" s="712"/>
      <c r="C6" s="713"/>
      <c r="D6" s="714"/>
      <c r="E6" s="714"/>
      <c r="F6" s="714"/>
      <c r="G6" s="714"/>
      <c r="H6" s="714"/>
      <c r="I6" s="714"/>
      <c r="J6" s="714"/>
      <c r="K6" s="714"/>
      <c r="L6" s="714"/>
      <c r="M6" s="714"/>
      <c r="N6" s="714"/>
      <c r="O6" s="714"/>
      <c r="P6" s="714"/>
      <c r="Q6" s="714"/>
      <c r="R6" s="714"/>
      <c r="S6" s="714"/>
      <c r="T6" s="714"/>
      <c r="U6" s="714"/>
      <c r="V6" s="714"/>
      <c r="W6" s="714"/>
      <c r="X6" s="714"/>
      <c r="Y6" s="714"/>
      <c r="Z6" s="715"/>
      <c r="AA6" s="714"/>
      <c r="AB6" s="714"/>
      <c r="AC6" s="715"/>
    </row>
    <row r="7" spans="1:29">
      <c r="A7" s="425"/>
      <c r="B7" s="712"/>
      <c r="C7" s="713"/>
      <c r="D7" s="714"/>
      <c r="E7" s="714"/>
      <c r="F7" s="714"/>
      <c r="G7" s="714"/>
      <c r="H7" s="714"/>
      <c r="I7" s="714"/>
      <c r="J7" s="714"/>
      <c r="K7" s="714"/>
      <c r="L7" s="714"/>
      <c r="M7" s="714"/>
      <c r="N7" s="714"/>
      <c r="O7" s="714"/>
      <c r="P7" s="714"/>
      <c r="Q7" s="714"/>
      <c r="R7" s="714"/>
      <c r="S7" s="714"/>
      <c r="T7" s="714"/>
      <c r="U7" s="714"/>
      <c r="V7" s="714"/>
      <c r="W7" s="714"/>
      <c r="X7" s="714"/>
      <c r="Y7" s="714"/>
      <c r="Z7" s="715"/>
      <c r="AA7" s="714"/>
      <c r="AB7" s="714"/>
      <c r="AC7" s="715"/>
    </row>
    <row r="8" spans="1:29" ht="15.75" thickBot="1">
      <c r="A8" s="425"/>
      <c r="B8" s="454"/>
      <c r="C8" s="716" t="s">
        <v>261</v>
      </c>
      <c r="D8" s="717"/>
      <c r="E8" s="717"/>
      <c r="F8" s="717"/>
      <c r="G8" s="717"/>
      <c r="H8" s="717"/>
      <c r="I8" s="717"/>
      <c r="J8" s="718" t="s">
        <v>262</v>
      </c>
      <c r="K8" s="719"/>
      <c r="L8" s="720" t="s">
        <v>558</v>
      </c>
      <c r="M8" s="721"/>
      <c r="N8" s="721"/>
      <c r="O8" s="721"/>
      <c r="P8" s="721"/>
      <c r="Q8" s="721"/>
      <c r="R8" s="721"/>
      <c r="S8" s="721"/>
      <c r="T8" s="721"/>
      <c r="U8" s="722" t="s">
        <v>559</v>
      </c>
      <c r="V8" s="722"/>
      <c r="W8" s="723"/>
      <c r="X8" s="723"/>
      <c r="Y8" s="723"/>
      <c r="Z8" s="724"/>
      <c r="AA8" s="723"/>
      <c r="AB8" s="723"/>
      <c r="AC8" s="724"/>
    </row>
    <row r="9" spans="1:29" ht="42.75" thickBot="1">
      <c r="A9" s="425"/>
      <c r="B9" s="725" t="s">
        <v>478</v>
      </c>
      <c r="C9" s="726" t="s">
        <v>560</v>
      </c>
      <c r="D9" s="727" t="s">
        <v>561</v>
      </c>
      <c r="E9" s="728" t="s">
        <v>562</v>
      </c>
      <c r="F9" s="729" t="s">
        <v>563</v>
      </c>
      <c r="G9" s="730" t="s">
        <v>513</v>
      </c>
      <c r="H9" s="729" t="s">
        <v>468</v>
      </c>
      <c r="I9" s="729" t="s">
        <v>564</v>
      </c>
      <c r="J9" s="731" t="s">
        <v>284</v>
      </c>
      <c r="K9" s="732" t="s">
        <v>565</v>
      </c>
      <c r="L9" s="733" t="s">
        <v>484</v>
      </c>
      <c r="M9" s="734" t="s">
        <v>485</v>
      </c>
      <c r="N9" s="735" t="s">
        <v>566</v>
      </c>
      <c r="O9" s="736" t="s">
        <v>567</v>
      </c>
      <c r="P9" s="737" t="s">
        <v>568</v>
      </c>
      <c r="Q9" s="738" t="s">
        <v>474</v>
      </c>
      <c r="R9" s="738" t="s">
        <v>475</v>
      </c>
      <c r="S9" s="738" t="s">
        <v>569</v>
      </c>
      <c r="T9" s="738" t="s">
        <v>570</v>
      </c>
      <c r="U9" s="739" t="s">
        <v>571</v>
      </c>
      <c r="V9" s="740" t="s">
        <v>572</v>
      </c>
      <c r="W9" s="741" t="s">
        <v>573</v>
      </c>
      <c r="X9" s="742" t="s">
        <v>574</v>
      </c>
      <c r="Y9" s="743" t="s">
        <v>575</v>
      </c>
      <c r="Z9" s="744" t="s">
        <v>576</v>
      </c>
      <c r="AA9" s="743" t="s">
        <v>577</v>
      </c>
      <c r="AB9" s="743" t="s">
        <v>578</v>
      </c>
      <c r="AC9" s="743" t="s">
        <v>351</v>
      </c>
    </row>
    <row r="10" spans="1:29" ht="16.5" thickTop="1" thickBot="1">
      <c r="A10" s="425"/>
      <c r="B10" s="532"/>
      <c r="C10" s="539" t="s">
        <v>579</v>
      </c>
      <c r="D10" s="540" t="s">
        <v>579</v>
      </c>
      <c r="E10" s="658" t="s">
        <v>579</v>
      </c>
      <c r="F10" s="745" t="s">
        <v>579</v>
      </c>
      <c r="G10" s="746" t="s">
        <v>579</v>
      </c>
      <c r="H10" s="745" t="s">
        <v>579</v>
      </c>
      <c r="I10" s="745" t="s">
        <v>579</v>
      </c>
      <c r="J10" s="746" t="s">
        <v>579</v>
      </c>
      <c r="K10" s="747" t="s">
        <v>579</v>
      </c>
      <c r="L10" s="748" t="s">
        <v>579</v>
      </c>
      <c r="M10" s="554" t="s">
        <v>579</v>
      </c>
      <c r="N10" s="552" t="s">
        <v>579</v>
      </c>
      <c r="O10" s="553" t="s">
        <v>579</v>
      </c>
      <c r="P10" s="749" t="s">
        <v>579</v>
      </c>
      <c r="Q10" s="750" t="s">
        <v>579</v>
      </c>
      <c r="R10" s="750"/>
      <c r="S10" s="750"/>
      <c r="T10" s="750" t="s">
        <v>579</v>
      </c>
      <c r="U10" s="751" t="s">
        <v>579</v>
      </c>
      <c r="V10" s="752" t="s">
        <v>579</v>
      </c>
      <c r="W10" s="745" t="s">
        <v>579</v>
      </c>
      <c r="X10" s="746" t="s">
        <v>579</v>
      </c>
      <c r="Y10" s="749" t="s">
        <v>579</v>
      </c>
      <c r="Z10" s="753" t="s">
        <v>579</v>
      </c>
      <c r="AA10" s="749" t="s">
        <v>579</v>
      </c>
      <c r="AB10" s="749" t="s">
        <v>579</v>
      </c>
      <c r="AC10" s="749" t="s">
        <v>579</v>
      </c>
    </row>
    <row r="11" spans="1:29" ht="15.75" thickTop="1">
      <c r="A11" s="425"/>
      <c r="B11" s="754">
        <v>1990</v>
      </c>
      <c r="C11" s="755">
        <v>0</v>
      </c>
      <c r="D11" s="756">
        <v>0</v>
      </c>
      <c r="E11" s="757">
        <v>0</v>
      </c>
      <c r="F11" s="758">
        <v>0</v>
      </c>
      <c r="G11" s="758">
        <v>0</v>
      </c>
      <c r="H11" s="758">
        <v>0</v>
      </c>
      <c r="I11" s="759">
        <v>0</v>
      </c>
      <c r="J11" s="758">
        <v>0</v>
      </c>
      <c r="K11" s="759">
        <v>0</v>
      </c>
      <c r="L11" s="755">
        <v>0</v>
      </c>
      <c r="M11" s="760">
        <v>0</v>
      </c>
      <c r="N11" s="759">
        <v>0</v>
      </c>
      <c r="O11" s="757">
        <v>0</v>
      </c>
      <c r="P11" s="758">
        <v>0</v>
      </c>
      <c r="Q11" s="761">
        <v>0</v>
      </c>
      <c r="R11" s="761">
        <v>0</v>
      </c>
      <c r="S11" s="762">
        <v>0</v>
      </c>
      <c r="T11" s="761">
        <v>0</v>
      </c>
      <c r="U11" s="761">
        <v>0</v>
      </c>
      <c r="V11" s="757">
        <v>0</v>
      </c>
      <c r="W11" s="758">
        <v>0</v>
      </c>
      <c r="X11" s="758">
        <v>0</v>
      </c>
      <c r="Y11" s="758">
        <v>0</v>
      </c>
      <c r="Z11" s="758">
        <v>0</v>
      </c>
      <c r="AA11" s="758">
        <v>0</v>
      </c>
      <c r="AB11" s="758">
        <v>0</v>
      </c>
      <c r="AC11" s="758">
        <v>0</v>
      </c>
    </row>
    <row r="12" spans="1:29">
      <c r="A12" s="425"/>
      <c r="B12" s="754">
        <v>1991</v>
      </c>
      <c r="C12" s="763">
        <v>0</v>
      </c>
      <c r="D12" s="764">
        <v>0</v>
      </c>
      <c r="E12" s="765">
        <v>0</v>
      </c>
      <c r="F12" s="766">
        <v>0</v>
      </c>
      <c r="G12" s="766">
        <v>0</v>
      </c>
      <c r="H12" s="766">
        <v>0</v>
      </c>
      <c r="I12" s="767">
        <v>0</v>
      </c>
      <c r="J12" s="766">
        <v>0</v>
      </c>
      <c r="K12" s="767">
        <v>0</v>
      </c>
      <c r="L12" s="763">
        <v>0</v>
      </c>
      <c r="M12" s="768">
        <v>0</v>
      </c>
      <c r="N12" s="767">
        <v>0</v>
      </c>
      <c r="O12" s="765">
        <v>0</v>
      </c>
      <c r="P12" s="766">
        <v>0</v>
      </c>
      <c r="Q12" s="762">
        <v>0</v>
      </c>
      <c r="R12" s="762">
        <v>0</v>
      </c>
      <c r="S12" s="762">
        <v>0</v>
      </c>
      <c r="T12" s="762">
        <v>0</v>
      </c>
      <c r="U12" s="763">
        <v>0</v>
      </c>
      <c r="V12" s="765">
        <v>0</v>
      </c>
      <c r="W12" s="766">
        <v>0</v>
      </c>
      <c r="X12" s="766">
        <v>0</v>
      </c>
      <c r="Y12" s="766">
        <v>0</v>
      </c>
      <c r="Z12" s="766">
        <v>0</v>
      </c>
      <c r="AA12" s="766">
        <v>0</v>
      </c>
      <c r="AB12" s="766">
        <v>0</v>
      </c>
      <c r="AC12" s="766">
        <v>0</v>
      </c>
    </row>
    <row r="13" spans="1:29">
      <c r="A13" s="425"/>
      <c r="B13" s="754">
        <v>1992</v>
      </c>
      <c r="C13" s="763">
        <v>0</v>
      </c>
      <c r="D13" s="764">
        <v>0</v>
      </c>
      <c r="E13" s="765">
        <v>0</v>
      </c>
      <c r="F13" s="766">
        <v>0</v>
      </c>
      <c r="G13" s="766">
        <v>0</v>
      </c>
      <c r="H13" s="766">
        <v>0</v>
      </c>
      <c r="I13" s="767">
        <v>0</v>
      </c>
      <c r="J13" s="766">
        <v>0</v>
      </c>
      <c r="K13" s="767">
        <v>0</v>
      </c>
      <c r="L13" s="763">
        <v>0</v>
      </c>
      <c r="M13" s="768">
        <v>0</v>
      </c>
      <c r="N13" s="767">
        <v>0</v>
      </c>
      <c r="O13" s="765">
        <v>0</v>
      </c>
      <c r="P13" s="766">
        <v>0</v>
      </c>
      <c r="Q13" s="762">
        <v>0</v>
      </c>
      <c r="R13" s="762">
        <v>0</v>
      </c>
      <c r="S13" s="762">
        <v>0</v>
      </c>
      <c r="T13" s="762">
        <v>0</v>
      </c>
      <c r="U13" s="763">
        <v>0</v>
      </c>
      <c r="V13" s="765">
        <v>0</v>
      </c>
      <c r="W13" s="766">
        <v>0</v>
      </c>
      <c r="X13" s="766">
        <v>0</v>
      </c>
      <c r="Y13" s="766">
        <v>0</v>
      </c>
      <c r="Z13" s="766">
        <v>0</v>
      </c>
      <c r="AA13" s="766">
        <v>0</v>
      </c>
      <c r="AB13" s="766">
        <v>0</v>
      </c>
      <c r="AC13" s="766">
        <v>0</v>
      </c>
    </row>
    <row r="14" spans="1:29">
      <c r="A14" s="425"/>
      <c r="B14" s="754">
        <v>1993</v>
      </c>
      <c r="C14" s="763">
        <v>0</v>
      </c>
      <c r="D14" s="764">
        <v>0</v>
      </c>
      <c r="E14" s="765">
        <v>0</v>
      </c>
      <c r="F14" s="766">
        <v>0</v>
      </c>
      <c r="G14" s="766">
        <v>0</v>
      </c>
      <c r="H14" s="766">
        <v>0</v>
      </c>
      <c r="I14" s="767">
        <v>0</v>
      </c>
      <c r="J14" s="766">
        <v>0</v>
      </c>
      <c r="K14" s="767">
        <v>0</v>
      </c>
      <c r="L14" s="763">
        <v>0</v>
      </c>
      <c r="M14" s="768">
        <v>0</v>
      </c>
      <c r="N14" s="767">
        <v>0</v>
      </c>
      <c r="O14" s="765">
        <v>0</v>
      </c>
      <c r="P14" s="766">
        <v>0</v>
      </c>
      <c r="Q14" s="762">
        <v>0</v>
      </c>
      <c r="R14" s="762">
        <v>0</v>
      </c>
      <c r="S14" s="762">
        <v>0</v>
      </c>
      <c r="T14" s="762">
        <v>0</v>
      </c>
      <c r="U14" s="763">
        <v>0</v>
      </c>
      <c r="V14" s="765">
        <v>0</v>
      </c>
      <c r="W14" s="766">
        <v>0</v>
      </c>
      <c r="X14" s="766">
        <v>0</v>
      </c>
      <c r="Y14" s="766">
        <v>0</v>
      </c>
      <c r="Z14" s="766">
        <v>0</v>
      </c>
      <c r="AA14" s="766">
        <v>0</v>
      </c>
      <c r="AB14" s="766">
        <v>0</v>
      </c>
      <c r="AC14" s="766">
        <v>0</v>
      </c>
    </row>
    <row r="15" spans="1:29">
      <c r="A15" s="425"/>
      <c r="B15" s="754">
        <v>1994</v>
      </c>
      <c r="C15" s="763">
        <v>0</v>
      </c>
      <c r="D15" s="764">
        <v>0</v>
      </c>
      <c r="E15" s="765">
        <v>0</v>
      </c>
      <c r="F15" s="766">
        <v>0</v>
      </c>
      <c r="G15" s="766">
        <v>0</v>
      </c>
      <c r="H15" s="766">
        <v>0</v>
      </c>
      <c r="I15" s="767">
        <v>0</v>
      </c>
      <c r="J15" s="766">
        <v>0</v>
      </c>
      <c r="K15" s="767">
        <v>0</v>
      </c>
      <c r="L15" s="763">
        <v>0</v>
      </c>
      <c r="M15" s="768">
        <v>0</v>
      </c>
      <c r="N15" s="767">
        <v>0</v>
      </c>
      <c r="O15" s="765">
        <v>0</v>
      </c>
      <c r="P15" s="766">
        <v>0</v>
      </c>
      <c r="Q15" s="762">
        <v>0</v>
      </c>
      <c r="R15" s="762">
        <v>0</v>
      </c>
      <c r="S15" s="762">
        <v>0</v>
      </c>
      <c r="T15" s="762">
        <v>0</v>
      </c>
      <c r="U15" s="763">
        <v>0</v>
      </c>
      <c r="V15" s="765">
        <v>0</v>
      </c>
      <c r="W15" s="766">
        <v>0</v>
      </c>
      <c r="X15" s="766">
        <v>0</v>
      </c>
      <c r="Y15" s="766">
        <v>0</v>
      </c>
      <c r="Z15" s="766">
        <v>0</v>
      </c>
      <c r="AA15" s="766">
        <v>0</v>
      </c>
      <c r="AB15" s="766">
        <v>0</v>
      </c>
      <c r="AC15" s="766">
        <v>0</v>
      </c>
    </row>
    <row r="16" spans="1:29">
      <c r="A16" s="425"/>
      <c r="B16" s="754">
        <v>1995</v>
      </c>
      <c r="C16" s="763">
        <v>0</v>
      </c>
      <c r="D16" s="764">
        <v>0</v>
      </c>
      <c r="E16" s="765">
        <v>0</v>
      </c>
      <c r="F16" s="766">
        <v>0</v>
      </c>
      <c r="G16" s="766">
        <v>0</v>
      </c>
      <c r="H16" s="766">
        <v>0</v>
      </c>
      <c r="I16" s="767">
        <v>0</v>
      </c>
      <c r="J16" s="766">
        <v>0</v>
      </c>
      <c r="K16" s="767">
        <v>0</v>
      </c>
      <c r="L16" s="763">
        <v>0</v>
      </c>
      <c r="M16" s="768">
        <v>0</v>
      </c>
      <c r="N16" s="767">
        <v>0</v>
      </c>
      <c r="O16" s="765">
        <v>0</v>
      </c>
      <c r="P16" s="766">
        <v>0</v>
      </c>
      <c r="Q16" s="762">
        <v>0</v>
      </c>
      <c r="R16" s="762">
        <v>0</v>
      </c>
      <c r="S16" s="762">
        <v>0</v>
      </c>
      <c r="T16" s="762">
        <v>0</v>
      </c>
      <c r="U16" s="763">
        <v>0</v>
      </c>
      <c r="V16" s="765">
        <v>0</v>
      </c>
      <c r="W16" s="766">
        <v>0</v>
      </c>
      <c r="X16" s="766">
        <v>0</v>
      </c>
      <c r="Y16" s="766">
        <v>0</v>
      </c>
      <c r="Z16" s="766">
        <v>0</v>
      </c>
      <c r="AA16" s="766">
        <v>0</v>
      </c>
      <c r="AB16" s="766">
        <v>0</v>
      </c>
      <c r="AC16" s="766">
        <v>0</v>
      </c>
    </row>
    <row r="17" spans="1:29">
      <c r="A17" s="425"/>
      <c r="B17" s="754">
        <v>1996</v>
      </c>
      <c r="C17" s="763">
        <v>0</v>
      </c>
      <c r="D17" s="764">
        <v>0</v>
      </c>
      <c r="E17" s="765">
        <v>0</v>
      </c>
      <c r="F17" s="766">
        <v>0</v>
      </c>
      <c r="G17" s="766">
        <v>0</v>
      </c>
      <c r="H17" s="766">
        <v>0</v>
      </c>
      <c r="I17" s="767">
        <v>0</v>
      </c>
      <c r="J17" s="766">
        <v>0</v>
      </c>
      <c r="K17" s="767">
        <v>0</v>
      </c>
      <c r="L17" s="763">
        <v>0</v>
      </c>
      <c r="M17" s="768">
        <v>0</v>
      </c>
      <c r="N17" s="767">
        <v>0</v>
      </c>
      <c r="O17" s="765">
        <v>0</v>
      </c>
      <c r="P17" s="766">
        <v>0</v>
      </c>
      <c r="Q17" s="762">
        <v>0</v>
      </c>
      <c r="R17" s="762">
        <v>0</v>
      </c>
      <c r="S17" s="762">
        <v>0</v>
      </c>
      <c r="T17" s="762">
        <v>0</v>
      </c>
      <c r="U17" s="763">
        <v>0</v>
      </c>
      <c r="V17" s="765">
        <v>0</v>
      </c>
      <c r="W17" s="766">
        <v>0</v>
      </c>
      <c r="X17" s="766">
        <v>0</v>
      </c>
      <c r="Y17" s="766">
        <v>0</v>
      </c>
      <c r="Z17" s="766">
        <v>0</v>
      </c>
      <c r="AA17" s="766">
        <v>0</v>
      </c>
      <c r="AB17" s="766">
        <v>0</v>
      </c>
      <c r="AC17" s="766">
        <v>0</v>
      </c>
    </row>
    <row r="18" spans="1:29">
      <c r="A18" s="425"/>
      <c r="B18" s="754">
        <v>1997</v>
      </c>
      <c r="C18" s="763">
        <v>0</v>
      </c>
      <c r="D18" s="764">
        <v>0</v>
      </c>
      <c r="E18" s="765">
        <v>0</v>
      </c>
      <c r="F18" s="766">
        <v>0</v>
      </c>
      <c r="G18" s="766">
        <v>0</v>
      </c>
      <c r="H18" s="766">
        <v>0</v>
      </c>
      <c r="I18" s="767">
        <v>0</v>
      </c>
      <c r="J18" s="766">
        <v>0</v>
      </c>
      <c r="K18" s="767">
        <v>0</v>
      </c>
      <c r="L18" s="763">
        <v>0</v>
      </c>
      <c r="M18" s="768">
        <v>0</v>
      </c>
      <c r="N18" s="767">
        <v>0</v>
      </c>
      <c r="O18" s="765">
        <v>0</v>
      </c>
      <c r="P18" s="766">
        <v>0</v>
      </c>
      <c r="Q18" s="762">
        <v>0</v>
      </c>
      <c r="R18" s="762">
        <v>0</v>
      </c>
      <c r="S18" s="762">
        <v>0</v>
      </c>
      <c r="T18" s="762">
        <v>0</v>
      </c>
      <c r="U18" s="763">
        <v>0</v>
      </c>
      <c r="V18" s="765">
        <v>0</v>
      </c>
      <c r="W18" s="766">
        <v>0</v>
      </c>
      <c r="X18" s="766">
        <v>0</v>
      </c>
      <c r="Y18" s="766">
        <v>0</v>
      </c>
      <c r="Z18" s="766">
        <v>0</v>
      </c>
      <c r="AA18" s="766">
        <v>0</v>
      </c>
      <c r="AB18" s="766">
        <v>0</v>
      </c>
      <c r="AC18" s="766">
        <v>0</v>
      </c>
    </row>
    <row r="19" spans="1:29">
      <c r="A19" s="425"/>
      <c r="B19" s="754">
        <v>1998</v>
      </c>
      <c r="C19" s="763">
        <v>0</v>
      </c>
      <c r="D19" s="764">
        <v>0</v>
      </c>
      <c r="E19" s="765">
        <v>0</v>
      </c>
      <c r="F19" s="766">
        <v>0</v>
      </c>
      <c r="G19" s="766">
        <v>0</v>
      </c>
      <c r="H19" s="766">
        <v>0</v>
      </c>
      <c r="I19" s="767">
        <v>0</v>
      </c>
      <c r="J19" s="766">
        <v>0</v>
      </c>
      <c r="K19" s="767">
        <v>0</v>
      </c>
      <c r="L19" s="763">
        <v>0</v>
      </c>
      <c r="M19" s="768">
        <v>0</v>
      </c>
      <c r="N19" s="767">
        <v>0</v>
      </c>
      <c r="O19" s="765">
        <v>0</v>
      </c>
      <c r="P19" s="766">
        <v>0</v>
      </c>
      <c r="Q19" s="762">
        <v>0</v>
      </c>
      <c r="R19" s="762">
        <v>0</v>
      </c>
      <c r="S19" s="762">
        <v>0</v>
      </c>
      <c r="T19" s="762">
        <v>0</v>
      </c>
      <c r="U19" s="763">
        <v>0</v>
      </c>
      <c r="V19" s="765">
        <v>0</v>
      </c>
      <c r="W19" s="766">
        <v>0</v>
      </c>
      <c r="X19" s="766">
        <v>0</v>
      </c>
      <c r="Y19" s="766">
        <v>0</v>
      </c>
      <c r="Z19" s="766">
        <v>0</v>
      </c>
      <c r="AA19" s="766">
        <v>0</v>
      </c>
      <c r="AB19" s="766">
        <v>0</v>
      </c>
      <c r="AC19" s="766">
        <v>0</v>
      </c>
    </row>
    <row r="20" spans="1:29">
      <c r="A20" s="425"/>
      <c r="B20" s="754">
        <v>1999</v>
      </c>
      <c r="C20" s="763">
        <v>0</v>
      </c>
      <c r="D20" s="764">
        <v>0</v>
      </c>
      <c r="E20" s="765">
        <v>0</v>
      </c>
      <c r="F20" s="766">
        <v>0</v>
      </c>
      <c r="G20" s="766">
        <v>0</v>
      </c>
      <c r="H20" s="766">
        <v>0</v>
      </c>
      <c r="I20" s="767">
        <v>0</v>
      </c>
      <c r="J20" s="766">
        <v>0</v>
      </c>
      <c r="K20" s="767">
        <v>0</v>
      </c>
      <c r="L20" s="763">
        <v>0</v>
      </c>
      <c r="M20" s="768">
        <v>0</v>
      </c>
      <c r="N20" s="767">
        <v>0</v>
      </c>
      <c r="O20" s="765">
        <v>0</v>
      </c>
      <c r="P20" s="766">
        <v>0</v>
      </c>
      <c r="Q20" s="762">
        <v>0</v>
      </c>
      <c r="R20" s="762">
        <v>0</v>
      </c>
      <c r="S20" s="762">
        <v>0</v>
      </c>
      <c r="T20" s="762">
        <v>0</v>
      </c>
      <c r="U20" s="763">
        <v>0</v>
      </c>
      <c r="V20" s="765">
        <v>0</v>
      </c>
      <c r="W20" s="766">
        <v>0</v>
      </c>
      <c r="X20" s="766">
        <v>0</v>
      </c>
      <c r="Y20" s="766">
        <v>0</v>
      </c>
      <c r="Z20" s="766">
        <v>0</v>
      </c>
      <c r="AA20" s="766">
        <v>0</v>
      </c>
      <c r="AB20" s="766">
        <v>0</v>
      </c>
      <c r="AC20" s="766">
        <v>0</v>
      </c>
    </row>
    <row r="21" spans="1:29">
      <c r="A21" s="425"/>
      <c r="B21" s="754">
        <v>2000</v>
      </c>
      <c r="C21" s="763">
        <v>0</v>
      </c>
      <c r="D21" s="764">
        <v>0</v>
      </c>
      <c r="E21" s="765">
        <v>0</v>
      </c>
      <c r="F21" s="766">
        <v>0</v>
      </c>
      <c r="G21" s="766">
        <v>0</v>
      </c>
      <c r="H21" s="766">
        <v>0</v>
      </c>
      <c r="I21" s="767">
        <v>0</v>
      </c>
      <c r="J21" s="766">
        <v>0</v>
      </c>
      <c r="K21" s="767">
        <v>0</v>
      </c>
      <c r="L21" s="763">
        <v>0</v>
      </c>
      <c r="M21" s="768">
        <v>0</v>
      </c>
      <c r="N21" s="767">
        <v>0</v>
      </c>
      <c r="O21" s="765">
        <v>0</v>
      </c>
      <c r="P21" s="766">
        <v>0</v>
      </c>
      <c r="Q21" s="762">
        <v>0</v>
      </c>
      <c r="R21" s="762">
        <v>0</v>
      </c>
      <c r="S21" s="762">
        <v>0</v>
      </c>
      <c r="T21" s="762">
        <v>0</v>
      </c>
      <c r="U21" s="763">
        <v>0</v>
      </c>
      <c r="V21" s="765">
        <v>0</v>
      </c>
      <c r="W21" s="766">
        <v>0</v>
      </c>
      <c r="X21" s="766">
        <v>0</v>
      </c>
      <c r="Y21" s="766">
        <v>0</v>
      </c>
      <c r="Z21" s="766">
        <v>0</v>
      </c>
      <c r="AA21" s="766">
        <v>0</v>
      </c>
      <c r="AB21" s="766">
        <v>0</v>
      </c>
      <c r="AC21" s="766">
        <v>0</v>
      </c>
    </row>
    <row r="22" spans="1:29">
      <c r="A22" s="425"/>
      <c r="B22" s="754">
        <v>2001</v>
      </c>
      <c r="C22" s="763">
        <v>0</v>
      </c>
      <c r="D22" s="764">
        <v>0</v>
      </c>
      <c r="E22" s="765">
        <v>0</v>
      </c>
      <c r="F22" s="766">
        <v>0</v>
      </c>
      <c r="G22" s="766">
        <v>0</v>
      </c>
      <c r="H22" s="766">
        <v>0</v>
      </c>
      <c r="I22" s="767">
        <v>0</v>
      </c>
      <c r="J22" s="766">
        <v>0</v>
      </c>
      <c r="K22" s="767">
        <v>0</v>
      </c>
      <c r="L22" s="763">
        <v>0</v>
      </c>
      <c r="M22" s="768">
        <v>0</v>
      </c>
      <c r="N22" s="767">
        <v>0</v>
      </c>
      <c r="O22" s="765">
        <v>0</v>
      </c>
      <c r="P22" s="766">
        <v>0</v>
      </c>
      <c r="Q22" s="762">
        <v>0</v>
      </c>
      <c r="R22" s="762">
        <v>0</v>
      </c>
      <c r="S22" s="762">
        <v>0</v>
      </c>
      <c r="T22" s="762">
        <v>0</v>
      </c>
      <c r="U22" s="763">
        <v>0</v>
      </c>
      <c r="V22" s="765">
        <v>0</v>
      </c>
      <c r="W22" s="766">
        <v>0</v>
      </c>
      <c r="X22" s="766">
        <v>0</v>
      </c>
      <c r="Y22" s="766">
        <v>0</v>
      </c>
      <c r="Z22" s="766">
        <v>0</v>
      </c>
      <c r="AA22" s="766">
        <v>0</v>
      </c>
      <c r="AB22" s="766">
        <v>0</v>
      </c>
      <c r="AC22" s="766">
        <v>0</v>
      </c>
    </row>
    <row r="23" spans="1:29">
      <c r="A23" s="425"/>
      <c r="B23" s="754">
        <v>2002</v>
      </c>
      <c r="C23" s="763">
        <v>0</v>
      </c>
      <c r="D23" s="764">
        <v>0</v>
      </c>
      <c r="E23" s="765">
        <v>0</v>
      </c>
      <c r="F23" s="766">
        <v>0</v>
      </c>
      <c r="G23" s="766">
        <v>0</v>
      </c>
      <c r="H23" s="766">
        <v>0</v>
      </c>
      <c r="I23" s="767">
        <v>0</v>
      </c>
      <c r="J23" s="766">
        <v>0</v>
      </c>
      <c r="K23" s="767">
        <v>0</v>
      </c>
      <c r="L23" s="763">
        <v>0</v>
      </c>
      <c r="M23" s="768">
        <v>0</v>
      </c>
      <c r="N23" s="767">
        <v>0</v>
      </c>
      <c r="O23" s="765">
        <v>0</v>
      </c>
      <c r="P23" s="766">
        <v>0</v>
      </c>
      <c r="Q23" s="762">
        <v>0</v>
      </c>
      <c r="R23" s="762">
        <v>0</v>
      </c>
      <c r="S23" s="762">
        <v>0</v>
      </c>
      <c r="T23" s="762">
        <v>0</v>
      </c>
      <c r="U23" s="763">
        <v>0</v>
      </c>
      <c r="V23" s="765">
        <v>0</v>
      </c>
      <c r="W23" s="766">
        <v>0</v>
      </c>
      <c r="X23" s="766">
        <v>0</v>
      </c>
      <c r="Y23" s="766">
        <v>0</v>
      </c>
      <c r="Z23" s="766">
        <v>0</v>
      </c>
      <c r="AA23" s="766">
        <v>0</v>
      </c>
      <c r="AB23" s="766">
        <v>0</v>
      </c>
      <c r="AC23" s="766">
        <v>0</v>
      </c>
    </row>
    <row r="24" spans="1:29">
      <c r="A24" s="425"/>
      <c r="B24" s="754">
        <v>2003</v>
      </c>
      <c r="C24" s="763">
        <v>0</v>
      </c>
      <c r="D24" s="764">
        <v>0</v>
      </c>
      <c r="E24" s="765">
        <v>0</v>
      </c>
      <c r="F24" s="766">
        <v>0</v>
      </c>
      <c r="G24" s="766">
        <v>0</v>
      </c>
      <c r="H24" s="766">
        <v>0</v>
      </c>
      <c r="I24" s="767">
        <v>0</v>
      </c>
      <c r="J24" s="766">
        <v>0</v>
      </c>
      <c r="K24" s="767">
        <v>0</v>
      </c>
      <c r="L24" s="763">
        <v>0</v>
      </c>
      <c r="M24" s="768">
        <v>0</v>
      </c>
      <c r="N24" s="767">
        <v>0</v>
      </c>
      <c r="O24" s="765">
        <v>0</v>
      </c>
      <c r="P24" s="766">
        <v>0</v>
      </c>
      <c r="Q24" s="762">
        <v>0</v>
      </c>
      <c r="R24" s="762">
        <v>0</v>
      </c>
      <c r="S24" s="762">
        <v>0</v>
      </c>
      <c r="T24" s="762">
        <v>0</v>
      </c>
      <c r="U24" s="763">
        <v>0</v>
      </c>
      <c r="V24" s="765">
        <v>0</v>
      </c>
      <c r="W24" s="766">
        <v>0</v>
      </c>
      <c r="X24" s="766">
        <v>0</v>
      </c>
      <c r="Y24" s="766">
        <v>0</v>
      </c>
      <c r="Z24" s="766">
        <v>0</v>
      </c>
      <c r="AA24" s="766">
        <v>0</v>
      </c>
      <c r="AB24" s="766">
        <v>0</v>
      </c>
      <c r="AC24" s="766">
        <v>0</v>
      </c>
    </row>
    <row r="25" spans="1:29">
      <c r="A25" s="425"/>
      <c r="B25" s="754">
        <v>2004</v>
      </c>
      <c r="C25" s="763">
        <v>0</v>
      </c>
      <c r="D25" s="764">
        <v>0</v>
      </c>
      <c r="E25" s="765">
        <v>0</v>
      </c>
      <c r="F25" s="766">
        <v>0</v>
      </c>
      <c r="G25" s="766">
        <v>0</v>
      </c>
      <c r="H25" s="766">
        <v>0</v>
      </c>
      <c r="I25" s="767">
        <v>0</v>
      </c>
      <c r="J25" s="766">
        <v>0</v>
      </c>
      <c r="K25" s="767">
        <v>0</v>
      </c>
      <c r="L25" s="763">
        <v>0</v>
      </c>
      <c r="M25" s="768">
        <v>0</v>
      </c>
      <c r="N25" s="767">
        <v>0</v>
      </c>
      <c r="O25" s="765">
        <v>0</v>
      </c>
      <c r="P25" s="766">
        <v>0</v>
      </c>
      <c r="Q25" s="762">
        <v>0</v>
      </c>
      <c r="R25" s="762">
        <v>0</v>
      </c>
      <c r="S25" s="762">
        <v>0</v>
      </c>
      <c r="T25" s="762">
        <v>0</v>
      </c>
      <c r="U25" s="763">
        <v>0</v>
      </c>
      <c r="V25" s="765">
        <v>0</v>
      </c>
      <c r="W25" s="766">
        <v>0</v>
      </c>
      <c r="X25" s="766">
        <v>0</v>
      </c>
      <c r="Y25" s="766">
        <v>0</v>
      </c>
      <c r="Z25" s="766">
        <v>0</v>
      </c>
      <c r="AA25" s="766">
        <v>0</v>
      </c>
      <c r="AB25" s="766">
        <v>0</v>
      </c>
      <c r="AC25" s="766">
        <v>0</v>
      </c>
    </row>
    <row r="26" spans="1:29">
      <c r="A26" s="425"/>
      <c r="B26" s="754">
        <v>2005</v>
      </c>
      <c r="C26" s="763">
        <v>0</v>
      </c>
      <c r="D26" s="764">
        <v>0</v>
      </c>
      <c r="E26" s="765">
        <v>0</v>
      </c>
      <c r="F26" s="766">
        <v>0</v>
      </c>
      <c r="G26" s="766">
        <v>0</v>
      </c>
      <c r="H26" s="766">
        <v>0</v>
      </c>
      <c r="I26" s="767">
        <v>0</v>
      </c>
      <c r="J26" s="766">
        <v>0</v>
      </c>
      <c r="K26" s="767">
        <v>0</v>
      </c>
      <c r="L26" s="763">
        <v>0</v>
      </c>
      <c r="M26" s="768">
        <v>0</v>
      </c>
      <c r="N26" s="767">
        <v>0</v>
      </c>
      <c r="O26" s="765">
        <v>0</v>
      </c>
      <c r="P26" s="766">
        <v>0</v>
      </c>
      <c r="Q26" s="762">
        <v>0</v>
      </c>
      <c r="R26" s="762">
        <v>0</v>
      </c>
      <c r="S26" s="762">
        <v>0</v>
      </c>
      <c r="T26" s="762">
        <v>0</v>
      </c>
      <c r="U26" s="763">
        <v>0</v>
      </c>
      <c r="V26" s="765">
        <v>0</v>
      </c>
      <c r="W26" s="766">
        <v>0</v>
      </c>
      <c r="X26" s="766">
        <v>0</v>
      </c>
      <c r="Y26" s="766">
        <v>0</v>
      </c>
      <c r="Z26" s="766">
        <v>0</v>
      </c>
      <c r="AA26" s="766">
        <v>0</v>
      </c>
      <c r="AB26" s="766">
        <v>0</v>
      </c>
      <c r="AC26" s="766">
        <v>0</v>
      </c>
    </row>
    <row r="27" spans="1:29">
      <c r="A27" s="425"/>
      <c r="B27" s="754">
        <v>2006</v>
      </c>
      <c r="C27" s="763">
        <v>0</v>
      </c>
      <c r="D27" s="764">
        <v>0</v>
      </c>
      <c r="E27" s="765">
        <v>0</v>
      </c>
      <c r="F27" s="766">
        <v>0</v>
      </c>
      <c r="G27" s="766">
        <v>0</v>
      </c>
      <c r="H27" s="766">
        <v>0</v>
      </c>
      <c r="I27" s="767">
        <v>0</v>
      </c>
      <c r="J27" s="766">
        <v>0</v>
      </c>
      <c r="K27" s="767">
        <v>0</v>
      </c>
      <c r="L27" s="763">
        <v>0</v>
      </c>
      <c r="M27" s="768">
        <v>0</v>
      </c>
      <c r="N27" s="767">
        <v>0</v>
      </c>
      <c r="O27" s="765">
        <v>0</v>
      </c>
      <c r="P27" s="766">
        <v>0</v>
      </c>
      <c r="Q27" s="762">
        <v>0</v>
      </c>
      <c r="R27" s="762">
        <v>0</v>
      </c>
      <c r="S27" s="762">
        <v>0</v>
      </c>
      <c r="T27" s="762">
        <v>0</v>
      </c>
      <c r="U27" s="763">
        <v>0</v>
      </c>
      <c r="V27" s="765">
        <v>0</v>
      </c>
      <c r="W27" s="766">
        <v>0</v>
      </c>
      <c r="X27" s="766">
        <v>0</v>
      </c>
      <c r="Y27" s="766">
        <v>0</v>
      </c>
      <c r="Z27" s="766">
        <v>0</v>
      </c>
      <c r="AA27" s="766">
        <v>0</v>
      </c>
      <c r="AB27" s="766">
        <v>0</v>
      </c>
      <c r="AC27" s="766">
        <v>0</v>
      </c>
    </row>
    <row r="28" spans="1:29">
      <c r="A28" s="425"/>
      <c r="B28" s="754">
        <v>2007</v>
      </c>
      <c r="C28" s="763">
        <v>0</v>
      </c>
      <c r="D28" s="764">
        <v>0</v>
      </c>
      <c r="E28" s="765">
        <v>0</v>
      </c>
      <c r="F28" s="766">
        <v>0</v>
      </c>
      <c r="G28" s="766">
        <v>0</v>
      </c>
      <c r="H28" s="766">
        <v>0</v>
      </c>
      <c r="I28" s="767">
        <v>0</v>
      </c>
      <c r="J28" s="766">
        <v>0</v>
      </c>
      <c r="K28" s="767">
        <v>0</v>
      </c>
      <c r="L28" s="763">
        <v>0</v>
      </c>
      <c r="M28" s="768">
        <v>0</v>
      </c>
      <c r="N28" s="767">
        <v>0</v>
      </c>
      <c r="O28" s="765">
        <v>0</v>
      </c>
      <c r="P28" s="766">
        <v>0</v>
      </c>
      <c r="Q28" s="762">
        <v>0</v>
      </c>
      <c r="R28" s="762">
        <v>0</v>
      </c>
      <c r="S28" s="762">
        <v>0</v>
      </c>
      <c r="T28" s="762">
        <v>0</v>
      </c>
      <c r="U28" s="763">
        <v>0</v>
      </c>
      <c r="V28" s="765">
        <v>0</v>
      </c>
      <c r="W28" s="766">
        <v>0</v>
      </c>
      <c r="X28" s="766">
        <v>0</v>
      </c>
      <c r="Y28" s="766">
        <v>0</v>
      </c>
      <c r="Z28" s="766">
        <v>0</v>
      </c>
      <c r="AA28" s="766">
        <v>0</v>
      </c>
      <c r="AB28" s="766">
        <v>0</v>
      </c>
      <c r="AC28" s="766">
        <v>0</v>
      </c>
    </row>
    <row r="29" spans="1:29">
      <c r="A29" s="425"/>
      <c r="B29" s="754">
        <v>2008</v>
      </c>
      <c r="C29" s="763">
        <v>0</v>
      </c>
      <c r="D29" s="764">
        <v>0</v>
      </c>
      <c r="E29" s="765">
        <v>5354.9149137571931</v>
      </c>
      <c r="F29" s="766">
        <v>612.70665654807806</v>
      </c>
      <c r="G29" s="766">
        <v>0</v>
      </c>
      <c r="H29" s="766">
        <v>13341.965971180001</v>
      </c>
      <c r="I29" s="767">
        <v>54.727336351939094</v>
      </c>
      <c r="J29" s="766">
        <v>89712.712323587039</v>
      </c>
      <c r="K29" s="767">
        <v>82302.916885901068</v>
      </c>
      <c r="L29" s="763">
        <v>9340.0804729420834</v>
      </c>
      <c r="M29" s="768">
        <v>6948.6703886275554</v>
      </c>
      <c r="N29" s="767">
        <v>22119.603440794344</v>
      </c>
      <c r="O29" s="765">
        <v>426.17051319197702</v>
      </c>
      <c r="P29" s="766">
        <v>2869.2387181924414</v>
      </c>
      <c r="Q29" s="762">
        <v>3312.1314285714288</v>
      </c>
      <c r="R29" s="762">
        <v>157.91519884343998</v>
      </c>
      <c r="S29" s="762">
        <v>793.74871690500004</v>
      </c>
      <c r="T29" s="762">
        <v>13204.418301879916</v>
      </c>
      <c r="U29" s="763">
        <v>0</v>
      </c>
      <c r="V29" s="765">
        <v>-130.39281509591558</v>
      </c>
      <c r="W29" s="766">
        <v>19364.314877837212</v>
      </c>
      <c r="X29" s="766">
        <v>172015.62920948811</v>
      </c>
      <c r="Y29" s="766">
        <v>59171.977179948182</v>
      </c>
      <c r="Z29" s="766">
        <v>0</v>
      </c>
      <c r="AA29" s="766">
        <v>-130.39281509591558</v>
      </c>
      <c r="AB29" s="766">
        <v>250551.92126727349</v>
      </c>
      <c r="AC29" s="766">
        <v>250421.52845217756</v>
      </c>
    </row>
    <row r="30" spans="1:29">
      <c r="A30" s="425"/>
      <c r="B30" s="754">
        <v>2009</v>
      </c>
      <c r="C30" s="763">
        <v>0</v>
      </c>
      <c r="D30" s="764">
        <v>0</v>
      </c>
      <c r="E30" s="765">
        <v>5207.7354431957601</v>
      </c>
      <c r="F30" s="766">
        <v>565.36266971264968</v>
      </c>
      <c r="G30" s="766">
        <v>0</v>
      </c>
      <c r="H30" s="766">
        <v>13341.965971180001</v>
      </c>
      <c r="I30" s="767">
        <v>54.727336351939094</v>
      </c>
      <c r="J30" s="766">
        <v>89079.489590278681</v>
      </c>
      <c r="K30" s="767">
        <v>93923.632657352224</v>
      </c>
      <c r="L30" s="763">
        <v>9334.7025776336595</v>
      </c>
      <c r="M30" s="768">
        <v>6811.6959846795144</v>
      </c>
      <c r="N30" s="767">
        <v>24332.823856619674</v>
      </c>
      <c r="O30" s="765">
        <v>424.28983842925834</v>
      </c>
      <c r="P30" s="766">
        <v>3109.2904985015439</v>
      </c>
      <c r="Q30" s="762">
        <v>2521.2314285714288</v>
      </c>
      <c r="R30" s="762">
        <v>129.49164152832</v>
      </c>
      <c r="S30" s="762">
        <v>760.25013534000004</v>
      </c>
      <c r="T30" s="762">
        <v>13753.408497256623</v>
      </c>
      <c r="U30" s="763">
        <v>0</v>
      </c>
      <c r="V30" s="765">
        <v>-131.6682254090158</v>
      </c>
      <c r="W30" s="766">
        <v>19169.79142044035</v>
      </c>
      <c r="X30" s="766">
        <v>183003.1222476309</v>
      </c>
      <c r="Y30" s="766">
        <v>61177.184458560019</v>
      </c>
      <c r="Z30" s="766">
        <v>0</v>
      </c>
      <c r="AA30" s="766">
        <v>-131.6682254090158</v>
      </c>
      <c r="AB30" s="766">
        <v>263350.09812663129</v>
      </c>
      <c r="AC30" s="766">
        <v>263218.42990122229</v>
      </c>
    </row>
    <row r="31" spans="1:29">
      <c r="A31" s="425"/>
      <c r="B31" s="754">
        <v>2010</v>
      </c>
      <c r="C31" s="763">
        <v>0</v>
      </c>
      <c r="D31" s="764">
        <v>0</v>
      </c>
      <c r="E31" s="765">
        <v>5311.8901520596746</v>
      </c>
      <c r="F31" s="766">
        <v>576.66992310690262</v>
      </c>
      <c r="G31" s="766">
        <v>0</v>
      </c>
      <c r="H31" s="766">
        <v>13608.805290603601</v>
      </c>
      <c r="I31" s="767">
        <v>56.641735254052563</v>
      </c>
      <c r="J31" s="766">
        <v>90861.079382084252</v>
      </c>
      <c r="K31" s="767">
        <v>95802.105310499246</v>
      </c>
      <c r="L31" s="763">
        <v>9521.3966291863362</v>
      </c>
      <c r="M31" s="768">
        <v>6947.9299043731053</v>
      </c>
      <c r="N31" s="767">
        <v>24819.480333752068</v>
      </c>
      <c r="O31" s="765">
        <v>7.4038220599273874</v>
      </c>
      <c r="P31" s="766">
        <v>3171.4763084715751</v>
      </c>
      <c r="Q31" s="762">
        <v>2571.6560571428577</v>
      </c>
      <c r="R31" s="762">
        <v>132.0814743588864</v>
      </c>
      <c r="S31" s="762">
        <v>775.4551380467999</v>
      </c>
      <c r="T31" s="762">
        <v>14028.476667201759</v>
      </c>
      <c r="U31" s="763">
        <v>0</v>
      </c>
      <c r="V31" s="765">
        <v>-134.30158991719614</v>
      </c>
      <c r="W31" s="766">
        <v>19554.007101024232</v>
      </c>
      <c r="X31" s="766">
        <v>186663.18469258351</v>
      </c>
      <c r="Y31" s="766">
        <v>61975.3563345933</v>
      </c>
      <c r="Z31" s="766">
        <v>0</v>
      </c>
      <c r="AA31" s="766">
        <v>-134.30158991719614</v>
      </c>
      <c r="AB31" s="766">
        <v>268192.54812820104</v>
      </c>
      <c r="AC31" s="766">
        <v>268058.24653828383</v>
      </c>
    </row>
    <row r="32" spans="1:29">
      <c r="A32" s="425"/>
      <c r="B32" s="754">
        <v>2011</v>
      </c>
      <c r="C32" s="763">
        <v>0</v>
      </c>
      <c r="D32" s="764">
        <v>0</v>
      </c>
      <c r="E32" s="765">
        <v>5418.1279551008693</v>
      </c>
      <c r="F32" s="766">
        <v>588.20332156904067</v>
      </c>
      <c r="G32" s="766">
        <v>0</v>
      </c>
      <c r="H32" s="766">
        <v>13880.981396415673</v>
      </c>
      <c r="I32" s="767">
        <v>58.632391587427662</v>
      </c>
      <c r="J32" s="766">
        <v>92678.300969725955</v>
      </c>
      <c r="K32" s="767">
        <v>97718.147416709238</v>
      </c>
      <c r="L32" s="763">
        <v>9711.8245617700613</v>
      </c>
      <c r="M32" s="768">
        <v>7086.8885024605679</v>
      </c>
      <c r="N32" s="767">
        <v>25315.869940427114</v>
      </c>
      <c r="O32" s="765">
        <v>7.5518985011259359</v>
      </c>
      <c r="P32" s="766">
        <v>3234.9058346410065</v>
      </c>
      <c r="Q32" s="762">
        <v>2623.0891782857148</v>
      </c>
      <c r="R32" s="762">
        <v>134.72310384606413</v>
      </c>
      <c r="S32" s="762">
        <v>790.96424080773602</v>
      </c>
      <c r="T32" s="762">
        <v>14309.046200545796</v>
      </c>
      <c r="U32" s="763">
        <v>0</v>
      </c>
      <c r="V32" s="765">
        <v>-136.98762171554006</v>
      </c>
      <c r="W32" s="766">
        <v>19945.945064673011</v>
      </c>
      <c r="X32" s="766">
        <v>190396.44838643519</v>
      </c>
      <c r="Y32" s="766">
        <v>63214.863461285197</v>
      </c>
      <c r="Z32" s="766">
        <v>0</v>
      </c>
      <c r="AA32" s="766">
        <v>-136.98762171554006</v>
      </c>
      <c r="AB32" s="766">
        <v>273557.25691239338</v>
      </c>
      <c r="AC32" s="766">
        <v>273420.26929067785</v>
      </c>
    </row>
    <row r="33" spans="1:29">
      <c r="A33" s="425"/>
      <c r="B33" s="754">
        <v>2012</v>
      </c>
      <c r="C33" s="763">
        <v>0</v>
      </c>
      <c r="D33" s="764">
        <v>0</v>
      </c>
      <c r="E33" s="765">
        <v>5526.4905142028865</v>
      </c>
      <c r="F33" s="766">
        <v>599.96738800042158</v>
      </c>
      <c r="G33" s="766">
        <v>0</v>
      </c>
      <c r="H33" s="766">
        <v>14158.601024343989</v>
      </c>
      <c r="I33" s="767">
        <v>60.702364466599725</v>
      </c>
      <c r="J33" s="766">
        <v>94531.866989120463</v>
      </c>
      <c r="K33" s="767">
        <v>99672.510365043418</v>
      </c>
      <c r="L33" s="763">
        <v>9906.0610530054601</v>
      </c>
      <c r="M33" s="768">
        <v>7228.6262725097795</v>
      </c>
      <c r="N33" s="767">
        <v>25822.187339235654</v>
      </c>
      <c r="O33" s="765">
        <v>7.7029364711484529</v>
      </c>
      <c r="P33" s="766">
        <v>3299.6039513338264</v>
      </c>
      <c r="Q33" s="762">
        <v>2675.5509618514293</v>
      </c>
      <c r="R33" s="762">
        <v>137.41756592298543</v>
      </c>
      <c r="S33" s="762">
        <v>806.78352562389068</v>
      </c>
      <c r="T33" s="762">
        <v>14595.227124556714</v>
      </c>
      <c r="U33" s="763">
        <v>0</v>
      </c>
      <c r="V33" s="765">
        <v>-139.72737414985087</v>
      </c>
      <c r="W33" s="766">
        <v>20345.7612910139</v>
      </c>
      <c r="X33" s="766">
        <v>194204.37735416388</v>
      </c>
      <c r="Y33" s="766">
        <v>64479.160730510892</v>
      </c>
      <c r="Z33" s="766">
        <v>0</v>
      </c>
      <c r="AA33" s="766">
        <v>-139.72737414985087</v>
      </c>
      <c r="AB33" s="766">
        <v>279029.29937568866</v>
      </c>
      <c r="AC33" s="766">
        <v>278889.57200153882</v>
      </c>
    </row>
    <row r="34" spans="1:29">
      <c r="A34" s="425"/>
      <c r="B34" s="754">
        <v>2013</v>
      </c>
      <c r="C34" s="763">
        <v>0</v>
      </c>
      <c r="D34" s="764">
        <v>0</v>
      </c>
      <c r="E34" s="765">
        <v>5637.0203244869444</v>
      </c>
      <c r="F34" s="766">
        <v>611.96673576042974</v>
      </c>
      <c r="G34" s="766">
        <v>0</v>
      </c>
      <c r="H34" s="766">
        <v>14441.773044830868</v>
      </c>
      <c r="I34" s="767">
        <v>62.854836160617481</v>
      </c>
      <c r="J34" s="766">
        <v>96422.504328902884</v>
      </c>
      <c r="K34" s="767">
        <v>101665.96057234429</v>
      </c>
      <c r="L34" s="763">
        <v>10104.182274065573</v>
      </c>
      <c r="M34" s="768">
        <v>7373.1987979599771</v>
      </c>
      <c r="N34" s="767">
        <v>26338.631086020363</v>
      </c>
      <c r="O34" s="765">
        <v>7.856995200571423</v>
      </c>
      <c r="P34" s="766">
        <v>3365.5960303605034</v>
      </c>
      <c r="Q34" s="762">
        <v>2729.0619810884577</v>
      </c>
      <c r="R34" s="762">
        <v>140.16591724144513</v>
      </c>
      <c r="S34" s="762">
        <v>822.91919613636867</v>
      </c>
      <c r="T34" s="762">
        <v>14887.131667047845</v>
      </c>
      <c r="U34" s="763">
        <v>0</v>
      </c>
      <c r="V34" s="765">
        <v>-142.52192163284789</v>
      </c>
      <c r="W34" s="766">
        <v>20753.614941238859</v>
      </c>
      <c r="X34" s="766">
        <v>198088.46490124718</v>
      </c>
      <c r="Y34" s="766">
        <v>65768.743945121096</v>
      </c>
      <c r="Z34" s="766">
        <v>0</v>
      </c>
      <c r="AA34" s="766">
        <v>-142.52192163284789</v>
      </c>
      <c r="AB34" s="766">
        <v>284610.82378760714</v>
      </c>
      <c r="AC34" s="766">
        <v>284468.30186597427</v>
      </c>
    </row>
    <row r="35" spans="1:29">
      <c r="A35" s="425"/>
      <c r="B35" s="754">
        <v>2014</v>
      </c>
      <c r="C35" s="763">
        <v>0</v>
      </c>
      <c r="D35" s="764">
        <v>0</v>
      </c>
      <c r="E35" s="765">
        <v>5749.7607309766827</v>
      </c>
      <c r="F35" s="766">
        <v>624.20607047563863</v>
      </c>
      <c r="G35" s="766">
        <v>0</v>
      </c>
      <c r="H35" s="766">
        <v>14730.608505727485</v>
      </c>
      <c r="I35" s="767">
        <v>65.093117059811291</v>
      </c>
      <c r="J35" s="766">
        <v>98350.954415480956</v>
      </c>
      <c r="K35" s="767">
        <v>103699.27978379118</v>
      </c>
      <c r="L35" s="763">
        <v>10306.265919546884</v>
      </c>
      <c r="M35" s="768">
        <v>7520.6627739191772</v>
      </c>
      <c r="N35" s="767">
        <v>26865.40370774077</v>
      </c>
      <c r="O35" s="765">
        <v>8.0141351045828522</v>
      </c>
      <c r="P35" s="766">
        <v>3432.9079509677135</v>
      </c>
      <c r="Q35" s="762">
        <v>2783.6432207102266</v>
      </c>
      <c r="R35" s="762">
        <v>142.96923558627404</v>
      </c>
      <c r="S35" s="762">
        <v>839.37758005909598</v>
      </c>
      <c r="T35" s="762">
        <v>15184.874300388801</v>
      </c>
      <c r="U35" s="763">
        <v>0</v>
      </c>
      <c r="V35" s="765">
        <v>-145.37236006550486</v>
      </c>
      <c r="W35" s="766">
        <v>21169.668424239615</v>
      </c>
      <c r="X35" s="766">
        <v>202050.23419927212</v>
      </c>
      <c r="Y35" s="766">
        <v>67084.118824023521</v>
      </c>
      <c r="Z35" s="766">
        <v>0</v>
      </c>
      <c r="AA35" s="766">
        <v>-145.37236006550486</v>
      </c>
      <c r="AB35" s="766">
        <v>290304.02144753525</v>
      </c>
      <c r="AC35" s="766">
        <v>290158.64908746973</v>
      </c>
    </row>
    <row r="36" spans="1:29">
      <c r="A36" s="425"/>
      <c r="B36" s="754">
        <v>2015</v>
      </c>
      <c r="C36" s="763">
        <v>0</v>
      </c>
      <c r="D36" s="764">
        <v>0</v>
      </c>
      <c r="E36" s="765">
        <v>5864.7559455962164</v>
      </c>
      <c r="F36" s="766">
        <v>636.69019188515131</v>
      </c>
      <c r="G36" s="766">
        <v>0</v>
      </c>
      <c r="H36" s="766">
        <v>15025.220675842036</v>
      </c>
      <c r="I36" s="767">
        <v>67.420650843044982</v>
      </c>
      <c r="J36" s="766">
        <v>100317.97350379056</v>
      </c>
      <c r="K36" s="767">
        <v>105773.26537946699</v>
      </c>
      <c r="L36" s="763">
        <v>10512.391237937823</v>
      </c>
      <c r="M36" s="768">
        <v>7671.07602939756</v>
      </c>
      <c r="N36" s="767">
        <v>27402.711781895581</v>
      </c>
      <c r="O36" s="765">
        <v>8.1744178066745086</v>
      </c>
      <c r="P36" s="766">
        <v>3501.5661099870686</v>
      </c>
      <c r="Q36" s="762">
        <v>2839.3160851244311</v>
      </c>
      <c r="R36" s="762">
        <v>145.82862029799952</v>
      </c>
      <c r="S36" s="762">
        <v>856.16513166027789</v>
      </c>
      <c r="T36" s="762">
        <v>15488.57178639658</v>
      </c>
      <c r="U36" s="763">
        <v>0</v>
      </c>
      <c r="V36" s="765">
        <v>-148.27980726681497</v>
      </c>
      <c r="W36" s="766">
        <v>21594.087464166449</v>
      </c>
      <c r="X36" s="766">
        <v>206091.23888325755</v>
      </c>
      <c r="Y36" s="766">
        <v>68425.801200504007</v>
      </c>
      <c r="Z36" s="766">
        <v>0</v>
      </c>
      <c r="AA36" s="766">
        <v>-148.27980726681497</v>
      </c>
      <c r="AB36" s="766">
        <v>296111.12754792802</v>
      </c>
      <c r="AC36" s="766">
        <v>295962.84774066118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3"/>
  <dimension ref="A1:H23"/>
  <sheetViews>
    <sheetView zoomScale="145" zoomScaleNormal="145" workbookViewId="0">
      <pane xSplit="2" ySplit="3" topLeftCell="C4" activePane="bottomRight" state="frozen"/>
      <selection pane="topRight" activeCell="C1" sqref="C1"/>
      <selection pane="bottomLeft" activeCell="A4" sqref="A4"/>
      <selection pane="bottomRight" activeCell="C15" sqref="C15"/>
    </sheetView>
  </sheetViews>
  <sheetFormatPr defaultRowHeight="15"/>
  <cols>
    <col min="1" max="1" width="8.42578125" style="37" bestFit="1" customWidth="1"/>
    <col min="2" max="2" width="29.28515625" style="36" customWidth="1"/>
    <col min="3" max="4" width="11.140625" style="37" customWidth="1"/>
    <col min="5" max="5" width="2" style="36" customWidth="1"/>
    <col min="6" max="6" width="38.85546875" style="36" customWidth="1"/>
    <col min="7" max="7" width="27.5703125" style="36" customWidth="1"/>
    <col min="8" max="8" width="28.140625" style="36" customWidth="1"/>
    <col min="9" max="16384" width="9.140625" style="36"/>
  </cols>
  <sheetData>
    <row r="1" spans="1:8" ht="21.75" customHeight="1">
      <c r="F1" s="813" t="s">
        <v>152</v>
      </c>
    </row>
    <row r="2" spans="1:8" ht="21.75" customHeight="1">
      <c r="A2" s="1537" t="s">
        <v>582</v>
      </c>
      <c r="B2" s="1538"/>
      <c r="C2" s="1538"/>
      <c r="D2" s="1539"/>
      <c r="F2" s="795" t="s">
        <v>149</v>
      </c>
    </row>
    <row r="3" spans="1:8" s="37" customFormat="1" ht="30">
      <c r="A3" s="21" t="s">
        <v>50</v>
      </c>
      <c r="B3" s="3" t="s">
        <v>38</v>
      </c>
      <c r="C3" s="22" t="s">
        <v>52</v>
      </c>
      <c r="D3" s="23" t="s">
        <v>53</v>
      </c>
      <c r="F3" s="796" t="s">
        <v>54</v>
      </c>
      <c r="G3" s="797" t="s">
        <v>630</v>
      </c>
      <c r="H3" s="798" t="s">
        <v>634</v>
      </c>
    </row>
    <row r="4" spans="1:8">
      <c r="A4" s="1531" t="s">
        <v>46</v>
      </c>
      <c r="B4" s="72" t="s">
        <v>36</v>
      </c>
      <c r="C4" s="78">
        <f>'CACP CO2e'!Q30/1000</f>
        <v>5189.1396527773722</v>
      </c>
      <c r="D4" s="87">
        <f t="shared" ref="D4:D9" si="0">C4/$C$21</f>
        <v>1.9714195752648083E-2</v>
      </c>
      <c r="F4" s="799" t="s">
        <v>55</v>
      </c>
      <c r="G4" s="800" t="s">
        <v>633</v>
      </c>
      <c r="H4" s="800"/>
    </row>
    <row r="5" spans="1:8">
      <c r="A5" s="1532"/>
      <c r="B5" s="73" t="s">
        <v>599</v>
      </c>
      <c r="C5" s="79">
        <f>'CACP Inventory'!H30</f>
        <v>13341.965971180001</v>
      </c>
      <c r="D5" s="88">
        <f t="shared" si="0"/>
        <v>5.0687810789642768E-2</v>
      </c>
      <c r="F5" s="801" t="s">
        <v>57</v>
      </c>
      <c r="G5" s="800"/>
      <c r="H5" s="800" t="s">
        <v>635</v>
      </c>
    </row>
    <row r="6" spans="1:8">
      <c r="A6" s="1532"/>
      <c r="B6" s="75" t="s">
        <v>40</v>
      </c>
      <c r="C6" s="80">
        <f>'CACP CO2e'!P30/1000</f>
        <v>18.59579041838726</v>
      </c>
      <c r="D6" s="89">
        <f t="shared" si="0"/>
        <v>7.0647752231352826E-5</v>
      </c>
      <c r="F6" s="802" t="s">
        <v>57</v>
      </c>
      <c r="G6" s="800"/>
      <c r="H6" s="800" t="s">
        <v>636</v>
      </c>
    </row>
    <row r="7" spans="1:8">
      <c r="A7" s="1532"/>
      <c r="B7" s="74" t="s">
        <v>41</v>
      </c>
      <c r="C7" s="81">
        <f>'CACP CO2e'!AA30/1000</f>
        <v>410.5632587071712</v>
      </c>
      <c r="D7" s="90">
        <f t="shared" si="0"/>
        <v>1.5597815808765479E-3</v>
      </c>
      <c r="F7" s="803" t="s">
        <v>637</v>
      </c>
      <c r="G7" s="800"/>
      <c r="H7" s="800" t="s">
        <v>638</v>
      </c>
    </row>
    <row r="8" spans="1:8">
      <c r="A8" s="1532"/>
      <c r="B8" s="76" t="s">
        <v>426</v>
      </c>
      <c r="C8" s="82">
        <f>'CACP CO2e'!AB30/1000</f>
        <v>154.79941100547845</v>
      </c>
      <c r="D8" s="91">
        <f t="shared" si="0"/>
        <v>5.8810247847603187E-4</v>
      </c>
      <c r="F8" s="804" t="s">
        <v>637</v>
      </c>
      <c r="G8" s="800"/>
      <c r="H8" s="800"/>
    </row>
    <row r="9" spans="1:8">
      <c r="A9" s="1532"/>
      <c r="B9" s="96" t="s">
        <v>594</v>
      </c>
      <c r="C9" s="97">
        <f>'CACP Inventory'!I30</f>
        <v>54.727336351939094</v>
      </c>
      <c r="D9" s="98">
        <f t="shared" si="0"/>
        <v>2.0791605045466071E-4</v>
      </c>
      <c r="F9" s="805" t="s">
        <v>637</v>
      </c>
      <c r="G9" s="800"/>
      <c r="H9" s="800"/>
    </row>
    <row r="10" spans="1:8" ht="30">
      <c r="A10" s="1540" t="s">
        <v>47</v>
      </c>
      <c r="B10" s="61" t="s">
        <v>425</v>
      </c>
      <c r="C10" s="62">
        <f>'CACP Inventory'!J30</f>
        <v>89079.489590278681</v>
      </c>
      <c r="D10" s="63">
        <f>C10/$C$21</f>
        <v>0.33842421149502133</v>
      </c>
      <c r="F10" s="812" t="s">
        <v>632</v>
      </c>
      <c r="G10" s="800"/>
      <c r="H10" s="800"/>
    </row>
    <row r="11" spans="1:8" ht="30">
      <c r="A11" s="1541"/>
      <c r="B11" s="61" t="s">
        <v>580</v>
      </c>
      <c r="C11" s="769">
        <f>'CACP CO2e'!BB30/1000</f>
        <v>72972.699494945773</v>
      </c>
      <c r="D11" s="63">
        <f>C11/$C$21</f>
        <v>0.27723248528733407</v>
      </c>
      <c r="F11" s="812" t="s">
        <v>632</v>
      </c>
      <c r="G11" s="800"/>
      <c r="H11" s="800" t="s">
        <v>639</v>
      </c>
    </row>
    <row r="12" spans="1:8" ht="30">
      <c r="A12" s="1542"/>
      <c r="B12" s="61" t="s">
        <v>581</v>
      </c>
      <c r="C12" s="769">
        <f>'CACP CO2e'!BC30/1000</f>
        <v>20950.933162406443</v>
      </c>
      <c r="D12" s="63">
        <f>C12/$C$21</f>
        <v>7.9595236436402581E-2</v>
      </c>
      <c r="F12" s="812" t="s">
        <v>632</v>
      </c>
      <c r="G12" s="800"/>
      <c r="H12" s="800" t="s">
        <v>640</v>
      </c>
    </row>
    <row r="13" spans="1:8">
      <c r="A13" s="1533" t="s">
        <v>48</v>
      </c>
      <c r="B13" s="68" t="s">
        <v>596</v>
      </c>
      <c r="C13" s="83">
        <f>'CACP Inventory'!L30</f>
        <v>9334.7025776336595</v>
      </c>
      <c r="D13" s="92">
        <f t="shared" ref="D13:D21" si="1">C13/$C$21</f>
        <v>3.5463711948804974E-2</v>
      </c>
      <c r="F13" s="806" t="s">
        <v>6</v>
      </c>
      <c r="G13" s="800"/>
      <c r="H13" s="800"/>
    </row>
    <row r="14" spans="1:8">
      <c r="A14" s="1534"/>
      <c r="B14" s="68" t="s">
        <v>597</v>
      </c>
      <c r="C14" s="83">
        <f>'CACP Inventory'!M30</f>
        <v>6811.6959846795144</v>
      </c>
      <c r="D14" s="92">
        <f>C14/$C$21</f>
        <v>2.5878491818508809E-2</v>
      </c>
      <c r="F14" s="806" t="s">
        <v>6</v>
      </c>
      <c r="G14" s="800"/>
      <c r="H14" s="800"/>
    </row>
    <row r="15" spans="1:8">
      <c r="A15" s="1533"/>
      <c r="B15" s="69" t="s">
        <v>595</v>
      </c>
      <c r="C15" s="84">
        <f>'CACP Inventory'!N30+'CACP Inventory'!O30+'CACP Inventory'!P30</f>
        <v>27866.404193550476</v>
      </c>
      <c r="D15" s="93">
        <f t="shared" si="1"/>
        <v>0.10586798273968839</v>
      </c>
      <c r="F15" s="807" t="s">
        <v>444</v>
      </c>
      <c r="G15" s="800"/>
      <c r="H15" s="800"/>
    </row>
    <row r="16" spans="1:8">
      <c r="A16" s="1533"/>
      <c r="B16" s="70" t="s">
        <v>43</v>
      </c>
      <c r="C16" s="85">
        <f>'CACP Inventory'!Q30</f>
        <v>2521.2314285714288</v>
      </c>
      <c r="D16" s="94">
        <f t="shared" si="1"/>
        <v>9.5784760570054653E-3</v>
      </c>
      <c r="F16" s="808" t="s">
        <v>6</v>
      </c>
      <c r="G16" s="800"/>
      <c r="H16" s="800"/>
    </row>
    <row r="17" spans="1:8">
      <c r="A17" s="1533"/>
      <c r="B17" s="71" t="s">
        <v>44</v>
      </c>
      <c r="C17" s="86">
        <f>'CACP Inventory'!R30</f>
        <v>129.49164152832</v>
      </c>
      <c r="D17" s="95">
        <f t="shared" si="1"/>
        <v>4.9195507159933375E-4</v>
      </c>
      <c r="F17" s="809" t="s">
        <v>57</v>
      </c>
      <c r="G17" s="800"/>
      <c r="H17" s="800"/>
    </row>
    <row r="18" spans="1:8">
      <c r="A18" s="1534"/>
      <c r="B18" s="99" t="s">
        <v>45</v>
      </c>
      <c r="C18" s="100">
        <f>'CACP Inventory'!S30</f>
        <v>760.25013534000004</v>
      </c>
      <c r="D18" s="101">
        <f>C18/$C$21</f>
        <v>2.8882861113687917E-3</v>
      </c>
      <c r="F18" s="810" t="s">
        <v>6</v>
      </c>
      <c r="G18" s="800"/>
      <c r="H18" s="800"/>
    </row>
    <row r="19" spans="1:8">
      <c r="A19" s="1533"/>
      <c r="B19" s="99" t="s">
        <v>598</v>
      </c>
      <c r="C19" s="100">
        <f>'CACP Inventory'!T30</f>
        <v>13753.408497256623</v>
      </c>
      <c r="D19" s="101">
        <f t="shared" si="1"/>
        <v>5.2250932818107963E-2</v>
      </c>
      <c r="F19" s="810" t="s">
        <v>600</v>
      </c>
      <c r="G19" s="800"/>
      <c r="H19" s="800"/>
    </row>
    <row r="20" spans="1:8">
      <c r="A20" s="64" t="s">
        <v>49</v>
      </c>
      <c r="B20" s="60" t="s">
        <v>427</v>
      </c>
      <c r="C20" s="77">
        <f>'CACP Inventory'!AA30</f>
        <v>-131.6682254090158</v>
      </c>
      <c r="D20" s="65">
        <f t="shared" si="1"/>
        <v>-5.0022418817112025E-4</v>
      </c>
      <c r="F20" s="811" t="s">
        <v>637</v>
      </c>
      <c r="G20" s="800"/>
      <c r="H20" s="800"/>
    </row>
    <row r="21" spans="1:8">
      <c r="A21" s="1535" t="s">
        <v>37</v>
      </c>
      <c r="B21" s="1536"/>
      <c r="C21" s="66">
        <f>SUM(C4:C20)</f>
        <v>263218.42990122223</v>
      </c>
      <c r="D21" s="67">
        <f t="shared" si="1"/>
        <v>1</v>
      </c>
      <c r="F21" s="102"/>
    </row>
    <row r="23" spans="1:8">
      <c r="A23" s="775"/>
    </row>
  </sheetData>
  <mergeCells count="5">
    <mergeCell ref="A4:A9"/>
    <mergeCell ref="A13:A19"/>
    <mergeCell ref="A21:B21"/>
    <mergeCell ref="A2:D2"/>
    <mergeCell ref="A10:A12"/>
  </mergeCells>
  <hyperlinks>
    <hyperlink ref="F1" location="GHG_CHT!W1" display="Return to GHG Forecast Chart"/>
    <hyperlink ref="F2" location="'GHG Emissions'!C1" display="Link to GHG Emissions Forecast"/>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14"/>
  <dimension ref="B1:M28"/>
  <sheetViews>
    <sheetView zoomScaleNormal="100" workbookViewId="0"/>
  </sheetViews>
  <sheetFormatPr defaultRowHeight="15"/>
  <cols>
    <col min="1" max="1" width="9.140625" style="10"/>
    <col min="2" max="2" width="3" style="10" bestFit="1" customWidth="1"/>
    <col min="3" max="3" width="27.85546875" style="10" bestFit="1" customWidth="1"/>
    <col min="4" max="9" width="12.7109375" style="10" bestFit="1" customWidth="1"/>
    <col min="10" max="13" width="12" style="10" bestFit="1" customWidth="1"/>
    <col min="14" max="16384" width="9.140625" style="10"/>
  </cols>
  <sheetData>
    <row r="1" spans="2:13" ht="6.75" customHeight="1"/>
    <row r="2" spans="2:13">
      <c r="D2" s="784" t="s">
        <v>623</v>
      </c>
      <c r="E2" s="1543" t="s">
        <v>629</v>
      </c>
      <c r="F2" s="1544"/>
      <c r="G2" s="1544"/>
      <c r="H2" s="1544"/>
    </row>
    <row r="3" spans="2:13">
      <c r="D3" s="783" t="s">
        <v>622</v>
      </c>
      <c r="E3" s="1543">
        <v>2009</v>
      </c>
      <c r="F3" s="1544"/>
      <c r="G3" s="1544"/>
      <c r="H3" s="1544"/>
    </row>
    <row r="5" spans="2:13">
      <c r="D5" s="10" t="s">
        <v>621</v>
      </c>
      <c r="E5" s="10" t="s">
        <v>620</v>
      </c>
      <c r="F5" s="10" t="s">
        <v>619</v>
      </c>
      <c r="G5" s="10" t="s">
        <v>618</v>
      </c>
      <c r="H5" s="10" t="s">
        <v>617</v>
      </c>
      <c r="I5" s="10" t="s">
        <v>616</v>
      </c>
      <c r="J5" s="10" t="s">
        <v>615</v>
      </c>
      <c r="K5" s="10" t="s">
        <v>614</v>
      </c>
      <c r="L5" s="10" t="s">
        <v>613</v>
      </c>
      <c r="M5" s="10" t="s">
        <v>612</v>
      </c>
    </row>
    <row r="6" spans="2:13">
      <c r="B6" s="10">
        <v>0</v>
      </c>
      <c r="C6" s="782" t="str">
        <f ca="1">OFFSET(Sheet2!$B$2,0,B6)</f>
        <v>Stationary Combustion</v>
      </c>
      <c r="D6" s="781">
        <f ca="1">OFFSET(Sheet2!$B$3,0,B6)</f>
        <v>5207.7354431957592</v>
      </c>
      <c r="E6" s="781">
        <f ca="1">SUM($D$6:D6)</f>
        <v>5207.7354431957592</v>
      </c>
      <c r="G6" s="781"/>
      <c r="H6" s="781">
        <f t="shared" ref="H6:H23" ca="1" si="0">IF(AND(E6&lt;0,D6&lt;0),MAX(D6,E6),0)</f>
        <v>0</v>
      </c>
      <c r="I6" s="781">
        <f ca="1">IF(AND(E5&lt;0,D6&gt;0),MAX(-D6,E5),0)</f>
        <v>0</v>
      </c>
      <c r="J6" s="781"/>
      <c r="K6" s="781">
        <f ca="1">IF(AND(E5&gt;0,D6&lt;0),MIN(-D6,E5),0)</f>
        <v>0</v>
      </c>
      <c r="L6" s="781">
        <f ca="1">IF(AND(E6&gt;0,D6&gt;0),MIN(D6,E6),0)</f>
        <v>5207.7354431957592</v>
      </c>
      <c r="M6" s="781">
        <f t="shared" ref="M6:M23" ca="1" si="1">MAX(F6,SUM(J6:L6))</f>
        <v>5207.7354431957592</v>
      </c>
    </row>
    <row r="7" spans="2:13">
      <c r="B7" s="10">
        <v>3</v>
      </c>
      <c r="C7" s="782" t="str">
        <f ca="1">OFFSET(Sheet2!$B$2,0,B7)</f>
        <v xml:space="preserve">Purchased Electricity </v>
      </c>
      <c r="D7" s="781">
        <f ca="1">OFFSET(Sheet2!$B$3,0,B7)</f>
        <v>89079.489590278681</v>
      </c>
      <c r="E7" s="781">
        <f ca="1">SUM($D$6:D7)</f>
        <v>94287.225033474446</v>
      </c>
      <c r="G7" s="781">
        <f ca="1">IF(AND(E7&lt;0,E6&lt;0),MAX(E6:E7),0)</f>
        <v>0</v>
      </c>
      <c r="H7" s="781">
        <f t="shared" ca="1" si="0"/>
        <v>0</v>
      </c>
      <c r="I7" s="781">
        <f ca="1">IF(AND(E6&lt;0,D7&gt;0),MAX(-D7,E6),0)</f>
        <v>0</v>
      </c>
      <c r="J7" s="781">
        <f ca="1">IF(AND(E7&gt;0,E6&gt;0),MIN(E6:E7),0)</f>
        <v>5207.7354431957592</v>
      </c>
      <c r="K7" s="781">
        <f ca="1">IF(AND(E6&gt;0,D7&lt;0),MIN(-D7,E6),0)</f>
        <v>0</v>
      </c>
      <c r="L7" s="781">
        <f ca="1">IF(AND(E7&gt;0,D7&gt;0),MIN(D7,E7),0)</f>
        <v>89079.489590278681</v>
      </c>
      <c r="M7" s="781">
        <f t="shared" ca="1" si="1"/>
        <v>94287.225033474446</v>
      </c>
    </row>
    <row r="8" spans="2:13">
      <c r="B8" s="10">
        <v>4</v>
      </c>
      <c r="C8" s="782" t="str">
        <f ca="1">OFFSET(Sheet2!$B$2,0,B8)</f>
        <v>Purchased Steam</v>
      </c>
      <c r="D8" s="781">
        <f ca="1">OFFSET(Sheet2!$B$3,0,B8)</f>
        <v>72972.699494945773</v>
      </c>
      <c r="E8" s="781">
        <f ca="1">SUM($D$6:D8)</f>
        <v>167259.9245284202</v>
      </c>
      <c r="G8" s="781">
        <f ca="1">IF(AND(E8&lt;0,E7&lt;0),MAX(E7:E8),0)</f>
        <v>0</v>
      </c>
      <c r="H8" s="781">
        <f t="shared" ca="1" si="0"/>
        <v>0</v>
      </c>
      <c r="I8" s="781">
        <f ca="1">IF(AND(E7&lt;0,D8&gt;0),MAX(-D8,E7),0)</f>
        <v>0</v>
      </c>
      <c r="J8" s="781">
        <f t="shared" ref="J8:J19" ca="1" si="2">IF(AND(E8&gt;0,E7&gt;0),MIN(E7:E8),0)</f>
        <v>94287.225033474446</v>
      </c>
      <c r="K8" s="781">
        <f t="shared" ref="K8:K19" ca="1" si="3">IF(AND(E7&gt;0,D8&lt;0),MIN(-D8,E7),0)</f>
        <v>0</v>
      </c>
      <c r="L8" s="781">
        <f t="shared" ref="L8:L19" ca="1" si="4">IF(AND(E8&gt;0,D8&gt;0),MIN(D8,E8),0)</f>
        <v>72972.699494945773</v>
      </c>
      <c r="M8" s="781">
        <f t="shared" ca="1" si="1"/>
        <v>167259.9245284202</v>
      </c>
    </row>
    <row r="9" spans="2:13">
      <c r="B9" s="10">
        <v>5</v>
      </c>
      <c r="C9" s="782" t="str">
        <f ca="1">OFFSET(Sheet2!$B$2,0,B9)</f>
        <v>Purchased Chilled Water</v>
      </c>
      <c r="D9" s="781">
        <f ca="1">OFFSET(Sheet2!$B$3,0,B9)</f>
        <v>20950.933162406443</v>
      </c>
      <c r="E9" s="781">
        <f ca="1">SUM($D$6:D9)</f>
        <v>188210.85769082664</v>
      </c>
      <c r="G9" s="781">
        <f ca="1">IF(AND(E9&lt;0,E5&lt;0),MAX(E5:E9),0)</f>
        <v>0</v>
      </c>
      <c r="H9" s="781">
        <f t="shared" ca="1" si="0"/>
        <v>0</v>
      </c>
      <c r="I9" s="781">
        <f ca="1">IF(AND(E5&lt;0,D9&gt;0),MAX(-D9,E5),0)</f>
        <v>0</v>
      </c>
      <c r="J9" s="781">
        <f t="shared" ca="1" si="2"/>
        <v>167259.9245284202</v>
      </c>
      <c r="K9" s="781">
        <f t="shared" ca="1" si="3"/>
        <v>0</v>
      </c>
      <c r="L9" s="781">
        <f t="shared" ca="1" si="4"/>
        <v>20950.933162406443</v>
      </c>
      <c r="M9" s="781">
        <f t="shared" ca="1" si="1"/>
        <v>188210.85769082664</v>
      </c>
    </row>
    <row r="10" spans="2:13">
      <c r="B10" s="10">
        <v>12</v>
      </c>
      <c r="C10" s="782" t="str">
        <f ca="1">OFFSET(Sheet2!$B$2,0,B10)</f>
        <v>SCOPE 2 T&amp;D LOSSES</v>
      </c>
      <c r="D10" s="781">
        <f ca="1">OFFSET(Sheet2!$B$3,0,B10)</f>
        <v>13753.408497256623</v>
      </c>
      <c r="E10" s="781">
        <f ca="1">SUM($D$6:D10)</f>
        <v>201964.26618808327</v>
      </c>
      <c r="G10" s="781">
        <f ca="1">IF(AND(E10&lt;0,E6&lt;0),MAX(E6:E10),0)</f>
        <v>0</v>
      </c>
      <c r="H10" s="781">
        <f t="shared" ca="1" si="0"/>
        <v>0</v>
      </c>
      <c r="I10" s="781">
        <f ca="1">IF(AND(E6&lt;0,D10&gt;0),MAX(-D10,E6),0)</f>
        <v>0</v>
      </c>
      <c r="J10" s="781">
        <f t="shared" ca="1" si="2"/>
        <v>188210.85769082664</v>
      </c>
      <c r="K10" s="781">
        <f t="shared" ca="1" si="3"/>
        <v>0</v>
      </c>
      <c r="L10" s="781">
        <f t="shared" ca="1" si="4"/>
        <v>13753.408497256623</v>
      </c>
      <c r="M10" s="781">
        <f t="shared" ca="1" si="1"/>
        <v>201964.26618808327</v>
      </c>
    </row>
    <row r="11" spans="2:13">
      <c r="B11" s="10">
        <v>6</v>
      </c>
      <c r="C11" s="782" t="str">
        <f ca="1">OFFSET(Sheet2!$B$2,0,B11)</f>
        <v>FACULTY/STAFF COMMUTING</v>
      </c>
      <c r="D11" s="781">
        <f ca="1">OFFSET(Sheet2!$B$3,0,B11)</f>
        <v>9334.7025776336595</v>
      </c>
      <c r="E11" s="781">
        <f ca="1">SUM($D$6:D11)</f>
        <v>211298.96876571694</v>
      </c>
      <c r="G11" s="781">
        <f ca="1">IF(AND(E11&lt;0,E7&lt;0),MAX(E7:E11),0)</f>
        <v>0</v>
      </c>
      <c r="H11" s="781">
        <f t="shared" ca="1" si="0"/>
        <v>0</v>
      </c>
      <c r="I11" s="781">
        <f ca="1">IF(AND(E7&lt;0,D11&gt;0),MAX(-D11,E7),0)</f>
        <v>0</v>
      </c>
      <c r="J11" s="781">
        <f t="shared" ca="1" si="2"/>
        <v>201964.26618808327</v>
      </c>
      <c r="K11" s="781">
        <f t="shared" ca="1" si="3"/>
        <v>0</v>
      </c>
      <c r="L11" s="781">
        <f t="shared" ca="1" si="4"/>
        <v>9334.7025776336595</v>
      </c>
      <c r="M11" s="781">
        <f t="shared" ca="1" si="1"/>
        <v>211298.96876571694</v>
      </c>
    </row>
    <row r="12" spans="2:13">
      <c r="B12" s="10">
        <v>7</v>
      </c>
      <c r="C12" s="782" t="str">
        <f ca="1">OFFSET(Sheet2!$B$2,0,B12)</f>
        <v>STUDENT COMMUTING</v>
      </c>
      <c r="D12" s="781">
        <f ca="1">OFFSET(Sheet2!$B$3,0,B12)</f>
        <v>6811.6959846795144</v>
      </c>
      <c r="E12" s="781">
        <f ca="1">SUM($D$6:D12)</f>
        <v>218110.66475039645</v>
      </c>
      <c r="G12" s="781">
        <f ca="1">IF(AND(E12&lt;0,E8&lt;0),MAX(E8:E12),0)</f>
        <v>0</v>
      </c>
      <c r="H12" s="781">
        <f t="shared" ca="1" si="0"/>
        <v>0</v>
      </c>
      <c r="I12" s="781">
        <f ca="1">IF(AND(E8&lt;0,D12&gt;0),MAX(-D12,E8),0)</f>
        <v>0</v>
      </c>
      <c r="J12" s="781">
        <f t="shared" ca="1" si="2"/>
        <v>211298.96876571694</v>
      </c>
      <c r="K12" s="781">
        <f t="shared" ca="1" si="3"/>
        <v>0</v>
      </c>
      <c r="L12" s="781">
        <f t="shared" ca="1" si="4"/>
        <v>6811.6959846795144</v>
      </c>
      <c r="M12" s="781">
        <f t="shared" ca="1" si="1"/>
        <v>218110.66475039645</v>
      </c>
    </row>
    <row r="13" spans="2:13">
      <c r="B13" s="10">
        <v>8</v>
      </c>
      <c r="C13" s="782" t="str">
        <f ca="1">OFFSET(Sheet2!$B$2,0,B13)</f>
        <v>Air Travel</v>
      </c>
      <c r="D13" s="781">
        <f ca="1">OFFSET(Sheet2!$B$3,0,B13)</f>
        <v>27866.404193550476</v>
      </c>
      <c r="E13" s="781">
        <f ca="1">SUM($D$6:D13)</f>
        <v>245977.06894394691</v>
      </c>
      <c r="G13" s="781">
        <f ca="1">IF(AND(E13&lt;0,E12&lt;0),MAX(E12:E13),0)</f>
        <v>0</v>
      </c>
      <c r="H13" s="781">
        <f t="shared" ca="1" si="0"/>
        <v>0</v>
      </c>
      <c r="I13" s="781">
        <f ca="1">IF(AND(E12&lt;0,D13&gt;0),MAX(-D13,E12),0)</f>
        <v>0</v>
      </c>
      <c r="J13" s="781">
        <f t="shared" ca="1" si="2"/>
        <v>218110.66475039645</v>
      </c>
      <c r="K13" s="781">
        <f t="shared" ca="1" si="3"/>
        <v>0</v>
      </c>
      <c r="L13" s="781">
        <f t="shared" ca="1" si="4"/>
        <v>27866.404193550476</v>
      </c>
      <c r="M13" s="781">
        <f t="shared" ca="1" si="1"/>
        <v>245977.06894394691</v>
      </c>
    </row>
    <row r="14" spans="2:13">
      <c r="B14" s="10">
        <v>2</v>
      </c>
      <c r="C14" s="782" t="str">
        <f ca="1">OFFSET(Sheet2!$B$2,0,B14)</f>
        <v>Mobile Combustion (Fleet)</v>
      </c>
      <c r="D14" s="781">
        <f ca="1">OFFSET(Sheet2!$B$3,0,B14)</f>
        <v>565.36266971264968</v>
      </c>
      <c r="E14" s="781">
        <f ca="1">SUM($D$6:D14)</f>
        <v>246542.43161365957</v>
      </c>
      <c r="G14" s="781">
        <f ca="1">IF(AND(E14&lt;0,E13&lt;0),MAX(E13:E14),0)</f>
        <v>0</v>
      </c>
      <c r="H14" s="781">
        <f t="shared" ca="1" si="0"/>
        <v>0</v>
      </c>
      <c r="I14" s="781">
        <f ca="1">IF(AND(E13&lt;0,D14&gt;0),MAX(-D14,E13),0)</f>
        <v>0</v>
      </c>
      <c r="J14" s="781">
        <f t="shared" ca="1" si="2"/>
        <v>245977.06894394691</v>
      </c>
      <c r="K14" s="781">
        <f t="shared" ca="1" si="3"/>
        <v>0</v>
      </c>
      <c r="L14" s="781">
        <f t="shared" ca="1" si="4"/>
        <v>565.36266971264968</v>
      </c>
      <c r="M14" s="781">
        <f t="shared" ca="1" si="1"/>
        <v>246542.43161365957</v>
      </c>
    </row>
    <row r="15" spans="2:13">
      <c r="B15" s="10">
        <v>1</v>
      </c>
      <c r="C15" s="782" t="str">
        <f ca="1">OFFSET(Sheet2!$B$2,0,B15)</f>
        <v>Refrigerants and Other Chemicals</v>
      </c>
      <c r="D15" s="781">
        <f ca="1">OFFSET(Sheet2!$B$3,0,B15)</f>
        <v>13396.693307531941</v>
      </c>
      <c r="E15" s="781">
        <f ca="1">SUM($D$6:D15)</f>
        <v>259939.12492119151</v>
      </c>
      <c r="G15" s="781">
        <f ca="1">IF(AND(E15&lt;0,E14&lt;0),MAX(E14:E15),0)</f>
        <v>0</v>
      </c>
      <c r="H15" s="781">
        <f t="shared" ca="1" si="0"/>
        <v>0</v>
      </c>
      <c r="I15" s="781">
        <f ca="1">IF(AND(E14&lt;0,D15&gt;0),MAX(-D15,E14),0)</f>
        <v>0</v>
      </c>
      <c r="J15" s="781">
        <f t="shared" ca="1" si="2"/>
        <v>246542.43161365957</v>
      </c>
      <c r="K15" s="781">
        <f t="shared" ca="1" si="3"/>
        <v>0</v>
      </c>
      <c r="L15" s="781">
        <f t="shared" ca="1" si="4"/>
        <v>13396.693307531941</v>
      </c>
      <c r="M15" s="781">
        <f t="shared" ca="1" si="1"/>
        <v>259939.12492119151</v>
      </c>
    </row>
    <row r="16" spans="2:13">
      <c r="B16" s="10">
        <v>9</v>
      </c>
      <c r="C16" s="782" t="str">
        <f ca="1">OFFSET(Sheet2!$B$2,0,B16)</f>
        <v>SOLID WASTE</v>
      </c>
      <c r="D16" s="781">
        <f ca="1">OFFSET(Sheet2!$B$3,0,B16)</f>
        <v>2521.2314285714288</v>
      </c>
      <c r="E16" s="781">
        <f ca="1">SUM($D$6:D16)</f>
        <v>262460.35634976294</v>
      </c>
      <c r="G16" s="781">
        <f ca="1">IF(AND(E16&lt;0,E13&lt;0),MAX(E13:E16),0)</f>
        <v>0</v>
      </c>
      <c r="H16" s="781">
        <f t="shared" ca="1" si="0"/>
        <v>0</v>
      </c>
      <c r="I16" s="781">
        <f ca="1">IF(AND(E13&lt;0,D16&gt;0),MAX(-D16,E13),0)</f>
        <v>0</v>
      </c>
      <c r="J16" s="781">
        <f t="shared" ca="1" si="2"/>
        <v>259939.12492119151</v>
      </c>
      <c r="K16" s="781">
        <f t="shared" ca="1" si="3"/>
        <v>0</v>
      </c>
      <c r="L16" s="781">
        <f t="shared" ca="1" si="4"/>
        <v>2521.2314285714288</v>
      </c>
      <c r="M16" s="781">
        <f t="shared" ca="1" si="1"/>
        <v>262460.35634976294</v>
      </c>
    </row>
    <row r="17" spans="2:13">
      <c r="B17" s="10">
        <v>10</v>
      </c>
      <c r="C17" s="782" t="str">
        <f ca="1">OFFSET(Sheet2!$B$2,0,B17)</f>
        <v>WASTEWATER</v>
      </c>
      <c r="D17" s="781">
        <f ca="1">OFFSET(Sheet2!$B$3,0,B17)</f>
        <v>129.49164152832</v>
      </c>
      <c r="E17" s="781">
        <f ca="1">SUM($D$6:D17)</f>
        <v>262589.84799129126</v>
      </c>
      <c r="G17" s="781">
        <f ca="1">IF(AND(E17&lt;0,E14&lt;0),MAX(E14:E17),0)</f>
        <v>0</v>
      </c>
      <c r="H17" s="781">
        <f t="shared" ca="1" si="0"/>
        <v>0</v>
      </c>
      <c r="I17" s="781">
        <f ca="1">IF(AND(E14&lt;0,D17&gt;0),MAX(-D17,E14),0)</f>
        <v>0</v>
      </c>
      <c r="J17" s="781">
        <f t="shared" ca="1" si="2"/>
        <v>262460.35634976294</v>
      </c>
      <c r="K17" s="781">
        <f t="shared" ca="1" si="3"/>
        <v>0</v>
      </c>
      <c r="L17" s="781">
        <f t="shared" ca="1" si="4"/>
        <v>129.49164152832</v>
      </c>
      <c r="M17" s="781">
        <f t="shared" ca="1" si="1"/>
        <v>262589.84799129126</v>
      </c>
    </row>
    <row r="18" spans="2:13">
      <c r="B18" s="10">
        <v>11</v>
      </c>
      <c r="C18" s="782" t="str">
        <f ca="1">OFFSET(Sheet2!$B$2,0,B18)</f>
        <v>PAPER PURCHASING</v>
      </c>
      <c r="D18" s="781">
        <f ca="1">OFFSET(Sheet2!$B$3,0,B18)</f>
        <v>760.25013534000004</v>
      </c>
      <c r="E18" s="781">
        <f ca="1">SUM($D$6:D18)</f>
        <v>263350.09812663123</v>
      </c>
      <c r="G18" s="781">
        <f ca="1">IF(AND(E18&lt;0,E14&lt;0),MAX(E14:E18),0)</f>
        <v>0</v>
      </c>
      <c r="H18" s="781">
        <f t="shared" ca="1" si="0"/>
        <v>0</v>
      </c>
      <c r="I18" s="781">
        <f ca="1">IF(AND(E14&lt;0,D18&gt;0),MAX(-D18,E14),0)</f>
        <v>0</v>
      </c>
      <c r="J18" s="781">
        <f t="shared" ca="1" si="2"/>
        <v>262589.84799129126</v>
      </c>
      <c r="K18" s="781">
        <f t="shared" ca="1" si="3"/>
        <v>0</v>
      </c>
      <c r="L18" s="781">
        <f t="shared" ca="1" si="4"/>
        <v>760.25013534000004</v>
      </c>
      <c r="M18" s="781">
        <f t="shared" ca="1" si="1"/>
        <v>263350.09812663123</v>
      </c>
    </row>
    <row r="19" spans="2:13">
      <c r="B19" s="10">
        <v>13</v>
      </c>
      <c r="C19" s="782" t="str">
        <f ca="1">OFFSET(Sheet2!$B$2,0,B19)</f>
        <v>SEQUESTRATION</v>
      </c>
      <c r="D19" s="781">
        <f ca="1">OFFSET(Sheet2!$B$3,0,B19)</f>
        <v>-131.6682254090158</v>
      </c>
      <c r="E19" s="781">
        <f ca="1">SUM($D$6:D19)</f>
        <v>263218.42990122223</v>
      </c>
      <c r="G19" s="781">
        <f ca="1">IF(AND(E19&lt;0,E15&lt;0),MAX(E15:E19),0)</f>
        <v>0</v>
      </c>
      <c r="H19" s="781">
        <f t="shared" ca="1" si="0"/>
        <v>0</v>
      </c>
      <c r="I19" s="781">
        <f ca="1">IF(AND(E15&lt;0,D19&gt;0),MAX(-D19,E15),0)</f>
        <v>0</v>
      </c>
      <c r="J19" s="781">
        <f t="shared" ca="1" si="2"/>
        <v>263218.42990122223</v>
      </c>
      <c r="K19" s="781">
        <f t="shared" ca="1" si="3"/>
        <v>131.6682254090158</v>
      </c>
      <c r="L19" s="781">
        <f t="shared" ca="1" si="4"/>
        <v>0</v>
      </c>
      <c r="M19" s="781">
        <f t="shared" ca="1" si="1"/>
        <v>263350.09812663123</v>
      </c>
    </row>
    <row r="20" spans="2:13" hidden="1">
      <c r="D20" s="781"/>
      <c r="E20" s="781">
        <f ca="1">SUM($D$6:D20)</f>
        <v>263218.42990122223</v>
      </c>
      <c r="G20" s="781">
        <f ca="1">IF(AND(E20&lt;0,E19&lt;0),MAX(E19:E20),0)</f>
        <v>0</v>
      </c>
      <c r="H20" s="781">
        <f t="shared" ca="1" si="0"/>
        <v>0</v>
      </c>
      <c r="I20" s="781">
        <f ca="1">IF(AND(E19&lt;0,D20&gt;0),MAX(-D20,E19),0)</f>
        <v>0</v>
      </c>
      <c r="J20" s="781">
        <f ca="1">IF(AND(E20&gt;0,E19&gt;0),MIN(E19:E20),0)</f>
        <v>263218.42990122223</v>
      </c>
      <c r="K20" s="781">
        <f ca="1">IF(AND(E19&gt;0,D20&lt;0),MIN(-D20,E19),0)</f>
        <v>0</v>
      </c>
      <c r="L20" s="781">
        <f ca="1">IF(AND(E20&gt;0,D20&gt;0),MIN(D20,E20),0)</f>
        <v>0</v>
      </c>
      <c r="M20" s="781">
        <f t="shared" ca="1" si="1"/>
        <v>263218.42990122223</v>
      </c>
    </row>
    <row r="21" spans="2:13" hidden="1">
      <c r="D21" s="781"/>
      <c r="E21" s="781">
        <f ca="1">SUM($D$6:D21)</f>
        <v>263218.42990122223</v>
      </c>
      <c r="G21" s="781">
        <f ca="1">IF(AND(E21&lt;0,E20&lt;0),MAX(E20:E21),0)</f>
        <v>0</v>
      </c>
      <c r="H21" s="781">
        <f t="shared" ca="1" si="0"/>
        <v>0</v>
      </c>
      <c r="I21" s="781">
        <f ca="1">IF(AND(E20&lt;0,D21&gt;0),MAX(-D21,E20),0)</f>
        <v>0</v>
      </c>
      <c r="J21" s="781">
        <f ca="1">IF(AND(E21&gt;0,E20&gt;0),MIN(E20:E21),0)</f>
        <v>263218.42990122223</v>
      </c>
      <c r="K21" s="781">
        <f ca="1">IF(AND(E20&gt;0,D21&lt;0),MIN(-D21,E20),0)</f>
        <v>0</v>
      </c>
      <c r="L21" s="781">
        <f ca="1">IF(AND(E21&gt;0,D21&gt;0),MIN(D21,E21),0)</f>
        <v>0</v>
      </c>
      <c r="M21" s="781">
        <f t="shared" ca="1" si="1"/>
        <v>263218.42990122223</v>
      </c>
    </row>
    <row r="22" spans="2:13" hidden="1">
      <c r="D22" s="781"/>
      <c r="E22" s="781">
        <f ca="1">SUM($D$6:D22)</f>
        <v>263218.42990122223</v>
      </c>
      <c r="G22" s="781">
        <f ca="1">IF(AND(E22&lt;0,E21&lt;0),MAX(E21:E22),0)</f>
        <v>0</v>
      </c>
      <c r="H22" s="781">
        <f t="shared" ca="1" si="0"/>
        <v>0</v>
      </c>
      <c r="I22" s="781">
        <f ca="1">IF(AND(E21&lt;0,D22&gt;0),MAX(-D22,E21),0)</f>
        <v>0</v>
      </c>
      <c r="J22" s="781">
        <f ca="1">IF(AND(E22&gt;0,E21&gt;0),MIN(E21:E22),0)</f>
        <v>263218.42990122223</v>
      </c>
      <c r="K22" s="781">
        <f ca="1">IF(AND(E21&gt;0,D22&lt;0),MIN(-D22,E21),0)</f>
        <v>0</v>
      </c>
      <c r="L22" s="781">
        <f ca="1">IF(AND(E22&gt;0,D22&gt;0),MIN(D22,E22),0)</f>
        <v>0</v>
      </c>
      <c r="M22" s="781">
        <f t="shared" ca="1" si="1"/>
        <v>263218.42990122223</v>
      </c>
    </row>
    <row r="23" spans="2:13" hidden="1">
      <c r="D23" s="781"/>
      <c r="E23" s="781">
        <f ca="1">SUM($D$6:D23)</f>
        <v>263218.42990122223</v>
      </c>
      <c r="G23" s="781">
        <f ca="1">IF(AND(E23&lt;0,E22&lt;0),MAX(E22:E23),0)</f>
        <v>0</v>
      </c>
      <c r="H23" s="781">
        <f t="shared" ca="1" si="0"/>
        <v>0</v>
      </c>
      <c r="I23" s="781">
        <f ca="1">IF(AND(E22&lt;0,D23&gt;0),MAX(-D23,E22),0)</f>
        <v>0</v>
      </c>
      <c r="J23" s="781">
        <f ca="1">IF(AND(E23&gt;0,E22&gt;0),MIN(E22:E23),0)</f>
        <v>263218.42990122223</v>
      </c>
      <c r="K23" s="781">
        <f ca="1">IF(AND(E22&gt;0,D23&lt;0),MIN(-D23,E22),0)</f>
        <v>0</v>
      </c>
      <c r="L23" s="781">
        <f ca="1">IF(AND(E23&gt;0,D23&gt;0),MIN(D23,E23),0)</f>
        <v>0</v>
      </c>
      <c r="M23" s="781">
        <f t="shared" ca="1" si="1"/>
        <v>263218.42990122223</v>
      </c>
    </row>
    <row r="24" spans="2:13">
      <c r="C24" s="10" t="s">
        <v>578</v>
      </c>
      <c r="D24" s="781">
        <f ca="1">SUM(D6:D23)</f>
        <v>263218.42990122223</v>
      </c>
      <c r="F24" s="782">
        <f ca="1">D24</f>
        <v>263218.42990122223</v>
      </c>
      <c r="M24" s="781">
        <f ca="1">F24</f>
        <v>263218.42990122223</v>
      </c>
    </row>
    <row r="26" spans="2:13">
      <c r="C26" s="10" t="s">
        <v>611</v>
      </c>
    </row>
    <row r="28" spans="2:13">
      <c r="C28" s="10" t="str">
        <f>"Net GHG Emissions: "&amp;E2&amp;" - "&amp;E3</f>
        <v>Net GHG Emissions: Case Western Reserve University - 2009</v>
      </c>
    </row>
  </sheetData>
  <mergeCells count="2">
    <mergeCell ref="E2:H2"/>
    <mergeCell ref="E3:H3"/>
  </mergeCells>
  <dataValidations count="1">
    <dataValidation type="list" allowBlank="1" showInputMessage="1" showErrorMessage="1" sqref="E3:H3">
      <formula1>Years</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sheetPr codeName="Sheet15"/>
  <dimension ref="A1:P8"/>
  <sheetViews>
    <sheetView workbookViewId="0">
      <selection activeCell="C12" sqref="C12"/>
    </sheetView>
  </sheetViews>
  <sheetFormatPr defaultRowHeight="15"/>
  <cols>
    <col min="2" max="16" width="12.5703125" customWidth="1"/>
  </cols>
  <sheetData>
    <row r="1" spans="1:16">
      <c r="B1" s="1545" t="s">
        <v>261</v>
      </c>
      <c r="C1" s="1546"/>
      <c r="D1" s="1546"/>
      <c r="E1" s="1547" t="s">
        <v>262</v>
      </c>
      <c r="F1" s="1549"/>
      <c r="G1" s="1550"/>
      <c r="H1" s="1546" t="s">
        <v>558</v>
      </c>
      <c r="I1" s="1546"/>
      <c r="J1" s="1546"/>
      <c r="K1" s="1547"/>
      <c r="L1" s="1547"/>
      <c r="M1" s="1547"/>
      <c r="N1" s="1547"/>
      <c r="O1" s="1548"/>
    </row>
    <row r="2" spans="1:16" ht="45">
      <c r="A2" s="794" t="s">
        <v>359</v>
      </c>
      <c r="B2" s="793" t="s">
        <v>627</v>
      </c>
      <c r="C2" s="793" t="s">
        <v>626</v>
      </c>
      <c r="D2" s="793" t="s">
        <v>625</v>
      </c>
      <c r="E2" s="792" t="s">
        <v>624</v>
      </c>
      <c r="F2" s="792" t="s">
        <v>605</v>
      </c>
      <c r="G2" s="792" t="s">
        <v>628</v>
      </c>
      <c r="H2" s="792" t="str">
        <f>'GHG Emissions'!N3</f>
        <v>FACULTY/STAFF COMMUTING</v>
      </c>
      <c r="I2" s="792" t="str">
        <f>'GHG Emissions'!O3</f>
        <v>STUDENT COMMUTING</v>
      </c>
      <c r="J2" s="792" t="s">
        <v>424</v>
      </c>
      <c r="K2" s="792" t="str">
        <f>'GHG Emissions'!Q3</f>
        <v>SOLID WASTE</v>
      </c>
      <c r="L2" s="792" t="str">
        <f>'GHG Emissions'!R3</f>
        <v>WASTEWATER</v>
      </c>
      <c r="M2" s="792" t="str">
        <f>'GHG Emissions'!S3</f>
        <v>PAPER PURCHASING</v>
      </c>
      <c r="N2" s="792" t="str">
        <f>'GHG Emissions'!T3</f>
        <v>SCOPE 2 T&amp;D LOSSES</v>
      </c>
      <c r="O2" s="792" t="str">
        <f>'GHG Emissions'!V3</f>
        <v>SEQUESTRATION</v>
      </c>
      <c r="P2" s="791" t="s">
        <v>164</v>
      </c>
    </row>
    <row r="3" spans="1:16">
      <c r="A3" s="790">
        <v>2009</v>
      </c>
      <c r="B3" s="789">
        <f ca="1">'GHG Emissions'!C11+'GHG Emissions'!E11</f>
        <v>5207.7354431957592</v>
      </c>
      <c r="C3" s="789">
        <f ca="1">'GHG Emissions'!D11+'GHG Emissions'!H11</f>
        <v>13396.693307531941</v>
      </c>
      <c r="D3" s="789">
        <f ca="1">'GHG Emissions'!F11+'GHG Emissions'!G11</f>
        <v>565.36266971264968</v>
      </c>
      <c r="E3" s="789">
        <f ca="1">'GHG Emissions'!J11</f>
        <v>89079.489590278681</v>
      </c>
      <c r="F3" s="789">
        <f ca="1">'GHG Emissions'!K11</f>
        <v>72972.699494945773</v>
      </c>
      <c r="G3" s="789">
        <f ca="1">'GHG Emissions'!L11</f>
        <v>20950.933162406443</v>
      </c>
      <c r="H3" s="789">
        <f ca="1">'GHG Emissions'!N11</f>
        <v>9334.7025776336595</v>
      </c>
      <c r="I3" s="789">
        <f ca="1">'GHG Emissions'!O11</f>
        <v>6811.6959846795144</v>
      </c>
      <c r="J3" s="789">
        <f ca="1">'GHG Emissions'!P11</f>
        <v>27866.404193550476</v>
      </c>
      <c r="K3" s="789">
        <f ca="1">'GHG Emissions'!Q11</f>
        <v>2521.2314285714288</v>
      </c>
      <c r="L3" s="789">
        <f ca="1">'GHG Emissions'!R11</f>
        <v>129.49164152832</v>
      </c>
      <c r="M3" s="789">
        <f ca="1">'GHG Emissions'!S11</f>
        <v>760.25013534000004</v>
      </c>
      <c r="N3" s="789">
        <f ca="1">'GHG Emissions'!T11</f>
        <v>13753.408497256623</v>
      </c>
      <c r="O3" s="789">
        <f ca="1">'GHG Emissions'!V11</f>
        <v>-131.6682254090158</v>
      </c>
      <c r="P3" s="789">
        <f ca="1">'GHG Emissions'!W11</f>
        <v>263218.42990122229</v>
      </c>
    </row>
    <row r="4" spans="1:16">
      <c r="A4" s="790">
        <v>2010</v>
      </c>
      <c r="B4" s="789"/>
      <c r="C4" s="789"/>
      <c r="D4" s="789"/>
      <c r="E4" s="789"/>
      <c r="F4" s="789"/>
      <c r="G4" s="789"/>
      <c r="H4" s="789"/>
      <c r="I4" s="789"/>
      <c r="J4" s="789"/>
      <c r="K4" s="789"/>
      <c r="L4" s="789"/>
      <c r="M4" s="789"/>
      <c r="N4" s="789"/>
      <c r="O4" s="789"/>
      <c r="P4" s="789"/>
    </row>
    <row r="5" spans="1:16">
      <c r="A5" s="788">
        <v>2020</v>
      </c>
      <c r="B5" s="787"/>
      <c r="C5" s="787"/>
      <c r="D5" s="787"/>
      <c r="E5" s="787"/>
      <c r="F5" s="787"/>
      <c r="G5" s="787"/>
      <c r="H5" s="787"/>
      <c r="I5" s="787"/>
      <c r="J5" s="787"/>
      <c r="K5" s="787"/>
      <c r="L5" s="787"/>
      <c r="M5" s="787"/>
      <c r="N5" s="787"/>
      <c r="O5" s="787"/>
      <c r="P5" s="787"/>
    </row>
    <row r="6" spans="1:16">
      <c r="A6" s="786">
        <v>2030</v>
      </c>
      <c r="B6" s="785"/>
      <c r="C6" s="785"/>
      <c r="D6" s="785"/>
      <c r="E6" s="785"/>
      <c r="F6" s="785"/>
      <c r="G6" s="785"/>
      <c r="H6" s="785"/>
      <c r="I6" s="785"/>
      <c r="J6" s="785"/>
      <c r="K6" s="785"/>
      <c r="L6" s="785"/>
      <c r="M6" s="785"/>
      <c r="N6" s="785"/>
      <c r="O6" s="785"/>
      <c r="P6" s="785"/>
    </row>
    <row r="7" spans="1:16">
      <c r="A7" s="788">
        <v>2040</v>
      </c>
      <c r="B7" s="787"/>
      <c r="C7" s="787"/>
      <c r="D7" s="787"/>
      <c r="E7" s="787"/>
      <c r="F7" s="787"/>
      <c r="G7" s="787"/>
      <c r="H7" s="787"/>
      <c r="I7" s="787"/>
      <c r="J7" s="787"/>
      <c r="K7" s="787"/>
      <c r="L7" s="787"/>
      <c r="M7" s="787"/>
      <c r="N7" s="787"/>
      <c r="O7" s="787"/>
      <c r="P7" s="787"/>
    </row>
    <row r="8" spans="1:16">
      <c r="A8" s="786">
        <v>2050</v>
      </c>
      <c r="B8" s="785"/>
      <c r="C8" s="785"/>
      <c r="D8" s="785"/>
      <c r="E8" s="785"/>
      <c r="F8" s="785"/>
      <c r="G8" s="785"/>
      <c r="H8" s="785"/>
      <c r="I8" s="785"/>
      <c r="J8" s="785"/>
      <c r="K8" s="785"/>
      <c r="L8" s="785"/>
      <c r="M8" s="785"/>
      <c r="N8" s="785"/>
      <c r="O8" s="785"/>
      <c r="P8" s="785"/>
    </row>
  </sheetData>
  <mergeCells count="3">
    <mergeCell ref="B1:D1"/>
    <mergeCell ref="H1:O1"/>
    <mergeCell ref="E1:G1"/>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5"/>
  <dimension ref="B1:AC53"/>
  <sheetViews>
    <sheetView zoomScale="85" zoomScaleNormal="85" workbookViewId="0">
      <pane xSplit="2" ySplit="5" topLeftCell="C6" activePane="bottomRight" state="frozen"/>
      <selection sqref="A1:N1"/>
      <selection pane="topRight" sqref="A1:N1"/>
      <selection pane="bottomLeft" sqref="A1:N1"/>
      <selection pane="bottomRight" activeCell="A4" sqref="A4"/>
    </sheetView>
  </sheetViews>
  <sheetFormatPr defaultRowHeight="15" outlineLevelRow="2"/>
  <cols>
    <col min="1" max="1" width="13" style="10" customWidth="1"/>
    <col min="2" max="2" width="9.140625" style="8"/>
    <col min="3" max="4" width="12.28515625" style="10" customWidth="1"/>
    <col min="5" max="5" width="12.28515625" style="16" customWidth="1"/>
    <col min="6" max="7" width="12.28515625" style="10" customWidth="1"/>
    <col min="8" max="9" width="12.28515625" style="16" customWidth="1"/>
    <col min="10" max="10" width="9.140625" style="8" customWidth="1"/>
    <col min="11" max="11" width="9.140625" style="10" customWidth="1"/>
    <col min="12" max="12" width="8.42578125" style="10" customWidth="1"/>
    <col min="13" max="13" width="24.85546875" style="10" customWidth="1"/>
    <col min="14" max="16" width="9.140625" style="10" customWidth="1"/>
    <col min="17" max="17" width="9.140625" style="10"/>
    <col min="18" max="18" width="20.140625" style="10" customWidth="1"/>
    <col min="19" max="21" width="10.7109375" style="10" customWidth="1"/>
    <col min="22" max="22" width="11.85546875" style="10" customWidth="1"/>
    <col min="23" max="24" width="8.5703125" style="10" customWidth="1"/>
    <col min="25" max="25" width="9.140625" style="10"/>
    <col min="26" max="26" width="11.140625" style="10" customWidth="1"/>
    <col min="27" max="16384" width="9.140625" style="10"/>
  </cols>
  <sheetData>
    <row r="1" spans="2:29" ht="17.25" customHeight="1" thickBot="1">
      <c r="V1" s="392" t="s">
        <v>438</v>
      </c>
    </row>
    <row r="2" spans="2:29">
      <c r="C2" s="1537" t="s">
        <v>6</v>
      </c>
      <c r="D2" s="1538"/>
      <c r="E2" s="1538"/>
      <c r="F2" s="1538"/>
      <c r="G2" s="1538"/>
      <c r="H2" s="1538"/>
      <c r="I2" s="1539"/>
      <c r="M2" s="9"/>
      <c r="N2" s="9"/>
      <c r="O2" s="9"/>
      <c r="P2" s="9"/>
      <c r="U2" s="393" t="s">
        <v>439</v>
      </c>
      <c r="V2" s="394">
        <f>B11</f>
        <v>2009</v>
      </c>
      <c r="W2" s="395">
        <f>$V$11</f>
        <v>9814</v>
      </c>
      <c r="X2" s="395">
        <f>$V$11</f>
        <v>9814</v>
      </c>
      <c r="Y2" s="395">
        <f>$V$11</f>
        <v>9814</v>
      </c>
      <c r="Z2" s="395">
        <f>$Z$11</f>
        <v>5044</v>
      </c>
      <c r="AA2" s="395">
        <f>$Z$11</f>
        <v>5044</v>
      </c>
      <c r="AB2" s="395">
        <f>$Z$11</f>
        <v>5044</v>
      </c>
      <c r="AC2" s="396">
        <f>$Z$11</f>
        <v>5044</v>
      </c>
    </row>
    <row r="3" spans="2:29">
      <c r="C3" s="1566" t="s">
        <v>4</v>
      </c>
      <c r="D3" s="1567"/>
      <c r="E3" s="1567"/>
      <c r="F3" s="1554" t="s">
        <v>589</v>
      </c>
      <c r="G3" s="1555"/>
      <c r="H3" s="1556"/>
      <c r="I3" s="1568" t="s">
        <v>2</v>
      </c>
      <c r="J3" s="1563" t="s">
        <v>27</v>
      </c>
      <c r="K3" s="17"/>
      <c r="L3" s="9"/>
      <c r="M3" s="9"/>
      <c r="N3" s="9"/>
      <c r="O3" s="9"/>
      <c r="P3" s="9"/>
      <c r="U3" s="397" t="s">
        <v>440</v>
      </c>
      <c r="V3" s="54">
        <f>B52</f>
        <v>2050</v>
      </c>
      <c r="W3" s="398">
        <f>$L$11</f>
        <v>10500</v>
      </c>
      <c r="X3" s="398">
        <f>$L$11</f>
        <v>10500</v>
      </c>
      <c r="Y3" s="398">
        <f>$L$11</f>
        <v>10500</v>
      </c>
      <c r="Z3" s="398"/>
      <c r="AA3" s="398">
        <f>$L$12</f>
        <v>5100</v>
      </c>
      <c r="AB3" s="398">
        <f>$L$12</f>
        <v>5100</v>
      </c>
      <c r="AC3" s="399">
        <f>$L$12</f>
        <v>5100</v>
      </c>
    </row>
    <row r="4" spans="2:29" ht="30">
      <c r="C4" s="1" t="s">
        <v>584</v>
      </c>
      <c r="D4" s="2" t="s">
        <v>585</v>
      </c>
      <c r="E4" s="6" t="s">
        <v>1</v>
      </c>
      <c r="F4" s="2" t="s">
        <v>586</v>
      </c>
      <c r="G4" s="2" t="s">
        <v>587</v>
      </c>
      <c r="H4" s="6" t="s">
        <v>5</v>
      </c>
      <c r="I4" s="1568"/>
      <c r="J4" s="1564"/>
      <c r="L4" s="20"/>
      <c r="M4" s="1561" t="s">
        <v>588</v>
      </c>
      <c r="N4" s="1562"/>
      <c r="O4" s="1562"/>
      <c r="U4" s="397" t="s">
        <v>441</v>
      </c>
      <c r="V4" s="54"/>
      <c r="W4" s="398">
        <f>(W3-W2)/(U52)^(1/W5)</f>
        <v>107.13520065558376</v>
      </c>
      <c r="X4" s="398">
        <f>(Y3-X2)/(V3-V2)</f>
        <v>16.73170731707317</v>
      </c>
      <c r="Y4" s="400">
        <f>(Y3-X2)/(U52)^Y5</f>
        <v>0.40809042236763832</v>
      </c>
      <c r="Z4" s="400"/>
      <c r="AA4" s="398">
        <f>(AA3-AA2)/(U52)^(1/AA5)</f>
        <v>8.7457306657619398</v>
      </c>
      <c r="AB4" s="398">
        <f>(AB3-AB2)/(V3-V2)</f>
        <v>1.3658536585365855</v>
      </c>
      <c r="AC4" s="401">
        <f>(AC3-AC2)/(U52)^AC5</f>
        <v>3.3313503866745982E-2</v>
      </c>
    </row>
    <row r="5" spans="2:29" ht="15.75" thickBot="1">
      <c r="B5" s="5" t="s">
        <v>3</v>
      </c>
      <c r="C5" s="4" t="s">
        <v>0</v>
      </c>
      <c r="D5" s="3" t="s">
        <v>0</v>
      </c>
      <c r="E5" s="7" t="s">
        <v>0</v>
      </c>
      <c r="F5" s="3" t="s">
        <v>0</v>
      </c>
      <c r="G5" s="3" t="s">
        <v>0</v>
      </c>
      <c r="H5" s="7" t="s">
        <v>0</v>
      </c>
      <c r="I5" s="42" t="s">
        <v>0</v>
      </c>
      <c r="J5" s="1565"/>
      <c r="U5" s="402" t="s">
        <v>442</v>
      </c>
      <c r="V5" s="403"/>
      <c r="W5" s="403">
        <f>O8</f>
        <v>2</v>
      </c>
      <c r="X5" s="403">
        <v>0</v>
      </c>
      <c r="Y5" s="403">
        <f>$O$10</f>
        <v>2</v>
      </c>
      <c r="Z5" s="403"/>
      <c r="AA5" s="403">
        <f>O8</f>
        <v>2</v>
      </c>
      <c r="AB5" s="403">
        <v>0</v>
      </c>
      <c r="AC5" s="404">
        <f>O10</f>
        <v>2</v>
      </c>
    </row>
    <row r="6" spans="2:29" hidden="1">
      <c r="B6" s="11">
        <v>2004</v>
      </c>
      <c r="C6" s="18"/>
      <c r="D6" s="18"/>
      <c r="E6" s="19"/>
      <c r="F6" s="18"/>
      <c r="G6" s="18"/>
      <c r="H6" s="19"/>
      <c r="I6" s="19"/>
      <c r="J6" s="43"/>
      <c r="L6" s="1557" t="s">
        <v>431</v>
      </c>
      <c r="M6" s="1558"/>
      <c r="N6" s="8"/>
      <c r="O6" s="772"/>
    </row>
    <row r="7" spans="2:29" hidden="1">
      <c r="B7" s="13">
        <v>2005</v>
      </c>
      <c r="C7" s="18"/>
      <c r="D7" s="18"/>
      <c r="E7" s="19"/>
      <c r="F7" s="18"/>
      <c r="G7" s="18"/>
      <c r="H7" s="19"/>
      <c r="I7" s="19"/>
      <c r="J7" s="43"/>
      <c r="L7" s="387" t="str">
        <f>IF(COUNTA(L8:L10)=0,"X","")</f>
        <v/>
      </c>
      <c r="M7" s="388" t="s">
        <v>432</v>
      </c>
      <c r="O7" s="773" t="s">
        <v>442</v>
      </c>
    </row>
    <row r="8" spans="2:29" hidden="1">
      <c r="B8" s="13">
        <v>2006</v>
      </c>
      <c r="C8" s="18"/>
      <c r="D8" s="18"/>
      <c r="E8" s="19"/>
      <c r="F8" s="18"/>
      <c r="G8" s="18"/>
      <c r="H8" s="19"/>
      <c r="I8" s="19"/>
      <c r="J8" s="43"/>
      <c r="L8" s="389" t="s">
        <v>347</v>
      </c>
      <c r="M8" s="388" t="s">
        <v>433</v>
      </c>
      <c r="O8" s="773">
        <v>2</v>
      </c>
    </row>
    <row r="9" spans="2:29" hidden="1">
      <c r="B9" s="13">
        <v>2007</v>
      </c>
      <c r="C9" s="18"/>
      <c r="D9" s="18"/>
      <c r="E9" s="19"/>
      <c r="F9" s="18"/>
      <c r="G9" s="18"/>
      <c r="H9" s="19"/>
      <c r="I9" s="19"/>
      <c r="J9" s="43"/>
      <c r="L9" s="389"/>
      <c r="M9" s="388" t="s">
        <v>434</v>
      </c>
      <c r="O9" s="773" t="s">
        <v>442</v>
      </c>
      <c r="V9" s="1551" t="s">
        <v>443</v>
      </c>
      <c r="W9" s="1552"/>
      <c r="X9" s="1552"/>
      <c r="Y9" s="1552"/>
      <c r="Z9" s="1552" t="s">
        <v>444</v>
      </c>
      <c r="AA9" s="1552"/>
      <c r="AB9" s="1552"/>
      <c r="AC9" s="1553"/>
    </row>
    <row r="10" spans="2:29">
      <c r="B10" s="13">
        <v>2008</v>
      </c>
      <c r="C10" s="18">
        <v>8672</v>
      </c>
      <c r="D10" s="18">
        <v>1212</v>
      </c>
      <c r="E10" s="19">
        <f>SUM(C10:D10)</f>
        <v>9884</v>
      </c>
      <c r="F10" s="18">
        <v>1742</v>
      </c>
      <c r="G10" s="18">
        <v>3254</v>
      </c>
      <c r="H10" s="19">
        <f>SUM(F10:G10)</f>
        <v>4996</v>
      </c>
      <c r="I10" s="19">
        <f>SUM(H10,E10)</f>
        <v>14880</v>
      </c>
      <c r="J10" s="43">
        <f>E10/H10</f>
        <v>1.9783827061649319</v>
      </c>
      <c r="L10" s="389"/>
      <c r="M10" s="388" t="s">
        <v>435</v>
      </c>
      <c r="O10" s="773">
        <v>2</v>
      </c>
      <c r="V10" s="405" t="s">
        <v>445</v>
      </c>
      <c r="W10" s="406" t="s">
        <v>446</v>
      </c>
      <c r="X10" s="406" t="s">
        <v>447</v>
      </c>
      <c r="Y10" s="406" t="s">
        <v>448</v>
      </c>
      <c r="Z10" s="406" t="s">
        <v>445</v>
      </c>
      <c r="AA10" s="407" t="str">
        <f>W10</f>
        <v>Front-loaded</v>
      </c>
      <c r="AB10" s="407" t="str">
        <f>X10</f>
        <v>Straight-line</v>
      </c>
      <c r="AC10" s="408" t="str">
        <f>Y10</f>
        <v>Back-loaded</v>
      </c>
    </row>
    <row r="11" spans="2:29">
      <c r="B11" s="13">
        <v>2009</v>
      </c>
      <c r="C11" s="18">
        <v>8449</v>
      </c>
      <c r="D11" s="18">
        <v>1365</v>
      </c>
      <c r="E11" s="19">
        <f>SUM(C11:D11)</f>
        <v>9814</v>
      </c>
      <c r="F11" s="18">
        <v>1759</v>
      </c>
      <c r="G11" s="18">
        <v>3285</v>
      </c>
      <c r="H11" s="19">
        <f>SUM(F11:G11)</f>
        <v>5044</v>
      </c>
      <c r="I11" s="19">
        <f>SUM(H11,E11)</f>
        <v>14858</v>
      </c>
      <c r="J11" s="43">
        <f>E11/H11</f>
        <v>1.9456780333068993</v>
      </c>
      <c r="L11" s="390">
        <v>10500</v>
      </c>
      <c r="M11" s="391" t="s">
        <v>602</v>
      </c>
      <c r="O11" s="773"/>
      <c r="T11" s="348">
        <v>2009</v>
      </c>
      <c r="U11" s="348"/>
      <c r="V11" s="409">
        <f>E11</f>
        <v>9814</v>
      </c>
      <c r="W11" s="409">
        <f>X2</f>
        <v>9814</v>
      </c>
      <c r="X11" s="409">
        <f>X2</f>
        <v>9814</v>
      </c>
      <c r="Y11" s="409">
        <f>W2</f>
        <v>9814</v>
      </c>
      <c r="Z11" s="409">
        <f>H11</f>
        <v>5044</v>
      </c>
      <c r="AA11" s="409">
        <f>AA2</f>
        <v>5044</v>
      </c>
      <c r="AB11" s="409">
        <f>AB2</f>
        <v>5044</v>
      </c>
      <c r="AC11" s="409">
        <f>AC2</f>
        <v>5044</v>
      </c>
    </row>
    <row r="12" spans="2:29" ht="15" customHeight="1">
      <c r="B12" s="13">
        <v>2010</v>
      </c>
      <c r="C12" s="14">
        <f>C11/$E11*$E12</f>
        <v>8541.2340850151868</v>
      </c>
      <c r="D12" s="14">
        <f t="shared" ref="D12:D52" si="0">D11/$E11*$E12</f>
        <v>1379.9011156403985</v>
      </c>
      <c r="E12" s="410">
        <f>IFERROR(INDEX(V12:Y12,1,MATCH("X",$L$7:$L$10,0)),INDEX(X12:AA12,1,1))</f>
        <v>9921.1352006555844</v>
      </c>
      <c r="F12" s="14">
        <f>F11/$H11*$H12</f>
        <v>1762.0499088503318</v>
      </c>
      <c r="G12" s="14">
        <f t="shared" ref="G12:G52" si="1">G11/$H11*$H12</f>
        <v>3290.6958218154296</v>
      </c>
      <c r="H12" s="410">
        <f>IFERROR(INDEX(Z12:AC12,1,MATCH("X",$L$7:$L$10,0)),INDEX(AD12:AG12,1,1))</f>
        <v>5052.7457306657616</v>
      </c>
      <c r="I12" s="12">
        <f>E12+H12</f>
        <v>14973.880931321346</v>
      </c>
      <c r="J12" s="43">
        <f t="shared" ref="J12:J52" si="2">E12/H12</f>
        <v>1.9635136477268078</v>
      </c>
      <c r="L12" s="390">
        <v>5100</v>
      </c>
      <c r="M12" s="391" t="s">
        <v>436</v>
      </c>
      <c r="O12" s="773"/>
      <c r="T12" s="348">
        <f>T11+1</f>
        <v>2010</v>
      </c>
      <c r="U12" s="348">
        <v>1</v>
      </c>
      <c r="V12" s="409">
        <f>TREND(E$10:E$11,$B$10:$B$11,$B12)</f>
        <v>9744</v>
      </c>
      <c r="W12" s="409">
        <f>U12^(1/$W$5)*$W$4+$W$2</f>
        <v>9921.1352006555844</v>
      </c>
      <c r="X12" s="409">
        <f>U12*$X$4+$X$2</f>
        <v>9830.7317073170725</v>
      </c>
      <c r="Y12" s="409">
        <f>U12^$Y$5*$Y$4+$Y$2</f>
        <v>9814.4080904223683</v>
      </c>
      <c r="Z12" s="409">
        <f>TREND(H$10:H$11,$B$10:$B$11,$B12)</f>
        <v>5092</v>
      </c>
      <c r="AA12" s="409">
        <f>U12^(1/$AA$5)*$AA$4+$AA$2</f>
        <v>5052.7457306657616</v>
      </c>
      <c r="AB12" s="409">
        <f>U12*$AB$4+$AB$2</f>
        <v>5045.3658536585363</v>
      </c>
      <c r="AC12" s="409">
        <f>U12^$AC$5*$AC$4+$AC$2</f>
        <v>5044.0333135038663</v>
      </c>
    </row>
    <row r="13" spans="2:29" ht="15" hidden="1" customHeight="1" outlineLevel="1">
      <c r="B13" s="13">
        <v>2011</v>
      </c>
      <c r="C13" s="14">
        <f t="shared" ref="C13:C52" si="3">C12/$E12*$E13</f>
        <v>8579.438693941549</v>
      </c>
      <c r="D13" s="14">
        <f t="shared" si="0"/>
        <v>1386.0733598331415</v>
      </c>
      <c r="E13" s="410">
        <f t="shared" ref="E13:E52" si="4">IFERROR(INDEX(V13:Y13,1,MATCH("X",$L$7:$L$10,0)),INDEX(X13:AA13,1,1))</f>
        <v>9965.5120537746898</v>
      </c>
      <c r="F13" s="14">
        <f t="shared" ref="F13:F52" si="5">F12/$H12*$H13</f>
        <v>1763.3132224601413</v>
      </c>
      <c r="G13" s="14">
        <f t="shared" si="1"/>
        <v>3293.0551084602412</v>
      </c>
      <c r="H13" s="410">
        <f t="shared" ref="H13:H52" si="6">IFERROR(INDEX(Z13:AC13,1,MATCH("X",$L$7:$L$10,0)),INDEX(AD13:AG13,1,1))</f>
        <v>5056.3683309203825</v>
      </c>
      <c r="I13" s="12">
        <f t="shared" ref="I13:I52" si="7">E13+H13</f>
        <v>15021.880384695072</v>
      </c>
      <c r="J13" s="43">
        <f t="shared" si="2"/>
        <v>1.9708833300047039</v>
      </c>
      <c r="O13" s="774"/>
      <c r="T13" s="348">
        <f>T12+1</f>
        <v>2011</v>
      </c>
      <c r="U13" s="348">
        <f>U12+1</f>
        <v>2</v>
      </c>
      <c r="V13" s="409">
        <f t="shared" ref="V13:V52" si="8">TREND(E$10:E$11,$B$10:$B$11,$B13)</f>
        <v>9674</v>
      </c>
      <c r="W13" s="409">
        <f t="shared" ref="W13:W52" si="9">U13^(1/$W$5)*$W$4+$W$2</f>
        <v>9965.5120537746898</v>
      </c>
      <c r="X13" s="409">
        <f t="shared" ref="X13:X52" si="10">U13*$X$4+$X$2</f>
        <v>9847.4634146341468</v>
      </c>
      <c r="Y13" s="409">
        <f t="shared" ref="Y13:Y52" si="11">U13^$Y$5*$Y$4+$Y$2</f>
        <v>9815.6323616894697</v>
      </c>
      <c r="Z13" s="409">
        <f t="shared" ref="Z13:Z52" si="12">TREND(H$10:H$11,$B$10:$B$11,$B13)</f>
        <v>5140</v>
      </c>
      <c r="AA13" s="409">
        <f t="shared" ref="AA13:AA52" si="13">U13^(1/$AA$5)*$AA$4+$AA$2</f>
        <v>5056.3683309203825</v>
      </c>
      <c r="AB13" s="409">
        <f t="shared" ref="AB13:AB52" si="14">U13*$AB$4+$AB$2</f>
        <v>5046.7317073170734</v>
      </c>
      <c r="AC13" s="409">
        <f t="shared" ref="AC13:AC52" si="15">U13^$AC$5*$AC$4+$AC$2</f>
        <v>5044.1332540154672</v>
      </c>
    </row>
    <row r="14" spans="2:29" ht="15" hidden="1" customHeight="1" outlineLevel="1">
      <c r="B14" s="13">
        <v>2012</v>
      </c>
      <c r="C14" s="14">
        <f t="shared" si="3"/>
        <v>8608.754121435928</v>
      </c>
      <c r="D14" s="14">
        <f t="shared" si="0"/>
        <v>1390.8094893786295</v>
      </c>
      <c r="E14" s="410">
        <f t="shared" si="4"/>
        <v>9999.5636108145573</v>
      </c>
      <c r="F14" s="14">
        <f t="shared" si="5"/>
        <v>1764.2825970872293</v>
      </c>
      <c r="G14" s="14">
        <f t="shared" si="1"/>
        <v>3294.8654527751842</v>
      </c>
      <c r="H14" s="410">
        <f t="shared" si="6"/>
        <v>5059.1480498624132</v>
      </c>
      <c r="I14" s="12">
        <f t="shared" si="7"/>
        <v>15058.71166067697</v>
      </c>
      <c r="J14" s="43">
        <f t="shared" si="2"/>
        <v>1.9765311297989197</v>
      </c>
      <c r="T14" s="348">
        <f t="shared" ref="T14:U29" si="16">T13+1</f>
        <v>2012</v>
      </c>
      <c r="U14" s="348">
        <f t="shared" si="16"/>
        <v>3</v>
      </c>
      <c r="V14" s="409">
        <f t="shared" si="8"/>
        <v>9604</v>
      </c>
      <c r="W14" s="409">
        <f t="shared" si="9"/>
        <v>9999.5636108145573</v>
      </c>
      <c r="X14" s="409">
        <f t="shared" si="10"/>
        <v>9864.1951219512193</v>
      </c>
      <c r="Y14" s="409">
        <f t="shared" si="11"/>
        <v>9817.6728138013095</v>
      </c>
      <c r="Z14" s="409">
        <f t="shared" si="12"/>
        <v>5188</v>
      </c>
      <c r="AA14" s="409">
        <f t="shared" si="13"/>
        <v>5059.1480498624132</v>
      </c>
      <c r="AB14" s="409">
        <f t="shared" si="14"/>
        <v>5048.0975609756097</v>
      </c>
      <c r="AC14" s="409">
        <f t="shared" si="15"/>
        <v>5044.2998215348007</v>
      </c>
    </row>
    <row r="15" spans="2:29" ht="15" hidden="1" customHeight="1" outlineLevel="1">
      <c r="B15" s="13">
        <v>2013</v>
      </c>
      <c r="C15" s="14">
        <f t="shared" si="3"/>
        <v>8633.4681700303699</v>
      </c>
      <c r="D15" s="14">
        <f t="shared" si="0"/>
        <v>1394.8022312807971</v>
      </c>
      <c r="E15" s="410">
        <f t="shared" si="4"/>
        <v>10028.270401311167</v>
      </c>
      <c r="F15" s="14">
        <f t="shared" si="5"/>
        <v>1765.0998177006643</v>
      </c>
      <c r="G15" s="14">
        <f t="shared" si="1"/>
        <v>3296.39164363086</v>
      </c>
      <c r="H15" s="410">
        <f t="shared" si="6"/>
        <v>5061.4914613315241</v>
      </c>
      <c r="I15" s="12">
        <f t="shared" si="7"/>
        <v>15089.761862642692</v>
      </c>
      <c r="J15" s="43">
        <f t="shared" si="2"/>
        <v>1.9812876259743872</v>
      </c>
      <c r="T15" s="348">
        <f t="shared" si="16"/>
        <v>2013</v>
      </c>
      <c r="U15" s="348">
        <f t="shared" si="16"/>
        <v>4</v>
      </c>
      <c r="V15" s="409">
        <f t="shared" si="8"/>
        <v>9534</v>
      </c>
      <c r="W15" s="409">
        <f t="shared" si="9"/>
        <v>10028.270401311167</v>
      </c>
      <c r="X15" s="409">
        <f t="shared" si="10"/>
        <v>9880.9268292682918</v>
      </c>
      <c r="Y15" s="409">
        <f t="shared" si="11"/>
        <v>9820.5294467578824</v>
      </c>
      <c r="Z15" s="409">
        <f t="shared" si="12"/>
        <v>5236</v>
      </c>
      <c r="AA15" s="409">
        <f t="shared" si="13"/>
        <v>5061.4914613315241</v>
      </c>
      <c r="AB15" s="409">
        <f t="shared" si="14"/>
        <v>5049.4634146341459</v>
      </c>
      <c r="AC15" s="409">
        <f t="shared" si="15"/>
        <v>5044.5330160618678</v>
      </c>
    </row>
    <row r="16" spans="2:29" ht="15" hidden="1" customHeight="1" outlineLevel="1">
      <c r="B16" s="13">
        <v>2014</v>
      </c>
      <c r="C16" s="14">
        <f t="shared" si="3"/>
        <v>8655.2416839364487</v>
      </c>
      <c r="D16" s="14">
        <f t="shared" si="0"/>
        <v>1398.3199075125165</v>
      </c>
      <c r="E16" s="410">
        <f t="shared" si="4"/>
        <v>10053.561591448964</v>
      </c>
      <c r="F16" s="14">
        <f t="shared" si="5"/>
        <v>1765.8198035145208</v>
      </c>
      <c r="G16" s="14">
        <f t="shared" si="1"/>
        <v>3297.7362447670275</v>
      </c>
      <c r="H16" s="410">
        <f t="shared" si="6"/>
        <v>5063.5560482815481</v>
      </c>
      <c r="I16" s="12">
        <f t="shared" si="7"/>
        <v>15117.117639730513</v>
      </c>
      <c r="J16" s="43">
        <f t="shared" si="2"/>
        <v>1.9854745352055314</v>
      </c>
      <c r="T16" s="348">
        <f t="shared" si="16"/>
        <v>2014</v>
      </c>
      <c r="U16" s="348">
        <f t="shared" si="16"/>
        <v>5</v>
      </c>
      <c r="V16" s="409">
        <f t="shared" si="8"/>
        <v>9464</v>
      </c>
      <c r="W16" s="409">
        <f t="shared" si="9"/>
        <v>10053.561591448964</v>
      </c>
      <c r="X16" s="409">
        <f t="shared" si="10"/>
        <v>9897.6585365853662</v>
      </c>
      <c r="Y16" s="409">
        <f t="shared" si="11"/>
        <v>9824.2022605591901</v>
      </c>
      <c r="Z16" s="409">
        <f t="shared" si="12"/>
        <v>5284</v>
      </c>
      <c r="AA16" s="409">
        <f t="shared" si="13"/>
        <v>5063.5560482815481</v>
      </c>
      <c r="AB16" s="409">
        <f t="shared" si="14"/>
        <v>5050.8292682926831</v>
      </c>
      <c r="AC16" s="409">
        <f t="shared" si="15"/>
        <v>5044.8328375966685</v>
      </c>
    </row>
    <row r="17" spans="2:29" ht="15" hidden="1" customHeight="1" outlineLevel="1">
      <c r="B17" s="13">
        <v>2015</v>
      </c>
      <c r="C17" s="14">
        <f t="shared" si="3"/>
        <v>8674.926445179688</v>
      </c>
      <c r="D17" s="14">
        <f t="shared" si="0"/>
        <v>1401.5001299171822</v>
      </c>
      <c r="E17" s="410">
        <f t="shared" si="4"/>
        <v>10076.42657509687</v>
      </c>
      <c r="F17" s="14">
        <f t="shared" si="5"/>
        <v>1766.4707204453123</v>
      </c>
      <c r="G17" s="14">
        <f t="shared" si="1"/>
        <v>3298.9518571136164</v>
      </c>
      <c r="H17" s="410">
        <f t="shared" si="6"/>
        <v>5065.4225775589284</v>
      </c>
      <c r="I17" s="12">
        <f t="shared" si="7"/>
        <v>15141.849152655799</v>
      </c>
      <c r="J17" s="43">
        <f t="shared" si="2"/>
        <v>1.9892568528710566</v>
      </c>
      <c r="T17" s="348">
        <f>T16+1</f>
        <v>2015</v>
      </c>
      <c r="U17" s="348">
        <f>U16+1</f>
        <v>6</v>
      </c>
      <c r="V17" s="409">
        <f t="shared" si="8"/>
        <v>9394</v>
      </c>
      <c r="W17" s="409">
        <f t="shared" si="9"/>
        <v>10076.42657509687</v>
      </c>
      <c r="X17" s="409">
        <f t="shared" si="10"/>
        <v>9914.3902439024387</v>
      </c>
      <c r="Y17" s="409">
        <f t="shared" si="11"/>
        <v>9828.6912552052345</v>
      </c>
      <c r="Z17" s="409">
        <f t="shared" si="12"/>
        <v>5332</v>
      </c>
      <c r="AA17" s="409">
        <f t="shared" si="13"/>
        <v>5065.4225775589284</v>
      </c>
      <c r="AB17" s="409">
        <f t="shared" si="14"/>
        <v>5052.1951219512193</v>
      </c>
      <c r="AC17" s="409">
        <f t="shared" si="15"/>
        <v>5045.1992861392027</v>
      </c>
    </row>
    <row r="18" spans="2:29" ht="15" hidden="1" customHeight="1" outlineLevel="2">
      <c r="B18" s="13">
        <v>2016</v>
      </c>
      <c r="C18" s="14">
        <f t="shared" si="3"/>
        <v>8693.0284513537699</v>
      </c>
      <c r="D18" s="14">
        <f t="shared" si="0"/>
        <v>1404.4246462419096</v>
      </c>
      <c r="E18" s="410">
        <f t="shared" si="4"/>
        <v>10097.453097595679</v>
      </c>
      <c r="F18" s="14">
        <f t="shared" si="5"/>
        <v>1767.0693003393935</v>
      </c>
      <c r="G18" s="14">
        <f t="shared" si="1"/>
        <v>3300.0697280357635</v>
      </c>
      <c r="H18" s="410">
        <f t="shared" si="6"/>
        <v>5067.1390283751571</v>
      </c>
      <c r="I18" s="12">
        <f t="shared" si="7"/>
        <v>15164.592125970836</v>
      </c>
      <c r="J18" s="43">
        <f t="shared" si="2"/>
        <v>1.9927325934914315</v>
      </c>
      <c r="T18" s="348">
        <f t="shared" si="16"/>
        <v>2016</v>
      </c>
      <c r="U18" s="348">
        <f t="shared" si="16"/>
        <v>7</v>
      </c>
      <c r="V18" s="409">
        <f t="shared" si="8"/>
        <v>9324</v>
      </c>
      <c r="W18" s="409">
        <f t="shared" si="9"/>
        <v>10097.453097595679</v>
      </c>
      <c r="X18" s="409">
        <f t="shared" si="10"/>
        <v>9931.121951219513</v>
      </c>
      <c r="Y18" s="409">
        <f t="shared" si="11"/>
        <v>9833.9964306960137</v>
      </c>
      <c r="Z18" s="409">
        <f t="shared" si="12"/>
        <v>5380</v>
      </c>
      <c r="AA18" s="409">
        <f t="shared" si="13"/>
        <v>5067.1390283751571</v>
      </c>
      <c r="AB18" s="409">
        <f t="shared" si="14"/>
        <v>5053.5609756097565</v>
      </c>
      <c r="AC18" s="409">
        <f t="shared" si="15"/>
        <v>5045.6323616894706</v>
      </c>
    </row>
    <row r="19" spans="2:29" ht="15" hidden="1" customHeight="1" outlineLevel="2">
      <c r="B19" s="13">
        <v>2017</v>
      </c>
      <c r="C19" s="14">
        <f t="shared" si="3"/>
        <v>8709.877387883098</v>
      </c>
      <c r="D19" s="14">
        <f t="shared" si="0"/>
        <v>1407.1467196662832</v>
      </c>
      <c r="E19" s="410">
        <f t="shared" si="4"/>
        <v>10117.02410754938</v>
      </c>
      <c r="F19" s="14">
        <f t="shared" si="5"/>
        <v>1767.6264449202829</v>
      </c>
      <c r="G19" s="14">
        <f t="shared" si="1"/>
        <v>3301.1102169204833</v>
      </c>
      <c r="H19" s="410">
        <f t="shared" si="6"/>
        <v>5068.7366618407659</v>
      </c>
      <c r="I19" s="12">
        <f t="shared" si="7"/>
        <v>15185.760769390145</v>
      </c>
      <c r="J19" s="43">
        <f t="shared" si="2"/>
        <v>1.9959656187534656</v>
      </c>
      <c r="T19" s="348">
        <f t="shared" si="16"/>
        <v>2017</v>
      </c>
      <c r="U19" s="348">
        <f t="shared" si="16"/>
        <v>8</v>
      </c>
      <c r="V19" s="409">
        <f t="shared" si="8"/>
        <v>9254</v>
      </c>
      <c r="W19" s="409">
        <f t="shared" si="9"/>
        <v>10117.02410754938</v>
      </c>
      <c r="X19" s="409">
        <f t="shared" si="10"/>
        <v>9947.8536585365855</v>
      </c>
      <c r="Y19" s="409">
        <f t="shared" si="11"/>
        <v>9840.1177870315296</v>
      </c>
      <c r="Z19" s="409">
        <f t="shared" si="12"/>
        <v>5428</v>
      </c>
      <c r="AA19" s="409">
        <f t="shared" si="13"/>
        <v>5068.7366618407659</v>
      </c>
      <c r="AB19" s="409">
        <f t="shared" si="14"/>
        <v>5054.9268292682927</v>
      </c>
      <c r="AC19" s="409">
        <f t="shared" si="15"/>
        <v>5046.132064247472</v>
      </c>
    </row>
    <row r="20" spans="2:29" ht="15" hidden="1" customHeight="1" outlineLevel="2">
      <c r="B20" s="13">
        <v>2018</v>
      </c>
      <c r="C20" s="14">
        <f t="shared" si="3"/>
        <v>8725.7022550455567</v>
      </c>
      <c r="D20" s="14">
        <f t="shared" si="0"/>
        <v>1409.7033469211958</v>
      </c>
      <c r="E20" s="410">
        <f t="shared" si="4"/>
        <v>10135.405601966751</v>
      </c>
      <c r="F20" s="14">
        <f t="shared" si="5"/>
        <v>1768.1497265509963</v>
      </c>
      <c r="G20" s="14">
        <f t="shared" si="1"/>
        <v>3302.0874654462896</v>
      </c>
      <c r="H20" s="410">
        <f t="shared" si="6"/>
        <v>5070.2371919972857</v>
      </c>
      <c r="I20" s="12">
        <f t="shared" si="7"/>
        <v>15205.642793964038</v>
      </c>
      <c r="J20" s="43">
        <f t="shared" si="2"/>
        <v>1.9990002870012038</v>
      </c>
      <c r="T20" s="348">
        <f t="shared" si="16"/>
        <v>2018</v>
      </c>
      <c r="U20" s="348">
        <f t="shared" si="16"/>
        <v>9</v>
      </c>
      <c r="V20" s="409">
        <f t="shared" si="8"/>
        <v>9184</v>
      </c>
      <c r="W20" s="409">
        <f t="shared" si="9"/>
        <v>10135.405601966751</v>
      </c>
      <c r="X20" s="409">
        <f t="shared" si="10"/>
        <v>9964.585365853658</v>
      </c>
      <c r="Y20" s="409">
        <f t="shared" si="11"/>
        <v>9847.0553242117785</v>
      </c>
      <c r="Z20" s="409">
        <f t="shared" si="12"/>
        <v>5476</v>
      </c>
      <c r="AA20" s="409">
        <f t="shared" si="13"/>
        <v>5070.2371919972857</v>
      </c>
      <c r="AB20" s="409">
        <f t="shared" si="14"/>
        <v>5056.292682926829</v>
      </c>
      <c r="AC20" s="409">
        <f t="shared" si="15"/>
        <v>5046.6983938132062</v>
      </c>
    </row>
    <row r="21" spans="2:29" ht="15" hidden="1" customHeight="1" outlineLevel="2">
      <c r="B21" s="13">
        <v>2019</v>
      </c>
      <c r="C21" s="14">
        <f t="shared" si="3"/>
        <v>8740.6697865495935</v>
      </c>
      <c r="D21" s="14">
        <f t="shared" si="0"/>
        <v>1412.1214651012181</v>
      </c>
      <c r="E21" s="410">
        <f t="shared" si="4"/>
        <v>10152.791251650809</v>
      </c>
      <c r="F21" s="14">
        <f t="shared" si="5"/>
        <v>1768.6446586229549</v>
      </c>
      <c r="G21" s="14">
        <f t="shared" si="1"/>
        <v>3303.0117700832334</v>
      </c>
      <c r="H21" s="410">
        <f t="shared" si="6"/>
        <v>5071.6564287061883</v>
      </c>
      <c r="I21" s="12">
        <f t="shared" si="7"/>
        <v>15224.447680356998</v>
      </c>
      <c r="J21" s="43">
        <f t="shared" si="2"/>
        <v>2.0018688951768864</v>
      </c>
      <c r="T21" s="348">
        <f t="shared" si="16"/>
        <v>2019</v>
      </c>
      <c r="U21" s="348">
        <f t="shared" si="16"/>
        <v>10</v>
      </c>
      <c r="V21" s="409">
        <f t="shared" si="8"/>
        <v>9114</v>
      </c>
      <c r="W21" s="409">
        <f t="shared" si="9"/>
        <v>10152.791251650809</v>
      </c>
      <c r="X21" s="409">
        <f t="shared" si="10"/>
        <v>9981.3170731707323</v>
      </c>
      <c r="Y21" s="409">
        <f t="shared" si="11"/>
        <v>9854.8090422367641</v>
      </c>
      <c r="Z21" s="409">
        <f t="shared" si="12"/>
        <v>5524</v>
      </c>
      <c r="AA21" s="409">
        <f t="shared" si="13"/>
        <v>5071.6564287061883</v>
      </c>
      <c r="AB21" s="409">
        <f t="shared" si="14"/>
        <v>5057.6585365853662</v>
      </c>
      <c r="AC21" s="409">
        <f t="shared" si="15"/>
        <v>5047.3313503866748</v>
      </c>
    </row>
    <row r="22" spans="2:29" ht="15" customHeight="1" collapsed="1">
      <c r="B22" s="13">
        <v>2020</v>
      </c>
      <c r="C22" s="14">
        <f t="shared" si="3"/>
        <v>8754.9058528771147</v>
      </c>
      <c r="D22" s="14">
        <f t="shared" si="0"/>
        <v>1414.4214095368986</v>
      </c>
      <c r="E22" s="410">
        <f t="shared" si="4"/>
        <v>10169.32726241401</v>
      </c>
      <c r="F22" s="14">
        <f t="shared" si="5"/>
        <v>1769.1154033013356</v>
      </c>
      <c r="G22" s="14">
        <f t="shared" si="1"/>
        <v>3303.8909038345014</v>
      </c>
      <c r="H22" s="410">
        <f t="shared" si="6"/>
        <v>5073.0063071358372</v>
      </c>
      <c r="I22" s="12">
        <f t="shared" si="7"/>
        <v>15242.333569549846</v>
      </c>
      <c r="J22" s="43">
        <f t="shared" si="2"/>
        <v>2.0045958247892459</v>
      </c>
      <c r="L22" s="1559" t="s">
        <v>437</v>
      </c>
      <c r="M22" s="1560"/>
      <c r="T22" s="348">
        <f t="shared" si="16"/>
        <v>2020</v>
      </c>
      <c r="U22" s="348">
        <f t="shared" si="16"/>
        <v>11</v>
      </c>
      <c r="V22" s="409">
        <f t="shared" si="8"/>
        <v>9044</v>
      </c>
      <c r="W22" s="409">
        <f t="shared" si="9"/>
        <v>10169.32726241401</v>
      </c>
      <c r="X22" s="409">
        <f t="shared" si="10"/>
        <v>9998.0487804878048</v>
      </c>
      <c r="Y22" s="409">
        <f t="shared" si="11"/>
        <v>9863.3789411064845</v>
      </c>
      <c r="Z22" s="409">
        <f t="shared" si="12"/>
        <v>5572</v>
      </c>
      <c r="AA22" s="409">
        <f t="shared" si="13"/>
        <v>5073.0063071358372</v>
      </c>
      <c r="AB22" s="409">
        <f t="shared" si="14"/>
        <v>5059.0243902439024</v>
      </c>
      <c r="AC22" s="409">
        <f t="shared" si="15"/>
        <v>5048.0309339678761</v>
      </c>
    </row>
    <row r="23" spans="2:29" ht="15" hidden="1" customHeight="1" outlineLevel="1">
      <c r="B23" s="13">
        <v>2021</v>
      </c>
      <c r="C23" s="14">
        <f t="shared" si="3"/>
        <v>8768.5082428718597</v>
      </c>
      <c r="D23" s="14">
        <f t="shared" si="0"/>
        <v>1416.6189787572591</v>
      </c>
      <c r="E23" s="410">
        <f t="shared" si="4"/>
        <v>10185.127221629115</v>
      </c>
      <c r="F23" s="14">
        <f t="shared" si="5"/>
        <v>1769.5651941744584</v>
      </c>
      <c r="G23" s="14">
        <f t="shared" si="1"/>
        <v>3304.7309055503674</v>
      </c>
      <c r="H23" s="410">
        <f t="shared" si="6"/>
        <v>5074.2960997248256</v>
      </c>
      <c r="I23" s="12">
        <f t="shared" si="7"/>
        <v>15259.423321353941</v>
      </c>
      <c r="J23" s="43">
        <f t="shared" si="2"/>
        <v>2.0072000177879734</v>
      </c>
      <c r="T23" s="348">
        <f t="shared" si="16"/>
        <v>2021</v>
      </c>
      <c r="U23" s="348">
        <f t="shared" si="16"/>
        <v>12</v>
      </c>
      <c r="V23" s="409">
        <f t="shared" si="8"/>
        <v>8974</v>
      </c>
      <c r="W23" s="409">
        <f t="shared" si="9"/>
        <v>10185.127221629115</v>
      </c>
      <c r="X23" s="409">
        <f t="shared" si="10"/>
        <v>10014.780487804877</v>
      </c>
      <c r="Y23" s="409">
        <f t="shared" si="11"/>
        <v>9872.7650208209398</v>
      </c>
      <c r="Z23" s="409">
        <f t="shared" si="12"/>
        <v>5620</v>
      </c>
      <c r="AA23" s="409">
        <f t="shared" si="13"/>
        <v>5074.2960997248256</v>
      </c>
      <c r="AB23" s="409">
        <f t="shared" si="14"/>
        <v>5060.3902439024387</v>
      </c>
      <c r="AC23" s="409">
        <f t="shared" si="15"/>
        <v>5048.7971445568119</v>
      </c>
    </row>
    <row r="24" spans="2:29" ht="15" hidden="1" customHeight="1" outlineLevel="1">
      <c r="B24" s="13">
        <v>2022</v>
      </c>
      <c r="C24" s="14">
        <f t="shared" si="3"/>
        <v>8781.5547228677588</v>
      </c>
      <c r="D24" s="14">
        <f t="shared" si="0"/>
        <v>1418.7267365030755</v>
      </c>
      <c r="E24" s="410">
        <f t="shared" si="4"/>
        <v>10200.28145937083</v>
      </c>
      <c r="F24" s="14">
        <f t="shared" si="5"/>
        <v>1769.9966027453638</v>
      </c>
      <c r="G24" s="14">
        <f t="shared" si="1"/>
        <v>3305.5365776114386</v>
      </c>
      <c r="H24" s="410">
        <f t="shared" si="6"/>
        <v>5075.5331803568024</v>
      </c>
      <c r="I24" s="12">
        <f t="shared" si="7"/>
        <v>15275.814639727632</v>
      </c>
      <c r="J24" s="43">
        <f t="shared" si="2"/>
        <v>2.0096965376657758</v>
      </c>
      <c r="T24" s="348">
        <f t="shared" si="16"/>
        <v>2022</v>
      </c>
      <c r="U24" s="348">
        <f t="shared" si="16"/>
        <v>13</v>
      </c>
      <c r="V24" s="409">
        <f t="shared" si="8"/>
        <v>8904</v>
      </c>
      <c r="W24" s="409">
        <f t="shared" si="9"/>
        <v>10200.28145937083</v>
      </c>
      <c r="X24" s="409">
        <f t="shared" si="10"/>
        <v>10031.512195121952</v>
      </c>
      <c r="Y24" s="409">
        <f t="shared" si="11"/>
        <v>9882.9672813801317</v>
      </c>
      <c r="Z24" s="409">
        <f t="shared" si="12"/>
        <v>5668</v>
      </c>
      <c r="AA24" s="409">
        <f t="shared" si="13"/>
        <v>5075.5331803568024</v>
      </c>
      <c r="AB24" s="409">
        <f t="shared" si="14"/>
        <v>5061.7560975609758</v>
      </c>
      <c r="AC24" s="409">
        <f t="shared" si="15"/>
        <v>5049.6299821534803</v>
      </c>
    </row>
    <row r="25" spans="2:29" ht="15" hidden="1" customHeight="1" outlineLevel="1">
      <c r="B25" s="13">
        <v>2023</v>
      </c>
      <c r="C25" s="14">
        <f t="shared" si="3"/>
        <v>8794.1083455094085</v>
      </c>
      <c r="D25" s="14">
        <f t="shared" si="0"/>
        <v>1420.7548694070699</v>
      </c>
      <c r="E25" s="410">
        <f t="shared" si="4"/>
        <v>10214.863214916473</v>
      </c>
      <c r="F25" s="14">
        <f t="shared" si="5"/>
        <v>1770.4117139788323</v>
      </c>
      <c r="G25" s="14">
        <f t="shared" si="1"/>
        <v>3306.311813769451</v>
      </c>
      <c r="H25" s="410">
        <f t="shared" si="6"/>
        <v>5076.7235277482832</v>
      </c>
      <c r="I25" s="12">
        <f t="shared" si="7"/>
        <v>15291.586742664756</v>
      </c>
      <c r="J25" s="43">
        <f t="shared" si="2"/>
        <v>2.0120975978077631</v>
      </c>
      <c r="T25" s="348">
        <f t="shared" si="16"/>
        <v>2023</v>
      </c>
      <c r="U25" s="348">
        <f t="shared" si="16"/>
        <v>14</v>
      </c>
      <c r="V25" s="409">
        <f t="shared" si="8"/>
        <v>8834</v>
      </c>
      <c r="W25" s="409">
        <f t="shared" si="9"/>
        <v>10214.863214916473</v>
      </c>
      <c r="X25" s="409">
        <f t="shared" si="10"/>
        <v>10048.243902439024</v>
      </c>
      <c r="Y25" s="409">
        <f t="shared" si="11"/>
        <v>9893.9857227840566</v>
      </c>
      <c r="Z25" s="409">
        <f t="shared" si="12"/>
        <v>5716</v>
      </c>
      <c r="AA25" s="409">
        <f t="shared" si="13"/>
        <v>5076.7235277482832</v>
      </c>
      <c r="AB25" s="409">
        <f t="shared" si="14"/>
        <v>5063.1219512195121</v>
      </c>
      <c r="AC25" s="409">
        <f t="shared" si="15"/>
        <v>5050.5294467578824</v>
      </c>
    </row>
    <row r="26" spans="2:29" ht="15" hidden="1" customHeight="1" outlineLevel="1">
      <c r="B26" s="13">
        <v>2024</v>
      </c>
      <c r="C26" s="14">
        <f t="shared" si="3"/>
        <v>8806.2210752164974</v>
      </c>
      <c r="D26" s="14">
        <f t="shared" si="0"/>
        <v>1422.7117727151747</v>
      </c>
      <c r="E26" s="410">
        <f t="shared" si="4"/>
        <v>10228.932847931666</v>
      </c>
      <c r="F26" s="14">
        <f t="shared" si="5"/>
        <v>1770.812246184787</v>
      </c>
      <c r="G26" s="14">
        <f t="shared" si="1"/>
        <v>3307.0598230341247</v>
      </c>
      <c r="H26" s="410">
        <f t="shared" si="6"/>
        <v>5077.8720692189117</v>
      </c>
      <c r="I26" s="12">
        <f t="shared" si="7"/>
        <v>15306.804917150577</v>
      </c>
      <c r="J26" s="43">
        <f t="shared" si="2"/>
        <v>2.0144132637640673</v>
      </c>
      <c r="T26" s="348">
        <f t="shared" si="16"/>
        <v>2024</v>
      </c>
      <c r="U26" s="348">
        <f t="shared" si="16"/>
        <v>15</v>
      </c>
      <c r="V26" s="409">
        <f t="shared" si="8"/>
        <v>8764</v>
      </c>
      <c r="W26" s="409">
        <f t="shared" si="9"/>
        <v>10228.932847931666</v>
      </c>
      <c r="X26" s="409">
        <f t="shared" si="10"/>
        <v>10064.975609756097</v>
      </c>
      <c r="Y26" s="409">
        <f t="shared" si="11"/>
        <v>9905.8203450327183</v>
      </c>
      <c r="Z26" s="409">
        <f t="shared" si="12"/>
        <v>5764</v>
      </c>
      <c r="AA26" s="409">
        <f t="shared" si="13"/>
        <v>5077.8720692189117</v>
      </c>
      <c r="AB26" s="409">
        <f t="shared" si="14"/>
        <v>5064.4878048780483</v>
      </c>
      <c r="AC26" s="409">
        <f t="shared" si="15"/>
        <v>5051.495538370018</v>
      </c>
    </row>
    <row r="27" spans="2:29" ht="15" hidden="1" customHeight="1" outlineLevel="1">
      <c r="B27" s="13">
        <v>2025</v>
      </c>
      <c r="C27" s="14">
        <f t="shared" si="3"/>
        <v>8817.9363400607472</v>
      </c>
      <c r="D27" s="14">
        <f t="shared" si="0"/>
        <v>1424.6044625615943</v>
      </c>
      <c r="E27" s="410">
        <f t="shared" si="4"/>
        <v>10242.540802622336</v>
      </c>
      <c r="F27" s="14">
        <f t="shared" si="5"/>
        <v>1771.1996354013286</v>
      </c>
      <c r="G27" s="14">
        <f t="shared" si="1"/>
        <v>3307.7832872617196</v>
      </c>
      <c r="H27" s="410">
        <f t="shared" si="6"/>
        <v>5078.9829226630482</v>
      </c>
      <c r="I27" s="12">
        <f t="shared" si="7"/>
        <v>15321.523725285384</v>
      </c>
      <c r="J27" s="43">
        <f t="shared" si="2"/>
        <v>2.0166519475619529</v>
      </c>
      <c r="T27" s="348">
        <f t="shared" si="16"/>
        <v>2025</v>
      </c>
      <c r="U27" s="348">
        <f t="shared" si="16"/>
        <v>16</v>
      </c>
      <c r="V27" s="409">
        <f t="shared" si="8"/>
        <v>8694</v>
      </c>
      <c r="W27" s="409">
        <f t="shared" si="9"/>
        <v>10242.540802622336</v>
      </c>
      <c r="X27" s="409">
        <f t="shared" si="10"/>
        <v>10081.707317073171</v>
      </c>
      <c r="Y27" s="409">
        <f t="shared" si="11"/>
        <v>9918.4711481261147</v>
      </c>
      <c r="Z27" s="409">
        <f t="shared" si="12"/>
        <v>5812</v>
      </c>
      <c r="AA27" s="409">
        <f t="shared" si="13"/>
        <v>5078.9829226630482</v>
      </c>
      <c r="AB27" s="409">
        <f t="shared" si="14"/>
        <v>5065.8536585365855</v>
      </c>
      <c r="AC27" s="409">
        <f t="shared" si="15"/>
        <v>5052.5282569898873</v>
      </c>
    </row>
    <row r="28" spans="2:29" ht="15" hidden="1" customHeight="1" outlineLevel="1">
      <c r="B28" s="13">
        <v>2026</v>
      </c>
      <c r="C28" s="14">
        <f t="shared" si="3"/>
        <v>8829.2908747998135</v>
      </c>
      <c r="D28" s="14">
        <f t="shared" si="0"/>
        <v>1426.4388737249067</v>
      </c>
      <c r="E28" s="410">
        <f t="shared" si="4"/>
        <v>10255.729748524715</v>
      </c>
      <c r="F28" s="14">
        <f t="shared" si="5"/>
        <v>1771.5750963384255</v>
      </c>
      <c r="G28" s="14">
        <f t="shared" si="1"/>
        <v>3308.4844749697149</v>
      </c>
      <c r="H28" s="410">
        <f t="shared" si="6"/>
        <v>5080.0595713081402</v>
      </c>
      <c r="I28" s="12">
        <f t="shared" si="7"/>
        <v>15335.789319832855</v>
      </c>
      <c r="J28" s="43">
        <f t="shared" si="2"/>
        <v>2.0188207647107994</v>
      </c>
      <c r="T28" s="348">
        <f t="shared" si="16"/>
        <v>2026</v>
      </c>
      <c r="U28" s="348">
        <f t="shared" si="16"/>
        <v>17</v>
      </c>
      <c r="V28" s="409">
        <f t="shared" si="8"/>
        <v>8624</v>
      </c>
      <c r="W28" s="409">
        <f t="shared" si="9"/>
        <v>10255.729748524715</v>
      </c>
      <c r="X28" s="409">
        <f t="shared" si="10"/>
        <v>10098.439024390244</v>
      </c>
      <c r="Y28" s="409">
        <f t="shared" si="11"/>
        <v>9931.9381320642478</v>
      </c>
      <c r="Z28" s="409">
        <f t="shared" si="12"/>
        <v>5860</v>
      </c>
      <c r="AA28" s="409">
        <f t="shared" si="13"/>
        <v>5080.0595713081402</v>
      </c>
      <c r="AB28" s="409">
        <f t="shared" si="14"/>
        <v>5067.2195121951218</v>
      </c>
      <c r="AC28" s="409">
        <f t="shared" si="15"/>
        <v>5053.6276026174892</v>
      </c>
    </row>
    <row r="29" spans="2:29" ht="15" hidden="1" customHeight="1" outlineLevel="1">
      <c r="B29" s="13">
        <v>2027</v>
      </c>
      <c r="C29" s="14">
        <f t="shared" si="3"/>
        <v>8840.3160818246488</v>
      </c>
      <c r="D29" s="14">
        <f t="shared" si="0"/>
        <v>1428.2200794994244</v>
      </c>
      <c r="E29" s="410">
        <f t="shared" si="4"/>
        <v>10268.536161324068</v>
      </c>
      <c r="F29" s="14">
        <f t="shared" si="5"/>
        <v>1771.9396673804242</v>
      </c>
      <c r="G29" s="14">
        <f t="shared" si="1"/>
        <v>3309.1653253807244</v>
      </c>
      <c r="H29" s="410">
        <f t="shared" si="6"/>
        <v>5081.1049927611484</v>
      </c>
      <c r="I29" s="12">
        <f t="shared" si="7"/>
        <v>15349.641154085217</v>
      </c>
      <c r="J29" s="43">
        <f t="shared" si="2"/>
        <v>2.0209257978241446</v>
      </c>
      <c r="T29" s="348">
        <f t="shared" si="16"/>
        <v>2027</v>
      </c>
      <c r="U29" s="348">
        <f t="shared" si="16"/>
        <v>18</v>
      </c>
      <c r="V29" s="409">
        <f t="shared" si="8"/>
        <v>8554</v>
      </c>
      <c r="W29" s="409">
        <f t="shared" si="9"/>
        <v>10268.536161324068</v>
      </c>
      <c r="X29" s="409">
        <f t="shared" si="10"/>
        <v>10115.170731707318</v>
      </c>
      <c r="Y29" s="409">
        <f t="shared" si="11"/>
        <v>9946.221296847114</v>
      </c>
      <c r="Z29" s="409">
        <f t="shared" si="12"/>
        <v>5908</v>
      </c>
      <c r="AA29" s="409">
        <f t="shared" si="13"/>
        <v>5081.1049927611484</v>
      </c>
      <c r="AB29" s="409">
        <f t="shared" si="14"/>
        <v>5068.5853658536589</v>
      </c>
      <c r="AC29" s="409">
        <f t="shared" si="15"/>
        <v>5054.7935752528256</v>
      </c>
    </row>
    <row r="30" spans="2:29" ht="15" hidden="1" customHeight="1" outlineLevel="1">
      <c r="B30" s="13">
        <v>2028</v>
      </c>
      <c r="C30" s="14">
        <f t="shared" si="3"/>
        <v>8851.0390557311366</v>
      </c>
      <c r="D30" s="14">
        <f t="shared" si="0"/>
        <v>1429.9524572225107</v>
      </c>
      <c r="E30" s="410">
        <f t="shared" si="4"/>
        <v>10280.991512953642</v>
      </c>
      <c r="F30" s="14">
        <f t="shared" si="5"/>
        <v>1772.294244465608</v>
      </c>
      <c r="G30" s="14">
        <f t="shared" si="1"/>
        <v>3309.827511693873</v>
      </c>
      <c r="H30" s="410">
        <f t="shared" si="6"/>
        <v>5082.1217561594813</v>
      </c>
      <c r="I30" s="12">
        <f t="shared" si="7"/>
        <v>15363.113269113124</v>
      </c>
      <c r="J30" s="43">
        <f t="shared" si="2"/>
        <v>2.0229722950838758</v>
      </c>
      <c r="T30" s="348">
        <f t="shared" ref="T30:U45" si="17">T29+1</f>
        <v>2028</v>
      </c>
      <c r="U30" s="348">
        <f t="shared" si="17"/>
        <v>19</v>
      </c>
      <c r="V30" s="409">
        <f t="shared" si="8"/>
        <v>8484</v>
      </c>
      <c r="W30" s="409">
        <f t="shared" si="9"/>
        <v>10280.991512953642</v>
      </c>
      <c r="X30" s="409">
        <f t="shared" si="10"/>
        <v>10131.90243902439</v>
      </c>
      <c r="Y30" s="409">
        <f t="shared" si="11"/>
        <v>9961.3206424747168</v>
      </c>
      <c r="Z30" s="409">
        <f t="shared" si="12"/>
        <v>5956</v>
      </c>
      <c r="AA30" s="409">
        <f t="shared" si="13"/>
        <v>5082.1217561594813</v>
      </c>
      <c r="AB30" s="409">
        <f t="shared" si="14"/>
        <v>5069.9512195121952</v>
      </c>
      <c r="AC30" s="409">
        <f t="shared" si="15"/>
        <v>5056.0261748958956</v>
      </c>
    </row>
    <row r="31" spans="2:29" ht="15" hidden="1" customHeight="1" outlineLevel="1">
      <c r="B31" s="13">
        <v>2029</v>
      </c>
      <c r="C31" s="14">
        <f t="shared" si="3"/>
        <v>8861.4833678729028</v>
      </c>
      <c r="D31" s="14">
        <f t="shared" si="0"/>
        <v>1431.6398150250332</v>
      </c>
      <c r="E31" s="410">
        <f t="shared" si="4"/>
        <v>10293.123182897931</v>
      </c>
      <c r="F31" s="14">
        <f t="shared" si="5"/>
        <v>1772.6396070290416</v>
      </c>
      <c r="G31" s="14">
        <f t="shared" si="1"/>
        <v>3310.4724895340546</v>
      </c>
      <c r="H31" s="410">
        <f t="shared" si="6"/>
        <v>5083.1120965630962</v>
      </c>
      <c r="I31" s="12">
        <f t="shared" si="7"/>
        <v>15376.235279461027</v>
      </c>
      <c r="J31" s="43">
        <f t="shared" si="2"/>
        <v>2.0249648222114836</v>
      </c>
      <c r="T31" s="348">
        <f t="shared" si="17"/>
        <v>2029</v>
      </c>
      <c r="U31" s="348">
        <f t="shared" si="17"/>
        <v>20</v>
      </c>
      <c r="V31" s="409">
        <f t="shared" si="8"/>
        <v>8414</v>
      </c>
      <c r="W31" s="409">
        <f t="shared" si="9"/>
        <v>10293.123182897931</v>
      </c>
      <c r="X31" s="409">
        <f t="shared" si="10"/>
        <v>10148.634146341463</v>
      </c>
      <c r="Y31" s="409">
        <f t="shared" si="11"/>
        <v>9977.2361689470545</v>
      </c>
      <c r="Z31" s="409">
        <f t="shared" si="12"/>
        <v>6004</v>
      </c>
      <c r="AA31" s="409">
        <f t="shared" si="13"/>
        <v>5083.1120965630962</v>
      </c>
      <c r="AB31" s="409">
        <f t="shared" si="14"/>
        <v>5071.3170731707314</v>
      </c>
      <c r="AC31" s="409">
        <f t="shared" si="15"/>
        <v>5057.3254015466982</v>
      </c>
    </row>
    <row r="32" spans="2:29" ht="15" customHeight="1" collapsed="1">
      <c r="B32" s="13">
        <v>2030</v>
      </c>
      <c r="C32" s="14">
        <f t="shared" si="3"/>
        <v>8871.669676237083</v>
      </c>
      <c r="D32" s="14">
        <f t="shared" si="0"/>
        <v>1433.2854903614168</v>
      </c>
      <c r="E32" s="410">
        <f t="shared" si="4"/>
        <v>10304.955166598495</v>
      </c>
      <c r="F32" s="14">
        <f t="shared" si="5"/>
        <v>1772.9764381693626</v>
      </c>
      <c r="G32" s="14">
        <f t="shared" si="1"/>
        <v>3311.101534614188</v>
      </c>
      <c r="H32" s="410">
        <f t="shared" si="6"/>
        <v>5084.0779727835506</v>
      </c>
      <c r="I32" s="12">
        <f t="shared" si="7"/>
        <v>15389.033139382045</v>
      </c>
      <c r="J32" s="43">
        <f t="shared" si="2"/>
        <v>2.0269073806034679</v>
      </c>
      <c r="T32" s="348">
        <f t="shared" si="17"/>
        <v>2030</v>
      </c>
      <c r="U32" s="348">
        <f t="shared" si="17"/>
        <v>21</v>
      </c>
      <c r="V32" s="409">
        <f t="shared" si="8"/>
        <v>8344</v>
      </c>
      <c r="W32" s="409">
        <f t="shared" si="9"/>
        <v>10304.955166598495</v>
      </c>
      <c r="X32" s="409">
        <f t="shared" si="10"/>
        <v>10165.365853658537</v>
      </c>
      <c r="Y32" s="409">
        <f t="shared" si="11"/>
        <v>9993.9678762641288</v>
      </c>
      <c r="Z32" s="409">
        <f t="shared" si="12"/>
        <v>6052</v>
      </c>
      <c r="AA32" s="409">
        <f t="shared" si="13"/>
        <v>5084.0779727835506</v>
      </c>
      <c r="AB32" s="409">
        <f t="shared" si="14"/>
        <v>5072.6829268292686</v>
      </c>
      <c r="AC32" s="409">
        <f t="shared" si="15"/>
        <v>5058.6912552052354</v>
      </c>
    </row>
    <row r="33" spans="2:29" ht="15" hidden="1" customHeight="1" outlineLevel="1">
      <c r="B33" s="13">
        <v>2031</v>
      </c>
      <c r="C33" s="14">
        <f t="shared" si="3"/>
        <v>8881.6162059481248</v>
      </c>
      <c r="D33" s="14">
        <f t="shared" si="0"/>
        <v>1434.892427638677</v>
      </c>
      <c r="E33" s="410">
        <f t="shared" si="4"/>
        <v>10316.508633586796</v>
      </c>
      <c r="F33" s="14">
        <f t="shared" si="5"/>
        <v>1773.3053405376229</v>
      </c>
      <c r="G33" s="14">
        <f t="shared" si="1"/>
        <v>3311.7157724082385</v>
      </c>
      <c r="H33" s="410">
        <f t="shared" si="6"/>
        <v>5085.0211129458612</v>
      </c>
      <c r="I33" s="12">
        <f t="shared" si="7"/>
        <v>15401.529746532658</v>
      </c>
      <c r="J33" s="43">
        <f t="shared" si="2"/>
        <v>2.0288035004067511</v>
      </c>
      <c r="T33" s="348">
        <f t="shared" si="17"/>
        <v>2031</v>
      </c>
      <c r="U33" s="348">
        <f t="shared" si="17"/>
        <v>22</v>
      </c>
      <c r="V33" s="409">
        <f t="shared" si="8"/>
        <v>8274</v>
      </c>
      <c r="W33" s="409">
        <f t="shared" si="9"/>
        <v>10316.508633586796</v>
      </c>
      <c r="X33" s="409">
        <f t="shared" si="10"/>
        <v>10182.09756097561</v>
      </c>
      <c r="Y33" s="409">
        <f t="shared" si="11"/>
        <v>10011.515764425936</v>
      </c>
      <c r="Z33" s="409">
        <f t="shared" si="12"/>
        <v>6100</v>
      </c>
      <c r="AA33" s="409">
        <f t="shared" si="13"/>
        <v>5085.0211129458612</v>
      </c>
      <c r="AB33" s="409">
        <f t="shared" si="14"/>
        <v>5074.0487804878048</v>
      </c>
      <c r="AC33" s="409">
        <f t="shared" si="15"/>
        <v>5060.1237358715052</v>
      </c>
    </row>
    <row r="34" spans="2:29" ht="15" hidden="1" customHeight="1" outlineLevel="1">
      <c r="B34" s="13">
        <v>2032</v>
      </c>
      <c r="C34" s="14">
        <f t="shared" si="3"/>
        <v>8891.3391324397362</v>
      </c>
      <c r="D34" s="14">
        <f t="shared" si="0"/>
        <v>1436.4632401207516</v>
      </c>
      <c r="E34" s="410">
        <f t="shared" si="4"/>
        <v>10327.802372560482</v>
      </c>
      <c r="F34" s="14">
        <f t="shared" si="5"/>
        <v>1773.6268490076532</v>
      </c>
      <c r="G34" s="14">
        <f t="shared" si="1"/>
        <v>3312.3162018136104</v>
      </c>
      <c r="H34" s="410">
        <f t="shared" si="6"/>
        <v>5085.9430508212636</v>
      </c>
      <c r="I34" s="12">
        <f t="shared" si="7"/>
        <v>15413.745423381744</v>
      </c>
      <c r="J34" s="43">
        <f t="shared" si="2"/>
        <v>2.0306563147404448</v>
      </c>
      <c r="T34" s="348">
        <f t="shared" si="17"/>
        <v>2032</v>
      </c>
      <c r="U34" s="348">
        <f t="shared" si="17"/>
        <v>23</v>
      </c>
      <c r="V34" s="409">
        <f t="shared" si="8"/>
        <v>8204</v>
      </c>
      <c r="W34" s="409">
        <f t="shared" si="9"/>
        <v>10327.802372560482</v>
      </c>
      <c r="X34" s="409">
        <f t="shared" si="10"/>
        <v>10198.829268292682</v>
      </c>
      <c r="Y34" s="409">
        <f t="shared" si="11"/>
        <v>10029.87983343248</v>
      </c>
      <c r="Z34" s="409">
        <f t="shared" si="12"/>
        <v>6148</v>
      </c>
      <c r="AA34" s="409">
        <f t="shared" si="13"/>
        <v>5085.9430508212636</v>
      </c>
      <c r="AB34" s="409">
        <f t="shared" si="14"/>
        <v>5075.4146341463411</v>
      </c>
      <c r="AC34" s="409">
        <f t="shared" si="15"/>
        <v>5061.6228435455087</v>
      </c>
    </row>
    <row r="35" spans="2:29" ht="15" hidden="1" customHeight="1" outlineLevel="1">
      <c r="B35" s="13">
        <v>2033</v>
      </c>
      <c r="C35" s="14">
        <f t="shared" si="3"/>
        <v>8900.8528903593815</v>
      </c>
      <c r="D35" s="14">
        <f t="shared" si="0"/>
        <v>1438.0002598343644</v>
      </c>
      <c r="E35" s="410">
        <f t="shared" si="4"/>
        <v>10338.85315019374</v>
      </c>
      <c r="F35" s="14">
        <f t="shared" si="5"/>
        <v>1773.9414408906241</v>
      </c>
      <c r="G35" s="14">
        <f t="shared" si="1"/>
        <v>3312.9037142272318</v>
      </c>
      <c r="H35" s="410">
        <f t="shared" si="6"/>
        <v>5086.8451551178559</v>
      </c>
      <c r="I35" s="12">
        <f t="shared" si="7"/>
        <v>15425.698305311595</v>
      </c>
      <c r="J35" s="43">
        <f t="shared" si="2"/>
        <v>2.0324686195316675</v>
      </c>
      <c r="T35" s="348">
        <f t="shared" si="17"/>
        <v>2033</v>
      </c>
      <c r="U35" s="348">
        <f t="shared" si="17"/>
        <v>24</v>
      </c>
      <c r="V35" s="409">
        <f t="shared" si="8"/>
        <v>8134</v>
      </c>
      <c r="W35" s="409">
        <f t="shared" si="9"/>
        <v>10338.85315019374</v>
      </c>
      <c r="X35" s="409">
        <f t="shared" si="10"/>
        <v>10215.560975609756</v>
      </c>
      <c r="Y35" s="409">
        <f t="shared" si="11"/>
        <v>10049.060083283759</v>
      </c>
      <c r="Z35" s="409">
        <f t="shared" si="12"/>
        <v>6196</v>
      </c>
      <c r="AA35" s="409">
        <f t="shared" si="13"/>
        <v>5086.8451551178559</v>
      </c>
      <c r="AB35" s="409">
        <f t="shared" si="14"/>
        <v>5076.7804878048782</v>
      </c>
      <c r="AC35" s="409">
        <f t="shared" si="15"/>
        <v>5063.1885782272457</v>
      </c>
    </row>
    <row r="36" spans="2:29" ht="15" hidden="1" customHeight="1" outlineLevel="1">
      <c r="B36" s="13">
        <v>2034</v>
      </c>
      <c r="C36" s="14">
        <f t="shared" si="3"/>
        <v>8910.1704250759321</v>
      </c>
      <c r="D36" s="14">
        <f t="shared" si="0"/>
        <v>1439.5055782019929</v>
      </c>
      <c r="E36" s="410">
        <f t="shared" si="4"/>
        <v>10349.676003277918</v>
      </c>
      <c r="F36" s="14">
        <f t="shared" si="5"/>
        <v>1774.2495442516606</v>
      </c>
      <c r="G36" s="14">
        <f t="shared" si="1"/>
        <v>3313.4791090771491</v>
      </c>
      <c r="H36" s="410">
        <f t="shared" si="6"/>
        <v>5087.7286533288097</v>
      </c>
      <c r="I36" s="12">
        <f t="shared" si="7"/>
        <v>15437.404656606728</v>
      </c>
      <c r="J36" s="43">
        <f t="shared" si="2"/>
        <v>2.0342429222333447</v>
      </c>
      <c r="T36" s="348">
        <f t="shared" si="17"/>
        <v>2034</v>
      </c>
      <c r="U36" s="348">
        <f t="shared" si="17"/>
        <v>25</v>
      </c>
      <c r="V36" s="409">
        <f t="shared" si="8"/>
        <v>8064</v>
      </c>
      <c r="W36" s="409">
        <f t="shared" si="9"/>
        <v>10349.676003277918</v>
      </c>
      <c r="X36" s="409">
        <f t="shared" si="10"/>
        <v>10232.292682926829</v>
      </c>
      <c r="Y36" s="409">
        <f t="shared" si="11"/>
        <v>10069.056513979775</v>
      </c>
      <c r="Z36" s="409">
        <f t="shared" si="12"/>
        <v>6244</v>
      </c>
      <c r="AA36" s="409">
        <f t="shared" si="13"/>
        <v>5087.7286533288097</v>
      </c>
      <c r="AB36" s="409">
        <f t="shared" si="14"/>
        <v>5078.1463414634145</v>
      </c>
      <c r="AC36" s="409">
        <f t="shared" si="15"/>
        <v>5064.8209399167163</v>
      </c>
    </row>
    <row r="37" spans="2:29" ht="15" hidden="1" customHeight="1" outlineLevel="1">
      <c r="B37" s="13">
        <v>2035</v>
      </c>
      <c r="C37" s="14">
        <f t="shared" si="3"/>
        <v>8919.3033993108111</v>
      </c>
      <c r="D37" s="14">
        <f t="shared" si="0"/>
        <v>1440.9810794246951</v>
      </c>
      <c r="E37" s="410">
        <f t="shared" si="4"/>
        <v>10360.284478735501</v>
      </c>
      <c r="F37" s="14">
        <f t="shared" si="5"/>
        <v>1774.5515447425225</v>
      </c>
      <c r="G37" s="14">
        <f t="shared" si="1"/>
        <v>3314.0431065828238</v>
      </c>
      <c r="H37" s="410">
        <f t="shared" si="6"/>
        <v>5088.5946513253466</v>
      </c>
      <c r="I37" s="12">
        <f t="shared" si="7"/>
        <v>15448.879130060846</v>
      </c>
      <c r="J37" s="43">
        <f t="shared" si="2"/>
        <v>2.035981481849241</v>
      </c>
      <c r="T37" s="348">
        <f t="shared" si="17"/>
        <v>2035</v>
      </c>
      <c r="U37" s="348">
        <f t="shared" si="17"/>
        <v>26</v>
      </c>
      <c r="V37" s="409">
        <f t="shared" si="8"/>
        <v>7994</v>
      </c>
      <c r="W37" s="409">
        <f t="shared" si="9"/>
        <v>10360.284478735501</v>
      </c>
      <c r="X37" s="409">
        <f t="shared" si="10"/>
        <v>10249.024390243903</v>
      </c>
      <c r="Y37" s="409">
        <f t="shared" si="11"/>
        <v>10089.869125520523</v>
      </c>
      <c r="Z37" s="409">
        <f t="shared" si="12"/>
        <v>6292</v>
      </c>
      <c r="AA37" s="409">
        <f t="shared" si="13"/>
        <v>5088.5946513253466</v>
      </c>
      <c r="AB37" s="409">
        <f t="shared" si="14"/>
        <v>5079.5121951219517</v>
      </c>
      <c r="AC37" s="409">
        <f t="shared" si="15"/>
        <v>5066.5199286139205</v>
      </c>
    </row>
    <row r="38" spans="2:29" ht="15" hidden="1" customHeight="1" outlineLevel="1">
      <c r="B38" s="13">
        <v>2036</v>
      </c>
      <c r="C38" s="14">
        <f t="shared" si="3"/>
        <v>8928.2623643077914</v>
      </c>
      <c r="D38" s="14">
        <f t="shared" si="0"/>
        <v>1442.4284681358888</v>
      </c>
      <c r="E38" s="410">
        <f t="shared" si="4"/>
        <v>10370.690832443674</v>
      </c>
      <c r="F38" s="14">
        <f t="shared" si="5"/>
        <v>1774.8477912616877</v>
      </c>
      <c r="G38" s="14">
        <f t="shared" si="1"/>
        <v>3314.5963583255511</v>
      </c>
      <c r="H38" s="410">
        <f t="shared" si="6"/>
        <v>5089.4441495872388</v>
      </c>
      <c r="I38" s="12">
        <f t="shared" si="7"/>
        <v>15460.134982030911</v>
      </c>
      <c r="J38" s="43">
        <f t="shared" si="2"/>
        <v>2.0376863420899807</v>
      </c>
      <c r="T38" s="348">
        <f t="shared" si="17"/>
        <v>2036</v>
      </c>
      <c r="U38" s="348">
        <f t="shared" si="17"/>
        <v>27</v>
      </c>
      <c r="V38" s="409">
        <f t="shared" si="8"/>
        <v>7924</v>
      </c>
      <c r="W38" s="409">
        <f t="shared" si="9"/>
        <v>10370.690832443674</v>
      </c>
      <c r="X38" s="409">
        <f t="shared" si="10"/>
        <v>10265.756097560976</v>
      </c>
      <c r="Y38" s="409">
        <f t="shared" si="11"/>
        <v>10111.497917906008</v>
      </c>
      <c r="Z38" s="409">
        <f t="shared" si="12"/>
        <v>6340</v>
      </c>
      <c r="AA38" s="409">
        <f t="shared" si="13"/>
        <v>5089.4441495872388</v>
      </c>
      <c r="AB38" s="409">
        <f t="shared" si="14"/>
        <v>5080.8780487804879</v>
      </c>
      <c r="AC38" s="409">
        <f t="shared" si="15"/>
        <v>5068.2855443188582</v>
      </c>
    </row>
    <row r="39" spans="2:29" ht="15" hidden="1" customHeight="1" outlineLevel="1">
      <c r="B39" s="13">
        <v>2037</v>
      </c>
      <c r="C39" s="14">
        <f t="shared" si="3"/>
        <v>8937.0569027075453</v>
      </c>
      <c r="D39" s="14">
        <f t="shared" si="0"/>
        <v>1443.8492924838192</v>
      </c>
      <c r="E39" s="410">
        <f t="shared" si="4"/>
        <v>10380.906195191357</v>
      </c>
      <c r="F39" s="14">
        <f t="shared" si="5"/>
        <v>1775.1386006787875</v>
      </c>
      <c r="G39" s="14">
        <f t="shared" si="1"/>
        <v>3315.1394560715275</v>
      </c>
      <c r="H39" s="410">
        <f t="shared" si="6"/>
        <v>5090.278056750315</v>
      </c>
      <c r="I39" s="12">
        <f t="shared" si="7"/>
        <v>15471.184251941671</v>
      </c>
      <c r="J39" s="43">
        <f t="shared" si="2"/>
        <v>2.0393593590481838</v>
      </c>
      <c r="T39" s="348">
        <f t="shared" si="17"/>
        <v>2037</v>
      </c>
      <c r="U39" s="348">
        <f t="shared" si="17"/>
        <v>28</v>
      </c>
      <c r="V39" s="409">
        <f t="shared" si="8"/>
        <v>7854</v>
      </c>
      <c r="W39" s="409">
        <f t="shared" si="9"/>
        <v>10380.906195191357</v>
      </c>
      <c r="X39" s="409">
        <f t="shared" si="10"/>
        <v>10282.487804878048</v>
      </c>
      <c r="Y39" s="409">
        <f t="shared" si="11"/>
        <v>10133.942891136228</v>
      </c>
      <c r="Z39" s="409">
        <f t="shared" si="12"/>
        <v>6388</v>
      </c>
      <c r="AA39" s="409">
        <f t="shared" si="13"/>
        <v>5090.278056750315</v>
      </c>
      <c r="AB39" s="409">
        <f t="shared" si="14"/>
        <v>5082.2439024390242</v>
      </c>
      <c r="AC39" s="409">
        <f t="shared" si="15"/>
        <v>5070.1177870315287</v>
      </c>
    </row>
    <row r="40" spans="2:29" ht="15" hidden="1" customHeight="1" outlineLevel="1">
      <c r="B40" s="13">
        <v>2038</v>
      </c>
      <c r="C40" s="14">
        <f t="shared" si="3"/>
        <v>8945.6957486420342</v>
      </c>
      <c r="D40" s="14">
        <f t="shared" si="0"/>
        <v>1445.2449635337159</v>
      </c>
      <c r="E40" s="410">
        <f t="shared" si="4"/>
        <v>10390.940712175743</v>
      </c>
      <c r="F40" s="14">
        <f t="shared" si="5"/>
        <v>1775.4242618057765</v>
      </c>
      <c r="G40" s="14">
        <f t="shared" si="1"/>
        <v>3315.6729391881613</v>
      </c>
      <c r="H40" s="410">
        <f t="shared" si="6"/>
        <v>5091.0972009939378</v>
      </c>
      <c r="I40" s="12">
        <f t="shared" si="7"/>
        <v>15482.037913169681</v>
      </c>
      <c r="J40" s="43">
        <f t="shared" si="2"/>
        <v>2.0410022244609891</v>
      </c>
      <c r="T40" s="348">
        <f t="shared" si="17"/>
        <v>2038</v>
      </c>
      <c r="U40" s="348">
        <f t="shared" si="17"/>
        <v>29</v>
      </c>
      <c r="V40" s="409">
        <f t="shared" si="8"/>
        <v>7784</v>
      </c>
      <c r="W40" s="409">
        <f t="shared" si="9"/>
        <v>10390.940712175743</v>
      </c>
      <c r="X40" s="409">
        <f t="shared" si="10"/>
        <v>10299.219512195123</v>
      </c>
      <c r="Y40" s="409">
        <f t="shared" si="11"/>
        <v>10157.204045211183</v>
      </c>
      <c r="Z40" s="409">
        <f t="shared" si="12"/>
        <v>6436</v>
      </c>
      <c r="AA40" s="409">
        <f t="shared" si="13"/>
        <v>5091.0972009939378</v>
      </c>
      <c r="AB40" s="409">
        <f t="shared" si="14"/>
        <v>5083.6097560975613</v>
      </c>
      <c r="AC40" s="409">
        <f t="shared" si="15"/>
        <v>5072.0166567519336</v>
      </c>
    </row>
    <row r="41" spans="2:29" ht="15" hidden="1" customHeight="1" outlineLevel="1">
      <c r="B41" s="13">
        <v>2039</v>
      </c>
      <c r="C41" s="14">
        <f t="shared" si="3"/>
        <v>8954.18688933667</v>
      </c>
      <c r="D41" s="14">
        <f t="shared" si="0"/>
        <v>1446.6167716823936</v>
      </c>
      <c r="E41" s="410">
        <f t="shared" si="4"/>
        <v>10400.803661019056</v>
      </c>
      <c r="F41" s="14">
        <f t="shared" si="5"/>
        <v>1775.7050387566153</v>
      </c>
      <c r="G41" s="14">
        <f t="shared" si="1"/>
        <v>3316.1973009184089</v>
      </c>
      <c r="H41" s="410">
        <f t="shared" si="6"/>
        <v>5091.9023396750245</v>
      </c>
      <c r="I41" s="12">
        <f t="shared" si="7"/>
        <v>15492.706000694081</v>
      </c>
      <c r="J41" s="43">
        <f t="shared" si="2"/>
        <v>2.0426164853905773</v>
      </c>
      <c r="T41" s="348">
        <f t="shared" si="17"/>
        <v>2039</v>
      </c>
      <c r="U41" s="348">
        <f t="shared" si="17"/>
        <v>30</v>
      </c>
      <c r="V41" s="409">
        <f t="shared" si="8"/>
        <v>7714</v>
      </c>
      <c r="W41" s="409">
        <f t="shared" si="9"/>
        <v>10400.803661019056</v>
      </c>
      <c r="X41" s="409">
        <f t="shared" si="10"/>
        <v>10315.951219512195</v>
      </c>
      <c r="Y41" s="409">
        <f t="shared" si="11"/>
        <v>10181.281380130875</v>
      </c>
      <c r="Z41" s="409">
        <f t="shared" si="12"/>
        <v>6484</v>
      </c>
      <c r="AA41" s="409">
        <f t="shared" si="13"/>
        <v>5091.9023396750245</v>
      </c>
      <c r="AB41" s="409">
        <f t="shared" si="14"/>
        <v>5084.9756097560976</v>
      </c>
      <c r="AC41" s="409">
        <f t="shared" si="15"/>
        <v>5073.9821534800712</v>
      </c>
    </row>
    <row r="42" spans="2:29" ht="15" customHeight="1" collapsed="1">
      <c r="B42" s="13">
        <v>2040</v>
      </c>
      <c r="C42" s="14">
        <f t="shared" si="3"/>
        <v>8962.5376515857915</v>
      </c>
      <c r="D42" s="14">
        <f t="shared" si="0"/>
        <v>1447.9659006290203</v>
      </c>
      <c r="E42" s="410">
        <f t="shared" si="4"/>
        <v>10410.503552214803</v>
      </c>
      <c r="F42" s="14">
        <f t="shared" si="5"/>
        <v>1775.9811738067592</v>
      </c>
      <c r="G42" s="14">
        <f t="shared" si="1"/>
        <v>3316.7129937209802</v>
      </c>
      <c r="H42" s="410">
        <f t="shared" si="6"/>
        <v>5092.6941675277394</v>
      </c>
      <c r="I42" s="12">
        <f t="shared" si="7"/>
        <v>15503.197719742542</v>
      </c>
      <c r="J42" s="43">
        <f t="shared" si="2"/>
        <v>2.0442035609746041</v>
      </c>
      <c r="L42" s="10" t="s">
        <v>646</v>
      </c>
      <c r="T42" s="348">
        <f t="shared" si="17"/>
        <v>2040</v>
      </c>
      <c r="U42" s="348">
        <f t="shared" si="17"/>
        <v>31</v>
      </c>
      <c r="V42" s="409">
        <f t="shared" si="8"/>
        <v>7644</v>
      </c>
      <c r="W42" s="409">
        <f t="shared" si="9"/>
        <v>10410.503552214803</v>
      </c>
      <c r="X42" s="409">
        <f t="shared" si="10"/>
        <v>10332.682926829268</v>
      </c>
      <c r="Y42" s="409">
        <f t="shared" si="11"/>
        <v>10206.174895895301</v>
      </c>
      <c r="Z42" s="409">
        <f t="shared" si="12"/>
        <v>6532</v>
      </c>
      <c r="AA42" s="409">
        <f t="shared" si="13"/>
        <v>5092.6941675277394</v>
      </c>
      <c r="AB42" s="409">
        <f t="shared" si="14"/>
        <v>5086.3414634146338</v>
      </c>
      <c r="AC42" s="409">
        <f t="shared" si="15"/>
        <v>5076.0142772159425</v>
      </c>
    </row>
    <row r="43" spans="2:29" ht="15" hidden="1" customHeight="1" outlineLevel="1">
      <c r="B43" s="13">
        <v>2041</v>
      </c>
      <c r="C43" s="14">
        <f t="shared" si="3"/>
        <v>8970.7547757662014</v>
      </c>
      <c r="D43" s="14">
        <f t="shared" si="0"/>
        <v>1449.2934393325661</v>
      </c>
      <c r="E43" s="410">
        <f t="shared" si="4"/>
        <v>10420.048215098757</v>
      </c>
      <c r="F43" s="14">
        <f t="shared" si="5"/>
        <v>1776.2528898405656</v>
      </c>
      <c r="G43" s="14">
        <f t="shared" si="1"/>
        <v>3317.2204338409656</v>
      </c>
      <c r="H43" s="410">
        <f t="shared" si="6"/>
        <v>5093.4733236815309</v>
      </c>
      <c r="I43" s="12">
        <f t="shared" si="7"/>
        <v>15513.521538780289</v>
      </c>
      <c r="J43" s="43">
        <f t="shared" si="2"/>
        <v>2.0457647567627215</v>
      </c>
      <c r="T43" s="348">
        <f t="shared" si="17"/>
        <v>2041</v>
      </c>
      <c r="U43" s="348">
        <f t="shared" si="17"/>
        <v>32</v>
      </c>
      <c r="V43" s="409">
        <f t="shared" si="8"/>
        <v>7574</v>
      </c>
      <c r="W43" s="409">
        <f t="shared" si="9"/>
        <v>10420.048215098757</v>
      </c>
      <c r="X43" s="409">
        <f t="shared" si="10"/>
        <v>10349.414634146342</v>
      </c>
      <c r="Y43" s="409">
        <f t="shared" si="11"/>
        <v>10231.884592504462</v>
      </c>
      <c r="Z43" s="409">
        <f t="shared" si="12"/>
        <v>6580</v>
      </c>
      <c r="AA43" s="409">
        <f t="shared" si="13"/>
        <v>5093.4733236815309</v>
      </c>
      <c r="AB43" s="409">
        <f t="shared" si="14"/>
        <v>5087.707317073171</v>
      </c>
      <c r="AC43" s="409">
        <f t="shared" si="15"/>
        <v>5078.1130279595482</v>
      </c>
    </row>
    <row r="44" spans="2:29" ht="15" hidden="1" customHeight="1" outlineLevel="1">
      <c r="B44" s="13">
        <v>2042</v>
      </c>
      <c r="C44" s="14">
        <f t="shared" si="3"/>
        <v>8978.8444795158575</v>
      </c>
      <c r="D44" s="14">
        <f t="shared" si="0"/>
        <v>1450.6003922995774</v>
      </c>
      <c r="E44" s="410">
        <f t="shared" si="4"/>
        <v>10429.444871815424</v>
      </c>
      <c r="F44" s="14">
        <f t="shared" si="5"/>
        <v>1776.5203924569637</v>
      </c>
      <c r="G44" s="14">
        <f t="shared" si="1"/>
        <v>3317.7200052422545</v>
      </c>
      <c r="H44" s="410">
        <f t="shared" si="6"/>
        <v>5094.2403976992182</v>
      </c>
      <c r="I44" s="12">
        <f t="shared" si="7"/>
        <v>15523.685269514641</v>
      </c>
      <c r="J44" s="43">
        <f t="shared" si="2"/>
        <v>2.0473012770512002</v>
      </c>
      <c r="T44" s="348">
        <f t="shared" si="17"/>
        <v>2042</v>
      </c>
      <c r="U44" s="348">
        <f>U43+1</f>
        <v>33</v>
      </c>
      <c r="V44" s="409">
        <f t="shared" si="8"/>
        <v>7504</v>
      </c>
      <c r="W44" s="409">
        <f t="shared" si="9"/>
        <v>10429.444871815424</v>
      </c>
      <c r="X44" s="409">
        <f t="shared" si="10"/>
        <v>10366.146341463415</v>
      </c>
      <c r="Y44" s="409">
        <f t="shared" si="11"/>
        <v>10258.410469958359</v>
      </c>
      <c r="Z44" s="409">
        <f t="shared" si="12"/>
        <v>6628</v>
      </c>
      <c r="AA44" s="409">
        <f t="shared" si="13"/>
        <v>5094.2403976992182</v>
      </c>
      <c r="AB44" s="409">
        <f t="shared" si="14"/>
        <v>5089.0731707317073</v>
      </c>
      <c r="AC44" s="409">
        <f t="shared" si="15"/>
        <v>5080.2784057108865</v>
      </c>
    </row>
    <row r="45" spans="2:29" ht="15" hidden="1" customHeight="1" outlineLevel="1">
      <c r="B45" s="13">
        <v>2043</v>
      </c>
      <c r="C45" s="14">
        <f t="shared" si="3"/>
        <v>8986.8125127886287</v>
      </c>
      <c r="D45" s="14">
        <f t="shared" si="0"/>
        <v>1451.887688478691</v>
      </c>
      <c r="E45" s="410">
        <f t="shared" si="4"/>
        <v>10438.700201267307</v>
      </c>
      <c r="F45" s="14">
        <f t="shared" si="5"/>
        <v>1776.7838717899494</v>
      </c>
      <c r="G45" s="14">
        <f t="shared" si="1"/>
        <v>3318.2120630073814</v>
      </c>
      <c r="H45" s="410">
        <f t="shared" si="6"/>
        <v>5094.9959347973308</v>
      </c>
      <c r="I45" s="12">
        <f t="shared" si="7"/>
        <v>15533.696136064638</v>
      </c>
      <c r="J45" s="43">
        <f t="shared" si="2"/>
        <v>2.0488142355470864</v>
      </c>
      <c r="T45" s="348">
        <f t="shared" si="17"/>
        <v>2043</v>
      </c>
      <c r="U45" s="348">
        <f t="shared" si="17"/>
        <v>34</v>
      </c>
      <c r="V45" s="409">
        <f t="shared" si="8"/>
        <v>7434</v>
      </c>
      <c r="W45" s="409">
        <f t="shared" si="9"/>
        <v>10438.700201267307</v>
      </c>
      <c r="X45" s="409">
        <f t="shared" si="10"/>
        <v>10382.878048780487</v>
      </c>
      <c r="Y45" s="409">
        <f t="shared" si="11"/>
        <v>10285.75252825699</v>
      </c>
      <c r="Z45" s="409">
        <f t="shared" si="12"/>
        <v>6676</v>
      </c>
      <c r="AA45" s="409">
        <f t="shared" si="13"/>
        <v>5094.9959347973308</v>
      </c>
      <c r="AB45" s="409">
        <f t="shared" si="14"/>
        <v>5090.4390243902435</v>
      </c>
      <c r="AC45" s="409">
        <f t="shared" si="15"/>
        <v>5082.5104104699585</v>
      </c>
    </row>
    <row r="46" spans="2:29" ht="15" hidden="1" customHeight="1" outlineLevel="1">
      <c r="B46" s="13">
        <v>2044</v>
      </c>
      <c r="C46" s="14">
        <f t="shared" si="3"/>
        <v>8994.6642056710389</v>
      </c>
      <c r="D46" s="14">
        <f t="shared" si="0"/>
        <v>1453.1561889857915</v>
      </c>
      <c r="E46" s="410">
        <f t="shared" si="4"/>
        <v>10447.820394656819</v>
      </c>
      <c r="F46" s="14">
        <f t="shared" si="5"/>
        <v>1777.0435040897464</v>
      </c>
      <c r="G46" s="14">
        <f t="shared" si="1"/>
        <v>3318.6969362904019</v>
      </c>
      <c r="H46" s="410">
        <f t="shared" si="6"/>
        <v>5095.7404403801484</v>
      </c>
      <c r="I46" s="12">
        <f t="shared" si="7"/>
        <v>15543.560835036968</v>
      </c>
      <c r="J46" s="43">
        <f t="shared" si="2"/>
        <v>2.0503046646303278</v>
      </c>
      <c r="T46" s="348">
        <f t="shared" ref="T46:U52" si="18">T45+1</f>
        <v>2044</v>
      </c>
      <c r="U46" s="348">
        <f t="shared" si="18"/>
        <v>35</v>
      </c>
      <c r="V46" s="409">
        <f t="shared" si="8"/>
        <v>7364</v>
      </c>
      <c r="W46" s="409">
        <f t="shared" si="9"/>
        <v>10447.820394656819</v>
      </c>
      <c r="X46" s="409">
        <f t="shared" si="10"/>
        <v>10399.609756097561</v>
      </c>
      <c r="Y46" s="409">
        <f t="shared" si="11"/>
        <v>10313.910767400357</v>
      </c>
      <c r="Z46" s="409">
        <f t="shared" si="12"/>
        <v>6724</v>
      </c>
      <c r="AA46" s="409">
        <f t="shared" si="13"/>
        <v>5095.7404403801484</v>
      </c>
      <c r="AB46" s="409">
        <f t="shared" si="14"/>
        <v>5091.8048780487807</v>
      </c>
      <c r="AC46" s="409">
        <f t="shared" si="15"/>
        <v>5084.8090422367641</v>
      </c>
    </row>
    <row r="47" spans="2:29" ht="15" hidden="1" customHeight="1" outlineLevel="1">
      <c r="B47" s="13">
        <v>2045</v>
      </c>
      <c r="C47" s="14">
        <f t="shared" si="3"/>
        <v>9002.4045100911226</v>
      </c>
      <c r="D47" s="14">
        <f t="shared" si="0"/>
        <v>1454.4066938423916</v>
      </c>
      <c r="E47" s="410">
        <f t="shared" si="4"/>
        <v>10456.811203933503</v>
      </c>
      <c r="F47" s="14">
        <f t="shared" si="5"/>
        <v>1777.2994531019926</v>
      </c>
      <c r="G47" s="14">
        <f t="shared" si="1"/>
        <v>3319.1749308925787</v>
      </c>
      <c r="H47" s="410">
        <f t="shared" si="6"/>
        <v>5096.4743839945713</v>
      </c>
      <c r="I47" s="12">
        <f t="shared" si="7"/>
        <v>15553.285587928074</v>
      </c>
      <c r="J47" s="43">
        <f t="shared" si="2"/>
        <v>2.0517735234327907</v>
      </c>
      <c r="T47" s="348">
        <f t="shared" si="18"/>
        <v>2045</v>
      </c>
      <c r="U47" s="348">
        <f t="shared" si="18"/>
        <v>36</v>
      </c>
      <c r="V47" s="409">
        <f t="shared" si="8"/>
        <v>7294</v>
      </c>
      <c r="W47" s="409">
        <f t="shared" si="9"/>
        <v>10456.811203933503</v>
      </c>
      <c r="X47" s="409">
        <f t="shared" si="10"/>
        <v>10416.341463414634</v>
      </c>
      <c r="Y47" s="409">
        <f t="shared" si="11"/>
        <v>10342.88518738846</v>
      </c>
      <c r="Z47" s="409">
        <f t="shared" si="12"/>
        <v>6772</v>
      </c>
      <c r="AA47" s="409">
        <f t="shared" si="13"/>
        <v>5096.4743839945713</v>
      </c>
      <c r="AB47" s="409">
        <f t="shared" si="14"/>
        <v>5093.1707317073169</v>
      </c>
      <c r="AC47" s="409">
        <f t="shared" si="15"/>
        <v>5087.1743010113032</v>
      </c>
    </row>
    <row r="48" spans="2:29" ht="15" hidden="1" customHeight="1" outlineLevel="1">
      <c r="B48" s="13">
        <v>2046</v>
      </c>
      <c r="C48" s="14">
        <f t="shared" si="3"/>
        <v>9010.0380363467193</v>
      </c>
      <c r="D48" s="14">
        <f t="shared" si="0"/>
        <v>1455.6399478770572</v>
      </c>
      <c r="E48" s="410">
        <f t="shared" si="4"/>
        <v>10465.677984223767</v>
      </c>
      <c r="F48" s="14">
        <f t="shared" si="5"/>
        <v>1777.551871275625</v>
      </c>
      <c r="G48" s="14">
        <f t="shared" si="1"/>
        <v>3319.6463315181513</v>
      </c>
      <c r="H48" s="410">
        <f t="shared" si="6"/>
        <v>5097.1982027937765</v>
      </c>
      <c r="I48" s="12">
        <f t="shared" si="7"/>
        <v>15562.876187017544</v>
      </c>
      <c r="J48" s="43">
        <f t="shared" si="2"/>
        <v>2.0532217049137942</v>
      </c>
      <c r="T48" s="348">
        <f t="shared" si="18"/>
        <v>2046</v>
      </c>
      <c r="U48" s="348">
        <f t="shared" si="18"/>
        <v>37</v>
      </c>
      <c r="V48" s="409">
        <f t="shared" si="8"/>
        <v>7224</v>
      </c>
      <c r="W48" s="409">
        <f t="shared" si="9"/>
        <v>10465.677984223767</v>
      </c>
      <c r="X48" s="409">
        <f t="shared" si="10"/>
        <v>10433.073170731706</v>
      </c>
      <c r="Y48" s="409">
        <f t="shared" si="11"/>
        <v>10372.675788221297</v>
      </c>
      <c r="Z48" s="409">
        <f t="shared" si="12"/>
        <v>6820</v>
      </c>
      <c r="AA48" s="409">
        <f t="shared" si="13"/>
        <v>5097.1982027937765</v>
      </c>
      <c r="AB48" s="409">
        <f t="shared" si="14"/>
        <v>5094.5365853658541</v>
      </c>
      <c r="AC48" s="409">
        <f t="shared" si="15"/>
        <v>5089.606186793575</v>
      </c>
    </row>
    <row r="49" spans="2:29" ht="15" hidden="1" customHeight="1" outlineLevel="1">
      <c r="B49" s="13">
        <v>2047</v>
      </c>
      <c r="C49" s="14">
        <f t="shared" si="3"/>
        <v>9017.5690852186472</v>
      </c>
      <c r="D49" s="14">
        <f t="shared" si="0"/>
        <v>1456.8566459135329</v>
      </c>
      <c r="E49" s="410">
        <f t="shared" si="4"/>
        <v>10474.425731132171</v>
      </c>
      <c r="F49" s="14">
        <f t="shared" si="5"/>
        <v>1777.8009008247664</v>
      </c>
      <c r="G49" s="14">
        <f t="shared" si="1"/>
        <v>3320.1114037574516</v>
      </c>
      <c r="H49" s="410">
        <f t="shared" si="6"/>
        <v>5097.912304582218</v>
      </c>
      <c r="I49" s="12">
        <f t="shared" si="7"/>
        <v>15572.338035714389</v>
      </c>
      <c r="J49" s="43">
        <f t="shared" si="2"/>
        <v>2.054650042080425</v>
      </c>
      <c r="T49" s="348">
        <f t="shared" si="18"/>
        <v>2047</v>
      </c>
      <c r="U49" s="348">
        <f t="shared" si="18"/>
        <v>38</v>
      </c>
      <c r="V49" s="409">
        <f t="shared" si="8"/>
        <v>7154</v>
      </c>
      <c r="W49" s="409">
        <f t="shared" si="9"/>
        <v>10474.425731132171</v>
      </c>
      <c r="X49" s="409">
        <f t="shared" si="10"/>
        <v>10449.804878048781</v>
      </c>
      <c r="Y49" s="409">
        <f t="shared" si="11"/>
        <v>10403.282569898869</v>
      </c>
      <c r="Z49" s="409">
        <f t="shared" si="12"/>
        <v>6868</v>
      </c>
      <c r="AA49" s="409">
        <f t="shared" si="13"/>
        <v>5097.912304582218</v>
      </c>
      <c r="AB49" s="409">
        <f t="shared" si="14"/>
        <v>5095.9024390243903</v>
      </c>
      <c r="AC49" s="409">
        <f t="shared" si="15"/>
        <v>5092.1046995835814</v>
      </c>
    </row>
    <row r="50" spans="2:29" ht="15" hidden="1" customHeight="1" outlineLevel="1">
      <c r="B50" s="13">
        <v>2048</v>
      </c>
      <c r="C50" s="14">
        <f t="shared" si="3"/>
        <v>9025.0016763039475</v>
      </c>
      <c r="D50" s="14">
        <f t="shared" si="0"/>
        <v>1458.057437348192</v>
      </c>
      <c r="E50" s="410">
        <f t="shared" si="4"/>
        <v>10483.059113652131</v>
      </c>
      <c r="F50" s="14">
        <f t="shared" si="5"/>
        <v>1778.0466746656216</v>
      </c>
      <c r="G50" s="14">
        <f t="shared" si="1"/>
        <v>3320.5703958365934</v>
      </c>
      <c r="H50" s="410">
        <f t="shared" si="6"/>
        <v>5098.617070502215</v>
      </c>
      <c r="I50" s="12">
        <f t="shared" si="7"/>
        <v>15581.676184154345</v>
      </c>
      <c r="J50" s="43">
        <f t="shared" si="2"/>
        <v>2.0560593134756728</v>
      </c>
      <c r="T50" s="348">
        <f t="shared" si="18"/>
        <v>2048</v>
      </c>
      <c r="U50" s="348">
        <f t="shared" si="18"/>
        <v>39</v>
      </c>
      <c r="V50" s="409">
        <f t="shared" si="8"/>
        <v>7084</v>
      </c>
      <c r="W50" s="409">
        <f t="shared" si="9"/>
        <v>10483.059113652131</v>
      </c>
      <c r="X50" s="409">
        <f t="shared" si="10"/>
        <v>10466.536585365853</v>
      </c>
      <c r="Y50" s="409">
        <f t="shared" si="11"/>
        <v>10434.705532421178</v>
      </c>
      <c r="Z50" s="409">
        <f t="shared" si="12"/>
        <v>6916</v>
      </c>
      <c r="AA50" s="409">
        <f t="shared" si="13"/>
        <v>5098.617070502215</v>
      </c>
      <c r="AB50" s="409">
        <f t="shared" si="14"/>
        <v>5097.2682926829266</v>
      </c>
      <c r="AC50" s="409">
        <f t="shared" si="15"/>
        <v>5094.6698393813203</v>
      </c>
    </row>
    <row r="51" spans="2:29" ht="15" hidden="1" customHeight="1" outlineLevel="1">
      <c r="B51" s="13">
        <v>2049</v>
      </c>
      <c r="C51" s="14">
        <f t="shared" si="3"/>
        <v>9032.3395730991906</v>
      </c>
      <c r="D51" s="14">
        <f t="shared" si="0"/>
        <v>1459.2429302024361</v>
      </c>
      <c r="E51" s="410">
        <f t="shared" si="4"/>
        <v>10491.582503301619</v>
      </c>
      <c r="F51" s="14">
        <f t="shared" si="5"/>
        <v>1778.2893172459101</v>
      </c>
      <c r="G51" s="14">
        <f t="shared" si="1"/>
        <v>3321.0235401664668</v>
      </c>
      <c r="H51" s="410">
        <f t="shared" si="6"/>
        <v>5099.3128574123766</v>
      </c>
      <c r="I51" s="12">
        <f t="shared" si="7"/>
        <v>15590.895360713996</v>
      </c>
      <c r="J51" s="43">
        <f t="shared" si="2"/>
        <v>2.0574502480370511</v>
      </c>
      <c r="T51" s="348">
        <f t="shared" si="18"/>
        <v>2049</v>
      </c>
      <c r="U51" s="348">
        <f t="shared" si="18"/>
        <v>40</v>
      </c>
      <c r="V51" s="409">
        <f t="shared" si="8"/>
        <v>7014</v>
      </c>
      <c r="W51" s="409">
        <f t="shared" si="9"/>
        <v>10491.582503301619</v>
      </c>
      <c r="X51" s="409">
        <f t="shared" si="10"/>
        <v>10483.268292682927</v>
      </c>
      <c r="Y51" s="409">
        <f t="shared" si="11"/>
        <v>10466.944675788222</v>
      </c>
      <c r="Z51" s="409">
        <f t="shared" si="12"/>
        <v>6964</v>
      </c>
      <c r="AA51" s="409">
        <f t="shared" si="13"/>
        <v>5099.3128574123766</v>
      </c>
      <c r="AB51" s="409">
        <f t="shared" si="14"/>
        <v>5098.6341463414637</v>
      </c>
      <c r="AC51" s="409">
        <f t="shared" si="15"/>
        <v>5097.3016061867938</v>
      </c>
    </row>
    <row r="52" spans="2:29" ht="15" customHeight="1" collapsed="1">
      <c r="B52" s="13">
        <v>2050</v>
      </c>
      <c r="C52" s="14">
        <f t="shared" si="3"/>
        <v>9039.5863052781806</v>
      </c>
      <c r="D52" s="14">
        <f t="shared" si="0"/>
        <v>1460.4136947218258</v>
      </c>
      <c r="E52" s="410">
        <f t="shared" si="4"/>
        <v>10500</v>
      </c>
      <c r="F52" s="14">
        <f t="shared" si="5"/>
        <v>1778.5289452815225</v>
      </c>
      <c r="G52" s="14">
        <f t="shared" si="1"/>
        <v>3321.4710547184773</v>
      </c>
      <c r="H52" s="410">
        <f t="shared" si="6"/>
        <v>5100</v>
      </c>
      <c r="I52" s="12">
        <f t="shared" si="7"/>
        <v>15600</v>
      </c>
      <c r="J52" s="43">
        <f t="shared" si="2"/>
        <v>2.0588235294117645</v>
      </c>
      <c r="T52" s="348">
        <f t="shared" si="18"/>
        <v>2050</v>
      </c>
      <c r="U52" s="348">
        <f t="shared" si="18"/>
        <v>41</v>
      </c>
      <c r="V52" s="409">
        <f t="shared" si="8"/>
        <v>6944</v>
      </c>
      <c r="W52" s="409">
        <f t="shared" si="9"/>
        <v>10500</v>
      </c>
      <c r="X52" s="409">
        <f t="shared" si="10"/>
        <v>10500</v>
      </c>
      <c r="Y52" s="409">
        <f t="shared" si="11"/>
        <v>10500</v>
      </c>
      <c r="Z52" s="409">
        <f t="shared" si="12"/>
        <v>7012</v>
      </c>
      <c r="AA52" s="409">
        <f t="shared" si="13"/>
        <v>5100</v>
      </c>
      <c r="AB52" s="409">
        <f t="shared" si="14"/>
        <v>5100</v>
      </c>
      <c r="AC52" s="409">
        <f t="shared" si="15"/>
        <v>5100</v>
      </c>
    </row>
    <row r="53" spans="2:29" ht="14.25" customHeight="1"/>
  </sheetData>
  <mergeCells count="10">
    <mergeCell ref="C2:I2"/>
    <mergeCell ref="C3:E3"/>
    <mergeCell ref="I3:I4"/>
    <mergeCell ref="V9:Y9"/>
    <mergeCell ref="Z9:AC9"/>
    <mergeCell ref="F3:H3"/>
    <mergeCell ref="L6:M6"/>
    <mergeCell ref="L22:M22"/>
    <mergeCell ref="M4:O4"/>
    <mergeCell ref="J3:J5"/>
  </mergeCells>
  <conditionalFormatting sqref="L11:M12">
    <cfRule type="expression" dxfId="11" priority="6">
      <formula>OR($H$6="X",$H$7="X",$H$8="X")</formula>
    </cfRule>
  </conditionalFormatting>
  <conditionalFormatting sqref="L22:M22">
    <cfRule type="expression" dxfId="10" priority="1">
      <formula>COUNTA($L$8:$L$10)&gt;1</formula>
    </cfRule>
  </conditionalFormatting>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sheetPr codeName="Sheet9"/>
  <dimension ref="A1:K28"/>
  <sheetViews>
    <sheetView zoomScale="90" zoomScaleNormal="90" workbookViewId="0"/>
  </sheetViews>
  <sheetFormatPr defaultRowHeight="15"/>
  <cols>
    <col min="1" max="1" width="41.42578125" style="24" customWidth="1"/>
    <col min="2" max="4" width="18.140625" style="25" customWidth="1"/>
    <col min="5" max="5" width="18.28515625" style="25" customWidth="1"/>
    <col min="6" max="11" width="10.42578125" style="24" customWidth="1"/>
    <col min="12" max="16384" width="9.140625" style="24"/>
  </cols>
  <sheetData>
    <row r="1" spans="1:11" ht="21">
      <c r="A1" s="30" t="s">
        <v>19</v>
      </c>
    </row>
    <row r="3" spans="1:11">
      <c r="A3" s="58" t="s">
        <v>429</v>
      </c>
      <c r="B3" s="1569" t="s">
        <v>11</v>
      </c>
      <c r="C3" s="1570"/>
      <c r="D3" s="1570"/>
      <c r="E3" s="1571"/>
      <c r="F3" s="1574" t="s">
        <v>29</v>
      </c>
      <c r="G3" s="1574"/>
      <c r="H3" s="1575"/>
      <c r="I3" s="1574" t="s">
        <v>31</v>
      </c>
      <c r="J3" s="1574"/>
      <c r="K3" s="1576"/>
    </row>
    <row r="4" spans="1:11" ht="42.75">
      <c r="A4" s="21" t="s">
        <v>13</v>
      </c>
      <c r="B4" s="22" t="s">
        <v>430</v>
      </c>
      <c r="C4" s="22"/>
      <c r="D4" s="22"/>
      <c r="E4" s="22" t="s">
        <v>21</v>
      </c>
      <c r="F4" s="26" t="s">
        <v>8</v>
      </c>
      <c r="G4" s="26" t="s">
        <v>9</v>
      </c>
      <c r="H4" s="55" t="s">
        <v>10</v>
      </c>
      <c r="I4" s="26" t="s">
        <v>30</v>
      </c>
      <c r="J4" s="26" t="s">
        <v>23</v>
      </c>
      <c r="K4" s="27" t="s">
        <v>24</v>
      </c>
    </row>
    <row r="5" spans="1:11">
      <c r="A5" s="28" t="s">
        <v>15</v>
      </c>
      <c r="B5" s="33"/>
      <c r="C5" s="33"/>
      <c r="D5" s="33"/>
      <c r="E5" s="33">
        <f>SUM(B5:D5)</f>
        <v>0</v>
      </c>
      <c r="F5" s="29"/>
      <c r="G5" s="29"/>
      <c r="H5" s="29"/>
      <c r="I5" s="57"/>
      <c r="J5" s="56"/>
      <c r="K5" s="56"/>
    </row>
    <row r="6" spans="1:11">
      <c r="A6" s="29" t="s">
        <v>16</v>
      </c>
      <c r="B6" s="33"/>
      <c r="C6" s="33"/>
      <c r="D6" s="33"/>
      <c r="E6" s="33">
        <f>SUM(B6:D6)</f>
        <v>0</v>
      </c>
      <c r="F6" s="29"/>
      <c r="G6" s="29"/>
      <c r="H6" s="29"/>
      <c r="I6" s="57"/>
      <c r="J6" s="56"/>
      <c r="K6" s="56"/>
    </row>
    <row r="7" spans="1:11">
      <c r="A7" s="29" t="s">
        <v>17</v>
      </c>
      <c r="B7" s="33"/>
      <c r="C7" s="33"/>
      <c r="D7" s="33"/>
      <c r="E7" s="33">
        <f>SUM(B7:D7)</f>
        <v>0</v>
      </c>
      <c r="F7" s="29"/>
      <c r="G7" s="29"/>
      <c r="H7" s="29"/>
      <c r="I7" s="57"/>
      <c r="J7" s="56"/>
      <c r="K7" s="56"/>
    </row>
    <row r="8" spans="1:11">
      <c r="A8" s="29" t="s">
        <v>14</v>
      </c>
      <c r="B8" s="33"/>
      <c r="C8" s="33"/>
      <c r="D8" s="33"/>
      <c r="E8" s="33">
        <f>SUM(B8:D8)</f>
        <v>0</v>
      </c>
      <c r="F8" s="29"/>
      <c r="G8" s="29"/>
      <c r="H8" s="29"/>
      <c r="I8" s="57"/>
      <c r="J8" s="56"/>
      <c r="K8" s="56"/>
    </row>
    <row r="9" spans="1:11">
      <c r="A9" s="38" t="s">
        <v>26</v>
      </c>
      <c r="B9" s="33"/>
      <c r="C9" s="33"/>
      <c r="D9" s="33"/>
      <c r="E9" s="33">
        <f>SUM(B9:D9)</f>
        <v>0</v>
      </c>
      <c r="F9" s="29"/>
      <c r="G9" s="29"/>
      <c r="H9" s="29"/>
      <c r="I9" s="57"/>
      <c r="J9" s="56"/>
      <c r="K9" s="56"/>
    </row>
    <row r="10" spans="1:11">
      <c r="A10" s="32" t="s">
        <v>20</v>
      </c>
      <c r="B10" s="34">
        <f>SUM(B5:B9)</f>
        <v>0</v>
      </c>
      <c r="C10" s="34">
        <f>SUM(C5:C9)</f>
        <v>0</v>
      </c>
      <c r="D10" s="34">
        <f>SUM(D5:D9)</f>
        <v>0</v>
      </c>
      <c r="E10" s="34">
        <f>SUM(E5:E9)</f>
        <v>0</v>
      </c>
      <c r="F10" s="31"/>
      <c r="G10" s="31"/>
      <c r="H10" s="31"/>
    </row>
    <row r="12" spans="1:11" ht="30" customHeight="1">
      <c r="A12" s="58" t="s">
        <v>428</v>
      </c>
      <c r="B12" s="1538" t="s">
        <v>11</v>
      </c>
      <c r="C12" s="1538"/>
      <c r="D12" s="1538"/>
      <c r="E12" s="1539"/>
      <c r="F12" s="1574" t="s">
        <v>29</v>
      </c>
      <c r="G12" s="1574"/>
      <c r="H12" s="1575"/>
      <c r="I12" s="1574" t="s">
        <v>31</v>
      </c>
      <c r="J12" s="1574"/>
      <c r="K12" s="1576"/>
    </row>
    <row r="13" spans="1:11" ht="42.75">
      <c r="A13" s="21" t="s">
        <v>13</v>
      </c>
      <c r="B13" s="22" t="s">
        <v>430</v>
      </c>
      <c r="C13" s="22"/>
      <c r="D13" s="22"/>
      <c r="E13" s="22" t="s">
        <v>21</v>
      </c>
      <c r="F13" s="26" t="s">
        <v>8</v>
      </c>
      <c r="G13" s="26" t="s">
        <v>9</v>
      </c>
      <c r="H13" s="55" t="s">
        <v>10</v>
      </c>
      <c r="I13" s="26" t="s">
        <v>30</v>
      </c>
      <c r="J13" s="26" t="s">
        <v>23</v>
      </c>
      <c r="K13" s="27" t="s">
        <v>24</v>
      </c>
    </row>
    <row r="14" spans="1:11">
      <c r="A14" s="28" t="s">
        <v>15</v>
      </c>
      <c r="B14" s="33"/>
      <c r="C14" s="33"/>
      <c r="D14" s="33"/>
      <c r="E14" s="33">
        <f>SUM(B14:D14)</f>
        <v>0</v>
      </c>
      <c r="F14" s="385"/>
      <c r="G14" s="386"/>
      <c r="H14" s="386"/>
      <c r="I14" s="57"/>
      <c r="J14" s="56"/>
      <c r="K14" s="56"/>
    </row>
    <row r="15" spans="1:11">
      <c r="A15" s="29" t="s">
        <v>16</v>
      </c>
      <c r="B15" s="33"/>
      <c r="C15" s="33"/>
      <c r="D15" s="33"/>
      <c r="E15" s="33">
        <f>SUM(B15:D15)</f>
        <v>0</v>
      </c>
      <c r="F15" s="386"/>
      <c r="G15" s="386"/>
      <c r="H15" s="386"/>
      <c r="I15" s="57"/>
      <c r="J15" s="56"/>
      <c r="K15" s="56"/>
    </row>
    <row r="16" spans="1:11">
      <c r="A16" s="29" t="s">
        <v>17</v>
      </c>
      <c r="B16" s="33"/>
      <c r="C16" s="33"/>
      <c r="D16" s="33"/>
      <c r="E16" s="33">
        <f>SUM(B16:D16)</f>
        <v>0</v>
      </c>
      <c r="F16" s="386"/>
      <c r="G16" s="386"/>
      <c r="H16" s="386"/>
      <c r="I16" s="57"/>
      <c r="J16" s="56"/>
      <c r="K16" s="56"/>
    </row>
    <row r="17" spans="1:11">
      <c r="A17" s="29" t="s">
        <v>14</v>
      </c>
      <c r="B17" s="33"/>
      <c r="C17" s="33"/>
      <c r="D17" s="33"/>
      <c r="E17" s="33">
        <f>SUM(B17:D17)</f>
        <v>0</v>
      </c>
      <c r="F17" s="386"/>
      <c r="G17" s="386"/>
      <c r="H17" s="386"/>
      <c r="I17" s="57"/>
      <c r="J17" s="56"/>
      <c r="K17" s="56"/>
    </row>
    <row r="18" spans="1:11">
      <c r="A18" s="38" t="s">
        <v>26</v>
      </c>
      <c r="B18" s="33"/>
      <c r="C18" s="33"/>
      <c r="D18" s="33"/>
      <c r="E18" s="33">
        <f>SUM(B18:D18)</f>
        <v>0</v>
      </c>
      <c r="F18" s="386"/>
      <c r="G18" s="386"/>
      <c r="H18" s="386"/>
      <c r="I18" s="57"/>
      <c r="J18" s="56"/>
      <c r="K18" s="56"/>
    </row>
    <row r="19" spans="1:11">
      <c r="A19" s="32" t="s">
        <v>20</v>
      </c>
      <c r="B19" s="34">
        <f>SUM(B14:B18)</f>
        <v>0</v>
      </c>
      <c r="C19" s="34">
        <f>SUM(C14:C18)</f>
        <v>0</v>
      </c>
      <c r="D19" s="34">
        <f>SUM(D14:D18)</f>
        <v>0</v>
      </c>
      <c r="E19" s="34">
        <f>SUM(E14:E18)</f>
        <v>0</v>
      </c>
      <c r="F19" s="35"/>
      <c r="G19" s="31"/>
      <c r="H19" s="31"/>
    </row>
    <row r="21" spans="1:11" ht="30" customHeight="1">
      <c r="A21" s="58" t="s">
        <v>18</v>
      </c>
      <c r="B21" s="1572" t="s">
        <v>11</v>
      </c>
      <c r="C21" s="1573"/>
      <c r="D21" s="1573"/>
      <c r="E21" s="1573"/>
      <c r="F21" s="1574" t="s">
        <v>29</v>
      </c>
      <c r="G21" s="1574"/>
      <c r="H21" s="1575"/>
      <c r="I21" s="1574" t="s">
        <v>31</v>
      </c>
      <c r="J21" s="1574"/>
      <c r="K21" s="1576"/>
    </row>
    <row r="22" spans="1:11" ht="42.75">
      <c r="A22" s="21" t="s">
        <v>13</v>
      </c>
      <c r="B22" s="22" t="s">
        <v>430</v>
      </c>
      <c r="C22" s="22"/>
      <c r="D22" s="22"/>
      <c r="E22" s="22" t="s">
        <v>21</v>
      </c>
      <c r="F22" s="26" t="s">
        <v>8</v>
      </c>
      <c r="G22" s="26" t="s">
        <v>9</v>
      </c>
      <c r="H22" s="55" t="s">
        <v>10</v>
      </c>
      <c r="I22" s="26" t="s">
        <v>30</v>
      </c>
      <c r="J22" s="26" t="s">
        <v>23</v>
      </c>
      <c r="K22" s="27" t="s">
        <v>24</v>
      </c>
    </row>
    <row r="23" spans="1:11">
      <c r="A23" s="28" t="s">
        <v>15</v>
      </c>
      <c r="B23" s="33"/>
      <c r="C23" s="33"/>
      <c r="D23" s="33"/>
      <c r="E23" s="33">
        <f>SUM(B23:D23)</f>
        <v>0</v>
      </c>
      <c r="F23" s="29"/>
      <c r="G23" s="29"/>
      <c r="H23" s="29"/>
      <c r="I23" s="57"/>
      <c r="J23" s="56"/>
      <c r="K23" s="56"/>
    </row>
    <row r="24" spans="1:11">
      <c r="A24" s="29" t="s">
        <v>16</v>
      </c>
      <c r="B24" s="34"/>
      <c r="C24" s="34"/>
      <c r="D24" s="34"/>
      <c r="E24" s="33">
        <f>SUM(B24:D24)</f>
        <v>0</v>
      </c>
      <c r="F24" s="29"/>
      <c r="G24" s="29"/>
      <c r="H24" s="29"/>
      <c r="I24" s="57"/>
      <c r="J24" s="56"/>
      <c r="K24" s="56"/>
    </row>
    <row r="25" spans="1:11">
      <c r="A25" s="29" t="s">
        <v>17</v>
      </c>
      <c r="B25" s="34"/>
      <c r="C25" s="34"/>
      <c r="D25" s="34"/>
      <c r="E25" s="33">
        <f>SUM(B25:D25)</f>
        <v>0</v>
      </c>
      <c r="F25" s="29"/>
      <c r="G25" s="29"/>
      <c r="H25" s="29"/>
      <c r="I25" s="57"/>
      <c r="J25" s="56"/>
      <c r="K25" s="56"/>
    </row>
    <row r="26" spans="1:11">
      <c r="A26" s="29" t="s">
        <v>14</v>
      </c>
      <c r="B26" s="34"/>
      <c r="C26" s="34"/>
      <c r="D26" s="34"/>
      <c r="E26" s="33">
        <f>SUM(B26:D26)</f>
        <v>0</v>
      </c>
      <c r="F26" s="29"/>
      <c r="G26" s="29"/>
      <c r="H26" s="29"/>
      <c r="I26" s="57"/>
      <c r="J26" s="56"/>
      <c r="K26" s="56"/>
    </row>
    <row r="27" spans="1:11">
      <c r="A27" s="38" t="s">
        <v>26</v>
      </c>
      <c r="B27" s="34"/>
      <c r="C27" s="34"/>
      <c r="D27" s="34"/>
      <c r="E27" s="33">
        <f>SUM(B27:D27)</f>
        <v>0</v>
      </c>
      <c r="F27" s="29"/>
      <c r="G27" s="29"/>
      <c r="H27" s="29"/>
      <c r="I27" s="57"/>
      <c r="J27" s="56"/>
      <c r="K27" s="56"/>
    </row>
    <row r="28" spans="1:11">
      <c r="A28" s="32" t="s">
        <v>20</v>
      </c>
      <c r="B28" s="34">
        <f>SUM(B23:B27)</f>
        <v>0</v>
      </c>
      <c r="C28" s="34">
        <f>SUM(C23:C27)</f>
        <v>0</v>
      </c>
      <c r="D28" s="34">
        <f>SUM(D23:D27)</f>
        <v>0</v>
      </c>
      <c r="E28" s="34">
        <f>SUM(E23:E27)</f>
        <v>0</v>
      </c>
      <c r="F28" s="31"/>
      <c r="G28" s="31"/>
      <c r="H28" s="31"/>
      <c r="I28" s="31"/>
      <c r="J28" s="31"/>
      <c r="K28" s="31"/>
    </row>
  </sheetData>
  <mergeCells count="9">
    <mergeCell ref="B3:E3"/>
    <mergeCell ref="B12:E12"/>
    <mergeCell ref="B21:E21"/>
    <mergeCell ref="F3:H3"/>
    <mergeCell ref="I3:K3"/>
    <mergeCell ref="F12:H12"/>
    <mergeCell ref="I12:K12"/>
    <mergeCell ref="F21:H21"/>
    <mergeCell ref="I21:K21"/>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8"/>
  <dimension ref="B1:AC73"/>
  <sheetViews>
    <sheetView zoomScale="85" zoomScaleNormal="85" workbookViewId="0">
      <pane xSplit="2" ySplit="4" topLeftCell="C5" activePane="bottomRight" state="frozen"/>
      <selection sqref="A1:N1"/>
      <selection pane="topRight" sqref="A1:N1"/>
      <selection pane="bottomLeft" sqref="A1:N1"/>
      <selection pane="bottomRight" activeCell="A5" sqref="A5:XFD10"/>
    </sheetView>
  </sheetViews>
  <sheetFormatPr defaultRowHeight="15" outlineLevelRow="1"/>
  <cols>
    <col min="1" max="1" width="1.7109375" style="10" customWidth="1"/>
    <col min="2" max="2" width="10.7109375" style="10" customWidth="1"/>
    <col min="3" max="5" width="12.7109375" style="44" customWidth="1"/>
    <col min="6" max="6" width="12.7109375" style="10" customWidth="1"/>
    <col min="7" max="7" width="10.5703125" style="10" customWidth="1"/>
    <col min="8" max="8" width="11.7109375" style="10" customWidth="1"/>
    <col min="9" max="9" width="5.7109375" style="10" bestFit="1" customWidth="1"/>
    <col min="10" max="10" width="9.28515625" style="10" bestFit="1" customWidth="1"/>
    <col min="11" max="11" width="33.140625" style="10" customWidth="1"/>
    <col min="12" max="13" width="2.140625" style="10" customWidth="1"/>
    <col min="14" max="14" width="15.5703125" style="10" customWidth="1"/>
    <col min="15" max="15" width="9.7109375" style="10" customWidth="1"/>
    <col min="16" max="16" width="20.42578125" style="10" bestFit="1" customWidth="1"/>
    <col min="17" max="17" width="9.140625" style="10"/>
    <col min="18" max="18" width="9.140625" style="10" customWidth="1"/>
    <col min="19" max="19" width="13.7109375" style="10" customWidth="1"/>
    <col min="20" max="20" width="9.140625" style="10"/>
    <col min="21" max="21" width="12.5703125" style="10" customWidth="1"/>
    <col min="22" max="22" width="14.7109375" style="10" customWidth="1"/>
    <col min="23" max="23" width="13.5703125" style="10" customWidth="1"/>
    <col min="24" max="24" width="13.7109375" style="10" customWidth="1"/>
    <col min="25" max="25" width="11.7109375" style="10" customWidth="1"/>
    <col min="26" max="16384" width="9.140625" style="10"/>
  </cols>
  <sheetData>
    <row r="1" spans="2:29" ht="15.75" thickBot="1">
      <c r="V1" s="392" t="s">
        <v>438</v>
      </c>
    </row>
    <row r="2" spans="2:29">
      <c r="C2" s="1581" t="s">
        <v>455</v>
      </c>
      <c r="D2" s="1582"/>
      <c r="E2" s="1582"/>
      <c r="F2" s="1582"/>
      <c r="G2" s="1583" t="s">
        <v>454</v>
      </c>
      <c r="H2" s="1585" t="s">
        <v>116</v>
      </c>
      <c r="U2" s="393" t="s">
        <v>439</v>
      </c>
      <c r="V2" s="394">
        <f>B11</f>
        <v>2009</v>
      </c>
      <c r="W2" s="395">
        <f>$V$11</f>
        <v>6606.0540000000001</v>
      </c>
      <c r="X2" s="395">
        <f>$V$11</f>
        <v>6606.0540000000001</v>
      </c>
      <c r="Y2" s="395">
        <f>$V$11</f>
        <v>6606.0540000000001</v>
      </c>
      <c r="Z2" s="395"/>
      <c r="AA2" s="395"/>
      <c r="AB2" s="395"/>
      <c r="AC2" s="396"/>
    </row>
    <row r="3" spans="2:29" ht="45">
      <c r="C3" s="2" t="s">
        <v>451</v>
      </c>
      <c r="D3" s="416" t="s">
        <v>452</v>
      </c>
      <c r="E3" s="416" t="s">
        <v>453</v>
      </c>
      <c r="F3" s="2" t="s">
        <v>28</v>
      </c>
      <c r="G3" s="1584"/>
      <c r="H3" s="1586"/>
      <c r="U3" s="397" t="s">
        <v>440</v>
      </c>
      <c r="V3" s="54">
        <f>B52</f>
        <v>2050</v>
      </c>
      <c r="W3" s="398">
        <f>$J$9*$U$52+$F$11</f>
        <v>9960.9221535273537</v>
      </c>
      <c r="X3" s="398">
        <f>$J$9*$U$52+$F$11</f>
        <v>9960.9221535273537</v>
      </c>
      <c r="Y3" s="398">
        <f>$J$9*$U$52+$F$11</f>
        <v>9960.9221535273537</v>
      </c>
      <c r="Z3" s="398"/>
      <c r="AA3" s="398"/>
      <c r="AB3" s="398"/>
      <c r="AC3" s="399"/>
    </row>
    <row r="4" spans="2:29">
      <c r="B4" s="5" t="s">
        <v>3</v>
      </c>
      <c r="C4" s="414" t="s">
        <v>25</v>
      </c>
      <c r="D4" s="415" t="s">
        <v>25</v>
      </c>
      <c r="E4" s="415" t="s">
        <v>25</v>
      </c>
      <c r="F4" s="3" t="s">
        <v>25</v>
      </c>
      <c r="G4" s="49" t="s">
        <v>25</v>
      </c>
      <c r="H4" s="1587"/>
      <c r="J4" s="1577" t="s">
        <v>2927</v>
      </c>
      <c r="K4" s="1578"/>
      <c r="N4" s="1537" t="s">
        <v>2917</v>
      </c>
      <c r="O4" s="1538"/>
      <c r="P4" s="1539"/>
      <c r="U4" s="397" t="s">
        <v>441</v>
      </c>
      <c r="V4" s="54"/>
      <c r="W4" s="398">
        <f>(W3-W2)/(U52)^(1/W5)</f>
        <v>523.94238017664838</v>
      </c>
      <c r="X4" s="398">
        <f>(Y3-X2)/(V3-V2)</f>
        <v>81.826052525057406</v>
      </c>
      <c r="Y4" s="400">
        <f>(Y3-X2)/(U52)^Y5</f>
        <v>1.9957573786599367</v>
      </c>
      <c r="Z4" s="400"/>
      <c r="AA4" s="398"/>
      <c r="AB4" s="398"/>
      <c r="AC4" s="401"/>
    </row>
    <row r="5" spans="2:29" ht="15.75" thickBot="1">
      <c r="B5" s="11">
        <v>2003</v>
      </c>
      <c r="C5" s="59">
        <v>5842.3050000000003</v>
      </c>
      <c r="D5" s="59"/>
      <c r="E5" s="59"/>
      <c r="F5" s="140">
        <f t="shared" ref="F5:F11" si="0">SUM(C5:E5)</f>
        <v>5842.3050000000003</v>
      </c>
      <c r="G5" s="140">
        <f>SUM(F5)</f>
        <v>5842.3050000000003</v>
      </c>
      <c r="H5" s="138"/>
      <c r="J5" s="411" t="str">
        <f>IF(COUNTA(J6:J8)=0,"X","")</f>
        <v/>
      </c>
      <c r="K5" s="412" t="s">
        <v>432</v>
      </c>
      <c r="M5" s="420" t="s">
        <v>442</v>
      </c>
      <c r="N5" s="21" t="s">
        <v>359</v>
      </c>
      <c r="O5" s="3" t="s">
        <v>1062</v>
      </c>
      <c r="P5" s="350" t="s">
        <v>123</v>
      </c>
      <c r="U5" s="402" t="s">
        <v>442</v>
      </c>
      <c r="V5" s="403"/>
      <c r="W5" s="403">
        <f>M6</f>
        <v>2</v>
      </c>
      <c r="X5" s="403">
        <v>0</v>
      </c>
      <c r="Y5" s="403">
        <f>$M$8</f>
        <v>2</v>
      </c>
      <c r="Z5" s="403"/>
      <c r="AA5" s="403"/>
      <c r="AB5" s="403"/>
      <c r="AC5" s="404"/>
    </row>
    <row r="6" spans="2:29">
      <c r="B6" s="11">
        <v>2004</v>
      </c>
      <c r="C6" s="59">
        <v>5842.3050000000003</v>
      </c>
      <c r="D6" s="59"/>
      <c r="E6" s="59"/>
      <c r="F6" s="140">
        <f t="shared" si="0"/>
        <v>5842.3050000000003</v>
      </c>
      <c r="G6" s="140">
        <f>SUM(F6)</f>
        <v>5842.3050000000003</v>
      </c>
      <c r="H6" s="138"/>
      <c r="J6" s="413"/>
      <c r="K6" s="412" t="s">
        <v>433</v>
      </c>
      <c r="M6" s="420">
        <v>2</v>
      </c>
      <c r="N6" s="418">
        <v>2011</v>
      </c>
      <c r="O6" s="419">
        <v>110</v>
      </c>
      <c r="P6" s="418" t="s">
        <v>641</v>
      </c>
    </row>
    <row r="7" spans="2:29">
      <c r="B7" s="13">
        <f>B6+1</f>
        <v>2005</v>
      </c>
      <c r="C7" s="59">
        <v>6536.7910000000002</v>
      </c>
      <c r="D7" s="59"/>
      <c r="E7" s="59"/>
      <c r="F7" s="140">
        <f t="shared" si="0"/>
        <v>6536.7910000000002</v>
      </c>
      <c r="G7" s="140">
        <f>SUM(F7)</f>
        <v>6536.7910000000002</v>
      </c>
      <c r="H7" s="138"/>
      <c r="J7" s="413" t="s">
        <v>1501</v>
      </c>
      <c r="K7" s="412" t="s">
        <v>434</v>
      </c>
      <c r="M7" s="420" t="s">
        <v>442</v>
      </c>
      <c r="N7" s="348">
        <v>2014</v>
      </c>
      <c r="O7" s="348">
        <v>80</v>
      </c>
      <c r="P7" s="348" t="s">
        <v>642</v>
      </c>
    </row>
    <row r="8" spans="2:29">
      <c r="B8" s="13">
        <f>B7+1</f>
        <v>2006</v>
      </c>
      <c r="C8" s="59">
        <v>6536.7910000000002</v>
      </c>
      <c r="D8" s="59"/>
      <c r="E8" s="59"/>
      <c r="F8" s="140">
        <f t="shared" si="0"/>
        <v>6536.7910000000002</v>
      </c>
      <c r="G8" s="140">
        <f>SUM(F8)</f>
        <v>6536.7910000000002</v>
      </c>
      <c r="H8" s="138"/>
      <c r="J8" s="413"/>
      <c r="K8" s="412" t="s">
        <v>435</v>
      </c>
      <c r="M8" s="420">
        <v>2</v>
      </c>
      <c r="N8" s="348">
        <v>2012</v>
      </c>
      <c r="O8" s="348">
        <v>30</v>
      </c>
      <c r="P8" s="348" t="s">
        <v>643</v>
      </c>
    </row>
    <row r="9" spans="2:29">
      <c r="B9" s="13">
        <f>B8+1</f>
        <v>2007</v>
      </c>
      <c r="C9" s="59">
        <v>6562.1940000000004</v>
      </c>
      <c r="D9" s="59"/>
      <c r="E9" s="59"/>
      <c r="F9" s="140">
        <f t="shared" si="0"/>
        <v>6562.1940000000004</v>
      </c>
      <c r="G9" s="140">
        <f>SUM(F9)</f>
        <v>6562.1940000000004</v>
      </c>
      <c r="H9" s="138"/>
      <c r="J9" s="1235">
        <f>SUM(N56:N60)/U52</f>
        <v>81.82605252505742</v>
      </c>
      <c r="K9" s="1299" t="s">
        <v>450</v>
      </c>
      <c r="M9" s="420"/>
      <c r="N9" s="348"/>
      <c r="O9" s="348"/>
      <c r="P9" s="348"/>
      <c r="V9" s="1551" t="s">
        <v>454</v>
      </c>
      <c r="W9" s="1552"/>
      <c r="X9" s="1552"/>
      <c r="Y9" s="1552"/>
      <c r="Z9" s="1552"/>
      <c r="AA9" s="1552"/>
      <c r="AB9" s="1552"/>
      <c r="AC9" s="1553"/>
    </row>
    <row r="10" spans="2:29">
      <c r="B10" s="13">
        <f>B9+1</f>
        <v>2008</v>
      </c>
      <c r="C10" s="59">
        <v>6604.1940000000004</v>
      </c>
      <c r="D10" s="59"/>
      <c r="E10" s="59"/>
      <c r="F10" s="140">
        <f t="shared" si="0"/>
        <v>6604.1940000000004</v>
      </c>
      <c r="G10" s="140">
        <f t="shared" ref="G10:G52" si="1">SUM(F10)</f>
        <v>6604.1940000000004</v>
      </c>
      <c r="H10" s="138">
        <f>G10/Population!E10*1000</f>
        <v>668.17017401861597</v>
      </c>
      <c r="J10" s="422"/>
      <c r="K10" s="423"/>
      <c r="N10" s="348"/>
      <c r="O10" s="348"/>
      <c r="P10" s="348"/>
      <c r="V10" s="405" t="s">
        <v>445</v>
      </c>
      <c r="W10" s="406" t="s">
        <v>446</v>
      </c>
      <c r="X10" s="406" t="s">
        <v>447</v>
      </c>
      <c r="Y10" s="406" t="s">
        <v>448</v>
      </c>
      <c r="Z10" s="406"/>
      <c r="AA10" s="407"/>
      <c r="AB10" s="407"/>
      <c r="AC10" s="408"/>
    </row>
    <row r="11" spans="2:29">
      <c r="B11" s="13">
        <f>B10+1</f>
        <v>2009</v>
      </c>
      <c r="C11" s="46">
        <v>6606.0540000000001</v>
      </c>
      <c r="D11" s="46"/>
      <c r="E11" s="46"/>
      <c r="F11" s="48">
        <f t="shared" si="0"/>
        <v>6606.0540000000001</v>
      </c>
      <c r="G11" s="421">
        <f t="shared" si="1"/>
        <v>6606.0540000000001</v>
      </c>
      <c r="H11" s="50">
        <f>G11/Population!E11*1000</f>
        <v>673.12553495007137</v>
      </c>
      <c r="J11" s="1456">
        <f>IF(N64="BAU",GSFBYYEAR!Q64/1000,SpacePlanning!$AU$49)</f>
        <v>22</v>
      </c>
      <c r="K11" s="1455" t="s">
        <v>2926</v>
      </c>
      <c r="N11" s="348"/>
      <c r="O11" s="348"/>
      <c r="P11" s="348"/>
      <c r="T11" s="348">
        <v>2009</v>
      </c>
      <c r="U11" s="348"/>
      <c r="V11" s="409">
        <f>G11</f>
        <v>6606.0540000000001</v>
      </c>
      <c r="W11" s="409">
        <f>X2</f>
        <v>6606.0540000000001</v>
      </c>
      <c r="X11" s="409">
        <f>X2</f>
        <v>6606.0540000000001</v>
      </c>
      <c r="Y11" s="409">
        <f>W2</f>
        <v>6606.0540000000001</v>
      </c>
      <c r="Z11" s="409"/>
      <c r="AA11" s="409"/>
      <c r="AB11" s="409"/>
      <c r="AC11" s="409"/>
    </row>
    <row r="12" spans="2:29">
      <c r="B12" s="13">
        <f t="shared" ref="B12:B24" si="2">B11+1</f>
        <v>2010</v>
      </c>
      <c r="C12" s="410">
        <f>$F$11-D12</f>
        <v>6584.0540000000001</v>
      </c>
      <c r="D12" s="410">
        <f>$J$11</f>
        <v>22</v>
      </c>
      <c r="E12" s="410">
        <f>F12-F11</f>
        <v>81.826052525057094</v>
      </c>
      <c r="F12" s="417">
        <f>IFERROR(INDEX(V12:Y12,1,MATCH("X",$J$5:$J$8,0)),INDEX(V12:Y12,1,1))+SUMIF($N$6:$N$11,"&lt;"&amp;B12,$O$6:$O$11)</f>
        <v>6687.8800525250572</v>
      </c>
      <c r="G12" s="47">
        <f t="shared" si="1"/>
        <v>6687.8800525250572</v>
      </c>
      <c r="H12" s="50">
        <f>G12/Population!E12*1000</f>
        <v>674.10431540970478</v>
      </c>
      <c r="J12" s="1579" t="s">
        <v>437</v>
      </c>
      <c r="K12" s="1580"/>
      <c r="T12" s="348">
        <f>T11+1</f>
        <v>2010</v>
      </c>
      <c r="U12" s="348">
        <v>1</v>
      </c>
      <c r="V12" s="409">
        <f>TREND($C$10:$C$11,$B$10:$B$11,$B12)</f>
        <v>6607.9139999999989</v>
      </c>
      <c r="W12" s="409">
        <f>U12^(1/$W$5)*$W$4+$W$2</f>
        <v>7129.996380176648</v>
      </c>
      <c r="X12" s="409">
        <f>U12*$X$4+$X$2</f>
        <v>6687.8800525250572</v>
      </c>
      <c r="Y12" s="409">
        <f>U12^$Y$5*$Y$4+$Y$2</f>
        <v>6608.0497573786597</v>
      </c>
      <c r="Z12" s="409"/>
      <c r="AA12" s="409"/>
      <c r="AB12" s="409"/>
      <c r="AC12" s="409"/>
    </row>
    <row r="13" spans="2:29" hidden="1" outlineLevel="1">
      <c r="B13" s="13">
        <f t="shared" si="2"/>
        <v>2011</v>
      </c>
      <c r="C13" s="410">
        <f>$F$11-D13</f>
        <v>6562.0540000000001</v>
      </c>
      <c r="D13" s="410">
        <f>D12+$J$11</f>
        <v>44</v>
      </c>
      <c r="E13" s="410">
        <f>F13-F12+E12</f>
        <v>163.6521050501151</v>
      </c>
      <c r="F13" s="417">
        <f>IFERROR(INDEX(V13:Y13,1,MATCH("X",$J$5:$J$8,0)),INDEX(V13:Y13,1,1))+SUMIF($N$6:$N$11,"&lt;"&amp;B13,$O$6:$O$11)</f>
        <v>6769.7061050501152</v>
      </c>
      <c r="G13" s="47">
        <f t="shared" si="1"/>
        <v>6769.7061050501152</v>
      </c>
      <c r="H13" s="50">
        <f>G13/Population!E13*1000</f>
        <v>679.31342298521599</v>
      </c>
      <c r="T13" s="348">
        <f>T12+1</f>
        <v>2011</v>
      </c>
      <c r="U13" s="348">
        <f>U12+1</f>
        <v>2</v>
      </c>
      <c r="V13" s="409">
        <f t="shared" ref="V13:V52" si="3">TREND($C$10:$C$11,$B$10:$B$11,$B13)</f>
        <v>6609.7739999999994</v>
      </c>
      <c r="W13" s="409">
        <f t="shared" ref="W13:W52" si="4">U13^(1/$W$5)*$W$4+$W$2</f>
        <v>7347.0204199478567</v>
      </c>
      <c r="X13" s="409">
        <f t="shared" ref="X13:X52" si="5">U13*$X$4+$X$2</f>
        <v>6769.7061050501152</v>
      </c>
      <c r="Y13" s="409">
        <f t="shared" ref="Y13:Y52" si="6">U13^$Y$5*$Y$4+$Y$2</f>
        <v>6614.0370295146395</v>
      </c>
      <c r="Z13" s="409"/>
      <c r="AA13" s="409"/>
      <c r="AB13" s="409"/>
      <c r="AC13" s="409"/>
    </row>
    <row r="14" spans="2:29" hidden="1" outlineLevel="1">
      <c r="B14" s="13">
        <f t="shared" si="2"/>
        <v>2012</v>
      </c>
      <c r="C14" s="410">
        <f t="shared" ref="C14:C52" si="7">$F$11-D14</f>
        <v>6540.0540000000001</v>
      </c>
      <c r="D14" s="410">
        <f t="shared" ref="D14:D52" si="8">D13+$J$11</f>
        <v>66</v>
      </c>
      <c r="E14" s="410">
        <f>F14-F13+E13</f>
        <v>355.47815757517219</v>
      </c>
      <c r="F14" s="417">
        <f t="shared" ref="F14:F52" si="9">IFERROR(INDEX(V14:Y14,1,MATCH("X",$J$5:$J$8,0)),INDEX(V14:Y14,1,1))+SUMIF($N$6:$N$11,"&lt;"&amp;B14,$O$6:$O$11)</f>
        <v>6961.5321575751723</v>
      </c>
      <c r="G14" s="47">
        <f>SUM(F14)</f>
        <v>6961.5321575751723</v>
      </c>
      <c r="H14" s="50">
        <f>G14/Population!E14*1000</f>
        <v>696.18359645677481</v>
      </c>
      <c r="J14" s="782"/>
      <c r="T14" s="348">
        <f t="shared" ref="T14:U29" si="10">T13+1</f>
        <v>2012</v>
      </c>
      <c r="U14" s="348">
        <f t="shared" si="10"/>
        <v>3</v>
      </c>
      <c r="V14" s="409">
        <f t="shared" si="3"/>
        <v>6611.6339999999982</v>
      </c>
      <c r="W14" s="409">
        <f t="shared" si="4"/>
        <v>7513.5488227045234</v>
      </c>
      <c r="X14" s="409">
        <f t="shared" si="5"/>
        <v>6851.5321575751723</v>
      </c>
      <c r="Y14" s="409">
        <f t="shared" si="6"/>
        <v>6624.0158164079394</v>
      </c>
      <c r="Z14" s="409"/>
      <c r="AA14" s="409"/>
      <c r="AB14" s="409"/>
      <c r="AC14" s="409"/>
    </row>
    <row r="15" spans="2:29" hidden="1" outlineLevel="1">
      <c r="B15" s="13">
        <f t="shared" si="2"/>
        <v>2013</v>
      </c>
      <c r="C15" s="410">
        <f t="shared" si="7"/>
        <v>6518.0540000000001</v>
      </c>
      <c r="D15" s="410">
        <f t="shared" si="8"/>
        <v>88</v>
      </c>
      <c r="E15" s="410">
        <f t="shared" ref="E15:E51" si="11">F15-F14+E14</f>
        <v>467.30421010022928</v>
      </c>
      <c r="F15" s="417">
        <f t="shared" si="9"/>
        <v>7073.3582101002294</v>
      </c>
      <c r="G15" s="47">
        <f t="shared" si="1"/>
        <v>7073.3582101002294</v>
      </c>
      <c r="H15" s="50">
        <f>G15/Population!E15*1000</f>
        <v>705.34179145941346</v>
      </c>
      <c r="T15" s="348">
        <f t="shared" si="10"/>
        <v>2013</v>
      </c>
      <c r="U15" s="348">
        <f t="shared" si="10"/>
        <v>4</v>
      </c>
      <c r="V15" s="409">
        <f t="shared" si="3"/>
        <v>6613.4939999999988</v>
      </c>
      <c r="W15" s="409">
        <f t="shared" si="4"/>
        <v>7653.9387603532969</v>
      </c>
      <c r="X15" s="409">
        <f t="shared" si="5"/>
        <v>6933.3582101002294</v>
      </c>
      <c r="Y15" s="409">
        <f t="shared" si="6"/>
        <v>6637.9861180585594</v>
      </c>
      <c r="Z15" s="409"/>
      <c r="AA15" s="409"/>
      <c r="AB15" s="409"/>
      <c r="AC15" s="409"/>
    </row>
    <row r="16" spans="2:29" hidden="1" outlineLevel="1">
      <c r="B16" s="13">
        <f t="shared" si="2"/>
        <v>2014</v>
      </c>
      <c r="C16" s="410">
        <f t="shared" si="7"/>
        <v>6496.0540000000001</v>
      </c>
      <c r="D16" s="410">
        <f t="shared" si="8"/>
        <v>110</v>
      </c>
      <c r="E16" s="410">
        <f t="shared" si="11"/>
        <v>549.13026262528729</v>
      </c>
      <c r="F16" s="417">
        <f t="shared" si="9"/>
        <v>7155.1842626252874</v>
      </c>
      <c r="G16" s="47">
        <f t="shared" si="1"/>
        <v>7155.1842626252874</v>
      </c>
      <c r="H16" s="50">
        <f>G16/Population!E16*1000</f>
        <v>711.70641344765966</v>
      </c>
      <c r="T16" s="348">
        <f t="shared" si="10"/>
        <v>2014</v>
      </c>
      <c r="U16" s="348">
        <f t="shared" si="10"/>
        <v>5</v>
      </c>
      <c r="V16" s="409">
        <f t="shared" si="3"/>
        <v>6615.3539999999975</v>
      </c>
      <c r="W16" s="409">
        <f t="shared" si="4"/>
        <v>7777.6247783680246</v>
      </c>
      <c r="X16" s="409">
        <f t="shared" si="5"/>
        <v>7015.1842626252874</v>
      </c>
      <c r="Y16" s="409">
        <f t="shared" si="6"/>
        <v>6655.9479344664987</v>
      </c>
      <c r="Z16" s="409"/>
      <c r="AA16" s="409"/>
      <c r="AB16" s="409"/>
      <c r="AC16" s="409"/>
    </row>
    <row r="17" spans="2:29" hidden="1" outlineLevel="1">
      <c r="B17" s="13">
        <f t="shared" si="2"/>
        <v>2015</v>
      </c>
      <c r="C17" s="410">
        <f t="shared" si="7"/>
        <v>6474.0540000000001</v>
      </c>
      <c r="D17" s="410">
        <f t="shared" si="8"/>
        <v>132</v>
      </c>
      <c r="E17" s="410">
        <f t="shared" si="11"/>
        <v>710.95631515034438</v>
      </c>
      <c r="F17" s="417">
        <f t="shared" si="9"/>
        <v>7317.0103151503445</v>
      </c>
      <c r="G17" s="47">
        <f t="shared" si="1"/>
        <v>7317.0103151503445</v>
      </c>
      <c r="H17" s="50">
        <f>G17/Population!E17*1000</f>
        <v>726.15130578470985</v>
      </c>
      <c r="T17" s="348">
        <f>T16+1</f>
        <v>2015</v>
      </c>
      <c r="U17" s="348">
        <f>U16+1</f>
        <v>6</v>
      </c>
      <c r="V17" s="409">
        <f t="shared" si="3"/>
        <v>6617.2139999999981</v>
      </c>
      <c r="W17" s="409">
        <f t="shared" si="4"/>
        <v>7889.4454860521046</v>
      </c>
      <c r="X17" s="409">
        <f t="shared" si="5"/>
        <v>7097.0103151503445</v>
      </c>
      <c r="Y17" s="409">
        <f t="shared" si="6"/>
        <v>6677.9012656317582</v>
      </c>
      <c r="Z17" s="409"/>
      <c r="AA17" s="409"/>
      <c r="AB17" s="409"/>
      <c r="AC17" s="409"/>
    </row>
    <row r="18" spans="2:29" hidden="1" outlineLevel="1">
      <c r="B18" s="13">
        <f t="shared" si="2"/>
        <v>2016</v>
      </c>
      <c r="C18" s="410">
        <f t="shared" si="7"/>
        <v>6452.0540000000001</v>
      </c>
      <c r="D18" s="410">
        <f t="shared" si="8"/>
        <v>154</v>
      </c>
      <c r="E18" s="410">
        <f t="shared" si="11"/>
        <v>792.78236767540147</v>
      </c>
      <c r="F18" s="417">
        <f t="shared" si="9"/>
        <v>7398.8363676754016</v>
      </c>
      <c r="G18" s="47">
        <f t="shared" si="1"/>
        <v>7398.8363676754016</v>
      </c>
      <c r="H18" s="50">
        <f>G18/Population!E18*1000</f>
        <v>732.74283090625602</v>
      </c>
      <c r="T18" s="348">
        <f t="shared" si="10"/>
        <v>2016</v>
      </c>
      <c r="U18" s="348">
        <f t="shared" si="10"/>
        <v>7</v>
      </c>
      <c r="V18" s="409">
        <f t="shared" si="3"/>
        <v>6619.0739999999969</v>
      </c>
      <c r="W18" s="409">
        <f t="shared" si="4"/>
        <v>7992.2752392746697</v>
      </c>
      <c r="X18" s="409">
        <f t="shared" si="5"/>
        <v>7178.8363676754016</v>
      </c>
      <c r="Y18" s="409">
        <f t="shared" si="6"/>
        <v>6703.8461115543369</v>
      </c>
      <c r="Z18" s="409"/>
      <c r="AA18" s="409"/>
      <c r="AB18" s="409"/>
      <c r="AC18" s="409"/>
    </row>
    <row r="19" spans="2:29" hidden="1" outlineLevel="1">
      <c r="B19" s="13">
        <f t="shared" si="2"/>
        <v>2017</v>
      </c>
      <c r="C19" s="410">
        <f t="shared" si="7"/>
        <v>6430.0540000000001</v>
      </c>
      <c r="D19" s="410">
        <f>D18+$J$11</f>
        <v>176</v>
      </c>
      <c r="E19" s="410">
        <f t="shared" si="11"/>
        <v>874.60842020045948</v>
      </c>
      <c r="F19" s="417">
        <f t="shared" si="9"/>
        <v>7480.6624202004596</v>
      </c>
      <c r="G19" s="47">
        <f t="shared" si="1"/>
        <v>7480.6624202004596</v>
      </c>
      <c r="H19" s="50">
        <f>G19/Population!E19*1000</f>
        <v>739.41332358972511</v>
      </c>
      <c r="T19" s="348">
        <f t="shared" si="10"/>
        <v>2017</v>
      </c>
      <c r="U19" s="348">
        <f t="shared" si="10"/>
        <v>8</v>
      </c>
      <c r="V19" s="409">
        <f t="shared" si="3"/>
        <v>6620.9339999999975</v>
      </c>
      <c r="W19" s="409">
        <f t="shared" si="4"/>
        <v>8087.9868398957133</v>
      </c>
      <c r="X19" s="409">
        <f t="shared" si="5"/>
        <v>7260.6624202004596</v>
      </c>
      <c r="Y19" s="409">
        <f t="shared" si="6"/>
        <v>6733.7824722342357</v>
      </c>
      <c r="Z19" s="409"/>
      <c r="AA19" s="409"/>
      <c r="AB19" s="409"/>
      <c r="AC19" s="409"/>
    </row>
    <row r="20" spans="2:29" hidden="1" outlineLevel="1">
      <c r="B20" s="13">
        <f t="shared" si="2"/>
        <v>2018</v>
      </c>
      <c r="C20" s="410">
        <f t="shared" si="7"/>
        <v>6408.0540000000001</v>
      </c>
      <c r="D20" s="410">
        <f t="shared" si="8"/>
        <v>198</v>
      </c>
      <c r="E20" s="410">
        <f t="shared" si="11"/>
        <v>956.43447272551657</v>
      </c>
      <c r="F20" s="417">
        <f t="shared" si="9"/>
        <v>7562.4884727255167</v>
      </c>
      <c r="G20" s="47">
        <f t="shared" si="1"/>
        <v>7562.4884727255167</v>
      </c>
      <c r="H20" s="50">
        <f>G20/Population!E20*1000</f>
        <v>746.14561762166022</v>
      </c>
      <c r="T20" s="348">
        <f t="shared" si="10"/>
        <v>2018</v>
      </c>
      <c r="U20" s="348">
        <f t="shared" si="10"/>
        <v>9</v>
      </c>
      <c r="V20" s="409">
        <f t="shared" si="3"/>
        <v>6622.7939999999962</v>
      </c>
      <c r="W20" s="409">
        <f t="shared" si="4"/>
        <v>8177.8811405299457</v>
      </c>
      <c r="X20" s="409">
        <f t="shared" si="5"/>
        <v>7342.4884727255167</v>
      </c>
      <c r="Y20" s="409">
        <f t="shared" si="6"/>
        <v>6767.7103476714547</v>
      </c>
      <c r="Z20" s="409"/>
      <c r="AA20" s="409"/>
      <c r="AB20" s="409"/>
      <c r="AC20" s="409"/>
    </row>
    <row r="21" spans="2:29" hidden="1" outlineLevel="1">
      <c r="B21" s="13">
        <f t="shared" si="2"/>
        <v>2019</v>
      </c>
      <c r="C21" s="410">
        <f t="shared" si="7"/>
        <v>6386.0540000000001</v>
      </c>
      <c r="D21" s="410">
        <f t="shared" si="8"/>
        <v>220</v>
      </c>
      <c r="E21" s="410">
        <f t="shared" si="11"/>
        <v>1038.2605252505746</v>
      </c>
      <c r="F21" s="417">
        <f t="shared" si="9"/>
        <v>7644.3145252505747</v>
      </c>
      <c r="G21" s="47">
        <f t="shared" si="1"/>
        <v>7644.3145252505747</v>
      </c>
      <c r="H21" s="50">
        <f>G21/Population!E21*1000</f>
        <v>752.92738083309212</v>
      </c>
      <c r="T21" s="348">
        <f t="shared" si="10"/>
        <v>2019</v>
      </c>
      <c r="U21" s="348">
        <f t="shared" si="10"/>
        <v>10</v>
      </c>
      <c r="V21" s="409">
        <f t="shared" si="3"/>
        <v>6624.6539999999968</v>
      </c>
      <c r="W21" s="409">
        <f t="shared" si="4"/>
        <v>8262.9052840480635</v>
      </c>
      <c r="X21" s="409">
        <f t="shared" si="5"/>
        <v>7424.3145252505747</v>
      </c>
      <c r="Y21" s="409">
        <f t="shared" si="6"/>
        <v>6805.6297378659938</v>
      </c>
      <c r="Z21" s="409"/>
      <c r="AA21" s="409"/>
      <c r="AB21" s="409"/>
      <c r="AC21" s="409"/>
    </row>
    <row r="22" spans="2:29" collapsed="1">
      <c r="B22" s="13">
        <f t="shared" si="2"/>
        <v>2020</v>
      </c>
      <c r="C22" s="410">
        <f t="shared" si="7"/>
        <v>6364.0540000000001</v>
      </c>
      <c r="D22" s="410">
        <f t="shared" si="8"/>
        <v>242</v>
      </c>
      <c r="E22" s="410">
        <f t="shared" si="11"/>
        <v>1120.0865777756317</v>
      </c>
      <c r="F22" s="417">
        <f t="shared" si="9"/>
        <v>7726.1405777756318</v>
      </c>
      <c r="G22" s="47">
        <f t="shared" si="1"/>
        <v>7726.1405777756318</v>
      </c>
      <c r="H22" s="50">
        <f>G22/Population!E22*1000</f>
        <v>759.74942868950302</v>
      </c>
      <c r="T22" s="348">
        <f t="shared" si="10"/>
        <v>2020</v>
      </c>
      <c r="U22" s="348">
        <f t="shared" si="10"/>
        <v>11</v>
      </c>
      <c r="V22" s="409">
        <f t="shared" si="3"/>
        <v>6626.5139999999956</v>
      </c>
      <c r="W22" s="409">
        <f t="shared" si="4"/>
        <v>8343.7742868116857</v>
      </c>
      <c r="X22" s="409">
        <f t="shared" si="5"/>
        <v>7506.1405777756318</v>
      </c>
      <c r="Y22" s="409">
        <f t="shared" si="6"/>
        <v>6847.5406428178521</v>
      </c>
      <c r="Z22" s="409"/>
      <c r="AA22" s="409"/>
      <c r="AB22" s="409"/>
      <c r="AC22" s="409"/>
    </row>
    <row r="23" spans="2:29" hidden="1" outlineLevel="1">
      <c r="B23" s="13">
        <f t="shared" si="2"/>
        <v>2021</v>
      </c>
      <c r="C23" s="410">
        <f t="shared" si="7"/>
        <v>6342.0540000000001</v>
      </c>
      <c r="D23" s="410">
        <f t="shared" si="8"/>
        <v>264</v>
      </c>
      <c r="E23" s="410">
        <f t="shared" si="11"/>
        <v>1201.9126303006888</v>
      </c>
      <c r="F23" s="417">
        <f t="shared" si="9"/>
        <v>7807.9666303006888</v>
      </c>
      <c r="G23" s="47">
        <f t="shared" si="1"/>
        <v>7807.9666303006888</v>
      </c>
      <c r="H23" s="50">
        <f>G23/Population!E23*1000</f>
        <v>766.6047227883131</v>
      </c>
      <c r="T23" s="348">
        <f t="shared" si="10"/>
        <v>2021</v>
      </c>
      <c r="U23" s="348">
        <f t="shared" si="10"/>
        <v>12</v>
      </c>
      <c r="V23" s="409">
        <f t="shared" si="3"/>
        <v>6628.3739999999962</v>
      </c>
      <c r="W23" s="409">
        <f t="shared" si="4"/>
        <v>8421.0436454090468</v>
      </c>
      <c r="X23" s="409">
        <f t="shared" si="5"/>
        <v>7587.9666303006888</v>
      </c>
      <c r="Y23" s="409">
        <f t="shared" si="6"/>
        <v>6893.4430625270306</v>
      </c>
      <c r="Z23" s="409"/>
      <c r="AA23" s="409"/>
      <c r="AB23" s="409"/>
      <c r="AC23" s="409"/>
    </row>
    <row r="24" spans="2:29" hidden="1" outlineLevel="1">
      <c r="B24" s="13">
        <f t="shared" si="2"/>
        <v>2022</v>
      </c>
      <c r="C24" s="410">
        <f t="shared" si="7"/>
        <v>6320.0540000000001</v>
      </c>
      <c r="D24" s="410">
        <f t="shared" si="8"/>
        <v>286</v>
      </c>
      <c r="E24" s="410">
        <f t="shared" si="11"/>
        <v>1283.7386828257459</v>
      </c>
      <c r="F24" s="417">
        <f t="shared" si="9"/>
        <v>7889.7926828257459</v>
      </c>
      <c r="G24" s="47">
        <f t="shared" si="1"/>
        <v>7889.7926828257459</v>
      </c>
      <c r="H24" s="50">
        <f>G24/Population!E24*1000</f>
        <v>773.48774288747927</v>
      </c>
      <c r="T24" s="348">
        <f t="shared" si="10"/>
        <v>2022</v>
      </c>
      <c r="U24" s="348">
        <f t="shared" si="10"/>
        <v>13</v>
      </c>
      <c r="V24" s="409">
        <f t="shared" si="3"/>
        <v>6630.2339999999949</v>
      </c>
      <c r="W24" s="409">
        <f t="shared" si="4"/>
        <v>8495.1551171155534</v>
      </c>
      <c r="X24" s="409">
        <f t="shared" si="5"/>
        <v>7669.7926828257459</v>
      </c>
      <c r="Y24" s="409">
        <f t="shared" si="6"/>
        <v>6943.3369969935293</v>
      </c>
      <c r="Z24" s="409"/>
      <c r="AA24" s="409"/>
      <c r="AB24" s="409"/>
      <c r="AC24" s="409"/>
    </row>
    <row r="25" spans="2:29" hidden="1" outlineLevel="1">
      <c r="B25" s="13">
        <f t="shared" ref="B25:B48" si="12">B24+1</f>
        <v>2023</v>
      </c>
      <c r="C25" s="410">
        <f t="shared" si="7"/>
        <v>6298.0540000000001</v>
      </c>
      <c r="D25" s="410">
        <f t="shared" si="8"/>
        <v>308</v>
      </c>
      <c r="E25" s="410">
        <f t="shared" si="11"/>
        <v>1365.5647353508039</v>
      </c>
      <c r="F25" s="417">
        <f t="shared" si="9"/>
        <v>7971.6187353508039</v>
      </c>
      <c r="G25" s="47">
        <f t="shared" si="1"/>
        <v>7971.6187353508039</v>
      </c>
      <c r="H25" s="50">
        <f>G25/Population!E25*1000</f>
        <v>780.39407553789636</v>
      </c>
      <c r="T25" s="348">
        <f t="shared" si="10"/>
        <v>2023</v>
      </c>
      <c r="U25" s="348">
        <f t="shared" si="10"/>
        <v>14</v>
      </c>
      <c r="V25" s="409">
        <f t="shared" si="3"/>
        <v>6632.0939999999955</v>
      </c>
      <c r="W25" s="409">
        <f t="shared" si="4"/>
        <v>8566.4668770318767</v>
      </c>
      <c r="X25" s="409">
        <f t="shared" si="5"/>
        <v>7751.6187353508039</v>
      </c>
      <c r="Y25" s="409">
        <f t="shared" si="6"/>
        <v>6997.2224462173481</v>
      </c>
      <c r="Z25" s="409"/>
      <c r="AA25" s="409"/>
      <c r="AB25" s="409"/>
      <c r="AC25" s="409"/>
    </row>
    <row r="26" spans="2:29" hidden="1" outlineLevel="1">
      <c r="B26" s="13">
        <f t="shared" si="12"/>
        <v>2024</v>
      </c>
      <c r="C26" s="410">
        <f t="shared" si="7"/>
        <v>6276.0540000000001</v>
      </c>
      <c r="D26" s="410">
        <f t="shared" si="8"/>
        <v>330</v>
      </c>
      <c r="E26" s="410">
        <f t="shared" si="11"/>
        <v>1447.390787875861</v>
      </c>
      <c r="F26" s="417">
        <f t="shared" si="9"/>
        <v>8053.444787875861</v>
      </c>
      <c r="G26" s="47">
        <f t="shared" si="1"/>
        <v>8053.444787875861</v>
      </c>
      <c r="H26" s="50">
        <f>G26/Population!E26*1000</f>
        <v>787.32013472004576</v>
      </c>
      <c r="T26" s="348">
        <f t="shared" si="10"/>
        <v>2024</v>
      </c>
      <c r="U26" s="348">
        <f t="shared" si="10"/>
        <v>15</v>
      </c>
      <c r="V26" s="409">
        <f t="shared" si="3"/>
        <v>6633.9539999999943</v>
      </c>
      <c r="W26" s="409">
        <f t="shared" si="4"/>
        <v>8635.2741127964346</v>
      </c>
      <c r="X26" s="409">
        <f t="shared" si="5"/>
        <v>7833.444787875861</v>
      </c>
      <c r="Y26" s="409">
        <f t="shared" si="6"/>
        <v>7055.0994101984861</v>
      </c>
      <c r="Z26" s="409"/>
      <c r="AA26" s="409"/>
      <c r="AB26" s="409"/>
      <c r="AC26" s="409"/>
    </row>
    <row r="27" spans="2:29" hidden="1" outlineLevel="1">
      <c r="B27" s="13">
        <f t="shared" si="12"/>
        <v>2025</v>
      </c>
      <c r="C27" s="410">
        <f t="shared" si="7"/>
        <v>6254.0540000000001</v>
      </c>
      <c r="D27" s="410">
        <f t="shared" si="8"/>
        <v>352</v>
      </c>
      <c r="E27" s="410">
        <f t="shared" si="11"/>
        <v>1529.216840400919</v>
      </c>
      <c r="F27" s="417">
        <f t="shared" si="9"/>
        <v>8135.270840400919</v>
      </c>
      <c r="G27" s="47">
        <f t="shared" si="1"/>
        <v>8135.270840400919</v>
      </c>
      <c r="H27" s="50">
        <f>G27/Population!E27*1000</f>
        <v>794.26296630598677</v>
      </c>
      <c r="T27" s="348">
        <f t="shared" si="10"/>
        <v>2025</v>
      </c>
      <c r="U27" s="348">
        <f t="shared" si="10"/>
        <v>16</v>
      </c>
      <c r="V27" s="409">
        <f t="shared" si="3"/>
        <v>6635.8139999999948</v>
      </c>
      <c r="W27" s="409">
        <f t="shared" si="4"/>
        <v>8701.8235207065936</v>
      </c>
      <c r="X27" s="409">
        <f t="shared" si="5"/>
        <v>7915.270840400919</v>
      </c>
      <c r="Y27" s="409">
        <f t="shared" si="6"/>
        <v>7116.9678889369443</v>
      </c>
      <c r="Z27" s="409"/>
      <c r="AA27" s="409"/>
      <c r="AB27" s="409"/>
      <c r="AC27" s="409"/>
    </row>
    <row r="28" spans="2:29" hidden="1" outlineLevel="1">
      <c r="B28" s="13">
        <f t="shared" si="12"/>
        <v>2026</v>
      </c>
      <c r="C28" s="410">
        <f t="shared" si="7"/>
        <v>6232.0540000000001</v>
      </c>
      <c r="D28" s="410">
        <f t="shared" si="8"/>
        <v>374</v>
      </c>
      <c r="E28" s="410">
        <f t="shared" si="11"/>
        <v>1611.042892925976</v>
      </c>
      <c r="F28" s="417">
        <f t="shared" si="9"/>
        <v>8217.0968929259761</v>
      </c>
      <c r="G28" s="47">
        <f t="shared" si="1"/>
        <v>8217.0968929259761</v>
      </c>
      <c r="H28" s="50">
        <f>G28/Population!E28*1000</f>
        <v>801.22010762890909</v>
      </c>
      <c r="T28" s="348">
        <f t="shared" si="10"/>
        <v>2026</v>
      </c>
      <c r="U28" s="348">
        <f t="shared" si="10"/>
        <v>17</v>
      </c>
      <c r="V28" s="409">
        <f t="shared" si="3"/>
        <v>6637.6739999999936</v>
      </c>
      <c r="W28" s="409">
        <f t="shared" si="4"/>
        <v>8766.3237752058467</v>
      </c>
      <c r="X28" s="409">
        <f t="shared" si="5"/>
        <v>7997.0968929259761</v>
      </c>
      <c r="Y28" s="409">
        <f t="shared" si="6"/>
        <v>7182.8278824327217</v>
      </c>
      <c r="Z28" s="409"/>
      <c r="AA28" s="409"/>
      <c r="AB28" s="409"/>
      <c r="AC28" s="409"/>
    </row>
    <row r="29" spans="2:29" hidden="1" outlineLevel="1">
      <c r="B29" s="13">
        <f t="shared" si="12"/>
        <v>2027</v>
      </c>
      <c r="C29" s="410">
        <f t="shared" si="7"/>
        <v>6210.0540000000001</v>
      </c>
      <c r="D29" s="410">
        <f t="shared" si="8"/>
        <v>396</v>
      </c>
      <c r="E29" s="410">
        <f t="shared" si="11"/>
        <v>1692.8689454510331</v>
      </c>
      <c r="F29" s="417">
        <f t="shared" si="9"/>
        <v>8298.9229454510332</v>
      </c>
      <c r="G29" s="47">
        <f t="shared" si="1"/>
        <v>8298.9229454510332</v>
      </c>
      <c r="H29" s="50">
        <f>G29/Population!E29*1000</f>
        <v>808.18948436959442</v>
      </c>
      <c r="T29" s="348">
        <f t="shared" si="10"/>
        <v>2027</v>
      </c>
      <c r="U29" s="348">
        <f t="shared" si="10"/>
        <v>18</v>
      </c>
      <c r="V29" s="409">
        <f t="shared" si="3"/>
        <v>6639.5339999999942</v>
      </c>
      <c r="W29" s="409">
        <f t="shared" si="4"/>
        <v>8828.953259843569</v>
      </c>
      <c r="X29" s="409">
        <f t="shared" si="5"/>
        <v>8078.9229454510332</v>
      </c>
      <c r="Y29" s="409">
        <f t="shared" si="6"/>
        <v>7252.6793906858193</v>
      </c>
      <c r="Z29" s="409"/>
      <c r="AA29" s="409"/>
      <c r="AB29" s="409"/>
      <c r="AC29" s="409"/>
    </row>
    <row r="30" spans="2:29" hidden="1" outlineLevel="1">
      <c r="B30" s="13">
        <f t="shared" si="12"/>
        <v>2028</v>
      </c>
      <c r="C30" s="410">
        <f t="shared" si="7"/>
        <v>6188.0540000000001</v>
      </c>
      <c r="D30" s="410">
        <f t="shared" si="8"/>
        <v>418</v>
      </c>
      <c r="E30" s="410">
        <f t="shared" si="11"/>
        <v>1774.6949979760902</v>
      </c>
      <c r="F30" s="417">
        <f t="shared" si="9"/>
        <v>8380.7489979760903</v>
      </c>
      <c r="G30" s="47">
        <f t="shared" si="1"/>
        <v>8380.7489979760903</v>
      </c>
      <c r="H30" s="50">
        <f>G30/Population!E30*1000</f>
        <v>815.16933336796149</v>
      </c>
      <c r="T30" s="348">
        <f t="shared" ref="T30:U45" si="13">T29+1</f>
        <v>2028</v>
      </c>
      <c r="U30" s="348">
        <f t="shared" si="13"/>
        <v>19</v>
      </c>
      <c r="V30" s="409">
        <f t="shared" si="3"/>
        <v>6641.393999999993</v>
      </c>
      <c r="W30" s="409">
        <f t="shared" si="4"/>
        <v>8889.8658874281791</v>
      </c>
      <c r="X30" s="409">
        <f t="shared" si="5"/>
        <v>8160.7489979760903</v>
      </c>
      <c r="Y30" s="409">
        <f t="shared" si="6"/>
        <v>7326.522413696237</v>
      </c>
      <c r="Z30" s="409"/>
      <c r="AA30" s="409"/>
      <c r="AB30" s="409"/>
      <c r="AC30" s="409"/>
    </row>
    <row r="31" spans="2:29" hidden="1" outlineLevel="1">
      <c r="B31" s="13">
        <f t="shared" si="12"/>
        <v>2029</v>
      </c>
      <c r="C31" s="410">
        <f t="shared" si="7"/>
        <v>6166.0540000000001</v>
      </c>
      <c r="D31" s="410">
        <f t="shared" si="8"/>
        <v>440</v>
      </c>
      <c r="E31" s="410">
        <f t="shared" si="11"/>
        <v>1856.5210505011491</v>
      </c>
      <c r="F31" s="417">
        <f t="shared" si="9"/>
        <v>8462.5750505011492</v>
      </c>
      <c r="G31" s="47">
        <f t="shared" si="1"/>
        <v>8462.5750505011492</v>
      </c>
      <c r="H31" s="50">
        <f>G31/Population!E31*1000</f>
        <v>822.15814385295175</v>
      </c>
      <c r="T31" s="348">
        <f t="shared" si="13"/>
        <v>2029</v>
      </c>
      <c r="U31" s="348">
        <f t="shared" si="13"/>
        <v>20</v>
      </c>
      <c r="V31" s="409">
        <f t="shared" si="3"/>
        <v>6643.2539999999935</v>
      </c>
      <c r="W31" s="409">
        <f t="shared" si="4"/>
        <v>8949.1955567360492</v>
      </c>
      <c r="X31" s="409">
        <f t="shared" si="5"/>
        <v>8242.5750505011492</v>
      </c>
      <c r="Y31" s="409">
        <f t="shared" si="6"/>
        <v>7404.3569514639748</v>
      </c>
      <c r="Z31" s="409"/>
      <c r="AA31" s="409"/>
      <c r="AB31" s="409"/>
      <c r="AC31" s="409"/>
    </row>
    <row r="32" spans="2:29" collapsed="1">
      <c r="B32" s="13">
        <f t="shared" si="12"/>
        <v>2030</v>
      </c>
      <c r="C32" s="410">
        <f t="shared" si="7"/>
        <v>6144.0540000000001</v>
      </c>
      <c r="D32" s="410">
        <f t="shared" si="8"/>
        <v>462</v>
      </c>
      <c r="E32" s="410">
        <f t="shared" si="11"/>
        <v>1938.3471030262062</v>
      </c>
      <c r="F32" s="417">
        <f t="shared" si="9"/>
        <v>8544.4011030262063</v>
      </c>
      <c r="G32" s="47">
        <f t="shared" si="1"/>
        <v>8544.4011030262063</v>
      </c>
      <c r="H32" s="50">
        <f>G32/Population!E32*1000</f>
        <v>829.15461201822768</v>
      </c>
      <c r="J32" s="10" t="s">
        <v>1549</v>
      </c>
      <c r="T32" s="348">
        <f t="shared" si="13"/>
        <v>2030</v>
      </c>
      <c r="U32" s="348">
        <f t="shared" si="13"/>
        <v>21</v>
      </c>
      <c r="V32" s="409">
        <f t="shared" si="3"/>
        <v>6645.1139999999923</v>
      </c>
      <c r="W32" s="409">
        <f t="shared" si="4"/>
        <v>9007.0596169548207</v>
      </c>
      <c r="X32" s="409">
        <f t="shared" si="5"/>
        <v>8324.4011030262063</v>
      </c>
      <c r="Y32" s="409">
        <f t="shared" si="6"/>
        <v>7486.1830039890319</v>
      </c>
      <c r="Z32" s="409"/>
      <c r="AA32" s="409"/>
      <c r="AB32" s="409"/>
      <c r="AC32" s="409"/>
    </row>
    <row r="33" spans="2:29" hidden="1" outlineLevel="1">
      <c r="B33" s="13">
        <f t="shared" si="12"/>
        <v>2031</v>
      </c>
      <c r="C33" s="410">
        <f t="shared" si="7"/>
        <v>6122.0540000000001</v>
      </c>
      <c r="D33" s="410">
        <f t="shared" si="8"/>
        <v>484</v>
      </c>
      <c r="E33" s="410">
        <f t="shared" si="11"/>
        <v>2020.1731555512633</v>
      </c>
      <c r="F33" s="417">
        <f t="shared" si="9"/>
        <v>8626.2271555512634</v>
      </c>
      <c r="G33" s="47">
        <f t="shared" si="1"/>
        <v>8626.2271555512634</v>
      </c>
      <c r="H33" s="50">
        <f>G33/Population!E33*1000</f>
        <v>836.15760543905401</v>
      </c>
      <c r="T33" s="348">
        <f t="shared" si="13"/>
        <v>2031</v>
      </c>
      <c r="U33" s="348">
        <f t="shared" si="13"/>
        <v>22</v>
      </c>
      <c r="V33" s="409">
        <f t="shared" si="3"/>
        <v>6646.9739999999929</v>
      </c>
      <c r="W33" s="409">
        <f t="shared" si="4"/>
        <v>9063.5615972199503</v>
      </c>
      <c r="X33" s="409">
        <f t="shared" si="5"/>
        <v>8406.2271555512634</v>
      </c>
      <c r="Y33" s="409">
        <f t="shared" si="6"/>
        <v>7572.0005712714092</v>
      </c>
      <c r="Z33" s="409"/>
      <c r="AA33" s="409"/>
      <c r="AB33" s="409"/>
      <c r="AC33" s="409"/>
    </row>
    <row r="34" spans="2:29" hidden="1" outlineLevel="1">
      <c r="B34" s="13">
        <f t="shared" si="12"/>
        <v>2032</v>
      </c>
      <c r="C34" s="410">
        <f t="shared" si="7"/>
        <v>6100.0540000000001</v>
      </c>
      <c r="D34" s="410">
        <f t="shared" si="8"/>
        <v>506</v>
      </c>
      <c r="E34" s="410">
        <f t="shared" si="11"/>
        <v>2101.9992080763204</v>
      </c>
      <c r="F34" s="417">
        <f t="shared" si="9"/>
        <v>8708.0532080763205</v>
      </c>
      <c r="G34" s="47">
        <f t="shared" si="1"/>
        <v>8708.0532080763205</v>
      </c>
      <c r="H34" s="50">
        <f>G34/Population!E34*1000</f>
        <v>843.16613486063534</v>
      </c>
      <c r="T34" s="348">
        <f t="shared" si="13"/>
        <v>2032</v>
      </c>
      <c r="U34" s="348">
        <f t="shared" si="13"/>
        <v>23</v>
      </c>
      <c r="V34" s="409">
        <f t="shared" si="3"/>
        <v>6648.8339999999916</v>
      </c>
      <c r="W34" s="409">
        <f t="shared" si="4"/>
        <v>9118.7933832506678</v>
      </c>
      <c r="X34" s="409">
        <f t="shared" si="5"/>
        <v>8488.0532080763205</v>
      </c>
      <c r="Y34" s="409">
        <f t="shared" si="6"/>
        <v>7661.8096533111066</v>
      </c>
      <c r="Z34" s="409"/>
      <c r="AA34" s="409"/>
      <c r="AB34" s="409"/>
      <c r="AC34" s="409"/>
    </row>
    <row r="35" spans="2:29" hidden="1" outlineLevel="1">
      <c r="B35" s="13">
        <f t="shared" si="12"/>
        <v>2033</v>
      </c>
      <c r="C35" s="410">
        <f t="shared" si="7"/>
        <v>6078.0540000000001</v>
      </c>
      <c r="D35" s="410">
        <f t="shared" si="8"/>
        <v>528</v>
      </c>
      <c r="E35" s="410">
        <f t="shared" si="11"/>
        <v>2183.8252606013775</v>
      </c>
      <c r="F35" s="417">
        <f t="shared" si="9"/>
        <v>8789.8792606013776</v>
      </c>
      <c r="G35" s="47">
        <f t="shared" si="1"/>
        <v>8789.8792606013776</v>
      </c>
      <c r="H35" s="50">
        <f>G35/Population!E35*1000</f>
        <v>850.17933158637265</v>
      </c>
      <c r="T35" s="348">
        <f t="shared" si="13"/>
        <v>2033</v>
      </c>
      <c r="U35" s="348">
        <f t="shared" si="13"/>
        <v>24</v>
      </c>
      <c r="V35" s="409">
        <f t="shared" si="3"/>
        <v>6650.6939999999922</v>
      </c>
      <c r="W35" s="409">
        <f t="shared" si="4"/>
        <v>9172.8369721042091</v>
      </c>
      <c r="X35" s="409">
        <f t="shared" si="5"/>
        <v>8569.8792606013776</v>
      </c>
      <c r="Y35" s="409">
        <f t="shared" si="6"/>
        <v>7755.6102501081241</v>
      </c>
      <c r="Z35" s="409"/>
      <c r="AA35" s="409"/>
      <c r="AB35" s="409"/>
      <c r="AC35" s="409"/>
    </row>
    <row r="36" spans="2:29" hidden="1" outlineLevel="1">
      <c r="B36" s="13">
        <f t="shared" si="12"/>
        <v>2034</v>
      </c>
      <c r="C36" s="410">
        <f t="shared" si="7"/>
        <v>6056.0540000000001</v>
      </c>
      <c r="D36" s="410">
        <f t="shared" si="8"/>
        <v>550</v>
      </c>
      <c r="E36" s="410">
        <f t="shared" si="11"/>
        <v>2265.6513131264346</v>
      </c>
      <c r="F36" s="417">
        <f t="shared" si="9"/>
        <v>8871.7053131264347</v>
      </c>
      <c r="G36" s="47">
        <f t="shared" si="1"/>
        <v>8871.7053131264347</v>
      </c>
      <c r="H36" s="50">
        <f>G36/Population!E36*1000</f>
        <v>857.19642917484703</v>
      </c>
      <c r="T36" s="348">
        <f t="shared" si="13"/>
        <v>2034</v>
      </c>
      <c r="U36" s="348">
        <f t="shared" si="13"/>
        <v>25</v>
      </c>
      <c r="V36" s="409">
        <f t="shared" si="3"/>
        <v>6652.553999999991</v>
      </c>
      <c r="W36" s="409">
        <f t="shared" si="4"/>
        <v>9225.7659008832416</v>
      </c>
      <c r="X36" s="409">
        <f t="shared" si="5"/>
        <v>8651.7053131264347</v>
      </c>
      <c r="Y36" s="409">
        <f t="shared" si="6"/>
        <v>7853.4023616624609</v>
      </c>
      <c r="Z36" s="409"/>
      <c r="AA36" s="409"/>
      <c r="AB36" s="409"/>
      <c r="AC36" s="409"/>
    </row>
    <row r="37" spans="2:29" hidden="1" outlineLevel="1">
      <c r="B37" s="13">
        <f t="shared" si="12"/>
        <v>2035</v>
      </c>
      <c r="C37" s="410">
        <f t="shared" si="7"/>
        <v>6034.0540000000001</v>
      </c>
      <c r="D37" s="410">
        <f t="shared" si="8"/>
        <v>572</v>
      </c>
      <c r="E37" s="410">
        <f t="shared" si="11"/>
        <v>2347.4773656514917</v>
      </c>
      <c r="F37" s="417">
        <f t="shared" si="9"/>
        <v>8953.5313656514918</v>
      </c>
      <c r="G37" s="47">
        <f t="shared" si="1"/>
        <v>8953.5313656514918</v>
      </c>
      <c r="H37" s="50">
        <f>G37/Population!E37*1000</f>
        <v>864.21674849070291</v>
      </c>
      <c r="T37" s="348">
        <f t="shared" si="13"/>
        <v>2035</v>
      </c>
      <c r="U37" s="348">
        <f t="shared" si="13"/>
        <v>26</v>
      </c>
      <c r="V37" s="409">
        <f t="shared" si="3"/>
        <v>6654.4139999999916</v>
      </c>
      <c r="W37" s="409">
        <f t="shared" si="4"/>
        <v>9277.6464205189804</v>
      </c>
      <c r="X37" s="409">
        <f t="shared" si="5"/>
        <v>8733.5313656514918</v>
      </c>
      <c r="Y37" s="409">
        <f t="shared" si="6"/>
        <v>7955.1859879741169</v>
      </c>
      <c r="Z37" s="409"/>
      <c r="AA37" s="409"/>
      <c r="AB37" s="409"/>
      <c r="AC37" s="409"/>
    </row>
    <row r="38" spans="2:29" hidden="1" outlineLevel="1">
      <c r="B38" s="13">
        <f t="shared" si="12"/>
        <v>2036</v>
      </c>
      <c r="C38" s="410">
        <f t="shared" si="7"/>
        <v>6012.0540000000001</v>
      </c>
      <c r="D38" s="410">
        <f t="shared" si="8"/>
        <v>594</v>
      </c>
      <c r="E38" s="410">
        <f t="shared" si="11"/>
        <v>2429.3034181765506</v>
      </c>
      <c r="F38" s="417">
        <f t="shared" si="9"/>
        <v>9035.3574181765507</v>
      </c>
      <c r="G38" s="47">
        <f t="shared" si="1"/>
        <v>9035.3574181765507</v>
      </c>
      <c r="H38" s="50">
        <f>G38/Population!E38*1000</f>
        <v>871.23968539398891</v>
      </c>
      <c r="T38" s="348">
        <f t="shared" si="13"/>
        <v>2036</v>
      </c>
      <c r="U38" s="348">
        <f t="shared" si="13"/>
        <v>27</v>
      </c>
      <c r="V38" s="409">
        <f t="shared" si="3"/>
        <v>6656.2739999999903</v>
      </c>
      <c r="W38" s="409">
        <f t="shared" si="4"/>
        <v>9328.5384681135711</v>
      </c>
      <c r="X38" s="409">
        <f t="shared" si="5"/>
        <v>8815.3574181765507</v>
      </c>
      <c r="Y38" s="409">
        <f t="shared" si="6"/>
        <v>8060.9611290430939</v>
      </c>
      <c r="Z38" s="409"/>
      <c r="AA38" s="409"/>
      <c r="AB38" s="409"/>
      <c r="AC38" s="409"/>
    </row>
    <row r="39" spans="2:29" hidden="1" outlineLevel="1">
      <c r="B39" s="13">
        <f t="shared" si="12"/>
        <v>2037</v>
      </c>
      <c r="C39" s="410">
        <f t="shared" si="7"/>
        <v>5990.0540000000001</v>
      </c>
      <c r="D39" s="410">
        <f t="shared" si="8"/>
        <v>616</v>
      </c>
      <c r="E39" s="410">
        <f t="shared" si="11"/>
        <v>2511.1294707016077</v>
      </c>
      <c r="F39" s="417">
        <f t="shared" si="9"/>
        <v>9117.1834707016078</v>
      </c>
      <c r="G39" s="47">
        <f t="shared" si="1"/>
        <v>9117.1834707016078</v>
      </c>
      <c r="H39" s="50">
        <f>G39/Population!E39*1000</f>
        <v>878.26470052536149</v>
      </c>
      <c r="T39" s="348">
        <f t="shared" si="13"/>
        <v>2037</v>
      </c>
      <c r="U39" s="348">
        <f t="shared" si="13"/>
        <v>28</v>
      </c>
      <c r="V39" s="409">
        <f t="shared" si="3"/>
        <v>6658.1339999999909</v>
      </c>
      <c r="W39" s="409">
        <f t="shared" si="4"/>
        <v>9378.4964785493394</v>
      </c>
      <c r="X39" s="409">
        <f t="shared" si="5"/>
        <v>8897.1834707016078</v>
      </c>
      <c r="Y39" s="409">
        <f t="shared" si="6"/>
        <v>8170.7277848693902</v>
      </c>
      <c r="Z39" s="409"/>
      <c r="AA39" s="409"/>
      <c r="AB39" s="409"/>
      <c r="AC39" s="409"/>
    </row>
    <row r="40" spans="2:29" hidden="1" outlineLevel="1">
      <c r="B40" s="13">
        <f t="shared" si="12"/>
        <v>2038</v>
      </c>
      <c r="C40" s="410">
        <f t="shared" si="7"/>
        <v>5968.0540000000001</v>
      </c>
      <c r="D40" s="410">
        <f t="shared" si="8"/>
        <v>638</v>
      </c>
      <c r="E40" s="410">
        <f t="shared" si="11"/>
        <v>2592.9555232266648</v>
      </c>
      <c r="F40" s="417">
        <f t="shared" si="9"/>
        <v>9199.0095232266649</v>
      </c>
      <c r="G40" s="47">
        <f t="shared" si="1"/>
        <v>9199.0095232266649</v>
      </c>
      <c r="H40" s="50">
        <f>G40/Population!E40*1000</f>
        <v>885.29131077108218</v>
      </c>
      <c r="T40" s="348">
        <f t="shared" si="13"/>
        <v>2038</v>
      </c>
      <c r="U40" s="348">
        <f t="shared" si="13"/>
        <v>29</v>
      </c>
      <c r="V40" s="409">
        <f t="shared" si="3"/>
        <v>6659.9939999999897</v>
      </c>
      <c r="W40" s="409">
        <f t="shared" si="4"/>
        <v>9427.5700666935736</v>
      </c>
      <c r="X40" s="409">
        <f t="shared" si="5"/>
        <v>8979.0095232266649</v>
      </c>
      <c r="Y40" s="409">
        <f t="shared" si="6"/>
        <v>8284.4859554530067</v>
      </c>
      <c r="Z40" s="409"/>
      <c r="AA40" s="409"/>
      <c r="AB40" s="409"/>
      <c r="AC40" s="409"/>
    </row>
    <row r="41" spans="2:29" hidden="1" outlineLevel="1">
      <c r="B41" s="13">
        <f t="shared" si="12"/>
        <v>2039</v>
      </c>
      <c r="C41" s="410">
        <f t="shared" si="7"/>
        <v>5946.0540000000001</v>
      </c>
      <c r="D41" s="410">
        <f t="shared" si="8"/>
        <v>660</v>
      </c>
      <c r="E41" s="410">
        <f t="shared" si="11"/>
        <v>2674.7815757517219</v>
      </c>
      <c r="F41" s="417">
        <f t="shared" si="9"/>
        <v>9280.835575751722</v>
      </c>
      <c r="G41" s="47">
        <f t="shared" si="1"/>
        <v>9280.835575751722</v>
      </c>
      <c r="H41" s="50">
        <f>G41/Population!E41*1000</f>
        <v>892.31908208547031</v>
      </c>
      <c r="T41" s="348">
        <f t="shared" si="13"/>
        <v>2039</v>
      </c>
      <c r="U41" s="348">
        <f t="shared" si="13"/>
        <v>30</v>
      </c>
      <c r="V41" s="409">
        <f t="shared" si="3"/>
        <v>6661.8539999999903</v>
      </c>
      <c r="W41" s="409">
        <f t="shared" si="4"/>
        <v>9475.804604556979</v>
      </c>
      <c r="X41" s="409">
        <f t="shared" si="5"/>
        <v>9060.835575751722</v>
      </c>
      <c r="Y41" s="409">
        <f t="shared" si="6"/>
        <v>8402.2356407939424</v>
      </c>
      <c r="Z41" s="409"/>
      <c r="AA41" s="409"/>
      <c r="AB41" s="409"/>
      <c r="AC41" s="409"/>
    </row>
    <row r="42" spans="2:29" collapsed="1">
      <c r="B42" s="13">
        <f t="shared" si="12"/>
        <v>2040</v>
      </c>
      <c r="C42" s="410">
        <f t="shared" si="7"/>
        <v>5924.0540000000001</v>
      </c>
      <c r="D42" s="410">
        <f t="shared" si="8"/>
        <v>682</v>
      </c>
      <c r="E42" s="410">
        <f t="shared" si="11"/>
        <v>2756.607628276779</v>
      </c>
      <c r="F42" s="417">
        <f t="shared" si="9"/>
        <v>9362.6616282767791</v>
      </c>
      <c r="G42" s="47">
        <f t="shared" si="1"/>
        <v>9362.6616282767791</v>
      </c>
      <c r="H42" s="50">
        <f>G42/Population!E42*1000</f>
        <v>899.34762341874443</v>
      </c>
      <c r="T42" s="348">
        <f t="shared" si="13"/>
        <v>2040</v>
      </c>
      <c r="U42" s="348">
        <f t="shared" si="13"/>
        <v>31</v>
      </c>
      <c r="V42" s="409">
        <f t="shared" si="3"/>
        <v>6663.713999999989</v>
      </c>
      <c r="W42" s="409">
        <f t="shared" si="4"/>
        <v>9523.2417125238826</v>
      </c>
      <c r="X42" s="409">
        <f t="shared" si="5"/>
        <v>9142.6616282767791</v>
      </c>
      <c r="Y42" s="409">
        <f t="shared" si="6"/>
        <v>8523.9768408921991</v>
      </c>
      <c r="Z42" s="409"/>
      <c r="AA42" s="409"/>
      <c r="AB42" s="409"/>
      <c r="AC42" s="409"/>
    </row>
    <row r="43" spans="2:29" hidden="1" outlineLevel="1">
      <c r="B43" s="13">
        <f t="shared" si="12"/>
        <v>2041</v>
      </c>
      <c r="C43" s="410">
        <f t="shared" si="7"/>
        <v>5902.0540000000001</v>
      </c>
      <c r="D43" s="410">
        <f t="shared" si="8"/>
        <v>704</v>
      </c>
      <c r="E43" s="410">
        <f t="shared" si="11"/>
        <v>2838.4336808018379</v>
      </c>
      <c r="F43" s="417">
        <f t="shared" si="9"/>
        <v>9444.487680801838</v>
      </c>
      <c r="G43" s="47">
        <f t="shared" si="1"/>
        <v>9444.487680801838</v>
      </c>
      <c r="H43" s="50">
        <f>G43/Population!E43*1000</f>
        <v>906.37658155138649</v>
      </c>
      <c r="T43" s="348">
        <f t="shared" si="13"/>
        <v>2041</v>
      </c>
      <c r="U43" s="348">
        <f t="shared" si="13"/>
        <v>32</v>
      </c>
      <c r="V43" s="409">
        <f t="shared" si="3"/>
        <v>6665.5739999999896</v>
      </c>
      <c r="W43" s="409">
        <f t="shared" si="4"/>
        <v>9569.9196797914265</v>
      </c>
      <c r="X43" s="409">
        <f t="shared" si="5"/>
        <v>9224.487680801838</v>
      </c>
      <c r="Y43" s="409">
        <f t="shared" si="6"/>
        <v>8649.7095557477751</v>
      </c>
      <c r="Z43" s="409"/>
      <c r="AA43" s="409"/>
      <c r="AB43" s="409"/>
      <c r="AC43" s="409"/>
    </row>
    <row r="44" spans="2:29" hidden="1" outlineLevel="1">
      <c r="B44" s="13">
        <f t="shared" si="12"/>
        <v>2042</v>
      </c>
      <c r="C44" s="410">
        <f>$F$11-D44</f>
        <v>5880.0540000000001</v>
      </c>
      <c r="D44" s="410">
        <f>D43+$J$11</f>
        <v>726</v>
      </c>
      <c r="E44" s="410">
        <f t="shared" si="11"/>
        <v>2920.259733326895</v>
      </c>
      <c r="F44" s="417">
        <f t="shared" si="9"/>
        <v>9526.3137333268951</v>
      </c>
      <c r="G44" s="47">
        <f t="shared" si="1"/>
        <v>9526.3137333268951</v>
      </c>
      <c r="H44" s="50">
        <f>G44/Population!E44*1000</f>
        <v>913.40563667687115</v>
      </c>
      <c r="T44" s="348">
        <f t="shared" si="13"/>
        <v>2042</v>
      </c>
      <c r="U44" s="348">
        <f>U43+1</f>
        <v>33</v>
      </c>
      <c r="V44" s="409">
        <f t="shared" si="3"/>
        <v>6667.4339999999884</v>
      </c>
      <c r="W44" s="409">
        <f t="shared" si="4"/>
        <v>9615.8738261010003</v>
      </c>
      <c r="X44" s="409">
        <f t="shared" si="5"/>
        <v>9306.3137333268951</v>
      </c>
      <c r="Y44" s="409">
        <f t="shared" si="6"/>
        <v>8779.4337853606703</v>
      </c>
      <c r="Z44" s="409"/>
      <c r="AA44" s="409"/>
      <c r="AB44" s="409"/>
      <c r="AC44" s="409"/>
    </row>
    <row r="45" spans="2:29" hidden="1" outlineLevel="1">
      <c r="B45" s="13">
        <f t="shared" si="12"/>
        <v>2043</v>
      </c>
      <c r="C45" s="410">
        <f>$F$11-D45</f>
        <v>5858.0540000000001</v>
      </c>
      <c r="D45" s="410">
        <f t="shared" si="8"/>
        <v>748</v>
      </c>
      <c r="E45" s="410">
        <f t="shared" si="11"/>
        <v>3002.0857858519521</v>
      </c>
      <c r="F45" s="417">
        <f t="shared" si="9"/>
        <v>9608.1397858519522</v>
      </c>
      <c r="G45" s="47">
        <f t="shared" si="1"/>
        <v>9608.1397858519522</v>
      </c>
      <c r="H45" s="50">
        <f>G45/Population!E45*1000</f>
        <v>920.43449860601208</v>
      </c>
      <c r="T45" s="348">
        <f t="shared" si="13"/>
        <v>2043</v>
      </c>
      <c r="U45" s="348">
        <f t="shared" si="13"/>
        <v>34</v>
      </c>
      <c r="V45" s="409">
        <f t="shared" si="3"/>
        <v>6669.293999999989</v>
      </c>
      <c r="W45" s="409">
        <f t="shared" si="4"/>
        <v>9661.1368144807857</v>
      </c>
      <c r="X45" s="409">
        <f t="shared" si="5"/>
        <v>9388.1397858519522</v>
      </c>
      <c r="Y45" s="409">
        <f t="shared" si="6"/>
        <v>8913.1495297308866</v>
      </c>
      <c r="Z45" s="409"/>
      <c r="AA45" s="409"/>
      <c r="AB45" s="409"/>
      <c r="AC45" s="409"/>
    </row>
    <row r="46" spans="2:29" hidden="1" outlineLevel="1">
      <c r="B46" s="13">
        <f t="shared" si="12"/>
        <v>2044</v>
      </c>
      <c r="C46" s="410">
        <f t="shared" si="7"/>
        <v>5836.0540000000001</v>
      </c>
      <c r="D46" s="410">
        <f t="shared" si="8"/>
        <v>770</v>
      </c>
      <c r="E46" s="410">
        <f t="shared" si="11"/>
        <v>3083.9118383770092</v>
      </c>
      <c r="F46" s="417">
        <f t="shared" si="9"/>
        <v>9689.9658383770093</v>
      </c>
      <c r="G46" s="47">
        <f t="shared" si="1"/>
        <v>9689.9658383770093</v>
      </c>
      <c r="H46" s="50">
        <f>G46/Population!E46*1000</f>
        <v>927.4629034906277</v>
      </c>
      <c r="T46" s="348">
        <f t="shared" ref="T46:U52" si="14">T45+1</f>
        <v>2044</v>
      </c>
      <c r="U46" s="348">
        <f t="shared" si="14"/>
        <v>35</v>
      </c>
      <c r="V46" s="409">
        <f t="shared" si="3"/>
        <v>6671.1539999999877</v>
      </c>
      <c r="W46" s="409">
        <f t="shared" si="4"/>
        <v>9705.7389228721622</v>
      </c>
      <c r="X46" s="409">
        <f t="shared" si="5"/>
        <v>9469.9658383770093</v>
      </c>
      <c r="Y46" s="409">
        <f t="shared" si="6"/>
        <v>9050.8567888584221</v>
      </c>
      <c r="Z46" s="409"/>
      <c r="AA46" s="409"/>
      <c r="AB46" s="409"/>
      <c r="AC46" s="409"/>
    </row>
    <row r="47" spans="2:29" hidden="1" outlineLevel="1">
      <c r="B47" s="13">
        <f t="shared" si="12"/>
        <v>2045</v>
      </c>
      <c r="C47" s="410">
        <f t="shared" si="7"/>
        <v>5814.0540000000001</v>
      </c>
      <c r="D47" s="410">
        <f t="shared" si="8"/>
        <v>792</v>
      </c>
      <c r="E47" s="410">
        <f t="shared" si="11"/>
        <v>3165.7378909020663</v>
      </c>
      <c r="F47" s="417">
        <f t="shared" si="9"/>
        <v>9771.7918909020664</v>
      </c>
      <c r="G47" s="47">
        <f t="shared" si="1"/>
        <v>9771.7918909020664</v>
      </c>
      <c r="H47" s="50">
        <f>G47/Population!E47*1000</f>
        <v>934.4906109834177</v>
      </c>
      <c r="T47" s="348">
        <f t="shared" si="14"/>
        <v>2045</v>
      </c>
      <c r="U47" s="348">
        <f t="shared" si="14"/>
        <v>36</v>
      </c>
      <c r="V47" s="409">
        <f t="shared" si="3"/>
        <v>6673.0139999999883</v>
      </c>
      <c r="W47" s="409">
        <f t="shared" si="4"/>
        <v>9749.7082810598913</v>
      </c>
      <c r="X47" s="409">
        <f t="shared" si="5"/>
        <v>9551.7918909020664</v>
      </c>
      <c r="Y47" s="409">
        <f t="shared" si="6"/>
        <v>9192.5555627432786</v>
      </c>
      <c r="Z47" s="409"/>
      <c r="AA47" s="409"/>
      <c r="AB47" s="409"/>
      <c r="AC47" s="409"/>
    </row>
    <row r="48" spans="2:29" hidden="1" outlineLevel="1">
      <c r="B48" s="13">
        <f t="shared" si="12"/>
        <v>2046</v>
      </c>
      <c r="C48" s="410">
        <f t="shared" si="7"/>
        <v>5792.0540000000001</v>
      </c>
      <c r="D48" s="410">
        <f t="shared" si="8"/>
        <v>814</v>
      </c>
      <c r="E48" s="410">
        <f t="shared" si="11"/>
        <v>3247.5639434271234</v>
      </c>
      <c r="F48" s="417">
        <f t="shared" si="9"/>
        <v>9853.6179434271235</v>
      </c>
      <c r="G48" s="47">
        <f t="shared" si="1"/>
        <v>9853.6179434271235</v>
      </c>
      <c r="H48" s="50">
        <f>G48/Population!E48*1000</f>
        <v>941.51740176610838</v>
      </c>
      <c r="T48" s="348">
        <f t="shared" si="14"/>
        <v>2046</v>
      </c>
      <c r="U48" s="348">
        <f t="shared" si="14"/>
        <v>37</v>
      </c>
      <c r="V48" s="409">
        <f t="shared" si="3"/>
        <v>6674.8739999999871</v>
      </c>
      <c r="W48" s="409">
        <f t="shared" si="4"/>
        <v>9793.0710781737816</v>
      </c>
      <c r="X48" s="409">
        <f t="shared" si="5"/>
        <v>9633.6179434271235</v>
      </c>
      <c r="Y48" s="409">
        <f t="shared" si="6"/>
        <v>9338.2458513854544</v>
      </c>
      <c r="Z48" s="409"/>
      <c r="AA48" s="409"/>
      <c r="AB48" s="409"/>
      <c r="AC48" s="409"/>
    </row>
    <row r="49" spans="2:29" hidden="1" outlineLevel="1">
      <c r="B49" s="13">
        <f>B48+1</f>
        <v>2047</v>
      </c>
      <c r="C49" s="410">
        <f t="shared" si="7"/>
        <v>5770.0540000000001</v>
      </c>
      <c r="D49" s="410">
        <f t="shared" si="8"/>
        <v>836</v>
      </c>
      <c r="E49" s="410">
        <f t="shared" si="11"/>
        <v>3329.3899959521805</v>
      </c>
      <c r="F49" s="417">
        <f t="shared" si="9"/>
        <v>9935.4439959521806</v>
      </c>
      <c r="G49" s="47">
        <f t="shared" si="1"/>
        <v>9935.4439959521806</v>
      </c>
      <c r="H49" s="50">
        <f>G49/Population!E49*1000</f>
        <v>948.54307538999262</v>
      </c>
      <c r="T49" s="348">
        <f t="shared" si="14"/>
        <v>2047</v>
      </c>
      <c r="U49" s="348">
        <f t="shared" si="14"/>
        <v>38</v>
      </c>
      <c r="V49" s="409">
        <f t="shared" si="3"/>
        <v>6676.7339999999876</v>
      </c>
      <c r="W49" s="409">
        <f t="shared" si="4"/>
        <v>9835.8517451098269</v>
      </c>
      <c r="X49" s="409">
        <f t="shared" si="5"/>
        <v>9715.4439959521806</v>
      </c>
      <c r="Y49" s="409">
        <f t="shared" si="6"/>
        <v>9487.9276547849477</v>
      </c>
      <c r="Z49" s="409"/>
      <c r="AA49" s="409"/>
      <c r="AB49" s="409"/>
      <c r="AC49" s="409"/>
    </row>
    <row r="50" spans="2:29" hidden="1" outlineLevel="1">
      <c r="B50" s="13">
        <f>B49+1</f>
        <v>2048</v>
      </c>
      <c r="C50" s="410">
        <f t="shared" si="7"/>
        <v>5748.0540000000001</v>
      </c>
      <c r="D50" s="410">
        <f t="shared" si="8"/>
        <v>858</v>
      </c>
      <c r="E50" s="410">
        <f t="shared" si="11"/>
        <v>3411.2160484772394</v>
      </c>
      <c r="F50" s="417">
        <f t="shared" si="9"/>
        <v>10017.270048477239</v>
      </c>
      <c r="G50" s="47">
        <f t="shared" si="1"/>
        <v>10017.270048477239</v>
      </c>
      <c r="H50" s="50">
        <f>G50/Population!E50*1000</f>
        <v>955.56744838266798</v>
      </c>
      <c r="T50" s="348">
        <f t="shared" si="14"/>
        <v>2048</v>
      </c>
      <c r="U50" s="348">
        <f t="shared" si="14"/>
        <v>39</v>
      </c>
      <c r="V50" s="409">
        <f t="shared" si="3"/>
        <v>6678.5939999999864</v>
      </c>
      <c r="W50" s="409">
        <f t="shared" si="4"/>
        <v>9878.0731154792629</v>
      </c>
      <c r="X50" s="409">
        <f t="shared" si="5"/>
        <v>9797.2700484772395</v>
      </c>
      <c r="Y50" s="409">
        <f t="shared" si="6"/>
        <v>9641.6009729417638</v>
      </c>
      <c r="Z50" s="409"/>
      <c r="AA50" s="409"/>
      <c r="AB50" s="409"/>
      <c r="AC50" s="409"/>
    </row>
    <row r="51" spans="2:29" hidden="1" outlineLevel="1">
      <c r="B51" s="13">
        <f>B50+1</f>
        <v>2049</v>
      </c>
      <c r="C51" s="410">
        <f t="shared" si="7"/>
        <v>5726.0540000000001</v>
      </c>
      <c r="D51" s="410">
        <f t="shared" si="8"/>
        <v>880</v>
      </c>
      <c r="E51" s="410">
        <f t="shared" si="11"/>
        <v>3493.0421010022965</v>
      </c>
      <c r="F51" s="417">
        <f t="shared" si="9"/>
        <v>10099.096101002297</v>
      </c>
      <c r="G51" s="47">
        <f t="shared" si="1"/>
        <v>10099.096101002297</v>
      </c>
      <c r="H51" s="50">
        <f>G51/Population!E51*1000</f>
        <v>962.59035258257654</v>
      </c>
      <c r="T51" s="348">
        <f t="shared" si="14"/>
        <v>2049</v>
      </c>
      <c r="U51" s="348">
        <f t="shared" si="14"/>
        <v>40</v>
      </c>
      <c r="V51" s="409">
        <f t="shared" si="3"/>
        <v>6680.453999999987</v>
      </c>
      <c r="W51" s="409">
        <f t="shared" si="4"/>
        <v>9919.756568096127</v>
      </c>
      <c r="X51" s="409">
        <f t="shared" si="5"/>
        <v>9879.0961010022966</v>
      </c>
      <c r="Y51" s="409">
        <f t="shared" si="6"/>
        <v>9799.2658058558991</v>
      </c>
      <c r="Z51" s="409"/>
      <c r="AA51" s="409"/>
      <c r="AB51" s="409"/>
      <c r="AC51" s="409"/>
    </row>
    <row r="52" spans="2:29" collapsed="1">
      <c r="B52" s="13">
        <f>B51+1</f>
        <v>2050</v>
      </c>
      <c r="C52" s="410">
        <f t="shared" si="7"/>
        <v>5704.0540000000001</v>
      </c>
      <c r="D52" s="410">
        <f t="shared" si="8"/>
        <v>902</v>
      </c>
      <c r="E52" s="410">
        <f>F52-F51+E51</f>
        <v>3574.8681535273536</v>
      </c>
      <c r="F52" s="417">
        <f t="shared" si="9"/>
        <v>10180.922153527354</v>
      </c>
      <c r="G52" s="47">
        <f t="shared" si="1"/>
        <v>10180.922153527354</v>
      </c>
      <c r="H52" s="50">
        <f>G52/Population!E52*1000</f>
        <v>969.61163366927167</v>
      </c>
      <c r="K52" s="54"/>
      <c r="L52" s="54"/>
      <c r="M52" s="54"/>
      <c r="N52" s="54"/>
      <c r="T52" s="348">
        <f t="shared" si="14"/>
        <v>2050</v>
      </c>
      <c r="U52" s="348">
        <f t="shared" si="14"/>
        <v>41</v>
      </c>
      <c r="V52" s="409">
        <f t="shared" si="3"/>
        <v>6682.3139999999858</v>
      </c>
      <c r="W52" s="409">
        <f t="shared" si="4"/>
        <v>9960.9221535273537</v>
      </c>
      <c r="X52" s="409">
        <f t="shared" si="5"/>
        <v>9960.9221535273537</v>
      </c>
      <c r="Y52" s="409">
        <f t="shared" si="6"/>
        <v>9960.9221535273537</v>
      </c>
      <c r="Z52" s="409"/>
      <c r="AA52" s="409"/>
      <c r="AB52" s="409"/>
      <c r="AC52" s="409"/>
    </row>
    <row r="53" spans="2:29">
      <c r="K53" s="424"/>
      <c r="L53" s="424"/>
      <c r="M53" s="424"/>
      <c r="N53" s="424"/>
      <c r="U53" s="45"/>
      <c r="V53" s="51"/>
      <c r="W53" s="336"/>
      <c r="X53" s="336"/>
      <c r="Y53" s="336"/>
      <c r="Z53" s="336"/>
    </row>
    <row r="54" spans="2:29">
      <c r="K54" s="51"/>
      <c r="L54" s="51"/>
      <c r="M54" s="51"/>
      <c r="N54" s="51"/>
      <c r="U54" s="45"/>
      <c r="V54" s="51"/>
      <c r="W54" s="336"/>
      <c r="X54" s="336"/>
      <c r="Y54" s="336"/>
      <c r="Z54" s="336"/>
    </row>
    <row r="55" spans="2:29">
      <c r="K55" s="54"/>
      <c r="L55" s="54"/>
      <c r="M55" s="54"/>
      <c r="N55" s="1588" t="s">
        <v>2932</v>
      </c>
      <c r="O55" s="1588"/>
      <c r="P55" s="1588"/>
      <c r="Q55" s="1588"/>
      <c r="R55" s="1588"/>
      <c r="S55" s="1588"/>
      <c r="U55" s="45"/>
      <c r="V55" s="51"/>
      <c r="W55" s="336"/>
      <c r="X55" s="336"/>
      <c r="Y55" s="336"/>
      <c r="Z55" s="336"/>
    </row>
    <row r="56" spans="2:29">
      <c r="N56" s="785">
        <v>200</v>
      </c>
      <c r="O56" s="1589" t="s">
        <v>2929</v>
      </c>
      <c r="P56" s="1589"/>
      <c r="Q56" s="1589"/>
      <c r="R56" s="1589"/>
      <c r="S56" s="1589"/>
      <c r="U56" s="45"/>
      <c r="V56" s="51"/>
      <c r="W56" s="336"/>
      <c r="X56" s="336"/>
      <c r="Y56" s="336"/>
      <c r="Z56" s="336"/>
    </row>
    <row r="57" spans="2:29">
      <c r="N57" s="785">
        <v>100</v>
      </c>
      <c r="O57" s="1589" t="s">
        <v>1547</v>
      </c>
      <c r="P57" s="1589"/>
      <c r="Q57" s="1589"/>
      <c r="R57" s="1589"/>
      <c r="S57" s="1589"/>
      <c r="U57" s="45"/>
      <c r="V57" s="51"/>
      <c r="W57" s="336"/>
      <c r="X57" s="336"/>
      <c r="Y57" s="336"/>
      <c r="Z57" s="336"/>
    </row>
    <row r="58" spans="2:29">
      <c r="N58" s="785">
        <v>100</v>
      </c>
      <c r="O58" s="1589" t="s">
        <v>647</v>
      </c>
      <c r="P58" s="1589"/>
      <c r="Q58" s="1589"/>
      <c r="R58" s="1589"/>
      <c r="S58" s="1589"/>
      <c r="U58" s="45"/>
      <c r="V58" s="51"/>
      <c r="W58" s="336"/>
      <c r="X58" s="336"/>
      <c r="Y58" s="336"/>
      <c r="Z58" s="336"/>
    </row>
    <row r="59" spans="2:29">
      <c r="N59" s="781"/>
      <c r="U59" s="45"/>
      <c r="V59" s="51"/>
      <c r="W59" s="336"/>
      <c r="X59" s="336"/>
      <c r="Y59" s="336"/>
      <c r="Z59" s="336"/>
    </row>
    <row r="60" spans="2:29">
      <c r="N60" s="781">
        <f>N62-SUM(N56:N59)-SUM(O6:O11)</f>
        <v>2954.868153527354</v>
      </c>
      <c r="O60" s="10" t="s">
        <v>1548</v>
      </c>
      <c r="U60" s="45"/>
      <c r="V60" s="51"/>
      <c r="W60" s="336"/>
      <c r="X60" s="336"/>
      <c r="Y60" s="336"/>
      <c r="Z60" s="336"/>
    </row>
    <row r="61" spans="2:29">
      <c r="N61" s="1300"/>
      <c r="U61" s="45"/>
      <c r="V61" s="51"/>
      <c r="W61" s="336"/>
      <c r="X61" s="336"/>
      <c r="Y61" s="336"/>
      <c r="Z61" s="336"/>
    </row>
    <row r="62" spans="2:29">
      <c r="N62" s="781">
        <f>IF(N64="BAU",GSFBYYEAR!M65*41/1000,SUM(N56:N58)+SUM(O6:O11))</f>
        <v>3574.868153527354</v>
      </c>
      <c r="O62" s="16" t="str">
        <f>"Total Net Additions Through 2050 per "&amp;IF(N64="BAU","average growth rate since 1980","per new space mgmt strategy")</f>
        <v>Total Net Additions Through 2050 per average growth rate since 1980</v>
      </c>
      <c r="P62" s="15"/>
      <c r="U62" s="45"/>
      <c r="V62" s="51"/>
      <c r="W62" s="336"/>
      <c r="X62" s="336"/>
      <c r="Y62" s="336"/>
      <c r="Z62" s="336"/>
    </row>
    <row r="63" spans="2:29">
      <c r="N63" s="782"/>
      <c r="U63" s="45"/>
      <c r="V63" s="51"/>
      <c r="W63" s="336"/>
      <c r="X63" s="336"/>
      <c r="Y63" s="336"/>
      <c r="Z63" s="336"/>
    </row>
    <row r="64" spans="2:29">
      <c r="N64" s="1389" t="s">
        <v>233</v>
      </c>
      <c r="O64" s="10" t="s">
        <v>2916</v>
      </c>
      <c r="U64" s="45"/>
      <c r="V64" s="51"/>
      <c r="W64" s="336"/>
      <c r="X64" s="336"/>
      <c r="Y64" s="336"/>
      <c r="Z64" s="336"/>
    </row>
    <row r="65" spans="21:26">
      <c r="U65" s="45"/>
      <c r="V65" s="51"/>
      <c r="W65" s="336"/>
      <c r="X65" s="336"/>
      <c r="Y65" s="336"/>
      <c r="Z65" s="336"/>
    </row>
    <row r="66" spans="21:26">
      <c r="U66" s="45"/>
      <c r="V66" s="51"/>
      <c r="W66" s="336"/>
      <c r="X66" s="336"/>
      <c r="Y66" s="336"/>
      <c r="Z66" s="336"/>
    </row>
    <row r="67" spans="21:26">
      <c r="U67" s="45"/>
      <c r="V67" s="51"/>
      <c r="W67" s="336"/>
      <c r="X67" s="336"/>
      <c r="Y67" s="336"/>
      <c r="Z67" s="336"/>
    </row>
    <row r="68" spans="21:26">
      <c r="U68" s="45"/>
      <c r="V68" s="51"/>
      <c r="W68" s="336"/>
      <c r="X68" s="336"/>
      <c r="Y68" s="336"/>
      <c r="Z68" s="336"/>
    </row>
    <row r="69" spans="21:26">
      <c r="U69" s="45"/>
      <c r="V69" s="51"/>
      <c r="W69" s="336"/>
      <c r="X69" s="336"/>
      <c r="Y69" s="336"/>
      <c r="Z69" s="336"/>
    </row>
    <row r="70" spans="21:26">
      <c r="U70" s="45"/>
      <c r="V70" s="51"/>
      <c r="W70" s="336"/>
      <c r="X70" s="336"/>
      <c r="Y70" s="336"/>
      <c r="Z70" s="336"/>
    </row>
    <row r="71" spans="21:26">
      <c r="U71" s="45"/>
      <c r="V71" s="51"/>
      <c r="W71" s="336"/>
      <c r="X71" s="336"/>
      <c r="Y71" s="336"/>
      <c r="Z71" s="336"/>
    </row>
    <row r="72" spans="21:26">
      <c r="U72" s="45"/>
      <c r="V72" s="51"/>
      <c r="W72" s="336"/>
      <c r="X72" s="336"/>
      <c r="Y72" s="336"/>
      <c r="Z72" s="336"/>
    </row>
    <row r="73" spans="21:26">
      <c r="U73" s="45"/>
      <c r="V73" s="51"/>
      <c r="W73" s="336"/>
      <c r="X73" s="336"/>
      <c r="Y73" s="336"/>
      <c r="Z73" s="336"/>
    </row>
  </sheetData>
  <mergeCells count="12">
    <mergeCell ref="N55:S55"/>
    <mergeCell ref="O56:S56"/>
    <mergeCell ref="O57:S57"/>
    <mergeCell ref="O58:S58"/>
    <mergeCell ref="Z9:AC9"/>
    <mergeCell ref="V9:Y9"/>
    <mergeCell ref="J4:K4"/>
    <mergeCell ref="J12:K12"/>
    <mergeCell ref="N4:P4"/>
    <mergeCell ref="C2:F2"/>
    <mergeCell ref="G2:G3"/>
    <mergeCell ref="H2:H4"/>
  </mergeCells>
  <conditionalFormatting sqref="J9:K9">
    <cfRule type="expression" dxfId="9" priority="4">
      <formula>OR($G$6="X",$G$7="X",$G$8="X")</formula>
    </cfRule>
  </conditionalFormatting>
  <conditionalFormatting sqref="J10:K10">
    <cfRule type="expression" dxfId="8" priority="2">
      <formula>OR($G$6="X",$G$7="X",$G$8="X")</formula>
    </cfRule>
  </conditionalFormatting>
  <conditionalFormatting sqref="J12:K12">
    <cfRule type="expression" dxfId="7" priority="1">
      <formula>COUNTA($J$6:$J$8)&gt;1</formula>
    </cfRule>
  </conditionalFormatting>
  <dataValidations disablePrompts="1" count="1">
    <dataValidation type="list" allowBlank="1" showInputMessage="1" showErrorMessage="1" sqref="N64">
      <formula1>"BAU,Revised Growth"</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Sheet21"/>
  <dimension ref="B1:AI73"/>
  <sheetViews>
    <sheetView zoomScaleNormal="100" workbookViewId="0">
      <pane xSplit="2" ySplit="4" topLeftCell="P5" activePane="bottomRight" state="frozen"/>
      <selection sqref="A1:N1"/>
      <selection pane="topRight" sqref="A1:N1"/>
      <selection pane="bottomLeft" sqref="A1:N1"/>
      <selection pane="bottomRight" activeCell="R3" sqref="R3"/>
    </sheetView>
  </sheetViews>
  <sheetFormatPr defaultRowHeight="15" outlineLevelRow="1"/>
  <cols>
    <col min="1" max="1" width="1.7109375" style="10" customWidth="1"/>
    <col min="2" max="2" width="10.7109375" style="10" customWidth="1"/>
    <col min="3" max="8" width="12.7109375" style="44" customWidth="1"/>
    <col min="9" max="9" width="10.5703125" style="10" customWidth="1"/>
    <col min="10" max="10" width="11.7109375" style="10" customWidth="1"/>
    <col min="11" max="11" width="5.7109375" style="10" bestFit="1" customWidth="1"/>
    <col min="12" max="12" width="9.28515625" style="10" bestFit="1" customWidth="1"/>
    <col min="13" max="13" width="56.28515625" style="10" bestFit="1" customWidth="1"/>
    <col min="14" max="14" width="9.5703125" style="10" bestFit="1" customWidth="1"/>
    <col min="15" max="15" width="10.7109375" style="10" bestFit="1" customWidth="1"/>
    <col min="16" max="16" width="12.5703125" style="10" customWidth="1"/>
    <col min="17" max="17" width="9.7109375" style="10" customWidth="1"/>
    <col min="18" max="18" width="14.28515625" style="10" customWidth="1"/>
    <col min="19" max="21" width="9.140625" style="10"/>
    <col min="22" max="22" width="12.5703125" style="10" customWidth="1"/>
    <col min="23" max="23" width="14.7109375" style="10" customWidth="1"/>
    <col min="24" max="24" width="13.5703125" style="10" customWidth="1"/>
    <col min="25" max="25" width="13.7109375" style="10" customWidth="1"/>
    <col min="26" max="26" width="11.7109375" style="10" customWidth="1"/>
    <col min="27" max="27" width="14.7109375" style="10" customWidth="1"/>
    <col min="28" max="28" width="13.5703125" style="10" customWidth="1"/>
    <col min="29" max="29" width="13.7109375" style="10" customWidth="1"/>
    <col min="30" max="30" width="11.7109375" style="10" customWidth="1"/>
    <col min="31" max="31" width="14.7109375" style="10" customWidth="1"/>
    <col min="32" max="32" width="13.5703125" style="10" customWidth="1"/>
    <col min="33" max="33" width="13.7109375" style="10" customWidth="1"/>
    <col min="34" max="34" width="11.7109375" style="10" customWidth="1"/>
    <col min="35" max="16384" width="9.140625" style="10"/>
  </cols>
  <sheetData>
    <row r="1" spans="2:35" ht="15.75" thickBot="1">
      <c r="W1" s="392" t="s">
        <v>438</v>
      </c>
      <c r="AA1" s="392" t="s">
        <v>438</v>
      </c>
      <c r="AE1" s="392" t="s">
        <v>438</v>
      </c>
    </row>
    <row r="2" spans="2:35">
      <c r="C2" s="1581" t="s">
        <v>603</v>
      </c>
      <c r="D2" s="1590"/>
      <c r="E2" s="1582"/>
      <c r="F2" s="1591"/>
      <c r="G2" s="1582"/>
      <c r="H2" s="1591"/>
      <c r="I2" s="1583" t="s">
        <v>604</v>
      </c>
      <c r="J2" s="1585" t="s">
        <v>607</v>
      </c>
      <c r="V2" s="393" t="s">
        <v>439</v>
      </c>
      <c r="W2" s="394">
        <f>B11</f>
        <v>2009</v>
      </c>
      <c r="X2" s="395">
        <f>$W$11</f>
        <v>65.582592047799224</v>
      </c>
      <c r="Y2" s="395">
        <f>$W$11</f>
        <v>65.582592047799224</v>
      </c>
      <c r="Z2" s="395">
        <f>$W$11</f>
        <v>65.582592047799224</v>
      </c>
      <c r="AA2" s="394">
        <f>W2</f>
        <v>2009</v>
      </c>
      <c r="AB2" s="395">
        <f>$AA$11</f>
        <v>102.4930186765049</v>
      </c>
      <c r="AC2" s="395">
        <f>AB2</f>
        <v>102.4930186765049</v>
      </c>
      <c r="AD2" s="395">
        <f>AC2</f>
        <v>102.4930186765049</v>
      </c>
      <c r="AE2" s="394">
        <f>AA2</f>
        <v>2009</v>
      </c>
      <c r="AF2" s="395">
        <f>$AE$11</f>
        <v>26.699427525115595</v>
      </c>
      <c r="AG2" s="395">
        <f>AF2</f>
        <v>26.699427525115595</v>
      </c>
      <c r="AH2" s="395">
        <f>AG2</f>
        <v>26.699427525115595</v>
      </c>
    </row>
    <row r="3" spans="2:35" ht="30">
      <c r="C3" s="2" t="s">
        <v>284</v>
      </c>
      <c r="D3" s="1592" t="s">
        <v>62</v>
      </c>
      <c r="E3" s="416" t="s">
        <v>605</v>
      </c>
      <c r="F3" s="1592" t="s">
        <v>62</v>
      </c>
      <c r="G3" s="416" t="s">
        <v>606</v>
      </c>
      <c r="H3" s="1592" t="s">
        <v>62</v>
      </c>
      <c r="I3" s="1584"/>
      <c r="J3" s="1586"/>
      <c r="V3" s="397" t="s">
        <v>440</v>
      </c>
      <c r="W3" s="54">
        <f>B52</f>
        <v>2050</v>
      </c>
      <c r="X3" s="398">
        <f>$L$17</f>
        <v>0</v>
      </c>
      <c r="Y3" s="398">
        <f>$L$17</f>
        <v>0</v>
      </c>
      <c r="Z3" s="398">
        <f>$L$17</f>
        <v>0</v>
      </c>
      <c r="AA3" s="54">
        <f>W3</f>
        <v>2050</v>
      </c>
      <c r="AB3" s="398">
        <f>$L$18</f>
        <v>0</v>
      </c>
      <c r="AC3" s="398">
        <f>$L$18</f>
        <v>0</v>
      </c>
      <c r="AD3" s="398">
        <f>$L$18</f>
        <v>0</v>
      </c>
      <c r="AE3" s="54">
        <f>AA3</f>
        <v>2050</v>
      </c>
      <c r="AF3" s="398">
        <f>L20</f>
        <v>39.75</v>
      </c>
      <c r="AG3" s="398">
        <f>AF3</f>
        <v>39.75</v>
      </c>
      <c r="AH3" s="398">
        <f>AG3</f>
        <v>39.75</v>
      </c>
    </row>
    <row r="4" spans="2:35">
      <c r="B4" s="5" t="s">
        <v>3</v>
      </c>
      <c r="C4" s="414" t="s">
        <v>60</v>
      </c>
      <c r="D4" s="1593"/>
      <c r="E4" s="415" t="s">
        <v>63</v>
      </c>
      <c r="F4" s="1593"/>
      <c r="G4" s="415" t="s">
        <v>63</v>
      </c>
      <c r="H4" s="1593"/>
      <c r="I4" s="49" t="s">
        <v>63</v>
      </c>
      <c r="J4" s="1587"/>
      <c r="L4" s="1577" t="s">
        <v>449</v>
      </c>
      <c r="M4" s="1578"/>
      <c r="V4" s="397" t="s">
        <v>441</v>
      </c>
      <c r="W4" s="54"/>
      <c r="X4" s="398">
        <f>(X3-X2)/($V$52)^(1/X5)</f>
        <v>-10.242280114510585</v>
      </c>
      <c r="Y4" s="398">
        <f>(Z3-Y2)/(W3-W2)</f>
        <v>-1.5995754157999811</v>
      </c>
      <c r="Z4" s="400">
        <f>(Z3-Y2)/($V$52)^Z5</f>
        <v>-3.9014034531706855E-2</v>
      </c>
      <c r="AA4" s="54"/>
      <c r="AB4" s="398">
        <f>(AB3-AB2)/($V$52)^(1/AB5)</f>
        <v>-16.006720294028931</v>
      </c>
      <c r="AC4" s="398">
        <f>(AD3-AC2)/(AA3-AA2)</f>
        <v>-2.4998297238171929</v>
      </c>
      <c r="AD4" s="400">
        <f>(AD3-AC2)/($V$52)^AD5</f>
        <v>-102.4930186765049</v>
      </c>
      <c r="AE4" s="54"/>
      <c r="AF4" s="398">
        <f>(AF3-AF2)/($V$52)^(1/AF5)</f>
        <v>2.0381569982025933</v>
      </c>
      <c r="AG4" s="398">
        <f>(AH3-AG2)/(AE3-AE2)</f>
        <v>0.31830664572888789</v>
      </c>
      <c r="AH4" s="400">
        <f>(AH3-AG2)/($V$52)^AH5</f>
        <v>13.050572474884405</v>
      </c>
    </row>
    <row r="5" spans="2:35" ht="15.75" thickBot="1">
      <c r="B5" s="11">
        <v>2003</v>
      </c>
      <c r="C5" s="59"/>
      <c r="D5" s="776"/>
      <c r="E5" s="59"/>
      <c r="F5" s="776"/>
      <c r="G5" s="59"/>
      <c r="H5" s="776"/>
      <c r="I5" s="140"/>
      <c r="J5" s="138"/>
      <c r="L5" s="411"/>
      <c r="M5" s="412"/>
      <c r="O5" s="420" t="s">
        <v>442</v>
      </c>
      <c r="V5" s="402" t="s">
        <v>442</v>
      </c>
      <c r="W5" s="403"/>
      <c r="X5" s="403">
        <f>$O$6</f>
        <v>2</v>
      </c>
      <c r="Y5" s="403">
        <v>0</v>
      </c>
      <c r="Z5" s="403">
        <f>O$8</f>
        <v>2</v>
      </c>
      <c r="AA5" s="403"/>
      <c r="AB5" s="403">
        <f>$O$6</f>
        <v>2</v>
      </c>
      <c r="AC5" s="403">
        <v>0</v>
      </c>
      <c r="AD5" s="403">
        <f>S$8</f>
        <v>0</v>
      </c>
      <c r="AE5" s="403"/>
      <c r="AF5" s="403">
        <f>$O$6</f>
        <v>2</v>
      </c>
      <c r="AG5" s="403">
        <v>0</v>
      </c>
      <c r="AH5" s="403">
        <f>W$8</f>
        <v>0</v>
      </c>
    </row>
    <row r="6" spans="2:35">
      <c r="B6" s="11">
        <v>2004</v>
      </c>
      <c r="C6" s="59"/>
      <c r="D6" s="776"/>
      <c r="E6" s="59"/>
      <c r="F6" s="776"/>
      <c r="G6" s="59"/>
      <c r="H6" s="776"/>
      <c r="I6" s="140"/>
      <c r="J6" s="138"/>
      <c r="L6" s="413"/>
      <c r="M6" s="412"/>
      <c r="O6" s="779">
        <v>2</v>
      </c>
    </row>
    <row r="7" spans="2:35">
      <c r="B7" s="13">
        <f>B6+1</f>
        <v>2005</v>
      </c>
      <c r="C7" s="59"/>
      <c r="D7" s="776"/>
      <c r="E7" s="59"/>
      <c r="F7" s="776"/>
      <c r="G7" s="59"/>
      <c r="H7" s="776"/>
      <c r="I7" s="140"/>
      <c r="J7" s="138"/>
      <c r="L7" s="413"/>
      <c r="M7" s="412"/>
      <c r="O7" s="780" t="s">
        <v>442</v>
      </c>
    </row>
    <row r="8" spans="2:35">
      <c r="B8" s="13">
        <f>B7+1</f>
        <v>2006</v>
      </c>
      <c r="C8" s="59"/>
      <c r="D8" s="776"/>
      <c r="E8" s="59"/>
      <c r="F8" s="776"/>
      <c r="G8" s="59"/>
      <c r="H8" s="776"/>
      <c r="I8" s="140"/>
      <c r="J8" s="138"/>
      <c r="L8" s="413"/>
      <c r="M8" s="412"/>
      <c r="O8" s="779">
        <v>2</v>
      </c>
    </row>
    <row r="9" spans="2:35">
      <c r="B9" s="13">
        <f>B8+1</f>
        <v>2007</v>
      </c>
      <c r="C9" s="59"/>
      <c r="D9" s="776"/>
      <c r="E9" s="59"/>
      <c r="F9" s="776"/>
      <c r="G9" s="59"/>
      <c r="H9" s="776"/>
      <c r="I9" s="140"/>
      <c r="J9" s="138"/>
      <c r="L9" s="1243">
        <f>D11</f>
        <v>65.582592047799224</v>
      </c>
      <c r="M9" s="1242" t="s">
        <v>1408</v>
      </c>
      <c r="O9" s="420"/>
      <c r="W9" s="1551" t="str">
        <f>C3</f>
        <v>Purchased Electricity</v>
      </c>
      <c r="X9" s="1552"/>
      <c r="Y9" s="1552"/>
      <c r="Z9" s="1552"/>
      <c r="AA9" s="1594" t="str">
        <f>E3</f>
        <v>Purchased Steam</v>
      </c>
      <c r="AB9" s="1552"/>
      <c r="AC9" s="1552"/>
      <c r="AD9" s="1552"/>
      <c r="AE9" s="1594" t="str">
        <f>G3</f>
        <v>Purchased Cooling</v>
      </c>
      <c r="AF9" s="1552"/>
      <c r="AG9" s="1552"/>
      <c r="AH9" s="1552"/>
    </row>
    <row r="10" spans="2:35">
      <c r="B10" s="13">
        <f>B9+1</f>
        <v>2008</v>
      </c>
      <c r="C10" s="59">
        <v>127878.620181319</v>
      </c>
      <c r="D10" s="776">
        <f>C10*BTU_Electric_per_kWh/1000/CampusArea!G10</f>
        <v>66.067388701582729</v>
      </c>
      <c r="E10" s="59">
        <v>570142.41863245296</v>
      </c>
      <c r="F10" s="776">
        <f>E10/CampusArea!G10</f>
        <v>86.330355927226378</v>
      </c>
      <c r="G10" s="59">
        <v>175570</v>
      </c>
      <c r="H10" s="776">
        <f>G10/CampusArea!G10</f>
        <v>26.584621832732349</v>
      </c>
      <c r="I10" s="140">
        <f t="shared" ref="I10:I52" si="0">C10*BTU_Electric_per_kWh/1000+E10+G10</f>
        <v>1182034.2706911135</v>
      </c>
      <c r="J10" s="138">
        <f>I10/CampusArea!G10</f>
        <v>178.98236646154149</v>
      </c>
      <c r="L10" s="1243">
        <f>F11</f>
        <v>102.4930186765049</v>
      </c>
      <c r="M10" s="1242" t="s">
        <v>1409</v>
      </c>
      <c r="W10" s="405" t="s">
        <v>445</v>
      </c>
      <c r="X10" s="406" t="s">
        <v>446</v>
      </c>
      <c r="Y10" s="406" t="s">
        <v>447</v>
      </c>
      <c r="Z10" s="406" t="s">
        <v>448</v>
      </c>
      <c r="AA10" s="405" t="s">
        <v>445</v>
      </c>
      <c r="AB10" s="406" t="s">
        <v>446</v>
      </c>
      <c r="AC10" s="406" t="s">
        <v>447</v>
      </c>
      <c r="AD10" s="406" t="s">
        <v>448</v>
      </c>
      <c r="AE10" s="405" t="s">
        <v>445</v>
      </c>
      <c r="AF10" s="406" t="s">
        <v>446</v>
      </c>
      <c r="AG10" s="406" t="s">
        <v>447</v>
      </c>
      <c r="AH10" s="406" t="s">
        <v>448</v>
      </c>
      <c r="AI10" s="10">
        <f t="shared" ref="AI10:AI52" si="1">C10*BTU_Electric_per_kWh/1000</f>
        <v>436321.85205866047</v>
      </c>
    </row>
    <row r="11" spans="2:35">
      <c r="B11" s="13">
        <f>B10+1</f>
        <v>2009</v>
      </c>
      <c r="C11" s="46">
        <v>126976.009533333</v>
      </c>
      <c r="D11" s="777">
        <f>C11*BTU_Electric_per_kWh/1000/CampusArea!G11</f>
        <v>65.582592047799224</v>
      </c>
      <c r="E11" s="46">
        <v>677074.41599999997</v>
      </c>
      <c r="F11" s="777">
        <f>E11/CampusArea!G11</f>
        <v>102.4930186765049</v>
      </c>
      <c r="G11" s="46">
        <v>176377.86</v>
      </c>
      <c r="H11" s="777">
        <f>G11/CampusArea!G11</f>
        <v>26.699427525115595</v>
      </c>
      <c r="I11" s="421">
        <f t="shared" si="0"/>
        <v>1286694.420527732</v>
      </c>
      <c r="J11" s="50">
        <f>I11/CampusArea!G11</f>
        <v>194.77503824941971</v>
      </c>
      <c r="L11" s="1243">
        <f>H11</f>
        <v>26.699427525115595</v>
      </c>
      <c r="M11" s="1242" t="s">
        <v>1410</v>
      </c>
      <c r="U11" s="348">
        <v>2009</v>
      </c>
      <c r="V11" s="348"/>
      <c r="W11" s="409">
        <f>D11</f>
        <v>65.582592047799224</v>
      </c>
      <c r="X11" s="409">
        <f>X2</f>
        <v>65.582592047799224</v>
      </c>
      <c r="Y11" s="409">
        <f>X2</f>
        <v>65.582592047799224</v>
      </c>
      <c r="Z11" s="409">
        <f>X2</f>
        <v>65.582592047799224</v>
      </c>
      <c r="AA11" s="409">
        <f>F11</f>
        <v>102.4930186765049</v>
      </c>
      <c r="AB11" s="409">
        <f>AB2</f>
        <v>102.4930186765049</v>
      </c>
      <c r="AC11" s="409">
        <f>AB2</f>
        <v>102.4930186765049</v>
      </c>
      <c r="AD11" s="409">
        <f>AB2</f>
        <v>102.4930186765049</v>
      </c>
      <c r="AE11" s="409">
        <f>H11</f>
        <v>26.699427525115595</v>
      </c>
      <c r="AF11" s="409">
        <f>AE11</f>
        <v>26.699427525115595</v>
      </c>
      <c r="AG11" s="409">
        <f>AF11</f>
        <v>26.699427525115595</v>
      </c>
      <c r="AH11" s="409">
        <f>AG11</f>
        <v>26.699427525115595</v>
      </c>
      <c r="AI11" s="10">
        <f t="shared" si="1"/>
        <v>433242.14452773222</v>
      </c>
    </row>
    <row r="12" spans="2:35">
      <c r="B12" s="13">
        <f t="shared" ref="B12:B48" si="2">B11+1</f>
        <v>2010</v>
      </c>
      <c r="C12" s="410">
        <f>(CampusArea!$C12*$L$9+CampusArea!$D12*($L$17+$L$9)+CampusArea!$E12*$L$13)*1000/BTU_Electric_per_kWh</f>
        <v>128552.63513418502</v>
      </c>
      <c r="D12" s="778">
        <f>C12/CampusArea!G12*BTU_Electric_per_kWh/1000</f>
        <v>65.584548112855956</v>
      </c>
      <c r="E12" s="410">
        <f>(CampusArea!$C12*$L$10+CampusArea!$D12*($L$18+$L$10)+CampusArea!$E12*$L$14)</f>
        <v>685461.01512967527</v>
      </c>
      <c r="F12" s="778">
        <f>E12/CampusArea!G12</f>
        <v>102.4930186765049</v>
      </c>
      <c r="G12" s="410">
        <f>(CampusArea!$C12*$L$11+CampusArea!$D12*($L$19+$L$11)+CampusArea!$E12*$L$15)</f>
        <v>179442.39456260367</v>
      </c>
      <c r="H12" s="778">
        <f>G12/CampusArea!G12</f>
        <v>26.83098278577139</v>
      </c>
      <c r="I12" s="47">
        <f t="shared" si="0"/>
        <v>1303525.0007701183</v>
      </c>
      <c r="J12" s="50">
        <f>I12/CampusArea!G12</f>
        <v>194.90854957513227</v>
      </c>
      <c r="L12" s="1243">
        <f>SUM(L9:L11)</f>
        <v>194.77503824941971</v>
      </c>
      <c r="M12" s="1242" t="s">
        <v>1411</v>
      </c>
      <c r="U12" s="348">
        <f>U11+1</f>
        <v>2010</v>
      </c>
      <c r="V12" s="348">
        <v>1</v>
      </c>
      <c r="W12" s="409">
        <f>TREND($D$10:$D$11,$B$10:$B$11,$B12)</f>
        <v>65.09779539401552</v>
      </c>
      <c r="X12" s="409">
        <f>$V12^(1/X$5)*X$4+X$2</f>
        <v>55.340311933288639</v>
      </c>
      <c r="Y12" s="409">
        <f>$V12*Y$4+Y$2</f>
        <v>63.983016631999241</v>
      </c>
      <c r="Z12" s="409">
        <f>$V12^Z$5*Z$4+Z$2</f>
        <v>65.543578013267521</v>
      </c>
      <c r="AA12" s="409">
        <f>TREND($F$10:$F$11,$B$10:$B$11,$B12)</f>
        <v>118.65568142578195</v>
      </c>
      <c r="AB12" s="409">
        <f>$V12^(1/AB$5)*AB$4+AB$2</f>
        <v>86.486298382475979</v>
      </c>
      <c r="AC12" s="409">
        <f>$V12*AC$4+AC$2</f>
        <v>99.993188952687717</v>
      </c>
      <c r="AD12" s="409">
        <f>$V12^AD$5*AD$4+AD$2</f>
        <v>0</v>
      </c>
      <c r="AE12" s="409">
        <f>TREND($H$10:$H$11,$B$10:$B$11,$B12)</f>
        <v>26.814233217498838</v>
      </c>
      <c r="AF12" s="409">
        <f>$V12^(1/AF$5)*AF$4+AF$2</f>
        <v>28.737584523318191</v>
      </c>
      <c r="AG12" s="409">
        <f>$V12*AG$4+AG$2</f>
        <v>27.017734170844484</v>
      </c>
      <c r="AH12" s="409">
        <f>$V12^AH$5*AH$4+AH$2</f>
        <v>39.75</v>
      </c>
      <c r="AI12" s="10">
        <f t="shared" si="1"/>
        <v>438621.59107783932</v>
      </c>
    </row>
    <row r="13" spans="2:35" ht="15" customHeight="1" outlineLevel="1">
      <c r="B13" s="13">
        <f t="shared" si="2"/>
        <v>2011</v>
      </c>
      <c r="C13" s="410">
        <f>(CampusArea!$C13*$L$9+CampusArea!$D13*($L$17+$L$9)+CampusArea!$E13*$L$13)*1000/BTU_Electric_per_kWh</f>
        <v>130129.26073503707</v>
      </c>
      <c r="D13" s="778">
        <f>C13/CampusArea!G13*BTU_Electric_per_kWh/1000</f>
        <v>65.586456891640751</v>
      </c>
      <c r="E13" s="410">
        <f>(CampusArea!$C13*$L$10+CampusArea!$D13*($L$18+$L$10)+CampusArea!$E13*$L$14)</f>
        <v>693847.61425935081</v>
      </c>
      <c r="F13" s="778">
        <f>E13/CampusArea!G13</f>
        <v>102.49301867650492</v>
      </c>
      <c r="G13" s="410">
        <f>(CampusArea!$C13*$L$11+CampusArea!$D13*($L$19+$L$11)+CampusArea!$E13*$L$15)</f>
        <v>182506.92912520736</v>
      </c>
      <c r="H13" s="778">
        <f>G13/CampusArea!G13</f>
        <v>26.959357805660055</v>
      </c>
      <c r="I13" s="47">
        <f t="shared" si="0"/>
        <v>1320355.5810125046</v>
      </c>
      <c r="J13" s="50">
        <f>I13/CampusArea!G13</f>
        <v>195.03883337380572</v>
      </c>
      <c r="L13" s="1244">
        <f>$L$9+($L$16-$L$12)*($L$9/SUM($L$11,$L$9))</f>
        <v>65.742466905143544</v>
      </c>
      <c r="M13" s="1238" t="s">
        <v>1412</v>
      </c>
      <c r="O13" s="8" t="s">
        <v>1420</v>
      </c>
      <c r="P13" s="8" t="s">
        <v>66</v>
      </c>
      <c r="U13" s="348">
        <f>U12+1</f>
        <v>2011</v>
      </c>
      <c r="V13" s="348">
        <f>V12+1</f>
        <v>2</v>
      </c>
      <c r="W13" s="409">
        <f t="shared" ref="W13:W52" si="3">TREND($D$10:$D$11,$B$10:$B$11,$B13)</f>
        <v>64.612998740232001</v>
      </c>
      <c r="X13" s="409">
        <f t="shared" ref="X13:X52" si="4">$V13^(1/X$5)*X$4+X$2</f>
        <v>51.097820600234101</v>
      </c>
      <c r="Y13" s="409">
        <f t="shared" ref="Y13:Y52" si="5">$V13*Y$4+Y$2</f>
        <v>62.383441216199259</v>
      </c>
      <c r="Z13" s="409">
        <f t="shared" ref="Z13:Z52" si="6">$V13^Z$5*Z$4+Z$2</f>
        <v>65.426535909672396</v>
      </c>
      <c r="AA13" s="409">
        <f t="shared" ref="AA13:AA52" si="7">TREND($F$10:$F$11,$B$10:$B$11,$B13)</f>
        <v>134.81834417506252</v>
      </c>
      <c r="AB13" s="409">
        <f t="shared" ref="AB13:AB52" si="8">$V13^(1/AB$5)*AB$4+AB$2</f>
        <v>79.856097747576527</v>
      </c>
      <c r="AC13" s="409">
        <f t="shared" ref="AC13:AC52" si="9">$V13*AC$4+AC$2</f>
        <v>97.493359228870517</v>
      </c>
      <c r="AD13" s="409">
        <f t="shared" ref="AD13:AD52" si="10">$V13^AD$5*AD$4+AD$2</f>
        <v>0</v>
      </c>
      <c r="AE13" s="409">
        <f t="shared" ref="AE13:AE52" si="11">TREND($H$10:$H$11,$B$10:$B$11,$B13)</f>
        <v>26.929038909882081</v>
      </c>
      <c r="AF13" s="409">
        <f t="shared" ref="AF13:AF52" si="12">$V13^(1/AF$5)*AF$4+AF$2</f>
        <v>29.581816794219339</v>
      </c>
      <c r="AG13" s="409">
        <f t="shared" ref="AG13:AG52" si="13">$V13*AG$4+AG$2</f>
        <v>27.336040816573373</v>
      </c>
      <c r="AH13" s="409">
        <f t="shared" ref="AH13:AH52" si="14">$V13^AH$5*AH$4+AH$2</f>
        <v>39.75</v>
      </c>
      <c r="AI13" s="10">
        <f t="shared" si="1"/>
        <v>444001.03762794647</v>
      </c>
    </row>
    <row r="14" spans="2:35" ht="15" customHeight="1" outlineLevel="1">
      <c r="B14" s="13">
        <f t="shared" si="2"/>
        <v>2012</v>
      </c>
      <c r="C14" s="410">
        <f>(CampusArea!$C14*$L$9+CampusArea!$D14*($L$17+$L$9)+CampusArea!$E14*$L$13)*1000/BTU_Electric_per_kWh</f>
        <v>133825.36797702796</v>
      </c>
      <c r="D14" s="778">
        <f>C14/CampusArea!G14*BTU_Electric_per_kWh/1000</f>
        <v>65.590755770733338</v>
      </c>
      <c r="E14" s="410">
        <f>(CampusArea!$C14*$L$10+CampusArea!$D14*($L$18+$L$10)+CampusArea!$E14*$L$14)</f>
        <v>713508.44544344163</v>
      </c>
      <c r="F14" s="778">
        <f>E14/CampusArea!G14</f>
        <v>102.4930186765049</v>
      </c>
      <c r="G14" s="410">
        <f>(CampusArea!$C14*$L$11+CampusArea!$D14*($L$19+$L$11)+CampusArea!$E14*$L$15)</f>
        <v>188515.56027382973</v>
      </c>
      <c r="H14" s="778">
        <f>G14/CampusArea!G14</f>
        <v>27.079607765468271</v>
      </c>
      <c r="I14" s="47">
        <f t="shared" si="0"/>
        <v>1358636.1612548907</v>
      </c>
      <c r="J14" s="50">
        <f>I14/CampusArea!G14</f>
        <v>195.16338221270649</v>
      </c>
      <c r="L14" s="1244">
        <f>L10</f>
        <v>102.4930186765049</v>
      </c>
      <c r="M14" s="1238" t="s">
        <v>1413</v>
      </c>
      <c r="N14" s="10" t="s">
        <v>2918</v>
      </c>
      <c r="O14" s="1246">
        <v>1</v>
      </c>
      <c r="P14" s="8">
        <v>195</v>
      </c>
      <c r="U14" s="348">
        <f t="shared" ref="U14:V29" si="15">U13+1</f>
        <v>2012</v>
      </c>
      <c r="V14" s="348">
        <f t="shared" si="15"/>
        <v>3</v>
      </c>
      <c r="W14" s="409">
        <f t="shared" si="3"/>
        <v>64.128202086448596</v>
      </c>
      <c r="X14" s="409">
        <f t="shared" si="4"/>
        <v>47.842442504114516</v>
      </c>
      <c r="Y14" s="409">
        <f t="shared" si="5"/>
        <v>60.783865800399283</v>
      </c>
      <c r="Z14" s="409">
        <f t="shared" si="6"/>
        <v>65.231465737013863</v>
      </c>
      <c r="AA14" s="409">
        <f t="shared" si="7"/>
        <v>150.98100692433945</v>
      </c>
      <c r="AB14" s="409">
        <f t="shared" si="8"/>
        <v>74.768565864702964</v>
      </c>
      <c r="AC14" s="409">
        <f t="shared" si="9"/>
        <v>94.993529505053317</v>
      </c>
      <c r="AD14" s="409">
        <f t="shared" si="10"/>
        <v>0</v>
      </c>
      <c r="AE14" s="409">
        <f t="shared" si="11"/>
        <v>27.043844602265324</v>
      </c>
      <c r="AF14" s="409">
        <f t="shared" si="12"/>
        <v>30.229618999804558</v>
      </c>
      <c r="AG14" s="409">
        <f t="shared" si="13"/>
        <v>27.654347462302258</v>
      </c>
      <c r="AH14" s="409">
        <f t="shared" si="14"/>
        <v>39.75</v>
      </c>
      <c r="AI14" s="10">
        <f t="shared" si="1"/>
        <v>456612.15553761943</v>
      </c>
    </row>
    <row r="15" spans="2:35" ht="15" customHeight="1" outlineLevel="1">
      <c r="B15" s="13">
        <f t="shared" si="2"/>
        <v>2013</v>
      </c>
      <c r="C15" s="410">
        <f>(CampusArea!$C15*$L$9+CampusArea!$D15*($L$17+$L$9)+CampusArea!$E15*$L$13)*1000/BTU_Electric_per_kWh</f>
        <v>135980.03402546333</v>
      </c>
      <c r="D15" s="778">
        <f>C15/CampusArea!G15*BTU_Electric_per_kWh/1000</f>
        <v>65.593154243535281</v>
      </c>
      <c r="E15" s="410">
        <f>(CampusArea!$C15*$L$10+CampusArea!$D15*($L$18+$L$10)+CampusArea!$E15*$L$14)</f>
        <v>724969.83513341204</v>
      </c>
      <c r="F15" s="778">
        <f>E15/CampusArea!G15</f>
        <v>102.49301867650489</v>
      </c>
      <c r="G15" s="410">
        <f>(CampusArea!$C15*$L$11+CampusArea!$D15*($L$19+$L$11)+CampusArea!$E15*$L$15)</f>
        <v>192383.03026898397</v>
      </c>
      <c r="H15" s="778">
        <f>G15/CampusArea!G15</f>
        <v>27.198259236224644</v>
      </c>
      <c r="I15" s="47">
        <f t="shared" si="0"/>
        <v>1381316.7414972768</v>
      </c>
      <c r="J15" s="50">
        <f>I15/CampusArea!G15</f>
        <v>195.28443215626478</v>
      </c>
      <c r="L15" s="1244">
        <f>L11+($L$16-$L$12)*(L11/SUM($L$11,$L$9))</f>
        <v>26.76451441835156</v>
      </c>
      <c r="M15" s="1238" t="s">
        <v>1414</v>
      </c>
      <c r="O15" s="1246"/>
      <c r="P15" s="8"/>
      <c r="U15" s="348">
        <f t="shared" si="15"/>
        <v>2013</v>
      </c>
      <c r="V15" s="348">
        <f t="shared" si="15"/>
        <v>4</v>
      </c>
      <c r="W15" s="409">
        <f t="shared" si="3"/>
        <v>63.643405432665077</v>
      </c>
      <c r="X15" s="409">
        <f t="shared" si="4"/>
        <v>45.098031818778054</v>
      </c>
      <c r="Y15" s="409">
        <f t="shared" si="5"/>
        <v>59.184290384599301</v>
      </c>
      <c r="Z15" s="409">
        <f t="shared" si="6"/>
        <v>64.95836749529191</v>
      </c>
      <c r="AA15" s="409">
        <f t="shared" si="7"/>
        <v>167.14366967362002</v>
      </c>
      <c r="AB15" s="409">
        <f t="shared" si="8"/>
        <v>70.479578088447042</v>
      </c>
      <c r="AC15" s="409">
        <f t="shared" si="9"/>
        <v>92.493699781236131</v>
      </c>
      <c r="AD15" s="409">
        <f t="shared" si="10"/>
        <v>0</v>
      </c>
      <c r="AE15" s="409">
        <f t="shared" si="11"/>
        <v>27.158650294648595</v>
      </c>
      <c r="AF15" s="409">
        <f t="shared" si="12"/>
        <v>30.775741521520782</v>
      </c>
      <c r="AG15" s="409">
        <f t="shared" si="13"/>
        <v>27.972654108031147</v>
      </c>
      <c r="AH15" s="409">
        <f t="shared" si="14"/>
        <v>39.75</v>
      </c>
      <c r="AI15" s="10">
        <f t="shared" si="1"/>
        <v>463963.87609488086</v>
      </c>
    </row>
    <row r="16" spans="2:35" ht="15" customHeight="1" outlineLevel="1">
      <c r="B16" s="13">
        <f t="shared" si="2"/>
        <v>2014</v>
      </c>
      <c r="C16" s="410">
        <f>(CampusArea!$C16*$L$9+CampusArea!$D16*($L$17+$L$9)+CampusArea!$E16*$L$13)*1000/BTU_Electric_per_kWh</f>
        <v>137556.65962631535</v>
      </c>
      <c r="D16" s="778">
        <f>C16/CampusArea!G16*BTU_Electric_per_kWh/1000</f>
        <v>65.594861769888595</v>
      </c>
      <c r="E16" s="410">
        <f>(CampusArea!$C16*$L$10+CampusArea!$D16*($L$18+$L$10)+CampusArea!$E16*$L$14)</f>
        <v>733356.43426308746</v>
      </c>
      <c r="F16" s="778">
        <f>E16/CampusArea!G16</f>
        <v>102.49301867650489</v>
      </c>
      <c r="G16" s="410">
        <f>(CampusArea!$C16*$L$11+CampusArea!$D16*($L$19+$L$11)+CampusArea!$E16*$L$15)</f>
        <v>195447.56483158763</v>
      </c>
      <c r="H16" s="778">
        <f>G16/CampusArea!G16</f>
        <v>27.3155180436788</v>
      </c>
      <c r="I16" s="47">
        <f t="shared" si="0"/>
        <v>1398147.3217396631</v>
      </c>
      <c r="J16" s="50">
        <f>I16/CampusArea!G16</f>
        <v>195.40339849007231</v>
      </c>
      <c r="L16" s="1244">
        <f>SUMPRODUCT(O14:O16,P14:P16)</f>
        <v>195</v>
      </c>
      <c r="M16" s="1238" t="s">
        <v>1415</v>
      </c>
      <c r="O16" s="1246"/>
      <c r="P16" s="8"/>
      <c r="U16" s="348">
        <f t="shared" si="15"/>
        <v>2014</v>
      </c>
      <c r="V16" s="348">
        <f t="shared" si="15"/>
        <v>5</v>
      </c>
      <c r="W16" s="409">
        <f t="shared" si="3"/>
        <v>63.158608778881558</v>
      </c>
      <c r="X16" s="409">
        <f t="shared" si="4"/>
        <v>42.680157467159226</v>
      </c>
      <c r="Y16" s="409">
        <f t="shared" si="5"/>
        <v>57.584714968799318</v>
      </c>
      <c r="Z16" s="409">
        <f t="shared" si="6"/>
        <v>64.607241184506549</v>
      </c>
      <c r="AA16" s="409">
        <f t="shared" si="7"/>
        <v>183.30633242289696</v>
      </c>
      <c r="AB16" s="409">
        <f t="shared" si="8"/>
        <v>66.7009040022308</v>
      </c>
      <c r="AC16" s="409">
        <f t="shared" si="9"/>
        <v>89.993870057418945</v>
      </c>
      <c r="AD16" s="409">
        <f t="shared" si="10"/>
        <v>0</v>
      </c>
      <c r="AE16" s="409">
        <f t="shared" si="11"/>
        <v>27.273455987031838</v>
      </c>
      <c r="AF16" s="409">
        <f t="shared" si="12"/>
        <v>31.256885121913513</v>
      </c>
      <c r="AG16" s="409">
        <f t="shared" si="13"/>
        <v>28.290960753760036</v>
      </c>
      <c r="AH16" s="409">
        <f t="shared" si="14"/>
        <v>39.75</v>
      </c>
      <c r="AI16" s="10">
        <f t="shared" si="1"/>
        <v>469343.32264498796</v>
      </c>
    </row>
    <row r="17" spans="2:35" ht="15" customHeight="1" outlineLevel="1">
      <c r="B17" s="13">
        <f t="shared" si="2"/>
        <v>2015</v>
      </c>
      <c r="C17" s="410">
        <f>(CampusArea!$C17*$L$9+CampusArea!$D17*($L$17+$L$9)+CampusArea!$E17*$L$13)*1000/BTU_Electric_per_kWh</f>
        <v>140674.7264207229</v>
      </c>
      <c r="D17" s="778">
        <f>C17/CampusArea!G17*BTU_Electric_per_kWh/1000</f>
        <v>65.598126266635475</v>
      </c>
      <c r="E17" s="410">
        <f>(CampusArea!$C17*$L$10+CampusArea!$D17*($L$18+$L$10)+CampusArea!$E17*$L$14)</f>
        <v>749942.47488688328</v>
      </c>
      <c r="F17" s="778">
        <f>E17/CampusArea!G17</f>
        <v>102.4930186765049</v>
      </c>
      <c r="G17" s="410">
        <f>(CampusArea!$C17*$L$11+CampusArea!$D17*($L$19+$L$11)+CampusArea!$E17*$L$15)</f>
        <v>200653.26054765948</v>
      </c>
      <c r="H17" s="778">
        <f>G17/CampusArea!G17</f>
        <v>27.422847844316124</v>
      </c>
      <c r="I17" s="47">
        <f t="shared" si="0"/>
        <v>1430577.9019820495</v>
      </c>
      <c r="J17" s="50">
        <f>I17/CampusArea!G17</f>
        <v>195.51399278745652</v>
      </c>
      <c r="L17" s="1245">
        <v>0</v>
      </c>
      <c r="M17" s="1239" t="s">
        <v>1416</v>
      </c>
      <c r="U17" s="348">
        <f>U16+1</f>
        <v>2015</v>
      </c>
      <c r="V17" s="348">
        <f>V16+1</f>
        <v>6</v>
      </c>
      <c r="W17" s="409">
        <f t="shared" si="3"/>
        <v>62.673812125098038</v>
      </c>
      <c r="X17" s="409">
        <f t="shared" si="4"/>
        <v>40.494231964593432</v>
      </c>
      <c r="Y17" s="409">
        <f t="shared" si="5"/>
        <v>55.985139552999335</v>
      </c>
      <c r="Z17" s="409">
        <f t="shared" si="6"/>
        <v>64.178086804657781</v>
      </c>
      <c r="AA17" s="409">
        <f t="shared" si="7"/>
        <v>199.46899517217753</v>
      </c>
      <c r="AB17" s="409">
        <f t="shared" si="8"/>
        <v>63.284721500681705</v>
      </c>
      <c r="AC17" s="409">
        <f t="shared" si="9"/>
        <v>87.494040333601745</v>
      </c>
      <c r="AD17" s="409">
        <f t="shared" si="10"/>
        <v>0</v>
      </c>
      <c r="AE17" s="409">
        <f t="shared" si="11"/>
        <v>27.388261679415081</v>
      </c>
      <c r="AF17" s="409">
        <f t="shared" si="12"/>
        <v>31.691872186394598</v>
      </c>
      <c r="AG17" s="409">
        <f t="shared" si="13"/>
        <v>28.609267399488921</v>
      </c>
      <c r="AH17" s="409">
        <f t="shared" si="14"/>
        <v>39.75</v>
      </c>
      <c r="AI17" s="10">
        <f t="shared" si="1"/>
        <v>479982.16654750658</v>
      </c>
    </row>
    <row r="18" spans="2:35" ht="15" customHeight="1" outlineLevel="1">
      <c r="B18" s="13">
        <f t="shared" si="2"/>
        <v>2016</v>
      </c>
      <c r="C18" s="410">
        <f>(CampusArea!$C18*$L$9+CampusArea!$D18*($L$17+$L$9)+CampusArea!$E18*$L$13)*1000/BTU_Electric_per_kWh</f>
        <v>142251.35202157494</v>
      </c>
      <c r="D18" s="778">
        <f>C18/CampusArea!G18*BTU_Electric_per_kWh/1000</f>
        <v>65.59972257503874</v>
      </c>
      <c r="E18" s="410">
        <f>(CampusArea!$C18*$L$10+CampusArea!$D18*($L$18+$L$10)+CampusArea!$E18*$L$14)</f>
        <v>758329.0740165587</v>
      </c>
      <c r="F18" s="778">
        <f>E18/CampusArea!G18</f>
        <v>102.49301867650492</v>
      </c>
      <c r="G18" s="410">
        <f>(CampusArea!$C18*$L$11+CampusArea!$D18*($L$19+$L$11)+CampusArea!$E18*$L$15)</f>
        <v>203717.79511026316</v>
      </c>
      <c r="H18" s="778">
        <f>G18/CampusArea!G18</f>
        <v>27.533761389869486</v>
      </c>
      <c r="I18" s="47">
        <f t="shared" si="0"/>
        <v>1447408.4822244355</v>
      </c>
      <c r="J18" s="50">
        <f>I18/CampusArea!G18</f>
        <v>195.62650264141314</v>
      </c>
      <c r="L18" s="1245">
        <v>0</v>
      </c>
      <c r="M18" s="1239" t="s">
        <v>1417</v>
      </c>
      <c r="P18" s="1454"/>
      <c r="U18" s="348">
        <f t="shared" si="15"/>
        <v>2016</v>
      </c>
      <c r="V18" s="348">
        <f t="shared" si="15"/>
        <v>7</v>
      </c>
      <c r="W18" s="409">
        <f t="shared" si="3"/>
        <v>62.189015471314519</v>
      </c>
      <c r="X18" s="409">
        <f t="shared" si="4"/>
        <v>38.484066006542058</v>
      </c>
      <c r="Y18" s="409">
        <f t="shared" si="5"/>
        <v>54.385564137199353</v>
      </c>
      <c r="Z18" s="409">
        <f t="shared" si="6"/>
        <v>63.670904355745591</v>
      </c>
      <c r="AA18" s="409">
        <f t="shared" si="7"/>
        <v>215.63165792145446</v>
      </c>
      <c r="AB18" s="409">
        <f t="shared" si="8"/>
        <v>60.143217472733667</v>
      </c>
      <c r="AC18" s="409">
        <f t="shared" si="9"/>
        <v>84.994210609784545</v>
      </c>
      <c r="AD18" s="409">
        <f t="shared" si="10"/>
        <v>0</v>
      </c>
      <c r="AE18" s="409">
        <f t="shared" si="11"/>
        <v>27.503067371798323</v>
      </c>
      <c r="AF18" s="409">
        <f t="shared" si="12"/>
        <v>32.091884075265575</v>
      </c>
      <c r="AG18" s="409">
        <f t="shared" si="13"/>
        <v>28.92757404521781</v>
      </c>
      <c r="AH18" s="409">
        <f t="shared" si="14"/>
        <v>39.75</v>
      </c>
      <c r="AI18" s="10">
        <f t="shared" si="1"/>
        <v>485361.61309761368</v>
      </c>
    </row>
    <row r="19" spans="2:35" ht="15" customHeight="1" outlineLevel="1">
      <c r="B19" s="13">
        <f t="shared" si="2"/>
        <v>2017</v>
      </c>
      <c r="C19" s="410">
        <f>(CampusArea!$C19*$L$9+CampusArea!$D19*($L$17+$L$9)+CampusArea!$E19*$L$13)*1000/BTU_Electric_per_kWh</f>
        <v>143827.97762242699</v>
      </c>
      <c r="D19" s="778">
        <f>C19/CampusArea!G19*BTU_Electric_per_kWh/1000</f>
        <v>65.601283961503839</v>
      </c>
      <c r="E19" s="410">
        <f>(CampusArea!$C19*$L$10+CampusArea!$D19*($L$18+$L$10)+CampusArea!$E19*$L$14)</f>
        <v>766715.67314623413</v>
      </c>
      <c r="F19" s="778">
        <f>E19/CampusArea!G19</f>
        <v>102.49301867650492</v>
      </c>
      <c r="G19" s="410">
        <f>(CampusArea!$C19*$L$11+CampusArea!$D19*($L$19+$L$11)+CampusArea!$E19*$L$15)</f>
        <v>206782.32967286685</v>
      </c>
      <c r="H19" s="778">
        <f>G19/CampusArea!G19</f>
        <v>27.642248514580839</v>
      </c>
      <c r="I19" s="47">
        <f t="shared" si="0"/>
        <v>1464239.0624668221</v>
      </c>
      <c r="J19" s="50">
        <f>I19/CampusArea!G19</f>
        <v>195.73655115258961</v>
      </c>
      <c r="L19" s="1245">
        <f>53*0.75</f>
        <v>39.75</v>
      </c>
      <c r="M19" s="1239" t="s">
        <v>1418</v>
      </c>
      <c r="U19" s="348">
        <f t="shared" si="15"/>
        <v>2017</v>
      </c>
      <c r="V19" s="348">
        <f t="shared" si="15"/>
        <v>8</v>
      </c>
      <c r="W19" s="409">
        <f t="shared" si="3"/>
        <v>61.704218817531</v>
      </c>
      <c r="X19" s="409">
        <f t="shared" si="4"/>
        <v>36.613049152668971</v>
      </c>
      <c r="Y19" s="409">
        <f t="shared" si="5"/>
        <v>52.785988721399377</v>
      </c>
      <c r="Z19" s="409">
        <f t="shared" si="6"/>
        <v>63.085693837769988</v>
      </c>
      <c r="AA19" s="409">
        <f t="shared" si="7"/>
        <v>231.79432067073139</v>
      </c>
      <c r="AB19" s="409">
        <f t="shared" si="8"/>
        <v>57.219176818648158</v>
      </c>
      <c r="AC19" s="409">
        <f t="shared" si="9"/>
        <v>82.49438088596736</v>
      </c>
      <c r="AD19" s="409">
        <f t="shared" si="10"/>
        <v>0</v>
      </c>
      <c r="AE19" s="409">
        <f t="shared" si="11"/>
        <v>27.617873064181566</v>
      </c>
      <c r="AF19" s="409">
        <f t="shared" si="12"/>
        <v>32.464206063323083</v>
      </c>
      <c r="AG19" s="409">
        <f t="shared" si="13"/>
        <v>29.245880690946699</v>
      </c>
      <c r="AH19" s="409">
        <f t="shared" si="14"/>
        <v>39.75</v>
      </c>
      <c r="AI19" s="10">
        <f t="shared" si="1"/>
        <v>490741.05964772089</v>
      </c>
    </row>
    <row r="20" spans="2:35" ht="15" customHeight="1" outlineLevel="1">
      <c r="B20" s="13">
        <f t="shared" si="2"/>
        <v>2018</v>
      </c>
      <c r="C20" s="410">
        <f>(CampusArea!$C20*$L$9+CampusArea!$D20*($L$17+$L$9)+CampusArea!$E20*$L$13)*1000/BTU_Electric_per_kWh</f>
        <v>145404.603223279</v>
      </c>
      <c r="D20" s="778">
        <f>C20/CampusArea!G20*BTU_Electric_per_kWh/1000</f>
        <v>65.60281155959585</v>
      </c>
      <c r="E20" s="410">
        <f>(CampusArea!$C20*$L$10+CampusArea!$D20*($L$18+$L$10)+CampusArea!$E20*$L$14)</f>
        <v>775102.27227590943</v>
      </c>
      <c r="F20" s="778">
        <f>E20/CampusArea!G20</f>
        <v>102.4930186765049</v>
      </c>
      <c r="G20" s="410">
        <f>(CampusArea!$C20*$L$11+CampusArea!$D20*($L$19+$L$11)+CampusArea!$E20*$L$15)</f>
        <v>209846.86423547054</v>
      </c>
      <c r="H20" s="778">
        <f>G20/CampusArea!G20</f>
        <v>27.748387980000693</v>
      </c>
      <c r="I20" s="47">
        <f t="shared" si="0"/>
        <v>1481069.642709208</v>
      </c>
      <c r="J20" s="50">
        <f>I20/CampusArea!G20</f>
        <v>195.84421821610147</v>
      </c>
      <c r="L20" s="1245">
        <f>SUM(L17:L19)</f>
        <v>39.75</v>
      </c>
      <c r="M20" s="1239" t="s">
        <v>1419</v>
      </c>
      <c r="U20" s="348">
        <f t="shared" si="15"/>
        <v>2018</v>
      </c>
      <c r="V20" s="348">
        <f t="shared" si="15"/>
        <v>9</v>
      </c>
      <c r="W20" s="409">
        <f t="shared" si="3"/>
        <v>61.219422163747481</v>
      </c>
      <c r="X20" s="409">
        <f t="shared" si="4"/>
        <v>34.855751704267469</v>
      </c>
      <c r="Y20" s="409">
        <f t="shared" si="5"/>
        <v>51.186413305599395</v>
      </c>
      <c r="Z20" s="409">
        <f t="shared" si="6"/>
        <v>62.42245525073097</v>
      </c>
      <c r="AA20" s="409">
        <f t="shared" si="7"/>
        <v>247.95698342001197</v>
      </c>
      <c r="AB20" s="409">
        <f t="shared" si="8"/>
        <v>54.472857794418111</v>
      </c>
      <c r="AC20" s="409">
        <f t="shared" si="9"/>
        <v>79.994551162150174</v>
      </c>
      <c r="AD20" s="409">
        <f t="shared" si="10"/>
        <v>0</v>
      </c>
      <c r="AE20" s="409">
        <f t="shared" si="11"/>
        <v>27.732678756564809</v>
      </c>
      <c r="AF20" s="409">
        <f t="shared" si="12"/>
        <v>32.813898519723374</v>
      </c>
      <c r="AG20" s="409">
        <f t="shared" si="13"/>
        <v>29.564187336675587</v>
      </c>
      <c r="AH20" s="409">
        <f t="shared" si="14"/>
        <v>39.75</v>
      </c>
      <c r="AI20" s="10">
        <f t="shared" si="1"/>
        <v>496120.50619782793</v>
      </c>
    </row>
    <row r="21" spans="2:35" ht="15" customHeight="1" outlineLevel="1">
      <c r="B21" s="13">
        <f t="shared" si="2"/>
        <v>2019</v>
      </c>
      <c r="C21" s="410">
        <f>(CampusArea!$C21*$L$9+CampusArea!$D21*($L$17+$L$9)+CampusArea!$E21*$L$13)*1000/BTU_Electric_per_kWh</f>
        <v>146981.22882413102</v>
      </c>
      <c r="D21" s="778">
        <f>C21/CampusArea!G21*BTU_Electric_per_kWh/1000</f>
        <v>65.60430645434441</v>
      </c>
      <c r="E21" s="410">
        <f>(CampusArea!$C21*$L$10+CampusArea!$D21*($L$18+$L$10)+CampusArea!$E21*$L$14)</f>
        <v>783488.87140558485</v>
      </c>
      <c r="F21" s="778">
        <f>E21/CampusArea!G21</f>
        <v>102.4930186765049</v>
      </c>
      <c r="G21" s="410">
        <f>(CampusArea!$C21*$L$11+CampusArea!$D21*($L$19+$L$11)+CampusArea!$E21*$L$15)</f>
        <v>212911.39879807425</v>
      </c>
      <c r="H21" s="778">
        <f>G21/CampusArea!G21</f>
        <v>27.852255175371031</v>
      </c>
      <c r="I21" s="47">
        <f t="shared" si="0"/>
        <v>1497900.2229515943</v>
      </c>
      <c r="J21" s="50">
        <f>I21/CampusArea!G21</f>
        <v>195.94958030622035</v>
      </c>
      <c r="L21" s="1240"/>
      <c r="M21" s="1241"/>
      <c r="U21" s="348">
        <f t="shared" si="15"/>
        <v>2019</v>
      </c>
      <c r="V21" s="348">
        <f t="shared" si="15"/>
        <v>10</v>
      </c>
      <c r="W21" s="409">
        <f t="shared" si="3"/>
        <v>60.734625509963962</v>
      </c>
      <c r="X21" s="409">
        <f t="shared" si="4"/>
        <v>33.193658452495569</v>
      </c>
      <c r="Y21" s="409">
        <f t="shared" si="5"/>
        <v>49.586837889799412</v>
      </c>
      <c r="Z21" s="409">
        <f t="shared" si="6"/>
        <v>61.681188594628537</v>
      </c>
      <c r="AA21" s="409">
        <f t="shared" si="7"/>
        <v>264.1196461692889</v>
      </c>
      <c r="AB21" s="409">
        <f t="shared" si="8"/>
        <v>51.875324678133381</v>
      </c>
      <c r="AC21" s="409">
        <f t="shared" si="9"/>
        <v>77.494721438332974</v>
      </c>
      <c r="AD21" s="409">
        <f t="shared" si="10"/>
        <v>0</v>
      </c>
      <c r="AE21" s="409">
        <f t="shared" si="11"/>
        <v>27.847484448948052</v>
      </c>
      <c r="AF21" s="409">
        <f t="shared" si="12"/>
        <v>33.144645868447498</v>
      </c>
      <c r="AG21" s="409">
        <f t="shared" si="13"/>
        <v>29.882493982404476</v>
      </c>
      <c r="AH21" s="409">
        <f t="shared" si="14"/>
        <v>39.75</v>
      </c>
      <c r="AI21" s="10">
        <f t="shared" si="1"/>
        <v>501499.95274793508</v>
      </c>
    </row>
    <row r="22" spans="2:35">
      <c r="B22" s="13">
        <f t="shared" si="2"/>
        <v>2020</v>
      </c>
      <c r="C22" s="410">
        <f>(CampusArea!$C22*$L$9+CampusArea!$D22*($L$17+$L$9)+CampusArea!$E22*$L$13)*1000/BTU_Electric_per_kWh</f>
        <v>148557.85442498306</v>
      </c>
      <c r="D22" s="778">
        <f>C22/CampusArea!G22*BTU_Electric_per_kWh/1000</f>
        <v>65.605769684813779</v>
      </c>
      <c r="E22" s="410">
        <f>(CampusArea!$C22*$L$10+CampusArea!$D22*($L$18+$L$10)+CampusArea!$E22*$L$14)</f>
        <v>791875.47053526016</v>
      </c>
      <c r="F22" s="778">
        <f>E22/CampusArea!G22</f>
        <v>102.4930186765049</v>
      </c>
      <c r="G22" s="410">
        <f>(CampusArea!$C22*$L$11+CampusArea!$D22*($L$19+$L$11)+CampusArea!$E22*$L$15)</f>
        <v>215975.93336067794</v>
      </c>
      <c r="H22" s="778">
        <f>G22/CampusArea!G22</f>
        <v>27.953922296202609</v>
      </c>
      <c r="I22" s="47">
        <f t="shared" si="0"/>
        <v>1514730.8031939801</v>
      </c>
      <c r="J22" s="50">
        <f>I22/CampusArea!G22</f>
        <v>196.05271065752126</v>
      </c>
      <c r="L22" s="1579" t="s">
        <v>437</v>
      </c>
      <c r="M22" s="1580"/>
      <c r="U22" s="348">
        <f t="shared" si="15"/>
        <v>2020</v>
      </c>
      <c r="V22" s="348">
        <f t="shared" si="15"/>
        <v>11</v>
      </c>
      <c r="W22" s="409">
        <f t="shared" si="3"/>
        <v>60.249828856180557</v>
      </c>
      <c r="X22" s="409">
        <f t="shared" si="4"/>
        <v>31.612791910249271</v>
      </c>
      <c r="Y22" s="409">
        <f t="shared" si="5"/>
        <v>47.987262473999436</v>
      </c>
      <c r="Z22" s="409">
        <f t="shared" si="6"/>
        <v>60.861893869462698</v>
      </c>
      <c r="AA22" s="409">
        <f t="shared" si="7"/>
        <v>280.28230891856947</v>
      </c>
      <c r="AB22" s="409">
        <f t="shared" si="8"/>
        <v>49.40473333704368</v>
      </c>
      <c r="AC22" s="409">
        <f t="shared" si="9"/>
        <v>74.994891714515774</v>
      </c>
      <c r="AD22" s="409">
        <f t="shared" si="10"/>
        <v>0</v>
      </c>
      <c r="AE22" s="409">
        <f t="shared" si="11"/>
        <v>27.962290141331295</v>
      </c>
      <c r="AF22" s="409">
        <f t="shared" si="12"/>
        <v>33.45922955199066</v>
      </c>
      <c r="AG22" s="409">
        <f t="shared" si="13"/>
        <v>30.200800628133361</v>
      </c>
      <c r="AH22" s="409">
        <f t="shared" si="14"/>
        <v>39.75</v>
      </c>
      <c r="AI22" s="10">
        <f t="shared" si="1"/>
        <v>506879.39929804218</v>
      </c>
    </row>
    <row r="23" spans="2:35" ht="15" hidden="1" customHeight="1" outlineLevel="1">
      <c r="B23" s="13">
        <f t="shared" si="2"/>
        <v>2021</v>
      </c>
      <c r="C23" s="410">
        <f>(CampusArea!$C23*$L$9+CampusArea!$D23*($L$17+$L$9)+CampusArea!$E23*$L$13)*1000/BTU_Electric_per_kWh</f>
        <v>150134.48002583507</v>
      </c>
      <c r="D23" s="778">
        <f>C23/CampusArea!G23*BTU_Electric_per_kWh/1000</f>
        <v>65.607202246511378</v>
      </c>
      <c r="E23" s="410">
        <f>(CampusArea!$C23*$L$10+CampusArea!$D23*($L$18+$L$10)+CampusArea!$E23*$L$14)</f>
        <v>800262.06966493546</v>
      </c>
      <c r="F23" s="778">
        <f>E23/CampusArea!G23</f>
        <v>102.49301867650489</v>
      </c>
      <c r="G23" s="410">
        <f>(CampusArea!$C23*$L$11+CampusArea!$D23*($L$19+$L$11)+CampusArea!$E23*$L$15)</f>
        <v>219040.46792328163</v>
      </c>
      <c r="H23" s="778">
        <f>G23/CampusArea!G23</f>
        <v>28.053458511623564</v>
      </c>
      <c r="I23" s="47">
        <f t="shared" si="0"/>
        <v>1531561.3834363665</v>
      </c>
      <c r="J23" s="50">
        <f>I23/CampusArea!G23</f>
        <v>196.15367943463986</v>
      </c>
      <c r="U23" s="348">
        <f t="shared" si="15"/>
        <v>2021</v>
      </c>
      <c r="V23" s="348">
        <f t="shared" si="15"/>
        <v>12</v>
      </c>
      <c r="W23" s="409">
        <f t="shared" si="3"/>
        <v>59.765032202397038</v>
      </c>
      <c r="X23" s="409">
        <f t="shared" si="4"/>
        <v>30.1022929604298</v>
      </c>
      <c r="Y23" s="409">
        <f t="shared" si="5"/>
        <v>46.387687058199447</v>
      </c>
      <c r="Z23" s="409">
        <f t="shared" si="6"/>
        <v>59.964571075233437</v>
      </c>
      <c r="AA23" s="409">
        <f t="shared" si="7"/>
        <v>296.4449716678464</v>
      </c>
      <c r="AB23" s="409">
        <f t="shared" si="8"/>
        <v>47.044113052901011</v>
      </c>
      <c r="AC23" s="409">
        <f t="shared" si="9"/>
        <v>72.495061990698588</v>
      </c>
      <c r="AD23" s="409">
        <f t="shared" si="10"/>
        <v>0</v>
      </c>
      <c r="AE23" s="409">
        <f t="shared" si="11"/>
        <v>28.077095833714566</v>
      </c>
      <c r="AF23" s="409">
        <f t="shared" si="12"/>
        <v>33.75981047449352</v>
      </c>
      <c r="AG23" s="409">
        <f t="shared" si="13"/>
        <v>30.51910727386225</v>
      </c>
      <c r="AH23" s="409">
        <f t="shared" si="14"/>
        <v>39.75</v>
      </c>
      <c r="AI23" s="10">
        <f t="shared" si="1"/>
        <v>512258.84584814927</v>
      </c>
    </row>
    <row r="24" spans="2:35" ht="15" hidden="1" customHeight="1" outlineLevel="1">
      <c r="B24" s="13">
        <f t="shared" si="2"/>
        <v>2022</v>
      </c>
      <c r="C24" s="410">
        <f>(CampusArea!$C24*$L$9+CampusArea!$D24*($L$17+$L$9)+CampusArea!$E24*$L$13)*1000/BTU_Electric_per_kWh</f>
        <v>151711.10562668712</v>
      </c>
      <c r="D24" s="778">
        <f>C24/CampusArea!G24*BTU_Electric_per_kWh/1000</f>
        <v>65.608605093646545</v>
      </c>
      <c r="E24" s="410">
        <f>(CampusArea!$C24*$L$10+CampusArea!$D24*($L$18+$L$10)+CampusArea!$E24*$L$14)</f>
        <v>808648.668794611</v>
      </c>
      <c r="F24" s="778">
        <f>E24/CampusArea!G24</f>
        <v>102.49301867650492</v>
      </c>
      <c r="G24" s="410">
        <f>(CampusArea!$C24*$L$11+CampusArea!$D24*($L$19+$L$11)+CampusArea!$E24*$L$15)</f>
        <v>222105.00248588528</v>
      </c>
      <c r="H24" s="778">
        <f>G24/CampusArea!G24</f>
        <v>28.150930121314406</v>
      </c>
      <c r="I24" s="47">
        <f t="shared" si="0"/>
        <v>1548391.9636787528</v>
      </c>
      <c r="J24" s="50">
        <f>I24/CampusArea!G24</f>
        <v>196.25255389146588</v>
      </c>
      <c r="U24" s="348">
        <f t="shared" si="15"/>
        <v>2022</v>
      </c>
      <c r="V24" s="348">
        <f t="shared" si="15"/>
        <v>13</v>
      </c>
      <c r="W24" s="409">
        <f t="shared" si="3"/>
        <v>59.280235548613518</v>
      </c>
      <c r="X24" s="409">
        <f t="shared" si="4"/>
        <v>28.65352591726613</v>
      </c>
      <c r="Y24" s="409">
        <f t="shared" si="5"/>
        <v>44.788111642399471</v>
      </c>
      <c r="Z24" s="409">
        <f t="shared" si="6"/>
        <v>58.989220211940768</v>
      </c>
      <c r="AA24" s="409">
        <f t="shared" si="7"/>
        <v>312.60763441712697</v>
      </c>
      <c r="AB24" s="409">
        <f t="shared" si="8"/>
        <v>44.779967904373571</v>
      </c>
      <c r="AC24" s="409">
        <f t="shared" si="9"/>
        <v>69.995232266881402</v>
      </c>
      <c r="AD24" s="409">
        <f t="shared" si="10"/>
        <v>0</v>
      </c>
      <c r="AE24" s="409">
        <f t="shared" si="11"/>
        <v>28.191901526097809</v>
      </c>
      <c r="AF24" s="409">
        <f t="shared" si="12"/>
        <v>34.04810708958081</v>
      </c>
      <c r="AG24" s="409">
        <f t="shared" si="13"/>
        <v>30.837413919591139</v>
      </c>
      <c r="AH24" s="409">
        <f t="shared" si="14"/>
        <v>39.75</v>
      </c>
      <c r="AI24" s="10">
        <f t="shared" si="1"/>
        <v>517638.29239825642</v>
      </c>
    </row>
    <row r="25" spans="2:35" ht="15" hidden="1" customHeight="1" outlineLevel="1">
      <c r="B25" s="13">
        <f t="shared" si="2"/>
        <v>2023</v>
      </c>
      <c r="C25" s="410">
        <f>(CampusArea!$C25*$L$9+CampusArea!$D25*($L$17+$L$9)+CampusArea!$E25*$L$13)*1000/BTU_Electric_per_kWh</f>
        <v>153287.73122753916</v>
      </c>
      <c r="D25" s="778">
        <f>C25/CampusArea!G25*BTU_Electric_per_kWh/1000</f>
        <v>65.609979141249966</v>
      </c>
      <c r="E25" s="410">
        <f>(CampusArea!$C25*$L$10+CampusArea!$D25*($L$18+$L$10)+CampusArea!$E25*$L$14)</f>
        <v>817035.26792428643</v>
      </c>
      <c r="F25" s="778">
        <f>E25/CampusArea!G25</f>
        <v>102.49301867650492</v>
      </c>
      <c r="G25" s="410">
        <f>(CampusArea!$C25*$L$11+CampusArea!$D25*($L$19+$L$11)+CampusArea!$E25*$L$15)</f>
        <v>225169.537048489</v>
      </c>
      <c r="H25" s="778">
        <f>G25/CampusArea!G25</f>
        <v>28.24640070277772</v>
      </c>
      <c r="I25" s="47">
        <f t="shared" si="0"/>
        <v>1565222.5439211391</v>
      </c>
      <c r="J25" s="50">
        <f>I25/CampusArea!G25</f>
        <v>196.34939852053259</v>
      </c>
      <c r="U25" s="348">
        <f t="shared" si="15"/>
        <v>2023</v>
      </c>
      <c r="V25" s="348">
        <f t="shared" si="15"/>
        <v>14</v>
      </c>
      <c r="W25" s="409">
        <f t="shared" si="3"/>
        <v>58.795438894829999</v>
      </c>
      <c r="X25" s="409">
        <f t="shared" si="4"/>
        <v>27.259488999932842</v>
      </c>
      <c r="Y25" s="409">
        <f t="shared" si="5"/>
        <v>43.188536226599489</v>
      </c>
      <c r="Z25" s="409">
        <f t="shared" si="6"/>
        <v>57.935841279584679</v>
      </c>
      <c r="AA25" s="409">
        <f t="shared" si="7"/>
        <v>328.77029716640391</v>
      </c>
      <c r="AB25" s="409">
        <f t="shared" si="8"/>
        <v>42.601355450327198</v>
      </c>
      <c r="AC25" s="409">
        <f t="shared" si="9"/>
        <v>67.495402543064202</v>
      </c>
      <c r="AD25" s="409">
        <f t="shared" si="10"/>
        <v>0</v>
      </c>
      <c r="AE25" s="409">
        <f t="shared" si="11"/>
        <v>28.306707218481051</v>
      </c>
      <c r="AF25" s="409">
        <f t="shared" si="12"/>
        <v>34.325512712845331</v>
      </c>
      <c r="AG25" s="409">
        <f t="shared" si="13"/>
        <v>31.155720565320024</v>
      </c>
      <c r="AH25" s="409">
        <f t="shared" si="14"/>
        <v>39.75</v>
      </c>
      <c r="AI25" s="10">
        <f t="shared" si="1"/>
        <v>523017.73894836358</v>
      </c>
    </row>
    <row r="26" spans="2:35" ht="15" hidden="1" customHeight="1" outlineLevel="1">
      <c r="B26" s="13">
        <f t="shared" si="2"/>
        <v>2024</v>
      </c>
      <c r="C26" s="410">
        <f>(CampusArea!$C26*$L$9+CampusArea!$D26*($L$17+$L$9)+CampusArea!$E26*$L$13)*1000/BTU_Electric_per_kWh</f>
        <v>154864.35682839117</v>
      </c>
      <c r="D26" s="778">
        <f>C26/CampusArea!G26*BTU_Electric_per_kWh/1000</f>
        <v>65.611325267164119</v>
      </c>
      <c r="E26" s="410">
        <f>(CampusArea!$C26*$L$10+CampusArea!$D26*($L$18+$L$10)+CampusArea!$E26*$L$14)</f>
        <v>825421.86705396173</v>
      </c>
      <c r="F26" s="778">
        <f>E26/CampusArea!G26</f>
        <v>102.4930186765049</v>
      </c>
      <c r="G26" s="410">
        <f>(CampusArea!$C26*$L$11+CampusArea!$D26*($L$19+$L$11)+CampusArea!$E26*$L$15)</f>
        <v>228234.07161109266</v>
      </c>
      <c r="H26" s="778">
        <f>G26/CampusArea!G26</f>
        <v>28.339931249629963</v>
      </c>
      <c r="I26" s="47">
        <f t="shared" si="0"/>
        <v>1582053.1241635249</v>
      </c>
      <c r="J26" s="50">
        <f>I26/CampusArea!G26</f>
        <v>196.44427519329898</v>
      </c>
      <c r="U26" s="348">
        <f t="shared" si="15"/>
        <v>2024</v>
      </c>
      <c r="V26" s="348">
        <f t="shared" si="15"/>
        <v>15</v>
      </c>
      <c r="W26" s="409">
        <f t="shared" si="3"/>
        <v>58.31064224104648</v>
      </c>
      <c r="X26" s="409">
        <f t="shared" si="4"/>
        <v>25.914411737108331</v>
      </c>
      <c r="Y26" s="409">
        <f t="shared" si="5"/>
        <v>41.588960810799506</v>
      </c>
      <c r="Z26" s="409">
        <f t="shared" si="6"/>
        <v>56.804434278165182</v>
      </c>
      <c r="AA26" s="409">
        <f t="shared" si="7"/>
        <v>344.93295991568448</v>
      </c>
      <c r="AB26" s="409">
        <f t="shared" si="8"/>
        <v>40.499257550330569</v>
      </c>
      <c r="AC26" s="409">
        <f t="shared" si="9"/>
        <v>64.995572819247002</v>
      </c>
      <c r="AD26" s="409">
        <f t="shared" si="10"/>
        <v>0</v>
      </c>
      <c r="AE26" s="409">
        <f t="shared" si="11"/>
        <v>28.421512910864294</v>
      </c>
      <c r="AF26" s="409">
        <f t="shared" si="12"/>
        <v>34.593175636110338</v>
      </c>
      <c r="AG26" s="409">
        <f t="shared" si="13"/>
        <v>31.474027211048913</v>
      </c>
      <c r="AH26" s="409">
        <f t="shared" si="14"/>
        <v>39.75</v>
      </c>
      <c r="AI26" s="10">
        <f t="shared" si="1"/>
        <v>528397.18549847067</v>
      </c>
    </row>
    <row r="27" spans="2:35" ht="15" hidden="1" customHeight="1" outlineLevel="1">
      <c r="B27" s="13">
        <f t="shared" si="2"/>
        <v>2025</v>
      </c>
      <c r="C27" s="410">
        <f>(CampusArea!$C27*$L$9+CampusArea!$D27*($L$17+$L$9)+CampusArea!$E27*$L$13)*1000/BTU_Electric_per_kWh</f>
        <v>156440.98242924322</v>
      </c>
      <c r="D27" s="778">
        <f>C27/CampusArea!G27*BTU_Electric_per_kWh/1000</f>
        <v>65.61264431391352</v>
      </c>
      <c r="E27" s="410">
        <f>(CampusArea!$C27*$L$10+CampusArea!$D27*($L$18+$L$10)+CampusArea!$E27*$L$14)</f>
        <v>833808.46618363715</v>
      </c>
      <c r="F27" s="778">
        <f>E27/CampusArea!G27</f>
        <v>102.4930186765049</v>
      </c>
      <c r="G27" s="410">
        <f>(CampusArea!$C27*$L$11+CampusArea!$D27*($L$19+$L$11)+CampusArea!$E27*$L$15)</f>
        <v>231298.6061736964</v>
      </c>
      <c r="H27" s="778">
        <f>G27/CampusArea!G27</f>
        <v>28.431580301547484</v>
      </c>
      <c r="I27" s="47">
        <f t="shared" si="0"/>
        <v>1598883.7044059115</v>
      </c>
      <c r="J27" s="50">
        <f>I27/CampusArea!G27</f>
        <v>196.53724329196592</v>
      </c>
      <c r="U27" s="348">
        <f t="shared" si="15"/>
        <v>2025</v>
      </c>
      <c r="V27" s="348">
        <f t="shared" si="15"/>
        <v>16</v>
      </c>
      <c r="W27" s="409">
        <f t="shared" si="3"/>
        <v>57.825845587262961</v>
      </c>
      <c r="X27" s="409">
        <f t="shared" si="4"/>
        <v>24.613471589756884</v>
      </c>
      <c r="Y27" s="409">
        <f t="shared" si="5"/>
        <v>39.98938539499953</v>
      </c>
      <c r="Z27" s="409">
        <f t="shared" si="6"/>
        <v>55.594999207682271</v>
      </c>
      <c r="AA27" s="409">
        <f t="shared" si="7"/>
        <v>361.09562266496141</v>
      </c>
      <c r="AB27" s="409">
        <f t="shared" si="8"/>
        <v>38.466137500389181</v>
      </c>
      <c r="AC27" s="409">
        <f t="shared" si="9"/>
        <v>62.495743095429816</v>
      </c>
      <c r="AD27" s="409">
        <f t="shared" si="10"/>
        <v>0</v>
      </c>
      <c r="AE27" s="409">
        <f t="shared" si="11"/>
        <v>28.536318603247537</v>
      </c>
      <c r="AF27" s="409">
        <f t="shared" si="12"/>
        <v>34.852055517925969</v>
      </c>
      <c r="AG27" s="409">
        <f t="shared" si="13"/>
        <v>31.792333856777802</v>
      </c>
      <c r="AH27" s="409">
        <f t="shared" si="14"/>
        <v>39.75</v>
      </c>
      <c r="AI27" s="10">
        <f t="shared" si="1"/>
        <v>533776.63204857789</v>
      </c>
    </row>
    <row r="28" spans="2:35" ht="15" hidden="1" customHeight="1" outlineLevel="1">
      <c r="B28" s="13">
        <f t="shared" si="2"/>
        <v>2026</v>
      </c>
      <c r="C28" s="410">
        <f>(CampusArea!$C28*$L$9+CampusArea!$D28*($L$17+$L$9)+CampusArea!$E28*$L$13)*1000/BTU_Electric_per_kWh</f>
        <v>158017.60803009526</v>
      </c>
      <c r="D28" s="778">
        <f>C28/CampusArea!G28*BTU_Electric_per_kWh/1000</f>
        <v>65.613937090463125</v>
      </c>
      <c r="E28" s="410">
        <f>(CampusArea!$C28*$L$10+CampusArea!$D28*($L$18+$L$10)+CampusArea!$E28*$L$14)</f>
        <v>842195.06531331246</v>
      </c>
      <c r="F28" s="778">
        <f>E28/CampusArea!G28</f>
        <v>102.4930186765049</v>
      </c>
      <c r="G28" s="410">
        <f>(CampusArea!$C28*$L$11+CampusArea!$D28*($L$19+$L$11)+CampusArea!$E28*$L$15)</f>
        <v>234363.14073630009</v>
      </c>
      <c r="H28" s="778">
        <f>G28/CampusArea!G28</f>
        <v>28.521404066448479</v>
      </c>
      <c r="I28" s="47">
        <f t="shared" si="0"/>
        <v>1615714.2846482974</v>
      </c>
      <c r="J28" s="50">
        <f>I28/CampusArea!G28</f>
        <v>196.62835983341648</v>
      </c>
      <c r="U28" s="348">
        <f t="shared" si="15"/>
        <v>2026</v>
      </c>
      <c r="V28" s="348">
        <f t="shared" si="15"/>
        <v>17</v>
      </c>
      <c r="W28" s="409">
        <f t="shared" si="3"/>
        <v>57.341048933479442</v>
      </c>
      <c r="X28" s="409">
        <f t="shared" si="4"/>
        <v>23.352589288508732</v>
      </c>
      <c r="Y28" s="409">
        <f t="shared" si="5"/>
        <v>38.389809979199541</v>
      </c>
      <c r="Z28" s="409">
        <f t="shared" si="6"/>
        <v>54.307536068135946</v>
      </c>
      <c r="AA28" s="409">
        <f t="shared" si="7"/>
        <v>377.25828541423834</v>
      </c>
      <c r="AB28" s="409">
        <f t="shared" si="8"/>
        <v>36.495620184505839</v>
      </c>
      <c r="AC28" s="409">
        <f t="shared" si="9"/>
        <v>59.995913371612623</v>
      </c>
      <c r="AD28" s="409">
        <f t="shared" si="10"/>
        <v>0</v>
      </c>
      <c r="AE28" s="409">
        <f t="shared" si="11"/>
        <v>28.65112429563078</v>
      </c>
      <c r="AF28" s="409">
        <f t="shared" si="12"/>
        <v>35.10296411029671</v>
      </c>
      <c r="AG28" s="409">
        <f t="shared" si="13"/>
        <v>32.110640502506691</v>
      </c>
      <c r="AH28" s="409">
        <f t="shared" si="14"/>
        <v>39.75</v>
      </c>
      <c r="AI28" s="10">
        <f t="shared" si="1"/>
        <v>539156.07859868498</v>
      </c>
    </row>
    <row r="29" spans="2:35" ht="15" hidden="1" customHeight="1" outlineLevel="1">
      <c r="B29" s="13">
        <f t="shared" si="2"/>
        <v>2027</v>
      </c>
      <c r="C29" s="410">
        <f>(CampusArea!$C29*$L$9+CampusArea!$D29*($L$17+$L$9)+CampusArea!$E29*$L$13)*1000/BTU_Electric_per_kWh</f>
        <v>159594.23363094722</v>
      </c>
      <c r="D29" s="778">
        <f>C29/CampusArea!G29*BTU_Electric_per_kWh/1000</f>
        <v>65.615204373872785</v>
      </c>
      <c r="E29" s="410">
        <f>(CampusArea!$C29*$L$10+CampusArea!$D29*($L$18+$L$10)+CampusArea!$E29*$L$14)</f>
        <v>850581.66444298776</v>
      </c>
      <c r="F29" s="778">
        <f>E29/CampusArea!G29</f>
        <v>102.49301867650489</v>
      </c>
      <c r="G29" s="410">
        <f>(CampusArea!$C29*$L$11+CampusArea!$D29*($L$19+$L$11)+CampusArea!$E29*$L$15)</f>
        <v>237427.67529890378</v>
      </c>
      <c r="H29" s="778">
        <f>G29/CampusArea!G29</f>
        <v>28.609456535446839</v>
      </c>
      <c r="I29" s="47">
        <f t="shared" si="0"/>
        <v>1632544.8648906837</v>
      </c>
      <c r="J29" s="50">
        <f>I29/CampusArea!G29</f>
        <v>196.71767958582456</v>
      </c>
      <c r="U29" s="348">
        <f t="shared" si="15"/>
        <v>2027</v>
      </c>
      <c r="V29" s="348">
        <f t="shared" si="15"/>
        <v>18</v>
      </c>
      <c r="W29" s="409">
        <f t="shared" si="3"/>
        <v>56.856252279695923</v>
      </c>
      <c r="X29" s="409">
        <f t="shared" si="4"/>
        <v>22.128277705103848</v>
      </c>
      <c r="Y29" s="409">
        <f t="shared" si="5"/>
        <v>36.790234563399565</v>
      </c>
      <c r="Z29" s="409">
        <f t="shared" si="6"/>
        <v>52.942044859526206</v>
      </c>
      <c r="AA29" s="409">
        <f t="shared" si="7"/>
        <v>393.42094816351891</v>
      </c>
      <c r="AB29" s="409">
        <f t="shared" si="8"/>
        <v>34.582255889719804</v>
      </c>
      <c r="AC29" s="409">
        <f t="shared" si="9"/>
        <v>57.49608364779543</v>
      </c>
      <c r="AD29" s="409">
        <f t="shared" si="10"/>
        <v>0</v>
      </c>
      <c r="AE29" s="409">
        <f t="shared" si="11"/>
        <v>28.765929988014022</v>
      </c>
      <c r="AF29" s="409">
        <f t="shared" si="12"/>
        <v>35.346595332426823</v>
      </c>
      <c r="AG29" s="409">
        <f t="shared" si="13"/>
        <v>32.428947148235579</v>
      </c>
      <c r="AH29" s="409">
        <f t="shared" si="14"/>
        <v>39.75</v>
      </c>
      <c r="AI29" s="10">
        <f t="shared" si="1"/>
        <v>544535.52514879196</v>
      </c>
    </row>
    <row r="30" spans="2:35" ht="15" hidden="1" customHeight="1" outlineLevel="1">
      <c r="B30" s="13">
        <f t="shared" si="2"/>
        <v>2028</v>
      </c>
      <c r="C30" s="410">
        <f>(CampusArea!$C30*$L$9+CampusArea!$D30*($L$17+$L$9)+CampusArea!$E30*$L$13)*1000/BTU_Electric_per_kWh</f>
        <v>161170.85923179929</v>
      </c>
      <c r="D30" s="778">
        <f>C30/CampusArea!G30*BTU_Electric_per_kWh/1000</f>
        <v>65.616446910854961</v>
      </c>
      <c r="E30" s="410">
        <f>(CampusArea!$C30*$L$10+CampusArea!$D30*($L$18+$L$10)+CampusArea!$E30*$L$14)</f>
        <v>858968.26357266307</v>
      </c>
      <c r="F30" s="778">
        <f>E30/CampusArea!G30</f>
        <v>102.49301867650489</v>
      </c>
      <c r="G30" s="410">
        <f>(CampusArea!$C30*$L$11+CampusArea!$D30*($L$19+$L$11)+CampusArea!$E30*$L$15)</f>
        <v>240492.20986150744</v>
      </c>
      <c r="H30" s="778">
        <f>G30/CampusArea!G30</f>
        <v>28.695789591071769</v>
      </c>
      <c r="I30" s="47">
        <f t="shared" si="0"/>
        <v>1649375.4451330698</v>
      </c>
      <c r="J30" s="50">
        <f>I30/CampusArea!G30</f>
        <v>196.80525517843165</v>
      </c>
      <c r="U30" s="348">
        <f t="shared" ref="U30:V45" si="16">U29+1</f>
        <v>2028</v>
      </c>
      <c r="V30" s="348">
        <f t="shared" si="16"/>
        <v>19</v>
      </c>
      <c r="W30" s="409">
        <f t="shared" si="3"/>
        <v>56.371455625912517</v>
      </c>
      <c r="X30" s="409">
        <f t="shared" si="4"/>
        <v>20.937528077211383</v>
      </c>
      <c r="Y30" s="409">
        <f t="shared" si="5"/>
        <v>35.190659147599582</v>
      </c>
      <c r="Z30" s="409">
        <f t="shared" si="6"/>
        <v>51.498525581853052</v>
      </c>
      <c r="AA30" s="409">
        <f t="shared" si="7"/>
        <v>409.58361091279949</v>
      </c>
      <c r="AB30" s="409">
        <f t="shared" si="8"/>
        <v>32.721342497311127</v>
      </c>
      <c r="AC30" s="409">
        <f t="shared" si="9"/>
        <v>54.996253923978237</v>
      </c>
      <c r="AD30" s="409">
        <f t="shared" si="10"/>
        <v>0</v>
      </c>
      <c r="AE30" s="409">
        <f t="shared" si="11"/>
        <v>28.880735680397265</v>
      </c>
      <c r="AF30" s="409">
        <f t="shared" si="12"/>
        <v>35.583547911350912</v>
      </c>
      <c r="AG30" s="409">
        <f t="shared" si="13"/>
        <v>32.747253793964468</v>
      </c>
      <c r="AH30" s="409">
        <f t="shared" si="14"/>
        <v>39.75</v>
      </c>
      <c r="AI30" s="10">
        <f t="shared" si="1"/>
        <v>549914.97169889917</v>
      </c>
    </row>
    <row r="31" spans="2:35" ht="15" hidden="1" customHeight="1" outlineLevel="1">
      <c r="B31" s="13">
        <f t="shared" si="2"/>
        <v>2029</v>
      </c>
      <c r="C31" s="410">
        <f>(CampusArea!$C31*$L$9+CampusArea!$D31*($L$17+$L$9)+CampusArea!$E31*$L$13)*1000/BTU_Electric_per_kWh</f>
        <v>162747.48483265133</v>
      </c>
      <c r="D31" s="778">
        <f>C31/CampusArea!G31*BTU_Electric_per_kWh/1000</f>
        <v>65.617665419241646</v>
      </c>
      <c r="E31" s="410">
        <f>(CampusArea!$C31*$L$10+CampusArea!$D31*($L$18+$L$10)+CampusArea!$E31*$L$14)</f>
        <v>867354.86270233872</v>
      </c>
      <c r="F31" s="778">
        <f>E31/CampusArea!G31</f>
        <v>102.4930186765049</v>
      </c>
      <c r="G31" s="410">
        <f>(CampusArea!$C31*$L$11+CampusArea!$D31*($L$19+$L$11)+CampusArea!$E31*$L$15)</f>
        <v>243556.74442411118</v>
      </c>
      <c r="H31" s="778">
        <f>G31/CampusArea!G31</f>
        <v>28.780453109209102</v>
      </c>
      <c r="I31" s="47">
        <f t="shared" si="0"/>
        <v>1666206.0253754563</v>
      </c>
      <c r="J31" s="50">
        <f>I31/CampusArea!G31</f>
        <v>196.89113720495567</v>
      </c>
      <c r="U31" s="348">
        <f t="shared" si="16"/>
        <v>2029</v>
      </c>
      <c r="V31" s="348">
        <f t="shared" si="16"/>
        <v>20</v>
      </c>
      <c r="W31" s="409">
        <f t="shared" si="3"/>
        <v>55.886658972128998</v>
      </c>
      <c r="X31" s="409">
        <f t="shared" si="4"/>
        <v>19.777722886519228</v>
      </c>
      <c r="Y31" s="409">
        <f t="shared" si="5"/>
        <v>33.5910837317996</v>
      </c>
      <c r="Z31" s="409">
        <f t="shared" si="6"/>
        <v>49.976978235116484</v>
      </c>
      <c r="AA31" s="409">
        <f t="shared" si="7"/>
        <v>425.74627366207278</v>
      </c>
      <c r="AB31" s="409">
        <f t="shared" si="8"/>
        <v>30.908789327956683</v>
      </c>
      <c r="AC31" s="409">
        <f t="shared" si="9"/>
        <v>52.496424200161044</v>
      </c>
      <c r="AD31" s="409">
        <f t="shared" si="10"/>
        <v>0</v>
      </c>
      <c r="AE31" s="409">
        <f t="shared" si="11"/>
        <v>28.995541372780536</v>
      </c>
      <c r="AF31" s="409">
        <f t="shared" si="12"/>
        <v>35.81434271871143</v>
      </c>
      <c r="AG31" s="409">
        <f t="shared" si="13"/>
        <v>33.065560439693357</v>
      </c>
      <c r="AH31" s="409">
        <f t="shared" si="14"/>
        <v>39.75</v>
      </c>
      <c r="AI31" s="10">
        <f t="shared" si="1"/>
        <v>555294.41824900638</v>
      </c>
    </row>
    <row r="32" spans="2:35" collapsed="1">
      <c r="B32" s="13">
        <f t="shared" si="2"/>
        <v>2030</v>
      </c>
      <c r="C32" s="410">
        <f>(CampusArea!$C32*$L$9+CampusArea!$D32*($L$17+$L$9)+CampusArea!$E32*$L$13)*1000/BTU_Electric_per_kWh</f>
        <v>164324.11043350337</v>
      </c>
      <c r="D32" s="778">
        <f>C32/CampusArea!G32*BTU_Electric_per_kWh/1000</f>
        <v>65.618860589367387</v>
      </c>
      <c r="E32" s="410">
        <f>(CampusArea!$C32*$L$10+CampusArea!$D32*($L$18+$L$10)+CampusArea!$E32*$L$14)</f>
        <v>875741.46183201415</v>
      </c>
      <c r="F32" s="778">
        <f>E32/CampusArea!G32</f>
        <v>102.49301867650492</v>
      </c>
      <c r="G32" s="410">
        <f>(CampusArea!$C32*$L$11+CampusArea!$D32*($L$19+$L$11)+CampusArea!$E32*$L$15)</f>
        <v>246621.27898671487</v>
      </c>
      <c r="H32" s="778">
        <f>G32/CampusArea!G32</f>
        <v>28.863495055185084</v>
      </c>
      <c r="I32" s="47">
        <f t="shared" si="0"/>
        <v>1683036.6056178424</v>
      </c>
      <c r="J32" s="50">
        <f>I32/CampusArea!G32</f>
        <v>196.97537432105736</v>
      </c>
      <c r="U32" s="348">
        <f t="shared" si="16"/>
        <v>2030</v>
      </c>
      <c r="V32" s="348">
        <f t="shared" si="16"/>
        <v>21</v>
      </c>
      <c r="W32" s="409">
        <f t="shared" si="3"/>
        <v>55.401862318345479</v>
      </c>
      <c r="X32" s="409">
        <f t="shared" si="4"/>
        <v>18.646568134113501</v>
      </c>
      <c r="Y32" s="409">
        <f t="shared" si="5"/>
        <v>31.991508315999624</v>
      </c>
      <c r="Z32" s="409">
        <f t="shared" si="6"/>
        <v>48.377402819316501</v>
      </c>
      <c r="AA32" s="409">
        <f t="shared" si="7"/>
        <v>441.90893641135335</v>
      </c>
      <c r="AB32" s="409">
        <f t="shared" si="8"/>
        <v>29.141011301131527</v>
      </c>
      <c r="AC32" s="409">
        <f t="shared" si="9"/>
        <v>49.996594476343851</v>
      </c>
      <c r="AD32" s="409">
        <f t="shared" si="10"/>
        <v>0</v>
      </c>
      <c r="AE32" s="409">
        <f t="shared" si="11"/>
        <v>29.110347065163779</v>
      </c>
      <c r="AF32" s="409">
        <f t="shared" si="12"/>
        <v>36.039436247582955</v>
      </c>
      <c r="AG32" s="409">
        <f t="shared" si="13"/>
        <v>33.383867085422239</v>
      </c>
      <c r="AH32" s="409">
        <f t="shared" si="14"/>
        <v>39.75</v>
      </c>
      <c r="AI32" s="10">
        <f t="shared" si="1"/>
        <v>560673.86479911348</v>
      </c>
    </row>
    <row r="33" spans="2:35" ht="15" hidden="1" customHeight="1" outlineLevel="1">
      <c r="B33" s="13">
        <f t="shared" si="2"/>
        <v>2031</v>
      </c>
      <c r="C33" s="410">
        <f>(CampusArea!$C33*$L$9+CampusArea!$D33*($L$17+$L$9)+CampusArea!$E33*$L$13)*1000/BTU_Electric_per_kWh</f>
        <v>165900.73603435536</v>
      </c>
      <c r="D33" s="778">
        <f>C33/CampusArea!G33*BTU_Electric_per_kWh/1000</f>
        <v>65.620033085373407</v>
      </c>
      <c r="E33" s="410">
        <f>(CampusArea!$C33*$L$10+CampusArea!$D33*($L$18+$L$10)+CampusArea!$E33*$L$14)</f>
        <v>884128.06096168945</v>
      </c>
      <c r="F33" s="778">
        <f>E33/CampusArea!G33</f>
        <v>102.4930186765049</v>
      </c>
      <c r="G33" s="410">
        <f>(CampusArea!$C33*$L$11+CampusArea!$D33*($L$19+$L$11)+CampusArea!$E33*$L$15)</f>
        <v>249685.81354931853</v>
      </c>
      <c r="H33" s="778">
        <f>G33/CampusArea!G33</f>
        <v>28.944961574381612</v>
      </c>
      <c r="I33" s="47">
        <f t="shared" si="0"/>
        <v>1699867.1858602285</v>
      </c>
      <c r="J33" s="50">
        <f>I33/CampusArea!G33</f>
        <v>197.05801333625993</v>
      </c>
      <c r="U33" s="348">
        <f t="shared" si="16"/>
        <v>2031</v>
      </c>
      <c r="V33" s="348">
        <f t="shared" si="16"/>
        <v>22</v>
      </c>
      <c r="W33" s="409">
        <f t="shared" si="3"/>
        <v>54.91706566456196</v>
      </c>
      <c r="X33" s="409">
        <f t="shared" si="4"/>
        <v>17.542039982172653</v>
      </c>
      <c r="Y33" s="409">
        <f t="shared" si="5"/>
        <v>30.391932900199642</v>
      </c>
      <c r="Z33" s="409">
        <f t="shared" si="6"/>
        <v>46.699799334453104</v>
      </c>
      <c r="AA33" s="409">
        <f t="shared" si="7"/>
        <v>458.07159916063392</v>
      </c>
      <c r="AB33" s="409">
        <f t="shared" si="8"/>
        <v>27.414845546306083</v>
      </c>
      <c r="AC33" s="409">
        <f t="shared" si="9"/>
        <v>47.496764752526659</v>
      </c>
      <c r="AD33" s="409">
        <f t="shared" si="10"/>
        <v>0</v>
      </c>
      <c r="AE33" s="409">
        <f t="shared" si="11"/>
        <v>29.225152757547022</v>
      </c>
      <c r="AF33" s="409">
        <f t="shared" si="12"/>
        <v>36.25923123047945</v>
      </c>
      <c r="AG33" s="409">
        <f t="shared" si="13"/>
        <v>33.702173731151127</v>
      </c>
      <c r="AH33" s="409">
        <f t="shared" si="14"/>
        <v>39.75</v>
      </c>
      <c r="AI33" s="10">
        <f t="shared" si="1"/>
        <v>566053.31134922046</v>
      </c>
    </row>
    <row r="34" spans="2:35" ht="15" hidden="1" customHeight="1" outlineLevel="1">
      <c r="B34" s="13">
        <f t="shared" si="2"/>
        <v>2032</v>
      </c>
      <c r="C34" s="410">
        <f>(CampusArea!$C34*$L$9+CampusArea!$D34*($L$17+$L$9)+CampusArea!$E34*$L$13)*1000/BTU_Electric_per_kWh</f>
        <v>167477.3616352074</v>
      </c>
      <c r="D34" s="778">
        <f>C34/CampusArea!G34*BTU_Electric_per_kWh/1000</f>
        <v>65.62118354643836</v>
      </c>
      <c r="E34" s="410">
        <f>(CampusArea!$C34*$L$10+CampusArea!$D34*($L$18+$L$10)+CampusArea!$E34*$L$14)</f>
        <v>892514.66009136476</v>
      </c>
      <c r="F34" s="778">
        <f>E34/CampusArea!G34</f>
        <v>102.4930186765049</v>
      </c>
      <c r="G34" s="410">
        <f>(CampusArea!$C34*$L$11+CampusArea!$D34*($L$19+$L$11)+CampusArea!$E34*$L$15)</f>
        <v>252750.34811192221</v>
      </c>
      <c r="H34" s="778">
        <f>G34/CampusArea!G34</f>
        <v>29.024897077742686</v>
      </c>
      <c r="I34" s="47">
        <f t="shared" si="0"/>
        <v>1716697.7661026146</v>
      </c>
      <c r="J34" s="50">
        <f>I34/CampusArea!G34</f>
        <v>197.13909930068596</v>
      </c>
      <c r="U34" s="348">
        <f t="shared" si="16"/>
        <v>2032</v>
      </c>
      <c r="V34" s="348">
        <f t="shared" si="16"/>
        <v>23</v>
      </c>
      <c r="W34" s="409">
        <f t="shared" si="3"/>
        <v>54.432269010778441</v>
      </c>
      <c r="X34" s="409">
        <f t="shared" si="4"/>
        <v>16.462342204030357</v>
      </c>
      <c r="Y34" s="409">
        <f t="shared" si="5"/>
        <v>28.792357484399659</v>
      </c>
      <c r="Z34" s="409">
        <f t="shared" si="6"/>
        <v>44.9441677805263</v>
      </c>
      <c r="AA34" s="409">
        <f t="shared" si="7"/>
        <v>474.23426190990722</v>
      </c>
      <c r="AB34" s="409">
        <f t="shared" si="8"/>
        <v>25.72748490555152</v>
      </c>
      <c r="AC34" s="409">
        <f t="shared" si="9"/>
        <v>44.996935028709466</v>
      </c>
      <c r="AD34" s="409">
        <f t="shared" si="10"/>
        <v>0</v>
      </c>
      <c r="AE34" s="409">
        <f t="shared" si="11"/>
        <v>29.339958449930265</v>
      </c>
      <c r="AF34" s="409">
        <f t="shared" si="12"/>
        <v>36.474085106556018</v>
      </c>
      <c r="AG34" s="409">
        <f t="shared" si="13"/>
        <v>34.020480376880016</v>
      </c>
      <c r="AH34" s="409">
        <f t="shared" si="14"/>
        <v>39.75</v>
      </c>
      <c r="AI34" s="10">
        <f t="shared" si="1"/>
        <v>571432.75789932767</v>
      </c>
    </row>
    <row r="35" spans="2:35" ht="15" hidden="1" customHeight="1" outlineLevel="1">
      <c r="B35" s="13">
        <f t="shared" si="2"/>
        <v>2033</v>
      </c>
      <c r="C35" s="410">
        <f>(CampusArea!$C35*$L$9+CampusArea!$D35*($L$17+$L$9)+CampusArea!$E35*$L$13)*1000/BTU_Electric_per_kWh</f>
        <v>169053.98723605942</v>
      </c>
      <c r="D35" s="778">
        <f>C35/CampusArea!G35*BTU_Electric_per_kWh/1000</f>
        <v>65.62231258794003</v>
      </c>
      <c r="E35" s="410">
        <f>(CampusArea!$C35*$L$10+CampusArea!$D35*($L$18+$L$10)+CampusArea!$E35*$L$14)</f>
        <v>900901.25922104018</v>
      </c>
      <c r="F35" s="778">
        <f>E35/CampusArea!G35</f>
        <v>102.49301867650492</v>
      </c>
      <c r="G35" s="410">
        <f>(CampusArea!$C35*$L$11+CampusArea!$D35*($L$19+$L$11)+CampusArea!$E35*$L$15)</f>
        <v>255814.8826745259</v>
      </c>
      <c r="H35" s="778">
        <f>G35/CampusArea!G35</f>
        <v>29.103344322504814</v>
      </c>
      <c r="I35" s="47">
        <f t="shared" si="0"/>
        <v>1733528.3463450009</v>
      </c>
      <c r="J35" s="50">
        <f>I35/CampusArea!G35</f>
        <v>197.21867558694976</v>
      </c>
      <c r="U35" s="348">
        <f t="shared" si="16"/>
        <v>2033</v>
      </c>
      <c r="V35" s="348">
        <f t="shared" si="16"/>
        <v>24</v>
      </c>
      <c r="W35" s="409">
        <f t="shared" si="3"/>
        <v>53.947472356994922</v>
      </c>
      <c r="X35" s="409">
        <f t="shared" si="4"/>
        <v>15.40587188138764</v>
      </c>
      <c r="Y35" s="409">
        <f t="shared" si="5"/>
        <v>27.192782068599676</v>
      </c>
      <c r="Z35" s="409">
        <f t="shared" si="6"/>
        <v>43.110508157536074</v>
      </c>
      <c r="AA35" s="409">
        <f t="shared" si="7"/>
        <v>490.39692465918779</v>
      </c>
      <c r="AB35" s="409">
        <f t="shared" si="8"/>
        <v>24.076424324858507</v>
      </c>
      <c r="AC35" s="409">
        <f t="shared" si="9"/>
        <v>42.497105304892273</v>
      </c>
      <c r="AD35" s="409">
        <f t="shared" si="10"/>
        <v>0</v>
      </c>
      <c r="AE35" s="409">
        <f t="shared" si="11"/>
        <v>29.454764142313508</v>
      </c>
      <c r="AF35" s="409">
        <f t="shared" si="12"/>
        <v>36.6843168476736</v>
      </c>
      <c r="AG35" s="409">
        <f t="shared" si="13"/>
        <v>34.338787022608905</v>
      </c>
      <c r="AH35" s="409">
        <f t="shared" si="14"/>
        <v>39.75</v>
      </c>
      <c r="AI35" s="10">
        <f t="shared" si="1"/>
        <v>576812.20444943476</v>
      </c>
    </row>
    <row r="36" spans="2:35" ht="15" hidden="1" customHeight="1" outlineLevel="1">
      <c r="B36" s="13">
        <f t="shared" si="2"/>
        <v>2034</v>
      </c>
      <c r="C36" s="410">
        <f>(CampusArea!$C36*$L$9+CampusArea!$D36*($L$17+$L$9)+CampusArea!$E36*$L$13)*1000/BTU_Electric_per_kWh</f>
        <v>170630.61283691146</v>
      </c>
      <c r="D36" s="778">
        <f>C36/CampusArea!G36*BTU_Electric_per_kWh/1000</f>
        <v>65.623420802553071</v>
      </c>
      <c r="E36" s="410">
        <f>(CampusArea!$C36*$L$10+CampusArea!$D36*($L$18+$L$10)+CampusArea!$E36*$L$14)</f>
        <v>909287.85835071537</v>
      </c>
      <c r="F36" s="778">
        <f>E36/CampusArea!G36</f>
        <v>102.49301867650489</v>
      </c>
      <c r="G36" s="410">
        <f>(CampusArea!$C36*$L$11+CampusArea!$D36*($L$19+$L$11)+CampusArea!$E36*$L$15)</f>
        <v>258879.41723712959</v>
      </c>
      <c r="H36" s="778">
        <f>G36/CampusArea!G36</f>
        <v>29.180344488459923</v>
      </c>
      <c r="I36" s="47">
        <f t="shared" si="0"/>
        <v>1750358.9265873868</v>
      </c>
      <c r="J36" s="50">
        <f>I36/CampusArea!G36</f>
        <v>197.29678396751788</v>
      </c>
      <c r="U36" s="348">
        <f t="shared" si="16"/>
        <v>2034</v>
      </c>
      <c r="V36" s="348">
        <f t="shared" si="16"/>
        <v>25</v>
      </c>
      <c r="W36" s="409">
        <f t="shared" si="3"/>
        <v>53.462675703211403</v>
      </c>
      <c r="X36" s="409">
        <f t="shared" si="4"/>
        <v>14.371191475246299</v>
      </c>
      <c r="Y36" s="409">
        <f t="shared" si="5"/>
        <v>25.593206652799694</v>
      </c>
      <c r="Z36" s="409">
        <f t="shared" si="6"/>
        <v>41.198820465482441</v>
      </c>
      <c r="AA36" s="409">
        <f t="shared" si="7"/>
        <v>506.55958740846836</v>
      </c>
      <c r="AB36" s="409">
        <f t="shared" si="8"/>
        <v>22.459417206360257</v>
      </c>
      <c r="AC36" s="409">
        <f t="shared" si="9"/>
        <v>39.99727558107508</v>
      </c>
      <c r="AD36" s="409">
        <f t="shared" si="10"/>
        <v>0</v>
      </c>
      <c r="AE36" s="409">
        <f t="shared" si="11"/>
        <v>29.56956983469675</v>
      </c>
      <c r="AF36" s="409">
        <f t="shared" si="12"/>
        <v>36.890212516128564</v>
      </c>
      <c r="AG36" s="409">
        <f t="shared" si="13"/>
        <v>34.657093668337794</v>
      </c>
      <c r="AH36" s="409">
        <f t="shared" si="14"/>
        <v>39.75</v>
      </c>
      <c r="AI36" s="10">
        <f t="shared" si="1"/>
        <v>582191.65099954186</v>
      </c>
    </row>
    <row r="37" spans="2:35" ht="15" hidden="1" customHeight="1" outlineLevel="1">
      <c r="B37" s="13">
        <f t="shared" si="2"/>
        <v>2035</v>
      </c>
      <c r="C37" s="410">
        <f>(CampusArea!$C37*$L$9+CampusArea!$D37*($L$17+$L$9)+CampusArea!$E37*$L$13)*1000/BTU_Electric_per_kWh</f>
        <v>172207.23843776347</v>
      </c>
      <c r="D37" s="778">
        <f>C37/CampusArea!G37*BTU_Electric_per_kWh/1000</f>
        <v>65.624508761286407</v>
      </c>
      <c r="E37" s="410">
        <f>(CampusArea!$C37*$L$10+CampusArea!$D37*($L$18+$L$10)+CampusArea!$E37*$L$14)</f>
        <v>917674.45748039079</v>
      </c>
      <c r="F37" s="778">
        <f>E37/CampusArea!G37</f>
        <v>102.4930186765049</v>
      </c>
      <c r="G37" s="410">
        <f>(CampusArea!$C37*$L$11+CampusArea!$D37*($L$19+$L$11)+CampusArea!$E37*$L$15)</f>
        <v>261943.95179973327</v>
      </c>
      <c r="H37" s="778">
        <f>G37/CampusArea!G37</f>
        <v>29.255937250036457</v>
      </c>
      <c r="I37" s="47">
        <f t="shared" si="0"/>
        <v>1767189.5068297731</v>
      </c>
      <c r="J37" s="50">
        <f>I37/CampusArea!G37</f>
        <v>197.37346468782778</v>
      </c>
      <c r="U37" s="348">
        <f t="shared" si="16"/>
        <v>2035</v>
      </c>
      <c r="V37" s="348">
        <f t="shared" si="16"/>
        <v>26</v>
      </c>
      <c r="W37" s="409">
        <f t="shared" si="3"/>
        <v>52.977879049427884</v>
      </c>
      <c r="X37" s="409">
        <f t="shared" si="4"/>
        <v>13.35700588022641</v>
      </c>
      <c r="Y37" s="409">
        <f t="shared" si="5"/>
        <v>23.993631236999718</v>
      </c>
      <c r="Z37" s="409">
        <f t="shared" si="6"/>
        <v>39.209104704365387</v>
      </c>
      <c r="AA37" s="409">
        <f t="shared" si="7"/>
        <v>522.72225015774893</v>
      </c>
      <c r="AB37" s="409">
        <f t="shared" si="8"/>
        <v>20.874439548629752</v>
      </c>
      <c r="AC37" s="409">
        <f t="shared" si="9"/>
        <v>37.497445857257887</v>
      </c>
      <c r="AD37" s="409">
        <f t="shared" si="10"/>
        <v>0</v>
      </c>
      <c r="AE37" s="409">
        <f t="shared" si="11"/>
        <v>29.684375527079993</v>
      </c>
      <c r="AF37" s="409">
        <f t="shared" si="12"/>
        <v>37.092029830716314</v>
      </c>
      <c r="AG37" s="409">
        <f t="shared" si="13"/>
        <v>34.975400314066682</v>
      </c>
      <c r="AH37" s="409">
        <f t="shared" si="14"/>
        <v>39.75</v>
      </c>
      <c r="AI37" s="10">
        <f t="shared" si="1"/>
        <v>587571.09754964896</v>
      </c>
    </row>
    <row r="38" spans="2:35" ht="15" hidden="1" customHeight="1" outlineLevel="1">
      <c r="B38" s="13">
        <f t="shared" si="2"/>
        <v>2036</v>
      </c>
      <c r="C38" s="410">
        <f>(CampusArea!$C38*$L$9+CampusArea!$D38*($L$17+$L$9)+CampusArea!$E38*$L$13)*1000/BTU_Electric_per_kWh</f>
        <v>173783.86403861555</v>
      </c>
      <c r="D38" s="778">
        <f>C38/CampusArea!G38*BTU_Electric_per_kWh/1000</f>
        <v>65.625577014464255</v>
      </c>
      <c r="E38" s="410">
        <f>(CampusArea!$C38*$L$10+CampusArea!$D38*($L$18+$L$10)+CampusArea!$E38*$L$14)</f>
        <v>926061.05661006644</v>
      </c>
      <c r="F38" s="778">
        <f>E38/CampusArea!G38</f>
        <v>102.49301867650492</v>
      </c>
      <c r="G38" s="410">
        <f>(CampusArea!$C38*$L$11+CampusArea!$D38*($L$19+$L$11)+CampusArea!$E38*$L$15)</f>
        <v>265008.48636233702</v>
      </c>
      <c r="H38" s="778">
        <f>G38/CampusArea!G38</f>
        <v>29.330160844463759</v>
      </c>
      <c r="I38" s="47">
        <f t="shared" si="0"/>
        <v>1784020.0870721596</v>
      </c>
      <c r="J38" s="50">
        <f>I38/CampusArea!G38</f>
        <v>197.44875653543292</v>
      </c>
      <c r="U38" s="348">
        <f t="shared" si="16"/>
        <v>2036</v>
      </c>
      <c r="V38" s="348">
        <f t="shared" si="16"/>
        <v>27</v>
      </c>
      <c r="W38" s="409">
        <f t="shared" si="3"/>
        <v>52.493082395644478</v>
      </c>
      <c r="X38" s="409">
        <f t="shared" si="4"/>
        <v>12.362143416745084</v>
      </c>
      <c r="Y38" s="409">
        <f t="shared" si="5"/>
        <v>22.394055821199736</v>
      </c>
      <c r="Z38" s="409">
        <f t="shared" si="6"/>
        <v>37.141360874184926</v>
      </c>
      <c r="AA38" s="409">
        <f t="shared" si="7"/>
        <v>538.88491290702223</v>
      </c>
      <c r="AB38" s="409">
        <f t="shared" si="8"/>
        <v>19.319660241099058</v>
      </c>
      <c r="AC38" s="409">
        <f t="shared" si="9"/>
        <v>34.997616133440687</v>
      </c>
      <c r="AD38" s="409">
        <f t="shared" si="10"/>
        <v>0</v>
      </c>
      <c r="AE38" s="409">
        <f t="shared" si="11"/>
        <v>29.799181219463236</v>
      </c>
      <c r="AF38" s="409">
        <f t="shared" si="12"/>
        <v>37.290001949182475</v>
      </c>
      <c r="AG38" s="409">
        <f t="shared" si="13"/>
        <v>35.293706959795571</v>
      </c>
      <c r="AH38" s="409">
        <f t="shared" si="14"/>
        <v>39.75</v>
      </c>
      <c r="AI38" s="10">
        <f t="shared" si="1"/>
        <v>592950.54409975628</v>
      </c>
    </row>
    <row r="39" spans="2:35" ht="15" hidden="1" customHeight="1" outlineLevel="1">
      <c r="B39" s="13">
        <f t="shared" si="2"/>
        <v>2037</v>
      </c>
      <c r="C39" s="410">
        <f>(CampusArea!$C39*$L$9+CampusArea!$D39*($L$17+$L$9)+CampusArea!$E39*$L$13)*1000/BTU_Electric_per_kWh</f>
        <v>175360.48963946756</v>
      </c>
      <c r="D39" s="778">
        <f>C39/CampusArea!G39*BTU_Electric_per_kWh/1000</f>
        <v>65.626626092654377</v>
      </c>
      <c r="E39" s="410">
        <f>(CampusArea!$C39*$L$10+CampusArea!$D39*($L$18+$L$10)+CampusArea!$E39*$L$14)</f>
        <v>934447.65573974175</v>
      </c>
      <c r="F39" s="778">
        <f>E39/CampusArea!G39</f>
        <v>102.49301867650492</v>
      </c>
      <c r="G39" s="410">
        <f>(CampusArea!$C39*$L$11+CampusArea!$D39*($L$19+$L$11)+CampusArea!$E39*$L$15)</f>
        <v>268073.02092494071</v>
      </c>
      <c r="H39" s="778">
        <f>G39/CampusArea!G39</f>
        <v>29.40305213626586</v>
      </c>
      <c r="I39" s="47">
        <f t="shared" si="0"/>
        <v>1800850.6673145457</v>
      </c>
      <c r="J39" s="50">
        <f>I39/CampusArea!G39</f>
        <v>197.52269690542514</v>
      </c>
      <c r="U39" s="348">
        <f t="shared" si="16"/>
        <v>2037</v>
      </c>
      <c r="V39" s="348">
        <f t="shared" si="16"/>
        <v>28</v>
      </c>
      <c r="W39" s="409">
        <f t="shared" si="3"/>
        <v>52.008285741860959</v>
      </c>
      <c r="X39" s="409">
        <f t="shared" si="4"/>
        <v>11.385539965284892</v>
      </c>
      <c r="Y39" s="409">
        <f t="shared" si="5"/>
        <v>20.794480405399753</v>
      </c>
      <c r="Z39" s="409">
        <f t="shared" si="6"/>
        <v>34.99558897494105</v>
      </c>
      <c r="AA39" s="409">
        <f t="shared" si="7"/>
        <v>555.0475756563028</v>
      </c>
      <c r="AB39" s="409">
        <f t="shared" si="8"/>
        <v>17.793416268962432</v>
      </c>
      <c r="AC39" s="409">
        <f t="shared" si="9"/>
        <v>32.497786409623501</v>
      </c>
      <c r="AD39" s="409">
        <f t="shared" si="10"/>
        <v>0</v>
      </c>
      <c r="AE39" s="409">
        <f t="shared" si="11"/>
        <v>29.913986911846507</v>
      </c>
      <c r="AF39" s="409">
        <f t="shared" si="12"/>
        <v>37.484340625415555</v>
      </c>
      <c r="AG39" s="409">
        <f t="shared" si="13"/>
        <v>35.612013605524453</v>
      </c>
      <c r="AH39" s="409">
        <f t="shared" si="14"/>
        <v>39.75</v>
      </c>
      <c r="AI39" s="10">
        <f t="shared" si="1"/>
        <v>598329.99064986338</v>
      </c>
    </row>
    <row r="40" spans="2:35" ht="15" hidden="1" customHeight="1" outlineLevel="1">
      <c r="B40" s="13">
        <f t="shared" si="2"/>
        <v>2038</v>
      </c>
      <c r="C40" s="410">
        <f>(CampusArea!$C40*$L$9+CampusArea!$D40*($L$17+$L$9)+CampusArea!$E40*$L$13)*1000/BTU_Electric_per_kWh</f>
        <v>176937.1152403196</v>
      </c>
      <c r="D40" s="778">
        <f>C40/CampusArea!G40*BTU_Electric_per_kWh/1000</f>
        <v>65.627656507546703</v>
      </c>
      <c r="E40" s="410">
        <f>(CampusArea!$C40*$L$10+CampusArea!$D40*($L$18+$L$10)+CampusArea!$E40*$L$14)</f>
        <v>942834.25486941705</v>
      </c>
      <c r="F40" s="778">
        <f>E40/CampusArea!G40</f>
        <v>102.4930186765049</v>
      </c>
      <c r="G40" s="410">
        <f>(CampusArea!$C40*$L$11+CampusArea!$D40*($L$19+$L$11)+CampusArea!$E40*$L$15)</f>
        <v>271137.55548754439</v>
      </c>
      <c r="H40" s="778">
        <f>G40/CampusArea!G40</f>
        <v>29.47464667831321</v>
      </c>
      <c r="I40" s="47">
        <f t="shared" si="0"/>
        <v>1817681.2475569318</v>
      </c>
      <c r="J40" s="50">
        <f>I40/CampusArea!G40</f>
        <v>197.59532186236481</v>
      </c>
      <c r="U40" s="348">
        <f t="shared" si="16"/>
        <v>2038</v>
      </c>
      <c r="V40" s="348">
        <f t="shared" si="16"/>
        <v>29</v>
      </c>
      <c r="W40" s="409">
        <f t="shared" si="3"/>
        <v>51.52348908807744</v>
      </c>
      <c r="X40" s="409">
        <f t="shared" si="4"/>
        <v>10.426225630323266</v>
      </c>
      <c r="Y40" s="409">
        <f t="shared" si="5"/>
        <v>19.19490498959977</v>
      </c>
      <c r="Z40" s="409">
        <f t="shared" si="6"/>
        <v>32.77178900663376</v>
      </c>
      <c r="AA40" s="409">
        <f t="shared" si="7"/>
        <v>571.21023840558337</v>
      </c>
      <c r="AB40" s="409">
        <f t="shared" si="8"/>
        <v>16.294191871454643</v>
      </c>
      <c r="AC40" s="409">
        <f t="shared" si="9"/>
        <v>29.997956685806315</v>
      </c>
      <c r="AD40" s="409">
        <f t="shared" si="10"/>
        <v>0</v>
      </c>
      <c r="AE40" s="409">
        <f t="shared" si="11"/>
        <v>30.02879260422975</v>
      </c>
      <c r="AF40" s="409">
        <f t="shared" si="12"/>
        <v>37.675238863251103</v>
      </c>
      <c r="AG40" s="409">
        <f t="shared" si="13"/>
        <v>35.930320251253349</v>
      </c>
      <c r="AH40" s="409">
        <f t="shared" si="14"/>
        <v>39.75</v>
      </c>
      <c r="AI40" s="10">
        <f t="shared" si="1"/>
        <v>603709.43719997047</v>
      </c>
    </row>
    <row r="41" spans="2:35" ht="15" hidden="1" customHeight="1" outlineLevel="1">
      <c r="B41" s="13">
        <f t="shared" si="2"/>
        <v>2039</v>
      </c>
      <c r="C41" s="410">
        <f>(CampusArea!$C41*$L$9+CampusArea!$D41*($L$17+$L$9)+CampusArea!$E41*$L$13)*1000/BTU_Electric_per_kWh</f>
        <v>178513.74084117162</v>
      </c>
      <c r="D41" s="778">
        <f>C41/CampusArea!G41*BTU_Electric_per_kWh/1000</f>
        <v>65.628668752785558</v>
      </c>
      <c r="E41" s="410">
        <f>(CampusArea!$C41*$L$10+CampusArea!$D41*($L$18+$L$10)+CampusArea!$E41*$L$14)</f>
        <v>951220.85399909248</v>
      </c>
      <c r="F41" s="778">
        <f>E41/CampusArea!G41</f>
        <v>102.49301867650492</v>
      </c>
      <c r="G41" s="410">
        <f>(CampusArea!$C41*$L$11+CampusArea!$D41*($L$19+$L$11)+CampusArea!$E41*$L$15)</f>
        <v>274202.09005014808</v>
      </c>
      <c r="H41" s="778">
        <f>G41/CampusArea!G41</f>
        <v>29.544978769644722</v>
      </c>
      <c r="I41" s="47">
        <f t="shared" si="0"/>
        <v>1834511.8277993181</v>
      </c>
      <c r="J41" s="50">
        <f>I41/CampusArea!G41</f>
        <v>197.66666619893519</v>
      </c>
      <c r="U41" s="348">
        <f t="shared" si="16"/>
        <v>2039</v>
      </c>
      <c r="V41" s="348">
        <f t="shared" si="16"/>
        <v>30</v>
      </c>
      <c r="W41" s="409">
        <f t="shared" si="3"/>
        <v>51.038692434293921</v>
      </c>
      <c r="X41" s="409">
        <f t="shared" si="4"/>
        <v>9.4833134577587899</v>
      </c>
      <c r="Y41" s="409">
        <f t="shared" si="5"/>
        <v>17.595329573799795</v>
      </c>
      <c r="Z41" s="409">
        <f t="shared" si="6"/>
        <v>30.469960969263056</v>
      </c>
      <c r="AA41" s="409">
        <f t="shared" si="7"/>
        <v>587.37290115486394</v>
      </c>
      <c r="AB41" s="409">
        <f t="shared" si="8"/>
        <v>14.820600909351199</v>
      </c>
      <c r="AC41" s="409">
        <f t="shared" si="9"/>
        <v>27.498126961989115</v>
      </c>
      <c r="AD41" s="409">
        <f t="shared" si="10"/>
        <v>0</v>
      </c>
      <c r="AE41" s="409">
        <f t="shared" si="11"/>
        <v>30.143598296612993</v>
      </c>
      <c r="AF41" s="409">
        <f t="shared" si="12"/>
        <v>37.86287316164136</v>
      </c>
      <c r="AG41" s="409">
        <f t="shared" si="13"/>
        <v>36.248626896982231</v>
      </c>
      <c r="AH41" s="409">
        <f t="shared" si="14"/>
        <v>39.75</v>
      </c>
      <c r="AI41" s="10">
        <f t="shared" si="1"/>
        <v>609088.88375007757</v>
      </c>
    </row>
    <row r="42" spans="2:35" collapsed="1">
      <c r="B42" s="13">
        <f t="shared" si="2"/>
        <v>2040</v>
      </c>
      <c r="C42" s="410">
        <f>(CampusArea!$C42*$L$9+CampusArea!$D42*($L$17+$L$9)+CampusArea!$E42*$L$13)*1000/BTU_Electric_per_kWh</f>
        <v>180090.36644202363</v>
      </c>
      <c r="D42" s="778">
        <f>C42/CampusArea!G42*BTU_Electric_per_kWh/1000</f>
        <v>65.629663304758239</v>
      </c>
      <c r="E42" s="410">
        <f>(CampusArea!$C42*$L$10+CampusArea!$D42*($L$18+$L$10)+CampusArea!$E42*$L$14)</f>
        <v>959607.45312876778</v>
      </c>
      <c r="F42" s="778">
        <f>E42/CampusArea!G42</f>
        <v>102.4930186765049</v>
      </c>
      <c r="G42" s="410">
        <f>(CampusArea!$C42*$L$11+CampusArea!$D42*($L$19+$L$11)+CampusArea!$E42*$L$15)</f>
        <v>277266.62461275177</v>
      </c>
      <c r="H42" s="778">
        <f>G42/CampusArea!G42</f>
        <v>29.614081510257822</v>
      </c>
      <c r="I42" s="47">
        <f t="shared" si="0"/>
        <v>1851342.4080417044</v>
      </c>
      <c r="J42" s="50">
        <f>I42/CampusArea!G42</f>
        <v>197.736763491521</v>
      </c>
      <c r="L42" s="10" t="s">
        <v>644</v>
      </c>
      <c r="U42" s="348">
        <f t="shared" si="16"/>
        <v>2040</v>
      </c>
      <c r="V42" s="348">
        <f t="shared" si="16"/>
        <v>31</v>
      </c>
      <c r="W42" s="409">
        <f t="shared" si="3"/>
        <v>50.553895780510402</v>
      </c>
      <c r="X42" s="409">
        <f t="shared" si="4"/>
        <v>8.5559898321045935</v>
      </c>
      <c r="Y42" s="409">
        <f t="shared" si="5"/>
        <v>15.995754157999812</v>
      </c>
      <c r="Z42" s="409">
        <f t="shared" si="6"/>
        <v>28.090104862828937</v>
      </c>
      <c r="AA42" s="409">
        <f t="shared" si="7"/>
        <v>603.53556390413723</v>
      </c>
      <c r="AB42" s="409">
        <f t="shared" si="8"/>
        <v>13.371371857622535</v>
      </c>
      <c r="AC42" s="409">
        <f t="shared" si="9"/>
        <v>24.998297238171915</v>
      </c>
      <c r="AD42" s="409">
        <f t="shared" si="10"/>
        <v>0</v>
      </c>
      <c r="AE42" s="409">
        <f t="shared" si="11"/>
        <v>30.258403988996236</v>
      </c>
      <c r="AF42" s="409">
        <f t="shared" si="12"/>
        <v>38.047405425560605</v>
      </c>
      <c r="AG42" s="409">
        <f t="shared" si="13"/>
        <v>36.566933542711119</v>
      </c>
      <c r="AH42" s="409">
        <f t="shared" si="14"/>
        <v>39.75</v>
      </c>
      <c r="AI42" s="10">
        <f t="shared" si="1"/>
        <v>614468.33030018467</v>
      </c>
    </row>
    <row r="43" spans="2:35" ht="15" hidden="1" customHeight="1" outlineLevel="1">
      <c r="B43" s="13">
        <f t="shared" si="2"/>
        <v>2041</v>
      </c>
      <c r="C43" s="410">
        <f>(CampusArea!$C43*$L$9+CampusArea!$D43*($L$17+$L$9)+CampusArea!$E43*$L$13)*1000/BTU_Electric_per_kWh</f>
        <v>181666.99204287567</v>
      </c>
      <c r="D43" s="778">
        <f>C43/CampusArea!G43*BTU_Electric_per_kWh/1000</f>
        <v>65.6306406233426</v>
      </c>
      <c r="E43" s="410">
        <f>(CampusArea!$C43*$L$10+CampusArea!$D43*($L$18+$L$10)+CampusArea!$E43*$L$14)</f>
        <v>967994.0522584432</v>
      </c>
      <c r="F43" s="778">
        <f>E43/CampusArea!G43</f>
        <v>102.4930186765049</v>
      </c>
      <c r="G43" s="410">
        <f>(CampusArea!$C43*$L$11+CampusArea!$D43*($L$19+$L$11)+CampusArea!$E43*$L$15)</f>
        <v>280331.15917535545</v>
      </c>
      <c r="H43" s="778">
        <f>G43/CampusArea!G43</f>
        <v>29.681986853050276</v>
      </c>
      <c r="I43" s="47">
        <f t="shared" si="0"/>
        <v>1868172.9882840905</v>
      </c>
      <c r="J43" s="50">
        <f>I43/CampusArea!G43</f>
        <v>197.80564615289776</v>
      </c>
      <c r="U43" s="348">
        <f t="shared" si="16"/>
        <v>2041</v>
      </c>
      <c r="V43" s="348">
        <f t="shared" si="16"/>
        <v>32</v>
      </c>
      <c r="W43" s="409">
        <f t="shared" si="3"/>
        <v>50.069099126726883</v>
      </c>
      <c r="X43" s="409">
        <f t="shared" si="4"/>
        <v>7.6435062575387178</v>
      </c>
      <c r="Y43" s="409">
        <f t="shared" si="5"/>
        <v>14.39617874219983</v>
      </c>
      <c r="Z43" s="409">
        <f t="shared" si="6"/>
        <v>25.632220687331404</v>
      </c>
      <c r="AA43" s="409">
        <f t="shared" si="7"/>
        <v>619.69822665341781</v>
      </c>
      <c r="AB43" s="409">
        <f t="shared" si="8"/>
        <v>11.945334960791413</v>
      </c>
      <c r="AC43" s="409">
        <f t="shared" si="9"/>
        <v>22.498467514354729</v>
      </c>
      <c r="AD43" s="409">
        <f t="shared" si="10"/>
        <v>0</v>
      </c>
      <c r="AE43" s="409">
        <f t="shared" si="11"/>
        <v>30.373209681379478</v>
      </c>
      <c r="AF43" s="409">
        <f t="shared" si="12"/>
        <v>38.22898460153057</v>
      </c>
      <c r="AG43" s="409">
        <f t="shared" si="13"/>
        <v>36.885240188440008</v>
      </c>
      <c r="AH43" s="409">
        <f t="shared" si="14"/>
        <v>39.75</v>
      </c>
      <c r="AI43" s="10">
        <f t="shared" si="1"/>
        <v>619847.77685029188</v>
      </c>
    </row>
    <row r="44" spans="2:35" ht="15" hidden="1" customHeight="1" outlineLevel="1">
      <c r="B44" s="13">
        <f t="shared" si="2"/>
        <v>2042</v>
      </c>
      <c r="C44" s="410">
        <f>(CampusArea!$C44*$L$9+CampusArea!$D44*($L$17+$L$9)+CampusArea!$E44*$L$13)*1000/BTU_Electric_per_kWh</f>
        <v>183243.61764372772</v>
      </c>
      <c r="D44" s="778">
        <f>C44/CampusArea!G44*BTU_Electric_per_kWh/1000</f>
        <v>65.631601152615985</v>
      </c>
      <c r="E44" s="410">
        <f>(CampusArea!$C44*$L$10+CampusArea!$D44*($L$18+$L$10)+CampusArea!$E44*$L$14)</f>
        <v>976380.65138811851</v>
      </c>
      <c r="F44" s="778">
        <f>E44/CampusArea!G44</f>
        <v>102.49301867650489</v>
      </c>
      <c r="G44" s="410">
        <f>(CampusArea!$C44*$L$11+CampusArea!$D44*($L$19+$L$11)+CampusArea!$E44*$L$15)</f>
        <v>283395.69373795914</v>
      </c>
      <c r="H44" s="778">
        <f>G44/CampusArea!G44</f>
        <v>29.748725653085145</v>
      </c>
      <c r="I44" s="47">
        <f t="shared" si="0"/>
        <v>1885003.5685264766</v>
      </c>
      <c r="J44" s="50">
        <f>I44/CampusArea!G44</f>
        <v>197.87334548220602</v>
      </c>
      <c r="U44" s="348">
        <f t="shared" si="16"/>
        <v>2042</v>
      </c>
      <c r="V44" s="348">
        <f>V43+1</f>
        <v>33</v>
      </c>
      <c r="W44" s="409">
        <f t="shared" si="3"/>
        <v>49.584302472943364</v>
      </c>
      <c r="X44" s="409">
        <f t="shared" si="4"/>
        <v>6.7451722866024753</v>
      </c>
      <c r="Y44" s="409">
        <f t="shared" si="5"/>
        <v>12.796603326399847</v>
      </c>
      <c r="Z44" s="409">
        <f t="shared" si="6"/>
        <v>23.096308442770457</v>
      </c>
      <c r="AA44" s="409">
        <f t="shared" si="7"/>
        <v>635.86088940269838</v>
      </c>
      <c r="AB44" s="409">
        <f t="shared" si="8"/>
        <v>10.541411181844097</v>
      </c>
      <c r="AC44" s="409">
        <f t="shared" si="9"/>
        <v>19.998637790537543</v>
      </c>
      <c r="AD44" s="409">
        <f t="shared" si="10"/>
        <v>0</v>
      </c>
      <c r="AE44" s="409">
        <f t="shared" si="11"/>
        <v>30.488015373762721</v>
      </c>
      <c r="AF44" s="409">
        <f t="shared" si="12"/>
        <v>38.40774808477029</v>
      </c>
      <c r="AG44" s="409">
        <f t="shared" si="13"/>
        <v>37.203546834168897</v>
      </c>
      <c r="AH44" s="409">
        <f t="shared" si="14"/>
        <v>39.75</v>
      </c>
      <c r="AI44" s="10">
        <f t="shared" si="1"/>
        <v>625227.22340039897</v>
      </c>
    </row>
    <row r="45" spans="2:35" ht="15" hidden="1" customHeight="1" outlineLevel="1">
      <c r="B45" s="13">
        <f t="shared" si="2"/>
        <v>2043</v>
      </c>
      <c r="C45" s="410">
        <f>(CampusArea!$C45*$L$9+CampusArea!$D45*($L$17+$L$9)+CampusArea!$E45*$L$13)*1000/BTU_Electric_per_kWh</f>
        <v>184820.24324457973</v>
      </c>
      <c r="D45" s="778">
        <f>C45/CampusArea!G45*BTU_Electric_per_kWh/1000</f>
        <v>65.632545321528156</v>
      </c>
      <c r="E45" s="410">
        <f>(CampusArea!$C45*$L$10+CampusArea!$D45*($L$18+$L$10)+CampusArea!$E45*$L$14)</f>
        <v>984767.25051779393</v>
      </c>
      <c r="F45" s="778">
        <f>E45/CampusArea!G45</f>
        <v>102.4930186765049</v>
      </c>
      <c r="G45" s="410">
        <f>(CampusArea!$C45*$L$11+CampusArea!$D45*($L$19+$L$11)+CampusArea!$E45*$L$15)</f>
        <v>286460.22830056283</v>
      </c>
      <c r="H45" s="778">
        <f>G45/CampusArea!G45</f>
        <v>29.814327714338354</v>
      </c>
      <c r="I45" s="47">
        <f t="shared" si="0"/>
        <v>1901834.1487688629</v>
      </c>
      <c r="J45" s="50">
        <f>I45/CampusArea!G45</f>
        <v>197.93989171237143</v>
      </c>
      <c r="U45" s="348">
        <f t="shared" si="16"/>
        <v>2043</v>
      </c>
      <c r="V45" s="348">
        <f t="shared" si="16"/>
        <v>34</v>
      </c>
      <c r="W45" s="409">
        <f t="shared" si="3"/>
        <v>49.099505819159845</v>
      </c>
      <c r="X45" s="409">
        <f t="shared" si="4"/>
        <v>5.8603494065573827</v>
      </c>
      <c r="Y45" s="409">
        <f t="shared" si="5"/>
        <v>11.197027910599864</v>
      </c>
      <c r="Z45" s="409">
        <f t="shared" si="6"/>
        <v>20.482368129146103</v>
      </c>
      <c r="AA45" s="409">
        <f t="shared" si="7"/>
        <v>652.02355215197167</v>
      </c>
      <c r="AB45" s="409">
        <f t="shared" si="8"/>
        <v>9.1586026477781814</v>
      </c>
      <c r="AC45" s="409">
        <f t="shared" si="9"/>
        <v>17.498808066720343</v>
      </c>
      <c r="AD45" s="409">
        <f t="shared" si="10"/>
        <v>0</v>
      </c>
      <c r="AE45" s="409">
        <f t="shared" si="11"/>
        <v>30.602821066145964</v>
      </c>
      <c r="AF45" s="409">
        <f t="shared" si="12"/>
        <v>38.583822935777221</v>
      </c>
      <c r="AG45" s="409">
        <f t="shared" si="13"/>
        <v>37.521853479897786</v>
      </c>
      <c r="AH45" s="409">
        <f t="shared" si="14"/>
        <v>39.75</v>
      </c>
      <c r="AI45" s="10">
        <f t="shared" si="1"/>
        <v>630606.66995050607</v>
      </c>
    </row>
    <row r="46" spans="2:35" ht="15" hidden="1" customHeight="1" outlineLevel="1">
      <c r="B46" s="13">
        <f t="shared" si="2"/>
        <v>2044</v>
      </c>
      <c r="C46" s="410">
        <f>(CampusArea!$C46*$L$9+CampusArea!$D46*($L$17+$L$9)+CampusArea!$E46*$L$13)*1000/BTU_Electric_per_kWh</f>
        <v>186396.86884543177</v>
      </c>
      <c r="D46" s="778">
        <f>C46/CampusArea!G46*BTU_Electric_per_kWh/1000</f>
        <v>65.633473544539939</v>
      </c>
      <c r="E46" s="410">
        <f>(CampusArea!$C46*$L$10+CampusArea!$D46*($L$18+$L$10)+CampusArea!$E46*$L$14)</f>
        <v>993153.84964746935</v>
      </c>
      <c r="F46" s="778">
        <f>E46/CampusArea!G46</f>
        <v>102.4930186765049</v>
      </c>
      <c r="G46" s="410">
        <f>(CampusArea!$C46*$L$11+CampusArea!$D46*($L$19+$L$11)+CampusArea!$E46*$L$15)</f>
        <v>289524.76286316651</v>
      </c>
      <c r="H46" s="778">
        <f>G46/CampusArea!G46</f>
        <v>29.878821834077751</v>
      </c>
      <c r="I46" s="47">
        <f t="shared" si="0"/>
        <v>1918664.7290112493</v>
      </c>
      <c r="J46" s="50">
        <f>I46/CampusArea!G46</f>
        <v>198.00531405512262</v>
      </c>
      <c r="U46" s="348">
        <f t="shared" ref="U46:V52" si="17">U45+1</f>
        <v>2044</v>
      </c>
      <c r="V46" s="348">
        <f t="shared" si="17"/>
        <v>35</v>
      </c>
      <c r="W46" s="409">
        <f t="shared" si="3"/>
        <v>48.614709165376439</v>
      </c>
      <c r="X46" s="409">
        <f t="shared" si="4"/>
        <v>4.9884457294999294</v>
      </c>
      <c r="Y46" s="409">
        <f t="shared" si="5"/>
        <v>9.5974524947998887</v>
      </c>
      <c r="Z46" s="409">
        <f t="shared" si="6"/>
        <v>17.790399746458327</v>
      </c>
      <c r="AA46" s="409">
        <f t="shared" si="7"/>
        <v>668.18621490125224</v>
      </c>
      <c r="AB46" s="409">
        <f t="shared" si="8"/>
        <v>7.7959843512700076</v>
      </c>
      <c r="AC46" s="409">
        <f t="shared" si="9"/>
        <v>14.998978342903143</v>
      </c>
      <c r="AD46" s="409">
        <f t="shared" si="10"/>
        <v>0</v>
      </c>
      <c r="AE46" s="409">
        <f t="shared" si="11"/>
        <v>30.717626758529207</v>
      </c>
      <c r="AF46" s="409">
        <f t="shared" si="12"/>
        <v>38.757326936964958</v>
      </c>
      <c r="AG46" s="409">
        <f t="shared" si="13"/>
        <v>37.840160125626667</v>
      </c>
      <c r="AH46" s="409">
        <f t="shared" si="14"/>
        <v>39.75</v>
      </c>
      <c r="AI46" s="10">
        <f t="shared" si="1"/>
        <v>635986.11650061316</v>
      </c>
    </row>
    <row r="47" spans="2:35" ht="15" hidden="1" customHeight="1" outlineLevel="1">
      <c r="B47" s="13">
        <f t="shared" si="2"/>
        <v>2045</v>
      </c>
      <c r="C47" s="410">
        <f>(CampusArea!$C47*$L$9+CampusArea!$D47*($L$17+$L$9)+CampusArea!$E47*$L$13)*1000/BTU_Electric_per_kWh</f>
        <v>187973.49444628376</v>
      </c>
      <c r="D47" s="778">
        <f>C47/CampusArea!G47*BTU_Electric_per_kWh/1000</f>
        <v>65.634386222229878</v>
      </c>
      <c r="E47" s="410">
        <f>(CampusArea!$C47*$L$10+CampusArea!$D47*($L$18+$L$10)+CampusArea!$E47*$L$14)</f>
        <v>1001540.4487771448</v>
      </c>
      <c r="F47" s="778">
        <f>E47/CampusArea!G47</f>
        <v>102.49301867650492</v>
      </c>
      <c r="G47" s="410">
        <f>(CampusArea!$C47*$L$11+CampusArea!$D47*($L$19+$L$11)+CampusArea!$E47*$L$15)</f>
        <v>292589.2974257702</v>
      </c>
      <c r="H47" s="778">
        <f>G47/CampusArea!G47</f>
        <v>29.942235845012487</v>
      </c>
      <c r="I47" s="47">
        <f t="shared" si="0"/>
        <v>1935495.3092536354</v>
      </c>
      <c r="J47" s="50">
        <f>I47/CampusArea!G47</f>
        <v>198.0696407437473</v>
      </c>
      <c r="U47" s="348">
        <f t="shared" si="17"/>
        <v>2045</v>
      </c>
      <c r="V47" s="348">
        <f t="shared" si="17"/>
        <v>36</v>
      </c>
      <c r="W47" s="409">
        <f t="shared" si="3"/>
        <v>48.12991251159292</v>
      </c>
      <c r="X47" s="409">
        <f t="shared" si="4"/>
        <v>4.1289113607357137</v>
      </c>
      <c r="Y47" s="409">
        <f t="shared" si="5"/>
        <v>7.9978770789999061</v>
      </c>
      <c r="Z47" s="409">
        <f t="shared" si="6"/>
        <v>15.020403294707137</v>
      </c>
      <c r="AA47" s="409">
        <f t="shared" si="7"/>
        <v>684.34887765053281</v>
      </c>
      <c r="AB47" s="409">
        <f t="shared" si="8"/>
        <v>6.4526969123313194</v>
      </c>
      <c r="AC47" s="409">
        <f t="shared" si="9"/>
        <v>12.499148619085958</v>
      </c>
      <c r="AD47" s="409">
        <f t="shared" si="10"/>
        <v>0</v>
      </c>
      <c r="AE47" s="409">
        <f t="shared" si="11"/>
        <v>30.832432450912478</v>
      </c>
      <c r="AF47" s="409">
        <f t="shared" si="12"/>
        <v>38.928369514331152</v>
      </c>
      <c r="AG47" s="409">
        <f t="shared" si="13"/>
        <v>38.158466771355563</v>
      </c>
      <c r="AH47" s="409">
        <f t="shared" si="14"/>
        <v>39.75</v>
      </c>
      <c r="AI47" s="10">
        <f t="shared" si="1"/>
        <v>641365.56305072026</v>
      </c>
    </row>
    <row r="48" spans="2:35" ht="15" hidden="1" customHeight="1" outlineLevel="1">
      <c r="B48" s="13">
        <f t="shared" si="2"/>
        <v>2046</v>
      </c>
      <c r="C48" s="410">
        <f>(CampusArea!$C48*$L$9+CampusArea!$D48*($L$17+$L$9)+CampusArea!$E48*$L$13)*1000/BTU_Electric_per_kWh</f>
        <v>189550.12004713583</v>
      </c>
      <c r="D48" s="778">
        <f>C48/CampusArea!G48*BTU_Electric_per_kWh/1000</f>
        <v>65.63528374187068</v>
      </c>
      <c r="E48" s="410">
        <f>(CampusArea!$C48*$L$10+CampusArea!$D48*($L$18+$L$10)+CampusArea!$E48*$L$14)</f>
        <v>1009927.04790682</v>
      </c>
      <c r="F48" s="778">
        <f>E48/CampusArea!G48</f>
        <v>102.4930186765049</v>
      </c>
      <c r="G48" s="410">
        <f>(CampusArea!$C48*$L$11+CampusArea!$D48*($L$19+$L$11)+CampusArea!$E48*$L$15)</f>
        <v>295653.83198837389</v>
      </c>
      <c r="H48" s="778">
        <f>G48/CampusArea!G48</f>
        <v>30.004596655342255</v>
      </c>
      <c r="I48" s="47">
        <f t="shared" si="0"/>
        <v>1952325.8894960214</v>
      </c>
      <c r="J48" s="50">
        <f>I48/CampusArea!G48</f>
        <v>198.13289907371785</v>
      </c>
      <c r="U48" s="348">
        <f t="shared" si="17"/>
        <v>2046</v>
      </c>
      <c r="V48" s="348">
        <f t="shared" si="17"/>
        <v>37</v>
      </c>
      <c r="W48" s="409">
        <f t="shared" si="3"/>
        <v>47.645115857809401</v>
      </c>
      <c r="X48" s="409">
        <f t="shared" si="4"/>
        <v>3.2812343424356811</v>
      </c>
      <c r="Y48" s="409">
        <f t="shared" si="5"/>
        <v>6.3983016631999234</v>
      </c>
      <c r="Z48" s="409">
        <f t="shared" si="6"/>
        <v>12.17237877389254</v>
      </c>
      <c r="AA48" s="409">
        <f t="shared" si="7"/>
        <v>700.51154039981338</v>
      </c>
      <c r="AB48" s="409">
        <f t="shared" si="8"/>
        <v>5.1279402390216262</v>
      </c>
      <c r="AC48" s="409">
        <f t="shared" si="9"/>
        <v>9.9993188952687717</v>
      </c>
      <c r="AD48" s="409">
        <f t="shared" si="10"/>
        <v>0</v>
      </c>
      <c r="AE48" s="409">
        <f t="shared" si="11"/>
        <v>30.947238143295721</v>
      </c>
      <c r="AF48" s="409">
        <f t="shared" si="12"/>
        <v>39.097052544647426</v>
      </c>
      <c r="AG48" s="409">
        <f t="shared" si="13"/>
        <v>38.476773417084445</v>
      </c>
      <c r="AH48" s="409">
        <f t="shared" si="14"/>
        <v>39.75</v>
      </c>
      <c r="AI48" s="10">
        <f t="shared" si="1"/>
        <v>646745.00960082747</v>
      </c>
    </row>
    <row r="49" spans="2:35" ht="15" hidden="1" customHeight="1" outlineLevel="1">
      <c r="B49" s="13">
        <f>B48+1</f>
        <v>2047</v>
      </c>
      <c r="C49" s="410">
        <f>(CampusArea!$C49*$L$9+CampusArea!$D49*($L$17+$L$9)+CampusArea!$E49*$L$13)*1000/BTU_Electric_per_kWh</f>
        <v>191126.74564798782</v>
      </c>
      <c r="D49" s="778">
        <f>C49/CampusArea!G49*BTU_Electric_per_kWh/1000</f>
        <v>65.636166477977014</v>
      </c>
      <c r="E49" s="410">
        <f>(CampusArea!$C49*$L$10+CampusArea!$D49*($L$18+$L$10)+CampusArea!$E49*$L$14)</f>
        <v>1018313.6470364953</v>
      </c>
      <c r="F49" s="778">
        <f>E49/CampusArea!G49</f>
        <v>102.49301867650489</v>
      </c>
      <c r="G49" s="410">
        <f>(CampusArea!$C49*$L$11+CampusArea!$D49*($L$19+$L$11)+CampusArea!$E49*$L$15)</f>
        <v>298718.36655097757</v>
      </c>
      <c r="H49" s="778">
        <f>G49/CampusArea!G49</f>
        <v>30.065930286827548</v>
      </c>
      <c r="I49" s="47">
        <f t="shared" si="0"/>
        <v>1969156.4697384073</v>
      </c>
      <c r="J49" s="50">
        <f>I49/CampusArea!G49</f>
        <v>198.19511544130944</v>
      </c>
      <c r="U49" s="348">
        <f t="shared" si="17"/>
        <v>2047</v>
      </c>
      <c r="V49" s="348">
        <f t="shared" si="17"/>
        <v>38</v>
      </c>
      <c r="W49" s="409">
        <f t="shared" si="3"/>
        <v>47.160319204025882</v>
      </c>
      <c r="X49" s="409">
        <f t="shared" si="4"/>
        <v>2.4449370875794898</v>
      </c>
      <c r="Y49" s="409">
        <f t="shared" si="5"/>
        <v>4.7987262473999408</v>
      </c>
      <c r="Z49" s="409">
        <f t="shared" si="6"/>
        <v>9.2463261840145279</v>
      </c>
      <c r="AA49" s="409">
        <f t="shared" si="7"/>
        <v>716.67420314908668</v>
      </c>
      <c r="AB49" s="409">
        <f t="shared" si="8"/>
        <v>3.8209679543852815</v>
      </c>
      <c r="AC49" s="409">
        <f t="shared" si="9"/>
        <v>7.4994891714515717</v>
      </c>
      <c r="AD49" s="409">
        <f t="shared" si="10"/>
        <v>0</v>
      </c>
      <c r="AE49" s="409">
        <f t="shared" si="11"/>
        <v>31.062043835678963</v>
      </c>
      <c r="AF49" s="409">
        <f t="shared" si="12"/>
        <v>39.263471065084872</v>
      </c>
      <c r="AG49" s="409">
        <f t="shared" si="13"/>
        <v>38.795080062813334</v>
      </c>
      <c r="AH49" s="409">
        <f t="shared" si="14"/>
        <v>39.75</v>
      </c>
      <c r="AI49" s="10">
        <f t="shared" si="1"/>
        <v>652124.45615093445</v>
      </c>
    </row>
    <row r="50" spans="2:35" ht="15" hidden="1" customHeight="1" outlineLevel="1">
      <c r="B50" s="13">
        <f>B49+1</f>
        <v>2048</v>
      </c>
      <c r="C50" s="410">
        <f>(CampusArea!$C50*$L$9+CampusArea!$D50*($L$17+$L$9)+CampusArea!$E50*$L$13)*1000/BTU_Electric_per_kWh</f>
        <v>192703.37124883989</v>
      </c>
      <c r="D50" s="778">
        <f>C50/CampusArea!G50*BTU_Electric_per_kWh/1000</f>
        <v>65.637034792826725</v>
      </c>
      <c r="E50" s="410">
        <f>(CampusArea!$C50*$L$10+CampusArea!$D50*($L$18+$L$10)+CampusArea!$E50*$L$14)</f>
        <v>1026700.2461661708</v>
      </c>
      <c r="F50" s="778">
        <f>E50/CampusArea!G50</f>
        <v>102.49301867650489</v>
      </c>
      <c r="G50" s="410">
        <f>(CampusArea!$C50*$L$11+CampusArea!$D50*($L$19+$L$11)+CampusArea!$E50*$L$15)</f>
        <v>301782.90111358126</v>
      </c>
      <c r="H50" s="778">
        <f>G50/CampusArea!G50</f>
        <v>30.126261910994039</v>
      </c>
      <c r="I50" s="47">
        <f t="shared" si="0"/>
        <v>1985987.0499807936</v>
      </c>
      <c r="J50" s="50">
        <f>I50/CampusArea!G50</f>
        <v>198.25631538032565</v>
      </c>
      <c r="U50" s="348">
        <f t="shared" si="17"/>
        <v>2048</v>
      </c>
      <c r="V50" s="348">
        <f t="shared" si="17"/>
        <v>39</v>
      </c>
      <c r="W50" s="409">
        <f t="shared" si="3"/>
        <v>46.675522550242363</v>
      </c>
      <c r="X50" s="409">
        <f t="shared" si="4"/>
        <v>1.6195732336448998</v>
      </c>
      <c r="Y50" s="409">
        <f t="shared" si="5"/>
        <v>3.1991508315999653</v>
      </c>
      <c r="Z50" s="409">
        <f t="shared" si="6"/>
        <v>6.2422455250730948</v>
      </c>
      <c r="AA50" s="409">
        <f t="shared" si="7"/>
        <v>732.83686589836725</v>
      </c>
      <c r="AB50" s="409">
        <f t="shared" si="8"/>
        <v>2.5310824793712072</v>
      </c>
      <c r="AC50" s="409">
        <f t="shared" si="9"/>
        <v>4.9996594476343716</v>
      </c>
      <c r="AD50" s="409">
        <f t="shared" si="10"/>
        <v>0</v>
      </c>
      <c r="AE50" s="409">
        <f t="shared" si="11"/>
        <v>31.176849528062206</v>
      </c>
      <c r="AF50" s="409">
        <f t="shared" si="12"/>
        <v>39.427713899312479</v>
      </c>
      <c r="AG50" s="409">
        <f t="shared" si="13"/>
        <v>39.113386708542222</v>
      </c>
      <c r="AH50" s="409">
        <f t="shared" si="14"/>
        <v>39.75</v>
      </c>
      <c r="AI50" s="10">
        <f t="shared" si="1"/>
        <v>657503.90270104166</v>
      </c>
    </row>
    <row r="51" spans="2:35" ht="15" hidden="1" customHeight="1" outlineLevel="1">
      <c r="B51" s="13">
        <f>B50+1</f>
        <v>2049</v>
      </c>
      <c r="C51" s="410">
        <f>(CampusArea!$C51*$L$9+CampusArea!$D51*($L$17+$L$9)+CampusArea!$E51*$L$13)*1000/BTU_Electric_per_kWh</f>
        <v>194279.99684969187</v>
      </c>
      <c r="D51" s="778">
        <f>C51/CampusArea!G51*BTU_Electric_per_kWh/1000</f>
        <v>65.637889036956494</v>
      </c>
      <c r="E51" s="410">
        <f>(CampusArea!$C51*$L$10+CampusArea!$D51*($L$18+$L$10)+CampusArea!$E51*$L$14)</f>
        <v>1035086.8452958462</v>
      </c>
      <c r="F51" s="778">
        <f>E51/CampusArea!G51</f>
        <v>102.4930186765049</v>
      </c>
      <c r="G51" s="410">
        <f>(CampusArea!$C51*$L$11+CampusArea!$D51*($L$19+$L$11)+CampusArea!$E51*$L$15)</f>
        <v>304847.43567618495</v>
      </c>
      <c r="H51" s="778">
        <f>G51/CampusArea!G51</f>
        <v>30.185615883576947</v>
      </c>
      <c r="I51" s="47">
        <f t="shared" si="0"/>
        <v>2002817.6302231799</v>
      </c>
      <c r="J51" s="50">
        <f>I51/CampusArea!G51</f>
        <v>198.31652359703835</v>
      </c>
      <c r="U51" s="348">
        <f t="shared" si="17"/>
        <v>2049</v>
      </c>
      <c r="V51" s="348">
        <f t="shared" si="17"/>
        <v>40</v>
      </c>
      <c r="W51" s="409">
        <f t="shared" si="3"/>
        <v>46.190725896458844</v>
      </c>
      <c r="X51" s="409">
        <f t="shared" si="4"/>
        <v>0.80472485719191411</v>
      </c>
      <c r="Y51" s="409">
        <f t="shared" si="5"/>
        <v>1.5995754157999826</v>
      </c>
      <c r="Z51" s="409">
        <f t="shared" si="6"/>
        <v>3.1601367970682546</v>
      </c>
      <c r="AA51" s="409">
        <f t="shared" si="7"/>
        <v>748.99952864764782</v>
      </c>
      <c r="AB51" s="409">
        <f t="shared" si="8"/>
        <v>1.2576306797618599</v>
      </c>
      <c r="AC51" s="409">
        <f t="shared" si="9"/>
        <v>2.4998297238171858</v>
      </c>
      <c r="AD51" s="409">
        <f t="shared" si="10"/>
        <v>0</v>
      </c>
      <c r="AE51" s="409">
        <f t="shared" si="11"/>
        <v>31.291655220445449</v>
      </c>
      <c r="AF51" s="409">
        <f t="shared" si="12"/>
        <v>39.589864211779407</v>
      </c>
      <c r="AG51" s="409">
        <f t="shared" si="13"/>
        <v>39.431693354271111</v>
      </c>
      <c r="AH51" s="409">
        <f t="shared" si="14"/>
        <v>39.75</v>
      </c>
      <c r="AI51" s="10">
        <f t="shared" si="1"/>
        <v>662883.34925114876</v>
      </c>
    </row>
    <row r="52" spans="2:35" collapsed="1">
      <c r="B52" s="13">
        <f>B51+1</f>
        <v>2050</v>
      </c>
      <c r="C52" s="410">
        <f>(CampusArea!$C52*$L$9+CampusArea!$D52*($L$17+$L$9)+CampusArea!$E52*$L$13)*1000/BTU_Electric_per_kWh</f>
        <v>195856.62245054395</v>
      </c>
      <c r="D52" s="778">
        <f>C52/CampusArea!G52*BTU_Electric_per_kWh/1000</f>
        <v>65.638729549633666</v>
      </c>
      <c r="E52" s="410">
        <f>(CampusArea!$C52*$L$10+CampusArea!$D52*($L$18+$L$10)+CampusArea!$E52*$L$14)</f>
        <v>1043473.4444255217</v>
      </c>
      <c r="F52" s="778">
        <f>E52/CampusArea!G52</f>
        <v>102.49301867650492</v>
      </c>
      <c r="G52" s="410">
        <f>(CampusArea!$C52*$L$11+CampusArea!$D52*($L$19+$L$11)+CampusArea!$E52*$L$15)</f>
        <v>307911.97023878864</v>
      </c>
      <c r="H52" s="778">
        <f>G52/CampusArea!G52</f>
        <v>30.244015777304348</v>
      </c>
      <c r="I52" s="47">
        <f t="shared" si="0"/>
        <v>2019648.2104655663</v>
      </c>
      <c r="J52" s="50">
        <f>I52/CampusArea!G52</f>
        <v>198.37576400344292</v>
      </c>
      <c r="L52" s="10" t="s">
        <v>645</v>
      </c>
      <c r="N52" s="54"/>
      <c r="O52" s="54"/>
      <c r="P52" s="54"/>
      <c r="U52" s="348">
        <f t="shared" si="17"/>
        <v>2050</v>
      </c>
      <c r="V52" s="348">
        <f t="shared" si="17"/>
        <v>41</v>
      </c>
      <c r="W52" s="409">
        <f t="shared" si="3"/>
        <v>45.705929242675325</v>
      </c>
      <c r="X52" s="409">
        <f t="shared" si="4"/>
        <v>0</v>
      </c>
      <c r="Y52" s="409">
        <f t="shared" si="5"/>
        <v>0</v>
      </c>
      <c r="Z52" s="409">
        <f t="shared" si="6"/>
        <v>0</v>
      </c>
      <c r="AA52" s="409">
        <f t="shared" si="7"/>
        <v>765.16219139692112</v>
      </c>
      <c r="AB52" s="409">
        <f t="shared" si="8"/>
        <v>0</v>
      </c>
      <c r="AC52" s="409">
        <f t="shared" si="9"/>
        <v>0</v>
      </c>
      <c r="AD52" s="409">
        <f t="shared" si="10"/>
        <v>0</v>
      </c>
      <c r="AE52" s="409">
        <f t="shared" si="11"/>
        <v>31.406460912828692</v>
      </c>
      <c r="AF52" s="409">
        <f t="shared" si="12"/>
        <v>39.75</v>
      </c>
      <c r="AG52" s="409">
        <f t="shared" si="13"/>
        <v>39.75</v>
      </c>
      <c r="AH52" s="409">
        <f t="shared" si="14"/>
        <v>39.75</v>
      </c>
      <c r="AI52" s="10">
        <f t="shared" si="1"/>
        <v>668262.79580125597</v>
      </c>
    </row>
    <row r="53" spans="2:35">
      <c r="N53" s="424"/>
      <c r="O53" s="424"/>
      <c r="P53" s="424"/>
      <c r="V53" s="45"/>
      <c r="W53" s="51"/>
      <c r="X53" s="336"/>
      <c r="Y53" s="336"/>
      <c r="Z53" s="336"/>
      <c r="AA53" s="51"/>
      <c r="AB53" s="336"/>
      <c r="AC53" s="336"/>
      <c r="AD53" s="336"/>
      <c r="AE53" s="51"/>
      <c r="AF53" s="336"/>
      <c r="AG53" s="336"/>
      <c r="AH53" s="336"/>
    </row>
    <row r="54" spans="2:35">
      <c r="N54" s="51"/>
      <c r="O54" s="51"/>
      <c r="P54" s="51"/>
      <c r="V54" s="45"/>
      <c r="W54" s="51"/>
      <c r="X54" s="336"/>
      <c r="Y54" s="336"/>
      <c r="Z54" s="336"/>
      <c r="AA54" s="51"/>
      <c r="AB54" s="336"/>
      <c r="AC54" s="336"/>
      <c r="AD54" s="336"/>
      <c r="AE54" s="51"/>
      <c r="AF54" s="336"/>
      <c r="AG54" s="336"/>
      <c r="AH54" s="336"/>
    </row>
    <row r="55" spans="2:35">
      <c r="N55" s="54"/>
      <c r="O55" s="54"/>
      <c r="P55" s="54"/>
      <c r="V55" s="45"/>
      <c r="W55" s="51"/>
      <c r="X55" s="336"/>
      <c r="Y55" s="336"/>
      <c r="Z55" s="336"/>
      <c r="AA55" s="51"/>
      <c r="AB55" s="336"/>
      <c r="AC55" s="336"/>
      <c r="AD55" s="336"/>
      <c r="AE55" s="51"/>
      <c r="AF55" s="336"/>
      <c r="AG55" s="336"/>
      <c r="AH55" s="336" t="str">
        <f>C2&amp;" ("&amp;E4&amp;")"</f>
        <v>Utility Demand (MMBTU)</v>
      </c>
    </row>
    <row r="56" spans="2:35">
      <c r="V56" s="45"/>
      <c r="W56" s="51"/>
      <c r="X56" s="336"/>
      <c r="Y56" s="336"/>
      <c r="Z56" s="336"/>
      <c r="AA56" s="51"/>
      <c r="AB56" s="336"/>
      <c r="AC56" s="336"/>
      <c r="AD56" s="336"/>
      <c r="AE56" s="51"/>
      <c r="AF56" s="336"/>
      <c r="AG56" s="336"/>
      <c r="AH56" s="336"/>
    </row>
    <row r="57" spans="2:35">
      <c r="V57" s="45"/>
      <c r="W57" s="51"/>
      <c r="X57" s="336"/>
      <c r="Y57" s="336"/>
      <c r="Z57" s="336"/>
      <c r="AA57" s="51"/>
      <c r="AB57" s="336"/>
      <c r="AC57" s="336"/>
      <c r="AD57" s="336"/>
      <c r="AE57" s="51"/>
      <c r="AF57" s="336"/>
      <c r="AG57" s="336"/>
      <c r="AH57" s="336"/>
    </row>
    <row r="58" spans="2:35">
      <c r="V58" s="45"/>
      <c r="W58" s="51"/>
      <c r="X58" s="336"/>
      <c r="Y58" s="336"/>
      <c r="Z58" s="336"/>
      <c r="AA58" s="51"/>
      <c r="AB58" s="336"/>
      <c r="AC58" s="336"/>
      <c r="AD58" s="336"/>
      <c r="AE58" s="51"/>
      <c r="AF58" s="336"/>
      <c r="AG58" s="336"/>
      <c r="AH58" s="336"/>
    </row>
    <row r="59" spans="2:35">
      <c r="V59" s="45"/>
      <c r="W59" s="51"/>
      <c r="X59" s="336"/>
      <c r="Y59" s="336"/>
      <c r="Z59" s="336"/>
      <c r="AA59" s="51"/>
      <c r="AB59" s="336"/>
      <c r="AC59" s="336"/>
      <c r="AD59" s="336"/>
      <c r="AE59" s="51"/>
      <c r="AF59" s="336"/>
      <c r="AG59" s="336"/>
      <c r="AH59" s="336"/>
    </row>
    <row r="60" spans="2:35">
      <c r="V60" s="45"/>
      <c r="W60" s="51"/>
      <c r="X60" s="336"/>
      <c r="Y60" s="336"/>
      <c r="Z60" s="336"/>
      <c r="AA60" s="51"/>
      <c r="AB60" s="336"/>
      <c r="AC60" s="336"/>
      <c r="AD60" s="336"/>
      <c r="AE60" s="51"/>
      <c r="AF60" s="336"/>
      <c r="AG60" s="336"/>
      <c r="AH60" s="336"/>
    </row>
    <row r="61" spans="2:35">
      <c r="V61" s="45"/>
      <c r="W61" s="51"/>
      <c r="X61" s="336"/>
      <c r="Y61" s="336"/>
      <c r="Z61" s="336"/>
      <c r="AA61" s="51"/>
      <c r="AB61" s="336"/>
      <c r="AC61" s="336"/>
      <c r="AD61" s="336"/>
      <c r="AE61" s="51"/>
      <c r="AF61" s="336"/>
      <c r="AG61" s="336"/>
      <c r="AH61" s="336"/>
    </row>
    <row r="62" spans="2:35">
      <c r="M62" s="54"/>
      <c r="V62" s="45"/>
      <c r="W62" s="51"/>
      <c r="X62" s="336"/>
      <c r="Y62" s="336"/>
      <c r="Z62" s="336"/>
      <c r="AA62" s="51"/>
      <c r="AB62" s="336"/>
      <c r="AC62" s="336"/>
      <c r="AD62" s="336"/>
      <c r="AE62" s="51"/>
      <c r="AF62" s="336"/>
      <c r="AG62" s="336"/>
      <c r="AH62" s="336"/>
    </row>
    <row r="63" spans="2:35">
      <c r="M63" s="424"/>
      <c r="V63" s="45"/>
      <c r="W63" s="51"/>
      <c r="X63" s="336"/>
      <c r="Y63" s="336"/>
      <c r="Z63" s="336"/>
      <c r="AA63" s="51"/>
      <c r="AB63" s="336"/>
      <c r="AC63" s="336"/>
      <c r="AD63" s="336"/>
      <c r="AE63" s="51"/>
      <c r="AF63" s="336"/>
      <c r="AG63" s="336"/>
      <c r="AH63" s="336"/>
    </row>
    <row r="64" spans="2:35">
      <c r="M64" s="51"/>
      <c r="V64" s="45"/>
      <c r="W64" s="51"/>
      <c r="X64" s="336"/>
      <c r="Y64" s="336"/>
      <c r="Z64" s="336"/>
      <c r="AA64" s="51"/>
      <c r="AB64" s="336"/>
      <c r="AC64" s="336"/>
      <c r="AD64" s="336"/>
      <c r="AE64" s="51"/>
      <c r="AF64" s="336"/>
      <c r="AG64" s="336"/>
      <c r="AH64" s="336"/>
    </row>
    <row r="65" spans="13:34">
      <c r="M65" s="54"/>
      <c r="V65" s="45"/>
      <c r="W65" s="51"/>
      <c r="X65" s="336"/>
      <c r="Y65" s="336"/>
      <c r="Z65" s="336"/>
      <c r="AA65" s="51"/>
      <c r="AB65" s="336"/>
      <c r="AC65" s="336"/>
      <c r="AD65" s="336"/>
      <c r="AE65" s="51"/>
      <c r="AF65" s="336"/>
      <c r="AG65" s="336"/>
      <c r="AH65" s="336"/>
    </row>
    <row r="66" spans="13:34">
      <c r="V66" s="45"/>
      <c r="W66" s="51"/>
      <c r="X66" s="336"/>
      <c r="Y66" s="336"/>
      <c r="Z66" s="336"/>
      <c r="AA66" s="51"/>
      <c r="AB66" s="336"/>
      <c r="AC66" s="336"/>
      <c r="AD66" s="336"/>
      <c r="AE66" s="51"/>
      <c r="AF66" s="336"/>
      <c r="AG66" s="336"/>
      <c r="AH66" s="336"/>
    </row>
    <row r="67" spans="13:34">
      <c r="V67" s="45"/>
      <c r="W67" s="51"/>
      <c r="X67" s="336"/>
      <c r="Y67" s="336"/>
      <c r="Z67" s="336"/>
      <c r="AA67" s="51"/>
      <c r="AB67" s="336"/>
      <c r="AC67" s="336"/>
      <c r="AD67" s="336"/>
      <c r="AE67" s="51"/>
      <c r="AF67" s="336"/>
      <c r="AG67" s="336"/>
      <c r="AH67" s="336"/>
    </row>
    <row r="68" spans="13:34">
      <c r="V68" s="45"/>
      <c r="W68" s="51"/>
      <c r="X68" s="336"/>
      <c r="Y68" s="336"/>
      <c r="Z68" s="336"/>
      <c r="AA68" s="51"/>
      <c r="AB68" s="336"/>
      <c r="AC68" s="336"/>
      <c r="AD68" s="336"/>
      <c r="AE68" s="51"/>
      <c r="AF68" s="336"/>
      <c r="AG68" s="336"/>
      <c r="AH68" s="336"/>
    </row>
    <row r="69" spans="13:34">
      <c r="V69" s="45"/>
      <c r="W69" s="51"/>
      <c r="X69" s="336"/>
      <c r="Y69" s="336"/>
      <c r="Z69" s="336"/>
      <c r="AA69" s="51"/>
      <c r="AB69" s="336"/>
      <c r="AC69" s="336"/>
      <c r="AD69" s="336"/>
      <c r="AE69" s="51"/>
      <c r="AF69" s="336"/>
      <c r="AG69" s="336"/>
      <c r="AH69" s="336"/>
    </row>
    <row r="70" spans="13:34">
      <c r="V70" s="45"/>
      <c r="W70" s="51"/>
      <c r="X70" s="336"/>
      <c r="Y70" s="336"/>
      <c r="Z70" s="336"/>
      <c r="AA70" s="51"/>
      <c r="AB70" s="336"/>
      <c r="AC70" s="336"/>
      <c r="AD70" s="336"/>
      <c r="AE70" s="51"/>
      <c r="AF70" s="336"/>
      <c r="AG70" s="336"/>
      <c r="AH70" s="336"/>
    </row>
    <row r="71" spans="13:34">
      <c r="V71" s="45"/>
      <c r="W71" s="51"/>
      <c r="X71" s="336"/>
      <c r="Y71" s="336"/>
      <c r="Z71" s="336"/>
      <c r="AA71" s="51"/>
      <c r="AB71" s="336"/>
      <c r="AC71" s="336"/>
      <c r="AD71" s="336"/>
      <c r="AE71" s="51"/>
      <c r="AF71" s="336"/>
      <c r="AG71" s="336"/>
      <c r="AH71" s="336"/>
    </row>
    <row r="72" spans="13:34">
      <c r="V72" s="45"/>
      <c r="W72" s="51"/>
      <c r="X72" s="336"/>
      <c r="Y72" s="336"/>
      <c r="Z72" s="336"/>
      <c r="AA72" s="51"/>
      <c r="AB72" s="336"/>
      <c r="AC72" s="336"/>
      <c r="AD72" s="336"/>
      <c r="AE72" s="51"/>
      <c r="AF72" s="336"/>
      <c r="AG72" s="336"/>
      <c r="AH72" s="336"/>
    </row>
    <row r="73" spans="13:34">
      <c r="V73" s="45"/>
      <c r="W73" s="51"/>
      <c r="X73" s="336"/>
      <c r="Y73" s="336"/>
      <c r="Z73" s="336"/>
      <c r="AA73" s="51"/>
      <c r="AB73" s="336"/>
      <c r="AC73" s="336"/>
      <c r="AD73" s="336"/>
      <c r="AE73" s="51"/>
      <c r="AF73" s="336"/>
      <c r="AG73" s="336"/>
      <c r="AH73" s="336"/>
    </row>
  </sheetData>
  <mergeCells count="11">
    <mergeCell ref="L22:M22"/>
    <mergeCell ref="D3:D4"/>
    <mergeCell ref="F3:F4"/>
    <mergeCell ref="H3:H4"/>
    <mergeCell ref="AE9:AH9"/>
    <mergeCell ref="AA9:AD9"/>
    <mergeCell ref="C2:H2"/>
    <mergeCell ref="I2:I3"/>
    <mergeCell ref="J2:J4"/>
    <mergeCell ref="L4:M4"/>
    <mergeCell ref="W9:Z9"/>
  </mergeCells>
  <conditionalFormatting sqref="L22:M22">
    <cfRule type="expression" dxfId="6" priority="7">
      <formula>COUNTA($L$6:$L$8)&gt;1</formula>
    </cfRule>
  </conditionalFormatting>
  <conditionalFormatting sqref="O8">
    <cfRule type="expression" dxfId="5" priority="4">
      <formula>$L$8="X"</formula>
    </cfRule>
  </conditionalFormatting>
  <conditionalFormatting sqref="O7">
    <cfRule type="expression" dxfId="4" priority="3">
      <formula>OR($L$6="X",$L$8="X")</formula>
    </cfRule>
  </conditionalFormatting>
  <conditionalFormatting sqref="O6">
    <cfRule type="expression" dxfId="3" priority="2">
      <formula>$L$6="X"</formula>
    </cfRule>
  </conditionalFormatting>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sheetPr codeName="Sheet16"/>
  <dimension ref="A1:F51"/>
  <sheetViews>
    <sheetView zoomScaleNormal="100" workbookViewId="0">
      <pane xSplit="2" ySplit="4" topLeftCell="C5" activePane="bottomRight" state="frozen"/>
      <selection activeCell="I1" sqref="I1:P1"/>
      <selection pane="topRight" activeCell="I1" sqref="I1:P1"/>
      <selection pane="bottomLeft" activeCell="I1" sqref="I1:P1"/>
      <selection pane="bottomRight" activeCell="I1" sqref="I1:P1"/>
    </sheetView>
  </sheetViews>
  <sheetFormatPr defaultRowHeight="15" outlineLevelRow="1"/>
  <cols>
    <col min="1" max="1" width="11" style="10" customWidth="1"/>
    <col min="2" max="2" width="9.140625" style="10"/>
    <col min="3" max="3" width="15.85546875" style="10" customWidth="1"/>
    <col min="4" max="4" width="10.7109375" style="10" customWidth="1"/>
    <col min="5" max="5" width="9.7109375" style="16" bestFit="1" customWidth="1"/>
    <col min="6" max="6" width="12.85546875" style="10" customWidth="1"/>
    <col min="7" max="7" width="5" style="10" customWidth="1"/>
    <col min="8" max="10" width="18.5703125" style="10" customWidth="1"/>
    <col min="11" max="16384" width="9.140625" style="10"/>
  </cols>
  <sheetData>
    <row r="1" spans="1:6" ht="21" customHeight="1">
      <c r="C1" s="1600" t="s">
        <v>145</v>
      </c>
      <c r="D1" s="1600"/>
      <c r="E1" s="1600"/>
    </row>
    <row r="2" spans="1:6" ht="32.25" customHeight="1">
      <c r="C2" s="1597" t="e">
        <f>#REF!</f>
        <v>#REF!</v>
      </c>
      <c r="D2" s="1598"/>
      <c r="E2" s="1599"/>
      <c r="F2" s="1595" t="s">
        <v>115</v>
      </c>
    </row>
    <row r="3" spans="1:6">
      <c r="C3" s="1" t="s">
        <v>61</v>
      </c>
      <c r="D3" s="2" t="s">
        <v>64</v>
      </c>
      <c r="E3" s="6" t="s">
        <v>66</v>
      </c>
      <c r="F3" s="1596"/>
    </row>
    <row r="4" spans="1:6">
      <c r="B4" s="5" t="s">
        <v>3</v>
      </c>
      <c r="C4" s="4" t="s">
        <v>62</v>
      </c>
      <c r="D4" s="3" t="s">
        <v>62</v>
      </c>
      <c r="E4" s="7" t="s">
        <v>62</v>
      </c>
      <c r="F4" s="144" t="s">
        <v>62</v>
      </c>
    </row>
    <row r="5" spans="1:6">
      <c r="B5" s="11">
        <v>2004</v>
      </c>
      <c r="C5" s="14" t="e">
        <f>PrimaryEnergy!D5</f>
        <v>#VALUE!</v>
      </c>
      <c r="D5" s="14" t="e">
        <f>PrimaryEnergy!G5</f>
        <v>#VALUE!</v>
      </c>
      <c r="E5" s="47" t="e">
        <f>PrimaryEnergy!I5</f>
        <v>#VALUE!</v>
      </c>
      <c r="F5" s="47" t="e">
        <f>PrimaryEnergy!M5</f>
        <v>#VALUE!</v>
      </c>
    </row>
    <row r="6" spans="1:6">
      <c r="B6" s="13">
        <f t="shared" ref="B6:B20" si="0">B5+1</f>
        <v>2005</v>
      </c>
      <c r="C6" s="14" t="e">
        <f>PrimaryEnergy!D6</f>
        <v>#VALUE!</v>
      </c>
      <c r="D6" s="14" t="e">
        <f>PrimaryEnergy!G6</f>
        <v>#VALUE!</v>
      </c>
      <c r="E6" s="47" t="e">
        <f>PrimaryEnergy!I6</f>
        <v>#VALUE!</v>
      </c>
      <c r="F6" s="47" t="e">
        <f>PrimaryEnergy!M6</f>
        <v>#VALUE!</v>
      </c>
    </row>
    <row r="7" spans="1:6">
      <c r="B7" s="13">
        <f t="shared" si="0"/>
        <v>2006</v>
      </c>
      <c r="C7" s="14" t="e">
        <f>PrimaryEnergy!D7</f>
        <v>#VALUE!</v>
      </c>
      <c r="D7" s="14" t="e">
        <f>PrimaryEnergy!G7</f>
        <v>#VALUE!</v>
      </c>
      <c r="E7" s="47" t="e">
        <f>PrimaryEnergy!I7</f>
        <v>#VALUE!</v>
      </c>
      <c r="F7" s="47" t="e">
        <f>PrimaryEnergy!M7</f>
        <v>#VALUE!</v>
      </c>
    </row>
    <row r="8" spans="1:6">
      <c r="B8" s="13">
        <f t="shared" si="0"/>
        <v>2007</v>
      </c>
      <c r="C8" s="141" t="e">
        <f>PrimaryEnergy!D8</f>
        <v>#REF!</v>
      </c>
      <c r="D8" s="141" t="e">
        <f>PrimaryEnergy!G8</f>
        <v>#REF!</v>
      </c>
      <c r="E8" s="143" t="e">
        <f>PrimaryEnergy!I8</f>
        <v>#REF!</v>
      </c>
      <c r="F8" s="143" t="e">
        <f>PrimaryEnergy!M8</f>
        <v>#REF!</v>
      </c>
    </row>
    <row r="9" spans="1:6">
      <c r="B9" s="13">
        <f t="shared" si="0"/>
        <v>2008</v>
      </c>
      <c r="C9" s="141" t="e">
        <f>PrimaryEnergy!D9</f>
        <v>#REF!</v>
      </c>
      <c r="D9" s="141" t="e">
        <f>PrimaryEnergy!G9</f>
        <v>#REF!</v>
      </c>
      <c r="E9" s="143" t="e">
        <f>PrimaryEnergy!I9</f>
        <v>#REF!</v>
      </c>
      <c r="F9" s="143" t="e">
        <f>PrimaryEnergy!M9</f>
        <v>#REF!</v>
      </c>
    </row>
    <row r="10" spans="1:6">
      <c r="B10" s="13">
        <f t="shared" si="0"/>
        <v>2009</v>
      </c>
      <c r="C10" s="59" t="e">
        <f>C9+1</f>
        <v>#REF!</v>
      </c>
      <c r="D10" s="59" t="e">
        <f>D9+1</f>
        <v>#REF!</v>
      </c>
      <c r="E10" s="41" t="e">
        <f>INDEX(PrimaryEnergy!$I$10:$I$51,MATCH($B10,PrimaryEnergy!$B$10:$B$51,0))</f>
        <v>#REF!</v>
      </c>
      <c r="F10" s="47" t="e">
        <f>INDEX(PrimaryEnergy!$M$10:$M$51,MATCH($B10,PrimaryEnergy!$B$10:$B$51,0))</f>
        <v>#REF!</v>
      </c>
    </row>
    <row r="11" spans="1:6">
      <c r="A11" s="349"/>
      <c r="B11" s="39">
        <f t="shared" si="0"/>
        <v>2010</v>
      </c>
      <c r="C11" s="59" t="e">
        <f>#REF!*1000/#REF!</f>
        <v>#REF!</v>
      </c>
      <c r="D11" s="59" t="e">
        <f>#REF!*1000/#REF!</f>
        <v>#REF!</v>
      </c>
      <c r="E11" s="41" t="e">
        <f>SUM(C11:D11)</f>
        <v>#REF!</v>
      </c>
      <c r="F11" s="41" t="e">
        <f>INDEX(PrimaryEnergy!$M$10:$M$51,MATCH($B11,PrimaryEnergy!$B$10:$B$51,0))</f>
        <v>#REF!</v>
      </c>
    </row>
    <row r="12" spans="1:6" hidden="1" outlineLevel="1">
      <c r="A12" s="349"/>
      <c r="B12" s="39">
        <f t="shared" si="0"/>
        <v>2011</v>
      </c>
      <c r="C12" s="59" t="e">
        <f>#REF!*1000/#REF!</f>
        <v>#REF!</v>
      </c>
      <c r="D12" s="59" t="e">
        <f>#REF!*1000/#REF!</f>
        <v>#REF!</v>
      </c>
      <c r="E12" s="41" t="e">
        <f t="shared" ref="E12:E51" si="1">SUM(C12:D12)</f>
        <v>#REF!</v>
      </c>
      <c r="F12" s="41" t="e">
        <f>INDEX(PrimaryEnergy!$M$10:$M$51,MATCH($B12,PrimaryEnergy!$B$10:$B$51,0))</f>
        <v>#REF!</v>
      </c>
    </row>
    <row r="13" spans="1:6" hidden="1" outlineLevel="1">
      <c r="A13" s="349"/>
      <c r="B13" s="39">
        <f t="shared" si="0"/>
        <v>2012</v>
      </c>
      <c r="C13" s="59" t="e">
        <f>#REF!*1000/#REF!</f>
        <v>#REF!</v>
      </c>
      <c r="D13" s="59" t="e">
        <f>#REF!*1000/#REF!</f>
        <v>#REF!</v>
      </c>
      <c r="E13" s="41" t="e">
        <f t="shared" si="1"/>
        <v>#REF!</v>
      </c>
      <c r="F13" s="41" t="e">
        <f>INDEX(PrimaryEnergy!$M$10:$M$51,MATCH($B13,PrimaryEnergy!$B$10:$B$51,0))</f>
        <v>#REF!</v>
      </c>
    </row>
    <row r="14" spans="1:6" hidden="1" outlineLevel="1">
      <c r="A14" s="349"/>
      <c r="B14" s="39">
        <f t="shared" si="0"/>
        <v>2013</v>
      </c>
      <c r="C14" s="59" t="e">
        <f>#REF!*1000/#REF!</f>
        <v>#REF!</v>
      </c>
      <c r="D14" s="59" t="e">
        <f>#REF!*1000/#REF!</f>
        <v>#REF!</v>
      </c>
      <c r="E14" s="41" t="e">
        <f t="shared" si="1"/>
        <v>#REF!</v>
      </c>
      <c r="F14" s="41" t="e">
        <f>INDEX(PrimaryEnergy!$M$10:$M$51,MATCH($B14,PrimaryEnergy!$B$10:$B$51,0))</f>
        <v>#REF!</v>
      </c>
    </row>
    <row r="15" spans="1:6" hidden="1" outlineLevel="1">
      <c r="A15" s="349"/>
      <c r="B15" s="39">
        <f t="shared" si="0"/>
        <v>2014</v>
      </c>
      <c r="C15" s="59" t="e">
        <f>#REF!*1000/#REF!</f>
        <v>#REF!</v>
      </c>
      <c r="D15" s="59" t="e">
        <f>#REF!*1000/#REF!</f>
        <v>#REF!</v>
      </c>
      <c r="E15" s="41" t="e">
        <f t="shared" si="1"/>
        <v>#REF!</v>
      </c>
      <c r="F15" s="41" t="e">
        <f>INDEX(PrimaryEnergy!$M$10:$M$51,MATCH($B15,PrimaryEnergy!$B$10:$B$51,0))</f>
        <v>#REF!</v>
      </c>
    </row>
    <row r="16" spans="1:6" hidden="1" outlineLevel="1">
      <c r="A16" s="349"/>
      <c r="B16" s="39">
        <f t="shared" si="0"/>
        <v>2015</v>
      </c>
      <c r="C16" s="59" t="e">
        <f>#REF!*1000/#REF!</f>
        <v>#REF!</v>
      </c>
      <c r="D16" s="59" t="e">
        <f>#REF!*1000/#REF!</f>
        <v>#REF!</v>
      </c>
      <c r="E16" s="41" t="e">
        <f t="shared" si="1"/>
        <v>#REF!</v>
      </c>
      <c r="F16" s="41" t="e">
        <f>INDEX(PrimaryEnergy!$M$10:$M$51,MATCH($B16,PrimaryEnergy!$B$10:$B$51,0))</f>
        <v>#REF!</v>
      </c>
    </row>
    <row r="17" spans="1:6" hidden="1" outlineLevel="1">
      <c r="A17" s="349"/>
      <c r="B17" s="39">
        <f t="shared" si="0"/>
        <v>2016</v>
      </c>
      <c r="C17" s="59" t="e">
        <f>#REF!*1000/#REF!</f>
        <v>#REF!</v>
      </c>
      <c r="D17" s="59" t="e">
        <f>#REF!*1000/#REF!</f>
        <v>#REF!</v>
      </c>
      <c r="E17" s="41" t="e">
        <f t="shared" si="1"/>
        <v>#REF!</v>
      </c>
      <c r="F17" s="41" t="e">
        <f>INDEX(PrimaryEnergy!$M$10:$M$51,MATCH($B17,PrimaryEnergy!$B$10:$B$51,0))</f>
        <v>#REF!</v>
      </c>
    </row>
    <row r="18" spans="1:6" hidden="1" outlineLevel="1">
      <c r="A18" s="349"/>
      <c r="B18" s="39">
        <f t="shared" si="0"/>
        <v>2017</v>
      </c>
      <c r="C18" s="59" t="e">
        <f>#REF!*1000/#REF!</f>
        <v>#REF!</v>
      </c>
      <c r="D18" s="59" t="e">
        <f>#REF!*1000/#REF!</f>
        <v>#REF!</v>
      </c>
      <c r="E18" s="41" t="e">
        <f t="shared" si="1"/>
        <v>#REF!</v>
      </c>
      <c r="F18" s="41" t="e">
        <f>INDEX(PrimaryEnergy!$M$10:$M$51,MATCH($B18,PrimaryEnergy!$B$10:$B$51,0))</f>
        <v>#REF!</v>
      </c>
    </row>
    <row r="19" spans="1:6" hidden="1" outlineLevel="1">
      <c r="A19" s="349"/>
      <c r="B19" s="39">
        <f t="shared" si="0"/>
        <v>2018</v>
      </c>
      <c r="C19" s="59" t="e">
        <f>#REF!*1000/#REF!</f>
        <v>#REF!</v>
      </c>
      <c r="D19" s="59" t="e">
        <f>#REF!*1000/#REF!</f>
        <v>#REF!</v>
      </c>
      <c r="E19" s="41" t="e">
        <f t="shared" si="1"/>
        <v>#REF!</v>
      </c>
      <c r="F19" s="41" t="e">
        <f>INDEX(PrimaryEnergy!$M$10:$M$51,MATCH($B19,PrimaryEnergy!$B$10:$B$51,0))</f>
        <v>#REF!</v>
      </c>
    </row>
    <row r="20" spans="1:6" hidden="1" outlineLevel="1">
      <c r="A20" s="349"/>
      <c r="B20" s="39">
        <f t="shared" si="0"/>
        <v>2019</v>
      </c>
      <c r="C20" s="59" t="e">
        <f>#REF!*1000/#REF!</f>
        <v>#REF!</v>
      </c>
      <c r="D20" s="59" t="e">
        <f>#REF!*1000/#REF!</f>
        <v>#REF!</v>
      </c>
      <c r="E20" s="41" t="e">
        <f t="shared" si="1"/>
        <v>#REF!</v>
      </c>
      <c r="F20" s="41" t="e">
        <f>INDEX(PrimaryEnergy!$M$10:$M$51,MATCH($B20,PrimaryEnergy!$B$10:$B$51,0))</f>
        <v>#REF!</v>
      </c>
    </row>
    <row r="21" spans="1:6" collapsed="1">
      <c r="A21" s="349"/>
      <c r="B21" s="39">
        <f>B11+10</f>
        <v>2020</v>
      </c>
      <c r="C21" s="59" t="e">
        <f>#REF!*1000/#REF!</f>
        <v>#REF!</v>
      </c>
      <c r="D21" s="59" t="e">
        <f>#REF!*1000/#REF!</f>
        <v>#REF!</v>
      </c>
      <c r="E21" s="41" t="e">
        <f t="shared" si="1"/>
        <v>#REF!</v>
      </c>
      <c r="F21" s="41" t="e">
        <f>INDEX(PrimaryEnergy!$M$10:$M$51,MATCH($B21,PrimaryEnergy!$B$10:$B$51,0))</f>
        <v>#REF!</v>
      </c>
    </row>
    <row r="22" spans="1:6" hidden="1" outlineLevel="1">
      <c r="A22" s="349"/>
      <c r="B22" s="39">
        <f t="shared" ref="B22:B30" si="2">B12+10</f>
        <v>2021</v>
      </c>
      <c r="C22" s="59" t="e">
        <f>#REF!*1000/#REF!</f>
        <v>#REF!</v>
      </c>
      <c r="D22" s="59" t="e">
        <f>#REF!*1000/#REF!</f>
        <v>#REF!</v>
      </c>
      <c r="E22" s="41" t="e">
        <f t="shared" si="1"/>
        <v>#REF!</v>
      </c>
      <c r="F22" s="41" t="e">
        <f>INDEX(PrimaryEnergy!$M$10:$M$51,MATCH($B22,PrimaryEnergy!$B$10:$B$51,0))</f>
        <v>#REF!</v>
      </c>
    </row>
    <row r="23" spans="1:6" hidden="1" outlineLevel="1">
      <c r="A23" s="349"/>
      <c r="B23" s="39">
        <f t="shared" si="2"/>
        <v>2022</v>
      </c>
      <c r="C23" s="59" t="e">
        <f>#REF!*1000/#REF!</f>
        <v>#REF!</v>
      </c>
      <c r="D23" s="59" t="e">
        <f>#REF!*1000/#REF!</f>
        <v>#REF!</v>
      </c>
      <c r="E23" s="41" t="e">
        <f t="shared" si="1"/>
        <v>#REF!</v>
      </c>
      <c r="F23" s="41" t="e">
        <f>INDEX(PrimaryEnergy!$M$10:$M$51,MATCH($B23,PrimaryEnergy!$B$10:$B$51,0))</f>
        <v>#REF!</v>
      </c>
    </row>
    <row r="24" spans="1:6" hidden="1" outlineLevel="1">
      <c r="A24" s="349"/>
      <c r="B24" s="39">
        <f t="shared" si="2"/>
        <v>2023</v>
      </c>
      <c r="C24" s="59" t="e">
        <f>#REF!*1000/#REF!</f>
        <v>#REF!</v>
      </c>
      <c r="D24" s="59" t="e">
        <f>#REF!*1000/#REF!</f>
        <v>#REF!</v>
      </c>
      <c r="E24" s="41" t="e">
        <f t="shared" si="1"/>
        <v>#REF!</v>
      </c>
      <c r="F24" s="41" t="e">
        <f>INDEX(PrimaryEnergy!$M$10:$M$51,MATCH($B24,PrimaryEnergy!$B$10:$B$51,0))</f>
        <v>#REF!</v>
      </c>
    </row>
    <row r="25" spans="1:6" hidden="1" outlineLevel="1">
      <c r="A25" s="349"/>
      <c r="B25" s="39">
        <f t="shared" si="2"/>
        <v>2024</v>
      </c>
      <c r="C25" s="59" t="e">
        <f>#REF!*1000/#REF!</f>
        <v>#REF!</v>
      </c>
      <c r="D25" s="59" t="e">
        <f>#REF!*1000/#REF!</f>
        <v>#REF!</v>
      </c>
      <c r="E25" s="41" t="e">
        <f t="shared" si="1"/>
        <v>#REF!</v>
      </c>
      <c r="F25" s="41" t="e">
        <f>INDEX(PrimaryEnergy!$M$10:$M$51,MATCH($B25,PrimaryEnergy!$B$10:$B$51,0))</f>
        <v>#REF!</v>
      </c>
    </row>
    <row r="26" spans="1:6" hidden="1" outlineLevel="1">
      <c r="A26" s="349"/>
      <c r="B26" s="39">
        <f t="shared" si="2"/>
        <v>2025</v>
      </c>
      <c r="C26" s="59" t="e">
        <f>#REF!*1000/#REF!</f>
        <v>#REF!</v>
      </c>
      <c r="D26" s="59" t="e">
        <f>#REF!*1000/#REF!</f>
        <v>#REF!</v>
      </c>
      <c r="E26" s="41" t="e">
        <f t="shared" si="1"/>
        <v>#REF!</v>
      </c>
      <c r="F26" s="41" t="e">
        <f>INDEX(PrimaryEnergy!$M$10:$M$51,MATCH($B26,PrimaryEnergy!$B$10:$B$51,0))</f>
        <v>#REF!</v>
      </c>
    </row>
    <row r="27" spans="1:6" hidden="1" outlineLevel="1">
      <c r="A27" s="349"/>
      <c r="B27" s="39">
        <f t="shared" si="2"/>
        <v>2026</v>
      </c>
      <c r="C27" s="59" t="e">
        <f>#REF!*1000/#REF!</f>
        <v>#REF!</v>
      </c>
      <c r="D27" s="59" t="e">
        <f>#REF!*1000/#REF!</f>
        <v>#REF!</v>
      </c>
      <c r="E27" s="41" t="e">
        <f t="shared" si="1"/>
        <v>#REF!</v>
      </c>
      <c r="F27" s="41" t="e">
        <f>INDEX(PrimaryEnergy!$M$10:$M$51,MATCH($B27,PrimaryEnergy!$B$10:$B$51,0))</f>
        <v>#REF!</v>
      </c>
    </row>
    <row r="28" spans="1:6" hidden="1" outlineLevel="1">
      <c r="A28" s="349"/>
      <c r="B28" s="39">
        <f t="shared" si="2"/>
        <v>2027</v>
      </c>
      <c r="C28" s="59" t="e">
        <f>#REF!*1000/#REF!</f>
        <v>#REF!</v>
      </c>
      <c r="D28" s="59" t="e">
        <f>#REF!*1000/#REF!</f>
        <v>#REF!</v>
      </c>
      <c r="E28" s="41" t="e">
        <f t="shared" si="1"/>
        <v>#REF!</v>
      </c>
      <c r="F28" s="41" t="e">
        <f>INDEX(PrimaryEnergy!$M$10:$M$51,MATCH($B28,PrimaryEnergy!$B$10:$B$51,0))</f>
        <v>#REF!</v>
      </c>
    </row>
    <row r="29" spans="1:6" hidden="1" outlineLevel="1">
      <c r="A29" s="349"/>
      <c r="B29" s="39">
        <f t="shared" si="2"/>
        <v>2028</v>
      </c>
      <c r="C29" s="59" t="e">
        <f>#REF!*1000/#REF!</f>
        <v>#REF!</v>
      </c>
      <c r="D29" s="59" t="e">
        <f>#REF!*1000/#REF!</f>
        <v>#REF!</v>
      </c>
      <c r="E29" s="41" t="e">
        <f t="shared" si="1"/>
        <v>#REF!</v>
      </c>
      <c r="F29" s="41" t="e">
        <f>INDEX(PrimaryEnergy!$M$10:$M$51,MATCH($B29,PrimaryEnergy!$B$10:$B$51,0))</f>
        <v>#REF!</v>
      </c>
    </row>
    <row r="30" spans="1:6" hidden="1" outlineLevel="1">
      <c r="A30" s="349"/>
      <c r="B30" s="39">
        <f t="shared" si="2"/>
        <v>2029</v>
      </c>
      <c r="C30" s="59" t="e">
        <f>#REF!*1000/#REF!</f>
        <v>#REF!</v>
      </c>
      <c r="D30" s="59" t="e">
        <f>#REF!*1000/#REF!</f>
        <v>#REF!</v>
      </c>
      <c r="E30" s="41" t="e">
        <f t="shared" si="1"/>
        <v>#REF!</v>
      </c>
      <c r="F30" s="41" t="e">
        <f>INDEX(PrimaryEnergy!$M$10:$M$51,MATCH($B30,PrimaryEnergy!$B$10:$B$51,0))</f>
        <v>#REF!</v>
      </c>
    </row>
    <row r="31" spans="1:6" collapsed="1">
      <c r="A31" s="349"/>
      <c r="B31" s="39">
        <f>B21+10</f>
        <v>2030</v>
      </c>
      <c r="C31" s="59" t="e">
        <f>#REF!*1000/#REF!</f>
        <v>#REF!</v>
      </c>
      <c r="D31" s="59" t="e">
        <f>#REF!*1000/#REF!</f>
        <v>#REF!</v>
      </c>
      <c r="E31" s="41" t="e">
        <f t="shared" si="1"/>
        <v>#REF!</v>
      </c>
      <c r="F31" s="41" t="e">
        <f>INDEX(PrimaryEnergy!$M$10:$M$51,MATCH($B31,PrimaryEnergy!$B$10:$B$51,0))</f>
        <v>#REF!</v>
      </c>
    </row>
    <row r="32" spans="1:6" hidden="1" outlineLevel="1">
      <c r="A32" s="349"/>
      <c r="B32" s="39">
        <f t="shared" ref="B32:B40" si="3">B22+10</f>
        <v>2031</v>
      </c>
      <c r="C32" s="59" t="e">
        <f>#REF!*1000/#REF!</f>
        <v>#REF!</v>
      </c>
      <c r="D32" s="59" t="e">
        <f>#REF!*1000/#REF!</f>
        <v>#REF!</v>
      </c>
      <c r="E32" s="41" t="e">
        <f t="shared" si="1"/>
        <v>#REF!</v>
      </c>
      <c r="F32" s="41" t="e">
        <f>INDEX(PrimaryEnergy!$M$10:$M$51,MATCH($B32,PrimaryEnergy!$B$10:$B$51,0))</f>
        <v>#REF!</v>
      </c>
    </row>
    <row r="33" spans="1:6" hidden="1" outlineLevel="1">
      <c r="A33" s="349"/>
      <c r="B33" s="39">
        <f t="shared" si="3"/>
        <v>2032</v>
      </c>
      <c r="C33" s="59" t="e">
        <f>#REF!*1000/#REF!</f>
        <v>#REF!</v>
      </c>
      <c r="D33" s="59" t="e">
        <f>#REF!*1000/#REF!</f>
        <v>#REF!</v>
      </c>
      <c r="E33" s="41" t="e">
        <f t="shared" si="1"/>
        <v>#REF!</v>
      </c>
      <c r="F33" s="41" t="e">
        <f>INDEX(PrimaryEnergy!$M$10:$M$51,MATCH($B33,PrimaryEnergy!$B$10:$B$51,0))</f>
        <v>#REF!</v>
      </c>
    </row>
    <row r="34" spans="1:6" hidden="1" outlineLevel="1">
      <c r="A34" s="349"/>
      <c r="B34" s="39">
        <f t="shared" si="3"/>
        <v>2033</v>
      </c>
      <c r="C34" s="59" t="e">
        <f>#REF!*1000/#REF!</f>
        <v>#REF!</v>
      </c>
      <c r="D34" s="59" t="e">
        <f>#REF!*1000/#REF!</f>
        <v>#REF!</v>
      </c>
      <c r="E34" s="41" t="e">
        <f t="shared" si="1"/>
        <v>#REF!</v>
      </c>
      <c r="F34" s="41" t="e">
        <f>INDEX(PrimaryEnergy!$M$10:$M$51,MATCH($B34,PrimaryEnergy!$B$10:$B$51,0))</f>
        <v>#REF!</v>
      </c>
    </row>
    <row r="35" spans="1:6" hidden="1" outlineLevel="1">
      <c r="A35" s="349"/>
      <c r="B35" s="39">
        <f t="shared" si="3"/>
        <v>2034</v>
      </c>
      <c r="C35" s="59" t="e">
        <f>#REF!*1000/#REF!</f>
        <v>#REF!</v>
      </c>
      <c r="D35" s="59" t="e">
        <f>#REF!*1000/#REF!</f>
        <v>#REF!</v>
      </c>
      <c r="E35" s="41" t="e">
        <f t="shared" si="1"/>
        <v>#REF!</v>
      </c>
      <c r="F35" s="41" t="e">
        <f>INDEX(PrimaryEnergy!$M$10:$M$51,MATCH($B35,PrimaryEnergy!$B$10:$B$51,0))</f>
        <v>#REF!</v>
      </c>
    </row>
    <row r="36" spans="1:6" hidden="1" outlineLevel="1">
      <c r="A36" s="349"/>
      <c r="B36" s="39">
        <f t="shared" si="3"/>
        <v>2035</v>
      </c>
      <c r="C36" s="59" t="e">
        <f>#REF!*1000/#REF!</f>
        <v>#REF!</v>
      </c>
      <c r="D36" s="59" t="e">
        <f>#REF!*1000/#REF!</f>
        <v>#REF!</v>
      </c>
      <c r="E36" s="41" t="e">
        <f t="shared" si="1"/>
        <v>#REF!</v>
      </c>
      <c r="F36" s="41" t="e">
        <f>INDEX(PrimaryEnergy!$M$10:$M$51,MATCH($B36,PrimaryEnergy!$B$10:$B$51,0))</f>
        <v>#REF!</v>
      </c>
    </row>
    <row r="37" spans="1:6" hidden="1" outlineLevel="1">
      <c r="A37" s="349"/>
      <c r="B37" s="39">
        <f t="shared" si="3"/>
        <v>2036</v>
      </c>
      <c r="C37" s="59" t="e">
        <f>#REF!*1000/#REF!</f>
        <v>#REF!</v>
      </c>
      <c r="D37" s="59" t="e">
        <f>#REF!*1000/#REF!</f>
        <v>#REF!</v>
      </c>
      <c r="E37" s="41" t="e">
        <f t="shared" si="1"/>
        <v>#REF!</v>
      </c>
      <c r="F37" s="41" t="e">
        <f>INDEX(PrimaryEnergy!$M$10:$M$51,MATCH($B37,PrimaryEnergy!$B$10:$B$51,0))</f>
        <v>#REF!</v>
      </c>
    </row>
    <row r="38" spans="1:6" hidden="1" outlineLevel="1">
      <c r="A38" s="349"/>
      <c r="B38" s="39">
        <f t="shared" si="3"/>
        <v>2037</v>
      </c>
      <c r="C38" s="59" t="e">
        <f>#REF!*1000/#REF!</f>
        <v>#REF!</v>
      </c>
      <c r="D38" s="59" t="e">
        <f>#REF!*1000/#REF!</f>
        <v>#REF!</v>
      </c>
      <c r="E38" s="41" t="e">
        <f t="shared" si="1"/>
        <v>#REF!</v>
      </c>
      <c r="F38" s="41" t="e">
        <f>INDEX(PrimaryEnergy!$M$10:$M$51,MATCH($B38,PrimaryEnergy!$B$10:$B$51,0))</f>
        <v>#REF!</v>
      </c>
    </row>
    <row r="39" spans="1:6" hidden="1" outlineLevel="1">
      <c r="A39" s="349"/>
      <c r="B39" s="39">
        <f t="shared" si="3"/>
        <v>2038</v>
      </c>
      <c r="C39" s="59" t="e">
        <f>#REF!*1000/#REF!</f>
        <v>#REF!</v>
      </c>
      <c r="D39" s="59" t="e">
        <f>#REF!*1000/#REF!</f>
        <v>#REF!</v>
      </c>
      <c r="E39" s="41" t="e">
        <f t="shared" si="1"/>
        <v>#REF!</v>
      </c>
      <c r="F39" s="41" t="e">
        <f>INDEX(PrimaryEnergy!$M$10:$M$51,MATCH($B39,PrimaryEnergy!$B$10:$B$51,0))</f>
        <v>#REF!</v>
      </c>
    </row>
    <row r="40" spans="1:6" hidden="1" outlineLevel="1">
      <c r="A40" s="349"/>
      <c r="B40" s="39">
        <f t="shared" si="3"/>
        <v>2039</v>
      </c>
      <c r="C40" s="59" t="e">
        <f>#REF!*1000/#REF!</f>
        <v>#REF!</v>
      </c>
      <c r="D40" s="59" t="e">
        <f>#REF!*1000/#REF!</f>
        <v>#REF!</v>
      </c>
      <c r="E40" s="41" t="e">
        <f t="shared" si="1"/>
        <v>#REF!</v>
      </c>
      <c r="F40" s="41" t="e">
        <f>INDEX(PrimaryEnergy!$M$10:$M$51,MATCH($B40,PrimaryEnergy!$B$10:$B$51,0))</f>
        <v>#REF!</v>
      </c>
    </row>
    <row r="41" spans="1:6" collapsed="1">
      <c r="A41" s="349"/>
      <c r="B41" s="39">
        <f>B31+10</f>
        <v>2040</v>
      </c>
      <c r="C41" s="59" t="e">
        <f>#REF!*1000/#REF!</f>
        <v>#REF!</v>
      </c>
      <c r="D41" s="59" t="e">
        <f>#REF!*1000/#REF!</f>
        <v>#REF!</v>
      </c>
      <c r="E41" s="41" t="e">
        <f t="shared" si="1"/>
        <v>#REF!</v>
      </c>
      <c r="F41" s="41" t="e">
        <f>INDEX(PrimaryEnergy!$M$10:$M$51,MATCH($B41,PrimaryEnergy!$B$10:$B$51,0))</f>
        <v>#REF!</v>
      </c>
    </row>
    <row r="42" spans="1:6" hidden="1" outlineLevel="1">
      <c r="A42" s="349"/>
      <c r="B42" s="39">
        <f t="shared" ref="B42:B50" si="4">B32+10</f>
        <v>2041</v>
      </c>
      <c r="C42" s="59" t="e">
        <f>#REF!*1000/#REF!</f>
        <v>#REF!</v>
      </c>
      <c r="D42" s="59" t="e">
        <f>#REF!*1000/#REF!</f>
        <v>#REF!</v>
      </c>
      <c r="E42" s="41" t="e">
        <f t="shared" si="1"/>
        <v>#REF!</v>
      </c>
      <c r="F42" s="41" t="e">
        <f>INDEX(PrimaryEnergy!$M$10:$M$51,MATCH($B42,PrimaryEnergy!$B$10:$B$51,0))</f>
        <v>#REF!</v>
      </c>
    </row>
    <row r="43" spans="1:6" hidden="1" outlineLevel="1">
      <c r="A43" s="349"/>
      <c r="B43" s="39">
        <f t="shared" si="4"/>
        <v>2042</v>
      </c>
      <c r="C43" s="59" t="e">
        <f>#REF!*1000/#REF!</f>
        <v>#REF!</v>
      </c>
      <c r="D43" s="59" t="e">
        <f>#REF!*1000/#REF!</f>
        <v>#REF!</v>
      </c>
      <c r="E43" s="41" t="e">
        <f t="shared" si="1"/>
        <v>#REF!</v>
      </c>
      <c r="F43" s="41" t="e">
        <f>INDEX(PrimaryEnergy!$M$10:$M$51,MATCH($B43,PrimaryEnergy!$B$10:$B$51,0))</f>
        <v>#REF!</v>
      </c>
    </row>
    <row r="44" spans="1:6" hidden="1" outlineLevel="1">
      <c r="A44" s="349"/>
      <c r="B44" s="39">
        <f t="shared" si="4"/>
        <v>2043</v>
      </c>
      <c r="C44" s="59" t="e">
        <f>#REF!*1000/#REF!</f>
        <v>#REF!</v>
      </c>
      <c r="D44" s="59" t="e">
        <f>#REF!*1000/#REF!</f>
        <v>#REF!</v>
      </c>
      <c r="E44" s="41" t="e">
        <f t="shared" si="1"/>
        <v>#REF!</v>
      </c>
      <c r="F44" s="41" t="e">
        <f>INDEX(PrimaryEnergy!$M$10:$M$51,MATCH($B44,PrimaryEnergy!$B$10:$B$51,0))</f>
        <v>#REF!</v>
      </c>
    </row>
    <row r="45" spans="1:6" hidden="1" outlineLevel="1">
      <c r="A45" s="349"/>
      <c r="B45" s="39">
        <f t="shared" si="4"/>
        <v>2044</v>
      </c>
      <c r="C45" s="59" t="e">
        <f>#REF!*1000/#REF!</f>
        <v>#REF!</v>
      </c>
      <c r="D45" s="59" t="e">
        <f>#REF!*1000/#REF!</f>
        <v>#REF!</v>
      </c>
      <c r="E45" s="41" t="e">
        <f t="shared" si="1"/>
        <v>#REF!</v>
      </c>
      <c r="F45" s="41" t="e">
        <f>INDEX(PrimaryEnergy!$M$10:$M$51,MATCH($B45,PrimaryEnergy!$B$10:$B$51,0))</f>
        <v>#REF!</v>
      </c>
    </row>
    <row r="46" spans="1:6" hidden="1" outlineLevel="1">
      <c r="A46" s="349"/>
      <c r="B46" s="39">
        <f t="shared" si="4"/>
        <v>2045</v>
      </c>
      <c r="C46" s="59" t="e">
        <f>#REF!*1000/#REF!</f>
        <v>#REF!</v>
      </c>
      <c r="D46" s="59" t="e">
        <f>#REF!*1000/#REF!</f>
        <v>#REF!</v>
      </c>
      <c r="E46" s="41" t="e">
        <f t="shared" si="1"/>
        <v>#REF!</v>
      </c>
      <c r="F46" s="41" t="e">
        <f>INDEX(PrimaryEnergy!$M$10:$M$51,MATCH($B46,PrimaryEnergy!$B$10:$B$51,0))</f>
        <v>#REF!</v>
      </c>
    </row>
    <row r="47" spans="1:6" hidden="1" outlineLevel="1">
      <c r="A47" s="349"/>
      <c r="B47" s="39">
        <f t="shared" si="4"/>
        <v>2046</v>
      </c>
      <c r="C47" s="59" t="e">
        <f>#REF!*1000/#REF!</f>
        <v>#REF!</v>
      </c>
      <c r="D47" s="59" t="e">
        <f>#REF!*1000/#REF!</f>
        <v>#REF!</v>
      </c>
      <c r="E47" s="41" t="e">
        <f t="shared" si="1"/>
        <v>#REF!</v>
      </c>
      <c r="F47" s="41" t="e">
        <f>INDEX(PrimaryEnergy!$M$10:$M$51,MATCH($B47,PrimaryEnergy!$B$10:$B$51,0))</f>
        <v>#REF!</v>
      </c>
    </row>
    <row r="48" spans="1:6" hidden="1" outlineLevel="1">
      <c r="A48" s="349"/>
      <c r="B48" s="39">
        <f t="shared" si="4"/>
        <v>2047</v>
      </c>
      <c r="C48" s="59" t="e">
        <f>#REF!*1000/#REF!</f>
        <v>#REF!</v>
      </c>
      <c r="D48" s="59" t="e">
        <f>#REF!*1000/#REF!</f>
        <v>#REF!</v>
      </c>
      <c r="E48" s="41" t="e">
        <f t="shared" si="1"/>
        <v>#REF!</v>
      </c>
      <c r="F48" s="41" t="e">
        <f>INDEX(PrimaryEnergy!$M$10:$M$51,MATCH($B48,PrimaryEnergy!$B$10:$B$51,0))</f>
        <v>#REF!</v>
      </c>
    </row>
    <row r="49" spans="1:6" hidden="1" outlineLevel="1">
      <c r="A49" s="349"/>
      <c r="B49" s="39">
        <f t="shared" si="4"/>
        <v>2048</v>
      </c>
      <c r="C49" s="59" t="e">
        <f>#REF!*1000/#REF!</f>
        <v>#REF!</v>
      </c>
      <c r="D49" s="59" t="e">
        <f>#REF!*1000/#REF!</f>
        <v>#REF!</v>
      </c>
      <c r="E49" s="41" t="e">
        <f t="shared" si="1"/>
        <v>#REF!</v>
      </c>
      <c r="F49" s="41" t="e">
        <f>INDEX(PrimaryEnergy!$M$10:$M$51,MATCH($B49,PrimaryEnergy!$B$10:$B$51,0))</f>
        <v>#REF!</v>
      </c>
    </row>
    <row r="50" spans="1:6" hidden="1" outlineLevel="1">
      <c r="A50" s="349"/>
      <c r="B50" s="39">
        <f t="shared" si="4"/>
        <v>2049</v>
      </c>
      <c r="C50" s="59" t="e">
        <f>#REF!*1000/#REF!</f>
        <v>#REF!</v>
      </c>
      <c r="D50" s="59" t="e">
        <f>#REF!*1000/#REF!</f>
        <v>#REF!</v>
      </c>
      <c r="E50" s="41" t="e">
        <f t="shared" si="1"/>
        <v>#REF!</v>
      </c>
      <c r="F50" s="41" t="e">
        <f>INDEX(PrimaryEnergy!$M$10:$M$51,MATCH($B50,PrimaryEnergy!$B$10:$B$51,0))</f>
        <v>#REF!</v>
      </c>
    </row>
    <row r="51" spans="1:6" collapsed="1">
      <c r="A51" s="349"/>
      <c r="B51" s="39">
        <f>B41+10</f>
        <v>2050</v>
      </c>
      <c r="C51" s="59" t="e">
        <f>#REF!*1000/#REF!</f>
        <v>#REF!</v>
      </c>
      <c r="D51" s="59" t="e">
        <f>#REF!*1000/#REF!</f>
        <v>#REF!</v>
      </c>
      <c r="E51" s="41" t="e">
        <f t="shared" si="1"/>
        <v>#REF!</v>
      </c>
      <c r="F51" s="41" t="e">
        <f>INDEX(PrimaryEnergy!$M$10:$M$51,MATCH($B51,PrimaryEnergy!$B$10:$B$51,0))</f>
        <v>#REF!</v>
      </c>
    </row>
  </sheetData>
  <mergeCells count="3">
    <mergeCell ref="F2:F3"/>
    <mergeCell ref="C2:E2"/>
    <mergeCell ref="C1:E1"/>
  </mergeCells>
  <hyperlinks>
    <hyperlink ref="C1:D1" location="PrimaryEnergy!A1" display="Link to Detail"/>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Sheet17"/>
  <dimension ref="B1:P51"/>
  <sheetViews>
    <sheetView workbookViewId="0">
      <pane xSplit="2" ySplit="4" topLeftCell="C5" activePane="bottomRight" state="frozen"/>
      <selection activeCell="I1" sqref="I1:P1"/>
      <selection pane="topRight" activeCell="I1" sqref="I1:P1"/>
      <selection pane="bottomLeft" activeCell="I1" sqref="I1:P1"/>
      <selection pane="bottomRight" activeCell="I1" sqref="I1:P1"/>
    </sheetView>
  </sheetViews>
  <sheetFormatPr defaultRowHeight="15"/>
  <cols>
    <col min="1" max="1" width="2.85546875" style="10" customWidth="1"/>
    <col min="2" max="2" width="9.140625" style="10"/>
    <col min="3" max="3" width="12.85546875" style="10" customWidth="1"/>
    <col min="4" max="4" width="9.7109375" style="10" customWidth="1"/>
    <col min="5" max="6" width="12.85546875" style="10" customWidth="1"/>
    <col min="7" max="7" width="10.7109375" style="10" customWidth="1"/>
    <col min="8" max="8" width="17.7109375" style="16" customWidth="1"/>
    <col min="9" max="9" width="9.7109375" style="16" bestFit="1" customWidth="1"/>
    <col min="10" max="13" width="12.85546875" style="10" customWidth="1"/>
    <col min="14" max="14" width="5" style="10" customWidth="1"/>
    <col min="15" max="17" width="18.5703125" style="10" customWidth="1"/>
    <col min="18" max="16384" width="9.140625" style="10"/>
  </cols>
  <sheetData>
    <row r="1" spans="2:16" ht="18.75" customHeight="1">
      <c r="C1" s="1600" t="s">
        <v>144</v>
      </c>
      <c r="D1" s="1600"/>
      <c r="E1" s="1600"/>
      <c r="F1" s="1604" t="s">
        <v>217</v>
      </c>
      <c r="G1" s="1604"/>
      <c r="H1" s="1604"/>
      <c r="I1" s="1604"/>
    </row>
    <row r="2" spans="2:16">
      <c r="C2" s="1581" t="e">
        <f>#REF!</f>
        <v>#REF!</v>
      </c>
      <c r="D2" s="1603"/>
      <c r="E2" s="1582"/>
      <c r="F2" s="1582"/>
      <c r="G2" s="1582"/>
      <c r="H2" s="1582"/>
      <c r="I2" s="1582"/>
      <c r="J2" s="1601" t="s">
        <v>117</v>
      </c>
      <c r="K2" s="1601" t="s">
        <v>118</v>
      </c>
      <c r="L2" s="1601" t="s">
        <v>114</v>
      </c>
      <c r="M2" s="1595" t="s">
        <v>119</v>
      </c>
    </row>
    <row r="3" spans="2:16" ht="30">
      <c r="C3" s="1" t="s">
        <v>58</v>
      </c>
      <c r="D3" s="104" t="s">
        <v>61</v>
      </c>
      <c r="E3" s="2" t="s">
        <v>59</v>
      </c>
      <c r="F3" s="2" t="s">
        <v>59</v>
      </c>
      <c r="G3" s="2" t="s">
        <v>64</v>
      </c>
      <c r="H3" s="6" t="s">
        <v>65</v>
      </c>
      <c r="I3" s="6" t="s">
        <v>66</v>
      </c>
      <c r="J3" s="1602"/>
      <c r="K3" s="1602"/>
      <c r="L3" s="1602"/>
      <c r="M3" s="1596"/>
    </row>
    <row r="4" spans="2:16">
      <c r="B4" s="5" t="s">
        <v>3</v>
      </c>
      <c r="C4" s="3" t="s">
        <v>63</v>
      </c>
      <c r="D4" s="4" t="s">
        <v>62</v>
      </c>
      <c r="E4" s="3" t="s">
        <v>60</v>
      </c>
      <c r="F4" s="3" t="s">
        <v>63</v>
      </c>
      <c r="G4" s="3" t="s">
        <v>62</v>
      </c>
      <c r="H4" s="7" t="s">
        <v>63</v>
      </c>
      <c r="I4" s="7" t="s">
        <v>62</v>
      </c>
      <c r="J4" s="7" t="s">
        <v>63</v>
      </c>
      <c r="K4" s="7" t="s">
        <v>63</v>
      </c>
      <c r="L4" s="7" t="s">
        <v>63</v>
      </c>
      <c r="M4" s="144" t="s">
        <v>62</v>
      </c>
    </row>
    <row r="5" spans="2:16">
      <c r="B5" s="11">
        <v>2004</v>
      </c>
      <c r="C5" s="59" t="e">
        <f t="shared" ref="C5:E6" si="0">TREND(C$8:C$9,$B$8:$B$9,$B5)</f>
        <v>#VALUE!</v>
      </c>
      <c r="D5" s="59" t="e">
        <f>C5/CampusArea!F6*1000</f>
        <v>#VALUE!</v>
      </c>
      <c r="E5" s="59" t="e">
        <f t="shared" si="0"/>
        <v>#VALUE!</v>
      </c>
      <c r="F5" s="59" t="e">
        <f>E5*BTU_Electric_per_kWh/1000</f>
        <v>#VALUE!</v>
      </c>
      <c r="G5" s="59" t="e">
        <f>F5/CampusArea!F6*1000</f>
        <v>#VALUE!</v>
      </c>
      <c r="H5" s="103" t="e">
        <f t="shared" ref="H5:I8" si="1">F5+C5</f>
        <v>#VALUE!</v>
      </c>
      <c r="I5" s="103" t="e">
        <f t="shared" si="1"/>
        <v>#VALUE!</v>
      </c>
      <c r="J5" s="103" t="e">
        <f t="shared" ref="J5:J10" si="2">SUM(C5)</f>
        <v>#VALUE!</v>
      </c>
      <c r="K5" s="103" t="e">
        <f t="shared" ref="K5:K10" si="3">SUM(F5)</f>
        <v>#VALUE!</v>
      </c>
      <c r="L5" s="103" t="e">
        <f>IF(SUM(J5:K5)=0,NA(),SUM(J5:K5))</f>
        <v>#VALUE!</v>
      </c>
      <c r="M5" s="103" t="e">
        <f>L5/CampusArea!G6*1000</f>
        <v>#VALUE!</v>
      </c>
      <c r="O5" s="20"/>
      <c r="P5" s="142"/>
    </row>
    <row r="6" spans="2:16">
      <c r="B6" s="13">
        <f>B5+1</f>
        <v>2005</v>
      </c>
      <c r="C6" s="59" t="e">
        <f t="shared" si="0"/>
        <v>#VALUE!</v>
      </c>
      <c r="D6" s="59" t="e">
        <f>C6/CampusArea!F7*1000</f>
        <v>#VALUE!</v>
      </c>
      <c r="E6" s="59" t="e">
        <f t="shared" si="0"/>
        <v>#VALUE!</v>
      </c>
      <c r="F6" s="59" t="e">
        <f>E6*BTU_Electric_per_kWh/1000</f>
        <v>#VALUE!</v>
      </c>
      <c r="G6" s="59" t="e">
        <f>F6/CampusArea!F7*1000</f>
        <v>#VALUE!</v>
      </c>
      <c r="H6" s="103" t="e">
        <f t="shared" si="1"/>
        <v>#VALUE!</v>
      </c>
      <c r="I6" s="103" t="e">
        <f t="shared" si="1"/>
        <v>#VALUE!</v>
      </c>
      <c r="J6" s="103" t="e">
        <f t="shared" si="2"/>
        <v>#VALUE!</v>
      </c>
      <c r="K6" s="103" t="e">
        <f t="shared" si="3"/>
        <v>#VALUE!</v>
      </c>
      <c r="L6" s="103" t="e">
        <f t="shared" ref="L6:L51" si="4">IF(SUM(J6:K6)=0,NA(),SUM(J6:K6))</f>
        <v>#VALUE!</v>
      </c>
      <c r="M6" s="103" t="e">
        <f>L6/CampusArea!G7*1000</f>
        <v>#VALUE!</v>
      </c>
    </row>
    <row r="7" spans="2:16">
      <c r="B7" s="13">
        <f t="shared" ref="B7:B51" si="5">B6+1</f>
        <v>2006</v>
      </c>
      <c r="C7" s="59" t="e">
        <f>TREND(C$8:C$9,$B$8:$B$9,$B7)</f>
        <v>#VALUE!</v>
      </c>
      <c r="D7" s="59" t="e">
        <f>C7/CampusArea!F8*1000</f>
        <v>#VALUE!</v>
      </c>
      <c r="E7" s="59" t="e">
        <f>TREND(E$8:E$9,$B$8:$B$9,$B7)</f>
        <v>#VALUE!</v>
      </c>
      <c r="F7" s="59" t="e">
        <f>E7*BTU_Electric_per_kWh/1000</f>
        <v>#VALUE!</v>
      </c>
      <c r="G7" s="59" t="e">
        <f>F7/CampusArea!F8*1000</f>
        <v>#VALUE!</v>
      </c>
      <c r="H7" s="103" t="e">
        <f t="shared" si="1"/>
        <v>#VALUE!</v>
      </c>
      <c r="I7" s="103" t="e">
        <f t="shared" si="1"/>
        <v>#VALUE!</v>
      </c>
      <c r="J7" s="103" t="e">
        <f t="shared" si="2"/>
        <v>#VALUE!</v>
      </c>
      <c r="K7" s="103" t="e">
        <f t="shared" si="3"/>
        <v>#VALUE!</v>
      </c>
      <c r="L7" s="103" t="e">
        <f t="shared" si="4"/>
        <v>#VALUE!</v>
      </c>
      <c r="M7" s="103" t="e">
        <f>L7/CampusArea!G8*1000</f>
        <v>#VALUE!</v>
      </c>
    </row>
    <row r="8" spans="2:16">
      <c r="B8" s="13">
        <f t="shared" si="5"/>
        <v>2007</v>
      </c>
      <c r="C8" s="141" t="e">
        <f>SUMIF(#REF!,$C$2,#REF!)/ThermsperMMBTU</f>
        <v>#REF!</v>
      </c>
      <c r="D8" s="141" t="e">
        <f>C8/CampusArea!F9*1000</f>
        <v>#REF!</v>
      </c>
      <c r="E8" s="141" t="e">
        <f>SUM(#REF!)/1000</f>
        <v>#REF!</v>
      </c>
      <c r="F8" s="141" t="e">
        <f>E8*BTU_Electric_per_kWh/1000</f>
        <v>#REF!</v>
      </c>
      <c r="G8" s="141" t="e">
        <f>F8/CampusArea!F9*1000</f>
        <v>#REF!</v>
      </c>
      <c r="H8" s="143" t="e">
        <f t="shared" si="1"/>
        <v>#REF!</v>
      </c>
      <c r="I8" s="143" t="e">
        <f t="shared" si="1"/>
        <v>#REF!</v>
      </c>
      <c r="J8" s="143" t="e">
        <f t="shared" si="2"/>
        <v>#REF!</v>
      </c>
      <c r="K8" s="143" t="e">
        <f t="shared" si="3"/>
        <v>#REF!</v>
      </c>
      <c r="L8" s="143" t="e">
        <f t="shared" si="4"/>
        <v>#REF!</v>
      </c>
      <c r="M8" s="143" t="e">
        <f>L8/CampusArea!G9*1000</f>
        <v>#REF!</v>
      </c>
    </row>
    <row r="9" spans="2:16">
      <c r="B9" s="13">
        <f t="shared" si="5"/>
        <v>2008</v>
      </c>
      <c r="C9" s="141" t="e">
        <f>SUMIF(#REF!,$C$2,#REF!)/ThermsperMMBTU</f>
        <v>#REF!</v>
      </c>
      <c r="D9" s="141" t="e">
        <f>C9/CampusArea!F10*1000</f>
        <v>#REF!</v>
      </c>
      <c r="E9" s="141" t="e">
        <f>SUM(#REF!)/1000</f>
        <v>#REF!</v>
      </c>
      <c r="F9" s="141" t="e">
        <f>E9*BTU_Electric_per_kWh/1000</f>
        <v>#REF!</v>
      </c>
      <c r="G9" s="141" t="e">
        <f>F9/CampusArea!F10*1000</f>
        <v>#REF!</v>
      </c>
      <c r="H9" s="143" t="e">
        <f t="shared" ref="H9:H51" si="6">F9+C9</f>
        <v>#REF!</v>
      </c>
      <c r="I9" s="143" t="e">
        <f t="shared" ref="I9:I51" si="7">G9+D9</f>
        <v>#REF!</v>
      </c>
      <c r="J9" s="143" t="e">
        <f t="shared" si="2"/>
        <v>#REF!</v>
      </c>
      <c r="K9" s="143" t="e">
        <f t="shared" si="3"/>
        <v>#REF!</v>
      </c>
      <c r="L9" s="143" t="e">
        <f t="shared" si="4"/>
        <v>#REF!</v>
      </c>
      <c r="M9" s="143" t="e">
        <f>L9/CampusArea!G10*1000</f>
        <v>#REF!</v>
      </c>
    </row>
    <row r="10" spans="2:16">
      <c r="B10" s="13">
        <f t="shared" si="5"/>
        <v>2009</v>
      </c>
      <c r="C10" s="40" t="e">
        <f>D10/1000*CampusArea!F11</f>
        <v>#REF!</v>
      </c>
      <c r="D10" s="40" t="e">
        <f>IFERROR(INDEX(PrimaryEnergyInputs!$C$10:$C$51,MATCH($B10,PrimaryEnergyInputs!$B$10:$B$51,0)),(INDEX(PrimaryEnergyInputs!$C$10:$C$51,MATCH($B10,PrimaryEnergyInputs!$B$10:$B$51,1)+1)-INDEX(PrimaryEnergyInputs!$C$10:$C$51,MATCH($B10,PrimaryEnergyInputs!$B$10:$B$51,1)))/10+D9)</f>
        <v>#REF!</v>
      </c>
      <c r="E10" s="40" t="e">
        <f t="shared" ref="E10:E51" si="8">F10*1000/BTU_Electric_per_kWh</f>
        <v>#REF!</v>
      </c>
      <c r="F10" s="40" t="e">
        <f>G10/1000*CampusArea!F11</f>
        <v>#REF!</v>
      </c>
      <c r="G10" s="40" t="e">
        <f>IFERROR(INDEX(PrimaryEnergyInputs!$D$10:$D$51,MATCH($B10,PrimaryEnergyInputs!$B$10:$B$51,0)),(INDEX(PrimaryEnergyInputs!$D$10:$D$51,MATCH($B10,PrimaryEnergyInputs!$B$10:$B$51,1)+1)-INDEX(PrimaryEnergyInputs!$D$10:$D$51,MATCH($B10,PrimaryEnergyInputs!$B$10:$B$51,1)))/10+G9)</f>
        <v>#REF!</v>
      </c>
      <c r="H10" s="41" t="e">
        <f t="shared" si="6"/>
        <v>#REF!</v>
      </c>
      <c r="I10" s="41" t="e">
        <f t="shared" si="7"/>
        <v>#REF!</v>
      </c>
      <c r="J10" s="47" t="e">
        <f t="shared" si="2"/>
        <v>#REF!</v>
      </c>
      <c r="K10" s="47" t="e">
        <f t="shared" si="3"/>
        <v>#REF!</v>
      </c>
      <c r="L10" s="47" t="e">
        <f t="shared" si="4"/>
        <v>#REF!</v>
      </c>
      <c r="M10" s="47" t="e">
        <f>L10/CampusArea!G11*1000</f>
        <v>#REF!</v>
      </c>
    </row>
    <row r="11" spans="2:16">
      <c r="B11" s="13">
        <f t="shared" si="5"/>
        <v>2010</v>
      </c>
      <c r="C11" s="40" t="e">
        <f>D11/1000*#REF!</f>
        <v>#REF!</v>
      </c>
      <c r="D11" s="40" t="e">
        <f>PrimaryEnergyInputs!C11</f>
        <v>#REF!</v>
      </c>
      <c r="E11" s="40" t="e">
        <f t="shared" si="8"/>
        <v>#REF!</v>
      </c>
      <c r="F11" s="40" t="e">
        <f>G11/1000*CampusArea!F12</f>
        <v>#REF!</v>
      </c>
      <c r="G11" s="40" t="e">
        <f>PrimaryEnergyInputs!D11</f>
        <v>#REF!</v>
      </c>
      <c r="H11" s="41" t="e">
        <f t="shared" si="6"/>
        <v>#REF!</v>
      </c>
      <c r="I11" s="41" t="e">
        <f t="shared" si="7"/>
        <v>#REF!</v>
      </c>
      <c r="J11" s="47" t="e">
        <f t="shared" ref="J11:J51" si="9">SUM(C11)</f>
        <v>#REF!</v>
      </c>
      <c r="K11" s="47" t="e">
        <f t="shared" ref="K11:K51" si="10">SUM(F11)</f>
        <v>#REF!</v>
      </c>
      <c r="L11" s="47" t="e">
        <f t="shared" si="4"/>
        <v>#REF!</v>
      </c>
      <c r="M11" s="47" t="e">
        <f>L11/CampusArea!G12*1000</f>
        <v>#REF!</v>
      </c>
    </row>
    <row r="12" spans="2:16">
      <c r="B12" s="13">
        <f t="shared" si="5"/>
        <v>2011</v>
      </c>
      <c r="C12" s="40" t="e">
        <f>D12/1000*#REF!</f>
        <v>#REF!</v>
      </c>
      <c r="D12" s="40" t="e">
        <f>PrimaryEnergyInputs!C12</f>
        <v>#REF!</v>
      </c>
      <c r="E12" s="40" t="e">
        <f t="shared" si="8"/>
        <v>#REF!</v>
      </c>
      <c r="F12" s="40" t="e">
        <f>G12/1000*CampusArea!F13</f>
        <v>#REF!</v>
      </c>
      <c r="G12" s="40" t="e">
        <f>PrimaryEnergyInputs!D12</f>
        <v>#REF!</v>
      </c>
      <c r="H12" s="41" t="e">
        <f t="shared" si="6"/>
        <v>#REF!</v>
      </c>
      <c r="I12" s="41" t="e">
        <f t="shared" si="7"/>
        <v>#REF!</v>
      </c>
      <c r="J12" s="47" t="e">
        <f t="shared" si="9"/>
        <v>#REF!</v>
      </c>
      <c r="K12" s="47" t="e">
        <f t="shared" si="10"/>
        <v>#REF!</v>
      </c>
      <c r="L12" s="47" t="e">
        <f t="shared" si="4"/>
        <v>#REF!</v>
      </c>
      <c r="M12" s="47" t="e">
        <f>L12/CampusArea!G13*1000</f>
        <v>#REF!</v>
      </c>
    </row>
    <row r="13" spans="2:16">
      <c r="B13" s="13">
        <f t="shared" si="5"/>
        <v>2012</v>
      </c>
      <c r="C13" s="40" t="e">
        <f>D13/1000*#REF!</f>
        <v>#REF!</v>
      </c>
      <c r="D13" s="40" t="e">
        <f>PrimaryEnergyInputs!C13</f>
        <v>#REF!</v>
      </c>
      <c r="E13" s="40" t="e">
        <f t="shared" si="8"/>
        <v>#REF!</v>
      </c>
      <c r="F13" s="40" t="e">
        <f>G13/1000*CampusArea!F14</f>
        <v>#REF!</v>
      </c>
      <c r="G13" s="40" t="e">
        <f>PrimaryEnergyInputs!D13</f>
        <v>#REF!</v>
      </c>
      <c r="H13" s="41" t="e">
        <f t="shared" si="6"/>
        <v>#REF!</v>
      </c>
      <c r="I13" s="41" t="e">
        <f t="shared" si="7"/>
        <v>#REF!</v>
      </c>
      <c r="J13" s="47" t="e">
        <f t="shared" si="9"/>
        <v>#REF!</v>
      </c>
      <c r="K13" s="47" t="e">
        <f t="shared" si="10"/>
        <v>#REF!</v>
      </c>
      <c r="L13" s="47" t="e">
        <f t="shared" si="4"/>
        <v>#REF!</v>
      </c>
      <c r="M13" s="47" t="e">
        <f>L13/CampusArea!G14*1000</f>
        <v>#REF!</v>
      </c>
    </row>
    <row r="14" spans="2:16">
      <c r="B14" s="13">
        <f t="shared" si="5"/>
        <v>2013</v>
      </c>
      <c r="C14" s="40" t="e">
        <f>D14/1000*#REF!</f>
        <v>#REF!</v>
      </c>
      <c r="D14" s="40" t="e">
        <f>PrimaryEnergyInputs!C14</f>
        <v>#REF!</v>
      </c>
      <c r="E14" s="40" t="e">
        <f t="shared" si="8"/>
        <v>#REF!</v>
      </c>
      <c r="F14" s="40" t="e">
        <f>G14/1000*CampusArea!F15</f>
        <v>#REF!</v>
      </c>
      <c r="G14" s="40" t="e">
        <f>PrimaryEnergyInputs!D14</f>
        <v>#REF!</v>
      </c>
      <c r="H14" s="41" t="e">
        <f t="shared" si="6"/>
        <v>#REF!</v>
      </c>
      <c r="I14" s="41" t="e">
        <f t="shared" si="7"/>
        <v>#REF!</v>
      </c>
      <c r="J14" s="47" t="e">
        <f t="shared" si="9"/>
        <v>#REF!</v>
      </c>
      <c r="K14" s="47" t="e">
        <f t="shared" si="10"/>
        <v>#REF!</v>
      </c>
      <c r="L14" s="47" t="e">
        <f t="shared" si="4"/>
        <v>#REF!</v>
      </c>
      <c r="M14" s="47" t="e">
        <f>L14/CampusArea!G15*1000</f>
        <v>#REF!</v>
      </c>
    </row>
    <row r="15" spans="2:16">
      <c r="B15" s="13">
        <f t="shared" si="5"/>
        <v>2014</v>
      </c>
      <c r="C15" s="40" t="e">
        <f>D15/1000*#REF!</f>
        <v>#REF!</v>
      </c>
      <c r="D15" s="40" t="e">
        <f>PrimaryEnergyInputs!C15</f>
        <v>#REF!</v>
      </c>
      <c r="E15" s="40" t="e">
        <f t="shared" si="8"/>
        <v>#REF!</v>
      </c>
      <c r="F15" s="40" t="e">
        <f>G15/1000*CampusArea!F16</f>
        <v>#REF!</v>
      </c>
      <c r="G15" s="40" t="e">
        <f>PrimaryEnergyInputs!D15</f>
        <v>#REF!</v>
      </c>
      <c r="H15" s="41" t="e">
        <f t="shared" si="6"/>
        <v>#REF!</v>
      </c>
      <c r="I15" s="41" t="e">
        <f t="shared" si="7"/>
        <v>#REF!</v>
      </c>
      <c r="J15" s="47" t="e">
        <f t="shared" si="9"/>
        <v>#REF!</v>
      </c>
      <c r="K15" s="47" t="e">
        <f t="shared" si="10"/>
        <v>#REF!</v>
      </c>
      <c r="L15" s="47" t="e">
        <f t="shared" si="4"/>
        <v>#REF!</v>
      </c>
      <c r="M15" s="47" t="e">
        <f>L15/CampusArea!G16*1000</f>
        <v>#REF!</v>
      </c>
      <c r="O15" s="352"/>
    </row>
    <row r="16" spans="2:16">
      <c r="B16" s="13">
        <f t="shared" si="5"/>
        <v>2015</v>
      </c>
      <c r="C16" s="40" t="e">
        <f>D16/1000*#REF!</f>
        <v>#REF!</v>
      </c>
      <c r="D16" s="40" t="e">
        <f>PrimaryEnergyInputs!C16</f>
        <v>#REF!</v>
      </c>
      <c r="E16" s="40" t="e">
        <f t="shared" si="8"/>
        <v>#REF!</v>
      </c>
      <c r="F16" s="40" t="e">
        <f>G16/1000*CampusArea!F17</f>
        <v>#REF!</v>
      </c>
      <c r="G16" s="40" t="e">
        <f>PrimaryEnergyInputs!D16</f>
        <v>#REF!</v>
      </c>
      <c r="H16" s="41" t="e">
        <f t="shared" si="6"/>
        <v>#REF!</v>
      </c>
      <c r="I16" s="41" t="e">
        <f t="shared" si="7"/>
        <v>#REF!</v>
      </c>
      <c r="J16" s="47" t="e">
        <f t="shared" si="9"/>
        <v>#REF!</v>
      </c>
      <c r="K16" s="47" t="e">
        <f t="shared" si="10"/>
        <v>#REF!</v>
      </c>
      <c r="L16" s="47" t="e">
        <f t="shared" si="4"/>
        <v>#REF!</v>
      </c>
      <c r="M16" s="47" t="e">
        <f>L16/CampusArea!G17*1000</f>
        <v>#REF!</v>
      </c>
      <c r="O16" s="352"/>
    </row>
    <row r="17" spans="2:15">
      <c r="B17" s="13">
        <f t="shared" si="5"/>
        <v>2016</v>
      </c>
      <c r="C17" s="40" t="e">
        <f>D17/1000*#REF!</f>
        <v>#REF!</v>
      </c>
      <c r="D17" s="40" t="e">
        <f>PrimaryEnergyInputs!C17</f>
        <v>#REF!</v>
      </c>
      <c r="E17" s="40" t="e">
        <f t="shared" si="8"/>
        <v>#REF!</v>
      </c>
      <c r="F17" s="40" t="e">
        <f>G17/1000*CampusArea!F18</f>
        <v>#REF!</v>
      </c>
      <c r="G17" s="40" t="e">
        <f>PrimaryEnergyInputs!D17</f>
        <v>#REF!</v>
      </c>
      <c r="H17" s="41" t="e">
        <f t="shared" si="6"/>
        <v>#REF!</v>
      </c>
      <c r="I17" s="41" t="e">
        <f>G17+D17</f>
        <v>#REF!</v>
      </c>
      <c r="J17" s="47" t="e">
        <f t="shared" si="9"/>
        <v>#REF!</v>
      </c>
      <c r="K17" s="47" t="e">
        <f t="shared" si="10"/>
        <v>#REF!</v>
      </c>
      <c r="L17" s="47" t="e">
        <f t="shared" si="4"/>
        <v>#REF!</v>
      </c>
      <c r="M17" s="47" t="e">
        <f>L17/CampusArea!G18*1000</f>
        <v>#REF!</v>
      </c>
      <c r="O17" s="352"/>
    </row>
    <row r="18" spans="2:15">
      <c r="B18" s="13">
        <f t="shared" si="5"/>
        <v>2017</v>
      </c>
      <c r="C18" s="40" t="e">
        <f>D18/1000*#REF!</f>
        <v>#REF!</v>
      </c>
      <c r="D18" s="40" t="e">
        <f>PrimaryEnergyInputs!C18</f>
        <v>#REF!</v>
      </c>
      <c r="E18" s="40" t="e">
        <f t="shared" si="8"/>
        <v>#REF!</v>
      </c>
      <c r="F18" s="40" t="e">
        <f>G18/1000*CampusArea!F19</f>
        <v>#REF!</v>
      </c>
      <c r="G18" s="40" t="e">
        <f>PrimaryEnergyInputs!D18</f>
        <v>#REF!</v>
      </c>
      <c r="H18" s="41" t="e">
        <f t="shared" si="6"/>
        <v>#REF!</v>
      </c>
      <c r="I18" s="41" t="e">
        <f t="shared" si="7"/>
        <v>#REF!</v>
      </c>
      <c r="J18" s="47" t="e">
        <f t="shared" si="9"/>
        <v>#REF!</v>
      </c>
      <c r="K18" s="47" t="e">
        <f t="shared" si="10"/>
        <v>#REF!</v>
      </c>
      <c r="L18" s="47" t="e">
        <f t="shared" si="4"/>
        <v>#REF!</v>
      </c>
      <c r="M18" s="47" t="e">
        <f>L18/CampusArea!G19*1000</f>
        <v>#REF!</v>
      </c>
      <c r="O18" s="352"/>
    </row>
    <row r="19" spans="2:15">
      <c r="B19" s="13">
        <f t="shared" si="5"/>
        <v>2018</v>
      </c>
      <c r="C19" s="40" t="e">
        <f>D19/1000*#REF!</f>
        <v>#REF!</v>
      </c>
      <c r="D19" s="40" t="e">
        <f>PrimaryEnergyInputs!C19</f>
        <v>#REF!</v>
      </c>
      <c r="E19" s="40" t="e">
        <f t="shared" si="8"/>
        <v>#REF!</v>
      </c>
      <c r="F19" s="40" t="e">
        <f>G19/1000*CampusArea!F20</f>
        <v>#REF!</v>
      </c>
      <c r="G19" s="40" t="e">
        <f>PrimaryEnergyInputs!D19</f>
        <v>#REF!</v>
      </c>
      <c r="H19" s="41" t="e">
        <f t="shared" si="6"/>
        <v>#REF!</v>
      </c>
      <c r="I19" s="41" t="e">
        <f t="shared" si="7"/>
        <v>#REF!</v>
      </c>
      <c r="J19" s="47" t="e">
        <f t="shared" si="9"/>
        <v>#REF!</v>
      </c>
      <c r="K19" s="47" t="e">
        <f t="shared" si="10"/>
        <v>#REF!</v>
      </c>
      <c r="L19" s="47" t="e">
        <f t="shared" si="4"/>
        <v>#REF!</v>
      </c>
      <c r="M19" s="47" t="e">
        <f>L19/CampusArea!G20*1000</f>
        <v>#REF!</v>
      </c>
      <c r="O19" s="352"/>
    </row>
    <row r="20" spans="2:15">
      <c r="B20" s="13">
        <f t="shared" si="5"/>
        <v>2019</v>
      </c>
      <c r="C20" s="40" t="e">
        <f>D20/1000*#REF!</f>
        <v>#REF!</v>
      </c>
      <c r="D20" s="40" t="e">
        <f>PrimaryEnergyInputs!C20</f>
        <v>#REF!</v>
      </c>
      <c r="E20" s="40" t="e">
        <f t="shared" si="8"/>
        <v>#REF!</v>
      </c>
      <c r="F20" s="40" t="e">
        <f>G20/1000*CampusArea!F21</f>
        <v>#REF!</v>
      </c>
      <c r="G20" s="40" t="e">
        <f>PrimaryEnergyInputs!D20</f>
        <v>#REF!</v>
      </c>
      <c r="H20" s="41" t="e">
        <f t="shared" si="6"/>
        <v>#REF!</v>
      </c>
      <c r="I20" s="41" t="e">
        <f t="shared" si="7"/>
        <v>#REF!</v>
      </c>
      <c r="J20" s="47" t="e">
        <f t="shared" si="9"/>
        <v>#REF!</v>
      </c>
      <c r="K20" s="47" t="e">
        <f t="shared" si="10"/>
        <v>#REF!</v>
      </c>
      <c r="L20" s="47" t="e">
        <f t="shared" si="4"/>
        <v>#REF!</v>
      </c>
      <c r="M20" s="47" t="e">
        <f>L20/CampusArea!G21*1000</f>
        <v>#REF!</v>
      </c>
      <c r="O20" s="352"/>
    </row>
    <row r="21" spans="2:15">
      <c r="B21" s="13">
        <f t="shared" si="5"/>
        <v>2020</v>
      </c>
      <c r="C21" s="40" t="e">
        <f>D21/1000*#REF!</f>
        <v>#REF!</v>
      </c>
      <c r="D21" s="40" t="e">
        <f>PrimaryEnergyInputs!C21</f>
        <v>#REF!</v>
      </c>
      <c r="E21" s="40" t="e">
        <f t="shared" si="8"/>
        <v>#REF!</v>
      </c>
      <c r="F21" s="40" t="e">
        <f>G21/1000*CampusArea!F22</f>
        <v>#REF!</v>
      </c>
      <c r="G21" s="40" t="e">
        <f>PrimaryEnergyInputs!D21</f>
        <v>#REF!</v>
      </c>
      <c r="H21" s="41" t="e">
        <f t="shared" si="6"/>
        <v>#REF!</v>
      </c>
      <c r="I21" s="41" t="e">
        <f t="shared" si="7"/>
        <v>#REF!</v>
      </c>
      <c r="J21" s="47" t="e">
        <f t="shared" si="9"/>
        <v>#REF!</v>
      </c>
      <c r="K21" s="47" t="e">
        <f t="shared" si="10"/>
        <v>#REF!</v>
      </c>
      <c r="L21" s="47" t="e">
        <f t="shared" si="4"/>
        <v>#REF!</v>
      </c>
      <c r="M21" s="47" t="e">
        <f>L21/CampusArea!G22*1000</f>
        <v>#REF!</v>
      </c>
      <c r="O21" s="352"/>
    </row>
    <row r="22" spans="2:15">
      <c r="B22" s="13">
        <f t="shared" si="5"/>
        <v>2021</v>
      </c>
      <c r="C22" s="40" t="e">
        <f>D22/1000*#REF!</f>
        <v>#REF!</v>
      </c>
      <c r="D22" s="40" t="e">
        <f>PrimaryEnergyInputs!C22</f>
        <v>#REF!</v>
      </c>
      <c r="E22" s="40" t="e">
        <f t="shared" si="8"/>
        <v>#REF!</v>
      </c>
      <c r="F22" s="40" t="e">
        <f>G22/1000*CampusArea!F23</f>
        <v>#REF!</v>
      </c>
      <c r="G22" s="40" t="e">
        <f>PrimaryEnergyInputs!D22</f>
        <v>#REF!</v>
      </c>
      <c r="H22" s="41" t="e">
        <f t="shared" si="6"/>
        <v>#REF!</v>
      </c>
      <c r="I22" s="41" t="e">
        <f t="shared" si="7"/>
        <v>#REF!</v>
      </c>
      <c r="J22" s="47" t="e">
        <f t="shared" si="9"/>
        <v>#REF!</v>
      </c>
      <c r="K22" s="47" t="e">
        <f t="shared" si="10"/>
        <v>#REF!</v>
      </c>
      <c r="L22" s="47" t="e">
        <f t="shared" si="4"/>
        <v>#REF!</v>
      </c>
      <c r="M22" s="47" t="e">
        <f>L22/CampusArea!G23*1000</f>
        <v>#REF!</v>
      </c>
      <c r="O22" s="352"/>
    </row>
    <row r="23" spans="2:15">
      <c r="B23" s="13">
        <f t="shared" si="5"/>
        <v>2022</v>
      </c>
      <c r="C23" s="40" t="e">
        <f>D23/1000*#REF!</f>
        <v>#REF!</v>
      </c>
      <c r="D23" s="40" t="e">
        <f>PrimaryEnergyInputs!C23</f>
        <v>#REF!</v>
      </c>
      <c r="E23" s="40" t="e">
        <f t="shared" si="8"/>
        <v>#REF!</v>
      </c>
      <c r="F23" s="40" t="e">
        <f>G23/1000*CampusArea!F24</f>
        <v>#REF!</v>
      </c>
      <c r="G23" s="40" t="e">
        <f>PrimaryEnergyInputs!D23</f>
        <v>#REF!</v>
      </c>
      <c r="H23" s="41" t="e">
        <f t="shared" si="6"/>
        <v>#REF!</v>
      </c>
      <c r="I23" s="41" t="e">
        <f t="shared" si="7"/>
        <v>#REF!</v>
      </c>
      <c r="J23" s="47" t="e">
        <f t="shared" si="9"/>
        <v>#REF!</v>
      </c>
      <c r="K23" s="47" t="e">
        <f t="shared" si="10"/>
        <v>#REF!</v>
      </c>
      <c r="L23" s="47" t="e">
        <f t="shared" si="4"/>
        <v>#REF!</v>
      </c>
      <c r="M23" s="47" t="e">
        <f>L23/CampusArea!G24*1000</f>
        <v>#REF!</v>
      </c>
      <c r="O23" s="352"/>
    </row>
    <row r="24" spans="2:15">
      <c r="B24" s="13">
        <f t="shared" si="5"/>
        <v>2023</v>
      </c>
      <c r="C24" s="40" t="e">
        <f>D24/1000*#REF!</f>
        <v>#REF!</v>
      </c>
      <c r="D24" s="40" t="e">
        <f>PrimaryEnergyInputs!C24</f>
        <v>#REF!</v>
      </c>
      <c r="E24" s="40" t="e">
        <f t="shared" si="8"/>
        <v>#REF!</v>
      </c>
      <c r="F24" s="40" t="e">
        <f>G24/1000*CampusArea!F25</f>
        <v>#REF!</v>
      </c>
      <c r="G24" s="40" t="e">
        <f>PrimaryEnergyInputs!D24</f>
        <v>#REF!</v>
      </c>
      <c r="H24" s="41" t="e">
        <f t="shared" si="6"/>
        <v>#REF!</v>
      </c>
      <c r="I24" s="41" t="e">
        <f t="shared" si="7"/>
        <v>#REF!</v>
      </c>
      <c r="J24" s="47" t="e">
        <f t="shared" si="9"/>
        <v>#REF!</v>
      </c>
      <c r="K24" s="47" t="e">
        <f t="shared" si="10"/>
        <v>#REF!</v>
      </c>
      <c r="L24" s="47" t="e">
        <f t="shared" si="4"/>
        <v>#REF!</v>
      </c>
      <c r="M24" s="47" t="e">
        <f>L24/CampusArea!G25*1000</f>
        <v>#REF!</v>
      </c>
      <c r="O24" s="352"/>
    </row>
    <row r="25" spans="2:15">
      <c r="B25" s="13">
        <f t="shared" si="5"/>
        <v>2024</v>
      </c>
      <c r="C25" s="40" t="e">
        <f>D25/1000*#REF!</f>
        <v>#REF!</v>
      </c>
      <c r="D25" s="40" t="e">
        <f>PrimaryEnergyInputs!C25</f>
        <v>#REF!</v>
      </c>
      <c r="E25" s="40" t="e">
        <f t="shared" si="8"/>
        <v>#REF!</v>
      </c>
      <c r="F25" s="40" t="e">
        <f>G25/1000*CampusArea!F26</f>
        <v>#REF!</v>
      </c>
      <c r="G25" s="40" t="e">
        <f>PrimaryEnergyInputs!D25</f>
        <v>#REF!</v>
      </c>
      <c r="H25" s="41" t="e">
        <f t="shared" si="6"/>
        <v>#REF!</v>
      </c>
      <c r="I25" s="41" t="e">
        <f t="shared" si="7"/>
        <v>#REF!</v>
      </c>
      <c r="J25" s="47" t="e">
        <f t="shared" si="9"/>
        <v>#REF!</v>
      </c>
      <c r="K25" s="47" t="e">
        <f t="shared" si="10"/>
        <v>#REF!</v>
      </c>
      <c r="L25" s="47" t="e">
        <f t="shared" si="4"/>
        <v>#REF!</v>
      </c>
      <c r="M25" s="47" t="e">
        <f>L25/CampusArea!G26*1000</f>
        <v>#REF!</v>
      </c>
      <c r="O25" s="352"/>
    </row>
    <row r="26" spans="2:15">
      <c r="B26" s="13">
        <f t="shared" si="5"/>
        <v>2025</v>
      </c>
      <c r="C26" s="40" t="e">
        <f>D26/1000*#REF!</f>
        <v>#REF!</v>
      </c>
      <c r="D26" s="40" t="e">
        <f>PrimaryEnergyInputs!C26</f>
        <v>#REF!</v>
      </c>
      <c r="E26" s="40" t="e">
        <f t="shared" si="8"/>
        <v>#REF!</v>
      </c>
      <c r="F26" s="40" t="e">
        <f>G26/1000*CampusArea!F27</f>
        <v>#REF!</v>
      </c>
      <c r="G26" s="40" t="e">
        <f>PrimaryEnergyInputs!D26</f>
        <v>#REF!</v>
      </c>
      <c r="H26" s="41" t="e">
        <f t="shared" si="6"/>
        <v>#REF!</v>
      </c>
      <c r="I26" s="41" t="e">
        <f t="shared" si="7"/>
        <v>#REF!</v>
      </c>
      <c r="J26" s="47" t="e">
        <f t="shared" si="9"/>
        <v>#REF!</v>
      </c>
      <c r="K26" s="47" t="e">
        <f t="shared" si="10"/>
        <v>#REF!</v>
      </c>
      <c r="L26" s="47" t="e">
        <f t="shared" si="4"/>
        <v>#REF!</v>
      </c>
      <c r="M26" s="47" t="e">
        <f>L26/CampusArea!G27*1000</f>
        <v>#REF!</v>
      </c>
      <c r="O26" s="352"/>
    </row>
    <row r="27" spans="2:15">
      <c r="B27" s="13">
        <f t="shared" si="5"/>
        <v>2026</v>
      </c>
      <c r="C27" s="40" t="e">
        <f>D27/1000*#REF!</f>
        <v>#REF!</v>
      </c>
      <c r="D27" s="40" t="e">
        <f>PrimaryEnergyInputs!C27</f>
        <v>#REF!</v>
      </c>
      <c r="E27" s="40" t="e">
        <f t="shared" si="8"/>
        <v>#REF!</v>
      </c>
      <c r="F27" s="40" t="e">
        <f>G27/1000*CampusArea!F28</f>
        <v>#REF!</v>
      </c>
      <c r="G27" s="40" t="e">
        <f>PrimaryEnergyInputs!D27</f>
        <v>#REF!</v>
      </c>
      <c r="H27" s="41" t="e">
        <f t="shared" si="6"/>
        <v>#REF!</v>
      </c>
      <c r="I27" s="41" t="e">
        <f t="shared" si="7"/>
        <v>#REF!</v>
      </c>
      <c r="J27" s="47" t="e">
        <f t="shared" si="9"/>
        <v>#REF!</v>
      </c>
      <c r="K27" s="47" t="e">
        <f t="shared" si="10"/>
        <v>#REF!</v>
      </c>
      <c r="L27" s="47" t="e">
        <f t="shared" si="4"/>
        <v>#REF!</v>
      </c>
      <c r="M27" s="47" t="e">
        <f>L27/CampusArea!G28*1000</f>
        <v>#REF!</v>
      </c>
      <c r="O27" s="352"/>
    </row>
    <row r="28" spans="2:15">
      <c r="B28" s="13">
        <f t="shared" si="5"/>
        <v>2027</v>
      </c>
      <c r="C28" s="40" t="e">
        <f>D28/1000*#REF!</f>
        <v>#REF!</v>
      </c>
      <c r="D28" s="40" t="e">
        <f>PrimaryEnergyInputs!C28</f>
        <v>#REF!</v>
      </c>
      <c r="E28" s="40" t="e">
        <f t="shared" si="8"/>
        <v>#REF!</v>
      </c>
      <c r="F28" s="40" t="e">
        <f>G28/1000*CampusArea!F29</f>
        <v>#REF!</v>
      </c>
      <c r="G28" s="40" t="e">
        <f>PrimaryEnergyInputs!D28</f>
        <v>#REF!</v>
      </c>
      <c r="H28" s="41" t="e">
        <f t="shared" si="6"/>
        <v>#REF!</v>
      </c>
      <c r="I28" s="41" t="e">
        <f t="shared" si="7"/>
        <v>#REF!</v>
      </c>
      <c r="J28" s="47" t="e">
        <f t="shared" si="9"/>
        <v>#REF!</v>
      </c>
      <c r="K28" s="47" t="e">
        <f t="shared" si="10"/>
        <v>#REF!</v>
      </c>
      <c r="L28" s="47" t="e">
        <f t="shared" si="4"/>
        <v>#REF!</v>
      </c>
      <c r="M28" s="47" t="e">
        <f>L28/CampusArea!G29*1000</f>
        <v>#REF!</v>
      </c>
    </row>
    <row r="29" spans="2:15">
      <c r="B29" s="13">
        <f t="shared" si="5"/>
        <v>2028</v>
      </c>
      <c r="C29" s="40" t="e">
        <f>D29/1000*#REF!</f>
        <v>#REF!</v>
      </c>
      <c r="D29" s="40" t="e">
        <f>PrimaryEnergyInputs!C29</f>
        <v>#REF!</v>
      </c>
      <c r="E29" s="40" t="e">
        <f t="shared" si="8"/>
        <v>#REF!</v>
      </c>
      <c r="F29" s="40" t="e">
        <f>G29/1000*CampusArea!F30</f>
        <v>#REF!</v>
      </c>
      <c r="G29" s="40" t="e">
        <f>PrimaryEnergyInputs!D29</f>
        <v>#REF!</v>
      </c>
      <c r="H29" s="41" t="e">
        <f t="shared" si="6"/>
        <v>#REF!</v>
      </c>
      <c r="I29" s="41" t="e">
        <f t="shared" si="7"/>
        <v>#REF!</v>
      </c>
      <c r="J29" s="47" t="e">
        <f t="shared" si="9"/>
        <v>#REF!</v>
      </c>
      <c r="K29" s="47" t="e">
        <f t="shared" si="10"/>
        <v>#REF!</v>
      </c>
      <c r="L29" s="47" t="e">
        <f t="shared" si="4"/>
        <v>#REF!</v>
      </c>
      <c r="M29" s="47" t="e">
        <f>L29/CampusArea!G30*1000</f>
        <v>#REF!</v>
      </c>
    </row>
    <row r="30" spans="2:15">
      <c r="B30" s="13">
        <f t="shared" si="5"/>
        <v>2029</v>
      </c>
      <c r="C30" s="40" t="e">
        <f>D30/1000*#REF!</f>
        <v>#REF!</v>
      </c>
      <c r="D30" s="40" t="e">
        <f>PrimaryEnergyInputs!C30</f>
        <v>#REF!</v>
      </c>
      <c r="E30" s="40" t="e">
        <f t="shared" si="8"/>
        <v>#REF!</v>
      </c>
      <c r="F30" s="40" t="e">
        <f>G30/1000*CampusArea!F31</f>
        <v>#REF!</v>
      </c>
      <c r="G30" s="40" t="e">
        <f>PrimaryEnergyInputs!D30</f>
        <v>#REF!</v>
      </c>
      <c r="H30" s="41" t="e">
        <f t="shared" si="6"/>
        <v>#REF!</v>
      </c>
      <c r="I30" s="41" t="e">
        <f t="shared" si="7"/>
        <v>#REF!</v>
      </c>
      <c r="J30" s="47" t="e">
        <f t="shared" si="9"/>
        <v>#REF!</v>
      </c>
      <c r="K30" s="47" t="e">
        <f t="shared" si="10"/>
        <v>#REF!</v>
      </c>
      <c r="L30" s="47" t="e">
        <f t="shared" si="4"/>
        <v>#REF!</v>
      </c>
      <c r="M30" s="47" t="e">
        <f>L30/CampusArea!G31*1000</f>
        <v>#REF!</v>
      </c>
    </row>
    <row r="31" spans="2:15">
      <c r="B31" s="13">
        <f t="shared" si="5"/>
        <v>2030</v>
      </c>
      <c r="C31" s="40" t="e">
        <f>D31/1000*#REF!</f>
        <v>#REF!</v>
      </c>
      <c r="D31" s="40" t="e">
        <f>PrimaryEnergyInputs!C31</f>
        <v>#REF!</v>
      </c>
      <c r="E31" s="40" t="e">
        <f t="shared" si="8"/>
        <v>#REF!</v>
      </c>
      <c r="F31" s="40" t="e">
        <f>G31/1000*CampusArea!F32</f>
        <v>#REF!</v>
      </c>
      <c r="G31" s="40" t="e">
        <f>PrimaryEnergyInputs!D31</f>
        <v>#REF!</v>
      </c>
      <c r="H31" s="41" t="e">
        <f t="shared" si="6"/>
        <v>#REF!</v>
      </c>
      <c r="I31" s="41" t="e">
        <f t="shared" si="7"/>
        <v>#REF!</v>
      </c>
      <c r="J31" s="47" t="e">
        <f t="shared" si="9"/>
        <v>#REF!</v>
      </c>
      <c r="K31" s="47" t="e">
        <f t="shared" si="10"/>
        <v>#REF!</v>
      </c>
      <c r="L31" s="47" t="e">
        <f t="shared" si="4"/>
        <v>#REF!</v>
      </c>
      <c r="M31" s="47" t="e">
        <f>L31/CampusArea!G32*1000</f>
        <v>#REF!</v>
      </c>
    </row>
    <row r="32" spans="2:15">
      <c r="B32" s="13">
        <f t="shared" si="5"/>
        <v>2031</v>
      </c>
      <c r="C32" s="40" t="e">
        <f>D32/1000*#REF!</f>
        <v>#REF!</v>
      </c>
      <c r="D32" s="40" t="e">
        <f>PrimaryEnergyInputs!C32</f>
        <v>#REF!</v>
      </c>
      <c r="E32" s="40" t="e">
        <f t="shared" si="8"/>
        <v>#REF!</v>
      </c>
      <c r="F32" s="40" t="e">
        <f>G32/1000*CampusArea!F33</f>
        <v>#REF!</v>
      </c>
      <c r="G32" s="40" t="e">
        <f>PrimaryEnergyInputs!D32</f>
        <v>#REF!</v>
      </c>
      <c r="H32" s="41" t="e">
        <f t="shared" si="6"/>
        <v>#REF!</v>
      </c>
      <c r="I32" s="41" t="e">
        <f t="shared" si="7"/>
        <v>#REF!</v>
      </c>
      <c r="J32" s="47" t="e">
        <f t="shared" si="9"/>
        <v>#REF!</v>
      </c>
      <c r="K32" s="47" t="e">
        <f t="shared" si="10"/>
        <v>#REF!</v>
      </c>
      <c r="L32" s="47" t="e">
        <f t="shared" si="4"/>
        <v>#REF!</v>
      </c>
      <c r="M32" s="47" t="e">
        <f>L32/CampusArea!G33*1000</f>
        <v>#REF!</v>
      </c>
    </row>
    <row r="33" spans="2:13">
      <c r="B33" s="13">
        <f t="shared" si="5"/>
        <v>2032</v>
      </c>
      <c r="C33" s="40" t="e">
        <f>D33/1000*#REF!</f>
        <v>#REF!</v>
      </c>
      <c r="D33" s="40" t="e">
        <f>PrimaryEnergyInputs!C33</f>
        <v>#REF!</v>
      </c>
      <c r="E33" s="40" t="e">
        <f t="shared" si="8"/>
        <v>#REF!</v>
      </c>
      <c r="F33" s="40" t="e">
        <f>G33/1000*CampusArea!F34</f>
        <v>#REF!</v>
      </c>
      <c r="G33" s="40" t="e">
        <f>PrimaryEnergyInputs!D33</f>
        <v>#REF!</v>
      </c>
      <c r="H33" s="41" t="e">
        <f t="shared" si="6"/>
        <v>#REF!</v>
      </c>
      <c r="I33" s="41" t="e">
        <f t="shared" si="7"/>
        <v>#REF!</v>
      </c>
      <c r="J33" s="47" t="e">
        <f t="shared" si="9"/>
        <v>#REF!</v>
      </c>
      <c r="K33" s="47" t="e">
        <f t="shared" si="10"/>
        <v>#REF!</v>
      </c>
      <c r="L33" s="47" t="e">
        <f t="shared" si="4"/>
        <v>#REF!</v>
      </c>
      <c r="M33" s="47" t="e">
        <f>L33/CampusArea!G34*1000</f>
        <v>#REF!</v>
      </c>
    </row>
    <row r="34" spans="2:13">
      <c r="B34" s="13">
        <f t="shared" si="5"/>
        <v>2033</v>
      </c>
      <c r="C34" s="40" t="e">
        <f>D34/1000*#REF!</f>
        <v>#REF!</v>
      </c>
      <c r="D34" s="40" t="e">
        <f>PrimaryEnergyInputs!C34</f>
        <v>#REF!</v>
      </c>
      <c r="E34" s="40" t="e">
        <f t="shared" si="8"/>
        <v>#REF!</v>
      </c>
      <c r="F34" s="40" t="e">
        <f>G34/1000*CampusArea!F35</f>
        <v>#REF!</v>
      </c>
      <c r="G34" s="40" t="e">
        <f>PrimaryEnergyInputs!D34</f>
        <v>#REF!</v>
      </c>
      <c r="H34" s="41" t="e">
        <f t="shared" si="6"/>
        <v>#REF!</v>
      </c>
      <c r="I34" s="41" t="e">
        <f t="shared" si="7"/>
        <v>#REF!</v>
      </c>
      <c r="J34" s="47" t="e">
        <f t="shared" si="9"/>
        <v>#REF!</v>
      </c>
      <c r="K34" s="47" t="e">
        <f t="shared" si="10"/>
        <v>#REF!</v>
      </c>
      <c r="L34" s="47" t="e">
        <f t="shared" si="4"/>
        <v>#REF!</v>
      </c>
      <c r="M34" s="47" t="e">
        <f>L34/CampusArea!G35*1000</f>
        <v>#REF!</v>
      </c>
    </row>
    <row r="35" spans="2:13">
      <c r="B35" s="13">
        <f t="shared" si="5"/>
        <v>2034</v>
      </c>
      <c r="C35" s="40" t="e">
        <f>D35/1000*#REF!</f>
        <v>#REF!</v>
      </c>
      <c r="D35" s="40" t="e">
        <f>PrimaryEnergyInputs!C35</f>
        <v>#REF!</v>
      </c>
      <c r="E35" s="40" t="e">
        <f t="shared" si="8"/>
        <v>#REF!</v>
      </c>
      <c r="F35" s="40" t="e">
        <f>G35/1000*CampusArea!F36</f>
        <v>#REF!</v>
      </c>
      <c r="G35" s="40" t="e">
        <f>PrimaryEnergyInputs!D35</f>
        <v>#REF!</v>
      </c>
      <c r="H35" s="41" t="e">
        <f t="shared" si="6"/>
        <v>#REF!</v>
      </c>
      <c r="I35" s="41" t="e">
        <f t="shared" si="7"/>
        <v>#REF!</v>
      </c>
      <c r="J35" s="47" t="e">
        <f t="shared" si="9"/>
        <v>#REF!</v>
      </c>
      <c r="K35" s="47" t="e">
        <f t="shared" si="10"/>
        <v>#REF!</v>
      </c>
      <c r="L35" s="47" t="e">
        <f t="shared" si="4"/>
        <v>#REF!</v>
      </c>
      <c r="M35" s="47" t="e">
        <f>L35/CampusArea!G36*1000</f>
        <v>#REF!</v>
      </c>
    </row>
    <row r="36" spans="2:13">
      <c r="B36" s="13">
        <f t="shared" si="5"/>
        <v>2035</v>
      </c>
      <c r="C36" s="40" t="e">
        <f>D36/1000*#REF!</f>
        <v>#REF!</v>
      </c>
      <c r="D36" s="40" t="e">
        <f>PrimaryEnergyInputs!C36</f>
        <v>#REF!</v>
      </c>
      <c r="E36" s="40" t="e">
        <f t="shared" si="8"/>
        <v>#REF!</v>
      </c>
      <c r="F36" s="40" t="e">
        <f>G36/1000*CampusArea!F37</f>
        <v>#REF!</v>
      </c>
      <c r="G36" s="40" t="e">
        <f>PrimaryEnergyInputs!D36</f>
        <v>#REF!</v>
      </c>
      <c r="H36" s="41" t="e">
        <f t="shared" si="6"/>
        <v>#REF!</v>
      </c>
      <c r="I36" s="41" t="e">
        <f t="shared" si="7"/>
        <v>#REF!</v>
      </c>
      <c r="J36" s="47" t="e">
        <f t="shared" si="9"/>
        <v>#REF!</v>
      </c>
      <c r="K36" s="47" t="e">
        <f t="shared" si="10"/>
        <v>#REF!</v>
      </c>
      <c r="L36" s="47" t="e">
        <f t="shared" si="4"/>
        <v>#REF!</v>
      </c>
      <c r="M36" s="47" t="e">
        <f>L36/CampusArea!G37*1000</f>
        <v>#REF!</v>
      </c>
    </row>
    <row r="37" spans="2:13">
      <c r="B37" s="13">
        <f t="shared" si="5"/>
        <v>2036</v>
      </c>
      <c r="C37" s="40" t="e">
        <f>D37/1000*#REF!</f>
        <v>#REF!</v>
      </c>
      <c r="D37" s="40" t="e">
        <f>PrimaryEnergyInputs!C37</f>
        <v>#REF!</v>
      </c>
      <c r="E37" s="40" t="e">
        <f t="shared" si="8"/>
        <v>#REF!</v>
      </c>
      <c r="F37" s="40" t="e">
        <f>G37/1000*CampusArea!F38</f>
        <v>#REF!</v>
      </c>
      <c r="G37" s="40" t="e">
        <f>PrimaryEnergyInputs!D37</f>
        <v>#REF!</v>
      </c>
      <c r="H37" s="41" t="e">
        <f t="shared" si="6"/>
        <v>#REF!</v>
      </c>
      <c r="I37" s="41" t="e">
        <f t="shared" si="7"/>
        <v>#REF!</v>
      </c>
      <c r="J37" s="47" t="e">
        <f t="shared" si="9"/>
        <v>#REF!</v>
      </c>
      <c r="K37" s="47" t="e">
        <f t="shared" si="10"/>
        <v>#REF!</v>
      </c>
      <c r="L37" s="47" t="e">
        <f t="shared" si="4"/>
        <v>#REF!</v>
      </c>
      <c r="M37" s="47" t="e">
        <f>L37/CampusArea!G38*1000</f>
        <v>#REF!</v>
      </c>
    </row>
    <row r="38" spans="2:13">
      <c r="B38" s="13">
        <f t="shared" si="5"/>
        <v>2037</v>
      </c>
      <c r="C38" s="40" t="e">
        <f>D38/1000*#REF!</f>
        <v>#REF!</v>
      </c>
      <c r="D38" s="40" t="e">
        <f>PrimaryEnergyInputs!C38</f>
        <v>#REF!</v>
      </c>
      <c r="E38" s="40" t="e">
        <f t="shared" si="8"/>
        <v>#REF!</v>
      </c>
      <c r="F38" s="40" t="e">
        <f>G38/1000*CampusArea!F39</f>
        <v>#REF!</v>
      </c>
      <c r="G38" s="40" t="e">
        <f>PrimaryEnergyInputs!D38</f>
        <v>#REF!</v>
      </c>
      <c r="H38" s="41" t="e">
        <f t="shared" si="6"/>
        <v>#REF!</v>
      </c>
      <c r="I38" s="41" t="e">
        <f t="shared" si="7"/>
        <v>#REF!</v>
      </c>
      <c r="J38" s="47" t="e">
        <f t="shared" si="9"/>
        <v>#REF!</v>
      </c>
      <c r="K38" s="47" t="e">
        <f t="shared" si="10"/>
        <v>#REF!</v>
      </c>
      <c r="L38" s="47" t="e">
        <f t="shared" si="4"/>
        <v>#REF!</v>
      </c>
      <c r="M38" s="47" t="e">
        <f>L38/CampusArea!G39*1000</f>
        <v>#REF!</v>
      </c>
    </row>
    <row r="39" spans="2:13">
      <c r="B39" s="13">
        <f t="shared" si="5"/>
        <v>2038</v>
      </c>
      <c r="C39" s="40" t="e">
        <f>D39/1000*#REF!</f>
        <v>#REF!</v>
      </c>
      <c r="D39" s="40" t="e">
        <f>PrimaryEnergyInputs!C39</f>
        <v>#REF!</v>
      </c>
      <c r="E39" s="40" t="e">
        <f t="shared" si="8"/>
        <v>#REF!</v>
      </c>
      <c r="F39" s="40" t="e">
        <f>G39/1000*CampusArea!F40</f>
        <v>#REF!</v>
      </c>
      <c r="G39" s="40" t="e">
        <f>PrimaryEnergyInputs!D39</f>
        <v>#REF!</v>
      </c>
      <c r="H39" s="41" t="e">
        <f t="shared" si="6"/>
        <v>#REF!</v>
      </c>
      <c r="I39" s="41" t="e">
        <f t="shared" si="7"/>
        <v>#REF!</v>
      </c>
      <c r="J39" s="47" t="e">
        <f t="shared" si="9"/>
        <v>#REF!</v>
      </c>
      <c r="K39" s="47" t="e">
        <f t="shared" si="10"/>
        <v>#REF!</v>
      </c>
      <c r="L39" s="47" t="e">
        <f t="shared" si="4"/>
        <v>#REF!</v>
      </c>
      <c r="M39" s="47" t="e">
        <f>L39/CampusArea!G40*1000</f>
        <v>#REF!</v>
      </c>
    </row>
    <row r="40" spans="2:13">
      <c r="B40" s="13">
        <f t="shared" si="5"/>
        <v>2039</v>
      </c>
      <c r="C40" s="40" t="e">
        <f>D40/1000*#REF!</f>
        <v>#REF!</v>
      </c>
      <c r="D40" s="40" t="e">
        <f>PrimaryEnergyInputs!C40</f>
        <v>#REF!</v>
      </c>
      <c r="E40" s="40" t="e">
        <f t="shared" si="8"/>
        <v>#REF!</v>
      </c>
      <c r="F40" s="40" t="e">
        <f>G40/1000*CampusArea!F41</f>
        <v>#REF!</v>
      </c>
      <c r="G40" s="40" t="e">
        <f>PrimaryEnergyInputs!D40</f>
        <v>#REF!</v>
      </c>
      <c r="H40" s="41" t="e">
        <f t="shared" si="6"/>
        <v>#REF!</v>
      </c>
      <c r="I40" s="41" t="e">
        <f t="shared" si="7"/>
        <v>#REF!</v>
      </c>
      <c r="J40" s="47" t="e">
        <f t="shared" si="9"/>
        <v>#REF!</v>
      </c>
      <c r="K40" s="47" t="e">
        <f t="shared" si="10"/>
        <v>#REF!</v>
      </c>
      <c r="L40" s="47" t="e">
        <f t="shared" si="4"/>
        <v>#REF!</v>
      </c>
      <c r="M40" s="47" t="e">
        <f>L40/CampusArea!G41*1000</f>
        <v>#REF!</v>
      </c>
    </row>
    <row r="41" spans="2:13">
      <c r="B41" s="13">
        <f t="shared" si="5"/>
        <v>2040</v>
      </c>
      <c r="C41" s="40" t="e">
        <f>D41/1000*#REF!</f>
        <v>#REF!</v>
      </c>
      <c r="D41" s="40" t="e">
        <f>PrimaryEnergyInputs!C41</f>
        <v>#REF!</v>
      </c>
      <c r="E41" s="40" t="e">
        <f t="shared" si="8"/>
        <v>#REF!</v>
      </c>
      <c r="F41" s="40" t="e">
        <f>G41/1000*CampusArea!F42</f>
        <v>#REF!</v>
      </c>
      <c r="G41" s="40" t="e">
        <f>PrimaryEnergyInputs!D41</f>
        <v>#REF!</v>
      </c>
      <c r="H41" s="41" t="e">
        <f t="shared" si="6"/>
        <v>#REF!</v>
      </c>
      <c r="I41" s="41" t="e">
        <f t="shared" si="7"/>
        <v>#REF!</v>
      </c>
      <c r="J41" s="47" t="e">
        <f t="shared" si="9"/>
        <v>#REF!</v>
      </c>
      <c r="K41" s="47" t="e">
        <f t="shared" si="10"/>
        <v>#REF!</v>
      </c>
      <c r="L41" s="47" t="e">
        <f t="shared" si="4"/>
        <v>#REF!</v>
      </c>
      <c r="M41" s="47" t="e">
        <f>L41/CampusArea!G42*1000</f>
        <v>#REF!</v>
      </c>
    </row>
    <row r="42" spans="2:13">
      <c r="B42" s="13">
        <f t="shared" si="5"/>
        <v>2041</v>
      </c>
      <c r="C42" s="40" t="e">
        <f>D42/1000*#REF!</f>
        <v>#REF!</v>
      </c>
      <c r="D42" s="40" t="e">
        <f>PrimaryEnergyInputs!C42</f>
        <v>#REF!</v>
      </c>
      <c r="E42" s="40" t="e">
        <f t="shared" si="8"/>
        <v>#REF!</v>
      </c>
      <c r="F42" s="40" t="e">
        <f>G42/1000*CampusArea!F43</f>
        <v>#REF!</v>
      </c>
      <c r="G42" s="40" t="e">
        <f>PrimaryEnergyInputs!D42</f>
        <v>#REF!</v>
      </c>
      <c r="H42" s="41" t="e">
        <f t="shared" si="6"/>
        <v>#REF!</v>
      </c>
      <c r="I42" s="41" t="e">
        <f t="shared" si="7"/>
        <v>#REF!</v>
      </c>
      <c r="J42" s="47" t="e">
        <f t="shared" si="9"/>
        <v>#REF!</v>
      </c>
      <c r="K42" s="47" t="e">
        <f t="shared" si="10"/>
        <v>#REF!</v>
      </c>
      <c r="L42" s="47" t="e">
        <f t="shared" si="4"/>
        <v>#REF!</v>
      </c>
      <c r="M42" s="47" t="e">
        <f>L42/CampusArea!G43*1000</f>
        <v>#REF!</v>
      </c>
    </row>
    <row r="43" spans="2:13">
      <c r="B43" s="13">
        <f t="shared" si="5"/>
        <v>2042</v>
      </c>
      <c r="C43" s="40" t="e">
        <f>D43/1000*#REF!</f>
        <v>#REF!</v>
      </c>
      <c r="D43" s="40" t="e">
        <f>PrimaryEnergyInputs!C43</f>
        <v>#REF!</v>
      </c>
      <c r="E43" s="40" t="e">
        <f t="shared" si="8"/>
        <v>#REF!</v>
      </c>
      <c r="F43" s="40" t="e">
        <f>G43/1000*CampusArea!F44</f>
        <v>#REF!</v>
      </c>
      <c r="G43" s="40" t="e">
        <f>PrimaryEnergyInputs!D43</f>
        <v>#REF!</v>
      </c>
      <c r="H43" s="41" t="e">
        <f t="shared" si="6"/>
        <v>#REF!</v>
      </c>
      <c r="I43" s="41" t="e">
        <f t="shared" si="7"/>
        <v>#REF!</v>
      </c>
      <c r="J43" s="47" t="e">
        <f t="shared" si="9"/>
        <v>#REF!</v>
      </c>
      <c r="K43" s="47" t="e">
        <f t="shared" si="10"/>
        <v>#REF!</v>
      </c>
      <c r="L43" s="47" t="e">
        <f t="shared" si="4"/>
        <v>#REF!</v>
      </c>
      <c r="M43" s="47" t="e">
        <f>L43/CampusArea!G44*1000</f>
        <v>#REF!</v>
      </c>
    </row>
    <row r="44" spans="2:13">
      <c r="B44" s="13">
        <f t="shared" si="5"/>
        <v>2043</v>
      </c>
      <c r="C44" s="40" t="e">
        <f>D44/1000*#REF!</f>
        <v>#REF!</v>
      </c>
      <c r="D44" s="40" t="e">
        <f>PrimaryEnergyInputs!C44</f>
        <v>#REF!</v>
      </c>
      <c r="E44" s="40" t="e">
        <f t="shared" si="8"/>
        <v>#REF!</v>
      </c>
      <c r="F44" s="40" t="e">
        <f>G44/1000*CampusArea!F45</f>
        <v>#REF!</v>
      </c>
      <c r="G44" s="40" t="e">
        <f>PrimaryEnergyInputs!D44</f>
        <v>#REF!</v>
      </c>
      <c r="H44" s="41" t="e">
        <f t="shared" si="6"/>
        <v>#REF!</v>
      </c>
      <c r="I44" s="41" t="e">
        <f t="shared" si="7"/>
        <v>#REF!</v>
      </c>
      <c r="J44" s="47" t="e">
        <f t="shared" si="9"/>
        <v>#REF!</v>
      </c>
      <c r="K44" s="47" t="e">
        <f t="shared" si="10"/>
        <v>#REF!</v>
      </c>
      <c r="L44" s="47" t="e">
        <f t="shared" si="4"/>
        <v>#REF!</v>
      </c>
      <c r="M44" s="47" t="e">
        <f>L44/CampusArea!G45*1000</f>
        <v>#REF!</v>
      </c>
    </row>
    <row r="45" spans="2:13">
      <c r="B45" s="13">
        <f t="shared" si="5"/>
        <v>2044</v>
      </c>
      <c r="C45" s="40" t="e">
        <f>D45/1000*#REF!</f>
        <v>#REF!</v>
      </c>
      <c r="D45" s="40" t="e">
        <f>PrimaryEnergyInputs!C45</f>
        <v>#REF!</v>
      </c>
      <c r="E45" s="40" t="e">
        <f t="shared" si="8"/>
        <v>#REF!</v>
      </c>
      <c r="F45" s="40" t="e">
        <f>G45/1000*CampusArea!F46</f>
        <v>#REF!</v>
      </c>
      <c r="G45" s="40" t="e">
        <f>PrimaryEnergyInputs!D45</f>
        <v>#REF!</v>
      </c>
      <c r="H45" s="41" t="e">
        <f t="shared" si="6"/>
        <v>#REF!</v>
      </c>
      <c r="I45" s="41" t="e">
        <f t="shared" si="7"/>
        <v>#REF!</v>
      </c>
      <c r="J45" s="47" t="e">
        <f t="shared" si="9"/>
        <v>#REF!</v>
      </c>
      <c r="K45" s="47" t="e">
        <f t="shared" si="10"/>
        <v>#REF!</v>
      </c>
      <c r="L45" s="47" t="e">
        <f t="shared" si="4"/>
        <v>#REF!</v>
      </c>
      <c r="M45" s="47" t="e">
        <f>L45/CampusArea!G46*1000</f>
        <v>#REF!</v>
      </c>
    </row>
    <row r="46" spans="2:13">
      <c r="B46" s="13">
        <f t="shared" si="5"/>
        <v>2045</v>
      </c>
      <c r="C46" s="40" t="e">
        <f>D46/1000*#REF!</f>
        <v>#REF!</v>
      </c>
      <c r="D46" s="40" t="e">
        <f>PrimaryEnergyInputs!C46</f>
        <v>#REF!</v>
      </c>
      <c r="E46" s="40" t="e">
        <f t="shared" si="8"/>
        <v>#REF!</v>
      </c>
      <c r="F46" s="40" t="e">
        <f>G46/1000*CampusArea!F47</f>
        <v>#REF!</v>
      </c>
      <c r="G46" s="40" t="e">
        <f>PrimaryEnergyInputs!D46</f>
        <v>#REF!</v>
      </c>
      <c r="H46" s="41" t="e">
        <f t="shared" si="6"/>
        <v>#REF!</v>
      </c>
      <c r="I46" s="41" t="e">
        <f t="shared" si="7"/>
        <v>#REF!</v>
      </c>
      <c r="J46" s="47" t="e">
        <f t="shared" si="9"/>
        <v>#REF!</v>
      </c>
      <c r="K46" s="47" t="e">
        <f t="shared" si="10"/>
        <v>#REF!</v>
      </c>
      <c r="L46" s="47" t="e">
        <f t="shared" si="4"/>
        <v>#REF!</v>
      </c>
      <c r="M46" s="47" t="e">
        <f>L46/CampusArea!G47*1000</f>
        <v>#REF!</v>
      </c>
    </row>
    <row r="47" spans="2:13">
      <c r="B47" s="13">
        <f t="shared" si="5"/>
        <v>2046</v>
      </c>
      <c r="C47" s="40" t="e">
        <f>D47/1000*#REF!</f>
        <v>#REF!</v>
      </c>
      <c r="D47" s="40" t="e">
        <f>PrimaryEnergyInputs!C47</f>
        <v>#REF!</v>
      </c>
      <c r="E47" s="40" t="e">
        <f t="shared" si="8"/>
        <v>#REF!</v>
      </c>
      <c r="F47" s="40" t="e">
        <f>G47/1000*CampusArea!F48</f>
        <v>#REF!</v>
      </c>
      <c r="G47" s="40" t="e">
        <f>PrimaryEnergyInputs!D47</f>
        <v>#REF!</v>
      </c>
      <c r="H47" s="41" t="e">
        <f t="shared" si="6"/>
        <v>#REF!</v>
      </c>
      <c r="I47" s="41" t="e">
        <f t="shared" si="7"/>
        <v>#REF!</v>
      </c>
      <c r="J47" s="47" t="e">
        <f t="shared" si="9"/>
        <v>#REF!</v>
      </c>
      <c r="K47" s="47" t="e">
        <f t="shared" si="10"/>
        <v>#REF!</v>
      </c>
      <c r="L47" s="47" t="e">
        <f t="shared" si="4"/>
        <v>#REF!</v>
      </c>
      <c r="M47" s="47" t="e">
        <f>L47/CampusArea!G48*1000</f>
        <v>#REF!</v>
      </c>
    </row>
    <row r="48" spans="2:13">
      <c r="B48" s="13">
        <f t="shared" si="5"/>
        <v>2047</v>
      </c>
      <c r="C48" s="40" t="e">
        <f>D48/1000*#REF!</f>
        <v>#REF!</v>
      </c>
      <c r="D48" s="40" t="e">
        <f>PrimaryEnergyInputs!C48</f>
        <v>#REF!</v>
      </c>
      <c r="E48" s="40" t="e">
        <f t="shared" si="8"/>
        <v>#REF!</v>
      </c>
      <c r="F48" s="40" t="e">
        <f>G48/1000*CampusArea!F49</f>
        <v>#REF!</v>
      </c>
      <c r="G48" s="40" t="e">
        <f>PrimaryEnergyInputs!D48</f>
        <v>#REF!</v>
      </c>
      <c r="H48" s="41" t="e">
        <f t="shared" si="6"/>
        <v>#REF!</v>
      </c>
      <c r="I48" s="41" t="e">
        <f t="shared" si="7"/>
        <v>#REF!</v>
      </c>
      <c r="J48" s="47" t="e">
        <f t="shared" si="9"/>
        <v>#REF!</v>
      </c>
      <c r="K48" s="47" t="e">
        <f t="shared" si="10"/>
        <v>#REF!</v>
      </c>
      <c r="L48" s="47" t="e">
        <f t="shared" si="4"/>
        <v>#REF!</v>
      </c>
      <c r="M48" s="47" t="e">
        <f>L48/CampusArea!G49*1000</f>
        <v>#REF!</v>
      </c>
    </row>
    <row r="49" spans="2:13">
      <c r="B49" s="13">
        <f t="shared" si="5"/>
        <v>2048</v>
      </c>
      <c r="C49" s="40" t="e">
        <f>D49/1000*#REF!</f>
        <v>#REF!</v>
      </c>
      <c r="D49" s="40" t="e">
        <f>PrimaryEnergyInputs!C49</f>
        <v>#REF!</v>
      </c>
      <c r="E49" s="40" t="e">
        <f t="shared" si="8"/>
        <v>#REF!</v>
      </c>
      <c r="F49" s="40" t="e">
        <f>G49/1000*CampusArea!F50</f>
        <v>#REF!</v>
      </c>
      <c r="G49" s="40" t="e">
        <f>PrimaryEnergyInputs!D49</f>
        <v>#REF!</v>
      </c>
      <c r="H49" s="41" t="e">
        <f t="shared" si="6"/>
        <v>#REF!</v>
      </c>
      <c r="I49" s="41" t="e">
        <f t="shared" si="7"/>
        <v>#REF!</v>
      </c>
      <c r="J49" s="47" t="e">
        <f t="shared" si="9"/>
        <v>#REF!</v>
      </c>
      <c r="K49" s="47" t="e">
        <f t="shared" si="10"/>
        <v>#REF!</v>
      </c>
      <c r="L49" s="47" t="e">
        <f t="shared" si="4"/>
        <v>#REF!</v>
      </c>
      <c r="M49" s="47" t="e">
        <f>L49/CampusArea!G50*1000</f>
        <v>#REF!</v>
      </c>
    </row>
    <row r="50" spans="2:13">
      <c r="B50" s="13">
        <f t="shared" si="5"/>
        <v>2049</v>
      </c>
      <c r="C50" s="40" t="e">
        <f>D50/1000*#REF!</f>
        <v>#REF!</v>
      </c>
      <c r="D50" s="40" t="e">
        <f>PrimaryEnergyInputs!C50</f>
        <v>#REF!</v>
      </c>
      <c r="E50" s="40" t="e">
        <f t="shared" si="8"/>
        <v>#REF!</v>
      </c>
      <c r="F50" s="40" t="e">
        <f>G50/1000*CampusArea!F51</f>
        <v>#REF!</v>
      </c>
      <c r="G50" s="40" t="e">
        <f>PrimaryEnergyInputs!D50</f>
        <v>#REF!</v>
      </c>
      <c r="H50" s="41" t="e">
        <f t="shared" si="6"/>
        <v>#REF!</v>
      </c>
      <c r="I50" s="41" t="e">
        <f t="shared" si="7"/>
        <v>#REF!</v>
      </c>
      <c r="J50" s="47" t="e">
        <f t="shared" si="9"/>
        <v>#REF!</v>
      </c>
      <c r="K50" s="47" t="e">
        <f t="shared" si="10"/>
        <v>#REF!</v>
      </c>
      <c r="L50" s="47" t="e">
        <f t="shared" si="4"/>
        <v>#REF!</v>
      </c>
      <c r="M50" s="47" t="e">
        <f>L50/CampusArea!G51*1000</f>
        <v>#REF!</v>
      </c>
    </row>
    <row r="51" spans="2:13">
      <c r="B51" s="13">
        <f t="shared" si="5"/>
        <v>2050</v>
      </c>
      <c r="C51" s="40" t="e">
        <f>D51/1000*#REF!</f>
        <v>#REF!</v>
      </c>
      <c r="D51" s="40" t="e">
        <f>PrimaryEnergyInputs!C51</f>
        <v>#REF!</v>
      </c>
      <c r="E51" s="40" t="e">
        <f t="shared" si="8"/>
        <v>#REF!</v>
      </c>
      <c r="F51" s="40" t="e">
        <f>G51/1000*CampusArea!F52</f>
        <v>#REF!</v>
      </c>
      <c r="G51" s="40" t="e">
        <f>PrimaryEnergyInputs!D51</f>
        <v>#REF!</v>
      </c>
      <c r="H51" s="41" t="e">
        <f t="shared" si="6"/>
        <v>#REF!</v>
      </c>
      <c r="I51" s="41" t="e">
        <f t="shared" si="7"/>
        <v>#REF!</v>
      </c>
      <c r="J51" s="47" t="e">
        <f t="shared" si="9"/>
        <v>#REF!</v>
      </c>
      <c r="K51" s="47" t="e">
        <f t="shared" si="10"/>
        <v>#REF!</v>
      </c>
      <c r="L51" s="47" t="e">
        <f t="shared" si="4"/>
        <v>#REF!</v>
      </c>
      <c r="M51" s="47" t="e">
        <f>L51/CampusArea!G52*1000</f>
        <v>#REF!</v>
      </c>
    </row>
  </sheetData>
  <mergeCells count="7">
    <mergeCell ref="J2:J3"/>
    <mergeCell ref="M2:M3"/>
    <mergeCell ref="K2:K3"/>
    <mergeCell ref="L2:L3"/>
    <mergeCell ref="C1:E1"/>
    <mergeCell ref="C2:I2"/>
    <mergeCell ref="F1:I1"/>
  </mergeCells>
  <hyperlinks>
    <hyperlink ref="C1:D1" location="PrimaryEnergy!A1" display="Link to Detail"/>
    <hyperlink ref="C1:E1" location="PrimaryEnergyInputs!A1" display="Return to Primary Energy Overview"/>
    <hyperlink ref="F1:H1" location="PrimaryEnergyInputs!A1" display="Return to Primary Energy Inputs"/>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6"/>
  <dimension ref="A3:B18"/>
  <sheetViews>
    <sheetView workbookViewId="0">
      <pane ySplit="3" topLeftCell="A9" activePane="bottomLeft" state="frozen"/>
      <selection pane="bottomLeft"/>
    </sheetView>
  </sheetViews>
  <sheetFormatPr defaultRowHeight="15"/>
  <cols>
    <col min="1" max="1" width="90.28515625" style="45" customWidth="1"/>
    <col min="2" max="2" width="44.85546875" style="45" customWidth="1"/>
    <col min="3" max="16384" width="9.140625" style="45"/>
  </cols>
  <sheetData>
    <row r="3" spans="1:2" ht="18.75">
      <c r="A3" s="1516" t="s">
        <v>399</v>
      </c>
      <c r="B3" s="1517"/>
    </row>
    <row r="4" spans="1:2">
      <c r="A4" s="1515" t="s">
        <v>402</v>
      </c>
      <c r="B4" s="1515"/>
    </row>
    <row r="5" spans="1:2" ht="30">
      <c r="A5" s="379" t="s">
        <v>401</v>
      </c>
      <c r="B5" s="380" t="s">
        <v>409</v>
      </c>
    </row>
    <row r="6" spans="1:2">
      <c r="A6" s="1515" t="s">
        <v>403</v>
      </c>
      <c r="B6" s="1515"/>
    </row>
    <row r="7" spans="1:2" ht="60">
      <c r="A7" s="379" t="s">
        <v>411</v>
      </c>
      <c r="B7" s="380" t="s">
        <v>408</v>
      </c>
    </row>
    <row r="8" spans="1:2">
      <c r="A8" s="1515" t="s">
        <v>405</v>
      </c>
      <c r="B8" s="1515"/>
    </row>
    <row r="9" spans="1:2" ht="45">
      <c r="A9" s="379" t="s">
        <v>412</v>
      </c>
      <c r="B9" s="380" t="s">
        <v>407</v>
      </c>
    </row>
    <row r="10" spans="1:2" ht="45">
      <c r="A10" s="379" t="s">
        <v>413</v>
      </c>
      <c r="B10" s="380" t="s">
        <v>410</v>
      </c>
    </row>
    <row r="11" spans="1:2">
      <c r="A11" s="1515" t="s">
        <v>414</v>
      </c>
      <c r="B11" s="1515"/>
    </row>
    <row r="12" spans="1:2" ht="75">
      <c r="A12" s="379" t="s">
        <v>416</v>
      </c>
      <c r="B12" s="152" t="s">
        <v>415</v>
      </c>
    </row>
    <row r="13" spans="1:2">
      <c r="A13" s="1515" t="s">
        <v>417</v>
      </c>
      <c r="B13" s="1515"/>
    </row>
    <row r="14" spans="1:2" ht="30">
      <c r="A14" s="379" t="s">
        <v>418</v>
      </c>
      <c r="B14" s="380" t="s">
        <v>408</v>
      </c>
    </row>
    <row r="15" spans="1:2">
      <c r="A15" s="1515" t="s">
        <v>419</v>
      </c>
      <c r="B15" s="1515"/>
    </row>
    <row r="16" spans="1:2" ht="75">
      <c r="A16" s="379" t="s">
        <v>420</v>
      </c>
      <c r="B16" s="380" t="s">
        <v>408</v>
      </c>
    </row>
    <row r="17" spans="1:2">
      <c r="A17" s="1515" t="s">
        <v>421</v>
      </c>
      <c r="B17" s="1515"/>
    </row>
    <row r="18" spans="1:2" ht="30">
      <c r="A18" s="379" t="s">
        <v>422</v>
      </c>
      <c r="B18" s="380" t="s">
        <v>408</v>
      </c>
    </row>
  </sheetData>
  <mergeCells count="8">
    <mergeCell ref="A13:B13"/>
    <mergeCell ref="A15:B15"/>
    <mergeCell ref="A17:B17"/>
    <mergeCell ref="A3:B3"/>
    <mergeCell ref="A4:B4"/>
    <mergeCell ref="A6:B6"/>
    <mergeCell ref="A8:B8"/>
    <mergeCell ref="A11:B11"/>
  </mergeCells>
  <hyperlinks>
    <hyperlink ref="B5" location="CommodityPricing!A1" display="Link to Commodity Pricing tab."/>
    <hyperlink ref="B7" location="Factors!A31" display="Link to Factors tab"/>
    <hyperlink ref="B9" location="ExposureCalculations!F1" display="Link to GHG Allowance Prices Used in Model."/>
    <hyperlink ref="B10" location="GHGPrice!A1" display="Link to GHG Allowance Pricing Chart"/>
    <hyperlink ref="B12" location="Summary!A1" display="Action Valuation Summary Sheet"/>
    <hyperlink ref="B14" location="Factors!B40" display="Link to Factors tab"/>
    <hyperlink ref="B16" location="Factors!G3" display="Link to Factors tab"/>
    <hyperlink ref="B18" location="Factors!A1" display="Link to Factors tab"/>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codeName="Sheet19"/>
  <dimension ref="B1:Z52"/>
  <sheetViews>
    <sheetView zoomScale="85" zoomScaleNormal="85" workbookViewId="0">
      <pane xSplit="2" ySplit="3" topLeftCell="C4" activePane="bottomRight" state="frozen"/>
      <selection sqref="A1:N1"/>
      <selection pane="topRight" sqref="A1:N1"/>
      <selection pane="bottomLeft" sqref="A1:N1"/>
      <selection pane="bottomRight" activeCell="I1" sqref="I1:P1"/>
    </sheetView>
  </sheetViews>
  <sheetFormatPr defaultRowHeight="15"/>
  <cols>
    <col min="1" max="1" width="4.42578125" style="10" customWidth="1"/>
    <col min="2" max="2" width="9.140625" style="10"/>
    <col min="3" max="3" width="13.5703125" style="10" bestFit="1" customWidth="1"/>
    <col min="4" max="4" width="15.28515625" style="10" bestFit="1" customWidth="1"/>
    <col min="5" max="5" width="8.5703125" style="10" bestFit="1" customWidth="1"/>
    <col min="6" max="6" width="13.85546875" style="10" bestFit="1" customWidth="1"/>
    <col min="7" max="8" width="11.42578125" style="10" bestFit="1" customWidth="1"/>
    <col min="9" max="9" width="11.42578125" style="16" customWidth="1"/>
    <col min="10" max="10" width="11.5703125" style="16" bestFit="1" customWidth="1"/>
    <col min="11" max="13" width="11.5703125" style="16" customWidth="1"/>
    <col min="14" max="15" width="12.7109375" style="10" bestFit="1" customWidth="1"/>
    <col min="16" max="16" width="11.140625" style="10" bestFit="1" customWidth="1"/>
    <col min="17" max="17" width="12.85546875" style="10" bestFit="1" customWidth="1"/>
    <col min="18" max="18" width="13.7109375" style="10" bestFit="1" customWidth="1"/>
    <col min="19" max="20" width="12.7109375" style="10" bestFit="1" customWidth="1"/>
    <col min="21" max="21" width="11.42578125" style="16" customWidth="1"/>
    <col min="22" max="22" width="14.5703125" style="10" customWidth="1"/>
    <col min="23" max="23" width="11.140625" style="10" customWidth="1"/>
    <col min="24" max="24" width="11.85546875" style="10" customWidth="1"/>
    <col min="25" max="16384" width="9.140625" style="10"/>
  </cols>
  <sheetData>
    <row r="1" spans="2:26" ht="23.25" customHeight="1">
      <c r="C1" s="1605" t="s">
        <v>592</v>
      </c>
      <c r="D1" s="1605"/>
      <c r="E1" s="1606" t="s">
        <v>152</v>
      </c>
      <c r="F1" s="1606"/>
      <c r="G1" s="1606"/>
      <c r="H1" s="1606"/>
      <c r="I1" s="1616" t="s">
        <v>225</v>
      </c>
      <c r="J1" s="1616"/>
      <c r="K1" s="1617"/>
      <c r="L1" s="1617"/>
      <c r="M1" s="1617"/>
      <c r="N1" s="1616"/>
      <c r="O1" s="1617"/>
      <c r="P1" s="1616"/>
    </row>
    <row r="2" spans="2:26">
      <c r="C2" s="1609" t="s">
        <v>46</v>
      </c>
      <c r="D2" s="1609"/>
      <c r="E2" s="1609"/>
      <c r="F2" s="1609"/>
      <c r="G2" s="1609"/>
      <c r="H2" s="1609"/>
      <c r="I2" s="1612" t="s">
        <v>147</v>
      </c>
      <c r="J2" s="1618" t="s">
        <v>47</v>
      </c>
      <c r="K2" s="1619"/>
      <c r="L2" s="1620"/>
      <c r="M2" s="1621" t="s">
        <v>583</v>
      </c>
      <c r="N2" s="1610" t="s">
        <v>48</v>
      </c>
      <c r="O2" s="1611"/>
      <c r="P2" s="1610"/>
      <c r="Q2" s="1610"/>
      <c r="R2" s="1610"/>
      <c r="S2" s="1611"/>
      <c r="T2" s="1610"/>
      <c r="U2" s="1614" t="s">
        <v>148</v>
      </c>
      <c r="V2" s="53" t="s">
        <v>49</v>
      </c>
      <c r="W2" s="1607" t="s">
        <v>150</v>
      </c>
      <c r="X2" s="1607" t="s">
        <v>220</v>
      </c>
    </row>
    <row r="3" spans="2:26" ht="45">
      <c r="B3" s="222" t="s">
        <v>3</v>
      </c>
      <c r="C3" s="223" t="s">
        <v>36</v>
      </c>
      <c r="D3" s="224" t="s">
        <v>599</v>
      </c>
      <c r="E3" s="225" t="s">
        <v>40</v>
      </c>
      <c r="F3" s="226" t="s">
        <v>41</v>
      </c>
      <c r="G3" s="227" t="s">
        <v>51</v>
      </c>
      <c r="H3" s="228" t="s">
        <v>594</v>
      </c>
      <c r="I3" s="1613"/>
      <c r="J3" s="229" t="str">
        <f>'2009 Inventory'!B10</f>
        <v>PURCHASED ELECTRICITY</v>
      </c>
      <c r="K3" s="229" t="str">
        <f>'2009 Inventory'!B11</f>
        <v>PURCHASED STEAM</v>
      </c>
      <c r="L3" s="770" t="str">
        <f>'2009 Inventory'!B12</f>
        <v>PURCHASED CHILLED WATER</v>
      </c>
      <c r="M3" s="1622"/>
      <c r="N3" s="230" t="str">
        <f>'2009 Inventory'!B13</f>
        <v>FACULTY/STAFF COMMUTING</v>
      </c>
      <c r="O3" s="230" t="str">
        <f>'2009 Inventory'!B14</f>
        <v>STUDENT COMMUTING</v>
      </c>
      <c r="P3" s="231" t="s">
        <v>42</v>
      </c>
      <c r="Q3" s="232" t="s">
        <v>43</v>
      </c>
      <c r="R3" s="233" t="s">
        <v>44</v>
      </c>
      <c r="S3" s="234" t="s">
        <v>45</v>
      </c>
      <c r="T3" s="234" t="str">
        <f>'2009 Inventory'!B19</f>
        <v>SCOPE 2 T&amp;D LOSSES</v>
      </c>
      <c r="U3" s="1615"/>
      <c r="V3" s="235" t="s">
        <v>601</v>
      </c>
      <c r="W3" s="1608"/>
      <c r="X3" s="1608"/>
    </row>
    <row r="4" spans="2:26">
      <c r="B4" s="5"/>
      <c r="C4" s="252"/>
      <c r="D4" s="252"/>
      <c r="E4" s="252"/>
      <c r="F4" s="252" t="s">
        <v>219</v>
      </c>
      <c r="G4" s="252" t="s">
        <v>219</v>
      </c>
      <c r="H4" s="252" t="s">
        <v>219</v>
      </c>
      <c r="I4" s="253" t="s">
        <v>219</v>
      </c>
      <c r="J4" s="253" t="s">
        <v>219</v>
      </c>
      <c r="K4" s="253"/>
      <c r="L4" s="253"/>
      <c r="M4" s="253"/>
      <c r="N4" s="252" t="s">
        <v>219</v>
      </c>
      <c r="O4" s="252" t="s">
        <v>219</v>
      </c>
      <c r="P4" s="252" t="s">
        <v>219</v>
      </c>
      <c r="Q4" s="252" t="s">
        <v>219</v>
      </c>
      <c r="R4" s="252" t="s">
        <v>219</v>
      </c>
      <c r="S4" s="252" t="s">
        <v>219</v>
      </c>
      <c r="T4" s="252" t="s">
        <v>219</v>
      </c>
      <c r="U4" s="253" t="s">
        <v>219</v>
      </c>
      <c r="V4" s="252" t="s">
        <v>219</v>
      </c>
      <c r="W4" s="252" t="s">
        <v>219</v>
      </c>
      <c r="X4" s="254" t="s">
        <v>219</v>
      </c>
    </row>
    <row r="5" spans="2:26">
      <c r="B5" s="156" t="s">
        <v>146</v>
      </c>
      <c r="C5" s="236">
        <v>1</v>
      </c>
      <c r="D5" s="237">
        <v>2</v>
      </c>
      <c r="E5" s="238">
        <v>3</v>
      </c>
      <c r="F5" s="239">
        <v>4</v>
      </c>
      <c r="G5" s="240">
        <v>5</v>
      </c>
      <c r="H5" s="241">
        <v>6</v>
      </c>
      <c r="I5" s="242"/>
      <c r="J5" s="243">
        <v>7</v>
      </c>
      <c r="K5" s="243">
        <v>8</v>
      </c>
      <c r="L5" s="243">
        <v>9</v>
      </c>
      <c r="M5" s="243"/>
      <c r="N5" s="244">
        <v>10</v>
      </c>
      <c r="O5" s="244">
        <v>11</v>
      </c>
      <c r="P5" s="245">
        <v>12</v>
      </c>
      <c r="Q5" s="246">
        <v>13</v>
      </c>
      <c r="R5" s="247">
        <v>14</v>
      </c>
      <c r="S5" s="248">
        <v>15</v>
      </c>
      <c r="T5" s="248">
        <v>16</v>
      </c>
      <c r="U5" s="249"/>
      <c r="V5" s="250">
        <v>17</v>
      </c>
      <c r="W5" s="251">
        <v>15</v>
      </c>
      <c r="X5" s="251">
        <v>15</v>
      </c>
    </row>
    <row r="6" spans="2:26" hidden="1">
      <c r="B6" s="11">
        <v>2004</v>
      </c>
      <c r="C6" s="139"/>
      <c r="D6" s="139"/>
      <c r="E6" s="139"/>
      <c r="F6" s="139"/>
      <c r="G6" s="139"/>
      <c r="H6" s="139"/>
      <c r="I6" s="50"/>
      <c r="J6" s="157"/>
      <c r="K6" s="771"/>
      <c r="L6" s="771"/>
      <c r="M6" s="771"/>
      <c r="N6" s="139"/>
      <c r="O6" s="139"/>
      <c r="P6" s="139"/>
      <c r="Q6" s="139"/>
      <c r="R6" s="139"/>
      <c r="S6" s="139"/>
      <c r="T6" s="139"/>
      <c r="U6" s="50"/>
      <c r="V6" s="155"/>
      <c r="W6" s="50"/>
      <c r="X6" s="50"/>
    </row>
    <row r="7" spans="2:26" hidden="1">
      <c r="B7" s="13">
        <f>B6+1</f>
        <v>2005</v>
      </c>
      <c r="C7" s="139"/>
      <c r="D7" s="139"/>
      <c r="E7" s="139"/>
      <c r="F7" s="139"/>
      <c r="G7" s="139"/>
      <c r="H7" s="139"/>
      <c r="I7" s="50"/>
      <c r="J7" s="157"/>
      <c r="K7" s="771"/>
      <c r="L7" s="771"/>
      <c r="M7" s="771"/>
      <c r="N7" s="139"/>
      <c r="O7" s="139"/>
      <c r="P7" s="139"/>
      <c r="Q7" s="139"/>
      <c r="R7" s="139"/>
      <c r="S7" s="139"/>
      <c r="T7" s="139"/>
      <c r="U7" s="50"/>
      <c r="V7" s="155"/>
      <c r="W7" s="50"/>
      <c r="X7" s="50"/>
    </row>
    <row r="8" spans="2:26" hidden="1">
      <c r="B8" s="13">
        <f t="shared" ref="B8:B52" si="0">B7+1</f>
        <v>2006</v>
      </c>
      <c r="C8" s="139"/>
      <c r="D8" s="139"/>
      <c r="E8" s="139"/>
      <c r="F8" s="139"/>
      <c r="G8" s="139"/>
      <c r="H8" s="139"/>
      <c r="I8" s="50"/>
      <c r="J8" s="157"/>
      <c r="K8" s="771"/>
      <c r="L8" s="771"/>
      <c r="M8" s="771"/>
      <c r="N8" s="139"/>
      <c r="O8" s="139"/>
      <c r="P8" s="139"/>
      <c r="Q8" s="139"/>
      <c r="R8" s="139"/>
      <c r="S8" s="139"/>
      <c r="T8" s="139"/>
      <c r="U8" s="50"/>
      <c r="V8" s="155"/>
      <c r="W8" s="50"/>
      <c r="X8" s="50" t="e">
        <f>NA()</f>
        <v>#N/A</v>
      </c>
    </row>
    <row r="9" spans="2:26" hidden="1">
      <c r="B9" s="13">
        <f t="shared" si="0"/>
        <v>2007</v>
      </c>
      <c r="C9" s="139"/>
      <c r="D9" s="139"/>
      <c r="E9" s="139"/>
      <c r="F9" s="139"/>
      <c r="G9" s="139"/>
      <c r="H9" s="139"/>
      <c r="I9" s="50"/>
      <c r="J9" s="157"/>
      <c r="K9" s="771"/>
      <c r="L9" s="771"/>
      <c r="M9" s="771"/>
      <c r="N9" s="139"/>
      <c r="O9" s="139"/>
      <c r="P9" s="139"/>
      <c r="Q9" s="139"/>
      <c r="R9" s="139"/>
      <c r="S9" s="139"/>
      <c r="T9" s="139"/>
      <c r="U9" s="50"/>
      <c r="V9" s="155"/>
      <c r="W9" s="50"/>
      <c r="X9" s="50" t="e">
        <f>NA()</f>
        <v>#N/A</v>
      </c>
    </row>
    <row r="10" spans="2:26" hidden="1">
      <c r="B10" s="13">
        <f t="shared" si="0"/>
        <v>2008</v>
      </c>
      <c r="C10" s="139"/>
      <c r="D10" s="139"/>
      <c r="E10" s="139"/>
      <c r="F10" s="139"/>
      <c r="G10" s="139"/>
      <c r="H10" s="139"/>
      <c r="I10" s="50"/>
      <c r="J10" s="157"/>
      <c r="K10" s="771"/>
      <c r="L10" s="771"/>
      <c r="M10" s="771"/>
      <c r="N10" s="139"/>
      <c r="O10" s="139"/>
      <c r="P10" s="139"/>
      <c r="Q10" s="139"/>
      <c r="R10" s="139"/>
      <c r="S10" s="139"/>
      <c r="T10" s="139"/>
      <c r="U10" s="50"/>
      <c r="V10" s="155"/>
      <c r="W10" s="50"/>
      <c r="X10" s="50" t="e">
        <f>NA()</f>
        <v>#N/A</v>
      </c>
    </row>
    <row r="11" spans="2:26">
      <c r="B11" s="13">
        <f t="shared" si="0"/>
        <v>2009</v>
      </c>
      <c r="C11" s="139">
        <f ca="1">OFFSET('2009 Inventory'!$C$4,C5-1,0)</f>
        <v>5189.1396527773722</v>
      </c>
      <c r="D11" s="139">
        <f ca="1">OFFSET('2009 Inventory'!$C$4,D5-1,0)</f>
        <v>13341.965971180001</v>
      </c>
      <c r="E11" s="139">
        <f ca="1">OFFSET('2009 Inventory'!$C$4,E5-1,0)</f>
        <v>18.59579041838726</v>
      </c>
      <c r="F11" s="139">
        <f ca="1">OFFSET('2009 Inventory'!$C$4,F5-1,0)</f>
        <v>410.5632587071712</v>
      </c>
      <c r="G11" s="139">
        <f ca="1">OFFSET('2009 Inventory'!$C$4,G5-1,0)</f>
        <v>154.79941100547845</v>
      </c>
      <c r="H11" s="139">
        <f ca="1">OFFSET('2009 Inventory'!$C$4,H5-1,0)</f>
        <v>54.727336351939094</v>
      </c>
      <c r="I11" s="50">
        <f ca="1">SUM(C11:H11)</f>
        <v>19169.79142044035</v>
      </c>
      <c r="J11" s="157">
        <f ca="1">OFFSET('2009 Inventory'!$C$4,J5-1,0)</f>
        <v>89079.489590278681</v>
      </c>
      <c r="K11" s="157">
        <f ca="1">OFFSET('2009 Inventory'!$C$4,K5-1,0)</f>
        <v>72972.699494945773</v>
      </c>
      <c r="L11" s="157">
        <f ca="1">OFFSET('2009 Inventory'!$C$4,L5-1,0)</f>
        <v>20950.933162406443</v>
      </c>
      <c r="M11" s="771">
        <f ca="1">SUM(J11:L11)</f>
        <v>183003.1222476309</v>
      </c>
      <c r="N11" s="139">
        <f ca="1">OFFSET('2009 Inventory'!$C$4,N5-1,0)</f>
        <v>9334.7025776336595</v>
      </c>
      <c r="O11" s="139">
        <f ca="1">OFFSET('2009 Inventory'!$C$4,O5-1,0)</f>
        <v>6811.6959846795144</v>
      </c>
      <c r="P11" s="139">
        <f ca="1">OFFSET('2009 Inventory'!$C$4,P5-1,0)</f>
        <v>27866.404193550476</v>
      </c>
      <c r="Q11" s="139">
        <f ca="1">OFFSET('2009 Inventory'!$C$4,Q5-1,0)</f>
        <v>2521.2314285714288</v>
      </c>
      <c r="R11" s="139">
        <f ca="1">OFFSET('2009 Inventory'!$C$4,R5-1,0)</f>
        <v>129.49164152832</v>
      </c>
      <c r="S11" s="139">
        <f ca="1">OFFSET('2009 Inventory'!$C$4,S5-1,0)</f>
        <v>760.25013534000004</v>
      </c>
      <c r="T11" s="139">
        <f ca="1">OFFSET('2009 Inventory'!$C$4,T5-1,0)</f>
        <v>13753.408497256623</v>
      </c>
      <c r="U11" s="50">
        <f ca="1">SUM(N11:T11)</f>
        <v>61177.184458560034</v>
      </c>
      <c r="V11" s="155">
        <f ca="1">OFFSET('2009 Inventory'!$C$4,V5-1,0)</f>
        <v>-131.6682254090158</v>
      </c>
      <c r="W11" s="50">
        <f ca="1">SUM(V11,U11,M11,I11)</f>
        <v>263218.42990122229</v>
      </c>
      <c r="X11" s="255">
        <f ca="1">W11/CampusArea!G11</f>
        <v>39.845031527326647</v>
      </c>
      <c r="Z11" s="10" t="e">
        <f ca="1">J11/PrimaryEnergy!K10</f>
        <v>#REF!</v>
      </c>
    </row>
    <row r="12" spans="2:26">
      <c r="B12" s="13">
        <f t="shared" si="0"/>
        <v>2010</v>
      </c>
      <c r="C12" s="139">
        <f ca="1">C11/CampusArea!G11*CampusArea!G12</f>
        <v>5253.4150604243605</v>
      </c>
      <c r="D12" s="139">
        <f ca="1">D11/CampusArea!G11*CampusArea!G12</f>
        <v>13507.226565226809</v>
      </c>
      <c r="E12" s="139">
        <f ca="1">E11/CampusArea!G11*CampusArea!G12</f>
        <v>18.826127639899514</v>
      </c>
      <c r="F12" s="139">
        <f ca="1">F11/Population!I11*Population!I12</f>
        <v>413.76533521715328</v>
      </c>
      <c r="G12" s="139">
        <f ca="1">G11/Population!I11*Population!I12</f>
        <v>156.00672692385982</v>
      </c>
      <c r="H12" s="139">
        <f t="shared" ref="H12:H52" ca="1" si="1">H11</f>
        <v>54.727336351939094</v>
      </c>
      <c r="I12" s="50">
        <f t="shared" ref="I12:I52" ca="1" si="2">SUM(C12:H12)</f>
        <v>19403.967151784022</v>
      </c>
      <c r="J12" s="157">
        <f ca="1">J11/UtilityDemand!C11*UtilityDemand!C12</f>
        <v>90185.564700963238</v>
      </c>
      <c r="K12" s="771">
        <f ca="1">K11/UtilityDemand!E11*UtilityDemand!E12</f>
        <v>73876.577656064139</v>
      </c>
      <c r="L12" s="771">
        <f ca="1">L11/UtilityDemand!G11*UtilityDemand!G12</f>
        <v>21314.951972902243</v>
      </c>
      <c r="M12" s="771">
        <f t="shared" ref="M12:M52" ca="1" si="3">SUM(J12:L12)</f>
        <v>185377.09432992962</v>
      </c>
      <c r="N12" s="139">
        <f ca="1">N11/Population!I11*Population!I12</f>
        <v>9407.5060524151886</v>
      </c>
      <c r="O12" s="139">
        <f ca="1">O11/Population!J11*Population!J12</f>
        <v>6874.1373449912689</v>
      </c>
      <c r="P12" s="139">
        <f ca="1">P11/Population!I11*Population!I12</f>
        <v>28083.740636579532</v>
      </c>
      <c r="Q12" s="139">
        <f ca="1">Q11/Population!I11*Population!I12</f>
        <v>2540.8950876116432</v>
      </c>
      <c r="R12" s="139">
        <f ca="1">R11/CampusArea!G11*CampusArea!G12</f>
        <v>131.09559297365365</v>
      </c>
      <c r="S12" s="139">
        <f ca="1">S11/Population!H11*Population!H12</f>
        <v>761.56832386543465</v>
      </c>
      <c r="T12" s="139">
        <f ca="1">T11/UtilityDemand!C11*UtilityDemand!C12</f>
        <v>13924.180724352469</v>
      </c>
      <c r="U12" s="50">
        <f ca="1">SUM(N12:T12)</f>
        <v>61723.123762789182</v>
      </c>
      <c r="V12" s="155">
        <f ca="1">V11/Population!I11*Population!I12</f>
        <v>-132.69513593437759</v>
      </c>
      <c r="W12" s="50">
        <f t="shared" ref="W12:W52" ca="1" si="4">SUM(V12,U12,M12,I12)</f>
        <v>266371.49010856845</v>
      </c>
      <c r="X12" s="255">
        <f ca="1">W12/CampusArea!G12</f>
        <v>39.828987364687855</v>
      </c>
      <c r="Z12" s="10" t="e">
        <f ca="1">J12/PrimaryEnergy!K11</f>
        <v>#REF!</v>
      </c>
    </row>
    <row r="13" spans="2:26" hidden="1">
      <c r="B13" s="13">
        <f t="shared" si="0"/>
        <v>2011</v>
      </c>
      <c r="C13" s="139">
        <f ca="1">C12/CampusArea!G12*CampusArea!G13</f>
        <v>5317.6904680713496</v>
      </c>
      <c r="D13" s="139">
        <f ca="1">D12/CampusArea!G12*CampusArea!G13</f>
        <v>13672.48715927362</v>
      </c>
      <c r="E13" s="139">
        <f ca="1">E12/CampusArea!G12*CampusArea!G13</f>
        <v>19.056464861411769</v>
      </c>
      <c r="F13" s="139">
        <f ca="1">F12/Population!I12*Population!I13</f>
        <v>415.09167873534415</v>
      </c>
      <c r="G13" s="139">
        <f ca="1">G12/Population!I12*Population!I13</f>
        <v>156.50681355132232</v>
      </c>
      <c r="H13" s="139">
        <f t="shared" ca="1" si="1"/>
        <v>54.727336351939094</v>
      </c>
      <c r="I13" s="50">
        <f t="shared" ca="1" si="2"/>
        <v>19635.559920844986</v>
      </c>
      <c r="J13" s="157">
        <f ca="1">J12/UtilityDemand!C12*UtilityDemand!C13</f>
        <v>91291.639811647809</v>
      </c>
      <c r="K13" s="771">
        <f ca="1">K12/UtilityDemand!E12*UtilityDemand!E13</f>
        <v>74780.455817182519</v>
      </c>
      <c r="L13" s="771">
        <f ca="1">L12/UtilityDemand!G12*UtilityDemand!G13</f>
        <v>21678.970783398043</v>
      </c>
      <c r="M13" s="771">
        <f t="shared" ca="1" si="3"/>
        <v>187751.06641222836</v>
      </c>
      <c r="N13" s="139">
        <f ca="1">N12/Population!I12*Population!I13</f>
        <v>9437.6622390575849</v>
      </c>
      <c r="O13" s="139">
        <f ca="1">O12/Population!J12*Population!J13</f>
        <v>6899.9381374766463</v>
      </c>
      <c r="P13" s="139">
        <f ca="1">P12/Population!I12*Population!I13</f>
        <v>28173.764338880093</v>
      </c>
      <c r="Q13" s="139">
        <f ca="1">Q12/Population!I12*Population!I13</f>
        <v>2549.0400418719801</v>
      </c>
      <c r="R13" s="139">
        <f ca="1">R12/CampusArea!G12*CampusArea!G13</f>
        <v>132.69954441898733</v>
      </c>
      <c r="S13" s="139">
        <f ca="1">S12/Population!H12*Population!H13</f>
        <v>762.11433543043427</v>
      </c>
      <c r="T13" s="139">
        <f ca="1">T12/UtilityDemand!C12*UtilityDemand!C13</f>
        <v>14094.952951448317</v>
      </c>
      <c r="U13" s="50">
        <f t="shared" ref="U13:U52" ca="1" si="5">SUM(N13:T13)</f>
        <v>62050.171588584046</v>
      </c>
      <c r="V13" s="155">
        <f ca="1">V12/Population!I12*Population!I13</f>
        <v>-133.12049620132615</v>
      </c>
      <c r="W13" s="50">
        <f t="shared" ca="1" si="4"/>
        <v>269303.67742545606</v>
      </c>
      <c r="X13" s="255">
        <f ca="1">W13/CampusArea!G13</f>
        <v>39.780704397870231</v>
      </c>
      <c r="Z13" s="10" t="e">
        <f ca="1">J13/PrimaryEnergy!K12</f>
        <v>#REF!</v>
      </c>
    </row>
    <row r="14" spans="2:26" hidden="1">
      <c r="B14" s="13">
        <f t="shared" si="0"/>
        <v>2012</v>
      </c>
      <c r="C14" s="139">
        <f ca="1">C13/CampusArea!G13*CampusArea!G14</f>
        <v>5468.3722783613539</v>
      </c>
      <c r="D14" s="139">
        <f ca="1">D13/CampusArea!G13*CampusArea!G14</f>
        <v>14059.910069406522</v>
      </c>
      <c r="E14" s="139">
        <f ca="1">E13/CampusArea!G13*CampusArea!G14</f>
        <v>19.596447893573252</v>
      </c>
      <c r="F14" s="139">
        <f ca="1">F13/Population!I13*Population!I14</f>
        <v>416.10941791218295</v>
      </c>
      <c r="G14" s="139">
        <f ca="1">G13/Population!I13*Population!I14</f>
        <v>156.89054351690169</v>
      </c>
      <c r="H14" s="139">
        <f t="shared" ca="1" si="1"/>
        <v>54.727336351939094</v>
      </c>
      <c r="I14" s="50">
        <f t="shared" ca="1" si="2"/>
        <v>20175.606093442471</v>
      </c>
      <c r="J14" s="157">
        <f ca="1">J13/UtilityDemand!C13*UtilityDemand!C14</f>
        <v>93884.628422626716</v>
      </c>
      <c r="K14" s="771">
        <f ca="1">K13/UtilityDemand!E13*UtilityDemand!E14</f>
        <v>76899.431061134906</v>
      </c>
      <c r="L14" s="771">
        <f ca="1">L13/UtilityDemand!G13*UtilityDemand!G14</f>
        <v>22392.702255093758</v>
      </c>
      <c r="M14" s="771">
        <f t="shared" ca="1" si="3"/>
        <v>193176.76173885536</v>
      </c>
      <c r="N14" s="139">
        <f ca="1">N13/Population!I13*Population!I14</f>
        <v>9460.8018949228262</v>
      </c>
      <c r="O14" s="139">
        <f ca="1">O13/Population!J13*Population!J14</f>
        <v>6919.7107280707578</v>
      </c>
      <c r="P14" s="139">
        <f ca="1">P13/Population!I13*Population!I14</f>
        <v>28242.841955213098</v>
      </c>
      <c r="Q14" s="139">
        <f ca="1">Q13/Population!I13*Population!I14</f>
        <v>2555.2898850917909</v>
      </c>
      <c r="R14" s="139">
        <f ca="1">R13/CampusArea!G13*CampusArea!G14</f>
        <v>136.45971205149038</v>
      </c>
      <c r="S14" s="139">
        <f ca="1">S13/Population!H13*Population!H14</f>
        <v>762.5333048400073</v>
      </c>
      <c r="T14" s="139">
        <f ca="1">T13/UtilityDemand!C13*UtilityDemand!C14</f>
        <v>14495.296866299606</v>
      </c>
      <c r="U14" s="50">
        <f t="shared" ca="1" si="5"/>
        <v>62572.934346489572</v>
      </c>
      <c r="V14" s="155">
        <f ca="1">V13/Population!I13*Population!I14</f>
        <v>-133.44688661376969</v>
      </c>
      <c r="W14" s="50">
        <f t="shared" ca="1" si="4"/>
        <v>275791.85529217363</v>
      </c>
      <c r="X14" s="255">
        <f ca="1">W14/CampusArea!G14</f>
        <v>39.616545474414202</v>
      </c>
      <c r="Z14" s="10" t="e">
        <f ca="1">J14/PrimaryEnergy!K13</f>
        <v>#REF!</v>
      </c>
    </row>
    <row r="15" spans="2:26" hidden="1">
      <c r="B15" s="13">
        <f t="shared" si="0"/>
        <v>2013</v>
      </c>
      <c r="C15" s="139">
        <f ca="1">C14/CampusArea!G14*CampusArea!G15</f>
        <v>5556.2130685473467</v>
      </c>
      <c r="D15" s="139">
        <f ca="1">D14/CampusArea!G14*CampusArea!G15</f>
        <v>14285.760386022266</v>
      </c>
      <c r="E15" s="139">
        <f ca="1">E14/CampusArea!G14*CampusArea!G15</f>
        <v>19.911233972535296</v>
      </c>
      <c r="F15" s="139">
        <f ca="1">F14/Population!I14*Population!I15</f>
        <v>416.9674117271353</v>
      </c>
      <c r="G15" s="139">
        <f ca="1">G14/Population!I14*Population!I15</f>
        <v>157.21404284224121</v>
      </c>
      <c r="H15" s="139">
        <f t="shared" ca="1" si="1"/>
        <v>54.727336351939094</v>
      </c>
      <c r="I15" s="50">
        <f t="shared" ca="1" si="2"/>
        <v>20490.793479463464</v>
      </c>
      <c r="J15" s="157">
        <f ca="1">J14/UtilityDemand!C14*UtilityDemand!C15</f>
        <v>95396.225397027927</v>
      </c>
      <c r="K15" s="771">
        <f ca="1">K14/UtilityDemand!E14*UtilityDemand!E15</f>
        <v>78134.699335753452</v>
      </c>
      <c r="L15" s="771">
        <f ca="1">L14/UtilityDemand!G14*UtilityDemand!G15</f>
        <v>22852.097245916804</v>
      </c>
      <c r="M15" s="771">
        <f t="shared" ca="1" si="3"/>
        <v>196383.02197869818</v>
      </c>
      <c r="N15" s="139">
        <f ca="1">N14/Population!I14*Population!I15</f>
        <v>9480.3095271967159</v>
      </c>
      <c r="O15" s="139">
        <f ca="1">O14/Population!J14*Population!J15</f>
        <v>6936.362920954135</v>
      </c>
      <c r="P15" s="139">
        <f ca="1">P14/Population!I14*Population!I15</f>
        <v>28301.077079608585</v>
      </c>
      <c r="Q15" s="139">
        <f ca="1">Q14/Population!I14*Population!I15</f>
        <v>2560.5587466518573</v>
      </c>
      <c r="R15" s="139">
        <f ca="1">R14/CampusArea!G14*CampusArea!G15</f>
        <v>138.65172245696115</v>
      </c>
      <c r="S15" s="139">
        <f ca="1">S14/Population!H14*Population!H15</f>
        <v>762.88651239086948</v>
      </c>
      <c r="T15" s="139">
        <f ca="1">T14/UtilityDemand!C14*UtilityDemand!C15</f>
        <v>14728.679553692393</v>
      </c>
      <c r="U15" s="50">
        <f t="shared" ca="1" si="5"/>
        <v>62908.526062951511</v>
      </c>
      <c r="V15" s="155">
        <f ca="1">V14/Population!I14*Population!I15</f>
        <v>-133.7220464597394</v>
      </c>
      <c r="W15" s="50">
        <f t="shared" ca="1" si="4"/>
        <v>279648.61947465339</v>
      </c>
      <c r="X15" s="255">
        <f ca="1">W15/CampusArea!G15</f>
        <v>39.535481049911475</v>
      </c>
      <c r="Z15" s="10" t="e">
        <f ca="1">J15/PrimaryEnergy!K14</f>
        <v>#REF!</v>
      </c>
    </row>
    <row r="16" spans="2:26" hidden="1">
      <c r="B16" s="13">
        <f t="shared" si="0"/>
        <v>2014</v>
      </c>
      <c r="C16" s="139">
        <f ca="1">C15/CampusArea!G15*CampusArea!G16</f>
        <v>5620.4884761943358</v>
      </c>
      <c r="D16" s="139">
        <f ca="1">D15/CampusArea!G15*CampusArea!G16</f>
        <v>14451.020980069077</v>
      </c>
      <c r="E16" s="139">
        <f ca="1">E15/CampusArea!G15*CampusArea!G16</f>
        <v>20.141571194047554</v>
      </c>
      <c r="F16" s="139">
        <f ca="1">F15/Population!I15*Population!I16</f>
        <v>417.72331945264636</v>
      </c>
      <c r="G16" s="139">
        <f ca="1">G15/Population!I15*Population!I16</f>
        <v>157.4990514692968</v>
      </c>
      <c r="H16" s="139">
        <f t="shared" ca="1" si="1"/>
        <v>54.727336351939094</v>
      </c>
      <c r="I16" s="50">
        <f t="shared" ca="1" si="2"/>
        <v>20721.600734731339</v>
      </c>
      <c r="J16" s="157">
        <f ca="1">J15/UtilityDemand!C15*UtilityDemand!C16</f>
        <v>96502.300507712484</v>
      </c>
      <c r="K16" s="771">
        <f ca="1">K15/UtilityDemand!E15*UtilityDemand!E16</f>
        <v>79038.577496871832</v>
      </c>
      <c r="L16" s="771">
        <f ca="1">L15/UtilityDemand!G15*UtilityDemand!G16</f>
        <v>23216.1160564126</v>
      </c>
      <c r="M16" s="771">
        <f t="shared" ca="1" si="3"/>
        <v>198756.99406099692</v>
      </c>
      <c r="N16" s="139">
        <f ca="1">N15/Population!I15*Population!I16</f>
        <v>9497.4960962433488</v>
      </c>
      <c r="O16" s="139">
        <f ca="1">O15/Population!J15*Population!J16</f>
        <v>6951.0210258973921</v>
      </c>
      <c r="P16" s="139">
        <f ca="1">P15/Population!I15*Population!I16</f>
        <v>28352.383254151453</v>
      </c>
      <c r="Q16" s="139">
        <f ca="1">Q15/Population!I15*Population!I16</f>
        <v>2565.2007068717262</v>
      </c>
      <c r="R16" s="139">
        <f ca="1">R15/CampusArea!G15*CampusArea!G16</f>
        <v>140.25567390229483</v>
      </c>
      <c r="S16" s="139">
        <f ca="1">S15/Population!H15*Population!H16</f>
        <v>763.19769449003218</v>
      </c>
      <c r="T16" s="139">
        <f ca="1">T15/UtilityDemand!C15*UtilityDemand!C16</f>
        <v>14899.451780788238</v>
      </c>
      <c r="U16" s="50">
        <f t="shared" ca="1" si="5"/>
        <v>63169.006232344487</v>
      </c>
      <c r="V16" s="155">
        <f ca="1">V15/Population!I15*Population!I16</f>
        <v>-133.9644671505348</v>
      </c>
      <c r="W16" s="50">
        <f t="shared" ca="1" si="4"/>
        <v>282513.6365609222</v>
      </c>
      <c r="X16" s="255">
        <f ca="1">W16/CampusArea!G16</f>
        <v>39.483768159069875</v>
      </c>
      <c r="Z16" s="10" t="e">
        <f ca="1">J16/PrimaryEnergy!K15</f>
        <v>#REF!</v>
      </c>
    </row>
    <row r="17" spans="2:26" hidden="1">
      <c r="B17" s="13">
        <f t="shared" si="0"/>
        <v>2015</v>
      </c>
      <c r="C17" s="139">
        <f ca="1">C16/CampusArea!G16*CampusArea!G17</f>
        <v>5747.6049039453355</v>
      </c>
      <c r="D17" s="139">
        <f ca="1">D16/CampusArea!G16*CampusArea!G17</f>
        <v>14777.854167633044</v>
      </c>
      <c r="E17" s="139">
        <f ca="1">E16/CampusArea!G16*CampusArea!G17</f>
        <v>20.597105368759248</v>
      </c>
      <c r="F17" s="139">
        <f ca="1">F16/Population!I16*Population!I17</f>
        <v>418.40671227397928</v>
      </c>
      <c r="G17" s="139">
        <f ca="1">G16/Population!I16*Population!I17</f>
        <v>157.75671896385251</v>
      </c>
      <c r="H17" s="139">
        <f t="shared" ca="1" si="1"/>
        <v>54.727336351939094</v>
      </c>
      <c r="I17" s="50">
        <f t="shared" ca="1" si="2"/>
        <v>21176.94694453691</v>
      </c>
      <c r="J17" s="157">
        <f ca="1">J16/UtilityDemand!C16*UtilityDemand!C17</f>
        <v>98689.767254974737</v>
      </c>
      <c r="K17" s="771">
        <f ca="1">K16/UtilityDemand!E16*UtilityDemand!E17</f>
        <v>80826.16262732404</v>
      </c>
      <c r="L17" s="771">
        <f ca="1">L16/UtilityDemand!G16*UtilityDemand!G17</f>
        <v>23834.471347781066</v>
      </c>
      <c r="M17" s="771">
        <f t="shared" ca="1" si="3"/>
        <v>203350.40123007985</v>
      </c>
      <c r="N17" s="139">
        <f ca="1">N16/Population!I16*Population!I17</f>
        <v>9513.0339423499863</v>
      </c>
      <c r="O17" s="139">
        <f ca="1">O16/Population!J16*Population!J17</f>
        <v>6964.2626813069719</v>
      </c>
      <c r="P17" s="139">
        <f ca="1">P16/Population!I16*Population!I17</f>
        <v>28398.767581483131</v>
      </c>
      <c r="Q17" s="139">
        <f ca="1">Q16/Population!I16*Population!I17</f>
        <v>2569.3973596960195</v>
      </c>
      <c r="R17" s="139">
        <f ca="1">R16/CampusArea!G16*CampusArea!G17</f>
        <v>143.4277825746608</v>
      </c>
      <c r="S17" s="139">
        <f ca="1">S16/Population!H16*Population!H17</f>
        <v>763.47902461210685</v>
      </c>
      <c r="T17" s="139">
        <f ca="1">T16/UtilityDemand!C16*UtilityDemand!C17</f>
        <v>15237.185235342587</v>
      </c>
      <c r="U17" s="50">
        <f t="shared" ca="1" si="5"/>
        <v>63589.553607365466</v>
      </c>
      <c r="V17" s="155">
        <f ca="1">V16/Population!I16*Population!I17</f>
        <v>-134.18363220764562</v>
      </c>
      <c r="W17" s="50">
        <f t="shared" ca="1" si="4"/>
        <v>287982.71814977459</v>
      </c>
      <c r="X17" s="255">
        <f ca="1">W17/CampusArea!G17</f>
        <v>39.357976242494516</v>
      </c>
      <c r="Z17" s="10" t="e">
        <f ca="1">J17/PrimaryEnergy!K16</f>
        <v>#REF!</v>
      </c>
    </row>
    <row r="18" spans="2:26" hidden="1">
      <c r="B18" s="13">
        <f t="shared" si="0"/>
        <v>2016</v>
      </c>
      <c r="C18" s="139">
        <f ca="1">C17/CampusArea!G17*CampusArea!G18</f>
        <v>5811.8803115923238</v>
      </c>
      <c r="D18" s="139">
        <f ca="1">D17/CampusArea!G17*CampusArea!G18</f>
        <v>14943.114761679853</v>
      </c>
      <c r="E18" s="139">
        <f ca="1">E17/CampusArea!G17*CampusArea!G18</f>
        <v>20.827442590271502</v>
      </c>
      <c r="F18" s="139">
        <f ca="1">F17/Population!I17*Population!I18</f>
        <v>419.03515683158537</v>
      </c>
      <c r="G18" s="139">
        <f ca="1">G17/Population!I17*Population!I18</f>
        <v>157.99366867940512</v>
      </c>
      <c r="H18" s="139">
        <f t="shared" ca="1" si="1"/>
        <v>54.727336351939094</v>
      </c>
      <c r="I18" s="50">
        <f t="shared" ca="1" si="2"/>
        <v>21407.578677725378</v>
      </c>
      <c r="J18" s="157">
        <f ca="1">J17/UtilityDemand!C17*UtilityDemand!C18</f>
        <v>99795.842365659308</v>
      </c>
      <c r="K18" s="771">
        <f ca="1">K17/UtilityDemand!E17*UtilityDemand!E18</f>
        <v>81730.04078844242</v>
      </c>
      <c r="L18" s="771">
        <f ca="1">L17/UtilityDemand!G17*UtilityDemand!G18</f>
        <v>24198.490158276862</v>
      </c>
      <c r="M18" s="771">
        <f t="shared" ca="1" si="3"/>
        <v>205724.37331237859</v>
      </c>
      <c r="N18" s="139">
        <f ca="1">N17/Population!I17*Population!I18</f>
        <v>9527.3224664869431</v>
      </c>
      <c r="O18" s="139">
        <f ca="1">O17/Population!J17*Population!J18</f>
        <v>6976.4310298324244</v>
      </c>
      <c r="P18" s="139">
        <f ca="1">P17/Population!I17*Population!I18</f>
        <v>28441.422372636713</v>
      </c>
      <c r="Q18" s="139">
        <f ca="1">Q17/Population!I17*Population!I18</f>
        <v>2573.2565802574027</v>
      </c>
      <c r="R18" s="139">
        <f ca="1">R17/CampusArea!G17*CampusArea!G18</f>
        <v>145.03173401999447</v>
      </c>
      <c r="S18" s="139">
        <f ca="1">S17/Population!H17*Population!H18</f>
        <v>763.73773435939916</v>
      </c>
      <c r="T18" s="139">
        <f ca="1">T17/UtilityDemand!C17*UtilityDemand!C18</f>
        <v>15407.957462438435</v>
      </c>
      <c r="U18" s="50">
        <f t="shared" ca="1" si="5"/>
        <v>63835.159380031306</v>
      </c>
      <c r="V18" s="155">
        <f ca="1">V17/Population!I17*Population!I18</f>
        <v>-134.38517527783782</v>
      </c>
      <c r="W18" s="50">
        <f t="shared" ca="1" si="4"/>
        <v>290832.72619485745</v>
      </c>
      <c r="X18" s="255">
        <f ca="1">W18/CampusArea!G18</f>
        <v>39.307900829577683</v>
      </c>
      <c r="Z18" s="10" t="e">
        <f ca="1">J18/PrimaryEnergy!K17</f>
        <v>#REF!</v>
      </c>
    </row>
    <row r="19" spans="2:26" hidden="1">
      <c r="B19" s="13">
        <f t="shared" si="0"/>
        <v>2017</v>
      </c>
      <c r="C19" s="139">
        <f ca="1">C18/CampusArea!G18*CampusArea!G19</f>
        <v>5876.1557192393129</v>
      </c>
      <c r="D19" s="139">
        <f ca="1">D18/CampusArea!G18*CampusArea!G19</f>
        <v>15108.375355726665</v>
      </c>
      <c r="E19" s="139">
        <f ca="1">E18/CampusArea!G18*CampusArea!G19</f>
        <v>21.057779811783757</v>
      </c>
      <c r="F19" s="139">
        <f ca="1">F18/Population!I18*Population!I19</f>
        <v>419.62009876351709</v>
      </c>
      <c r="G19" s="139">
        <f ca="1">G18/Population!I18*Population!I19</f>
        <v>158.21421609716617</v>
      </c>
      <c r="H19" s="139">
        <f t="shared" ca="1" si="1"/>
        <v>54.727336351939094</v>
      </c>
      <c r="I19" s="50">
        <f t="shared" ca="1" si="2"/>
        <v>21638.150505990383</v>
      </c>
      <c r="J19" s="157">
        <f ca="1">J18/UtilityDemand!C18*UtilityDemand!C19</f>
        <v>100901.91747634388</v>
      </c>
      <c r="K19" s="771">
        <f ca="1">K18/UtilityDemand!E18*UtilityDemand!E19</f>
        <v>82633.918949560801</v>
      </c>
      <c r="L19" s="771">
        <f ca="1">L18/UtilityDemand!G18*UtilityDemand!G19</f>
        <v>24562.508968772661</v>
      </c>
      <c r="M19" s="771">
        <f t="shared" ca="1" si="3"/>
        <v>208098.34539467734</v>
      </c>
      <c r="N19" s="139">
        <f ca="1">N18/Population!I18*Population!I19</f>
        <v>9540.6219004815084</v>
      </c>
      <c r="O19" s="139">
        <f ca="1">O18/Population!J18*Population!J19</f>
        <v>6987.7496472083612</v>
      </c>
      <c r="P19" s="139">
        <f ca="1">P18/Population!I18*Population!I19</f>
        <v>28481.124484209711</v>
      </c>
      <c r="Q19" s="139">
        <f ca="1">Q18/Population!I18*Population!I19</f>
        <v>2576.8486551725314</v>
      </c>
      <c r="R19" s="139">
        <f ca="1">R18/CampusArea!G18*CampusArea!G19</f>
        <v>146.63568546532815</v>
      </c>
      <c r="S19" s="139">
        <f ca="1">S18/Population!H18*Population!H19</f>
        <v>763.97853552086872</v>
      </c>
      <c r="T19" s="139">
        <f ca="1">T18/UtilityDemand!C18*UtilityDemand!C19</f>
        <v>15578.729689534282</v>
      </c>
      <c r="U19" s="50">
        <f t="shared" ca="1" si="5"/>
        <v>64075.688597592583</v>
      </c>
      <c r="V19" s="155">
        <f ca="1">V18/Population!I18*Population!I19</f>
        <v>-134.57276699363649</v>
      </c>
      <c r="W19" s="50">
        <f t="shared" ca="1" si="4"/>
        <v>293677.61173126666</v>
      </c>
      <c r="X19" s="255">
        <f ca="1">W19/CampusArea!G19</f>
        <v>39.258236134039713</v>
      </c>
      <c r="Z19" s="10" t="e">
        <f ca="1">J19/PrimaryEnergy!K18</f>
        <v>#REF!</v>
      </c>
    </row>
    <row r="20" spans="2:26" hidden="1">
      <c r="B20" s="13">
        <f t="shared" si="0"/>
        <v>2018</v>
      </c>
      <c r="C20" s="139">
        <f ca="1">C19/CampusArea!G19*CampusArea!G20</f>
        <v>5940.4311268863012</v>
      </c>
      <c r="D20" s="139">
        <f ca="1">D19/CampusArea!G19*CampusArea!G20</f>
        <v>15273.635949773474</v>
      </c>
      <c r="E20" s="139">
        <f ca="1">E19/CampusArea!G19*CampusArea!G20</f>
        <v>21.288117033296011</v>
      </c>
      <c r="F20" s="139">
        <f ca="1">F19/Population!I19*Population!I20</f>
        <v>420.16948823711743</v>
      </c>
      <c r="G20" s="139">
        <f ca="1">G19/Population!I19*Population!I20</f>
        <v>158.42135876062258</v>
      </c>
      <c r="H20" s="139">
        <f t="shared" ca="1" si="1"/>
        <v>54.727336351939094</v>
      </c>
      <c r="I20" s="50">
        <f t="shared" ca="1" si="2"/>
        <v>21868.673377042745</v>
      </c>
      <c r="J20" s="157">
        <f ca="1">J19/UtilityDemand!C19*UtilityDemand!C20</f>
        <v>102007.99258702844</v>
      </c>
      <c r="K20" s="771">
        <f ca="1">K19/UtilityDemand!E19*UtilityDemand!E20</f>
        <v>83537.797110679167</v>
      </c>
      <c r="L20" s="771">
        <f ca="1">L19/UtilityDemand!G19*UtilityDemand!G20</f>
        <v>24926.527779268461</v>
      </c>
      <c r="M20" s="771">
        <f t="shared" ca="1" si="3"/>
        <v>210472.31747697605</v>
      </c>
      <c r="N20" s="139">
        <f ca="1">N19/Population!I19*Population!I20</f>
        <v>9553.1130019782431</v>
      </c>
      <c r="O20" s="139">
        <f ca="1">O19/Population!J19*Population!J20</f>
        <v>6998.3738291974132</v>
      </c>
      <c r="P20" s="139">
        <f ca="1">P19/Population!I19*Population!I20</f>
        <v>28518.413522637642</v>
      </c>
      <c r="Q20" s="139">
        <f ca="1">Q19/Population!I19*Population!I20</f>
        <v>2580.2224056920718</v>
      </c>
      <c r="R20" s="139">
        <f ca="1">R19/CampusArea!G19*CampusArea!G20</f>
        <v>148.23963691066183</v>
      </c>
      <c r="S20" s="139">
        <f ca="1">S19/Population!H19*Population!H20</f>
        <v>764.20470091630409</v>
      </c>
      <c r="T20" s="139">
        <f ca="1">T19/UtilityDemand!C19*UtilityDemand!C20</f>
        <v>15749.501916630126</v>
      </c>
      <c r="U20" s="50">
        <f t="shared" ca="1" si="5"/>
        <v>64312.069013962471</v>
      </c>
      <c r="V20" s="155">
        <f ca="1">V19/Population!I19*Population!I20</f>
        <v>-134.74895698510124</v>
      </c>
      <c r="W20" s="50">
        <f t="shared" ca="1" si="4"/>
        <v>296518.31091099617</v>
      </c>
      <c r="X20" s="255">
        <f ca="1">W20/CampusArea!G20</f>
        <v>39.209092612888455</v>
      </c>
      <c r="Z20" s="10" t="e">
        <f ca="1">J20/PrimaryEnergy!K19</f>
        <v>#REF!</v>
      </c>
    </row>
    <row r="21" spans="2:26" hidden="1">
      <c r="B21" s="13">
        <f t="shared" si="0"/>
        <v>2019</v>
      </c>
      <c r="C21" s="139">
        <f ca="1">C20/CampusArea!G20*CampusArea!G21</f>
        <v>6004.7065345332903</v>
      </c>
      <c r="D21" s="139">
        <f ca="1">D20/CampusArea!G20*CampusArea!G21</f>
        <v>15438.896543820283</v>
      </c>
      <c r="E21" s="139">
        <f ca="1">E20/CampusArea!G20*CampusArea!G21</f>
        <v>21.518454254808269</v>
      </c>
      <c r="F21" s="139">
        <f ca="1">F20/Population!I20*Population!I21</f>
        <v>420.68911372083744</v>
      </c>
      <c r="G21" s="139">
        <f ca="1">G20/Population!I20*Population!I21</f>
        <v>158.61727916294154</v>
      </c>
      <c r="H21" s="139">
        <f t="shared" ca="1" si="1"/>
        <v>54.727336351939094</v>
      </c>
      <c r="I21" s="50">
        <f t="shared" ca="1" si="2"/>
        <v>22099.155261844102</v>
      </c>
      <c r="J21" s="157">
        <f ca="1">J20/UtilityDemand!C20*UtilityDemand!C21</f>
        <v>103114.06769771299</v>
      </c>
      <c r="K21" s="771">
        <f ca="1">K20/UtilityDemand!E20*UtilityDemand!E21</f>
        <v>84441.675271797547</v>
      </c>
      <c r="L21" s="771">
        <f ca="1">L20/UtilityDemand!G20*UtilityDemand!G21</f>
        <v>25290.546589764261</v>
      </c>
      <c r="M21" s="771">
        <f t="shared" ca="1" si="3"/>
        <v>212846.28955927482</v>
      </c>
      <c r="N21" s="139">
        <f ca="1">N20/Population!I20*Population!I21</f>
        <v>9564.9273795179161</v>
      </c>
      <c r="O21" s="139">
        <f ca="1">O20/Population!J20*Population!J21</f>
        <v>7008.4166453558009</v>
      </c>
      <c r="P21" s="139">
        <f ca="1">P20/Population!I20*Population!I21</f>
        <v>28553.682372081716</v>
      </c>
      <c r="Q21" s="139">
        <f ca="1">Q20/Population!I20*Population!I21</f>
        <v>2583.4133782714662</v>
      </c>
      <c r="R21" s="139">
        <f ca="1">R20/CampusArea!G20*CampusArea!G21</f>
        <v>149.84358835599551</v>
      </c>
      <c r="S21" s="139">
        <f ca="1">S20/Population!H20*Population!H21</f>
        <v>764.41861346587245</v>
      </c>
      <c r="T21" s="139">
        <f ca="1">T20/UtilityDemand!C20*UtilityDemand!C21</f>
        <v>15920.27414372597</v>
      </c>
      <c r="U21" s="50">
        <f t="shared" ca="1" si="5"/>
        <v>64544.976120774736</v>
      </c>
      <c r="V21" s="155">
        <f ca="1">V20/Population!I20*Population!I21</f>
        <v>-134.91560162235922</v>
      </c>
      <c r="W21" s="50">
        <f t="shared" ca="1" si="4"/>
        <v>299355.50534027134</v>
      </c>
      <c r="X21" s="255">
        <f ca="1">W21/CampusArea!G21</f>
        <v>39.160542695024532</v>
      </c>
      <c r="Z21" s="10" t="e">
        <f ca="1">J21/PrimaryEnergy!K20</f>
        <v>#REF!</v>
      </c>
    </row>
    <row r="22" spans="2:26">
      <c r="B22" s="13">
        <f t="shared" si="0"/>
        <v>2020</v>
      </c>
      <c r="C22" s="139">
        <f ca="1">C21/CampusArea!G21*CampusArea!G22</f>
        <v>6068.9819421802786</v>
      </c>
      <c r="D22" s="139">
        <f ca="1">D21/CampusArea!G21*CampusArea!G22</f>
        <v>15604.157137867092</v>
      </c>
      <c r="E22" s="139">
        <f ca="1">E21/CampusArea!G21*CampusArea!G22</f>
        <v>21.748791476320523</v>
      </c>
      <c r="F22" s="139">
        <f ca="1">F21/Population!I21*Population!I22</f>
        <v>421.1833450407924</v>
      </c>
      <c r="G22" s="139">
        <f ca="1">G21/Population!I21*Population!I22</f>
        <v>158.8036249101728</v>
      </c>
      <c r="H22" s="139">
        <f t="shared" ca="1" si="1"/>
        <v>54.727336351939094</v>
      </c>
      <c r="I22" s="50">
        <f t="shared" ca="1" si="2"/>
        <v>22329.602177826593</v>
      </c>
      <c r="J22" s="157">
        <f ca="1">J21/UtilityDemand!C21*UtilityDemand!C22</f>
        <v>104220.14280839756</v>
      </c>
      <c r="K22" s="771">
        <f ca="1">K21/UtilityDemand!E21*UtilityDemand!E22</f>
        <v>85345.553432915913</v>
      </c>
      <c r="L22" s="771">
        <f ca="1">L21/UtilityDemand!G21*UtilityDemand!G22</f>
        <v>25654.56540026006</v>
      </c>
      <c r="M22" s="771">
        <f t="shared" ca="1" si="3"/>
        <v>215220.26164157354</v>
      </c>
      <c r="N22" s="139">
        <f ca="1">N21/Population!I21*Population!I22</f>
        <v>9576.1643869180862</v>
      </c>
      <c r="O22" s="139">
        <f ca="1">O21/Population!J21*Population!J22</f>
        <v>7017.9634538066539</v>
      </c>
      <c r="P22" s="139">
        <f ca="1">P21/Population!I21*Population!I22</f>
        <v>28587.227628348304</v>
      </c>
      <c r="Q22" s="139">
        <f ca="1">Q21/Population!I21*Population!I22</f>
        <v>2586.448407613299</v>
      </c>
      <c r="R22" s="139">
        <f ca="1">R21/CampusArea!G21*CampusArea!G22</f>
        <v>151.44753980132919</v>
      </c>
      <c r="S22" s="139">
        <f ca="1">S21/Population!H21*Population!H22</f>
        <v>764.62207208181871</v>
      </c>
      <c r="T22" s="139">
        <f ca="1">T21/UtilityDemand!C21*UtilityDemand!C22</f>
        <v>16091.046370821818</v>
      </c>
      <c r="U22" s="50">
        <f t="shared" ca="1" si="5"/>
        <v>64774.91985939131</v>
      </c>
      <c r="V22" s="155">
        <f ca="1">V21/Population!I21*Population!I22</f>
        <v>-135.07410231490766</v>
      </c>
      <c r="W22" s="50">
        <f t="shared" ca="1" si="4"/>
        <v>302189.70957647648</v>
      </c>
      <c r="X22" s="255">
        <f ca="1">W22/CampusArea!G22</f>
        <v>39.112634119773858</v>
      </c>
      <c r="Z22" s="10" t="e">
        <f ca="1">J22/PrimaryEnergy!K21</f>
        <v>#REF!</v>
      </c>
    </row>
    <row r="23" spans="2:26" hidden="1">
      <c r="B23" s="13">
        <f t="shared" si="0"/>
        <v>2021</v>
      </c>
      <c r="C23" s="139">
        <f ca="1">C22/CampusArea!G22*CampusArea!G23</f>
        <v>6133.2573498272668</v>
      </c>
      <c r="D23" s="139">
        <f ca="1">D22/CampusArea!G22*CampusArea!G23</f>
        <v>15769.417731913902</v>
      </c>
      <c r="E23" s="139">
        <f ca="1">E22/CampusArea!G22*CampusArea!G23</f>
        <v>21.979128697832778</v>
      </c>
      <c r="F23" s="139">
        <f ca="1">F22/Population!I22*Population!I23</f>
        <v>421.65557711719475</v>
      </c>
      <c r="G23" s="139">
        <f ca="1">G22/Population!I22*Population!I23</f>
        <v>158.9816760283249</v>
      </c>
      <c r="H23" s="139">
        <f t="shared" ca="1" si="1"/>
        <v>54.727336351939094</v>
      </c>
      <c r="I23" s="50">
        <f t="shared" ca="1" si="2"/>
        <v>22560.018799936457</v>
      </c>
      <c r="J23" s="157">
        <f ca="1">J22/UtilityDemand!C22*UtilityDemand!C23</f>
        <v>105326.2179190821</v>
      </c>
      <c r="K23" s="771">
        <f ca="1">K22/UtilityDemand!E22*UtilityDemand!E23</f>
        <v>86249.431594034279</v>
      </c>
      <c r="L23" s="771">
        <f ca="1">L22/UtilityDemand!G22*UtilityDemand!G23</f>
        <v>26018.58421075586</v>
      </c>
      <c r="M23" s="771">
        <f t="shared" ca="1" si="3"/>
        <v>217594.23372387225</v>
      </c>
      <c r="N23" s="139">
        <f ca="1">N22/Population!I22*Population!I23</f>
        <v>9586.9012122119875</v>
      </c>
      <c r="O23" s="139">
        <f ca="1">O22/Population!J22*Population!J23</f>
        <v>7027.0805691202359</v>
      </c>
      <c r="P23" s="139">
        <f ca="1">P22/Population!I22*Population!I23</f>
        <v>28619.279716875721</v>
      </c>
      <c r="Q23" s="139">
        <f ca="1">Q22/Population!I22*Population!I23</f>
        <v>2589.3483416121526</v>
      </c>
      <c r="R23" s="139">
        <f ca="1">R22/CampusArea!G22*CampusArea!G23</f>
        <v>153.05149124666283</v>
      </c>
      <c r="S23" s="139">
        <f ca="1">S22/Population!H22*Population!H23</f>
        <v>764.81647434001445</v>
      </c>
      <c r="T23" s="139">
        <f ca="1">T22/UtilityDemand!C22*UtilityDemand!C23</f>
        <v>16261.818597917661</v>
      </c>
      <c r="U23" s="50">
        <f t="shared" ca="1" si="5"/>
        <v>65002.296403324428</v>
      </c>
      <c r="V23" s="155">
        <f ca="1">V22/Population!I22*Population!I23</f>
        <v>-135.22554781852361</v>
      </c>
      <c r="W23" s="50">
        <f t="shared" ca="1" si="4"/>
        <v>305021.32337931462</v>
      </c>
      <c r="X23" s="255">
        <f ca="1">W23/CampusArea!G23</f>
        <v>39.065397922630218</v>
      </c>
      <c r="Z23" s="10" t="e">
        <f ca="1">J23/PrimaryEnergy!K22</f>
        <v>#REF!</v>
      </c>
    </row>
    <row r="24" spans="2:26" hidden="1">
      <c r="B24" s="13">
        <f t="shared" si="0"/>
        <v>2022</v>
      </c>
      <c r="C24" s="139">
        <f ca="1">C23/CampusArea!G23*CampusArea!G24</f>
        <v>6197.532757474255</v>
      </c>
      <c r="D24" s="139">
        <f ca="1">D23/CampusArea!G23*CampusArea!G24</f>
        <v>15934.678325960711</v>
      </c>
      <c r="E24" s="139">
        <f ca="1">E23/CampusArea!G23*CampusArea!G24</f>
        <v>22.209465919345032</v>
      </c>
      <c r="F24" s="139">
        <f ca="1">F23/Population!I23*Population!I24</f>
        <v>422.10850975187032</v>
      </c>
      <c r="G24" s="139">
        <f ca="1">G23/Population!I23*Population!I24</f>
        <v>159.15245045488638</v>
      </c>
      <c r="H24" s="139">
        <f t="shared" ca="1" si="1"/>
        <v>54.727336351939094</v>
      </c>
      <c r="I24" s="50">
        <f t="shared" ca="1" si="2"/>
        <v>22790.408845913007</v>
      </c>
      <c r="J24" s="157">
        <f ca="1">J23/UtilityDemand!C23*UtilityDemand!C24</f>
        <v>106432.29302976668</v>
      </c>
      <c r="K24" s="771">
        <f ca="1">K23/UtilityDemand!E23*UtilityDemand!E24</f>
        <v>87153.309755152673</v>
      </c>
      <c r="L24" s="771">
        <f ca="1">L23/UtilityDemand!G23*UtilityDemand!G24</f>
        <v>26382.603021251653</v>
      </c>
      <c r="M24" s="771">
        <f t="shared" ca="1" si="3"/>
        <v>219968.205806171</v>
      </c>
      <c r="N24" s="139">
        <f ca="1">N23/Population!I23*Population!I24</f>
        <v>9597.1992389904044</v>
      </c>
      <c r="O24" s="139">
        <f ca="1">O23/Population!J23*Population!J24</f>
        <v>7035.8207276337171</v>
      </c>
      <c r="P24" s="139">
        <f ca="1">P23/Population!I23*Population!I24</f>
        <v>28650.021882918692</v>
      </c>
      <c r="Q24" s="139">
        <f ca="1">Q23/Population!I23*Population!I24</f>
        <v>2592.1297595041619</v>
      </c>
      <c r="R24" s="139">
        <f ca="1">R23/CampusArea!G23*CampusArea!G24</f>
        <v>154.65544269199648</v>
      </c>
      <c r="S24" s="139">
        <f ca="1">S23/Population!H23*Population!H24</f>
        <v>765.0029316591831</v>
      </c>
      <c r="T24" s="139">
        <f ca="1">T23/UtilityDemand!C23*UtilityDemand!C24</f>
        <v>16432.590825013511</v>
      </c>
      <c r="U24" s="50">
        <f t="shared" ca="1" si="5"/>
        <v>65227.420808411669</v>
      </c>
      <c r="V24" s="155">
        <f ca="1">V23/Population!I23*Population!I24</f>
        <v>-135.37080396352144</v>
      </c>
      <c r="W24" s="50">
        <f t="shared" ca="1" si="4"/>
        <v>307850.66465653217</v>
      </c>
      <c r="X24" s="255">
        <f ca="1">W24/CampusArea!G24</f>
        <v>39.018853477183484</v>
      </c>
      <c r="Z24" s="10" t="e">
        <f ca="1">J24/PrimaryEnergy!K23</f>
        <v>#REF!</v>
      </c>
    </row>
    <row r="25" spans="2:26" hidden="1">
      <c r="B25" s="13">
        <f t="shared" si="0"/>
        <v>2023</v>
      </c>
      <c r="C25" s="139">
        <f ca="1">C24/CampusArea!G24*CampusArea!G25</f>
        <v>6261.8081651212442</v>
      </c>
      <c r="D25" s="139">
        <f ca="1">D24/CampusArea!G24*CampusArea!G25</f>
        <v>16099.938920007522</v>
      </c>
      <c r="E25" s="139">
        <f ca="1">E24/CampusArea!G24*CampusArea!G25</f>
        <v>22.439803140857286</v>
      </c>
      <c r="F25" s="139">
        <f ca="1">F24/Population!I24*Population!I25</f>
        <v>422.54433193376093</v>
      </c>
      <c r="G25" s="139">
        <f ca="1">G24/Population!I24*Population!I25</f>
        <v>159.31677352965988</v>
      </c>
      <c r="H25" s="139">
        <f t="shared" ca="1" si="1"/>
        <v>54.727336351939094</v>
      </c>
      <c r="I25" s="50">
        <f t="shared" ca="1" si="2"/>
        <v>23020.77533008498</v>
      </c>
      <c r="J25" s="157">
        <f ca="1">J24/UtilityDemand!C24*UtilityDemand!C25</f>
        <v>107538.36814045125</v>
      </c>
      <c r="K25" s="771">
        <f ca="1">K24/UtilityDemand!E24*UtilityDemand!E25</f>
        <v>88057.187916271054</v>
      </c>
      <c r="L25" s="771">
        <f ca="1">L24/UtilityDemand!G24*UtilityDemand!G25</f>
        <v>26746.621831747456</v>
      </c>
      <c r="M25" s="771">
        <f t="shared" ca="1" si="3"/>
        <v>222342.17788846977</v>
      </c>
      <c r="N25" s="139">
        <f ca="1">N24/Population!I24*Population!I25</f>
        <v>9607.1082368327698</v>
      </c>
      <c r="O25" s="139">
        <f ca="1">O24/Population!J24*Population!J25</f>
        <v>7044.2266876374642</v>
      </c>
      <c r="P25" s="139">
        <f ca="1">P24/Population!I24*Population!I25</f>
        <v>28679.602701025316</v>
      </c>
      <c r="Q25" s="139">
        <f ca="1">Q24/Population!I24*Population!I25</f>
        <v>2594.8061036702502</v>
      </c>
      <c r="R25" s="139">
        <f ca="1">R24/CampusArea!G24*CampusArea!G25</f>
        <v>156.25939413733016</v>
      </c>
      <c r="S25" s="139">
        <f ca="1">S24/Population!H24*Population!H25</f>
        <v>765.18234517335338</v>
      </c>
      <c r="T25" s="139">
        <f ca="1">T24/UtilityDemand!C24*UtilityDemand!C25</f>
        <v>16603.363052109358</v>
      </c>
      <c r="U25" s="50">
        <f t="shared" ca="1" si="5"/>
        <v>65450.548520585835</v>
      </c>
      <c r="V25" s="155">
        <f ca="1">V24/Population!I24*Population!I25</f>
        <v>-135.51057276179171</v>
      </c>
      <c r="W25" s="50">
        <f t="shared" ca="1" si="4"/>
        <v>310677.99116637878</v>
      </c>
      <c r="X25" s="255">
        <f ca="1">W25/CampusArea!G25</f>
        <v>38.97301181611352</v>
      </c>
      <c r="Z25" s="10" t="e">
        <f ca="1">J25/PrimaryEnergy!K24</f>
        <v>#REF!</v>
      </c>
    </row>
    <row r="26" spans="2:26" hidden="1">
      <c r="B26" s="13">
        <f t="shared" si="0"/>
        <v>2024</v>
      </c>
      <c r="C26" s="139">
        <f ca="1">C25/CampusArea!G25*CampusArea!G26</f>
        <v>6326.0835727682324</v>
      </c>
      <c r="D26" s="139">
        <f ca="1">D25/CampusArea!G25*CampusArea!G26</f>
        <v>16265.199514054331</v>
      </c>
      <c r="E26" s="139">
        <f ca="1">E25/CampusArea!G25*CampusArea!G26</f>
        <v>22.670140362369541</v>
      </c>
      <c r="F26" s="139">
        <f ca="1">F25/Population!I25*Population!I26</f>
        <v>422.96484770361371</v>
      </c>
      <c r="G26" s="139">
        <f ca="1">G25/Population!I25*Population!I26</f>
        <v>159.47532545098062</v>
      </c>
      <c r="H26" s="139">
        <f t="shared" ca="1" si="1"/>
        <v>54.727336351939094</v>
      </c>
      <c r="I26" s="50">
        <f t="shared" ca="1" si="2"/>
        <v>23251.120736691468</v>
      </c>
      <c r="J26" s="157">
        <f ca="1">J25/UtilityDemand!C25*UtilityDemand!C26</f>
        <v>108644.4432511358</v>
      </c>
      <c r="K26" s="771">
        <f ca="1">K25/UtilityDemand!E25*UtilityDemand!E26</f>
        <v>88961.06607738942</v>
      </c>
      <c r="L26" s="771">
        <f ca="1">L25/UtilityDemand!G25*UtilityDemand!G26</f>
        <v>27110.640642243248</v>
      </c>
      <c r="M26" s="771">
        <f t="shared" ca="1" si="3"/>
        <v>224716.14997076849</v>
      </c>
      <c r="N26" s="139">
        <f ca="1">N25/Population!I25*Population!I26</f>
        <v>9616.6692230085464</v>
      </c>
      <c r="O26" s="139">
        <f ca="1">O25/Population!J25*Population!J26</f>
        <v>7052.3336879871613</v>
      </c>
      <c r="P26" s="139">
        <f ca="1">P25/Population!I25*Population!I26</f>
        <v>28708.144617925966</v>
      </c>
      <c r="Q26" s="139">
        <f ca="1">Q25/Population!I25*Population!I26</f>
        <v>2597.3884525596791</v>
      </c>
      <c r="R26" s="139">
        <f ca="1">R25/CampusArea!G25*CampusArea!G26</f>
        <v>157.86334558266381</v>
      </c>
      <c r="S26" s="139">
        <f ca="1">S25/Population!H25*Population!H26</f>
        <v>765.35545754617044</v>
      </c>
      <c r="T26" s="139">
        <f ca="1">T25/UtilityDemand!C25*UtilityDemand!C26</f>
        <v>16774.135279205202</v>
      </c>
      <c r="U26" s="50">
        <f t="shared" ca="1" si="5"/>
        <v>65671.890063815386</v>
      </c>
      <c r="V26" s="155">
        <f ca="1">V25/Population!I25*Population!I26</f>
        <v>-135.64543277178717</v>
      </c>
      <c r="W26" s="50">
        <f t="shared" ca="1" si="4"/>
        <v>313503.51533850358</v>
      </c>
      <c r="X26" s="255">
        <f ca="1">W26/CampusArea!G26</f>
        <v>38.92787789524187</v>
      </c>
      <c r="Z26" s="10" t="e">
        <f ca="1">J26/PrimaryEnergy!K25</f>
        <v>#REF!</v>
      </c>
    </row>
    <row r="27" spans="2:26" hidden="1">
      <c r="B27" s="13">
        <f t="shared" si="0"/>
        <v>2025</v>
      </c>
      <c r="C27" s="139">
        <f ca="1">C26/CampusArea!G26*CampusArea!G27</f>
        <v>6390.3589804152216</v>
      </c>
      <c r="D27" s="139">
        <f ca="1">D26/CampusArea!G26*CampusArea!G27</f>
        <v>16430.460108101142</v>
      </c>
      <c r="E27" s="139">
        <f ca="1">E26/CampusArea!G26*CampusArea!G27</f>
        <v>22.900477583881798</v>
      </c>
      <c r="F27" s="139">
        <f ca="1">F26/Population!I26*Population!I27</f>
        <v>423.37156474709951</v>
      </c>
      <c r="G27" s="139">
        <f ca="1">G26/Population!I26*Population!I27</f>
        <v>159.62867467900395</v>
      </c>
      <c r="H27" s="139">
        <f t="shared" ca="1" si="1"/>
        <v>54.727336351939094</v>
      </c>
      <c r="I27" s="50">
        <f t="shared" ca="1" si="2"/>
        <v>23481.447141878285</v>
      </c>
      <c r="J27" s="157">
        <f ca="1">J26/UtilityDemand!C26*UtilityDemand!C27</f>
        <v>109750.51836182037</v>
      </c>
      <c r="K27" s="771">
        <f ca="1">K26/UtilityDemand!E26*UtilityDemand!E27</f>
        <v>89864.9442385078</v>
      </c>
      <c r="L27" s="771">
        <f ca="1">L26/UtilityDemand!G26*UtilityDemand!G27</f>
        <v>27474.659452739055</v>
      </c>
      <c r="M27" s="771">
        <f t="shared" ca="1" si="3"/>
        <v>227090.12205306723</v>
      </c>
      <c r="N27" s="139">
        <f ca="1">N26/Population!I26*Population!I27</f>
        <v>9625.9164767597686</v>
      </c>
      <c r="O27" s="139">
        <f ca="1">O26/Population!J26*Population!J27</f>
        <v>7060.1711786592978</v>
      </c>
      <c r="P27" s="139">
        <f ca="1">P26/Population!I26*Population!I27</f>
        <v>28735.749965666702</v>
      </c>
      <c r="Q27" s="139">
        <f ca="1">Q26/Population!I26*Population!I27</f>
        <v>2599.8860647322858</v>
      </c>
      <c r="R27" s="139">
        <f ca="1">R26/CampusArea!G26*CampusArea!G27</f>
        <v>159.46729702799749</v>
      </c>
      <c r="S27" s="139">
        <f ca="1">S26/Population!H26*Population!H27</f>
        <v>765.52288944173893</v>
      </c>
      <c r="T27" s="139">
        <f ca="1">T26/UtilityDemand!C26*UtilityDemand!C27</f>
        <v>16944.90750630105</v>
      </c>
      <c r="U27" s="50">
        <f t="shared" ca="1" si="5"/>
        <v>65891.621378588839</v>
      </c>
      <c r="V27" s="155">
        <f ca="1">V26/Population!I26*Population!I27</f>
        <v>-135.775867510463</v>
      </c>
      <c r="W27" s="50">
        <f t="shared" ca="1" si="4"/>
        <v>316327.41470602393</v>
      </c>
      <c r="X27" s="255">
        <f ca="1">W27/CampusArea!G27</f>
        <v>38.883452181468471</v>
      </c>
      <c r="Z27" s="10" t="e">
        <f ca="1">J27/PrimaryEnergy!K26</f>
        <v>#REF!</v>
      </c>
    </row>
    <row r="28" spans="2:26" hidden="1">
      <c r="B28" s="13">
        <f t="shared" si="0"/>
        <v>2026</v>
      </c>
      <c r="C28" s="139">
        <f ca="1">C27/CampusArea!G27*CampusArea!G28</f>
        <v>6454.6343880622098</v>
      </c>
      <c r="D28" s="139">
        <f ca="1">D27/CampusArea!G27*CampusArea!G28</f>
        <v>16595.720702147952</v>
      </c>
      <c r="E28" s="139">
        <f ca="1">E27/CampusArea!G27*CampusArea!G28</f>
        <v>23.130814805394053</v>
      </c>
      <c r="F28" s="139">
        <f ca="1">F27/Population!I27*Population!I28</f>
        <v>423.76575837913646</v>
      </c>
      <c r="G28" s="139">
        <f ca="1">G27/Population!I27*Population!I28</f>
        <v>159.77730206045445</v>
      </c>
      <c r="H28" s="139">
        <f t="shared" ca="1" si="1"/>
        <v>54.727336351939094</v>
      </c>
      <c r="I28" s="50">
        <f t="shared" ca="1" si="2"/>
        <v>23711.756301807087</v>
      </c>
      <c r="J28" s="157">
        <f ca="1">J27/UtilityDemand!C27*UtilityDemand!C28</f>
        <v>110856.59347250494</v>
      </c>
      <c r="K28" s="771">
        <f ca="1">K27/UtilityDemand!E27*UtilityDemand!E28</f>
        <v>90768.822399626166</v>
      </c>
      <c r="L28" s="771">
        <f ca="1">L27/UtilityDemand!G27*UtilityDemand!G28</f>
        <v>27838.678263234855</v>
      </c>
      <c r="M28" s="771">
        <f t="shared" ca="1" si="3"/>
        <v>229464.09413536597</v>
      </c>
      <c r="N28" s="139">
        <f ca="1">N27/Population!I27*Population!I28</f>
        <v>9634.878994069888</v>
      </c>
      <c r="O28" s="139">
        <f ca="1">O27/Population!J27*Population!J28</f>
        <v>7067.7640706030861</v>
      </c>
      <c r="P28" s="139">
        <f ca="1">P27/Population!I27*Population!I28</f>
        <v>28762.50530445531</v>
      </c>
      <c r="Q28" s="139">
        <f ca="1">Q27/Population!I27*Population!I28</f>
        <v>2602.3067717803633</v>
      </c>
      <c r="R28" s="139">
        <f ca="1">R27/CampusArea!G27*CampusArea!G28</f>
        <v>161.07124847333114</v>
      </c>
      <c r="S28" s="139">
        <f ca="1">S27/Population!H27*Population!H28</f>
        <v>765.68516586484452</v>
      </c>
      <c r="T28" s="139">
        <f ca="1">T27/UtilityDemand!C27*UtilityDemand!C28</f>
        <v>17115.679733396897</v>
      </c>
      <c r="U28" s="50">
        <f t="shared" ca="1" si="5"/>
        <v>66109.891288643717</v>
      </c>
      <c r="V28" s="155">
        <f ca="1">V27/Population!I27*Population!I28</f>
        <v>-135.90228597314103</v>
      </c>
      <c r="W28" s="50">
        <f t="shared" ca="1" si="4"/>
        <v>319149.83943984361</v>
      </c>
      <c r="X28" s="255">
        <f ca="1">W28/CampusArea!G28</f>
        <v>38.839731793183162</v>
      </c>
      <c r="Z28" s="10" t="e">
        <f ca="1">J28/PrimaryEnergy!K27</f>
        <v>#REF!</v>
      </c>
    </row>
    <row r="29" spans="2:26" hidden="1">
      <c r="B29" s="13">
        <f t="shared" si="0"/>
        <v>2027</v>
      </c>
      <c r="C29" s="139">
        <f ca="1">C28/CampusArea!G28*CampusArea!G29</f>
        <v>6518.9097957091981</v>
      </c>
      <c r="D29" s="139">
        <f ca="1">D28/CampusArea!G28*CampusArea!G29</f>
        <v>16760.981296194761</v>
      </c>
      <c r="E29" s="139">
        <f ca="1">E28/CampusArea!G28*CampusArea!G29</f>
        <v>23.361152026906304</v>
      </c>
      <c r="F29" s="139">
        <f ca="1">F28/Population!I28*Population!I29</f>
        <v>424.14851879169004</v>
      </c>
      <c r="G29" s="139">
        <f ca="1">G28/Population!I28*Population!I29</f>
        <v>159.92161864301005</v>
      </c>
      <c r="H29" s="139">
        <f t="shared" ca="1" si="1"/>
        <v>54.727336351939094</v>
      </c>
      <c r="I29" s="50">
        <f t="shared" ca="1" si="2"/>
        <v>23942.049717717506</v>
      </c>
      <c r="J29" s="157">
        <f ca="1">J28/UtilityDemand!C28*UtilityDemand!C29</f>
        <v>111962.66858318946</v>
      </c>
      <c r="K29" s="771">
        <f ca="1">K28/UtilityDemand!E28*UtilityDemand!E29</f>
        <v>91672.700560744532</v>
      </c>
      <c r="L29" s="771">
        <f ca="1">L28/UtilityDemand!G28*UtilityDemand!G29</f>
        <v>28202.697073730651</v>
      </c>
      <c r="M29" s="771">
        <f t="shared" ca="1" si="3"/>
        <v>231838.06621766463</v>
      </c>
      <c r="N29" s="139">
        <f ca="1">N28/Population!I28*Population!I29</f>
        <v>9643.5815619054301</v>
      </c>
      <c r="O29" s="139">
        <f ca="1">O28/Population!J28*Population!J29</f>
        <v>7075.1336586645912</v>
      </c>
      <c r="P29" s="139">
        <f ca="1">P28/Population!I28*Population!I29</f>
        <v>28788.484629539329</v>
      </c>
      <c r="Q29" s="139">
        <f ca="1">Q28/Population!I28*Population!I29</f>
        <v>2604.6572684730822</v>
      </c>
      <c r="R29" s="139">
        <f ca="1">R28/CampusArea!G28*CampusArea!G29</f>
        <v>162.67519991866482</v>
      </c>
      <c r="S29" s="139">
        <f ca="1">S28/Population!H28*Population!H29</f>
        <v>765.84273561130306</v>
      </c>
      <c r="T29" s="139">
        <f ca="1">T28/UtilityDemand!C28*UtilityDemand!C29</f>
        <v>17286.451960492734</v>
      </c>
      <c r="U29" s="50">
        <f t="shared" ca="1" si="5"/>
        <v>66326.827014605136</v>
      </c>
      <c r="V29" s="155">
        <f ca="1">V28/Population!I28*Population!I29</f>
        <v>-136.02503778594681</v>
      </c>
      <c r="W29" s="50">
        <f t="shared" ca="1" si="4"/>
        <v>321970.91791220132</v>
      </c>
      <c r="X29" s="255">
        <f ca="1">W29/CampusArea!G29</f>
        <v>38.796711335738607</v>
      </c>
      <c r="Z29" s="10" t="e">
        <f ca="1">J29/PrimaryEnergy!K28</f>
        <v>#REF!</v>
      </c>
    </row>
    <row r="30" spans="2:26" hidden="1">
      <c r="B30" s="13">
        <f t="shared" si="0"/>
        <v>2028</v>
      </c>
      <c r="C30" s="139">
        <f ca="1">C29/CampusArea!G29*CampusArea!G30</f>
        <v>6583.1852033561863</v>
      </c>
      <c r="D30" s="139">
        <f ca="1">D29/CampusArea!G29*CampusArea!G30</f>
        <v>16926.24189024157</v>
      </c>
      <c r="E30" s="139">
        <f ca="1">E29/CampusArea!G29*CampusArea!G30</f>
        <v>23.591489248418558</v>
      </c>
      <c r="F30" s="139">
        <f ca="1">F29/Population!I29*Population!I30</f>
        <v>424.52078662366847</v>
      </c>
      <c r="G30" s="139">
        <f ca="1">G29/Population!I29*Population!I30</f>
        <v>160.06197908663088</v>
      </c>
      <c r="H30" s="139">
        <f t="shared" ca="1" si="1"/>
        <v>54.727336351939094</v>
      </c>
      <c r="I30" s="50">
        <f t="shared" ca="1" si="2"/>
        <v>24172.328684908407</v>
      </c>
      <c r="J30" s="157">
        <f ca="1">J29/UtilityDemand!C29*UtilityDemand!C30</f>
        <v>113068.74369387404</v>
      </c>
      <c r="K30" s="771">
        <f ca="1">K29/UtilityDemand!E29*UtilityDemand!E30</f>
        <v>92576.578721862898</v>
      </c>
      <c r="L30" s="771">
        <f ca="1">L29/UtilityDemand!G29*UtilityDemand!G30</f>
        <v>28566.715884226447</v>
      </c>
      <c r="M30" s="771">
        <f t="shared" ca="1" si="3"/>
        <v>234212.0382999634</v>
      </c>
      <c r="N30" s="139">
        <f ca="1">N29/Population!I29*Population!I30</f>
        <v>9652.0455669449493</v>
      </c>
      <c r="O30" s="139">
        <f ca="1">O29/Population!J29*Population!J30</f>
        <v>7082.2983163973386</v>
      </c>
      <c r="P30" s="139">
        <f ca="1">P29/Population!I29*Population!I30</f>
        <v>28813.751785462715</v>
      </c>
      <c r="Q30" s="139">
        <f ca="1">Q29/Population!I29*Population!I30</f>
        <v>2606.9433311879625</v>
      </c>
      <c r="R30" s="139">
        <f ca="1">R29/CampusArea!G29*CampusArea!G30</f>
        <v>164.27915136399847</v>
      </c>
      <c r="S30" s="139">
        <f ca="1">S29/Population!H29*Population!H30</f>
        <v>765.99598591090489</v>
      </c>
      <c r="T30" s="139">
        <f ca="1">T29/UtilityDemand!C29*UtilityDemand!C30</f>
        <v>17457.224187588585</v>
      </c>
      <c r="U30" s="50">
        <f t="shared" ca="1" si="5"/>
        <v>66542.538324856461</v>
      </c>
      <c r="V30" s="155">
        <f ca="1">V29/Population!I29*Population!I30</f>
        <v>-136.14442461312615</v>
      </c>
      <c r="W30" s="50">
        <f t="shared" ca="1" si="4"/>
        <v>324790.76088511513</v>
      </c>
      <c r="X30" s="255">
        <f ca="1">W30/CampusArea!G30</f>
        <v>38.754383523901083</v>
      </c>
      <c r="Z30" s="10" t="e">
        <f ca="1">J30/PrimaryEnergy!K29</f>
        <v>#REF!</v>
      </c>
    </row>
    <row r="31" spans="2:26" hidden="1">
      <c r="B31" s="13">
        <f t="shared" si="0"/>
        <v>2029</v>
      </c>
      <c r="C31" s="139">
        <f ca="1">C30/CampusArea!G30*CampusArea!G31</f>
        <v>6647.4606110031764</v>
      </c>
      <c r="D31" s="139">
        <f ca="1">D30/CampusArea!G30*CampusArea!G31</f>
        <v>17091.502484288383</v>
      </c>
      <c r="E31" s="139">
        <f ca="1">E30/CampusArea!G30*CampusArea!G31</f>
        <v>23.821826469930816</v>
      </c>
      <c r="F31" s="139">
        <f ca="1">F30/Population!I30*Population!I31</f>
        <v>424.88338019812159</v>
      </c>
      <c r="G31" s="139">
        <f ca="1">G30/Population!I30*Population!I31</f>
        <v>160.19869193311513</v>
      </c>
      <c r="H31" s="139">
        <f t="shared" ca="1" si="1"/>
        <v>54.727336351939094</v>
      </c>
      <c r="I31" s="50">
        <f t="shared" ca="1" si="2"/>
        <v>24402.594330244665</v>
      </c>
      <c r="J31" s="157">
        <f ca="1">J30/UtilityDemand!C30*UtilityDemand!C31</f>
        <v>114174.81880455861</v>
      </c>
      <c r="K31" s="771">
        <f ca="1">K30/UtilityDemand!E30*UtilityDemand!E31</f>
        <v>93480.456882981307</v>
      </c>
      <c r="L31" s="771">
        <f ca="1">L30/UtilityDemand!G30*UtilityDemand!G31</f>
        <v>28930.73469472225</v>
      </c>
      <c r="M31" s="771">
        <f t="shared" ca="1" si="3"/>
        <v>236586.01038226217</v>
      </c>
      <c r="N31" s="139">
        <f ca="1">N30/Population!I30*Population!I31</f>
        <v>9660.2896148530326</v>
      </c>
      <c r="O31" s="139">
        <f ca="1">O30/Population!J30*Population!J31</f>
        <v>7089.2740281040815</v>
      </c>
      <c r="P31" s="139">
        <f ca="1">P30/Population!I30*Population!I31</f>
        <v>28838.362314752434</v>
      </c>
      <c r="Q31" s="139">
        <f ca="1">Q30/Population!I30*Population!I31</f>
        <v>2609.1699851720232</v>
      </c>
      <c r="R31" s="139">
        <f ca="1">R30/CampusArea!G30*CampusArea!G31</f>
        <v>165.88310280933214</v>
      </c>
      <c r="S31" s="139">
        <f ca="1">S30/Population!H30*Population!H31</f>
        <v>766.14525364006442</v>
      </c>
      <c r="T31" s="139">
        <f ca="1">T30/UtilityDemand!C30*UtilityDemand!C31</f>
        <v>17627.996414684432</v>
      </c>
      <c r="U31" s="50">
        <f t="shared" ca="1" si="5"/>
        <v>66757.1207140154</v>
      </c>
      <c r="V31" s="155">
        <f ca="1">V30/Population!I30*Population!I31</f>
        <v>-136.2607088920538</v>
      </c>
      <c r="W31" s="50">
        <f t="shared" ca="1" si="4"/>
        <v>327609.46471763018</v>
      </c>
      <c r="X31" s="255">
        <f ca="1">W31/CampusArea!G31</f>
        <v>38.712739652244423</v>
      </c>
      <c r="Z31" s="10" t="e">
        <f ca="1">J31/PrimaryEnergy!K30</f>
        <v>#REF!</v>
      </c>
    </row>
    <row r="32" spans="2:26">
      <c r="B32" s="13">
        <f t="shared" si="0"/>
        <v>2030</v>
      </c>
      <c r="C32" s="139">
        <f ca="1">C31/CampusArea!G31*CampusArea!G32</f>
        <v>6711.7360186501646</v>
      </c>
      <c r="D32" s="139">
        <f ca="1">D31/CampusArea!G31*CampusArea!G32</f>
        <v>17256.763078335192</v>
      </c>
      <c r="E32" s="139">
        <f ca="1">E31/CampusArea!G31*CampusArea!G32</f>
        <v>24.05216369144307</v>
      </c>
      <c r="F32" s="139">
        <f ca="1">F31/Population!I31*Population!I32</f>
        <v>425.23701669520403</v>
      </c>
      <c r="G32" s="139">
        <f ca="1">G31/Population!I31*Population!I32</f>
        <v>160.33202758918623</v>
      </c>
      <c r="H32" s="139">
        <f t="shared" ca="1" si="1"/>
        <v>54.727336351939094</v>
      </c>
      <c r="I32" s="50">
        <f t="shared" ca="1" si="2"/>
        <v>24632.847641313125</v>
      </c>
      <c r="J32" s="157">
        <f ca="1">J31/UtilityDemand!C31*UtilityDemand!C32</f>
        <v>115280.89391524318</v>
      </c>
      <c r="K32" s="771">
        <f ca="1">K31/UtilityDemand!E31*UtilityDemand!E32</f>
        <v>94384.335044099687</v>
      </c>
      <c r="L32" s="771">
        <f ca="1">L31/UtilityDemand!G31*UtilityDemand!G32</f>
        <v>29294.75350521805</v>
      </c>
      <c r="M32" s="771">
        <f t="shared" ca="1" si="3"/>
        <v>238959.98246456092</v>
      </c>
      <c r="N32" s="139">
        <f ca="1">N31/Population!I31*Population!I32</f>
        <v>9668.3300116758164</v>
      </c>
      <c r="O32" s="139">
        <f ca="1">O31/Population!J31*Population!J32</f>
        <v>7096.0748024213999</v>
      </c>
      <c r="P32" s="139">
        <f ca="1">P31/Population!I31*Population!I32</f>
        <v>28862.364895003579</v>
      </c>
      <c r="Q32" s="139">
        <f ca="1">Q31/Population!I31*Population!I32</f>
        <v>2611.341634563013</v>
      </c>
      <c r="R32" s="139">
        <f ca="1">R31/CampusArea!G31*CampusArea!G32</f>
        <v>167.48705425466582</v>
      </c>
      <c r="S32" s="139">
        <f ca="1">S31/Population!H31*Population!H32</f>
        <v>766.29083403802679</v>
      </c>
      <c r="T32" s="139">
        <f ca="1">T31/UtilityDemand!C31*UtilityDemand!C32</f>
        <v>17798.76864178028</v>
      </c>
      <c r="U32" s="50">
        <f t="shared" ca="1" si="5"/>
        <v>66970.657873736767</v>
      </c>
      <c r="V32" s="155">
        <f ca="1">V31/Population!I31*Population!I32</f>
        <v>-136.3741206234331</v>
      </c>
      <c r="W32" s="50">
        <f t="shared" ca="1" si="4"/>
        <v>330427.11385898734</v>
      </c>
      <c r="X32" s="255">
        <f ca="1">W32/CampusArea!G32</f>
        <v>38.671769954942611</v>
      </c>
      <c r="Z32" s="10" t="e">
        <f ca="1">J32/PrimaryEnergy!K31</f>
        <v>#REF!</v>
      </c>
    </row>
    <row r="33" spans="2:26" hidden="1">
      <c r="B33" s="13">
        <f t="shared" si="0"/>
        <v>2031</v>
      </c>
      <c r="C33" s="139">
        <f ca="1">C32/CampusArea!G32*CampusArea!G33</f>
        <v>6776.0114262971529</v>
      </c>
      <c r="D33" s="139">
        <f ca="1">D32/CampusArea!G32*CampusArea!G33</f>
        <v>17422.023672381998</v>
      </c>
      <c r="E33" s="139">
        <f ca="1">E32/CampusArea!G32*CampusArea!G33</f>
        <v>24.282500912955324</v>
      </c>
      <c r="F33" s="139">
        <f ca="1">F32/Population!I32*Population!I33</f>
        <v>425.58232883375155</v>
      </c>
      <c r="G33" s="139">
        <f ca="1">G32/Population!I32*Population!I33</f>
        <v>160.46222461614019</v>
      </c>
      <c r="H33" s="139">
        <f t="shared" ca="1" si="1"/>
        <v>54.727336351939094</v>
      </c>
      <c r="I33" s="50">
        <f t="shared" ca="1" si="2"/>
        <v>24863.08948939394</v>
      </c>
      <c r="J33" s="157">
        <f ca="1">J32/UtilityDemand!C32*UtilityDemand!C33</f>
        <v>116386.96902592771</v>
      </c>
      <c r="K33" s="771">
        <f ca="1">K32/UtilityDemand!E32*UtilityDemand!E33</f>
        <v>95288.213205218053</v>
      </c>
      <c r="L33" s="771">
        <f ca="1">L32/UtilityDemand!G32*UtilityDemand!G33</f>
        <v>29658.772315713843</v>
      </c>
      <c r="M33" s="771">
        <f t="shared" ca="1" si="3"/>
        <v>241333.9545468596</v>
      </c>
      <c r="N33" s="139">
        <f ca="1">N32/Population!I32*Population!I33</f>
        <v>9676.1811431188453</v>
      </c>
      <c r="O33" s="139">
        <f ca="1">O32/Population!J32*Population!J33</f>
        <v>7102.7129981708495</v>
      </c>
      <c r="P33" s="139">
        <f ca="1">P32/Population!I32*Population!I33</f>
        <v>28885.802471117928</v>
      </c>
      <c r="Q33" s="139">
        <f ca="1">Q32/Population!I32*Population!I33</f>
        <v>2613.4621648294442</v>
      </c>
      <c r="R33" s="139">
        <f ca="1">R32/CampusArea!G32*CampusArea!G33</f>
        <v>169.09100569999947</v>
      </c>
      <c r="S33" s="139">
        <f ca="1">S32/Population!H32*Population!H33</f>
        <v>766.43298757411742</v>
      </c>
      <c r="T33" s="139">
        <f ca="1">T32/UtilityDemand!C32*UtilityDemand!C33</f>
        <v>17969.54086887612</v>
      </c>
      <c r="U33" s="50">
        <f t="shared" ca="1" si="5"/>
        <v>67183.223639387303</v>
      </c>
      <c r="V33" s="155">
        <f ca="1">V32/Population!I32*Population!I33</f>
        <v>-136.48486272110136</v>
      </c>
      <c r="W33" s="50">
        <f t="shared" ca="1" si="4"/>
        <v>333243.78281291976</v>
      </c>
      <c r="X33" s="255">
        <f ca="1">W33/CampusArea!G33</f>
        <v>38.631463883775233</v>
      </c>
      <c r="Z33" s="10" t="e">
        <f ca="1">J33/PrimaryEnergy!K32</f>
        <v>#REF!</v>
      </c>
    </row>
    <row r="34" spans="2:26" hidden="1">
      <c r="B34" s="13">
        <f t="shared" si="0"/>
        <v>2032</v>
      </c>
      <c r="C34" s="139">
        <f ca="1">C33/CampusArea!G33*CampusArea!G34</f>
        <v>6840.2868339441411</v>
      </c>
      <c r="D34" s="139">
        <f ca="1">D33/CampusArea!G33*CampusArea!G34</f>
        <v>17587.284266428807</v>
      </c>
      <c r="E34" s="139">
        <f ca="1">E33/CampusArea!G33*CampusArea!G34</f>
        <v>24.512838134467579</v>
      </c>
      <c r="F34" s="139">
        <f ca="1">F33/Population!I33*Population!I34</f>
        <v>425.91987817380232</v>
      </c>
      <c r="G34" s="139">
        <f ca="1">G33/Population!I33*Population!I34</f>
        <v>160.58949474544909</v>
      </c>
      <c r="H34" s="139">
        <f t="shared" ca="1" si="1"/>
        <v>54.727336351939094</v>
      </c>
      <c r="I34" s="50">
        <f t="shared" ca="1" si="2"/>
        <v>25093.320647778608</v>
      </c>
      <c r="J34" s="157">
        <f ca="1">J33/UtilityDemand!C33*UtilityDemand!C34</f>
        <v>117493.04413661228</v>
      </c>
      <c r="K34" s="771">
        <f ca="1">K33/UtilityDemand!E33*UtilityDemand!E34</f>
        <v>96192.091366336419</v>
      </c>
      <c r="L34" s="771">
        <f ca="1">L33/UtilityDemand!G33*UtilityDemand!G34</f>
        <v>30022.791126209642</v>
      </c>
      <c r="M34" s="771">
        <f t="shared" ca="1" si="3"/>
        <v>243707.92662915835</v>
      </c>
      <c r="N34" s="139">
        <f ca="1">N33/Population!I33*Population!I34</f>
        <v>9683.8557769976105</v>
      </c>
      <c r="O34" s="139">
        <f ca="1">O33/Population!J33*Population!J34</f>
        <v>7109.1995842046799</v>
      </c>
      <c r="P34" s="139">
        <f ca="1">P33/Population!I33*Population!I34</f>
        <v>28908.713158193877</v>
      </c>
      <c r="Q34" s="139">
        <f ca="1">Q33/Population!I33*Population!I34</f>
        <v>2615.5350244601609</v>
      </c>
      <c r="R34" s="139">
        <f ca="1">R33/CampusArea!G33*CampusArea!G34</f>
        <v>170.69495714533312</v>
      </c>
      <c r="S34" s="139">
        <f ca="1">S33/Population!H33*Population!H34</f>
        <v>766.57194542394882</v>
      </c>
      <c r="T34" s="139">
        <f ca="1">T33/UtilityDemand!C33*UtilityDemand!C34</f>
        <v>18140.313095971967</v>
      </c>
      <c r="U34" s="50">
        <f t="shared" ca="1" si="5"/>
        <v>67394.883542397569</v>
      </c>
      <c r="V34" s="155">
        <f ca="1">V33/Population!I33*Population!I34</f>
        <v>-136.59311527816752</v>
      </c>
      <c r="W34" s="50">
        <f t="shared" ca="1" si="4"/>
        <v>336059.53770405636</v>
      </c>
      <c r="X34" s="255">
        <f ca="1">W34/CampusArea!G34</f>
        <v>38.591810324766563</v>
      </c>
      <c r="Z34" s="10" t="e">
        <f ca="1">J34/PrimaryEnergy!K33</f>
        <v>#REF!</v>
      </c>
    </row>
    <row r="35" spans="2:26" hidden="1">
      <c r="B35" s="13">
        <f t="shared" si="0"/>
        <v>2033</v>
      </c>
      <c r="C35" s="139">
        <f ca="1">C34/CampusArea!G34*CampusArea!G35</f>
        <v>6904.5622415911294</v>
      </c>
      <c r="D35" s="139">
        <f ca="1">D34/CampusArea!G34*CampusArea!G35</f>
        <v>17752.544860475617</v>
      </c>
      <c r="E35" s="139">
        <f ca="1">E34/CampusArea!G34*CampusArea!G35</f>
        <v>24.743175355979833</v>
      </c>
      <c r="F35" s="139">
        <f ca="1">F34/Population!I34*Population!I35</f>
        <v>426.25016584078725</v>
      </c>
      <c r="G35" s="139">
        <f ca="1">G34/Population!I34*Population!I35</f>
        <v>160.71402692222651</v>
      </c>
      <c r="H35" s="139">
        <f t="shared" ca="1" si="1"/>
        <v>54.727336351939094</v>
      </c>
      <c r="I35" s="50">
        <f t="shared" ca="1" si="2"/>
        <v>25323.541806537673</v>
      </c>
      <c r="J35" s="157">
        <f ca="1">J34/UtilityDemand!C34*UtilityDemand!C35</f>
        <v>118599.11924729684</v>
      </c>
      <c r="K35" s="771">
        <f ca="1">K34/UtilityDemand!E34*UtilityDemand!E35</f>
        <v>97095.969527454799</v>
      </c>
      <c r="L35" s="771">
        <f ca="1">L34/UtilityDemand!G34*UtilityDemand!G35</f>
        <v>30386.809936705438</v>
      </c>
      <c r="M35" s="771">
        <f t="shared" ca="1" si="3"/>
        <v>246081.89871145709</v>
      </c>
      <c r="N35" s="139">
        <f ca="1">N34/Population!I34*Population!I35</f>
        <v>9691.3653070663095</v>
      </c>
      <c r="O35" s="139">
        <f ca="1">O34/Population!J34*Population!J35</f>
        <v>7115.5443488872543</v>
      </c>
      <c r="P35" s="139">
        <f ca="1">P34/Population!I34*Population!I35</f>
        <v>28931.130969415775</v>
      </c>
      <c r="Q35" s="139">
        <f ca="1">Q34/Population!I34*Population!I35</f>
        <v>2617.5632908206094</v>
      </c>
      <c r="R35" s="139">
        <f ca="1">R34/CampusArea!G34*CampusArea!G35</f>
        <v>172.29890859066677</v>
      </c>
      <c r="S35" s="139">
        <f ca="1">S34/Population!H34*Population!H35</f>
        <v>766.70791388421355</v>
      </c>
      <c r="T35" s="139">
        <f ca="1">T34/UtilityDemand!C34*UtilityDemand!C35</f>
        <v>18311.085323067811</v>
      </c>
      <c r="U35" s="50">
        <f t="shared" ca="1" si="5"/>
        <v>67605.69606173264</v>
      </c>
      <c r="V35" s="155">
        <f ca="1">V34/Population!I34*Population!I35</f>
        <v>-136.6990390062754</v>
      </c>
      <c r="W35" s="50">
        <f t="shared" ca="1" si="4"/>
        <v>338874.43754072115</v>
      </c>
      <c r="X35" s="255">
        <f ca="1">W35/CampusArea!G35</f>
        <v>38.55279776818417</v>
      </c>
      <c r="Z35" s="10" t="e">
        <f ca="1">J35/PrimaryEnergy!K34</f>
        <v>#REF!</v>
      </c>
    </row>
    <row r="36" spans="2:26" hidden="1">
      <c r="B36" s="13">
        <f t="shared" si="0"/>
        <v>2034</v>
      </c>
      <c r="C36" s="139">
        <f ca="1">C35/CampusArea!G35*CampusArea!G36</f>
        <v>6968.8376492381176</v>
      </c>
      <c r="D36" s="139">
        <f ca="1">D35/CampusArea!G35*CampusArea!G36</f>
        <v>17917.805454522426</v>
      </c>
      <c r="E36" s="139">
        <f ca="1">E35/CampusArea!G35*CampusArea!G36</f>
        <v>24.973512577492087</v>
      </c>
      <c r="F36" s="139">
        <f ca="1">F35/Population!I35*Population!I36</f>
        <v>426.57364125708153</v>
      </c>
      <c r="G36" s="139">
        <f ca="1">G35/Population!I35*Population!I36</f>
        <v>160.83599059738532</v>
      </c>
      <c r="H36" s="139">
        <f t="shared" ca="1" si="1"/>
        <v>54.727336351939094</v>
      </c>
      <c r="I36" s="50">
        <f t="shared" ca="1" si="2"/>
        <v>25553.75358454444</v>
      </c>
      <c r="J36" s="157">
        <f ca="1">J35/UtilityDemand!C35*UtilityDemand!C36</f>
        <v>119705.19435798141</v>
      </c>
      <c r="K36" s="771">
        <f ca="1">K35/UtilityDemand!E35*UtilityDemand!E36</f>
        <v>97999.847688573151</v>
      </c>
      <c r="L36" s="771">
        <f ca="1">L35/UtilityDemand!G35*UtilityDemand!G36</f>
        <v>30750.828747201238</v>
      </c>
      <c r="M36" s="771">
        <f t="shared" ca="1" si="3"/>
        <v>248455.87079375581</v>
      </c>
      <c r="N36" s="139">
        <f ca="1">N35/Population!I35*Population!I36</f>
        <v>9698.7199515412958</v>
      </c>
      <c r="O36" s="139">
        <f ca="1">O35/Population!J35*Population!J36</f>
        <v>7121.7560706529976</v>
      </c>
      <c r="P36" s="139">
        <f ca="1">P35/Population!I35*Population!I36</f>
        <v>28953.086408695752</v>
      </c>
      <c r="Q36" s="139">
        <f ca="1">Q35/Population!I35*Population!I36</f>
        <v>2619.5497237724999</v>
      </c>
      <c r="R36" s="139">
        <f ca="1">R35/CampusArea!G35*CampusArea!G36</f>
        <v>173.90286003600045</v>
      </c>
      <c r="S36" s="139">
        <f ca="1">S35/Population!H35*Population!H36</f>
        <v>766.84107796717353</v>
      </c>
      <c r="T36" s="139">
        <f ca="1">T35/UtilityDemand!C35*UtilityDemand!C36</f>
        <v>18481.857550163659</v>
      </c>
      <c r="U36" s="50">
        <f t="shared" ca="1" si="5"/>
        <v>67815.713642829389</v>
      </c>
      <c r="V36" s="155">
        <f ca="1">V35/Population!I35*Population!I36</f>
        <v>-136.80277803582479</v>
      </c>
      <c r="W36" s="50">
        <f t="shared" ca="1" si="4"/>
        <v>341688.53524309385</v>
      </c>
      <c r="X36" s="255">
        <f ca="1">W36/CampusArea!G36</f>
        <v>38.514414442681826</v>
      </c>
      <c r="Z36" s="10" t="e">
        <f ca="1">J36/PrimaryEnergy!K35</f>
        <v>#REF!</v>
      </c>
    </row>
    <row r="37" spans="2:26" hidden="1">
      <c r="B37" s="13">
        <f t="shared" si="0"/>
        <v>2035</v>
      </c>
      <c r="C37" s="139">
        <f ca="1">C36/CampusArea!G36*CampusArea!G37</f>
        <v>7033.1130568851067</v>
      </c>
      <c r="D37" s="139">
        <f ca="1">D36/CampusArea!G36*CampusArea!G37</f>
        <v>18083.066048569235</v>
      </c>
      <c r="E37" s="139">
        <f ca="1">E36/CampusArea!G36*CampusArea!G37</f>
        <v>25.203849799004338</v>
      </c>
      <c r="F37" s="139">
        <f ca="1">F36/Population!I36*Population!I37</f>
        <v>426.89070931558683</v>
      </c>
      <c r="G37" s="139">
        <f ca="1">G36/Population!I36*Population!I37</f>
        <v>160.95553843237627</v>
      </c>
      <c r="H37" s="139">
        <f t="shared" ca="1" si="1"/>
        <v>54.727336351939094</v>
      </c>
      <c r="I37" s="50">
        <f t="shared" ca="1" si="2"/>
        <v>25783.956539353247</v>
      </c>
      <c r="J37" s="157">
        <f ca="1">J36/UtilityDemand!C36*UtilityDemand!C37</f>
        <v>120811.26946866597</v>
      </c>
      <c r="K37" s="771">
        <f ca="1">K36/UtilityDemand!E36*UtilityDemand!E37</f>
        <v>98903.725849691531</v>
      </c>
      <c r="L37" s="771">
        <f ca="1">L36/UtilityDemand!G36*UtilityDemand!G37</f>
        <v>31114.847557697034</v>
      </c>
      <c r="M37" s="771">
        <f t="shared" ca="1" si="3"/>
        <v>250829.84287605452</v>
      </c>
      <c r="N37" s="139">
        <f ca="1">N36/Population!I36*Population!I37</f>
        <v>9705.9289162020286</v>
      </c>
      <c r="O37" s="139">
        <f ca="1">O36/Population!J36*Population!J37</f>
        <v>7127.8426581315016</v>
      </c>
      <c r="P37" s="139">
        <f ca="1">P36/Population!I36*Population!I37</f>
        <v>28974.606957570475</v>
      </c>
      <c r="Q37" s="139">
        <f ca="1">Q36/Population!I36*Population!I37</f>
        <v>2621.4968097261162</v>
      </c>
      <c r="R37" s="139">
        <f ca="1">R36/CampusArea!G36*CampusArea!G37</f>
        <v>175.5068114813341</v>
      </c>
      <c r="S37" s="139">
        <f ca="1">S36/Population!H36*Population!H37</f>
        <v>766.97160435378566</v>
      </c>
      <c r="T37" s="139">
        <f ca="1">T36/UtilityDemand!C36*UtilityDemand!C37</f>
        <v>18652.629777259503</v>
      </c>
      <c r="U37" s="50">
        <f t="shared" ca="1" si="5"/>
        <v>68024.983534724743</v>
      </c>
      <c r="V37" s="155">
        <f ca="1">V36/Population!I36*Population!I37</f>
        <v>-136.90446221654943</v>
      </c>
      <c r="W37" s="50">
        <f t="shared" ca="1" si="4"/>
        <v>344501.87848791596</v>
      </c>
      <c r="X37" s="255">
        <f ca="1">W37/CampusArea!G37</f>
        <v>38.476648421597254</v>
      </c>
      <c r="Z37" s="10" t="e">
        <f ca="1">J37/PrimaryEnergy!K36</f>
        <v>#REF!</v>
      </c>
    </row>
    <row r="38" spans="2:26" hidden="1">
      <c r="B38" s="13">
        <f t="shared" si="0"/>
        <v>2036</v>
      </c>
      <c r="C38" s="139">
        <f ca="1">C37/CampusArea!G37*CampusArea!G38</f>
        <v>7097.3884645320959</v>
      </c>
      <c r="D38" s="139">
        <f ca="1">D37/CampusArea!G37*CampusArea!G38</f>
        <v>18248.326642616048</v>
      </c>
      <c r="E38" s="139">
        <f ca="1">E37/CampusArea!G37*CampusArea!G38</f>
        <v>25.4341870205166</v>
      </c>
      <c r="F38" s="139">
        <f ca="1">F37/Population!I37*Population!I38</f>
        <v>427.20173632220656</v>
      </c>
      <c r="G38" s="139">
        <f ca="1">G37/Population!I37*Population!I38</f>
        <v>161.07280853974814</v>
      </c>
      <c r="H38" s="139">
        <f t="shared" ca="1" si="1"/>
        <v>54.727336351939094</v>
      </c>
      <c r="I38" s="50">
        <f t="shared" ca="1" si="2"/>
        <v>26014.151175382554</v>
      </c>
      <c r="J38" s="157">
        <f ca="1">J37/UtilityDemand!C37*UtilityDemand!C38</f>
        <v>121917.34457935055</v>
      </c>
      <c r="K38" s="771">
        <f ca="1">K37/UtilityDemand!E37*UtilityDemand!E38</f>
        <v>99807.604010809926</v>
      </c>
      <c r="L38" s="771">
        <f ca="1">L37/UtilityDemand!G37*UtilityDemand!G38</f>
        <v>31478.866368192837</v>
      </c>
      <c r="M38" s="771">
        <f t="shared" ca="1" si="3"/>
        <v>253203.81495835329</v>
      </c>
      <c r="N38" s="139">
        <f ca="1">N37/Population!I37*Population!I38</f>
        <v>9713.0005295011542</v>
      </c>
      <c r="O38" s="139">
        <f ca="1">O37/Population!J37*Population!J38</f>
        <v>7133.8112662246658</v>
      </c>
      <c r="P38" s="139">
        <f ca="1">P37/Population!I37*Population!I38</f>
        <v>28995.717478538343</v>
      </c>
      <c r="Q38" s="139">
        <f ca="1">Q37/Population!I37*Population!I38</f>
        <v>2623.4067981325152</v>
      </c>
      <c r="R38" s="139">
        <f ca="1">R37/CampusArea!G37*CampusArea!G38</f>
        <v>177.11076292666777</v>
      </c>
      <c r="S38" s="139">
        <f ca="1">S37/Population!H37*Population!H38</f>
        <v>767.09964384002171</v>
      </c>
      <c r="T38" s="139">
        <f ca="1">T37/UtilityDemand!C37*UtilityDemand!C38</f>
        <v>18823.402004355354</v>
      </c>
      <c r="U38" s="50">
        <f t="shared" ca="1" si="5"/>
        <v>68233.548483518724</v>
      </c>
      <c r="V38" s="155">
        <f ca="1">V37/Population!I37*Population!I38</f>
        <v>-137.00420902327747</v>
      </c>
      <c r="W38" s="50">
        <f t="shared" ca="1" si="4"/>
        <v>347314.51040823129</v>
      </c>
      <c r="X38" s="255">
        <f ca="1">W38/CampusArea!G38</f>
        <v>38.439487707429699</v>
      </c>
      <c r="Z38" s="10" t="e">
        <f ca="1">J38/PrimaryEnergy!K37</f>
        <v>#REF!</v>
      </c>
    </row>
    <row r="39" spans="2:26" hidden="1">
      <c r="B39" s="13">
        <f t="shared" si="0"/>
        <v>2037</v>
      </c>
      <c r="C39" s="139">
        <f ca="1">C38/CampusArea!G38*CampusArea!G39</f>
        <v>7161.6638721790841</v>
      </c>
      <c r="D39" s="139">
        <f ca="1">D38/CampusArea!G38*CampusArea!G39</f>
        <v>18413.587236662857</v>
      </c>
      <c r="E39" s="139">
        <f ca="1">E38/CampusArea!G38*CampusArea!G39</f>
        <v>25.66452424202885</v>
      </c>
      <c r="F39" s="139">
        <f ca="1">F38/Population!I38*Population!I39</f>
        <v>427.50705495599954</v>
      </c>
      <c r="G39" s="139">
        <f ca="1">G38/Population!I38*Population!I39</f>
        <v>161.18792635333179</v>
      </c>
      <c r="H39" s="139">
        <f t="shared" ca="1" si="1"/>
        <v>54.727336351939094</v>
      </c>
      <c r="I39" s="50">
        <f t="shared" ca="1" si="2"/>
        <v>26244.337950745237</v>
      </c>
      <c r="J39" s="157">
        <f ca="1">J38/UtilityDemand!C38*UtilityDemand!C39</f>
        <v>123023.41969003511</v>
      </c>
      <c r="K39" s="771">
        <f ca="1">K38/UtilityDemand!E38*UtilityDemand!E39</f>
        <v>100711.48217192829</v>
      </c>
      <c r="L39" s="771">
        <f ca="1">L38/UtilityDemand!G38*UtilityDemand!G39</f>
        <v>31842.885178688637</v>
      </c>
      <c r="M39" s="771">
        <f t="shared" ca="1" si="3"/>
        <v>255577.78704065201</v>
      </c>
      <c r="N39" s="139">
        <f ca="1">N38/Population!I38*Population!I39</f>
        <v>9719.9423553402285</v>
      </c>
      <c r="O39" s="139">
        <f ca="1">O38/Population!J38*Population!J39</f>
        <v>7139.6683929955962</v>
      </c>
      <c r="P39" s="139">
        <f ca="1">P38/Population!I38*Population!I39</f>
        <v>29016.44055172295</v>
      </c>
      <c r="Q39" s="139">
        <f ca="1">Q38/Population!I38*Population!I39</f>
        <v>2625.2817319433761</v>
      </c>
      <c r="R39" s="139">
        <f ca="1">R38/CampusArea!G38*CampusArea!G39</f>
        <v>178.71471437200145</v>
      </c>
      <c r="S39" s="139">
        <f ca="1">S38/Population!H38*Population!H39</f>
        <v>767.22533337879838</v>
      </c>
      <c r="T39" s="139">
        <f ca="1">T38/UtilityDemand!C38*UtilityDemand!C39</f>
        <v>18994.174231451198</v>
      </c>
      <c r="U39" s="50">
        <f t="shared" ca="1" si="5"/>
        <v>68441.447311204145</v>
      </c>
      <c r="V39" s="155">
        <f ca="1">V38/Population!I38*Population!I39</f>
        <v>-137.1021251466598</v>
      </c>
      <c r="W39" s="50">
        <f t="shared" ca="1" si="4"/>
        <v>350126.47017745476</v>
      </c>
      <c r="X39" s="255">
        <f ca="1">W39/CampusArea!G39</f>
        <v>38.402920299081245</v>
      </c>
      <c r="Z39" s="10" t="e">
        <f ca="1">J39/PrimaryEnergy!K38</f>
        <v>#REF!</v>
      </c>
    </row>
    <row r="40" spans="2:26" hidden="1">
      <c r="B40" s="13">
        <f t="shared" si="0"/>
        <v>2038</v>
      </c>
      <c r="C40" s="139">
        <f ca="1">C39/CampusArea!G39*CampusArea!G40</f>
        <v>7225.9392798260724</v>
      </c>
      <c r="D40" s="139">
        <f ca="1">D39/CampusArea!G39*CampusArea!G40</f>
        <v>18578.847830709667</v>
      </c>
      <c r="E40" s="139">
        <f ca="1">E39/CampusArea!G39*CampusArea!G40</f>
        <v>25.894861463541105</v>
      </c>
      <c r="F40" s="139">
        <f ca="1">F39/Population!I39*Population!I40</f>
        <v>427.80696843847869</v>
      </c>
      <c r="G40" s="139">
        <f ca="1">G39/Population!I39*Population!I40</f>
        <v>161.3010062002391</v>
      </c>
      <c r="H40" s="139">
        <f t="shared" ca="1" si="1"/>
        <v>54.727336351939094</v>
      </c>
      <c r="I40" s="50">
        <f t="shared" ca="1" si="2"/>
        <v>26474.517282989938</v>
      </c>
      <c r="J40" s="157">
        <f ca="1">J39/UtilityDemand!C39*UtilityDemand!C40</f>
        <v>124129.49480071968</v>
      </c>
      <c r="K40" s="771">
        <f ca="1">K39/UtilityDemand!E39*UtilityDemand!E40</f>
        <v>101615.36033304666</v>
      </c>
      <c r="L40" s="771">
        <f ca="1">L39/UtilityDemand!G39*UtilityDemand!G40</f>
        <v>32206.903989184433</v>
      </c>
      <c r="M40" s="771">
        <f t="shared" ca="1" si="3"/>
        <v>257951.75912295078</v>
      </c>
      <c r="N40" s="139">
        <f ca="1">N39/Population!I39*Population!I40</f>
        <v>9726.7612878642467</v>
      </c>
      <c r="O40" s="139">
        <f ca="1">O39/Population!J39*Population!J40</f>
        <v>7145.4199611092345</v>
      </c>
      <c r="P40" s="139">
        <f ca="1">P39/Population!I39*Population!I40</f>
        <v>29036.796757858338</v>
      </c>
      <c r="Q40" s="139">
        <f ca="1">Q39/Population!I39*Population!I40</f>
        <v>2627.1234732142825</v>
      </c>
      <c r="R40" s="139">
        <f ca="1">R39/CampusArea!G39*CampusArea!G40</f>
        <v>180.3186658173351</v>
      </c>
      <c r="S40" s="139">
        <f ca="1">S39/Population!H39*Population!H40</f>
        <v>767.34879779633945</v>
      </c>
      <c r="T40" s="139">
        <f ca="1">T39/UtilityDemand!C39*UtilityDemand!C40</f>
        <v>19164.946458547045</v>
      </c>
      <c r="U40" s="50">
        <f t="shared" ca="1" si="5"/>
        <v>68648.715402206828</v>
      </c>
      <c r="V40" s="155">
        <f ca="1">V39/Population!I39*Population!I40</f>
        <v>-137.19830783027015</v>
      </c>
      <c r="W40" s="50">
        <f t="shared" ca="1" si="4"/>
        <v>352937.79350031726</v>
      </c>
      <c r="X40" s="255">
        <f ca="1">W40/CampusArea!G40</f>
        <v>38.36693424538602</v>
      </c>
      <c r="Z40" s="10" t="e">
        <f ca="1">J40/PrimaryEnergy!K39</f>
        <v>#REF!</v>
      </c>
    </row>
    <row r="41" spans="2:26" hidden="1">
      <c r="B41" s="13">
        <f t="shared" si="0"/>
        <v>2039</v>
      </c>
      <c r="C41" s="139">
        <f ca="1">C40/CampusArea!G40*CampusArea!G41</f>
        <v>7290.2146874730606</v>
      </c>
      <c r="D41" s="139">
        <f ca="1">D40/CampusArea!G40*CampusArea!G41</f>
        <v>18744.108424756476</v>
      </c>
      <c r="E41" s="139">
        <f ca="1">E40/CampusArea!G40*CampusArea!G41</f>
        <v>26.125198685053359</v>
      </c>
      <c r="F41" s="139">
        <f ca="1">F40/Population!I40*Population!I41</f>
        <v>428.10175406091719</v>
      </c>
      <c r="G41" s="139">
        <f ca="1">G40/Population!I40*Population!I41</f>
        <v>161.41215263080392</v>
      </c>
      <c r="H41" s="139">
        <f t="shared" ca="1" si="1"/>
        <v>54.727336351939094</v>
      </c>
      <c r="I41" s="50">
        <f t="shared" ca="1" si="2"/>
        <v>26704.689553958251</v>
      </c>
      <c r="J41" s="157">
        <f ca="1">J40/UtilityDemand!C40*UtilityDemand!C41</f>
        <v>125235.56991140422</v>
      </c>
      <c r="K41" s="771">
        <f ca="1">K40/UtilityDemand!E40*UtilityDemand!E41</f>
        <v>102519.23849416504</v>
      </c>
      <c r="L41" s="771">
        <f ca="1">L40/UtilityDemand!G40*UtilityDemand!G41</f>
        <v>32570.922799680233</v>
      </c>
      <c r="M41" s="771">
        <f t="shared" ca="1" si="3"/>
        <v>260325.7312052495</v>
      </c>
      <c r="N41" s="139">
        <f ca="1">N40/Population!I40*Population!I41</f>
        <v>9733.4636316596716</v>
      </c>
      <c r="O41" s="139">
        <f ca="1">O40/Population!J40*Population!J41</f>
        <v>7151.0713867326258</v>
      </c>
      <c r="P41" s="139">
        <f ca="1">P40/Population!I40*Population!I41</f>
        <v>29056.804917699978</v>
      </c>
      <c r="Q41" s="139">
        <f ca="1">Q40/Population!I40*Population!I41</f>
        <v>2628.9337247655862</v>
      </c>
      <c r="R41" s="139">
        <f ca="1">R40/CampusArea!G40*CampusArea!G41</f>
        <v>181.92261726266875</v>
      </c>
      <c r="S41" s="139">
        <f ca="1">S40/Population!H40*Population!H41</f>
        <v>767.47015124425059</v>
      </c>
      <c r="T41" s="139">
        <f ca="1">T40/UtilityDemand!C40*UtilityDemand!C41</f>
        <v>19335.718685642889</v>
      </c>
      <c r="U41" s="50">
        <f t="shared" ca="1" si="5"/>
        <v>68855.385115007666</v>
      </c>
      <c r="V41" s="155">
        <f ca="1">V40/Population!I40*Population!I41</f>
        <v>-137.2928460018172</v>
      </c>
      <c r="W41" s="50">
        <f t="shared" ca="1" si="4"/>
        <v>355748.51302821358</v>
      </c>
      <c r="X41" s="255">
        <f ca="1">W41/CampusArea!G41</f>
        <v>38.331517687662398</v>
      </c>
      <c r="Z41" s="10" t="e">
        <f ca="1">J41/PrimaryEnergy!K40</f>
        <v>#REF!</v>
      </c>
    </row>
    <row r="42" spans="2:26">
      <c r="B42" s="13">
        <f t="shared" si="0"/>
        <v>2040</v>
      </c>
      <c r="C42" s="139">
        <f ca="1">C41/CampusArea!G41*CampusArea!G42</f>
        <v>7354.4900951200489</v>
      </c>
      <c r="D42" s="139">
        <f ca="1">D41/CampusArea!G41*CampusArea!G42</f>
        <v>18909.369018803285</v>
      </c>
      <c r="E42" s="139">
        <f ca="1">E41/CampusArea!G41*CampusArea!G42</f>
        <v>26.355535906565613</v>
      </c>
      <c r="F42" s="139">
        <f ca="1">F41/Population!I41*Population!I42</f>
        <v>428.39166618650449</v>
      </c>
      <c r="G42" s="139">
        <f ca="1">G41/Population!I41*Population!I42</f>
        <v>161.52146155051969</v>
      </c>
      <c r="H42" s="139">
        <f t="shared" ca="1" si="1"/>
        <v>54.727336351939094</v>
      </c>
      <c r="I42" s="50">
        <f t="shared" ca="1" si="2"/>
        <v>26934.85511391886</v>
      </c>
      <c r="J42" s="157">
        <f ca="1">J41/UtilityDemand!C41*UtilityDemand!C42</f>
        <v>126341.64502208878</v>
      </c>
      <c r="K42" s="771">
        <f ca="1">K41/UtilityDemand!E41*UtilityDemand!E42</f>
        <v>103423.11665528339</v>
      </c>
      <c r="L42" s="771">
        <f ca="1">L41/UtilityDemand!G41*UtilityDemand!G42</f>
        <v>32934.941610176029</v>
      </c>
      <c r="M42" s="771">
        <f t="shared" ca="1" si="3"/>
        <v>262699.70328754815</v>
      </c>
      <c r="N42" s="139">
        <f ca="1">N41/Population!I41*Population!I42</f>
        <v>9740.0551700124433</v>
      </c>
      <c r="O42" s="139">
        <f ca="1">O41/Population!J41*Population!J42</f>
        <v>7156.6276381771286</v>
      </c>
      <c r="P42" s="139">
        <f ca="1">P41/Population!I41*Population!I42</f>
        <v>29076.482295791888</v>
      </c>
      <c r="Q42" s="139">
        <f ca="1">Q41/Population!I41*Population!I42</f>
        <v>2630.7140486183739</v>
      </c>
      <c r="R42" s="139">
        <f ca="1">R41/CampusArea!G41*CampusArea!G42</f>
        <v>183.5265687080024</v>
      </c>
      <c r="S42" s="139">
        <f ca="1">S41/Population!H41*Population!H42</f>
        <v>767.58949843540688</v>
      </c>
      <c r="T42" s="139">
        <f ca="1">T41/UtilityDemand!C41*UtilityDemand!C42</f>
        <v>19506.490912738733</v>
      </c>
      <c r="U42" s="50">
        <f t="shared" ca="1" si="5"/>
        <v>69061.486132481979</v>
      </c>
      <c r="V42" s="155">
        <f ca="1">V41/Population!I41*Population!I42</f>
        <v>-137.38582123594028</v>
      </c>
      <c r="W42" s="50">
        <f ca="1">SUM(V42,U42,M42,I42)</f>
        <v>358558.65871271305</v>
      </c>
      <c r="X42" s="255">
        <f ca="1">W42/CampusArea!G42</f>
        <v>38.296658893429075</v>
      </c>
      <c r="Z42" s="10" t="e">
        <f ca="1">J42/PrimaryEnergy!K41</f>
        <v>#REF!</v>
      </c>
    </row>
    <row r="43" spans="2:26" hidden="1">
      <c r="B43" s="13">
        <f t="shared" si="0"/>
        <v>2041</v>
      </c>
      <c r="C43" s="139">
        <f ca="1">C42/CampusArea!G42*CampusArea!G43</f>
        <v>7418.7655027670389</v>
      </c>
      <c r="D43" s="139">
        <f ca="1">D42/CampusArea!G42*CampusArea!G43</f>
        <v>19074.629612850098</v>
      </c>
      <c r="E43" s="139">
        <f ca="1">E42/CampusArea!G42*CampusArea!G43</f>
        <v>26.585873128077871</v>
      </c>
      <c r="F43" s="139">
        <f ca="1">F42/Population!I42*Population!I43</f>
        <v>428.67693881986298</v>
      </c>
      <c r="G43" s="139">
        <f ca="1">G42/Population!I42*Population!I43</f>
        <v>161.62902118885395</v>
      </c>
      <c r="H43" s="139">
        <f t="shared" ca="1" si="1"/>
        <v>54.727336351939094</v>
      </c>
      <c r="I43" s="50">
        <f t="shared" ca="1" si="2"/>
        <v>27165.014285105874</v>
      </c>
      <c r="J43" s="157">
        <f ca="1">J42/UtilityDemand!C42*UtilityDemand!C43</f>
        <v>127447.72013277335</v>
      </c>
      <c r="K43" s="771">
        <f ca="1">K42/UtilityDemand!E42*UtilityDemand!E43</f>
        <v>104326.99481640177</v>
      </c>
      <c r="L43" s="771">
        <f ca="1">L42/UtilityDemand!G42*UtilityDemand!G43</f>
        <v>33298.960420671829</v>
      </c>
      <c r="M43" s="771">
        <f t="shared" ca="1" si="3"/>
        <v>265073.67536984698</v>
      </c>
      <c r="N43" s="139">
        <f ca="1">N42/Population!I42*Population!I43</f>
        <v>9746.5412233293555</v>
      </c>
      <c r="O43" s="139">
        <f ca="1">O42/Population!J42*Population!J43</f>
        <v>7162.0932860896683</v>
      </c>
      <c r="P43" s="139">
        <f ca="1">P42/Population!I42*Population!I43</f>
        <v>29095.844774868947</v>
      </c>
      <c r="Q43" s="139">
        <f ca="1">Q42/Population!I42*Population!I43</f>
        <v>2632.465881773634</v>
      </c>
      <c r="R43" s="139">
        <f ca="1">R42/CampusArea!G42*CampusArea!G43</f>
        <v>185.13052015333611</v>
      </c>
      <c r="S43" s="139">
        <f ca="1">S42/Population!H42*Population!H43</f>
        <v>767.70693570173739</v>
      </c>
      <c r="T43" s="139">
        <f ca="1">T42/UtilityDemand!C42*UtilityDemand!C43</f>
        <v>19677.26313983458</v>
      </c>
      <c r="U43" s="50">
        <f t="shared" ca="1" si="5"/>
        <v>69267.045761751258</v>
      </c>
      <c r="V43" s="155">
        <f ca="1">V42/Population!I42*Population!I43</f>
        <v>-137.47730857825715</v>
      </c>
      <c r="W43" s="50">
        <f t="shared" ca="1" si="4"/>
        <v>361368.25810812588</v>
      </c>
      <c r="X43" s="255">
        <f ca="1">W43/CampusArea!G43</f>
        <v>38.26234628297442</v>
      </c>
      <c r="Z43" s="10" t="e">
        <f ca="1">J43/PrimaryEnergy!K42</f>
        <v>#REF!</v>
      </c>
    </row>
    <row r="44" spans="2:26" hidden="1">
      <c r="B44" s="13">
        <f t="shared" si="0"/>
        <v>2042</v>
      </c>
      <c r="C44" s="139">
        <f ca="1">C43/CampusArea!G43*CampusArea!G44</f>
        <v>7483.0409104140272</v>
      </c>
      <c r="D44" s="139">
        <f ca="1">D43/CampusArea!G43*CampusArea!G44</f>
        <v>19239.890206896907</v>
      </c>
      <c r="E44" s="139">
        <f ca="1">E43/CampusArea!G43*CampusArea!G44</f>
        <v>26.816210349590126</v>
      </c>
      <c r="F44" s="139">
        <f ca="1">F43/Population!I43*Population!I44</f>
        <v>428.95778781777102</v>
      </c>
      <c r="G44" s="139">
        <f ca="1">G43/Population!I43*Population!I44</f>
        <v>161.73491293278286</v>
      </c>
      <c r="H44" s="139">
        <f t="shared" ca="1" si="1"/>
        <v>54.727336351939094</v>
      </c>
      <c r="I44" s="50">
        <f t="shared" ca="1" si="2"/>
        <v>27395.167364763012</v>
      </c>
      <c r="J44" s="157">
        <f ca="1">J43/UtilityDemand!C43*UtilityDemand!C44</f>
        <v>128553.79524345792</v>
      </c>
      <c r="K44" s="771">
        <f ca="1">K43/UtilityDemand!E43*UtilityDemand!E44</f>
        <v>105230.87297752014</v>
      </c>
      <c r="L44" s="771">
        <f ca="1">L43/UtilityDemand!G43*UtilityDemand!G44</f>
        <v>33662.979231167628</v>
      </c>
      <c r="M44" s="771">
        <f t="shared" ca="1" si="3"/>
        <v>267447.6474521457</v>
      </c>
      <c r="N44" s="139">
        <f ca="1">N43/Population!I43*Population!I44</f>
        <v>9752.9266994017962</v>
      </c>
      <c r="O44" s="139">
        <f ca="1">O43/Population!J43*Population!J44</f>
        <v>7167.4725466354739</v>
      </c>
      <c r="P44" s="139">
        <f ca="1">P43/Population!I43*Population!I44</f>
        <v>29114.907005906625</v>
      </c>
      <c r="Q44" s="139">
        <f ca="1">Q43/Population!I43*Population!I44</f>
        <v>2634.1905497881035</v>
      </c>
      <c r="R44" s="139">
        <f ca="1">R43/CampusArea!G43*CampusArea!G44</f>
        <v>186.73447159866976</v>
      </c>
      <c r="S44" s="139">
        <f ca="1">S43/Population!H43*Population!H44</f>
        <v>767.82255190430726</v>
      </c>
      <c r="T44" s="139">
        <f ca="1">T43/UtilityDemand!C43*UtilityDemand!C44</f>
        <v>19848.035366930428</v>
      </c>
      <c r="U44" s="50">
        <f t="shared" ca="1" si="5"/>
        <v>69472.089192165397</v>
      </c>
      <c r="V44" s="155">
        <f ca="1">V43/Population!I43*Population!I44</f>
        <v>-137.56737725434593</v>
      </c>
      <c r="W44" s="50">
        <f t="shared" ca="1" si="4"/>
        <v>364177.33663181978</v>
      </c>
      <c r="X44" s="255">
        <f ca="1">W44/CampusArea!G44</f>
        <v>38.228568450121507</v>
      </c>
      <c r="Z44" s="10" t="e">
        <f ca="1">J44/PrimaryEnergy!K43</f>
        <v>#REF!</v>
      </c>
    </row>
    <row r="45" spans="2:26" hidden="1">
      <c r="B45" s="13">
        <f t="shared" si="0"/>
        <v>2043</v>
      </c>
      <c r="C45" s="139">
        <f ca="1">C44/CampusArea!G44*CampusArea!G45</f>
        <v>7547.3163180610154</v>
      </c>
      <c r="D45" s="139">
        <f ca="1">D44/CampusArea!G44*CampusArea!G45</f>
        <v>19405.150800943717</v>
      </c>
      <c r="E45" s="139">
        <f ca="1">E44/CampusArea!G44*CampusArea!G45</f>
        <v>27.04654757110238</v>
      </c>
      <c r="F45" s="139">
        <f ca="1">F44/Population!I44*Population!I45</f>
        <v>429.23441280049076</v>
      </c>
      <c r="G45" s="139">
        <f ca="1">G44/Population!I44*Population!I45</f>
        <v>161.83921204744124</v>
      </c>
      <c r="H45" s="139">
        <f t="shared" ca="1" si="1"/>
        <v>54.727336351939094</v>
      </c>
      <c r="I45" s="50">
        <f t="shared" ca="1" si="2"/>
        <v>27625.314627775704</v>
      </c>
      <c r="J45" s="157">
        <f ca="1">J44/UtilityDemand!C44*UtilityDemand!C45</f>
        <v>129659.87035414246</v>
      </c>
      <c r="K45" s="771">
        <f ca="1">K44/UtilityDemand!E44*UtilityDemand!E45</f>
        <v>106134.75113863852</v>
      </c>
      <c r="L45" s="771">
        <f ca="1">L44/UtilityDemand!G44*UtilityDemand!G45</f>
        <v>34026.998041663428</v>
      </c>
      <c r="M45" s="771">
        <f t="shared" ca="1" si="3"/>
        <v>269821.61953444441</v>
      </c>
      <c r="N45" s="139">
        <f ca="1">N44/Population!I44*Population!I45</f>
        <v>9759.2161368623292</v>
      </c>
      <c r="O45" s="139">
        <f ca="1">O44/Population!J44*Population!J45</f>
        <v>7172.7693188326184</v>
      </c>
      <c r="P45" s="139">
        <f ca="1">P44/Population!I44*Population!I45</f>
        <v>29133.682537849683</v>
      </c>
      <c r="Q45" s="139">
        <f ca="1">Q44/Population!I44*Population!I45</f>
        <v>2635.8892785115581</v>
      </c>
      <c r="R45" s="139">
        <f ca="1">R44/CampusArea!G44*CampusArea!G45</f>
        <v>188.33842304400341</v>
      </c>
      <c r="S45" s="139">
        <f ca="1">S44/Population!H44*Population!H45</f>
        <v>767.93642922014681</v>
      </c>
      <c r="T45" s="139">
        <f ca="1">T44/UtilityDemand!C44*UtilityDemand!C45</f>
        <v>20018.807594026272</v>
      </c>
      <c r="U45" s="50">
        <f t="shared" ca="1" si="5"/>
        <v>69676.639718346618</v>
      </c>
      <c r="V45" s="155">
        <f ca="1">V44/Population!I44*Population!I45</f>
        <v>-137.65609128271078</v>
      </c>
      <c r="W45" s="50">
        <f t="shared" ca="1" si="4"/>
        <v>366985.91778928402</v>
      </c>
      <c r="X45" s="255">
        <f ca="1">W45/CampusArea!G45</f>
        <v>38.195314178263011</v>
      </c>
      <c r="Z45" s="10" t="e">
        <f ca="1">J45/PrimaryEnergy!K44</f>
        <v>#REF!</v>
      </c>
    </row>
    <row r="46" spans="2:26" hidden="1">
      <c r="B46" s="13">
        <f t="shared" si="0"/>
        <v>2044</v>
      </c>
      <c r="C46" s="139">
        <f ca="1">C45/CampusArea!G45*CampusArea!G46</f>
        <v>7611.5917257080037</v>
      </c>
      <c r="D46" s="139">
        <f ca="1">D45/CampusArea!G45*CampusArea!G46</f>
        <v>19570.411394990526</v>
      </c>
      <c r="E46" s="139">
        <f ca="1">E45/CampusArea!G45*CampusArea!G46</f>
        <v>27.276884792614634</v>
      </c>
      <c r="F46" s="139">
        <f ca="1">F45/Population!I45*Population!I46</f>
        <v>429.5069988118143</v>
      </c>
      <c r="G46" s="139">
        <f ca="1">G45/Population!I45*Population!I46</f>
        <v>161.94198830202885</v>
      </c>
      <c r="H46" s="139">
        <f t="shared" ca="1" si="1"/>
        <v>54.727336351939094</v>
      </c>
      <c r="I46" s="50">
        <f t="shared" ca="1" si="2"/>
        <v>27855.456328956927</v>
      </c>
      <c r="J46" s="157">
        <f ca="1">J45/UtilityDemand!C45*UtilityDemand!C46</f>
        <v>130765.94546482703</v>
      </c>
      <c r="K46" s="771">
        <f ca="1">K45/UtilityDemand!E45*UtilityDemand!E46</f>
        <v>107038.6292997569</v>
      </c>
      <c r="L46" s="771">
        <f ca="1">L45/UtilityDemand!G45*UtilityDemand!G46</f>
        <v>34391.016852159228</v>
      </c>
      <c r="M46" s="771">
        <f t="shared" ca="1" si="3"/>
        <v>272195.59161674313</v>
      </c>
      <c r="N46" s="139">
        <f ca="1">N45/Population!I45*Population!I46</f>
        <v>9765.4137429280581</v>
      </c>
      <c r="O46" s="139">
        <f ca="1">O45/Population!J45*Population!J46</f>
        <v>7177.9872169781356</v>
      </c>
      <c r="P46" s="139">
        <f ca="1">P45/Population!I45*Population!I46</f>
        <v>29152.18393028545</v>
      </c>
      <c r="Q46" s="139">
        <f ca="1">Q45/Population!I45*Population!I46</f>
        <v>2637.5632042810043</v>
      </c>
      <c r="R46" s="139">
        <f ca="1">R45/CampusArea!G45*CampusArea!G46</f>
        <v>189.94237448933708</v>
      </c>
      <c r="S46" s="139">
        <f ca="1">S45/Population!H45*Population!H46</f>
        <v>768.04864382563812</v>
      </c>
      <c r="T46" s="139">
        <f ca="1">T45/UtilityDemand!C45*UtilityDemand!C46</f>
        <v>20189.579821122119</v>
      </c>
      <c r="U46" s="50">
        <f t="shared" ca="1" si="5"/>
        <v>69880.718933909753</v>
      </c>
      <c r="V46" s="155">
        <f ca="1">V45/Population!I45*Population!I46</f>
        <v>-137.74351000716095</v>
      </c>
      <c r="W46" s="50">
        <f t="shared" ca="1" si="4"/>
        <v>369794.02336960268</v>
      </c>
      <c r="X46" s="255">
        <f ca="1">W46/CampusArea!G46</f>
        <v>38.162572452529943</v>
      </c>
      <c r="Z46" s="10" t="e">
        <f ca="1">J46/PrimaryEnergy!K45</f>
        <v>#REF!</v>
      </c>
    </row>
    <row r="47" spans="2:26" hidden="1">
      <c r="B47" s="13">
        <f t="shared" si="0"/>
        <v>2045</v>
      </c>
      <c r="C47" s="139">
        <f ca="1">C46/CampusArea!G46*CampusArea!G47</f>
        <v>7675.8671333549919</v>
      </c>
      <c r="D47" s="139">
        <f ca="1">D46/CampusArea!G46*CampusArea!G47</f>
        <v>19735.671989037335</v>
      </c>
      <c r="E47" s="139">
        <f ca="1">E46/CampusArea!G46*CampusArea!G47</f>
        <v>27.507222014126885</v>
      </c>
      <c r="F47" s="139">
        <f ca="1">F46/Population!I46*Population!I47</f>
        <v>429.77571776706361</v>
      </c>
      <c r="G47" s="139">
        <f ca="1">G46/Population!I46*Population!I47</f>
        <v>162.04330651576672</v>
      </c>
      <c r="H47" s="139">
        <f t="shared" ca="1" si="1"/>
        <v>54.727336351939094</v>
      </c>
      <c r="I47" s="50">
        <f t="shared" ca="1" si="2"/>
        <v>28085.592705041225</v>
      </c>
      <c r="J47" s="157">
        <f ca="1">J46/UtilityDemand!C46*UtilityDemand!C47</f>
        <v>131872.02057551156</v>
      </c>
      <c r="K47" s="771">
        <f ca="1">K46/UtilityDemand!E46*UtilityDemand!E47</f>
        <v>107942.50746087526</v>
      </c>
      <c r="L47" s="771">
        <f ca="1">L46/UtilityDemand!G46*UtilityDemand!G47</f>
        <v>34755.035662655027</v>
      </c>
      <c r="M47" s="771">
        <f t="shared" ca="1" si="3"/>
        <v>274569.56369904184</v>
      </c>
      <c r="N47" s="139">
        <f ca="1">N46/Population!I46*Population!I47</f>
        <v>9771.5234263228249</v>
      </c>
      <c r="O47" s="139">
        <f ca="1">O46/Population!J46*Population!J47</f>
        <v>7183.1295989321488</v>
      </c>
      <c r="P47" s="139">
        <f ca="1">P46/Population!I46*Population!I47</f>
        <v>29170.422851724808</v>
      </c>
      <c r="Q47" s="139">
        <f ca="1">Q46/Population!I46*Population!I47</f>
        <v>2639.2133828127144</v>
      </c>
      <c r="R47" s="139">
        <f ca="1">R46/CampusArea!G46*CampusArea!G47</f>
        <v>191.54632593467073</v>
      </c>
      <c r="S47" s="139">
        <f ca="1">S46/Population!H46*Population!H47</f>
        <v>768.15926649260825</v>
      </c>
      <c r="T47" s="139">
        <f ca="1">T46/UtilityDemand!C46*UtilityDemand!C47</f>
        <v>20360.352048217959</v>
      </c>
      <c r="U47" s="50">
        <f t="shared" ca="1" si="5"/>
        <v>70084.346900437726</v>
      </c>
      <c r="V47" s="155">
        <f ca="1">V46/Population!I46*Population!I47</f>
        <v>-137.8296885611866</v>
      </c>
      <c r="W47" s="50">
        <f t="shared" ca="1" si="4"/>
        <v>372601.67361595959</v>
      </c>
      <c r="X47" s="255">
        <f ca="1">W47/CampusArea!G47</f>
        <v>38.13033246879386</v>
      </c>
      <c r="Z47" s="10" t="e">
        <f ca="1">J47/PrimaryEnergy!K46</f>
        <v>#REF!</v>
      </c>
    </row>
    <row r="48" spans="2:26" hidden="1">
      <c r="B48" s="13">
        <f t="shared" si="0"/>
        <v>2046</v>
      </c>
      <c r="C48" s="139">
        <f ca="1">C47/CampusArea!G47*CampusArea!G48</f>
        <v>7740.1425410019801</v>
      </c>
      <c r="D48" s="139">
        <f ca="1">D47/CampusArea!G47*CampusArea!G48</f>
        <v>19900.932583084144</v>
      </c>
      <c r="E48" s="139">
        <f ca="1">E47/CampusArea!G47*CampusArea!G48</f>
        <v>27.737559235639139</v>
      </c>
      <c r="F48" s="139">
        <f ca="1">F47/Population!I47*Population!I48</f>
        <v>430.04072972123828</v>
      </c>
      <c r="G48" s="139">
        <f ca="1">G47/Population!I47*Population!I48</f>
        <v>162.14322703604128</v>
      </c>
      <c r="H48" s="139">
        <f t="shared" ca="1" si="1"/>
        <v>54.727336351939094</v>
      </c>
      <c r="I48" s="50">
        <f t="shared" ca="1" si="2"/>
        <v>28315.723976430982</v>
      </c>
      <c r="J48" s="157">
        <f ca="1">J47/UtilityDemand!C47*UtilityDemand!C48</f>
        <v>132978.09568619617</v>
      </c>
      <c r="K48" s="771">
        <f ca="1">K47/UtilityDemand!E47*UtilityDemand!E48</f>
        <v>108846.38562199361</v>
      </c>
      <c r="L48" s="771">
        <f ca="1">L47/UtilityDemand!G47*UtilityDemand!G48</f>
        <v>35119.054473150827</v>
      </c>
      <c r="M48" s="771">
        <f t="shared" ca="1" si="3"/>
        <v>276943.53578134062</v>
      </c>
      <c r="N48" s="139">
        <f ca="1">N47/Population!I47*Population!I48</f>
        <v>9777.5488261102473</v>
      </c>
      <c r="O48" s="139">
        <f ca="1">O47/Population!J47*Population!J48</f>
        <v>7188.1995908888721</v>
      </c>
      <c r="P48" s="139">
        <f ca="1">P47/Population!I47*Population!I48</f>
        <v>29188.410165675909</v>
      </c>
      <c r="Q48" s="139">
        <f ca="1">Q47/Population!I47*Population!I48</f>
        <v>2640.8407969898044</v>
      </c>
      <c r="R48" s="139">
        <f ca="1">R47/CampusArea!G47*CampusArea!G48</f>
        <v>193.15027738000438</v>
      </c>
      <c r="S48" s="139">
        <f ca="1">S47/Population!H47*Population!H48</f>
        <v>768.26836311038335</v>
      </c>
      <c r="T48" s="139">
        <f ca="1">T47/UtilityDemand!C47*UtilityDemand!C48</f>
        <v>20531.12427531381</v>
      </c>
      <c r="U48" s="50">
        <f t="shared" ca="1" si="5"/>
        <v>70287.542295469029</v>
      </c>
      <c r="V48" s="155">
        <f ca="1">V47/Population!I47*Population!I48</f>
        <v>-137.91467827465542</v>
      </c>
      <c r="W48" s="50">
        <f t="shared" ca="1" si="4"/>
        <v>375408.887374966</v>
      </c>
      <c r="X48" s="255">
        <f ca="1">W48/CampusArea!G48</f>
        <v>38.09858364007134</v>
      </c>
      <c r="Z48" s="10" t="e">
        <f ca="1">J48/PrimaryEnergy!K47</f>
        <v>#REF!</v>
      </c>
    </row>
    <row r="49" spans="2:26" hidden="1">
      <c r="B49" s="13">
        <f t="shared" si="0"/>
        <v>2047</v>
      </c>
      <c r="C49" s="139">
        <f ca="1">C48/CampusArea!G48*CampusArea!G49</f>
        <v>7804.4179486489693</v>
      </c>
      <c r="D49" s="139">
        <f ca="1">D48/CampusArea!G48*CampusArea!G49</f>
        <v>20066.19317713095</v>
      </c>
      <c r="E49" s="139">
        <f ca="1">E48/CampusArea!G48*CampusArea!G49</f>
        <v>27.967896457151394</v>
      </c>
      <c r="F49" s="139">
        <f ca="1">F48/Population!I48*Population!I49</f>
        <v>430.30218398388268</v>
      </c>
      <c r="G49" s="139">
        <f ca="1">G48/Population!I48*Population!I49</f>
        <v>162.24180615875596</v>
      </c>
      <c r="H49" s="139">
        <f t="shared" ca="1" si="1"/>
        <v>54.727336351939094</v>
      </c>
      <c r="I49" s="50">
        <f t="shared" ca="1" si="2"/>
        <v>28545.850348731648</v>
      </c>
      <c r="J49" s="157">
        <f ca="1">J48/UtilityDemand!C48*UtilityDemand!C49</f>
        <v>134084.1707968807</v>
      </c>
      <c r="K49" s="771">
        <f ca="1">K48/UtilityDemand!E48*UtilityDemand!E49</f>
        <v>109750.26378311198</v>
      </c>
      <c r="L49" s="771">
        <f ca="1">L48/UtilityDemand!G48*UtilityDemand!G49</f>
        <v>35483.073283646627</v>
      </c>
      <c r="M49" s="771">
        <f t="shared" ca="1" si="3"/>
        <v>279317.50786363927</v>
      </c>
      <c r="N49" s="139">
        <f ca="1">N48/Population!I48*Population!I49</f>
        <v>9783.4933370417057</v>
      </c>
      <c r="O49" s="139">
        <f ca="1">O48/Population!J48*Population!J49</f>
        <v>7193.2001091535358</v>
      </c>
      <c r="P49" s="139">
        <f ca="1">P48/Population!I48*Population!I49</f>
        <v>29206.15600631425</v>
      </c>
      <c r="Q49" s="139">
        <f ca="1">Q48/Population!I48*Population!I49</f>
        <v>2642.4463637085332</v>
      </c>
      <c r="R49" s="139">
        <f ca="1">R48/CampusArea!G48*CampusArea!G49</f>
        <v>194.75422882533803</v>
      </c>
      <c r="S49" s="139">
        <f ca="1">S48/Population!H48*Population!H49</f>
        <v>768.37599514474277</v>
      </c>
      <c r="T49" s="139">
        <f ca="1">T48/UtilityDemand!C48*UtilityDemand!C49</f>
        <v>20701.896502409651</v>
      </c>
      <c r="U49" s="50">
        <f t="shared" ca="1" si="5"/>
        <v>70490.322542597758</v>
      </c>
      <c r="V49" s="155">
        <f ca="1">V48/Population!I48*Population!I49</f>
        <v>-137.9985270313523</v>
      </c>
      <c r="W49" s="50">
        <f t="shared" ca="1" si="4"/>
        <v>378215.68222793727</v>
      </c>
      <c r="X49" s="255">
        <f ca="1">W49/CampusArea!G49</f>
        <v>38.067315600795183</v>
      </c>
      <c r="Z49" s="10" t="e">
        <f ca="1">J49/PrimaryEnergy!K48</f>
        <v>#REF!</v>
      </c>
    </row>
    <row r="50" spans="2:26" hidden="1">
      <c r="B50" s="13">
        <f t="shared" si="0"/>
        <v>2048</v>
      </c>
      <c r="C50" s="139">
        <f ca="1">C49/CampusArea!G49*CampusArea!G50</f>
        <v>7868.6933562959584</v>
      </c>
      <c r="D50" s="139">
        <f ca="1">D49/CampusArea!G49*CampusArea!G50</f>
        <v>20231.453771177763</v>
      </c>
      <c r="E50" s="139">
        <f ca="1">E49/CampusArea!G49*CampusArea!G50</f>
        <v>28.198233678663652</v>
      </c>
      <c r="F50" s="139">
        <f ca="1">F49/Population!I49*Population!I50</f>
        <v>430.56022010272773</v>
      </c>
      <c r="G50" s="139">
        <f ca="1">G49/Population!I49*Population!I50</f>
        <v>162.33909649920466</v>
      </c>
      <c r="H50" s="139">
        <f t="shared" ca="1" si="1"/>
        <v>54.727336351939094</v>
      </c>
      <c r="I50" s="50">
        <f t="shared" ca="1" si="2"/>
        <v>28775.972014106253</v>
      </c>
      <c r="J50" s="157">
        <f ca="1">J49/UtilityDemand!C49*UtilityDemand!C50</f>
        <v>135190.24590756532</v>
      </c>
      <c r="K50" s="771">
        <f ca="1">K49/UtilityDemand!E49*UtilityDemand!E50</f>
        <v>110654.14194423037</v>
      </c>
      <c r="L50" s="771">
        <f ca="1">L49/UtilityDemand!G49*UtilityDemand!G50</f>
        <v>35847.092094142427</v>
      </c>
      <c r="M50" s="771">
        <f t="shared" ca="1" si="3"/>
        <v>281691.4799459381</v>
      </c>
      <c r="N50" s="139">
        <f ca="1">N49/Population!I49*Population!I50</f>
        <v>9789.3601319207464</v>
      </c>
      <c r="O50" s="139">
        <f ca="1">O49/Population!J49*Population!J50</f>
        <v>7198.133879356008</v>
      </c>
      <c r="P50" s="139">
        <f ca="1">P49/Population!I49*Population!I50</f>
        <v>29223.66984524595</v>
      </c>
      <c r="Q50" s="139">
        <f ca="1">Q49/Population!I49*Population!I50</f>
        <v>2644.0309399187554</v>
      </c>
      <c r="R50" s="139">
        <f ca="1">R49/CampusArea!G49*CampusArea!G50</f>
        <v>196.35818027067174</v>
      </c>
      <c r="S50" s="139">
        <f ca="1">S49/Population!H49*Population!H50</f>
        <v>768.48222004285151</v>
      </c>
      <c r="T50" s="139">
        <f ca="1">T49/UtilityDemand!C49*UtilityDemand!C50</f>
        <v>20872.668729505502</v>
      </c>
      <c r="U50" s="50">
        <f t="shared" ca="1" si="5"/>
        <v>70692.703926260481</v>
      </c>
      <c r="V50" s="155">
        <f ca="1">V49/Population!I49*Population!I50</f>
        <v>-138.08127958443447</v>
      </c>
      <c r="W50" s="50">
        <f t="shared" ca="1" si="4"/>
        <v>381022.07460672036</v>
      </c>
      <c r="X50" s="255">
        <f ca="1">W50/CampusArea!G50</f>
        <v>38.036518209333977</v>
      </c>
      <c r="Z50" s="10" t="e">
        <f ca="1">J50/PrimaryEnergy!K49</f>
        <v>#REF!</v>
      </c>
    </row>
    <row r="51" spans="2:26" hidden="1">
      <c r="B51" s="13">
        <f t="shared" si="0"/>
        <v>2049</v>
      </c>
      <c r="C51" s="139">
        <f ca="1">C50/CampusArea!G50*CampusArea!G51</f>
        <v>7932.9687639429467</v>
      </c>
      <c r="D51" s="139">
        <f ca="1">D50/CampusArea!G50*CampusArea!G51</f>
        <v>20396.714365224572</v>
      </c>
      <c r="E51" s="139">
        <f ca="1">E50/CampusArea!G50*CampusArea!G51</f>
        <v>28.428570900175906</v>
      </c>
      <c r="F51" s="139">
        <f ca="1">F50/Population!I50*Population!I51</f>
        <v>430.81496873450368</v>
      </c>
      <c r="G51" s="139">
        <f ca="1">G50/Population!I50*Population!I51</f>
        <v>162.43514732040467</v>
      </c>
      <c r="H51" s="139">
        <f t="shared" ca="1" si="1"/>
        <v>54.727336351939094</v>
      </c>
      <c r="I51" s="50">
        <f t="shared" ca="1" si="2"/>
        <v>29006.089152474538</v>
      </c>
      <c r="J51" s="157">
        <f ca="1">J50/UtilityDemand!C50*UtilityDemand!C51</f>
        <v>136296.32101824984</v>
      </c>
      <c r="K51" s="771">
        <f ca="1">K50/UtilityDemand!E50*UtilityDemand!E51</f>
        <v>111558.02010534875</v>
      </c>
      <c r="L51" s="771">
        <f ca="1">L50/UtilityDemand!G50*UtilityDemand!G51</f>
        <v>36211.110904638226</v>
      </c>
      <c r="M51" s="771">
        <f t="shared" ca="1" si="3"/>
        <v>284065.45202823682</v>
      </c>
      <c r="N51" s="139">
        <f ca="1">N50/Population!I50*Population!I51</f>
        <v>9795.1521814021726</v>
      </c>
      <c r="O51" s="139">
        <f ca="1">O50/Population!J50*Population!J51</f>
        <v>7203.0034534605111</v>
      </c>
      <c r="P51" s="139">
        <f ca="1">P50/Population!I50*Population!I51</f>
        <v>29240.960550612952</v>
      </c>
      <c r="Q51" s="139">
        <f ca="1">Q50/Population!I50*Population!I51</f>
        <v>2645.595327971504</v>
      </c>
      <c r="R51" s="139">
        <f ca="1">R50/CampusArea!G50*CampusArea!G51</f>
        <v>197.96213171600539</v>
      </c>
      <c r="S51" s="139">
        <f ca="1">S50/Population!H50*Population!H51</f>
        <v>768.58709159174498</v>
      </c>
      <c r="T51" s="139">
        <f ca="1">T50/UtilityDemand!C50*UtilityDemand!C51</f>
        <v>21043.440956601342</v>
      </c>
      <c r="U51" s="50">
        <f t="shared" ca="1" si="5"/>
        <v>70894.701693356241</v>
      </c>
      <c r="V51" s="155">
        <f ca="1">V50/Population!I50*Population!I51</f>
        <v>-138.16297783570258</v>
      </c>
      <c r="W51" s="50">
        <f t="shared" ca="1" si="4"/>
        <v>383828.07989623188</v>
      </c>
      <c r="X51" s="255">
        <f ca="1">W51/CampusArea!G51</f>
        <v>38.006181549073332</v>
      </c>
      <c r="Z51" s="10" t="e">
        <f ca="1">J51/PrimaryEnergy!K50</f>
        <v>#REF!</v>
      </c>
    </row>
    <row r="52" spans="2:26">
      <c r="B52" s="13">
        <f t="shared" si="0"/>
        <v>2050</v>
      </c>
      <c r="C52" s="139">
        <f ca="1">C51/CampusArea!G51*CampusArea!G52</f>
        <v>7997.2441715899349</v>
      </c>
      <c r="D52" s="139">
        <f ca="1">D51/CampusArea!G51*CampusArea!G52</f>
        <v>20561.974959271382</v>
      </c>
      <c r="E52" s="139">
        <f ca="1">E51/CampusArea!G51*CampusArea!G52</f>
        <v>28.65890812168816</v>
      </c>
      <c r="F52" s="139">
        <f ca="1">F51/Population!I51*Population!I52</f>
        <v>431.06655241835176</v>
      </c>
      <c r="G52" s="139">
        <f ca="1">G51/Population!I51*Population!I52</f>
        <v>162.53000482470475</v>
      </c>
      <c r="H52" s="139">
        <f t="shared" ca="1" si="1"/>
        <v>54.727336351939094</v>
      </c>
      <c r="I52" s="50">
        <f t="shared" ca="1" si="2"/>
        <v>29236.201932578002</v>
      </c>
      <c r="J52" s="157">
        <f ca="1">J51/UtilityDemand!C51*UtilityDemand!C52</f>
        <v>137402.39612893443</v>
      </c>
      <c r="K52" s="771">
        <f ca="1">K51/UtilityDemand!E51*UtilityDemand!E52</f>
        <v>112461.89826646713</v>
      </c>
      <c r="L52" s="771">
        <f ca="1">L51/UtilityDemand!G51*UtilityDemand!G52</f>
        <v>36575.129715134026</v>
      </c>
      <c r="M52" s="771">
        <f t="shared" ca="1" si="3"/>
        <v>286439.42411053559</v>
      </c>
      <c r="N52" s="139">
        <f ca="1">N51/Population!I51*Population!I52</f>
        <v>9800.8722715765889</v>
      </c>
      <c r="O52" s="139">
        <f ca="1">O51/Population!J51*Population!J52</f>
        <v>7207.8112248727584</v>
      </c>
      <c r="P52" s="139">
        <f ca="1">P51/Population!I51*Population!I52</f>
        <v>29258.03643958726</v>
      </c>
      <c r="Q52" s="139">
        <f ca="1">Q51/Population!I51*Population!I52</f>
        <v>2647.1402803684405</v>
      </c>
      <c r="R52" s="139">
        <f ca="1">R51/CampusArea!G51*CampusArea!G52</f>
        <v>199.56608316133904</v>
      </c>
      <c r="S52" s="139">
        <f ca="1">S51/Population!H51*Population!H52</f>
        <v>768.69066023671689</v>
      </c>
      <c r="T52" s="139">
        <f ca="1">T51/UtilityDemand!C51*UtilityDemand!C52</f>
        <v>21214.213183697193</v>
      </c>
      <c r="U52" s="50">
        <f t="shared" ca="1" si="5"/>
        <v>71096.330143500294</v>
      </c>
      <c r="V52" s="155">
        <f ca="1">V51/Population!I51*Population!I52</f>
        <v>-138.24366108363483</v>
      </c>
      <c r="W52" s="50">
        <f t="shared" ca="1" si="4"/>
        <v>386633.71252553025</v>
      </c>
      <c r="X52" s="255">
        <f ca="1">W52/CampusArea!G52</f>
        <v>37.976295928318677</v>
      </c>
      <c r="Z52" s="10" t="e">
        <f ca="1">J52/PrimaryEnergy!K51</f>
        <v>#REF!</v>
      </c>
    </row>
  </sheetData>
  <mergeCells count="11">
    <mergeCell ref="C1:D1"/>
    <mergeCell ref="E1:H1"/>
    <mergeCell ref="X2:X3"/>
    <mergeCell ref="C2:H2"/>
    <mergeCell ref="N2:T2"/>
    <mergeCell ref="W2:W3"/>
    <mergeCell ref="I2:I3"/>
    <mergeCell ref="U2:U3"/>
    <mergeCell ref="I1:P1"/>
    <mergeCell ref="J2:L2"/>
    <mergeCell ref="M2:M3"/>
  </mergeCells>
  <hyperlinks>
    <hyperlink ref="C1:D1" location="'2009 Inventory'!A1" display="Return to 2008 Inventory"/>
    <hyperlink ref="E1:H1" location="GHG_CHT!W1" display="Return to GHG Forecast Chart"/>
    <hyperlink ref="I1:P1" location="GHGFinExp!C1" display="Return to Financial Exposure"/>
    <hyperlink ref="O1" location="GHGFinExp!C1" display="Return to Financial Exposur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Sheet18"/>
  <dimension ref="C1:AJ1"/>
  <sheetViews>
    <sheetView topLeftCell="B1" zoomScale="85" zoomScaleNormal="85" workbookViewId="0">
      <selection activeCell="W1" sqref="W1"/>
    </sheetView>
  </sheetViews>
  <sheetFormatPr defaultRowHeight="15"/>
  <cols>
    <col min="1" max="16384" width="9.140625" style="10"/>
  </cols>
  <sheetData>
    <row r="1" spans="3:36" ht="20.25" customHeight="1">
      <c r="C1" s="1605" t="s">
        <v>592</v>
      </c>
      <c r="D1" s="1605"/>
      <c r="E1" s="1605"/>
      <c r="F1" s="1604" t="s">
        <v>153</v>
      </c>
      <c r="G1" s="1604"/>
      <c r="H1" s="1604"/>
      <c r="I1" s="1604"/>
      <c r="J1" s="1616" t="s">
        <v>225</v>
      </c>
      <c r="K1" s="1616"/>
      <c r="L1" s="1616"/>
      <c r="M1" s="1616"/>
      <c r="Z1" s="1605" t="s">
        <v>592</v>
      </c>
      <c r="AA1" s="1605"/>
      <c r="AB1" s="1605"/>
      <c r="AC1" s="1604" t="s">
        <v>153</v>
      </c>
      <c r="AD1" s="1604"/>
      <c r="AE1" s="1604"/>
      <c r="AF1" s="1604"/>
      <c r="AG1" s="1616" t="s">
        <v>225</v>
      </c>
      <c r="AH1" s="1616"/>
      <c r="AI1" s="1616"/>
      <c r="AJ1" s="1616"/>
    </row>
  </sheetData>
  <mergeCells count="6">
    <mergeCell ref="AG1:AJ1"/>
    <mergeCell ref="F1:I1"/>
    <mergeCell ref="C1:E1"/>
    <mergeCell ref="J1:M1"/>
    <mergeCell ref="Z1:AB1"/>
    <mergeCell ref="AC1:AF1"/>
  </mergeCells>
  <hyperlinks>
    <hyperlink ref="F1:I1" location="'GHG Emissions'!C1" display="Link to GHG Forecast Detail"/>
    <hyperlink ref="C1:E1" location="'2009 Inventory'!A1" display="Return to 2008 Inventory"/>
    <hyperlink ref="J1:M1" location="GHGFinExp!C1" display="Return to Financial Exposure"/>
    <hyperlink ref="AC1:AF1" location="'GHG Emissions'!C1" display="Link to GHG Forecast Detail"/>
    <hyperlink ref="Z1:AB1" location="'2009 Inventory'!A1" display="Return to 2008 Inventory"/>
    <hyperlink ref="AG1:AJ1" location="GHGFinExp!C1" display="Return to Financial Exposur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Sheet53"/>
  <dimension ref="B1:E1"/>
  <sheetViews>
    <sheetView zoomScaleNormal="100" workbookViewId="0">
      <selection activeCell="B1" sqref="B1:E1"/>
    </sheetView>
  </sheetViews>
  <sheetFormatPr defaultRowHeight="15"/>
  <cols>
    <col min="1" max="16384" width="9.140625" style="10"/>
  </cols>
  <sheetData>
    <row r="1" spans="2:5">
      <c r="B1" s="1623" t="s">
        <v>221</v>
      </c>
      <c r="C1" s="1623"/>
      <c r="D1" s="1623"/>
      <c r="E1" s="1623"/>
    </row>
  </sheetData>
  <mergeCells count="1">
    <mergeCell ref="B1:E1"/>
  </mergeCells>
  <hyperlinks>
    <hyperlink ref="B1:E1" location="GHGFinExp!A1" display="Return to Financial Exposur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Sheet54"/>
  <dimension ref="A1:AA45"/>
  <sheetViews>
    <sheetView workbookViewId="0">
      <selection activeCell="A2" sqref="A2"/>
    </sheetView>
  </sheetViews>
  <sheetFormatPr defaultRowHeight="15"/>
  <cols>
    <col min="1" max="1" width="17" style="302" bestFit="1" customWidth="1"/>
    <col min="2" max="3" width="15.5703125" customWidth="1"/>
    <col min="4" max="5" width="15.5703125" hidden="1" customWidth="1"/>
    <col min="6" max="6" width="15.5703125" customWidth="1"/>
    <col min="7" max="9" width="15.5703125" hidden="1" customWidth="1"/>
    <col min="10" max="14" width="15.5703125" customWidth="1"/>
    <col min="15" max="15" width="15.5703125" hidden="1" customWidth="1"/>
    <col min="16" max="16" width="14.28515625" hidden="1" customWidth="1"/>
    <col min="17" max="17" width="9.140625" hidden="1" customWidth="1"/>
    <col min="18" max="18" width="11.85546875" hidden="1" customWidth="1"/>
    <col min="19" max="23" width="9.140625" hidden="1" customWidth="1"/>
    <col min="24" max="24" width="8.7109375" hidden="1" customWidth="1"/>
    <col min="27" max="27" width="13.5703125" bestFit="1" customWidth="1"/>
  </cols>
  <sheetData>
    <row r="1" spans="1:27" ht="27.75" customHeight="1">
      <c r="B1" s="887" t="s">
        <v>726</v>
      </c>
      <c r="C1" s="888">
        <v>5.0000000000000001E-3</v>
      </c>
      <c r="F1" s="264" t="s">
        <v>1383</v>
      </c>
      <c r="J1" s="264" t="s">
        <v>769</v>
      </c>
      <c r="K1" t="s">
        <v>768</v>
      </c>
      <c r="L1" s="264" t="s">
        <v>769</v>
      </c>
      <c r="M1" t="s">
        <v>768</v>
      </c>
      <c r="N1" s="264" t="s">
        <v>769</v>
      </c>
    </row>
    <row r="2" spans="1:27" ht="60.75" customHeight="1">
      <c r="A2" s="353" t="s">
        <v>280</v>
      </c>
      <c r="B2" s="313" t="s">
        <v>2959</v>
      </c>
      <c r="C2" s="313" t="s">
        <v>2960</v>
      </c>
      <c r="D2" s="313" t="s">
        <v>283</v>
      </c>
      <c r="E2" s="313" t="s">
        <v>283</v>
      </c>
      <c r="F2" s="826" t="s">
        <v>77</v>
      </c>
      <c r="G2" s="313" t="s">
        <v>353</v>
      </c>
      <c r="H2" s="313" t="s">
        <v>353</v>
      </c>
      <c r="I2" s="313" t="s">
        <v>284</v>
      </c>
      <c r="J2" s="313" t="s">
        <v>284</v>
      </c>
      <c r="K2" s="826" t="s">
        <v>605</v>
      </c>
      <c r="L2" s="826" t="s">
        <v>605</v>
      </c>
      <c r="M2" s="826" t="s">
        <v>628</v>
      </c>
      <c r="N2" s="826" t="s">
        <v>628</v>
      </c>
      <c r="O2" s="313" t="s">
        <v>285</v>
      </c>
      <c r="P2" s="313" t="s">
        <v>285</v>
      </c>
      <c r="Q2" s="333" t="s">
        <v>280</v>
      </c>
      <c r="R2" s="313" t="s">
        <v>281</v>
      </c>
      <c r="S2" s="313" t="s">
        <v>282</v>
      </c>
      <c r="T2" s="313" t="s">
        <v>283</v>
      </c>
      <c r="U2" s="313" t="s">
        <v>283</v>
      </c>
      <c r="V2" s="313" t="s">
        <v>284</v>
      </c>
      <c r="W2" s="313" t="s">
        <v>284</v>
      </c>
      <c r="X2" s="314" t="s">
        <v>285</v>
      </c>
    </row>
    <row r="3" spans="1:27" ht="42.75" customHeight="1">
      <c r="A3" s="21" t="s">
        <v>286</v>
      </c>
      <c r="B3" s="22" t="str">
        <f>Current_yr&amp;"$/MMBtu"</f>
        <v>2010$/MMBtu</v>
      </c>
      <c r="C3" s="22" t="str">
        <f>Current_yr&amp;"$/MMBtu"</f>
        <v>2010$/MMBtu</v>
      </c>
      <c r="D3" s="22" t="str">
        <f>Current_yr&amp;"$/MMBtu"</f>
        <v>2010$/MMBtu</v>
      </c>
      <c r="E3" s="22" t="str">
        <f>Current_yr&amp;"$/Gallon"</f>
        <v>2010$/Gallon</v>
      </c>
      <c r="F3" s="22" t="str">
        <f>Current_yr&amp;"$/MMBtu"</f>
        <v>2010$/MMBtu</v>
      </c>
      <c r="G3" s="22" t="str">
        <f>Current_yr&amp;"$/MMBtu"</f>
        <v>2010$/MMBtu</v>
      </c>
      <c r="H3" s="22" t="str">
        <f>Current_yr&amp;"$/Gallon"</f>
        <v>2010$/Gallon</v>
      </c>
      <c r="I3" s="22" t="str">
        <f>Current_yr&amp;"$/MMBtu"</f>
        <v>2010$/MMBtu</v>
      </c>
      <c r="J3" s="22" t="str">
        <f>Current_yr&amp;"$/MWh"</f>
        <v>2010$/MWh</v>
      </c>
      <c r="K3" s="22" t="str">
        <f>Current_yr&amp;"$/MMBtu"</f>
        <v>2010$/MMBtu</v>
      </c>
      <c r="L3" s="22" t="str">
        <f>Current_yr&amp;"$/klb"</f>
        <v>2010$/klb</v>
      </c>
      <c r="M3" s="22" t="str">
        <f>Current_yr&amp;"$/MMBtu"</f>
        <v>2010$/MMBtu</v>
      </c>
      <c r="N3" s="22" t="str">
        <f>Current_yr&amp;"$/ton/hr"</f>
        <v>2010$/ton/hr</v>
      </c>
      <c r="O3" s="22" t="str">
        <f>Current_yr&amp;"$/MMBtu"</f>
        <v>2010$/MMBtu</v>
      </c>
      <c r="P3" s="22" t="str">
        <f>Current_yr&amp;"$/Short ton"</f>
        <v>2010$/Short ton</v>
      </c>
      <c r="Q3" s="21" t="s">
        <v>286</v>
      </c>
      <c r="R3" s="22" t="s">
        <v>287</v>
      </c>
      <c r="S3" s="22" t="s">
        <v>287</v>
      </c>
      <c r="T3" s="22" t="s">
        <v>287</v>
      </c>
      <c r="U3" s="22" t="s">
        <v>288</v>
      </c>
      <c r="V3" s="22" t="s">
        <v>287</v>
      </c>
      <c r="W3" s="22" t="s">
        <v>289</v>
      </c>
      <c r="X3" s="23" t="s">
        <v>287</v>
      </c>
    </row>
    <row r="4" spans="1:27">
      <c r="A4" s="315">
        <v>2009</v>
      </c>
      <c r="B4" s="363"/>
      <c r="C4" s="363"/>
      <c r="D4" s="363"/>
      <c r="E4" s="363"/>
      <c r="F4" s="1219"/>
      <c r="G4" s="363"/>
      <c r="H4" s="363"/>
      <c r="I4" s="316"/>
      <c r="J4" s="363" t="s">
        <v>39</v>
      </c>
      <c r="K4" s="363"/>
      <c r="L4" s="363"/>
      <c r="M4" s="363"/>
      <c r="N4" s="363"/>
      <c r="O4" s="343"/>
      <c r="P4" s="343"/>
      <c r="Q4" s="315">
        <v>2009</v>
      </c>
      <c r="R4" s="316">
        <v>7.1094128108314312</v>
      </c>
      <c r="S4" s="316">
        <v>8.0044180901451547</v>
      </c>
      <c r="T4" s="316">
        <v>19.035500288947073</v>
      </c>
      <c r="U4" s="316">
        <v>2.3604020358294369</v>
      </c>
      <c r="V4" s="316">
        <v>25.504788120770108</v>
      </c>
      <c r="W4" s="316">
        <v>87.04784185618837</v>
      </c>
      <c r="X4" s="316"/>
    </row>
    <row r="5" spans="1:27">
      <c r="A5" s="315">
        <v>2010</v>
      </c>
      <c r="B5" s="363">
        <f>6*(1+$C$1)^(A5-$A$5)</f>
        <v>6</v>
      </c>
      <c r="C5" s="363">
        <f>1+B5</f>
        <v>7</v>
      </c>
      <c r="D5" s="363">
        <f>E5*1000000/124261.9</f>
        <v>22.130677222865579</v>
      </c>
      <c r="E5" s="363">
        <v>2.75</v>
      </c>
      <c r="F5" s="1219">
        <f>5*(1+$C$1)^(A5-$A$5)</f>
        <v>5</v>
      </c>
      <c r="G5" s="363">
        <f>H5*1000000/138691</f>
        <v>21.270305931891759</v>
      </c>
      <c r="H5" s="363">
        <f>E5+0.2</f>
        <v>2.95</v>
      </c>
      <c r="I5" s="316">
        <f>V5*(1+Inflation)^(Current_yr-Commodity_Initial_yr)</f>
        <v>26.551979276934969</v>
      </c>
      <c r="J5" s="363">
        <f>85*(1+$C$1)^(A5-$A$5)</f>
        <v>85</v>
      </c>
      <c r="K5" s="363">
        <f t="shared" ref="K5:K45" si="0">L5/Btu_per_lb*Btu_per_MMBtu/1000</f>
        <v>11.063829787234043</v>
      </c>
      <c r="L5" s="363">
        <f>13*(1+$C$1)^(A5-$A$5)</f>
        <v>13</v>
      </c>
      <c r="M5" s="895">
        <f t="shared" ref="M5:M45" si="1">N5/btu_tonhr*Btu_per_MMBtu</f>
        <v>19.333333333333332</v>
      </c>
      <c r="N5" s="363">
        <f>N6</f>
        <v>0.23200000000000001</v>
      </c>
      <c r="O5" s="343">
        <f>30/2000/4950*(1+0.0155)^(A5-$A$5)*1000000+0.25*0.0931*ExposureCalculations!V16</f>
        <v>3.0303030303030303</v>
      </c>
      <c r="P5" s="343">
        <f t="shared" ref="P5:P45" si="2">O5/1000000*4950*2000</f>
        <v>30.000000000000004</v>
      </c>
      <c r="Q5" s="315">
        <v>2010</v>
      </c>
      <c r="R5" s="316">
        <v>7.7141980529875402</v>
      </c>
      <c r="S5" s="316">
        <v>8.6141980529875397</v>
      </c>
      <c r="T5" s="316">
        <v>21.567661603700969</v>
      </c>
      <c r="U5" s="316">
        <v>2.6743900388589199</v>
      </c>
      <c r="V5" s="316">
        <v>26.061645315438525</v>
      </c>
      <c r="W5" s="316">
        <v>88.948395461591701</v>
      </c>
      <c r="X5" s="316">
        <v>4.375</v>
      </c>
      <c r="Z5" s="912"/>
      <c r="AA5" s="912"/>
    </row>
    <row r="6" spans="1:27">
      <c r="A6" s="315">
        <v>2011</v>
      </c>
      <c r="B6" s="363">
        <f t="shared" ref="B6:B45" si="3">6*(1+$C$1)^(A6-$A$5)</f>
        <v>6.0299999999999994</v>
      </c>
      <c r="C6" s="363">
        <f t="shared" ref="C6:C45" si="4">1+B6</f>
        <v>7.0299999999999994</v>
      </c>
      <c r="D6" s="363">
        <f t="shared" ref="D6:D45" si="5">E6*1000000/124261.9</f>
        <v>23.337805071385517</v>
      </c>
      <c r="E6" s="363">
        <v>2.9</v>
      </c>
      <c r="F6" s="1219">
        <f t="shared" ref="F6:F45" si="6">5*(1+$C$1)^(A6-$A$5)</f>
        <v>5.0249999999999995</v>
      </c>
      <c r="G6" s="363">
        <f t="shared" ref="G6:G45" si="7">H6*1000000/138691</f>
        <v>22.351846911479477</v>
      </c>
      <c r="H6" s="363">
        <f t="shared" ref="H6:H45" si="8">E6+0.2</f>
        <v>3.1</v>
      </c>
      <c r="I6" s="316">
        <f t="shared" ref="I6:I45" si="9">V6*(1+Inflation)^(Current_yr-Commodity_Initial_yr)</f>
        <v>27.131700254150502</v>
      </c>
      <c r="J6" s="363">
        <f t="shared" ref="J6:J45" si="10">85*(1+$C$1)^(A6-$A$5)</f>
        <v>85.424999999999997</v>
      </c>
      <c r="K6" s="363">
        <f t="shared" si="0"/>
        <v>11.119148936170211</v>
      </c>
      <c r="L6" s="363">
        <f t="shared" ref="L6:L45" si="11">13*(1+$C$1)^(A6-$A$5)</f>
        <v>13.064999999999998</v>
      </c>
      <c r="M6" s="895">
        <f t="shared" si="1"/>
        <v>19.333333333333332</v>
      </c>
      <c r="N6" s="363">
        <f>VLOOKUP(A6,CentralChillerExp!$AV$51:$AW$55,2)</f>
        <v>0.23200000000000001</v>
      </c>
      <c r="O6" s="343">
        <f>30/2000/4950*(1+0.0155)^(A6-$A$5)*1000000+0.25*0.0931*ExposureCalculations!V17</f>
        <v>3.0772727272727272</v>
      </c>
      <c r="P6" s="343">
        <f t="shared" si="2"/>
        <v>30.465</v>
      </c>
      <c r="Q6" s="315">
        <v>2011</v>
      </c>
      <c r="R6" s="316">
        <v>8.3704313118592584</v>
      </c>
      <c r="S6" s="316">
        <v>9.2704313118592587</v>
      </c>
      <c r="T6" s="316">
        <v>24.436658873728351</v>
      </c>
      <c r="U6" s="316">
        <v>3.0301457003423153</v>
      </c>
      <c r="V6" s="316">
        <v>26.630660616803837</v>
      </c>
      <c r="W6" s="316">
        <v>90.890444685151508</v>
      </c>
      <c r="X6" s="316">
        <v>4.375</v>
      </c>
    </row>
    <row r="7" spans="1:27">
      <c r="A7" s="315">
        <v>2012</v>
      </c>
      <c r="B7" s="363">
        <f t="shared" si="3"/>
        <v>6.0601499999999984</v>
      </c>
      <c r="C7" s="363">
        <f t="shared" si="4"/>
        <v>7.0601499999999984</v>
      </c>
      <c r="D7" s="363">
        <f t="shared" si="5"/>
        <v>23.699541049991993</v>
      </c>
      <c r="E7" s="363">
        <f>E6*1.0155</f>
        <v>2.94495</v>
      </c>
      <c r="F7" s="1219">
        <f t="shared" si="6"/>
        <v>5.0501249999999986</v>
      </c>
      <c r="G7" s="363">
        <f t="shared" si="7"/>
        <v>22.675948691695929</v>
      </c>
      <c r="H7" s="363">
        <f t="shared" si="8"/>
        <v>3.1449500000000001</v>
      </c>
      <c r="I7" s="316">
        <f t="shared" si="9"/>
        <v>27.705624094155862</v>
      </c>
      <c r="J7" s="363">
        <f t="shared" si="10"/>
        <v>85.852124999999972</v>
      </c>
      <c r="K7" s="363">
        <f t="shared" si="0"/>
        <v>11.17474468085106</v>
      </c>
      <c r="L7" s="363">
        <f t="shared" si="11"/>
        <v>13.130324999999996</v>
      </c>
      <c r="M7" s="895">
        <f t="shared" si="1"/>
        <v>19.333333333333332</v>
      </c>
      <c r="N7" s="363">
        <f>VLOOKUP(A7,CentralChillerExp!$AV$51:$AW$55,2)</f>
        <v>0.23200000000000001</v>
      </c>
      <c r="O7" s="343">
        <f>30/2000/4950*(1+0.0155)^(A7-$A$5)*1000000+0.25*0.0931*ExposureCalculations!V18</f>
        <v>3.1249704545454549</v>
      </c>
      <c r="P7" s="343">
        <f t="shared" si="2"/>
        <v>30.9372075</v>
      </c>
      <c r="Q7" s="315">
        <v>2012</v>
      </c>
      <c r="R7" s="316">
        <v>8.5511337481619893</v>
      </c>
      <c r="S7" s="316">
        <v>9.4511337481619897</v>
      </c>
      <c r="T7" s="316">
        <v>25.825060840424506</v>
      </c>
      <c r="U7" s="316">
        <v>3.2023075442126387</v>
      </c>
      <c r="V7" s="316">
        <v>27.193985836377479</v>
      </c>
      <c r="W7" s="316">
        <v>92.813073659556338</v>
      </c>
      <c r="X7" s="316">
        <v>4.375</v>
      </c>
      <c r="AA7" s="912"/>
    </row>
    <row r="8" spans="1:27">
      <c r="A8" s="315">
        <v>2013</v>
      </c>
      <c r="B8" s="363">
        <f t="shared" si="3"/>
        <v>6.0904507499999978</v>
      </c>
      <c r="C8" s="363">
        <f t="shared" si="4"/>
        <v>7.0904507499999978</v>
      </c>
      <c r="D8" s="363">
        <f t="shared" si="5"/>
        <v>24.066883936266869</v>
      </c>
      <c r="E8" s="363">
        <f t="shared" ref="E8:E45" si="12">E7*1.0155</f>
        <v>2.9905967250000001</v>
      </c>
      <c r="F8" s="1219">
        <f t="shared" si="6"/>
        <v>5.0753756249999977</v>
      </c>
      <c r="G8" s="363">
        <f t="shared" si="7"/>
        <v>23.005074049505737</v>
      </c>
      <c r="H8" s="363">
        <f t="shared" si="8"/>
        <v>3.1905967250000002</v>
      </c>
      <c r="I8" s="316">
        <f t="shared" si="9"/>
        <v>28.318223747375932</v>
      </c>
      <c r="J8" s="363">
        <f t="shared" si="10"/>
        <v>86.28138562499997</v>
      </c>
      <c r="K8" s="363">
        <f t="shared" si="0"/>
        <v>11.230618404255313</v>
      </c>
      <c r="L8" s="363">
        <f t="shared" si="11"/>
        <v>13.195976624999995</v>
      </c>
      <c r="M8" s="895">
        <f t="shared" si="1"/>
        <v>19.333333333333332</v>
      </c>
      <c r="N8" s="363">
        <f>VLOOKUP(A8,CentralChillerExp!$AV$51:$AW$55,2)</f>
        <v>0.23200000000000001</v>
      </c>
      <c r="O8" s="343">
        <f>30/2000/4950*(1+0.0155)^(A8-$A$5)*1000000+0.25*0.0931*ExposureCalculations!V19</f>
        <v>3.1734074965909098</v>
      </c>
      <c r="P8" s="343">
        <f t="shared" si="2"/>
        <v>31.416734216250006</v>
      </c>
      <c r="Q8" s="315">
        <v>2013</v>
      </c>
      <c r="R8" s="316">
        <v>8.5908028637192153</v>
      </c>
      <c r="S8" s="316">
        <v>9.4908028637192157</v>
      </c>
      <c r="T8" s="316">
        <v>26.260819454121229</v>
      </c>
      <c r="U8" s="316">
        <v>3.2563416123110325</v>
      </c>
      <c r="V8" s="316">
        <v>27.795272645020436</v>
      </c>
      <c r="W8" s="316">
        <v>94.865265537454746</v>
      </c>
      <c r="X8" s="316">
        <v>4.375</v>
      </c>
    </row>
    <row r="9" spans="1:27">
      <c r="A9" s="315">
        <v>2014</v>
      </c>
      <c r="B9" s="363">
        <f t="shared" si="3"/>
        <v>6.1209030037499961</v>
      </c>
      <c r="C9" s="363">
        <f t="shared" si="4"/>
        <v>7.1209030037499961</v>
      </c>
      <c r="D9" s="363">
        <f t="shared" si="5"/>
        <v>24.439920637279013</v>
      </c>
      <c r="E9" s="363">
        <f t="shared" si="12"/>
        <v>3.0369509742375005</v>
      </c>
      <c r="F9" s="1219">
        <f t="shared" si="6"/>
        <v>5.1007525031249967</v>
      </c>
      <c r="G9" s="363">
        <f t="shared" si="7"/>
        <v>23.3393008503616</v>
      </c>
      <c r="H9" s="363">
        <f t="shared" si="8"/>
        <v>3.2369509742375007</v>
      </c>
      <c r="I9" s="316">
        <f t="shared" si="9"/>
        <v>28.951593116261833</v>
      </c>
      <c r="J9" s="363">
        <f t="shared" si="10"/>
        <v>86.712792553124942</v>
      </c>
      <c r="K9" s="363">
        <f t="shared" si="0"/>
        <v>11.286771496276588</v>
      </c>
      <c r="L9" s="363">
        <f t="shared" si="11"/>
        <v>13.261956508124992</v>
      </c>
      <c r="M9" s="895">
        <f t="shared" si="1"/>
        <v>19.333333333333332</v>
      </c>
      <c r="N9" s="363">
        <f>VLOOKUP(A9,CentralChillerExp!$AV$51:$AW$55,2)</f>
        <v>0.23200000000000001</v>
      </c>
      <c r="O9" s="343">
        <f>30/2000/4950*(1+0.0155)^(A9-$A$5)*1000000+0.25*0.0931*ExposureCalculations!V20</f>
        <v>3.2225953127880693</v>
      </c>
      <c r="P9" s="343">
        <f t="shared" si="2"/>
        <v>31.90369359660189</v>
      </c>
      <c r="Q9" s="315">
        <v>2014</v>
      </c>
      <c r="R9" s="316">
        <v>8.8019232608504474</v>
      </c>
      <c r="S9" s="316">
        <v>9.7019232608504478</v>
      </c>
      <c r="T9" s="316">
        <v>26.684497999288247</v>
      </c>
      <c r="U9" s="316">
        <v>3.3088777519117429</v>
      </c>
      <c r="V9" s="316">
        <v>28.41694561611628</v>
      </c>
      <c r="W9" s="316">
        <v>96.987035387804866</v>
      </c>
      <c r="X9" s="316">
        <v>4.375</v>
      </c>
    </row>
    <row r="10" spans="1:27">
      <c r="A10" s="315">
        <v>2015</v>
      </c>
      <c r="B10" s="363">
        <f t="shared" si="3"/>
        <v>6.1515075187687449</v>
      </c>
      <c r="C10" s="363">
        <f t="shared" si="4"/>
        <v>7.1515075187687449</v>
      </c>
      <c r="D10" s="363">
        <f t="shared" si="5"/>
        <v>24.818739407156837</v>
      </c>
      <c r="E10" s="363">
        <f t="shared" si="12"/>
        <v>3.0840237143381821</v>
      </c>
      <c r="F10" s="1219">
        <f t="shared" si="6"/>
        <v>5.1262562656406203</v>
      </c>
      <c r="G10" s="363">
        <f t="shared" si="7"/>
        <v>23.678708166630731</v>
      </c>
      <c r="H10" s="363">
        <f t="shared" si="8"/>
        <v>3.2840237143381823</v>
      </c>
      <c r="I10" s="316">
        <f t="shared" si="9"/>
        <v>29.470606577740625</v>
      </c>
      <c r="J10" s="363">
        <f t="shared" si="10"/>
        <v>87.14635651589056</v>
      </c>
      <c r="K10" s="363">
        <f t="shared" si="0"/>
        <v>11.343205353757968</v>
      </c>
      <c r="L10" s="363">
        <f t="shared" si="11"/>
        <v>13.328266290665614</v>
      </c>
      <c r="M10" s="895">
        <f t="shared" si="1"/>
        <v>19.333333333333332</v>
      </c>
      <c r="N10" s="363">
        <f>VLOOKUP(A10,CentralChillerExp!$AV$51:$AW$55,2)</f>
        <v>0.23200000000000001</v>
      </c>
      <c r="O10" s="343">
        <f>30/2000/4950*(1+0.0155)^(A10-$A$5)*1000000+0.25*0.0931*ExposureCalculations!V21</f>
        <v>4.0435270168422388</v>
      </c>
      <c r="P10" s="343">
        <f t="shared" si="2"/>
        <v>40.03091746673816</v>
      </c>
      <c r="Q10" s="315">
        <v>2015</v>
      </c>
      <c r="R10" s="316">
        <v>9.1471408586538292</v>
      </c>
      <c r="S10" s="316">
        <v>10.04714085865383</v>
      </c>
      <c r="T10" s="316">
        <v>27.108972426604222</v>
      </c>
      <c r="U10" s="316">
        <v>3.3615125808989235</v>
      </c>
      <c r="V10" s="316">
        <v>28.926374484146027</v>
      </c>
      <c r="W10" s="316">
        <v>98.725716114390394</v>
      </c>
      <c r="X10" s="316">
        <v>4.6070476381957253</v>
      </c>
    </row>
    <row r="11" spans="1:27">
      <c r="A11" s="315">
        <v>2016</v>
      </c>
      <c r="B11" s="363">
        <f t="shared" si="3"/>
        <v>6.1822650563625876</v>
      </c>
      <c r="C11" s="363">
        <f t="shared" si="4"/>
        <v>7.1822650563625876</v>
      </c>
      <c r="D11" s="363">
        <f t="shared" si="5"/>
        <v>25.20342986796777</v>
      </c>
      <c r="E11" s="363">
        <f t="shared" si="12"/>
        <v>3.131826081910424</v>
      </c>
      <c r="F11" s="1219">
        <f t="shared" si="6"/>
        <v>5.1518875469688226</v>
      </c>
      <c r="G11" s="363">
        <f t="shared" si="7"/>
        <v>24.023376296302025</v>
      </c>
      <c r="H11" s="363">
        <f t="shared" si="8"/>
        <v>3.3318260819104242</v>
      </c>
      <c r="I11" s="316">
        <f t="shared" si="9"/>
        <v>29.861722747984611</v>
      </c>
      <c r="J11" s="363">
        <f t="shared" si="10"/>
        <v>87.582088298469998</v>
      </c>
      <c r="K11" s="363">
        <f t="shared" si="0"/>
        <v>11.399921380526756</v>
      </c>
      <c r="L11" s="363">
        <f t="shared" si="11"/>
        <v>13.394907622118939</v>
      </c>
      <c r="M11" s="895">
        <f t="shared" si="1"/>
        <v>19.333333333333332</v>
      </c>
      <c r="N11" s="363">
        <f>VLOOKUP(A11,CentralChillerExp!$AV$51:$AW$55,2)</f>
        <v>0.23200000000000001</v>
      </c>
      <c r="O11" s="343">
        <f>30/2000/4950*(1+0.0155)^(A11-$A$5)*1000000+0.25*0.0931*ExposureCalculations!V22</f>
        <v>4.1291151183727663</v>
      </c>
      <c r="P11" s="343">
        <f t="shared" si="2"/>
        <v>40.878239671890384</v>
      </c>
      <c r="Q11" s="315">
        <v>2016</v>
      </c>
      <c r="R11" s="316">
        <v>9.4364417234587989</v>
      </c>
      <c r="S11" s="316">
        <v>10.336441723458799</v>
      </c>
      <c r="T11" s="316">
        <v>27.579112335969491</v>
      </c>
      <c r="U11" s="316">
        <v>3.4198099296602167</v>
      </c>
      <c r="V11" s="316">
        <v>29.31026793328283</v>
      </c>
      <c r="W11" s="316">
        <v>100.0359444562943</v>
      </c>
      <c r="X11" s="316">
        <v>4.8821243169900566</v>
      </c>
    </row>
    <row r="12" spans="1:27">
      <c r="A12" s="315">
        <v>2017</v>
      </c>
      <c r="B12" s="363">
        <f t="shared" si="3"/>
        <v>6.2131763816444003</v>
      </c>
      <c r="C12" s="363">
        <f t="shared" si="4"/>
        <v>7.2131763816444003</v>
      </c>
      <c r="D12" s="363">
        <f t="shared" si="5"/>
        <v>25.594083030921272</v>
      </c>
      <c r="E12" s="363">
        <f t="shared" si="12"/>
        <v>3.1803693861800357</v>
      </c>
      <c r="F12" s="1219">
        <f t="shared" si="6"/>
        <v>5.1776469847036664</v>
      </c>
      <c r="G12" s="363">
        <f t="shared" si="7"/>
        <v>24.373386781983228</v>
      </c>
      <c r="H12" s="363">
        <f t="shared" si="8"/>
        <v>3.3803693861800359</v>
      </c>
      <c r="I12" s="316">
        <f t="shared" si="9"/>
        <v>30.263898270914186</v>
      </c>
      <c r="J12" s="363">
        <f t="shared" si="10"/>
        <v>88.019998739962332</v>
      </c>
      <c r="K12" s="363">
        <f t="shared" si="0"/>
        <v>11.45692098742939</v>
      </c>
      <c r="L12" s="363">
        <f t="shared" si="11"/>
        <v>13.461882160229534</v>
      </c>
      <c r="M12" s="895">
        <f t="shared" si="1"/>
        <v>19.333333333333332</v>
      </c>
      <c r="N12" s="363">
        <f>VLOOKUP(A12,CentralChillerExp!$AV$51:$AW$55,2)</f>
        <v>0.23200000000000001</v>
      </c>
      <c r="O12" s="343">
        <f>30/2000/4950*(1+0.0155)^(A12-$A$5)*1000000+0.25*0.0931*ExposureCalculations!V23</f>
        <v>4.215690774375755</v>
      </c>
      <c r="P12" s="343">
        <f t="shared" si="2"/>
        <v>41.735338666319976</v>
      </c>
      <c r="Q12" s="315">
        <v>2017</v>
      </c>
      <c r="R12" s="316">
        <v>9.7529679045943869</v>
      </c>
      <c r="S12" s="316">
        <v>10.652967904594387</v>
      </c>
      <c r="T12" s="316">
        <v>28.088219835266376</v>
      </c>
      <c r="U12" s="316">
        <v>3.4829392595730302</v>
      </c>
      <c r="V12" s="316">
        <v>29.70501650263888</v>
      </c>
      <c r="W12" s="316">
        <v>101.38322132350649</v>
      </c>
      <c r="X12" s="316">
        <v>4.9624484325726517</v>
      </c>
    </row>
    <row r="13" spans="1:27">
      <c r="A13" s="315">
        <v>2018</v>
      </c>
      <c r="B13" s="363">
        <f t="shared" si="3"/>
        <v>6.2442422635526214</v>
      </c>
      <c r="C13" s="363">
        <f t="shared" si="4"/>
        <v>7.2442422635526214</v>
      </c>
      <c r="D13" s="363">
        <f t="shared" si="5"/>
        <v>25.990791317900555</v>
      </c>
      <c r="E13" s="363">
        <f t="shared" si="12"/>
        <v>3.2296651116658266</v>
      </c>
      <c r="F13" s="1219">
        <f t="shared" si="6"/>
        <v>5.2035352196271845</v>
      </c>
      <c r="G13" s="363">
        <f t="shared" si="7"/>
        <v>24.728822430192491</v>
      </c>
      <c r="H13" s="363">
        <f t="shared" si="8"/>
        <v>3.4296651116658268</v>
      </c>
      <c r="I13" s="316">
        <f t="shared" si="9"/>
        <v>30.672028146729435</v>
      </c>
      <c r="J13" s="363">
        <f t="shared" si="10"/>
        <v>88.460098733662136</v>
      </c>
      <c r="K13" s="363">
        <f t="shared" si="0"/>
        <v>11.514205592366535</v>
      </c>
      <c r="L13" s="363">
        <f t="shared" si="11"/>
        <v>13.52919157103068</v>
      </c>
      <c r="M13" s="895">
        <f t="shared" si="1"/>
        <v>19.333333333333332</v>
      </c>
      <c r="N13" s="363">
        <f>VLOOKUP(A13,CentralChillerExp!$AV$51:$AW$55,2)</f>
        <v>0.23200000000000001</v>
      </c>
      <c r="O13" s="343">
        <f>30/2000/4950*(1+0.0155)^(A13-$A$5)*1000000+0.25*0.0931*ExposureCalculations!V24</f>
        <v>4.3032762376720504</v>
      </c>
      <c r="P13" s="343">
        <f t="shared" si="2"/>
        <v>42.6024347529533</v>
      </c>
      <c r="Q13" s="315">
        <v>2018</v>
      </c>
      <c r="R13" s="316">
        <v>10.100569462826602</v>
      </c>
      <c r="S13" s="316">
        <v>11.000569462826602</v>
      </c>
      <c r="T13" s="316">
        <v>28.60589502947952</v>
      </c>
      <c r="U13" s="316">
        <v>3.5471309836554608</v>
      </c>
      <c r="V13" s="316">
        <v>30.105609466168747</v>
      </c>
      <c r="W13" s="316">
        <v>102.75044510803393</v>
      </c>
      <c r="X13" s="316">
        <v>5.0486173804029191</v>
      </c>
    </row>
    <row r="14" spans="1:27">
      <c r="A14" s="315">
        <v>2019</v>
      </c>
      <c r="B14" s="363">
        <f t="shared" si="3"/>
        <v>6.2754634748703841</v>
      </c>
      <c r="C14" s="363">
        <f t="shared" si="4"/>
        <v>7.2754634748703841</v>
      </c>
      <c r="D14" s="363">
        <f t="shared" si="5"/>
        <v>26.393648583328012</v>
      </c>
      <c r="E14" s="363">
        <f t="shared" si="12"/>
        <v>3.2797249208966472</v>
      </c>
      <c r="F14" s="1219">
        <f t="shared" si="6"/>
        <v>5.2295528957253197</v>
      </c>
      <c r="G14" s="363">
        <f t="shared" si="7"/>
        <v>25.089767330948998</v>
      </c>
      <c r="H14" s="363">
        <f t="shared" si="8"/>
        <v>3.4797249208966474</v>
      </c>
      <c r="I14" s="316">
        <f t="shared" si="9"/>
        <v>31.086160978965399</v>
      </c>
      <c r="J14" s="363">
        <f t="shared" si="10"/>
        <v>88.902399227330449</v>
      </c>
      <c r="K14" s="363">
        <f t="shared" si="0"/>
        <v>11.571776620328368</v>
      </c>
      <c r="L14" s="363">
        <f t="shared" si="11"/>
        <v>13.596837528885832</v>
      </c>
      <c r="M14" s="895">
        <f t="shared" si="1"/>
        <v>19.333333333333332</v>
      </c>
      <c r="N14" s="363">
        <f>VLOOKUP(A14,CentralChillerExp!$AV$51:$AW$55,2)</f>
        <v>0.23200000000000001</v>
      </c>
      <c r="O14" s="343">
        <f>30/2000/4950*(1+0.0155)^(A14-$A$5)*1000000+0.25*0.0931*ExposureCalculations!V25</f>
        <v>4.391894453287545</v>
      </c>
      <c r="P14" s="343">
        <f t="shared" si="2"/>
        <v>43.479755087546692</v>
      </c>
      <c r="Q14" s="315">
        <v>2019</v>
      </c>
      <c r="R14" s="316">
        <v>10.470961569713573</v>
      </c>
      <c r="S14" s="316">
        <v>11.370961569713574</v>
      </c>
      <c r="T14" s="316">
        <v>29.132261476790891</v>
      </c>
      <c r="U14" s="316">
        <v>3.6124004231220703</v>
      </c>
      <c r="V14" s="316">
        <v>30.512094529848625</v>
      </c>
      <c r="W14" s="316">
        <v>104.13777863037335</v>
      </c>
      <c r="X14" s="316">
        <v>5.1407118247698831</v>
      </c>
    </row>
    <row r="15" spans="1:27">
      <c r="A15" s="315">
        <v>2020</v>
      </c>
      <c r="B15" s="363">
        <f t="shared" si="3"/>
        <v>6.3068407922447349</v>
      </c>
      <c r="C15" s="363">
        <f t="shared" si="4"/>
        <v>7.3068407922447349</v>
      </c>
      <c r="D15" s="363">
        <f t="shared" si="5"/>
        <v>26.802750136369603</v>
      </c>
      <c r="E15" s="363">
        <f t="shared" si="12"/>
        <v>3.3305606571705457</v>
      </c>
      <c r="F15" s="1219">
        <f t="shared" si="6"/>
        <v>5.2557006602039458</v>
      </c>
      <c r="G15" s="363">
        <f t="shared" si="7"/>
        <v>25.456306877667231</v>
      </c>
      <c r="H15" s="363">
        <f t="shared" si="8"/>
        <v>3.5305606571705459</v>
      </c>
      <c r="I15" s="316">
        <f t="shared" si="9"/>
        <v>31.506362096849795</v>
      </c>
      <c r="J15" s="363">
        <f t="shared" si="10"/>
        <v>89.346911223467075</v>
      </c>
      <c r="K15" s="363">
        <f t="shared" si="0"/>
        <v>11.629635503430007</v>
      </c>
      <c r="L15" s="363">
        <f t="shared" si="11"/>
        <v>13.664821716530259</v>
      </c>
      <c r="M15" s="895">
        <f t="shared" si="1"/>
        <v>19.333333333333332</v>
      </c>
      <c r="N15" s="363">
        <f>VLOOKUP(A15,CentralChillerExp!$AV$51:$AW$55,2)</f>
        <v>0.23200000000000001</v>
      </c>
      <c r="O15" s="343">
        <f>30/2000/4950*(1+0.0155)^(A15-$A$5)*1000000+0.25*0.0931*ExposureCalculations!V26</f>
        <v>4.4815690865466786</v>
      </c>
      <c r="P15" s="343">
        <f t="shared" si="2"/>
        <v>44.367533956812117</v>
      </c>
      <c r="Q15" s="315">
        <v>2020</v>
      </c>
      <c r="R15" s="316">
        <v>10.785775106108714</v>
      </c>
      <c r="S15" s="316">
        <v>11.685775106108714</v>
      </c>
      <c r="T15" s="316">
        <v>29.667453124703005</v>
      </c>
      <c r="U15" s="316">
        <v>3.6787641874631727</v>
      </c>
      <c r="V15" s="316">
        <v>30.924535816474926</v>
      </c>
      <c r="W15" s="316">
        <v>105.54544074162892</v>
      </c>
      <c r="X15" s="316">
        <v>5.238806377215683</v>
      </c>
    </row>
    <row r="16" spans="1:27">
      <c r="A16" s="315">
        <v>2021</v>
      </c>
      <c r="B16" s="363">
        <f t="shared" si="3"/>
        <v>6.3383749962059586</v>
      </c>
      <c r="C16" s="363">
        <f t="shared" si="4"/>
        <v>7.3383749962059586</v>
      </c>
      <c r="D16" s="363">
        <f t="shared" si="5"/>
        <v>27.21819276348333</v>
      </c>
      <c r="E16" s="363">
        <f t="shared" si="12"/>
        <v>3.3821843473566893</v>
      </c>
      <c r="F16" s="1219">
        <f t="shared" si="6"/>
        <v>5.2819791635049649</v>
      </c>
      <c r="G16" s="363">
        <f t="shared" si="7"/>
        <v>25.828527787359594</v>
      </c>
      <c r="H16" s="363">
        <f t="shared" si="8"/>
        <v>3.5821843473566894</v>
      </c>
      <c r="I16" s="316">
        <f t="shared" si="9"/>
        <v>31.932001405353823</v>
      </c>
      <c r="J16" s="363">
        <f t="shared" si="10"/>
        <v>89.793645779584409</v>
      </c>
      <c r="K16" s="363">
        <f t="shared" si="0"/>
        <v>11.687783680947158</v>
      </c>
      <c r="L16" s="363">
        <f t="shared" si="11"/>
        <v>13.73314582511291</v>
      </c>
      <c r="M16" s="895">
        <f t="shared" si="1"/>
        <v>19.333333333333332</v>
      </c>
      <c r="N16" s="363">
        <f>VLOOKUP(A16,CentralChillerExp!$AV$51:$AW$55,2)</f>
        <v>0.23200000000000001</v>
      </c>
      <c r="O16" s="343">
        <f>30/2000/4950*(1+0.0155)^(A16-$A$5)*1000000+0.25*0.0931*ExposureCalculations!V27</f>
        <v>4.5804487869775343</v>
      </c>
      <c r="P16" s="343">
        <f t="shared" si="2"/>
        <v>45.346442991077588</v>
      </c>
      <c r="Q16" s="315">
        <v>2021</v>
      </c>
      <c r="R16" s="316">
        <v>11.041728226248411</v>
      </c>
      <c r="S16" s="316">
        <v>11.941728226248411</v>
      </c>
      <c r="T16" s="316">
        <v>30.210647332072369</v>
      </c>
      <c r="U16" s="316">
        <v>3.7461202691769739</v>
      </c>
      <c r="V16" s="316">
        <v>31.342314866949575</v>
      </c>
      <c r="W16" s="316">
        <v>106.9713206408989</v>
      </c>
      <c r="X16" s="316">
        <v>5.3474178636789134</v>
      </c>
    </row>
    <row r="17" spans="1:24">
      <c r="A17" s="315">
        <v>2022</v>
      </c>
      <c r="B17" s="363">
        <f t="shared" si="3"/>
        <v>6.3700668711869852</v>
      </c>
      <c r="C17" s="363">
        <f t="shared" si="4"/>
        <v>7.3700668711869852</v>
      </c>
      <c r="D17" s="363">
        <f t="shared" si="5"/>
        <v>27.640074751317325</v>
      </c>
      <c r="E17" s="363">
        <f t="shared" si="12"/>
        <v>3.434608204740718</v>
      </c>
      <c r="F17" s="1219">
        <f t="shared" si="6"/>
        <v>5.3083890593224883</v>
      </c>
      <c r="G17" s="363">
        <f t="shared" si="7"/>
        <v>26.206518121152186</v>
      </c>
      <c r="H17" s="363">
        <f t="shared" si="8"/>
        <v>3.6346082047407182</v>
      </c>
      <c r="I17" s="316">
        <f t="shared" si="9"/>
        <v>32.36280248688098</v>
      </c>
      <c r="J17" s="363">
        <f t="shared" si="10"/>
        <v>90.242614008482292</v>
      </c>
      <c r="K17" s="363">
        <f t="shared" si="0"/>
        <v>11.746222599351889</v>
      </c>
      <c r="L17" s="363">
        <f t="shared" si="11"/>
        <v>13.801811554238469</v>
      </c>
      <c r="M17" s="895">
        <f t="shared" si="1"/>
        <v>19.333333333333332</v>
      </c>
      <c r="N17" s="363">
        <f>VLOOKUP(A17,CentralChillerExp!$AV$51:$AW$55,2)</f>
        <v>0.23200000000000001</v>
      </c>
      <c r="O17" s="343">
        <f>30/2000/4950*(1+0.0155)^(A17-$A$5)*1000000+0.25*0.0931*ExposureCalculations!V28</f>
        <v>4.6804345155524576</v>
      </c>
      <c r="P17" s="343">
        <f t="shared" si="2"/>
        <v>46.336301703969333</v>
      </c>
      <c r="Q17" s="315">
        <v>2022</v>
      </c>
      <c r="R17" s="316">
        <v>11.372075329163831</v>
      </c>
      <c r="S17" s="316">
        <v>12.272075329163831</v>
      </c>
      <c r="T17" s="316">
        <v>30.76172894706006</v>
      </c>
      <c r="U17" s="316">
        <v>3.8144543894354475</v>
      </c>
      <c r="V17" s="316">
        <v>31.765160368264837</v>
      </c>
      <c r="W17" s="316">
        <v>108.41449233688788</v>
      </c>
      <c r="X17" s="316">
        <v>5.467238116822557</v>
      </c>
    </row>
    <row r="18" spans="1:24">
      <c r="A18" s="315">
        <v>2023</v>
      </c>
      <c r="B18" s="363">
        <f t="shared" si="3"/>
        <v>6.4019172055429205</v>
      </c>
      <c r="C18" s="363">
        <f t="shared" si="4"/>
        <v>7.4019172055429205</v>
      </c>
      <c r="D18" s="363">
        <f t="shared" si="5"/>
        <v>28.068495909962749</v>
      </c>
      <c r="E18" s="363">
        <f t="shared" si="12"/>
        <v>3.4878446319141996</v>
      </c>
      <c r="F18" s="1219">
        <f t="shared" si="6"/>
        <v>5.3349310046190999</v>
      </c>
      <c r="G18" s="363">
        <f t="shared" si="7"/>
        <v>26.590367305118573</v>
      </c>
      <c r="H18" s="363">
        <f t="shared" si="8"/>
        <v>3.6878446319141998</v>
      </c>
      <c r="I18" s="316">
        <f t="shared" si="9"/>
        <v>32.799392199636991</v>
      </c>
      <c r="J18" s="363">
        <f t="shared" si="10"/>
        <v>90.693827078524706</v>
      </c>
      <c r="K18" s="363">
        <f t="shared" si="0"/>
        <v>11.804953712348647</v>
      </c>
      <c r="L18" s="363">
        <f t="shared" si="11"/>
        <v>13.870820612009661</v>
      </c>
      <c r="M18" s="895">
        <f t="shared" si="1"/>
        <v>19.333333333333332</v>
      </c>
      <c r="N18" s="363">
        <f>VLOOKUP(A18,CentralChillerExp!$AV$51:$AW$55,2)</f>
        <v>0.23200000000000001</v>
      </c>
      <c r="O18" s="343">
        <f>30/2000/4950*(1+0.0155)^(A18-$A$5)*1000000+0.25*0.0931*ExposureCalculations!V29</f>
        <v>4.7815522804103807</v>
      </c>
      <c r="P18" s="343">
        <f t="shared" si="2"/>
        <v>47.337367576062768</v>
      </c>
      <c r="Q18" s="315">
        <v>2023</v>
      </c>
      <c r="R18" s="316">
        <v>11.770038327496968</v>
      </c>
      <c r="S18" s="316">
        <v>12.670038327496968</v>
      </c>
      <c r="T18" s="316">
        <v>31.321667014342211</v>
      </c>
      <c r="U18" s="316">
        <v>3.8838867097784342</v>
      </c>
      <c r="V18" s="316">
        <v>32.19368760246995</v>
      </c>
      <c r="W18" s="316">
        <v>109.87705578722995</v>
      </c>
      <c r="X18" s="316">
        <v>5.5943453578285132</v>
      </c>
    </row>
    <row r="19" spans="1:24">
      <c r="A19" s="315">
        <v>2024</v>
      </c>
      <c r="B19" s="363">
        <f t="shared" si="3"/>
        <v>6.4339267915706335</v>
      </c>
      <c r="C19" s="363">
        <f t="shared" si="4"/>
        <v>7.4339267915706335</v>
      </c>
      <c r="D19" s="363">
        <f t="shared" si="5"/>
        <v>28.50355759656717</v>
      </c>
      <c r="E19" s="363">
        <f t="shared" si="12"/>
        <v>3.5419062237088701</v>
      </c>
      <c r="F19" s="1219">
        <f t="shared" si="6"/>
        <v>5.3616056596421942</v>
      </c>
      <c r="G19" s="363">
        <f t="shared" si="7"/>
        <v>26.980166151436432</v>
      </c>
      <c r="H19" s="363">
        <f t="shared" si="8"/>
        <v>3.7419062237088703</v>
      </c>
      <c r="I19" s="316">
        <f t="shared" si="9"/>
        <v>33.241865497162983</v>
      </c>
      <c r="J19" s="363">
        <f t="shared" si="10"/>
        <v>91.147296213917315</v>
      </c>
      <c r="K19" s="363">
        <f t="shared" si="0"/>
        <v>11.863978480910388</v>
      </c>
      <c r="L19" s="363">
        <f t="shared" si="11"/>
        <v>13.940174715069706</v>
      </c>
      <c r="M19" s="895">
        <f t="shared" si="1"/>
        <v>19.333333333333332</v>
      </c>
      <c r="N19" s="363">
        <f>VLOOKUP(A19,CentralChillerExp!$AV$51:$AW$55,2)</f>
        <v>0.23200000000000001</v>
      </c>
      <c r="O19" s="343">
        <f>30/2000/4950*(1+0.0155)^(A19-$A$5)*1000000+0.25*0.0931*ExposureCalculations!V30</f>
        <v>4.8838289360515219</v>
      </c>
      <c r="P19" s="343">
        <f t="shared" si="2"/>
        <v>48.34990646691007</v>
      </c>
      <c r="Q19" s="315">
        <v>2024</v>
      </c>
      <c r="R19" s="316">
        <v>12.220621474970635</v>
      </c>
      <c r="S19" s="316">
        <v>13.120621474970635</v>
      </c>
      <c r="T19" s="316">
        <v>31.890621324744213</v>
      </c>
      <c r="U19" s="316">
        <v>3.9544370442682824</v>
      </c>
      <c r="V19" s="316">
        <v>32.627989769604142</v>
      </c>
      <c r="W19" s="316">
        <v>111.35932908365895</v>
      </c>
      <c r="X19" s="316">
        <v>5.7287731167249527</v>
      </c>
    </row>
    <row r="20" spans="1:24">
      <c r="A20" s="315">
        <v>2025</v>
      </c>
      <c r="B20" s="363">
        <f t="shared" si="3"/>
        <v>6.4660964255284856</v>
      </c>
      <c r="C20" s="363">
        <f t="shared" si="4"/>
        <v>7.4660964255284856</v>
      </c>
      <c r="D20" s="363">
        <f t="shared" si="5"/>
        <v>28.945362739313964</v>
      </c>
      <c r="E20" s="363">
        <f t="shared" si="12"/>
        <v>3.5968057701763576</v>
      </c>
      <c r="F20" s="1219">
        <f t="shared" si="6"/>
        <v>5.3884136879404041</v>
      </c>
      <c r="G20" s="363">
        <f t="shared" si="7"/>
        <v>27.376006879872218</v>
      </c>
      <c r="H20" s="363">
        <f t="shared" si="8"/>
        <v>3.7968057701763578</v>
      </c>
      <c r="I20" s="316">
        <f t="shared" si="9"/>
        <v>33.722268832149361</v>
      </c>
      <c r="J20" s="363">
        <f t="shared" si="10"/>
        <v>91.603032694986879</v>
      </c>
      <c r="K20" s="363">
        <f t="shared" si="0"/>
        <v>11.923298373314939</v>
      </c>
      <c r="L20" s="363">
        <f t="shared" si="11"/>
        <v>14.009875588645052</v>
      </c>
      <c r="M20" s="895">
        <f t="shared" si="1"/>
        <v>19.333333333333332</v>
      </c>
      <c r="N20" s="363">
        <f>VLOOKUP(A20,CentralChillerExp!$AV$51:$AW$55,2)</f>
        <v>0.23200000000000001</v>
      </c>
      <c r="O20" s="343">
        <f>30/2000/4950*(1+0.0155)^(A20-$A$5)*1000000+0.25*0.0931*ExposureCalculations!V31</f>
        <v>4.9872922186177489</v>
      </c>
      <c r="P20" s="343">
        <f t="shared" si="2"/>
        <v>49.374192964315718</v>
      </c>
      <c r="Q20" s="315">
        <v>2025</v>
      </c>
      <c r="R20" s="316">
        <v>12.74759443480051</v>
      </c>
      <c r="S20" s="316">
        <v>13.64759443480051</v>
      </c>
      <c r="T20" s="316">
        <v>32.468765255822852</v>
      </c>
      <c r="U20" s="316">
        <v>4.0261268917220336</v>
      </c>
      <c r="V20" s="316">
        <v>33.099521522253731</v>
      </c>
      <c r="W20" s="316">
        <v>112.96866695545198</v>
      </c>
      <c r="X20" s="316">
        <v>5.8705453485455328</v>
      </c>
    </row>
    <row r="21" spans="1:24">
      <c r="A21" s="315">
        <v>2026</v>
      </c>
      <c r="B21" s="363">
        <f t="shared" si="3"/>
        <v>6.4984269076561265</v>
      </c>
      <c r="C21" s="363">
        <f t="shared" si="4"/>
        <v>7.4984269076561265</v>
      </c>
      <c r="D21" s="363">
        <f t="shared" si="5"/>
        <v>29.394015861773333</v>
      </c>
      <c r="E21" s="363">
        <f t="shared" si="12"/>
        <v>3.6525562596140912</v>
      </c>
      <c r="F21" s="1219">
        <f t="shared" si="6"/>
        <v>5.415355756380106</v>
      </c>
      <c r="G21" s="363">
        <f t="shared" si="7"/>
        <v>27.777983139598756</v>
      </c>
      <c r="H21" s="363">
        <f t="shared" si="8"/>
        <v>3.8525562596140914</v>
      </c>
      <c r="I21" s="316">
        <f t="shared" si="9"/>
        <v>34.212661731470227</v>
      </c>
      <c r="J21" s="363">
        <f t="shared" si="10"/>
        <v>92.061047858461805</v>
      </c>
      <c r="K21" s="363">
        <f t="shared" si="0"/>
        <v>11.98291486518151</v>
      </c>
      <c r="L21" s="363">
        <f t="shared" si="11"/>
        <v>14.079924966588274</v>
      </c>
      <c r="M21" s="895">
        <f t="shared" si="1"/>
        <v>19.333333333333332</v>
      </c>
      <c r="N21" s="363">
        <f>VLOOKUP(A21,CentralChillerExp!$AV$51:$AW$55,2)</f>
        <v>0.23200000000000001</v>
      </c>
      <c r="O21" s="343">
        <f>30/2000/4950*(1+0.0155)^(A21-$A$5)*1000000+0.25*0.0931*ExposureCalculations!V32</f>
        <v>5.1012465077307141</v>
      </c>
      <c r="P21" s="343">
        <f t="shared" si="2"/>
        <v>50.502340426534062</v>
      </c>
      <c r="Q21" s="315">
        <v>2026</v>
      </c>
      <c r="R21" s="316">
        <v>13.308707875529482</v>
      </c>
      <c r="S21" s="316">
        <v>14.208707875529482</v>
      </c>
      <c r="T21" s="316">
        <v>33.054580014100758</v>
      </c>
      <c r="U21" s="316">
        <v>4.098767921748494</v>
      </c>
      <c r="V21" s="316">
        <v>33.580858362494943</v>
      </c>
      <c r="W21" s="316">
        <v>114.61146959119523</v>
      </c>
      <c r="X21" s="316">
        <v>6.0261886528859847</v>
      </c>
    </row>
    <row r="22" spans="1:24">
      <c r="A22" s="315">
        <v>2027</v>
      </c>
      <c r="B22" s="363">
        <f t="shared" si="3"/>
        <v>6.530919042194407</v>
      </c>
      <c r="C22" s="363">
        <f t="shared" si="4"/>
        <v>7.530919042194407</v>
      </c>
      <c r="D22" s="363">
        <f t="shared" si="5"/>
        <v>29.849623107630823</v>
      </c>
      <c r="E22" s="363">
        <f t="shared" si="12"/>
        <v>3.7091708816381099</v>
      </c>
      <c r="F22" s="1219">
        <f t="shared" si="6"/>
        <v>5.4424325351620064</v>
      </c>
      <c r="G22" s="363">
        <f t="shared" si="7"/>
        <v>28.186190031351064</v>
      </c>
      <c r="H22" s="363">
        <f t="shared" si="8"/>
        <v>3.9091708816381101</v>
      </c>
      <c r="I22" s="316">
        <f t="shared" si="9"/>
        <v>34.713310775113065</v>
      </c>
      <c r="J22" s="363">
        <f t="shared" si="10"/>
        <v>92.521353097754101</v>
      </c>
      <c r="K22" s="363">
        <f t="shared" si="0"/>
        <v>12.042829439507416</v>
      </c>
      <c r="L22" s="363">
        <f t="shared" si="11"/>
        <v>14.150324591421215</v>
      </c>
      <c r="M22" s="895">
        <f t="shared" si="1"/>
        <v>19.333333333333332</v>
      </c>
      <c r="N22" s="363">
        <f>VLOOKUP(A22,CentralChillerExp!$AV$51:$AW$55,2)</f>
        <v>0.23200000000000001</v>
      </c>
      <c r="O22" s="343">
        <f>30/2000/4950*(1+0.0155)^(A22-$A$5)*1000000+0.25*0.0931*ExposureCalculations!V33</f>
        <v>5.2164456904545791</v>
      </c>
      <c r="P22" s="343">
        <f t="shared" si="2"/>
        <v>51.642812335500331</v>
      </c>
      <c r="Q22" s="315">
        <v>2027</v>
      </c>
      <c r="R22" s="316">
        <v>13.92420159304177</v>
      </c>
      <c r="S22" s="316">
        <v>14.824201593041771</v>
      </c>
      <c r="T22" s="316">
        <v>33.647892239299082</v>
      </c>
      <c r="U22" s="316">
        <v>4.1723386376730867</v>
      </c>
      <c r="V22" s="316">
        <v>34.072261947397081</v>
      </c>
      <c r="W22" s="316">
        <v>116.28863002646625</v>
      </c>
      <c r="X22" s="316">
        <v>6.1965113254047388</v>
      </c>
    </row>
    <row r="23" spans="1:24">
      <c r="A23" s="315">
        <v>2028</v>
      </c>
      <c r="B23" s="363">
        <f t="shared" si="3"/>
        <v>6.5635736374053772</v>
      </c>
      <c r="C23" s="363">
        <f t="shared" si="4"/>
        <v>7.5635736374053772</v>
      </c>
      <c r="D23" s="363">
        <f t="shared" si="5"/>
        <v>30.312292265799101</v>
      </c>
      <c r="E23" s="363">
        <f t="shared" si="12"/>
        <v>3.7666630303035009</v>
      </c>
      <c r="F23" s="1219">
        <f t="shared" si="6"/>
        <v>5.4696446978378148</v>
      </c>
      <c r="G23" s="363">
        <f t="shared" si="7"/>
        <v>28.600724129925524</v>
      </c>
      <c r="H23" s="363">
        <f t="shared" si="8"/>
        <v>3.9666630303035011</v>
      </c>
      <c r="I23" s="316">
        <f t="shared" si="9"/>
        <v>35.225864486929524</v>
      </c>
      <c r="J23" s="363">
        <f t="shared" si="10"/>
        <v>92.983959863242845</v>
      </c>
      <c r="K23" s="363">
        <f t="shared" si="0"/>
        <v>12.103043586704951</v>
      </c>
      <c r="L23" s="363">
        <f t="shared" si="11"/>
        <v>14.221076214378318</v>
      </c>
      <c r="M23" s="895">
        <f t="shared" si="1"/>
        <v>19.333333333333332</v>
      </c>
      <c r="N23" s="363">
        <f>VLOOKUP(A23,CentralChillerExp!$AV$51:$AW$55,2)</f>
        <v>0.23200000000000001</v>
      </c>
      <c r="O23" s="343">
        <f>30/2000/4950*(1+0.0155)^(A23-$A$5)*1000000+0.25*0.0931*ExposureCalculations!V34</f>
        <v>5.332920376496924</v>
      </c>
      <c r="P23" s="343">
        <f t="shared" si="2"/>
        <v>52.795911727319556</v>
      </c>
      <c r="Q23" s="315">
        <v>2028</v>
      </c>
      <c r="R23" s="316">
        <v>14.514041909491088</v>
      </c>
      <c r="S23" s="316">
        <v>15.414041909491088</v>
      </c>
      <c r="T23" s="316">
        <v>34.250393656857376</v>
      </c>
      <c r="U23" s="316">
        <v>4.2470488134503146</v>
      </c>
      <c r="V23" s="316">
        <v>34.575350357611221</v>
      </c>
      <c r="W23" s="316">
        <v>118.0056707705271</v>
      </c>
      <c r="X23" s="316">
        <v>6.3755935363545699</v>
      </c>
    </row>
    <row r="24" spans="1:24">
      <c r="A24" s="315">
        <v>2029</v>
      </c>
      <c r="B24" s="363">
        <f t="shared" si="3"/>
        <v>6.5963915055924041</v>
      </c>
      <c r="C24" s="363">
        <f t="shared" si="4"/>
        <v>7.5963915055924041</v>
      </c>
      <c r="D24" s="363">
        <f t="shared" si="5"/>
        <v>30.782132795918987</v>
      </c>
      <c r="E24" s="363">
        <f t="shared" si="12"/>
        <v>3.8250463072732055</v>
      </c>
      <c r="F24" s="1219">
        <f t="shared" si="6"/>
        <v>5.4969929213270028</v>
      </c>
      <c r="G24" s="363">
        <f t="shared" si="7"/>
        <v>29.021683507027895</v>
      </c>
      <c r="H24" s="363">
        <f t="shared" si="8"/>
        <v>4.0250463072732057</v>
      </c>
      <c r="I24" s="316">
        <f t="shared" si="9"/>
        <v>35.750718374942736</v>
      </c>
      <c r="J24" s="363">
        <f t="shared" si="10"/>
        <v>93.448879662559051</v>
      </c>
      <c r="K24" s="363">
        <f t="shared" si="0"/>
        <v>12.163558804638475</v>
      </c>
      <c r="L24" s="363">
        <f t="shared" si="11"/>
        <v>14.292181595450208</v>
      </c>
      <c r="M24" s="895">
        <f t="shared" si="1"/>
        <v>19.333333333333332</v>
      </c>
      <c r="N24" s="363">
        <f>VLOOKUP(A24,CentralChillerExp!$AV$51:$AW$55,2)</f>
        <v>0.23200000000000001</v>
      </c>
      <c r="O24" s="343">
        <f>30/2000/4950*(1+0.0155)^(A24-$A$5)*1000000+0.25*0.0931*ExposureCalculations!V35</f>
        <v>5.4507022157086258</v>
      </c>
      <c r="P24" s="343">
        <f t="shared" si="2"/>
        <v>53.961951935515394</v>
      </c>
      <c r="Q24" s="315">
        <v>2029</v>
      </c>
      <c r="R24" s="316">
        <v>15.086207598190144</v>
      </c>
      <c r="S24" s="316">
        <v>15.986207598190143</v>
      </c>
      <c r="T24" s="316">
        <v>34.862292007645088</v>
      </c>
      <c r="U24" s="316">
        <v>4.3229242089479909</v>
      </c>
      <c r="V24" s="316">
        <v>35.090511797335282</v>
      </c>
      <c r="W24" s="316">
        <v>119.76391676430532</v>
      </c>
      <c r="X24" s="316">
        <v>6.5634179561432635</v>
      </c>
    </row>
    <row r="25" spans="1:24">
      <c r="A25" s="315">
        <v>2030</v>
      </c>
      <c r="B25" s="363">
        <f t="shared" si="3"/>
        <v>6.6293734631203645</v>
      </c>
      <c r="C25" s="363">
        <f t="shared" si="4"/>
        <v>7.6293734631203645</v>
      </c>
      <c r="D25" s="363">
        <f t="shared" si="5"/>
        <v>31.259255854255734</v>
      </c>
      <c r="E25" s="363">
        <f t="shared" si="12"/>
        <v>3.8843345250359405</v>
      </c>
      <c r="F25" s="1219">
        <f t="shared" si="6"/>
        <v>5.5244778859336376</v>
      </c>
      <c r="G25" s="363">
        <f t="shared" si="7"/>
        <v>29.449167754475344</v>
      </c>
      <c r="H25" s="363">
        <f t="shared" si="8"/>
        <v>4.0843345250359402</v>
      </c>
      <c r="I25" s="316">
        <f t="shared" si="9"/>
        <v>36.288278021301643</v>
      </c>
      <c r="J25" s="363">
        <f t="shared" si="10"/>
        <v>93.916124060871837</v>
      </c>
      <c r="K25" s="363">
        <f t="shared" si="0"/>
        <v>12.224376598661665</v>
      </c>
      <c r="L25" s="363">
        <f t="shared" si="11"/>
        <v>14.363642503427457</v>
      </c>
      <c r="M25" s="895">
        <f t="shared" si="1"/>
        <v>19.333333333333332</v>
      </c>
      <c r="N25" s="363">
        <f>VLOOKUP(A25,CentralChillerExp!$AV$51:$AW$55,2)</f>
        <v>0.23200000000000001</v>
      </c>
      <c r="O25" s="343">
        <f>30/2000/4950*(1+0.0155)^(A25-$A$5)*1000000+0.25*0.0931*ExposureCalculations!V36</f>
        <v>5.5698239424907241</v>
      </c>
      <c r="P25" s="343">
        <f t="shared" si="2"/>
        <v>55.14125703065816</v>
      </c>
      <c r="Q25" s="315">
        <v>2030</v>
      </c>
      <c r="R25" s="316">
        <v>15.680744985580318</v>
      </c>
      <c r="S25" s="316">
        <v>16.580744985580317</v>
      </c>
      <c r="T25" s="316">
        <v>35.483811290575964</v>
      </c>
      <c r="U25" s="316">
        <v>4.3999926000314193</v>
      </c>
      <c r="V25" s="316">
        <v>35.61814435885465</v>
      </c>
      <c r="W25" s="316">
        <v>121.5647266967709</v>
      </c>
      <c r="X25" s="316">
        <v>6.7599549936118155</v>
      </c>
    </row>
    <row r="26" spans="1:24">
      <c r="A26" s="315">
        <v>2031</v>
      </c>
      <c r="B26" s="363">
        <f t="shared" si="3"/>
        <v>6.6625203304359655</v>
      </c>
      <c r="C26" s="363">
        <f t="shared" si="4"/>
        <v>7.6625203304359655</v>
      </c>
      <c r="D26" s="363">
        <f t="shared" si="5"/>
        <v>31.743774319996703</v>
      </c>
      <c r="E26" s="363">
        <f t="shared" si="12"/>
        <v>3.9445417101739979</v>
      </c>
      <c r="F26" s="1219">
        <f t="shared" si="6"/>
        <v>5.552100275363304</v>
      </c>
      <c r="G26" s="363">
        <f t="shared" si="7"/>
        <v>29.883278007758239</v>
      </c>
      <c r="H26" s="363">
        <f t="shared" si="8"/>
        <v>4.1445417101739981</v>
      </c>
      <c r="I26" s="316">
        <f t="shared" si="9"/>
        <v>35.605102796174819</v>
      </c>
      <c r="J26" s="363">
        <f t="shared" si="10"/>
        <v>94.385704681176165</v>
      </c>
      <c r="K26" s="363">
        <f t="shared" si="0"/>
        <v>12.285498481654971</v>
      </c>
      <c r="L26" s="363">
        <f t="shared" si="11"/>
        <v>14.435460715944592</v>
      </c>
      <c r="M26" s="895">
        <f t="shared" si="1"/>
        <v>19.333333333333332</v>
      </c>
      <c r="N26" s="363">
        <f>VLOOKUP(A26,CentralChillerExp!$AV$51:$AW$55,2)</f>
        <v>0.23200000000000001</v>
      </c>
      <c r="O26" s="343">
        <f>30/2000/4950*(1+0.0155)^(A26-$A$5)*1000000+0.25*0.0931*ExposureCalculations!V37</f>
        <v>5.7021660269801195</v>
      </c>
      <c r="P26" s="343">
        <f t="shared" si="2"/>
        <v>56.451443667103185</v>
      </c>
      <c r="Q26" s="315">
        <v>2031</v>
      </c>
      <c r="R26" s="316">
        <v>15.940759283300714</v>
      </c>
      <c r="S26" s="316">
        <v>16.840759283300716</v>
      </c>
      <c r="T26" s="316">
        <v>35.936193800892532</v>
      </c>
      <c r="U26" s="316">
        <v>4.4560880313106743</v>
      </c>
      <c r="V26" s="316">
        <v>34.947585293564302</v>
      </c>
      <c r="W26" s="316">
        <v>119.27610860693497</v>
      </c>
      <c r="X26" s="316">
        <v>6.9374806953483654</v>
      </c>
    </row>
    <row r="27" spans="1:24">
      <c r="A27" s="315">
        <v>2032</v>
      </c>
      <c r="B27" s="363">
        <f t="shared" si="3"/>
        <v>6.6958329320881438</v>
      </c>
      <c r="C27" s="363">
        <f t="shared" si="4"/>
        <v>7.6958329320881438</v>
      </c>
      <c r="D27" s="363">
        <f t="shared" si="5"/>
        <v>32.235802821956646</v>
      </c>
      <c r="E27" s="363">
        <f t="shared" si="12"/>
        <v>4.0056821066816948</v>
      </c>
      <c r="F27" s="1219">
        <f t="shared" si="6"/>
        <v>5.5798607767401194</v>
      </c>
      <c r="G27" s="363">
        <f t="shared" si="7"/>
        <v>30.324116969967015</v>
      </c>
      <c r="H27" s="363">
        <f t="shared" si="8"/>
        <v>4.205682106681695</v>
      </c>
      <c r="I27" s="316">
        <f t="shared" si="9"/>
        <v>35.893252767414381</v>
      </c>
      <c r="J27" s="363">
        <f t="shared" si="10"/>
        <v>94.857633204582044</v>
      </c>
      <c r="K27" s="363">
        <f t="shared" si="0"/>
        <v>12.346925974063243</v>
      </c>
      <c r="L27" s="363">
        <f t="shared" si="11"/>
        <v>14.507638019524311</v>
      </c>
      <c r="M27" s="895">
        <f t="shared" si="1"/>
        <v>19.333333333333332</v>
      </c>
      <c r="N27" s="363">
        <f>VLOOKUP(A27,CentralChillerExp!$AV$51:$AW$55,2)</f>
        <v>0.23200000000000001</v>
      </c>
      <c r="O27" s="343">
        <f>30/2000/4950*(1+0.0155)^(A27-$A$5)*1000000+0.25*0.0931*ExposureCalculations!V38</f>
        <v>5.8359169097359143</v>
      </c>
      <c r="P27" s="343">
        <f t="shared" si="2"/>
        <v>57.775577406385551</v>
      </c>
      <c r="Q27" s="315">
        <v>2032</v>
      </c>
      <c r="R27" s="316">
        <v>16.205053443474096</v>
      </c>
      <c r="S27" s="316">
        <v>17.105053443474095</v>
      </c>
      <c r="T27" s="316">
        <v>36.389474409305343</v>
      </c>
      <c r="U27" s="316">
        <v>4.5122948267538625</v>
      </c>
      <c r="V27" s="316">
        <v>35.230414014910238</v>
      </c>
      <c r="W27" s="316">
        <v>120.24140303288864</v>
      </c>
      <c r="X27" s="316">
        <v>7.1306954294909302</v>
      </c>
    </row>
    <row r="28" spans="1:24">
      <c r="A28" s="315">
        <v>2033</v>
      </c>
      <c r="B28" s="363">
        <f t="shared" si="3"/>
        <v>6.7293120967485827</v>
      </c>
      <c r="C28" s="363">
        <f t="shared" si="4"/>
        <v>7.7293120967485827</v>
      </c>
      <c r="D28" s="363">
        <f t="shared" si="5"/>
        <v>32.735457765696985</v>
      </c>
      <c r="E28" s="363">
        <f t="shared" si="12"/>
        <v>4.0677701793352616</v>
      </c>
      <c r="F28" s="1219">
        <f t="shared" si="6"/>
        <v>5.6077600806238195</v>
      </c>
      <c r="G28" s="363">
        <f t="shared" si="7"/>
        <v>30.771788936090026</v>
      </c>
      <c r="H28" s="363">
        <f t="shared" si="8"/>
        <v>4.2677701793352618</v>
      </c>
      <c r="I28" s="316">
        <f t="shared" si="9"/>
        <v>36.185059074032495</v>
      </c>
      <c r="J28" s="363">
        <f t="shared" si="10"/>
        <v>95.331921370604931</v>
      </c>
      <c r="K28" s="363">
        <f t="shared" si="0"/>
        <v>12.408660603933559</v>
      </c>
      <c r="L28" s="363">
        <f t="shared" si="11"/>
        <v>14.58017620962193</v>
      </c>
      <c r="M28" s="895">
        <f t="shared" si="1"/>
        <v>19.333333333333332</v>
      </c>
      <c r="N28" s="363">
        <f>VLOOKUP(A28,CentralChillerExp!$AV$51:$AW$55,2)</f>
        <v>0.23200000000000001</v>
      </c>
      <c r="O28" s="343">
        <f>30/2000/4950*(1+0.0155)^(A28-$A$5)*1000000+0.25*0.0931*ExposureCalculations!V39</f>
        <v>5.9711128667978315</v>
      </c>
      <c r="P28" s="343">
        <f t="shared" si="2"/>
        <v>59.114017381298531</v>
      </c>
      <c r="Q28" s="315">
        <v>2033</v>
      </c>
      <c r="R28" s="316">
        <v>16.475116547088252</v>
      </c>
      <c r="S28" s="316">
        <v>17.37511654708825</v>
      </c>
      <c r="T28" s="316">
        <v>36.848388633567836</v>
      </c>
      <c r="U28" s="316">
        <v>4.5692001905624116</v>
      </c>
      <c r="V28" s="316">
        <v>35.516831550287556</v>
      </c>
      <c r="W28" s="316">
        <v>121.21894608113143</v>
      </c>
      <c r="X28" s="316">
        <v>7.3241002243367852</v>
      </c>
    </row>
    <row r="29" spans="1:24">
      <c r="A29" s="315">
        <v>2034</v>
      </c>
      <c r="B29" s="363">
        <f t="shared" si="3"/>
        <v>6.7629586572323266</v>
      </c>
      <c r="C29" s="363">
        <f t="shared" si="4"/>
        <v>7.7629586572323266</v>
      </c>
      <c r="D29" s="363">
        <f t="shared" si="5"/>
        <v>33.242857361065283</v>
      </c>
      <c r="E29" s="363">
        <f t="shared" si="12"/>
        <v>4.1308206171149582</v>
      </c>
      <c r="F29" s="1219">
        <f t="shared" si="6"/>
        <v>5.6357988810269388</v>
      </c>
      <c r="G29" s="363">
        <f t="shared" si="7"/>
        <v>31.226399817687941</v>
      </c>
      <c r="H29" s="363">
        <f t="shared" si="8"/>
        <v>4.3308206171149584</v>
      </c>
      <c r="I29" s="316">
        <f t="shared" si="9"/>
        <v>36.481512126581798</v>
      </c>
      <c r="J29" s="363">
        <f t="shared" si="10"/>
        <v>95.808580977457964</v>
      </c>
      <c r="K29" s="363">
        <f t="shared" si="0"/>
        <v>12.470703906953228</v>
      </c>
      <c r="L29" s="363">
        <f t="shared" si="11"/>
        <v>14.653077090670042</v>
      </c>
      <c r="M29" s="895">
        <f t="shared" si="1"/>
        <v>19.333333333333332</v>
      </c>
      <c r="N29" s="363">
        <f>VLOOKUP(A29,CentralChillerExp!$AV$51:$AW$55,2)</f>
        <v>0.23200000000000001</v>
      </c>
      <c r="O29" s="343">
        <f>30/2000/4950*(1+0.0155)^(A29-$A$5)*1000000+0.25*0.0931*ExposureCalculations!V40</f>
        <v>6.1077914584675401</v>
      </c>
      <c r="P29" s="343">
        <f t="shared" si="2"/>
        <v>60.467135438828649</v>
      </c>
      <c r="Q29" s="315">
        <v>2034</v>
      </c>
      <c r="R29" s="316">
        <v>16.75149768675259</v>
      </c>
      <c r="S29" s="316">
        <v>17.651497686752592</v>
      </c>
      <c r="T29" s="316">
        <v>37.314771766445546</v>
      </c>
      <c r="U29" s="316">
        <v>4.6270316990392475</v>
      </c>
      <c r="V29" s="316">
        <v>35.807810020390932</v>
      </c>
      <c r="W29" s="316">
        <v>122.21205559959424</v>
      </c>
      <c r="X29" s="316">
        <v>7.5128904305515345</v>
      </c>
    </row>
    <row r="30" spans="1:24">
      <c r="A30" s="315">
        <v>2035</v>
      </c>
      <c r="B30" s="363">
        <f t="shared" si="3"/>
        <v>6.7967734505184865</v>
      </c>
      <c r="C30" s="363">
        <f t="shared" si="4"/>
        <v>7.7967734505184865</v>
      </c>
      <c r="D30" s="363">
        <f t="shared" si="5"/>
        <v>33.758121650161804</v>
      </c>
      <c r="E30" s="363">
        <f t="shared" si="12"/>
        <v>4.1948483366802405</v>
      </c>
      <c r="F30" s="1219">
        <f t="shared" si="6"/>
        <v>5.6639778754320727</v>
      </c>
      <c r="G30" s="363">
        <f t="shared" si="7"/>
        <v>31.688057167950632</v>
      </c>
      <c r="H30" s="363">
        <f t="shared" si="8"/>
        <v>4.3948483366802407</v>
      </c>
      <c r="I30" s="316">
        <f t="shared" si="9"/>
        <v>36.781857716360726</v>
      </c>
      <c r="J30" s="363">
        <f t="shared" si="10"/>
        <v>96.28762388234523</v>
      </c>
      <c r="K30" s="363">
        <f t="shared" si="0"/>
        <v>12.533057426487991</v>
      </c>
      <c r="L30" s="363">
        <f t="shared" si="11"/>
        <v>14.726342476123389</v>
      </c>
      <c r="M30" s="895">
        <f t="shared" si="1"/>
        <v>19.333333333333332</v>
      </c>
      <c r="N30" s="363">
        <f>VLOOKUP(A30,CentralChillerExp!$AV$51:$AW$55,2)</f>
        <v>0.23200000000000001</v>
      </c>
      <c r="O30" s="343">
        <f>30/2000/4950*(1+0.0155)^(A30-$A$5)*1000000+0.25*0.0931*ExposureCalculations!V41</f>
        <v>6.245991585313881</v>
      </c>
      <c r="P30" s="343">
        <f t="shared" si="2"/>
        <v>61.835316694607421</v>
      </c>
      <c r="Q30" s="315">
        <v>2035</v>
      </c>
      <c r="R30" s="316">
        <v>17.03396813627727</v>
      </c>
      <c r="S30" s="316">
        <v>17.933968136277272</v>
      </c>
      <c r="T30" s="316">
        <v>37.787578844375084</v>
      </c>
      <c r="U30" s="316">
        <v>4.6856597767025105</v>
      </c>
      <c r="V30" s="316">
        <v>36.102609144449985</v>
      </c>
      <c r="W30" s="316">
        <v>123.21820501000779</v>
      </c>
      <c r="X30" s="316">
        <v>7.7011167556628646</v>
      </c>
    </row>
    <row r="31" spans="1:24">
      <c r="A31" s="315">
        <v>2036</v>
      </c>
      <c r="B31" s="363">
        <f t="shared" si="3"/>
        <v>6.830757317771079</v>
      </c>
      <c r="C31" s="363">
        <f t="shared" si="4"/>
        <v>7.830757317771079</v>
      </c>
      <c r="D31" s="363">
        <f t="shared" si="5"/>
        <v>34.281372535739308</v>
      </c>
      <c r="E31" s="363">
        <f t="shared" si="12"/>
        <v>4.2598684858987843</v>
      </c>
      <c r="F31" s="1219">
        <f t="shared" si="6"/>
        <v>5.6922977648092319</v>
      </c>
      <c r="G31" s="363">
        <f t="shared" si="7"/>
        <v>32.156870207142383</v>
      </c>
      <c r="H31" s="363">
        <f t="shared" si="8"/>
        <v>4.4598684858987845</v>
      </c>
      <c r="I31" s="316">
        <f t="shared" si="9"/>
        <v>37.086015270966548</v>
      </c>
      <c r="J31" s="363">
        <f t="shared" si="10"/>
        <v>96.76906200175695</v>
      </c>
      <c r="K31" s="363">
        <f t="shared" si="0"/>
        <v>12.595722713620429</v>
      </c>
      <c r="L31" s="363">
        <f t="shared" si="11"/>
        <v>14.799974188504004</v>
      </c>
      <c r="M31" s="895">
        <f t="shared" si="1"/>
        <v>19.333333333333332</v>
      </c>
      <c r="N31" s="363">
        <f>VLOOKUP(A31,CentralChillerExp!$AV$51:$AW$55,2)</f>
        <v>0.23200000000000001</v>
      </c>
      <c r="O31" s="343">
        <f>30/2000/4950*(1+0.0155)^(A31-$A$5)*1000000+0.25*0.0931*ExposureCalculations!V42</f>
        <v>6.3984220859361587</v>
      </c>
      <c r="P31" s="343">
        <f t="shared" si="2"/>
        <v>63.344378650767972</v>
      </c>
      <c r="Q31" s="315">
        <v>2036</v>
      </c>
      <c r="R31" s="316">
        <v>17.322603110394201</v>
      </c>
      <c r="S31" s="316">
        <v>18.222603110394203</v>
      </c>
      <c r="T31" s="316">
        <v>38.266819340464814</v>
      </c>
      <c r="U31" s="316">
        <v>4.7450855982176368</v>
      </c>
      <c r="V31" s="316">
        <v>36.401149837988186</v>
      </c>
      <c r="W31" s="316">
        <v>124.23712439705369</v>
      </c>
      <c r="X31" s="316">
        <v>7.8894144092857346</v>
      </c>
    </row>
    <row r="32" spans="1:24">
      <c r="A32" s="315">
        <v>2037</v>
      </c>
      <c r="B32" s="363">
        <f t="shared" si="3"/>
        <v>6.8649111043599333</v>
      </c>
      <c r="C32" s="363">
        <f t="shared" si="4"/>
        <v>7.8649111043599333</v>
      </c>
      <c r="D32" s="363">
        <f t="shared" si="5"/>
        <v>34.81273381004327</v>
      </c>
      <c r="E32" s="363">
        <f t="shared" si="12"/>
        <v>4.3258964474302157</v>
      </c>
      <c r="F32" s="1219">
        <f t="shared" si="6"/>
        <v>5.7207592536332772</v>
      </c>
      <c r="G32" s="363">
        <f t="shared" si="7"/>
        <v>32.632949848441612</v>
      </c>
      <c r="H32" s="363">
        <f t="shared" si="8"/>
        <v>4.5258964474302159</v>
      </c>
      <c r="I32" s="316">
        <f t="shared" si="9"/>
        <v>37.394516891668061</v>
      </c>
      <c r="J32" s="363">
        <f t="shared" si="10"/>
        <v>97.252907311765711</v>
      </c>
      <c r="K32" s="363">
        <f t="shared" si="0"/>
        <v>12.658701327188529</v>
      </c>
      <c r="L32" s="363">
        <f t="shared" si="11"/>
        <v>14.873974059446521</v>
      </c>
      <c r="M32" s="895">
        <f t="shared" si="1"/>
        <v>19.333333333333332</v>
      </c>
      <c r="N32" s="363">
        <f>VLOOKUP(A32,CentralChillerExp!$AV$51:$AW$55,2)</f>
        <v>0.23200000000000001</v>
      </c>
      <c r="O32" s="343">
        <f>30/2000/4950*(1+0.0155)^(A32-$A$5)*1000000+0.25*0.0931*ExposureCalculations!V43</f>
        <v>6.5500417045922124</v>
      </c>
      <c r="P32" s="343">
        <f t="shared" si="2"/>
        <v>64.845412875462898</v>
      </c>
      <c r="Q32" s="315">
        <v>2037</v>
      </c>
      <c r="R32" s="316">
        <v>17.61775455733034</v>
      </c>
      <c r="S32" s="316">
        <v>18.517754557330342</v>
      </c>
      <c r="T32" s="316">
        <v>38.753641287853078</v>
      </c>
      <c r="U32" s="316">
        <v>4.8054515196937819</v>
      </c>
      <c r="V32" s="316">
        <v>36.703954375989049</v>
      </c>
      <c r="W32" s="316">
        <v>125.27059628525062</v>
      </c>
      <c r="X32" s="316">
        <v>8.0753124778204164</v>
      </c>
    </row>
    <row r="33" spans="1:24">
      <c r="A33" s="315">
        <v>2038</v>
      </c>
      <c r="B33" s="363">
        <f t="shared" si="3"/>
        <v>6.8992356598817306</v>
      </c>
      <c r="C33" s="363">
        <f t="shared" si="4"/>
        <v>7.8992356598817306</v>
      </c>
      <c r="D33" s="363">
        <f t="shared" si="5"/>
        <v>35.352331184098944</v>
      </c>
      <c r="E33" s="363">
        <f t="shared" si="12"/>
        <v>4.392947842365384</v>
      </c>
      <c r="F33" s="1219">
        <f t="shared" si="6"/>
        <v>5.7493630499014428</v>
      </c>
      <c r="G33" s="363">
        <f t="shared" si="7"/>
        <v>33.116408724180978</v>
      </c>
      <c r="H33" s="363">
        <f t="shared" si="8"/>
        <v>4.5929478423653842</v>
      </c>
      <c r="I33" s="316">
        <f t="shared" si="9"/>
        <v>37.707220149517845</v>
      </c>
      <c r="J33" s="363">
        <f t="shared" si="10"/>
        <v>97.739171848324517</v>
      </c>
      <c r="K33" s="363">
        <f t="shared" si="0"/>
        <v>12.721994833824468</v>
      </c>
      <c r="L33" s="363">
        <f t="shared" si="11"/>
        <v>14.94834392974375</v>
      </c>
      <c r="M33" s="895">
        <f t="shared" si="1"/>
        <v>19.333333333333332</v>
      </c>
      <c r="N33" s="363">
        <f>VLOOKUP(A33,CentralChillerExp!$AV$51:$AW$55,2)</f>
        <v>0.23200000000000001</v>
      </c>
      <c r="O33" s="343">
        <f>30/2000/4950*(1+0.0155)^(A33-$A$5)*1000000+0.25*0.0931*ExposureCalculations!V44</f>
        <v>6.7006584748634941</v>
      </c>
      <c r="P33" s="343">
        <f t="shared" si="2"/>
        <v>66.336518901148594</v>
      </c>
      <c r="Q33" s="315">
        <v>2038</v>
      </c>
      <c r="R33" s="316">
        <v>17.919475448042999</v>
      </c>
      <c r="S33" s="316">
        <v>18.819475448043001</v>
      </c>
      <c r="T33" s="316">
        <v>39.247990036858361</v>
      </c>
      <c r="U33" s="316">
        <v>4.8667507645704369</v>
      </c>
      <c r="V33" s="316">
        <v>37.010882959732804</v>
      </c>
      <c r="W33" s="316">
        <v>126.31814354156806</v>
      </c>
      <c r="X33" s="316">
        <v>8.2597655820884572</v>
      </c>
    </row>
    <row r="34" spans="1:24">
      <c r="A34" s="315">
        <v>2039</v>
      </c>
      <c r="B34" s="363">
        <f t="shared" si="3"/>
        <v>6.9337318381811386</v>
      </c>
      <c r="C34" s="363">
        <f t="shared" si="4"/>
        <v>7.9337318381811386</v>
      </c>
      <c r="D34" s="363">
        <f t="shared" si="5"/>
        <v>35.900292317452482</v>
      </c>
      <c r="E34" s="363">
        <f t="shared" si="12"/>
        <v>4.4610385339220482</v>
      </c>
      <c r="F34" s="1219">
        <f t="shared" si="6"/>
        <v>5.7781098651509488</v>
      </c>
      <c r="G34" s="363">
        <f t="shared" si="7"/>
        <v>33.607361212494311</v>
      </c>
      <c r="H34" s="363">
        <f t="shared" si="8"/>
        <v>4.6610385339220484</v>
      </c>
      <c r="I34" s="316">
        <f t="shared" si="9"/>
        <v>38.024258377093943</v>
      </c>
      <c r="J34" s="363">
        <f t="shared" si="10"/>
        <v>98.227867707566134</v>
      </c>
      <c r="K34" s="363">
        <f t="shared" si="0"/>
        <v>12.78560480799359</v>
      </c>
      <c r="L34" s="363">
        <f t="shared" si="11"/>
        <v>15.023085649392467</v>
      </c>
      <c r="M34" s="895">
        <f t="shared" si="1"/>
        <v>19.333333333333332</v>
      </c>
      <c r="N34" s="363">
        <f>VLOOKUP(A34,CentralChillerExp!$AV$51:$AW$55,2)</f>
        <v>0.23200000000000001</v>
      </c>
      <c r="O34" s="343">
        <f>30/2000/4950*(1+0.0155)^(A34-$A$5)*1000000+0.25*0.0931*ExposureCalculations!V45</f>
        <v>6.8501350108460137</v>
      </c>
      <c r="P34" s="343">
        <f t="shared" si="2"/>
        <v>67.816336607375533</v>
      </c>
      <c r="Q34" s="315">
        <v>2039</v>
      </c>
      <c r="R34" s="316">
        <v>18.227944911568507</v>
      </c>
      <c r="S34" s="316">
        <v>19.127944911568509</v>
      </c>
      <c r="T34" s="316">
        <v>39.750327033089349</v>
      </c>
      <c r="U34" s="316">
        <v>4.9290405521030793</v>
      </c>
      <c r="V34" s="316">
        <v>37.322066459552005</v>
      </c>
      <c r="W34" s="316">
        <v>127.38021282645101</v>
      </c>
      <c r="X34" s="316">
        <v>8.4423318724796452</v>
      </c>
    </row>
    <row r="35" spans="1:24">
      <c r="A35" s="315">
        <v>2040</v>
      </c>
      <c r="B35" s="363">
        <f t="shared" si="3"/>
        <v>6.968400497372043</v>
      </c>
      <c r="C35" s="363">
        <f t="shared" si="4"/>
        <v>7.968400497372043</v>
      </c>
      <c r="D35" s="363">
        <f t="shared" si="5"/>
        <v>36.456746848372994</v>
      </c>
      <c r="E35" s="363">
        <f t="shared" si="12"/>
        <v>4.53018463119784</v>
      </c>
      <c r="F35" s="1219">
        <f t="shared" si="6"/>
        <v>5.8070004144767031</v>
      </c>
      <c r="G35" s="363">
        <f t="shared" si="7"/>
        <v>34.105923464376488</v>
      </c>
      <c r="H35" s="363">
        <f t="shared" si="8"/>
        <v>4.7301846311978402</v>
      </c>
      <c r="I35" s="316">
        <f t="shared" si="9"/>
        <v>38.344652318907634</v>
      </c>
      <c r="J35" s="363">
        <f t="shared" si="10"/>
        <v>98.719007046103954</v>
      </c>
      <c r="K35" s="363">
        <f t="shared" si="0"/>
        <v>12.849532832033555</v>
      </c>
      <c r="L35" s="363">
        <f t="shared" si="11"/>
        <v>15.098201077639427</v>
      </c>
      <c r="M35" s="895">
        <f t="shared" si="1"/>
        <v>19.333333333333332</v>
      </c>
      <c r="N35" s="363">
        <f>VLOOKUP(A35,CentralChillerExp!$AV$51:$AW$55,2)</f>
        <v>0.23200000000000001</v>
      </c>
      <c r="O35" s="343">
        <f>30/2000/4950*(1+0.0155)^(A35-$A$5)*1000000+0.25*0.0931*ExposureCalculations!V46</f>
        <v>7.0039984326912155</v>
      </c>
      <c r="P35" s="343">
        <f t="shared" si="2"/>
        <v>69.339584483643037</v>
      </c>
      <c r="Q35" s="315">
        <v>2040</v>
      </c>
      <c r="R35" s="316">
        <v>18.542847284152987</v>
      </c>
      <c r="S35" s="316">
        <v>19.44284728415299</v>
      </c>
      <c r="T35" s="316">
        <v>40.258825317109199</v>
      </c>
      <c r="U35" s="316">
        <v>4.9920943393215405</v>
      </c>
      <c r="V35" s="316">
        <v>37.636543703815946</v>
      </c>
      <c r="W35" s="316">
        <v>128.45352366112382</v>
      </c>
      <c r="X35" s="316">
        <v>8.6282179283377793</v>
      </c>
    </row>
    <row r="36" spans="1:24">
      <c r="A36" s="315">
        <v>2041</v>
      </c>
      <c r="B36" s="363">
        <f t="shared" si="3"/>
        <v>7.0032424998589011</v>
      </c>
      <c r="C36" s="363">
        <f t="shared" si="4"/>
        <v>8.0032424998589011</v>
      </c>
      <c r="D36" s="363">
        <f t="shared" si="5"/>
        <v>37.021826424522779</v>
      </c>
      <c r="E36" s="363">
        <f t="shared" si="12"/>
        <v>4.6004024929814067</v>
      </c>
      <c r="F36" s="1219">
        <f t="shared" si="6"/>
        <v>5.8360354165490849</v>
      </c>
      <c r="G36" s="363">
        <f t="shared" si="7"/>
        <v>34.61221343116285</v>
      </c>
      <c r="H36" s="363">
        <f t="shared" si="8"/>
        <v>4.8004024929814069</v>
      </c>
      <c r="I36" s="316">
        <f t="shared" si="9"/>
        <v>38.668877585513023</v>
      </c>
      <c r="J36" s="363">
        <f t="shared" si="10"/>
        <v>99.212602081334438</v>
      </c>
      <c r="K36" s="363">
        <f t="shared" si="0"/>
        <v>12.91378049619372</v>
      </c>
      <c r="L36" s="363">
        <f t="shared" si="11"/>
        <v>15.173692083027619</v>
      </c>
      <c r="M36" s="895">
        <f t="shared" si="1"/>
        <v>19.333333333333332</v>
      </c>
      <c r="N36" s="363">
        <f>VLOOKUP(A36,CentralChillerExp!$AV$51:$AW$55,2)</f>
        <v>0.23200000000000001</v>
      </c>
      <c r="O36" s="343">
        <f>30/2000/4950*(1+0.0155)^(A36-$A$5)*1000000+0.25*0.0931*ExposureCalculations!V47</f>
        <v>7.1545944141591864</v>
      </c>
      <c r="P36" s="343">
        <f t="shared" si="2"/>
        <v>70.830484700175944</v>
      </c>
      <c r="Q36" s="315">
        <v>2041</v>
      </c>
      <c r="R36" s="316">
        <v>18.864520613641055</v>
      </c>
      <c r="S36" s="316">
        <v>19.764520613641057</v>
      </c>
      <c r="T36" s="316">
        <v>40.774529178166709</v>
      </c>
      <c r="U36" s="316">
        <v>5.0560416180926717</v>
      </c>
      <c r="V36" s="316">
        <v>37.95478152000441</v>
      </c>
      <c r="W36" s="316">
        <v>129.53966932777504</v>
      </c>
      <c r="X36" s="316">
        <v>8.8152508311794406</v>
      </c>
    </row>
    <row r="37" spans="1:24">
      <c r="A37" s="315">
        <v>2042</v>
      </c>
      <c r="B37" s="363">
        <f t="shared" si="3"/>
        <v>7.0382587123581954</v>
      </c>
      <c r="C37" s="363">
        <f t="shared" si="4"/>
        <v>8.0382587123581963</v>
      </c>
      <c r="D37" s="363">
        <f t="shared" si="5"/>
        <v>37.59566473410289</v>
      </c>
      <c r="E37" s="363">
        <f t="shared" si="12"/>
        <v>4.6717087316226191</v>
      </c>
      <c r="F37" s="1219">
        <f t="shared" si="6"/>
        <v>5.8652155936318291</v>
      </c>
      <c r="G37" s="363">
        <f t="shared" si="7"/>
        <v>35.126350892434402</v>
      </c>
      <c r="H37" s="363">
        <f t="shared" si="8"/>
        <v>4.8717087316226193</v>
      </c>
      <c r="I37" s="316">
        <f t="shared" si="9"/>
        <v>38.998597109464242</v>
      </c>
      <c r="J37" s="363">
        <f t="shared" si="10"/>
        <v>99.708665091741096</v>
      </c>
      <c r="K37" s="363">
        <f t="shared" si="0"/>
        <v>12.978349398674686</v>
      </c>
      <c r="L37" s="363">
        <f t="shared" si="11"/>
        <v>15.249560543442756</v>
      </c>
      <c r="M37" s="895">
        <f t="shared" si="1"/>
        <v>19.333333333333332</v>
      </c>
      <c r="N37" s="363">
        <f>VLOOKUP(A37,CentralChillerExp!$AV$51:$AW$55,2)</f>
        <v>0.23200000000000001</v>
      </c>
      <c r="O37" s="343">
        <f>30/2000/4950*(1+0.0155)^(A37-$A$5)*1000000+0.25*0.0931*ExposureCalculations!V48</f>
        <v>7.3014213649911941</v>
      </c>
      <c r="P37" s="343">
        <f t="shared" si="2"/>
        <v>72.284071513412812</v>
      </c>
      <c r="Q37" s="315">
        <v>2042</v>
      </c>
      <c r="R37" s="316">
        <v>19.193837054458466</v>
      </c>
      <c r="S37" s="316">
        <v>20.093837054458469</v>
      </c>
      <c r="T37" s="316">
        <v>41.30119817537814</v>
      </c>
      <c r="U37" s="316">
        <v>5.1213485737468893</v>
      </c>
      <c r="V37" s="316">
        <v>38.278412131386226</v>
      </c>
      <c r="W37" s="316">
        <v>130.64422060442118</v>
      </c>
      <c r="X37" s="316">
        <v>8.9952357920007842</v>
      </c>
    </row>
    <row r="38" spans="1:24">
      <c r="A38" s="315">
        <v>2043</v>
      </c>
      <c r="B38" s="363">
        <f t="shared" si="3"/>
        <v>7.0734500059199856</v>
      </c>
      <c r="C38" s="363">
        <f t="shared" si="4"/>
        <v>8.0734500059199856</v>
      </c>
      <c r="D38" s="363">
        <f t="shared" si="5"/>
        <v>38.17839753748148</v>
      </c>
      <c r="E38" s="363">
        <f t="shared" si="12"/>
        <v>4.7441202169627701</v>
      </c>
      <c r="F38" s="1219">
        <f t="shared" si="6"/>
        <v>5.8945416715999874</v>
      </c>
      <c r="G38" s="363">
        <f t="shared" si="7"/>
        <v>35.64845748435566</v>
      </c>
      <c r="H38" s="363">
        <f t="shared" si="8"/>
        <v>4.9441202169627703</v>
      </c>
      <c r="I38" s="316">
        <f t="shared" si="9"/>
        <v>39.331032677633125</v>
      </c>
      <c r="J38" s="363">
        <f t="shared" si="10"/>
        <v>100.20720841719979</v>
      </c>
      <c r="K38" s="363">
        <f t="shared" si="0"/>
        <v>13.043241145668059</v>
      </c>
      <c r="L38" s="363">
        <f t="shared" si="11"/>
        <v>15.325808346159969</v>
      </c>
      <c r="M38" s="895">
        <f t="shared" si="1"/>
        <v>19.333333333333332</v>
      </c>
      <c r="N38" s="363">
        <f>VLOOKUP(A38,CentralChillerExp!$AV$51:$AW$55,2)</f>
        <v>0.23200000000000001</v>
      </c>
      <c r="O38" s="343">
        <f>30/2000/4950*(1+0.0155)^(A38-$A$5)*1000000+0.25*0.0931*ExposureCalculations!V49</f>
        <v>7.4593943628710839</v>
      </c>
      <c r="P38" s="343">
        <f t="shared" si="2"/>
        <v>73.848004192423744</v>
      </c>
      <c r="Q38" s="315">
        <v>2043</v>
      </c>
      <c r="R38" s="316">
        <v>19.529685292236479</v>
      </c>
      <c r="S38" s="316">
        <v>20.429685292236481</v>
      </c>
      <c r="T38" s="316">
        <v>41.832955326268589</v>
      </c>
      <c r="U38" s="316">
        <v>5.1872864604573046</v>
      </c>
      <c r="V38" s="316">
        <v>38.604708629944426</v>
      </c>
      <c r="W38" s="316">
        <v>131.75787055400033</v>
      </c>
      <c r="X38" s="316">
        <v>9.1825165673422617</v>
      </c>
    </row>
    <row r="39" spans="1:24">
      <c r="A39" s="315">
        <v>2044</v>
      </c>
      <c r="B39" s="363">
        <f t="shared" si="3"/>
        <v>7.1088172559495844</v>
      </c>
      <c r="C39" s="363">
        <f t="shared" si="4"/>
        <v>8.1088172559495852</v>
      </c>
      <c r="D39" s="363">
        <f t="shared" si="5"/>
        <v>38.770162699312451</v>
      </c>
      <c r="E39" s="363">
        <f t="shared" si="12"/>
        <v>4.8176540803256938</v>
      </c>
      <c r="F39" s="1219">
        <f t="shared" si="6"/>
        <v>5.9240143799579865</v>
      </c>
      <c r="G39" s="363">
        <f t="shared" si="7"/>
        <v>36.178656728451692</v>
      </c>
      <c r="H39" s="363">
        <f t="shared" si="8"/>
        <v>5.0176540803256939</v>
      </c>
      <c r="I39" s="316">
        <f t="shared" si="9"/>
        <v>39.66283859217922</v>
      </c>
      <c r="J39" s="363">
        <f t="shared" si="10"/>
        <v>100.70824445928578</v>
      </c>
      <c r="K39" s="363">
        <f t="shared" si="0"/>
        <v>13.108457351396398</v>
      </c>
      <c r="L39" s="363">
        <f t="shared" si="11"/>
        <v>15.402437387890766</v>
      </c>
      <c r="M39" s="895">
        <f t="shared" si="1"/>
        <v>19.333333333333332</v>
      </c>
      <c r="N39" s="363">
        <f>VLOOKUP(A39,CentralChillerExp!$AV$51:$AW$55,2)</f>
        <v>0.23200000000000001</v>
      </c>
      <c r="O39" s="343">
        <f>30/2000/4950*(1+0.0155)^(A39-$A$5)*1000000+0.25*0.0931*ExposureCalculations!V50</f>
        <v>7.6305395856254599</v>
      </c>
      <c r="P39" s="343">
        <f t="shared" si="2"/>
        <v>75.542341897692054</v>
      </c>
      <c r="Q39" s="315">
        <v>2044</v>
      </c>
      <c r="R39" s="316">
        <v>19.870703326829606</v>
      </c>
      <c r="S39" s="316">
        <v>20.770703326829608</v>
      </c>
      <c r="T39" s="316">
        <v>42.361941617440493</v>
      </c>
      <c r="U39" s="316">
        <v>5.2528807605626211</v>
      </c>
      <c r="V39" s="316">
        <v>38.930387102659147</v>
      </c>
      <c r="W39" s="316">
        <v>132.86941118137565</v>
      </c>
      <c r="X39" s="316">
        <v>9.3943194840930229</v>
      </c>
    </row>
    <row r="40" spans="1:24">
      <c r="A40" s="315">
        <v>2045</v>
      </c>
      <c r="B40" s="363">
        <f t="shared" si="3"/>
        <v>7.1443613422293319</v>
      </c>
      <c r="C40" s="363">
        <f t="shared" si="4"/>
        <v>8.1443613422293311</v>
      </c>
      <c r="D40" s="363">
        <f t="shared" si="5"/>
        <v>39.371100221151799</v>
      </c>
      <c r="E40" s="363">
        <f t="shared" si="12"/>
        <v>4.8923277185707423</v>
      </c>
      <c r="F40" s="1219">
        <f t="shared" si="6"/>
        <v>5.9536344518577771</v>
      </c>
      <c r="G40" s="363">
        <f t="shared" si="7"/>
        <v>36.717074060831223</v>
      </c>
      <c r="H40" s="363">
        <f t="shared" si="8"/>
        <v>5.0923277185707425</v>
      </c>
      <c r="I40" s="316">
        <f t="shared" si="9"/>
        <v>39.992978044621033</v>
      </c>
      <c r="J40" s="363">
        <f t="shared" si="10"/>
        <v>101.2117856815822</v>
      </c>
      <c r="K40" s="363">
        <f t="shared" si="0"/>
        <v>13.173999638153377</v>
      </c>
      <c r="L40" s="363">
        <f t="shared" si="11"/>
        <v>15.47944957483022</v>
      </c>
      <c r="M40" s="895">
        <f t="shared" si="1"/>
        <v>19.333333333333332</v>
      </c>
      <c r="N40" s="363">
        <f>VLOOKUP(A40,CentralChillerExp!$AV$51:$AW$55,2)</f>
        <v>0.23200000000000001</v>
      </c>
      <c r="O40" s="343">
        <f>30/2000/4950*(1+0.0155)^(A40-$A$5)*1000000+0.25*0.0931*ExposureCalculations!V51</f>
        <v>7.8177854591443054</v>
      </c>
      <c r="P40" s="343">
        <f t="shared" si="2"/>
        <v>77.396076045528631</v>
      </c>
      <c r="Q40" s="315">
        <v>2045</v>
      </c>
      <c r="R40" s="316">
        <v>20.216565164843498</v>
      </c>
      <c r="S40" s="316">
        <v>21.1165651648435</v>
      </c>
      <c r="T40" s="316">
        <v>42.884981550258765</v>
      </c>
      <c r="U40" s="316">
        <v>5.3177377122320868</v>
      </c>
      <c r="V40" s="316">
        <v>39.254429887734894</v>
      </c>
      <c r="W40" s="316">
        <v>133.97536920683919</v>
      </c>
      <c r="X40" s="316">
        <v>9.6361579704129667</v>
      </c>
    </row>
    <row r="41" spans="1:24">
      <c r="A41" s="315">
        <v>2046</v>
      </c>
      <c r="B41" s="363">
        <f t="shared" si="3"/>
        <v>7.1800831489404757</v>
      </c>
      <c r="C41" s="363">
        <f t="shared" si="4"/>
        <v>8.1800831489404757</v>
      </c>
      <c r="D41" s="363">
        <f t="shared" si="5"/>
        <v>39.981352274579649</v>
      </c>
      <c r="E41" s="363">
        <f t="shared" si="12"/>
        <v>4.9681587982085889</v>
      </c>
      <c r="F41" s="1219">
        <f t="shared" si="6"/>
        <v>5.9834026241170637</v>
      </c>
      <c r="G41" s="363">
        <f t="shared" si="7"/>
        <v>37.263836861862622</v>
      </c>
      <c r="H41" s="363">
        <f t="shared" si="8"/>
        <v>5.168158798208589</v>
      </c>
      <c r="I41" s="316">
        <f t="shared" si="9"/>
        <v>40.322441719736283</v>
      </c>
      <c r="J41" s="363">
        <f t="shared" si="10"/>
        <v>101.71784460999008</v>
      </c>
      <c r="K41" s="363">
        <f t="shared" si="0"/>
        <v>13.239869636344139</v>
      </c>
      <c r="L41" s="363">
        <f t="shared" si="11"/>
        <v>15.556846822704365</v>
      </c>
      <c r="M41" s="895">
        <f t="shared" si="1"/>
        <v>19.333333333333332</v>
      </c>
      <c r="N41" s="363">
        <f>VLOOKUP(A41,CentralChillerExp!$AV$51:$AW$55,2)</f>
        <v>0.23200000000000001</v>
      </c>
      <c r="O41" s="343">
        <f>30/2000/4950*(1+0.0155)^(A41-$A$5)*1000000+0.25*0.0931*ExposureCalculations!V52</f>
        <v>8.0130744497129065</v>
      </c>
      <c r="P41" s="343">
        <f t="shared" si="2"/>
        <v>79.329437052157786</v>
      </c>
      <c r="Q41" s="315">
        <v>2046</v>
      </c>
      <c r="R41" s="316">
        <v>20.567855025126402</v>
      </c>
      <c r="S41" s="316">
        <v>21.467855025126404</v>
      </c>
      <c r="T41" s="316">
        <v>43.46829688684381</v>
      </c>
      <c r="U41" s="316">
        <v>5.3900688139686324</v>
      </c>
      <c r="V41" s="316">
        <v>39.577809375027329</v>
      </c>
      <c r="W41" s="316">
        <v>135.07906339696828</v>
      </c>
      <c r="X41" s="316">
        <v>9.9032604739987367</v>
      </c>
    </row>
    <row r="42" spans="1:24">
      <c r="A42" s="315">
        <v>2047</v>
      </c>
      <c r="B42" s="363">
        <f t="shared" si="3"/>
        <v>7.2159835646851764</v>
      </c>
      <c r="C42" s="363">
        <f t="shared" si="4"/>
        <v>8.2159835646851764</v>
      </c>
      <c r="D42" s="363">
        <f t="shared" si="5"/>
        <v>40.601063234835642</v>
      </c>
      <c r="E42" s="363">
        <f t="shared" si="12"/>
        <v>5.0451652595808225</v>
      </c>
      <c r="F42" s="1219">
        <f t="shared" si="6"/>
        <v>6.0133196372376476</v>
      </c>
      <c r="G42" s="363">
        <f t="shared" si="7"/>
        <v>37.819074486310015</v>
      </c>
      <c r="H42" s="363">
        <f t="shared" si="8"/>
        <v>5.2451652595808227</v>
      </c>
      <c r="I42" s="316">
        <f t="shared" si="9"/>
        <v>40.652647366534225</v>
      </c>
      <c r="J42" s="363">
        <f t="shared" si="10"/>
        <v>102.22643383304001</v>
      </c>
      <c r="K42" s="363">
        <f t="shared" si="0"/>
        <v>13.306068984525856</v>
      </c>
      <c r="L42" s="363">
        <f t="shared" si="11"/>
        <v>15.634631056817883</v>
      </c>
      <c r="M42" s="895">
        <f t="shared" si="1"/>
        <v>19.333333333333332</v>
      </c>
      <c r="N42" s="363">
        <f>VLOOKUP(A42,CentralChillerExp!$AV$51:$AW$55,2)</f>
        <v>0.23200000000000001</v>
      </c>
      <c r="O42" s="343">
        <f>30/2000/4950*(1+0.0155)^(A42-$A$5)*1000000+0.25*0.0931*ExposureCalculations!V53</f>
        <v>8.2173244384804889</v>
      </c>
      <c r="P42" s="343">
        <f t="shared" si="2"/>
        <v>81.35151194095684</v>
      </c>
      <c r="Q42" s="315">
        <v>2047</v>
      </c>
      <c r="R42" s="316">
        <v>20.925351535000445</v>
      </c>
      <c r="S42" s="316">
        <v>21.825351535000447</v>
      </c>
      <c r="T42" s="316">
        <v>44.056658359176694</v>
      </c>
      <c r="U42" s="316">
        <v>5.4630256365379104</v>
      </c>
      <c r="V42" s="316">
        <v>39.901917132051622</v>
      </c>
      <c r="W42" s="316">
        <v>136.18524317169218</v>
      </c>
      <c r="X42" s="316">
        <v>10.188691513561984</v>
      </c>
    </row>
    <row r="43" spans="1:24">
      <c r="A43" s="315">
        <v>2048</v>
      </c>
      <c r="B43" s="363">
        <f t="shared" si="3"/>
        <v>7.2520634825086026</v>
      </c>
      <c r="C43" s="363">
        <f t="shared" si="4"/>
        <v>8.2520634825086034</v>
      </c>
      <c r="D43" s="363">
        <f t="shared" si="5"/>
        <v>41.230379714975598</v>
      </c>
      <c r="E43" s="363">
        <f t="shared" si="12"/>
        <v>5.123365321104326</v>
      </c>
      <c r="F43" s="1219">
        <f t="shared" si="6"/>
        <v>6.043386235423835</v>
      </c>
      <c r="G43" s="363">
        <f t="shared" si="7"/>
        <v>38.382918293936349</v>
      </c>
      <c r="H43" s="363">
        <f t="shared" si="8"/>
        <v>5.3233653211043261</v>
      </c>
      <c r="I43" s="316">
        <f t="shared" si="9"/>
        <v>40.983201361780814</v>
      </c>
      <c r="J43" s="363">
        <f t="shared" si="10"/>
        <v>102.7375660022052</v>
      </c>
      <c r="K43" s="363">
        <f t="shared" si="0"/>
        <v>13.372599329448487</v>
      </c>
      <c r="L43" s="363">
        <f t="shared" si="11"/>
        <v>15.712804212101972</v>
      </c>
      <c r="M43" s="895">
        <f t="shared" si="1"/>
        <v>19.333333333333332</v>
      </c>
      <c r="N43" s="363">
        <f>VLOOKUP(A43,CentralChillerExp!$AV$51:$AW$55,2)</f>
        <v>0.23200000000000001</v>
      </c>
      <c r="O43" s="343">
        <f>30/2000/4950*(1+0.0155)^(A43-$A$5)*1000000+0.25*0.0931*ExposureCalculations!V54</f>
        <v>8.4315136448538652</v>
      </c>
      <c r="P43" s="343">
        <f t="shared" si="2"/>
        <v>83.471985084053259</v>
      </c>
      <c r="Q43" s="315">
        <v>2048</v>
      </c>
      <c r="R43" s="316">
        <v>21.289026543884741</v>
      </c>
      <c r="S43" s="316">
        <v>22.189026543884744</v>
      </c>
      <c r="T43" s="316">
        <v>44.649293330352755</v>
      </c>
      <c r="U43" s="316">
        <v>5.5365123729637418</v>
      </c>
      <c r="V43" s="316">
        <v>40.226366804592651</v>
      </c>
      <c r="W43" s="316">
        <v>137.29258990407473</v>
      </c>
      <c r="X43" s="316">
        <v>10.494710154540609</v>
      </c>
    </row>
    <row r="44" spans="1:24">
      <c r="A44" s="315">
        <v>2049</v>
      </c>
      <c r="B44" s="363">
        <f t="shared" si="3"/>
        <v>7.2883237999211445</v>
      </c>
      <c r="C44" s="363">
        <f t="shared" si="4"/>
        <v>8.2883237999211445</v>
      </c>
      <c r="D44" s="363">
        <f t="shared" si="5"/>
        <v>41.86945060055772</v>
      </c>
      <c r="E44" s="363">
        <f t="shared" si="12"/>
        <v>5.2027774835814435</v>
      </c>
      <c r="F44" s="1219">
        <f t="shared" si="6"/>
        <v>6.0736031666009538</v>
      </c>
      <c r="G44" s="363">
        <f t="shared" si="7"/>
        <v>38.95550168058088</v>
      </c>
      <c r="H44" s="363">
        <f t="shared" si="8"/>
        <v>5.4027774835814437</v>
      </c>
      <c r="I44" s="316">
        <f t="shared" si="9"/>
        <v>41.313677528639801</v>
      </c>
      <c r="J44" s="363">
        <f t="shared" si="10"/>
        <v>103.25125383221621</v>
      </c>
      <c r="K44" s="363">
        <f t="shared" si="0"/>
        <v>13.439462326095727</v>
      </c>
      <c r="L44" s="363">
        <f t="shared" si="11"/>
        <v>15.79136823316248</v>
      </c>
      <c r="M44" s="895">
        <f t="shared" si="1"/>
        <v>19.333333333333332</v>
      </c>
      <c r="N44" s="363">
        <f>VLOOKUP(A44,CentralChillerExp!$AV$51:$AW$55,2)</f>
        <v>0.23200000000000001</v>
      </c>
      <c r="O44" s="343">
        <f>30/2000/4950*(1+0.0155)^(A44-$A$5)*1000000+0.25*0.0931*ExposureCalculations!V55</f>
        <v>8.6566690426011412</v>
      </c>
      <c r="P44" s="343">
        <f t="shared" si="2"/>
        <v>85.701023521751296</v>
      </c>
      <c r="Q44" s="315">
        <v>2049</v>
      </c>
      <c r="R44" s="316">
        <v>21.658840880051859</v>
      </c>
      <c r="S44" s="316">
        <v>22.558840880051861</v>
      </c>
      <c r="T44" s="316">
        <v>45.24535655426962</v>
      </c>
      <c r="U44" s="316">
        <v>5.6104242127294333</v>
      </c>
      <c r="V44" s="316">
        <v>40.55074008599869</v>
      </c>
      <c r="W44" s="316">
        <v>138.39967591351353</v>
      </c>
      <c r="X44" s="316">
        <v>10.82374383745956</v>
      </c>
    </row>
    <row r="45" spans="1:24">
      <c r="A45" s="315">
        <v>2050</v>
      </c>
      <c r="B45" s="363">
        <f t="shared" si="3"/>
        <v>7.3247654189207498</v>
      </c>
      <c r="C45" s="363">
        <f t="shared" si="4"/>
        <v>8.3247654189207498</v>
      </c>
      <c r="D45" s="363">
        <f t="shared" si="5"/>
        <v>42.518427084866367</v>
      </c>
      <c r="E45" s="363">
        <f t="shared" si="12"/>
        <v>5.2834205345769565</v>
      </c>
      <c r="F45" s="1219">
        <f t="shared" si="6"/>
        <v>6.1039711824339582</v>
      </c>
      <c r="G45" s="363">
        <f t="shared" si="7"/>
        <v>39.536960109718422</v>
      </c>
      <c r="H45" s="363">
        <f t="shared" si="8"/>
        <v>5.4834205345769567</v>
      </c>
      <c r="I45" s="316">
        <f t="shared" si="9"/>
        <v>41.643621059045323</v>
      </c>
      <c r="J45" s="363">
        <f t="shared" si="10"/>
        <v>103.76751010137728</v>
      </c>
      <c r="K45" s="363">
        <f t="shared" si="0"/>
        <v>13.506659637726207</v>
      </c>
      <c r="L45" s="363">
        <f t="shared" si="11"/>
        <v>15.870325074328292</v>
      </c>
      <c r="M45" s="895">
        <f t="shared" si="1"/>
        <v>19.333333333333332</v>
      </c>
      <c r="N45" s="363">
        <f>VLOOKUP(A45,CentralChillerExp!$AV$51:$AW$55,2)</f>
        <v>0.23200000000000001</v>
      </c>
      <c r="O45" s="343">
        <f>30/2000/4950*(1+0.0155)^(A45-$A$5)*1000000+0.25*0.0931*ExposureCalculations!V56</f>
        <v>8.8938554520474167</v>
      </c>
      <c r="P45" s="343">
        <f t="shared" si="2"/>
        <v>88.049168975269424</v>
      </c>
      <c r="Q45" s="315">
        <v>2050</v>
      </c>
      <c r="R45" s="316">
        <v>22.034746187955275</v>
      </c>
      <c r="S45" s="316">
        <v>22.934746187955277</v>
      </c>
      <c r="T45" s="316">
        <v>45.843939615596689</v>
      </c>
      <c r="U45" s="316">
        <v>5.6846485123339896</v>
      </c>
      <c r="V45" s="316">
        <v>40.874590567119775</v>
      </c>
      <c r="W45" s="316">
        <v>139.5049776055798</v>
      </c>
      <c r="X45" s="316">
        <v>11.178368514411869</v>
      </c>
    </row>
  </sheetData>
  <dataValidations count="1">
    <dataValidation type="list" allowBlank="1" showInputMessage="1" showErrorMessage="1" sqref="C1">
      <formula1>Growth_Scenarios</formula1>
    </dataValidation>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sheetPr codeName="Sheet55"/>
  <dimension ref="B1:I1"/>
  <sheetViews>
    <sheetView workbookViewId="0"/>
  </sheetViews>
  <sheetFormatPr defaultRowHeight="15"/>
  <cols>
    <col min="1" max="16384" width="9.140625" style="10"/>
  </cols>
  <sheetData>
    <row r="1" spans="2:9">
      <c r="B1" s="1623" t="s">
        <v>221</v>
      </c>
      <c r="C1" s="1623"/>
      <c r="D1" s="1623"/>
      <c r="E1" s="1623"/>
      <c r="F1" s="1623" t="s">
        <v>406</v>
      </c>
      <c r="G1" s="1623"/>
      <c r="H1" s="1623"/>
      <c r="I1" s="1623"/>
    </row>
  </sheetData>
  <mergeCells count="2">
    <mergeCell ref="B1:E1"/>
    <mergeCell ref="F1:I1"/>
  </mergeCells>
  <hyperlinks>
    <hyperlink ref="B1:E1" location="GHGFinExp!A1" display="Return to Financial Exposure"/>
    <hyperlink ref="F1:I1" location="FAQ!A1" display="Return to FAQ"/>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Sheet20"/>
  <dimension ref="A1:BA56"/>
  <sheetViews>
    <sheetView zoomScaleNormal="100" workbookViewId="0">
      <pane xSplit="1" ySplit="2" topLeftCell="B8" activePane="bottomRight" state="frozen"/>
      <selection sqref="A1:N1"/>
      <selection pane="topRight" sqref="A1:N1"/>
      <selection pane="bottomLeft" sqref="A1:N1"/>
      <selection pane="bottomRight" activeCell="F1" sqref="F1"/>
    </sheetView>
  </sheetViews>
  <sheetFormatPr defaultRowHeight="15"/>
  <cols>
    <col min="1" max="1" width="9.140625" style="159"/>
    <col min="2" max="4" width="12.7109375" style="162" customWidth="1"/>
    <col min="5" max="5" width="14.7109375" style="162" hidden="1" customWidth="1"/>
    <col min="6" max="6" width="14.7109375" style="162" customWidth="1"/>
    <col min="7" max="7" width="10.28515625" style="162" customWidth="1"/>
    <col min="8" max="8" width="12.28515625" style="162" customWidth="1"/>
    <col min="9" max="9" width="11.28515625" style="162" customWidth="1"/>
    <col min="10" max="10" width="10.85546875" style="162" customWidth="1"/>
    <col min="11" max="11" width="10.85546875" style="162" bestFit="1" customWidth="1"/>
    <col min="12" max="12" width="95.140625" style="207" customWidth="1"/>
    <col min="13" max="13" width="22.28515625" style="162" bestFit="1" customWidth="1"/>
    <col min="14" max="14" width="30.28515625" style="162" bestFit="1" customWidth="1"/>
    <col min="15" max="15" width="22.28515625" style="162" bestFit="1" customWidth="1"/>
    <col min="16" max="16" width="9.140625" style="167" bestFit="1" customWidth="1"/>
    <col min="17" max="22" width="13.5703125" style="162" customWidth="1"/>
    <col min="23" max="23" width="2" style="162" customWidth="1"/>
    <col min="24" max="26" width="13.5703125" style="162" customWidth="1"/>
    <col min="27" max="27" width="1.28515625" style="162" customWidth="1"/>
    <col min="28" max="30" width="11.28515625" style="162" customWidth="1"/>
    <col min="31" max="31" width="9.140625" style="162"/>
    <col min="32" max="35" width="13.5703125" style="162" customWidth="1"/>
    <col min="36" max="37" width="9.140625" style="162"/>
    <col min="38" max="38" width="9.140625" style="169"/>
    <col min="39" max="40" width="9.140625" style="170"/>
    <col min="41" max="41" width="9.140625" style="162"/>
    <col min="42" max="43" width="10.5703125" style="162" bestFit="1" customWidth="1"/>
    <col min="44" max="47" width="9.140625" style="162"/>
    <col min="48" max="48" width="15.5703125" style="162" bestFit="1" customWidth="1"/>
    <col min="49" max="49" width="24.28515625" style="162" bestFit="1" customWidth="1"/>
    <col min="50" max="50" width="15.5703125" style="162" bestFit="1" customWidth="1"/>
    <col min="51" max="51" width="12.7109375" style="162" bestFit="1" customWidth="1"/>
    <col min="52" max="52" width="24.28515625" style="162" bestFit="1" customWidth="1"/>
    <col min="53" max="53" width="12.7109375" style="162" bestFit="1" customWidth="1"/>
    <col min="54" max="16384" width="9.140625" style="162"/>
  </cols>
  <sheetData>
    <row r="1" spans="1:53" ht="45">
      <c r="B1" s="160" t="s">
        <v>155</v>
      </c>
      <c r="C1" s="161"/>
      <c r="D1" s="161"/>
      <c r="F1" s="163" t="s">
        <v>156</v>
      </c>
      <c r="G1" s="164" t="s">
        <v>157</v>
      </c>
      <c r="H1" s="164"/>
      <c r="I1" s="164"/>
      <c r="J1" s="165" t="s">
        <v>158</v>
      </c>
      <c r="K1" s="166"/>
      <c r="Q1" s="168" t="str">
        <f>"Converted to "&amp;Current_yr&amp;"$ from Values to the right"</f>
        <v>Converted to 2010$ from Values to the right</v>
      </c>
      <c r="R1" s="168"/>
      <c r="X1" s="168" t="s">
        <v>159</v>
      </c>
      <c r="AB1" s="168" t="s">
        <v>159</v>
      </c>
      <c r="AF1" s="168" t="s">
        <v>159</v>
      </c>
    </row>
    <row r="2" spans="1:53" ht="90">
      <c r="A2" s="171"/>
      <c r="B2" s="172" t="s">
        <v>160</v>
      </c>
      <c r="C2" s="172" t="s">
        <v>161</v>
      </c>
      <c r="D2" s="172" t="s">
        <v>162</v>
      </c>
      <c r="E2" s="172" t="s">
        <v>163</v>
      </c>
      <c r="F2" s="172" t="str">
        <f>Current_yr&amp;"$ per MTCO2e"</f>
        <v>2010$ per MTCO2e</v>
      </c>
      <c r="G2" s="172" t="s">
        <v>164</v>
      </c>
      <c r="H2" s="172" t="s">
        <v>165</v>
      </c>
      <c r="I2" s="172" t="s">
        <v>166</v>
      </c>
      <c r="J2" s="172" t="str">
        <f>"Annual Exposure "&amp;Current_yr&amp;"$ MM"</f>
        <v>Annual Exposure 2010$ MM</v>
      </c>
      <c r="K2" s="172" t="str">
        <f>"PV "
&amp;Current_yr&amp;"$ MM"</f>
        <v>PV 2010$ MM</v>
      </c>
      <c r="N2" s="173" t="s">
        <v>167</v>
      </c>
      <c r="O2" s="174" t="str">
        <f>GHGFinExp!D6</f>
        <v>View GHG Pricing Scenarios</v>
      </c>
      <c r="Q2" s="175" t="s">
        <v>168</v>
      </c>
      <c r="R2" s="175" t="s">
        <v>169</v>
      </c>
      <c r="S2" s="175" t="s">
        <v>170</v>
      </c>
      <c r="T2" s="175" t="s">
        <v>171</v>
      </c>
      <c r="U2" s="175" t="s">
        <v>172</v>
      </c>
      <c r="V2" s="175" t="s">
        <v>173</v>
      </c>
      <c r="W2" s="175"/>
      <c r="X2" s="175" t="s">
        <v>174</v>
      </c>
      <c r="Y2" s="175" t="s">
        <v>175</v>
      </c>
      <c r="Z2" s="175" t="s">
        <v>176</v>
      </c>
      <c r="AB2" s="175" t="s">
        <v>177</v>
      </c>
      <c r="AC2" s="175" t="s">
        <v>178</v>
      </c>
      <c r="AD2" s="175" t="s">
        <v>179</v>
      </c>
      <c r="AF2" s="175" t="s">
        <v>168</v>
      </c>
      <c r="AG2" s="175" t="s">
        <v>170</v>
      </c>
      <c r="AH2" s="175" t="s">
        <v>172</v>
      </c>
      <c r="AI2" s="175" t="s">
        <v>173</v>
      </c>
    </row>
    <row r="3" spans="1:53">
      <c r="A3" s="176">
        <v>1990</v>
      </c>
      <c r="B3" s="177"/>
      <c r="C3" s="177"/>
      <c r="D3" s="177"/>
      <c r="E3" s="177"/>
      <c r="F3" s="382" t="s">
        <v>406</v>
      </c>
      <c r="G3" s="177"/>
      <c r="H3" s="177"/>
      <c r="I3" s="177"/>
      <c r="J3" s="177"/>
      <c r="K3" s="177"/>
      <c r="X3" s="167" t="s">
        <v>180</v>
      </c>
      <c r="Y3" s="167"/>
      <c r="Z3" s="167"/>
      <c r="AB3" s="162" t="s">
        <v>181</v>
      </c>
      <c r="AF3" s="162" t="s">
        <v>182</v>
      </c>
    </row>
    <row r="4" spans="1:53">
      <c r="A4" s="178">
        <v>1998</v>
      </c>
      <c r="B4" s="179"/>
      <c r="C4" s="179"/>
      <c r="D4" s="179"/>
      <c r="E4" s="179"/>
      <c r="F4" s="179"/>
      <c r="G4" s="177"/>
      <c r="H4" s="177"/>
      <c r="I4" s="177"/>
      <c r="J4" s="177"/>
      <c r="K4" s="177"/>
      <c r="N4" s="173" t="s">
        <v>183</v>
      </c>
      <c r="O4" s="180" t="str">
        <f>INDEX(LegislativeScenarios,1,P4)</f>
        <v>Moderate</v>
      </c>
      <c r="P4" s="167">
        <v>2</v>
      </c>
      <c r="X4" s="162" t="s">
        <v>184</v>
      </c>
      <c r="Y4" s="167"/>
      <c r="Z4" s="167"/>
      <c r="AB4" s="162" t="s">
        <v>184</v>
      </c>
    </row>
    <row r="5" spans="1:53">
      <c r="A5" s="178">
        <v>1999</v>
      </c>
      <c r="B5" s="179"/>
      <c r="C5" s="179"/>
      <c r="D5" s="179"/>
      <c r="E5" s="179"/>
      <c r="F5" s="179"/>
      <c r="G5" s="177"/>
      <c r="H5" s="177"/>
      <c r="I5" s="177"/>
      <c r="J5" s="177"/>
      <c r="K5" s="177"/>
      <c r="M5" s="1624" t="s">
        <v>185</v>
      </c>
      <c r="N5" s="1625"/>
      <c r="O5" s="1626"/>
      <c r="X5" s="167"/>
      <c r="Y5" s="167"/>
      <c r="Z5" s="167"/>
      <c r="AL5" s="170" t="s">
        <v>186</v>
      </c>
    </row>
    <row r="6" spans="1:53">
      <c r="A6" s="178">
        <v>2000</v>
      </c>
      <c r="B6" s="179"/>
      <c r="C6" s="179"/>
      <c r="D6" s="179"/>
      <c r="E6" s="179"/>
      <c r="F6" s="179"/>
      <c r="G6" s="177"/>
      <c r="H6" s="177"/>
      <c r="I6" s="177"/>
      <c r="J6" s="177"/>
      <c r="K6" s="177"/>
      <c r="M6" s="181" t="s">
        <v>187</v>
      </c>
      <c r="N6" s="182" t="s">
        <v>188</v>
      </c>
      <c r="O6" s="183" t="s">
        <v>189</v>
      </c>
      <c r="X6" s="167"/>
      <c r="Y6" s="167"/>
      <c r="Z6" s="167"/>
      <c r="AL6" s="169">
        <v>1</v>
      </c>
      <c r="AM6" s="170">
        <f ca="1">AK16</f>
        <v>266371.49010856845</v>
      </c>
    </row>
    <row r="7" spans="1:53">
      <c r="A7" s="178">
        <v>2001</v>
      </c>
      <c r="B7" s="179"/>
      <c r="C7" s="179"/>
      <c r="D7" s="179"/>
      <c r="E7" s="179"/>
      <c r="F7" s="179"/>
      <c r="G7" s="177"/>
      <c r="H7" s="177"/>
      <c r="I7" s="177"/>
      <c r="J7" s="177"/>
      <c r="K7" s="177"/>
      <c r="X7" s="167"/>
      <c r="Y7" s="167"/>
      <c r="Z7" s="167"/>
      <c r="AL7" s="169">
        <f t="shared" ref="AL7:AL38" si="0">AL6+($AL$56-$AL$6)/($A$56-$A$6)</f>
        <v>0.98299999999999998</v>
      </c>
      <c r="AX7" s="184">
        <f ca="1">AV14-AX14</f>
        <v>2.384185791015625E-7</v>
      </c>
      <c r="AY7" s="185"/>
      <c r="AZ7" s="186">
        <f ca="1">AW14-AZ14</f>
        <v>-2.384185791015625E-7</v>
      </c>
      <c r="BA7" s="185"/>
    </row>
    <row r="8" spans="1:53">
      <c r="A8" s="178">
        <v>2002</v>
      </c>
      <c r="B8" s="179"/>
      <c r="C8" s="179"/>
      <c r="D8" s="179"/>
      <c r="E8" s="179"/>
      <c r="F8" s="179"/>
      <c r="G8" s="177"/>
      <c r="H8" s="177"/>
      <c r="I8" s="177"/>
      <c r="J8" s="177"/>
      <c r="K8" s="177"/>
      <c r="N8" s="173" t="s">
        <v>190</v>
      </c>
      <c r="O8" s="180" t="str">
        <f>INDEX(TechnologyDevelopments,1,P8)</f>
        <v>Moderate Advances</v>
      </c>
      <c r="P8" s="167">
        <v>2</v>
      </c>
      <c r="X8" s="167"/>
      <c r="Y8" s="167"/>
      <c r="Z8" s="167"/>
      <c r="AL8" s="169">
        <f t="shared" si="0"/>
        <v>0.96599999999999997</v>
      </c>
      <c r="AX8" s="207">
        <v>0</v>
      </c>
      <c r="AY8" s="207">
        <f t="dataTable" ref="AY8:AY9" dt2D="1" dtr="1" r1="AY6" r2="AX12" ca="1"/>
        <v>218159001.97198546</v>
      </c>
      <c r="AZ8" s="207">
        <v>0</v>
      </c>
      <c r="BA8" s="207">
        <f t="dataTable" ref="BA8:BA9" dt2D="1" dtr="1" r1="BA6" r2="AZ12" ca="1"/>
        <v>152231519.23230898</v>
      </c>
    </row>
    <row r="9" spans="1:53">
      <c r="A9" s="178">
        <v>2003</v>
      </c>
      <c r="B9" s="179"/>
      <c r="C9" s="179"/>
      <c r="D9" s="179"/>
      <c r="E9" s="179"/>
      <c r="F9" s="179"/>
      <c r="G9" s="177"/>
      <c r="H9" s="177"/>
      <c r="I9" s="177"/>
      <c r="J9" s="177"/>
      <c r="K9" s="177"/>
      <c r="M9" s="1624" t="s">
        <v>185</v>
      </c>
      <c r="N9" s="1625"/>
      <c r="O9" s="1626"/>
      <c r="X9" s="167"/>
      <c r="Y9" s="167"/>
      <c r="Z9" s="167"/>
      <c r="AL9" s="169">
        <f t="shared" si="0"/>
        <v>0.94899999999999995</v>
      </c>
      <c r="AX9" s="207">
        <v>5</v>
      </c>
      <c r="AY9" s="207">
        <v>200413853.73546782</v>
      </c>
      <c r="AZ9" s="207">
        <v>5</v>
      </c>
      <c r="BA9" s="207">
        <v>141016684.19492665</v>
      </c>
    </row>
    <row r="10" spans="1:53">
      <c r="A10" s="178">
        <v>2004</v>
      </c>
      <c r="B10" s="179"/>
      <c r="C10" s="179"/>
      <c r="D10" s="179"/>
      <c r="E10" s="179"/>
      <c r="F10" s="179"/>
      <c r="G10" s="177"/>
      <c r="H10" s="177"/>
      <c r="I10" s="177"/>
      <c r="J10" s="177"/>
      <c r="K10" s="177"/>
      <c r="M10" s="181" t="s">
        <v>191</v>
      </c>
      <c r="N10" s="182" t="s">
        <v>192</v>
      </c>
      <c r="O10" s="183" t="s">
        <v>193</v>
      </c>
      <c r="AL10" s="169">
        <f t="shared" si="0"/>
        <v>0.93199999999999994</v>
      </c>
      <c r="AX10" s="187" t="s">
        <v>194</v>
      </c>
      <c r="AY10" s="208">
        <f>(AY9-AY8)/(AX9-AX8)</f>
        <v>-3549029.6473035277</v>
      </c>
      <c r="AZ10" s="187" t="s">
        <v>194</v>
      </c>
      <c r="BA10" s="208">
        <f>(BA9-BA8)/(AZ9-AZ8)</f>
        <v>-2242967.0074764667</v>
      </c>
    </row>
    <row r="11" spans="1:53">
      <c r="A11" s="178">
        <v>2005</v>
      </c>
      <c r="B11" s="179"/>
      <c r="C11" s="179"/>
      <c r="D11" s="179"/>
      <c r="E11" s="179"/>
      <c r="F11" s="179"/>
      <c r="G11" s="177"/>
      <c r="H11" s="177"/>
      <c r="I11" s="177"/>
      <c r="J11" s="177"/>
      <c r="K11" s="177"/>
      <c r="AL11" s="169">
        <f t="shared" si="0"/>
        <v>0.91499999999999992</v>
      </c>
    </row>
    <row r="12" spans="1:53">
      <c r="A12" s="178">
        <v>2006</v>
      </c>
      <c r="B12" s="188"/>
      <c r="C12" s="188"/>
      <c r="D12" s="188"/>
      <c r="E12" s="188"/>
      <c r="F12" s="188"/>
      <c r="G12" s="177"/>
      <c r="H12" s="177"/>
      <c r="I12" s="177"/>
      <c r="J12" s="177"/>
      <c r="K12" s="177"/>
      <c r="M12" s="162" t="s">
        <v>195</v>
      </c>
      <c r="N12" s="162" t="s">
        <v>196</v>
      </c>
      <c r="AL12" s="169">
        <f t="shared" si="0"/>
        <v>0.89799999999999991</v>
      </c>
      <c r="AX12" s="189">
        <f>-AY8/AY10</f>
        <v>61.470042138909072</v>
      </c>
      <c r="AZ12" s="189">
        <f>-BA8/BA10</f>
        <v>67.870601183555834</v>
      </c>
    </row>
    <row r="13" spans="1:53">
      <c r="A13" s="178">
        <v>2007</v>
      </c>
      <c r="B13" s="188"/>
      <c r="C13" s="188"/>
      <c r="D13" s="188"/>
      <c r="E13" s="188"/>
      <c r="F13" s="188"/>
      <c r="G13" s="177"/>
      <c r="H13" s="177"/>
      <c r="I13" s="177"/>
      <c r="J13" s="177"/>
      <c r="K13" s="177"/>
      <c r="M13" s="162" t="str">
        <f>M6&amp;M10</f>
        <v>WeakBreakthrough Advances</v>
      </c>
      <c r="N13" s="185" t="str">
        <f>N23</f>
        <v>Low Trend (P10)</v>
      </c>
      <c r="AL13" s="169">
        <f t="shared" si="0"/>
        <v>0.88099999999999989</v>
      </c>
      <c r="AV13" s="162" t="s">
        <v>197</v>
      </c>
      <c r="AW13" s="162" t="s">
        <v>198</v>
      </c>
      <c r="AX13" s="162" t="s">
        <v>197</v>
      </c>
      <c r="AZ13" s="162" t="s">
        <v>198</v>
      </c>
    </row>
    <row r="14" spans="1:53">
      <c r="A14" s="178">
        <v>2008</v>
      </c>
      <c r="B14" s="188"/>
      <c r="C14" s="188"/>
      <c r="D14" s="188"/>
      <c r="E14" s="188"/>
      <c r="F14" s="188"/>
      <c r="G14" s="177"/>
      <c r="H14" s="177"/>
      <c r="I14" s="177"/>
      <c r="J14" s="177"/>
      <c r="K14" s="177"/>
      <c r="M14" s="162" t="str">
        <f>M6&amp;N10</f>
        <v>WeakModerate Advances</v>
      </c>
      <c r="N14" s="185" t="str">
        <f>N24</f>
        <v>P30</v>
      </c>
      <c r="AB14" s="192">
        <v>0</v>
      </c>
      <c r="AC14" s="192">
        <v>0</v>
      </c>
      <c r="AD14" s="192">
        <v>0</v>
      </c>
      <c r="AL14" s="169">
        <f t="shared" si="0"/>
        <v>0.86399999999999988</v>
      </c>
      <c r="AV14" s="186">
        <f ca="1">NPV(DiscountRate,AV15:AV56)</f>
        <v>218159001.97198546</v>
      </c>
      <c r="AW14" s="186">
        <f ca="1">NPV(DiscountRate,AW15:AW56)</f>
        <v>152231519.23230898</v>
      </c>
      <c r="AX14" s="186">
        <f ca="1">NPV(DiscountRate,AX15:AX56)</f>
        <v>218159001.97198522</v>
      </c>
      <c r="AZ14" s="186">
        <f ca="1">NPV(DiscountRate,AZ15:AZ56)</f>
        <v>152231519.23230922</v>
      </c>
    </row>
    <row r="15" spans="1:53">
      <c r="A15" s="178">
        <v>2009</v>
      </c>
      <c r="B15" s="193">
        <f t="shared" ref="B15:B56" si="1">IF($O$2=$N$30,AC15,IF($O$4=$M$6,AD15,IF($O$4=$N$6,AC15,AB15)))</f>
        <v>0</v>
      </c>
      <c r="C15" s="193">
        <f t="shared" ref="C15:C56" si="2">IF($O$2=$N$30,Y15,IF($O$4=$M$6,Z15,IF($O$4=$N$6,Y15,X15)))</f>
        <v>0</v>
      </c>
      <c r="D15" s="193">
        <f>B15+(1-B15)*C15</f>
        <v>0</v>
      </c>
      <c r="E15" s="194">
        <v>0</v>
      </c>
      <c r="F15" s="195">
        <f t="shared" ref="F15:F56" si="3">IF($O$2=$N$30,V15,INDEX(Q15:V15,1,MATCH(VLOOKUP($O$4&amp;$O$8,$M$13:$N$21,2,FALSE),$N$23:$N$28,0)))</f>
        <v>0</v>
      </c>
      <c r="G15" s="190">
        <f ca="1">'GHG Emissions'!W11</f>
        <v>263218.42990122229</v>
      </c>
      <c r="H15" s="191">
        <f ca="1">SUM('GHG Emissions'!I11,'GHG Emissions'!M11,'GHG Emissions'!P11,'GHG Emissions'!T11)</f>
        <v>243792.72635887837</v>
      </c>
      <c r="I15" s="190">
        <f>IF(D15&gt;0,$H$15*D15+H15-$H$15,0)</f>
        <v>0</v>
      </c>
      <c r="J15" s="196">
        <f>I15*F15/1000000</f>
        <v>0</v>
      </c>
      <c r="K15" s="209">
        <f ca="1">NPV(DiscountRate,ExposureCalculations!J16:J56)</f>
        <v>160.78473998705775</v>
      </c>
      <c r="M15" s="162" t="str">
        <f>M6&amp;O10</f>
        <v>WeakMinimal Advances</v>
      </c>
      <c r="N15" s="162" t="str">
        <f>N25</f>
        <v>Mid Trend (unweighted or P50)</v>
      </c>
      <c r="AB15" s="192">
        <v>0</v>
      </c>
      <c r="AC15" s="192">
        <v>0</v>
      </c>
      <c r="AD15" s="192">
        <v>0</v>
      </c>
      <c r="AK15" s="162" t="s">
        <v>199</v>
      </c>
      <c r="AL15" s="169">
        <f t="shared" si="0"/>
        <v>0.84699999999999986</v>
      </c>
      <c r="AM15" s="170" t="s">
        <v>200</v>
      </c>
      <c r="AN15" s="170" t="s">
        <v>201</v>
      </c>
      <c r="AV15" s="186">
        <f t="shared" ref="AV15:AV56" ca="1" si="4">F15*G15</f>
        <v>0</v>
      </c>
      <c r="AW15" s="186">
        <f>F15*I15</f>
        <v>0</v>
      </c>
      <c r="AX15" s="186">
        <f t="shared" ref="AX15:AX56" ca="1" si="5">IF(AV15=0,0,$AX$12*$G15)</f>
        <v>0</v>
      </c>
      <c r="AZ15" s="186">
        <f>$AZ$12*I15</f>
        <v>0</v>
      </c>
    </row>
    <row r="16" spans="1:53">
      <c r="A16" s="178">
        <v>2010</v>
      </c>
      <c r="B16" s="193">
        <f t="shared" si="1"/>
        <v>0</v>
      </c>
      <c r="C16" s="193">
        <f t="shared" si="2"/>
        <v>0</v>
      </c>
      <c r="D16" s="193">
        <f t="shared" ref="D16:D56" si="6">B16+(1-B16)*C16</f>
        <v>0</v>
      </c>
      <c r="E16" s="194">
        <v>0</v>
      </c>
      <c r="F16" s="195">
        <f t="shared" si="3"/>
        <v>0</v>
      </c>
      <c r="G16" s="190">
        <f ca="1">'GHG Emissions'!W12</f>
        <v>266371.49010856845</v>
      </c>
      <c r="H16" s="191">
        <f ca="1">SUM('GHG Emissions'!I12,'GHG Emissions'!M12,'GHG Emissions'!P12,'GHG Emissions'!T12)</f>
        <v>246788.98284264567</v>
      </c>
      <c r="I16" s="190">
        <f t="shared" ref="I16:I56" si="7">IF(D16&gt;0,$H$15*D16+H16-$H$15,0)</f>
        <v>0</v>
      </c>
      <c r="J16" s="196">
        <f t="shared" ref="J16:J56" si="8">I16*F16/1000000</f>
        <v>0</v>
      </c>
      <c r="K16" s="177"/>
      <c r="M16" s="162" t="str">
        <f>N6&amp;M10</f>
        <v>ModerateBreakthrough Advances</v>
      </c>
      <c r="N16" s="162" t="str">
        <f>N24</f>
        <v>P30</v>
      </c>
      <c r="AB16" s="192">
        <v>0</v>
      </c>
      <c r="AC16" s="192">
        <v>0</v>
      </c>
      <c r="AD16" s="192">
        <v>0</v>
      </c>
      <c r="AK16" s="170">
        <f ca="1">G16-I16</f>
        <v>266371.49010856845</v>
      </c>
      <c r="AL16" s="169">
        <f t="shared" si="0"/>
        <v>0.82999999999999985</v>
      </c>
      <c r="AM16" s="170">
        <f ca="1">$AM$6*AL16</f>
        <v>221088.33679011179</v>
      </c>
      <c r="AN16" s="170">
        <f ca="1">$AM$6*(1-B16)</f>
        <v>266371.49010856845</v>
      </c>
      <c r="AV16" s="186">
        <f t="shared" ca="1" si="4"/>
        <v>0</v>
      </c>
      <c r="AW16" s="186">
        <f t="shared" ref="AW16:AW56" si="9">F16*I16</f>
        <v>0</v>
      </c>
      <c r="AX16" s="186">
        <f t="shared" ca="1" si="5"/>
        <v>0</v>
      </c>
      <c r="AZ16" s="186">
        <f t="shared" ref="AZ16:AZ56" si="10">$AZ$12*I16</f>
        <v>0</v>
      </c>
    </row>
    <row r="17" spans="1:52">
      <c r="A17" s="178">
        <v>2011</v>
      </c>
      <c r="B17" s="193">
        <f t="shared" si="1"/>
        <v>0</v>
      </c>
      <c r="C17" s="193">
        <f t="shared" si="2"/>
        <v>0</v>
      </c>
      <c r="D17" s="193">
        <f t="shared" si="6"/>
        <v>0</v>
      </c>
      <c r="E17" s="194">
        <v>0</v>
      </c>
      <c r="F17" s="195">
        <f t="shared" si="3"/>
        <v>0</v>
      </c>
      <c r="G17" s="190">
        <f ca="1">'GHG Emissions'!W13</f>
        <v>269303.67742545606</v>
      </c>
      <c r="H17" s="191">
        <f ca="1">SUM('GHG Emissions'!I13,'GHG Emissions'!M13,'GHG Emissions'!P13,'GHG Emissions'!T13)</f>
        <v>249655.34362340177</v>
      </c>
      <c r="I17" s="190">
        <f t="shared" si="7"/>
        <v>0</v>
      </c>
      <c r="J17" s="196">
        <f t="shared" si="8"/>
        <v>0</v>
      </c>
      <c r="K17" s="177"/>
      <c r="M17" s="162" t="str">
        <f>N6&amp;N10</f>
        <v>ModerateModerate Advances</v>
      </c>
      <c r="N17" s="162" t="str">
        <f>N28</f>
        <v>Mid Trend (weighted or EV)</v>
      </c>
      <c r="AB17" s="192">
        <v>0</v>
      </c>
      <c r="AC17" s="192">
        <v>0</v>
      </c>
      <c r="AD17" s="192">
        <v>0</v>
      </c>
      <c r="AK17" s="170">
        <f t="shared" ref="AK17:AK56" ca="1" si="11">G17-I17</f>
        <v>269303.67742545606</v>
      </c>
      <c r="AL17" s="169">
        <f t="shared" si="0"/>
        <v>0.81299999999999983</v>
      </c>
      <c r="AM17" s="170">
        <f t="shared" ref="AM17:AM56" ca="1" si="12">$AM$6*AL17</f>
        <v>216560.0214582661</v>
      </c>
      <c r="AN17" s="170">
        <f t="shared" ref="AN17:AN56" ca="1" si="13">$AM$6*(1-B17)</f>
        <v>266371.49010856845</v>
      </c>
      <c r="AV17" s="186">
        <f t="shared" ca="1" si="4"/>
        <v>0</v>
      </c>
      <c r="AW17" s="186">
        <f t="shared" si="9"/>
        <v>0</v>
      </c>
      <c r="AX17" s="186">
        <f t="shared" ca="1" si="5"/>
        <v>0</v>
      </c>
      <c r="AZ17" s="186">
        <f t="shared" si="10"/>
        <v>0</v>
      </c>
    </row>
    <row r="18" spans="1:52">
      <c r="A18" s="178">
        <v>2012</v>
      </c>
      <c r="B18" s="193">
        <f t="shared" si="1"/>
        <v>0</v>
      </c>
      <c r="C18" s="193">
        <f t="shared" si="2"/>
        <v>0</v>
      </c>
      <c r="D18" s="193">
        <f t="shared" si="6"/>
        <v>0</v>
      </c>
      <c r="E18" s="194">
        <v>0</v>
      </c>
      <c r="F18" s="195">
        <f t="shared" si="3"/>
        <v>0</v>
      </c>
      <c r="G18" s="190">
        <f ca="1">'GHG Emissions'!W14</f>
        <v>275791.85529217363</v>
      </c>
      <c r="H18" s="191">
        <f ca="1">SUM('GHG Emissions'!I14,'GHG Emissions'!M14,'GHG Emissions'!P14,'GHG Emissions'!T14)</f>
        <v>256090.50665381056</v>
      </c>
      <c r="I18" s="190">
        <f t="shared" si="7"/>
        <v>0</v>
      </c>
      <c r="J18" s="196">
        <f t="shared" si="8"/>
        <v>0</v>
      </c>
      <c r="K18" s="177"/>
      <c r="M18" s="162" t="str">
        <f>N6&amp;O10</f>
        <v>ModerateMinimal Advances</v>
      </c>
      <c r="N18" s="162" t="str">
        <f>N26</f>
        <v>P70</v>
      </c>
      <c r="AB18" s="192">
        <v>0</v>
      </c>
      <c r="AC18" s="192">
        <v>0</v>
      </c>
      <c r="AD18" s="192">
        <v>0</v>
      </c>
      <c r="AK18" s="170">
        <f t="shared" ca="1" si="11"/>
        <v>275791.85529217363</v>
      </c>
      <c r="AL18" s="169">
        <f t="shared" si="0"/>
        <v>0.79599999999999982</v>
      </c>
      <c r="AM18" s="170">
        <f t="shared" ca="1" si="12"/>
        <v>212031.70612642044</v>
      </c>
      <c r="AN18" s="170">
        <f t="shared" ca="1" si="13"/>
        <v>266371.49010856845</v>
      </c>
      <c r="AV18" s="186">
        <f t="shared" ca="1" si="4"/>
        <v>0</v>
      </c>
      <c r="AW18" s="186">
        <f t="shared" si="9"/>
        <v>0</v>
      </c>
      <c r="AX18" s="186">
        <f t="shared" ca="1" si="5"/>
        <v>0</v>
      </c>
      <c r="AZ18" s="186">
        <f t="shared" si="10"/>
        <v>0</v>
      </c>
    </row>
    <row r="19" spans="1:52">
      <c r="A19" s="178">
        <v>2013</v>
      </c>
      <c r="B19" s="193">
        <f t="shared" si="1"/>
        <v>0</v>
      </c>
      <c r="C19" s="193">
        <f t="shared" si="2"/>
        <v>0</v>
      </c>
      <c r="D19" s="193">
        <f t="shared" si="6"/>
        <v>0</v>
      </c>
      <c r="E19" s="194">
        <v>0</v>
      </c>
      <c r="F19" s="195">
        <f t="shared" si="3"/>
        <v>0</v>
      </c>
      <c r="G19" s="190">
        <f ca="1">'GHG Emissions'!W15</f>
        <v>279648.61947465339</v>
      </c>
      <c r="H19" s="191">
        <f ca="1">SUM('GHG Emissions'!I15,'GHG Emissions'!M15,'GHG Emissions'!P15,'GHG Emissions'!T15)</f>
        <v>259903.57209146261</v>
      </c>
      <c r="I19" s="190">
        <f t="shared" si="7"/>
        <v>0</v>
      </c>
      <c r="J19" s="196">
        <f t="shared" si="8"/>
        <v>0</v>
      </c>
      <c r="K19" s="177"/>
      <c r="M19" s="162" t="str">
        <f>O6&amp;M10</f>
        <v>StringentBreakthrough Advances</v>
      </c>
      <c r="N19" s="162" t="str">
        <f>N25</f>
        <v>Mid Trend (unweighted or P50)</v>
      </c>
      <c r="AB19" s="192">
        <v>0</v>
      </c>
      <c r="AC19" s="192">
        <v>0</v>
      </c>
      <c r="AD19" s="192">
        <v>0</v>
      </c>
      <c r="AK19" s="170">
        <f t="shared" ca="1" si="11"/>
        <v>279648.61947465339</v>
      </c>
      <c r="AL19" s="169">
        <f t="shared" si="0"/>
        <v>0.7789999999999998</v>
      </c>
      <c r="AM19" s="170">
        <f t="shared" ca="1" si="12"/>
        <v>207503.39079457478</v>
      </c>
      <c r="AN19" s="170">
        <f t="shared" ca="1" si="13"/>
        <v>266371.49010856845</v>
      </c>
      <c r="AR19" s="197">
        <f>SUM(AR21:AR56)</f>
        <v>-49.918507840404764</v>
      </c>
      <c r="AT19" s="207">
        <v>1.8425437811275114</v>
      </c>
      <c r="AV19" s="186">
        <f t="shared" ca="1" si="4"/>
        <v>0</v>
      </c>
      <c r="AW19" s="186">
        <f t="shared" si="9"/>
        <v>0</v>
      </c>
      <c r="AX19" s="186">
        <f t="shared" ca="1" si="5"/>
        <v>0</v>
      </c>
      <c r="AZ19" s="186">
        <f t="shared" si="10"/>
        <v>0</v>
      </c>
    </row>
    <row r="20" spans="1:52">
      <c r="A20" s="178">
        <v>2014</v>
      </c>
      <c r="B20" s="193">
        <f t="shared" si="1"/>
        <v>0</v>
      </c>
      <c r="C20" s="193">
        <f t="shared" si="2"/>
        <v>0</v>
      </c>
      <c r="D20" s="193">
        <f t="shared" si="6"/>
        <v>0</v>
      </c>
      <c r="E20" s="194">
        <v>0</v>
      </c>
      <c r="F20" s="195">
        <f t="shared" si="3"/>
        <v>0</v>
      </c>
      <c r="G20" s="190">
        <f ca="1">'GHG Emissions'!W16</f>
        <v>282513.6365609222</v>
      </c>
      <c r="H20" s="191">
        <f ca="1">SUM('GHG Emissions'!I16,'GHG Emissions'!M16,'GHG Emissions'!P16,'GHG Emissions'!T16)</f>
        <v>262730.42983066791</v>
      </c>
      <c r="I20" s="190">
        <f t="shared" si="7"/>
        <v>0</v>
      </c>
      <c r="J20" s="196">
        <f t="shared" si="8"/>
        <v>0</v>
      </c>
      <c r="K20" s="177"/>
      <c r="M20" s="162" t="str">
        <f>O6&amp;N10</f>
        <v>StringentModerate Advances</v>
      </c>
      <c r="N20" s="162" t="str">
        <f>N26</f>
        <v>P70</v>
      </c>
      <c r="AB20" s="192">
        <v>0</v>
      </c>
      <c r="AC20" s="192">
        <v>0</v>
      </c>
      <c r="AD20" s="192">
        <v>0</v>
      </c>
      <c r="AK20" s="170">
        <f t="shared" ca="1" si="11"/>
        <v>282513.6365609222</v>
      </c>
      <c r="AL20" s="169">
        <f t="shared" si="0"/>
        <v>0.76199999999999979</v>
      </c>
      <c r="AM20" s="170">
        <f t="shared" ca="1" si="12"/>
        <v>202975.07546272912</v>
      </c>
      <c r="AN20" s="170">
        <f t="shared" ca="1" si="13"/>
        <v>266371.49010856845</v>
      </c>
      <c r="AV20" s="186">
        <f t="shared" ca="1" si="4"/>
        <v>0</v>
      </c>
      <c r="AW20" s="186">
        <f t="shared" si="9"/>
        <v>0</v>
      </c>
      <c r="AX20" s="186">
        <f t="shared" ca="1" si="5"/>
        <v>0</v>
      </c>
      <c r="AZ20" s="186">
        <f t="shared" si="10"/>
        <v>0</v>
      </c>
    </row>
    <row r="21" spans="1:52">
      <c r="A21" s="178">
        <v>2015</v>
      </c>
      <c r="B21" s="193">
        <f t="shared" si="1"/>
        <v>1.0000000000000009E-2</v>
      </c>
      <c r="C21" s="193">
        <f t="shared" si="2"/>
        <v>0.3</v>
      </c>
      <c r="D21" s="193">
        <f t="shared" si="6"/>
        <v>0.307</v>
      </c>
      <c r="E21" s="194">
        <v>31.912741430610833</v>
      </c>
      <c r="F21" s="195">
        <f t="shared" si="3"/>
        <v>33.124875476088235</v>
      </c>
      <c r="G21" s="190">
        <f ca="1">'GHG Emissions'!W17</f>
        <v>287982.71814977459</v>
      </c>
      <c r="H21" s="191">
        <f ca="1">SUM('GHG Emissions'!I17,'GHG Emissions'!M17,'GHG Emissions'!P17,'GHG Emissions'!T17)</f>
        <v>268163.30099144246</v>
      </c>
      <c r="I21" s="190">
        <f t="shared" ca="1" si="7"/>
        <v>99214.941624739731</v>
      </c>
      <c r="J21" s="196">
        <f t="shared" ca="1" si="8"/>
        <v>3.286482586686867</v>
      </c>
      <c r="K21" s="177"/>
      <c r="M21" s="162" t="str">
        <f>O6&amp;O10</f>
        <v>StringentMinimal Advances</v>
      </c>
      <c r="N21" s="162" t="str">
        <f>N27</f>
        <v>High Trend (P90)</v>
      </c>
      <c r="Q21" s="198">
        <f t="shared" ref="Q21:Q56" si="14">AF21*(1+Inflation)^(Current_yr-2008)</f>
        <v>10.379827614657611</v>
      </c>
      <c r="R21" s="198">
        <f>SUM(Q21,S21)/$AT$19</f>
        <v>16.912409439139203</v>
      </c>
      <c r="S21" s="198">
        <f t="shared" ref="S21:S56" si="15">AG21*(1+Inflation)^(Current_yr-2008)</f>
        <v>20.782027221310553</v>
      </c>
      <c r="T21" s="198">
        <f>SUM(S21,U21)/$AT$19</f>
        <v>48.299964280440783</v>
      </c>
      <c r="U21" s="198">
        <f t="shared" ref="U21:U56" si="16">AH21*(1+Inflation)^(Current_yr-2008)</f>
        <v>68.212771592296548</v>
      </c>
      <c r="V21" s="198">
        <f t="shared" ref="V21:V56" si="17">AI21*(1+Inflation)^(Current_yr-2008)</f>
        <v>33.124875476088235</v>
      </c>
      <c r="W21" s="198"/>
      <c r="X21" s="199">
        <v>0.6</v>
      </c>
      <c r="Y21" s="199">
        <v>0.3</v>
      </c>
      <c r="Z21" s="199">
        <v>0</v>
      </c>
      <c r="AB21" s="192">
        <v>5.0000000000000044E-2</v>
      </c>
      <c r="AC21" s="192">
        <v>1.0000000000000009E-2</v>
      </c>
      <c r="AD21" s="192">
        <v>1.0000000000000009E-2</v>
      </c>
      <c r="AF21" s="198">
        <v>10</v>
      </c>
      <c r="AG21" s="198">
        <v>20.021553336746884</v>
      </c>
      <c r="AH21" s="198">
        <v>65.716670955085618</v>
      </c>
      <c r="AI21" s="198">
        <v>31.912741430610833</v>
      </c>
      <c r="AK21" s="170">
        <f t="shared" ca="1" si="11"/>
        <v>188767.77652503486</v>
      </c>
      <c r="AL21" s="169">
        <f t="shared" si="0"/>
        <v>0.74499999999999977</v>
      </c>
      <c r="AM21" s="170">
        <f t="shared" ca="1" si="12"/>
        <v>198446.76013088343</v>
      </c>
      <c r="AN21" s="170">
        <f t="shared" ca="1" si="13"/>
        <v>263707.77520748274</v>
      </c>
      <c r="AP21" s="197">
        <f t="shared" ref="AP21:AP56" si="18">AI21*(1+Inflation)</f>
        <v>32.513160196904664</v>
      </c>
      <c r="AQ21" s="197">
        <f>AVERAGE(Q21:U21)</f>
        <v>32.917400029568938</v>
      </c>
      <c r="AR21" s="197">
        <f>AP21-AQ21</f>
        <v>-0.40423983266427399</v>
      </c>
      <c r="AV21" s="186">
        <f ca="1">F21*G21</f>
        <v>9539391.6779766977</v>
      </c>
      <c r="AW21" s="186">
        <f t="shared" ca="1" si="9"/>
        <v>3286482.5866868668</v>
      </c>
      <c r="AX21" s="186">
        <f t="shared" ca="1" si="5"/>
        <v>17702309.819944218</v>
      </c>
      <c r="AZ21" s="186">
        <f t="shared" ca="1" si="10"/>
        <v>6733777.7344624838</v>
      </c>
    </row>
    <row r="22" spans="1:52">
      <c r="A22" s="178">
        <v>2016</v>
      </c>
      <c r="B22" s="193">
        <f t="shared" si="1"/>
        <v>2.7999999999999914E-2</v>
      </c>
      <c r="C22" s="193">
        <f t="shared" si="2"/>
        <v>0.32</v>
      </c>
      <c r="D22" s="193">
        <f t="shared" si="6"/>
        <v>0.33903999999999995</v>
      </c>
      <c r="E22" s="194">
        <v>33.355829939013205</v>
      </c>
      <c r="F22" s="195">
        <f t="shared" si="3"/>
        <v>34.622776471079234</v>
      </c>
      <c r="G22" s="190">
        <f ca="1">'GHG Emissions'!W18</f>
        <v>290832.72619485745</v>
      </c>
      <c r="H22" s="191">
        <f ca="1">SUM('GHG Emissions'!I18,'GHG Emissions'!M18,'GHG Emissions'!P18,'GHG Emissions'!T18)</f>
        <v>270981.33182517911</v>
      </c>
      <c r="I22" s="190">
        <f t="shared" ca="1" si="7"/>
        <v>109844.09141101484</v>
      </c>
      <c r="J22" s="196">
        <f t="shared" ca="1" si="8"/>
        <v>3.803107423592361</v>
      </c>
      <c r="K22" s="177"/>
      <c r="Q22" s="198">
        <f t="shared" si="14"/>
        <v>10.898818995390492</v>
      </c>
      <c r="R22" s="198">
        <f t="shared" ref="R22:R56" si="19">SUM(Q22,S22)/$AT$19</f>
        <v>17.817229013756101</v>
      </c>
      <c r="S22" s="198">
        <f t="shared" si="15"/>
        <v>21.930205520830476</v>
      </c>
      <c r="T22" s="198">
        <f t="shared" ref="T22:T56" si="20">SUM(S22,U22)/$AT$19</f>
        <v>50.457151341585067</v>
      </c>
      <c r="U22" s="198">
        <f t="shared" si="16"/>
        <v>71.039304897016748</v>
      </c>
      <c r="V22" s="198">
        <f t="shared" si="17"/>
        <v>34.622776471079234</v>
      </c>
      <c r="W22" s="198"/>
      <c r="X22" s="199">
        <v>0.62</v>
      </c>
      <c r="Y22" s="199">
        <v>0.32</v>
      </c>
      <c r="Z22" s="199">
        <v>1.4999999999999999E-2</v>
      </c>
      <c r="AB22" s="192">
        <v>7.0000000000000062E-2</v>
      </c>
      <c r="AC22" s="192">
        <v>2.7999999999999914E-2</v>
      </c>
      <c r="AD22" s="192">
        <v>2.4000000000000021E-2</v>
      </c>
      <c r="AF22" s="198">
        <v>10.5</v>
      </c>
      <c r="AG22" s="198">
        <v>21.127716504522958</v>
      </c>
      <c r="AH22" s="198">
        <v>68.439773312516664</v>
      </c>
      <c r="AI22" s="198">
        <v>33.355829939013205</v>
      </c>
      <c r="AK22" s="170">
        <f t="shared" ca="1" si="11"/>
        <v>180988.6347838426</v>
      </c>
      <c r="AL22" s="169">
        <f t="shared" si="0"/>
        <v>0.72799999999999976</v>
      </c>
      <c r="AM22" s="170">
        <f t="shared" ca="1" si="12"/>
        <v>193918.44479903777</v>
      </c>
      <c r="AN22" s="170">
        <f t="shared" ca="1" si="13"/>
        <v>258913.08838552856</v>
      </c>
      <c r="AP22" s="197">
        <f t="shared" si="18"/>
        <v>33.983399535446523</v>
      </c>
      <c r="AQ22" s="197">
        <f t="shared" ref="AQ22:AQ56" si="21">AVERAGE(Q22:U22)</f>
        <v>34.428541953715772</v>
      </c>
      <c r="AR22" s="197">
        <f t="shared" ref="AR22:AR56" si="22">AP22-AQ22</f>
        <v>-0.44514241826924916</v>
      </c>
      <c r="AV22" s="186">
        <f t="shared" ca="1" si="4"/>
        <v>10069436.46951914</v>
      </c>
      <c r="AW22" s="186">
        <f t="shared" ca="1" si="9"/>
        <v>3803107.4235923612</v>
      </c>
      <c r="AX22" s="186">
        <f t="shared" ca="1" si="5"/>
        <v>17877499.934571691</v>
      </c>
      <c r="AZ22" s="186">
        <f t="shared" ca="1" si="10"/>
        <v>7455184.5205270397</v>
      </c>
    </row>
    <row r="23" spans="1:52">
      <c r="A23" s="178">
        <v>2017</v>
      </c>
      <c r="B23" s="193">
        <f t="shared" si="1"/>
        <v>4.599999999999993E-2</v>
      </c>
      <c r="C23" s="193">
        <f t="shared" si="2"/>
        <v>0.34</v>
      </c>
      <c r="D23" s="193">
        <f t="shared" si="6"/>
        <v>0.37035999999999997</v>
      </c>
      <c r="E23" s="194">
        <v>34.807251780748913</v>
      </c>
      <c r="F23" s="195">
        <f t="shared" si="3"/>
        <v>36.12932732241579</v>
      </c>
      <c r="G23" s="190">
        <f ca="1">'GHG Emissions'!W19</f>
        <v>293677.61173126666</v>
      </c>
      <c r="H23" s="191">
        <f ca="1">SUM('GHG Emissions'!I19,'GHG Emissions'!M19,'GHG Emissions'!P19,'GHG Emissions'!T19)</f>
        <v>273796.35007441172</v>
      </c>
      <c r="I23" s="190">
        <f t="shared" ca="1" si="7"/>
        <v>120294.6978498075</v>
      </c>
      <c r="J23" s="196">
        <f t="shared" ca="1" si="8"/>
        <v>4.3461665137668017</v>
      </c>
      <c r="K23" s="177"/>
      <c r="N23" s="162" t="s">
        <v>202</v>
      </c>
      <c r="Q23" s="198">
        <f t="shared" si="14"/>
        <v>11.443759945160016</v>
      </c>
      <c r="R23" s="198">
        <f t="shared" si="19"/>
        <v>18.736132144651243</v>
      </c>
      <c r="S23" s="198">
        <f t="shared" si="15"/>
        <v>23.078383820350396</v>
      </c>
      <c r="T23" s="198">
        <f t="shared" si="20"/>
        <v>52.614338402729338</v>
      </c>
      <c r="U23" s="198">
        <f t="shared" si="16"/>
        <v>73.865838201736949</v>
      </c>
      <c r="V23" s="198">
        <f t="shared" si="17"/>
        <v>36.12932732241579</v>
      </c>
      <c r="W23" s="198"/>
      <c r="X23" s="199">
        <v>0.64</v>
      </c>
      <c r="Y23" s="199">
        <v>0.34</v>
      </c>
      <c r="Z23" s="199">
        <v>0.03</v>
      </c>
      <c r="AB23" s="192">
        <v>8.9999999999999969E-2</v>
      </c>
      <c r="AC23" s="192">
        <v>4.599999999999993E-2</v>
      </c>
      <c r="AD23" s="192">
        <v>3.8000000000000034E-2</v>
      </c>
      <c r="AF23" s="198">
        <v>11.025</v>
      </c>
      <c r="AG23" s="198">
        <v>22.233879672299029</v>
      </c>
      <c r="AH23" s="198">
        <v>71.162875669947709</v>
      </c>
      <c r="AI23" s="198">
        <v>34.807251780748913</v>
      </c>
      <c r="AK23" s="170">
        <f t="shared" ca="1" si="11"/>
        <v>173382.91388145916</v>
      </c>
      <c r="AL23" s="169">
        <f t="shared" si="0"/>
        <v>0.71099999999999974</v>
      </c>
      <c r="AM23" s="170">
        <f t="shared" ca="1" si="12"/>
        <v>189390.12946719211</v>
      </c>
      <c r="AN23" s="170">
        <f t="shared" ca="1" si="13"/>
        <v>254118.40156357433</v>
      </c>
      <c r="AP23" s="197">
        <f t="shared" si="18"/>
        <v>35.462128993905843</v>
      </c>
      <c r="AQ23" s="197">
        <f t="shared" si="21"/>
        <v>35.947690502925589</v>
      </c>
      <c r="AR23" s="197">
        <f t="shared" si="22"/>
        <v>-0.48556150901974604</v>
      </c>
      <c r="AV23" s="186">
        <f t="shared" ca="1" si="4"/>
        <v>10610374.561504269</v>
      </c>
      <c r="AW23" s="186">
        <f t="shared" ca="1" si="9"/>
        <v>4346166.5137668019</v>
      </c>
      <c r="AX23" s="186">
        <f t="shared" ca="1" si="5"/>
        <v>18052375.168375138</v>
      </c>
      <c r="AZ23" s="186">
        <f t="shared" ca="1" si="10"/>
        <v>8164473.4622606365</v>
      </c>
    </row>
    <row r="24" spans="1:52">
      <c r="A24" s="178">
        <v>2018</v>
      </c>
      <c r="B24" s="193">
        <f t="shared" si="1"/>
        <v>6.3999999999999835E-2</v>
      </c>
      <c r="C24" s="193">
        <f t="shared" si="2"/>
        <v>0.36000000000000004</v>
      </c>
      <c r="D24" s="193">
        <f t="shared" si="6"/>
        <v>0.40095999999999993</v>
      </c>
      <c r="E24" s="194">
        <v>36.267423622484614</v>
      </c>
      <c r="F24" s="195">
        <f t="shared" si="3"/>
        <v>37.644960522915156</v>
      </c>
      <c r="G24" s="190">
        <f ca="1">'GHG Emissions'!W20</f>
        <v>296518.31091099617</v>
      </c>
      <c r="H24" s="191">
        <f ca="1">SUM('GHG Emissions'!I20,'GHG Emissions'!M20,'GHG Emissions'!P20,'GHG Emissions'!T20)</f>
        <v>276608.90629328659</v>
      </c>
      <c r="I24" s="190">
        <f t="shared" ca="1" si="7"/>
        <v>130567.31149526406</v>
      </c>
      <c r="J24" s="196">
        <f t="shared" ca="1" si="8"/>
        <v>4.9152012868223816</v>
      </c>
      <c r="K24" s="177"/>
      <c r="N24" s="162" t="s">
        <v>169</v>
      </c>
      <c r="Q24" s="198">
        <f t="shared" si="14"/>
        <v>12.015947942418018</v>
      </c>
      <c r="R24" s="198">
        <f t="shared" si="19"/>
        <v>19.669823009638545</v>
      </c>
      <c r="S24" s="198">
        <f t="shared" si="15"/>
        <v>24.226562119870316</v>
      </c>
      <c r="T24" s="198">
        <f t="shared" si="20"/>
        <v>54.771525463873616</v>
      </c>
      <c r="U24" s="198">
        <f t="shared" si="16"/>
        <v>76.692371506457135</v>
      </c>
      <c r="V24" s="198">
        <f t="shared" si="17"/>
        <v>37.644960522915156</v>
      </c>
      <c r="W24" s="198"/>
      <c r="X24" s="199">
        <v>0.66</v>
      </c>
      <c r="Y24" s="199">
        <v>0.36000000000000004</v>
      </c>
      <c r="Z24" s="199">
        <v>4.4999999999999998E-2</v>
      </c>
      <c r="AB24" s="192">
        <v>0.10999999999999988</v>
      </c>
      <c r="AC24" s="192">
        <v>6.3999999999999835E-2</v>
      </c>
      <c r="AD24" s="192">
        <v>5.2000000000000046E-2</v>
      </c>
      <c r="AF24" s="198">
        <v>11.576250000000002</v>
      </c>
      <c r="AG24" s="198">
        <v>23.3400428400751</v>
      </c>
      <c r="AH24" s="198">
        <v>73.885978027378741</v>
      </c>
      <c r="AI24" s="198">
        <v>36.267423622484614</v>
      </c>
      <c r="AK24" s="170">
        <f t="shared" ca="1" si="11"/>
        <v>165950.99941573211</v>
      </c>
      <c r="AL24" s="169">
        <f t="shared" si="0"/>
        <v>0.69399999999999973</v>
      </c>
      <c r="AM24" s="170">
        <f t="shared" ca="1" si="12"/>
        <v>184861.81413534645</v>
      </c>
      <c r="AN24" s="170">
        <f t="shared" ca="1" si="13"/>
        <v>249323.71474162012</v>
      </c>
      <c r="AP24" s="197">
        <f t="shared" si="18"/>
        <v>36.94977307827849</v>
      </c>
      <c r="AQ24" s="197">
        <f t="shared" si="21"/>
        <v>37.475246008451528</v>
      </c>
      <c r="AR24" s="197">
        <f t="shared" si="22"/>
        <v>-0.52547293017303787</v>
      </c>
      <c r="AV24" s="186">
        <f t="shared" ca="1" si="4"/>
        <v>11162420.108565932</v>
      </c>
      <c r="AW24" s="186">
        <f t="shared" ca="1" si="9"/>
        <v>4915201.2868223814</v>
      </c>
      <c r="AX24" s="186">
        <f t="shared" ca="1" si="5"/>
        <v>18226993.066657078</v>
      </c>
      <c r="AZ24" s="186">
        <f t="shared" ca="1" si="10"/>
        <v>8861681.9261041731</v>
      </c>
    </row>
    <row r="25" spans="1:52">
      <c r="A25" s="178">
        <v>2019</v>
      </c>
      <c r="B25" s="193">
        <f t="shared" si="1"/>
        <v>8.1999999999999851E-2</v>
      </c>
      <c r="C25" s="193">
        <f t="shared" si="2"/>
        <v>0.38000000000000006</v>
      </c>
      <c r="D25" s="193">
        <f t="shared" si="6"/>
        <v>0.43083999999999995</v>
      </c>
      <c r="E25" s="194">
        <v>37.736782964220325</v>
      </c>
      <c r="F25" s="195">
        <f t="shared" si="3"/>
        <v>39.170130190035501</v>
      </c>
      <c r="G25" s="190">
        <f ca="1">'GHG Emissions'!W21</f>
        <v>299355.50534027134</v>
      </c>
      <c r="H25" s="191">
        <f ca="1">SUM('GHG Emissions'!I21,'GHG Emissions'!M21,'GHG Emissions'!P21,'GHG Emissions'!T21)</f>
        <v>279419.40133692662</v>
      </c>
      <c r="I25" s="190">
        <f t="shared" ca="1" si="7"/>
        <v>140662.33320250741</v>
      </c>
      <c r="J25" s="196">
        <f t="shared" ca="1" si="8"/>
        <v>5.5097619043763677</v>
      </c>
      <c r="K25" s="177"/>
      <c r="N25" s="162" t="s">
        <v>203</v>
      </c>
      <c r="Q25" s="198">
        <f t="shared" si="14"/>
        <v>12.61674533953892</v>
      </c>
      <c r="R25" s="198">
        <f t="shared" si="19"/>
        <v>20.619040995422619</v>
      </c>
      <c r="S25" s="198">
        <f t="shared" si="15"/>
        <v>25.374740419390236</v>
      </c>
      <c r="T25" s="198">
        <f t="shared" si="20"/>
        <v>56.928712525017893</v>
      </c>
      <c r="U25" s="198">
        <f t="shared" si="16"/>
        <v>79.51890481117735</v>
      </c>
      <c r="V25" s="198">
        <f t="shared" si="17"/>
        <v>39.170130190035501</v>
      </c>
      <c r="W25" s="198"/>
      <c r="X25" s="199">
        <v>0.68</v>
      </c>
      <c r="Y25" s="199">
        <v>0.38000000000000006</v>
      </c>
      <c r="Z25" s="199">
        <v>0.06</v>
      </c>
      <c r="AB25" s="192">
        <v>0.12999999999999978</v>
      </c>
      <c r="AC25" s="192">
        <v>8.1999999999999851E-2</v>
      </c>
      <c r="AD25" s="192">
        <v>6.6000000000000059E-2</v>
      </c>
      <c r="AF25" s="198">
        <v>12.155062500000001</v>
      </c>
      <c r="AG25" s="198">
        <v>24.44620600785117</v>
      </c>
      <c r="AH25" s="198">
        <v>76.609080384809801</v>
      </c>
      <c r="AI25" s="198">
        <v>37.736782964220325</v>
      </c>
      <c r="AK25" s="170">
        <f t="shared" ca="1" si="11"/>
        <v>158693.17213776393</v>
      </c>
      <c r="AL25" s="169">
        <f t="shared" si="0"/>
        <v>0.67699999999999971</v>
      </c>
      <c r="AM25" s="170">
        <f t="shared" ca="1" si="12"/>
        <v>180333.49880350076</v>
      </c>
      <c r="AN25" s="170">
        <f t="shared" ca="1" si="13"/>
        <v>244529.02791966588</v>
      </c>
      <c r="AP25" s="197">
        <f t="shared" si="18"/>
        <v>38.446777519860156</v>
      </c>
      <c r="AQ25" s="197">
        <f t="shared" si="21"/>
        <v>39.011628818109401</v>
      </c>
      <c r="AR25" s="197">
        <f t="shared" si="22"/>
        <v>-0.56485129824924485</v>
      </c>
      <c r="AV25" s="186">
        <f t="shared" ca="1" si="4"/>
        <v>11725794.117282296</v>
      </c>
      <c r="AW25" s="186">
        <f t="shared" ca="1" si="9"/>
        <v>5509761.904376368</v>
      </c>
      <c r="AX25" s="186">
        <f t="shared" ca="1" si="5"/>
        <v>18401395.527780898</v>
      </c>
      <c r="AZ25" s="186">
        <f t="shared" ca="1" si="10"/>
        <v>9546837.1183358245</v>
      </c>
    </row>
    <row r="26" spans="1:52">
      <c r="A26" s="178">
        <v>2020</v>
      </c>
      <c r="B26" s="193">
        <f t="shared" si="1"/>
        <v>0.10000000000000009</v>
      </c>
      <c r="C26" s="193">
        <f t="shared" si="2"/>
        <v>0.40000000000000008</v>
      </c>
      <c r="D26" s="193">
        <f t="shared" si="6"/>
        <v>0.46000000000000013</v>
      </c>
      <c r="E26" s="194">
        <v>39.21578918095603</v>
      </c>
      <c r="F26" s="195">
        <f t="shared" si="3"/>
        <v>40.705313147107859</v>
      </c>
      <c r="G26" s="190">
        <f ca="1">'GHG Emissions'!W22</f>
        <v>302189.70957647648</v>
      </c>
      <c r="H26" s="191">
        <f ca="1">SUM('GHG Emissions'!I22,'GHG Emissions'!M22,'GHG Emissions'!P22,'GHG Emissions'!T22)</f>
        <v>282228.13781857025</v>
      </c>
      <c r="I26" s="190">
        <f t="shared" ca="1" si="7"/>
        <v>150580.06558477593</v>
      </c>
      <c r="J26" s="196">
        <f t="shared" ca="1" si="8"/>
        <v>6.1294087233403438</v>
      </c>
      <c r="K26" s="177"/>
      <c r="N26" s="162" t="s">
        <v>171</v>
      </c>
      <c r="Q26" s="198">
        <f t="shared" si="14"/>
        <v>13.247582606515865</v>
      </c>
      <c r="R26" s="198">
        <f t="shared" si="19"/>
        <v>21.584562458043294</v>
      </c>
      <c r="S26" s="198">
        <f t="shared" si="15"/>
        <v>26.522918718910159</v>
      </c>
      <c r="T26" s="198">
        <f t="shared" si="20"/>
        <v>59.085899586162178</v>
      </c>
      <c r="U26" s="198">
        <f t="shared" si="16"/>
        <v>82.345438115897551</v>
      </c>
      <c r="V26" s="198">
        <f t="shared" si="17"/>
        <v>40.705313147107859</v>
      </c>
      <c r="W26" s="198"/>
      <c r="X26" s="199">
        <v>0.70000000000000007</v>
      </c>
      <c r="Y26" s="199">
        <v>0.40000000000000008</v>
      </c>
      <c r="Z26" s="199">
        <v>7.4999999999999997E-2</v>
      </c>
      <c r="AB26" s="192">
        <v>0.15000000000000002</v>
      </c>
      <c r="AC26" s="192">
        <v>0.10000000000000009</v>
      </c>
      <c r="AD26" s="192">
        <v>7.999999999999996E-2</v>
      </c>
      <c r="AF26" s="198">
        <v>12.762815625000002</v>
      </c>
      <c r="AG26" s="198">
        <v>25.552369175627245</v>
      </c>
      <c r="AH26" s="198">
        <v>79.332182742240846</v>
      </c>
      <c r="AI26" s="198">
        <v>39.21578918095603</v>
      </c>
      <c r="AK26" s="170">
        <f t="shared" ca="1" si="11"/>
        <v>151609.64399170055</v>
      </c>
      <c r="AL26" s="169">
        <f t="shared" si="0"/>
        <v>0.6599999999999997</v>
      </c>
      <c r="AM26" s="170">
        <f t="shared" ca="1" si="12"/>
        <v>175805.18347165509</v>
      </c>
      <c r="AN26" s="170">
        <f t="shared" ca="1" si="13"/>
        <v>239734.34109771159</v>
      </c>
      <c r="AP26" s="197">
        <f t="shared" si="18"/>
        <v>39.953610336511261</v>
      </c>
      <c r="AQ26" s="197">
        <f t="shared" si="21"/>
        <v>40.557280297105805</v>
      </c>
      <c r="AR26" s="197">
        <f t="shared" si="22"/>
        <v>-0.60366996059454436</v>
      </c>
      <c r="AV26" s="186">
        <f t="shared" ca="1" si="4"/>
        <v>12300726.758144055</v>
      </c>
      <c r="AW26" s="186">
        <f t="shared" ca="1" si="9"/>
        <v>6129408.7233403437</v>
      </c>
      <c r="AX26" s="186">
        <f t="shared" ca="1" si="5"/>
        <v>18575614.181610703</v>
      </c>
      <c r="AZ26" s="186">
        <f t="shared" ca="1" si="10"/>
        <v>10219959.577498009</v>
      </c>
    </row>
    <row r="27" spans="1:52">
      <c r="A27" s="178">
        <v>2021</v>
      </c>
      <c r="B27" s="193">
        <f t="shared" si="1"/>
        <v>0.12</v>
      </c>
      <c r="C27" s="193">
        <f t="shared" si="2"/>
        <v>0.4200000000000001</v>
      </c>
      <c r="D27" s="193">
        <f t="shared" si="6"/>
        <v>0.48960000000000009</v>
      </c>
      <c r="E27" s="194">
        <v>41.041205841097479</v>
      </c>
      <c r="F27" s="195">
        <f t="shared" si="3"/>
        <v>42.600064172827082</v>
      </c>
      <c r="G27" s="190">
        <f ca="1">'GHG Emissions'!W23</f>
        <v>305021.32337931462</v>
      </c>
      <c r="H27" s="191">
        <f ca="1">SUM('GHG Emissions'!I23,'GHG Emissions'!M23,'GHG Emissions'!P23,'GHG Emissions'!T23)</f>
        <v>285035.35083860211</v>
      </c>
      <c r="I27" s="190">
        <f t="shared" ca="1" si="7"/>
        <v>160603.54330503062</v>
      </c>
      <c r="J27" s="196">
        <f t="shared" ca="1" si="8"/>
        <v>6.8417212511777183</v>
      </c>
      <c r="K27" s="177"/>
      <c r="N27" s="162" t="s">
        <v>204</v>
      </c>
      <c r="Q27" s="198">
        <f t="shared" si="14"/>
        <v>13.909961736841661</v>
      </c>
      <c r="R27" s="198">
        <f t="shared" si="19"/>
        <v>22.754147106057992</v>
      </c>
      <c r="S27" s="198">
        <f t="shared" si="15"/>
        <v>28.015550508286054</v>
      </c>
      <c r="T27" s="198">
        <f t="shared" si="20"/>
        <v>61.811410913637303</v>
      </c>
      <c r="U27" s="198">
        <f t="shared" si="16"/>
        <v>85.874680273353547</v>
      </c>
      <c r="V27" s="198">
        <f t="shared" si="17"/>
        <v>42.600064172827082</v>
      </c>
      <c r="W27" s="198"/>
      <c r="X27" s="199">
        <v>0.72000000000000008</v>
      </c>
      <c r="Y27" s="199">
        <v>0.4200000000000001</v>
      </c>
      <c r="Z27" s="199">
        <v>0.09</v>
      </c>
      <c r="AB27" s="192">
        <v>0.17500000000000004</v>
      </c>
      <c r="AC27" s="192">
        <v>0.12</v>
      </c>
      <c r="AD27" s="192">
        <v>9.199999999999986E-2</v>
      </c>
      <c r="AF27" s="198">
        <v>13.400956406250003</v>
      </c>
      <c r="AG27" s="198">
        <v>26.990381293736135</v>
      </c>
      <c r="AH27" s="198">
        <v>82.7322798233063</v>
      </c>
      <c r="AI27" s="198">
        <v>41.041205841097479</v>
      </c>
      <c r="AK27" s="170">
        <f t="shared" ca="1" si="11"/>
        <v>144417.780074284</v>
      </c>
      <c r="AL27" s="169">
        <f t="shared" si="0"/>
        <v>0.64299999999999968</v>
      </c>
      <c r="AM27" s="170">
        <f t="shared" ca="1" si="12"/>
        <v>171276.86813980943</v>
      </c>
      <c r="AN27" s="170">
        <f t="shared" ca="1" si="13"/>
        <v>234406.91129554025</v>
      </c>
      <c r="AP27" s="197">
        <f t="shared" si="18"/>
        <v>41.813371097783524</v>
      </c>
      <c r="AQ27" s="197">
        <f t="shared" si="21"/>
        <v>42.473150107635306</v>
      </c>
      <c r="AR27" s="197">
        <f t="shared" si="22"/>
        <v>-0.65977900985178195</v>
      </c>
      <c r="AV27" s="186">
        <f t="shared" ca="1" si="4"/>
        <v>12993927.950039444</v>
      </c>
      <c r="AW27" s="186">
        <f t="shared" ca="1" si="9"/>
        <v>6841721.2511777179</v>
      </c>
      <c r="AX27" s="186">
        <f t="shared" ca="1" si="5"/>
        <v>18749673.60139228</v>
      </c>
      <c r="AZ27" s="186">
        <f t="shared" ca="1" si="10"/>
        <v>10900259.036321672</v>
      </c>
    </row>
    <row r="28" spans="1:52">
      <c r="A28" s="178">
        <v>2022</v>
      </c>
      <c r="B28" s="193">
        <f t="shared" si="1"/>
        <v>0.1399999999999999</v>
      </c>
      <c r="C28" s="193">
        <f t="shared" si="2"/>
        <v>0.44000000000000011</v>
      </c>
      <c r="D28" s="193">
        <f t="shared" si="6"/>
        <v>0.51839999999999997</v>
      </c>
      <c r="E28" s="194">
        <v>42.877258180926425</v>
      </c>
      <c r="F28" s="195">
        <f t="shared" si="3"/>
        <v>44.505854850718407</v>
      </c>
      <c r="G28" s="190">
        <f ca="1">'GHG Emissions'!W24</f>
        <v>307850.66465653217</v>
      </c>
      <c r="H28" s="191">
        <f ca="1">SUM('GHG Emissions'!I24,'GHG Emissions'!M24,'GHG Emissions'!P24,'GHG Emissions'!T24)</f>
        <v>287841.22736001626</v>
      </c>
      <c r="I28" s="190">
        <f t="shared" ca="1" si="7"/>
        <v>170430.65034558042</v>
      </c>
      <c r="J28" s="196">
        <f t="shared" ca="1" si="8"/>
        <v>7.5851617863939431</v>
      </c>
      <c r="K28" s="177"/>
      <c r="N28" s="162" t="s">
        <v>205</v>
      </c>
      <c r="Q28" s="198">
        <f t="shared" si="14"/>
        <v>14.605459823683743</v>
      </c>
      <c r="R28" s="198">
        <f t="shared" si="19"/>
        <v>23.941706337285051</v>
      </c>
      <c r="S28" s="198">
        <f t="shared" si="15"/>
        <v>29.508182297661953</v>
      </c>
      <c r="T28" s="198">
        <f t="shared" si="20"/>
        <v>64.536922241112421</v>
      </c>
      <c r="U28" s="198">
        <f t="shared" si="16"/>
        <v>89.403922430809516</v>
      </c>
      <c r="V28" s="198">
        <f t="shared" si="17"/>
        <v>44.505854850718407</v>
      </c>
      <c r="W28" s="198"/>
      <c r="X28" s="199">
        <v>0.7400000000000001</v>
      </c>
      <c r="Y28" s="199">
        <v>0.44000000000000011</v>
      </c>
      <c r="Z28" s="199">
        <v>0.105</v>
      </c>
      <c r="AB28" s="192">
        <v>0.20000000000000007</v>
      </c>
      <c r="AC28" s="192">
        <v>0.1399999999999999</v>
      </c>
      <c r="AD28" s="192">
        <v>0.10399999999999998</v>
      </c>
      <c r="AF28" s="198">
        <v>14.071004226562504</v>
      </c>
      <c r="AG28" s="198">
        <v>28.428393411845029</v>
      </c>
      <c r="AH28" s="198">
        <v>86.132376904371739</v>
      </c>
      <c r="AI28" s="198">
        <v>42.877258180926425</v>
      </c>
      <c r="AK28" s="170">
        <f t="shared" ca="1" si="11"/>
        <v>137420.01431095175</v>
      </c>
      <c r="AL28" s="169">
        <f t="shared" si="0"/>
        <v>0.62599999999999967</v>
      </c>
      <c r="AM28" s="170">
        <f t="shared" ca="1" si="12"/>
        <v>166748.55280796377</v>
      </c>
      <c r="AN28" s="170">
        <f t="shared" ca="1" si="13"/>
        <v>229079.48149336889</v>
      </c>
      <c r="AP28" s="197">
        <f t="shared" si="18"/>
        <v>43.683967642569854</v>
      </c>
      <c r="AQ28" s="197">
        <f t="shared" si="21"/>
        <v>44.399238626110538</v>
      </c>
      <c r="AR28" s="197">
        <f t="shared" si="22"/>
        <v>-0.71527098354068386</v>
      </c>
      <c r="AV28" s="186">
        <f t="shared" ca="1" si="4"/>
        <v>13701156.996900808</v>
      </c>
      <c r="AW28" s="186">
        <f t="shared" ca="1" si="9"/>
        <v>7585161.7863939432</v>
      </c>
      <c r="AX28" s="186">
        <f t="shared" ca="1" si="5"/>
        <v>18923593.328928199</v>
      </c>
      <c r="AZ28" s="186">
        <f t="shared" ca="1" si="10"/>
        <v>11567230.699058941</v>
      </c>
    </row>
    <row r="29" spans="1:52">
      <c r="A29" s="178">
        <v>2023</v>
      </c>
      <c r="B29" s="193">
        <f t="shared" si="1"/>
        <v>0.15999999999999981</v>
      </c>
      <c r="C29" s="193">
        <f t="shared" si="2"/>
        <v>0.46000000000000013</v>
      </c>
      <c r="D29" s="193">
        <f t="shared" si="6"/>
        <v>0.5464</v>
      </c>
      <c r="E29" s="194">
        <v>44.72447798442726</v>
      </c>
      <c r="F29" s="195">
        <f t="shared" si="3"/>
        <v>46.423237163390446</v>
      </c>
      <c r="G29" s="190">
        <f ca="1">'GHG Emissions'!W25</f>
        <v>310677.99116637878</v>
      </c>
      <c r="H29" s="191">
        <f ca="1">SUM('GHG Emissions'!I25,'GHG Emissions'!M25,'GHG Emissions'!P25,'GHG Emissions'!T25)</f>
        <v>290645.91897168942</v>
      </c>
      <c r="I29" s="190">
        <f t="shared" ca="1" si="7"/>
        <v>180061.53829530219</v>
      </c>
      <c r="J29" s="196">
        <f t="shared" ca="1" si="8"/>
        <v>8.3590394962877248</v>
      </c>
      <c r="K29" s="177"/>
      <c r="Q29" s="198">
        <f t="shared" si="14"/>
        <v>15.335732814867931</v>
      </c>
      <c r="R29" s="198">
        <f t="shared" si="19"/>
        <v>25.148138880885078</v>
      </c>
      <c r="S29" s="198">
        <f t="shared" si="15"/>
        <v>31.000814087037849</v>
      </c>
      <c r="T29" s="198">
        <f t="shared" si="20"/>
        <v>67.262433568587568</v>
      </c>
      <c r="U29" s="198">
        <f t="shared" si="16"/>
        <v>92.933164588265541</v>
      </c>
      <c r="V29" s="198">
        <f t="shared" si="17"/>
        <v>46.423237163390446</v>
      </c>
      <c r="W29" s="198"/>
      <c r="X29" s="199">
        <v>0.76000000000000012</v>
      </c>
      <c r="Y29" s="199">
        <v>0.46000000000000013</v>
      </c>
      <c r="Z29" s="199">
        <v>0.12</v>
      </c>
      <c r="AB29" s="192">
        <v>0.22500000000000009</v>
      </c>
      <c r="AC29" s="192">
        <v>0.15999999999999981</v>
      </c>
      <c r="AD29" s="192">
        <v>0.11599999999999999</v>
      </c>
      <c r="AF29" s="198">
        <v>14.774554437890631</v>
      </c>
      <c r="AG29" s="198">
        <v>29.866405529953923</v>
      </c>
      <c r="AH29" s="198">
        <v>89.532473985437221</v>
      </c>
      <c r="AI29" s="198">
        <v>44.72447798442726</v>
      </c>
      <c r="AK29" s="170">
        <f t="shared" ca="1" si="11"/>
        <v>130616.45287107659</v>
      </c>
      <c r="AL29" s="169">
        <f t="shared" si="0"/>
        <v>0.60899999999999965</v>
      </c>
      <c r="AM29" s="170">
        <f t="shared" ca="1" si="12"/>
        <v>162220.23747611808</v>
      </c>
      <c r="AN29" s="170">
        <f t="shared" ca="1" si="13"/>
        <v>223752.05169119756</v>
      </c>
      <c r="AP29" s="197">
        <f t="shared" si="18"/>
        <v>45.565941760045973</v>
      </c>
      <c r="AQ29" s="197">
        <f t="shared" si="21"/>
        <v>46.336056787928797</v>
      </c>
      <c r="AR29" s="197">
        <f t="shared" si="22"/>
        <v>-0.77011502788282371</v>
      </c>
      <c r="AV29" s="186">
        <f t="shared" ca="1" si="4"/>
        <v>14422678.065362524</v>
      </c>
      <c r="AW29" s="186">
        <f t="shared" ca="1" si="9"/>
        <v>8359039.4962877249</v>
      </c>
      <c r="AX29" s="186">
        <f t="shared" ca="1" si="5"/>
        <v>19097389.208628923</v>
      </c>
      <c r="AZ29" s="186">
        <f t="shared" ca="1" si="10"/>
        <v>12220884.85413802</v>
      </c>
    </row>
    <row r="30" spans="1:52">
      <c r="A30" s="178">
        <v>2024</v>
      </c>
      <c r="B30" s="193">
        <f t="shared" si="1"/>
        <v>0.17999999999999972</v>
      </c>
      <c r="C30" s="193">
        <f t="shared" si="2"/>
        <v>0.48000000000000015</v>
      </c>
      <c r="D30" s="193">
        <f t="shared" si="6"/>
        <v>0.5736</v>
      </c>
      <c r="E30" s="194">
        <v>46.583423624783542</v>
      </c>
      <c r="F30" s="195">
        <f t="shared" si="3"/>
        <v>48.352790692582197</v>
      </c>
      <c r="G30" s="190">
        <f ca="1">'GHG Emissions'!W26</f>
        <v>313503.51533850358</v>
      </c>
      <c r="H30" s="191">
        <f ca="1">SUM('GHG Emissions'!I26,'GHG Emissions'!M26,'GHG Emissions'!P26,'GHG Emissions'!T26)</f>
        <v>293449.55060459115</v>
      </c>
      <c r="I30" s="190">
        <f t="shared" ca="1" si="7"/>
        <v>189496.33208516537</v>
      </c>
      <c r="J30" s="196">
        <f t="shared" ca="1" si="8"/>
        <v>9.1626764823260487</v>
      </c>
      <c r="K30" s="177"/>
      <c r="N30" s="162" t="s">
        <v>206</v>
      </c>
      <c r="Q30" s="198">
        <f t="shared" si="14"/>
        <v>16.102519455611329</v>
      </c>
      <c r="R30" s="198">
        <f t="shared" si="19"/>
        <v>26.374388402476736</v>
      </c>
      <c r="S30" s="198">
        <f t="shared" si="15"/>
        <v>32.493445876413737</v>
      </c>
      <c r="T30" s="198">
        <f t="shared" si="20"/>
        <v>69.9879448960627</v>
      </c>
      <c r="U30" s="198">
        <f t="shared" si="16"/>
        <v>96.462406745721538</v>
      </c>
      <c r="V30" s="198">
        <f t="shared" si="17"/>
        <v>48.352790692582197</v>
      </c>
      <c r="W30" s="198"/>
      <c r="X30" s="199">
        <v>0.78000000000000014</v>
      </c>
      <c r="Y30" s="199">
        <v>0.48000000000000015</v>
      </c>
      <c r="Z30" s="199">
        <v>0.13500000000000001</v>
      </c>
      <c r="AB30" s="192">
        <v>0.25000000000000011</v>
      </c>
      <c r="AC30" s="192">
        <v>0.17999999999999972</v>
      </c>
      <c r="AD30" s="192">
        <v>0.12800000000000011</v>
      </c>
      <c r="AF30" s="198">
        <v>15.513282159785163</v>
      </c>
      <c r="AG30" s="198">
        <v>31.30441764806281</v>
      </c>
      <c r="AH30" s="198">
        <v>92.932571066502675</v>
      </c>
      <c r="AI30" s="198">
        <v>46.583423624783542</v>
      </c>
      <c r="AK30" s="170">
        <f t="shared" ca="1" si="11"/>
        <v>124007.18325333821</v>
      </c>
      <c r="AL30" s="169">
        <f t="shared" si="0"/>
        <v>0.59199999999999964</v>
      </c>
      <c r="AM30" s="170">
        <f t="shared" ca="1" si="12"/>
        <v>157691.92214427242</v>
      </c>
      <c r="AN30" s="170">
        <f t="shared" ca="1" si="13"/>
        <v>218424.6218890262</v>
      </c>
      <c r="AP30" s="197">
        <f t="shared" si="18"/>
        <v>47.459862328846334</v>
      </c>
      <c r="AQ30" s="197">
        <f t="shared" si="21"/>
        <v>48.28414107525721</v>
      </c>
      <c r="AR30" s="197">
        <f t="shared" si="22"/>
        <v>-0.82427874641087584</v>
      </c>
      <c r="AV30" s="186">
        <f t="shared" ca="1" si="4"/>
        <v>15158769.858551396</v>
      </c>
      <c r="AW30" s="186">
        <f t="shared" ca="1" si="9"/>
        <v>9162676.4823260494</v>
      </c>
      <c r="AX30" s="186">
        <f t="shared" ca="1" si="5"/>
        <v>19271074.29855394</v>
      </c>
      <c r="AZ30" s="186">
        <f t="shared" ca="1" si="10"/>
        <v>12861229.980698913</v>
      </c>
    </row>
    <row r="31" spans="1:52">
      <c r="A31" s="178">
        <v>2025</v>
      </c>
      <c r="B31" s="193">
        <f t="shared" si="1"/>
        <v>0.19999999999999973</v>
      </c>
      <c r="C31" s="193">
        <f t="shared" si="2"/>
        <v>0.50000000000000011</v>
      </c>
      <c r="D31" s="193">
        <f t="shared" si="6"/>
        <v>0.6</v>
      </c>
      <c r="E31" s="194">
        <v>48.454681393838086</v>
      </c>
      <c r="F31" s="195">
        <f t="shared" si="3"/>
        <v>50.295123999119689</v>
      </c>
      <c r="G31" s="190">
        <f ca="1">'GHG Emissions'!W27</f>
        <v>316327.41470602393</v>
      </c>
      <c r="H31" s="191">
        <f ca="1">SUM('GHG Emissions'!I27,'GHG Emissions'!M27,'GHG Emissions'!P27,'GHG Emissions'!T27)</f>
        <v>296252.22666691325</v>
      </c>
      <c r="I31" s="190">
        <f t="shared" ca="1" si="7"/>
        <v>198735.13612336194</v>
      </c>
      <c r="J31" s="196">
        <f t="shared" ca="1" si="8"/>
        <v>9.9954083143064185</v>
      </c>
      <c r="K31" s="177"/>
      <c r="N31" s="162" t="s">
        <v>207</v>
      </c>
      <c r="Q31" s="198">
        <f t="shared" si="14"/>
        <v>16.907645428391895</v>
      </c>
      <c r="R31" s="198">
        <f t="shared" si="19"/>
        <v>27.621445750959598</v>
      </c>
      <c r="S31" s="198">
        <f t="shared" si="15"/>
        <v>33.986077665789637</v>
      </c>
      <c r="T31" s="198">
        <f t="shared" si="20"/>
        <v>72.713456223537833</v>
      </c>
      <c r="U31" s="198">
        <f t="shared" si="16"/>
        <v>99.991648903177534</v>
      </c>
      <c r="V31" s="198">
        <f t="shared" si="17"/>
        <v>50.295123999119689</v>
      </c>
      <c r="W31" s="198"/>
      <c r="X31" s="199">
        <v>0.80000000000000016</v>
      </c>
      <c r="Y31" s="199">
        <v>0.50000000000000011</v>
      </c>
      <c r="Z31" s="199">
        <v>0.15000000000000002</v>
      </c>
      <c r="AB31" s="192">
        <v>0.27500000000000024</v>
      </c>
      <c r="AC31" s="192">
        <v>0.19999999999999973</v>
      </c>
      <c r="AD31" s="192">
        <v>0.14000000000000012</v>
      </c>
      <c r="AF31" s="198">
        <v>16.288946267774421</v>
      </c>
      <c r="AG31" s="198">
        <v>32.742429766171703</v>
      </c>
      <c r="AH31" s="198">
        <v>96.332668147568128</v>
      </c>
      <c r="AI31" s="198">
        <v>48.454681393838086</v>
      </c>
      <c r="AK31" s="170">
        <f t="shared" ca="1" si="11"/>
        <v>117592.27858266199</v>
      </c>
      <c r="AL31" s="169">
        <f t="shared" si="0"/>
        <v>0.57499999999999962</v>
      </c>
      <c r="AM31" s="170">
        <f t="shared" ca="1" si="12"/>
        <v>153163.60681242676</v>
      </c>
      <c r="AN31" s="170">
        <f t="shared" ca="1" si="13"/>
        <v>213097.19208685483</v>
      </c>
      <c r="AP31" s="197">
        <f t="shared" si="18"/>
        <v>49.366326671537195</v>
      </c>
      <c r="AQ31" s="197">
        <f t="shared" si="21"/>
        <v>50.244054794371301</v>
      </c>
      <c r="AR31" s="197">
        <f t="shared" si="22"/>
        <v>-0.87772812283410673</v>
      </c>
      <c r="AV31" s="186">
        <f t="shared" ca="1" si="4"/>
        <v>15909726.54696043</v>
      </c>
      <c r="AW31" s="186">
        <f t="shared" ca="1" si="9"/>
        <v>9995408.3143064193</v>
      </c>
      <c r="AX31" s="186">
        <f t="shared" ca="1" si="5"/>
        <v>19444659.511671457</v>
      </c>
      <c r="AZ31" s="186">
        <f t="shared" ca="1" si="10"/>
        <v>13488273.164988378</v>
      </c>
    </row>
    <row r="32" spans="1:52">
      <c r="A32" s="178">
        <v>2026</v>
      </c>
      <c r="B32" s="193">
        <f t="shared" si="1"/>
        <v>0.21999999999999964</v>
      </c>
      <c r="C32" s="193">
        <f t="shared" si="2"/>
        <v>0.52000000000000013</v>
      </c>
      <c r="D32" s="193">
        <f t="shared" si="6"/>
        <v>0.62559999999999993</v>
      </c>
      <c r="E32" s="194">
        <v>50.722811025543621</v>
      </c>
      <c r="F32" s="195">
        <f t="shared" si="3"/>
        <v>52.649403457599718</v>
      </c>
      <c r="G32" s="190">
        <f ca="1">'GHG Emissions'!W28</f>
        <v>319149.83943984361</v>
      </c>
      <c r="H32" s="191">
        <f ca="1">SUM('GHG Emissions'!I28,'GHG Emissions'!M28,'GHG Emissions'!P28,'GHG Emissions'!T28)</f>
        <v>299054.0354750253</v>
      </c>
      <c r="I32" s="190">
        <f t="shared" ca="1" si="7"/>
        <v>207778.03872626123</v>
      </c>
      <c r="J32" s="196">
        <f t="shared" ca="1" si="8"/>
        <v>10.939389790527708</v>
      </c>
      <c r="K32" s="177"/>
      <c r="Q32" s="198">
        <f t="shared" si="14"/>
        <v>17.75302769981149</v>
      </c>
      <c r="R32" s="198">
        <f t="shared" si="19"/>
        <v>29.102221790355891</v>
      </c>
      <c r="S32" s="198">
        <f t="shared" si="15"/>
        <v>35.869090077002305</v>
      </c>
      <c r="T32" s="198">
        <f t="shared" si="20"/>
        <v>76.087843398324978</v>
      </c>
      <c r="U32" s="198">
        <f t="shared" si="16"/>
        <v>104.32609259598536</v>
      </c>
      <c r="V32" s="198">
        <f t="shared" si="17"/>
        <v>52.649403457599718</v>
      </c>
      <c r="W32" s="198"/>
      <c r="X32" s="199">
        <v>0.82000000000000017</v>
      </c>
      <c r="Y32" s="199">
        <v>0.52000000000000013</v>
      </c>
      <c r="Z32" s="199">
        <v>0.16500000000000004</v>
      </c>
      <c r="AB32" s="192">
        <v>0.30000000000000027</v>
      </c>
      <c r="AC32" s="192">
        <v>0.21999999999999964</v>
      </c>
      <c r="AD32" s="192">
        <v>0.15200000000000025</v>
      </c>
      <c r="AF32" s="198">
        <v>17.103393581163143</v>
      </c>
      <c r="AG32" s="198">
        <v>34.556537361324459</v>
      </c>
      <c r="AH32" s="198">
        <v>100.50850213414326</v>
      </c>
      <c r="AI32" s="198">
        <v>50.722811025543621</v>
      </c>
      <c r="AK32" s="170">
        <f t="shared" ca="1" si="11"/>
        <v>111371.80071358237</v>
      </c>
      <c r="AL32" s="169">
        <f t="shared" si="0"/>
        <v>0.55799999999999961</v>
      </c>
      <c r="AM32" s="170">
        <f t="shared" ca="1" si="12"/>
        <v>148635.2914805811</v>
      </c>
      <c r="AN32" s="170">
        <f t="shared" ca="1" si="13"/>
        <v>207769.7622846835</v>
      </c>
      <c r="AP32" s="197">
        <f t="shared" si="18"/>
        <v>51.677129778920907</v>
      </c>
      <c r="AQ32" s="197">
        <f t="shared" si="21"/>
        <v>52.627655112296011</v>
      </c>
      <c r="AR32" s="197">
        <f t="shared" si="22"/>
        <v>-0.95052533337510425</v>
      </c>
      <c r="AV32" s="186">
        <f t="shared" ca="1" si="4"/>
        <v>16803048.660096496</v>
      </c>
      <c r="AW32" s="186">
        <f t="shared" ca="1" si="9"/>
        <v>10939389.790527707</v>
      </c>
      <c r="AX32" s="186">
        <f t="shared" ca="1" si="5"/>
        <v>19618154.07899325</v>
      </c>
      <c r="AZ32" s="186">
        <f t="shared" ca="1" si="10"/>
        <v>14102020.401091496</v>
      </c>
    </row>
    <row r="33" spans="1:52">
      <c r="A33" s="178">
        <v>2027</v>
      </c>
      <c r="B33" s="193">
        <f t="shared" si="1"/>
        <v>0.23999999999999955</v>
      </c>
      <c r="C33" s="193">
        <f t="shared" si="2"/>
        <v>0.54000000000000015</v>
      </c>
      <c r="D33" s="193">
        <f t="shared" si="6"/>
        <v>0.65039999999999987</v>
      </c>
      <c r="E33" s="194">
        <v>53.004514779138979</v>
      </c>
      <c r="F33" s="195">
        <f t="shared" si="3"/>
        <v>55.017772620603424</v>
      </c>
      <c r="G33" s="190">
        <f ca="1">'GHG Emissions'!W29</f>
        <v>321970.91791220132</v>
      </c>
      <c r="H33" s="191">
        <f ca="1">SUM('GHG Emissions'!I29,'GHG Emissions'!M29,'GHG Emissions'!P29,'GHG Emissions'!T29)</f>
        <v>301855.05252541415</v>
      </c>
      <c r="I33" s="190">
        <f t="shared" ca="1" si="7"/>
        <v>216625.11539035029</v>
      </c>
      <c r="J33" s="196">
        <f t="shared" ca="1" si="8"/>
        <v>11.91823134245827</v>
      </c>
      <c r="K33" s="177"/>
      <c r="N33" s="162" t="str">
        <f>"Annual Financial Exposure ("&amp;Current_yr&amp;"$MM) - Right Axis"</f>
        <v>Annual Financial Exposure (2010$MM) - Right Axis</v>
      </c>
      <c r="Q33" s="198">
        <f t="shared" si="14"/>
        <v>18.640679084802066</v>
      </c>
      <c r="R33" s="198">
        <f t="shared" si="19"/>
        <v>30.605938458899736</v>
      </c>
      <c r="S33" s="198">
        <f t="shared" si="15"/>
        <v>37.752102488214973</v>
      </c>
      <c r="T33" s="198">
        <f t="shared" si="20"/>
        <v>79.462230573112137</v>
      </c>
      <c r="U33" s="198">
        <f t="shared" si="16"/>
        <v>108.6605362887932</v>
      </c>
      <c r="V33" s="198">
        <f t="shared" si="17"/>
        <v>55.017772620603424</v>
      </c>
      <c r="W33" s="198"/>
      <c r="X33" s="199">
        <v>0.84000000000000019</v>
      </c>
      <c r="Y33" s="199">
        <v>0.54000000000000015</v>
      </c>
      <c r="Z33" s="199">
        <v>0.18000000000000005</v>
      </c>
      <c r="AB33" s="192">
        <v>0.32500000000000029</v>
      </c>
      <c r="AC33" s="192">
        <v>0.23999999999999955</v>
      </c>
      <c r="AD33" s="192">
        <v>0.16400000000000026</v>
      </c>
      <c r="AF33" s="198">
        <v>17.9585632602213</v>
      </c>
      <c r="AG33" s="198">
        <v>36.370644956477214</v>
      </c>
      <c r="AH33" s="198">
        <v>104.6843361207184</v>
      </c>
      <c r="AI33" s="198">
        <v>53.004514779138979</v>
      </c>
      <c r="AK33" s="170">
        <f t="shared" ca="1" si="11"/>
        <v>105345.80252185103</v>
      </c>
      <c r="AL33" s="169">
        <f t="shared" si="0"/>
        <v>0.54099999999999959</v>
      </c>
      <c r="AM33" s="170">
        <f t="shared" ca="1" si="12"/>
        <v>144106.97614873541</v>
      </c>
      <c r="AN33" s="170">
        <f t="shared" ca="1" si="13"/>
        <v>202442.33248251214</v>
      </c>
      <c r="AP33" s="197">
        <f t="shared" si="18"/>
        <v>54.001762397018879</v>
      </c>
      <c r="AQ33" s="197">
        <f t="shared" si="21"/>
        <v>55.024297378764423</v>
      </c>
      <c r="AR33" s="197">
        <f t="shared" si="22"/>
        <v>-1.0225349817455438</v>
      </c>
      <c r="AV33" s="186">
        <f t="shared" ca="1" si="4"/>
        <v>17714122.752140462</v>
      </c>
      <c r="AW33" s="186">
        <f t="shared" ca="1" si="9"/>
        <v>11918231.34245827</v>
      </c>
      <c r="AX33" s="186">
        <f t="shared" ca="1" si="5"/>
        <v>19791565.89156625</v>
      </c>
      <c r="AZ33" s="186">
        <f t="shared" ca="1" si="10"/>
        <v>14702476.813000226</v>
      </c>
    </row>
    <row r="34" spans="1:52">
      <c r="A34" s="178">
        <v>2028</v>
      </c>
      <c r="B34" s="193">
        <f t="shared" si="1"/>
        <v>0.25999999999999945</v>
      </c>
      <c r="C34" s="193">
        <f t="shared" si="2"/>
        <v>0.56000000000000016</v>
      </c>
      <c r="D34" s="193">
        <f t="shared" si="6"/>
        <v>0.67439999999999989</v>
      </c>
      <c r="E34" s="194">
        <v>55.30047136071861</v>
      </c>
      <c r="F34" s="195">
        <f t="shared" si="3"/>
        <v>57.400935973356937</v>
      </c>
      <c r="G34" s="190">
        <f ca="1">'GHG Emissions'!W30</f>
        <v>324790.76088511513</v>
      </c>
      <c r="H34" s="191">
        <f ca="1">SUM('GHG Emissions'!I30,'GHG Emissions'!M30,'GHG Emissions'!P30,'GHG Emissions'!T30)</f>
        <v>304655.34295792313</v>
      </c>
      <c r="I34" s="190">
        <f t="shared" ca="1" si="7"/>
        <v>225276.4312554723</v>
      </c>
      <c r="J34" s="196">
        <f t="shared" ca="1" si="8"/>
        <v>12.931078006801711</v>
      </c>
      <c r="K34" s="177"/>
      <c r="N34" s="162" t="str">
        <f ca="1">"Present Value of Financial Exposure in "&amp;Current_yr&amp;"$ - $"&amp;ROUND(K15,0)&amp;"MM"</f>
        <v>Present Value of Financial Exposure in 2010$ - $161MM</v>
      </c>
      <c r="Q34" s="198">
        <f t="shared" si="14"/>
        <v>19.572713039042171</v>
      </c>
      <c r="R34" s="198">
        <f t="shared" si="19"/>
        <v>32.133742788048522</v>
      </c>
      <c r="S34" s="198">
        <f t="shared" si="15"/>
        <v>39.635114899427649</v>
      </c>
      <c r="T34" s="198">
        <f t="shared" si="20"/>
        <v>82.836617747899282</v>
      </c>
      <c r="U34" s="198">
        <f t="shared" si="16"/>
        <v>112.99497998160102</v>
      </c>
      <c r="V34" s="198">
        <f t="shared" si="17"/>
        <v>57.400935973356937</v>
      </c>
      <c r="W34" s="198"/>
      <c r="X34" s="199">
        <v>0.86000000000000021</v>
      </c>
      <c r="Y34" s="199">
        <v>0.56000000000000016</v>
      </c>
      <c r="Z34" s="199">
        <v>0.19500000000000006</v>
      </c>
      <c r="AB34" s="192">
        <v>0.35000000000000031</v>
      </c>
      <c r="AC34" s="192">
        <v>0.25999999999999945</v>
      </c>
      <c r="AD34" s="192">
        <v>0.17600000000000038</v>
      </c>
      <c r="AF34" s="198">
        <v>18.856491423232367</v>
      </c>
      <c r="AG34" s="198">
        <v>38.184752551629977</v>
      </c>
      <c r="AH34" s="198">
        <v>108.86017010729351</v>
      </c>
      <c r="AI34" s="198">
        <v>55.30047136071861</v>
      </c>
      <c r="AK34" s="170">
        <f t="shared" ca="1" si="11"/>
        <v>99514.329629642831</v>
      </c>
      <c r="AL34" s="169">
        <f t="shared" si="0"/>
        <v>0.52399999999999958</v>
      </c>
      <c r="AM34" s="170">
        <f t="shared" ca="1" si="12"/>
        <v>139578.66081688975</v>
      </c>
      <c r="AN34" s="170">
        <f t="shared" ca="1" si="13"/>
        <v>197114.90268034081</v>
      </c>
      <c r="AP34" s="197">
        <f t="shared" si="18"/>
        <v>56.340916001366786</v>
      </c>
      <c r="AQ34" s="197">
        <f t="shared" si="21"/>
        <v>57.434633691203729</v>
      </c>
      <c r="AR34" s="197">
        <f t="shared" si="22"/>
        <v>-1.093717689836943</v>
      </c>
      <c r="AV34" s="186">
        <f t="shared" ca="1" si="4"/>
        <v>18643293.670304377</v>
      </c>
      <c r="AW34" s="186">
        <f t="shared" ca="1" si="9"/>
        <v>12931078.006801711</v>
      </c>
      <c r="AX34" s="186">
        <f t="shared" ca="1" si="5"/>
        <v>19964901.757936366</v>
      </c>
      <c r="AZ34" s="186">
        <f t="shared" ca="1" si="10"/>
        <v>15289646.821794894</v>
      </c>
    </row>
    <row r="35" spans="1:52">
      <c r="A35" s="178">
        <v>2029</v>
      </c>
      <c r="B35" s="193">
        <f t="shared" si="1"/>
        <v>0.27999999999999947</v>
      </c>
      <c r="C35" s="193">
        <f t="shared" si="2"/>
        <v>0.58000000000000018</v>
      </c>
      <c r="D35" s="193">
        <f t="shared" si="6"/>
        <v>0.69759999999999989</v>
      </c>
      <c r="E35" s="194">
        <v>57.611393411681796</v>
      </c>
      <c r="F35" s="195">
        <f t="shared" si="3"/>
        <v>59.799633225347826</v>
      </c>
      <c r="G35" s="190">
        <f ca="1">'GHG Emissions'!W31</f>
        <v>327609.46471763018</v>
      </c>
      <c r="H35" s="191">
        <f ca="1">SUM('GHG Emissions'!I31,'GHG Emissions'!M31,'GHG Emissions'!P31,'GHG Emissions'!T31)</f>
        <v>307454.96344194375</v>
      </c>
      <c r="I35" s="190">
        <f t="shared" ca="1" si="7"/>
        <v>233732.04299101891</v>
      </c>
      <c r="J35" s="196">
        <f t="shared" ca="1" si="8"/>
        <v>13.977090443874161</v>
      </c>
      <c r="K35" s="177"/>
      <c r="Q35" s="198">
        <f t="shared" si="14"/>
        <v>20.551348690994281</v>
      </c>
      <c r="R35" s="198">
        <f t="shared" si="19"/>
        <v>33.686839160832477</v>
      </c>
      <c r="S35" s="198">
        <f t="shared" si="15"/>
        <v>41.518127310640317</v>
      </c>
      <c r="T35" s="198">
        <f t="shared" si="20"/>
        <v>86.211004922686442</v>
      </c>
      <c r="U35" s="198">
        <f t="shared" si="16"/>
        <v>117.32942367440886</v>
      </c>
      <c r="V35" s="198">
        <f t="shared" si="17"/>
        <v>59.799633225347826</v>
      </c>
      <c r="W35" s="198"/>
      <c r="X35" s="199">
        <v>0.88000000000000023</v>
      </c>
      <c r="Y35" s="199">
        <v>0.58000000000000018</v>
      </c>
      <c r="Z35" s="199">
        <v>0.21000000000000008</v>
      </c>
      <c r="AB35" s="192">
        <v>0.37500000000000033</v>
      </c>
      <c r="AC35" s="192">
        <v>0.27999999999999947</v>
      </c>
      <c r="AD35" s="192">
        <v>0.18800000000000039</v>
      </c>
      <c r="AF35" s="198">
        <v>19.799315994393986</v>
      </c>
      <c r="AG35" s="198">
        <v>39.998860146782732</v>
      </c>
      <c r="AH35" s="198">
        <v>113.03600409386866</v>
      </c>
      <c r="AI35" s="198">
        <v>57.611393411681796</v>
      </c>
      <c r="AK35" s="170">
        <f t="shared" ca="1" si="11"/>
        <v>93877.421726611268</v>
      </c>
      <c r="AL35" s="169">
        <f t="shared" si="0"/>
        <v>0.50699999999999956</v>
      </c>
      <c r="AM35" s="170">
        <f t="shared" ca="1" si="12"/>
        <v>135050.34548504409</v>
      </c>
      <c r="AN35" s="170">
        <f t="shared" ca="1" si="13"/>
        <v>191787.47287816941</v>
      </c>
      <c r="AP35" s="197">
        <f t="shared" si="18"/>
        <v>58.695316641277195</v>
      </c>
      <c r="AQ35" s="197">
        <f t="shared" si="21"/>
        <v>59.859348751912478</v>
      </c>
      <c r="AR35" s="197">
        <f t="shared" si="22"/>
        <v>-1.1640321106352829</v>
      </c>
      <c r="AV35" s="186">
        <f t="shared" ca="1" si="4"/>
        <v>19590925.831266813</v>
      </c>
      <c r="AW35" s="186">
        <f t="shared" ca="1" si="9"/>
        <v>13977090.443874162</v>
      </c>
      <c r="AX35" s="186">
        <f t="shared" ca="1" si="5"/>
        <v>20138167.601298172</v>
      </c>
      <c r="AZ35" s="186">
        <f t="shared" ca="1" si="10"/>
        <v>15863534.273661172</v>
      </c>
    </row>
    <row r="36" spans="1:52">
      <c r="A36" s="178">
        <v>2030</v>
      </c>
      <c r="B36" s="193">
        <f t="shared" si="1"/>
        <v>0.29999999999999993</v>
      </c>
      <c r="C36" s="193">
        <f t="shared" si="2"/>
        <v>0.6000000000000002</v>
      </c>
      <c r="D36" s="193">
        <f t="shared" si="6"/>
        <v>0.7200000000000002</v>
      </c>
      <c r="E36" s="194">
        <v>59.938029205497656</v>
      </c>
      <c r="F36" s="195">
        <f t="shared" si="3"/>
        <v>62.214641071537898</v>
      </c>
      <c r="G36" s="190">
        <f ca="1">'GHG Emissions'!W32</f>
        <v>330427.11385898734</v>
      </c>
      <c r="H36" s="191">
        <f ca="1">SUM('GHG Emissions'!I32,'GHG Emissions'!M32,'GHG Emissions'!P32,'GHG Emissions'!T32)</f>
        <v>310253.96364265791</v>
      </c>
      <c r="I36" s="190">
        <f t="shared" ca="1" si="7"/>
        <v>241992.00026217202</v>
      </c>
      <c r="J36" s="196">
        <f t="shared" ca="1" si="8"/>
        <v>15.055445438494537</v>
      </c>
      <c r="K36" s="177"/>
      <c r="Q36" s="198">
        <f t="shared" si="14"/>
        <v>21.578916125543998</v>
      </c>
      <c r="R36" s="198">
        <f t="shared" si="19"/>
        <v>35.266492179433378</v>
      </c>
      <c r="S36" s="198">
        <f t="shared" si="15"/>
        <v>43.401139721852978</v>
      </c>
      <c r="T36" s="198">
        <f t="shared" si="20"/>
        <v>89.585392097473601</v>
      </c>
      <c r="U36" s="198">
        <f t="shared" si="16"/>
        <v>121.66386736721671</v>
      </c>
      <c r="V36" s="198">
        <f t="shared" si="17"/>
        <v>62.214641071537898</v>
      </c>
      <c r="W36" s="198"/>
      <c r="X36" s="199">
        <v>0.90000000000000024</v>
      </c>
      <c r="Y36" s="199">
        <v>0.6000000000000002</v>
      </c>
      <c r="Z36" s="199">
        <v>0.22500000000000009</v>
      </c>
      <c r="AB36" s="192">
        <v>0.4</v>
      </c>
      <c r="AC36" s="192">
        <v>0.29999999999999993</v>
      </c>
      <c r="AD36" s="192">
        <v>0.19999999999999996</v>
      </c>
      <c r="AF36" s="198">
        <v>20.789281794113688</v>
      </c>
      <c r="AG36" s="198">
        <v>41.812967741935481</v>
      </c>
      <c r="AH36" s="198">
        <v>117.2118380804438</v>
      </c>
      <c r="AI36" s="198">
        <v>59.938029205497656</v>
      </c>
      <c r="AK36" s="170">
        <f t="shared" ca="1" si="11"/>
        <v>88435.113596815325</v>
      </c>
      <c r="AL36" s="169">
        <f t="shared" si="0"/>
        <v>0.48999999999999955</v>
      </c>
      <c r="AM36" s="170">
        <f t="shared" ca="1" si="12"/>
        <v>130522.03015319842</v>
      </c>
      <c r="AN36" s="170">
        <f t="shared" ca="1" si="13"/>
        <v>186460.04307599794</v>
      </c>
      <c r="AP36" s="197">
        <f t="shared" si="18"/>
        <v>61.065726668528171</v>
      </c>
      <c r="AQ36" s="197">
        <f t="shared" si="21"/>
        <v>62.299161498304137</v>
      </c>
      <c r="AR36" s="197">
        <f t="shared" si="22"/>
        <v>-1.2334348297759661</v>
      </c>
      <c r="AV36" s="186">
        <f t="shared" ca="1" si="4"/>
        <v>20557404.289041083</v>
      </c>
      <c r="AW36" s="186">
        <f t="shared" ca="1" si="9"/>
        <v>15055445.438494537</v>
      </c>
      <c r="AX36" s="186">
        <f t="shared" ca="1" si="5"/>
        <v>20311368.612750057</v>
      </c>
      <c r="AZ36" s="186">
        <f t="shared" ca="1" si="10"/>
        <v>16424142.539404817</v>
      </c>
    </row>
    <row r="37" spans="1:52">
      <c r="A37" s="178">
        <v>2031</v>
      </c>
      <c r="B37" s="193">
        <f t="shared" si="1"/>
        <v>0.32000000000000006</v>
      </c>
      <c r="C37" s="193">
        <f t="shared" si="2"/>
        <v>0.62000000000000022</v>
      </c>
      <c r="D37" s="193">
        <f t="shared" si="6"/>
        <v>0.74160000000000015</v>
      </c>
      <c r="E37" s="194">
        <v>62.771523333235642</v>
      </c>
      <c r="F37" s="195">
        <f t="shared" si="3"/>
        <v>65.155759130844388</v>
      </c>
      <c r="G37" s="190">
        <f ca="1">'GHG Emissions'!W33</f>
        <v>333243.78281291976</v>
      </c>
      <c r="H37" s="191">
        <f ca="1">SUM('GHG Emissions'!I33,'GHG Emissions'!M33,'GHG Emissions'!P33,'GHG Emissions'!T33)</f>
        <v>313052.38737624756</v>
      </c>
      <c r="I37" s="190">
        <f t="shared" ca="1" si="7"/>
        <v>250056.34688511345</v>
      </c>
      <c r="J37" s="196">
        <f t="shared" ca="1" si="8"/>
        <v>16.292611106785323</v>
      </c>
      <c r="K37" s="177"/>
      <c r="Q37" s="198">
        <f t="shared" si="14"/>
        <v>22.657861931821198</v>
      </c>
      <c r="R37" s="198">
        <f t="shared" si="19"/>
        <v>37.17314093168698</v>
      </c>
      <c r="S37" s="198">
        <f t="shared" si="15"/>
        <v>45.835277716835201</v>
      </c>
      <c r="T37" s="198">
        <f t="shared" si="20"/>
        <v>93.788498938659885</v>
      </c>
      <c r="U37" s="198">
        <f t="shared" si="16"/>
        <v>126.97413774387675</v>
      </c>
      <c r="V37" s="198">
        <f t="shared" si="17"/>
        <v>65.155759130844388</v>
      </c>
      <c r="W37" s="198"/>
      <c r="X37" s="199">
        <v>0.92000000000000026</v>
      </c>
      <c r="Y37" s="199">
        <v>0.62000000000000022</v>
      </c>
      <c r="Z37" s="199">
        <v>0.2400000000000001</v>
      </c>
      <c r="AB37" s="192">
        <v>0.42000000000000004</v>
      </c>
      <c r="AC37" s="192">
        <v>0.32000000000000006</v>
      </c>
      <c r="AD37" s="192">
        <v>0.21499999999999986</v>
      </c>
      <c r="AF37" s="198">
        <v>21.828745883819373</v>
      </c>
      <c r="AG37" s="198">
        <v>44.158033657620742</v>
      </c>
      <c r="AH37" s="198">
        <v>122.3277904582668</v>
      </c>
      <c r="AI37" s="198">
        <v>62.771523333235642</v>
      </c>
      <c r="AK37" s="170">
        <f t="shared" ca="1" si="11"/>
        <v>83187.435927806306</v>
      </c>
      <c r="AL37" s="169">
        <f t="shared" si="0"/>
        <v>0.47299999999999953</v>
      </c>
      <c r="AM37" s="170">
        <f t="shared" ca="1" si="12"/>
        <v>125993.71482135275</v>
      </c>
      <c r="AN37" s="170">
        <f t="shared" ca="1" si="13"/>
        <v>181132.61327382654</v>
      </c>
      <c r="AP37" s="197">
        <f t="shared" si="18"/>
        <v>63.95253126011886</v>
      </c>
      <c r="AQ37" s="197">
        <f t="shared" si="21"/>
        <v>65.285783452575998</v>
      </c>
      <c r="AR37" s="197">
        <f t="shared" si="22"/>
        <v>-1.3332521924571381</v>
      </c>
      <c r="AV37" s="186">
        <f t="shared" ca="1" si="4"/>
        <v>21712751.644810021</v>
      </c>
      <c r="AW37" s="186">
        <f t="shared" ca="1" si="9"/>
        <v>16292611.106785322</v>
      </c>
      <c r="AX37" s="186">
        <f t="shared" ca="1" si="5"/>
        <v>20484509.372039642</v>
      </c>
      <c r="AZ37" s="186">
        <f t="shared" ca="1" si="10"/>
        <v>16971474.59285643</v>
      </c>
    </row>
    <row r="38" spans="1:52">
      <c r="A38" s="178">
        <v>2032</v>
      </c>
      <c r="B38" s="193">
        <f t="shared" si="1"/>
        <v>0.34000000000000008</v>
      </c>
      <c r="C38" s="193">
        <f t="shared" si="2"/>
        <v>0.64000000000000024</v>
      </c>
      <c r="D38" s="193">
        <f t="shared" si="6"/>
        <v>0.76240000000000019</v>
      </c>
      <c r="E38" s="194">
        <v>65.62234186246873</v>
      </c>
      <c r="F38" s="195">
        <f t="shared" si="3"/>
        <v>68.114859620255501</v>
      </c>
      <c r="G38" s="190">
        <f ca="1">'GHG Emissions'!W34</f>
        <v>336059.53770405636</v>
      </c>
      <c r="H38" s="191">
        <f ca="1">SUM('GHG Emissions'!I34,'GHG Emissions'!M34,'GHG Emissions'!P34,'GHG Emissions'!T34)</f>
        <v>315850.27353110275</v>
      </c>
      <c r="I38" s="190">
        <f t="shared" ca="1" si="7"/>
        <v>257925.12174823327</v>
      </c>
      <c r="J38" s="196">
        <f t="shared" ca="1" si="8"/>
        <v>17.568533460418216</v>
      </c>
      <c r="K38" s="177"/>
      <c r="N38" s="162" t="s">
        <v>208</v>
      </c>
      <c r="Q38" s="198">
        <f t="shared" si="14"/>
        <v>23.79075502841226</v>
      </c>
      <c r="R38" s="198">
        <f t="shared" si="19"/>
        <v>39.109068385953776</v>
      </c>
      <c r="S38" s="198">
        <f t="shared" si="15"/>
        <v>48.269415711817437</v>
      </c>
      <c r="T38" s="198">
        <f t="shared" si="20"/>
        <v>97.991605779846154</v>
      </c>
      <c r="U38" s="198">
        <f t="shared" si="16"/>
        <v>132.2844081205368</v>
      </c>
      <c r="V38" s="198">
        <f t="shared" si="17"/>
        <v>68.114859620255501</v>
      </c>
      <c r="W38" s="198"/>
      <c r="X38" s="199">
        <v>0.94000000000000028</v>
      </c>
      <c r="Y38" s="199">
        <v>0.64000000000000024</v>
      </c>
      <c r="Z38" s="199">
        <v>0.25500000000000012</v>
      </c>
      <c r="AB38" s="192">
        <v>0.44000000000000006</v>
      </c>
      <c r="AC38" s="192">
        <v>0.34000000000000008</v>
      </c>
      <c r="AD38" s="192">
        <v>0.22999999999999987</v>
      </c>
      <c r="AF38" s="198">
        <v>22.920183178010344</v>
      </c>
      <c r="AG38" s="198">
        <v>46.503099573306017</v>
      </c>
      <c r="AH38" s="198">
        <v>127.44374283608981</v>
      </c>
      <c r="AI38" s="198">
        <v>65.62234186246873</v>
      </c>
      <c r="AK38" s="170">
        <f t="shared" ca="1" si="11"/>
        <v>78134.415955823089</v>
      </c>
      <c r="AL38" s="169">
        <f t="shared" si="0"/>
        <v>0.45599999999999952</v>
      </c>
      <c r="AM38" s="170">
        <f t="shared" ca="1" si="12"/>
        <v>121465.39948950708</v>
      </c>
      <c r="AN38" s="170">
        <f t="shared" ca="1" si="13"/>
        <v>175805.18347165515</v>
      </c>
      <c r="AP38" s="197">
        <f t="shared" si="18"/>
        <v>66.856986201252553</v>
      </c>
      <c r="AQ38" s="197">
        <f t="shared" si="21"/>
        <v>68.289050605313292</v>
      </c>
      <c r="AR38" s="197">
        <f t="shared" si="22"/>
        <v>-1.4320644040607391</v>
      </c>
      <c r="AV38" s="186">
        <f t="shared" ca="1" si="4"/>
        <v>22890648.234759759</v>
      </c>
      <c r="AW38" s="186">
        <f t="shared" ca="1" si="9"/>
        <v>17568533.460418217</v>
      </c>
      <c r="AX38" s="186">
        <f t="shared" ca="1" si="5"/>
        <v>20657593.943850648</v>
      </c>
      <c r="AZ38" s="186">
        <f t="shared" ca="1" si="10"/>
        <v>17505533.073394425</v>
      </c>
    </row>
    <row r="39" spans="1:52">
      <c r="A39" s="178">
        <v>2033</v>
      </c>
      <c r="B39" s="193">
        <f t="shared" si="1"/>
        <v>0.36000000000000021</v>
      </c>
      <c r="C39" s="193">
        <f t="shared" si="2"/>
        <v>0.65</v>
      </c>
      <c r="D39" s="193">
        <f t="shared" si="6"/>
        <v>0.77600000000000002</v>
      </c>
      <c r="E39" s="194">
        <v>68.49135101327164</v>
      </c>
      <c r="F39" s="195">
        <f t="shared" si="3"/>
        <v>71.092841661276452</v>
      </c>
      <c r="G39" s="190">
        <f ca="1">'GHG Emissions'!W35</f>
        <v>338874.43754072115</v>
      </c>
      <c r="H39" s="191">
        <f ca="1">SUM('GHG Emissions'!I35,'GHG Emissions'!M35,'GHG Emissions'!P35,'GHG Emissions'!T35)</f>
        <v>318647.65681047831</v>
      </c>
      <c r="I39" s="190">
        <f t="shared" ca="1" si="7"/>
        <v>264038.08610608958</v>
      </c>
      <c r="J39" s="196">
        <f t="shared" ca="1" si="8"/>
        <v>18.771217848086703</v>
      </c>
      <c r="K39" s="177"/>
      <c r="N39" s="162" t="s">
        <v>213</v>
      </c>
      <c r="O39" s="200">
        <f ca="1">P39/SUM($P$39:$P$45)</f>
        <v>2.1618367601403579E-2</v>
      </c>
      <c r="P39" s="201">
        <f ca="1">NPV(DiscountRate,'GHG Emissions'!C12:C52)+NPV(DiscountRate,'GHG Emissions'!E12:E52)</f>
        <v>99381.333316138742</v>
      </c>
      <c r="Q39" s="198">
        <f t="shared" si="14"/>
        <v>24.980292779832876</v>
      </c>
      <c r="R39" s="198">
        <f t="shared" si="19"/>
        <v>41.075738477334397</v>
      </c>
      <c r="S39" s="198">
        <f t="shared" si="15"/>
        <v>50.70355370679966</v>
      </c>
      <c r="T39" s="198">
        <f t="shared" si="20"/>
        <v>102.19471262103242</v>
      </c>
      <c r="U39" s="198">
        <f t="shared" si="16"/>
        <v>137.59467849719684</v>
      </c>
      <c r="V39" s="198">
        <f t="shared" si="17"/>
        <v>71.092841661276452</v>
      </c>
      <c r="W39" s="198"/>
      <c r="X39" s="199">
        <v>0.9600000000000003</v>
      </c>
      <c r="Y39" s="199">
        <v>0.65</v>
      </c>
      <c r="Z39" s="199">
        <v>0.27000000000000013</v>
      </c>
      <c r="AB39" s="192">
        <v>0.46000000000000008</v>
      </c>
      <c r="AC39" s="192">
        <v>0.36000000000000021</v>
      </c>
      <c r="AD39" s="192">
        <v>0.24499999999999977</v>
      </c>
      <c r="AF39" s="198">
        <v>24.066192336910863</v>
      </c>
      <c r="AG39" s="198">
        <v>48.848165488991285</v>
      </c>
      <c r="AH39" s="198">
        <v>132.55969521391279</v>
      </c>
      <c r="AI39" s="198">
        <v>68.49135101327164</v>
      </c>
      <c r="AK39" s="170">
        <f t="shared" ca="1" si="11"/>
        <v>74836.351434631564</v>
      </c>
      <c r="AL39" s="169">
        <f t="shared" ref="AL39:AL55" si="23">AL38+($AL$56-$AL$6)/($A$56-$A$6)</f>
        <v>0.4389999999999995</v>
      </c>
      <c r="AM39" s="170">
        <f t="shared" ca="1" si="12"/>
        <v>116937.08415766142</v>
      </c>
      <c r="AN39" s="170">
        <f t="shared" ca="1" si="13"/>
        <v>170477.75366948376</v>
      </c>
      <c r="AP39" s="197">
        <f t="shared" si="18"/>
        <v>69.779974009406359</v>
      </c>
      <c r="AQ39" s="197">
        <f t="shared" si="21"/>
        <v>71.309795216439241</v>
      </c>
      <c r="AR39" s="197">
        <f t="shared" si="22"/>
        <v>-1.5298212070328816</v>
      </c>
      <c r="AV39" s="186">
        <f t="shared" ca="1" si="4"/>
        <v>24091546.731136605</v>
      </c>
      <c r="AW39" s="186">
        <f t="shared" ca="1" si="9"/>
        <v>18771217.848086704</v>
      </c>
      <c r="AX39" s="186">
        <f t="shared" ca="1" si="5"/>
        <v>20830625.955427241</v>
      </c>
      <c r="AZ39" s="186">
        <f t="shared" ca="1" si="10"/>
        <v>17920423.63937578</v>
      </c>
    </row>
    <row r="40" spans="1:52">
      <c r="A40" s="178">
        <v>2034</v>
      </c>
      <c r="B40" s="193">
        <f t="shared" si="1"/>
        <v>0.38000000000000023</v>
      </c>
      <c r="C40" s="193">
        <f t="shared" si="2"/>
        <v>0.65</v>
      </c>
      <c r="D40" s="193">
        <f t="shared" si="6"/>
        <v>0.78300000000000014</v>
      </c>
      <c r="E40" s="194">
        <v>71.379460316722927</v>
      </c>
      <c r="F40" s="195">
        <f t="shared" si="3"/>
        <v>74.090649331487768</v>
      </c>
      <c r="G40" s="190">
        <f ca="1">'GHG Emissions'!W36</f>
        <v>341688.53524309385</v>
      </c>
      <c r="H40" s="191">
        <f ca="1">SUM('GHG Emissions'!I36,'GHG Emissions'!M36,'GHG Emissions'!P36,'GHG Emissions'!T36)</f>
        <v>321444.56833715964</v>
      </c>
      <c r="I40" s="190">
        <f t="shared" ca="1" si="7"/>
        <v>268541.54671728302</v>
      </c>
      <c r="J40" s="196">
        <f t="shared" ca="1" si="8"/>
        <v>19.896417568765557</v>
      </c>
      <c r="K40" s="177"/>
      <c r="N40" s="162" t="s">
        <v>214</v>
      </c>
      <c r="O40" s="200">
        <f ca="1">P40/SUM($P$39:$P$45)</f>
        <v>2.0085438754511562E-3</v>
      </c>
      <c r="P40" s="201">
        <f ca="1">NPV(DiscountRate,'GHG Emissions'!F12:F52)+NPV(DiscountRate,'GHG Emissions'!G12:G52)</f>
        <v>9233.4339042944466</v>
      </c>
      <c r="Q40" s="198">
        <f t="shared" si="14"/>
        <v>26.229307418824519</v>
      </c>
      <c r="R40" s="198">
        <f t="shared" si="19"/>
        <v>43.074688337684549</v>
      </c>
      <c r="S40" s="198">
        <f t="shared" si="15"/>
        <v>53.13769170178189</v>
      </c>
      <c r="T40" s="198">
        <f t="shared" si="20"/>
        <v>106.39781946221872</v>
      </c>
      <c r="U40" s="198">
        <f t="shared" si="16"/>
        <v>142.90494887385694</v>
      </c>
      <c r="V40" s="198">
        <f t="shared" si="17"/>
        <v>74.090649331487768</v>
      </c>
      <c r="W40" s="198"/>
      <c r="X40" s="199">
        <v>0.98000000000000032</v>
      </c>
      <c r="Y40" s="199">
        <v>0.65</v>
      </c>
      <c r="Z40" s="199">
        <v>0.28500000000000014</v>
      </c>
      <c r="AB40" s="192">
        <v>0.48000000000000009</v>
      </c>
      <c r="AC40" s="192">
        <v>0.38000000000000023</v>
      </c>
      <c r="AD40" s="192">
        <v>0.25999999999999979</v>
      </c>
      <c r="AF40" s="198">
        <v>25.269501953756407</v>
      </c>
      <c r="AG40" s="198">
        <v>51.193231404676553</v>
      </c>
      <c r="AH40" s="198">
        <v>137.67564759173584</v>
      </c>
      <c r="AI40" s="198">
        <v>71.379460316722927</v>
      </c>
      <c r="AK40" s="170">
        <f t="shared" ca="1" si="11"/>
        <v>73146.988525810826</v>
      </c>
      <c r="AL40" s="169">
        <f t="shared" si="23"/>
        <v>0.42199999999999949</v>
      </c>
      <c r="AM40" s="170">
        <f t="shared" ca="1" si="12"/>
        <v>112408.76882581576</v>
      </c>
      <c r="AN40" s="170">
        <f t="shared" ca="1" si="13"/>
        <v>165150.32386731237</v>
      </c>
      <c r="AP40" s="197">
        <f t="shared" si="18"/>
        <v>72.722421327931357</v>
      </c>
      <c r="AQ40" s="197">
        <f t="shared" si="21"/>
        <v>74.348891158873329</v>
      </c>
      <c r="AR40" s="197">
        <f t="shared" si="22"/>
        <v>-1.6264698309419714</v>
      </c>
      <c r="AV40" s="186">
        <f t="shared" ca="1" si="4"/>
        <v>25315925.445285767</v>
      </c>
      <c r="AW40" s="186">
        <f t="shared" ca="1" si="9"/>
        <v>19896417.568765558</v>
      </c>
      <c r="AX40" s="186">
        <f t="shared" ca="1" si="5"/>
        <v>21003608.659775097</v>
      </c>
      <c r="AZ40" s="186">
        <f t="shared" ca="1" si="10"/>
        <v>18226076.218463942</v>
      </c>
    </row>
    <row r="41" spans="1:52">
      <c r="A41" s="178">
        <v>2035</v>
      </c>
      <c r="B41" s="193">
        <f t="shared" si="1"/>
        <v>0.40000000000000024</v>
      </c>
      <c r="C41" s="193">
        <f t="shared" si="2"/>
        <v>0.65</v>
      </c>
      <c r="D41" s="193">
        <f t="shared" si="6"/>
        <v>0.79</v>
      </c>
      <c r="E41" s="194">
        <v>74.287624780454962</v>
      </c>
      <c r="F41" s="195">
        <f t="shared" si="3"/>
        <v>77.109273912348939</v>
      </c>
      <c r="G41" s="190">
        <f ca="1">'GHG Emissions'!W37</f>
        <v>344501.87848791596</v>
      </c>
      <c r="H41" s="191">
        <f ca="1">SUM('GHG Emissions'!I37,'GHG Emissions'!M37,'GHG Emissions'!P37,'GHG Emissions'!T37)</f>
        <v>324241.03615023772</v>
      </c>
      <c r="I41" s="190">
        <f t="shared" ca="1" si="7"/>
        <v>273044.56361487327</v>
      </c>
      <c r="J41" s="196">
        <f t="shared" ca="1" si="8"/>
        <v>21.05426804605705</v>
      </c>
      <c r="K41" s="177"/>
      <c r="N41" s="162" t="s">
        <v>610</v>
      </c>
      <c r="O41" s="200">
        <f ca="1">P41/SUM($P$39:$P$45)</f>
        <v>0.82198789341842349</v>
      </c>
      <c r="P41" s="201">
        <f ca="1">NPV(DiscountRate,'GHG Emissions'!J12:J52)+NPV(DiscountRate,'GHG Emissions'!K12:K52)+NPV(DiscountRate,'GHG Emissions'!L12:L52)+NPV(DiscountRate,'GHG Emissions'!T12:T52)</f>
        <v>3778742.8877073638</v>
      </c>
      <c r="Q41" s="198">
        <f t="shared" si="14"/>
        <v>27.540772789765747</v>
      </c>
      <c r="R41" s="198">
        <f t="shared" si="19"/>
        <v>45.107531955452707</v>
      </c>
      <c r="S41" s="198">
        <f t="shared" si="15"/>
        <v>55.571829696764134</v>
      </c>
      <c r="T41" s="198">
        <f t="shared" si="20"/>
        <v>110.600926303405</v>
      </c>
      <c r="U41" s="198">
        <f t="shared" si="16"/>
        <v>148.21521925051695</v>
      </c>
      <c r="V41" s="198">
        <f t="shared" si="17"/>
        <v>77.109273912348939</v>
      </c>
      <c r="W41" s="198"/>
      <c r="X41" s="199">
        <v>1.0000000000000002</v>
      </c>
      <c r="Y41" s="199">
        <v>0.65</v>
      </c>
      <c r="Z41" s="199">
        <v>0.30000000000000016</v>
      </c>
      <c r="AB41" s="192">
        <v>0.5</v>
      </c>
      <c r="AC41" s="192">
        <v>0.40000000000000024</v>
      </c>
      <c r="AD41" s="192">
        <v>0.27499999999999969</v>
      </c>
      <c r="AF41" s="198">
        <v>26.532977051444227</v>
      </c>
      <c r="AG41" s="198">
        <v>53.538297320361835</v>
      </c>
      <c r="AH41" s="198">
        <v>142.79159996955883</v>
      </c>
      <c r="AI41" s="198">
        <v>74.287624780454962</v>
      </c>
      <c r="AK41" s="170">
        <f t="shared" ca="1" si="11"/>
        <v>71457.314873042691</v>
      </c>
      <c r="AL41" s="169">
        <f t="shared" si="23"/>
        <v>0.40499999999999947</v>
      </c>
      <c r="AM41" s="170">
        <f t="shared" ca="1" si="12"/>
        <v>107880.45349397008</v>
      </c>
      <c r="AN41" s="170">
        <f t="shared" ca="1" si="13"/>
        <v>159822.89406514101</v>
      </c>
      <c r="AP41" s="197">
        <f t="shared" si="18"/>
        <v>75.685301132346055</v>
      </c>
      <c r="AQ41" s="197">
        <f t="shared" si="21"/>
        <v>77.407255999180919</v>
      </c>
      <c r="AR41" s="197">
        <f t="shared" si="22"/>
        <v>-1.7219548668348637</v>
      </c>
      <c r="AV41" s="186">
        <f t="shared" ca="1" si="4"/>
        <v>26564289.711643461</v>
      </c>
      <c r="AW41" s="186">
        <f t="shared" ca="1" si="9"/>
        <v>21054268.046057049</v>
      </c>
      <c r="AX41" s="186">
        <f t="shared" ca="1" si="5"/>
        <v>21176544.987585526</v>
      </c>
      <c r="AZ41" s="186">
        <f t="shared" ca="1" si="10"/>
        <v>18531698.682443105</v>
      </c>
    </row>
    <row r="42" spans="1:52">
      <c r="A42" s="178">
        <v>2036</v>
      </c>
      <c r="B42" s="193">
        <f t="shared" si="1"/>
        <v>0.42000000000000037</v>
      </c>
      <c r="C42" s="193">
        <f t="shared" si="2"/>
        <v>0.65</v>
      </c>
      <c r="D42" s="193">
        <f t="shared" si="6"/>
        <v>0.79700000000000015</v>
      </c>
      <c r="E42" s="194">
        <v>77.741227869851585</v>
      </c>
      <c r="F42" s="195">
        <f t="shared" si="3"/>
        <v>80.694054384087536</v>
      </c>
      <c r="G42" s="190">
        <f ca="1">'GHG Emissions'!W38</f>
        <v>347314.51040823129</v>
      </c>
      <c r="H42" s="191">
        <f ca="1">SUM('GHG Emissions'!I38,'GHG Emissions'!M38,'GHG Emissions'!P38,'GHG Emissions'!T38)</f>
        <v>327037.08561662951</v>
      </c>
      <c r="I42" s="190">
        <f t="shared" ca="1" si="7"/>
        <v>277547.16216577723</v>
      </c>
      <c r="J42" s="196">
        <f t="shared" ca="1" si="8"/>
        <v>22.39640579795439</v>
      </c>
      <c r="K42" s="177"/>
      <c r="N42" s="162" t="s">
        <v>215</v>
      </c>
      <c r="O42" s="200">
        <f ca="1">P42/SUM($P$39:$P$45)</f>
        <v>9.8999984385686302E-2</v>
      </c>
      <c r="P42" s="201">
        <f ca="1">NPV(DiscountRate,'GHG Emissions'!P12:P52)</f>
        <v>455110.70160022803</v>
      </c>
      <c r="Q42" s="198">
        <f t="shared" si="14"/>
        <v>28.642403701356379</v>
      </c>
      <c r="R42" s="198">
        <f t="shared" si="19"/>
        <v>47.375455679765466</v>
      </c>
      <c r="S42" s="198">
        <f t="shared" si="15"/>
        <v>58.648947539477511</v>
      </c>
      <c r="T42" s="198">
        <f t="shared" si="20"/>
        <v>115.83972203922104</v>
      </c>
      <c r="U42" s="198">
        <f t="shared" si="16"/>
        <v>154.79081191142873</v>
      </c>
      <c r="V42" s="198">
        <f t="shared" si="17"/>
        <v>80.694054384087536</v>
      </c>
      <c r="W42" s="198"/>
      <c r="X42" s="199">
        <v>1.0000000000000002</v>
      </c>
      <c r="Y42" s="199">
        <v>0.65</v>
      </c>
      <c r="Z42" s="199">
        <v>0.30000000000000016</v>
      </c>
      <c r="AB42" s="192">
        <v>0.52</v>
      </c>
      <c r="AC42" s="192">
        <v>0.42000000000000037</v>
      </c>
      <c r="AD42" s="192">
        <v>0.28999999999999959</v>
      </c>
      <c r="AF42" s="198">
        <v>27.594296133501999</v>
      </c>
      <c r="AG42" s="198">
        <v>56.5028146100017</v>
      </c>
      <c r="AH42" s="198">
        <v>149.12657286605108</v>
      </c>
      <c r="AI42" s="198">
        <v>77.741227869851585</v>
      </c>
      <c r="AK42" s="170">
        <f t="shared" ca="1" si="11"/>
        <v>69767.348242454056</v>
      </c>
      <c r="AL42" s="169">
        <f t="shared" si="23"/>
        <v>0.38799999999999946</v>
      </c>
      <c r="AM42" s="170">
        <f t="shared" ca="1" si="12"/>
        <v>103352.13816212442</v>
      </c>
      <c r="AN42" s="170">
        <f t="shared" ca="1" si="13"/>
        <v>154495.46426296962</v>
      </c>
      <c r="AP42" s="197">
        <f t="shared" si="18"/>
        <v>79.203881657501768</v>
      </c>
      <c r="AQ42" s="197">
        <f t="shared" si="21"/>
        <v>81.05946817424983</v>
      </c>
      <c r="AR42" s="197">
        <f t="shared" si="22"/>
        <v>-1.8555865167480619</v>
      </c>
      <c r="AV42" s="186">
        <f t="shared" ca="1" si="4"/>
        <v>28026215.991264552</v>
      </c>
      <c r="AW42" s="186">
        <f t="shared" ca="1" si="9"/>
        <v>22396405.797954392</v>
      </c>
      <c r="AX42" s="186">
        <f t="shared" ca="1" si="5"/>
        <v>21349437.590248551</v>
      </c>
      <c r="AZ42" s="186">
        <f t="shared" ca="1" si="10"/>
        <v>18837292.752981164</v>
      </c>
    </row>
    <row r="43" spans="1:52">
      <c r="A43" s="178">
        <v>2037</v>
      </c>
      <c r="B43" s="193">
        <f t="shared" si="1"/>
        <v>0.44000000000000028</v>
      </c>
      <c r="C43" s="193">
        <f t="shared" si="2"/>
        <v>0.65</v>
      </c>
      <c r="D43" s="193">
        <f t="shared" si="6"/>
        <v>0.80400000000000005</v>
      </c>
      <c r="E43" s="194">
        <v>81.117000893230639</v>
      </c>
      <c r="F43" s="195">
        <f t="shared" si="3"/>
        <v>84.19804858897615</v>
      </c>
      <c r="G43" s="190">
        <f ca="1">'GHG Emissions'!W39</f>
        <v>350126.47017745476</v>
      </c>
      <c r="H43" s="191">
        <f ca="1">SUM('GHG Emissions'!I39,'GHG Emissions'!M39,'GHG Emissions'!P39,'GHG Emissions'!T39)</f>
        <v>329832.73977457138</v>
      </c>
      <c r="I43" s="190">
        <f t="shared" ca="1" si="7"/>
        <v>282049.36540823121</v>
      </c>
      <c r="J43" s="196">
        <f t="shared" ca="1" si="8"/>
        <v>23.74800617313214</v>
      </c>
      <c r="K43" s="177"/>
      <c r="N43" s="162" t="s">
        <v>609</v>
      </c>
      <c r="O43" s="200">
        <f ca="1">P43/SUM($P$39:$P$45)</f>
        <v>5.5385210719035474E-2</v>
      </c>
      <c r="P43" s="201">
        <f ca="1">NPV(DiscountRate,'GHG Emissions'!D12:D52)</f>
        <v>254610.16246646113</v>
      </c>
      <c r="Q43" s="198">
        <f t="shared" si="14"/>
        <v>29.501675812397071</v>
      </c>
      <c r="R43" s="198">
        <f t="shared" si="19"/>
        <v>49.511844510290445</v>
      </c>
      <c r="S43" s="198">
        <f t="shared" si="15"/>
        <v>61.726065382190903</v>
      </c>
      <c r="T43" s="198">
        <f t="shared" si="20"/>
        <v>121.07851777503707</v>
      </c>
      <c r="U43" s="198">
        <f t="shared" si="16"/>
        <v>161.36640457234049</v>
      </c>
      <c r="V43" s="198">
        <f t="shared" si="17"/>
        <v>84.19804858897615</v>
      </c>
      <c r="W43" s="198"/>
      <c r="X43" s="199">
        <v>1.0000000000000002</v>
      </c>
      <c r="Y43" s="199">
        <v>0.65</v>
      </c>
      <c r="Z43" s="199">
        <v>0.30000000000000016</v>
      </c>
      <c r="AB43" s="192">
        <v>0.54</v>
      </c>
      <c r="AC43" s="192">
        <v>0.44000000000000028</v>
      </c>
      <c r="AD43" s="192">
        <v>0.3049999999999996</v>
      </c>
      <c r="AF43" s="198">
        <v>28.42212501750706</v>
      </c>
      <c r="AG43" s="198">
        <v>59.467331899641572</v>
      </c>
      <c r="AH43" s="198">
        <v>155.4615457625433</v>
      </c>
      <c r="AI43" s="198">
        <v>81.117000893230639</v>
      </c>
      <c r="AK43" s="170">
        <f t="shared" ca="1" si="11"/>
        <v>68077.104769223544</v>
      </c>
      <c r="AL43" s="169">
        <f t="shared" si="23"/>
        <v>0.37099999999999944</v>
      </c>
      <c r="AM43" s="170">
        <f t="shared" ca="1" si="12"/>
        <v>98823.822830278747</v>
      </c>
      <c r="AN43" s="170">
        <f t="shared" ca="1" si="13"/>
        <v>149168.03446079826</v>
      </c>
      <c r="AP43" s="197">
        <f t="shared" si="18"/>
        <v>82.643167791416701</v>
      </c>
      <c r="AQ43" s="197">
        <f t="shared" si="21"/>
        <v>84.63690161045119</v>
      </c>
      <c r="AR43" s="197">
        <f t="shared" si="22"/>
        <v>-1.9937338190344889</v>
      </c>
      <c r="AV43" s="186">
        <f t="shared" ca="1" si="4"/>
        <v>29479965.548288044</v>
      </c>
      <c r="AW43" s="186">
        <f t="shared" ca="1" si="9"/>
        <v>23748006.17313214</v>
      </c>
      <c r="AX43" s="186">
        <f t="shared" ca="1" si="5"/>
        <v>21522288.875755634</v>
      </c>
      <c r="AZ43" s="186">
        <f t="shared" ca="1" si="10"/>
        <v>19142859.99369707</v>
      </c>
    </row>
    <row r="44" spans="1:52">
      <c r="A44" s="178">
        <v>2038</v>
      </c>
      <c r="B44" s="193">
        <f t="shared" si="1"/>
        <v>0.4600000000000003</v>
      </c>
      <c r="C44" s="193">
        <f t="shared" si="2"/>
        <v>0.65</v>
      </c>
      <c r="D44" s="193">
        <f t="shared" si="6"/>
        <v>0.81100000000000017</v>
      </c>
      <c r="E44" s="194">
        <v>84.406311788724722</v>
      </c>
      <c r="F44" s="195">
        <f t="shared" si="3"/>
        <v>87.612296595600512</v>
      </c>
      <c r="G44" s="190">
        <f ca="1">'GHG Emissions'!W40</f>
        <v>352937.79350031726</v>
      </c>
      <c r="H44" s="191">
        <f ca="1">SUM('GHG Emissions'!I40,'GHG Emissions'!M40,'GHG Emissions'!P40,'GHG Emissions'!T40)</f>
        <v>332628.0196223461</v>
      </c>
      <c r="I44" s="190">
        <f t="shared" ca="1" si="7"/>
        <v>286551.19434051815</v>
      </c>
      <c r="J44" s="196">
        <f t="shared" ca="1" si="8"/>
        <v>25.105408228385038</v>
      </c>
      <c r="K44" s="177"/>
      <c r="O44" s="200"/>
      <c r="P44" s="201"/>
      <c r="Q44" s="198">
        <f t="shared" si="14"/>
        <v>30.091709328645013</v>
      </c>
      <c r="R44" s="198">
        <f t="shared" si="19"/>
        <v>51.502110031534819</v>
      </c>
      <c r="S44" s="198">
        <f t="shared" si="15"/>
        <v>64.803183224904288</v>
      </c>
      <c r="T44" s="198">
        <f t="shared" si="20"/>
        <v>126.3173135108531</v>
      </c>
      <c r="U44" s="198">
        <f t="shared" si="16"/>
        <v>167.94199723325224</v>
      </c>
      <c r="V44" s="198">
        <f t="shared" si="17"/>
        <v>87.612296595600512</v>
      </c>
      <c r="W44" s="198"/>
      <c r="X44" s="199">
        <v>1.0000000000000002</v>
      </c>
      <c r="Y44" s="199">
        <v>0.65</v>
      </c>
      <c r="Z44" s="199">
        <v>0.30000000000000016</v>
      </c>
      <c r="AB44" s="192">
        <v>0.56000000000000005</v>
      </c>
      <c r="AC44" s="192">
        <v>0.4600000000000003</v>
      </c>
      <c r="AD44" s="192">
        <v>0.31999999999999951</v>
      </c>
      <c r="AF44" s="198">
        <v>28.990567517857201</v>
      </c>
      <c r="AG44" s="198">
        <v>62.431849189281436</v>
      </c>
      <c r="AH44" s="198">
        <v>161.79651865903554</v>
      </c>
      <c r="AI44" s="198">
        <v>84.406311788724722</v>
      </c>
      <c r="AK44" s="170">
        <f t="shared" ca="1" si="11"/>
        <v>66386.599159799109</v>
      </c>
      <c r="AL44" s="169">
        <f t="shared" si="23"/>
        <v>0.35399999999999943</v>
      </c>
      <c r="AM44" s="170">
        <f t="shared" ca="1" si="12"/>
        <v>94295.507498433086</v>
      </c>
      <c r="AN44" s="170">
        <f t="shared" ca="1" si="13"/>
        <v>143840.60465862689</v>
      </c>
      <c r="AP44" s="197">
        <f t="shared" si="18"/>
        <v>85.994365065244139</v>
      </c>
      <c r="AQ44" s="197">
        <f t="shared" si="21"/>
        <v>88.13126266583788</v>
      </c>
      <c r="AR44" s="197">
        <f t="shared" si="22"/>
        <v>-2.1368976005937412</v>
      </c>
      <c r="AV44" s="186">
        <f t="shared" ca="1" si="4"/>
        <v>30921690.643946603</v>
      </c>
      <c r="AW44" s="186">
        <f t="shared" ca="1" si="9"/>
        <v>25105408.228385039</v>
      </c>
      <c r="AX44" s="186">
        <f t="shared" ca="1" si="5"/>
        <v>21695101.038878091</v>
      </c>
      <c r="AZ44" s="186">
        <f t="shared" ca="1" si="10"/>
        <v>19448401.829756908</v>
      </c>
    </row>
    <row r="45" spans="1:52">
      <c r="A45" s="178">
        <v>2039</v>
      </c>
      <c r="B45" s="193">
        <f t="shared" si="1"/>
        <v>0.48000000000000032</v>
      </c>
      <c r="C45" s="193">
        <f t="shared" si="2"/>
        <v>0.65</v>
      </c>
      <c r="D45" s="193">
        <f t="shared" si="6"/>
        <v>0.81800000000000006</v>
      </c>
      <c r="E45" s="194">
        <v>87.602777075828286</v>
      </c>
      <c r="F45" s="195">
        <f t="shared" si="3"/>
        <v>90.930172461237717</v>
      </c>
      <c r="G45" s="190">
        <f ca="1">'GHG Emissions'!W41</f>
        <v>355748.51302821358</v>
      </c>
      <c r="H45" s="191">
        <f ca="1">SUM('GHG Emissions'!I41,'GHG Emissions'!M41,'GHG Emissions'!P41,'GHG Emissions'!T41)</f>
        <v>335422.94436255057</v>
      </c>
      <c r="I45" s="190">
        <f t="shared" ca="1" si="7"/>
        <v>291052.66816523467</v>
      </c>
      <c r="J45" s="196">
        <f t="shared" ca="1" si="8"/>
        <v>26.465469311568182</v>
      </c>
      <c r="K45" s="177"/>
      <c r="O45" s="200"/>
      <c r="P45" s="201"/>
      <c r="Q45" s="198">
        <f t="shared" si="14"/>
        <v>30.392626421931464</v>
      </c>
      <c r="R45" s="198">
        <f t="shared" si="19"/>
        <v>53.335463990664472</v>
      </c>
      <c r="S45" s="198">
        <f t="shared" si="15"/>
        <v>67.88030106761768</v>
      </c>
      <c r="T45" s="198">
        <f t="shared" si="20"/>
        <v>131.55610924666911</v>
      </c>
      <c r="U45" s="198">
        <f t="shared" si="16"/>
        <v>174.51758989416399</v>
      </c>
      <c r="V45" s="198">
        <f t="shared" si="17"/>
        <v>90.930172461237717</v>
      </c>
      <c r="W45" s="198"/>
      <c r="X45" s="199">
        <v>1.0000000000000002</v>
      </c>
      <c r="Y45" s="199">
        <v>0.65</v>
      </c>
      <c r="Z45" s="199">
        <v>0.30000000000000016</v>
      </c>
      <c r="AB45" s="192">
        <v>0.58000000000000007</v>
      </c>
      <c r="AC45" s="192">
        <v>0.48000000000000032</v>
      </c>
      <c r="AD45" s="192">
        <v>0.33499999999999952</v>
      </c>
      <c r="AF45" s="198">
        <v>29.280473193035775</v>
      </c>
      <c r="AG45" s="198">
        <v>65.396366478921323</v>
      </c>
      <c r="AH45" s="198">
        <v>168.13149155552776</v>
      </c>
      <c r="AI45" s="198">
        <v>87.602777075828286</v>
      </c>
      <c r="AK45" s="170">
        <f t="shared" ca="1" si="11"/>
        <v>64695.844862978905</v>
      </c>
      <c r="AL45" s="169">
        <f t="shared" si="23"/>
        <v>0.33699999999999941</v>
      </c>
      <c r="AM45" s="170">
        <f t="shared" ca="1" si="12"/>
        <v>89767.192166587411</v>
      </c>
      <c r="AN45" s="170">
        <f t="shared" ca="1" si="13"/>
        <v>138513.1748564555</v>
      </c>
      <c r="AP45" s="197">
        <f t="shared" si="18"/>
        <v>89.250969897186152</v>
      </c>
      <c r="AQ45" s="197">
        <f t="shared" si="21"/>
        <v>91.536418124209334</v>
      </c>
      <c r="AR45" s="197">
        <f t="shared" si="22"/>
        <v>-2.2854482270231813</v>
      </c>
      <c r="AV45" s="186">
        <f t="shared" ca="1" si="4"/>
        <v>32348273.642484333</v>
      </c>
      <c r="AW45" s="186">
        <f t="shared" ca="1" si="9"/>
        <v>26465469.311568182</v>
      </c>
      <c r="AX45" s="186">
        <f t="shared" ca="1" si="5"/>
        <v>21867876.086698532</v>
      </c>
      <c r="AZ45" s="186">
        <f t="shared" ca="1" si="10"/>
        <v>19753919.564452458</v>
      </c>
    </row>
    <row r="46" spans="1:52">
      <c r="A46" s="178">
        <v>2040</v>
      </c>
      <c r="B46" s="193">
        <f t="shared" si="1"/>
        <v>0.50000000000000033</v>
      </c>
      <c r="C46" s="193">
        <f t="shared" si="2"/>
        <v>0.65</v>
      </c>
      <c r="D46" s="193">
        <f t="shared" si="6"/>
        <v>0.82500000000000018</v>
      </c>
      <c r="E46" s="194">
        <v>90.934469737884001</v>
      </c>
      <c r="F46" s="195">
        <f t="shared" si="3"/>
        <v>94.388412010953516</v>
      </c>
      <c r="G46" s="190">
        <f ca="1">'GHG Emissions'!W42</f>
        <v>358558.65871271305</v>
      </c>
      <c r="H46" s="191">
        <f ca="1">SUM('GHG Emissions'!I42,'GHG Emissions'!M42,'GHG Emissions'!P42,'GHG Emissions'!T42)</f>
        <v>338217.53160999762</v>
      </c>
      <c r="I46" s="190">
        <f t="shared" ca="1" si="7"/>
        <v>295553.80449719395</v>
      </c>
      <c r="J46" s="196">
        <f t="shared" ca="1" si="8"/>
        <v>27.896854270285949</v>
      </c>
      <c r="K46" s="177"/>
      <c r="Q46" s="198">
        <f t="shared" si="14"/>
        <v>30.392626421931464</v>
      </c>
      <c r="R46" s="198">
        <f t="shared" si="19"/>
        <v>55.177490806062039</v>
      </c>
      <c r="S46" s="198">
        <f t="shared" si="15"/>
        <v>71.274316120998577</v>
      </c>
      <c r="T46" s="198">
        <f t="shared" si="20"/>
        <v>137.1867589796154</v>
      </c>
      <c r="U46" s="198">
        <f t="shared" si="16"/>
        <v>181.49829348993055</v>
      </c>
      <c r="V46" s="198">
        <f t="shared" si="17"/>
        <v>94.388412010953516</v>
      </c>
      <c r="W46" s="198"/>
      <c r="X46" s="199">
        <v>1.0000000000000002</v>
      </c>
      <c r="Y46" s="199">
        <v>0.65</v>
      </c>
      <c r="Z46" s="199">
        <v>0.30000000000000016</v>
      </c>
      <c r="AB46" s="192">
        <v>0.60000000000000009</v>
      </c>
      <c r="AC46" s="192">
        <v>0.50000000000000033</v>
      </c>
      <c r="AD46" s="192">
        <v>0.34999999999999942</v>
      </c>
      <c r="AF46" s="198">
        <v>29.280473193035775</v>
      </c>
      <c r="AG46" s="198">
        <v>68.666184802867392</v>
      </c>
      <c r="AH46" s="198">
        <v>174.85675121774887</v>
      </c>
      <c r="AI46" s="198">
        <v>90.934469737884001</v>
      </c>
      <c r="AK46" s="170">
        <f t="shared" ca="1" si="11"/>
        <v>63004.854215519095</v>
      </c>
      <c r="AL46" s="169">
        <f t="shared" si="23"/>
        <v>0.3199999999999994</v>
      </c>
      <c r="AM46" s="170">
        <f t="shared" ca="1" si="12"/>
        <v>85238.87683474175</v>
      </c>
      <c r="AN46" s="170">
        <f t="shared" ca="1" si="13"/>
        <v>133185.74505428414</v>
      </c>
      <c r="AP46" s="197">
        <f t="shared" si="18"/>
        <v>92.645346324664246</v>
      </c>
      <c r="AQ46" s="197">
        <f t="shared" si="21"/>
        <v>95.105897163707624</v>
      </c>
      <c r="AR46" s="197">
        <f t="shared" si="22"/>
        <v>-2.4605508390433783</v>
      </c>
      <c r="AV46" s="186">
        <f t="shared" ca="1" si="4"/>
        <v>33843782.408670425</v>
      </c>
      <c r="AW46" s="186">
        <f t="shared" ca="1" si="9"/>
        <v>27896854.270285949</v>
      </c>
      <c r="AX46" s="186">
        <f t="shared" ca="1" si="5"/>
        <v>22040615.860341188</v>
      </c>
      <c r="AZ46" s="186">
        <f t="shared" ca="1" si="10"/>
        <v>20059414.393311683</v>
      </c>
    </row>
    <row r="47" spans="1:52">
      <c r="A47" s="178">
        <v>2041</v>
      </c>
      <c r="B47" s="193">
        <f t="shared" si="1"/>
        <v>0.52000000000000024</v>
      </c>
      <c r="C47" s="193">
        <f t="shared" si="2"/>
        <v>0.65</v>
      </c>
      <c r="D47" s="193">
        <f t="shared" si="6"/>
        <v>0.83200000000000007</v>
      </c>
      <c r="E47" s="194">
        <v>94.083840640848777</v>
      </c>
      <c r="F47" s="195">
        <f t="shared" si="3"/>
        <v>97.657404717692813</v>
      </c>
      <c r="G47" s="190">
        <f ca="1">'GHG Emissions'!W43</f>
        <v>361368.25810812588</v>
      </c>
      <c r="H47" s="191">
        <f ca="1">SUM('GHG Emissions'!I43,'GHG Emissions'!M43,'GHG Emissions'!P43,'GHG Emissions'!T43)</f>
        <v>341011.79756965634</v>
      </c>
      <c r="I47" s="190">
        <f t="shared" ca="1" si="7"/>
        <v>300054.61954136478</v>
      </c>
      <c r="J47" s="196">
        <f t="shared" ca="1" si="8"/>
        <v>29.302555417964399</v>
      </c>
      <c r="K47" s="177"/>
      <c r="Q47" s="198">
        <f t="shared" si="14"/>
        <v>30.08870015771215</v>
      </c>
      <c r="R47" s="198">
        <f t="shared" si="19"/>
        <v>56.559844054168856</v>
      </c>
      <c r="S47" s="198">
        <f t="shared" si="15"/>
        <v>74.125288765838519</v>
      </c>
      <c r="T47" s="198">
        <f t="shared" si="20"/>
        <v>142.67422933880002</v>
      </c>
      <c r="U47" s="198">
        <f t="shared" si="16"/>
        <v>188.75822522952777</v>
      </c>
      <c r="V47" s="198">
        <f t="shared" si="17"/>
        <v>97.657404717692813</v>
      </c>
      <c r="W47" s="198"/>
      <c r="X47" s="199">
        <v>1.0000000000000002</v>
      </c>
      <c r="Y47" s="199">
        <v>0.65</v>
      </c>
      <c r="Z47" s="199">
        <v>0.30000000000000016</v>
      </c>
      <c r="AB47" s="192">
        <v>0.62000000000000011</v>
      </c>
      <c r="AC47" s="192">
        <v>0.52000000000000024</v>
      </c>
      <c r="AD47" s="192">
        <v>0.36499999999999944</v>
      </c>
      <c r="AF47" s="198">
        <v>28.987668461105418</v>
      </c>
      <c r="AG47" s="198">
        <v>71.412832194982087</v>
      </c>
      <c r="AH47" s="198">
        <v>181.85102126645882</v>
      </c>
      <c r="AI47" s="198">
        <v>94.083840640848777</v>
      </c>
      <c r="AK47" s="170">
        <f t="shared" ca="1" si="11"/>
        <v>61313.638566761103</v>
      </c>
      <c r="AL47" s="169">
        <f t="shared" si="23"/>
        <v>0.30299999999999938</v>
      </c>
      <c r="AM47" s="170">
        <f t="shared" ca="1" si="12"/>
        <v>80710.561502896075</v>
      </c>
      <c r="AN47" s="170">
        <f t="shared" ca="1" si="13"/>
        <v>127858.31525211279</v>
      </c>
      <c r="AP47" s="197">
        <f t="shared" si="18"/>
        <v>95.853970720352976</v>
      </c>
      <c r="AQ47" s="197">
        <f t="shared" si="21"/>
        <v>98.441257509209464</v>
      </c>
      <c r="AR47" s="197">
        <f t="shared" si="22"/>
        <v>-2.5872867888564883</v>
      </c>
      <c r="AV47" s="186">
        <f t="shared" ca="1" si="4"/>
        <v>35290286.23419293</v>
      </c>
      <c r="AW47" s="186">
        <f t="shared" ca="1" si="9"/>
        <v>29302555.417964399</v>
      </c>
      <c r="AX47" s="186">
        <f t="shared" ca="1" si="5"/>
        <v>22213322.053570669</v>
      </c>
      <c r="AZ47" s="186">
        <f t="shared" ca="1" si="10"/>
        <v>20364887.416175548</v>
      </c>
    </row>
    <row r="48" spans="1:52">
      <c r="A48" s="178">
        <v>2042</v>
      </c>
      <c r="B48" s="193">
        <f t="shared" si="1"/>
        <v>0.54000000000000026</v>
      </c>
      <c r="C48" s="193">
        <f t="shared" si="2"/>
        <v>0.65</v>
      </c>
      <c r="D48" s="193">
        <f t="shared" si="6"/>
        <v>0.83900000000000008</v>
      </c>
      <c r="E48" s="194">
        <v>97.029398123277346</v>
      </c>
      <c r="F48" s="195">
        <f t="shared" si="3"/>
        <v>100.71484260736015</v>
      </c>
      <c r="G48" s="190">
        <f ca="1">'GHG Emissions'!W44</f>
        <v>364177.33663181978</v>
      </c>
      <c r="H48" s="191">
        <f ca="1">SUM('GHG Emissions'!I44,'GHG Emissions'!M44,'GHG Emissions'!P44,'GHG Emissions'!T44)</f>
        <v>343805.75718974578</v>
      </c>
      <c r="I48" s="190">
        <f t="shared" ca="1" si="7"/>
        <v>304555.12824596633</v>
      </c>
      <c r="J48" s="196">
        <f t="shared" ca="1" si="8"/>
        <v>30.673221806556889</v>
      </c>
      <c r="K48" s="177"/>
      <c r="Q48" s="198">
        <f t="shared" si="14"/>
        <v>29.48692615455791</v>
      </c>
      <c r="R48" s="198">
        <f t="shared" si="19"/>
        <v>57.440140455499602</v>
      </c>
      <c r="S48" s="198">
        <f t="shared" si="15"/>
        <v>76.349047428813662</v>
      </c>
      <c r="T48" s="198">
        <f t="shared" si="20"/>
        <v>147.97889985586917</v>
      </c>
      <c r="U48" s="198">
        <f t="shared" si="16"/>
        <v>196.30855423870889</v>
      </c>
      <c r="V48" s="198">
        <f t="shared" si="17"/>
        <v>100.71484260736015</v>
      </c>
      <c r="W48" s="198"/>
      <c r="X48" s="199">
        <v>1.0000000000000002</v>
      </c>
      <c r="Y48" s="199">
        <v>0.65</v>
      </c>
      <c r="Z48" s="199">
        <v>0.30000000000000016</v>
      </c>
      <c r="AB48" s="192">
        <v>0.64</v>
      </c>
      <c r="AC48" s="192">
        <v>0.54000000000000026</v>
      </c>
      <c r="AD48" s="192">
        <v>0.37999999999999934</v>
      </c>
      <c r="AF48" s="198">
        <v>28.407915091883311</v>
      </c>
      <c r="AG48" s="198">
        <v>73.555217160831546</v>
      </c>
      <c r="AH48" s="198">
        <v>189.12506211711718</v>
      </c>
      <c r="AI48" s="198">
        <v>97.029398123277346</v>
      </c>
      <c r="AK48" s="170">
        <f t="shared" ca="1" si="11"/>
        <v>59622.208385853446</v>
      </c>
      <c r="AL48" s="169">
        <f t="shared" si="23"/>
        <v>0.28599999999999937</v>
      </c>
      <c r="AM48" s="170">
        <f t="shared" ca="1" si="12"/>
        <v>76182.246171050414</v>
      </c>
      <c r="AN48" s="170">
        <f t="shared" ca="1" si="13"/>
        <v>122530.88544994142</v>
      </c>
      <c r="AP48" s="197">
        <f t="shared" si="18"/>
        <v>98.854947070304803</v>
      </c>
      <c r="AQ48" s="197">
        <f t="shared" si="21"/>
        <v>101.51271362668986</v>
      </c>
      <c r="AR48" s="197">
        <f t="shared" si="22"/>
        <v>-2.6577665563850559</v>
      </c>
      <c r="AV48" s="186">
        <f t="shared" ca="1" si="4"/>
        <v>36678063.140041344</v>
      </c>
      <c r="AW48" s="186">
        <f t="shared" ca="1" si="9"/>
        <v>30673221.806556888</v>
      </c>
      <c r="AX48" s="186">
        <f t="shared" ca="1" si="5"/>
        <v>22385996.228793636</v>
      </c>
      <c r="AZ48" s="186">
        <f t="shared" ca="1" si="10"/>
        <v>20670339.647588681</v>
      </c>
    </row>
    <row r="49" spans="1:52">
      <c r="A49" s="178">
        <v>2043</v>
      </c>
      <c r="B49" s="193">
        <f t="shared" si="1"/>
        <v>0.56000000000000028</v>
      </c>
      <c r="C49" s="193">
        <f t="shared" si="2"/>
        <v>0.65</v>
      </c>
      <c r="D49" s="193">
        <f t="shared" si="6"/>
        <v>0.84600000000000009</v>
      </c>
      <c r="E49" s="194">
        <v>100.38777145538268</v>
      </c>
      <c r="F49" s="195">
        <f t="shared" si="3"/>
        <v>104.20077623265182</v>
      </c>
      <c r="G49" s="190">
        <f ca="1">'GHG Emissions'!W45</f>
        <v>366985.91778928402</v>
      </c>
      <c r="H49" s="191">
        <f ca="1">SUM('GHG Emissions'!I45,'GHG Emissions'!M45,'GHG Emissions'!P45,'GHG Emissions'!T45)</f>
        <v>346599.42429409607</v>
      </c>
      <c r="I49" s="190">
        <f t="shared" ca="1" si="7"/>
        <v>309055.34443482879</v>
      </c>
      <c r="J49" s="196">
        <f t="shared" ca="1" si="8"/>
        <v>32.20380678895873</v>
      </c>
      <c r="K49" s="177"/>
      <c r="Q49" s="198">
        <f t="shared" si="14"/>
        <v>28.602318369921168</v>
      </c>
      <c r="R49" s="198">
        <f t="shared" si="19"/>
        <v>57.788774322721174</v>
      </c>
      <c r="S49" s="198">
        <f t="shared" si="15"/>
        <v>77.876028377389943</v>
      </c>
      <c r="T49" s="198">
        <f t="shared" si="20"/>
        <v>154.13474200013073</v>
      </c>
      <c r="U49" s="198">
        <f t="shared" si="16"/>
        <v>206.12398195064435</v>
      </c>
      <c r="V49" s="198">
        <f t="shared" si="17"/>
        <v>104.20077623265182</v>
      </c>
      <c r="W49" s="198"/>
      <c r="X49" s="199">
        <v>1.0000000000000002</v>
      </c>
      <c r="Y49" s="199">
        <v>0.65</v>
      </c>
      <c r="Z49" s="199">
        <v>0.30000000000000016</v>
      </c>
      <c r="AB49" s="192">
        <v>0.66</v>
      </c>
      <c r="AC49" s="192">
        <v>0.56000000000000028</v>
      </c>
      <c r="AD49" s="192">
        <v>0.39499999999999924</v>
      </c>
      <c r="AF49" s="198">
        <v>27.555677639126809</v>
      </c>
      <c r="AG49" s="198">
        <v>75.026321504048184</v>
      </c>
      <c r="AH49" s="198">
        <v>198.58131522297305</v>
      </c>
      <c r="AI49" s="198">
        <v>100.38777145538268</v>
      </c>
      <c r="AK49" s="170">
        <f t="shared" ca="1" si="11"/>
        <v>57930.573354455235</v>
      </c>
      <c r="AL49" s="169">
        <f t="shared" si="23"/>
        <v>0.26899999999999935</v>
      </c>
      <c r="AM49" s="170">
        <f t="shared" ca="1" si="12"/>
        <v>71653.930839204739</v>
      </c>
      <c r="AN49" s="170">
        <f t="shared" ca="1" si="13"/>
        <v>117203.45564777005</v>
      </c>
      <c r="AP49" s="197">
        <f t="shared" si="18"/>
        <v>102.27650614836685</v>
      </c>
      <c r="AQ49" s="197">
        <f t="shared" si="21"/>
        <v>104.90516900416146</v>
      </c>
      <c r="AR49" s="197">
        <f t="shared" si="22"/>
        <v>-2.6286628557946159</v>
      </c>
      <c r="AV49" s="186">
        <f t="shared" ca="1" si="4"/>
        <v>38240217.500095539</v>
      </c>
      <c r="AW49" s="186">
        <f t="shared" ca="1" si="9"/>
        <v>32203806.788958728</v>
      </c>
      <c r="AX49" s="186">
        <f t="shared" ca="1" si="5"/>
        <v>22558639.830893509</v>
      </c>
      <c r="AZ49" s="186">
        <f t="shared" ca="1" si="10"/>
        <v>20975772.025782745</v>
      </c>
    </row>
    <row r="50" spans="1:52">
      <c r="A50" s="178">
        <v>2044</v>
      </c>
      <c r="B50" s="193">
        <f t="shared" si="1"/>
        <v>0.58000000000000029</v>
      </c>
      <c r="C50" s="193">
        <f t="shared" si="2"/>
        <v>0.65</v>
      </c>
      <c r="D50" s="193">
        <f t="shared" si="6"/>
        <v>0.85300000000000009</v>
      </c>
      <c r="E50" s="194">
        <v>104.24207646300061</v>
      </c>
      <c r="F50" s="195">
        <f t="shared" si="3"/>
        <v>108.20147838799039</v>
      </c>
      <c r="G50" s="190">
        <f ca="1">'GHG Emissions'!W46</f>
        <v>369794.02336960268</v>
      </c>
      <c r="H50" s="191">
        <f ca="1">SUM('GHG Emissions'!I46,'GHG Emissions'!M46,'GHG Emissions'!P46,'GHG Emissions'!T46)</f>
        <v>349392.81169710762</v>
      </c>
      <c r="I50" s="190">
        <f t="shared" ca="1" si="7"/>
        <v>313555.28092235251</v>
      </c>
      <c r="J50" s="196">
        <f t="shared" ca="1" si="8"/>
        <v>33.927144952160177</v>
      </c>
      <c r="K50" s="177"/>
      <c r="Q50" s="198">
        <f t="shared" si="14"/>
        <v>27.458225635124322</v>
      </c>
      <c r="R50" s="198">
        <f t="shared" si="19"/>
        <v>57.590498192316609</v>
      </c>
      <c r="S50" s="198">
        <f t="shared" si="15"/>
        <v>78.654788661163835</v>
      </c>
      <c r="T50" s="198">
        <f t="shared" si="20"/>
        <v>161.26955167763427</v>
      </c>
      <c r="U50" s="198">
        <f t="shared" si="16"/>
        <v>218.49142086768302</v>
      </c>
      <c r="V50" s="198">
        <f t="shared" si="17"/>
        <v>108.20147838799039</v>
      </c>
      <c r="W50" s="198"/>
      <c r="X50" s="199">
        <v>1.0000000000000002</v>
      </c>
      <c r="Y50" s="199">
        <v>0.65</v>
      </c>
      <c r="Z50" s="199">
        <v>0.30000000000000016</v>
      </c>
      <c r="AB50" s="192">
        <v>0.67999999999999994</v>
      </c>
      <c r="AC50" s="192">
        <v>0.58000000000000029</v>
      </c>
      <c r="AD50" s="192">
        <v>0.40999999999999925</v>
      </c>
      <c r="AF50" s="198">
        <v>26.453450533561735</v>
      </c>
      <c r="AG50" s="198">
        <v>75.77658471908866</v>
      </c>
      <c r="AH50" s="198">
        <v>210.49619413635145</v>
      </c>
      <c r="AI50" s="198">
        <v>104.24207646300061</v>
      </c>
      <c r="AK50" s="170">
        <f t="shared" ca="1" si="11"/>
        <v>56238.742447250173</v>
      </c>
      <c r="AL50" s="169">
        <f t="shared" si="23"/>
        <v>0.25199999999999934</v>
      </c>
      <c r="AM50" s="170">
        <f t="shared" ca="1" si="12"/>
        <v>67125.615507359078</v>
      </c>
      <c r="AN50" s="170">
        <f t="shared" ca="1" si="13"/>
        <v>111876.02584559868</v>
      </c>
      <c r="AP50" s="197">
        <f t="shared" si="18"/>
        <v>106.20332755394533</v>
      </c>
      <c r="AQ50" s="197">
        <f t="shared" si="21"/>
        <v>108.69289700678442</v>
      </c>
      <c r="AR50" s="197">
        <f t="shared" si="22"/>
        <v>-2.4895694528390919</v>
      </c>
      <c r="AV50" s="186">
        <f t="shared" ca="1" si="4"/>
        <v>40012260.027634077</v>
      </c>
      <c r="AW50" s="186">
        <f t="shared" ca="1" si="9"/>
        <v>33927144.95216018</v>
      </c>
      <c r="AX50" s="186">
        <f t="shared" ca="1" si="5"/>
        <v>22731254.199246202</v>
      </c>
      <c r="AZ50" s="186">
        <f t="shared" ca="1" si="10"/>
        <v>21281185.420478802</v>
      </c>
    </row>
    <row r="51" spans="1:52">
      <c r="A51" s="178">
        <v>2045</v>
      </c>
      <c r="B51" s="193">
        <f t="shared" si="1"/>
        <v>0.60000000000000031</v>
      </c>
      <c r="C51" s="193">
        <f t="shared" si="2"/>
        <v>0.65</v>
      </c>
      <c r="D51" s="193">
        <f t="shared" si="6"/>
        <v>0.8600000000000001</v>
      </c>
      <c r="E51" s="194">
        <v>108.71276348395612</v>
      </c>
      <c r="F51" s="195">
        <f t="shared" si="3"/>
        <v>112.84197444765093</v>
      </c>
      <c r="G51" s="190">
        <f ca="1">'GHG Emissions'!W47</f>
        <v>372601.67361595959</v>
      </c>
      <c r="H51" s="191">
        <f ca="1">SUM('GHG Emissions'!I47,'GHG Emissions'!M47,'GHG Emissions'!P47,'GHG Emissions'!T47)</f>
        <v>352185.93130402581</v>
      </c>
      <c r="I51" s="190">
        <f t="shared" ca="1" si="7"/>
        <v>318054.94961378287</v>
      </c>
      <c r="J51" s="196">
        <f t="shared" ca="1" si="8"/>
        <v>35.88994849726739</v>
      </c>
      <c r="K51" s="177"/>
      <c r="Q51" s="198">
        <f t="shared" si="14"/>
        <v>26.085314353368105</v>
      </c>
      <c r="R51" s="198">
        <f t="shared" si="19"/>
        <v>56.845380873630113</v>
      </c>
      <c r="S51" s="198">
        <f t="shared" si="15"/>
        <v>78.654788661163835</v>
      </c>
      <c r="T51" s="198">
        <f t="shared" si="20"/>
        <v>169.57024966776763</v>
      </c>
      <c r="U51" s="198">
        <f t="shared" si="16"/>
        <v>233.78582032842084</v>
      </c>
      <c r="V51" s="198">
        <f t="shared" si="17"/>
        <v>112.84197444765093</v>
      </c>
      <c r="W51" s="198"/>
      <c r="X51" s="199">
        <v>1.0000000000000002</v>
      </c>
      <c r="Y51" s="199">
        <v>0.65</v>
      </c>
      <c r="Z51" s="199">
        <v>0.30000000000000016</v>
      </c>
      <c r="AB51" s="192">
        <v>0.7</v>
      </c>
      <c r="AC51" s="192">
        <v>0.60000000000000031</v>
      </c>
      <c r="AD51" s="192">
        <v>0.42499999999999916</v>
      </c>
      <c r="AF51" s="198">
        <v>25.130778006883649</v>
      </c>
      <c r="AG51" s="198">
        <v>75.77658471908866</v>
      </c>
      <c r="AH51" s="198">
        <v>225.23092772589607</v>
      </c>
      <c r="AI51" s="198">
        <v>108.71276348395612</v>
      </c>
      <c r="AK51" s="170">
        <f t="shared" ca="1" si="11"/>
        <v>54546.724002176721</v>
      </c>
      <c r="AL51" s="169">
        <f t="shared" si="23"/>
        <v>0.23499999999999932</v>
      </c>
      <c r="AM51" s="170">
        <f t="shared" ca="1" si="12"/>
        <v>62597.300175513403</v>
      </c>
      <c r="AN51" s="170">
        <f t="shared" ca="1" si="13"/>
        <v>106548.5960434273</v>
      </c>
      <c r="AP51" s="197">
        <f t="shared" si="18"/>
        <v>110.75812782450819</v>
      </c>
      <c r="AQ51" s="197">
        <f t="shared" si="21"/>
        <v>112.98831077687012</v>
      </c>
      <c r="AR51" s="197">
        <f t="shared" si="22"/>
        <v>-2.230182952361929</v>
      </c>
      <c r="AV51" s="186">
        <f t="shared" ca="1" si="4"/>
        <v>42045108.533324085</v>
      </c>
      <c r="AW51" s="186">
        <f t="shared" ca="1" si="9"/>
        <v>35889948.497267388</v>
      </c>
      <c r="AX51" s="186">
        <f t="shared" ca="1" si="5"/>
        <v>22903840.578201082</v>
      </c>
      <c r="AZ51" s="186">
        <f t="shared" ca="1" si="10"/>
        <v>21586580.639693003</v>
      </c>
    </row>
    <row r="52" spans="1:52">
      <c r="A52" s="178">
        <v>2046</v>
      </c>
      <c r="B52" s="193">
        <f t="shared" si="1"/>
        <v>0.62000000000000033</v>
      </c>
      <c r="C52" s="193">
        <f t="shared" si="2"/>
        <v>0.65</v>
      </c>
      <c r="D52" s="193">
        <f t="shared" si="6"/>
        <v>0.8670000000000001</v>
      </c>
      <c r="E52" s="194">
        <v>113.46553623742268</v>
      </c>
      <c r="F52" s="195">
        <f t="shared" si="3"/>
        <v>117.77527063491338</v>
      </c>
      <c r="G52" s="190">
        <f ca="1">'GHG Emissions'!W48</f>
        <v>375408.887374966</v>
      </c>
      <c r="H52" s="191">
        <f ca="1">SUM('GHG Emissions'!I48,'GHG Emissions'!M48,'GHG Emissions'!P48,'GHG Emissions'!T48)</f>
        <v>354978.79419876134</v>
      </c>
      <c r="I52" s="190">
        <f t="shared" ca="1" si="7"/>
        <v>322554.36159303057</v>
      </c>
      <c r="J52" s="196">
        <f t="shared" ca="1" si="8"/>
        <v>37.988927231090891</v>
      </c>
      <c r="K52" s="177"/>
      <c r="Q52" s="198">
        <f t="shared" si="14"/>
        <v>24.520195492166017</v>
      </c>
      <c r="R52" s="198">
        <f t="shared" si="19"/>
        <v>55.995947130327501</v>
      </c>
      <c r="S52" s="198">
        <f t="shared" si="15"/>
        <v>78.654788661163835</v>
      </c>
      <c r="T52" s="198">
        <f t="shared" si="20"/>
        <v>178.45199651721029</v>
      </c>
      <c r="U52" s="198">
        <f t="shared" si="16"/>
        <v>250.1508277514103</v>
      </c>
      <c r="V52" s="198">
        <f t="shared" si="17"/>
        <v>117.77527063491338</v>
      </c>
      <c r="W52" s="198"/>
      <c r="X52" s="199">
        <v>1.0000000000000002</v>
      </c>
      <c r="Y52" s="199">
        <v>0.65</v>
      </c>
      <c r="Z52" s="199">
        <v>0.30000000000000016</v>
      </c>
      <c r="AB52" s="192">
        <v>0.72</v>
      </c>
      <c r="AC52" s="192">
        <v>0.62000000000000033</v>
      </c>
      <c r="AD52" s="192">
        <v>0.43999999999999917</v>
      </c>
      <c r="AF52" s="198">
        <v>23.622931326470628</v>
      </c>
      <c r="AG52" s="198">
        <v>75.77658471908866</v>
      </c>
      <c r="AH52" s="198">
        <v>240.9970926667088</v>
      </c>
      <c r="AI52" s="198">
        <v>113.46553623742268</v>
      </c>
      <c r="AK52" s="170">
        <f t="shared" ca="1" si="11"/>
        <v>52854.52578193543</v>
      </c>
      <c r="AL52" s="169">
        <f t="shared" si="23"/>
        <v>0.21799999999999931</v>
      </c>
      <c r="AM52" s="170">
        <f t="shared" ca="1" si="12"/>
        <v>58068.984843667735</v>
      </c>
      <c r="AN52" s="170">
        <f t="shared" ca="1" si="13"/>
        <v>101221.16624125592</v>
      </c>
      <c r="AP52" s="197">
        <f t="shared" si="18"/>
        <v>115.60032109859397</v>
      </c>
      <c r="AQ52" s="197">
        <f t="shared" si="21"/>
        <v>117.55475111045557</v>
      </c>
      <c r="AR52" s="197">
        <f t="shared" si="22"/>
        <v>-1.9544300118616036</v>
      </c>
      <c r="AV52" s="186">
        <f t="shared" ca="1" si="4"/>
        <v>44213883.309338339</v>
      </c>
      <c r="AW52" s="186">
        <f t="shared" ca="1" si="9"/>
        <v>37988927.231090888</v>
      </c>
      <c r="AX52" s="186">
        <f t="shared" ca="1" si="5"/>
        <v>23076400.126260132</v>
      </c>
      <c r="AZ52" s="186">
        <f t="shared" ca="1" si="10"/>
        <v>21891958.435697038</v>
      </c>
    </row>
    <row r="53" spans="1:52">
      <c r="A53" s="178">
        <v>2047</v>
      </c>
      <c r="B53" s="193">
        <f t="shared" si="1"/>
        <v>0.64000000000000035</v>
      </c>
      <c r="C53" s="193">
        <f t="shared" si="2"/>
        <v>0.65</v>
      </c>
      <c r="D53" s="193">
        <f t="shared" si="6"/>
        <v>0.87400000000000011</v>
      </c>
      <c r="E53" s="194">
        <v>118.53760000202827</v>
      </c>
      <c r="F53" s="195">
        <f t="shared" si="3"/>
        <v>123.03998538762912</v>
      </c>
      <c r="G53" s="190">
        <f ca="1">'GHG Emissions'!W49</f>
        <v>378215.68222793727</v>
      </c>
      <c r="H53" s="191">
        <f ca="1">SUM('GHG Emissions'!I49,'GHG Emissions'!M49,'GHG Emissions'!P49,'GHG Emissions'!T49)</f>
        <v>357771.41072109481</v>
      </c>
      <c r="I53" s="190">
        <f t="shared" ca="1" si="7"/>
        <v>327053.5271998762</v>
      </c>
      <c r="J53" s="196">
        <f t="shared" ca="1" si="8"/>
        <v>40.240661207645324</v>
      </c>
      <c r="K53" s="177"/>
      <c r="Q53" s="198">
        <f t="shared" si="14"/>
        <v>22.803781807714397</v>
      </c>
      <c r="R53" s="198">
        <f t="shared" si="19"/>
        <v>55.064401458505642</v>
      </c>
      <c r="S53" s="198">
        <f t="shared" si="15"/>
        <v>78.654788661163835</v>
      </c>
      <c r="T53" s="198">
        <f t="shared" si="20"/>
        <v>187.95546564611396</v>
      </c>
      <c r="U53" s="198">
        <f t="shared" si="16"/>
        <v>267.66138569400908</v>
      </c>
      <c r="V53" s="198">
        <f t="shared" si="17"/>
        <v>123.03998538762912</v>
      </c>
      <c r="W53" s="198"/>
      <c r="X53" s="199">
        <v>1.0000000000000002</v>
      </c>
      <c r="Y53" s="199">
        <v>0.65</v>
      </c>
      <c r="Z53" s="199">
        <v>0.30000000000000016</v>
      </c>
      <c r="AB53" s="192">
        <v>0.74</v>
      </c>
      <c r="AC53" s="192">
        <v>0.64000000000000035</v>
      </c>
      <c r="AD53" s="192">
        <v>0.45499999999999918</v>
      </c>
      <c r="AF53" s="198">
        <v>21.969326133617685</v>
      </c>
      <c r="AG53" s="198">
        <v>75.77658471908866</v>
      </c>
      <c r="AH53" s="198">
        <v>257.86688915337845</v>
      </c>
      <c r="AI53" s="198">
        <v>118.53760000202827</v>
      </c>
      <c r="AK53" s="170">
        <f t="shared" ca="1" si="11"/>
        <v>51162.155028061068</v>
      </c>
      <c r="AL53" s="169">
        <f t="shared" si="23"/>
        <v>0.20099999999999929</v>
      </c>
      <c r="AM53" s="170">
        <f t="shared" ca="1" si="12"/>
        <v>53540.669511822067</v>
      </c>
      <c r="AN53" s="170">
        <f t="shared" ca="1" si="13"/>
        <v>95893.736439084547</v>
      </c>
      <c r="AP53" s="197">
        <f t="shared" si="18"/>
        <v>120.76781264945633</v>
      </c>
      <c r="AQ53" s="197">
        <f t="shared" si="21"/>
        <v>122.42796465350139</v>
      </c>
      <c r="AR53" s="197">
        <f t="shared" si="22"/>
        <v>-1.6601520040450595</v>
      </c>
      <c r="AV53" s="186">
        <f t="shared" ca="1" si="4"/>
        <v>46535652.014697582</v>
      </c>
      <c r="AW53" s="186">
        <f t="shared" ca="1" si="9"/>
        <v>40240661.207645327</v>
      </c>
      <c r="AX53" s="186">
        <f t="shared" ca="1" si="5"/>
        <v>23248933.924147546</v>
      </c>
      <c r="AZ53" s="186">
        <f t="shared" ca="1" si="10"/>
        <v>22197319.510258026</v>
      </c>
    </row>
    <row r="54" spans="1:52">
      <c r="A54" s="178">
        <v>2048</v>
      </c>
      <c r="B54" s="193">
        <f t="shared" si="1"/>
        <v>0.66000000000000025</v>
      </c>
      <c r="C54" s="193">
        <f t="shared" si="2"/>
        <v>0.65</v>
      </c>
      <c r="D54" s="193">
        <f t="shared" si="6"/>
        <v>0.88100000000000012</v>
      </c>
      <c r="E54" s="194">
        <v>123.96864538537731</v>
      </c>
      <c r="F54" s="195">
        <f t="shared" si="3"/>
        <v>128.67731687228363</v>
      </c>
      <c r="G54" s="190">
        <f ca="1">'GHG Emissions'!W50</f>
        <v>381022.07460672036</v>
      </c>
      <c r="H54" s="191">
        <f ca="1">SUM('GHG Emissions'!I50,'GHG Emissions'!M50,'GHG Emissions'!P50,'GHG Emissions'!T50)</f>
        <v>360563.79053479579</v>
      </c>
      <c r="I54" s="190">
        <f t="shared" ca="1" si="7"/>
        <v>331552.45609808929</v>
      </c>
      <c r="J54" s="196">
        <f t="shared" ca="1" si="8"/>
        <v>42.663280453117743</v>
      </c>
      <c r="K54" s="177"/>
      <c r="Q54" s="198">
        <f t="shared" si="14"/>
        <v>20.979479263097247</v>
      </c>
      <c r="R54" s="198">
        <f t="shared" si="19"/>
        <v>54.07430148731212</v>
      </c>
      <c r="S54" s="198">
        <f t="shared" si="15"/>
        <v>78.654788661163835</v>
      </c>
      <c r="T54" s="198">
        <f t="shared" si="20"/>
        <v>198.12417761404089</v>
      </c>
      <c r="U54" s="198">
        <f t="shared" si="16"/>
        <v>286.39768269258974</v>
      </c>
      <c r="V54" s="198">
        <f t="shared" si="17"/>
        <v>128.67731687228363</v>
      </c>
      <c r="W54" s="198"/>
      <c r="X54" s="199">
        <v>1.0000000000000002</v>
      </c>
      <c r="Y54" s="199">
        <v>0.65</v>
      </c>
      <c r="Z54" s="199">
        <v>0.30000000000000016</v>
      </c>
      <c r="AB54" s="192">
        <v>0.76</v>
      </c>
      <c r="AC54" s="192">
        <v>0.66000000000000025</v>
      </c>
      <c r="AD54" s="192">
        <v>0.4699999999999992</v>
      </c>
      <c r="AF54" s="198">
        <v>20.211780042928272</v>
      </c>
      <c r="AG54" s="198">
        <v>75.77658471908866</v>
      </c>
      <c r="AH54" s="198">
        <v>275.91757139411499</v>
      </c>
      <c r="AI54" s="198">
        <v>123.96864538537731</v>
      </c>
      <c r="AK54" s="170">
        <f t="shared" ca="1" si="11"/>
        <v>49469.618508631072</v>
      </c>
      <c r="AL54" s="169">
        <f t="shared" si="23"/>
        <v>0.18399999999999928</v>
      </c>
      <c r="AM54" s="170">
        <f t="shared" ca="1" si="12"/>
        <v>49012.354179976399</v>
      </c>
      <c r="AN54" s="170">
        <f t="shared" ca="1" si="13"/>
        <v>90566.306636913214</v>
      </c>
      <c r="AP54" s="197">
        <f t="shared" si="18"/>
        <v>126.30103983927432</v>
      </c>
      <c r="AQ54" s="197">
        <f t="shared" si="21"/>
        <v>127.64608594364077</v>
      </c>
      <c r="AR54" s="197">
        <f t="shared" si="22"/>
        <v>-1.3450461043664461</v>
      </c>
      <c r="AV54" s="186">
        <f t="shared" ca="1" si="4"/>
        <v>49028898.229503848</v>
      </c>
      <c r="AW54" s="186">
        <f t="shared" ca="1" si="9"/>
        <v>42663280.453117743</v>
      </c>
      <c r="AX54" s="186">
        <f t="shared" ca="1" si="5"/>
        <v>23421442.981929656</v>
      </c>
      <c r="AZ54" s="186">
        <f t="shared" ca="1" si="10"/>
        <v>22502664.519261822</v>
      </c>
    </row>
    <row r="55" spans="1:52">
      <c r="A55" s="178">
        <v>2049</v>
      </c>
      <c r="B55" s="193">
        <f t="shared" si="1"/>
        <v>0.68000000000000027</v>
      </c>
      <c r="C55" s="193">
        <f t="shared" si="2"/>
        <v>0.65</v>
      </c>
      <c r="D55" s="193">
        <f t="shared" si="6"/>
        <v>0.88800000000000012</v>
      </c>
      <c r="E55" s="194">
        <v>129.80036864995216</v>
      </c>
      <c r="F55" s="195">
        <f t="shared" si="3"/>
        <v>134.73054509055115</v>
      </c>
      <c r="G55" s="190">
        <f ca="1">'GHG Emissions'!W51</f>
        <v>383828.07989623188</v>
      </c>
      <c r="H55" s="191">
        <f ca="1">SUM('GHG Emissions'!I51,'GHG Emissions'!M51,'GHG Emissions'!P51,'GHG Emissions'!T51)</f>
        <v>363355.94268792565</v>
      </c>
      <c r="I55" s="190">
        <f t="shared" ca="1" si="7"/>
        <v>336051.15733573126</v>
      </c>
      <c r="J55" s="196">
        <f t="shared" ca="1" si="8"/>
        <v>45.276355606153636</v>
      </c>
      <c r="K55" s="177"/>
      <c r="Q55" s="198">
        <f t="shared" si="14"/>
        <v>19.091326129418494</v>
      </c>
      <c r="R55" s="198">
        <f t="shared" si="19"/>
        <v>53.049548017126817</v>
      </c>
      <c r="S55" s="198">
        <f t="shared" si="15"/>
        <v>78.654788661163835</v>
      </c>
      <c r="T55" s="198">
        <f t="shared" si="20"/>
        <v>209.00469941972273</v>
      </c>
      <c r="U55" s="198">
        <f t="shared" si="16"/>
        <v>306.44552048107107</v>
      </c>
      <c r="V55" s="198">
        <f t="shared" si="17"/>
        <v>134.73054509055115</v>
      </c>
      <c r="W55" s="198"/>
      <c r="X55" s="199">
        <v>1.0000000000000002</v>
      </c>
      <c r="Y55" s="199">
        <v>0.65</v>
      </c>
      <c r="Z55" s="199">
        <v>0.30000000000000016</v>
      </c>
      <c r="AB55" s="192">
        <v>0.78</v>
      </c>
      <c r="AC55" s="192">
        <v>0.68000000000000027</v>
      </c>
      <c r="AD55" s="192">
        <v>0.48499999999999921</v>
      </c>
      <c r="AF55" s="198">
        <v>18.392719839064728</v>
      </c>
      <c r="AG55" s="198">
        <v>75.77658471908866</v>
      </c>
      <c r="AH55" s="198">
        <v>295.23180139170307</v>
      </c>
      <c r="AI55" s="198">
        <v>129.80036864995216</v>
      </c>
      <c r="AK55" s="170">
        <f t="shared" ca="1" si="11"/>
        <v>47776.922560500621</v>
      </c>
      <c r="AL55" s="169">
        <f t="shared" si="23"/>
        <v>0.16699999999999926</v>
      </c>
      <c r="AM55" s="170">
        <f t="shared" ca="1" si="12"/>
        <v>44484.038848130738</v>
      </c>
      <c r="AN55" s="170">
        <f t="shared" ca="1" si="13"/>
        <v>85238.876834741837</v>
      </c>
      <c r="AP55" s="197">
        <f t="shared" si="18"/>
        <v>132.24248342027815</v>
      </c>
      <c r="AQ55" s="197">
        <f t="shared" si="21"/>
        <v>133.24917654170059</v>
      </c>
      <c r="AR55" s="197">
        <f t="shared" si="22"/>
        <v>-1.0066931214224439</v>
      </c>
      <c r="AV55" s="186">
        <f t="shared" ca="1" si="4"/>
        <v>51713366.425478935</v>
      </c>
      <c r="AW55" s="186">
        <f t="shared" ca="1" si="9"/>
        <v>45276355.606153637</v>
      </c>
      <c r="AX55" s="186">
        <f t="shared" ca="1" si="5"/>
        <v>23593928.245317932</v>
      </c>
      <c r="AZ55" s="186">
        <f t="shared" ca="1" si="10"/>
        <v>22807994.076805789</v>
      </c>
    </row>
    <row r="56" spans="1:52">
      <c r="A56" s="178">
        <v>2050</v>
      </c>
      <c r="B56" s="193">
        <f t="shared" si="1"/>
        <v>0.7</v>
      </c>
      <c r="C56" s="193">
        <f t="shared" si="2"/>
        <v>0.65</v>
      </c>
      <c r="D56" s="193">
        <f t="shared" si="6"/>
        <v>0.89500000000000002</v>
      </c>
      <c r="E56" s="194">
        <v>136.07602002112307</v>
      </c>
      <c r="F56" s="195">
        <f t="shared" si="3"/>
        <v>141.24456303079552</v>
      </c>
      <c r="G56" s="190">
        <f ca="1">'GHG Emissions'!W52</f>
        <v>386633.71252553025</v>
      </c>
      <c r="H56" s="191">
        <f ca="1">SUM('GHG Emissions'!I52,'GHG Emissions'!M52,'GHG Emissions'!P52,'GHG Emissions'!T52)</f>
        <v>366147.87566639803</v>
      </c>
      <c r="I56" s="190">
        <f t="shared" ca="1" si="7"/>
        <v>340549.63939871575</v>
      </c>
      <c r="J56" s="196">
        <f t="shared" ca="1" si="8"/>
        <v>48.100785007166593</v>
      </c>
      <c r="K56" s="177"/>
      <c r="Q56" s="198">
        <f t="shared" si="14"/>
        <v>17.182193516476648</v>
      </c>
      <c r="R56" s="198">
        <f t="shared" si="19"/>
        <v>52.013408397272798</v>
      </c>
      <c r="S56" s="198">
        <f t="shared" si="15"/>
        <v>78.654788661163835</v>
      </c>
      <c r="T56" s="198">
        <f t="shared" si="20"/>
        <v>220.64685775180226</v>
      </c>
      <c r="U56" s="198">
        <f t="shared" si="16"/>
        <v>327.89670691474606</v>
      </c>
      <c r="V56" s="198">
        <f t="shared" si="17"/>
        <v>141.24456303079552</v>
      </c>
      <c r="W56" s="198"/>
      <c r="X56" s="199">
        <v>1.0000000000000002</v>
      </c>
      <c r="Y56" s="199">
        <v>0.65</v>
      </c>
      <c r="Z56" s="199">
        <v>0.30000000000000016</v>
      </c>
      <c r="AB56" s="192">
        <v>0.8</v>
      </c>
      <c r="AC56" s="192">
        <v>0.7</v>
      </c>
      <c r="AD56" s="192">
        <v>0.5</v>
      </c>
      <c r="AF56" s="198">
        <v>16.553447855158257</v>
      </c>
      <c r="AG56" s="198">
        <v>75.77658471908866</v>
      </c>
      <c r="AH56" s="198">
        <v>315.89802748912228</v>
      </c>
      <c r="AI56" s="198">
        <v>136.07602002112307</v>
      </c>
      <c r="AK56" s="170">
        <f t="shared" ca="1" si="11"/>
        <v>46084.073126814503</v>
      </c>
      <c r="AL56" s="169">
        <v>0.15</v>
      </c>
      <c r="AM56" s="170">
        <f t="shared" ca="1" si="12"/>
        <v>39955.723516285267</v>
      </c>
      <c r="AN56" s="170">
        <f t="shared" ca="1" si="13"/>
        <v>79911.447032570548</v>
      </c>
      <c r="AP56" s="197">
        <f t="shared" si="18"/>
        <v>138.63620734444993</v>
      </c>
      <c r="AQ56" s="197">
        <f t="shared" si="21"/>
        <v>139.27879104829231</v>
      </c>
      <c r="AR56" s="197">
        <f t="shared" si="22"/>
        <v>-0.64258370384237651</v>
      </c>
      <c r="AV56" s="186">
        <f t="shared" ca="1" si="4"/>
        <v>54609909.778642729</v>
      </c>
      <c r="AW56" s="186">
        <f t="shared" ca="1" si="9"/>
        <v>48100785.007166594</v>
      </c>
      <c r="AX56" s="186">
        <f t="shared" ca="1" si="5"/>
        <v>23766390.6012672</v>
      </c>
      <c r="AZ56" s="186">
        <f t="shared" ca="1" si="10"/>
        <v>23113308.75883399</v>
      </c>
    </row>
  </sheetData>
  <mergeCells count="2">
    <mergeCell ref="M5:O5"/>
    <mergeCell ref="M9:O9"/>
  </mergeCells>
  <dataValidations disablePrompts="1" count="1">
    <dataValidation type="list" allowBlank="1" showInputMessage="1" showErrorMessage="1" sqref="O2">
      <formula1>$N$30:$N$31</formula1>
    </dataValidation>
  </dataValidations>
  <hyperlinks>
    <hyperlink ref="F3" location="FAQ!A1" display="Return to FAQ"/>
  </hyperlink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sheetPr codeName="Sheet58">
    <tabColor rgb="FFA9DA74"/>
  </sheetPr>
  <dimension ref="A1:AY84"/>
  <sheetViews>
    <sheetView workbookViewId="0">
      <pane xSplit="1" topLeftCell="B1" activePane="topRight" state="frozen"/>
      <selection activeCell="K14" sqref="K14"/>
      <selection pane="topRight" activeCell="K2" sqref="K2"/>
    </sheetView>
  </sheetViews>
  <sheetFormatPr defaultRowHeight="15"/>
  <cols>
    <col min="11" max="11" width="15.28515625" bestFit="1" customWidth="1"/>
    <col min="12" max="12" width="12.85546875" customWidth="1"/>
    <col min="13" max="13" width="12.42578125" customWidth="1"/>
    <col min="27" max="27" width="13.7109375" bestFit="1" customWidth="1"/>
    <col min="28" max="28" width="12.5703125" bestFit="1" customWidth="1"/>
    <col min="30" max="30" width="12.5703125" bestFit="1" customWidth="1"/>
    <col min="35" max="36" width="13" customWidth="1"/>
    <col min="38" max="38" width="15.28515625" bestFit="1" customWidth="1"/>
    <col min="39" max="39" width="12.5703125" bestFit="1" customWidth="1"/>
    <col min="40" max="40" width="12.42578125" customWidth="1"/>
    <col min="41" max="42" width="12.5703125" bestFit="1" customWidth="1"/>
    <col min="44" max="44" width="13.7109375" bestFit="1" customWidth="1"/>
    <col min="45" max="45" width="15.28515625" bestFit="1" customWidth="1"/>
    <col min="46" max="46" width="1.7109375" customWidth="1"/>
    <col min="51" max="51" width="10.5703125" customWidth="1"/>
  </cols>
  <sheetData>
    <row r="1" spans="1:50" ht="60">
      <c r="C1" s="257" t="s">
        <v>226</v>
      </c>
      <c r="D1" s="258" t="s">
        <v>1476</v>
      </c>
      <c r="E1" s="258"/>
      <c r="J1" s="259"/>
      <c r="K1" s="260" t="s">
        <v>227</v>
      </c>
      <c r="L1" s="261" t="s">
        <v>228</v>
      </c>
      <c r="M1" s="262" t="s">
        <v>229</v>
      </c>
      <c r="N1" s="263"/>
      <c r="O1" s="263"/>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2010</v>
      </c>
      <c r="E2" s="266"/>
      <c r="J2" s="267" t="s">
        <v>231</v>
      </c>
      <c r="K2" s="268">
        <f ca="1">NPV(DiscountRate,AA19:AA59)</f>
        <v>-160784739.98705775</v>
      </c>
      <c r="L2" s="269">
        <f ca="1">-SUM(OFFSET(W19,0,0,M2-2010+1,4))</f>
        <v>-13526185.837324223</v>
      </c>
      <c r="M2" s="270">
        <v>2050</v>
      </c>
      <c r="N2" s="271"/>
      <c r="O2" s="271"/>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1471</v>
      </c>
      <c r="K3" s="276">
        <f ca="1">NPV(DiscountRate,AJ19:AJ59)</f>
        <v>-443874996.87127405</v>
      </c>
      <c r="L3" s="277" t="s">
        <v>235</v>
      </c>
      <c r="M3" s="278">
        <f ca="1">-SUM(OFFSET(W19,M2-2010,0,1,4))</f>
        <v>-386771.95618661388</v>
      </c>
      <c r="N3" s="272"/>
      <c r="O3" s="272"/>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1472</v>
      </c>
      <c r="K4" s="276">
        <f>NPV(DiscountRate,AK19:AK59)</f>
        <v>0</v>
      </c>
      <c r="L4" s="278">
        <f ca="1">L2/(2050-D2)</f>
        <v>-338154.64593310555</v>
      </c>
      <c r="M4" s="281">
        <f ca="1">-SUM(OFFSET(W19,M2-2010,0,1,4))/SUM(OFFSET(ExposureCalculations!G16,M2-2010,0,1,3))</f>
        <v>-0.35375551930309068</v>
      </c>
      <c r="N4" s="272"/>
      <c r="O4" s="272"/>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939</v>
      </c>
      <c r="E5" s="273"/>
      <c r="F5" s="272"/>
      <c r="G5" s="272"/>
      <c r="H5" s="272"/>
      <c r="I5" s="273"/>
      <c r="J5" s="275" t="s">
        <v>238</v>
      </c>
      <c r="K5" s="276">
        <f>NPV(DiscountRate,AL19:AL59)</f>
        <v>-602542054.93848658</v>
      </c>
      <c r="L5" s="277"/>
      <c r="M5" s="272"/>
      <c r="N5" s="272"/>
      <c r="O5" s="272"/>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1474</v>
      </c>
      <c r="K6" s="276">
        <f>NPV(DiscountRate,AN19:AN59)</f>
        <v>0</v>
      </c>
      <c r="L6" s="277"/>
      <c r="M6" s="272"/>
      <c r="N6" s="272"/>
      <c r="O6" s="272"/>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1482</v>
      </c>
      <c r="K7" s="276">
        <f>NPV(DiscountRate,AO19:AO59)</f>
        <v>-358027482.58934581</v>
      </c>
      <c r="L7" s="272"/>
      <c r="M7" s="272"/>
      <c r="N7" s="272"/>
      <c r="O7" s="272"/>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-1565229274.3861644</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-1.5977095898243292</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t="str">
        <f ca="1">IFERROR(COUNTIF(AS19:AS59,"&lt;=0")+1-INDEX(AS19:AS59,COUNTIF(AS19:AS59,"&lt;=0")+1)/INDEX(AR19:AR59,COUNTIF(AS19:AS59,"&lt;=0")+1)-(D2-2010),"Check Calc")</f>
        <v>Check Calc</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-1404444534.3991067</v>
      </c>
      <c r="L12" s="283"/>
      <c r="M12" s="272"/>
      <c r="N12" s="272"/>
      <c r="O12" s="272"/>
      <c r="P12" s="272"/>
      <c r="Q12" s="272"/>
      <c r="R12" s="272"/>
      <c r="S12" s="272"/>
      <c r="T12" s="272"/>
      <c r="U12" s="272"/>
      <c r="V12" s="272"/>
      <c r="W12" s="272"/>
      <c r="X12" s="272"/>
      <c r="Y12" s="272"/>
      <c r="Z12" s="272"/>
      <c r="AA12" s="272"/>
      <c r="AB12" s="272"/>
      <c r="AC12" s="272"/>
      <c r="AE12" s="272"/>
      <c r="AF12" s="272"/>
      <c r="AG12" s="272"/>
      <c r="AH12" s="272"/>
      <c r="AI12" s="273"/>
      <c r="AJ12" s="279"/>
      <c r="AK12" s="273"/>
      <c r="AL12" s="1284">
        <v>350</v>
      </c>
      <c r="AM12" s="272" t="s">
        <v>1475</v>
      </c>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99999.4</v>
      </c>
      <c r="L13" s="1207" t="str">
        <f ca="1">IF(K13&gt;99998,"(Values $99,999 and above indicate net carbon increase)","")</f>
        <v>(Values $99,999 and above indicate net carbon increase)</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84"/>
      <c r="AM13" s="273"/>
      <c r="AN13" s="273"/>
    </row>
    <row r="14" spans="1:50">
      <c r="A14" s="272"/>
      <c r="B14" s="282"/>
      <c r="C14" s="282"/>
      <c r="D14" s="282"/>
      <c r="E14" s="282"/>
      <c r="F14" s="272"/>
      <c r="G14" s="272"/>
      <c r="H14" s="272"/>
      <c r="I14" s="273"/>
      <c r="J14" s="275" t="s">
        <v>247</v>
      </c>
      <c r="K14" s="276" t="str">
        <f ca="1">IFERROR(IF(L2&lt;0,"",-K2/SUM(NPV(DiscountRate,W19:W59),NPV(DiscountRate,X19:X59),NPV(DiscountRate,Y19:Y59),NPV(DiscountRate,Z19:Z59))),"")</f>
        <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1473</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1">
      <c r="A19" s="303">
        <v>2010</v>
      </c>
      <c r="B19" s="304">
        <f ca="1">IF($D$3="BAU",UtilityDemand!C12,INDIRECT($D$3&amp;"!B"&amp;ROW(A19))+INDIRECT($D$3&amp;"!D"&amp;ROW(A19)))</f>
        <v>128552.63513418502</v>
      </c>
      <c r="C19" s="305">
        <v>0</v>
      </c>
      <c r="D19" s="306">
        <f ca="1">B19</f>
        <v>128552.63513418502</v>
      </c>
      <c r="E19" s="304">
        <f ca="1">IF($D$3="BAU",UtilityDemand!E12,INDIRECT($D$3&amp;"!E"&amp;ROW(D19))+INDIRECT($D$3&amp;"!G"&amp;ROW(D19)))</f>
        <v>685461.01512967527</v>
      </c>
      <c r="F19" s="305">
        <v>0</v>
      </c>
      <c r="G19" s="306">
        <f ca="1">E19</f>
        <v>685461.01512967527</v>
      </c>
      <c r="H19" s="304">
        <f ca="1">IF($D$3="BAU",UtilityDemand!G12,INDIRECT($D$3&amp;"!H"&amp;ROW(G19))+INDIRECT($D$3&amp;"!J"&amp;ROW(G19)))</f>
        <v>179442.39456260367</v>
      </c>
      <c r="I19" s="305">
        <v>0</v>
      </c>
      <c r="J19" s="306">
        <f ca="1">H19</f>
        <v>179442.39456260367</v>
      </c>
      <c r="K19" s="307">
        <f ca="1">IF($D$3="BAU",B19+D19,INDIRECT($D$3&amp;"!B"&amp;ROW(A19))+INDIRECT($D$3&amp;"!D"&amp;ROW(A19))+INDIRECT($D$3&amp;"!L"&amp;ROW(A19))+D19)</f>
        <v>257105.27026837005</v>
      </c>
      <c r="L19" s="307">
        <f>-M19</f>
        <v>0</v>
      </c>
      <c r="M19" s="307">
        <v>0</v>
      </c>
      <c r="N19" s="307">
        <f ca="1">K19+L19</f>
        <v>257105.27026837005</v>
      </c>
      <c r="O19" s="306">
        <f ca="1">IF($D$3="BAU",E19+G19,INDIRECT($D$3&amp;"!E"&amp;ROW(A19))+INDIRECT($D$3&amp;"!G"&amp;ROW(A19))+INDIRECT($D$3&amp;"!P"&amp;ROW(A19))+G19)</f>
        <v>1370922.0302593505</v>
      </c>
      <c r="P19" s="306">
        <f>-Q19</f>
        <v>0</v>
      </c>
      <c r="Q19" s="306">
        <v>0</v>
      </c>
      <c r="R19" s="306">
        <f ca="1">O19+P19</f>
        <v>1370922.0302593505</v>
      </c>
      <c r="S19" s="818">
        <f ca="1">IF($D$3="BAU",H19+J19,INDIRECT($D$3&amp;"!H"&amp;ROW(A19))+INDIRECT($D$3&amp;"!J"&amp;ROW(A19))+INDIRECT($D$3&amp;"!T"&amp;ROW(A19))+J19)</f>
        <v>358884.78912520735</v>
      </c>
      <c r="T19" s="818">
        <f>-U19</f>
        <v>0</v>
      </c>
      <c r="U19" s="818">
        <v>0</v>
      </c>
      <c r="V19" s="818">
        <f ca="1">S19+T19</f>
        <v>358884.78912520735</v>
      </c>
      <c r="W19" s="306">
        <f ca="1">'GHG Emissions'!I12</f>
        <v>19403.967151784022</v>
      </c>
      <c r="X19" s="306">
        <f ca="1">'GHG Emissions'!M12</f>
        <v>185377.09432992962</v>
      </c>
      <c r="Y19" s="306">
        <f ca="1">SUM('GHG Emissions'!N12:O12)</f>
        <v>16281.643397406457</v>
      </c>
      <c r="Z19" s="306">
        <f ca="1">'GHG Emissions'!U12-SUM('GHG Emissions'!N12:O12)</f>
        <v>45441.480365382726</v>
      </c>
      <c r="AA19" s="308">
        <f>-ExposureCalculations!J16*1000000</f>
        <v>0</v>
      </c>
      <c r="AB19" s="308">
        <f t="shared" ref="AB19:AB59" ca="1" si="1">-SUM(D19,L19)*OFFSET(Price_PE_MWh,A19-$A$19+3,0)</f>
        <v>-10926973.986405727</v>
      </c>
      <c r="AC19" s="308">
        <v>0</v>
      </c>
      <c r="AD19" s="819">
        <f t="shared" ref="AD19:AD59" ca="1" si="2">-SUM(G19,P19)*OFFSET(Price_PS_mmbtu,A19-$A$19+3,0)</f>
        <v>-7583823.9971793862</v>
      </c>
      <c r="AE19" s="308">
        <v>0</v>
      </c>
      <c r="AF19" s="819">
        <f t="shared" ref="AF19:AF59" ca="1" si="3">-SUM(J19,T19)*OFFSET(Price_PCW_mmbtu,A19-$A$19+3,0)</f>
        <v>-3469219.6282103374</v>
      </c>
      <c r="AG19" s="308">
        <v>0</v>
      </c>
      <c r="AH19" s="308">
        <v>0</v>
      </c>
      <c r="AI19" s="308">
        <v>0</v>
      </c>
      <c r="AJ19" s="308">
        <f t="shared" ref="AJ19:AJ59" ca="1" si="4">SUM(AB19:AI19)</f>
        <v>-21980017.611795448</v>
      </c>
      <c r="AK19" s="309">
        <v>0</v>
      </c>
      <c r="AL19" s="309">
        <f>-CampusArea!E12*$AL$12*1000-CampusArea!D12*$AL$12*SpacePlanning!$AU$53*1000</f>
        <v>-34029118.383769982</v>
      </c>
      <c r="AM19" s="309">
        <f>SUM(AK19:AL19)</f>
        <v>-34029118.383769982</v>
      </c>
      <c r="AN19" s="310">
        <v>0</v>
      </c>
      <c r="AO19" s="310">
        <f>-CampusArea!G12*SpacePlanning!$AU$62*1000</f>
        <v>-18993579.349171162</v>
      </c>
      <c r="AP19" s="310">
        <f>SUM(AN19:AO19)</f>
        <v>-18993579.349171162</v>
      </c>
      <c r="AQ19" s="309">
        <v>0</v>
      </c>
      <c r="AR19" s="311">
        <f t="shared" ref="AR19:AR59" ca="1" si="5">SUM(AA19,AJ19,AM19,AP19,AQ19)</f>
        <v>-75002715.344736591</v>
      </c>
      <c r="AS19" s="870">
        <f ca="1">AR19</f>
        <v>-75002715.344736591</v>
      </c>
      <c r="AT19" s="822"/>
      <c r="AU19" s="878"/>
      <c r="AV19" s="879"/>
      <c r="AW19" s="879"/>
      <c r="AX19" s="35"/>
      <c r="AY19" s="880"/>
    </row>
    <row r="20" spans="1:51">
      <c r="A20" s="303">
        <v>2011</v>
      </c>
      <c r="B20" s="304">
        <f ca="1">IF($D$3="BAU",UtilityDemand!C13,INDIRECT($D$3&amp;"!B"&amp;ROW(A20))+INDIRECT($D$3&amp;"!D"&amp;ROW(A20)))</f>
        <v>130129.26073503707</v>
      </c>
      <c r="C20" s="305">
        <v>0</v>
      </c>
      <c r="D20" s="306">
        <f t="shared" ref="D20:D59" ca="1" si="6">B20</f>
        <v>130129.26073503707</v>
      </c>
      <c r="E20" s="304">
        <f ca="1">IF($D$3="BAU",UtilityDemand!E13,INDIRECT($D$3&amp;"!E"&amp;ROW(D20))+INDIRECT($D$3&amp;"!G"&amp;ROW(D20)))</f>
        <v>693847.61425935081</v>
      </c>
      <c r="F20" s="305">
        <v>0</v>
      </c>
      <c r="G20" s="306">
        <f t="shared" ref="G20:G59" ca="1" si="7">E20</f>
        <v>693847.61425935081</v>
      </c>
      <c r="H20" s="304">
        <f ca="1">IF($D$3="BAU",UtilityDemand!G13,INDIRECT($D$3&amp;"!H"&amp;ROW(G20))+INDIRECT($D$3&amp;"!J"&amp;ROW(G20)))</f>
        <v>182506.92912520736</v>
      </c>
      <c r="I20" s="305">
        <v>0</v>
      </c>
      <c r="J20" s="306">
        <f t="shared" ref="J20:J59" ca="1" si="8">H20</f>
        <v>182506.92912520736</v>
      </c>
      <c r="K20" s="307">
        <f t="shared" ref="K20:K59" ca="1" si="9">IF($D$3="BAU",B20+D20,INDIRECT($D$3&amp;"!B"&amp;ROW(A20))+INDIRECT($D$3&amp;"!D"&amp;ROW(A20))+INDIRECT($D$3&amp;"!L"&amp;ROW(A20))+D20)</f>
        <v>260258.52147007413</v>
      </c>
      <c r="L20" s="307">
        <f t="shared" ref="L20:L59" si="10">-M20</f>
        <v>0</v>
      </c>
      <c r="M20" s="307">
        <v>0</v>
      </c>
      <c r="N20" s="307">
        <f t="shared" ref="N20:N59" ca="1" si="11">K20+L20</f>
        <v>260258.52147007413</v>
      </c>
      <c r="O20" s="306">
        <f t="shared" ref="O20:O59" ca="1" si="12">IF($D$3="BAU",E20+G20,INDIRECT($D$3&amp;"!E"&amp;ROW(A20))+INDIRECT($D$3&amp;"!G"&amp;ROW(A20))+INDIRECT($D$3&amp;"!P"&amp;ROW(A20))+G20)</f>
        <v>1387695.2285187016</v>
      </c>
      <c r="P20" s="306">
        <f t="shared" ref="P20:P59" si="13">-Q20</f>
        <v>0</v>
      </c>
      <c r="Q20" s="306">
        <v>0</v>
      </c>
      <c r="R20" s="306">
        <f t="shared" ref="R20:R59" ca="1" si="14">O20+P20</f>
        <v>1387695.2285187016</v>
      </c>
      <c r="S20" s="818">
        <f t="shared" ref="S20:S59" ca="1" si="15">IF($D$3="BAU",H20+J20,INDIRECT($D$3&amp;"!H"&amp;ROW(A20))+INDIRECT($D$3&amp;"!J"&amp;ROW(A20))+INDIRECT($D$3&amp;"!T"&amp;ROW(A20))+J20)</f>
        <v>365013.85825041472</v>
      </c>
      <c r="T20" s="818">
        <f t="shared" ref="T20:T59" si="16">-U20</f>
        <v>0</v>
      </c>
      <c r="U20" s="818">
        <v>0</v>
      </c>
      <c r="V20" s="818">
        <f t="shared" ref="V20:V59" ca="1" si="17">S20+T20</f>
        <v>365013.85825041472</v>
      </c>
      <c r="W20" s="306">
        <f ca="1">'GHG Emissions'!I13</f>
        <v>19635.559920844986</v>
      </c>
      <c r="X20" s="306">
        <f ca="1">'GHG Emissions'!M13</f>
        <v>187751.06641222836</v>
      </c>
      <c r="Y20" s="306">
        <f ca="1">SUM('GHG Emissions'!N13:O13)</f>
        <v>16337.600376534232</v>
      </c>
      <c r="Z20" s="306">
        <f ca="1">'GHG Emissions'!U13-SUM('GHG Emissions'!N13:O13)</f>
        <v>45712.571212049814</v>
      </c>
      <c r="AA20" s="308">
        <f>-ExposureCalculations!J17*1000000</f>
        <v>0</v>
      </c>
      <c r="AB20" s="308">
        <f t="shared" ca="1" si="1"/>
        <v>-11116292.09829054</v>
      </c>
      <c r="AC20" s="308">
        <v>0</v>
      </c>
      <c r="AD20" s="819">
        <f t="shared" ca="1" si="2"/>
        <v>-7714994.9619560996</v>
      </c>
      <c r="AE20" s="308">
        <v>0</v>
      </c>
      <c r="AF20" s="819">
        <f t="shared" ca="1" si="3"/>
        <v>-3528467.2964206752</v>
      </c>
      <c r="AG20" s="308">
        <v>0</v>
      </c>
      <c r="AH20" s="308">
        <v>0</v>
      </c>
      <c r="AI20" s="308">
        <v>0</v>
      </c>
      <c r="AJ20" s="308">
        <f t="shared" ca="1" si="4"/>
        <v>-22359754.356667314</v>
      </c>
      <c r="AK20" s="309">
        <v>0</v>
      </c>
      <c r="AL20" s="309">
        <f>-(CampusArea!E13-CampusArea!E12)*$AL$12*1000-(CampusArea!D13-CampusArea!D12)*$AL$12*SpacePlanning!$AU$53*1000</f>
        <v>-34029118.383770302</v>
      </c>
      <c r="AM20" s="309">
        <f t="shared" ref="AM20:AM59" si="18">SUM(AK20:AL20)</f>
        <v>-34029118.383770302</v>
      </c>
      <c r="AN20" s="310">
        <v>0</v>
      </c>
      <c r="AO20" s="310">
        <f>-CampusArea!G13*SpacePlanning!$AU$62*1000</f>
        <v>-19225965.338342324</v>
      </c>
      <c r="AP20" s="310">
        <f t="shared" ref="AP20:AP59" si="19">SUM(AN20:AO20)</f>
        <v>-19225965.338342324</v>
      </c>
      <c r="AQ20" s="309">
        <v>0</v>
      </c>
      <c r="AR20" s="311">
        <f t="shared" ca="1" si="5"/>
        <v>-75614838.078779936</v>
      </c>
      <c r="AS20" s="870">
        <f t="shared" ref="AS20:AS59" ca="1" si="20">AR20+AS19</f>
        <v>-150617553.42351651</v>
      </c>
      <c r="AT20" s="822"/>
      <c r="AU20" s="878"/>
      <c r="AV20" s="35"/>
      <c r="AW20" s="879"/>
      <c r="AX20" s="35"/>
      <c r="AY20" s="880"/>
    </row>
    <row r="21" spans="1:51">
      <c r="A21" s="303">
        <v>2012</v>
      </c>
      <c r="B21" s="304">
        <f ca="1">IF($D$3="BAU",UtilityDemand!C14,INDIRECT($D$3&amp;"!B"&amp;ROW(A21))+INDIRECT($D$3&amp;"!D"&amp;ROW(A21)))</f>
        <v>133825.36797702796</v>
      </c>
      <c r="C21" s="305">
        <v>0</v>
      </c>
      <c r="D21" s="306">
        <f t="shared" ca="1" si="6"/>
        <v>133825.36797702796</v>
      </c>
      <c r="E21" s="304">
        <f ca="1">IF($D$3="BAU",UtilityDemand!E14,INDIRECT($D$3&amp;"!E"&amp;ROW(D21))+INDIRECT($D$3&amp;"!G"&amp;ROW(D21)))</f>
        <v>713508.44544344163</v>
      </c>
      <c r="F21" s="305">
        <v>0</v>
      </c>
      <c r="G21" s="306">
        <f t="shared" ca="1" si="7"/>
        <v>713508.44544344163</v>
      </c>
      <c r="H21" s="304">
        <f ca="1">IF($D$3="BAU",UtilityDemand!G14,INDIRECT($D$3&amp;"!H"&amp;ROW(G21))+INDIRECT($D$3&amp;"!J"&amp;ROW(G21)))</f>
        <v>188515.56027382973</v>
      </c>
      <c r="I21" s="305">
        <v>0</v>
      </c>
      <c r="J21" s="306">
        <f t="shared" ca="1" si="8"/>
        <v>188515.56027382973</v>
      </c>
      <c r="K21" s="307">
        <f t="shared" ca="1" si="9"/>
        <v>267650.73595405591</v>
      </c>
      <c r="L21" s="307">
        <f t="shared" si="10"/>
        <v>0</v>
      </c>
      <c r="M21" s="307">
        <v>0</v>
      </c>
      <c r="N21" s="307">
        <f t="shared" ca="1" si="11"/>
        <v>267650.73595405591</v>
      </c>
      <c r="O21" s="306">
        <f t="shared" ca="1" si="12"/>
        <v>1427016.8908868833</v>
      </c>
      <c r="P21" s="306">
        <f t="shared" si="13"/>
        <v>0</v>
      </c>
      <c r="Q21" s="306">
        <v>0</v>
      </c>
      <c r="R21" s="306">
        <f t="shared" ca="1" si="14"/>
        <v>1427016.8908868833</v>
      </c>
      <c r="S21" s="818">
        <f t="shared" ca="1" si="15"/>
        <v>377031.12054765946</v>
      </c>
      <c r="T21" s="818">
        <f t="shared" si="16"/>
        <v>0</v>
      </c>
      <c r="U21" s="818">
        <v>0</v>
      </c>
      <c r="V21" s="818">
        <f t="shared" ca="1" si="17"/>
        <v>377031.12054765946</v>
      </c>
      <c r="W21" s="306">
        <f ca="1">'GHG Emissions'!I14</f>
        <v>20175.606093442471</v>
      </c>
      <c r="X21" s="306">
        <f ca="1">'GHG Emissions'!M14</f>
        <v>193176.76173885536</v>
      </c>
      <c r="Y21" s="306">
        <f ca="1">SUM('GHG Emissions'!N14:O14)</f>
        <v>16380.512622993585</v>
      </c>
      <c r="Z21" s="306">
        <f ca="1">'GHG Emissions'!U14-SUM('GHG Emissions'!N14:O14)</f>
        <v>46192.421723495987</v>
      </c>
      <c r="AA21" s="308">
        <f>-ExposureCalculations!J18*1000000</f>
        <v>0</v>
      </c>
      <c r="AB21" s="308">
        <f t="shared" ca="1" si="1"/>
        <v>-11489192.219734797</v>
      </c>
      <c r="AC21" s="308">
        <v>0</v>
      </c>
      <c r="AD21" s="819">
        <f t="shared" ca="1" si="2"/>
        <v>-7973274.705461408</v>
      </c>
      <c r="AE21" s="308">
        <v>0</v>
      </c>
      <c r="AF21" s="819">
        <f t="shared" ca="1" si="3"/>
        <v>-3644634.1652940414</v>
      </c>
      <c r="AG21" s="308">
        <v>0</v>
      </c>
      <c r="AH21" s="308">
        <v>0</v>
      </c>
      <c r="AI21" s="308">
        <v>0</v>
      </c>
      <c r="AJ21" s="308">
        <f ca="1">SUM(AB21:AI21)</f>
        <v>-23107101.090490244</v>
      </c>
      <c r="AK21" s="309">
        <v>0</v>
      </c>
      <c r="AL21" s="309">
        <f>-(CampusArea!E14-CampusArea!E13)*$AL$12*1000-(CampusArea!D14-CampusArea!D13)*$AL$12*SpacePlanning!$AU$53*1000</f>
        <v>-72529118.383769974</v>
      </c>
      <c r="AM21" s="309">
        <f t="shared" si="18"/>
        <v>-72529118.383769974</v>
      </c>
      <c r="AN21" s="310">
        <v>0</v>
      </c>
      <c r="AO21" s="310">
        <f>-CampusArea!G14*SpacePlanning!$AU$62*1000</f>
        <v>-19770751.327513486</v>
      </c>
      <c r="AP21" s="310">
        <f t="shared" si="19"/>
        <v>-19770751.327513486</v>
      </c>
      <c r="AQ21" s="309">
        <v>0</v>
      </c>
      <c r="AR21" s="311">
        <f t="shared" ca="1" si="5"/>
        <v>-115406970.8017737</v>
      </c>
      <c r="AS21" s="870">
        <f t="shared" ca="1" si="20"/>
        <v>-266024524.22529021</v>
      </c>
      <c r="AT21" s="822"/>
      <c r="AU21" s="878"/>
      <c r="AV21" s="35"/>
      <c r="AW21" s="879"/>
      <c r="AX21" s="35"/>
      <c r="AY21" s="880"/>
    </row>
    <row r="22" spans="1:51">
      <c r="A22" s="303">
        <v>2013</v>
      </c>
      <c r="B22" s="304">
        <f ca="1">IF($D$3="BAU",UtilityDemand!C15,INDIRECT($D$3&amp;"!B"&amp;ROW(A22))+INDIRECT($D$3&amp;"!D"&amp;ROW(A22)))</f>
        <v>135980.03402546333</v>
      </c>
      <c r="C22" s="305">
        <v>0</v>
      </c>
      <c r="D22" s="306">
        <f t="shared" ca="1" si="6"/>
        <v>135980.03402546333</v>
      </c>
      <c r="E22" s="304">
        <f ca="1">IF($D$3="BAU",UtilityDemand!E15,INDIRECT($D$3&amp;"!E"&amp;ROW(D22))+INDIRECT($D$3&amp;"!G"&amp;ROW(D22)))</f>
        <v>724969.83513341204</v>
      </c>
      <c r="F22" s="305">
        <v>0</v>
      </c>
      <c r="G22" s="306">
        <f t="shared" ca="1" si="7"/>
        <v>724969.83513341204</v>
      </c>
      <c r="H22" s="304">
        <f ca="1">IF($D$3="BAU",UtilityDemand!G15,INDIRECT($D$3&amp;"!H"&amp;ROW(G22))+INDIRECT($D$3&amp;"!J"&amp;ROW(G22)))</f>
        <v>192383.03026898397</v>
      </c>
      <c r="I22" s="305">
        <v>0</v>
      </c>
      <c r="J22" s="306">
        <f t="shared" ca="1" si="8"/>
        <v>192383.03026898397</v>
      </c>
      <c r="K22" s="307">
        <f t="shared" ca="1" si="9"/>
        <v>271960.06805092667</v>
      </c>
      <c r="L22" s="307">
        <f t="shared" si="10"/>
        <v>0</v>
      </c>
      <c r="M22" s="307">
        <v>0</v>
      </c>
      <c r="N22" s="307">
        <f t="shared" ca="1" si="11"/>
        <v>271960.06805092667</v>
      </c>
      <c r="O22" s="306">
        <f t="shared" ca="1" si="12"/>
        <v>1449939.6702668241</v>
      </c>
      <c r="P22" s="306">
        <f t="shared" si="13"/>
        <v>0</v>
      </c>
      <c r="Q22" s="306">
        <v>0</v>
      </c>
      <c r="R22" s="306">
        <f t="shared" ca="1" si="14"/>
        <v>1449939.6702668241</v>
      </c>
      <c r="S22" s="818">
        <f t="shared" ca="1" si="15"/>
        <v>384766.06053796795</v>
      </c>
      <c r="T22" s="818">
        <f t="shared" si="16"/>
        <v>0</v>
      </c>
      <c r="U22" s="818">
        <v>0</v>
      </c>
      <c r="V22" s="818">
        <f t="shared" ca="1" si="17"/>
        <v>384766.06053796795</v>
      </c>
      <c r="W22" s="306">
        <f ca="1">'GHG Emissions'!I15</f>
        <v>20490.793479463464</v>
      </c>
      <c r="X22" s="306">
        <f ca="1">'GHG Emissions'!M15</f>
        <v>196383.02197869818</v>
      </c>
      <c r="Y22" s="306">
        <f ca="1">SUM('GHG Emissions'!N15:O15)</f>
        <v>16416.67244815085</v>
      </c>
      <c r="Z22" s="306">
        <f ca="1">'GHG Emissions'!U15-SUM('GHG Emissions'!N15:O15)</f>
        <v>46491.853614800661</v>
      </c>
      <c r="AA22" s="308">
        <f>-ExposureCalculations!J19*1000000</f>
        <v>0</v>
      </c>
      <c r="AB22" s="308">
        <f t="shared" ca="1" si="1"/>
        <v>-11732545.753051618</v>
      </c>
      <c r="AC22" s="308">
        <v>0</v>
      </c>
      <c r="AD22" s="819">
        <f t="shared" ca="1" si="2"/>
        <v>-8141859.5729792379</v>
      </c>
      <c r="AE22" s="308">
        <v>0</v>
      </c>
      <c r="AF22" s="819">
        <f t="shared" ca="1" si="3"/>
        <v>-3719405.2518670233</v>
      </c>
      <c r="AG22" s="308">
        <v>0</v>
      </c>
      <c r="AH22" s="308">
        <v>0</v>
      </c>
      <c r="AI22" s="308">
        <v>0</v>
      </c>
      <c r="AJ22" s="308">
        <f t="shared" ca="1" si="4"/>
        <v>-23593810.57789788</v>
      </c>
      <c r="AK22" s="309">
        <v>0</v>
      </c>
      <c r="AL22" s="309">
        <f>-(CampusArea!E15-CampusArea!E14)*$AL$12*1000-(CampusArea!D15-CampusArea!D14)*$AL$12*SpacePlanning!$AU$53*1000</f>
        <v>-44529118.383769982</v>
      </c>
      <c r="AM22" s="309">
        <f t="shared" si="18"/>
        <v>-44529118.383769982</v>
      </c>
      <c r="AN22" s="310">
        <v>0</v>
      </c>
      <c r="AO22" s="310">
        <f>-CampusArea!G15*SpacePlanning!$AU$62*1000</f>
        <v>-20088337.316684652</v>
      </c>
      <c r="AP22" s="310">
        <f t="shared" si="19"/>
        <v>-20088337.316684652</v>
      </c>
      <c r="AQ22" s="309">
        <v>0</v>
      </c>
      <c r="AR22" s="311">
        <f t="shared" ca="1" si="5"/>
        <v>-88211266.278352514</v>
      </c>
      <c r="AS22" s="870">
        <f t="shared" ca="1" si="20"/>
        <v>-354235790.50364274</v>
      </c>
      <c r="AT22" s="822"/>
      <c r="AU22" s="878"/>
      <c r="AV22" s="35"/>
      <c r="AW22" s="879"/>
      <c r="AX22" s="35"/>
      <c r="AY22" s="880"/>
    </row>
    <row r="23" spans="1:51">
      <c r="A23" s="303">
        <v>2014</v>
      </c>
      <c r="B23" s="304">
        <f ca="1">IF($D$3="BAU",UtilityDemand!C16,INDIRECT($D$3&amp;"!B"&amp;ROW(A23))+INDIRECT($D$3&amp;"!D"&amp;ROW(A23)))</f>
        <v>137556.65962631535</v>
      </c>
      <c r="C23" s="305">
        <v>0</v>
      </c>
      <c r="D23" s="306">
        <f t="shared" ca="1" si="6"/>
        <v>137556.65962631535</v>
      </c>
      <c r="E23" s="304">
        <f ca="1">IF($D$3="BAU",UtilityDemand!E16,INDIRECT($D$3&amp;"!E"&amp;ROW(D23))+INDIRECT($D$3&amp;"!G"&amp;ROW(D23)))</f>
        <v>733356.43426308746</v>
      </c>
      <c r="F23" s="305">
        <v>0</v>
      </c>
      <c r="G23" s="306">
        <f t="shared" ca="1" si="7"/>
        <v>733356.43426308746</v>
      </c>
      <c r="H23" s="304">
        <f ca="1">IF($D$3="BAU",UtilityDemand!G16,INDIRECT($D$3&amp;"!H"&amp;ROW(G23))+INDIRECT($D$3&amp;"!J"&amp;ROW(G23)))</f>
        <v>195447.56483158763</v>
      </c>
      <c r="I23" s="305">
        <v>0</v>
      </c>
      <c r="J23" s="306">
        <f t="shared" ca="1" si="8"/>
        <v>195447.56483158763</v>
      </c>
      <c r="K23" s="307">
        <f t="shared" ca="1" si="9"/>
        <v>275113.3192526307</v>
      </c>
      <c r="L23" s="307">
        <f t="shared" si="10"/>
        <v>0</v>
      </c>
      <c r="M23" s="307">
        <v>0</v>
      </c>
      <c r="N23" s="307">
        <f t="shared" ca="1" si="11"/>
        <v>275113.3192526307</v>
      </c>
      <c r="O23" s="306">
        <f t="shared" ca="1" si="12"/>
        <v>1466712.8685261749</v>
      </c>
      <c r="P23" s="306">
        <f t="shared" si="13"/>
        <v>0</v>
      </c>
      <c r="Q23" s="306">
        <v>0</v>
      </c>
      <c r="R23" s="306">
        <f t="shared" ca="1" si="14"/>
        <v>1466712.8685261749</v>
      </c>
      <c r="S23" s="818">
        <f t="shared" ca="1" si="15"/>
        <v>390895.12966317526</v>
      </c>
      <c r="T23" s="818">
        <f t="shared" si="16"/>
        <v>0</v>
      </c>
      <c r="U23" s="818">
        <v>0</v>
      </c>
      <c r="V23" s="818">
        <f t="shared" ca="1" si="17"/>
        <v>390895.12966317526</v>
      </c>
      <c r="W23" s="306">
        <f ca="1">'GHG Emissions'!I16</f>
        <v>20721.600734731339</v>
      </c>
      <c r="X23" s="306">
        <f ca="1">'GHG Emissions'!M16</f>
        <v>198756.99406099692</v>
      </c>
      <c r="Y23" s="306">
        <f ca="1">SUM('GHG Emissions'!N16:O16)</f>
        <v>16448.51712214074</v>
      </c>
      <c r="Z23" s="306">
        <f ca="1">'GHG Emissions'!U16-SUM('GHG Emissions'!N16:O16)</f>
        <v>46720.489110203751</v>
      </c>
      <c r="AA23" s="308">
        <f>-ExposureCalculations!J20*1000000</f>
        <v>0</v>
      </c>
      <c r="AB23" s="308">
        <f t="shared" ca="1" si="1"/>
        <v>-11927922.0904775</v>
      </c>
      <c r="AC23" s="308">
        <v>0</v>
      </c>
      <c r="AD23" s="819">
        <f t="shared" ca="1" si="2"/>
        <v>-8277226.4988516504</v>
      </c>
      <c r="AE23" s="308">
        <v>0</v>
      </c>
      <c r="AF23" s="819">
        <f t="shared" ca="1" si="3"/>
        <v>-3778652.9200773607</v>
      </c>
      <c r="AG23" s="308">
        <v>0</v>
      </c>
      <c r="AH23" s="308">
        <v>0</v>
      </c>
      <c r="AI23" s="308">
        <v>0</v>
      </c>
      <c r="AJ23" s="308">
        <f t="shared" ca="1" si="4"/>
        <v>-23983801.509406511</v>
      </c>
      <c r="AK23" s="309">
        <v>0</v>
      </c>
      <c r="AL23" s="309">
        <f>-(CampusArea!E16-CampusArea!E15)*$AL$12*1000-(CampusArea!D16-CampusArea!D15)*$AL$12*SpacePlanning!$AU$53*1000</f>
        <v>-34029118.383770302</v>
      </c>
      <c r="AM23" s="309">
        <f t="shared" si="18"/>
        <v>-34029118.383770302</v>
      </c>
      <c r="AN23" s="310">
        <v>0</v>
      </c>
      <c r="AO23" s="310">
        <f>-CampusArea!G16*SpacePlanning!$AU$62*1000</f>
        <v>-20320723.305855814</v>
      </c>
      <c r="AP23" s="310">
        <f t="shared" si="19"/>
        <v>-20320723.305855814</v>
      </c>
      <c r="AQ23" s="309">
        <v>0</v>
      </c>
      <c r="AR23" s="311">
        <f t="shared" ca="1" si="5"/>
        <v>-78333643.19903262</v>
      </c>
      <c r="AS23" s="870">
        <f t="shared" ca="1" si="20"/>
        <v>-432569433.70267534</v>
      </c>
      <c r="AT23" s="822"/>
      <c r="AU23" s="878"/>
      <c r="AV23" s="35"/>
      <c r="AW23" s="879"/>
      <c r="AX23" s="35"/>
      <c r="AY23" s="880"/>
    </row>
    <row r="24" spans="1:51">
      <c r="A24" s="303">
        <v>2015</v>
      </c>
      <c r="B24" s="304">
        <f ca="1">IF($D$3="BAU",UtilityDemand!C17,INDIRECT($D$3&amp;"!B"&amp;ROW(A24))+INDIRECT($D$3&amp;"!D"&amp;ROW(A24)))</f>
        <v>140674.7264207229</v>
      </c>
      <c r="C24" s="305">
        <v>0</v>
      </c>
      <c r="D24" s="306">
        <f t="shared" ca="1" si="6"/>
        <v>140674.7264207229</v>
      </c>
      <c r="E24" s="304">
        <f ca="1">IF($D$3="BAU",UtilityDemand!E17,INDIRECT($D$3&amp;"!E"&amp;ROW(D24))+INDIRECT($D$3&amp;"!G"&amp;ROW(D24)))</f>
        <v>749942.47488688328</v>
      </c>
      <c r="F24" s="305">
        <v>0</v>
      </c>
      <c r="G24" s="306">
        <f t="shared" ca="1" si="7"/>
        <v>749942.47488688328</v>
      </c>
      <c r="H24" s="304">
        <f ca="1">IF($D$3="BAU",UtilityDemand!G17,INDIRECT($D$3&amp;"!H"&amp;ROW(G24))+INDIRECT($D$3&amp;"!J"&amp;ROW(G24)))</f>
        <v>200653.26054765948</v>
      </c>
      <c r="I24" s="305">
        <v>0</v>
      </c>
      <c r="J24" s="306">
        <f t="shared" ca="1" si="8"/>
        <v>200653.26054765948</v>
      </c>
      <c r="K24" s="307">
        <f t="shared" ca="1" si="9"/>
        <v>281349.4528414458</v>
      </c>
      <c r="L24" s="307">
        <f t="shared" si="10"/>
        <v>0</v>
      </c>
      <c r="M24" s="307">
        <v>0</v>
      </c>
      <c r="N24" s="307">
        <f t="shared" ca="1" si="11"/>
        <v>281349.4528414458</v>
      </c>
      <c r="O24" s="306">
        <f t="shared" ca="1" si="12"/>
        <v>1499884.9497737666</v>
      </c>
      <c r="P24" s="306">
        <f t="shared" si="13"/>
        <v>0</v>
      </c>
      <c r="Q24" s="306">
        <v>0</v>
      </c>
      <c r="R24" s="306">
        <f t="shared" ca="1" si="14"/>
        <v>1499884.9497737666</v>
      </c>
      <c r="S24" s="818">
        <f t="shared" ca="1" si="15"/>
        <v>401306.52109531895</v>
      </c>
      <c r="T24" s="818">
        <f t="shared" si="16"/>
        <v>0</v>
      </c>
      <c r="U24" s="818">
        <v>0</v>
      </c>
      <c r="V24" s="818">
        <f t="shared" ca="1" si="17"/>
        <v>401306.52109531895</v>
      </c>
      <c r="W24" s="306">
        <f ca="1">'GHG Emissions'!I17</f>
        <v>21176.94694453691</v>
      </c>
      <c r="X24" s="306">
        <f ca="1">'GHG Emissions'!M17</f>
        <v>203350.40123007985</v>
      </c>
      <c r="Y24" s="306">
        <f ca="1">SUM('GHG Emissions'!N17:O17)</f>
        <v>16477.296623656959</v>
      </c>
      <c r="Z24" s="306">
        <f ca="1">'GHG Emissions'!U17-SUM('GHG Emissions'!N17:O17)</f>
        <v>47112.256983708503</v>
      </c>
      <c r="AA24" s="308">
        <f ca="1">-ExposureCalculations!J21*1000000</f>
        <v>-3286482.5866868668</v>
      </c>
      <c r="AB24" s="308">
        <f t="shared" ca="1" si="1"/>
        <v>-12259289.861435687</v>
      </c>
      <c r="AC24" s="308">
        <v>0</v>
      </c>
      <c r="AD24" s="819">
        <f t="shared" ca="1" si="2"/>
        <v>-8506751.4961473942</v>
      </c>
      <c r="AE24" s="308">
        <v>0</v>
      </c>
      <c r="AF24" s="819">
        <f t="shared" ca="1" si="3"/>
        <v>-3879296.3705880828</v>
      </c>
      <c r="AG24" s="308">
        <v>0</v>
      </c>
      <c r="AH24" s="308">
        <v>0</v>
      </c>
      <c r="AI24" s="308">
        <v>0</v>
      </c>
      <c r="AJ24" s="308">
        <f t="shared" ca="1" si="4"/>
        <v>-24645337.728171166</v>
      </c>
      <c r="AK24" s="309">
        <v>0</v>
      </c>
      <c r="AL24" s="309">
        <f>-(CampusArea!E17-CampusArea!E16)*$AL$12*1000-(CampusArea!D17-CampusArea!D16)*$AL$12*SpacePlanning!$AU$53*1000</f>
        <v>-62029118.383769982</v>
      </c>
      <c r="AM24" s="309">
        <f t="shared" si="18"/>
        <v>-62029118.383769982</v>
      </c>
      <c r="AN24" s="310">
        <v>0</v>
      </c>
      <c r="AO24" s="310">
        <f>-CampusArea!G17*SpacePlanning!$AU$62*1000</f>
        <v>-20780309.295026977</v>
      </c>
      <c r="AP24" s="310">
        <f t="shared" si="19"/>
        <v>-20780309.295026977</v>
      </c>
      <c r="AQ24" s="309">
        <v>0</v>
      </c>
      <c r="AR24" s="311">
        <f t="shared" ca="1" si="5"/>
        <v>-110741247.99365498</v>
      </c>
      <c r="AS24" s="870">
        <f t="shared" ca="1" si="20"/>
        <v>-543310681.69633031</v>
      </c>
      <c r="AT24" s="822"/>
      <c r="AU24" s="878"/>
      <c r="AV24" s="35"/>
      <c r="AW24" s="879"/>
      <c r="AX24" s="35"/>
      <c r="AY24" s="880"/>
    </row>
    <row r="25" spans="1:51">
      <c r="A25" s="303">
        <v>2016</v>
      </c>
      <c r="B25" s="304">
        <f ca="1">IF($D$3="BAU",UtilityDemand!C18,INDIRECT($D$3&amp;"!B"&amp;ROW(A25))+INDIRECT($D$3&amp;"!D"&amp;ROW(A25)))</f>
        <v>142251.35202157494</v>
      </c>
      <c r="C25" s="305">
        <v>0</v>
      </c>
      <c r="D25" s="306">
        <f t="shared" ca="1" si="6"/>
        <v>142251.35202157494</v>
      </c>
      <c r="E25" s="304">
        <f ca="1">IF($D$3="BAU",UtilityDemand!E18,INDIRECT($D$3&amp;"!E"&amp;ROW(D25))+INDIRECT($D$3&amp;"!G"&amp;ROW(D25)))</f>
        <v>758329.0740165587</v>
      </c>
      <c r="F25" s="305">
        <v>0</v>
      </c>
      <c r="G25" s="306">
        <f t="shared" ca="1" si="7"/>
        <v>758329.0740165587</v>
      </c>
      <c r="H25" s="304">
        <f ca="1">IF($D$3="BAU",UtilityDemand!G18,INDIRECT($D$3&amp;"!H"&amp;ROW(G25))+INDIRECT($D$3&amp;"!J"&amp;ROW(G25)))</f>
        <v>203717.79511026316</v>
      </c>
      <c r="I25" s="305">
        <v>0</v>
      </c>
      <c r="J25" s="306">
        <f t="shared" ca="1" si="8"/>
        <v>203717.79511026316</v>
      </c>
      <c r="K25" s="307">
        <f t="shared" ca="1" si="9"/>
        <v>284502.70404314989</v>
      </c>
      <c r="L25" s="307">
        <f t="shared" si="10"/>
        <v>0</v>
      </c>
      <c r="M25" s="307">
        <v>0</v>
      </c>
      <c r="N25" s="307">
        <f t="shared" ca="1" si="11"/>
        <v>284502.70404314989</v>
      </c>
      <c r="O25" s="306">
        <f t="shared" ca="1" si="12"/>
        <v>1516658.1480331174</v>
      </c>
      <c r="P25" s="306">
        <f t="shared" si="13"/>
        <v>0</v>
      </c>
      <c r="Q25" s="306">
        <v>0</v>
      </c>
      <c r="R25" s="306">
        <f t="shared" ca="1" si="14"/>
        <v>1516658.1480331174</v>
      </c>
      <c r="S25" s="818">
        <f t="shared" ca="1" si="15"/>
        <v>407435.59022052633</v>
      </c>
      <c r="T25" s="818">
        <f t="shared" si="16"/>
        <v>0</v>
      </c>
      <c r="U25" s="818">
        <v>0</v>
      </c>
      <c r="V25" s="818">
        <f t="shared" ca="1" si="17"/>
        <v>407435.59022052633</v>
      </c>
      <c r="W25" s="306">
        <f ca="1">'GHG Emissions'!I18</f>
        <v>21407.578677725378</v>
      </c>
      <c r="X25" s="306">
        <f ca="1">'GHG Emissions'!M18</f>
        <v>205724.37331237859</v>
      </c>
      <c r="Y25" s="306">
        <f ca="1">SUM('GHG Emissions'!N18:O18)</f>
        <v>16503.753496319368</v>
      </c>
      <c r="Z25" s="306">
        <f ca="1">'GHG Emissions'!U18-SUM('GHG Emissions'!N18:O18)</f>
        <v>47331.405883711937</v>
      </c>
      <c r="AA25" s="308">
        <f ca="1">-ExposureCalculations!J22*1000000</f>
        <v>-3803107.4235923612</v>
      </c>
      <c r="AB25" s="308">
        <f t="shared" ca="1" si="1"/>
        <v>-12458670.473330315</v>
      </c>
      <c r="AC25" s="308">
        <v>0</v>
      </c>
      <c r="AD25" s="819">
        <f t="shared" ca="1" si="2"/>
        <v>-8644891.8243564237</v>
      </c>
      <c r="AE25" s="308">
        <v>0</v>
      </c>
      <c r="AF25" s="819">
        <f t="shared" ca="1" si="3"/>
        <v>-3938544.0387984207</v>
      </c>
      <c r="AG25" s="308">
        <v>0</v>
      </c>
      <c r="AH25" s="308">
        <v>0</v>
      </c>
      <c r="AI25" s="308">
        <v>0</v>
      </c>
      <c r="AJ25" s="308">
        <f t="shared" ca="1" si="4"/>
        <v>-25042106.336485162</v>
      </c>
      <c r="AK25" s="309">
        <v>0</v>
      </c>
      <c r="AL25" s="309">
        <f>-(CampusArea!E18-CampusArea!E17)*$AL$12*1000-(CampusArea!D18-CampusArea!D17)*$AL$12*SpacePlanning!$AU$53*1000</f>
        <v>-34029118.383769982</v>
      </c>
      <c r="AM25" s="309">
        <f t="shared" si="18"/>
        <v>-34029118.383769982</v>
      </c>
      <c r="AN25" s="310">
        <v>0</v>
      </c>
      <c r="AO25" s="310">
        <f>-CampusArea!G18*SpacePlanning!$AU$62*1000</f>
        <v>-21012695.284198139</v>
      </c>
      <c r="AP25" s="310">
        <f t="shared" si="19"/>
        <v>-21012695.284198139</v>
      </c>
      <c r="AQ25" s="309">
        <v>0</v>
      </c>
      <c r="AR25" s="311">
        <f t="shared" ca="1" si="5"/>
        <v>-83887027.428045645</v>
      </c>
      <c r="AS25" s="870">
        <f t="shared" ca="1" si="20"/>
        <v>-627197709.12437594</v>
      </c>
      <c r="AT25" s="822"/>
      <c r="AU25" s="878"/>
      <c r="AV25" s="35"/>
      <c r="AW25" s="879"/>
      <c r="AX25" s="35"/>
      <c r="AY25" s="880"/>
    </row>
    <row r="26" spans="1:51">
      <c r="A26" s="303">
        <v>2017</v>
      </c>
      <c r="B26" s="304">
        <f ca="1">IF($D$3="BAU",UtilityDemand!C19,INDIRECT($D$3&amp;"!B"&amp;ROW(A26))+INDIRECT($D$3&amp;"!D"&amp;ROW(A26)))</f>
        <v>143827.97762242699</v>
      </c>
      <c r="C26" s="305">
        <v>0</v>
      </c>
      <c r="D26" s="306">
        <f t="shared" ca="1" si="6"/>
        <v>143827.97762242699</v>
      </c>
      <c r="E26" s="304">
        <f ca="1">IF($D$3="BAU",UtilityDemand!E19,INDIRECT($D$3&amp;"!E"&amp;ROW(D26))+INDIRECT($D$3&amp;"!G"&amp;ROW(D26)))</f>
        <v>766715.67314623413</v>
      </c>
      <c r="F26" s="305">
        <v>0</v>
      </c>
      <c r="G26" s="306">
        <f t="shared" ca="1" si="7"/>
        <v>766715.67314623413</v>
      </c>
      <c r="H26" s="304">
        <f ca="1">IF($D$3="BAU",UtilityDemand!G19,INDIRECT($D$3&amp;"!H"&amp;ROW(G26))+INDIRECT($D$3&amp;"!J"&amp;ROW(G26)))</f>
        <v>206782.32967286685</v>
      </c>
      <c r="I26" s="305">
        <v>0</v>
      </c>
      <c r="J26" s="306">
        <f t="shared" ca="1" si="8"/>
        <v>206782.32967286685</v>
      </c>
      <c r="K26" s="307">
        <f t="shared" ca="1" si="9"/>
        <v>287655.95524485398</v>
      </c>
      <c r="L26" s="307">
        <f t="shared" si="10"/>
        <v>0</v>
      </c>
      <c r="M26" s="307">
        <v>0</v>
      </c>
      <c r="N26" s="307">
        <f t="shared" ca="1" si="11"/>
        <v>287655.95524485398</v>
      </c>
      <c r="O26" s="306">
        <f t="shared" ca="1" si="12"/>
        <v>1533431.3462924683</v>
      </c>
      <c r="P26" s="306">
        <f t="shared" si="13"/>
        <v>0</v>
      </c>
      <c r="Q26" s="306">
        <v>0</v>
      </c>
      <c r="R26" s="306">
        <f t="shared" ca="1" si="14"/>
        <v>1533431.3462924683</v>
      </c>
      <c r="S26" s="818">
        <f t="shared" ca="1" si="15"/>
        <v>413564.6593457337</v>
      </c>
      <c r="T26" s="818">
        <f t="shared" si="16"/>
        <v>0</v>
      </c>
      <c r="U26" s="818">
        <v>0</v>
      </c>
      <c r="V26" s="818">
        <f t="shared" ca="1" si="17"/>
        <v>413564.6593457337</v>
      </c>
      <c r="W26" s="306">
        <f ca="1">'GHG Emissions'!I19</f>
        <v>21638.150505990383</v>
      </c>
      <c r="X26" s="306">
        <f ca="1">'GHG Emissions'!M19</f>
        <v>208098.34539467734</v>
      </c>
      <c r="Y26" s="306">
        <f ca="1">SUM('GHG Emissions'!N19:O19)</f>
        <v>16528.371547689869</v>
      </c>
      <c r="Z26" s="306">
        <f ca="1">'GHG Emissions'!U19-SUM('GHG Emissions'!N19:O19)</f>
        <v>47547.317049902718</v>
      </c>
      <c r="AA26" s="308">
        <f ca="1">-ExposureCalculations!J23*1000000</f>
        <v>-4346166.5137668019</v>
      </c>
      <c r="AB26" s="308">
        <f t="shared" ca="1" si="1"/>
        <v>-12659738.409097355</v>
      </c>
      <c r="AC26" s="308">
        <v>0</v>
      </c>
      <c r="AD26" s="819">
        <f t="shared" ca="1" si="2"/>
        <v>-8784200.8870601431</v>
      </c>
      <c r="AE26" s="308">
        <v>0</v>
      </c>
      <c r="AF26" s="819">
        <f t="shared" ca="1" si="3"/>
        <v>-3997791.707008759</v>
      </c>
      <c r="AG26" s="308">
        <v>0</v>
      </c>
      <c r="AH26" s="308">
        <v>0</v>
      </c>
      <c r="AI26" s="308">
        <v>0</v>
      </c>
      <c r="AJ26" s="308">
        <f t="shared" ca="1" si="4"/>
        <v>-25441731.003166258</v>
      </c>
      <c r="AK26" s="309">
        <v>0</v>
      </c>
      <c r="AL26" s="309">
        <f>-(CampusArea!E19-CampusArea!E18)*$AL$12*1000-(CampusArea!D19-CampusArea!D18)*$AL$12*SpacePlanning!$AU$53*1000</f>
        <v>-34029118.383770302</v>
      </c>
      <c r="AM26" s="309">
        <f t="shared" si="18"/>
        <v>-34029118.383770302</v>
      </c>
      <c r="AN26" s="310">
        <v>0</v>
      </c>
      <c r="AO26" s="310">
        <f>-CampusArea!G19*SpacePlanning!$AU$62*1000</f>
        <v>-21245081.273369305</v>
      </c>
      <c r="AP26" s="310">
        <f t="shared" si="19"/>
        <v>-21245081.273369305</v>
      </c>
      <c r="AQ26" s="309">
        <v>0</v>
      </c>
      <c r="AR26" s="311">
        <f t="shared" ca="1" si="5"/>
        <v>-85062097.174072668</v>
      </c>
      <c r="AS26" s="870">
        <f t="shared" ca="1" si="20"/>
        <v>-712259806.29844856</v>
      </c>
      <c r="AT26" s="822"/>
      <c r="AU26" s="878"/>
      <c r="AV26" s="35"/>
      <c r="AW26" s="879"/>
      <c r="AX26" s="35"/>
      <c r="AY26" s="880"/>
    </row>
    <row r="27" spans="1:51">
      <c r="A27" s="303">
        <v>2018</v>
      </c>
      <c r="B27" s="304">
        <f ca="1">IF($D$3="BAU",UtilityDemand!C20,INDIRECT($D$3&amp;"!B"&amp;ROW(A27))+INDIRECT($D$3&amp;"!D"&amp;ROW(A27)))</f>
        <v>145404.603223279</v>
      </c>
      <c r="C27" s="305">
        <v>0</v>
      </c>
      <c r="D27" s="306">
        <f t="shared" ca="1" si="6"/>
        <v>145404.603223279</v>
      </c>
      <c r="E27" s="304">
        <f ca="1">IF($D$3="BAU",UtilityDemand!E20,INDIRECT($D$3&amp;"!E"&amp;ROW(D27))+INDIRECT($D$3&amp;"!G"&amp;ROW(D27)))</f>
        <v>775102.27227590943</v>
      </c>
      <c r="F27" s="305">
        <v>0</v>
      </c>
      <c r="G27" s="306">
        <f t="shared" ca="1" si="7"/>
        <v>775102.27227590943</v>
      </c>
      <c r="H27" s="304">
        <f ca="1">IF($D$3="BAU",UtilityDemand!G20,INDIRECT($D$3&amp;"!H"&amp;ROW(G27))+INDIRECT($D$3&amp;"!J"&amp;ROW(G27)))</f>
        <v>209846.86423547054</v>
      </c>
      <c r="I27" s="305">
        <v>0</v>
      </c>
      <c r="J27" s="306">
        <f t="shared" ca="1" si="8"/>
        <v>209846.86423547054</v>
      </c>
      <c r="K27" s="307">
        <f t="shared" ca="1" si="9"/>
        <v>290809.206446558</v>
      </c>
      <c r="L27" s="307">
        <f t="shared" si="10"/>
        <v>0</v>
      </c>
      <c r="M27" s="307">
        <v>0</v>
      </c>
      <c r="N27" s="307">
        <f t="shared" ca="1" si="11"/>
        <v>290809.206446558</v>
      </c>
      <c r="O27" s="306">
        <f t="shared" ca="1" si="12"/>
        <v>1550204.5445518189</v>
      </c>
      <c r="P27" s="306">
        <f t="shared" si="13"/>
        <v>0</v>
      </c>
      <c r="Q27" s="306">
        <v>0</v>
      </c>
      <c r="R27" s="306">
        <f t="shared" ca="1" si="14"/>
        <v>1550204.5445518189</v>
      </c>
      <c r="S27" s="818">
        <f t="shared" ca="1" si="15"/>
        <v>419693.72847094107</v>
      </c>
      <c r="T27" s="818">
        <f t="shared" si="16"/>
        <v>0</v>
      </c>
      <c r="U27" s="818">
        <v>0</v>
      </c>
      <c r="V27" s="818">
        <f t="shared" ca="1" si="17"/>
        <v>419693.72847094107</v>
      </c>
      <c r="W27" s="306">
        <f ca="1">'GHG Emissions'!I20</f>
        <v>21868.673377042745</v>
      </c>
      <c r="X27" s="306">
        <f ca="1">'GHG Emissions'!M20</f>
        <v>210472.31747697605</v>
      </c>
      <c r="Y27" s="306">
        <f ca="1">SUM('GHG Emissions'!N20:O20)</f>
        <v>16551.486831175658</v>
      </c>
      <c r="Z27" s="306">
        <f ca="1">'GHG Emissions'!U20-SUM('GHG Emissions'!N20:O20)</f>
        <v>47760.582182786813</v>
      </c>
      <c r="AA27" s="308">
        <f ca="1">-ExposureCalculations!J24*1000000</f>
        <v>-4915201.2868223814</v>
      </c>
      <c r="AB27" s="308">
        <f t="shared" ca="1" si="1"/>
        <v>-12862505.557460228</v>
      </c>
      <c r="AC27" s="308">
        <v>0</v>
      </c>
      <c r="AD27" s="819">
        <f t="shared" ca="1" si="2"/>
        <v>-8924686.9180952851</v>
      </c>
      <c r="AE27" s="308">
        <v>0</v>
      </c>
      <c r="AF27" s="819">
        <f t="shared" ca="1" si="3"/>
        <v>-4057039.3752190969</v>
      </c>
      <c r="AG27" s="308">
        <v>0</v>
      </c>
      <c r="AH27" s="308">
        <v>0</v>
      </c>
      <c r="AI27" s="308">
        <v>0</v>
      </c>
      <c r="AJ27" s="308">
        <f t="shared" ca="1" si="4"/>
        <v>-25844231.850774609</v>
      </c>
      <c r="AK27" s="309">
        <v>0</v>
      </c>
      <c r="AL27" s="309">
        <f>-(CampusArea!E20-CampusArea!E19)*$AL$12*1000-(CampusArea!D20-CampusArea!D19)*$AL$12*SpacePlanning!$AU$53*1000</f>
        <v>-34029118.383769982</v>
      </c>
      <c r="AM27" s="309">
        <f t="shared" si="18"/>
        <v>-34029118.383769982</v>
      </c>
      <c r="AN27" s="310">
        <v>0</v>
      </c>
      <c r="AO27" s="310">
        <f>-CampusArea!G20*SpacePlanning!$AU$62*1000</f>
        <v>-21477467.262540467</v>
      </c>
      <c r="AP27" s="310">
        <f t="shared" si="19"/>
        <v>-21477467.262540467</v>
      </c>
      <c r="AQ27" s="309">
        <v>0</v>
      </c>
      <c r="AR27" s="311">
        <f t="shared" ca="1" si="5"/>
        <v>-86266018.783907443</v>
      </c>
      <c r="AS27" s="870">
        <f t="shared" ca="1" si="20"/>
        <v>-798525825.08235598</v>
      </c>
      <c r="AT27" s="822"/>
      <c r="AU27" s="878"/>
      <c r="AV27" s="35"/>
      <c r="AW27" s="879"/>
      <c r="AX27" s="35"/>
      <c r="AY27" s="880"/>
    </row>
    <row r="28" spans="1:51">
      <c r="A28" s="303">
        <v>2019</v>
      </c>
      <c r="B28" s="304">
        <f ca="1">IF($D$3="BAU",UtilityDemand!C21,INDIRECT($D$3&amp;"!B"&amp;ROW(A28))+INDIRECT($D$3&amp;"!D"&amp;ROW(A28)))</f>
        <v>146981.22882413102</v>
      </c>
      <c r="C28" s="305">
        <v>0</v>
      </c>
      <c r="D28" s="306">
        <f t="shared" ca="1" si="6"/>
        <v>146981.22882413102</v>
      </c>
      <c r="E28" s="304">
        <f ca="1">IF($D$3="BAU",UtilityDemand!E21,INDIRECT($D$3&amp;"!E"&amp;ROW(D28))+INDIRECT($D$3&amp;"!G"&amp;ROW(D28)))</f>
        <v>783488.87140558485</v>
      </c>
      <c r="F28" s="305">
        <v>0</v>
      </c>
      <c r="G28" s="306">
        <f t="shared" ca="1" si="7"/>
        <v>783488.87140558485</v>
      </c>
      <c r="H28" s="304">
        <f ca="1">IF($D$3="BAU",UtilityDemand!G21,INDIRECT($D$3&amp;"!H"&amp;ROW(G28))+INDIRECT($D$3&amp;"!J"&amp;ROW(G28)))</f>
        <v>212911.39879807425</v>
      </c>
      <c r="I28" s="305">
        <v>0</v>
      </c>
      <c r="J28" s="306">
        <f t="shared" ca="1" si="8"/>
        <v>212911.39879807425</v>
      </c>
      <c r="K28" s="307">
        <f t="shared" ca="1" si="9"/>
        <v>293962.45764826203</v>
      </c>
      <c r="L28" s="307">
        <f t="shared" si="10"/>
        <v>0</v>
      </c>
      <c r="M28" s="307">
        <v>0</v>
      </c>
      <c r="N28" s="307">
        <f t="shared" ca="1" si="11"/>
        <v>293962.45764826203</v>
      </c>
      <c r="O28" s="306">
        <f t="shared" ca="1" si="12"/>
        <v>1566977.7428111697</v>
      </c>
      <c r="P28" s="306">
        <f t="shared" si="13"/>
        <v>0</v>
      </c>
      <c r="Q28" s="306">
        <v>0</v>
      </c>
      <c r="R28" s="306">
        <f t="shared" ca="1" si="14"/>
        <v>1566977.7428111697</v>
      </c>
      <c r="S28" s="818">
        <f t="shared" ca="1" si="15"/>
        <v>425822.79759614851</v>
      </c>
      <c r="T28" s="818">
        <f t="shared" si="16"/>
        <v>0</v>
      </c>
      <c r="U28" s="818">
        <v>0</v>
      </c>
      <c r="V28" s="818">
        <f t="shared" ca="1" si="17"/>
        <v>425822.79759614851</v>
      </c>
      <c r="W28" s="306">
        <f ca="1">'GHG Emissions'!I21</f>
        <v>22099.155261844102</v>
      </c>
      <c r="X28" s="306">
        <f ca="1">'GHG Emissions'!M21</f>
        <v>212846.28955927482</v>
      </c>
      <c r="Y28" s="306">
        <f ca="1">SUM('GHG Emissions'!N21:O21)</f>
        <v>16573.344024873717</v>
      </c>
      <c r="Z28" s="306">
        <f ca="1">'GHG Emissions'!U21-SUM('GHG Emissions'!N21:O21)</f>
        <v>47971.632095901019</v>
      </c>
      <c r="AA28" s="308">
        <f ca="1">-ExposureCalculations!J25*1000000</f>
        <v>-5509761.904376368</v>
      </c>
      <c r="AB28" s="308">
        <f t="shared" ca="1" si="1"/>
        <v>-13066983.883846505</v>
      </c>
      <c r="AC28" s="308">
        <v>0</v>
      </c>
      <c r="AD28" s="819">
        <f t="shared" ca="1" si="2"/>
        <v>-9066358.2044186052</v>
      </c>
      <c r="AE28" s="308">
        <v>0</v>
      </c>
      <c r="AF28" s="819">
        <f t="shared" ca="1" si="3"/>
        <v>-4116287.0434294352</v>
      </c>
      <c r="AG28" s="308">
        <v>0</v>
      </c>
      <c r="AH28" s="308">
        <v>0</v>
      </c>
      <c r="AI28" s="308">
        <v>0</v>
      </c>
      <c r="AJ28" s="308">
        <f t="shared" ca="1" si="4"/>
        <v>-26249629.131694544</v>
      </c>
      <c r="AK28" s="309">
        <v>0</v>
      </c>
      <c r="AL28" s="309">
        <f>-(CampusArea!E21-CampusArea!E20)*$AL$12*1000-(CampusArea!D21-CampusArea!D20)*$AL$12*SpacePlanning!$AU$53*1000</f>
        <v>-34029118.383770302</v>
      </c>
      <c r="AM28" s="309">
        <f t="shared" si="18"/>
        <v>-34029118.383770302</v>
      </c>
      <c r="AN28" s="310">
        <v>0</v>
      </c>
      <c r="AO28" s="310">
        <f>-CampusArea!G21*SpacePlanning!$AU$62*1000</f>
        <v>-21709853.251711633</v>
      </c>
      <c r="AP28" s="310">
        <f t="shared" si="19"/>
        <v>-21709853.251711633</v>
      </c>
      <c r="AQ28" s="309">
        <v>0</v>
      </c>
      <c r="AR28" s="311">
        <f t="shared" ca="1" si="5"/>
        <v>-87498362.671552852</v>
      </c>
      <c r="AS28" s="870">
        <f t="shared" ca="1" si="20"/>
        <v>-886024187.75390887</v>
      </c>
      <c r="AT28" s="822"/>
      <c r="AU28" s="878"/>
      <c r="AV28" s="35"/>
      <c r="AW28" s="879"/>
      <c r="AX28" s="35"/>
      <c r="AY28" s="880"/>
    </row>
    <row r="29" spans="1:51">
      <c r="A29" s="303">
        <v>2020</v>
      </c>
      <c r="B29" s="304">
        <f ca="1">IF($D$3="BAU",UtilityDemand!C22,INDIRECT($D$3&amp;"!B"&amp;ROW(A29))+INDIRECT($D$3&amp;"!D"&amp;ROW(A29)))</f>
        <v>148557.85442498306</v>
      </c>
      <c r="C29" s="305">
        <v>0</v>
      </c>
      <c r="D29" s="306">
        <f t="shared" ca="1" si="6"/>
        <v>148557.85442498306</v>
      </c>
      <c r="E29" s="304">
        <f ca="1">IF($D$3="BAU",UtilityDemand!E22,INDIRECT($D$3&amp;"!E"&amp;ROW(D29))+INDIRECT($D$3&amp;"!G"&amp;ROW(D29)))</f>
        <v>791875.47053526016</v>
      </c>
      <c r="F29" s="305">
        <v>0</v>
      </c>
      <c r="G29" s="306">
        <f t="shared" ca="1" si="7"/>
        <v>791875.47053526016</v>
      </c>
      <c r="H29" s="304">
        <f ca="1">IF($D$3="BAU",UtilityDemand!G22,INDIRECT($D$3&amp;"!H"&amp;ROW(G29))+INDIRECT($D$3&amp;"!J"&amp;ROW(G29)))</f>
        <v>215975.93336067794</v>
      </c>
      <c r="I29" s="305">
        <v>0</v>
      </c>
      <c r="J29" s="306">
        <f t="shared" ca="1" si="8"/>
        <v>215975.93336067794</v>
      </c>
      <c r="K29" s="307">
        <f t="shared" ca="1" si="9"/>
        <v>297115.70884996612</v>
      </c>
      <c r="L29" s="307">
        <f t="shared" si="10"/>
        <v>0</v>
      </c>
      <c r="M29" s="307">
        <v>0</v>
      </c>
      <c r="N29" s="307">
        <f t="shared" ca="1" si="11"/>
        <v>297115.70884996612</v>
      </c>
      <c r="O29" s="306">
        <f t="shared" ca="1" si="12"/>
        <v>1583750.9410705203</v>
      </c>
      <c r="P29" s="306">
        <f t="shared" si="13"/>
        <v>0</v>
      </c>
      <c r="Q29" s="306">
        <v>0</v>
      </c>
      <c r="R29" s="306">
        <f t="shared" ca="1" si="14"/>
        <v>1583750.9410705203</v>
      </c>
      <c r="S29" s="818">
        <f t="shared" ca="1" si="15"/>
        <v>431951.86672135588</v>
      </c>
      <c r="T29" s="818">
        <f t="shared" si="16"/>
        <v>0</v>
      </c>
      <c r="U29" s="818">
        <v>0</v>
      </c>
      <c r="V29" s="818">
        <f t="shared" ca="1" si="17"/>
        <v>431951.86672135588</v>
      </c>
      <c r="W29" s="306">
        <f ca="1">'GHG Emissions'!I22</f>
        <v>22329.602177826593</v>
      </c>
      <c r="X29" s="306">
        <f ca="1">'GHG Emissions'!M22</f>
        <v>215220.26164157354</v>
      </c>
      <c r="Y29" s="306">
        <f ca="1">SUM('GHG Emissions'!N22:O22)</f>
        <v>16594.127840724741</v>
      </c>
      <c r="Z29" s="306">
        <f ca="1">'GHG Emissions'!U22-SUM('GHG Emissions'!N22:O22)</f>
        <v>48180.792018666572</v>
      </c>
      <c r="AA29" s="308">
        <f ca="1">-ExposureCalculations!J26*1000000</f>
        <v>-6129408.7233403437</v>
      </c>
      <c r="AB29" s="308">
        <f t="shared" ca="1" si="1"/>
        <v>-13273185.430857707</v>
      </c>
      <c r="AC29" s="308">
        <v>0</v>
      </c>
      <c r="AD29" s="819">
        <f t="shared" ca="1" si="2"/>
        <v>-9209223.0864322037</v>
      </c>
      <c r="AE29" s="308">
        <v>0</v>
      </c>
      <c r="AF29" s="819">
        <f t="shared" ca="1" si="3"/>
        <v>-4175534.7116397731</v>
      </c>
      <c r="AG29" s="308">
        <v>0</v>
      </c>
      <c r="AH29" s="308">
        <v>0</v>
      </c>
      <c r="AI29" s="308">
        <v>0</v>
      </c>
      <c r="AJ29" s="308">
        <f t="shared" ca="1" si="4"/>
        <v>-26657943.228929684</v>
      </c>
      <c r="AK29" s="309">
        <v>0</v>
      </c>
      <c r="AL29" s="309">
        <f>-(CampusArea!E22-CampusArea!E21)*$AL$12*1000-(CampusArea!D22-CampusArea!D21)*$AL$12*SpacePlanning!$AU$53*1000</f>
        <v>-34029118.383769982</v>
      </c>
      <c r="AM29" s="309">
        <f t="shared" si="18"/>
        <v>-34029118.383769982</v>
      </c>
      <c r="AN29" s="310">
        <v>0</v>
      </c>
      <c r="AO29" s="310">
        <f>-CampusArea!G22*SpacePlanning!$AU$62*1000</f>
        <v>-21942239.240882795</v>
      </c>
      <c r="AP29" s="310">
        <f t="shared" si="19"/>
        <v>-21942239.240882795</v>
      </c>
      <c r="AQ29" s="309">
        <v>0</v>
      </c>
      <c r="AR29" s="311">
        <f t="shared" ca="1" si="5"/>
        <v>-88758709.576922804</v>
      </c>
      <c r="AS29" s="870">
        <f t="shared" ca="1" si="20"/>
        <v>-974782897.33083165</v>
      </c>
      <c r="AT29" s="822"/>
      <c r="AU29" s="878"/>
      <c r="AV29" s="35"/>
      <c r="AW29" s="879"/>
      <c r="AX29" s="35"/>
      <c r="AY29" s="880"/>
    </row>
    <row r="30" spans="1:51">
      <c r="A30" s="303">
        <v>2021</v>
      </c>
      <c r="B30" s="304">
        <f ca="1">IF($D$3="BAU",UtilityDemand!C23,INDIRECT($D$3&amp;"!B"&amp;ROW(A30))+INDIRECT($D$3&amp;"!D"&amp;ROW(A30)))</f>
        <v>150134.48002583507</v>
      </c>
      <c r="C30" s="305">
        <v>0</v>
      </c>
      <c r="D30" s="306">
        <f t="shared" ca="1" si="6"/>
        <v>150134.48002583507</v>
      </c>
      <c r="E30" s="304">
        <f ca="1">IF($D$3="BAU",UtilityDemand!E23,INDIRECT($D$3&amp;"!E"&amp;ROW(D30))+INDIRECT($D$3&amp;"!G"&amp;ROW(D30)))</f>
        <v>800262.06966493546</v>
      </c>
      <c r="F30" s="305">
        <v>0</v>
      </c>
      <c r="G30" s="306">
        <f t="shared" ca="1" si="7"/>
        <v>800262.06966493546</v>
      </c>
      <c r="H30" s="304">
        <f ca="1">IF($D$3="BAU",UtilityDemand!G23,INDIRECT($D$3&amp;"!H"&amp;ROW(G30))+INDIRECT($D$3&amp;"!J"&amp;ROW(G30)))</f>
        <v>219040.46792328163</v>
      </c>
      <c r="I30" s="305">
        <v>0</v>
      </c>
      <c r="J30" s="306">
        <f t="shared" ca="1" si="8"/>
        <v>219040.46792328163</v>
      </c>
      <c r="K30" s="307">
        <f t="shared" ca="1" si="9"/>
        <v>300268.96005167015</v>
      </c>
      <c r="L30" s="307">
        <f t="shared" si="10"/>
        <v>0</v>
      </c>
      <c r="M30" s="307">
        <v>0</v>
      </c>
      <c r="N30" s="307">
        <f t="shared" ca="1" si="11"/>
        <v>300268.96005167015</v>
      </c>
      <c r="O30" s="306">
        <f t="shared" ca="1" si="12"/>
        <v>1600524.1393298709</v>
      </c>
      <c r="P30" s="306">
        <f t="shared" si="13"/>
        <v>0</v>
      </c>
      <c r="Q30" s="306">
        <v>0</v>
      </c>
      <c r="R30" s="306">
        <f t="shared" ca="1" si="14"/>
        <v>1600524.1393298709</v>
      </c>
      <c r="S30" s="818">
        <f t="shared" ca="1" si="15"/>
        <v>438080.93584656325</v>
      </c>
      <c r="T30" s="818">
        <f t="shared" si="16"/>
        <v>0</v>
      </c>
      <c r="U30" s="818">
        <v>0</v>
      </c>
      <c r="V30" s="818">
        <f t="shared" ca="1" si="17"/>
        <v>438080.93584656325</v>
      </c>
      <c r="W30" s="306">
        <f ca="1">'GHG Emissions'!I23</f>
        <v>22560.018799936457</v>
      </c>
      <c r="X30" s="306">
        <f ca="1">'GHG Emissions'!M23</f>
        <v>217594.23372387225</v>
      </c>
      <c r="Y30" s="306">
        <f ca="1">SUM('GHG Emissions'!N23:O23)</f>
        <v>16613.981781332222</v>
      </c>
      <c r="Z30" s="306">
        <f ca="1">'GHG Emissions'!U23-SUM('GHG Emissions'!N23:O23)</f>
        <v>48388.314621992206</v>
      </c>
      <c r="AA30" s="308">
        <f ca="1">-ExposureCalculations!J27*1000000</f>
        <v>-6841721.2511777179</v>
      </c>
      <c r="AB30" s="308">
        <f t="shared" ca="1" si="1"/>
        <v>-13481122.318741925</v>
      </c>
      <c r="AC30" s="308">
        <v>0</v>
      </c>
      <c r="AD30" s="819">
        <f t="shared" ca="1" si="2"/>
        <v>-9353289.9583108295</v>
      </c>
      <c r="AE30" s="308">
        <v>0</v>
      </c>
      <c r="AF30" s="819">
        <f t="shared" ca="1" si="3"/>
        <v>-4234782.379850111</v>
      </c>
      <c r="AG30" s="308">
        <v>0</v>
      </c>
      <c r="AH30" s="308">
        <v>0</v>
      </c>
      <c r="AI30" s="308">
        <v>0</v>
      </c>
      <c r="AJ30" s="308">
        <f t="shared" ca="1" si="4"/>
        <v>-27069194.656902865</v>
      </c>
      <c r="AK30" s="309">
        <v>0</v>
      </c>
      <c r="AL30" s="309">
        <f>-(CampusArea!E23-CampusArea!E22)*$AL$12*1000-(CampusArea!D23-CampusArea!D22)*$AL$12*SpacePlanning!$AU$53*1000</f>
        <v>-34029118.383769982</v>
      </c>
      <c r="AM30" s="309">
        <f t="shared" si="18"/>
        <v>-34029118.383769982</v>
      </c>
      <c r="AN30" s="310">
        <v>0</v>
      </c>
      <c r="AO30" s="310">
        <f>-CampusArea!G23*SpacePlanning!$AU$62*1000</f>
        <v>-22174625.230053958</v>
      </c>
      <c r="AP30" s="310">
        <f t="shared" si="19"/>
        <v>-22174625.230053958</v>
      </c>
      <c r="AQ30" s="309">
        <v>0</v>
      </c>
      <c r="AR30" s="311">
        <f t="shared" ca="1" si="5"/>
        <v>-90114659.521904528</v>
      </c>
      <c r="AS30" s="870">
        <f t="shared" ca="1" si="20"/>
        <v>-1064897556.8527362</v>
      </c>
      <c r="AT30" s="822"/>
      <c r="AU30" s="878"/>
      <c r="AV30" s="35"/>
      <c r="AW30" s="879"/>
      <c r="AX30" s="35"/>
      <c r="AY30" s="880"/>
    </row>
    <row r="31" spans="1:51">
      <c r="A31" s="303">
        <v>2022</v>
      </c>
      <c r="B31" s="304">
        <f ca="1">IF($D$3="BAU",UtilityDemand!C24,INDIRECT($D$3&amp;"!B"&amp;ROW(A31))+INDIRECT($D$3&amp;"!D"&amp;ROW(A31)))</f>
        <v>151711.10562668712</v>
      </c>
      <c r="C31" s="305">
        <v>0</v>
      </c>
      <c r="D31" s="306">
        <f t="shared" ca="1" si="6"/>
        <v>151711.10562668712</v>
      </c>
      <c r="E31" s="304">
        <f ca="1">IF($D$3="BAU",UtilityDemand!E24,INDIRECT($D$3&amp;"!E"&amp;ROW(D31))+INDIRECT($D$3&amp;"!G"&amp;ROW(D31)))</f>
        <v>808648.668794611</v>
      </c>
      <c r="F31" s="305">
        <v>0</v>
      </c>
      <c r="G31" s="306">
        <f t="shared" ca="1" si="7"/>
        <v>808648.668794611</v>
      </c>
      <c r="H31" s="304">
        <f ca="1">IF($D$3="BAU",UtilityDemand!G24,INDIRECT($D$3&amp;"!H"&amp;ROW(G31))+INDIRECT($D$3&amp;"!J"&amp;ROW(G31)))</f>
        <v>222105.00248588528</v>
      </c>
      <c r="I31" s="305">
        <v>0</v>
      </c>
      <c r="J31" s="306">
        <f t="shared" ca="1" si="8"/>
        <v>222105.00248588528</v>
      </c>
      <c r="K31" s="307">
        <f t="shared" ca="1" si="9"/>
        <v>303422.21125337423</v>
      </c>
      <c r="L31" s="307">
        <f t="shared" si="10"/>
        <v>0</v>
      </c>
      <c r="M31" s="307">
        <v>0</v>
      </c>
      <c r="N31" s="307">
        <f t="shared" ca="1" si="11"/>
        <v>303422.21125337423</v>
      </c>
      <c r="O31" s="306">
        <f t="shared" ca="1" si="12"/>
        <v>1617297.337589222</v>
      </c>
      <c r="P31" s="306">
        <f t="shared" si="13"/>
        <v>0</v>
      </c>
      <c r="Q31" s="306">
        <v>0</v>
      </c>
      <c r="R31" s="306">
        <f t="shared" ca="1" si="14"/>
        <v>1617297.337589222</v>
      </c>
      <c r="S31" s="818">
        <f t="shared" ca="1" si="15"/>
        <v>444210.00497177057</v>
      </c>
      <c r="T31" s="818">
        <f t="shared" si="16"/>
        <v>0</v>
      </c>
      <c r="U31" s="818">
        <v>0</v>
      </c>
      <c r="V31" s="818">
        <f t="shared" ca="1" si="17"/>
        <v>444210.00497177057</v>
      </c>
      <c r="W31" s="306">
        <f ca="1">'GHG Emissions'!I24</f>
        <v>22790.408845913007</v>
      </c>
      <c r="X31" s="306">
        <f ca="1">'GHG Emissions'!M24</f>
        <v>219968.205806171</v>
      </c>
      <c r="Y31" s="306">
        <f ca="1">SUM('GHG Emissions'!N24:O24)</f>
        <v>16633.019966624121</v>
      </c>
      <c r="Z31" s="306">
        <f ca="1">'GHG Emissions'!U24-SUM('GHG Emissions'!N24:O24)</f>
        <v>48594.400841787545</v>
      </c>
      <c r="AA31" s="308">
        <f ca="1">-ExposureCalculations!J28*1000000</f>
        <v>-7585161.7863939432</v>
      </c>
      <c r="AB31" s="308">
        <f t="shared" ca="1" si="1"/>
        <v>-13690806.745869212</v>
      </c>
      <c r="AC31" s="308">
        <v>0</v>
      </c>
      <c r="AD31" s="819">
        <f t="shared" ca="1" si="2"/>
        <v>-9498567.2683310807</v>
      </c>
      <c r="AE31" s="308">
        <v>0</v>
      </c>
      <c r="AF31" s="819">
        <f t="shared" ca="1" si="3"/>
        <v>-4294030.0480604488</v>
      </c>
      <c r="AG31" s="308">
        <v>0</v>
      </c>
      <c r="AH31" s="308">
        <v>0</v>
      </c>
      <c r="AI31" s="308">
        <v>0</v>
      </c>
      <c r="AJ31" s="308">
        <f t="shared" ca="1" si="4"/>
        <v>-27483404.06226074</v>
      </c>
      <c r="AK31" s="309">
        <v>0</v>
      </c>
      <c r="AL31" s="309">
        <f>-(CampusArea!E24-CampusArea!E23)*$AL$12*1000-(CampusArea!D24-CampusArea!D23)*$AL$12*SpacePlanning!$AU$53*1000</f>
        <v>-34029118.383769982</v>
      </c>
      <c r="AM31" s="309">
        <f t="shared" si="18"/>
        <v>-34029118.383769982</v>
      </c>
      <c r="AN31" s="310">
        <v>0</v>
      </c>
      <c r="AO31" s="310">
        <f>-CampusArea!G24*SpacePlanning!$AU$62*1000</f>
        <v>-22407011.21922512</v>
      </c>
      <c r="AP31" s="310">
        <f t="shared" si="19"/>
        <v>-22407011.21922512</v>
      </c>
      <c r="AQ31" s="309">
        <v>0</v>
      </c>
      <c r="AR31" s="311">
        <f t="shared" ca="1" si="5"/>
        <v>-91504695.451649785</v>
      </c>
      <c r="AS31" s="870">
        <f t="shared" ca="1" si="20"/>
        <v>-1156402252.3043861</v>
      </c>
      <c r="AT31" s="822"/>
      <c r="AU31" s="878"/>
      <c r="AV31" s="35"/>
      <c r="AW31" s="879"/>
      <c r="AX31" s="35"/>
      <c r="AY31" s="880"/>
    </row>
    <row r="32" spans="1:51">
      <c r="A32" s="303">
        <v>2023</v>
      </c>
      <c r="B32" s="304">
        <f ca="1">IF($D$3="BAU",UtilityDemand!C25,INDIRECT($D$3&amp;"!B"&amp;ROW(A32))+INDIRECT($D$3&amp;"!D"&amp;ROW(A32)))</f>
        <v>153287.73122753916</v>
      </c>
      <c r="C32" s="305">
        <v>0</v>
      </c>
      <c r="D32" s="306">
        <f t="shared" ca="1" si="6"/>
        <v>153287.73122753916</v>
      </c>
      <c r="E32" s="304">
        <f ca="1">IF($D$3="BAU",UtilityDemand!E25,INDIRECT($D$3&amp;"!E"&amp;ROW(D32))+INDIRECT($D$3&amp;"!G"&amp;ROW(D32)))</f>
        <v>817035.26792428643</v>
      </c>
      <c r="F32" s="305">
        <v>0</v>
      </c>
      <c r="G32" s="306">
        <f t="shared" ca="1" si="7"/>
        <v>817035.26792428643</v>
      </c>
      <c r="H32" s="304">
        <f ca="1">IF($D$3="BAU",UtilityDemand!G25,INDIRECT($D$3&amp;"!H"&amp;ROW(G32))+INDIRECT($D$3&amp;"!J"&amp;ROW(G32)))</f>
        <v>225169.537048489</v>
      </c>
      <c r="I32" s="305">
        <v>0</v>
      </c>
      <c r="J32" s="306">
        <f t="shared" ca="1" si="8"/>
        <v>225169.537048489</v>
      </c>
      <c r="K32" s="307">
        <f t="shared" ca="1" si="9"/>
        <v>306575.46245507832</v>
      </c>
      <c r="L32" s="307">
        <f t="shared" si="10"/>
        <v>0</v>
      </c>
      <c r="M32" s="307">
        <v>0</v>
      </c>
      <c r="N32" s="307">
        <f t="shared" ca="1" si="11"/>
        <v>306575.46245507832</v>
      </c>
      <c r="O32" s="306">
        <f t="shared" ca="1" si="12"/>
        <v>1634070.5358485729</v>
      </c>
      <c r="P32" s="306">
        <f t="shared" si="13"/>
        <v>0</v>
      </c>
      <c r="Q32" s="306">
        <v>0</v>
      </c>
      <c r="R32" s="306">
        <f t="shared" ca="1" si="14"/>
        <v>1634070.5358485729</v>
      </c>
      <c r="S32" s="818">
        <f t="shared" ca="1" si="15"/>
        <v>450339.074096978</v>
      </c>
      <c r="T32" s="818">
        <f t="shared" si="16"/>
        <v>0</v>
      </c>
      <c r="U32" s="818">
        <v>0</v>
      </c>
      <c r="V32" s="818">
        <f t="shared" ca="1" si="17"/>
        <v>450339.074096978</v>
      </c>
      <c r="W32" s="306">
        <f ca="1">'GHG Emissions'!I25</f>
        <v>23020.77533008498</v>
      </c>
      <c r="X32" s="306">
        <f ca="1">'GHG Emissions'!M25</f>
        <v>222342.17788846977</v>
      </c>
      <c r="Y32" s="306">
        <f ca="1">SUM('GHG Emissions'!N25:O25)</f>
        <v>16651.334924470233</v>
      </c>
      <c r="Z32" s="306">
        <f ca="1">'GHG Emissions'!U25-SUM('GHG Emissions'!N25:O25)</f>
        <v>48799.213596115602</v>
      </c>
      <c r="AA32" s="308">
        <f ca="1">-ExposureCalculations!J29*1000000</f>
        <v>-8359039.4962877249</v>
      </c>
      <c r="AB32" s="308">
        <f t="shared" ca="1" si="1"/>
        <v>-13902250.989209808</v>
      </c>
      <c r="AC32" s="308">
        <v>0</v>
      </c>
      <c r="AD32" s="819">
        <f t="shared" ca="1" si="2"/>
        <v>-9645063.519202577</v>
      </c>
      <c r="AE32" s="308">
        <v>0</v>
      </c>
      <c r="AF32" s="819">
        <f t="shared" ca="1" si="3"/>
        <v>-4353277.7162707867</v>
      </c>
      <c r="AG32" s="308">
        <v>0</v>
      </c>
      <c r="AH32" s="308">
        <v>0</v>
      </c>
      <c r="AI32" s="308">
        <v>0</v>
      </c>
      <c r="AJ32" s="308">
        <f t="shared" ca="1" si="4"/>
        <v>-27900592.224683169</v>
      </c>
      <c r="AK32" s="309">
        <v>0</v>
      </c>
      <c r="AL32" s="309">
        <f>-(CampusArea!E25-CampusArea!E24)*$AL$12*1000-(CampusArea!D25-CampusArea!D24)*$AL$12*SpacePlanning!$AU$53*1000</f>
        <v>-34029118.383770302</v>
      </c>
      <c r="AM32" s="309">
        <f t="shared" si="18"/>
        <v>-34029118.383770302</v>
      </c>
      <c r="AN32" s="310">
        <v>0</v>
      </c>
      <c r="AO32" s="310">
        <f>-CampusArea!G25*SpacePlanning!$AU$62*1000</f>
        <v>-22639397.208396282</v>
      </c>
      <c r="AP32" s="310">
        <f t="shared" si="19"/>
        <v>-22639397.208396282</v>
      </c>
      <c r="AQ32" s="309">
        <v>0</v>
      </c>
      <c r="AR32" s="311">
        <f t="shared" ca="1" si="5"/>
        <v>-92928147.313137472</v>
      </c>
      <c r="AS32" s="870">
        <f t="shared" ca="1" si="20"/>
        <v>-1249330399.6175237</v>
      </c>
      <c r="AT32" s="822"/>
      <c r="AU32" s="878"/>
      <c r="AV32" s="35"/>
      <c r="AW32" s="879"/>
      <c r="AX32" s="35"/>
      <c r="AY32" s="880"/>
    </row>
    <row r="33" spans="1:51">
      <c r="A33" s="303">
        <v>2024</v>
      </c>
      <c r="B33" s="304">
        <f ca="1">IF($D$3="BAU",UtilityDemand!C26,INDIRECT($D$3&amp;"!B"&amp;ROW(A33))+INDIRECT($D$3&amp;"!D"&amp;ROW(A33)))</f>
        <v>154864.35682839117</v>
      </c>
      <c r="C33" s="305">
        <v>0</v>
      </c>
      <c r="D33" s="306">
        <f t="shared" ca="1" si="6"/>
        <v>154864.35682839117</v>
      </c>
      <c r="E33" s="304">
        <f ca="1">IF($D$3="BAU",UtilityDemand!E26,INDIRECT($D$3&amp;"!E"&amp;ROW(D33))+INDIRECT($D$3&amp;"!G"&amp;ROW(D33)))</f>
        <v>825421.86705396173</v>
      </c>
      <c r="F33" s="305">
        <v>0</v>
      </c>
      <c r="G33" s="306">
        <f t="shared" ca="1" si="7"/>
        <v>825421.86705396173</v>
      </c>
      <c r="H33" s="304">
        <f ca="1">IF($D$3="BAU",UtilityDemand!G26,INDIRECT($D$3&amp;"!H"&amp;ROW(G33))+INDIRECT($D$3&amp;"!J"&amp;ROW(G33)))</f>
        <v>228234.07161109266</v>
      </c>
      <c r="I33" s="305">
        <v>0</v>
      </c>
      <c r="J33" s="306">
        <f t="shared" ca="1" si="8"/>
        <v>228234.07161109266</v>
      </c>
      <c r="K33" s="307">
        <f t="shared" ca="1" si="9"/>
        <v>309728.71365678235</v>
      </c>
      <c r="L33" s="307">
        <f t="shared" si="10"/>
        <v>0</v>
      </c>
      <c r="M33" s="307">
        <v>0</v>
      </c>
      <c r="N33" s="307">
        <f t="shared" ca="1" si="11"/>
        <v>309728.71365678235</v>
      </c>
      <c r="O33" s="306">
        <f t="shared" ca="1" si="12"/>
        <v>1650843.7341079235</v>
      </c>
      <c r="P33" s="306">
        <f t="shared" si="13"/>
        <v>0</v>
      </c>
      <c r="Q33" s="306">
        <v>0</v>
      </c>
      <c r="R33" s="306">
        <f t="shared" ca="1" si="14"/>
        <v>1650843.7341079235</v>
      </c>
      <c r="S33" s="818">
        <f t="shared" ca="1" si="15"/>
        <v>456468.14322218532</v>
      </c>
      <c r="T33" s="818">
        <f t="shared" si="16"/>
        <v>0</v>
      </c>
      <c r="U33" s="818">
        <v>0</v>
      </c>
      <c r="V33" s="818">
        <f t="shared" ca="1" si="17"/>
        <v>456468.14322218532</v>
      </c>
      <c r="W33" s="306">
        <f ca="1">'GHG Emissions'!I26</f>
        <v>23251.120736691468</v>
      </c>
      <c r="X33" s="306">
        <f ca="1">'GHG Emissions'!M26</f>
        <v>224716.14997076849</v>
      </c>
      <c r="Y33" s="306">
        <f ca="1">SUM('GHG Emissions'!N26:O26)</f>
        <v>16669.002910995707</v>
      </c>
      <c r="Z33" s="306">
        <f ca="1">'GHG Emissions'!U26-SUM('GHG Emissions'!N26:O26)</f>
        <v>49002.887152819676</v>
      </c>
      <c r="AA33" s="308">
        <f ca="1">-ExposureCalculations!J30*1000000</f>
        <v>-9162676.4823260494</v>
      </c>
      <c r="AB33" s="308">
        <f t="shared" ca="1" si="1"/>
        <v>-14115467.40481516</v>
      </c>
      <c r="AC33" s="308">
        <v>0</v>
      </c>
      <c r="AD33" s="819">
        <f t="shared" ca="1" si="2"/>
        <v>-9792787.268401077</v>
      </c>
      <c r="AE33" s="308">
        <v>0</v>
      </c>
      <c r="AF33" s="819">
        <f t="shared" ca="1" si="3"/>
        <v>-4412525.3844811246</v>
      </c>
      <c r="AG33" s="308">
        <v>0</v>
      </c>
      <c r="AH33" s="308">
        <v>0</v>
      </c>
      <c r="AI33" s="308">
        <v>0</v>
      </c>
      <c r="AJ33" s="308">
        <f t="shared" ca="1" si="4"/>
        <v>-28320780.057697363</v>
      </c>
      <c r="AK33" s="309">
        <v>0</v>
      </c>
      <c r="AL33" s="309">
        <f>-(CampusArea!E26-CampusArea!E25)*$AL$12*1000-(CampusArea!D26-CampusArea!D25)*$AL$12*SpacePlanning!$AU$53*1000</f>
        <v>-34029118.383769982</v>
      </c>
      <c r="AM33" s="309">
        <f t="shared" si="18"/>
        <v>-34029118.383769982</v>
      </c>
      <c r="AN33" s="310">
        <v>0</v>
      </c>
      <c r="AO33" s="310">
        <f>-CampusArea!G26*SpacePlanning!$AU$62*1000</f>
        <v>-22871783.197567444</v>
      </c>
      <c r="AP33" s="310">
        <f t="shared" si="19"/>
        <v>-22871783.197567444</v>
      </c>
      <c r="AQ33" s="309">
        <v>0</v>
      </c>
      <c r="AR33" s="311">
        <f t="shared" ca="1" si="5"/>
        <v>-94384358.121360853</v>
      </c>
      <c r="AS33" s="870">
        <f t="shared" ca="1" si="20"/>
        <v>-1343714757.7388844</v>
      </c>
      <c r="AT33" s="822"/>
      <c r="AU33" s="878"/>
      <c r="AV33" s="35"/>
      <c r="AW33" s="879"/>
      <c r="AX33" s="35"/>
      <c r="AY33" s="880"/>
    </row>
    <row r="34" spans="1:51">
      <c r="A34" s="303">
        <v>2025</v>
      </c>
      <c r="B34" s="304">
        <f ca="1">IF($D$3="BAU",UtilityDemand!C27,INDIRECT($D$3&amp;"!B"&amp;ROW(A34))+INDIRECT($D$3&amp;"!D"&amp;ROW(A34)))</f>
        <v>156440.98242924322</v>
      </c>
      <c r="C34" s="305">
        <v>0</v>
      </c>
      <c r="D34" s="306">
        <f t="shared" ca="1" si="6"/>
        <v>156440.98242924322</v>
      </c>
      <c r="E34" s="304">
        <f ca="1">IF($D$3="BAU",UtilityDemand!E27,INDIRECT($D$3&amp;"!E"&amp;ROW(D34))+INDIRECT($D$3&amp;"!G"&amp;ROW(D34)))</f>
        <v>833808.46618363715</v>
      </c>
      <c r="F34" s="305">
        <v>0</v>
      </c>
      <c r="G34" s="306">
        <f t="shared" ca="1" si="7"/>
        <v>833808.46618363715</v>
      </c>
      <c r="H34" s="304">
        <f ca="1">IF($D$3="BAU",UtilityDemand!G27,INDIRECT($D$3&amp;"!H"&amp;ROW(G34))+INDIRECT($D$3&amp;"!J"&amp;ROW(G34)))</f>
        <v>231298.6061736964</v>
      </c>
      <c r="I34" s="305">
        <v>0</v>
      </c>
      <c r="J34" s="306">
        <f t="shared" ca="1" si="8"/>
        <v>231298.6061736964</v>
      </c>
      <c r="K34" s="307">
        <f t="shared" ca="1" si="9"/>
        <v>312881.96485848643</v>
      </c>
      <c r="L34" s="307">
        <f t="shared" si="10"/>
        <v>0</v>
      </c>
      <c r="M34" s="307">
        <v>0</v>
      </c>
      <c r="N34" s="307">
        <f t="shared" ca="1" si="11"/>
        <v>312881.96485848643</v>
      </c>
      <c r="O34" s="306">
        <f t="shared" ca="1" si="12"/>
        <v>1667616.9323672743</v>
      </c>
      <c r="P34" s="306">
        <f t="shared" si="13"/>
        <v>0</v>
      </c>
      <c r="Q34" s="306">
        <v>0</v>
      </c>
      <c r="R34" s="306">
        <f t="shared" ca="1" si="14"/>
        <v>1667616.9323672743</v>
      </c>
      <c r="S34" s="818">
        <f t="shared" ca="1" si="15"/>
        <v>462597.21234739281</v>
      </c>
      <c r="T34" s="818">
        <f t="shared" si="16"/>
        <v>0</v>
      </c>
      <c r="U34" s="818">
        <v>0</v>
      </c>
      <c r="V34" s="818">
        <f t="shared" ca="1" si="17"/>
        <v>462597.21234739281</v>
      </c>
      <c r="W34" s="306">
        <f ca="1">'GHG Emissions'!I27</f>
        <v>23481.447141878285</v>
      </c>
      <c r="X34" s="306">
        <f ca="1">'GHG Emissions'!M27</f>
        <v>227090.12205306723</v>
      </c>
      <c r="Y34" s="306">
        <f ca="1">SUM('GHG Emissions'!N27:O27)</f>
        <v>16686.087655419065</v>
      </c>
      <c r="Z34" s="306">
        <f ca="1">'GHG Emissions'!U27-SUM('GHG Emissions'!N27:O27)</f>
        <v>49205.533723169778</v>
      </c>
      <c r="AA34" s="308">
        <f ca="1">-ExposureCalculations!J31*1000000</f>
        <v>-9995408.3143064193</v>
      </c>
      <c r="AB34" s="308">
        <f t="shared" ca="1" si="1"/>
        <v>-14330468.428301834</v>
      </c>
      <c r="AC34" s="308">
        <v>0</v>
      </c>
      <c r="AD34" s="819">
        <f t="shared" ca="1" si="2"/>
        <v>-9941747.1285035852</v>
      </c>
      <c r="AE34" s="308">
        <v>0</v>
      </c>
      <c r="AF34" s="819">
        <f t="shared" ca="1" si="3"/>
        <v>-4471773.0526914634</v>
      </c>
      <c r="AG34" s="308">
        <v>0</v>
      </c>
      <c r="AH34" s="308">
        <v>0</v>
      </c>
      <c r="AI34" s="308">
        <v>0</v>
      </c>
      <c r="AJ34" s="308">
        <f t="shared" ca="1" si="4"/>
        <v>-28743988.60949688</v>
      </c>
      <c r="AK34" s="309">
        <v>0</v>
      </c>
      <c r="AL34" s="309">
        <f>-(CampusArea!E27-CampusArea!E26)*$AL$12*1000-(CampusArea!D27-CampusArea!D26)*$AL$12*SpacePlanning!$AU$53*1000</f>
        <v>-34029118.383770302</v>
      </c>
      <c r="AM34" s="309">
        <f t="shared" si="18"/>
        <v>-34029118.383770302</v>
      </c>
      <c r="AN34" s="310">
        <v>0</v>
      </c>
      <c r="AO34" s="310">
        <f>-CampusArea!G27*SpacePlanning!$AU$62*1000</f>
        <v>-23104169.18673861</v>
      </c>
      <c r="AP34" s="310">
        <f t="shared" si="19"/>
        <v>-23104169.18673861</v>
      </c>
      <c r="AQ34" s="309">
        <v>0</v>
      </c>
      <c r="AR34" s="311">
        <f t="shared" ca="1" si="5"/>
        <v>-95872684.494312212</v>
      </c>
      <c r="AS34" s="870">
        <f t="shared" ca="1" si="20"/>
        <v>-1439587442.2331967</v>
      </c>
      <c r="AT34" s="822"/>
      <c r="AU34" s="878"/>
      <c r="AV34" s="35"/>
      <c r="AW34" s="879"/>
      <c r="AX34" s="35"/>
      <c r="AY34" s="880"/>
    </row>
    <row r="35" spans="1:51">
      <c r="A35" s="303">
        <v>2026</v>
      </c>
      <c r="B35" s="304">
        <f ca="1">IF($D$3="BAU",UtilityDemand!C28,INDIRECT($D$3&amp;"!B"&amp;ROW(A35))+INDIRECT($D$3&amp;"!D"&amp;ROW(A35)))</f>
        <v>158017.60803009526</v>
      </c>
      <c r="C35" s="305">
        <v>0</v>
      </c>
      <c r="D35" s="306">
        <f t="shared" ca="1" si="6"/>
        <v>158017.60803009526</v>
      </c>
      <c r="E35" s="304">
        <f ca="1">IF($D$3="BAU",UtilityDemand!E28,INDIRECT($D$3&amp;"!E"&amp;ROW(D35))+INDIRECT($D$3&amp;"!G"&amp;ROW(D35)))</f>
        <v>842195.06531331246</v>
      </c>
      <c r="F35" s="305">
        <v>0</v>
      </c>
      <c r="G35" s="306">
        <f t="shared" ca="1" si="7"/>
        <v>842195.06531331246</v>
      </c>
      <c r="H35" s="304">
        <f ca="1">IF($D$3="BAU",UtilityDemand!G28,INDIRECT($D$3&amp;"!H"&amp;ROW(G35))+INDIRECT($D$3&amp;"!J"&amp;ROW(G35)))</f>
        <v>234363.14073630009</v>
      </c>
      <c r="I35" s="305">
        <v>0</v>
      </c>
      <c r="J35" s="306">
        <f t="shared" ca="1" si="8"/>
        <v>234363.14073630009</v>
      </c>
      <c r="K35" s="307">
        <f t="shared" ca="1" si="9"/>
        <v>316035.21606019052</v>
      </c>
      <c r="L35" s="307">
        <f t="shared" si="10"/>
        <v>0</v>
      </c>
      <c r="M35" s="307">
        <v>0</v>
      </c>
      <c r="N35" s="307">
        <f t="shared" ca="1" si="11"/>
        <v>316035.21606019052</v>
      </c>
      <c r="O35" s="306">
        <f t="shared" ca="1" si="12"/>
        <v>1684390.1306266249</v>
      </c>
      <c r="P35" s="306">
        <f t="shared" si="13"/>
        <v>0</v>
      </c>
      <c r="Q35" s="306">
        <v>0</v>
      </c>
      <c r="R35" s="306">
        <f t="shared" ca="1" si="14"/>
        <v>1684390.1306266249</v>
      </c>
      <c r="S35" s="818">
        <f t="shared" ca="1" si="15"/>
        <v>468726.28147260018</v>
      </c>
      <c r="T35" s="818">
        <f t="shared" si="16"/>
        <v>0</v>
      </c>
      <c r="U35" s="818">
        <v>0</v>
      </c>
      <c r="V35" s="818">
        <f t="shared" ca="1" si="17"/>
        <v>468726.28147260018</v>
      </c>
      <c r="W35" s="306">
        <f ca="1">'GHG Emissions'!I28</f>
        <v>23711.756301807087</v>
      </c>
      <c r="X35" s="306">
        <f ca="1">'GHG Emissions'!M28</f>
        <v>229464.09413536597</v>
      </c>
      <c r="Y35" s="306">
        <f ca="1">SUM('GHG Emissions'!N28:O28)</f>
        <v>16702.643064672975</v>
      </c>
      <c r="Z35" s="306">
        <f ca="1">'GHG Emissions'!U28-SUM('GHG Emissions'!N28:O28)</f>
        <v>49407.248223970746</v>
      </c>
      <c r="AA35" s="308">
        <f ca="1">-ExposureCalculations!J32*1000000</f>
        <v>-10939389.790527707</v>
      </c>
      <c r="AB35" s="308">
        <f t="shared" ca="1" si="1"/>
        <v>-14547266.575338257</v>
      </c>
      <c r="AC35" s="308">
        <v>0</v>
      </c>
      <c r="AD35" s="819">
        <f t="shared" ca="1" si="2"/>
        <v>-10091951.767525405</v>
      </c>
      <c r="AE35" s="308">
        <v>0</v>
      </c>
      <c r="AF35" s="819">
        <f t="shared" ca="1" si="3"/>
        <v>-4531020.7209018013</v>
      </c>
      <c r="AG35" s="308">
        <v>0</v>
      </c>
      <c r="AH35" s="308">
        <v>0</v>
      </c>
      <c r="AI35" s="308">
        <v>0</v>
      </c>
      <c r="AJ35" s="308">
        <f t="shared" ca="1" si="4"/>
        <v>-29170239.063765466</v>
      </c>
      <c r="AK35" s="309">
        <v>0</v>
      </c>
      <c r="AL35" s="309">
        <f>-(CampusArea!E28-CampusArea!E27)*$AL$12*1000-(CampusArea!D28-CampusArea!D27)*$AL$12*SpacePlanning!$AU$53*1000</f>
        <v>-34029118.383769982</v>
      </c>
      <c r="AM35" s="309">
        <f t="shared" si="18"/>
        <v>-34029118.383769982</v>
      </c>
      <c r="AN35" s="310">
        <v>0</v>
      </c>
      <c r="AO35" s="310">
        <f>-CampusArea!G28*SpacePlanning!$AU$62*1000</f>
        <v>-23336555.175909773</v>
      </c>
      <c r="AP35" s="310">
        <f t="shared" si="19"/>
        <v>-23336555.175909773</v>
      </c>
      <c r="AQ35" s="309">
        <v>0</v>
      </c>
      <c r="AR35" s="311">
        <f t="shared" ca="1" si="5"/>
        <v>-97475302.413972929</v>
      </c>
      <c r="AS35" s="870">
        <f t="shared" ca="1" si="20"/>
        <v>-1537062744.6471696</v>
      </c>
      <c r="AT35" s="822"/>
      <c r="AU35" s="878"/>
      <c r="AV35" s="35"/>
      <c r="AW35" s="879"/>
      <c r="AX35" s="35"/>
      <c r="AY35" s="880"/>
    </row>
    <row r="36" spans="1:51">
      <c r="A36" s="303">
        <v>2027</v>
      </c>
      <c r="B36" s="304">
        <f ca="1">IF($D$3="BAU",UtilityDemand!C29,INDIRECT($D$3&amp;"!B"&amp;ROW(A36))+INDIRECT($D$3&amp;"!D"&amp;ROW(A36)))</f>
        <v>159594.23363094722</v>
      </c>
      <c r="C36" s="305">
        <v>0</v>
      </c>
      <c r="D36" s="306">
        <f t="shared" ca="1" si="6"/>
        <v>159594.23363094722</v>
      </c>
      <c r="E36" s="304">
        <f ca="1">IF($D$3="BAU",UtilityDemand!E29,INDIRECT($D$3&amp;"!E"&amp;ROW(D36))+INDIRECT($D$3&amp;"!G"&amp;ROW(D36)))</f>
        <v>850581.66444298776</v>
      </c>
      <c r="F36" s="305">
        <v>0</v>
      </c>
      <c r="G36" s="306">
        <f t="shared" ca="1" si="7"/>
        <v>850581.66444298776</v>
      </c>
      <c r="H36" s="304">
        <f ca="1">IF($D$3="BAU",UtilityDemand!G29,INDIRECT($D$3&amp;"!H"&amp;ROW(G36))+INDIRECT($D$3&amp;"!J"&amp;ROW(G36)))</f>
        <v>237427.67529890378</v>
      </c>
      <c r="I36" s="305">
        <v>0</v>
      </c>
      <c r="J36" s="306">
        <f t="shared" ca="1" si="8"/>
        <v>237427.67529890378</v>
      </c>
      <c r="K36" s="307">
        <f t="shared" ca="1" si="9"/>
        <v>319188.46726189443</v>
      </c>
      <c r="L36" s="307">
        <f t="shared" si="10"/>
        <v>0</v>
      </c>
      <c r="M36" s="307">
        <v>0</v>
      </c>
      <c r="N36" s="307">
        <f t="shared" ca="1" si="11"/>
        <v>319188.46726189443</v>
      </c>
      <c r="O36" s="306">
        <f t="shared" ca="1" si="12"/>
        <v>1701163.3288859755</v>
      </c>
      <c r="P36" s="306">
        <f t="shared" si="13"/>
        <v>0</v>
      </c>
      <c r="Q36" s="306">
        <v>0</v>
      </c>
      <c r="R36" s="306">
        <f t="shared" ca="1" si="14"/>
        <v>1701163.3288859755</v>
      </c>
      <c r="S36" s="818">
        <f t="shared" ca="1" si="15"/>
        <v>474855.35059780756</v>
      </c>
      <c r="T36" s="818">
        <f t="shared" si="16"/>
        <v>0</v>
      </c>
      <c r="U36" s="818">
        <v>0</v>
      </c>
      <c r="V36" s="818">
        <f t="shared" ca="1" si="17"/>
        <v>474855.35059780756</v>
      </c>
      <c r="W36" s="306">
        <f ca="1">'GHG Emissions'!I29</f>
        <v>23942.049717717506</v>
      </c>
      <c r="X36" s="306">
        <f ca="1">'GHG Emissions'!M29</f>
        <v>231838.06621766463</v>
      </c>
      <c r="Y36" s="306">
        <f ca="1">SUM('GHG Emissions'!N29:O29)</f>
        <v>16718.715220570022</v>
      </c>
      <c r="Z36" s="306">
        <f ca="1">'GHG Emissions'!U29-SUM('GHG Emissions'!N29:O29)</f>
        <v>49608.111794035111</v>
      </c>
      <c r="AA36" s="308">
        <f ca="1">-ExposureCalculations!J33*1000000</f>
        <v>-11918231.34245827</v>
      </c>
      <c r="AB36" s="308">
        <f t="shared" ca="1" si="1"/>
        <v>-14765874.44213433</v>
      </c>
      <c r="AC36" s="308">
        <v>0</v>
      </c>
      <c r="AD36" s="819">
        <f t="shared" ca="1" si="2"/>
        <v>-10243409.909259232</v>
      </c>
      <c r="AE36" s="308">
        <v>0</v>
      </c>
      <c r="AF36" s="819">
        <f t="shared" ca="1" si="3"/>
        <v>-4590268.3891121391</v>
      </c>
      <c r="AG36" s="308">
        <v>0</v>
      </c>
      <c r="AH36" s="308">
        <v>0</v>
      </c>
      <c r="AI36" s="308">
        <v>0</v>
      </c>
      <c r="AJ36" s="308">
        <f t="shared" ca="1" si="4"/>
        <v>-29599552.740505703</v>
      </c>
      <c r="AK36" s="309">
        <v>0</v>
      </c>
      <c r="AL36" s="309">
        <f>-(CampusArea!E29-CampusArea!E28)*$AL$12*1000-(CampusArea!D29-CampusArea!D28)*$AL$12*SpacePlanning!$AU$53*1000</f>
        <v>-34029118.383769982</v>
      </c>
      <c r="AM36" s="309">
        <f t="shared" si="18"/>
        <v>-34029118.383769982</v>
      </c>
      <c r="AN36" s="310">
        <v>0</v>
      </c>
      <c r="AO36" s="310">
        <f>-CampusArea!G29*SpacePlanning!$AU$62*1000</f>
        <v>-23568941.165080935</v>
      </c>
      <c r="AP36" s="310">
        <f t="shared" si="19"/>
        <v>-23568941.165080935</v>
      </c>
      <c r="AQ36" s="309">
        <v>0</v>
      </c>
      <c r="AR36" s="311">
        <f t="shared" ca="1" si="5"/>
        <v>-99115843.631814897</v>
      </c>
      <c r="AS36" s="870">
        <f t="shared" ca="1" si="20"/>
        <v>-1636178588.2789845</v>
      </c>
      <c r="AT36" s="822"/>
      <c r="AU36" s="878"/>
      <c r="AV36" s="35"/>
      <c r="AW36" s="879"/>
      <c r="AX36" s="35"/>
      <c r="AY36" s="880"/>
    </row>
    <row r="37" spans="1:51">
      <c r="A37" s="303">
        <v>2028</v>
      </c>
      <c r="B37" s="304">
        <f ca="1">IF($D$3="BAU",UtilityDemand!C30,INDIRECT($D$3&amp;"!B"&amp;ROW(A37))+INDIRECT($D$3&amp;"!D"&amp;ROW(A37)))</f>
        <v>161170.85923179929</v>
      </c>
      <c r="C37" s="305">
        <v>0</v>
      </c>
      <c r="D37" s="306">
        <f t="shared" ca="1" si="6"/>
        <v>161170.85923179929</v>
      </c>
      <c r="E37" s="304">
        <f ca="1">IF($D$3="BAU",UtilityDemand!E30,INDIRECT($D$3&amp;"!E"&amp;ROW(D37))+INDIRECT($D$3&amp;"!G"&amp;ROW(D37)))</f>
        <v>858968.26357266307</v>
      </c>
      <c r="F37" s="305">
        <v>0</v>
      </c>
      <c r="G37" s="306">
        <f t="shared" ca="1" si="7"/>
        <v>858968.26357266307</v>
      </c>
      <c r="H37" s="304">
        <f ca="1">IF($D$3="BAU",UtilityDemand!G30,INDIRECT($D$3&amp;"!H"&amp;ROW(G37))+INDIRECT($D$3&amp;"!J"&amp;ROW(G37)))</f>
        <v>240492.20986150744</v>
      </c>
      <c r="I37" s="305">
        <v>0</v>
      </c>
      <c r="J37" s="306">
        <f t="shared" ca="1" si="8"/>
        <v>240492.20986150744</v>
      </c>
      <c r="K37" s="307">
        <f t="shared" ca="1" si="9"/>
        <v>322341.71846359858</v>
      </c>
      <c r="L37" s="307">
        <f t="shared" si="10"/>
        <v>0</v>
      </c>
      <c r="M37" s="307">
        <v>0</v>
      </c>
      <c r="N37" s="307">
        <f t="shared" ca="1" si="11"/>
        <v>322341.71846359858</v>
      </c>
      <c r="O37" s="306">
        <f t="shared" ca="1" si="12"/>
        <v>1717936.5271453261</v>
      </c>
      <c r="P37" s="306">
        <f t="shared" si="13"/>
        <v>0</v>
      </c>
      <c r="Q37" s="306">
        <v>0</v>
      </c>
      <c r="R37" s="306">
        <f t="shared" ca="1" si="14"/>
        <v>1717936.5271453261</v>
      </c>
      <c r="S37" s="818">
        <f t="shared" ca="1" si="15"/>
        <v>480984.41972301487</v>
      </c>
      <c r="T37" s="818">
        <f t="shared" si="16"/>
        <v>0</v>
      </c>
      <c r="U37" s="818">
        <v>0</v>
      </c>
      <c r="V37" s="818">
        <f t="shared" ca="1" si="17"/>
        <v>480984.41972301487</v>
      </c>
      <c r="W37" s="306">
        <f ca="1">'GHG Emissions'!I30</f>
        <v>24172.328684908407</v>
      </c>
      <c r="X37" s="306">
        <f ca="1">'GHG Emissions'!M30</f>
        <v>234212.0382999634</v>
      </c>
      <c r="Y37" s="306">
        <f ca="1">SUM('GHG Emissions'!N30:O30)</f>
        <v>16734.343883342288</v>
      </c>
      <c r="Z37" s="306">
        <f ca="1">'GHG Emissions'!U30-SUM('GHG Emissions'!N30:O30)</f>
        <v>49808.194441514177</v>
      </c>
      <c r="AA37" s="308">
        <f ca="1">-ExposureCalculations!J34*1000000</f>
        <v>-12931078.006801711</v>
      </c>
      <c r="AB37" s="308">
        <f t="shared" ca="1" si="1"/>
        <v>-14986304.705933988</v>
      </c>
      <c r="AC37" s="308">
        <v>0</v>
      </c>
      <c r="AD37" s="819">
        <f t="shared" ca="1" si="2"/>
        <v>-10396130.333616208</v>
      </c>
      <c r="AE37" s="308">
        <v>0</v>
      </c>
      <c r="AF37" s="819">
        <f t="shared" ca="1" si="3"/>
        <v>-4649516.057322477</v>
      </c>
      <c r="AG37" s="308">
        <v>0</v>
      </c>
      <c r="AH37" s="308">
        <v>0</v>
      </c>
      <c r="AI37" s="308">
        <v>0</v>
      </c>
      <c r="AJ37" s="308">
        <f t="shared" ca="1" si="4"/>
        <v>-30031951.096872672</v>
      </c>
      <c r="AK37" s="309">
        <v>0</v>
      </c>
      <c r="AL37" s="309">
        <f>-(CampusArea!E30-CampusArea!E29)*$AL$12*1000-(CampusArea!D30-CampusArea!D29)*$AL$12*SpacePlanning!$AU$53*1000</f>
        <v>-34029118.383769982</v>
      </c>
      <c r="AM37" s="309">
        <f t="shared" si="18"/>
        <v>-34029118.383769982</v>
      </c>
      <c r="AN37" s="310">
        <v>0</v>
      </c>
      <c r="AO37" s="310">
        <f>-CampusArea!G30*SpacePlanning!$AU$62*1000</f>
        <v>-23801327.154252097</v>
      </c>
      <c r="AP37" s="310">
        <f t="shared" si="19"/>
        <v>-23801327.154252097</v>
      </c>
      <c r="AQ37" s="309">
        <v>0</v>
      </c>
      <c r="AR37" s="311">
        <f t="shared" ca="1" si="5"/>
        <v>-100793474.64169647</v>
      </c>
      <c r="AS37" s="870">
        <f t="shared" ca="1" si="20"/>
        <v>-1736972062.920681</v>
      </c>
      <c r="AT37" s="822"/>
      <c r="AU37" s="878"/>
      <c r="AV37" s="35"/>
      <c r="AW37" s="879"/>
      <c r="AX37" s="35"/>
      <c r="AY37" s="880"/>
    </row>
    <row r="38" spans="1:51">
      <c r="A38" s="303">
        <v>2029</v>
      </c>
      <c r="B38" s="304">
        <f ca="1">IF($D$3="BAU",UtilityDemand!C31,INDIRECT($D$3&amp;"!B"&amp;ROW(A38))+INDIRECT($D$3&amp;"!D"&amp;ROW(A38)))</f>
        <v>162747.48483265133</v>
      </c>
      <c r="C38" s="305">
        <v>0</v>
      </c>
      <c r="D38" s="306">
        <f t="shared" ca="1" si="6"/>
        <v>162747.48483265133</v>
      </c>
      <c r="E38" s="304">
        <f ca="1">IF($D$3="BAU",UtilityDemand!E31,INDIRECT($D$3&amp;"!E"&amp;ROW(D38))+INDIRECT($D$3&amp;"!G"&amp;ROW(D38)))</f>
        <v>867354.86270233872</v>
      </c>
      <c r="F38" s="305">
        <v>0</v>
      </c>
      <c r="G38" s="306">
        <f t="shared" ca="1" si="7"/>
        <v>867354.86270233872</v>
      </c>
      <c r="H38" s="304">
        <f ca="1">IF($D$3="BAU",UtilityDemand!G31,INDIRECT($D$3&amp;"!H"&amp;ROW(G38))+INDIRECT($D$3&amp;"!J"&amp;ROW(G38)))</f>
        <v>243556.74442411118</v>
      </c>
      <c r="I38" s="305">
        <v>0</v>
      </c>
      <c r="J38" s="306">
        <f t="shared" ca="1" si="8"/>
        <v>243556.74442411118</v>
      </c>
      <c r="K38" s="307">
        <f t="shared" ca="1" si="9"/>
        <v>325494.96966530266</v>
      </c>
      <c r="L38" s="307">
        <f t="shared" si="10"/>
        <v>0</v>
      </c>
      <c r="M38" s="307">
        <v>0</v>
      </c>
      <c r="N38" s="307">
        <f t="shared" ca="1" si="11"/>
        <v>325494.96966530266</v>
      </c>
      <c r="O38" s="306">
        <f t="shared" ca="1" si="12"/>
        <v>1734709.7254046774</v>
      </c>
      <c r="P38" s="306">
        <f t="shared" si="13"/>
        <v>0</v>
      </c>
      <c r="Q38" s="306">
        <v>0</v>
      </c>
      <c r="R38" s="306">
        <f t="shared" ca="1" si="14"/>
        <v>1734709.7254046774</v>
      </c>
      <c r="S38" s="818">
        <f t="shared" ca="1" si="15"/>
        <v>487113.48884822236</v>
      </c>
      <c r="T38" s="818">
        <f t="shared" si="16"/>
        <v>0</v>
      </c>
      <c r="U38" s="818">
        <v>0</v>
      </c>
      <c r="V38" s="818">
        <f t="shared" ca="1" si="17"/>
        <v>487113.48884822236</v>
      </c>
      <c r="W38" s="306">
        <f ca="1">'GHG Emissions'!I31</f>
        <v>24402.594330244665</v>
      </c>
      <c r="X38" s="306">
        <f ca="1">'GHG Emissions'!M31</f>
        <v>236586.01038226217</v>
      </c>
      <c r="Y38" s="306">
        <f ca="1">SUM('GHG Emissions'!N31:O31)</f>
        <v>16749.563642957113</v>
      </c>
      <c r="Z38" s="306">
        <f ca="1">'GHG Emissions'!U31-SUM('GHG Emissions'!N31:O31)</f>
        <v>50007.557071058283</v>
      </c>
      <c r="AA38" s="308">
        <f ca="1">-ExposureCalculations!J35*1000000</f>
        <v>-13977090.443874162</v>
      </c>
      <c r="AB38" s="308">
        <f t="shared" ca="1" si="1"/>
        <v>-15208570.125510588</v>
      </c>
      <c r="AC38" s="308">
        <v>0</v>
      </c>
      <c r="AD38" s="819">
        <f t="shared" ca="1" si="2"/>
        <v>-10550121.876969028</v>
      </c>
      <c r="AE38" s="308">
        <v>0</v>
      </c>
      <c r="AF38" s="819">
        <f t="shared" ca="1" si="3"/>
        <v>-4708763.7255328158</v>
      </c>
      <c r="AG38" s="308">
        <v>0</v>
      </c>
      <c r="AH38" s="308">
        <v>0</v>
      </c>
      <c r="AI38" s="308">
        <v>0</v>
      </c>
      <c r="AJ38" s="308">
        <f t="shared" ca="1" si="4"/>
        <v>-30467455.728012431</v>
      </c>
      <c r="AK38" s="309">
        <v>0</v>
      </c>
      <c r="AL38" s="309">
        <f>-(CampusArea!E31-CampusArea!E30)*$AL$12*1000-(CampusArea!D31-CampusArea!D30)*$AL$12*SpacePlanning!$AU$53*1000</f>
        <v>-34029118.383770615</v>
      </c>
      <c r="AM38" s="309">
        <f t="shared" si="18"/>
        <v>-34029118.383770615</v>
      </c>
      <c r="AN38" s="310">
        <v>0</v>
      </c>
      <c r="AO38" s="310">
        <f>-CampusArea!G31*SpacePlanning!$AU$62*1000</f>
        <v>-24033713.143423263</v>
      </c>
      <c r="AP38" s="310">
        <f t="shared" si="19"/>
        <v>-24033713.143423263</v>
      </c>
      <c r="AQ38" s="309">
        <v>0</v>
      </c>
      <c r="AR38" s="311">
        <f t="shared" ca="1" si="5"/>
        <v>-102507377.69908047</v>
      </c>
      <c r="AS38" s="870">
        <f t="shared" ca="1" si="20"/>
        <v>-1839479440.6197615</v>
      </c>
      <c r="AT38" s="822"/>
      <c r="AU38" s="878"/>
      <c r="AV38" s="35"/>
      <c r="AW38" s="879"/>
      <c r="AX38" s="35"/>
      <c r="AY38" s="880"/>
    </row>
    <row r="39" spans="1:51">
      <c r="A39" s="303">
        <v>2030</v>
      </c>
      <c r="B39" s="304">
        <f ca="1">IF($D$3="BAU",UtilityDemand!C32,INDIRECT($D$3&amp;"!B"&amp;ROW(A39))+INDIRECT($D$3&amp;"!D"&amp;ROW(A39)))</f>
        <v>164324.11043350337</v>
      </c>
      <c r="C39" s="305">
        <v>0</v>
      </c>
      <c r="D39" s="306">
        <f t="shared" ca="1" si="6"/>
        <v>164324.11043350337</v>
      </c>
      <c r="E39" s="304">
        <f ca="1">IF($D$3="BAU",UtilityDemand!E32,INDIRECT($D$3&amp;"!E"&amp;ROW(D39))+INDIRECT($D$3&amp;"!G"&amp;ROW(D39)))</f>
        <v>875741.46183201415</v>
      </c>
      <c r="F39" s="305">
        <v>0</v>
      </c>
      <c r="G39" s="306">
        <f t="shared" ca="1" si="7"/>
        <v>875741.46183201415</v>
      </c>
      <c r="H39" s="304">
        <f ca="1">IF($D$3="BAU",UtilityDemand!G32,INDIRECT($D$3&amp;"!H"&amp;ROW(G39))+INDIRECT($D$3&amp;"!J"&amp;ROW(G39)))</f>
        <v>246621.27898671487</v>
      </c>
      <c r="I39" s="305">
        <v>0</v>
      </c>
      <c r="J39" s="306">
        <f t="shared" ca="1" si="8"/>
        <v>246621.27898671487</v>
      </c>
      <c r="K39" s="307">
        <f t="shared" ca="1" si="9"/>
        <v>328648.22086700675</v>
      </c>
      <c r="L39" s="307">
        <f t="shared" si="10"/>
        <v>0</v>
      </c>
      <c r="M39" s="307">
        <v>0</v>
      </c>
      <c r="N39" s="307">
        <f t="shared" ca="1" si="11"/>
        <v>328648.22086700675</v>
      </c>
      <c r="O39" s="306">
        <f t="shared" ca="1" si="12"/>
        <v>1751482.9236640283</v>
      </c>
      <c r="P39" s="306">
        <f t="shared" si="13"/>
        <v>0</v>
      </c>
      <c r="Q39" s="306">
        <v>0</v>
      </c>
      <c r="R39" s="306">
        <f t="shared" ca="1" si="14"/>
        <v>1751482.9236640283</v>
      </c>
      <c r="S39" s="818">
        <f t="shared" ca="1" si="15"/>
        <v>493242.55797342974</v>
      </c>
      <c r="T39" s="818">
        <f t="shared" si="16"/>
        <v>0</v>
      </c>
      <c r="U39" s="818">
        <v>0</v>
      </c>
      <c r="V39" s="818">
        <f t="shared" ca="1" si="17"/>
        <v>493242.55797342974</v>
      </c>
      <c r="W39" s="306">
        <f ca="1">'GHG Emissions'!I32</f>
        <v>24632.847641313125</v>
      </c>
      <c r="X39" s="306">
        <f ca="1">'GHG Emissions'!M32</f>
        <v>238959.98246456092</v>
      </c>
      <c r="Y39" s="306">
        <f ca="1">SUM('GHG Emissions'!N32:O32)</f>
        <v>16764.404814097215</v>
      </c>
      <c r="Z39" s="306">
        <f ca="1">'GHG Emissions'!U32-SUM('GHG Emissions'!N32:O32)</f>
        <v>50206.253059639552</v>
      </c>
      <c r="AA39" s="308">
        <f ca="1">-ExposureCalculations!J36*1000000</f>
        <v>-15055445.438494537</v>
      </c>
      <c r="AB39" s="308">
        <f t="shared" ca="1" si="1"/>
        <v>-15432683.541665306</v>
      </c>
      <c r="AC39" s="308">
        <v>0</v>
      </c>
      <c r="AD39" s="819">
        <f t="shared" ca="1" si="2"/>
        <v>-10705393.432497032</v>
      </c>
      <c r="AE39" s="308">
        <v>0</v>
      </c>
      <c r="AF39" s="819">
        <f t="shared" ca="1" si="3"/>
        <v>-4768011.3937431537</v>
      </c>
      <c r="AG39" s="308">
        <v>0</v>
      </c>
      <c r="AH39" s="308">
        <v>0</v>
      </c>
      <c r="AI39" s="308">
        <v>0</v>
      </c>
      <c r="AJ39" s="308">
        <f t="shared" ca="1" si="4"/>
        <v>-30906088.367905494</v>
      </c>
      <c r="AK39" s="309">
        <v>0</v>
      </c>
      <c r="AL39" s="309">
        <f>-(CampusArea!E32-CampusArea!E31)*$AL$12*1000-(CampusArea!D32-CampusArea!D31)*$AL$12*SpacePlanning!$AU$53*1000</f>
        <v>-34029118.383769982</v>
      </c>
      <c r="AM39" s="309">
        <f t="shared" si="18"/>
        <v>-34029118.383769982</v>
      </c>
      <c r="AN39" s="310">
        <v>0</v>
      </c>
      <c r="AO39" s="310">
        <f>-CampusArea!G32*SpacePlanning!$AU$62*1000</f>
        <v>-24266099.132594422</v>
      </c>
      <c r="AP39" s="310">
        <f t="shared" si="19"/>
        <v>-24266099.132594422</v>
      </c>
      <c r="AQ39" s="309">
        <v>0</v>
      </c>
      <c r="AR39" s="311">
        <f t="shared" ca="1" si="5"/>
        <v>-104256751.32276444</v>
      </c>
      <c r="AS39" s="870">
        <f t="shared" ca="1" si="20"/>
        <v>-1943736191.9425259</v>
      </c>
      <c r="AT39" s="822"/>
      <c r="AU39" s="878"/>
      <c r="AV39" s="35"/>
      <c r="AW39" s="879"/>
      <c r="AX39" s="35"/>
      <c r="AY39" s="880"/>
    </row>
    <row r="40" spans="1:51">
      <c r="A40" s="303">
        <v>2031</v>
      </c>
      <c r="B40" s="304">
        <f ca="1">IF($D$3="BAU",UtilityDemand!C33,INDIRECT($D$3&amp;"!B"&amp;ROW(A40))+INDIRECT($D$3&amp;"!D"&amp;ROW(A40)))</f>
        <v>165900.73603435536</v>
      </c>
      <c r="C40" s="305">
        <v>0</v>
      </c>
      <c r="D40" s="306">
        <f t="shared" ca="1" si="6"/>
        <v>165900.73603435536</v>
      </c>
      <c r="E40" s="304">
        <f ca="1">IF($D$3="BAU",UtilityDemand!E33,INDIRECT($D$3&amp;"!E"&amp;ROW(D40))+INDIRECT($D$3&amp;"!G"&amp;ROW(D40)))</f>
        <v>884128.06096168945</v>
      </c>
      <c r="F40" s="305">
        <v>0</v>
      </c>
      <c r="G40" s="306">
        <f t="shared" ca="1" si="7"/>
        <v>884128.06096168945</v>
      </c>
      <c r="H40" s="304">
        <f ca="1">IF($D$3="BAU",UtilityDemand!G33,INDIRECT($D$3&amp;"!H"&amp;ROW(G40))+INDIRECT($D$3&amp;"!J"&amp;ROW(G40)))</f>
        <v>249685.81354931853</v>
      </c>
      <c r="I40" s="305">
        <v>0</v>
      </c>
      <c r="J40" s="306">
        <f t="shared" ca="1" si="8"/>
        <v>249685.81354931853</v>
      </c>
      <c r="K40" s="307">
        <f t="shared" ca="1" si="9"/>
        <v>331801.47206871072</v>
      </c>
      <c r="L40" s="307">
        <f t="shared" si="10"/>
        <v>0</v>
      </c>
      <c r="M40" s="307">
        <v>0</v>
      </c>
      <c r="N40" s="307">
        <f t="shared" ca="1" si="11"/>
        <v>331801.47206871072</v>
      </c>
      <c r="O40" s="306">
        <f t="shared" ca="1" si="12"/>
        <v>1768256.1219233789</v>
      </c>
      <c r="P40" s="306">
        <f t="shared" si="13"/>
        <v>0</v>
      </c>
      <c r="Q40" s="306">
        <v>0</v>
      </c>
      <c r="R40" s="306">
        <f t="shared" ca="1" si="14"/>
        <v>1768256.1219233789</v>
      </c>
      <c r="S40" s="818">
        <f t="shared" ca="1" si="15"/>
        <v>499371.62709863705</v>
      </c>
      <c r="T40" s="818">
        <f t="shared" si="16"/>
        <v>0</v>
      </c>
      <c r="U40" s="818">
        <v>0</v>
      </c>
      <c r="V40" s="818">
        <f t="shared" ca="1" si="17"/>
        <v>499371.62709863705</v>
      </c>
      <c r="W40" s="306">
        <f ca="1">'GHG Emissions'!I33</f>
        <v>24863.08948939394</v>
      </c>
      <c r="X40" s="306">
        <f ca="1">'GHG Emissions'!M33</f>
        <v>241333.9545468596</v>
      </c>
      <c r="Y40" s="306">
        <f ca="1">SUM('GHG Emissions'!N33:O33)</f>
        <v>16778.894141289697</v>
      </c>
      <c r="Z40" s="306">
        <f ca="1">'GHG Emissions'!U33-SUM('GHG Emissions'!N33:O33)</f>
        <v>50404.329498097606</v>
      </c>
      <c r="AA40" s="308">
        <f ca="1">-ExposureCalculations!J37*1000000</f>
        <v>-16292611.106785323</v>
      </c>
      <c r="AB40" s="308">
        <f t="shared" ca="1" si="1"/>
        <v>-15658657.877728425</v>
      </c>
      <c r="AC40" s="308">
        <v>0</v>
      </c>
      <c r="AD40" s="819">
        <f t="shared" ca="1" si="2"/>
        <v>-10861953.950533388</v>
      </c>
      <c r="AE40" s="308">
        <v>0</v>
      </c>
      <c r="AF40" s="819">
        <f t="shared" ca="1" si="3"/>
        <v>-4827259.0619534915</v>
      </c>
      <c r="AG40" s="308">
        <v>0</v>
      </c>
      <c r="AH40" s="308">
        <v>0</v>
      </c>
      <c r="AI40" s="308">
        <v>0</v>
      </c>
      <c r="AJ40" s="308">
        <f t="shared" ca="1" si="4"/>
        <v>-31347870.890215307</v>
      </c>
      <c r="AK40" s="309">
        <v>0</v>
      </c>
      <c r="AL40" s="309">
        <f>-(CampusArea!E33-CampusArea!E32)*$AL$12*1000-(CampusArea!D33-CampusArea!D32)*$AL$12*SpacePlanning!$AU$53*1000</f>
        <v>-34029118.383769982</v>
      </c>
      <c r="AM40" s="309">
        <f t="shared" si="18"/>
        <v>-34029118.383769982</v>
      </c>
      <c r="AN40" s="310">
        <v>0</v>
      </c>
      <c r="AO40" s="310">
        <f>-CampusArea!G33*SpacePlanning!$AU$62*1000</f>
        <v>-24498485.121765587</v>
      </c>
      <c r="AP40" s="310">
        <f t="shared" si="19"/>
        <v>-24498485.121765587</v>
      </c>
      <c r="AQ40" s="309">
        <v>0</v>
      </c>
      <c r="AR40" s="311">
        <f t="shared" ca="1" si="5"/>
        <v>-106168085.50253621</v>
      </c>
      <c r="AS40" s="870">
        <f t="shared" ca="1" si="20"/>
        <v>-2049904277.4450622</v>
      </c>
      <c r="AT40" s="822"/>
      <c r="AU40" s="878"/>
      <c r="AV40" s="35"/>
      <c r="AW40" s="879"/>
      <c r="AX40" s="35"/>
      <c r="AY40" s="880"/>
    </row>
    <row r="41" spans="1:51">
      <c r="A41" s="303">
        <v>2032</v>
      </c>
      <c r="B41" s="304">
        <f ca="1">IF($D$3="BAU",UtilityDemand!C34,INDIRECT($D$3&amp;"!B"&amp;ROW(A41))+INDIRECT($D$3&amp;"!D"&amp;ROW(A41)))</f>
        <v>167477.3616352074</v>
      </c>
      <c r="C41" s="305">
        <v>0</v>
      </c>
      <c r="D41" s="306">
        <f t="shared" ca="1" si="6"/>
        <v>167477.3616352074</v>
      </c>
      <c r="E41" s="304">
        <f ca="1">IF($D$3="BAU",UtilityDemand!E34,INDIRECT($D$3&amp;"!E"&amp;ROW(D41))+INDIRECT($D$3&amp;"!G"&amp;ROW(D41)))</f>
        <v>892514.66009136476</v>
      </c>
      <c r="F41" s="305">
        <v>0</v>
      </c>
      <c r="G41" s="306">
        <f t="shared" ca="1" si="7"/>
        <v>892514.66009136476</v>
      </c>
      <c r="H41" s="304">
        <f ca="1">IF($D$3="BAU",UtilityDemand!G34,INDIRECT($D$3&amp;"!H"&amp;ROW(G41))+INDIRECT($D$3&amp;"!J"&amp;ROW(G41)))</f>
        <v>252750.34811192221</v>
      </c>
      <c r="I41" s="305">
        <v>0</v>
      </c>
      <c r="J41" s="306">
        <f t="shared" ca="1" si="8"/>
        <v>252750.34811192221</v>
      </c>
      <c r="K41" s="307">
        <f t="shared" ca="1" si="9"/>
        <v>334954.7232704148</v>
      </c>
      <c r="L41" s="307">
        <f t="shared" si="10"/>
        <v>0</v>
      </c>
      <c r="M41" s="307">
        <v>0</v>
      </c>
      <c r="N41" s="307">
        <f t="shared" ca="1" si="11"/>
        <v>334954.7232704148</v>
      </c>
      <c r="O41" s="306">
        <f t="shared" ca="1" si="12"/>
        <v>1785029.3201827295</v>
      </c>
      <c r="P41" s="306">
        <f t="shared" si="13"/>
        <v>0</v>
      </c>
      <c r="Q41" s="306">
        <v>0</v>
      </c>
      <c r="R41" s="306">
        <f t="shared" ca="1" si="14"/>
        <v>1785029.3201827295</v>
      </c>
      <c r="S41" s="818">
        <f t="shared" ca="1" si="15"/>
        <v>505500.69622384442</v>
      </c>
      <c r="T41" s="818">
        <f t="shared" si="16"/>
        <v>0</v>
      </c>
      <c r="U41" s="818">
        <v>0</v>
      </c>
      <c r="V41" s="818">
        <f t="shared" ca="1" si="17"/>
        <v>505500.69622384442</v>
      </c>
      <c r="W41" s="306">
        <f ca="1">'GHG Emissions'!I34</f>
        <v>25093.320647778608</v>
      </c>
      <c r="X41" s="306">
        <f ca="1">'GHG Emissions'!M34</f>
        <v>243707.92662915835</v>
      </c>
      <c r="Y41" s="306">
        <f ca="1">SUM('GHG Emissions'!N34:O34)</f>
        <v>16793.055361202292</v>
      </c>
      <c r="Z41" s="306">
        <f ca="1">'GHG Emissions'!U34-SUM('GHG Emissions'!N34:O34)</f>
        <v>50601.828181195277</v>
      </c>
      <c r="AA41" s="308">
        <f ca="1">-ExposureCalculations!J38*1000000</f>
        <v>-17568533.460418217</v>
      </c>
      <c r="AB41" s="308">
        <f t="shared" ca="1" si="1"/>
        <v>-15886506.140063645</v>
      </c>
      <c r="AC41" s="308">
        <v>0</v>
      </c>
      <c r="AD41" s="819">
        <f t="shared" ca="1" si="2"/>
        <v>-11019812.438914299</v>
      </c>
      <c r="AE41" s="308">
        <v>0</v>
      </c>
      <c r="AF41" s="819">
        <f t="shared" ca="1" si="3"/>
        <v>-4886506.7301638294</v>
      </c>
      <c r="AG41" s="308">
        <v>0</v>
      </c>
      <c r="AH41" s="308">
        <v>0</v>
      </c>
      <c r="AI41" s="308">
        <v>0</v>
      </c>
      <c r="AJ41" s="308">
        <f t="shared" ca="1" si="4"/>
        <v>-31792825.30914177</v>
      </c>
      <c r="AK41" s="309">
        <v>0</v>
      </c>
      <c r="AL41" s="309">
        <f>-(CampusArea!E34-CampusArea!E33)*$AL$12*1000-(CampusArea!D34-CampusArea!D33)*$AL$12*SpacePlanning!$AU$53*1000</f>
        <v>-34029118.383769982</v>
      </c>
      <c r="AM41" s="309">
        <f t="shared" si="18"/>
        <v>-34029118.383769982</v>
      </c>
      <c r="AN41" s="310">
        <v>0</v>
      </c>
      <c r="AO41" s="310">
        <f>-CampusArea!G34*SpacePlanning!$AU$62*1000</f>
        <v>-24730871.11093675</v>
      </c>
      <c r="AP41" s="310">
        <f t="shared" si="19"/>
        <v>-24730871.11093675</v>
      </c>
      <c r="AQ41" s="309">
        <v>0</v>
      </c>
      <c r="AR41" s="311">
        <f t="shared" ca="1" si="5"/>
        <v>-108121348.26426671</v>
      </c>
      <c r="AS41" s="870">
        <f t="shared" ca="1" si="20"/>
        <v>-2158025625.7093287</v>
      </c>
      <c r="AT41" s="822"/>
      <c r="AU41" s="878"/>
      <c r="AV41" s="35"/>
      <c r="AW41" s="879"/>
      <c r="AX41" s="35"/>
      <c r="AY41" s="880"/>
    </row>
    <row r="42" spans="1:51">
      <c r="A42" s="303">
        <v>2033</v>
      </c>
      <c r="B42" s="304">
        <f ca="1">IF($D$3="BAU",UtilityDemand!C35,INDIRECT($D$3&amp;"!B"&amp;ROW(A42))+INDIRECT($D$3&amp;"!D"&amp;ROW(A42)))</f>
        <v>169053.98723605942</v>
      </c>
      <c r="C42" s="305">
        <v>0</v>
      </c>
      <c r="D42" s="306">
        <f t="shared" ca="1" si="6"/>
        <v>169053.98723605942</v>
      </c>
      <c r="E42" s="304">
        <f ca="1">IF($D$3="BAU",UtilityDemand!E35,INDIRECT($D$3&amp;"!E"&amp;ROW(D42))+INDIRECT($D$3&amp;"!G"&amp;ROW(D42)))</f>
        <v>900901.25922104018</v>
      </c>
      <c r="F42" s="305">
        <v>0</v>
      </c>
      <c r="G42" s="306">
        <f t="shared" ca="1" si="7"/>
        <v>900901.25922104018</v>
      </c>
      <c r="H42" s="304">
        <f ca="1">IF($D$3="BAU",UtilityDemand!G35,INDIRECT($D$3&amp;"!H"&amp;ROW(G42))+INDIRECT($D$3&amp;"!J"&amp;ROW(G42)))</f>
        <v>255814.8826745259</v>
      </c>
      <c r="I42" s="305">
        <v>0</v>
      </c>
      <c r="J42" s="306">
        <f t="shared" ca="1" si="8"/>
        <v>255814.8826745259</v>
      </c>
      <c r="K42" s="307">
        <f t="shared" ca="1" si="9"/>
        <v>338107.97447211883</v>
      </c>
      <c r="L42" s="307">
        <f t="shared" si="10"/>
        <v>0</v>
      </c>
      <c r="M42" s="307">
        <v>0</v>
      </c>
      <c r="N42" s="307">
        <f t="shared" ca="1" si="11"/>
        <v>338107.97447211883</v>
      </c>
      <c r="O42" s="306">
        <f t="shared" ca="1" si="12"/>
        <v>1801802.5184420804</v>
      </c>
      <c r="P42" s="306">
        <f t="shared" si="13"/>
        <v>0</v>
      </c>
      <c r="Q42" s="306">
        <v>0</v>
      </c>
      <c r="R42" s="306">
        <f t="shared" ca="1" si="14"/>
        <v>1801802.5184420804</v>
      </c>
      <c r="S42" s="818">
        <f t="shared" ca="1" si="15"/>
        <v>511629.7653490518</v>
      </c>
      <c r="T42" s="818">
        <f t="shared" si="16"/>
        <v>0</v>
      </c>
      <c r="U42" s="818">
        <v>0</v>
      </c>
      <c r="V42" s="818">
        <f t="shared" ca="1" si="17"/>
        <v>511629.7653490518</v>
      </c>
      <c r="W42" s="306">
        <f ca="1">'GHG Emissions'!I35</f>
        <v>25323.541806537673</v>
      </c>
      <c r="X42" s="306">
        <f ca="1">'GHG Emissions'!M35</f>
        <v>246081.89871145709</v>
      </c>
      <c r="Y42" s="306">
        <f ca="1">SUM('GHG Emissions'!N35:O35)</f>
        <v>16806.909655953565</v>
      </c>
      <c r="Z42" s="306">
        <f ca="1">'GHG Emissions'!U35-SUM('GHG Emissions'!N35:O35)</f>
        <v>50798.786405779072</v>
      </c>
      <c r="AA42" s="308">
        <f ca="1">-ExposureCalculations!J39*1000000</f>
        <v>-18771217.848086704</v>
      </c>
      <c r="AB42" s="308">
        <f t="shared" ca="1" si="1"/>
        <v>-16116241.418575266</v>
      </c>
      <c r="AC42" s="308">
        <v>0</v>
      </c>
      <c r="AD42" s="819">
        <f t="shared" ca="1" si="2"/>
        <v>-11178977.963330256</v>
      </c>
      <c r="AE42" s="308">
        <v>0</v>
      </c>
      <c r="AF42" s="819">
        <f t="shared" ca="1" si="3"/>
        <v>-4945754.3983741673</v>
      </c>
      <c r="AG42" s="308">
        <v>0</v>
      </c>
      <c r="AH42" s="308">
        <v>0</v>
      </c>
      <c r="AI42" s="308">
        <v>0</v>
      </c>
      <c r="AJ42" s="308">
        <f t="shared" ca="1" si="4"/>
        <v>-32240973.780279689</v>
      </c>
      <c r="AK42" s="309">
        <v>0</v>
      </c>
      <c r="AL42" s="309">
        <f>-(CampusArea!E35-CampusArea!E34)*$AL$12*1000-(CampusArea!D35-CampusArea!D34)*$AL$12*SpacePlanning!$AU$53*1000</f>
        <v>-34029118.383769982</v>
      </c>
      <c r="AM42" s="309">
        <f t="shared" si="18"/>
        <v>-34029118.383769982</v>
      </c>
      <c r="AN42" s="310">
        <v>0</v>
      </c>
      <c r="AO42" s="310">
        <f>-CampusArea!G35*SpacePlanning!$AU$62*1000</f>
        <v>-24963257.100107912</v>
      </c>
      <c r="AP42" s="310">
        <f t="shared" si="19"/>
        <v>-24963257.100107912</v>
      </c>
      <c r="AQ42" s="309">
        <v>0</v>
      </c>
      <c r="AR42" s="311">
        <f t="shared" ca="1" si="5"/>
        <v>-110004567.11224428</v>
      </c>
      <c r="AS42" s="870">
        <f t="shared" ca="1" si="20"/>
        <v>-2268030192.8215728</v>
      </c>
      <c r="AT42" s="822"/>
      <c r="AU42" s="878"/>
      <c r="AV42" s="35"/>
      <c r="AW42" s="879"/>
      <c r="AX42" s="35"/>
      <c r="AY42" s="880"/>
    </row>
    <row r="43" spans="1:51">
      <c r="A43" s="303">
        <v>2034</v>
      </c>
      <c r="B43" s="304">
        <f ca="1">IF($D$3="BAU",UtilityDemand!C36,INDIRECT($D$3&amp;"!B"&amp;ROW(A43))+INDIRECT($D$3&amp;"!D"&amp;ROW(A43)))</f>
        <v>170630.61283691146</v>
      </c>
      <c r="C43" s="305">
        <v>0</v>
      </c>
      <c r="D43" s="306">
        <f t="shared" ca="1" si="6"/>
        <v>170630.61283691146</v>
      </c>
      <c r="E43" s="304">
        <f ca="1">IF($D$3="BAU",UtilityDemand!E36,INDIRECT($D$3&amp;"!E"&amp;ROW(D43))+INDIRECT($D$3&amp;"!G"&amp;ROW(D43)))</f>
        <v>909287.85835071537</v>
      </c>
      <c r="F43" s="305">
        <v>0</v>
      </c>
      <c r="G43" s="306">
        <f t="shared" ca="1" si="7"/>
        <v>909287.85835071537</v>
      </c>
      <c r="H43" s="304">
        <f ca="1">IF($D$3="BAU",UtilityDemand!G36,INDIRECT($D$3&amp;"!H"&amp;ROW(G43))+INDIRECT($D$3&amp;"!J"&amp;ROW(G43)))</f>
        <v>258879.41723712959</v>
      </c>
      <c r="I43" s="305">
        <v>0</v>
      </c>
      <c r="J43" s="306">
        <f t="shared" ca="1" si="8"/>
        <v>258879.41723712959</v>
      </c>
      <c r="K43" s="307">
        <f t="shared" ca="1" si="9"/>
        <v>341261.22567382292</v>
      </c>
      <c r="L43" s="307">
        <f t="shared" si="10"/>
        <v>0</v>
      </c>
      <c r="M43" s="307">
        <v>0</v>
      </c>
      <c r="N43" s="307">
        <f t="shared" ca="1" si="11"/>
        <v>341261.22567382292</v>
      </c>
      <c r="O43" s="306">
        <f t="shared" ca="1" si="12"/>
        <v>1818575.7167014307</v>
      </c>
      <c r="P43" s="306">
        <f t="shared" si="13"/>
        <v>0</v>
      </c>
      <c r="Q43" s="306">
        <v>0</v>
      </c>
      <c r="R43" s="306">
        <f t="shared" ca="1" si="14"/>
        <v>1818575.7167014307</v>
      </c>
      <c r="S43" s="818">
        <f t="shared" ca="1" si="15"/>
        <v>517758.83447425917</v>
      </c>
      <c r="T43" s="818">
        <f t="shared" si="16"/>
        <v>0</v>
      </c>
      <c r="U43" s="818">
        <v>0</v>
      </c>
      <c r="V43" s="818">
        <f t="shared" ca="1" si="17"/>
        <v>517758.83447425917</v>
      </c>
      <c r="W43" s="306">
        <f ca="1">'GHG Emissions'!I36</f>
        <v>25553.75358454444</v>
      </c>
      <c r="X43" s="306">
        <f ca="1">'GHG Emissions'!M36</f>
        <v>248455.87079375581</v>
      </c>
      <c r="Y43" s="306">
        <f ca="1">SUM('GHG Emissions'!N36:O36)</f>
        <v>16820.476022194292</v>
      </c>
      <c r="Z43" s="306">
        <f ca="1">'GHG Emissions'!U36-SUM('GHG Emissions'!N36:O36)</f>
        <v>50995.237620635096</v>
      </c>
      <c r="AA43" s="308">
        <f ca="1">-ExposureCalculations!J40*1000000</f>
        <v>-19896417.568765558</v>
      </c>
      <c r="AB43" s="308">
        <f t="shared" ca="1" si="1"/>
        <v>-16347876.887218511</v>
      </c>
      <c r="AC43" s="308">
        <v>0</v>
      </c>
      <c r="AD43" s="819">
        <f t="shared" ca="1" si="2"/>
        <v>-11339459.6476794</v>
      </c>
      <c r="AE43" s="308">
        <v>0</v>
      </c>
      <c r="AF43" s="819">
        <f t="shared" ca="1" si="3"/>
        <v>-5005002.0665845051</v>
      </c>
      <c r="AG43" s="308">
        <v>0</v>
      </c>
      <c r="AH43" s="308">
        <v>0</v>
      </c>
      <c r="AI43" s="308">
        <v>0</v>
      </c>
      <c r="AJ43" s="308">
        <f t="shared" ca="1" si="4"/>
        <v>-32692338.601482414</v>
      </c>
      <c r="AK43" s="309">
        <v>0</v>
      </c>
      <c r="AL43" s="309">
        <f>-(CampusArea!E36-CampusArea!E35)*$AL$12*1000-(CampusArea!D36-CampusArea!D35)*$AL$12*SpacePlanning!$AU$53*1000</f>
        <v>-34029118.383769982</v>
      </c>
      <c r="AM43" s="309">
        <f t="shared" si="18"/>
        <v>-34029118.383769982</v>
      </c>
      <c r="AN43" s="310">
        <v>0</v>
      </c>
      <c r="AO43" s="310">
        <f>-CampusArea!G36*SpacePlanning!$AU$62*1000</f>
        <v>-25195643.089279074</v>
      </c>
      <c r="AP43" s="310">
        <f t="shared" si="19"/>
        <v>-25195643.089279074</v>
      </c>
      <c r="AQ43" s="309">
        <v>0</v>
      </c>
      <c r="AR43" s="311">
        <f t="shared" ca="1" si="5"/>
        <v>-111813517.64329703</v>
      </c>
      <c r="AS43" s="870">
        <f t="shared" ca="1" si="20"/>
        <v>-2379843710.46487</v>
      </c>
      <c r="AT43" s="822"/>
      <c r="AU43" s="878"/>
      <c r="AV43" s="35"/>
      <c r="AW43" s="879"/>
      <c r="AX43" s="35"/>
      <c r="AY43" s="880"/>
    </row>
    <row r="44" spans="1:51">
      <c r="A44" s="303">
        <v>2035</v>
      </c>
      <c r="B44" s="304">
        <f ca="1">IF($D$3="BAU",UtilityDemand!C37,INDIRECT($D$3&amp;"!B"&amp;ROW(A44))+INDIRECT($D$3&amp;"!D"&amp;ROW(A44)))</f>
        <v>172207.23843776347</v>
      </c>
      <c r="C44" s="305">
        <v>0</v>
      </c>
      <c r="D44" s="306">
        <f t="shared" ca="1" si="6"/>
        <v>172207.23843776347</v>
      </c>
      <c r="E44" s="304">
        <f ca="1">IF($D$3="BAU",UtilityDemand!E37,INDIRECT($D$3&amp;"!E"&amp;ROW(D44))+INDIRECT($D$3&amp;"!G"&amp;ROW(D44)))</f>
        <v>917674.45748039079</v>
      </c>
      <c r="F44" s="305">
        <v>0</v>
      </c>
      <c r="G44" s="306">
        <f t="shared" ca="1" si="7"/>
        <v>917674.45748039079</v>
      </c>
      <c r="H44" s="304">
        <f ca="1">IF($D$3="BAU",UtilityDemand!G37,INDIRECT($D$3&amp;"!H"&amp;ROW(G44))+INDIRECT($D$3&amp;"!J"&amp;ROW(G44)))</f>
        <v>261943.95179973327</v>
      </c>
      <c r="I44" s="305">
        <v>0</v>
      </c>
      <c r="J44" s="306">
        <f t="shared" ca="1" si="8"/>
        <v>261943.95179973327</v>
      </c>
      <c r="K44" s="307">
        <f t="shared" ca="1" si="9"/>
        <v>344414.47687552695</v>
      </c>
      <c r="L44" s="307">
        <f t="shared" si="10"/>
        <v>0</v>
      </c>
      <c r="M44" s="307">
        <v>0</v>
      </c>
      <c r="N44" s="307">
        <f t="shared" ca="1" si="11"/>
        <v>344414.47687552695</v>
      </c>
      <c r="O44" s="306">
        <f t="shared" ca="1" si="12"/>
        <v>1835348.9149607816</v>
      </c>
      <c r="P44" s="306">
        <f t="shared" si="13"/>
        <v>0</v>
      </c>
      <c r="Q44" s="306">
        <v>0</v>
      </c>
      <c r="R44" s="306">
        <f t="shared" ca="1" si="14"/>
        <v>1835348.9149607816</v>
      </c>
      <c r="S44" s="818">
        <f t="shared" ca="1" si="15"/>
        <v>523887.90359946655</v>
      </c>
      <c r="T44" s="818">
        <f t="shared" si="16"/>
        <v>0</v>
      </c>
      <c r="U44" s="818">
        <v>0</v>
      </c>
      <c r="V44" s="818">
        <f t="shared" ca="1" si="17"/>
        <v>523887.90359946655</v>
      </c>
      <c r="W44" s="306">
        <f ca="1">'GHG Emissions'!I37</f>
        <v>25783.956539353247</v>
      </c>
      <c r="X44" s="306">
        <f ca="1">'GHG Emissions'!M37</f>
        <v>250829.84287605452</v>
      </c>
      <c r="Y44" s="306">
        <f ca="1">SUM('GHG Emissions'!N37:O37)</f>
        <v>16833.771574333528</v>
      </c>
      <c r="Z44" s="306">
        <f ca="1">'GHG Emissions'!U37-SUM('GHG Emissions'!N37:O37)</f>
        <v>51191.211960391214</v>
      </c>
      <c r="AA44" s="308">
        <f ca="1">-ExposureCalculations!J41*1000000</f>
        <v>-21054268.046057049</v>
      </c>
      <c r="AB44" s="308">
        <f t="shared" ca="1" si="1"/>
        <v>-16581425.804512713</v>
      </c>
      <c r="AC44" s="308">
        <v>0</v>
      </c>
      <c r="AD44" s="819">
        <f t="shared" ca="1" si="2"/>
        <v>-11501266.67442295</v>
      </c>
      <c r="AE44" s="308">
        <v>0</v>
      </c>
      <c r="AF44" s="819">
        <f t="shared" ca="1" si="3"/>
        <v>-5064249.734794843</v>
      </c>
      <c r="AG44" s="308">
        <v>0</v>
      </c>
      <c r="AH44" s="308">
        <v>0</v>
      </c>
      <c r="AI44" s="308">
        <v>0</v>
      </c>
      <c r="AJ44" s="308">
        <f t="shared" ca="1" si="4"/>
        <v>-33146942.213730507</v>
      </c>
      <c r="AK44" s="309">
        <v>0</v>
      </c>
      <c r="AL44" s="309">
        <f>-(CampusArea!E37-CampusArea!E36)*$AL$12*1000-(CampusArea!D37-CampusArea!D36)*$AL$12*SpacePlanning!$AU$53*1000</f>
        <v>-34029118.383769982</v>
      </c>
      <c r="AM44" s="309">
        <f t="shared" si="18"/>
        <v>-34029118.383769982</v>
      </c>
      <c r="AN44" s="310">
        <v>0</v>
      </c>
      <c r="AO44" s="310">
        <f>-CampusArea!G37*SpacePlanning!$AU$62*1000</f>
        <v>-25428029.078450236</v>
      </c>
      <c r="AP44" s="310">
        <f t="shared" si="19"/>
        <v>-25428029.078450236</v>
      </c>
      <c r="AQ44" s="309">
        <v>0</v>
      </c>
      <c r="AR44" s="311">
        <f t="shared" ca="1" si="5"/>
        <v>-113658357.72200778</v>
      </c>
      <c r="AS44" s="870">
        <f t="shared" ca="1" si="20"/>
        <v>-2493502068.1868777</v>
      </c>
      <c r="AT44" s="822"/>
      <c r="AU44" s="878"/>
      <c r="AV44" s="35"/>
      <c r="AW44" s="879"/>
      <c r="AX44" s="35"/>
      <c r="AY44" s="880"/>
    </row>
    <row r="45" spans="1:51">
      <c r="A45" s="303">
        <v>2036</v>
      </c>
      <c r="B45" s="304">
        <f ca="1">IF($D$3="BAU",UtilityDemand!C38,INDIRECT($D$3&amp;"!B"&amp;ROW(A45))+INDIRECT($D$3&amp;"!D"&amp;ROW(A45)))</f>
        <v>173783.86403861555</v>
      </c>
      <c r="C45" s="305">
        <v>0</v>
      </c>
      <c r="D45" s="306">
        <f t="shared" ca="1" si="6"/>
        <v>173783.86403861555</v>
      </c>
      <c r="E45" s="304">
        <f ca="1">IF($D$3="BAU",UtilityDemand!E38,INDIRECT($D$3&amp;"!E"&amp;ROW(D45))+INDIRECT($D$3&amp;"!G"&amp;ROW(D45)))</f>
        <v>926061.05661006644</v>
      </c>
      <c r="F45" s="305">
        <v>0</v>
      </c>
      <c r="G45" s="306">
        <f t="shared" ca="1" si="7"/>
        <v>926061.05661006644</v>
      </c>
      <c r="H45" s="304">
        <f ca="1">IF($D$3="BAU",UtilityDemand!G38,INDIRECT($D$3&amp;"!H"&amp;ROW(G45))+INDIRECT($D$3&amp;"!J"&amp;ROW(G45)))</f>
        <v>265008.48636233702</v>
      </c>
      <c r="I45" s="305">
        <v>0</v>
      </c>
      <c r="J45" s="306">
        <f t="shared" ca="1" si="8"/>
        <v>265008.48636233702</v>
      </c>
      <c r="K45" s="307">
        <f t="shared" ca="1" si="9"/>
        <v>347567.72807723109</v>
      </c>
      <c r="L45" s="307">
        <f t="shared" si="10"/>
        <v>0</v>
      </c>
      <c r="M45" s="307">
        <v>0</v>
      </c>
      <c r="N45" s="307">
        <f t="shared" ca="1" si="11"/>
        <v>347567.72807723109</v>
      </c>
      <c r="O45" s="306">
        <f t="shared" ca="1" si="12"/>
        <v>1852122.1132201329</v>
      </c>
      <c r="P45" s="306">
        <f t="shared" si="13"/>
        <v>0</v>
      </c>
      <c r="Q45" s="306">
        <v>0</v>
      </c>
      <c r="R45" s="306">
        <f t="shared" ca="1" si="14"/>
        <v>1852122.1132201329</v>
      </c>
      <c r="S45" s="818">
        <f t="shared" ca="1" si="15"/>
        <v>530016.97272467404</v>
      </c>
      <c r="T45" s="818">
        <f t="shared" si="16"/>
        <v>0</v>
      </c>
      <c r="U45" s="818">
        <v>0</v>
      </c>
      <c r="V45" s="818">
        <f t="shared" ca="1" si="17"/>
        <v>530016.97272467404</v>
      </c>
      <c r="W45" s="306">
        <f ca="1">'GHG Emissions'!I38</f>
        <v>26014.151175382554</v>
      </c>
      <c r="X45" s="306">
        <f ca="1">'GHG Emissions'!M38</f>
        <v>253203.81495835329</v>
      </c>
      <c r="Y45" s="306">
        <f ca="1">SUM('GHG Emissions'!N38:O38)</f>
        <v>16846.811795725822</v>
      </c>
      <c r="Z45" s="306">
        <f ca="1">'GHG Emissions'!U38-SUM('GHG Emissions'!N38:O38)</f>
        <v>51386.736687792902</v>
      </c>
      <c r="AA45" s="308">
        <f ca="1">-ExposureCalculations!J42*1000000</f>
        <v>-22396405.797954392</v>
      </c>
      <c r="AB45" s="308">
        <f t="shared" ca="1" si="1"/>
        <v>-16816901.514057688</v>
      </c>
      <c r="AC45" s="308">
        <v>0</v>
      </c>
      <c r="AD45" s="819">
        <f t="shared" ca="1" si="2"/>
        <v>-11664408.284942748</v>
      </c>
      <c r="AE45" s="308">
        <v>0</v>
      </c>
      <c r="AF45" s="819">
        <f t="shared" ca="1" si="3"/>
        <v>-5123497.4030051818</v>
      </c>
      <c r="AG45" s="308">
        <v>0</v>
      </c>
      <c r="AH45" s="308">
        <v>0</v>
      </c>
      <c r="AI45" s="308">
        <v>0</v>
      </c>
      <c r="AJ45" s="308">
        <f t="shared" ca="1" si="4"/>
        <v>-33604807.202005617</v>
      </c>
      <c r="AK45" s="309">
        <v>0</v>
      </c>
      <c r="AL45" s="309">
        <f>-(CampusArea!E38-CampusArea!E37)*$AL$12*1000-(CampusArea!D38-CampusArea!D37)*$AL$12*SpacePlanning!$AU$53*1000</f>
        <v>-34029118.383770615</v>
      </c>
      <c r="AM45" s="309">
        <f t="shared" si="18"/>
        <v>-34029118.383770615</v>
      </c>
      <c r="AN45" s="310">
        <v>0</v>
      </c>
      <c r="AO45" s="310">
        <f>-CampusArea!G38*SpacePlanning!$AU$62*1000</f>
        <v>-25660415.067621402</v>
      </c>
      <c r="AP45" s="310">
        <f t="shared" si="19"/>
        <v>-25660415.067621402</v>
      </c>
      <c r="AQ45" s="309">
        <v>0</v>
      </c>
      <c r="AR45" s="311">
        <f t="shared" ca="1" si="5"/>
        <v>-115690746.45135203</v>
      </c>
      <c r="AS45" s="870">
        <f t="shared" ca="1" si="20"/>
        <v>-2609192814.6382298</v>
      </c>
      <c r="AT45" s="822"/>
      <c r="AU45" s="878"/>
      <c r="AV45" s="35"/>
      <c r="AW45" s="879"/>
      <c r="AX45" s="35"/>
      <c r="AY45" s="880"/>
    </row>
    <row r="46" spans="1:51">
      <c r="A46" s="303">
        <v>2037</v>
      </c>
      <c r="B46" s="304">
        <f ca="1">IF($D$3="BAU",UtilityDemand!C39,INDIRECT($D$3&amp;"!B"&amp;ROW(A46))+INDIRECT($D$3&amp;"!D"&amp;ROW(A46)))</f>
        <v>175360.48963946756</v>
      </c>
      <c r="C46" s="305">
        <v>0</v>
      </c>
      <c r="D46" s="306">
        <f t="shared" ca="1" si="6"/>
        <v>175360.48963946756</v>
      </c>
      <c r="E46" s="304">
        <f ca="1">IF($D$3="BAU",UtilityDemand!E39,INDIRECT($D$3&amp;"!E"&amp;ROW(D46))+INDIRECT($D$3&amp;"!G"&amp;ROW(D46)))</f>
        <v>934447.65573974175</v>
      </c>
      <c r="F46" s="305">
        <v>0</v>
      </c>
      <c r="G46" s="306">
        <f t="shared" ca="1" si="7"/>
        <v>934447.65573974175</v>
      </c>
      <c r="H46" s="304">
        <f ca="1">IF($D$3="BAU",UtilityDemand!G39,INDIRECT($D$3&amp;"!H"&amp;ROW(G46))+INDIRECT($D$3&amp;"!J"&amp;ROW(G46)))</f>
        <v>268073.02092494071</v>
      </c>
      <c r="I46" s="305">
        <v>0</v>
      </c>
      <c r="J46" s="306">
        <f t="shared" ca="1" si="8"/>
        <v>268073.02092494071</v>
      </c>
      <c r="K46" s="307">
        <f t="shared" ca="1" si="9"/>
        <v>350720.97927893512</v>
      </c>
      <c r="L46" s="307">
        <f t="shared" si="10"/>
        <v>0</v>
      </c>
      <c r="M46" s="307">
        <v>0</v>
      </c>
      <c r="N46" s="307">
        <f t="shared" ca="1" si="11"/>
        <v>350720.97927893512</v>
      </c>
      <c r="O46" s="306">
        <f t="shared" ca="1" si="12"/>
        <v>1868895.3114794835</v>
      </c>
      <c r="P46" s="306">
        <f t="shared" si="13"/>
        <v>0</v>
      </c>
      <c r="Q46" s="306">
        <v>0</v>
      </c>
      <c r="R46" s="306">
        <f t="shared" ca="1" si="14"/>
        <v>1868895.3114794835</v>
      </c>
      <c r="S46" s="818">
        <f t="shared" ca="1" si="15"/>
        <v>536146.04184988141</v>
      </c>
      <c r="T46" s="818">
        <f t="shared" si="16"/>
        <v>0</v>
      </c>
      <c r="U46" s="818">
        <v>0</v>
      </c>
      <c r="V46" s="818">
        <f t="shared" ca="1" si="17"/>
        <v>536146.04184988141</v>
      </c>
      <c r="W46" s="306">
        <f ca="1">'GHG Emissions'!I39</f>
        <v>26244.337950745237</v>
      </c>
      <c r="X46" s="306">
        <f ca="1">'GHG Emissions'!M39</f>
        <v>255577.78704065201</v>
      </c>
      <c r="Y46" s="306">
        <f ca="1">SUM('GHG Emissions'!N39:O39)</f>
        <v>16859.610748335825</v>
      </c>
      <c r="Z46" s="306">
        <f ca="1">'GHG Emissions'!U39-SUM('GHG Emissions'!N39:O39)</f>
        <v>51581.836562868324</v>
      </c>
      <c r="AA46" s="308">
        <f ca="1">-ExposureCalculations!J43*1000000</f>
        <v>-23748006.17313214</v>
      </c>
      <c r="AB46" s="308">
        <f t="shared" ca="1" si="1"/>
        <v>-17054317.445052989</v>
      </c>
      <c r="AC46" s="308">
        <v>0</v>
      </c>
      <c r="AD46" s="819">
        <f t="shared" ca="1" si="2"/>
        <v>-11828893.779900879</v>
      </c>
      <c r="AE46" s="308">
        <v>0</v>
      </c>
      <c r="AF46" s="819">
        <f t="shared" ca="1" si="3"/>
        <v>-5182745.0712155197</v>
      </c>
      <c r="AG46" s="308">
        <v>0</v>
      </c>
      <c r="AH46" s="308">
        <v>0</v>
      </c>
      <c r="AI46" s="308">
        <v>0</v>
      </c>
      <c r="AJ46" s="308">
        <f t="shared" ca="1" si="4"/>
        <v>-34065956.296169385</v>
      </c>
      <c r="AK46" s="309">
        <v>0</v>
      </c>
      <c r="AL46" s="309">
        <f>-(CampusArea!E39-CampusArea!E38)*$AL$12*1000-(CampusArea!D39-CampusArea!D38)*$AL$12*SpacePlanning!$AU$53*1000</f>
        <v>-34029118.383769982</v>
      </c>
      <c r="AM46" s="309">
        <f t="shared" si="18"/>
        <v>-34029118.383769982</v>
      </c>
      <c r="AN46" s="310">
        <v>0</v>
      </c>
      <c r="AO46" s="310">
        <f>-CampusArea!G39*SpacePlanning!$AU$62*1000</f>
        <v>-25892801.056792568</v>
      </c>
      <c r="AP46" s="310">
        <f t="shared" si="19"/>
        <v>-25892801.056792568</v>
      </c>
      <c r="AQ46" s="309">
        <v>0</v>
      </c>
      <c r="AR46" s="311">
        <f t="shared" ca="1" si="5"/>
        <v>-117735881.90986408</v>
      </c>
      <c r="AS46" s="870">
        <f t="shared" ca="1" si="20"/>
        <v>-2726928696.5480938</v>
      </c>
      <c r="AT46" s="822"/>
      <c r="AU46" s="878"/>
      <c r="AV46" s="35"/>
      <c r="AW46" s="879"/>
      <c r="AX46" s="35"/>
      <c r="AY46" s="880"/>
    </row>
    <row r="47" spans="1:51">
      <c r="A47" s="303">
        <v>2038</v>
      </c>
      <c r="B47" s="304">
        <f ca="1">IF($D$3="BAU",UtilityDemand!C40,INDIRECT($D$3&amp;"!B"&amp;ROW(A47))+INDIRECT($D$3&amp;"!D"&amp;ROW(A47)))</f>
        <v>176937.1152403196</v>
      </c>
      <c r="C47" s="305">
        <v>0</v>
      </c>
      <c r="D47" s="306">
        <f t="shared" ca="1" si="6"/>
        <v>176937.1152403196</v>
      </c>
      <c r="E47" s="304">
        <f ca="1">IF($D$3="BAU",UtilityDemand!E40,INDIRECT($D$3&amp;"!E"&amp;ROW(D47))+INDIRECT($D$3&amp;"!G"&amp;ROW(D47)))</f>
        <v>942834.25486941705</v>
      </c>
      <c r="F47" s="305">
        <v>0</v>
      </c>
      <c r="G47" s="306">
        <f t="shared" ca="1" si="7"/>
        <v>942834.25486941705</v>
      </c>
      <c r="H47" s="304">
        <f ca="1">IF($D$3="BAU",UtilityDemand!G40,INDIRECT($D$3&amp;"!H"&amp;ROW(G47))+INDIRECT($D$3&amp;"!J"&amp;ROW(G47)))</f>
        <v>271137.55548754439</v>
      </c>
      <c r="I47" s="305">
        <v>0</v>
      </c>
      <c r="J47" s="306">
        <f t="shared" ca="1" si="8"/>
        <v>271137.55548754439</v>
      </c>
      <c r="K47" s="307">
        <f t="shared" ca="1" si="9"/>
        <v>353874.23048063921</v>
      </c>
      <c r="L47" s="307">
        <f t="shared" si="10"/>
        <v>0</v>
      </c>
      <c r="M47" s="307">
        <v>0</v>
      </c>
      <c r="N47" s="307">
        <f t="shared" ca="1" si="11"/>
        <v>353874.23048063921</v>
      </c>
      <c r="O47" s="306">
        <f t="shared" ca="1" si="12"/>
        <v>1885668.5097388341</v>
      </c>
      <c r="P47" s="306">
        <f t="shared" si="13"/>
        <v>0</v>
      </c>
      <c r="Q47" s="306">
        <v>0</v>
      </c>
      <c r="R47" s="306">
        <f t="shared" ca="1" si="14"/>
        <v>1885668.5097388341</v>
      </c>
      <c r="S47" s="818">
        <f t="shared" ca="1" si="15"/>
        <v>542275.11097508878</v>
      </c>
      <c r="T47" s="818">
        <f t="shared" si="16"/>
        <v>0</v>
      </c>
      <c r="U47" s="818">
        <v>0</v>
      </c>
      <c r="V47" s="818">
        <f t="shared" ca="1" si="17"/>
        <v>542275.11097508878</v>
      </c>
      <c r="W47" s="306">
        <f ca="1">'GHG Emissions'!I40</f>
        <v>26474.517282989938</v>
      </c>
      <c r="X47" s="306">
        <f ca="1">'GHG Emissions'!M40</f>
        <v>257951.75912295078</v>
      </c>
      <c r="Y47" s="306">
        <f ca="1">SUM('GHG Emissions'!N40:O40)</f>
        <v>16872.18124897348</v>
      </c>
      <c r="Z47" s="306">
        <f ca="1">'GHG Emissions'!U40-SUM('GHG Emissions'!N40:O40)</f>
        <v>51776.534153233348</v>
      </c>
      <c r="AA47" s="308">
        <f ca="1">-ExposureCalculations!J44*1000000</f>
        <v>-25105408.228385039</v>
      </c>
      <c r="AB47" s="308">
        <f t="shared" ca="1" si="1"/>
        <v>-17293687.112820398</v>
      </c>
      <c r="AC47" s="308">
        <v>0</v>
      </c>
      <c r="AD47" s="819">
        <f t="shared" ca="1" si="2"/>
        <v>-11994732.519601466</v>
      </c>
      <c r="AE47" s="308">
        <v>0</v>
      </c>
      <c r="AF47" s="819">
        <f t="shared" ca="1" si="3"/>
        <v>-5241992.7394258576</v>
      </c>
      <c r="AG47" s="308">
        <v>0</v>
      </c>
      <c r="AH47" s="308">
        <v>0</v>
      </c>
      <c r="AI47" s="308">
        <v>0</v>
      </c>
      <c r="AJ47" s="308">
        <f t="shared" ca="1" si="4"/>
        <v>-34530412.371847726</v>
      </c>
      <c r="AK47" s="309">
        <v>0</v>
      </c>
      <c r="AL47" s="309">
        <f>-(CampusArea!E40-CampusArea!E39)*$AL$12*1000-(CampusArea!D40-CampusArea!D39)*$AL$12*SpacePlanning!$AU$53*1000</f>
        <v>-34029118.383769982</v>
      </c>
      <c r="AM47" s="309">
        <f t="shared" si="18"/>
        <v>-34029118.383769982</v>
      </c>
      <c r="AN47" s="310">
        <v>0</v>
      </c>
      <c r="AO47" s="310">
        <f>-CampusArea!G40*SpacePlanning!$AU$62*1000</f>
        <v>-26125187.045963727</v>
      </c>
      <c r="AP47" s="310">
        <f t="shared" si="19"/>
        <v>-26125187.045963727</v>
      </c>
      <c r="AQ47" s="309">
        <v>0</v>
      </c>
      <c r="AR47" s="311">
        <f t="shared" ca="1" si="5"/>
        <v>-119790126.02996647</v>
      </c>
      <c r="AS47" s="870">
        <f t="shared" ca="1" si="20"/>
        <v>-2846718822.5780602</v>
      </c>
      <c r="AT47" s="822"/>
      <c r="AU47" s="878"/>
      <c r="AV47" s="35"/>
      <c r="AW47" s="879"/>
      <c r="AX47" s="35"/>
      <c r="AY47" s="880"/>
    </row>
    <row r="48" spans="1:51">
      <c r="A48" s="303">
        <v>2039</v>
      </c>
      <c r="B48" s="304">
        <f ca="1">IF($D$3="BAU",UtilityDemand!C41,INDIRECT($D$3&amp;"!B"&amp;ROW(A48))+INDIRECT($D$3&amp;"!D"&amp;ROW(A48)))</f>
        <v>178513.74084117162</v>
      </c>
      <c r="C48" s="305">
        <v>0</v>
      </c>
      <c r="D48" s="306">
        <f t="shared" ca="1" si="6"/>
        <v>178513.74084117162</v>
      </c>
      <c r="E48" s="304">
        <f ca="1">IF($D$3="BAU",UtilityDemand!E41,INDIRECT($D$3&amp;"!E"&amp;ROW(D48))+INDIRECT($D$3&amp;"!G"&amp;ROW(D48)))</f>
        <v>951220.85399909248</v>
      </c>
      <c r="F48" s="305">
        <v>0</v>
      </c>
      <c r="G48" s="306">
        <f t="shared" ca="1" si="7"/>
        <v>951220.85399909248</v>
      </c>
      <c r="H48" s="304">
        <f ca="1">IF($D$3="BAU",UtilityDemand!G41,INDIRECT($D$3&amp;"!H"&amp;ROW(G48))+INDIRECT($D$3&amp;"!J"&amp;ROW(G48)))</f>
        <v>274202.09005014808</v>
      </c>
      <c r="I48" s="305">
        <v>0</v>
      </c>
      <c r="J48" s="306">
        <f t="shared" ca="1" si="8"/>
        <v>274202.09005014808</v>
      </c>
      <c r="K48" s="307">
        <f t="shared" ca="1" si="9"/>
        <v>357027.48168234323</v>
      </c>
      <c r="L48" s="307">
        <f t="shared" si="10"/>
        <v>0</v>
      </c>
      <c r="M48" s="307">
        <v>0</v>
      </c>
      <c r="N48" s="307">
        <f t="shared" ca="1" si="11"/>
        <v>357027.48168234323</v>
      </c>
      <c r="O48" s="306">
        <f t="shared" ca="1" si="12"/>
        <v>1902441.707998185</v>
      </c>
      <c r="P48" s="306">
        <f t="shared" si="13"/>
        <v>0</v>
      </c>
      <c r="Q48" s="306">
        <v>0</v>
      </c>
      <c r="R48" s="306">
        <f t="shared" ca="1" si="14"/>
        <v>1902441.707998185</v>
      </c>
      <c r="S48" s="818">
        <f t="shared" ca="1" si="15"/>
        <v>548404.18010029616</v>
      </c>
      <c r="T48" s="818">
        <f t="shared" si="16"/>
        <v>0</v>
      </c>
      <c r="U48" s="818">
        <v>0</v>
      </c>
      <c r="V48" s="818">
        <f t="shared" ca="1" si="17"/>
        <v>548404.18010029616</v>
      </c>
      <c r="W48" s="306">
        <f ca="1">'GHG Emissions'!I41</f>
        <v>26704.689553958251</v>
      </c>
      <c r="X48" s="306">
        <f ca="1">'GHG Emissions'!M41</f>
        <v>260325.7312052495</v>
      </c>
      <c r="Y48" s="306">
        <f ca="1">SUM('GHG Emissions'!N41:O41)</f>
        <v>16884.535018392296</v>
      </c>
      <c r="Z48" s="306">
        <f ca="1">'GHG Emissions'!U41-SUM('GHG Emissions'!N41:O41)</f>
        <v>51970.850096615366</v>
      </c>
      <c r="AA48" s="308">
        <f ca="1">-ExposureCalculations!J45*1000000</f>
        <v>-26465469.311568182</v>
      </c>
      <c r="AB48" s="308">
        <f t="shared" ca="1" si="1"/>
        <v>-17535024.119329352</v>
      </c>
      <c r="AC48" s="308">
        <v>0</v>
      </c>
      <c r="AD48" s="819">
        <f t="shared" ca="1" si="2"/>
        <v>-12161933.924354564</v>
      </c>
      <c r="AE48" s="308">
        <v>0</v>
      </c>
      <c r="AF48" s="819">
        <f t="shared" ca="1" si="3"/>
        <v>-5301240.4076361954</v>
      </c>
      <c r="AG48" s="308">
        <v>0</v>
      </c>
      <c r="AH48" s="308">
        <v>0</v>
      </c>
      <c r="AI48" s="308">
        <v>0</v>
      </c>
      <c r="AJ48" s="308">
        <f t="shared" ca="1" si="4"/>
        <v>-34998198.451320112</v>
      </c>
      <c r="AK48" s="309">
        <v>0</v>
      </c>
      <c r="AL48" s="309">
        <f>-(CampusArea!E41-CampusArea!E40)*$AL$12*1000-(CampusArea!D41-CampusArea!D40)*$AL$12*SpacePlanning!$AU$53*1000</f>
        <v>-34029118.383769982</v>
      </c>
      <c r="AM48" s="309">
        <f t="shared" si="18"/>
        <v>-34029118.383769982</v>
      </c>
      <c r="AN48" s="310">
        <v>0</v>
      </c>
      <c r="AO48" s="310">
        <f>-CampusArea!G41*SpacePlanning!$AU$62*1000</f>
        <v>-26357573.035134889</v>
      </c>
      <c r="AP48" s="310">
        <f t="shared" si="19"/>
        <v>-26357573.035134889</v>
      </c>
      <c r="AQ48" s="309">
        <v>0</v>
      </c>
      <c r="AR48" s="311">
        <f t="shared" ca="1" si="5"/>
        <v>-121850359.18179315</v>
      </c>
      <c r="AS48" s="870">
        <f t="shared" ca="1" si="20"/>
        <v>-2968569181.7598534</v>
      </c>
      <c r="AT48" s="822"/>
      <c r="AU48" s="878"/>
      <c r="AV48" s="35"/>
      <c r="AW48" s="879"/>
      <c r="AX48" s="35"/>
      <c r="AY48" s="880"/>
    </row>
    <row r="49" spans="1:51">
      <c r="A49" s="303">
        <v>2040</v>
      </c>
      <c r="B49" s="304">
        <f ca="1">IF($D$3="BAU",UtilityDemand!C42,INDIRECT($D$3&amp;"!B"&amp;ROW(A49))+INDIRECT($D$3&amp;"!D"&amp;ROW(A49)))</f>
        <v>180090.36644202363</v>
      </c>
      <c r="C49" s="305">
        <v>0</v>
      </c>
      <c r="D49" s="306">
        <f t="shared" ca="1" si="6"/>
        <v>180090.36644202363</v>
      </c>
      <c r="E49" s="304">
        <f ca="1">IF($D$3="BAU",UtilityDemand!E42,INDIRECT($D$3&amp;"!E"&amp;ROW(D49))+INDIRECT($D$3&amp;"!G"&amp;ROW(D49)))</f>
        <v>959607.45312876778</v>
      </c>
      <c r="F49" s="305">
        <v>0</v>
      </c>
      <c r="G49" s="306">
        <f t="shared" ca="1" si="7"/>
        <v>959607.45312876778</v>
      </c>
      <c r="H49" s="304">
        <f ca="1">IF($D$3="BAU",UtilityDemand!G42,INDIRECT($D$3&amp;"!H"&amp;ROW(G49))+INDIRECT($D$3&amp;"!J"&amp;ROW(G49)))</f>
        <v>277266.62461275177</v>
      </c>
      <c r="I49" s="305">
        <v>0</v>
      </c>
      <c r="J49" s="306">
        <f t="shared" ca="1" si="8"/>
        <v>277266.62461275177</v>
      </c>
      <c r="K49" s="307">
        <f t="shared" ca="1" si="9"/>
        <v>360180.73288404726</v>
      </c>
      <c r="L49" s="307">
        <f t="shared" si="10"/>
        <v>0</v>
      </c>
      <c r="M49" s="307">
        <v>0</v>
      </c>
      <c r="N49" s="307">
        <f t="shared" ca="1" si="11"/>
        <v>360180.73288404726</v>
      </c>
      <c r="O49" s="306">
        <f t="shared" ca="1" si="12"/>
        <v>1919214.9062575356</v>
      </c>
      <c r="P49" s="306">
        <f t="shared" si="13"/>
        <v>0</v>
      </c>
      <c r="Q49" s="306">
        <v>0</v>
      </c>
      <c r="R49" s="306">
        <f t="shared" ca="1" si="14"/>
        <v>1919214.9062575356</v>
      </c>
      <c r="S49" s="818">
        <f t="shared" ca="1" si="15"/>
        <v>554533.24922550353</v>
      </c>
      <c r="T49" s="818">
        <f t="shared" si="16"/>
        <v>0</v>
      </c>
      <c r="U49" s="818">
        <v>0</v>
      </c>
      <c r="V49" s="818">
        <f t="shared" ca="1" si="17"/>
        <v>554533.24922550353</v>
      </c>
      <c r="W49" s="306">
        <f ca="1">'GHG Emissions'!I42</f>
        <v>26934.85511391886</v>
      </c>
      <c r="X49" s="306">
        <f ca="1">'GHG Emissions'!M42</f>
        <v>262699.70328754815</v>
      </c>
      <c r="Y49" s="306">
        <f ca="1">SUM('GHG Emissions'!N42:O42)</f>
        <v>16896.682808189573</v>
      </c>
      <c r="Z49" s="306">
        <f ca="1">'GHG Emissions'!U42-SUM('GHG Emissions'!N42:O42)</f>
        <v>52164.803324292407</v>
      </c>
      <c r="AA49" s="308">
        <f ca="1">-ExposureCalculations!J46*1000000</f>
        <v>-27896854.270285949</v>
      </c>
      <c r="AB49" s="308">
        <f t="shared" ca="1" si="1"/>
        <v>-17778342.153725576</v>
      </c>
      <c r="AC49" s="308">
        <v>0</v>
      </c>
      <c r="AD49" s="819">
        <f t="shared" ca="1" si="2"/>
        <v>-12330507.474842202</v>
      </c>
      <c r="AE49" s="308">
        <v>0</v>
      </c>
      <c r="AF49" s="819">
        <f t="shared" ca="1" si="3"/>
        <v>-5360488.0758465342</v>
      </c>
      <c r="AG49" s="308">
        <v>0</v>
      </c>
      <c r="AH49" s="308">
        <v>0</v>
      </c>
      <c r="AI49" s="308">
        <v>0</v>
      </c>
      <c r="AJ49" s="308">
        <f t="shared" ca="1" si="4"/>
        <v>-35469337.704414308</v>
      </c>
      <c r="AK49" s="309">
        <v>0</v>
      </c>
      <c r="AL49" s="309">
        <f>-(CampusArea!E42-CampusArea!E41)*$AL$12*1000-(CampusArea!D42-CampusArea!D41)*$AL$12*SpacePlanning!$AU$53*1000</f>
        <v>-34029118.383769982</v>
      </c>
      <c r="AM49" s="309">
        <f t="shared" si="18"/>
        <v>-34029118.383769982</v>
      </c>
      <c r="AN49" s="310">
        <v>0</v>
      </c>
      <c r="AO49" s="310">
        <f>-CampusArea!G42*SpacePlanning!$AU$62*1000</f>
        <v>-26589959.024306051</v>
      </c>
      <c r="AP49" s="310">
        <f t="shared" si="19"/>
        <v>-26589959.024306051</v>
      </c>
      <c r="AQ49" s="309">
        <v>0</v>
      </c>
      <c r="AR49" s="311">
        <f t="shared" ca="1" si="5"/>
        <v>-123985269.38277629</v>
      </c>
      <c r="AS49" s="870">
        <f t="shared" ca="1" si="20"/>
        <v>-3092554451.1426296</v>
      </c>
      <c r="AT49" s="822"/>
      <c r="AU49" s="878"/>
      <c r="AV49" s="35"/>
      <c r="AW49" s="879"/>
      <c r="AX49" s="35"/>
      <c r="AY49" s="880"/>
    </row>
    <row r="50" spans="1:51">
      <c r="A50" s="303">
        <v>2041</v>
      </c>
      <c r="B50" s="304">
        <f ca="1">IF($D$3="BAU",UtilityDemand!C43,INDIRECT($D$3&amp;"!B"&amp;ROW(A50))+INDIRECT($D$3&amp;"!D"&amp;ROW(A50)))</f>
        <v>181666.99204287567</v>
      </c>
      <c r="C50" s="305">
        <v>0</v>
      </c>
      <c r="D50" s="306">
        <f t="shared" ca="1" si="6"/>
        <v>181666.99204287567</v>
      </c>
      <c r="E50" s="304">
        <f ca="1">IF($D$3="BAU",UtilityDemand!E43,INDIRECT($D$3&amp;"!E"&amp;ROW(D50))+INDIRECT($D$3&amp;"!G"&amp;ROW(D50)))</f>
        <v>967994.0522584432</v>
      </c>
      <c r="F50" s="305">
        <v>0</v>
      </c>
      <c r="G50" s="306">
        <f t="shared" ca="1" si="7"/>
        <v>967994.0522584432</v>
      </c>
      <c r="H50" s="304">
        <f ca="1">IF($D$3="BAU",UtilityDemand!G43,INDIRECT($D$3&amp;"!H"&amp;ROW(G50))+INDIRECT($D$3&amp;"!J"&amp;ROW(G50)))</f>
        <v>280331.15917535545</v>
      </c>
      <c r="I50" s="305">
        <v>0</v>
      </c>
      <c r="J50" s="306">
        <f t="shared" ca="1" si="8"/>
        <v>280331.15917535545</v>
      </c>
      <c r="K50" s="307">
        <f t="shared" ca="1" si="9"/>
        <v>363333.98408575135</v>
      </c>
      <c r="L50" s="307">
        <f t="shared" si="10"/>
        <v>0</v>
      </c>
      <c r="M50" s="307">
        <v>0</v>
      </c>
      <c r="N50" s="307">
        <f t="shared" ca="1" si="11"/>
        <v>363333.98408575135</v>
      </c>
      <c r="O50" s="306">
        <f t="shared" ca="1" si="12"/>
        <v>1935988.1045168864</v>
      </c>
      <c r="P50" s="306">
        <f t="shared" si="13"/>
        <v>0</v>
      </c>
      <c r="Q50" s="306">
        <v>0</v>
      </c>
      <c r="R50" s="306">
        <f t="shared" ca="1" si="14"/>
        <v>1935988.1045168864</v>
      </c>
      <c r="S50" s="818">
        <f t="shared" ca="1" si="15"/>
        <v>560662.31835071091</v>
      </c>
      <c r="T50" s="818">
        <f t="shared" si="16"/>
        <v>0</v>
      </c>
      <c r="U50" s="818">
        <v>0</v>
      </c>
      <c r="V50" s="818">
        <f t="shared" ca="1" si="17"/>
        <v>560662.31835071091</v>
      </c>
      <c r="W50" s="306">
        <f ca="1">'GHG Emissions'!I43</f>
        <v>27165.014285105874</v>
      </c>
      <c r="X50" s="306">
        <f ca="1">'GHG Emissions'!M43</f>
        <v>265073.67536984698</v>
      </c>
      <c r="Y50" s="306">
        <f ca="1">SUM('GHG Emissions'!N43:O43)</f>
        <v>16908.634509419026</v>
      </c>
      <c r="Z50" s="306">
        <f ca="1">'GHG Emissions'!U43-SUM('GHG Emissions'!N43:O43)</f>
        <v>52358.411252332233</v>
      </c>
      <c r="AA50" s="308">
        <f ca="1">-ExposureCalculations!J47*1000000</f>
        <v>-29302555.417964399</v>
      </c>
      <c r="AB50" s="308">
        <f t="shared" ca="1" si="1"/>
        <v>-18023654.992862772</v>
      </c>
      <c r="AC50" s="308">
        <v>0</v>
      </c>
      <c r="AD50" s="819">
        <f t="shared" ca="1" si="2"/>
        <v>-12500462.712486608</v>
      </c>
      <c r="AE50" s="308">
        <v>0</v>
      </c>
      <c r="AF50" s="819">
        <f t="shared" ca="1" si="3"/>
        <v>-5419735.7440568721</v>
      </c>
      <c r="AG50" s="308">
        <v>0</v>
      </c>
      <c r="AH50" s="308">
        <v>0</v>
      </c>
      <c r="AI50" s="308">
        <v>0</v>
      </c>
      <c r="AJ50" s="308">
        <f t="shared" ca="1" si="4"/>
        <v>-35943853.449406251</v>
      </c>
      <c r="AK50" s="309">
        <v>0</v>
      </c>
      <c r="AL50" s="309">
        <f>-(CampusArea!E43-CampusArea!E42)*$AL$12*1000-(CampusArea!D43-CampusArea!D42)*$AL$12*SpacePlanning!$AU$53*1000</f>
        <v>-34029118.383770615</v>
      </c>
      <c r="AM50" s="309">
        <f t="shared" si="18"/>
        <v>-34029118.383770615</v>
      </c>
      <c r="AN50" s="310">
        <v>0</v>
      </c>
      <c r="AO50" s="310">
        <f>-CampusArea!G43*SpacePlanning!$AU$62*1000</f>
        <v>-26822345.013477217</v>
      </c>
      <c r="AP50" s="310">
        <f t="shared" si="19"/>
        <v>-26822345.013477217</v>
      </c>
      <c r="AQ50" s="309">
        <v>0</v>
      </c>
      <c r="AR50" s="311">
        <f t="shared" ca="1" si="5"/>
        <v>-126097872.26461849</v>
      </c>
      <c r="AS50" s="870">
        <f t="shared" ca="1" si="20"/>
        <v>-3218652323.407248</v>
      </c>
      <c r="AT50" s="822"/>
      <c r="AU50" s="878"/>
      <c r="AV50" s="35"/>
      <c r="AW50" s="879"/>
      <c r="AX50" s="35"/>
      <c r="AY50" s="880"/>
    </row>
    <row r="51" spans="1:51">
      <c r="A51" s="303">
        <v>2042</v>
      </c>
      <c r="B51" s="304">
        <f ca="1">IF($D$3="BAU",UtilityDemand!C44,INDIRECT($D$3&amp;"!B"&amp;ROW(A51))+INDIRECT($D$3&amp;"!D"&amp;ROW(A51)))</f>
        <v>183243.61764372772</v>
      </c>
      <c r="C51" s="305">
        <v>0</v>
      </c>
      <c r="D51" s="306">
        <f t="shared" ca="1" si="6"/>
        <v>183243.61764372772</v>
      </c>
      <c r="E51" s="304">
        <f ca="1">IF($D$3="BAU",UtilityDemand!E44,INDIRECT($D$3&amp;"!E"&amp;ROW(D51))+INDIRECT($D$3&amp;"!G"&amp;ROW(D51)))</f>
        <v>976380.65138811851</v>
      </c>
      <c r="F51" s="305">
        <v>0</v>
      </c>
      <c r="G51" s="306">
        <f t="shared" ca="1" si="7"/>
        <v>976380.65138811851</v>
      </c>
      <c r="H51" s="304">
        <f ca="1">IF($D$3="BAU",UtilityDemand!G44,INDIRECT($D$3&amp;"!H"&amp;ROW(G51))+INDIRECT($D$3&amp;"!J"&amp;ROW(G51)))</f>
        <v>283395.69373795914</v>
      </c>
      <c r="I51" s="305">
        <v>0</v>
      </c>
      <c r="J51" s="306">
        <f t="shared" ca="1" si="8"/>
        <v>283395.69373795914</v>
      </c>
      <c r="K51" s="307">
        <f t="shared" ca="1" si="9"/>
        <v>366487.23528745543</v>
      </c>
      <c r="L51" s="307">
        <f t="shared" si="10"/>
        <v>0</v>
      </c>
      <c r="M51" s="307">
        <v>0</v>
      </c>
      <c r="N51" s="307">
        <f t="shared" ca="1" si="11"/>
        <v>366487.23528745543</v>
      </c>
      <c r="O51" s="306">
        <f t="shared" ca="1" si="12"/>
        <v>1952761.302776237</v>
      </c>
      <c r="P51" s="306">
        <f t="shared" si="13"/>
        <v>0</v>
      </c>
      <c r="Q51" s="306">
        <v>0</v>
      </c>
      <c r="R51" s="306">
        <f t="shared" ca="1" si="14"/>
        <v>1952761.302776237</v>
      </c>
      <c r="S51" s="818">
        <f t="shared" ca="1" si="15"/>
        <v>566791.38747591828</v>
      </c>
      <c r="T51" s="818">
        <f t="shared" si="16"/>
        <v>0</v>
      </c>
      <c r="U51" s="818">
        <v>0</v>
      </c>
      <c r="V51" s="818">
        <f t="shared" ca="1" si="17"/>
        <v>566791.38747591828</v>
      </c>
      <c r="W51" s="306">
        <f ca="1">'GHG Emissions'!I44</f>
        <v>27395.167364763012</v>
      </c>
      <c r="X51" s="306">
        <f ca="1">'GHG Emissions'!M44</f>
        <v>267447.6474521457</v>
      </c>
      <c r="Y51" s="306">
        <f ca="1">SUM('GHG Emissions'!N44:O44)</f>
        <v>16920.399246037268</v>
      </c>
      <c r="Z51" s="306">
        <f ca="1">'GHG Emissions'!U44-SUM('GHG Emissions'!N44:O44)</f>
        <v>52551.689946128128</v>
      </c>
      <c r="AA51" s="308">
        <f ca="1">-ExposureCalculations!J48*1000000</f>
        <v>-30673221.806556888</v>
      </c>
      <c r="AB51" s="308">
        <f t="shared" ca="1" si="1"/>
        <v>-18270976.501837507</v>
      </c>
      <c r="AC51" s="308">
        <v>0</v>
      </c>
      <c r="AD51" s="819">
        <f t="shared" ca="1" si="2"/>
        <v>-12671809.239820587</v>
      </c>
      <c r="AE51" s="308">
        <v>0</v>
      </c>
      <c r="AF51" s="819">
        <f t="shared" ca="1" si="3"/>
        <v>-5478983.41226721</v>
      </c>
      <c r="AG51" s="308">
        <v>0</v>
      </c>
      <c r="AH51" s="308">
        <v>0</v>
      </c>
      <c r="AI51" s="308">
        <v>0</v>
      </c>
      <c r="AJ51" s="308">
        <f t="shared" ca="1" si="4"/>
        <v>-36421769.1539253</v>
      </c>
      <c r="AK51" s="309">
        <v>0</v>
      </c>
      <c r="AL51" s="309">
        <f>-(CampusArea!E44-CampusArea!E43)*$AL$12*1000-(CampusArea!D44-CampusArea!D43)*$AL$12*SpacePlanning!$AU$53*1000</f>
        <v>-34029118.383769982</v>
      </c>
      <c r="AM51" s="309">
        <f t="shared" si="18"/>
        <v>-34029118.383769982</v>
      </c>
      <c r="AN51" s="310">
        <v>0</v>
      </c>
      <c r="AO51" s="310">
        <f>-CampusArea!G44*SpacePlanning!$AU$62*1000</f>
        <v>-27054731.00264838</v>
      </c>
      <c r="AP51" s="310">
        <f t="shared" si="19"/>
        <v>-27054731.00264838</v>
      </c>
      <c r="AQ51" s="309">
        <v>0</v>
      </c>
      <c r="AR51" s="311">
        <f t="shared" ca="1" si="5"/>
        <v>-128178840.34690055</v>
      </c>
      <c r="AS51" s="870">
        <f t="shared" ca="1" si="20"/>
        <v>-3346831163.7541485</v>
      </c>
      <c r="AT51" s="822"/>
      <c r="AU51" s="878"/>
      <c r="AV51" s="35"/>
      <c r="AW51" s="879"/>
      <c r="AX51" s="35"/>
      <c r="AY51" s="880"/>
    </row>
    <row r="52" spans="1:51">
      <c r="A52" s="303">
        <v>2043</v>
      </c>
      <c r="B52" s="304">
        <f ca="1">IF($D$3="BAU",UtilityDemand!C45,INDIRECT($D$3&amp;"!B"&amp;ROW(A52))+INDIRECT($D$3&amp;"!D"&amp;ROW(A52)))</f>
        <v>184820.24324457973</v>
      </c>
      <c r="C52" s="305">
        <v>0</v>
      </c>
      <c r="D52" s="306">
        <f t="shared" ca="1" si="6"/>
        <v>184820.24324457973</v>
      </c>
      <c r="E52" s="304">
        <f ca="1">IF($D$3="BAU",UtilityDemand!E45,INDIRECT($D$3&amp;"!E"&amp;ROW(D52))+INDIRECT($D$3&amp;"!G"&amp;ROW(D52)))</f>
        <v>984767.25051779393</v>
      </c>
      <c r="F52" s="305">
        <v>0</v>
      </c>
      <c r="G52" s="306">
        <f t="shared" ca="1" si="7"/>
        <v>984767.25051779393</v>
      </c>
      <c r="H52" s="304">
        <f ca="1">IF($D$3="BAU",UtilityDemand!G45,INDIRECT($D$3&amp;"!H"&amp;ROW(G52))+INDIRECT($D$3&amp;"!J"&amp;ROW(G52)))</f>
        <v>286460.22830056283</v>
      </c>
      <c r="I52" s="305">
        <v>0</v>
      </c>
      <c r="J52" s="306">
        <f t="shared" ca="1" si="8"/>
        <v>286460.22830056283</v>
      </c>
      <c r="K52" s="307">
        <f t="shared" ca="1" si="9"/>
        <v>369640.48648915946</v>
      </c>
      <c r="L52" s="307">
        <f t="shared" si="10"/>
        <v>0</v>
      </c>
      <c r="M52" s="307">
        <v>0</v>
      </c>
      <c r="N52" s="307">
        <f t="shared" ca="1" si="11"/>
        <v>369640.48648915946</v>
      </c>
      <c r="O52" s="306">
        <f t="shared" ca="1" si="12"/>
        <v>1969534.5010355879</v>
      </c>
      <c r="P52" s="306">
        <f t="shared" si="13"/>
        <v>0</v>
      </c>
      <c r="Q52" s="306">
        <v>0</v>
      </c>
      <c r="R52" s="306">
        <f t="shared" ca="1" si="14"/>
        <v>1969534.5010355879</v>
      </c>
      <c r="S52" s="818">
        <f t="shared" ca="1" si="15"/>
        <v>572920.45660112565</v>
      </c>
      <c r="T52" s="818">
        <f t="shared" si="16"/>
        <v>0</v>
      </c>
      <c r="U52" s="818">
        <v>0</v>
      </c>
      <c r="V52" s="818">
        <f t="shared" ca="1" si="17"/>
        <v>572920.45660112565</v>
      </c>
      <c r="W52" s="306">
        <f ca="1">'GHG Emissions'!I45</f>
        <v>27625.314627775704</v>
      </c>
      <c r="X52" s="306">
        <f ca="1">'GHG Emissions'!M45</f>
        <v>269821.61953444441</v>
      </c>
      <c r="Y52" s="306">
        <f ca="1">SUM('GHG Emissions'!N45:O45)</f>
        <v>16931.985455694947</v>
      </c>
      <c r="Z52" s="306">
        <f ca="1">'GHG Emissions'!U45-SUM('GHG Emissions'!N45:O45)</f>
        <v>52744.654262651675</v>
      </c>
      <c r="AA52" s="308">
        <f ca="1">-ExposureCalculations!J49*1000000</f>
        <v>-32203806.788958728</v>
      </c>
      <c r="AB52" s="308">
        <f t="shared" ca="1" si="1"/>
        <v>-18520320.634527162</v>
      </c>
      <c r="AC52" s="308">
        <v>0</v>
      </c>
      <c r="AD52" s="819">
        <f t="shared" ca="1" si="2"/>
        <v>-12844556.720860096</v>
      </c>
      <c r="AE52" s="308">
        <v>0</v>
      </c>
      <c r="AF52" s="819">
        <f t="shared" ca="1" si="3"/>
        <v>-5538231.0804775478</v>
      </c>
      <c r="AG52" s="308">
        <v>0</v>
      </c>
      <c r="AH52" s="308">
        <v>0</v>
      </c>
      <c r="AI52" s="308">
        <v>0</v>
      </c>
      <c r="AJ52" s="308">
        <f t="shared" ca="1" si="4"/>
        <v>-36903108.435864806</v>
      </c>
      <c r="AK52" s="309">
        <v>0</v>
      </c>
      <c r="AL52" s="309">
        <f>-(CampusArea!E45-CampusArea!E44)*$AL$12*1000-(CampusArea!D45-CampusArea!D44)*$AL$12*SpacePlanning!$AU$53*1000</f>
        <v>-34029118.383769982</v>
      </c>
      <c r="AM52" s="309">
        <f t="shared" si="18"/>
        <v>-34029118.383769982</v>
      </c>
      <c r="AN52" s="310">
        <v>0</v>
      </c>
      <c r="AO52" s="310">
        <f>-CampusArea!G45*SpacePlanning!$AU$62*1000</f>
        <v>-27287116.991819546</v>
      </c>
      <c r="AP52" s="310">
        <f t="shared" si="19"/>
        <v>-27287116.991819546</v>
      </c>
      <c r="AQ52" s="309">
        <v>0</v>
      </c>
      <c r="AR52" s="311">
        <f t="shared" ca="1" si="5"/>
        <v>-130423150.60041307</v>
      </c>
      <c r="AS52" s="870">
        <f t="shared" ca="1" si="20"/>
        <v>-3477254314.3545613</v>
      </c>
      <c r="AT52" s="822"/>
      <c r="AU52" s="878"/>
      <c r="AV52" s="35"/>
      <c r="AW52" s="879"/>
      <c r="AX52" s="35"/>
      <c r="AY52" s="880"/>
    </row>
    <row r="53" spans="1:51">
      <c r="A53" s="303">
        <v>2044</v>
      </c>
      <c r="B53" s="304">
        <f ca="1">IF($D$3="BAU",UtilityDemand!C46,INDIRECT($D$3&amp;"!B"&amp;ROW(A53))+INDIRECT($D$3&amp;"!D"&amp;ROW(A53)))</f>
        <v>186396.86884543177</v>
      </c>
      <c r="C53" s="305">
        <v>0</v>
      </c>
      <c r="D53" s="306">
        <f t="shared" ca="1" si="6"/>
        <v>186396.86884543177</v>
      </c>
      <c r="E53" s="304">
        <f ca="1">IF($D$3="BAU",UtilityDemand!E46,INDIRECT($D$3&amp;"!E"&amp;ROW(D53))+INDIRECT($D$3&amp;"!G"&amp;ROW(D53)))</f>
        <v>993153.84964746935</v>
      </c>
      <c r="F53" s="305">
        <v>0</v>
      </c>
      <c r="G53" s="306">
        <f t="shared" ca="1" si="7"/>
        <v>993153.84964746935</v>
      </c>
      <c r="H53" s="304">
        <f ca="1">IF($D$3="BAU",UtilityDemand!G46,INDIRECT($D$3&amp;"!H"&amp;ROW(G53))+INDIRECT($D$3&amp;"!J"&amp;ROW(G53)))</f>
        <v>289524.76286316651</v>
      </c>
      <c r="I53" s="305">
        <v>0</v>
      </c>
      <c r="J53" s="306">
        <f t="shared" ca="1" si="8"/>
        <v>289524.76286316651</v>
      </c>
      <c r="K53" s="307">
        <f t="shared" ca="1" si="9"/>
        <v>372793.73769086355</v>
      </c>
      <c r="L53" s="307">
        <f t="shared" si="10"/>
        <v>0</v>
      </c>
      <c r="M53" s="307">
        <v>0</v>
      </c>
      <c r="N53" s="307">
        <f t="shared" ca="1" si="11"/>
        <v>372793.73769086355</v>
      </c>
      <c r="O53" s="306">
        <f t="shared" ca="1" si="12"/>
        <v>1986307.6992949387</v>
      </c>
      <c r="P53" s="306">
        <f t="shared" si="13"/>
        <v>0</v>
      </c>
      <c r="Q53" s="306">
        <v>0</v>
      </c>
      <c r="R53" s="306">
        <f t="shared" ca="1" si="14"/>
        <v>1986307.6992949387</v>
      </c>
      <c r="S53" s="818">
        <f t="shared" ca="1" si="15"/>
        <v>579049.52572633303</v>
      </c>
      <c r="T53" s="818">
        <f t="shared" si="16"/>
        <v>0</v>
      </c>
      <c r="U53" s="818">
        <v>0</v>
      </c>
      <c r="V53" s="818">
        <f t="shared" ca="1" si="17"/>
        <v>579049.52572633303</v>
      </c>
      <c r="W53" s="306">
        <f ca="1">'GHG Emissions'!I46</f>
        <v>27855.456328956927</v>
      </c>
      <c r="X53" s="306">
        <f ca="1">'GHG Emissions'!M46</f>
        <v>272195.59161674313</v>
      </c>
      <c r="Y53" s="306">
        <f ca="1">SUM('GHG Emissions'!N46:O46)</f>
        <v>16943.400959906194</v>
      </c>
      <c r="Z53" s="306">
        <f ca="1">'GHG Emissions'!U46-SUM('GHG Emissions'!N46:O46)</f>
        <v>52937.317974003556</v>
      </c>
      <c r="AA53" s="308">
        <f ca="1">-ExposureCalculations!J50*1000000</f>
        <v>-33927144.95216018</v>
      </c>
      <c r="AB53" s="308">
        <f t="shared" ca="1" si="1"/>
        <v>-18771701.434131172</v>
      </c>
      <c r="AC53" s="308">
        <v>0</v>
      </c>
      <c r="AD53" s="819">
        <f t="shared" ca="1" si="2"/>
        <v>-13018714.881479003</v>
      </c>
      <c r="AE53" s="308">
        <v>0</v>
      </c>
      <c r="AF53" s="819">
        <f t="shared" ca="1" si="3"/>
        <v>-5597478.7486878857</v>
      </c>
      <c r="AG53" s="308">
        <v>0</v>
      </c>
      <c r="AH53" s="308">
        <v>0</v>
      </c>
      <c r="AI53" s="308">
        <v>0</v>
      </c>
      <c r="AJ53" s="308">
        <f t="shared" ca="1" si="4"/>
        <v>-37387895.064298064</v>
      </c>
      <c r="AK53" s="309">
        <v>0</v>
      </c>
      <c r="AL53" s="309">
        <f>-(CampusArea!E46-CampusArea!E45)*$AL$12*1000-(CampusArea!D46-CampusArea!D45)*$AL$12*SpacePlanning!$AU$53*1000</f>
        <v>-34029118.383769982</v>
      </c>
      <c r="AM53" s="309">
        <f t="shared" si="18"/>
        <v>-34029118.383769982</v>
      </c>
      <c r="AN53" s="310">
        <v>0</v>
      </c>
      <c r="AO53" s="310">
        <f>-CampusArea!G46*SpacePlanning!$AU$62*1000</f>
        <v>-27519502.980990708</v>
      </c>
      <c r="AP53" s="310">
        <f t="shared" si="19"/>
        <v>-27519502.980990708</v>
      </c>
      <c r="AQ53" s="309">
        <v>0</v>
      </c>
      <c r="AR53" s="311">
        <f t="shared" ca="1" si="5"/>
        <v>-132863661.38121894</v>
      </c>
      <c r="AS53" s="870">
        <f t="shared" ca="1" si="20"/>
        <v>-3610117975.7357802</v>
      </c>
      <c r="AT53" s="822"/>
      <c r="AU53" s="878"/>
      <c r="AV53" s="35"/>
      <c r="AW53" s="879"/>
      <c r="AX53" s="35"/>
      <c r="AY53" s="880"/>
    </row>
    <row r="54" spans="1:51">
      <c r="A54" s="303">
        <v>2045</v>
      </c>
      <c r="B54" s="304">
        <f ca="1">IF($D$3="BAU",UtilityDemand!C47,INDIRECT($D$3&amp;"!B"&amp;ROW(A54))+INDIRECT($D$3&amp;"!D"&amp;ROW(A54)))</f>
        <v>187973.49444628376</v>
      </c>
      <c r="C54" s="305">
        <v>0</v>
      </c>
      <c r="D54" s="306">
        <f t="shared" ca="1" si="6"/>
        <v>187973.49444628376</v>
      </c>
      <c r="E54" s="304">
        <f ca="1">IF($D$3="BAU",UtilityDemand!E47,INDIRECT($D$3&amp;"!E"&amp;ROW(D54))+INDIRECT($D$3&amp;"!G"&amp;ROW(D54)))</f>
        <v>1001540.4487771448</v>
      </c>
      <c r="F54" s="305">
        <v>0</v>
      </c>
      <c r="G54" s="306">
        <f t="shared" ca="1" si="7"/>
        <v>1001540.4487771448</v>
      </c>
      <c r="H54" s="304">
        <f ca="1">IF($D$3="BAU",UtilityDemand!G47,INDIRECT($D$3&amp;"!H"&amp;ROW(G54))+INDIRECT($D$3&amp;"!J"&amp;ROW(G54)))</f>
        <v>292589.2974257702</v>
      </c>
      <c r="I54" s="305">
        <v>0</v>
      </c>
      <c r="J54" s="306">
        <f t="shared" ca="1" si="8"/>
        <v>292589.2974257702</v>
      </c>
      <c r="K54" s="307">
        <f t="shared" ca="1" si="9"/>
        <v>375946.98889256752</v>
      </c>
      <c r="L54" s="307">
        <f t="shared" si="10"/>
        <v>0</v>
      </c>
      <c r="M54" s="307">
        <v>0</v>
      </c>
      <c r="N54" s="307">
        <f t="shared" ca="1" si="11"/>
        <v>375946.98889256752</v>
      </c>
      <c r="O54" s="306">
        <f t="shared" ca="1" si="12"/>
        <v>2003080.8975542895</v>
      </c>
      <c r="P54" s="306">
        <f t="shared" si="13"/>
        <v>0</v>
      </c>
      <c r="Q54" s="306">
        <v>0</v>
      </c>
      <c r="R54" s="306">
        <f t="shared" ca="1" si="14"/>
        <v>2003080.8975542895</v>
      </c>
      <c r="S54" s="818">
        <f t="shared" ca="1" si="15"/>
        <v>585178.5948515404</v>
      </c>
      <c r="T54" s="818">
        <f t="shared" si="16"/>
        <v>0</v>
      </c>
      <c r="U54" s="818">
        <v>0</v>
      </c>
      <c r="V54" s="818">
        <f t="shared" ca="1" si="17"/>
        <v>585178.5948515404</v>
      </c>
      <c r="W54" s="306">
        <f ca="1">'GHG Emissions'!I47</f>
        <v>28085.592705041225</v>
      </c>
      <c r="X54" s="306">
        <f ca="1">'GHG Emissions'!M47</f>
        <v>274569.56369904184</v>
      </c>
      <c r="Y54" s="306">
        <f ca="1">SUM('GHG Emissions'!N47:O47)</f>
        <v>16954.653025254975</v>
      </c>
      <c r="Z54" s="306">
        <f ca="1">'GHG Emissions'!U47-SUM('GHG Emissions'!N47:O47)</f>
        <v>53129.693875182755</v>
      </c>
      <c r="AA54" s="308">
        <f ca="1">-ExposureCalculations!J51*1000000</f>
        <v>-35889948.497267388</v>
      </c>
      <c r="AB54" s="308">
        <f t="shared" ca="1" si="1"/>
        <v>-19025133.033715352</v>
      </c>
      <c r="AC54" s="308">
        <v>0</v>
      </c>
      <c r="AD54" s="819">
        <f t="shared" ca="1" si="2"/>
        <v>-13194293.509786077</v>
      </c>
      <c r="AE54" s="308">
        <v>0</v>
      </c>
      <c r="AF54" s="819">
        <f t="shared" ca="1" si="3"/>
        <v>-5656726.4168982236</v>
      </c>
      <c r="AG54" s="308">
        <v>0</v>
      </c>
      <c r="AH54" s="308">
        <v>0</v>
      </c>
      <c r="AI54" s="308">
        <v>0</v>
      </c>
      <c r="AJ54" s="308">
        <f t="shared" ca="1" si="4"/>
        <v>-37876152.96039965</v>
      </c>
      <c r="AK54" s="309">
        <v>0</v>
      </c>
      <c r="AL54" s="309">
        <f>-(CampusArea!E47-CampusArea!E46)*$AL$12*1000-(CampusArea!D47-CampusArea!D46)*$AL$12*SpacePlanning!$AU$53*1000</f>
        <v>-34029118.383769982</v>
      </c>
      <c r="AM54" s="309">
        <f t="shared" si="18"/>
        <v>-34029118.383769982</v>
      </c>
      <c r="AN54" s="310">
        <v>0</v>
      </c>
      <c r="AO54" s="310">
        <f>-CampusArea!G47*SpacePlanning!$AU$62*1000</f>
        <v>-27751888.970161866</v>
      </c>
      <c r="AP54" s="310">
        <f t="shared" si="19"/>
        <v>-27751888.970161866</v>
      </c>
      <c r="AQ54" s="309">
        <v>0</v>
      </c>
      <c r="AR54" s="311">
        <f t="shared" ca="1" si="5"/>
        <v>-135547108.81159887</v>
      </c>
      <c r="AS54" s="870">
        <f t="shared" ca="1" si="20"/>
        <v>-3745665084.547379</v>
      </c>
      <c r="AT54" s="822"/>
      <c r="AU54" s="878"/>
      <c r="AV54" s="35"/>
      <c r="AW54" s="879"/>
      <c r="AX54" s="35"/>
      <c r="AY54" s="880"/>
    </row>
    <row r="55" spans="1:51">
      <c r="A55" s="303">
        <v>2046</v>
      </c>
      <c r="B55" s="304">
        <f ca="1">IF($D$3="BAU",UtilityDemand!C48,INDIRECT($D$3&amp;"!B"&amp;ROW(A55))+INDIRECT($D$3&amp;"!D"&amp;ROW(A55)))</f>
        <v>189550.12004713583</v>
      </c>
      <c r="C55" s="305">
        <v>0</v>
      </c>
      <c r="D55" s="306">
        <f t="shared" ca="1" si="6"/>
        <v>189550.12004713583</v>
      </c>
      <c r="E55" s="304">
        <f ca="1">IF($D$3="BAU",UtilityDemand!E48,INDIRECT($D$3&amp;"!E"&amp;ROW(D55))+INDIRECT($D$3&amp;"!G"&amp;ROW(D55)))</f>
        <v>1009927.04790682</v>
      </c>
      <c r="F55" s="305">
        <v>0</v>
      </c>
      <c r="G55" s="306">
        <f t="shared" ca="1" si="7"/>
        <v>1009927.04790682</v>
      </c>
      <c r="H55" s="304">
        <f ca="1">IF($D$3="BAU",UtilityDemand!G48,INDIRECT($D$3&amp;"!H"&amp;ROW(G55))+INDIRECT($D$3&amp;"!J"&amp;ROW(G55)))</f>
        <v>295653.83198837389</v>
      </c>
      <c r="I55" s="305">
        <v>0</v>
      </c>
      <c r="J55" s="306">
        <f t="shared" ca="1" si="8"/>
        <v>295653.83198837389</v>
      </c>
      <c r="K55" s="307">
        <f t="shared" ca="1" si="9"/>
        <v>379100.24009427166</v>
      </c>
      <c r="L55" s="307">
        <f t="shared" si="10"/>
        <v>0</v>
      </c>
      <c r="M55" s="307">
        <v>0</v>
      </c>
      <c r="N55" s="307">
        <f t="shared" ca="1" si="11"/>
        <v>379100.24009427166</v>
      </c>
      <c r="O55" s="306">
        <f t="shared" ca="1" si="12"/>
        <v>2019854.0958136399</v>
      </c>
      <c r="P55" s="306">
        <f t="shared" si="13"/>
        <v>0</v>
      </c>
      <c r="Q55" s="306">
        <v>0</v>
      </c>
      <c r="R55" s="306">
        <f t="shared" ca="1" si="14"/>
        <v>2019854.0958136399</v>
      </c>
      <c r="S55" s="818">
        <f t="shared" ca="1" si="15"/>
        <v>591307.66397674778</v>
      </c>
      <c r="T55" s="818">
        <f t="shared" si="16"/>
        <v>0</v>
      </c>
      <c r="U55" s="818">
        <v>0</v>
      </c>
      <c r="V55" s="818">
        <f t="shared" ca="1" si="17"/>
        <v>591307.66397674778</v>
      </c>
      <c r="W55" s="306">
        <f ca="1">'GHG Emissions'!I48</f>
        <v>28315.723976430982</v>
      </c>
      <c r="X55" s="306">
        <f ca="1">'GHG Emissions'!M48</f>
        <v>276943.53578134062</v>
      </c>
      <c r="Y55" s="306">
        <f ca="1">SUM('GHG Emissions'!N48:O48)</f>
        <v>16965.748416999118</v>
      </c>
      <c r="Z55" s="306">
        <f ca="1">'GHG Emissions'!U48-SUM('GHG Emissions'!N48:O48)</f>
        <v>53321.793878469907</v>
      </c>
      <c r="AA55" s="308">
        <f ca="1">-ExposureCalculations!J52*1000000</f>
        <v>-37988927.231090888</v>
      </c>
      <c r="AB55" s="308">
        <f t="shared" ca="1" si="1"/>
        <v>-19280629.656759527</v>
      </c>
      <c r="AC55" s="308">
        <v>0</v>
      </c>
      <c r="AD55" s="819">
        <f t="shared" ca="1" si="2"/>
        <v>-13371302.456504177</v>
      </c>
      <c r="AE55" s="308">
        <v>0</v>
      </c>
      <c r="AF55" s="819">
        <f t="shared" ca="1" si="3"/>
        <v>-5715974.0851085614</v>
      </c>
      <c r="AG55" s="308">
        <v>0</v>
      </c>
      <c r="AH55" s="308">
        <v>0</v>
      </c>
      <c r="AI55" s="308">
        <v>0</v>
      </c>
      <c r="AJ55" s="308">
        <f t="shared" ca="1" si="4"/>
        <v>-38367906.198372267</v>
      </c>
      <c r="AK55" s="309">
        <v>0</v>
      </c>
      <c r="AL55" s="309">
        <f>-(CampusArea!E48-CampusArea!E47)*$AL$12*1000-(CampusArea!D48-CampusArea!D47)*$AL$12*SpacePlanning!$AU$53*1000</f>
        <v>-34029118.383769982</v>
      </c>
      <c r="AM55" s="309">
        <f t="shared" si="18"/>
        <v>-34029118.383769982</v>
      </c>
      <c r="AN55" s="310">
        <v>0</v>
      </c>
      <c r="AO55" s="310">
        <f>-CampusArea!G48*SpacePlanning!$AU$62*1000</f>
        <v>-27984274.959333029</v>
      </c>
      <c r="AP55" s="310">
        <f t="shared" si="19"/>
        <v>-27984274.959333029</v>
      </c>
      <c r="AQ55" s="309">
        <v>0</v>
      </c>
      <c r="AR55" s="311">
        <f t="shared" ca="1" si="5"/>
        <v>-138370226.77256617</v>
      </c>
      <c r="AS55" s="870">
        <f t="shared" ca="1" si="20"/>
        <v>-3884035311.3199453</v>
      </c>
      <c r="AT55" s="822"/>
      <c r="AU55" s="878"/>
      <c r="AV55" s="35"/>
      <c r="AW55" s="879"/>
      <c r="AX55" s="35"/>
      <c r="AY55" s="880"/>
    </row>
    <row r="56" spans="1:51">
      <c r="A56" s="303">
        <v>2047</v>
      </c>
      <c r="B56" s="304">
        <f ca="1">IF($D$3="BAU",UtilityDemand!C49,INDIRECT($D$3&amp;"!B"&amp;ROW(A56))+INDIRECT($D$3&amp;"!D"&amp;ROW(A56)))</f>
        <v>191126.74564798782</v>
      </c>
      <c r="C56" s="305">
        <v>0</v>
      </c>
      <c r="D56" s="306">
        <f t="shared" ca="1" si="6"/>
        <v>191126.74564798782</v>
      </c>
      <c r="E56" s="304">
        <f ca="1">IF($D$3="BAU",UtilityDemand!E49,INDIRECT($D$3&amp;"!E"&amp;ROW(D56))+INDIRECT($D$3&amp;"!G"&amp;ROW(D56)))</f>
        <v>1018313.6470364953</v>
      </c>
      <c r="F56" s="305">
        <v>0</v>
      </c>
      <c r="G56" s="306">
        <f t="shared" ca="1" si="7"/>
        <v>1018313.6470364953</v>
      </c>
      <c r="H56" s="304">
        <f ca="1">IF($D$3="BAU",UtilityDemand!G49,INDIRECT($D$3&amp;"!H"&amp;ROW(G56))+INDIRECT($D$3&amp;"!J"&amp;ROW(G56)))</f>
        <v>298718.36655097757</v>
      </c>
      <c r="I56" s="305">
        <v>0</v>
      </c>
      <c r="J56" s="306">
        <f t="shared" ca="1" si="8"/>
        <v>298718.36655097757</v>
      </c>
      <c r="K56" s="307">
        <f t="shared" ca="1" si="9"/>
        <v>382253.49129597563</v>
      </c>
      <c r="L56" s="307">
        <f t="shared" si="10"/>
        <v>0</v>
      </c>
      <c r="M56" s="307">
        <v>0</v>
      </c>
      <c r="N56" s="307">
        <f t="shared" ca="1" si="11"/>
        <v>382253.49129597563</v>
      </c>
      <c r="O56" s="306">
        <f t="shared" ca="1" si="12"/>
        <v>2036627.2940729905</v>
      </c>
      <c r="P56" s="306">
        <f t="shared" si="13"/>
        <v>0</v>
      </c>
      <c r="Q56" s="306">
        <v>0</v>
      </c>
      <c r="R56" s="306">
        <f t="shared" ca="1" si="14"/>
        <v>2036627.2940729905</v>
      </c>
      <c r="S56" s="818">
        <f t="shared" ca="1" si="15"/>
        <v>597436.73310195515</v>
      </c>
      <c r="T56" s="818">
        <f t="shared" si="16"/>
        <v>0</v>
      </c>
      <c r="U56" s="818">
        <v>0</v>
      </c>
      <c r="V56" s="818">
        <f t="shared" ca="1" si="17"/>
        <v>597436.73310195515</v>
      </c>
      <c r="W56" s="306">
        <f ca="1">'GHG Emissions'!I49</f>
        <v>28545.850348731648</v>
      </c>
      <c r="X56" s="306">
        <f ca="1">'GHG Emissions'!M49</f>
        <v>279317.50786363927</v>
      </c>
      <c r="Y56" s="306">
        <f ca="1">SUM('GHG Emissions'!N49:O49)</f>
        <v>16976.693446195241</v>
      </c>
      <c r="Z56" s="306">
        <f ca="1">'GHG Emissions'!U49-SUM('GHG Emissions'!N49:O49)</f>
        <v>53513.629096402517</v>
      </c>
      <c r="AA56" s="308">
        <f ca="1">-ExposureCalculations!J53*1000000</f>
        <v>-40240661.207645327</v>
      </c>
      <c r="AB56" s="308">
        <f t="shared" ca="1" si="1"/>
        <v>-19538205.617708292</v>
      </c>
      <c r="AC56" s="308">
        <v>0</v>
      </c>
      <c r="AD56" s="819">
        <f t="shared" ca="1" si="2"/>
        <v>-13549751.635351719</v>
      </c>
      <c r="AE56" s="308">
        <v>0</v>
      </c>
      <c r="AF56" s="819">
        <f t="shared" ca="1" si="3"/>
        <v>-5775221.7533188993</v>
      </c>
      <c r="AG56" s="308">
        <v>0</v>
      </c>
      <c r="AH56" s="308">
        <v>0</v>
      </c>
      <c r="AI56" s="308">
        <v>0</v>
      </c>
      <c r="AJ56" s="308">
        <f t="shared" ca="1" si="4"/>
        <v>-38863179.006378911</v>
      </c>
      <c r="AK56" s="309">
        <v>0</v>
      </c>
      <c r="AL56" s="309">
        <f>-(CampusArea!E49-CampusArea!E48)*$AL$12*1000-(CampusArea!D49-CampusArea!D48)*$AL$12*SpacePlanning!$AU$53*1000</f>
        <v>-34029118.383769982</v>
      </c>
      <c r="AM56" s="309">
        <f t="shared" si="18"/>
        <v>-34029118.383769982</v>
      </c>
      <c r="AN56" s="310">
        <v>0</v>
      </c>
      <c r="AO56" s="310">
        <f>-CampusArea!G49*SpacePlanning!$AU$62*1000</f>
        <v>-28216660.948504191</v>
      </c>
      <c r="AP56" s="310">
        <f t="shared" si="19"/>
        <v>-28216660.948504191</v>
      </c>
      <c r="AQ56" s="309">
        <v>0</v>
      </c>
      <c r="AR56" s="311">
        <f t="shared" ca="1" si="5"/>
        <v>-141349619.54629841</v>
      </c>
      <c r="AS56" s="870">
        <f t="shared" ca="1" si="20"/>
        <v>-4025384930.8662438</v>
      </c>
      <c r="AT56" s="822"/>
      <c r="AU56" s="878"/>
      <c r="AV56" s="35"/>
      <c r="AW56" s="879"/>
      <c r="AX56" s="35"/>
      <c r="AY56" s="880"/>
    </row>
    <row r="57" spans="1:51">
      <c r="A57" s="303">
        <v>2048</v>
      </c>
      <c r="B57" s="304">
        <f ca="1">IF($D$3="BAU",UtilityDemand!C50,INDIRECT($D$3&amp;"!B"&amp;ROW(A57))+INDIRECT($D$3&amp;"!D"&amp;ROW(A57)))</f>
        <v>192703.37124883989</v>
      </c>
      <c r="C57" s="305">
        <v>0</v>
      </c>
      <c r="D57" s="306">
        <f t="shared" ca="1" si="6"/>
        <v>192703.37124883989</v>
      </c>
      <c r="E57" s="304">
        <f ca="1">IF($D$3="BAU",UtilityDemand!E50,INDIRECT($D$3&amp;"!E"&amp;ROW(D57))+INDIRECT($D$3&amp;"!G"&amp;ROW(D57)))</f>
        <v>1026700.2461661708</v>
      </c>
      <c r="F57" s="305">
        <v>0</v>
      </c>
      <c r="G57" s="306">
        <f t="shared" ca="1" si="7"/>
        <v>1026700.2461661708</v>
      </c>
      <c r="H57" s="304">
        <f ca="1">IF($D$3="BAU",UtilityDemand!G50,INDIRECT($D$3&amp;"!H"&amp;ROW(G57))+INDIRECT($D$3&amp;"!J"&amp;ROW(G57)))</f>
        <v>301782.90111358126</v>
      </c>
      <c r="I57" s="305">
        <v>0</v>
      </c>
      <c r="J57" s="306">
        <f t="shared" ca="1" si="8"/>
        <v>301782.90111358126</v>
      </c>
      <c r="K57" s="307">
        <f t="shared" ca="1" si="9"/>
        <v>385406.74249767978</v>
      </c>
      <c r="L57" s="307">
        <f t="shared" si="10"/>
        <v>0</v>
      </c>
      <c r="M57" s="307">
        <v>0</v>
      </c>
      <c r="N57" s="307">
        <f t="shared" ca="1" si="11"/>
        <v>385406.74249767978</v>
      </c>
      <c r="O57" s="306">
        <f t="shared" ca="1" si="12"/>
        <v>2053400.4923323416</v>
      </c>
      <c r="P57" s="306">
        <f t="shared" si="13"/>
        <v>0</v>
      </c>
      <c r="Q57" s="306">
        <v>0</v>
      </c>
      <c r="R57" s="306">
        <f t="shared" ca="1" si="14"/>
        <v>2053400.4923323416</v>
      </c>
      <c r="S57" s="818">
        <f t="shared" ca="1" si="15"/>
        <v>603565.80222716252</v>
      </c>
      <c r="T57" s="818">
        <f t="shared" si="16"/>
        <v>0</v>
      </c>
      <c r="U57" s="818">
        <v>0</v>
      </c>
      <c r="V57" s="818">
        <f t="shared" ca="1" si="17"/>
        <v>603565.80222716252</v>
      </c>
      <c r="W57" s="306">
        <f ca="1">'GHG Emissions'!I50</f>
        <v>28775.972014106253</v>
      </c>
      <c r="X57" s="306">
        <f ca="1">'GHG Emissions'!M50</f>
        <v>281691.4799459381</v>
      </c>
      <c r="Y57" s="306">
        <f ca="1">SUM('GHG Emissions'!N50:O50)</f>
        <v>16987.494011276754</v>
      </c>
      <c r="Z57" s="306">
        <f ca="1">'GHG Emissions'!U50-SUM('GHG Emissions'!N50:O50)</f>
        <v>53705.20991498373</v>
      </c>
      <c r="AA57" s="308">
        <f ca="1">-ExposureCalculations!J54*1000000</f>
        <v>-42663280.453117743</v>
      </c>
      <c r="AB57" s="308">
        <f t="shared" ca="1" si="1"/>
        <v>-19797875.32252514</v>
      </c>
      <c r="AC57" s="308">
        <v>0</v>
      </c>
      <c r="AD57" s="819">
        <f t="shared" ca="1" si="2"/>
        <v>-13729651.023426333</v>
      </c>
      <c r="AE57" s="308">
        <v>0</v>
      </c>
      <c r="AF57" s="819">
        <f t="shared" ca="1" si="3"/>
        <v>-5834469.4215292372</v>
      </c>
      <c r="AG57" s="308">
        <v>0</v>
      </c>
      <c r="AH57" s="308">
        <v>0</v>
      </c>
      <c r="AI57" s="308">
        <v>0</v>
      </c>
      <c r="AJ57" s="308">
        <f t="shared" ca="1" si="4"/>
        <v>-39361995.767480716</v>
      </c>
      <c r="AK57" s="309">
        <v>0</v>
      </c>
      <c r="AL57" s="309">
        <f>-(CampusArea!E50-CampusArea!E49)*$AL$12*1000-(CampusArea!D50-CampusArea!D49)*$AL$12*SpacePlanning!$AU$53*1000</f>
        <v>-34029118.383770615</v>
      </c>
      <c r="AM57" s="309">
        <f t="shared" si="18"/>
        <v>-34029118.383770615</v>
      </c>
      <c r="AN57" s="310">
        <v>0</v>
      </c>
      <c r="AO57" s="310">
        <f>-CampusArea!G50*SpacePlanning!$AU$62*1000</f>
        <v>-28449046.937675357</v>
      </c>
      <c r="AP57" s="310">
        <f t="shared" si="19"/>
        <v>-28449046.937675357</v>
      </c>
      <c r="AQ57" s="309">
        <v>0</v>
      </c>
      <c r="AR57" s="311">
        <f t="shared" ca="1" si="5"/>
        <v>-144503441.54204443</v>
      </c>
      <c r="AS57" s="870">
        <f t="shared" ca="1" si="20"/>
        <v>-4169888372.4082885</v>
      </c>
      <c r="AT57" s="822"/>
      <c r="AU57" s="878"/>
      <c r="AV57" s="35"/>
      <c r="AW57" s="879"/>
      <c r="AX57" s="35"/>
      <c r="AY57" s="880"/>
    </row>
    <row r="58" spans="1:51">
      <c r="A58" s="303">
        <v>2049</v>
      </c>
      <c r="B58" s="304">
        <f ca="1">IF($D$3="BAU",UtilityDemand!C51,INDIRECT($D$3&amp;"!B"&amp;ROW(A58))+INDIRECT($D$3&amp;"!D"&amp;ROW(A58)))</f>
        <v>194279.99684969187</v>
      </c>
      <c r="C58" s="305">
        <v>0</v>
      </c>
      <c r="D58" s="306">
        <f t="shared" ca="1" si="6"/>
        <v>194279.99684969187</v>
      </c>
      <c r="E58" s="304">
        <f ca="1">IF($D$3="BAU",UtilityDemand!E51,INDIRECT($D$3&amp;"!E"&amp;ROW(D58))+INDIRECT($D$3&amp;"!G"&amp;ROW(D58)))</f>
        <v>1035086.8452958462</v>
      </c>
      <c r="F58" s="305">
        <v>0</v>
      </c>
      <c r="G58" s="306">
        <f t="shared" ca="1" si="7"/>
        <v>1035086.8452958462</v>
      </c>
      <c r="H58" s="304">
        <f ca="1">IF($D$3="BAU",UtilityDemand!G51,INDIRECT($D$3&amp;"!H"&amp;ROW(G58))+INDIRECT($D$3&amp;"!J"&amp;ROW(G58)))</f>
        <v>304847.43567618495</v>
      </c>
      <c r="I58" s="305">
        <v>0</v>
      </c>
      <c r="J58" s="306">
        <f t="shared" ca="1" si="8"/>
        <v>304847.43567618495</v>
      </c>
      <c r="K58" s="307">
        <f t="shared" ca="1" si="9"/>
        <v>388559.99369938375</v>
      </c>
      <c r="L58" s="307">
        <f t="shared" si="10"/>
        <v>0</v>
      </c>
      <c r="M58" s="307">
        <v>0</v>
      </c>
      <c r="N58" s="307">
        <f t="shared" ca="1" si="11"/>
        <v>388559.99369938375</v>
      </c>
      <c r="O58" s="306">
        <f t="shared" ca="1" si="12"/>
        <v>2070173.6905916925</v>
      </c>
      <c r="P58" s="306">
        <f t="shared" si="13"/>
        <v>0</v>
      </c>
      <c r="Q58" s="306">
        <v>0</v>
      </c>
      <c r="R58" s="306">
        <f t="shared" ca="1" si="14"/>
        <v>2070173.6905916925</v>
      </c>
      <c r="S58" s="818">
        <f t="shared" ca="1" si="15"/>
        <v>609694.8713523699</v>
      </c>
      <c r="T58" s="818">
        <f t="shared" si="16"/>
        <v>0</v>
      </c>
      <c r="U58" s="818">
        <v>0</v>
      </c>
      <c r="V58" s="818">
        <f t="shared" ca="1" si="17"/>
        <v>609694.8713523699</v>
      </c>
      <c r="W58" s="306">
        <f ca="1">'GHG Emissions'!I51</f>
        <v>29006.089152474538</v>
      </c>
      <c r="X58" s="306">
        <f ca="1">'GHG Emissions'!M51</f>
        <v>284065.45202823682</v>
      </c>
      <c r="Y58" s="306">
        <f ca="1">SUM('GHG Emissions'!N51:O51)</f>
        <v>16998.155634862684</v>
      </c>
      <c r="Z58" s="306">
        <f ca="1">'GHG Emissions'!U51-SUM('GHG Emissions'!N51:O51)</f>
        <v>53896.546058493557</v>
      </c>
      <c r="AA58" s="308">
        <f ca="1">-ExposureCalculations!J55*1000000</f>
        <v>-45276355.606153637</v>
      </c>
      <c r="AB58" s="308">
        <f t="shared" ca="1" si="1"/>
        <v>-20059653.2692497</v>
      </c>
      <c r="AC58" s="308">
        <v>0</v>
      </c>
      <c r="AD58" s="819">
        <f t="shared" ca="1" si="2"/>
        <v>-13911010.661590802</v>
      </c>
      <c r="AE58" s="308">
        <v>0</v>
      </c>
      <c r="AF58" s="819">
        <f t="shared" ca="1" si="3"/>
        <v>-5893717.0897395751</v>
      </c>
      <c r="AG58" s="308">
        <v>0</v>
      </c>
      <c r="AH58" s="308">
        <v>0</v>
      </c>
      <c r="AI58" s="308">
        <v>0</v>
      </c>
      <c r="AJ58" s="308">
        <f t="shared" ca="1" si="4"/>
        <v>-39864381.020580076</v>
      </c>
      <c r="AK58" s="309">
        <v>0</v>
      </c>
      <c r="AL58" s="309">
        <f>-(CampusArea!E51-CampusArea!E50)*$AL$12*1000-(CampusArea!D51-CampusArea!D50)*$AL$12*SpacePlanning!$AU$53*1000</f>
        <v>-34029118.383769982</v>
      </c>
      <c r="AM58" s="309">
        <f t="shared" si="18"/>
        <v>-34029118.383769982</v>
      </c>
      <c r="AN58" s="310">
        <v>0</v>
      </c>
      <c r="AO58" s="310">
        <f>-CampusArea!G51*SpacePlanning!$AU$62*1000</f>
        <v>-28681432.926846523</v>
      </c>
      <c r="AP58" s="310">
        <f t="shared" si="19"/>
        <v>-28681432.926846523</v>
      </c>
      <c r="AQ58" s="309">
        <v>0</v>
      </c>
      <c r="AR58" s="311">
        <f t="shared" ca="1" si="5"/>
        <v>-147851287.93735024</v>
      </c>
      <c r="AS58" s="870">
        <f t="shared" ca="1" si="20"/>
        <v>-4317739660.3456383</v>
      </c>
      <c r="AT58" s="822"/>
      <c r="AU58" s="878"/>
      <c r="AV58" s="35"/>
      <c r="AW58" s="879"/>
      <c r="AX58" s="35"/>
      <c r="AY58" s="880"/>
    </row>
    <row r="59" spans="1:51">
      <c r="A59" s="303">
        <v>2050</v>
      </c>
      <c r="B59" s="304">
        <f ca="1">IF($D$3="BAU",UtilityDemand!C52,INDIRECT($D$3&amp;"!B"&amp;ROW(A59))+INDIRECT($D$3&amp;"!D"&amp;ROW(A59)))</f>
        <v>195856.62245054395</v>
      </c>
      <c r="C59" s="305">
        <v>0</v>
      </c>
      <c r="D59" s="306">
        <f t="shared" ca="1" si="6"/>
        <v>195856.62245054395</v>
      </c>
      <c r="E59" s="304">
        <f ca="1">IF($D$3="BAU",UtilityDemand!E52,INDIRECT($D$3&amp;"!E"&amp;ROW(D59))+INDIRECT($D$3&amp;"!G"&amp;ROW(D59)))</f>
        <v>1043473.4444255217</v>
      </c>
      <c r="F59" s="305">
        <v>0</v>
      </c>
      <c r="G59" s="306">
        <f t="shared" ca="1" si="7"/>
        <v>1043473.4444255217</v>
      </c>
      <c r="H59" s="304">
        <f ca="1">IF($D$3="BAU",UtilityDemand!G52,INDIRECT($D$3&amp;"!H"&amp;ROW(G59))+INDIRECT($D$3&amp;"!J"&amp;ROW(G59)))</f>
        <v>307911.97023878864</v>
      </c>
      <c r="I59" s="305">
        <v>0</v>
      </c>
      <c r="J59" s="306">
        <f t="shared" ca="1" si="8"/>
        <v>307911.97023878864</v>
      </c>
      <c r="K59" s="307">
        <f t="shared" ca="1" si="9"/>
        <v>391713.24490108789</v>
      </c>
      <c r="L59" s="307">
        <f t="shared" si="10"/>
        <v>0</v>
      </c>
      <c r="M59" s="307">
        <v>0</v>
      </c>
      <c r="N59" s="307">
        <f t="shared" ca="1" si="11"/>
        <v>391713.24490108789</v>
      </c>
      <c r="O59" s="306">
        <f t="shared" ca="1" si="12"/>
        <v>2086946.8888510433</v>
      </c>
      <c r="P59" s="306">
        <f t="shared" si="13"/>
        <v>0</v>
      </c>
      <c r="Q59" s="306">
        <v>0</v>
      </c>
      <c r="R59" s="306">
        <f t="shared" ca="1" si="14"/>
        <v>2086946.8888510433</v>
      </c>
      <c r="S59" s="818">
        <f t="shared" ca="1" si="15"/>
        <v>615823.94047757727</v>
      </c>
      <c r="T59" s="818">
        <f t="shared" si="16"/>
        <v>0</v>
      </c>
      <c r="U59" s="818">
        <v>0</v>
      </c>
      <c r="V59" s="818">
        <f t="shared" ca="1" si="17"/>
        <v>615823.94047757727</v>
      </c>
      <c r="W59" s="306">
        <f ca="1">'GHG Emissions'!I52</f>
        <v>29236.201932578002</v>
      </c>
      <c r="X59" s="306">
        <f ca="1">'GHG Emissions'!M52</f>
        <v>286439.42411053559</v>
      </c>
      <c r="Y59" s="306">
        <f ca="1">SUM('GHG Emissions'!N52:O52)</f>
        <v>17008.683496449346</v>
      </c>
      <c r="Z59" s="306">
        <f ca="1">'GHG Emissions'!U52-SUM('GHG Emissions'!N52:O52)</f>
        <v>54087.646647050948</v>
      </c>
      <c r="AA59" s="308">
        <f ca="1">-ExposureCalculations!J56*1000000</f>
        <v>-48100785.007166594</v>
      </c>
      <c r="AB59" s="308">
        <f t="shared" ca="1" si="1"/>
        <v>-20323554.048558455</v>
      </c>
      <c r="AC59" s="308">
        <v>0</v>
      </c>
      <c r="AD59" s="819">
        <f t="shared" ca="1" si="2"/>
        <v>-14093840.654861333</v>
      </c>
      <c r="AE59" s="308">
        <v>0</v>
      </c>
      <c r="AF59" s="819">
        <f t="shared" ca="1" si="3"/>
        <v>-5952964.7579499129</v>
      </c>
      <c r="AG59" s="308">
        <v>0</v>
      </c>
      <c r="AH59" s="308">
        <v>0</v>
      </c>
      <c r="AI59" s="308">
        <v>0</v>
      </c>
      <c r="AJ59" s="308">
        <f t="shared" ca="1" si="4"/>
        <v>-40370359.461369701</v>
      </c>
      <c r="AK59" s="309">
        <v>0</v>
      </c>
      <c r="AL59" s="309">
        <f>-(CampusArea!E52-CampusArea!E51)*$AL$12*1000-(CampusArea!D52-CampusArea!D51)*$AL$12*SpacePlanning!$AU$53*1000</f>
        <v>-34029118.383769982</v>
      </c>
      <c r="AM59" s="309">
        <f t="shared" si="18"/>
        <v>-34029118.383769982</v>
      </c>
      <c r="AN59" s="310">
        <v>0</v>
      </c>
      <c r="AO59" s="310">
        <f>-CampusArea!G52*SpacePlanning!$AU$62*1000</f>
        <v>-28913818.916017685</v>
      </c>
      <c r="AP59" s="310">
        <f t="shared" si="19"/>
        <v>-28913818.916017685</v>
      </c>
      <c r="AQ59" s="309">
        <v>0</v>
      </c>
      <c r="AR59" s="311">
        <f t="shared" ca="1" si="5"/>
        <v>-151414081.76832396</v>
      </c>
      <c r="AS59" s="870">
        <f t="shared" ca="1" si="20"/>
        <v>-4469153742.1139622</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disablePrompts="1"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codeName="Sheet45">
    <pageSetUpPr fitToPage="1"/>
  </sheetPr>
  <dimension ref="B1:Q24"/>
  <sheetViews>
    <sheetView zoomScale="85" zoomScaleNormal="85" workbookViewId="0">
      <selection activeCell="E17" sqref="E17:M20"/>
    </sheetView>
  </sheetViews>
  <sheetFormatPr defaultRowHeight="15"/>
  <cols>
    <col min="1" max="1" width="2.85546875" style="210" customWidth="1"/>
    <col min="2" max="2" width="4.28515625" style="210" customWidth="1"/>
    <col min="3" max="3" width="7.140625" style="210" customWidth="1"/>
    <col min="4" max="6" width="14" style="210" customWidth="1"/>
    <col min="7" max="10" width="9.140625" style="210"/>
    <col min="11" max="12" width="9.7109375" style="210" customWidth="1"/>
    <col min="13" max="13" width="9.140625" style="210" customWidth="1"/>
    <col min="14" max="16384" width="9.140625" style="210"/>
  </cols>
  <sheetData>
    <row r="1" spans="2:17" ht="7.5" customHeight="1" thickBot="1"/>
    <row r="2" spans="2:17" ht="27" customHeight="1">
      <c r="B2" s="1667" t="s">
        <v>212</v>
      </c>
      <c r="C2" s="1668"/>
      <c r="D2" s="1668"/>
      <c r="E2" s="1668"/>
      <c r="F2" s="1669"/>
      <c r="H2" s="1676" t="s">
        <v>590</v>
      </c>
      <c r="I2" s="1676"/>
      <c r="J2" s="1676"/>
      <c r="K2" s="1676"/>
      <c r="L2" s="1676"/>
      <c r="M2" s="1676"/>
      <c r="N2" s="1676"/>
      <c r="O2" s="1676"/>
      <c r="P2" s="1676"/>
      <c r="Q2" s="1676"/>
    </row>
    <row r="3" spans="2:17" ht="19.5" customHeight="1">
      <c r="B3" s="1670"/>
      <c r="C3" s="1671"/>
      <c r="D3" s="1671"/>
      <c r="E3" s="1671"/>
      <c r="F3" s="1672"/>
    </row>
    <row r="4" spans="2:17" ht="22.5" customHeight="1" thickBot="1">
      <c r="B4" s="1673"/>
      <c r="C4" s="1674"/>
      <c r="D4" s="1674"/>
      <c r="E4" s="1674"/>
      <c r="F4" s="1675"/>
    </row>
    <row r="5" spans="2:17" ht="7.5" customHeight="1"/>
    <row r="6" spans="2:17">
      <c r="D6" s="1677" t="s">
        <v>224</v>
      </c>
      <c r="E6" s="1677"/>
      <c r="F6" s="1677"/>
    </row>
    <row r="7" spans="2:17" ht="6" customHeight="1"/>
    <row r="8" spans="2:17">
      <c r="D8" s="211" t="s">
        <v>211</v>
      </c>
      <c r="E8" s="1678" t="str">
        <f>ExposureCalculations!O4</f>
        <v>Moderate</v>
      </c>
      <c r="F8" s="1679"/>
    </row>
    <row r="9" spans="2:17">
      <c r="D9" s="211" t="s">
        <v>211</v>
      </c>
      <c r="E9" s="1678" t="str">
        <f>ExposureCalculations!O8</f>
        <v>Moderate Advances</v>
      </c>
      <c r="F9" s="1679"/>
    </row>
    <row r="11" spans="2:17">
      <c r="D11" s="1664" t="s">
        <v>210</v>
      </c>
      <c r="E11" s="1665"/>
      <c r="F11" s="1666"/>
    </row>
    <row r="12" spans="2:17">
      <c r="D12" s="212" t="str">
        <f>ExposureCalculations!$M$6</f>
        <v>Weak</v>
      </c>
      <c r="E12" s="213" t="str">
        <f>ExposureCalculations!$N$6</f>
        <v>Moderate</v>
      </c>
      <c r="F12" s="214" t="str">
        <f>ExposureCalculations!$O$6</f>
        <v>Stringent</v>
      </c>
    </row>
    <row r="13" spans="2:17" ht="66.75" customHeight="1">
      <c r="B13" s="1654" t="s">
        <v>209</v>
      </c>
      <c r="C13" s="215" t="str">
        <f t="array" ref="C13:C15">TRANSPOSE(ExposureCalculations!$M$10:$O$10)</f>
        <v>Breakthrough Advances</v>
      </c>
      <c r="D13" s="216" t="str">
        <f>VLOOKUP(D$12&amp;$C13,ExposureCalculations!$M$13:$N$21,2,FALSE)</f>
        <v>Low Trend (P10)</v>
      </c>
      <c r="E13" s="216" t="str">
        <f>VLOOKUP(E$12&amp;$C13,ExposureCalculations!$M$13:$N$21,2,FALSE)</f>
        <v>P30</v>
      </c>
      <c r="F13" s="216" t="str">
        <f>VLOOKUP(F$12&amp;$C13,ExposureCalculations!$M$13:$N$21,2,FALSE)</f>
        <v>Mid Trend (unweighted or P50)</v>
      </c>
      <c r="J13" s="217" t="s">
        <v>202</v>
      </c>
      <c r="K13" s="217" t="s">
        <v>205</v>
      </c>
    </row>
    <row r="14" spans="2:17" ht="66.75" customHeight="1">
      <c r="B14" s="1655"/>
      <c r="C14" s="218" t="str">
        <v>Moderate Advances</v>
      </c>
      <c r="D14" s="216" t="str">
        <f>VLOOKUP(D$12&amp;$C14,ExposureCalculations!$M$13:$N$21,2,FALSE)</f>
        <v>P30</v>
      </c>
      <c r="E14" s="216" t="str">
        <f>VLOOKUP(E$12&amp;$C14,ExposureCalculations!$M$13:$N$21,2,FALSE)</f>
        <v>Mid Trend (weighted or EV)</v>
      </c>
      <c r="F14" s="216" t="str">
        <f>VLOOKUP(F$12&amp;$C14,ExposureCalculations!$M$13:$N$21,2,FALSE)</f>
        <v>P70</v>
      </c>
      <c r="J14" s="217" t="s">
        <v>203</v>
      </c>
      <c r="K14" s="210" t="s">
        <v>171</v>
      </c>
    </row>
    <row r="15" spans="2:17" ht="66.75" customHeight="1">
      <c r="B15" s="1656"/>
      <c r="C15" s="219" t="str">
        <v>Minimal Advances</v>
      </c>
      <c r="D15" s="216" t="str">
        <f>VLOOKUP(D$12&amp;$C15,ExposureCalculations!$M$13:$N$21,2,FALSE)</f>
        <v>Mid Trend (unweighted or P50)</v>
      </c>
      <c r="E15" s="216" t="str">
        <f>VLOOKUP(E$12&amp;$C15,ExposureCalculations!$M$13:$N$21,2,FALSE)</f>
        <v>P70</v>
      </c>
      <c r="F15" s="216" t="str">
        <f>VLOOKUP(F$12&amp;$C15,ExposureCalculations!$M$13:$N$21,2,FALSE)</f>
        <v>High Trend (P90)</v>
      </c>
      <c r="J15" s="217" t="s">
        <v>204</v>
      </c>
      <c r="K15" s="210" t="s">
        <v>169</v>
      </c>
    </row>
    <row r="16" spans="2:17" ht="16.5" customHeight="1" thickBot="1"/>
    <row r="17" spans="2:17">
      <c r="E17" s="1657" t="s">
        <v>208</v>
      </c>
      <c r="F17" s="1658"/>
      <c r="G17" s="1658"/>
      <c r="H17" s="1658"/>
      <c r="I17" s="1658"/>
      <c r="J17" s="1658"/>
      <c r="K17" s="1658"/>
      <c r="L17" s="1658"/>
      <c r="M17" s="1659"/>
      <c r="N17" s="220"/>
      <c r="O17" s="220"/>
    </row>
    <row r="18" spans="2:17">
      <c r="E18" s="1660" t="str">
        <f>ExposureCalculations!N39</f>
        <v>Scope 1: Stationary Combustion</v>
      </c>
      <c r="F18" s="1661"/>
      <c r="G18" s="1661"/>
      <c r="H18" s="206">
        <f ca="1">ExposureCalculations!O39</f>
        <v>2.1618367601403579E-2</v>
      </c>
      <c r="I18" s="1661" t="str">
        <f>ExposureCalculations!N43</f>
        <v>Scope 1: Refrigerants</v>
      </c>
      <c r="J18" s="1661"/>
      <c r="K18" s="1661"/>
      <c r="L18" s="1661"/>
      <c r="M18" s="205">
        <f ca="1">ExposureCalculations!O43</f>
        <v>5.5385210719035474E-2</v>
      </c>
    </row>
    <row r="19" spans="2:17">
      <c r="E19" s="1662" t="str">
        <f>ExposureCalculations!N40</f>
        <v>Scope 1: Mobile Combustion</v>
      </c>
      <c r="F19" s="1663"/>
      <c r="G19" s="1663"/>
      <c r="H19" s="206">
        <f ca="1">ExposureCalculations!O40</f>
        <v>2.0085438754511562E-3</v>
      </c>
      <c r="I19" s="1663" t="str">
        <f>ExposureCalculations!N42</f>
        <v>Scope 3: Air Travel</v>
      </c>
      <c r="J19" s="1663"/>
      <c r="K19" s="1663"/>
      <c r="L19" s="1663"/>
      <c r="M19" s="204">
        <f ca="1">ExposureCalculations!O42</f>
        <v>9.8999984385686302E-2</v>
      </c>
    </row>
    <row r="20" spans="2:17" ht="15.75" thickBot="1">
      <c r="E20" s="1651" t="str">
        <f>ExposureCalculations!N41</f>
        <v>Scope 2: Purchased Utilities</v>
      </c>
      <c r="F20" s="1652"/>
      <c r="G20" s="1652"/>
      <c r="H20" s="203">
        <f ca="1">ExposureCalculations!O41</f>
        <v>0.82198789341842349</v>
      </c>
      <c r="I20" s="1652"/>
      <c r="J20" s="1652"/>
      <c r="K20" s="1652"/>
      <c r="L20" s="1652"/>
      <c r="M20" s="202"/>
    </row>
    <row r="21" spans="2:17">
      <c r="B21" s="221" t="s">
        <v>22</v>
      </c>
    </row>
    <row r="22" spans="2:17" ht="32.25" customHeight="1">
      <c r="B22" s="1653"/>
      <c r="C22" s="1653"/>
      <c r="D22" s="1653"/>
      <c r="E22" s="1653"/>
      <c r="F22" s="1653"/>
      <c r="G22" s="1653"/>
      <c r="H22" s="1653"/>
      <c r="I22" s="1653"/>
      <c r="J22" s="1653"/>
      <c r="K22" s="1653"/>
      <c r="L22" s="1653"/>
      <c r="M22" s="1653"/>
      <c r="N22" s="1653"/>
      <c r="O22" s="1653"/>
      <c r="P22" s="1653"/>
      <c r="Q22" s="1653"/>
    </row>
    <row r="23" spans="2:17" ht="31.5" customHeight="1">
      <c r="B23" s="1653"/>
      <c r="C23" s="1653"/>
      <c r="D23" s="1653"/>
      <c r="E23" s="1653"/>
      <c r="F23" s="1653"/>
      <c r="G23" s="1653"/>
      <c r="H23" s="1653"/>
      <c r="I23" s="1653"/>
      <c r="J23" s="1653"/>
      <c r="K23" s="1653"/>
      <c r="L23" s="1653"/>
      <c r="M23" s="1653"/>
      <c r="N23" s="1653"/>
      <c r="O23" s="1653"/>
      <c r="P23" s="1653"/>
    </row>
    <row r="24" spans="2:17">
      <c r="B24" s="1653"/>
      <c r="C24" s="1653"/>
      <c r="D24" s="1653"/>
      <c r="E24" s="1653"/>
      <c r="F24" s="1653"/>
      <c r="G24" s="1653"/>
      <c r="H24" s="1653"/>
      <c r="I24" s="1653"/>
      <c r="J24" s="1653"/>
      <c r="K24" s="1653"/>
      <c r="L24" s="1653"/>
      <c r="M24" s="1653"/>
      <c r="N24" s="1653"/>
      <c r="O24" s="1653"/>
      <c r="P24" s="1653"/>
    </row>
  </sheetData>
  <mergeCells count="17">
    <mergeCell ref="D11:F11"/>
    <mergeCell ref="B2:F4"/>
    <mergeCell ref="H2:Q2"/>
    <mergeCell ref="D6:F6"/>
    <mergeCell ref="E8:F8"/>
    <mergeCell ref="E9:F9"/>
    <mergeCell ref="B13:B15"/>
    <mergeCell ref="E17:M17"/>
    <mergeCell ref="E18:G18"/>
    <mergeCell ref="I18:L18"/>
    <mergeCell ref="E19:G19"/>
    <mergeCell ref="I19:L19"/>
    <mergeCell ref="E20:G20"/>
    <mergeCell ref="I20:L20"/>
    <mergeCell ref="B22:Q22"/>
    <mergeCell ref="B23:P23"/>
    <mergeCell ref="B24:P24"/>
  </mergeCells>
  <conditionalFormatting sqref="D13:F15">
    <cfRule type="cellIs" dxfId="2" priority="2" operator="equal">
      <formula>$K$15</formula>
    </cfRule>
    <cfRule type="cellIs" dxfId="1" priority="3" operator="equal">
      <formula>$K$14</formula>
    </cfRule>
    <cfRule type="expression" dxfId="0" priority="4">
      <formula>AND($E$8=D$12,$C13=$E$9,$D$6="Choose")</formula>
    </cfRule>
  </conditionalFormatting>
  <conditionalFormatting sqref="M18:M20 H18:H20">
    <cfRule type="dataBar" priority="1">
      <dataBar>
        <cfvo type="min" val="0"/>
        <cfvo type="max" val="0"/>
        <color rgb="FFFF555A"/>
      </dataBar>
    </cfRule>
  </conditionalFormatting>
  <hyperlinks>
    <hyperlink ref="D11:F11" location="Policy!A1" display="Legislative Scenario"/>
    <hyperlink ref="D6:F6" location="GHGPrice!A1" display="Choose"/>
    <hyperlink ref="E17:M17" location="GHG_CHT!A1" display="Sources of Compliance Costs"/>
  </hyperlinks>
  <pageMargins left="0.7" right="0.7" top="0.75" bottom="0.75" header="0.3" footer="0.3"/>
  <pageSetup scale="73" orientation="landscape" r:id="rId1"/>
  <drawing r:id="rId2"/>
  <legacyDrawing r:id="rId3"/>
</worksheet>
</file>

<file path=xl/worksheets/sheet28.xml><?xml version="1.0" encoding="utf-8"?>
<worksheet xmlns="http://schemas.openxmlformats.org/spreadsheetml/2006/main" xmlns:r="http://schemas.openxmlformats.org/officeDocument/2006/relationships">
  <sheetPr codeName="Sheet56">
    <tabColor rgb="FFA9DA74"/>
  </sheetPr>
  <dimension ref="A1:AY84"/>
  <sheetViews>
    <sheetView workbookViewId="0">
      <pane xSplit="1" topLeftCell="N1" activePane="topRight" state="frozen"/>
      <selection activeCell="B1" sqref="B1"/>
      <selection pane="topRight" activeCell="O3" sqref="O3:O7"/>
    </sheetView>
  </sheetViews>
  <sheetFormatPr defaultRowHeight="15"/>
  <cols>
    <col min="11" max="11" width="12" customWidth="1"/>
    <col min="12" max="12" width="12.85546875" customWidth="1"/>
    <col min="13" max="13" width="12.42578125" customWidth="1"/>
    <col min="15" max="15" width="9.140625" style="37"/>
    <col min="35" max="36" width="13" customWidth="1"/>
    <col min="40" max="40" width="12.42578125" customWidth="1"/>
    <col min="44" max="44" width="10.85546875" customWidth="1"/>
    <col min="45" max="45" width="10.140625" customWidth="1"/>
    <col min="46" max="46" width="1.7109375" customWidth="1"/>
    <col min="51" max="51" width="10.5703125" customWidth="1"/>
  </cols>
  <sheetData>
    <row r="1" spans="1:50" ht="60">
      <c r="C1" s="257" t="s">
        <v>226</v>
      </c>
      <c r="D1" s="258" t="s">
        <v>279</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2010</v>
      </c>
      <c r="E2" s="266"/>
      <c r="J2" s="267" t="s">
        <v>231</v>
      </c>
      <c r="K2" s="268">
        <f ca="1">NPV(DiscountRate,AA19:AA59)</f>
        <v>0</v>
      </c>
      <c r="L2" s="269">
        <f ca="1">-SUM(OFFSET(W19,0,0,M2-2010+1,4))</f>
        <v>0</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0</v>
      </c>
      <c r="L3" s="277" t="s">
        <v>235</v>
      </c>
      <c r="M3" s="278">
        <f ca="1">-SUM(OFFSET(W19,M2-2010,0,1,4))</f>
        <v>0</v>
      </c>
      <c r="N3" s="272"/>
      <c r="O3" s="1496">
        <f ca="1">AVERAGE(OFFSET(AJ19,0,0,$M$2-2010+1,1))</f>
        <v>0</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0</v>
      </c>
      <c r="M4" s="281">
        <f ca="1">-SUM(OFFSET(W19,M2-2010,0,1,4))/SUM(OFFSET(ExposureCalculations!G16,M2-2010,0,1,3))</f>
        <v>0</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939</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0</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t="str">
        <f ca="1">IFERROR((K8-K5)/-K5,"No Capital")</f>
        <v>No Capital</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t="str">
        <f ca="1">IFERROR(COUNTIF(AS19:AS59,"&lt;=0")+1-INDEX(AS19:AS59,COUNTIF(AS19:AS59,"&lt;=0")+1)/INDEX(AR19:AR59,COUNTIF(AS19:AS59,"&lt;=0")+1)-(D2-2010),"Check Calc")</f>
        <v>Check Calc</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0</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t="str">
        <f ca="1">IFERROR(IF(L2&lt;0,99999.4,K12/SUM(NPV(DiscountRate,W19:W59),NPV(DiscountRate,X19:X59),NPV(DiscountRate,Y19:Y59),NPV(DiscountRate,Z19:Z59))),"")</f>
        <v/>
      </c>
      <c r="L13" s="376" t="str">
        <f ca="1">IF(K13&gt;99998,"(Values $99,999 and above indicate net carbon increase)","")</f>
        <v>(Values $99,999 and above indicate net carbon increase)</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t="str">
        <f ca="1">IFERROR(IF(L2&lt;0,"",-K2/SUM(NPV(DiscountRate,W19:W59),NPV(DiscountRate,X19:X59),NPV(DiscountRate,Y19:Y59),NPV(DiscountRate,Z19:Z59))),"")</f>
        <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1">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1494">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878"/>
      <c r="AV19" s="879"/>
      <c r="AW19" s="879"/>
      <c r="AX19" s="35"/>
      <c r="AY19" s="880"/>
    </row>
    <row r="20" spans="1:51">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v>0</v>
      </c>
      <c r="N20" s="307">
        <f t="shared" ref="N20:N59" ca="1" si="12">K20+L20</f>
        <v>130129.26073503707</v>
      </c>
      <c r="O20" s="1494">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878"/>
      <c r="AV20" s="35"/>
      <c r="AW20" s="879"/>
      <c r="AX20" s="35"/>
      <c r="AY20" s="880"/>
    </row>
    <row r="21" spans="1:51">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2">-H21*I21</f>
        <v>0</v>
      </c>
      <c r="K21" s="307">
        <f t="shared" ca="1" si="10"/>
        <v>133825.36797702796</v>
      </c>
      <c r="L21" s="307">
        <f t="shared" si="11"/>
        <v>0</v>
      </c>
      <c r="M21" s="307">
        <v>0</v>
      </c>
      <c r="N21" s="307">
        <f t="shared" ca="1" si="12"/>
        <v>133825.36797702796</v>
      </c>
      <c r="O21" s="1494">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0</v>
      </c>
      <c r="Y21" s="306">
        <v>0</v>
      </c>
      <c r="Z21" s="306">
        <v>0</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v>0</v>
      </c>
      <c r="AM21" s="309">
        <f t="shared" si="19"/>
        <v>0</v>
      </c>
      <c r="AN21" s="310">
        <v>0</v>
      </c>
      <c r="AO21" s="310">
        <v>0</v>
      </c>
      <c r="AP21" s="310">
        <f t="shared" si="20"/>
        <v>0</v>
      </c>
      <c r="AQ21" s="309">
        <v>0</v>
      </c>
      <c r="AR21" s="311">
        <f t="shared" ca="1" si="7"/>
        <v>0</v>
      </c>
      <c r="AS21" s="870">
        <f t="shared" ca="1" si="21"/>
        <v>0</v>
      </c>
      <c r="AT21" s="822"/>
      <c r="AU21" s="878"/>
      <c r="AV21" s="35"/>
      <c r="AW21" s="879"/>
      <c r="AX21" s="35"/>
      <c r="AY21" s="880"/>
    </row>
    <row r="22" spans="1:51">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2"/>
        <v>0</v>
      </c>
      <c r="K22" s="307">
        <f t="shared" ca="1" si="10"/>
        <v>135980.03402546333</v>
      </c>
      <c r="L22" s="307">
        <f t="shared" si="11"/>
        <v>0</v>
      </c>
      <c r="M22" s="307">
        <v>0</v>
      </c>
      <c r="N22" s="307">
        <f t="shared" ca="1" si="12"/>
        <v>135980.03402546333</v>
      </c>
      <c r="O22" s="1494">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0</v>
      </c>
      <c r="Y22" s="306">
        <v>0</v>
      </c>
      <c r="Z22" s="306">
        <v>0</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v>0</v>
      </c>
      <c r="AM22" s="309">
        <f t="shared" si="19"/>
        <v>0</v>
      </c>
      <c r="AN22" s="310">
        <v>0</v>
      </c>
      <c r="AO22" s="310">
        <v>0</v>
      </c>
      <c r="AP22" s="310">
        <f t="shared" si="20"/>
        <v>0</v>
      </c>
      <c r="AQ22" s="309">
        <v>0</v>
      </c>
      <c r="AR22" s="311">
        <f t="shared" ca="1" si="7"/>
        <v>0</v>
      </c>
      <c r="AS22" s="870">
        <f t="shared" ca="1" si="21"/>
        <v>0</v>
      </c>
      <c r="AT22" s="822"/>
      <c r="AU22" s="878"/>
      <c r="AV22" s="35"/>
      <c r="AW22" s="879"/>
      <c r="AX22" s="35"/>
      <c r="AY22" s="880"/>
    </row>
    <row r="23" spans="1:51">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2"/>
        <v>0</v>
      </c>
      <c r="K23" s="307">
        <f t="shared" ca="1" si="10"/>
        <v>137556.65962631535</v>
      </c>
      <c r="L23" s="307">
        <f t="shared" si="11"/>
        <v>0</v>
      </c>
      <c r="M23" s="307">
        <v>0</v>
      </c>
      <c r="N23" s="307">
        <f t="shared" ca="1" si="12"/>
        <v>137556.65962631535</v>
      </c>
      <c r="O23" s="1494">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0</v>
      </c>
      <c r="Y23" s="306">
        <v>0</v>
      </c>
      <c r="Z23" s="306">
        <v>0</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v>0</v>
      </c>
      <c r="AM23" s="309">
        <f t="shared" si="19"/>
        <v>0</v>
      </c>
      <c r="AN23" s="310">
        <v>0</v>
      </c>
      <c r="AO23" s="310">
        <v>0</v>
      </c>
      <c r="AP23" s="310">
        <f t="shared" si="20"/>
        <v>0</v>
      </c>
      <c r="AQ23" s="309">
        <v>0</v>
      </c>
      <c r="AR23" s="311">
        <f t="shared" ca="1" si="7"/>
        <v>0</v>
      </c>
      <c r="AS23" s="870">
        <f t="shared" ca="1" si="21"/>
        <v>0</v>
      </c>
      <c r="AT23" s="822"/>
      <c r="AU23" s="878"/>
      <c r="AV23" s="35"/>
      <c r="AW23" s="879"/>
      <c r="AX23" s="35"/>
      <c r="AY23" s="880"/>
    </row>
    <row r="24" spans="1:51">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2"/>
        <v>0</v>
      </c>
      <c r="K24" s="307">
        <f t="shared" ca="1" si="10"/>
        <v>140674.7264207229</v>
      </c>
      <c r="L24" s="307">
        <f t="shared" si="11"/>
        <v>0</v>
      </c>
      <c r="M24" s="307">
        <v>0</v>
      </c>
      <c r="N24" s="307">
        <f t="shared" ca="1" si="12"/>
        <v>140674.7264207229</v>
      </c>
      <c r="O24" s="1494">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0</v>
      </c>
      <c r="Y24" s="306">
        <v>0</v>
      </c>
      <c r="Z24" s="306">
        <v>0</v>
      </c>
      <c r="AA24" s="308">
        <f ca="1">-SUM(W24,X24/OFFSET(GridFootprintbyYear,$A24-$A$19,0)*EF_PurchElec_MTperMWh,Z24)*OFFSET(ExposureCalculations!Price_GHG_Allowance_2010,A24-$A$19,0)*ExposureCalculations!D21</f>
        <v>0</v>
      </c>
      <c r="AB24" s="308">
        <f t="shared" ca="1" si="3"/>
        <v>0</v>
      </c>
      <c r="AC24" s="308">
        <v>0</v>
      </c>
      <c r="AD24" s="819">
        <f t="shared" ca="1" si="4"/>
        <v>0</v>
      </c>
      <c r="AE24" s="308">
        <v>0</v>
      </c>
      <c r="AF24" s="819">
        <f t="shared" ca="1" si="5"/>
        <v>0</v>
      </c>
      <c r="AG24" s="308">
        <v>0</v>
      </c>
      <c r="AH24" s="308">
        <v>0</v>
      </c>
      <c r="AI24" s="308">
        <v>0</v>
      </c>
      <c r="AJ24" s="308">
        <f t="shared" ca="1" si="6"/>
        <v>0</v>
      </c>
      <c r="AK24" s="309">
        <v>0</v>
      </c>
      <c r="AL24" s="309">
        <v>0</v>
      </c>
      <c r="AM24" s="309">
        <f t="shared" si="19"/>
        <v>0</v>
      </c>
      <c r="AN24" s="310">
        <v>0</v>
      </c>
      <c r="AO24" s="310">
        <v>0</v>
      </c>
      <c r="AP24" s="310">
        <f t="shared" si="20"/>
        <v>0</v>
      </c>
      <c r="AQ24" s="309">
        <v>0</v>
      </c>
      <c r="AR24" s="311">
        <f t="shared" ca="1" si="7"/>
        <v>0</v>
      </c>
      <c r="AS24" s="870">
        <f t="shared" ca="1" si="21"/>
        <v>0</v>
      </c>
      <c r="AT24" s="822"/>
      <c r="AU24" s="878"/>
      <c r="AV24" s="35"/>
      <c r="AW24" s="879"/>
      <c r="AX24" s="35"/>
      <c r="AY24" s="880"/>
    </row>
    <row r="25" spans="1:51">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2"/>
        <v>0</v>
      </c>
      <c r="K25" s="307">
        <f t="shared" ca="1" si="10"/>
        <v>142251.35202157494</v>
      </c>
      <c r="L25" s="307">
        <f t="shared" si="11"/>
        <v>0</v>
      </c>
      <c r="M25" s="307">
        <v>0</v>
      </c>
      <c r="N25" s="307">
        <f t="shared" ca="1" si="12"/>
        <v>142251.35202157494</v>
      </c>
      <c r="O25" s="1494">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0</v>
      </c>
      <c r="Y25" s="306">
        <v>0</v>
      </c>
      <c r="Z25" s="306">
        <v>0</v>
      </c>
      <c r="AA25" s="308">
        <f ca="1">-SUM(W25,X25/OFFSET(GridFootprintbyYear,$A25-$A$19,0)*EF_PurchElec_MTperMWh,Z25)*OFFSET(ExposureCalculations!Price_GHG_Allowance_2010,A25-$A$19,0)*ExposureCalculations!D22</f>
        <v>0</v>
      </c>
      <c r="AB25" s="308">
        <f t="shared" ca="1" si="3"/>
        <v>0</v>
      </c>
      <c r="AC25" s="308">
        <v>0</v>
      </c>
      <c r="AD25" s="819">
        <f t="shared" ca="1" si="4"/>
        <v>0</v>
      </c>
      <c r="AE25" s="308">
        <v>0</v>
      </c>
      <c r="AF25" s="819">
        <f t="shared" ca="1" si="5"/>
        <v>0</v>
      </c>
      <c r="AG25" s="308">
        <v>0</v>
      </c>
      <c r="AH25" s="308">
        <v>0</v>
      </c>
      <c r="AI25" s="308">
        <v>0</v>
      </c>
      <c r="AJ25" s="308">
        <f t="shared" ca="1" si="6"/>
        <v>0</v>
      </c>
      <c r="AK25" s="309">
        <v>0</v>
      </c>
      <c r="AL25" s="309">
        <v>0</v>
      </c>
      <c r="AM25" s="309">
        <f t="shared" si="19"/>
        <v>0</v>
      </c>
      <c r="AN25" s="310">
        <v>0</v>
      </c>
      <c r="AO25" s="310">
        <v>0</v>
      </c>
      <c r="AP25" s="310">
        <f t="shared" si="20"/>
        <v>0</v>
      </c>
      <c r="AQ25" s="309">
        <v>0</v>
      </c>
      <c r="AR25" s="311">
        <f t="shared" ca="1" si="7"/>
        <v>0</v>
      </c>
      <c r="AS25" s="870">
        <f t="shared" ca="1" si="21"/>
        <v>0</v>
      </c>
      <c r="AT25" s="822"/>
      <c r="AU25" s="878"/>
      <c r="AV25" s="35"/>
      <c r="AW25" s="879"/>
      <c r="AX25" s="35"/>
      <c r="AY25" s="880"/>
    </row>
    <row r="26" spans="1:51">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2"/>
        <v>0</v>
      </c>
      <c r="K26" s="307">
        <f t="shared" ca="1" si="10"/>
        <v>143827.97762242699</v>
      </c>
      <c r="L26" s="307">
        <f t="shared" si="11"/>
        <v>0</v>
      </c>
      <c r="M26" s="307">
        <v>0</v>
      </c>
      <c r="N26" s="307">
        <f t="shared" ca="1" si="12"/>
        <v>143827.97762242699</v>
      </c>
      <c r="O26" s="1494">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0</v>
      </c>
      <c r="Y26" s="306">
        <v>0</v>
      </c>
      <c r="Z26" s="306">
        <v>0</v>
      </c>
      <c r="AA26" s="308">
        <f ca="1">-SUM(W26,X26/OFFSET(GridFootprintbyYear,$A26-$A$19,0)*EF_PurchElec_MTperMWh,Z26)*OFFSET(ExposureCalculations!Price_GHG_Allowance_2010,A26-$A$19,0)*ExposureCalculations!D23</f>
        <v>0</v>
      </c>
      <c r="AB26" s="308">
        <f t="shared" ca="1" si="3"/>
        <v>0</v>
      </c>
      <c r="AC26" s="308">
        <v>0</v>
      </c>
      <c r="AD26" s="819">
        <f t="shared" ca="1" si="4"/>
        <v>0</v>
      </c>
      <c r="AE26" s="308">
        <v>0</v>
      </c>
      <c r="AF26" s="819">
        <f t="shared" ca="1" si="5"/>
        <v>0</v>
      </c>
      <c r="AG26" s="308">
        <v>0</v>
      </c>
      <c r="AH26" s="308">
        <v>0</v>
      </c>
      <c r="AI26" s="308">
        <v>0</v>
      </c>
      <c r="AJ26" s="308">
        <f t="shared" ca="1" si="6"/>
        <v>0</v>
      </c>
      <c r="AK26" s="309">
        <v>0</v>
      </c>
      <c r="AL26" s="309">
        <v>0</v>
      </c>
      <c r="AM26" s="309">
        <f t="shared" si="19"/>
        <v>0</v>
      </c>
      <c r="AN26" s="310">
        <v>0</v>
      </c>
      <c r="AO26" s="310">
        <v>0</v>
      </c>
      <c r="AP26" s="310">
        <f t="shared" si="20"/>
        <v>0</v>
      </c>
      <c r="AQ26" s="309">
        <v>0</v>
      </c>
      <c r="AR26" s="311">
        <f t="shared" ca="1" si="7"/>
        <v>0</v>
      </c>
      <c r="AS26" s="870">
        <f t="shared" ca="1" si="21"/>
        <v>0</v>
      </c>
      <c r="AT26" s="822"/>
      <c r="AU26" s="878"/>
      <c r="AV26" s="35"/>
      <c r="AW26" s="879"/>
      <c r="AX26" s="35"/>
      <c r="AY26" s="880"/>
    </row>
    <row r="27" spans="1:51">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2"/>
        <v>0</v>
      </c>
      <c r="K27" s="307">
        <f t="shared" ca="1" si="10"/>
        <v>145404.603223279</v>
      </c>
      <c r="L27" s="307">
        <f t="shared" si="11"/>
        <v>0</v>
      </c>
      <c r="M27" s="307">
        <v>0</v>
      </c>
      <c r="N27" s="307">
        <f t="shared" ca="1" si="12"/>
        <v>145404.603223279</v>
      </c>
      <c r="O27" s="1494">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0</v>
      </c>
      <c r="Y27" s="306">
        <v>0</v>
      </c>
      <c r="Z27" s="306">
        <v>0</v>
      </c>
      <c r="AA27" s="308">
        <f ca="1">-SUM(W27,X27/OFFSET(GridFootprintbyYear,$A27-$A$19,0)*EF_PurchElec_MTperMWh,Z27)*OFFSET(ExposureCalculations!Price_GHG_Allowance_2010,A27-$A$19,0)*ExposureCalculations!D24</f>
        <v>0</v>
      </c>
      <c r="AB27" s="308">
        <f t="shared" ca="1" si="3"/>
        <v>0</v>
      </c>
      <c r="AC27" s="308">
        <v>0</v>
      </c>
      <c r="AD27" s="819">
        <f t="shared" ca="1" si="4"/>
        <v>0</v>
      </c>
      <c r="AE27" s="308">
        <v>0</v>
      </c>
      <c r="AF27" s="819">
        <f t="shared" ca="1" si="5"/>
        <v>0</v>
      </c>
      <c r="AG27" s="308">
        <v>0</v>
      </c>
      <c r="AH27" s="308">
        <v>0</v>
      </c>
      <c r="AI27" s="308">
        <v>0</v>
      </c>
      <c r="AJ27" s="308">
        <f t="shared" ca="1" si="6"/>
        <v>0</v>
      </c>
      <c r="AK27" s="309">
        <v>0</v>
      </c>
      <c r="AL27" s="309">
        <v>0</v>
      </c>
      <c r="AM27" s="309">
        <f t="shared" si="19"/>
        <v>0</v>
      </c>
      <c r="AN27" s="310">
        <v>0</v>
      </c>
      <c r="AO27" s="310">
        <v>0</v>
      </c>
      <c r="AP27" s="310">
        <f t="shared" si="20"/>
        <v>0</v>
      </c>
      <c r="AQ27" s="309">
        <v>0</v>
      </c>
      <c r="AR27" s="311">
        <f t="shared" ca="1" si="7"/>
        <v>0</v>
      </c>
      <c r="AS27" s="870">
        <f t="shared" ca="1" si="21"/>
        <v>0</v>
      </c>
      <c r="AT27" s="822"/>
      <c r="AU27" s="878"/>
      <c r="AV27" s="35"/>
      <c r="AW27" s="879"/>
      <c r="AX27" s="35"/>
      <c r="AY27" s="880"/>
    </row>
    <row r="28" spans="1:51">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2"/>
        <v>0</v>
      </c>
      <c r="K28" s="307">
        <f t="shared" ca="1" si="10"/>
        <v>146981.22882413102</v>
      </c>
      <c r="L28" s="307">
        <f t="shared" si="11"/>
        <v>0</v>
      </c>
      <c r="M28" s="307">
        <v>0</v>
      </c>
      <c r="N28" s="307">
        <f t="shared" ca="1" si="12"/>
        <v>146981.22882413102</v>
      </c>
      <c r="O28" s="1494">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0</v>
      </c>
      <c r="Y28" s="306">
        <v>0</v>
      </c>
      <c r="Z28" s="306">
        <v>0</v>
      </c>
      <c r="AA28" s="308">
        <f ca="1">-SUM(W28,X28/OFFSET(GridFootprintbyYear,$A28-$A$19,0)*EF_PurchElec_MTperMWh,Z28)*OFFSET(ExposureCalculations!Price_GHG_Allowance_2010,A28-$A$19,0)*ExposureCalculations!D25</f>
        <v>0</v>
      </c>
      <c r="AB28" s="308">
        <f t="shared" ca="1" si="3"/>
        <v>0</v>
      </c>
      <c r="AC28" s="308">
        <v>0</v>
      </c>
      <c r="AD28" s="819">
        <f t="shared" ca="1" si="4"/>
        <v>0</v>
      </c>
      <c r="AE28" s="308">
        <v>0</v>
      </c>
      <c r="AF28" s="819">
        <f t="shared" ca="1" si="5"/>
        <v>0</v>
      </c>
      <c r="AG28" s="308">
        <v>0</v>
      </c>
      <c r="AH28" s="308">
        <v>0</v>
      </c>
      <c r="AI28" s="308">
        <v>0</v>
      </c>
      <c r="AJ28" s="308">
        <f t="shared" ca="1" si="6"/>
        <v>0</v>
      </c>
      <c r="AK28" s="309">
        <v>0</v>
      </c>
      <c r="AL28" s="309">
        <v>0</v>
      </c>
      <c r="AM28" s="309">
        <f t="shared" si="19"/>
        <v>0</v>
      </c>
      <c r="AN28" s="310">
        <v>0</v>
      </c>
      <c r="AO28" s="310">
        <v>0</v>
      </c>
      <c r="AP28" s="310">
        <f t="shared" si="20"/>
        <v>0</v>
      </c>
      <c r="AQ28" s="309">
        <v>0</v>
      </c>
      <c r="AR28" s="311">
        <f t="shared" ca="1" si="7"/>
        <v>0</v>
      </c>
      <c r="AS28" s="870">
        <f t="shared" ca="1" si="21"/>
        <v>0</v>
      </c>
      <c r="AT28" s="822"/>
      <c r="AU28" s="878"/>
      <c r="AV28" s="35"/>
      <c r="AW28" s="879"/>
      <c r="AX28" s="35"/>
      <c r="AY28" s="880"/>
    </row>
    <row r="29" spans="1:51">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2"/>
        <v>0</v>
      </c>
      <c r="K29" s="307">
        <f t="shared" ca="1" si="10"/>
        <v>148557.85442498306</v>
      </c>
      <c r="L29" s="307">
        <f t="shared" si="11"/>
        <v>0</v>
      </c>
      <c r="M29" s="307">
        <v>0</v>
      </c>
      <c r="N29" s="307">
        <f t="shared" ca="1" si="12"/>
        <v>148557.85442498306</v>
      </c>
      <c r="O29" s="1494">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0</v>
      </c>
      <c r="Y29" s="306">
        <v>0</v>
      </c>
      <c r="Z29" s="306">
        <v>0</v>
      </c>
      <c r="AA29" s="308">
        <f ca="1">-SUM(W29,X29/OFFSET(GridFootprintbyYear,$A29-$A$19,0)*EF_PurchElec_MTperMWh,Z29)*OFFSET(ExposureCalculations!Price_GHG_Allowance_2010,A29-$A$19,0)*ExposureCalculations!D26</f>
        <v>0</v>
      </c>
      <c r="AB29" s="308">
        <f t="shared" ca="1" si="3"/>
        <v>0</v>
      </c>
      <c r="AC29" s="308">
        <v>0</v>
      </c>
      <c r="AD29" s="819">
        <f t="shared" ca="1" si="4"/>
        <v>0</v>
      </c>
      <c r="AE29" s="308">
        <v>0</v>
      </c>
      <c r="AF29" s="819">
        <f t="shared" ca="1" si="5"/>
        <v>0</v>
      </c>
      <c r="AG29" s="308">
        <v>0</v>
      </c>
      <c r="AH29" s="308">
        <v>0</v>
      </c>
      <c r="AI29" s="308">
        <v>0</v>
      </c>
      <c r="AJ29" s="308">
        <f t="shared" ca="1" si="6"/>
        <v>0</v>
      </c>
      <c r="AK29" s="309">
        <v>0</v>
      </c>
      <c r="AL29" s="309">
        <v>0</v>
      </c>
      <c r="AM29" s="309">
        <f t="shared" si="19"/>
        <v>0</v>
      </c>
      <c r="AN29" s="310">
        <v>0</v>
      </c>
      <c r="AO29" s="310">
        <v>0</v>
      </c>
      <c r="AP29" s="310">
        <f t="shared" si="20"/>
        <v>0</v>
      </c>
      <c r="AQ29" s="309">
        <v>0</v>
      </c>
      <c r="AR29" s="311">
        <f t="shared" ca="1" si="7"/>
        <v>0</v>
      </c>
      <c r="AS29" s="870">
        <f t="shared" ca="1" si="21"/>
        <v>0</v>
      </c>
      <c r="AT29" s="822"/>
      <c r="AU29" s="878"/>
      <c r="AV29" s="35"/>
      <c r="AW29" s="879"/>
      <c r="AX29" s="35"/>
      <c r="AY29" s="880"/>
    </row>
    <row r="30" spans="1:51">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2"/>
        <v>0</v>
      </c>
      <c r="K30" s="307">
        <f t="shared" ca="1" si="10"/>
        <v>150134.48002583507</v>
      </c>
      <c r="L30" s="307">
        <f t="shared" si="11"/>
        <v>0</v>
      </c>
      <c r="M30" s="307">
        <v>0</v>
      </c>
      <c r="N30" s="307">
        <f t="shared" ca="1" si="12"/>
        <v>150134.48002583507</v>
      </c>
      <c r="O30" s="1494">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0</v>
      </c>
      <c r="Y30" s="306">
        <v>0</v>
      </c>
      <c r="Z30" s="306">
        <v>0</v>
      </c>
      <c r="AA30" s="308">
        <f ca="1">-SUM(W30,X30/OFFSET(GridFootprintbyYear,$A30-$A$19,0)*EF_PurchElec_MTperMWh,Z30)*OFFSET(ExposureCalculations!Price_GHG_Allowance_2010,A30-$A$19,0)*ExposureCalculations!D27</f>
        <v>0</v>
      </c>
      <c r="AB30" s="308">
        <f t="shared" ca="1" si="3"/>
        <v>0</v>
      </c>
      <c r="AC30" s="308">
        <v>0</v>
      </c>
      <c r="AD30" s="819">
        <f t="shared" ca="1" si="4"/>
        <v>0</v>
      </c>
      <c r="AE30" s="308">
        <v>0</v>
      </c>
      <c r="AF30" s="819">
        <f t="shared" ca="1" si="5"/>
        <v>0</v>
      </c>
      <c r="AG30" s="308">
        <v>0</v>
      </c>
      <c r="AH30" s="308">
        <v>0</v>
      </c>
      <c r="AI30" s="308">
        <v>0</v>
      </c>
      <c r="AJ30" s="308">
        <f t="shared" ca="1" si="6"/>
        <v>0</v>
      </c>
      <c r="AK30" s="309">
        <v>0</v>
      </c>
      <c r="AL30" s="309">
        <v>0</v>
      </c>
      <c r="AM30" s="309">
        <f t="shared" si="19"/>
        <v>0</v>
      </c>
      <c r="AN30" s="310">
        <v>0</v>
      </c>
      <c r="AO30" s="310">
        <v>0</v>
      </c>
      <c r="AP30" s="310">
        <f t="shared" si="20"/>
        <v>0</v>
      </c>
      <c r="AQ30" s="309">
        <v>0</v>
      </c>
      <c r="AR30" s="311">
        <f t="shared" ca="1" si="7"/>
        <v>0</v>
      </c>
      <c r="AS30" s="870">
        <f t="shared" ca="1" si="21"/>
        <v>0</v>
      </c>
      <c r="AT30" s="822"/>
      <c r="AU30" s="878"/>
      <c r="AV30" s="35"/>
      <c r="AW30" s="879"/>
      <c r="AX30" s="35"/>
      <c r="AY30" s="880"/>
    </row>
    <row r="31" spans="1:51">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2"/>
        <v>0</v>
      </c>
      <c r="K31" s="307">
        <f t="shared" ca="1" si="10"/>
        <v>151711.10562668712</v>
      </c>
      <c r="L31" s="307">
        <f t="shared" si="11"/>
        <v>0</v>
      </c>
      <c r="M31" s="307">
        <v>0</v>
      </c>
      <c r="N31" s="307">
        <f t="shared" ca="1" si="12"/>
        <v>151711.10562668712</v>
      </c>
      <c r="O31" s="1494">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0</v>
      </c>
      <c r="Y31" s="306">
        <v>0</v>
      </c>
      <c r="Z31" s="306">
        <v>0</v>
      </c>
      <c r="AA31" s="308">
        <f ca="1">-SUM(W31,X31/OFFSET(GridFootprintbyYear,$A31-$A$19,0)*EF_PurchElec_MTperMWh,Z31)*OFFSET(ExposureCalculations!Price_GHG_Allowance_2010,A31-$A$19,0)*ExposureCalculations!D28</f>
        <v>0</v>
      </c>
      <c r="AB31" s="308">
        <f t="shared" ca="1" si="3"/>
        <v>0</v>
      </c>
      <c r="AC31" s="308">
        <v>0</v>
      </c>
      <c r="AD31" s="819">
        <f t="shared" ca="1" si="4"/>
        <v>0</v>
      </c>
      <c r="AE31" s="308">
        <v>0</v>
      </c>
      <c r="AF31" s="819">
        <f t="shared" ca="1" si="5"/>
        <v>0</v>
      </c>
      <c r="AG31" s="308">
        <v>0</v>
      </c>
      <c r="AH31" s="308">
        <v>0</v>
      </c>
      <c r="AI31" s="308">
        <v>0</v>
      </c>
      <c r="AJ31" s="308">
        <f t="shared" ca="1" si="6"/>
        <v>0</v>
      </c>
      <c r="AK31" s="309">
        <v>0</v>
      </c>
      <c r="AL31" s="309">
        <v>0</v>
      </c>
      <c r="AM31" s="309">
        <f t="shared" si="19"/>
        <v>0</v>
      </c>
      <c r="AN31" s="310">
        <v>0</v>
      </c>
      <c r="AO31" s="310">
        <v>0</v>
      </c>
      <c r="AP31" s="310">
        <f t="shared" si="20"/>
        <v>0</v>
      </c>
      <c r="AQ31" s="309">
        <v>0</v>
      </c>
      <c r="AR31" s="311">
        <f t="shared" ca="1" si="7"/>
        <v>0</v>
      </c>
      <c r="AS31" s="870">
        <f t="shared" ca="1" si="21"/>
        <v>0</v>
      </c>
      <c r="AT31" s="822"/>
      <c r="AU31" s="878"/>
      <c r="AV31" s="35"/>
      <c r="AW31" s="879"/>
      <c r="AX31" s="35"/>
      <c r="AY31" s="880"/>
    </row>
    <row r="32" spans="1:51">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2"/>
        <v>0</v>
      </c>
      <c r="K32" s="307">
        <f t="shared" ca="1" si="10"/>
        <v>153287.73122753916</v>
      </c>
      <c r="L32" s="307">
        <f t="shared" si="11"/>
        <v>0</v>
      </c>
      <c r="M32" s="307">
        <v>0</v>
      </c>
      <c r="N32" s="307">
        <f t="shared" ca="1" si="12"/>
        <v>153287.73122753916</v>
      </c>
      <c r="O32" s="1494">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0</v>
      </c>
      <c r="Y32" s="306">
        <v>0</v>
      </c>
      <c r="Z32" s="306">
        <v>0</v>
      </c>
      <c r="AA32" s="308">
        <f ca="1">-SUM(W32,X32/OFFSET(GridFootprintbyYear,$A32-$A$19,0)*EF_PurchElec_MTperMWh,Z32)*OFFSET(ExposureCalculations!Price_GHG_Allowance_2010,A32-$A$19,0)*ExposureCalculations!D29</f>
        <v>0</v>
      </c>
      <c r="AB32" s="308">
        <f t="shared" ca="1" si="3"/>
        <v>0</v>
      </c>
      <c r="AC32" s="308">
        <v>0</v>
      </c>
      <c r="AD32" s="819">
        <f t="shared" ca="1" si="4"/>
        <v>0</v>
      </c>
      <c r="AE32" s="308">
        <v>0</v>
      </c>
      <c r="AF32" s="819">
        <f t="shared" ca="1" si="5"/>
        <v>0</v>
      </c>
      <c r="AG32" s="308">
        <v>0</v>
      </c>
      <c r="AH32" s="308">
        <v>0</v>
      </c>
      <c r="AI32" s="308">
        <v>0</v>
      </c>
      <c r="AJ32" s="308">
        <f t="shared" ca="1" si="6"/>
        <v>0</v>
      </c>
      <c r="AK32" s="309">
        <v>0</v>
      </c>
      <c r="AL32" s="309">
        <v>0</v>
      </c>
      <c r="AM32" s="309">
        <f t="shared" si="19"/>
        <v>0</v>
      </c>
      <c r="AN32" s="310">
        <v>0</v>
      </c>
      <c r="AO32" s="310">
        <v>0</v>
      </c>
      <c r="AP32" s="310">
        <f t="shared" si="20"/>
        <v>0</v>
      </c>
      <c r="AQ32" s="309">
        <v>0</v>
      </c>
      <c r="AR32" s="311">
        <f t="shared" ca="1" si="7"/>
        <v>0</v>
      </c>
      <c r="AS32" s="870">
        <f t="shared" ca="1" si="21"/>
        <v>0</v>
      </c>
      <c r="AT32" s="822"/>
      <c r="AU32" s="878"/>
      <c r="AV32" s="35"/>
      <c r="AW32" s="879"/>
      <c r="AX32" s="35"/>
      <c r="AY32" s="880"/>
    </row>
    <row r="33" spans="1:51">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2"/>
        <v>0</v>
      </c>
      <c r="K33" s="307">
        <f t="shared" ca="1" si="10"/>
        <v>154864.35682839117</v>
      </c>
      <c r="L33" s="307">
        <f t="shared" si="11"/>
        <v>0</v>
      </c>
      <c r="M33" s="307">
        <v>0</v>
      </c>
      <c r="N33" s="307">
        <f t="shared" ca="1" si="12"/>
        <v>154864.35682839117</v>
      </c>
      <c r="O33" s="1494">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0</v>
      </c>
      <c r="Y33" s="306">
        <v>0</v>
      </c>
      <c r="Z33" s="306">
        <v>0</v>
      </c>
      <c r="AA33" s="308">
        <f ca="1">-SUM(W33,X33/OFFSET(GridFootprintbyYear,$A33-$A$19,0)*EF_PurchElec_MTperMWh,Z33)*OFFSET(ExposureCalculations!Price_GHG_Allowance_2010,A33-$A$19,0)*ExposureCalculations!D30</f>
        <v>0</v>
      </c>
      <c r="AB33" s="308">
        <f t="shared" ca="1" si="3"/>
        <v>0</v>
      </c>
      <c r="AC33" s="308">
        <v>0</v>
      </c>
      <c r="AD33" s="819">
        <f t="shared" ca="1" si="4"/>
        <v>0</v>
      </c>
      <c r="AE33" s="308">
        <v>0</v>
      </c>
      <c r="AF33" s="819">
        <f t="shared" ca="1" si="5"/>
        <v>0</v>
      </c>
      <c r="AG33" s="308">
        <v>0</v>
      </c>
      <c r="AH33" s="308">
        <v>0</v>
      </c>
      <c r="AI33" s="308">
        <v>0</v>
      </c>
      <c r="AJ33" s="308">
        <f t="shared" ca="1" si="6"/>
        <v>0</v>
      </c>
      <c r="AK33" s="309">
        <v>0</v>
      </c>
      <c r="AL33" s="309">
        <v>0</v>
      </c>
      <c r="AM33" s="309">
        <f t="shared" si="19"/>
        <v>0</v>
      </c>
      <c r="AN33" s="310">
        <v>0</v>
      </c>
      <c r="AO33" s="310">
        <v>0</v>
      </c>
      <c r="AP33" s="310">
        <f t="shared" si="20"/>
        <v>0</v>
      </c>
      <c r="AQ33" s="309">
        <v>0</v>
      </c>
      <c r="AR33" s="311">
        <f t="shared" ca="1" si="7"/>
        <v>0</v>
      </c>
      <c r="AS33" s="870">
        <f t="shared" ca="1" si="21"/>
        <v>0</v>
      </c>
      <c r="AT33" s="822"/>
      <c r="AU33" s="878"/>
      <c r="AV33" s="35"/>
      <c r="AW33" s="879"/>
      <c r="AX33" s="35"/>
      <c r="AY33" s="880"/>
    </row>
    <row r="34" spans="1:51">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2"/>
        <v>0</v>
      </c>
      <c r="K34" s="307">
        <f t="shared" ca="1" si="10"/>
        <v>156440.98242924322</v>
      </c>
      <c r="L34" s="307">
        <f t="shared" si="11"/>
        <v>0</v>
      </c>
      <c r="M34" s="307">
        <v>0</v>
      </c>
      <c r="N34" s="307">
        <f t="shared" ca="1" si="12"/>
        <v>156440.98242924322</v>
      </c>
      <c r="O34" s="1494">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0</v>
      </c>
      <c r="Y34" s="306">
        <v>0</v>
      </c>
      <c r="Z34" s="306">
        <v>0</v>
      </c>
      <c r="AA34" s="308">
        <f ca="1">-SUM(W34,X34/OFFSET(GridFootprintbyYear,$A34-$A$19,0)*EF_PurchElec_MTperMWh,Z34)*OFFSET(ExposureCalculations!Price_GHG_Allowance_2010,A34-$A$19,0)*ExposureCalculations!D31</f>
        <v>0</v>
      </c>
      <c r="AB34" s="308">
        <f t="shared" ca="1" si="3"/>
        <v>0</v>
      </c>
      <c r="AC34" s="308">
        <v>0</v>
      </c>
      <c r="AD34" s="819">
        <f t="shared" ca="1" si="4"/>
        <v>0</v>
      </c>
      <c r="AE34" s="308">
        <v>0</v>
      </c>
      <c r="AF34" s="819">
        <f t="shared" ca="1" si="5"/>
        <v>0</v>
      </c>
      <c r="AG34" s="308">
        <v>0</v>
      </c>
      <c r="AH34" s="308">
        <v>0</v>
      </c>
      <c r="AI34" s="308">
        <v>0</v>
      </c>
      <c r="AJ34" s="308">
        <f t="shared" ca="1" si="6"/>
        <v>0</v>
      </c>
      <c r="AK34" s="309">
        <v>0</v>
      </c>
      <c r="AL34" s="309">
        <v>0</v>
      </c>
      <c r="AM34" s="309">
        <f t="shared" si="19"/>
        <v>0</v>
      </c>
      <c r="AN34" s="310">
        <v>0</v>
      </c>
      <c r="AO34" s="310">
        <v>0</v>
      </c>
      <c r="AP34" s="310">
        <f t="shared" si="20"/>
        <v>0</v>
      </c>
      <c r="AQ34" s="309">
        <v>0</v>
      </c>
      <c r="AR34" s="311">
        <f t="shared" ca="1" si="7"/>
        <v>0</v>
      </c>
      <c r="AS34" s="870">
        <f t="shared" ca="1" si="21"/>
        <v>0</v>
      </c>
      <c r="AT34" s="822"/>
      <c r="AU34" s="878"/>
      <c r="AV34" s="35"/>
      <c r="AW34" s="879"/>
      <c r="AX34" s="35"/>
      <c r="AY34" s="880"/>
    </row>
    <row r="35" spans="1:51">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2"/>
        <v>0</v>
      </c>
      <c r="K35" s="307">
        <f t="shared" ca="1" si="10"/>
        <v>158017.60803009526</v>
      </c>
      <c r="L35" s="307">
        <f t="shared" si="11"/>
        <v>0</v>
      </c>
      <c r="M35" s="307">
        <v>0</v>
      </c>
      <c r="N35" s="307">
        <f t="shared" ca="1" si="12"/>
        <v>158017.60803009526</v>
      </c>
      <c r="O35" s="1494">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0</v>
      </c>
      <c r="Y35" s="306">
        <v>0</v>
      </c>
      <c r="Z35" s="306">
        <v>0</v>
      </c>
      <c r="AA35" s="308">
        <f ca="1">-SUM(W35,X35/OFFSET(GridFootprintbyYear,$A35-$A$19,0)*EF_PurchElec_MTperMWh,Z35)*OFFSET(ExposureCalculations!Price_GHG_Allowance_2010,A35-$A$19,0)*ExposureCalculations!D32</f>
        <v>0</v>
      </c>
      <c r="AB35" s="308">
        <f t="shared" ca="1" si="3"/>
        <v>0</v>
      </c>
      <c r="AC35" s="308">
        <v>0</v>
      </c>
      <c r="AD35" s="819">
        <f t="shared" ca="1" si="4"/>
        <v>0</v>
      </c>
      <c r="AE35" s="308">
        <v>0</v>
      </c>
      <c r="AF35" s="819">
        <f t="shared" ca="1" si="5"/>
        <v>0</v>
      </c>
      <c r="AG35" s="308">
        <v>0</v>
      </c>
      <c r="AH35" s="308">
        <v>0</v>
      </c>
      <c r="AI35" s="308">
        <v>0</v>
      </c>
      <c r="AJ35" s="308">
        <f t="shared" ca="1" si="6"/>
        <v>0</v>
      </c>
      <c r="AK35" s="309">
        <v>0</v>
      </c>
      <c r="AL35" s="309">
        <v>0</v>
      </c>
      <c r="AM35" s="309">
        <f t="shared" si="19"/>
        <v>0</v>
      </c>
      <c r="AN35" s="310">
        <v>0</v>
      </c>
      <c r="AO35" s="310">
        <v>0</v>
      </c>
      <c r="AP35" s="310">
        <f t="shared" si="20"/>
        <v>0</v>
      </c>
      <c r="AQ35" s="309">
        <v>0</v>
      </c>
      <c r="AR35" s="311">
        <f t="shared" ca="1" si="7"/>
        <v>0</v>
      </c>
      <c r="AS35" s="870">
        <f t="shared" ca="1" si="21"/>
        <v>0</v>
      </c>
      <c r="AT35" s="822"/>
      <c r="AU35" s="878"/>
      <c r="AV35" s="35"/>
      <c r="AW35" s="879"/>
      <c r="AX35" s="35"/>
      <c r="AY35" s="880"/>
    </row>
    <row r="36" spans="1:51">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2"/>
        <v>0</v>
      </c>
      <c r="K36" s="307">
        <f t="shared" ca="1" si="10"/>
        <v>159594.23363094722</v>
      </c>
      <c r="L36" s="307">
        <f t="shared" si="11"/>
        <v>0</v>
      </c>
      <c r="M36" s="307">
        <v>0</v>
      </c>
      <c r="N36" s="307">
        <f t="shared" ca="1" si="12"/>
        <v>159594.23363094722</v>
      </c>
      <c r="O36" s="1494">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0</v>
      </c>
      <c r="Y36" s="306">
        <v>0</v>
      </c>
      <c r="Z36" s="306">
        <v>0</v>
      </c>
      <c r="AA36" s="308">
        <f ca="1">-SUM(W36,X36/OFFSET(GridFootprintbyYear,$A36-$A$19,0)*EF_PurchElec_MTperMWh,Z36)*OFFSET(ExposureCalculations!Price_GHG_Allowance_2010,A36-$A$19,0)*ExposureCalculations!D33</f>
        <v>0</v>
      </c>
      <c r="AB36" s="308">
        <f t="shared" ca="1" si="3"/>
        <v>0</v>
      </c>
      <c r="AC36" s="308">
        <v>0</v>
      </c>
      <c r="AD36" s="819">
        <f t="shared" ca="1" si="4"/>
        <v>0</v>
      </c>
      <c r="AE36" s="308">
        <v>0</v>
      </c>
      <c r="AF36" s="819">
        <f t="shared" ca="1" si="5"/>
        <v>0</v>
      </c>
      <c r="AG36" s="308">
        <v>0</v>
      </c>
      <c r="AH36" s="308">
        <v>0</v>
      </c>
      <c r="AI36" s="308">
        <v>0</v>
      </c>
      <c r="AJ36" s="308">
        <f t="shared" ca="1" si="6"/>
        <v>0</v>
      </c>
      <c r="AK36" s="309">
        <v>0</v>
      </c>
      <c r="AL36" s="309">
        <v>0</v>
      </c>
      <c r="AM36" s="309">
        <f t="shared" si="19"/>
        <v>0</v>
      </c>
      <c r="AN36" s="310">
        <v>0</v>
      </c>
      <c r="AO36" s="310">
        <v>0</v>
      </c>
      <c r="AP36" s="310">
        <f t="shared" si="20"/>
        <v>0</v>
      </c>
      <c r="AQ36" s="309">
        <v>0</v>
      </c>
      <c r="AR36" s="311">
        <f t="shared" ca="1" si="7"/>
        <v>0</v>
      </c>
      <c r="AS36" s="870">
        <f t="shared" ca="1" si="21"/>
        <v>0</v>
      </c>
      <c r="AT36" s="822"/>
      <c r="AU36" s="878"/>
      <c r="AV36" s="35"/>
      <c r="AW36" s="879"/>
      <c r="AX36" s="35"/>
      <c r="AY36" s="880"/>
    </row>
    <row r="37" spans="1:51">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2"/>
        <v>0</v>
      </c>
      <c r="K37" s="307">
        <f t="shared" ca="1" si="10"/>
        <v>161170.85923179929</v>
      </c>
      <c r="L37" s="307">
        <f t="shared" si="11"/>
        <v>0</v>
      </c>
      <c r="M37" s="307">
        <v>0</v>
      </c>
      <c r="N37" s="307">
        <f t="shared" ca="1" si="12"/>
        <v>161170.85923179929</v>
      </c>
      <c r="O37" s="1494">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0</v>
      </c>
      <c r="Y37" s="306">
        <v>0</v>
      </c>
      <c r="Z37" s="306">
        <v>0</v>
      </c>
      <c r="AA37" s="308">
        <f ca="1">-SUM(W37,X37/OFFSET(GridFootprintbyYear,$A37-$A$19,0)*EF_PurchElec_MTperMWh,Z37)*OFFSET(ExposureCalculations!Price_GHG_Allowance_2010,A37-$A$19,0)*ExposureCalculations!D34</f>
        <v>0</v>
      </c>
      <c r="AB37" s="308">
        <f t="shared" ca="1" si="3"/>
        <v>0</v>
      </c>
      <c r="AC37" s="308">
        <v>0</v>
      </c>
      <c r="AD37" s="819">
        <f t="shared" ca="1" si="4"/>
        <v>0</v>
      </c>
      <c r="AE37" s="308">
        <v>0</v>
      </c>
      <c r="AF37" s="819">
        <f t="shared" ca="1" si="5"/>
        <v>0</v>
      </c>
      <c r="AG37" s="308">
        <v>0</v>
      </c>
      <c r="AH37" s="308">
        <v>0</v>
      </c>
      <c r="AI37" s="308">
        <v>0</v>
      </c>
      <c r="AJ37" s="308">
        <f t="shared" ca="1" si="6"/>
        <v>0</v>
      </c>
      <c r="AK37" s="309">
        <v>0</v>
      </c>
      <c r="AL37" s="309">
        <v>0</v>
      </c>
      <c r="AM37" s="309">
        <f t="shared" si="19"/>
        <v>0</v>
      </c>
      <c r="AN37" s="310">
        <v>0</v>
      </c>
      <c r="AO37" s="310">
        <v>0</v>
      </c>
      <c r="AP37" s="310">
        <f t="shared" si="20"/>
        <v>0</v>
      </c>
      <c r="AQ37" s="309">
        <v>0</v>
      </c>
      <c r="AR37" s="311">
        <f t="shared" ca="1" si="7"/>
        <v>0</v>
      </c>
      <c r="AS37" s="870">
        <f t="shared" ca="1" si="21"/>
        <v>0</v>
      </c>
      <c r="AT37" s="822"/>
      <c r="AU37" s="878"/>
      <c r="AV37" s="35"/>
      <c r="AW37" s="879"/>
      <c r="AX37" s="35"/>
      <c r="AY37" s="880"/>
    </row>
    <row r="38" spans="1:51">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2"/>
        <v>0</v>
      </c>
      <c r="K38" s="307">
        <f t="shared" ca="1" si="10"/>
        <v>162747.48483265133</v>
      </c>
      <c r="L38" s="307">
        <f t="shared" si="11"/>
        <v>0</v>
      </c>
      <c r="M38" s="307">
        <v>0</v>
      </c>
      <c r="N38" s="307">
        <f t="shared" ca="1" si="12"/>
        <v>162747.48483265133</v>
      </c>
      <c r="O38" s="1494">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0</v>
      </c>
      <c r="Y38" s="306">
        <v>0</v>
      </c>
      <c r="Z38" s="306">
        <v>0</v>
      </c>
      <c r="AA38" s="308">
        <f ca="1">-SUM(W38,X38/OFFSET(GridFootprintbyYear,$A38-$A$19,0)*EF_PurchElec_MTperMWh,Z38)*OFFSET(ExposureCalculations!Price_GHG_Allowance_2010,A38-$A$19,0)*ExposureCalculations!D35</f>
        <v>0</v>
      </c>
      <c r="AB38" s="308">
        <f t="shared" ca="1" si="3"/>
        <v>0</v>
      </c>
      <c r="AC38" s="308">
        <v>0</v>
      </c>
      <c r="AD38" s="819">
        <f t="shared" ca="1" si="4"/>
        <v>0</v>
      </c>
      <c r="AE38" s="308">
        <v>0</v>
      </c>
      <c r="AF38" s="819">
        <f t="shared" ca="1" si="5"/>
        <v>0</v>
      </c>
      <c r="AG38" s="308">
        <v>0</v>
      </c>
      <c r="AH38" s="308">
        <v>0</v>
      </c>
      <c r="AI38" s="308">
        <v>0</v>
      </c>
      <c r="AJ38" s="308">
        <f t="shared" ca="1" si="6"/>
        <v>0</v>
      </c>
      <c r="AK38" s="309">
        <v>0</v>
      </c>
      <c r="AL38" s="309">
        <v>0</v>
      </c>
      <c r="AM38" s="309">
        <f t="shared" si="19"/>
        <v>0</v>
      </c>
      <c r="AN38" s="310">
        <v>0</v>
      </c>
      <c r="AO38" s="310">
        <v>0</v>
      </c>
      <c r="AP38" s="310">
        <f t="shared" si="20"/>
        <v>0</v>
      </c>
      <c r="AQ38" s="309">
        <v>0</v>
      </c>
      <c r="AR38" s="311">
        <f t="shared" ca="1" si="7"/>
        <v>0</v>
      </c>
      <c r="AS38" s="870">
        <f t="shared" ca="1" si="21"/>
        <v>0</v>
      </c>
      <c r="AT38" s="822"/>
      <c r="AU38" s="878"/>
      <c r="AV38" s="35"/>
      <c r="AW38" s="879"/>
      <c r="AX38" s="35"/>
      <c r="AY38" s="880"/>
    </row>
    <row r="39" spans="1:51">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2"/>
        <v>0</v>
      </c>
      <c r="K39" s="307">
        <f t="shared" ca="1" si="10"/>
        <v>164324.11043350337</v>
      </c>
      <c r="L39" s="307">
        <f t="shared" si="11"/>
        <v>0</v>
      </c>
      <c r="M39" s="307">
        <v>0</v>
      </c>
      <c r="N39" s="307">
        <f t="shared" ca="1" si="12"/>
        <v>164324.11043350337</v>
      </c>
      <c r="O39" s="1494">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0</v>
      </c>
      <c r="Y39" s="306">
        <v>0</v>
      </c>
      <c r="Z39" s="306">
        <v>0</v>
      </c>
      <c r="AA39" s="308">
        <f ca="1">-SUM(W39,X39/OFFSET(GridFootprintbyYear,$A39-$A$19,0)*EF_PurchElec_MTperMWh,Z39)*OFFSET(ExposureCalculations!Price_GHG_Allowance_2010,A39-$A$19,0)*ExposureCalculations!D36</f>
        <v>0</v>
      </c>
      <c r="AB39" s="308">
        <f t="shared" ca="1" si="3"/>
        <v>0</v>
      </c>
      <c r="AC39" s="308">
        <v>0</v>
      </c>
      <c r="AD39" s="819">
        <f t="shared" ca="1" si="4"/>
        <v>0</v>
      </c>
      <c r="AE39" s="308">
        <v>0</v>
      </c>
      <c r="AF39" s="819">
        <f t="shared" ca="1" si="5"/>
        <v>0</v>
      </c>
      <c r="AG39" s="308">
        <v>0</v>
      </c>
      <c r="AH39" s="308">
        <v>0</v>
      </c>
      <c r="AI39" s="308">
        <v>0</v>
      </c>
      <c r="AJ39" s="308">
        <f t="shared" ca="1" si="6"/>
        <v>0</v>
      </c>
      <c r="AK39" s="309">
        <v>0</v>
      </c>
      <c r="AL39" s="309">
        <v>0</v>
      </c>
      <c r="AM39" s="309">
        <f t="shared" si="19"/>
        <v>0</v>
      </c>
      <c r="AN39" s="310">
        <v>0</v>
      </c>
      <c r="AO39" s="310">
        <v>0</v>
      </c>
      <c r="AP39" s="310">
        <f t="shared" si="20"/>
        <v>0</v>
      </c>
      <c r="AQ39" s="309">
        <v>0</v>
      </c>
      <c r="AR39" s="311">
        <f t="shared" ca="1" si="7"/>
        <v>0</v>
      </c>
      <c r="AS39" s="870">
        <f t="shared" ca="1" si="21"/>
        <v>0</v>
      </c>
      <c r="AT39" s="822"/>
      <c r="AU39" s="878"/>
      <c r="AV39" s="35"/>
      <c r="AW39" s="879"/>
      <c r="AX39" s="35"/>
      <c r="AY39" s="880"/>
    </row>
    <row r="40" spans="1:51">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2"/>
        <v>0</v>
      </c>
      <c r="K40" s="307">
        <f t="shared" ca="1" si="10"/>
        <v>165900.73603435536</v>
      </c>
      <c r="L40" s="307">
        <f t="shared" si="11"/>
        <v>0</v>
      </c>
      <c r="M40" s="307">
        <v>0</v>
      </c>
      <c r="N40" s="307">
        <f t="shared" ca="1" si="12"/>
        <v>165900.73603435536</v>
      </c>
      <c r="O40" s="1494">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0</v>
      </c>
      <c r="Y40" s="306">
        <v>0</v>
      </c>
      <c r="Z40" s="306">
        <v>0</v>
      </c>
      <c r="AA40" s="308">
        <f ca="1">-SUM(W40,X40/OFFSET(GridFootprintbyYear,$A40-$A$19,0)*EF_PurchElec_MTperMWh,Z40)*OFFSET(ExposureCalculations!Price_GHG_Allowance_2010,A40-$A$19,0)*ExposureCalculations!D37</f>
        <v>0</v>
      </c>
      <c r="AB40" s="308">
        <f t="shared" ca="1" si="3"/>
        <v>0</v>
      </c>
      <c r="AC40" s="308">
        <v>0</v>
      </c>
      <c r="AD40" s="819">
        <f t="shared" ca="1" si="4"/>
        <v>0</v>
      </c>
      <c r="AE40" s="308">
        <v>0</v>
      </c>
      <c r="AF40" s="819">
        <f t="shared" ca="1" si="5"/>
        <v>0</v>
      </c>
      <c r="AG40" s="308">
        <v>0</v>
      </c>
      <c r="AH40" s="308">
        <v>0</v>
      </c>
      <c r="AI40" s="308">
        <v>0</v>
      </c>
      <c r="AJ40" s="308">
        <f t="shared" ca="1" si="6"/>
        <v>0</v>
      </c>
      <c r="AK40" s="309">
        <v>0</v>
      </c>
      <c r="AL40" s="309">
        <v>0</v>
      </c>
      <c r="AM40" s="309">
        <f t="shared" si="19"/>
        <v>0</v>
      </c>
      <c r="AN40" s="310">
        <v>0</v>
      </c>
      <c r="AO40" s="310">
        <v>0</v>
      </c>
      <c r="AP40" s="310">
        <f t="shared" si="20"/>
        <v>0</v>
      </c>
      <c r="AQ40" s="309">
        <v>0</v>
      </c>
      <c r="AR40" s="311">
        <f t="shared" ca="1" si="7"/>
        <v>0</v>
      </c>
      <c r="AS40" s="870">
        <f t="shared" ca="1" si="21"/>
        <v>0</v>
      </c>
      <c r="AT40" s="822"/>
      <c r="AU40" s="878"/>
      <c r="AV40" s="35"/>
      <c r="AW40" s="879"/>
      <c r="AX40" s="35"/>
      <c r="AY40" s="880"/>
    </row>
    <row r="41" spans="1:51">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2"/>
        <v>0</v>
      </c>
      <c r="K41" s="307">
        <f t="shared" ca="1" si="10"/>
        <v>167477.3616352074</v>
      </c>
      <c r="L41" s="307">
        <f t="shared" si="11"/>
        <v>0</v>
      </c>
      <c r="M41" s="307">
        <v>0</v>
      </c>
      <c r="N41" s="307">
        <f t="shared" ca="1" si="12"/>
        <v>167477.3616352074</v>
      </c>
      <c r="O41" s="1494">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0</v>
      </c>
      <c r="Y41" s="306">
        <v>0</v>
      </c>
      <c r="Z41" s="306">
        <v>0</v>
      </c>
      <c r="AA41" s="308">
        <f ca="1">-SUM(W41,X41/OFFSET(GridFootprintbyYear,$A41-$A$19,0)*EF_PurchElec_MTperMWh,Z41)*OFFSET(ExposureCalculations!Price_GHG_Allowance_2010,A41-$A$19,0)*ExposureCalculations!D38</f>
        <v>0</v>
      </c>
      <c r="AB41" s="308">
        <f t="shared" ca="1" si="3"/>
        <v>0</v>
      </c>
      <c r="AC41" s="308">
        <v>0</v>
      </c>
      <c r="AD41" s="819">
        <f t="shared" ca="1" si="4"/>
        <v>0</v>
      </c>
      <c r="AE41" s="308">
        <v>0</v>
      </c>
      <c r="AF41" s="819">
        <f t="shared" ca="1" si="5"/>
        <v>0</v>
      </c>
      <c r="AG41" s="308">
        <v>0</v>
      </c>
      <c r="AH41" s="308">
        <v>0</v>
      </c>
      <c r="AI41" s="308">
        <v>0</v>
      </c>
      <c r="AJ41" s="308">
        <f t="shared" ca="1" si="6"/>
        <v>0</v>
      </c>
      <c r="AK41" s="309">
        <v>0</v>
      </c>
      <c r="AL41" s="309">
        <v>0</v>
      </c>
      <c r="AM41" s="309">
        <f t="shared" si="19"/>
        <v>0</v>
      </c>
      <c r="AN41" s="310">
        <v>0</v>
      </c>
      <c r="AO41" s="310">
        <v>0</v>
      </c>
      <c r="AP41" s="310">
        <f t="shared" si="20"/>
        <v>0</v>
      </c>
      <c r="AQ41" s="309">
        <v>0</v>
      </c>
      <c r="AR41" s="311">
        <f t="shared" ca="1" si="7"/>
        <v>0</v>
      </c>
      <c r="AS41" s="870">
        <f t="shared" ca="1" si="21"/>
        <v>0</v>
      </c>
      <c r="AT41" s="822"/>
      <c r="AU41" s="878"/>
      <c r="AV41" s="35"/>
      <c r="AW41" s="879"/>
      <c r="AX41" s="35"/>
      <c r="AY41" s="880"/>
    </row>
    <row r="42" spans="1:51">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2"/>
        <v>0</v>
      </c>
      <c r="K42" s="307">
        <f t="shared" ca="1" si="10"/>
        <v>169053.98723605942</v>
      </c>
      <c r="L42" s="307">
        <f t="shared" si="11"/>
        <v>0</v>
      </c>
      <c r="M42" s="307">
        <v>0</v>
      </c>
      <c r="N42" s="307">
        <f t="shared" ca="1" si="12"/>
        <v>169053.98723605942</v>
      </c>
      <c r="O42" s="1494">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0</v>
      </c>
      <c r="Y42" s="306">
        <v>0</v>
      </c>
      <c r="Z42" s="306">
        <v>0</v>
      </c>
      <c r="AA42" s="308">
        <f ca="1">-SUM(W42,X42/OFFSET(GridFootprintbyYear,$A42-$A$19,0)*EF_PurchElec_MTperMWh,Z42)*OFFSET(ExposureCalculations!Price_GHG_Allowance_2010,A42-$A$19,0)*ExposureCalculations!D39</f>
        <v>0</v>
      </c>
      <c r="AB42" s="308">
        <f t="shared" ca="1" si="3"/>
        <v>0</v>
      </c>
      <c r="AC42" s="308">
        <v>0</v>
      </c>
      <c r="AD42" s="819">
        <f t="shared" ca="1" si="4"/>
        <v>0</v>
      </c>
      <c r="AE42" s="308">
        <v>0</v>
      </c>
      <c r="AF42" s="819">
        <f t="shared" ca="1" si="5"/>
        <v>0</v>
      </c>
      <c r="AG42" s="308">
        <v>0</v>
      </c>
      <c r="AH42" s="308">
        <v>0</v>
      </c>
      <c r="AI42" s="308">
        <v>0</v>
      </c>
      <c r="AJ42" s="308">
        <f t="shared" ca="1" si="6"/>
        <v>0</v>
      </c>
      <c r="AK42" s="309">
        <v>0</v>
      </c>
      <c r="AL42" s="309">
        <v>0</v>
      </c>
      <c r="AM42" s="309">
        <f t="shared" si="19"/>
        <v>0</v>
      </c>
      <c r="AN42" s="310">
        <v>0</v>
      </c>
      <c r="AO42" s="310">
        <v>0</v>
      </c>
      <c r="AP42" s="310">
        <f t="shared" si="20"/>
        <v>0</v>
      </c>
      <c r="AQ42" s="309">
        <v>0</v>
      </c>
      <c r="AR42" s="311">
        <f t="shared" ca="1" si="7"/>
        <v>0</v>
      </c>
      <c r="AS42" s="870">
        <f t="shared" ca="1" si="21"/>
        <v>0</v>
      </c>
      <c r="AT42" s="822"/>
      <c r="AU42" s="878"/>
      <c r="AV42" s="35"/>
      <c r="AW42" s="879"/>
      <c r="AX42" s="35"/>
      <c r="AY42" s="880"/>
    </row>
    <row r="43" spans="1:51">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2"/>
        <v>0</v>
      </c>
      <c r="K43" s="307">
        <f t="shared" ca="1" si="10"/>
        <v>170630.61283691146</v>
      </c>
      <c r="L43" s="307">
        <f t="shared" si="11"/>
        <v>0</v>
      </c>
      <c r="M43" s="307">
        <v>0</v>
      </c>
      <c r="N43" s="307">
        <f t="shared" ca="1" si="12"/>
        <v>170630.61283691146</v>
      </c>
      <c r="O43" s="1494">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0</v>
      </c>
      <c r="Y43" s="306">
        <v>0</v>
      </c>
      <c r="Z43" s="306">
        <v>0</v>
      </c>
      <c r="AA43" s="308">
        <f ca="1">-SUM(W43,X43/OFFSET(GridFootprintbyYear,$A43-$A$19,0)*EF_PurchElec_MTperMWh,Z43)*OFFSET(ExposureCalculations!Price_GHG_Allowance_2010,A43-$A$19,0)*ExposureCalculations!D40</f>
        <v>0</v>
      </c>
      <c r="AB43" s="308">
        <f t="shared" ca="1" si="3"/>
        <v>0</v>
      </c>
      <c r="AC43" s="308">
        <v>0</v>
      </c>
      <c r="AD43" s="819">
        <f t="shared" ca="1" si="4"/>
        <v>0</v>
      </c>
      <c r="AE43" s="308">
        <v>0</v>
      </c>
      <c r="AF43" s="819">
        <f t="shared" ca="1" si="5"/>
        <v>0</v>
      </c>
      <c r="AG43" s="308">
        <v>0</v>
      </c>
      <c r="AH43" s="308">
        <v>0</v>
      </c>
      <c r="AI43" s="308">
        <v>0</v>
      </c>
      <c r="AJ43" s="308">
        <f t="shared" ca="1" si="6"/>
        <v>0</v>
      </c>
      <c r="AK43" s="309">
        <v>0</v>
      </c>
      <c r="AL43" s="309">
        <v>0</v>
      </c>
      <c r="AM43" s="309">
        <f t="shared" si="19"/>
        <v>0</v>
      </c>
      <c r="AN43" s="310">
        <v>0</v>
      </c>
      <c r="AO43" s="310">
        <v>0</v>
      </c>
      <c r="AP43" s="310">
        <f t="shared" si="20"/>
        <v>0</v>
      </c>
      <c r="AQ43" s="309">
        <v>0</v>
      </c>
      <c r="AR43" s="311">
        <f t="shared" ca="1" si="7"/>
        <v>0</v>
      </c>
      <c r="AS43" s="870">
        <f t="shared" ca="1" si="21"/>
        <v>0</v>
      </c>
      <c r="AT43" s="822"/>
      <c r="AU43" s="878"/>
      <c r="AV43" s="35"/>
      <c r="AW43" s="879"/>
      <c r="AX43" s="35"/>
      <c r="AY43" s="880"/>
    </row>
    <row r="44" spans="1:51">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2"/>
        <v>0</v>
      </c>
      <c r="K44" s="307">
        <f t="shared" ca="1" si="10"/>
        <v>172207.23843776347</v>
      </c>
      <c r="L44" s="307">
        <f t="shared" si="11"/>
        <v>0</v>
      </c>
      <c r="M44" s="307">
        <v>0</v>
      </c>
      <c r="N44" s="307">
        <f t="shared" ca="1" si="12"/>
        <v>172207.23843776347</v>
      </c>
      <c r="O44" s="1494">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0</v>
      </c>
      <c r="Y44" s="306">
        <v>0</v>
      </c>
      <c r="Z44" s="306">
        <v>0</v>
      </c>
      <c r="AA44" s="308">
        <f ca="1">-SUM(W44,X44/OFFSET(GridFootprintbyYear,$A44-$A$19,0)*EF_PurchElec_MTperMWh,Z44)*OFFSET(ExposureCalculations!Price_GHG_Allowance_2010,A44-$A$19,0)*ExposureCalculations!D41</f>
        <v>0</v>
      </c>
      <c r="AB44" s="308">
        <f t="shared" ca="1" si="3"/>
        <v>0</v>
      </c>
      <c r="AC44" s="308">
        <v>0</v>
      </c>
      <c r="AD44" s="819">
        <f t="shared" ca="1" si="4"/>
        <v>0</v>
      </c>
      <c r="AE44" s="308">
        <v>0</v>
      </c>
      <c r="AF44" s="819">
        <f t="shared" ca="1" si="5"/>
        <v>0</v>
      </c>
      <c r="AG44" s="308">
        <v>0</v>
      </c>
      <c r="AH44" s="308">
        <v>0</v>
      </c>
      <c r="AI44" s="308">
        <v>0</v>
      </c>
      <c r="AJ44" s="308">
        <f t="shared" ca="1" si="6"/>
        <v>0</v>
      </c>
      <c r="AK44" s="309">
        <v>0</v>
      </c>
      <c r="AL44" s="309">
        <v>0</v>
      </c>
      <c r="AM44" s="309">
        <f t="shared" si="19"/>
        <v>0</v>
      </c>
      <c r="AN44" s="310">
        <v>0</v>
      </c>
      <c r="AO44" s="310">
        <v>0</v>
      </c>
      <c r="AP44" s="310">
        <f t="shared" si="20"/>
        <v>0</v>
      </c>
      <c r="AQ44" s="309">
        <v>0</v>
      </c>
      <c r="AR44" s="311">
        <f t="shared" ca="1" si="7"/>
        <v>0</v>
      </c>
      <c r="AS44" s="870">
        <f t="shared" ca="1" si="21"/>
        <v>0</v>
      </c>
      <c r="AT44" s="822"/>
      <c r="AU44" s="878"/>
      <c r="AV44" s="35"/>
      <c r="AW44" s="879"/>
      <c r="AX44" s="35"/>
      <c r="AY44" s="880"/>
    </row>
    <row r="45" spans="1:51">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2"/>
        <v>0</v>
      </c>
      <c r="K45" s="307">
        <f t="shared" ca="1" si="10"/>
        <v>173783.86403861555</v>
      </c>
      <c r="L45" s="307">
        <f t="shared" si="11"/>
        <v>0</v>
      </c>
      <c r="M45" s="307">
        <v>0</v>
      </c>
      <c r="N45" s="307">
        <f t="shared" ca="1" si="12"/>
        <v>173783.86403861555</v>
      </c>
      <c r="O45" s="1494">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0</v>
      </c>
      <c r="Y45" s="306">
        <v>0</v>
      </c>
      <c r="Z45" s="306">
        <v>0</v>
      </c>
      <c r="AA45" s="308">
        <f ca="1">-SUM(W45,X45/OFFSET(GridFootprintbyYear,$A45-$A$19,0)*EF_PurchElec_MTperMWh,Z45)*OFFSET(ExposureCalculations!Price_GHG_Allowance_2010,A45-$A$19,0)*ExposureCalculations!D42</f>
        <v>0</v>
      </c>
      <c r="AB45" s="308">
        <f t="shared" ca="1" si="3"/>
        <v>0</v>
      </c>
      <c r="AC45" s="308">
        <v>0</v>
      </c>
      <c r="AD45" s="819">
        <f t="shared" ca="1" si="4"/>
        <v>0</v>
      </c>
      <c r="AE45" s="308">
        <v>0</v>
      </c>
      <c r="AF45" s="819">
        <f t="shared" ca="1" si="5"/>
        <v>0</v>
      </c>
      <c r="AG45" s="308">
        <v>0</v>
      </c>
      <c r="AH45" s="308">
        <v>0</v>
      </c>
      <c r="AI45" s="308">
        <v>0</v>
      </c>
      <c r="AJ45" s="308">
        <f t="shared" ca="1" si="6"/>
        <v>0</v>
      </c>
      <c r="AK45" s="309">
        <v>0</v>
      </c>
      <c r="AL45" s="309">
        <v>0</v>
      </c>
      <c r="AM45" s="309">
        <f t="shared" si="19"/>
        <v>0</v>
      </c>
      <c r="AN45" s="310">
        <v>0</v>
      </c>
      <c r="AO45" s="310">
        <v>0</v>
      </c>
      <c r="AP45" s="310">
        <f t="shared" si="20"/>
        <v>0</v>
      </c>
      <c r="AQ45" s="309">
        <v>0</v>
      </c>
      <c r="AR45" s="311">
        <f t="shared" ca="1" si="7"/>
        <v>0</v>
      </c>
      <c r="AS45" s="870">
        <f t="shared" ca="1" si="21"/>
        <v>0</v>
      </c>
      <c r="AT45" s="822"/>
      <c r="AU45" s="878"/>
      <c r="AV45" s="35"/>
      <c r="AW45" s="879"/>
      <c r="AX45" s="35"/>
      <c r="AY45" s="880"/>
    </row>
    <row r="46" spans="1:51">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2"/>
        <v>0</v>
      </c>
      <c r="K46" s="307">
        <f t="shared" ca="1" si="10"/>
        <v>175360.48963946756</v>
      </c>
      <c r="L46" s="307">
        <f t="shared" si="11"/>
        <v>0</v>
      </c>
      <c r="M46" s="307">
        <v>0</v>
      </c>
      <c r="N46" s="307">
        <f t="shared" ca="1" si="12"/>
        <v>175360.48963946756</v>
      </c>
      <c r="O46" s="1494">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0</v>
      </c>
      <c r="Y46" s="306">
        <v>0</v>
      </c>
      <c r="Z46" s="306">
        <v>0</v>
      </c>
      <c r="AA46" s="308">
        <f ca="1">-SUM(W46,X46/OFFSET(GridFootprintbyYear,$A46-$A$19,0)*EF_PurchElec_MTperMWh,Z46)*OFFSET(ExposureCalculations!Price_GHG_Allowance_2010,A46-$A$19,0)*ExposureCalculations!D43</f>
        <v>0</v>
      </c>
      <c r="AB46" s="308">
        <f t="shared" ca="1" si="3"/>
        <v>0</v>
      </c>
      <c r="AC46" s="308">
        <v>0</v>
      </c>
      <c r="AD46" s="819">
        <f t="shared" ca="1" si="4"/>
        <v>0</v>
      </c>
      <c r="AE46" s="308">
        <v>0</v>
      </c>
      <c r="AF46" s="819">
        <f t="shared" ca="1" si="5"/>
        <v>0</v>
      </c>
      <c r="AG46" s="308">
        <v>0</v>
      </c>
      <c r="AH46" s="308">
        <v>0</v>
      </c>
      <c r="AI46" s="308">
        <v>0</v>
      </c>
      <c r="AJ46" s="308">
        <f t="shared" ca="1" si="6"/>
        <v>0</v>
      </c>
      <c r="AK46" s="309">
        <v>0</v>
      </c>
      <c r="AL46" s="309">
        <v>0</v>
      </c>
      <c r="AM46" s="309">
        <f t="shared" si="19"/>
        <v>0</v>
      </c>
      <c r="AN46" s="310">
        <v>0</v>
      </c>
      <c r="AO46" s="310">
        <v>0</v>
      </c>
      <c r="AP46" s="310">
        <f t="shared" si="20"/>
        <v>0</v>
      </c>
      <c r="AQ46" s="309">
        <v>0</v>
      </c>
      <c r="AR46" s="311">
        <f t="shared" ca="1" si="7"/>
        <v>0</v>
      </c>
      <c r="AS46" s="870">
        <f t="shared" ca="1" si="21"/>
        <v>0</v>
      </c>
      <c r="AT46" s="822"/>
      <c r="AU46" s="878"/>
      <c r="AV46" s="35"/>
      <c r="AW46" s="879"/>
      <c r="AX46" s="35"/>
      <c r="AY46" s="880"/>
    </row>
    <row r="47" spans="1:51">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2"/>
        <v>0</v>
      </c>
      <c r="K47" s="307">
        <f t="shared" ca="1" si="10"/>
        <v>176937.1152403196</v>
      </c>
      <c r="L47" s="307">
        <f t="shared" si="11"/>
        <v>0</v>
      </c>
      <c r="M47" s="307">
        <v>0</v>
      </c>
      <c r="N47" s="307">
        <f t="shared" ca="1" si="12"/>
        <v>176937.1152403196</v>
      </c>
      <c r="O47" s="1494">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0</v>
      </c>
      <c r="Y47" s="306">
        <v>0</v>
      </c>
      <c r="Z47" s="306">
        <v>0</v>
      </c>
      <c r="AA47" s="308">
        <f ca="1">-SUM(W47,X47/OFFSET(GridFootprintbyYear,$A47-$A$19,0)*EF_PurchElec_MTperMWh,Z47)*OFFSET(ExposureCalculations!Price_GHG_Allowance_2010,A47-$A$19,0)*ExposureCalculations!D44</f>
        <v>0</v>
      </c>
      <c r="AB47" s="308">
        <f t="shared" ca="1" si="3"/>
        <v>0</v>
      </c>
      <c r="AC47" s="308">
        <v>0</v>
      </c>
      <c r="AD47" s="819">
        <f t="shared" ca="1" si="4"/>
        <v>0</v>
      </c>
      <c r="AE47" s="308">
        <v>0</v>
      </c>
      <c r="AF47" s="819">
        <f t="shared" ca="1" si="5"/>
        <v>0</v>
      </c>
      <c r="AG47" s="308">
        <v>0</v>
      </c>
      <c r="AH47" s="308">
        <v>0</v>
      </c>
      <c r="AI47" s="308">
        <v>0</v>
      </c>
      <c r="AJ47" s="308">
        <f t="shared" ca="1" si="6"/>
        <v>0</v>
      </c>
      <c r="AK47" s="309">
        <v>0</v>
      </c>
      <c r="AL47" s="309">
        <v>0</v>
      </c>
      <c r="AM47" s="309">
        <f t="shared" si="19"/>
        <v>0</v>
      </c>
      <c r="AN47" s="310">
        <v>0</v>
      </c>
      <c r="AO47" s="310">
        <v>0</v>
      </c>
      <c r="AP47" s="310">
        <f t="shared" si="20"/>
        <v>0</v>
      </c>
      <c r="AQ47" s="309">
        <v>0</v>
      </c>
      <c r="AR47" s="311">
        <f t="shared" ca="1" si="7"/>
        <v>0</v>
      </c>
      <c r="AS47" s="870">
        <f t="shared" ca="1" si="21"/>
        <v>0</v>
      </c>
      <c r="AT47" s="822"/>
      <c r="AU47" s="878"/>
      <c r="AV47" s="35"/>
      <c r="AW47" s="879"/>
      <c r="AX47" s="35"/>
      <c r="AY47" s="880"/>
    </row>
    <row r="48" spans="1:51">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2"/>
        <v>0</v>
      </c>
      <c r="K48" s="307">
        <f t="shared" ca="1" si="10"/>
        <v>178513.74084117162</v>
      </c>
      <c r="L48" s="307">
        <f t="shared" si="11"/>
        <v>0</v>
      </c>
      <c r="M48" s="307">
        <v>0</v>
      </c>
      <c r="N48" s="307">
        <f t="shared" ca="1" si="12"/>
        <v>178513.74084117162</v>
      </c>
      <c r="O48" s="1494">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0</v>
      </c>
      <c r="Y48" s="306">
        <v>0</v>
      </c>
      <c r="Z48" s="306">
        <v>0</v>
      </c>
      <c r="AA48" s="308">
        <f ca="1">-SUM(W48,X48/OFFSET(GridFootprintbyYear,$A48-$A$19,0)*EF_PurchElec_MTperMWh,Z48)*OFFSET(ExposureCalculations!Price_GHG_Allowance_2010,A48-$A$19,0)*ExposureCalculations!D45</f>
        <v>0</v>
      </c>
      <c r="AB48" s="308">
        <f t="shared" ca="1" si="3"/>
        <v>0</v>
      </c>
      <c r="AC48" s="308">
        <v>0</v>
      </c>
      <c r="AD48" s="819">
        <f t="shared" ca="1" si="4"/>
        <v>0</v>
      </c>
      <c r="AE48" s="308">
        <v>0</v>
      </c>
      <c r="AF48" s="819">
        <f t="shared" ca="1" si="5"/>
        <v>0</v>
      </c>
      <c r="AG48" s="308">
        <v>0</v>
      </c>
      <c r="AH48" s="308">
        <v>0</v>
      </c>
      <c r="AI48" s="308">
        <v>0</v>
      </c>
      <c r="AJ48" s="308">
        <f t="shared" ca="1" si="6"/>
        <v>0</v>
      </c>
      <c r="AK48" s="309">
        <v>0</v>
      </c>
      <c r="AL48" s="309">
        <v>0</v>
      </c>
      <c r="AM48" s="309">
        <f t="shared" si="19"/>
        <v>0</v>
      </c>
      <c r="AN48" s="310">
        <v>0</v>
      </c>
      <c r="AO48" s="310">
        <v>0</v>
      </c>
      <c r="AP48" s="310">
        <f t="shared" si="20"/>
        <v>0</v>
      </c>
      <c r="AQ48" s="309">
        <v>0</v>
      </c>
      <c r="AR48" s="311">
        <f t="shared" ca="1" si="7"/>
        <v>0</v>
      </c>
      <c r="AS48" s="870">
        <f t="shared" ca="1" si="21"/>
        <v>0</v>
      </c>
      <c r="AT48" s="822"/>
      <c r="AU48" s="878"/>
      <c r="AV48" s="35"/>
      <c r="AW48" s="879"/>
      <c r="AX48" s="35"/>
      <c r="AY48" s="880"/>
    </row>
    <row r="49" spans="1:51">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2"/>
        <v>0</v>
      </c>
      <c r="K49" s="307">
        <f t="shared" ca="1" si="10"/>
        <v>180090.36644202363</v>
      </c>
      <c r="L49" s="307">
        <f t="shared" si="11"/>
        <v>0</v>
      </c>
      <c r="M49" s="307">
        <v>0</v>
      </c>
      <c r="N49" s="307">
        <f t="shared" ca="1" si="12"/>
        <v>180090.36644202363</v>
      </c>
      <c r="O49" s="1494">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0</v>
      </c>
      <c r="Y49" s="306">
        <v>0</v>
      </c>
      <c r="Z49" s="306">
        <v>0</v>
      </c>
      <c r="AA49" s="308">
        <f ca="1">-SUM(W49,X49/OFFSET(GridFootprintbyYear,$A49-$A$19,0)*EF_PurchElec_MTperMWh,Z49)*OFFSET(ExposureCalculations!Price_GHG_Allowance_2010,A49-$A$19,0)*ExposureCalculations!D46</f>
        <v>0</v>
      </c>
      <c r="AB49" s="308">
        <f t="shared" ca="1" si="3"/>
        <v>0</v>
      </c>
      <c r="AC49" s="308">
        <v>0</v>
      </c>
      <c r="AD49" s="819">
        <f t="shared" ca="1" si="4"/>
        <v>0</v>
      </c>
      <c r="AE49" s="308">
        <v>0</v>
      </c>
      <c r="AF49" s="819">
        <f t="shared" ca="1" si="5"/>
        <v>0</v>
      </c>
      <c r="AG49" s="308">
        <v>0</v>
      </c>
      <c r="AH49" s="308">
        <v>0</v>
      </c>
      <c r="AI49" s="308">
        <v>0</v>
      </c>
      <c r="AJ49" s="308">
        <f t="shared" ca="1" si="6"/>
        <v>0</v>
      </c>
      <c r="AK49" s="309">
        <v>0</v>
      </c>
      <c r="AL49" s="309">
        <v>0</v>
      </c>
      <c r="AM49" s="309">
        <f t="shared" si="19"/>
        <v>0</v>
      </c>
      <c r="AN49" s="310">
        <v>0</v>
      </c>
      <c r="AO49" s="310">
        <v>0</v>
      </c>
      <c r="AP49" s="310">
        <f t="shared" si="20"/>
        <v>0</v>
      </c>
      <c r="AQ49" s="309">
        <v>0</v>
      </c>
      <c r="AR49" s="311">
        <f t="shared" ca="1" si="7"/>
        <v>0</v>
      </c>
      <c r="AS49" s="870">
        <f t="shared" ca="1" si="21"/>
        <v>0</v>
      </c>
      <c r="AT49" s="822"/>
      <c r="AU49" s="878"/>
      <c r="AV49" s="35"/>
      <c r="AW49" s="879"/>
      <c r="AX49" s="35"/>
      <c r="AY49" s="880"/>
    </row>
    <row r="50" spans="1:51">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2"/>
        <v>0</v>
      </c>
      <c r="K50" s="307">
        <f t="shared" ca="1" si="10"/>
        <v>181666.99204287567</v>
      </c>
      <c r="L50" s="307">
        <f t="shared" si="11"/>
        <v>0</v>
      </c>
      <c r="M50" s="307">
        <v>0</v>
      </c>
      <c r="N50" s="307">
        <f t="shared" ca="1" si="12"/>
        <v>181666.99204287567</v>
      </c>
      <c r="O50" s="1494">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0</v>
      </c>
      <c r="Y50" s="306">
        <v>0</v>
      </c>
      <c r="Z50" s="306">
        <v>0</v>
      </c>
      <c r="AA50" s="308">
        <f ca="1">-SUM(W50,X50/OFFSET(GridFootprintbyYear,$A50-$A$19,0)*EF_PurchElec_MTperMWh,Z50)*OFFSET(ExposureCalculations!Price_GHG_Allowance_2010,A50-$A$19,0)*ExposureCalculations!D47</f>
        <v>0</v>
      </c>
      <c r="AB50" s="308">
        <f t="shared" ca="1" si="3"/>
        <v>0</v>
      </c>
      <c r="AC50" s="308">
        <v>0</v>
      </c>
      <c r="AD50" s="819">
        <f t="shared" ca="1" si="4"/>
        <v>0</v>
      </c>
      <c r="AE50" s="308">
        <v>0</v>
      </c>
      <c r="AF50" s="819">
        <f t="shared" ca="1" si="5"/>
        <v>0</v>
      </c>
      <c r="AG50" s="308">
        <v>0</v>
      </c>
      <c r="AH50" s="308">
        <v>0</v>
      </c>
      <c r="AI50" s="308">
        <v>0</v>
      </c>
      <c r="AJ50" s="308">
        <f t="shared" ca="1" si="6"/>
        <v>0</v>
      </c>
      <c r="AK50" s="309">
        <v>0</v>
      </c>
      <c r="AL50" s="309">
        <v>0</v>
      </c>
      <c r="AM50" s="309">
        <f t="shared" si="19"/>
        <v>0</v>
      </c>
      <c r="AN50" s="310">
        <v>0</v>
      </c>
      <c r="AO50" s="310">
        <v>0</v>
      </c>
      <c r="AP50" s="310">
        <f t="shared" si="20"/>
        <v>0</v>
      </c>
      <c r="AQ50" s="309">
        <v>0</v>
      </c>
      <c r="AR50" s="311">
        <f t="shared" ca="1" si="7"/>
        <v>0</v>
      </c>
      <c r="AS50" s="870">
        <f t="shared" ca="1" si="21"/>
        <v>0</v>
      </c>
      <c r="AT50" s="822"/>
      <c r="AU50" s="878"/>
      <c r="AV50" s="35"/>
      <c r="AW50" s="879"/>
      <c r="AX50" s="35"/>
      <c r="AY50" s="880"/>
    </row>
    <row r="51" spans="1:51">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2"/>
        <v>0</v>
      </c>
      <c r="K51" s="307">
        <f t="shared" ca="1" si="10"/>
        <v>183243.61764372772</v>
      </c>
      <c r="L51" s="307">
        <f t="shared" si="11"/>
        <v>0</v>
      </c>
      <c r="M51" s="307">
        <v>0</v>
      </c>
      <c r="N51" s="307">
        <f t="shared" ca="1" si="12"/>
        <v>183243.61764372772</v>
      </c>
      <c r="O51" s="1494">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0</v>
      </c>
      <c r="Y51" s="306">
        <v>0</v>
      </c>
      <c r="Z51" s="306">
        <v>0</v>
      </c>
      <c r="AA51" s="308">
        <f ca="1">-SUM(W51,X51/OFFSET(GridFootprintbyYear,$A51-$A$19,0)*EF_PurchElec_MTperMWh,Z51)*OFFSET(ExposureCalculations!Price_GHG_Allowance_2010,A51-$A$19,0)*ExposureCalculations!D48</f>
        <v>0</v>
      </c>
      <c r="AB51" s="308">
        <f t="shared" ca="1" si="3"/>
        <v>0</v>
      </c>
      <c r="AC51" s="308">
        <v>0</v>
      </c>
      <c r="AD51" s="819">
        <f t="shared" ca="1" si="4"/>
        <v>0</v>
      </c>
      <c r="AE51" s="308">
        <v>0</v>
      </c>
      <c r="AF51" s="819">
        <f t="shared" ca="1" si="5"/>
        <v>0</v>
      </c>
      <c r="AG51" s="308">
        <v>0</v>
      </c>
      <c r="AH51" s="308">
        <v>0</v>
      </c>
      <c r="AI51" s="308">
        <v>0</v>
      </c>
      <c r="AJ51" s="308">
        <f t="shared" ca="1" si="6"/>
        <v>0</v>
      </c>
      <c r="AK51" s="309">
        <v>0</v>
      </c>
      <c r="AL51" s="309">
        <v>0</v>
      </c>
      <c r="AM51" s="309">
        <f t="shared" si="19"/>
        <v>0</v>
      </c>
      <c r="AN51" s="310">
        <v>0</v>
      </c>
      <c r="AO51" s="310">
        <v>0</v>
      </c>
      <c r="AP51" s="310">
        <f t="shared" si="20"/>
        <v>0</v>
      </c>
      <c r="AQ51" s="309">
        <v>0</v>
      </c>
      <c r="AR51" s="311">
        <f t="shared" ca="1" si="7"/>
        <v>0</v>
      </c>
      <c r="AS51" s="870">
        <f t="shared" ca="1" si="21"/>
        <v>0</v>
      </c>
      <c r="AT51" s="822"/>
      <c r="AU51" s="878"/>
      <c r="AV51" s="35"/>
      <c r="AW51" s="879"/>
      <c r="AX51" s="35"/>
      <c r="AY51" s="880"/>
    </row>
    <row r="52" spans="1:51">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2"/>
        <v>0</v>
      </c>
      <c r="K52" s="307">
        <f t="shared" ca="1" si="10"/>
        <v>184820.24324457973</v>
      </c>
      <c r="L52" s="307">
        <f t="shared" si="11"/>
        <v>0</v>
      </c>
      <c r="M52" s="307">
        <v>0</v>
      </c>
      <c r="N52" s="307">
        <f t="shared" ca="1" si="12"/>
        <v>184820.24324457973</v>
      </c>
      <c r="O52" s="1494">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0</v>
      </c>
      <c r="Y52" s="306">
        <v>0</v>
      </c>
      <c r="Z52" s="306">
        <v>0</v>
      </c>
      <c r="AA52" s="308">
        <f ca="1">-SUM(W52,X52/OFFSET(GridFootprintbyYear,$A52-$A$19,0)*EF_PurchElec_MTperMWh,Z52)*OFFSET(ExposureCalculations!Price_GHG_Allowance_2010,A52-$A$19,0)*ExposureCalculations!D49</f>
        <v>0</v>
      </c>
      <c r="AB52" s="308">
        <f t="shared" ca="1" si="3"/>
        <v>0</v>
      </c>
      <c r="AC52" s="308">
        <v>0</v>
      </c>
      <c r="AD52" s="819">
        <f t="shared" ca="1" si="4"/>
        <v>0</v>
      </c>
      <c r="AE52" s="308">
        <v>0</v>
      </c>
      <c r="AF52" s="819">
        <f t="shared" ca="1" si="5"/>
        <v>0</v>
      </c>
      <c r="AG52" s="308">
        <v>0</v>
      </c>
      <c r="AH52" s="308">
        <v>0</v>
      </c>
      <c r="AI52" s="308">
        <v>0</v>
      </c>
      <c r="AJ52" s="308">
        <f t="shared" ca="1" si="6"/>
        <v>0</v>
      </c>
      <c r="AK52" s="309">
        <v>0</v>
      </c>
      <c r="AL52" s="309">
        <v>0</v>
      </c>
      <c r="AM52" s="309">
        <f t="shared" si="19"/>
        <v>0</v>
      </c>
      <c r="AN52" s="310">
        <v>0</v>
      </c>
      <c r="AO52" s="310">
        <v>0</v>
      </c>
      <c r="AP52" s="310">
        <f t="shared" si="20"/>
        <v>0</v>
      </c>
      <c r="AQ52" s="309">
        <v>0</v>
      </c>
      <c r="AR52" s="311">
        <f t="shared" ca="1" si="7"/>
        <v>0</v>
      </c>
      <c r="AS52" s="870">
        <f t="shared" ca="1" si="21"/>
        <v>0</v>
      </c>
      <c r="AT52" s="822"/>
      <c r="AU52" s="878"/>
      <c r="AV52" s="35"/>
      <c r="AW52" s="879"/>
      <c r="AX52" s="35"/>
      <c r="AY52" s="880"/>
    </row>
    <row r="53" spans="1:51">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2"/>
        <v>0</v>
      </c>
      <c r="K53" s="307">
        <f t="shared" ca="1" si="10"/>
        <v>186396.86884543177</v>
      </c>
      <c r="L53" s="307">
        <f t="shared" si="11"/>
        <v>0</v>
      </c>
      <c r="M53" s="307">
        <v>0</v>
      </c>
      <c r="N53" s="307">
        <f t="shared" ca="1" si="12"/>
        <v>186396.86884543177</v>
      </c>
      <c r="O53" s="1494">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0</v>
      </c>
      <c r="Y53" s="306">
        <v>0</v>
      </c>
      <c r="Z53" s="306">
        <v>0</v>
      </c>
      <c r="AA53" s="308">
        <f ca="1">-SUM(W53,X53/OFFSET(GridFootprintbyYear,$A53-$A$19,0)*EF_PurchElec_MTperMWh,Z53)*OFFSET(ExposureCalculations!Price_GHG_Allowance_2010,A53-$A$19,0)*ExposureCalculations!D50</f>
        <v>0</v>
      </c>
      <c r="AB53" s="308">
        <f t="shared" ca="1" si="3"/>
        <v>0</v>
      </c>
      <c r="AC53" s="308">
        <v>0</v>
      </c>
      <c r="AD53" s="819">
        <f t="shared" ca="1" si="4"/>
        <v>0</v>
      </c>
      <c r="AE53" s="308">
        <v>0</v>
      </c>
      <c r="AF53" s="819">
        <f t="shared" ca="1" si="5"/>
        <v>0</v>
      </c>
      <c r="AG53" s="308">
        <v>0</v>
      </c>
      <c r="AH53" s="308">
        <v>0</v>
      </c>
      <c r="AI53" s="308">
        <v>0</v>
      </c>
      <c r="AJ53" s="308">
        <f t="shared" ca="1" si="6"/>
        <v>0</v>
      </c>
      <c r="AK53" s="309">
        <v>0</v>
      </c>
      <c r="AL53" s="309">
        <v>0</v>
      </c>
      <c r="AM53" s="309">
        <f t="shared" si="19"/>
        <v>0</v>
      </c>
      <c r="AN53" s="310">
        <v>0</v>
      </c>
      <c r="AO53" s="310">
        <v>0</v>
      </c>
      <c r="AP53" s="310">
        <f t="shared" si="20"/>
        <v>0</v>
      </c>
      <c r="AQ53" s="309">
        <v>0</v>
      </c>
      <c r="AR53" s="311">
        <f t="shared" ca="1" si="7"/>
        <v>0</v>
      </c>
      <c r="AS53" s="870">
        <f t="shared" ca="1" si="21"/>
        <v>0</v>
      </c>
      <c r="AT53" s="822"/>
      <c r="AU53" s="878"/>
      <c r="AV53" s="35"/>
      <c r="AW53" s="879"/>
      <c r="AX53" s="35"/>
      <c r="AY53" s="880"/>
    </row>
    <row r="54" spans="1:51">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2"/>
        <v>0</v>
      </c>
      <c r="K54" s="307">
        <f t="shared" ca="1" si="10"/>
        <v>187973.49444628376</v>
      </c>
      <c r="L54" s="307">
        <f t="shared" si="11"/>
        <v>0</v>
      </c>
      <c r="M54" s="307">
        <v>0</v>
      </c>
      <c r="N54" s="307">
        <f t="shared" ca="1" si="12"/>
        <v>187973.49444628376</v>
      </c>
      <c r="O54" s="1494">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0</v>
      </c>
      <c r="Y54" s="306">
        <v>0</v>
      </c>
      <c r="Z54" s="306">
        <v>0</v>
      </c>
      <c r="AA54" s="308">
        <f ca="1">-SUM(W54,X54/OFFSET(GridFootprintbyYear,$A54-$A$19,0)*EF_PurchElec_MTperMWh,Z54)*OFFSET(ExposureCalculations!Price_GHG_Allowance_2010,A54-$A$19,0)*ExposureCalculations!D51</f>
        <v>0</v>
      </c>
      <c r="AB54" s="308">
        <f t="shared" ca="1" si="3"/>
        <v>0</v>
      </c>
      <c r="AC54" s="308">
        <v>0</v>
      </c>
      <c r="AD54" s="819">
        <f t="shared" ca="1" si="4"/>
        <v>0</v>
      </c>
      <c r="AE54" s="308">
        <v>0</v>
      </c>
      <c r="AF54" s="819">
        <f t="shared" ca="1" si="5"/>
        <v>0</v>
      </c>
      <c r="AG54" s="308">
        <v>0</v>
      </c>
      <c r="AH54" s="308">
        <v>0</v>
      </c>
      <c r="AI54" s="308">
        <v>0</v>
      </c>
      <c r="AJ54" s="308">
        <f t="shared" ca="1" si="6"/>
        <v>0</v>
      </c>
      <c r="AK54" s="309">
        <v>0</v>
      </c>
      <c r="AL54" s="309">
        <v>0</v>
      </c>
      <c r="AM54" s="309">
        <f t="shared" si="19"/>
        <v>0</v>
      </c>
      <c r="AN54" s="310">
        <v>0</v>
      </c>
      <c r="AO54" s="310">
        <v>0</v>
      </c>
      <c r="AP54" s="310">
        <f t="shared" si="20"/>
        <v>0</v>
      </c>
      <c r="AQ54" s="309">
        <v>0</v>
      </c>
      <c r="AR54" s="311">
        <f t="shared" ca="1" si="7"/>
        <v>0</v>
      </c>
      <c r="AS54" s="870">
        <f t="shared" ca="1" si="21"/>
        <v>0</v>
      </c>
      <c r="AT54" s="822"/>
      <c r="AU54" s="878"/>
      <c r="AV54" s="35"/>
      <c r="AW54" s="879"/>
      <c r="AX54" s="35"/>
      <c r="AY54" s="880"/>
    </row>
    <row r="55" spans="1:51">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2"/>
        <v>0</v>
      </c>
      <c r="K55" s="307">
        <f t="shared" ca="1" si="10"/>
        <v>189550.12004713583</v>
      </c>
      <c r="L55" s="307">
        <f t="shared" si="11"/>
        <v>0</v>
      </c>
      <c r="M55" s="307">
        <v>0</v>
      </c>
      <c r="N55" s="307">
        <f t="shared" ca="1" si="12"/>
        <v>189550.12004713583</v>
      </c>
      <c r="O55" s="1494">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0</v>
      </c>
      <c r="Y55" s="306">
        <v>0</v>
      </c>
      <c r="Z55" s="306">
        <v>0</v>
      </c>
      <c r="AA55" s="308">
        <f ca="1">-SUM(W55,X55/OFFSET(GridFootprintbyYear,$A55-$A$19,0)*EF_PurchElec_MTperMWh,Z55)*OFFSET(ExposureCalculations!Price_GHG_Allowance_2010,A55-$A$19,0)*ExposureCalculations!D52</f>
        <v>0</v>
      </c>
      <c r="AB55" s="308">
        <f t="shared" ca="1" si="3"/>
        <v>0</v>
      </c>
      <c r="AC55" s="308">
        <v>0</v>
      </c>
      <c r="AD55" s="819">
        <f t="shared" ca="1" si="4"/>
        <v>0</v>
      </c>
      <c r="AE55" s="308">
        <v>0</v>
      </c>
      <c r="AF55" s="819">
        <f t="shared" ca="1" si="5"/>
        <v>0</v>
      </c>
      <c r="AG55" s="308">
        <v>0</v>
      </c>
      <c r="AH55" s="308">
        <v>0</v>
      </c>
      <c r="AI55" s="308">
        <v>0</v>
      </c>
      <c r="AJ55" s="308">
        <f t="shared" ca="1" si="6"/>
        <v>0</v>
      </c>
      <c r="AK55" s="309">
        <v>0</v>
      </c>
      <c r="AL55" s="309">
        <v>0</v>
      </c>
      <c r="AM55" s="309">
        <f t="shared" si="19"/>
        <v>0</v>
      </c>
      <c r="AN55" s="310">
        <v>0</v>
      </c>
      <c r="AO55" s="310">
        <v>0</v>
      </c>
      <c r="AP55" s="310">
        <f t="shared" si="20"/>
        <v>0</v>
      </c>
      <c r="AQ55" s="309">
        <v>0</v>
      </c>
      <c r="AR55" s="311">
        <f t="shared" ca="1" si="7"/>
        <v>0</v>
      </c>
      <c r="AS55" s="870">
        <f t="shared" ca="1" si="21"/>
        <v>0</v>
      </c>
      <c r="AT55" s="822"/>
      <c r="AU55" s="878"/>
      <c r="AV55" s="35"/>
      <c r="AW55" s="879"/>
      <c r="AX55" s="35"/>
      <c r="AY55" s="880"/>
    </row>
    <row r="56" spans="1:51">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2"/>
        <v>0</v>
      </c>
      <c r="K56" s="307">
        <f t="shared" ca="1" si="10"/>
        <v>191126.74564798782</v>
      </c>
      <c r="L56" s="307">
        <f t="shared" si="11"/>
        <v>0</v>
      </c>
      <c r="M56" s="307">
        <v>0</v>
      </c>
      <c r="N56" s="307">
        <f t="shared" ca="1" si="12"/>
        <v>191126.74564798782</v>
      </c>
      <c r="O56" s="1494">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0</v>
      </c>
      <c r="Y56" s="306">
        <v>0</v>
      </c>
      <c r="Z56" s="306">
        <v>0</v>
      </c>
      <c r="AA56" s="308">
        <f ca="1">-SUM(W56,X56/OFFSET(GridFootprintbyYear,$A56-$A$19,0)*EF_PurchElec_MTperMWh,Z56)*OFFSET(ExposureCalculations!Price_GHG_Allowance_2010,A56-$A$19,0)*ExposureCalculations!D53</f>
        <v>0</v>
      </c>
      <c r="AB56" s="308">
        <f t="shared" ca="1" si="3"/>
        <v>0</v>
      </c>
      <c r="AC56" s="308">
        <v>0</v>
      </c>
      <c r="AD56" s="819">
        <f t="shared" ca="1" si="4"/>
        <v>0</v>
      </c>
      <c r="AE56" s="308">
        <v>0</v>
      </c>
      <c r="AF56" s="819">
        <f t="shared" ca="1" si="5"/>
        <v>0</v>
      </c>
      <c r="AG56" s="308">
        <v>0</v>
      </c>
      <c r="AH56" s="308">
        <v>0</v>
      </c>
      <c r="AI56" s="308">
        <v>0</v>
      </c>
      <c r="AJ56" s="308">
        <f t="shared" ca="1" si="6"/>
        <v>0</v>
      </c>
      <c r="AK56" s="309">
        <v>0</v>
      </c>
      <c r="AL56" s="309">
        <v>0</v>
      </c>
      <c r="AM56" s="309">
        <f t="shared" si="19"/>
        <v>0</v>
      </c>
      <c r="AN56" s="310">
        <v>0</v>
      </c>
      <c r="AO56" s="310">
        <v>0</v>
      </c>
      <c r="AP56" s="310">
        <f t="shared" si="20"/>
        <v>0</v>
      </c>
      <c r="AQ56" s="309">
        <v>0</v>
      </c>
      <c r="AR56" s="311">
        <f t="shared" ca="1" si="7"/>
        <v>0</v>
      </c>
      <c r="AS56" s="870">
        <f t="shared" ca="1" si="21"/>
        <v>0</v>
      </c>
      <c r="AT56" s="822"/>
      <c r="AU56" s="878"/>
      <c r="AV56" s="35"/>
      <c r="AW56" s="879"/>
      <c r="AX56" s="35"/>
      <c r="AY56" s="880"/>
    </row>
    <row r="57" spans="1:51">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2"/>
        <v>0</v>
      </c>
      <c r="K57" s="307">
        <f t="shared" ca="1" si="10"/>
        <v>192703.37124883989</v>
      </c>
      <c r="L57" s="307">
        <f t="shared" si="11"/>
        <v>0</v>
      </c>
      <c r="M57" s="307">
        <v>0</v>
      </c>
      <c r="N57" s="307">
        <f t="shared" ca="1" si="12"/>
        <v>192703.37124883989</v>
      </c>
      <c r="O57" s="1494">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0</v>
      </c>
      <c r="Y57" s="306">
        <v>0</v>
      </c>
      <c r="Z57" s="306">
        <v>0</v>
      </c>
      <c r="AA57" s="308">
        <f ca="1">-SUM(W57,X57/OFFSET(GridFootprintbyYear,$A57-$A$19,0)*EF_PurchElec_MTperMWh,Z57)*OFFSET(ExposureCalculations!Price_GHG_Allowance_2010,A57-$A$19,0)*ExposureCalculations!D54</f>
        <v>0</v>
      </c>
      <c r="AB57" s="308">
        <f t="shared" ca="1" si="3"/>
        <v>0</v>
      </c>
      <c r="AC57" s="308">
        <v>0</v>
      </c>
      <c r="AD57" s="819">
        <f t="shared" ca="1" si="4"/>
        <v>0</v>
      </c>
      <c r="AE57" s="308">
        <v>0</v>
      </c>
      <c r="AF57" s="819">
        <f t="shared" ca="1" si="5"/>
        <v>0</v>
      </c>
      <c r="AG57" s="308">
        <v>0</v>
      </c>
      <c r="AH57" s="308">
        <v>0</v>
      </c>
      <c r="AI57" s="308">
        <v>0</v>
      </c>
      <c r="AJ57" s="308">
        <f t="shared" ca="1" si="6"/>
        <v>0</v>
      </c>
      <c r="AK57" s="309">
        <v>0</v>
      </c>
      <c r="AL57" s="309">
        <v>0</v>
      </c>
      <c r="AM57" s="309">
        <f t="shared" si="19"/>
        <v>0</v>
      </c>
      <c r="AN57" s="310">
        <v>0</v>
      </c>
      <c r="AO57" s="310">
        <v>0</v>
      </c>
      <c r="AP57" s="310">
        <f t="shared" si="20"/>
        <v>0</v>
      </c>
      <c r="AQ57" s="309">
        <v>0</v>
      </c>
      <c r="AR57" s="311">
        <f t="shared" ca="1" si="7"/>
        <v>0</v>
      </c>
      <c r="AS57" s="870">
        <f t="shared" ca="1" si="21"/>
        <v>0</v>
      </c>
      <c r="AT57" s="822"/>
      <c r="AU57" s="878"/>
      <c r="AV57" s="35"/>
      <c r="AW57" s="879"/>
      <c r="AX57" s="35"/>
      <c r="AY57" s="880"/>
    </row>
    <row r="58" spans="1:51">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2"/>
        <v>0</v>
      </c>
      <c r="K58" s="307">
        <f t="shared" ca="1" si="10"/>
        <v>194279.99684969187</v>
      </c>
      <c r="L58" s="307">
        <f t="shared" si="11"/>
        <v>0</v>
      </c>
      <c r="M58" s="307">
        <v>0</v>
      </c>
      <c r="N58" s="307">
        <f t="shared" ca="1" si="12"/>
        <v>194279.99684969187</v>
      </c>
      <c r="O58" s="1494">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0</v>
      </c>
      <c r="Y58" s="306">
        <v>0</v>
      </c>
      <c r="Z58" s="306">
        <v>0</v>
      </c>
      <c r="AA58" s="308">
        <f ca="1">-SUM(W58,X58/OFFSET(GridFootprintbyYear,$A58-$A$19,0)*EF_PurchElec_MTperMWh,Z58)*OFFSET(ExposureCalculations!Price_GHG_Allowance_2010,A58-$A$19,0)*ExposureCalculations!D55</f>
        <v>0</v>
      </c>
      <c r="AB58" s="308">
        <f t="shared" ca="1" si="3"/>
        <v>0</v>
      </c>
      <c r="AC58" s="308">
        <v>0</v>
      </c>
      <c r="AD58" s="819">
        <f t="shared" ca="1" si="4"/>
        <v>0</v>
      </c>
      <c r="AE58" s="308">
        <v>0</v>
      </c>
      <c r="AF58" s="819">
        <f t="shared" ca="1" si="5"/>
        <v>0</v>
      </c>
      <c r="AG58" s="308">
        <v>0</v>
      </c>
      <c r="AH58" s="308">
        <v>0</v>
      </c>
      <c r="AI58" s="308">
        <v>0</v>
      </c>
      <c r="AJ58" s="308">
        <f t="shared" ca="1" si="6"/>
        <v>0</v>
      </c>
      <c r="AK58" s="309">
        <v>0</v>
      </c>
      <c r="AL58" s="309">
        <v>0</v>
      </c>
      <c r="AM58" s="309">
        <f t="shared" si="19"/>
        <v>0</v>
      </c>
      <c r="AN58" s="310">
        <v>0</v>
      </c>
      <c r="AO58" s="310">
        <v>0</v>
      </c>
      <c r="AP58" s="310">
        <f t="shared" si="20"/>
        <v>0</v>
      </c>
      <c r="AQ58" s="309">
        <v>0</v>
      </c>
      <c r="AR58" s="311">
        <f t="shared" ca="1" si="7"/>
        <v>0</v>
      </c>
      <c r="AS58" s="870">
        <f t="shared" ca="1" si="21"/>
        <v>0</v>
      </c>
      <c r="AT58" s="822"/>
      <c r="AU58" s="878"/>
      <c r="AV58" s="35"/>
      <c r="AW58" s="879"/>
      <c r="AX58" s="35"/>
      <c r="AY58" s="880"/>
    </row>
    <row r="59" spans="1:51">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2"/>
        <v>0</v>
      </c>
      <c r="K59" s="307">
        <f t="shared" ca="1" si="10"/>
        <v>195856.62245054395</v>
      </c>
      <c r="L59" s="307">
        <f t="shared" si="11"/>
        <v>0</v>
      </c>
      <c r="M59" s="307">
        <v>0</v>
      </c>
      <c r="N59" s="307">
        <f t="shared" ca="1" si="12"/>
        <v>195856.62245054395</v>
      </c>
      <c r="O59" s="1494">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0</v>
      </c>
      <c r="Y59" s="306">
        <v>0</v>
      </c>
      <c r="Z59" s="306">
        <v>0</v>
      </c>
      <c r="AA59" s="308">
        <f ca="1">-SUM(W59,X59/OFFSET(GridFootprintbyYear,$A59-$A$19,0)*EF_PurchElec_MTperMWh,Z59)*OFFSET(ExposureCalculations!Price_GHG_Allowance_2010,A59-$A$19,0)*ExposureCalculations!D56</f>
        <v>0</v>
      </c>
      <c r="AB59" s="308">
        <f t="shared" ca="1" si="3"/>
        <v>0</v>
      </c>
      <c r="AC59" s="308">
        <v>0</v>
      </c>
      <c r="AD59" s="819">
        <f t="shared" ca="1" si="4"/>
        <v>0</v>
      </c>
      <c r="AE59" s="308">
        <v>0</v>
      </c>
      <c r="AF59" s="819">
        <f t="shared" ca="1" si="5"/>
        <v>0</v>
      </c>
      <c r="AG59" s="308">
        <v>0</v>
      </c>
      <c r="AH59" s="308">
        <v>0</v>
      </c>
      <c r="AI59" s="308">
        <v>0</v>
      </c>
      <c r="AJ59" s="308">
        <f t="shared" ca="1" si="6"/>
        <v>0</v>
      </c>
      <c r="AK59" s="309">
        <v>0</v>
      </c>
      <c r="AL59" s="309">
        <v>0</v>
      </c>
      <c r="AM59" s="309">
        <f t="shared" si="19"/>
        <v>0</v>
      </c>
      <c r="AN59" s="310">
        <v>0</v>
      </c>
      <c r="AO59" s="310">
        <v>0</v>
      </c>
      <c r="AP59" s="310">
        <f t="shared" si="20"/>
        <v>0</v>
      </c>
      <c r="AQ59" s="309">
        <v>0</v>
      </c>
      <c r="AR59" s="311">
        <f t="shared" ca="1" si="7"/>
        <v>0</v>
      </c>
      <c r="AS59" s="870">
        <f t="shared" ca="1" si="21"/>
        <v>0</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R16:AS16"/>
    <mergeCell ref="AU17:AY17"/>
    <mergeCell ref="AK16:AP16"/>
    <mergeCell ref="D3:F3"/>
    <mergeCell ref="K16:N16"/>
    <mergeCell ref="O16:R16"/>
    <mergeCell ref="B16:J16"/>
    <mergeCell ref="S16:V16"/>
    <mergeCell ref="W16:AA16"/>
    <mergeCell ref="AB16:AJ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codeName="Sheet22">
    <tabColor rgb="FFA9DA74"/>
  </sheetPr>
  <dimension ref="A1:AY84"/>
  <sheetViews>
    <sheetView workbookViewId="0">
      <pane xSplit="1" topLeftCell="H1" activePane="topRight" state="frozen"/>
      <selection activeCell="B1" sqref="B1"/>
      <selection pane="topRight" activeCell="O3" sqref="O3:O7"/>
    </sheetView>
  </sheetViews>
  <sheetFormatPr defaultRowHeight="15"/>
  <cols>
    <col min="10" max="10" width="9.85546875" bestFit="1" customWidth="1"/>
    <col min="11" max="11" width="12" customWidth="1"/>
    <col min="12" max="12" width="12.85546875" customWidth="1"/>
    <col min="13" max="13" width="12.42578125" customWidth="1"/>
    <col min="15" max="15" width="13.5703125" style="37" bestFit="1" customWidth="1"/>
    <col min="35" max="36" width="13" customWidth="1"/>
    <col min="38" max="38" width="11.5703125" bestFit="1" customWidth="1"/>
    <col min="39" max="39" width="10" bestFit="1" customWidth="1"/>
    <col min="40" max="40" width="12.42578125" customWidth="1"/>
    <col min="44" max="44" width="10.85546875" customWidth="1"/>
    <col min="45" max="45" width="11.85546875" bestFit="1" customWidth="1"/>
    <col min="46" max="46" width="1.7109375" customWidth="1"/>
    <col min="47" max="47" width="13.5703125" bestFit="1" customWidth="1"/>
    <col min="51" max="51" width="10.5703125" customWidth="1"/>
  </cols>
  <sheetData>
    <row r="1" spans="1:50" ht="60">
      <c r="C1" s="257" t="s">
        <v>226</v>
      </c>
      <c r="D1" s="258" t="s">
        <v>788</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2010</v>
      </c>
      <c r="E2" s="266"/>
      <c r="J2" s="267" t="s">
        <v>231</v>
      </c>
      <c r="K2" s="268">
        <f ca="1">NPV(DiscountRate,AA19:AA59)</f>
        <v>6345442.8363218727</v>
      </c>
      <c r="L2" s="269">
        <f ca="1">-SUM(OFFSET(W19,0,0,M2-2010+1,4))</f>
        <v>520985.13819281635</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955</v>
      </c>
      <c r="E3" s="1635"/>
      <c r="F3" s="1635"/>
      <c r="G3" s="273"/>
      <c r="H3" s="273"/>
      <c r="I3" s="273"/>
      <c r="J3" s="275" t="s">
        <v>234</v>
      </c>
      <c r="K3" s="276">
        <f ca="1">NPV(DiscountRate,AJ19:AJ59)</f>
        <v>22609685.957038648</v>
      </c>
      <c r="L3" s="277" t="s">
        <v>235</v>
      </c>
      <c r="M3" s="278">
        <f ca="1">-SUM(OFFSET(W19,M2-2010,0,1,4))</f>
        <v>13710.13521560043</v>
      </c>
      <c r="N3" s="272"/>
      <c r="O3" s="1496">
        <f ca="1">AVERAGE(OFFSET(AJ19,0,0,$M$2-2010+1,1))</f>
        <v>1621581.8240716886</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12706.954590068692</v>
      </c>
      <c r="M4" s="281">
        <f ca="1">-SUM(OFFSET(W19,M2-2010,0,1,4))/SUM(OFFSET(ExposureCalculations!G16,M2-2010,0,1,3))</f>
        <v>1.2539781970568268E-2</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939</v>
      </c>
      <c r="E5" s="273"/>
      <c r="F5" s="272"/>
      <c r="G5" s="272"/>
      <c r="H5" s="272"/>
      <c r="I5" s="273"/>
      <c r="J5" s="275" t="s">
        <v>238</v>
      </c>
      <c r="K5" s="276">
        <f>NPV(DiscountRate,AL19:AL59)</f>
        <v>-1570304.7352544956</v>
      </c>
      <c r="L5" s="277"/>
      <c r="M5" s="272"/>
      <c r="N5" s="272"/>
      <c r="O5" s="1496">
        <f ca="1">AVERAGE(OFFSET(AL19,0,0,$M$2-2010+1,1))</f>
        <v>-47518.658536585368</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27384824.058106024</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18.439178169241035</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f ca="1">IFERROR(IF(K8&lt;0,"",IRR(AR19:AR59)),"")</f>
        <v>4.7790333494326473</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2.2658156874733124</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21039381.221784152</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-115.74016509626473</v>
      </c>
      <c r="L13" s="824" t="str">
        <f ca="1">IF(K13&gt;99998,"(Values $99,999 and above indicate net carbon increase)","")</f>
        <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34.907043783416192</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9" t="s">
        <v>1454</v>
      </c>
      <c r="AW18" s="875"/>
      <c r="AX18" s="876"/>
      <c r="AY18" s="877"/>
    </row>
    <row r="19" spans="1:51">
      <c r="A19" s="303">
        <v>2010</v>
      </c>
      <c r="B19" s="304">
        <f ca="1">IF($D$3="BAU",UtilityDemand!C12,INDIRECT($D$3&amp;"!B"&amp;ROW(A19))+INDIRECT($D$3&amp;"!D"&amp;ROW(A19)))</f>
        <v>127163.99016669342</v>
      </c>
      <c r="C19" s="305">
        <v>0</v>
      </c>
      <c r="D19" s="306">
        <f>IF(AND(A19&gt;=$AU$22,A19&lt;$AU$22+$AU$23),$AU$24/$AU$23,0)</f>
        <v>0</v>
      </c>
      <c r="E19" s="304">
        <f ca="1">IF($D$3="BAU",UtilityDemand!E12,INDIRECT($D$3&amp;"!E"&amp;ROW(D19))+INDIRECT($D$3&amp;"!G"&amp;ROW(D19)))</f>
        <v>678074.34788952675</v>
      </c>
      <c r="F19" s="305">
        <v>0</v>
      </c>
      <c r="G19" s="306">
        <f ca="1">-E19*F19</f>
        <v>0</v>
      </c>
      <c r="H19" s="304">
        <f ca="1">IF($D$3="BAU",UtilityDemand!G12,INDIRECT($D$3&amp;"!H"&amp;ROW(G19))+INDIRECT($D$3&amp;"!J"&amp;ROW(G19)))</f>
        <v>177513.47721383756</v>
      </c>
      <c r="I19" s="305">
        <v>0</v>
      </c>
      <c r="J19" s="306">
        <f ca="1">-H19*I19</f>
        <v>0</v>
      </c>
      <c r="K19" s="307">
        <f ca="1">IF($D$3="BAU",B19+D19,INDIRECT($D$3&amp;"!B"&amp;ROW(A19))+INDIRECT($D$3&amp;"!D"&amp;ROW(A19))+INDIRECT($D$3&amp;"!L"&amp;ROW(A19))+D19)</f>
        <v>127163.99016669342</v>
      </c>
      <c r="L19" s="307">
        <f>-M19</f>
        <v>0</v>
      </c>
      <c r="M19" s="307">
        <v>0</v>
      </c>
      <c r="N19" s="307">
        <f ca="1">K19+L19</f>
        <v>127163.99016669342</v>
      </c>
      <c r="O19" s="1494">
        <f ca="1">IF($D$3="BAU",E19+G19,INDIRECT($D$3&amp;"!E"&amp;ROW(A19))+INDIRECT($D$3&amp;"!G"&amp;ROW(A19))+INDIRECT($D$3&amp;"!P"&amp;ROW(A19))+G19)</f>
        <v>678074.34788952675</v>
      </c>
      <c r="P19" s="306">
        <f>-Q19</f>
        <v>0</v>
      </c>
      <c r="Q19" s="306">
        <v>0</v>
      </c>
      <c r="R19" s="306">
        <f ca="1">O19+P19</f>
        <v>678074.34788952675</v>
      </c>
      <c r="S19" s="818">
        <f ca="1">IF($D$3="BAU",H19+J19,INDIRECT($D$3&amp;"!H"&amp;ROW(A19))+INDIRECT($D$3&amp;"!J"&amp;ROW(A19))+INDIRECT($D$3&amp;"!T"&amp;ROW(A19))+J19)</f>
        <v>177513.47721383756</v>
      </c>
      <c r="T19" s="818">
        <f>-U19</f>
        <v>0</v>
      </c>
      <c r="U19" s="818">
        <v>0</v>
      </c>
      <c r="V19" s="818">
        <f ca="1">S19+T19</f>
        <v>177513.47721383756</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918">
        <f>6582</f>
        <v>6582</v>
      </c>
      <c r="AV19" s="879" t="s">
        <v>1457</v>
      </c>
      <c r="AW19" s="879"/>
      <c r="AX19" s="35"/>
      <c r="AY19" s="880"/>
    </row>
    <row r="20" spans="1:51">
      <c r="A20" s="303">
        <v>2011</v>
      </c>
      <c r="B20" s="304">
        <f ca="1">IF($D$3="BAU",UtilityDemand!C13,INDIRECT($D$3&amp;"!B"&amp;ROW(A20))+INDIRECT($D$3&amp;"!D"&amp;ROW(A20)))</f>
        <v>126834.76963995528</v>
      </c>
      <c r="C20" s="305">
        <f ca="1">D20/B20</f>
        <v>-1.0378857498908642E-2</v>
      </c>
      <c r="D20" s="306">
        <f>IF(AND(A20&gt;=$AU$22,A20&lt;$AU$22+$AU$23),-$AU$19/$AU$23+D19,D19)</f>
        <v>-1316.4</v>
      </c>
      <c r="E20" s="304">
        <f ca="1">IF($D$3="BAU",UtilityDemand!E13,INDIRECT($D$3&amp;"!E"&amp;ROW(D20))+INDIRECT($D$3&amp;"!G"&amp;ROW(D20)))</f>
        <v>675721.50815347023</v>
      </c>
      <c r="F20" s="305">
        <f ca="1">G20/E20</f>
        <v>-1.958363740139302E-2</v>
      </c>
      <c r="G20" s="306">
        <f t="shared" ref="G20:G59" ca="1" si="8">IF(AND($A20&gt;=$AU$22,$A20&lt;$AU$22+$AU$23),(-$AU$20/$AU$23)*1000*Btu_per_lb/1000000+G19,G19)</f>
        <v>-13233.084999999999</v>
      </c>
      <c r="H20" s="304">
        <f ca="1">IF($D$3="BAU",UtilityDemand!G13,INDIRECT($D$3&amp;"!H"&amp;ROW(G20))+INDIRECT($D$3&amp;"!J"&amp;ROW(G20)))</f>
        <v>178135.33068685894</v>
      </c>
      <c r="I20" s="305">
        <f ca="1">J20/H20</f>
        <v>-1.7997885021674202E-2</v>
      </c>
      <c r="J20" s="306">
        <f t="shared" ref="J20:J59" ca="1" si="9">IF(AND($A20&gt;=$AU$22,$A20&lt;$AU$22+$AU$23),(-$AU$21/$AU$23)*btu_tonhr/1000000+J19,J19)</f>
        <v>-3206.0591999999997</v>
      </c>
      <c r="K20" s="307">
        <f t="shared" ref="K20:K59" ca="1" si="10">IF($D$3="BAU",B20+D20,INDIRECT($D$3&amp;"!B"&amp;ROW(A20))+INDIRECT($D$3&amp;"!D"&amp;ROW(A20))+INDIRECT($D$3&amp;"!L"&amp;ROW(A20))+D20)</f>
        <v>125518.36963995529</v>
      </c>
      <c r="L20" s="307">
        <f t="shared" ref="L20:L59" si="11">-M20</f>
        <v>0</v>
      </c>
      <c r="M20" s="307">
        <v>0</v>
      </c>
      <c r="N20" s="307">
        <f t="shared" ref="N20:N59" ca="1" si="12">K20+L20</f>
        <v>125518.36963995529</v>
      </c>
      <c r="O20" s="1494">
        <f t="shared" ref="O20:O59" ca="1" si="13">IF($D$3="BAU",E20+G20,INDIRECT($D$3&amp;"!E"&amp;ROW(A20))+INDIRECT($D$3&amp;"!G"&amp;ROW(A20))+INDIRECT($D$3&amp;"!P"&amp;ROW(A20))+G20)</f>
        <v>662488.42315347027</v>
      </c>
      <c r="P20" s="306">
        <f t="shared" ref="P20:P59" si="14">-Q20</f>
        <v>0</v>
      </c>
      <c r="Q20" s="306">
        <v>0</v>
      </c>
      <c r="R20" s="306">
        <f t="shared" ref="R20:R59" ca="1" si="15">O20+P20</f>
        <v>662488.42315347027</v>
      </c>
      <c r="S20" s="818">
        <f t="shared" ref="S20:S59" ca="1" si="16">IF($D$3="BAU",H20+J20,INDIRECT($D$3&amp;"!H"&amp;ROW(A20))+INDIRECT($D$3&amp;"!J"&amp;ROW(A20))+INDIRECT($D$3&amp;"!T"&amp;ROW(A20))+J20)</f>
        <v>174929.27148685895</v>
      </c>
      <c r="T20" s="818">
        <f t="shared" ref="T20:T59" si="17">-U20</f>
        <v>0</v>
      </c>
      <c r="U20" s="818">
        <v>0</v>
      </c>
      <c r="V20" s="818">
        <f t="shared" ref="V20:V59" ca="1" si="18">S20+T20</f>
        <v>174929.27148685895</v>
      </c>
      <c r="W20" s="306">
        <f t="shared" si="1"/>
        <v>0</v>
      </c>
      <c r="X20" s="306">
        <f t="shared" ca="1" si="2"/>
        <v>-2742.0270431200861</v>
      </c>
      <c r="Y20" s="306">
        <v>0</v>
      </c>
      <c r="Z20" s="306">
        <v>0</v>
      </c>
      <c r="AA20" s="308">
        <f ca="1">-SUM(W20,X20/OFFSET(GridFootprintbyYear,$A20-$A$19,0)*EF_PurchElec_MTperMWh,Z20)*OFFSET(ExposureCalculations!Price_GHG_Allowance_2010,A20-$A$19,0)*ExposureCalculations!D17</f>
        <v>0</v>
      </c>
      <c r="AB20" s="308">
        <f t="shared" ca="1" si="3"/>
        <v>112453.47</v>
      </c>
      <c r="AC20" s="308">
        <v>0</v>
      </c>
      <c r="AD20" s="819">
        <f t="shared" ca="1" si="4"/>
        <v>147140.64299999995</v>
      </c>
      <c r="AE20" s="308">
        <v>0</v>
      </c>
      <c r="AF20" s="819">
        <f t="shared" ca="1" si="5"/>
        <v>61983.811199999989</v>
      </c>
      <c r="AG20" s="308">
        <v>0</v>
      </c>
      <c r="AH20" s="308">
        <v>0</v>
      </c>
      <c r="AI20" s="308">
        <v>0</v>
      </c>
      <c r="AJ20" s="308">
        <f t="shared" ca="1" si="6"/>
        <v>321577.92419999995</v>
      </c>
      <c r="AK20" s="309">
        <v>0</v>
      </c>
      <c r="AL20" s="309">
        <f>IF(AND($A20&gt;=$AU$22,$A20&lt;$AU$22+$AU$23),-$AU$24/$AU$23,0)</f>
        <v>-389653</v>
      </c>
      <c r="AM20" s="309">
        <f t="shared" ref="AM20:AM59" si="19">SUM(AK20:AL20)</f>
        <v>-389653</v>
      </c>
      <c r="AN20" s="310">
        <v>0</v>
      </c>
      <c r="AO20" s="310">
        <v>0</v>
      </c>
      <c r="AP20" s="310">
        <f t="shared" ref="AP20:AP59" si="20">SUM(AN20:AO20)</f>
        <v>0</v>
      </c>
      <c r="AQ20" s="309">
        <v>0</v>
      </c>
      <c r="AR20" s="311">
        <f t="shared" ca="1" si="7"/>
        <v>-68075.07580000005</v>
      </c>
      <c r="AS20" s="870">
        <f t="shared" ref="AS20:AS59" ca="1" si="21">AR20+AS19</f>
        <v>-68075.07580000005</v>
      </c>
      <c r="AT20" s="822"/>
      <c r="AU20" s="918">
        <f>29376+26935</f>
        <v>56311</v>
      </c>
      <c r="AV20" t="s">
        <v>1458</v>
      </c>
      <c r="AW20" s="879"/>
      <c r="AX20" s="35"/>
      <c r="AY20" s="880"/>
    </row>
    <row r="21" spans="1:51">
      <c r="A21" s="303">
        <v>2012</v>
      </c>
      <c r="B21" s="304">
        <f ca="1">IF($D$3="BAU",UtilityDemand!C14,INDIRECT($D$3&amp;"!B"&amp;ROW(A21))+INDIRECT($D$3&amp;"!D"&amp;ROW(A21)))</f>
        <v>127384.99211798218</v>
      </c>
      <c r="C21" s="305">
        <f t="shared" ref="C21:C59" ca="1" si="22">D21/B21</f>
        <v>-2.0668054817333095E-2</v>
      </c>
      <c r="D21" s="306">
        <f t="shared" ref="D21:D59" si="23">IF(AND(A21&gt;=$AU$22,A21&lt;$AU$22+$AU$23),-$AU$19/$AU$23+D20,D20)</f>
        <v>-2632.8</v>
      </c>
      <c r="E21" s="304">
        <f ca="1">IF($D$3="BAU",UtilityDemand!E14,INDIRECT($D$3&amp;"!E"&amp;ROW(D21))+INDIRECT($D$3&amp;"!G"&amp;ROW(D21)))</f>
        <v>675045.05423020513</v>
      </c>
      <c r="F21" s="305">
        <f t="shared" ref="F21:F59" ca="1" si="24">G21/E21</f>
        <v>-3.920652382259282E-2</v>
      </c>
      <c r="G21" s="306">
        <f t="shared" ca="1" si="8"/>
        <v>-26466.17</v>
      </c>
      <c r="H21" s="304">
        <f ca="1">IF($D$3="BAU",UtilityDemand!G14,INDIRECT($D$3&amp;"!H"&amp;ROW(G21))+INDIRECT($D$3&amp;"!J"&amp;ROW(G21)))</f>
        <v>181036.75386129992</v>
      </c>
      <c r="I21" s="305">
        <f t="shared" ref="I21:I59" ca="1" si="25">J21/H21</f>
        <v>-3.5418876351001084E-2</v>
      </c>
      <c r="J21" s="306">
        <f t="shared" ca="1" si="9"/>
        <v>-6412.1183999999994</v>
      </c>
      <c r="K21" s="307">
        <f t="shared" ca="1" si="10"/>
        <v>124752.19211798218</v>
      </c>
      <c r="L21" s="307">
        <f t="shared" si="11"/>
        <v>0</v>
      </c>
      <c r="M21" s="307">
        <v>0</v>
      </c>
      <c r="N21" s="307">
        <f t="shared" ca="1" si="12"/>
        <v>124752.19211798218</v>
      </c>
      <c r="O21" s="1494">
        <f t="shared" ca="1" si="13"/>
        <v>648578.88423020509</v>
      </c>
      <c r="P21" s="306">
        <f t="shared" si="14"/>
        <v>0</v>
      </c>
      <c r="Q21" s="306">
        <v>0</v>
      </c>
      <c r="R21" s="306">
        <f t="shared" ca="1" si="15"/>
        <v>648578.88423020509</v>
      </c>
      <c r="S21" s="818">
        <f t="shared" ca="1" si="16"/>
        <v>174624.63546129991</v>
      </c>
      <c r="T21" s="818">
        <f t="shared" si="17"/>
        <v>0</v>
      </c>
      <c r="U21" s="818">
        <v>0</v>
      </c>
      <c r="V21" s="818">
        <f t="shared" ca="1" si="18"/>
        <v>174624.63546129991</v>
      </c>
      <c r="W21" s="306">
        <f t="shared" si="1"/>
        <v>0</v>
      </c>
      <c r="X21" s="306">
        <f t="shared" ca="1" si="2"/>
        <v>-5484.0540862401722</v>
      </c>
      <c r="Y21" s="306">
        <v>0</v>
      </c>
      <c r="Z21" s="306">
        <v>0</v>
      </c>
      <c r="AA21" s="308">
        <f ca="1">-SUM(W21,X21/OFFSET(GridFootprintbyYear,$A21-$A$19,0)*EF_PurchElec_MTperMWh,Z21)*OFFSET(ExposureCalculations!Price_GHG_Allowance_2010,A21-$A$19,0)*ExposureCalculations!D18</f>
        <v>0</v>
      </c>
      <c r="AB21" s="308">
        <f t="shared" ca="1" si="3"/>
        <v>226031.47469999993</v>
      </c>
      <c r="AC21" s="308">
        <v>0</v>
      </c>
      <c r="AD21" s="819">
        <f t="shared" ca="1" si="4"/>
        <v>295752.69242999988</v>
      </c>
      <c r="AE21" s="308">
        <v>0</v>
      </c>
      <c r="AF21" s="819">
        <f t="shared" ca="1" si="5"/>
        <v>123967.62239999998</v>
      </c>
      <c r="AG21" s="308">
        <v>0</v>
      </c>
      <c r="AH21" s="308">
        <v>0</v>
      </c>
      <c r="AI21" s="308">
        <v>0</v>
      </c>
      <c r="AJ21" s="308">
        <f ca="1">SUM(AB21:AI21)</f>
        <v>645751.78952999983</v>
      </c>
      <c r="AK21" s="309">
        <v>0</v>
      </c>
      <c r="AL21" s="309">
        <f t="shared" ref="AL21:AL59" si="26">IF(AND($A21&gt;=$AU$22,$A21&lt;$AU$22+$AU$23),-$AU$24/$AU$23,0)</f>
        <v>-389653</v>
      </c>
      <c r="AM21" s="309">
        <f t="shared" si="19"/>
        <v>-389653</v>
      </c>
      <c r="AN21" s="310">
        <v>0</v>
      </c>
      <c r="AO21" s="310">
        <v>0</v>
      </c>
      <c r="AP21" s="310">
        <f t="shared" si="20"/>
        <v>0</v>
      </c>
      <c r="AQ21" s="309">
        <v>0</v>
      </c>
      <c r="AR21" s="311">
        <f t="shared" ca="1" si="7"/>
        <v>256098.78952999983</v>
      </c>
      <c r="AS21" s="870">
        <f t="shared" ca="1" si="21"/>
        <v>188023.71372999978</v>
      </c>
      <c r="AT21" s="822"/>
      <c r="AU21" s="918">
        <f>1041427+294431</f>
        <v>1335858</v>
      </c>
      <c r="AV21" t="s">
        <v>1459</v>
      </c>
      <c r="AW21" s="879"/>
      <c r="AX21" s="35"/>
      <c r="AY21" s="880"/>
    </row>
    <row r="22" spans="1:51">
      <c r="A22" s="303">
        <v>2013</v>
      </c>
      <c r="B22" s="304">
        <f ca="1">IF($D$3="BAU",UtilityDemand!C15,INDIRECT($D$3&amp;"!B"&amp;ROW(A22))+INDIRECT($D$3&amp;"!D"&amp;ROW(A22)))</f>
        <v>127462.23802167765</v>
      </c>
      <c r="C22" s="305">
        <f t="shared" ca="1" si="22"/>
        <v>-3.0983294042964751E-2</v>
      </c>
      <c r="D22" s="306">
        <f t="shared" si="23"/>
        <v>-3949.2000000000003</v>
      </c>
      <c r="E22" s="304">
        <f ca="1">IF($D$3="BAU",UtilityDemand!E15,INDIRECT($D$3&amp;"!E"&amp;ROW(D22))+INDIRECT($D$3&amp;"!G"&amp;ROW(D22)))</f>
        <v>674368.60030694015</v>
      </c>
      <c r="F22" s="305">
        <f t="shared" ca="1" si="24"/>
        <v>-5.8868777374763308E-2</v>
      </c>
      <c r="G22" s="306">
        <f t="shared" ca="1" si="8"/>
        <v>-39699.254999999997</v>
      </c>
      <c r="H22" s="304">
        <f ca="1">IF($D$3="BAU",UtilityDemand!G15,INDIRECT($D$3&amp;"!H"&amp;ROW(G22))+INDIRECT($D$3&amp;"!J"&amp;ROW(G22)))</f>
        <v>182445.67652955803</v>
      </c>
      <c r="I22" s="305">
        <f t="shared" ca="1" si="25"/>
        <v>-5.2718035214398509E-2</v>
      </c>
      <c r="J22" s="306">
        <f t="shared" ca="1" si="9"/>
        <v>-9618.1775999999991</v>
      </c>
      <c r="K22" s="307">
        <f t="shared" ca="1" si="10"/>
        <v>123513.03802167765</v>
      </c>
      <c r="L22" s="307">
        <f t="shared" si="11"/>
        <v>0</v>
      </c>
      <c r="M22" s="307">
        <v>0</v>
      </c>
      <c r="N22" s="307">
        <f t="shared" ca="1" si="12"/>
        <v>123513.03802167765</v>
      </c>
      <c r="O22" s="1494">
        <f t="shared" ca="1" si="13"/>
        <v>634669.34530694014</v>
      </c>
      <c r="P22" s="306">
        <f t="shared" si="14"/>
        <v>0</v>
      </c>
      <c r="Q22" s="306">
        <v>0</v>
      </c>
      <c r="R22" s="306">
        <f t="shared" ca="1" si="15"/>
        <v>634669.34530694014</v>
      </c>
      <c r="S22" s="818">
        <f t="shared" ca="1" si="16"/>
        <v>172827.49892955803</v>
      </c>
      <c r="T22" s="818">
        <f t="shared" si="17"/>
        <v>0</v>
      </c>
      <c r="U22" s="818">
        <v>0</v>
      </c>
      <c r="V22" s="818">
        <f t="shared" ca="1" si="18"/>
        <v>172827.49892955803</v>
      </c>
      <c r="W22" s="306">
        <f t="shared" si="1"/>
        <v>0</v>
      </c>
      <c r="X22" s="306">
        <f t="shared" ca="1" si="2"/>
        <v>-8226.0811293602583</v>
      </c>
      <c r="Y22" s="306">
        <v>0</v>
      </c>
      <c r="Z22" s="306">
        <v>0</v>
      </c>
      <c r="AA22" s="308">
        <f ca="1">-SUM(W22,X22/OFFSET(GridFootprintbyYear,$A22-$A$19,0)*EF_PurchElec_MTperMWh,Z22)*OFFSET(ExposureCalculations!Price_GHG_Allowance_2010,A22-$A$19,0)*ExposureCalculations!D19</f>
        <v>0</v>
      </c>
      <c r="AB22" s="308">
        <f t="shared" ca="1" si="3"/>
        <v>340742.44811024988</v>
      </c>
      <c r="AC22" s="308">
        <v>0</v>
      </c>
      <c r="AD22" s="819">
        <f t="shared" ca="1" si="4"/>
        <v>445847.18383822474</v>
      </c>
      <c r="AE22" s="308">
        <v>0</v>
      </c>
      <c r="AF22" s="819">
        <f t="shared" ca="1" si="5"/>
        <v>185951.43359999996</v>
      </c>
      <c r="AG22" s="308">
        <v>0</v>
      </c>
      <c r="AH22" s="308">
        <v>0</v>
      </c>
      <c r="AI22" s="308">
        <v>0</v>
      </c>
      <c r="AJ22" s="308">
        <f t="shared" ca="1" si="6"/>
        <v>972541.06554847455</v>
      </c>
      <c r="AK22" s="309">
        <v>0</v>
      </c>
      <c r="AL22" s="309">
        <f t="shared" si="26"/>
        <v>-389653</v>
      </c>
      <c r="AM22" s="309">
        <f t="shared" si="19"/>
        <v>-389653</v>
      </c>
      <c r="AN22" s="310">
        <v>0</v>
      </c>
      <c r="AO22" s="310">
        <v>0</v>
      </c>
      <c r="AP22" s="310">
        <f t="shared" si="20"/>
        <v>0</v>
      </c>
      <c r="AQ22" s="309">
        <v>0</v>
      </c>
      <c r="AR22" s="311">
        <f t="shared" ca="1" si="7"/>
        <v>582888.06554847455</v>
      </c>
      <c r="AS22" s="870">
        <f t="shared" ca="1" si="21"/>
        <v>770911.77927847439</v>
      </c>
      <c r="AT22" s="822"/>
      <c r="AU22" s="878">
        <v>2011</v>
      </c>
      <c r="AV22" t="s">
        <v>1460</v>
      </c>
      <c r="AW22" s="879"/>
      <c r="AX22" s="35"/>
      <c r="AY22" s="880"/>
    </row>
    <row r="23" spans="1:51">
      <c r="A23" s="303">
        <v>2014</v>
      </c>
      <c r="B23" s="304">
        <f ca="1">IF($D$3="BAU",UtilityDemand!C16,INDIRECT($D$3&amp;"!B"&amp;ROW(A23))+INDIRECT($D$3&amp;"!D"&amp;ROW(A23)))</f>
        <v>127367.1511544541</v>
      </c>
      <c r="C23" s="305">
        <f t="shared" ca="1" si="22"/>
        <v>-4.1341899793413565E-2</v>
      </c>
      <c r="D23" s="306">
        <f t="shared" si="23"/>
        <v>-5265.6</v>
      </c>
      <c r="E23" s="304">
        <f ca="1">IF($D$3="BAU",UtilityDemand!E16,INDIRECT($D$3&amp;"!E"&amp;ROW(D23))+INDIRECT($D$3&amp;"!G"&amp;ROW(D23)))</f>
        <v>673692.14638367516</v>
      </c>
      <c r="F23" s="305">
        <f t="shared" ca="1" si="24"/>
        <v>-7.8570516643449842E-2</v>
      </c>
      <c r="G23" s="306">
        <f t="shared" ca="1" si="8"/>
        <v>-52932.34</v>
      </c>
      <c r="H23" s="304">
        <f ca="1">IF($D$3="BAU",UtilityDemand!G16,INDIRECT($D$3&amp;"!H"&amp;ROW(G23))+INDIRECT($D$3&amp;"!J"&amp;ROW(G23)))</f>
        <v>183299.94495245279</v>
      </c>
      <c r="I23" s="305">
        <f t="shared" ca="1" si="25"/>
        <v>-6.9963124120558523E-2</v>
      </c>
      <c r="J23" s="306">
        <f t="shared" ca="1" si="9"/>
        <v>-12824.236799999999</v>
      </c>
      <c r="K23" s="307">
        <f t="shared" ca="1" si="10"/>
        <v>122101.55115445409</v>
      </c>
      <c r="L23" s="307">
        <f t="shared" si="11"/>
        <v>0</v>
      </c>
      <c r="M23" s="307">
        <v>0</v>
      </c>
      <c r="N23" s="307">
        <f t="shared" ca="1" si="12"/>
        <v>122101.55115445409</v>
      </c>
      <c r="O23" s="1494">
        <f t="shared" ca="1" si="13"/>
        <v>620759.8063836752</v>
      </c>
      <c r="P23" s="306">
        <f t="shared" si="14"/>
        <v>0</v>
      </c>
      <c r="Q23" s="306">
        <v>0</v>
      </c>
      <c r="R23" s="306">
        <f t="shared" ca="1" si="15"/>
        <v>620759.8063836752</v>
      </c>
      <c r="S23" s="818">
        <f t="shared" ca="1" si="16"/>
        <v>170475.70815245277</v>
      </c>
      <c r="T23" s="818">
        <f t="shared" si="17"/>
        <v>0</v>
      </c>
      <c r="U23" s="818">
        <v>0</v>
      </c>
      <c r="V23" s="818">
        <f t="shared" ca="1" si="18"/>
        <v>170475.70815245277</v>
      </c>
      <c r="W23" s="306">
        <f t="shared" si="1"/>
        <v>0</v>
      </c>
      <c r="X23" s="306">
        <f t="shared" ca="1" si="2"/>
        <v>-10968.108172480344</v>
      </c>
      <c r="Y23" s="306">
        <v>0</v>
      </c>
      <c r="Z23" s="306">
        <v>0</v>
      </c>
      <c r="AA23" s="308">
        <f ca="1">-SUM(W23,X23/OFFSET(GridFootprintbyYear,$A23-$A$19,0)*EF_PurchElec_MTperMWh,Z23)*OFFSET(ExposureCalculations!Price_GHG_Allowance_2010,A23-$A$19,0)*ExposureCalculations!D20</f>
        <v>0</v>
      </c>
      <c r="AB23" s="308">
        <f t="shared" ca="1" si="3"/>
        <v>456594.88046773471</v>
      </c>
      <c r="AC23" s="308">
        <v>0</v>
      </c>
      <c r="AD23" s="819">
        <f t="shared" ca="1" si="4"/>
        <v>597435.22634322103</v>
      </c>
      <c r="AE23" s="308">
        <v>0</v>
      </c>
      <c r="AF23" s="819">
        <f t="shared" ca="1" si="5"/>
        <v>247935.24479999996</v>
      </c>
      <c r="AG23" s="308">
        <v>0</v>
      </c>
      <c r="AH23" s="308">
        <v>0</v>
      </c>
      <c r="AI23" s="308">
        <v>0</v>
      </c>
      <c r="AJ23" s="308">
        <f t="shared" ca="1" si="6"/>
        <v>1301965.3516109558</v>
      </c>
      <c r="AK23" s="309">
        <v>0</v>
      </c>
      <c r="AL23" s="309">
        <f t="shared" si="26"/>
        <v>-389653</v>
      </c>
      <c r="AM23" s="309">
        <f t="shared" si="19"/>
        <v>-389653</v>
      </c>
      <c r="AN23" s="310">
        <v>0</v>
      </c>
      <c r="AO23" s="310">
        <v>0</v>
      </c>
      <c r="AP23" s="310">
        <f t="shared" si="20"/>
        <v>0</v>
      </c>
      <c r="AQ23" s="309">
        <v>0</v>
      </c>
      <c r="AR23" s="311">
        <f t="shared" ca="1" si="7"/>
        <v>912312.35161095578</v>
      </c>
      <c r="AS23" s="870">
        <f t="shared" ca="1" si="21"/>
        <v>1683224.1308894302</v>
      </c>
      <c r="AT23" s="822"/>
      <c r="AU23" s="878">
        <v>5</v>
      </c>
      <c r="AV23" s="35" t="s">
        <v>1455</v>
      </c>
      <c r="AW23" s="879"/>
      <c r="AX23" s="35"/>
      <c r="AY23" s="880"/>
    </row>
    <row r="24" spans="1:51">
      <c r="A24" s="303">
        <v>2015</v>
      </c>
      <c r="B24" s="304">
        <f ca="1">IF($D$3="BAU",UtilityDemand!C17,INDIRECT($D$3&amp;"!B"&amp;ROW(A24))+INDIRECT($D$3&amp;"!D"&amp;ROW(A24)))</f>
        <v>127698.36978310837</v>
      </c>
      <c r="C24" s="305">
        <f t="shared" ca="1" si="22"/>
        <v>-5.15433361536198E-2</v>
      </c>
      <c r="D24" s="306">
        <f t="shared" si="23"/>
        <v>-6582</v>
      </c>
      <c r="E24" s="304">
        <f ca="1">IF($D$3="BAU",UtilityDemand!E17,INDIRECT($D$3&amp;"!E"&amp;ROW(D24))+INDIRECT($D$3&amp;"!G"&amp;ROW(D24)))</f>
        <v>673015.6924604103</v>
      </c>
      <c r="F24" s="305">
        <f t="shared" ca="1" si="24"/>
        <v>-9.8311860690963204E-2</v>
      </c>
      <c r="G24" s="306">
        <f t="shared" ca="1" si="8"/>
        <v>-66165.424999999988</v>
      </c>
      <c r="H24" s="304">
        <f ca="1">IF($D$3="BAU",UtilityDemand!G17,INDIRECT($D$3&amp;"!H"&amp;ROW(G24))+INDIRECT($D$3&amp;"!J"&amp;ROW(G24)))</f>
        <v>185600.04280307685</v>
      </c>
      <c r="I24" s="305">
        <f t="shared" ca="1" si="25"/>
        <v>-8.6370109391667935E-2</v>
      </c>
      <c r="J24" s="306">
        <f t="shared" ca="1" si="9"/>
        <v>-16030.295999999998</v>
      </c>
      <c r="K24" s="307">
        <f t="shared" ca="1" si="10"/>
        <v>121116.36978310837</v>
      </c>
      <c r="L24" s="307">
        <f t="shared" si="11"/>
        <v>0</v>
      </c>
      <c r="M24" s="307">
        <v>0</v>
      </c>
      <c r="N24" s="307">
        <f t="shared" ca="1" si="12"/>
        <v>121116.36978310837</v>
      </c>
      <c r="O24" s="1494">
        <f t="shared" ca="1" si="13"/>
        <v>606850.26746041025</v>
      </c>
      <c r="P24" s="306">
        <f t="shared" si="14"/>
        <v>0</v>
      </c>
      <c r="Q24" s="306">
        <v>0</v>
      </c>
      <c r="R24" s="306">
        <f t="shared" ca="1" si="15"/>
        <v>606850.26746041025</v>
      </c>
      <c r="S24" s="818">
        <f t="shared" ca="1" si="16"/>
        <v>169569.74680307685</v>
      </c>
      <c r="T24" s="818">
        <f t="shared" si="17"/>
        <v>0</v>
      </c>
      <c r="U24" s="818">
        <v>0</v>
      </c>
      <c r="V24" s="818">
        <f t="shared" ca="1" si="18"/>
        <v>169569.74680307685</v>
      </c>
      <c r="W24" s="306">
        <f t="shared" si="1"/>
        <v>0</v>
      </c>
      <c r="X24" s="306">
        <f t="shared" ca="1" si="2"/>
        <v>-13710.13521560043</v>
      </c>
      <c r="Y24" s="306">
        <v>0</v>
      </c>
      <c r="Z24" s="306">
        <v>0</v>
      </c>
      <c r="AA24" s="308">
        <f ca="1">-SUM(W24,X24/OFFSET(GridFootprintbyYear,$A24-$A$19,0)*EF_PurchElec_MTperMWh,Z24)*OFFSET(ExposureCalculations!Price_GHG_Allowance_2010,A24-$A$19,0)*ExposureCalculations!D21</f>
        <v>139422.98218556857</v>
      </c>
      <c r="AB24" s="308">
        <f t="shared" ca="1" si="3"/>
        <v>573597.31858759164</v>
      </c>
      <c r="AC24" s="308">
        <v>0</v>
      </c>
      <c r="AD24" s="819">
        <f t="shared" ca="1" si="4"/>
        <v>750528.00309367117</v>
      </c>
      <c r="AE24" s="308">
        <v>0</v>
      </c>
      <c r="AF24" s="819">
        <f t="shared" ca="1" si="5"/>
        <v>309919.05599999992</v>
      </c>
      <c r="AG24" s="308">
        <v>0</v>
      </c>
      <c r="AH24" s="308">
        <v>0</v>
      </c>
      <c r="AI24" s="308">
        <v>0</v>
      </c>
      <c r="AJ24" s="308">
        <f t="shared" ca="1" si="6"/>
        <v>1634044.3776812628</v>
      </c>
      <c r="AK24" s="309">
        <v>0</v>
      </c>
      <c r="AL24" s="309">
        <f t="shared" si="26"/>
        <v>-389653</v>
      </c>
      <c r="AM24" s="309">
        <f t="shared" si="19"/>
        <v>-389653</v>
      </c>
      <c r="AN24" s="310">
        <v>0</v>
      </c>
      <c r="AO24" s="310">
        <v>0</v>
      </c>
      <c r="AP24" s="310">
        <f t="shared" si="20"/>
        <v>0</v>
      </c>
      <c r="AQ24" s="309">
        <v>0</v>
      </c>
      <c r="AR24" s="311">
        <f t="shared" ca="1" si="7"/>
        <v>1383814.3598668315</v>
      </c>
      <c r="AS24" s="870">
        <f t="shared" ca="1" si="21"/>
        <v>3067038.4907562616</v>
      </c>
      <c r="AT24" s="822"/>
      <c r="AU24" s="1261">
        <v>1948265</v>
      </c>
      <c r="AV24" s="35" t="s">
        <v>1456</v>
      </c>
      <c r="AW24" s="879"/>
      <c r="AX24" s="35"/>
      <c r="AY24" s="880"/>
    </row>
    <row r="25" spans="1:51">
      <c r="A25" s="303">
        <v>2016</v>
      </c>
      <c r="B25" s="304">
        <f ca="1">IF($D$3="BAU",UtilityDemand!C18,INDIRECT($D$3&amp;"!B"&amp;ROW(A25))+INDIRECT($D$3&amp;"!D"&amp;ROW(A25)))</f>
        <v>127591.25241876335</v>
      </c>
      <c r="C25" s="305">
        <f t="shared" ca="1" si="22"/>
        <v>-5.1586608605403594E-2</v>
      </c>
      <c r="D25" s="306">
        <f t="shared" si="23"/>
        <v>-6582</v>
      </c>
      <c r="E25" s="304">
        <f ca="1">IF($D$3="BAU",UtilityDemand!E18,INDIRECT($D$3&amp;"!E"&amp;ROW(D25))+INDIRECT($D$3&amp;"!G"&amp;ROW(D25)))</f>
        <v>672339.23853714543</v>
      </c>
      <c r="F25" s="305">
        <f t="shared" ca="1" si="24"/>
        <v>-9.8410774215648394E-2</v>
      </c>
      <c r="G25" s="306">
        <f t="shared" ca="1" si="8"/>
        <v>-66165.424999999988</v>
      </c>
      <c r="H25" s="304">
        <f ca="1">IF($D$3="BAU",UtilityDemand!G18,INDIRECT($D$3&amp;"!H"&amp;ROW(G25))+INDIRECT($D$3&amp;"!J"&amp;ROW(G25)))</f>
        <v>186442.28072885016</v>
      </c>
      <c r="I25" s="305">
        <f t="shared" ca="1" si="25"/>
        <v>-8.5979939407164002E-2</v>
      </c>
      <c r="J25" s="306">
        <f t="shared" ca="1" si="9"/>
        <v>-16030.295999999998</v>
      </c>
      <c r="K25" s="307">
        <f t="shared" ca="1" si="10"/>
        <v>121009.25241876335</v>
      </c>
      <c r="L25" s="307">
        <f t="shared" si="11"/>
        <v>0</v>
      </c>
      <c r="M25" s="307">
        <v>0</v>
      </c>
      <c r="N25" s="307">
        <f t="shared" ca="1" si="12"/>
        <v>121009.25241876335</v>
      </c>
      <c r="O25" s="1494">
        <f t="shared" ca="1" si="13"/>
        <v>606173.8135371455</v>
      </c>
      <c r="P25" s="306">
        <f t="shared" si="14"/>
        <v>0</v>
      </c>
      <c r="Q25" s="306">
        <v>0</v>
      </c>
      <c r="R25" s="306">
        <f t="shared" ca="1" si="15"/>
        <v>606173.8135371455</v>
      </c>
      <c r="S25" s="818">
        <f t="shared" ca="1" si="16"/>
        <v>170411.98472885016</v>
      </c>
      <c r="T25" s="818">
        <f t="shared" si="17"/>
        <v>0</v>
      </c>
      <c r="U25" s="818">
        <v>0</v>
      </c>
      <c r="V25" s="818">
        <f t="shared" ca="1" si="18"/>
        <v>170411.98472885016</v>
      </c>
      <c r="W25" s="306">
        <f t="shared" si="1"/>
        <v>0</v>
      </c>
      <c r="X25" s="306">
        <f t="shared" ca="1" si="2"/>
        <v>-13710.13521560043</v>
      </c>
      <c r="Y25" s="306">
        <v>0</v>
      </c>
      <c r="Z25" s="306">
        <v>0</v>
      </c>
      <c r="AA25" s="308">
        <f ca="1">-SUM(W25,X25/OFFSET(GridFootprintbyYear,$A25-$A$19,0)*EF_PurchElec_MTperMWh,Z25)*OFFSET(ExposureCalculations!Price_GHG_Allowance_2010,A25-$A$19,0)*ExposureCalculations!D22</f>
        <v>160936.50633664211</v>
      </c>
      <c r="AB25" s="308">
        <f t="shared" ca="1" si="3"/>
        <v>576465.30518052948</v>
      </c>
      <c r="AC25" s="308">
        <v>0</v>
      </c>
      <c r="AD25" s="819">
        <f t="shared" ca="1" si="4"/>
        <v>754280.6431091394</v>
      </c>
      <c r="AE25" s="308">
        <v>0</v>
      </c>
      <c r="AF25" s="819">
        <f t="shared" ca="1" si="5"/>
        <v>309919.05599999992</v>
      </c>
      <c r="AG25" s="308">
        <v>0</v>
      </c>
      <c r="AH25" s="308">
        <v>0</v>
      </c>
      <c r="AI25" s="308">
        <v>0</v>
      </c>
      <c r="AJ25" s="308">
        <f t="shared" ca="1" si="6"/>
        <v>1640665.0042896688</v>
      </c>
      <c r="AK25" s="309">
        <v>0</v>
      </c>
      <c r="AL25" s="309">
        <f t="shared" si="26"/>
        <v>0</v>
      </c>
      <c r="AM25" s="309">
        <f t="shared" si="19"/>
        <v>0</v>
      </c>
      <c r="AN25" s="310">
        <v>0</v>
      </c>
      <c r="AO25" s="310">
        <v>0</v>
      </c>
      <c r="AP25" s="310">
        <f t="shared" si="20"/>
        <v>0</v>
      </c>
      <c r="AQ25" s="309">
        <v>0</v>
      </c>
      <c r="AR25" s="311">
        <f t="shared" ca="1" si="7"/>
        <v>1801601.5106263109</v>
      </c>
      <c r="AS25" s="870">
        <f t="shared" ca="1" si="21"/>
        <v>4868640.0013825726</v>
      </c>
      <c r="AT25" s="822"/>
      <c r="AU25" s="878"/>
      <c r="AV25" s="35"/>
      <c r="AW25" s="879"/>
      <c r="AX25" s="35"/>
      <c r="AY25" s="880"/>
    </row>
    <row r="26" spans="1:51">
      <c r="A26" s="303">
        <v>2017</v>
      </c>
      <c r="B26" s="304">
        <f ca="1">IF($D$3="BAU",UtilityDemand!C19,INDIRECT($D$3&amp;"!B"&amp;ROW(A26))+INDIRECT($D$3&amp;"!D"&amp;ROW(A26)))</f>
        <v>127482.6940794487</v>
      </c>
      <c r="C26" s="305">
        <f t="shared" ca="1" si="22"/>
        <v>-5.1630537364530597E-2</v>
      </c>
      <c r="D26" s="306">
        <f t="shared" si="23"/>
        <v>-6582</v>
      </c>
      <c r="E26" s="304">
        <f ca="1">IF($D$3="BAU",UtilityDemand!E19,INDIRECT($D$3&amp;"!E"&amp;ROW(D26))+INDIRECT($D$3&amp;"!G"&amp;ROW(D26)))</f>
        <v>671662.78461388045</v>
      </c>
      <c r="F26" s="305">
        <f t="shared" ca="1" si="24"/>
        <v>-9.8509886978532815E-2</v>
      </c>
      <c r="G26" s="306">
        <f t="shared" ca="1" si="8"/>
        <v>-66165.424999999988</v>
      </c>
      <c r="H26" s="304">
        <f ca="1">IF($D$3="BAU",UtilityDemand!G19,INDIRECT($D$3&amp;"!H"&amp;ROW(G26))+INDIRECT($D$3&amp;"!J"&amp;ROW(G26)))</f>
        <v>187283.07767965386</v>
      </c>
      <c r="I26" s="305">
        <f t="shared" ca="1" si="25"/>
        <v>-8.5593937255877897E-2</v>
      </c>
      <c r="J26" s="306">
        <f t="shared" ca="1" si="9"/>
        <v>-16030.295999999998</v>
      </c>
      <c r="K26" s="307">
        <f t="shared" ca="1" si="10"/>
        <v>120900.6940794487</v>
      </c>
      <c r="L26" s="307">
        <f t="shared" si="11"/>
        <v>0</v>
      </c>
      <c r="M26" s="307">
        <v>0</v>
      </c>
      <c r="N26" s="307">
        <f t="shared" ca="1" si="12"/>
        <v>120900.6940794487</v>
      </c>
      <c r="O26" s="1494">
        <f t="shared" ca="1" si="13"/>
        <v>605497.35961388052</v>
      </c>
      <c r="P26" s="306">
        <f t="shared" si="14"/>
        <v>0</v>
      </c>
      <c r="Q26" s="306">
        <v>0</v>
      </c>
      <c r="R26" s="306">
        <f t="shared" ca="1" si="15"/>
        <v>605497.35961388052</v>
      </c>
      <c r="S26" s="818">
        <f t="shared" ca="1" si="16"/>
        <v>171252.78167965385</v>
      </c>
      <c r="T26" s="818">
        <f t="shared" si="17"/>
        <v>0</v>
      </c>
      <c r="U26" s="818">
        <v>0</v>
      </c>
      <c r="V26" s="818">
        <f t="shared" ca="1" si="18"/>
        <v>171252.78167965385</v>
      </c>
      <c r="W26" s="306">
        <f t="shared" si="1"/>
        <v>0</v>
      </c>
      <c r="X26" s="306">
        <f t="shared" ca="1" si="2"/>
        <v>-13710.13521560043</v>
      </c>
      <c r="Y26" s="306">
        <v>0</v>
      </c>
      <c r="Z26" s="306">
        <v>0</v>
      </c>
      <c r="AA26" s="308">
        <f ca="1">-SUM(W26,X26/OFFSET(GridFootprintbyYear,$A26-$A$19,0)*EF_PurchElec_MTperMWh,Z26)*OFFSET(ExposureCalculations!Price_GHG_Allowance_2010,A26-$A$19,0)*ExposureCalculations!D23</f>
        <v>183453.36791705477</v>
      </c>
      <c r="AB26" s="308">
        <f t="shared" ca="1" si="3"/>
        <v>579347.63170643209</v>
      </c>
      <c r="AC26" s="308">
        <v>0</v>
      </c>
      <c r="AD26" s="819">
        <f t="shared" ca="1" si="4"/>
        <v>758052.0463246851</v>
      </c>
      <c r="AE26" s="308">
        <v>0</v>
      </c>
      <c r="AF26" s="819">
        <f t="shared" ca="1" si="5"/>
        <v>309919.05599999992</v>
      </c>
      <c r="AG26" s="308">
        <v>0</v>
      </c>
      <c r="AH26" s="308">
        <v>0</v>
      </c>
      <c r="AI26" s="308">
        <v>0</v>
      </c>
      <c r="AJ26" s="308">
        <f t="shared" ca="1" si="6"/>
        <v>1647318.7340311171</v>
      </c>
      <c r="AK26" s="309">
        <v>0</v>
      </c>
      <c r="AL26" s="309">
        <f t="shared" si="26"/>
        <v>0</v>
      </c>
      <c r="AM26" s="309">
        <f t="shared" si="19"/>
        <v>0</v>
      </c>
      <c r="AN26" s="310">
        <v>0</v>
      </c>
      <c r="AO26" s="310">
        <v>0</v>
      </c>
      <c r="AP26" s="310">
        <f t="shared" si="20"/>
        <v>0</v>
      </c>
      <c r="AQ26" s="309">
        <v>0</v>
      </c>
      <c r="AR26" s="311">
        <f t="shared" ca="1" si="7"/>
        <v>1830772.1019481719</v>
      </c>
      <c r="AS26" s="870">
        <f t="shared" ca="1" si="21"/>
        <v>6699412.1033307444</v>
      </c>
      <c r="AT26" s="822"/>
      <c r="AU26" s="878" t="s">
        <v>1461</v>
      </c>
      <c r="AV26" s="35"/>
      <c r="AW26" s="879"/>
      <c r="AX26" s="35"/>
      <c r="AY26" s="880"/>
    </row>
    <row r="27" spans="1:51">
      <c r="A27" s="303">
        <v>2018</v>
      </c>
      <c r="B27" s="304">
        <f ca="1">IF($D$3="BAU",UtilityDemand!C20,INDIRECT($D$3&amp;"!B"&amp;ROW(A27))+INDIRECT($D$3&amp;"!D"&amp;ROW(A27)))</f>
        <v>127372.74153917041</v>
      </c>
      <c r="C27" s="305">
        <f t="shared" ca="1" si="22"/>
        <v>-5.1675106623781546E-2</v>
      </c>
      <c r="D27" s="306">
        <f t="shared" si="23"/>
        <v>-6582</v>
      </c>
      <c r="E27" s="304">
        <f ca="1">IF($D$3="BAU",UtilityDemand!E20,INDIRECT($D$3&amp;"!E"&amp;ROW(D27))+INDIRECT($D$3&amp;"!G"&amp;ROW(D27)))</f>
        <v>670986.33069061558</v>
      </c>
      <c r="F27" s="305">
        <f t="shared" ca="1" si="24"/>
        <v>-9.8609199582201532E-2</v>
      </c>
      <c r="G27" s="306">
        <f t="shared" ca="1" si="8"/>
        <v>-66165.424999999988</v>
      </c>
      <c r="H27" s="304">
        <f ca="1">IF($D$3="BAU",UtilityDemand!G20,INDIRECT($D$3&amp;"!H"&amp;ROW(G27))+INDIRECT($D$3&amp;"!J"&amp;ROW(G27)))</f>
        <v>188122.48042949394</v>
      </c>
      <c r="I27" s="305">
        <f t="shared" ca="1" si="25"/>
        <v>-8.5212016997659998E-2</v>
      </c>
      <c r="J27" s="306">
        <f t="shared" ca="1" si="9"/>
        <v>-16030.295999999998</v>
      </c>
      <c r="K27" s="307">
        <f t="shared" ca="1" si="10"/>
        <v>120790.74153917041</v>
      </c>
      <c r="L27" s="307">
        <f t="shared" si="11"/>
        <v>0</v>
      </c>
      <c r="M27" s="307">
        <v>0</v>
      </c>
      <c r="N27" s="307">
        <f t="shared" ca="1" si="12"/>
        <v>120790.74153917041</v>
      </c>
      <c r="O27" s="1494">
        <f t="shared" ca="1" si="13"/>
        <v>604820.90569061553</v>
      </c>
      <c r="P27" s="306">
        <f t="shared" si="14"/>
        <v>0</v>
      </c>
      <c r="Q27" s="306">
        <v>0</v>
      </c>
      <c r="R27" s="306">
        <f t="shared" ca="1" si="15"/>
        <v>604820.90569061553</v>
      </c>
      <c r="S27" s="818">
        <f t="shared" ca="1" si="16"/>
        <v>172092.18442949394</v>
      </c>
      <c r="T27" s="818">
        <f t="shared" si="17"/>
        <v>0</v>
      </c>
      <c r="U27" s="818">
        <v>0</v>
      </c>
      <c r="V27" s="818">
        <f t="shared" ca="1" si="18"/>
        <v>172092.18442949394</v>
      </c>
      <c r="W27" s="306">
        <f t="shared" si="1"/>
        <v>0</v>
      </c>
      <c r="X27" s="306">
        <f t="shared" ca="1" si="2"/>
        <v>-13710.13521560043</v>
      </c>
      <c r="Y27" s="306">
        <v>0</v>
      </c>
      <c r="Z27" s="306">
        <v>0</v>
      </c>
      <c r="AA27" s="308">
        <f ca="1">-SUM(W27,X27/OFFSET(GridFootprintbyYear,$A27-$A$19,0)*EF_PurchElec_MTperMWh,Z27)*OFFSET(ExposureCalculations!Price_GHG_Allowance_2010,A27-$A$19,0)*ExposureCalculations!D24</f>
        <v>206942.47238103967</v>
      </c>
      <c r="AB27" s="308">
        <f t="shared" ca="1" si="3"/>
        <v>582244.36986496416</v>
      </c>
      <c r="AC27" s="308">
        <v>0</v>
      </c>
      <c r="AD27" s="819">
        <f t="shared" ca="1" si="4"/>
        <v>761842.30655630841</v>
      </c>
      <c r="AE27" s="308">
        <v>0</v>
      </c>
      <c r="AF27" s="819">
        <f t="shared" ca="1" si="5"/>
        <v>309919.05599999992</v>
      </c>
      <c r="AG27" s="308">
        <v>0</v>
      </c>
      <c r="AH27" s="308">
        <v>0</v>
      </c>
      <c r="AI27" s="308">
        <v>0</v>
      </c>
      <c r="AJ27" s="308">
        <f t="shared" ca="1" si="6"/>
        <v>1654005.7324212724</v>
      </c>
      <c r="AK27" s="309">
        <v>0</v>
      </c>
      <c r="AL27" s="309">
        <f t="shared" si="26"/>
        <v>0</v>
      </c>
      <c r="AM27" s="309">
        <f t="shared" si="19"/>
        <v>0</v>
      </c>
      <c r="AN27" s="310">
        <v>0</v>
      </c>
      <c r="AO27" s="310">
        <v>0</v>
      </c>
      <c r="AP27" s="310">
        <f t="shared" si="20"/>
        <v>0</v>
      </c>
      <c r="AQ27" s="309">
        <v>0</v>
      </c>
      <c r="AR27" s="311">
        <f t="shared" ca="1" si="7"/>
        <v>1860948.2048023122</v>
      </c>
      <c r="AS27" s="870">
        <f t="shared" ca="1" si="21"/>
        <v>8560360.3081330564</v>
      </c>
      <c r="AT27" s="822"/>
      <c r="AU27" s="878"/>
      <c r="AV27" s="35"/>
      <c r="AW27" s="879"/>
      <c r="AX27" s="35"/>
      <c r="AY27" s="880"/>
    </row>
    <row r="28" spans="1:51">
      <c r="A28" s="303">
        <v>2019</v>
      </c>
      <c r="B28" s="304">
        <f ca="1">IF($D$3="BAU",UtilityDemand!C21,INDIRECT($D$3&amp;"!B"&amp;ROW(A28))+INDIRECT($D$3&amp;"!D"&amp;ROW(A28)))</f>
        <v>127261.43956922642</v>
      </c>
      <c r="C28" s="305">
        <f t="shared" ca="1" si="22"/>
        <v>-5.1720301312634366E-2</v>
      </c>
      <c r="D28" s="306">
        <f t="shared" si="23"/>
        <v>-6582</v>
      </c>
      <c r="E28" s="304">
        <f ca="1">IF($D$3="BAU",UtilityDemand!E21,INDIRECT($D$3&amp;"!E"&amp;ROW(D28))+INDIRECT($D$3&amp;"!G"&amp;ROW(D28)))</f>
        <v>670309.87676735059</v>
      </c>
      <c r="F28" s="305">
        <f t="shared" ca="1" si="24"/>
        <v>-9.8708712631672163E-2</v>
      </c>
      <c r="G28" s="306">
        <f t="shared" ca="1" si="8"/>
        <v>-66165.424999999988</v>
      </c>
      <c r="H28" s="304">
        <f ca="1">IF($D$3="BAU",UtilityDemand!G21,INDIRECT($D$3&amp;"!H"&amp;ROW(G28))+INDIRECT($D$3&amp;"!J"&amp;ROW(G28)))</f>
        <v>188960.53374966836</v>
      </c>
      <c r="I28" s="305">
        <f t="shared" ca="1" si="25"/>
        <v>-8.4834095680723767E-2</v>
      </c>
      <c r="J28" s="306">
        <f t="shared" ca="1" si="9"/>
        <v>-16030.295999999998</v>
      </c>
      <c r="K28" s="307">
        <f t="shared" ca="1" si="10"/>
        <v>120679.43956922642</v>
      </c>
      <c r="L28" s="307">
        <f t="shared" si="11"/>
        <v>0</v>
      </c>
      <c r="M28" s="307">
        <v>0</v>
      </c>
      <c r="N28" s="307">
        <f t="shared" ca="1" si="12"/>
        <v>120679.43956922642</v>
      </c>
      <c r="O28" s="1494">
        <f t="shared" ca="1" si="13"/>
        <v>604144.45176735055</v>
      </c>
      <c r="P28" s="306">
        <f t="shared" si="14"/>
        <v>0</v>
      </c>
      <c r="Q28" s="306">
        <v>0</v>
      </c>
      <c r="R28" s="306">
        <f t="shared" ca="1" si="15"/>
        <v>604144.45176735055</v>
      </c>
      <c r="S28" s="818">
        <f t="shared" ca="1" si="16"/>
        <v>172930.23774966836</v>
      </c>
      <c r="T28" s="818">
        <f t="shared" si="17"/>
        <v>0</v>
      </c>
      <c r="U28" s="818">
        <v>0</v>
      </c>
      <c r="V28" s="818">
        <f t="shared" ca="1" si="18"/>
        <v>172930.23774966836</v>
      </c>
      <c r="W28" s="306">
        <f t="shared" si="1"/>
        <v>0</v>
      </c>
      <c r="X28" s="306">
        <f t="shared" ca="1" si="2"/>
        <v>-13710.13521560043</v>
      </c>
      <c r="Y28" s="306">
        <v>0</v>
      </c>
      <c r="Z28" s="306">
        <v>0</v>
      </c>
      <c r="AA28" s="308">
        <f ca="1">-SUM(W28,X28/OFFSET(GridFootprintbyYear,$A28-$A$19,0)*EF_PurchElec_MTperMWh,Z28)*OFFSET(ExposureCalculations!Price_GHG_Allowance_2010,A28-$A$19,0)*ExposureCalculations!D25</f>
        <v>231373.04930307259</v>
      </c>
      <c r="AB28" s="308">
        <f t="shared" ca="1" si="3"/>
        <v>585155.59171428904</v>
      </c>
      <c r="AC28" s="308">
        <v>0</v>
      </c>
      <c r="AD28" s="819">
        <f t="shared" ca="1" si="4"/>
        <v>765651.51808909001</v>
      </c>
      <c r="AE28" s="308">
        <v>0</v>
      </c>
      <c r="AF28" s="819">
        <f t="shared" ca="1" si="5"/>
        <v>309919.05599999992</v>
      </c>
      <c r="AG28" s="308">
        <v>0</v>
      </c>
      <c r="AH28" s="308">
        <v>0</v>
      </c>
      <c r="AI28" s="308">
        <v>0</v>
      </c>
      <c r="AJ28" s="308">
        <f t="shared" ca="1" si="6"/>
        <v>1660726.1658033789</v>
      </c>
      <c r="AK28" s="309">
        <v>0</v>
      </c>
      <c r="AL28" s="309">
        <f t="shared" si="26"/>
        <v>0</v>
      </c>
      <c r="AM28" s="309">
        <f t="shared" si="19"/>
        <v>0</v>
      </c>
      <c r="AN28" s="310">
        <v>0</v>
      </c>
      <c r="AO28" s="310">
        <v>0</v>
      </c>
      <c r="AP28" s="310">
        <f t="shared" si="20"/>
        <v>0</v>
      </c>
      <c r="AQ28" s="309">
        <v>0</v>
      </c>
      <c r="AR28" s="311">
        <f t="shared" ca="1" si="7"/>
        <v>1892099.2151064514</v>
      </c>
      <c r="AS28" s="870">
        <f t="shared" ca="1" si="21"/>
        <v>10452459.523239508</v>
      </c>
      <c r="AT28" s="822"/>
      <c r="AU28" s="878"/>
      <c r="AV28" s="35"/>
      <c r="AW28" s="879"/>
      <c r="AX28" s="35"/>
      <c r="AY28" s="880"/>
    </row>
    <row r="29" spans="1:51">
      <c r="A29" s="303">
        <v>2020</v>
      </c>
      <c r="B29" s="304">
        <f ca="1">IF($D$3="BAU",UtilityDemand!C22,INDIRECT($D$3&amp;"!B"&amp;ROW(A29))+INDIRECT($D$3&amp;"!D"&amp;ROW(A29)))</f>
        <v>127148.83104425845</v>
      </c>
      <c r="C29" s="305">
        <f t="shared" ca="1" si="22"/>
        <v>-5.176610705692538E-2</v>
      </c>
      <c r="D29" s="306">
        <f t="shared" si="23"/>
        <v>-6582</v>
      </c>
      <c r="E29" s="304">
        <f ca="1">IF($D$3="BAU",UtilityDemand!E22,INDIRECT($D$3&amp;"!E"&amp;ROW(D29))+INDIRECT($D$3&amp;"!G"&amp;ROW(D29)))</f>
        <v>669633.42284408561</v>
      </c>
      <c r="F29" s="305">
        <f t="shared" ca="1" si="24"/>
        <v>-9.8808426734406957E-2</v>
      </c>
      <c r="G29" s="306">
        <f t="shared" ca="1" si="8"/>
        <v>-66165.424999999988</v>
      </c>
      <c r="H29" s="304">
        <f ca="1">IF($D$3="BAU",UtilityDemand!G22,INDIRECT($D$3&amp;"!H"&amp;ROW(G29))+INDIRECT($D$3&amp;"!J"&amp;ROW(G29)))</f>
        <v>189797.28051481873</v>
      </c>
      <c r="I29" s="305">
        <f t="shared" ca="1" si="25"/>
        <v>-8.4460093192686214E-2</v>
      </c>
      <c r="J29" s="306">
        <f t="shared" ca="1" si="9"/>
        <v>-16030.295999999998</v>
      </c>
      <c r="K29" s="307">
        <f t="shared" ca="1" si="10"/>
        <v>120566.83104425845</v>
      </c>
      <c r="L29" s="307">
        <f t="shared" si="11"/>
        <v>0</v>
      </c>
      <c r="M29" s="307">
        <v>0</v>
      </c>
      <c r="N29" s="307">
        <f t="shared" ca="1" si="12"/>
        <v>120566.83104425845</v>
      </c>
      <c r="O29" s="1494">
        <f t="shared" ca="1" si="13"/>
        <v>603467.99784408556</v>
      </c>
      <c r="P29" s="306">
        <f t="shared" si="14"/>
        <v>0</v>
      </c>
      <c r="Q29" s="306">
        <v>0</v>
      </c>
      <c r="R29" s="306">
        <f t="shared" ca="1" si="15"/>
        <v>603467.99784408556</v>
      </c>
      <c r="S29" s="818">
        <f t="shared" ca="1" si="16"/>
        <v>173766.98451481873</v>
      </c>
      <c r="T29" s="818">
        <f t="shared" si="17"/>
        <v>0</v>
      </c>
      <c r="U29" s="818">
        <v>0</v>
      </c>
      <c r="V29" s="818">
        <f t="shared" ca="1" si="18"/>
        <v>173766.98451481873</v>
      </c>
      <c r="W29" s="306">
        <f t="shared" si="1"/>
        <v>0</v>
      </c>
      <c r="X29" s="306">
        <f t="shared" ca="1" si="2"/>
        <v>-13710.13521560043</v>
      </c>
      <c r="Y29" s="306">
        <v>0</v>
      </c>
      <c r="Z29" s="306">
        <v>0</v>
      </c>
      <c r="AA29" s="308">
        <f ca="1">-SUM(W29,X29/OFFSET(GridFootprintbyYear,$A29-$A$19,0)*EF_PurchElec_MTperMWh,Z29)*OFFSET(ExposureCalculations!Price_GHG_Allowance_2010,A29-$A$19,0)*ExposureCalculations!D26</f>
        <v>256714.6597304951</v>
      </c>
      <c r="AB29" s="308">
        <f t="shared" ca="1" si="3"/>
        <v>588081.36967286025</v>
      </c>
      <c r="AC29" s="308">
        <v>0</v>
      </c>
      <c r="AD29" s="819">
        <f t="shared" ca="1" si="4"/>
        <v>769479.77567953523</v>
      </c>
      <c r="AE29" s="308">
        <v>0</v>
      </c>
      <c r="AF29" s="819">
        <f t="shared" ca="1" si="5"/>
        <v>309919.05599999992</v>
      </c>
      <c r="AG29" s="308">
        <v>0</v>
      </c>
      <c r="AH29" s="308">
        <v>0</v>
      </c>
      <c r="AI29" s="308">
        <v>0</v>
      </c>
      <c r="AJ29" s="308">
        <f t="shared" ca="1" si="6"/>
        <v>1667480.2013523954</v>
      </c>
      <c r="AK29" s="309">
        <v>0</v>
      </c>
      <c r="AL29" s="309">
        <f t="shared" si="26"/>
        <v>0</v>
      </c>
      <c r="AM29" s="309">
        <f t="shared" si="19"/>
        <v>0</v>
      </c>
      <c r="AN29" s="310">
        <v>0</v>
      </c>
      <c r="AO29" s="310">
        <v>0</v>
      </c>
      <c r="AP29" s="310">
        <f t="shared" si="20"/>
        <v>0</v>
      </c>
      <c r="AQ29" s="309">
        <v>0</v>
      </c>
      <c r="AR29" s="311">
        <f t="shared" ca="1" si="7"/>
        <v>1924194.8610828905</v>
      </c>
      <c r="AS29" s="870">
        <f t="shared" ca="1" si="21"/>
        <v>12376654.384322399</v>
      </c>
      <c r="AT29" s="822"/>
      <c r="AU29" s="878"/>
      <c r="AV29" s="35"/>
      <c r="AW29" s="879"/>
      <c r="AX29" s="35"/>
      <c r="AY29" s="880"/>
    </row>
    <row r="30" spans="1:51">
      <c r="A30" s="303">
        <v>2021</v>
      </c>
      <c r="B30" s="304">
        <f ca="1">IF($D$3="BAU",UtilityDemand!C23,INDIRECT($D$3&amp;"!B"&amp;ROW(A30))+INDIRECT($D$3&amp;"!D"&amp;ROW(A30)))</f>
        <v>127034.9570416346</v>
      </c>
      <c r="C30" s="305">
        <f t="shared" ca="1" si="22"/>
        <v>-5.1812510141148058E-2</v>
      </c>
      <c r="D30" s="306">
        <f t="shared" si="23"/>
        <v>-6582</v>
      </c>
      <c r="E30" s="304">
        <f ca="1">IF($D$3="BAU",UtilityDemand!E23,INDIRECT($D$3&amp;"!E"&amp;ROW(D30))+INDIRECT($D$3&amp;"!G"&amp;ROW(D30)))</f>
        <v>668956.96892082074</v>
      </c>
      <c r="F30" s="305">
        <f t="shared" ca="1" si="24"/>
        <v>-9.8908342500325278E-2</v>
      </c>
      <c r="G30" s="306">
        <f t="shared" ca="1" si="8"/>
        <v>-66165.424999999988</v>
      </c>
      <c r="H30" s="304">
        <f ca="1">IF($D$3="BAU",UtilityDemand!G23,INDIRECT($D$3&amp;"!H"&amp;ROW(G30))+INDIRECT($D$3&amp;"!J"&amp;ROW(G30)))</f>
        <v>190632.76180231324</v>
      </c>
      <c r="I30" s="305">
        <f t="shared" ca="1" si="25"/>
        <v>-8.4089932121024738E-2</v>
      </c>
      <c r="J30" s="306">
        <f t="shared" ca="1" si="9"/>
        <v>-16030.295999999998</v>
      </c>
      <c r="K30" s="307">
        <f t="shared" ca="1" si="10"/>
        <v>120452.9570416346</v>
      </c>
      <c r="L30" s="307">
        <f t="shared" si="11"/>
        <v>0</v>
      </c>
      <c r="M30" s="307">
        <v>0</v>
      </c>
      <c r="N30" s="307">
        <f t="shared" ca="1" si="12"/>
        <v>120452.9570416346</v>
      </c>
      <c r="O30" s="1494">
        <f t="shared" ca="1" si="13"/>
        <v>602791.54392082081</v>
      </c>
      <c r="P30" s="306">
        <f t="shared" si="14"/>
        <v>0</v>
      </c>
      <c r="Q30" s="306">
        <v>0</v>
      </c>
      <c r="R30" s="306">
        <f t="shared" ca="1" si="15"/>
        <v>602791.54392082081</v>
      </c>
      <c r="S30" s="818">
        <f t="shared" ca="1" si="16"/>
        <v>174602.46580231324</v>
      </c>
      <c r="T30" s="818">
        <f t="shared" si="17"/>
        <v>0</v>
      </c>
      <c r="U30" s="818">
        <v>0</v>
      </c>
      <c r="V30" s="818">
        <f t="shared" ca="1" si="18"/>
        <v>174602.46580231324</v>
      </c>
      <c r="W30" s="306">
        <f t="shared" si="1"/>
        <v>0</v>
      </c>
      <c r="X30" s="306">
        <f t="shared" ca="1" si="2"/>
        <v>-13710.13521560043</v>
      </c>
      <c r="Y30" s="306">
        <v>0</v>
      </c>
      <c r="Z30" s="306">
        <v>0</v>
      </c>
      <c r="AA30" s="308">
        <f ca="1">-SUM(W30,X30/OFFSET(GridFootprintbyYear,$A30-$A$19,0)*EF_PurchElec_MTperMWh,Z30)*OFFSET(ExposureCalculations!Price_GHG_Allowance_2010,A30-$A$19,0)*ExposureCalculations!D27</f>
        <v>285952.17254532914</v>
      </c>
      <c r="AB30" s="308">
        <f t="shared" ca="1" si="3"/>
        <v>591021.77652122453</v>
      </c>
      <c r="AC30" s="308">
        <v>0</v>
      </c>
      <c r="AD30" s="819">
        <f t="shared" ca="1" si="4"/>
        <v>773327.174557933</v>
      </c>
      <c r="AE30" s="308">
        <v>0</v>
      </c>
      <c r="AF30" s="819">
        <f t="shared" ca="1" si="5"/>
        <v>309919.05599999992</v>
      </c>
      <c r="AG30" s="308">
        <v>0</v>
      </c>
      <c r="AH30" s="308">
        <v>0</v>
      </c>
      <c r="AI30" s="308">
        <v>0</v>
      </c>
      <c r="AJ30" s="308">
        <f t="shared" ca="1" si="6"/>
        <v>1674268.0070791575</v>
      </c>
      <c r="AK30" s="309">
        <v>0</v>
      </c>
      <c r="AL30" s="309">
        <f t="shared" si="26"/>
        <v>0</v>
      </c>
      <c r="AM30" s="309">
        <f t="shared" si="19"/>
        <v>0</v>
      </c>
      <c r="AN30" s="310">
        <v>0</v>
      </c>
      <c r="AO30" s="310">
        <v>0</v>
      </c>
      <c r="AP30" s="310">
        <f t="shared" si="20"/>
        <v>0</v>
      </c>
      <c r="AQ30" s="309">
        <v>0</v>
      </c>
      <c r="AR30" s="311">
        <f t="shared" ca="1" si="7"/>
        <v>1960220.1796244867</v>
      </c>
      <c r="AS30" s="870">
        <f t="shared" ca="1" si="21"/>
        <v>14336874.563946886</v>
      </c>
      <c r="AT30" s="822"/>
      <c r="AU30" s="878"/>
      <c r="AV30" s="35"/>
      <c r="AW30" s="879"/>
      <c r="AX30" s="35"/>
      <c r="AY30" s="880"/>
    </row>
    <row r="31" spans="1:51">
      <c r="A31" s="303">
        <v>2022</v>
      </c>
      <c r="B31" s="304">
        <f ca="1">IF($D$3="BAU",UtilityDemand!C24,INDIRECT($D$3&amp;"!B"&amp;ROW(A31))+INDIRECT($D$3&amp;"!D"&amp;ROW(A31)))</f>
        <v>126919.85693464843</v>
      </c>
      <c r="C31" s="305">
        <f t="shared" ca="1" si="22"/>
        <v>-5.1859497473189714E-2</v>
      </c>
      <c r="D31" s="306">
        <f t="shared" si="23"/>
        <v>-6582</v>
      </c>
      <c r="E31" s="304">
        <f ca="1">IF($D$3="BAU",UtilityDemand!E24,INDIRECT($D$3&amp;"!E"&amp;ROW(D31))+INDIRECT($D$3&amp;"!G"&amp;ROW(D31)))</f>
        <v>668280.51499755587</v>
      </c>
      <c r="F31" s="305">
        <f t="shared" ca="1" si="24"/>
        <v>-9.9008460541816001E-2</v>
      </c>
      <c r="G31" s="306">
        <f t="shared" ca="1" si="8"/>
        <v>-66165.424999999988</v>
      </c>
      <c r="H31" s="304">
        <f ca="1">IF($D$3="BAU",UtilityDemand!G24,INDIRECT($D$3&amp;"!H"&amp;ROW(G31))+INDIRECT($D$3&amp;"!J"&amp;ROW(G31)))</f>
        <v>191467.0169854454</v>
      </c>
      <c r="I31" s="305">
        <f t="shared" ca="1" si="25"/>
        <v>-8.37235376222452E-2</v>
      </c>
      <c r="J31" s="306">
        <f t="shared" ca="1" si="9"/>
        <v>-16030.295999999998</v>
      </c>
      <c r="K31" s="307">
        <f t="shared" ca="1" si="10"/>
        <v>120337.85693464843</v>
      </c>
      <c r="L31" s="307">
        <f t="shared" si="11"/>
        <v>0</v>
      </c>
      <c r="M31" s="307">
        <v>0</v>
      </c>
      <c r="N31" s="307">
        <f t="shared" ca="1" si="12"/>
        <v>120337.85693464843</v>
      </c>
      <c r="O31" s="1494">
        <f t="shared" ca="1" si="13"/>
        <v>602115.08999755583</v>
      </c>
      <c r="P31" s="306">
        <f t="shared" si="14"/>
        <v>0</v>
      </c>
      <c r="Q31" s="306">
        <v>0</v>
      </c>
      <c r="R31" s="306">
        <f t="shared" ca="1" si="15"/>
        <v>602115.08999755583</v>
      </c>
      <c r="S31" s="818">
        <f t="shared" ca="1" si="16"/>
        <v>175436.7209854454</v>
      </c>
      <c r="T31" s="818">
        <f t="shared" si="17"/>
        <v>0</v>
      </c>
      <c r="U31" s="818">
        <v>0</v>
      </c>
      <c r="V31" s="818">
        <f t="shared" ca="1" si="18"/>
        <v>175436.7209854454</v>
      </c>
      <c r="W31" s="306">
        <f t="shared" si="1"/>
        <v>0</v>
      </c>
      <c r="X31" s="306">
        <f t="shared" ca="1" si="2"/>
        <v>-13710.13521560043</v>
      </c>
      <c r="Y31" s="306">
        <v>0</v>
      </c>
      <c r="Z31" s="306">
        <v>0</v>
      </c>
      <c r="AA31" s="308">
        <f ca="1">-SUM(W31,X31/OFFSET(GridFootprintbyYear,$A31-$A$19,0)*EF_PurchElec_MTperMWh,Z31)*OFFSET(ExposureCalculations!Price_GHG_Allowance_2010,A31-$A$19,0)*ExposureCalculations!D28</f>
        <v>316317.97964177968</v>
      </c>
      <c r="AB31" s="308">
        <f t="shared" ca="1" si="3"/>
        <v>593976.88540383044</v>
      </c>
      <c r="AC31" s="308">
        <v>0</v>
      </c>
      <c r="AD31" s="819">
        <f t="shared" ca="1" si="4"/>
        <v>777193.81043072231</v>
      </c>
      <c r="AE31" s="308">
        <v>0</v>
      </c>
      <c r="AF31" s="819">
        <f t="shared" ca="1" si="5"/>
        <v>309919.05599999992</v>
      </c>
      <c r="AG31" s="308">
        <v>0</v>
      </c>
      <c r="AH31" s="308">
        <v>0</v>
      </c>
      <c r="AI31" s="308">
        <v>0</v>
      </c>
      <c r="AJ31" s="308">
        <f t="shared" ca="1" si="6"/>
        <v>1681089.7518345527</v>
      </c>
      <c r="AK31" s="309">
        <v>0</v>
      </c>
      <c r="AL31" s="309">
        <f t="shared" si="26"/>
        <v>0</v>
      </c>
      <c r="AM31" s="309">
        <f t="shared" si="19"/>
        <v>0</v>
      </c>
      <c r="AN31" s="310">
        <v>0</v>
      </c>
      <c r="AO31" s="310">
        <v>0</v>
      </c>
      <c r="AP31" s="310">
        <f t="shared" si="20"/>
        <v>0</v>
      </c>
      <c r="AQ31" s="309">
        <v>0</v>
      </c>
      <c r="AR31" s="311">
        <f t="shared" ca="1" si="7"/>
        <v>1997407.7314763325</v>
      </c>
      <c r="AS31" s="870">
        <f t="shared" ca="1" si="21"/>
        <v>16334282.295423219</v>
      </c>
      <c r="AT31" s="822"/>
      <c r="AU31" s="878"/>
      <c r="AV31" s="35"/>
      <c r="AW31" s="879"/>
      <c r="AX31" s="35"/>
      <c r="AY31" s="880"/>
    </row>
    <row r="32" spans="1:51">
      <c r="A32" s="303">
        <v>2023</v>
      </c>
      <c r="B32" s="304">
        <f ca="1">IF($D$3="BAU",UtilityDemand!C25,INDIRECT($D$3&amp;"!B"&amp;ROW(A32))+INDIRECT($D$3&amp;"!D"&amp;ROW(A32)))</f>
        <v>126803.56847997775</v>
      </c>
      <c r="C32" s="305">
        <f t="shared" ca="1" si="22"/>
        <v>-5.1907056551324861E-2</v>
      </c>
      <c r="D32" s="306">
        <f t="shared" si="23"/>
        <v>-6582</v>
      </c>
      <c r="E32" s="304">
        <f ca="1">IF($D$3="BAU",UtilityDemand!E25,INDIRECT($D$3&amp;"!E"&amp;ROW(D32))+INDIRECT($D$3&amp;"!G"&amp;ROW(D32)))</f>
        <v>667604.06107429089</v>
      </c>
      <c r="F32" s="305">
        <f t="shared" ca="1" si="24"/>
        <v>-9.910878147375006E-2</v>
      </c>
      <c r="G32" s="306">
        <f t="shared" ca="1" si="8"/>
        <v>-66165.424999999988</v>
      </c>
      <c r="H32" s="304">
        <f ca="1">IF($D$3="BAU",UtilityDemand!G25,INDIRECT($D$3&amp;"!H"&amp;ROW(G32))+INDIRECT($D$3&amp;"!J"&amp;ROW(G32)))</f>
        <v>192300.08382089305</v>
      </c>
      <c r="I32" s="305">
        <f t="shared" ca="1" si="25"/>
        <v>-8.3360837299116849E-2</v>
      </c>
      <c r="J32" s="306">
        <f t="shared" ca="1" si="9"/>
        <v>-16030.295999999998</v>
      </c>
      <c r="K32" s="307">
        <f t="shared" ca="1" si="10"/>
        <v>120221.56847997775</v>
      </c>
      <c r="L32" s="307">
        <f t="shared" si="11"/>
        <v>0</v>
      </c>
      <c r="M32" s="307">
        <v>0</v>
      </c>
      <c r="N32" s="307">
        <f t="shared" ca="1" si="12"/>
        <v>120221.56847997775</v>
      </c>
      <c r="O32" s="1494">
        <f t="shared" ca="1" si="13"/>
        <v>601438.63607429084</v>
      </c>
      <c r="P32" s="306">
        <f t="shared" si="14"/>
        <v>0</v>
      </c>
      <c r="Q32" s="306">
        <v>0</v>
      </c>
      <c r="R32" s="306">
        <f t="shared" ca="1" si="15"/>
        <v>601438.63607429084</v>
      </c>
      <c r="S32" s="818">
        <f t="shared" ca="1" si="16"/>
        <v>176269.78782089305</v>
      </c>
      <c r="T32" s="818">
        <f t="shared" si="17"/>
        <v>0</v>
      </c>
      <c r="U32" s="818">
        <v>0</v>
      </c>
      <c r="V32" s="818">
        <f t="shared" ca="1" si="18"/>
        <v>176269.78782089305</v>
      </c>
      <c r="W32" s="306">
        <f t="shared" si="1"/>
        <v>0</v>
      </c>
      <c r="X32" s="306">
        <f t="shared" ca="1" si="2"/>
        <v>-13710.13521560043</v>
      </c>
      <c r="Y32" s="306">
        <v>0</v>
      </c>
      <c r="Z32" s="306">
        <v>0</v>
      </c>
      <c r="AA32" s="308">
        <f ca="1">-SUM(W32,X32/OFFSET(GridFootprintbyYear,$A32-$A$19,0)*EF_PurchElec_MTperMWh,Z32)*OFFSET(ExposureCalculations!Price_GHG_Allowance_2010,A32-$A$19,0)*ExposureCalculations!D29</f>
        <v>347766.584369622</v>
      </c>
      <c r="AB32" s="308">
        <f t="shared" ca="1" si="3"/>
        <v>596946.7698308496</v>
      </c>
      <c r="AC32" s="308">
        <v>0</v>
      </c>
      <c r="AD32" s="819">
        <f t="shared" ca="1" si="4"/>
        <v>781079.77948287583</v>
      </c>
      <c r="AE32" s="308">
        <v>0</v>
      </c>
      <c r="AF32" s="819">
        <f t="shared" ca="1" si="5"/>
        <v>309919.05599999992</v>
      </c>
      <c r="AG32" s="308">
        <v>0</v>
      </c>
      <c r="AH32" s="308">
        <v>0</v>
      </c>
      <c r="AI32" s="308">
        <v>0</v>
      </c>
      <c r="AJ32" s="308">
        <f t="shared" ca="1" si="6"/>
        <v>1687945.6053137253</v>
      </c>
      <c r="AK32" s="309">
        <v>0</v>
      </c>
      <c r="AL32" s="309">
        <f t="shared" si="26"/>
        <v>0</v>
      </c>
      <c r="AM32" s="309">
        <f t="shared" si="19"/>
        <v>0</v>
      </c>
      <c r="AN32" s="310">
        <v>0</v>
      </c>
      <c r="AO32" s="310">
        <v>0</v>
      </c>
      <c r="AP32" s="310">
        <f t="shared" si="20"/>
        <v>0</v>
      </c>
      <c r="AQ32" s="309">
        <v>0</v>
      </c>
      <c r="AR32" s="311">
        <f t="shared" ca="1" si="7"/>
        <v>2035712.1896833472</v>
      </c>
      <c r="AS32" s="870">
        <f t="shared" ca="1" si="21"/>
        <v>18369994.485106565</v>
      </c>
      <c r="AT32" s="822"/>
      <c r="AU32" s="878"/>
      <c r="AV32" s="35"/>
      <c r="AW32" s="879"/>
      <c r="AX32" s="35"/>
      <c r="AY32" s="880"/>
    </row>
    <row r="33" spans="1:51">
      <c r="A33" s="303">
        <v>2024</v>
      </c>
      <c r="B33" s="304">
        <f ca="1">IF($D$3="BAU",UtilityDemand!C26,INDIRECT($D$3&amp;"!B"&amp;ROW(A33))+INDIRECT($D$3&amp;"!D"&amp;ROW(A33)))</f>
        <v>126686.12789981159</v>
      </c>
      <c r="C33" s="305">
        <f t="shared" ca="1" si="22"/>
        <v>-5.195517543329848E-2</v>
      </c>
      <c r="D33" s="306">
        <f t="shared" si="23"/>
        <v>-6582</v>
      </c>
      <c r="E33" s="304">
        <f ca="1">IF($D$3="BAU",UtilityDemand!E26,INDIRECT($D$3&amp;"!E"&amp;ROW(D33))+INDIRECT($D$3&amp;"!G"&amp;ROW(D33)))</f>
        <v>666927.60715102602</v>
      </c>
      <c r="F33" s="305">
        <f t="shared" ca="1" si="24"/>
        <v>-9.9209305913492946E-2</v>
      </c>
      <c r="G33" s="306">
        <f t="shared" ca="1" si="8"/>
        <v>-66165.424999999988</v>
      </c>
      <c r="H33" s="304">
        <f ca="1">IF($D$3="BAU",UtilityDemand!G26,INDIRECT($D$3&amp;"!H"&amp;ROW(G33))+INDIRECT($D$3&amp;"!J"&amp;ROW(G33)))</f>
        <v>193131.99853084525</v>
      </c>
      <c r="I33" s="305">
        <f t="shared" ca="1" si="25"/>
        <v>-8.3001761085384249E-2</v>
      </c>
      <c r="J33" s="306">
        <f t="shared" ca="1" si="9"/>
        <v>-16030.295999999998</v>
      </c>
      <c r="K33" s="307">
        <f t="shared" ca="1" si="10"/>
        <v>120104.12789981159</v>
      </c>
      <c r="L33" s="307">
        <f t="shared" si="11"/>
        <v>0</v>
      </c>
      <c r="M33" s="307">
        <v>0</v>
      </c>
      <c r="N33" s="307">
        <f t="shared" ca="1" si="12"/>
        <v>120104.12789981159</v>
      </c>
      <c r="O33" s="1494">
        <f t="shared" ca="1" si="13"/>
        <v>600762.18215102609</v>
      </c>
      <c r="P33" s="306">
        <f t="shared" si="14"/>
        <v>0</v>
      </c>
      <c r="Q33" s="306">
        <v>0</v>
      </c>
      <c r="R33" s="306">
        <f t="shared" ca="1" si="15"/>
        <v>600762.18215102609</v>
      </c>
      <c r="S33" s="818">
        <f t="shared" ca="1" si="16"/>
        <v>177101.70253084524</v>
      </c>
      <c r="T33" s="818">
        <f t="shared" si="17"/>
        <v>0</v>
      </c>
      <c r="U33" s="818">
        <v>0</v>
      </c>
      <c r="V33" s="818">
        <f t="shared" ca="1" si="18"/>
        <v>177101.70253084524</v>
      </c>
      <c r="W33" s="306">
        <f t="shared" si="1"/>
        <v>0</v>
      </c>
      <c r="X33" s="306">
        <f t="shared" ca="1" si="2"/>
        <v>-13710.13521560043</v>
      </c>
      <c r="Y33" s="306">
        <v>0</v>
      </c>
      <c r="Z33" s="306">
        <v>0</v>
      </c>
      <c r="AA33" s="308">
        <f ca="1">-SUM(W33,X33/OFFSET(GridFootprintbyYear,$A33-$A$19,0)*EF_PurchElec_MTperMWh,Z33)*OFFSET(ExposureCalculations!Price_GHG_Allowance_2010,A33-$A$19,0)*ExposureCalculations!D30</f>
        <v>380252.80398915778</v>
      </c>
      <c r="AB33" s="308">
        <f t="shared" ca="1" si="3"/>
        <v>599931.50368000381</v>
      </c>
      <c r="AC33" s="308">
        <v>0</v>
      </c>
      <c r="AD33" s="819">
        <f t="shared" ca="1" si="4"/>
        <v>784985.17838029005</v>
      </c>
      <c r="AE33" s="308">
        <v>0</v>
      </c>
      <c r="AF33" s="819">
        <f t="shared" ca="1" si="5"/>
        <v>309919.05599999992</v>
      </c>
      <c r="AG33" s="308">
        <v>0</v>
      </c>
      <c r="AH33" s="308">
        <v>0</v>
      </c>
      <c r="AI33" s="308">
        <v>0</v>
      </c>
      <c r="AJ33" s="308">
        <f t="shared" ca="1" si="6"/>
        <v>1694835.7380602937</v>
      </c>
      <c r="AK33" s="309">
        <v>0</v>
      </c>
      <c r="AL33" s="309">
        <f t="shared" si="26"/>
        <v>0</v>
      </c>
      <c r="AM33" s="309">
        <f t="shared" si="19"/>
        <v>0</v>
      </c>
      <c r="AN33" s="310">
        <v>0</v>
      </c>
      <c r="AO33" s="310">
        <v>0</v>
      </c>
      <c r="AP33" s="310">
        <f t="shared" si="20"/>
        <v>0</v>
      </c>
      <c r="AQ33" s="309">
        <v>0</v>
      </c>
      <c r="AR33" s="311">
        <f t="shared" ca="1" si="7"/>
        <v>2075088.5420494515</v>
      </c>
      <c r="AS33" s="870">
        <f t="shared" ca="1" si="21"/>
        <v>20445083.027156018</v>
      </c>
      <c r="AT33" s="822"/>
      <c r="AU33" s="878"/>
      <c r="AV33" s="35"/>
      <c r="AW33" s="879"/>
      <c r="AX33" s="35"/>
      <c r="AY33" s="880"/>
    </row>
    <row r="34" spans="1:51">
      <c r="A34" s="303">
        <v>2025</v>
      </c>
      <c r="B34" s="304">
        <f ca="1">IF($D$3="BAU",UtilityDemand!C27,INDIRECT($D$3&amp;"!B"&amp;ROW(A34))+INDIRECT($D$3&amp;"!D"&amp;ROW(A34)))</f>
        <v>126567.56995902136</v>
      </c>
      <c r="C34" s="305">
        <f t="shared" ca="1" si="22"/>
        <v>-5.2003842707346336E-2</v>
      </c>
      <c r="D34" s="306">
        <f t="shared" si="23"/>
        <v>-6582</v>
      </c>
      <c r="E34" s="304">
        <f ca="1">IF($D$3="BAU",UtilityDemand!E27,INDIRECT($D$3&amp;"!E"&amp;ROW(D34))+INDIRECT($D$3&amp;"!G"&amp;ROW(D34)))</f>
        <v>666251.15322776104</v>
      </c>
      <c r="F34" s="305">
        <f t="shared" ca="1" si="24"/>
        <v>-9.9310034480917492E-2</v>
      </c>
      <c r="G34" s="306">
        <f t="shared" ca="1" si="8"/>
        <v>-66165.424999999988</v>
      </c>
      <c r="H34" s="304">
        <f ca="1">IF($D$3="BAU",UtilityDemand!G27,INDIRECT($D$3&amp;"!H"&amp;ROW(G34))+INDIRECT($D$3&amp;"!J"&amp;ROW(G34)))</f>
        <v>193962.79588017342</v>
      </c>
      <c r="I34" s="305">
        <f t="shared" ca="1" si="25"/>
        <v>-8.2646241137414908E-2</v>
      </c>
      <c r="J34" s="306">
        <f t="shared" ca="1" si="9"/>
        <v>-16030.295999999998</v>
      </c>
      <c r="K34" s="307">
        <f t="shared" ca="1" si="10"/>
        <v>119985.56995902136</v>
      </c>
      <c r="L34" s="307">
        <f t="shared" si="11"/>
        <v>0</v>
      </c>
      <c r="M34" s="307">
        <v>0</v>
      </c>
      <c r="N34" s="307">
        <f t="shared" ca="1" si="12"/>
        <v>119985.56995902136</v>
      </c>
      <c r="O34" s="1494">
        <f t="shared" ca="1" si="13"/>
        <v>600085.72822776111</v>
      </c>
      <c r="P34" s="306">
        <f t="shared" si="14"/>
        <v>0</v>
      </c>
      <c r="Q34" s="306">
        <v>0</v>
      </c>
      <c r="R34" s="306">
        <f t="shared" ca="1" si="15"/>
        <v>600085.72822776111</v>
      </c>
      <c r="S34" s="818">
        <f t="shared" ca="1" si="16"/>
        <v>177932.49988017342</v>
      </c>
      <c r="T34" s="818">
        <f t="shared" si="17"/>
        <v>0</v>
      </c>
      <c r="U34" s="818">
        <v>0</v>
      </c>
      <c r="V34" s="818">
        <f t="shared" ca="1" si="18"/>
        <v>177932.49988017342</v>
      </c>
      <c r="W34" s="306">
        <f t="shared" si="1"/>
        <v>0</v>
      </c>
      <c r="X34" s="306">
        <f t="shared" ca="1" si="2"/>
        <v>-13710.13521560043</v>
      </c>
      <c r="Y34" s="306">
        <v>0</v>
      </c>
      <c r="Z34" s="306">
        <v>0</v>
      </c>
      <c r="AA34" s="308">
        <f ca="1">-SUM(W34,X34/OFFSET(GridFootprintbyYear,$A34-$A$19,0)*EF_PurchElec_MTperMWh,Z34)*OFFSET(ExposureCalculations!Price_GHG_Allowance_2010,A34-$A$19,0)*ExposureCalculations!D31</f>
        <v>413731.77042799263</v>
      </c>
      <c r="AB34" s="308">
        <f t="shared" ca="1" si="3"/>
        <v>602931.16119840369</v>
      </c>
      <c r="AC34" s="308">
        <v>0</v>
      </c>
      <c r="AD34" s="819">
        <f t="shared" ca="1" si="4"/>
        <v>788910.10427219141</v>
      </c>
      <c r="AE34" s="308">
        <v>0</v>
      </c>
      <c r="AF34" s="819">
        <f t="shared" ca="1" si="5"/>
        <v>309919.05599999992</v>
      </c>
      <c r="AG34" s="308">
        <v>0</v>
      </c>
      <c r="AH34" s="308">
        <v>0</v>
      </c>
      <c r="AI34" s="308">
        <v>0</v>
      </c>
      <c r="AJ34" s="308">
        <f t="shared" ca="1" si="6"/>
        <v>1701760.321470595</v>
      </c>
      <c r="AK34" s="309">
        <v>0</v>
      </c>
      <c r="AL34" s="309">
        <f t="shared" si="26"/>
        <v>0</v>
      </c>
      <c r="AM34" s="309">
        <f t="shared" si="19"/>
        <v>0</v>
      </c>
      <c r="AN34" s="310">
        <v>0</v>
      </c>
      <c r="AO34" s="310">
        <v>0</v>
      </c>
      <c r="AP34" s="310">
        <f t="shared" si="20"/>
        <v>0</v>
      </c>
      <c r="AQ34" s="309">
        <v>0</v>
      </c>
      <c r="AR34" s="311">
        <f t="shared" ca="1" si="7"/>
        <v>2115492.0918985875</v>
      </c>
      <c r="AS34" s="870">
        <f t="shared" ca="1" si="21"/>
        <v>22560575.119054604</v>
      </c>
      <c r="AT34" s="822"/>
      <c r="AU34" s="878"/>
      <c r="AV34" s="35"/>
      <c r="AW34" s="879"/>
      <c r="AX34" s="35"/>
      <c r="AY34" s="880"/>
    </row>
    <row r="35" spans="1:51">
      <c r="A35" s="303">
        <v>2026</v>
      </c>
      <c r="B35" s="304">
        <f ca="1">IF($D$3="BAU",UtilityDemand!C28,INDIRECT($D$3&amp;"!B"&amp;ROW(A35))+INDIRECT($D$3&amp;"!D"&amp;ROW(A35)))</f>
        <v>126447.9280377206</v>
      </c>
      <c r="C35" s="305">
        <f t="shared" ca="1" si="22"/>
        <v>-5.2053047465012853E-2</v>
      </c>
      <c r="D35" s="306">
        <f t="shared" si="23"/>
        <v>-6582</v>
      </c>
      <c r="E35" s="304">
        <f ca="1">IF($D$3="BAU",UtilityDemand!E28,INDIRECT($D$3&amp;"!E"&amp;ROW(D35))+INDIRECT($D$3&amp;"!G"&amp;ROW(D35)))</f>
        <v>665574.69930449594</v>
      </c>
      <c r="F35" s="305">
        <f t="shared" ca="1" si="24"/>
        <v>-9.9410967798416502E-2</v>
      </c>
      <c r="G35" s="306">
        <f t="shared" ca="1" si="8"/>
        <v>-66165.424999999988</v>
      </c>
      <c r="H35" s="304">
        <f ca="1">IF($D$3="BAU",UtilityDemand!G28,INDIRECT($D$3&amp;"!H"&amp;ROW(G35))+INDIRECT($D$3&amp;"!J"&amp;ROW(G35)))</f>
        <v>194792.509248991</v>
      </c>
      <c r="I35" s="305">
        <f t="shared" ca="1" si="25"/>
        <v>-8.2294211732287306E-2</v>
      </c>
      <c r="J35" s="306">
        <f t="shared" ca="1" si="9"/>
        <v>-16030.295999999998</v>
      </c>
      <c r="K35" s="307">
        <f t="shared" ca="1" si="10"/>
        <v>119865.9280377206</v>
      </c>
      <c r="L35" s="307">
        <f t="shared" si="11"/>
        <v>0</v>
      </c>
      <c r="M35" s="307">
        <v>0</v>
      </c>
      <c r="N35" s="307">
        <f t="shared" ca="1" si="12"/>
        <v>119865.9280377206</v>
      </c>
      <c r="O35" s="1494">
        <f t="shared" ca="1" si="13"/>
        <v>599409.27430449589</v>
      </c>
      <c r="P35" s="306">
        <f t="shared" si="14"/>
        <v>0</v>
      </c>
      <c r="Q35" s="306">
        <v>0</v>
      </c>
      <c r="R35" s="306">
        <f t="shared" ca="1" si="15"/>
        <v>599409.27430449589</v>
      </c>
      <c r="S35" s="818">
        <f t="shared" ca="1" si="16"/>
        <v>178762.213248991</v>
      </c>
      <c r="T35" s="818">
        <f t="shared" si="17"/>
        <v>0</v>
      </c>
      <c r="U35" s="818">
        <v>0</v>
      </c>
      <c r="V35" s="818">
        <f t="shared" ca="1" si="18"/>
        <v>178762.213248991</v>
      </c>
      <c r="W35" s="306">
        <f t="shared" si="1"/>
        <v>0</v>
      </c>
      <c r="X35" s="306">
        <f t="shared" ca="1" si="2"/>
        <v>-13710.13521560043</v>
      </c>
      <c r="Y35" s="306">
        <v>0</v>
      </c>
      <c r="Z35" s="306">
        <v>0</v>
      </c>
      <c r="AA35" s="308">
        <f ca="1">-SUM(W35,X35/OFFSET(GridFootprintbyYear,$A35-$A$19,0)*EF_PurchElec_MTperMWh,Z35)*OFFSET(ExposureCalculations!Price_GHG_Allowance_2010,A35-$A$19,0)*ExposureCalculations!D32</f>
        <v>451577.1235295001</v>
      </c>
      <c r="AB35" s="308">
        <f t="shared" ca="1" si="3"/>
        <v>605945.81700439565</v>
      </c>
      <c r="AC35" s="308">
        <v>0</v>
      </c>
      <c r="AD35" s="819">
        <f t="shared" ca="1" si="4"/>
        <v>792854.65479355212</v>
      </c>
      <c r="AE35" s="308">
        <v>0</v>
      </c>
      <c r="AF35" s="819">
        <f t="shared" ca="1" si="5"/>
        <v>309919.05599999992</v>
      </c>
      <c r="AG35" s="308">
        <v>0</v>
      </c>
      <c r="AH35" s="308">
        <v>0</v>
      </c>
      <c r="AI35" s="308">
        <v>0</v>
      </c>
      <c r="AJ35" s="308">
        <f t="shared" ca="1" si="6"/>
        <v>1708719.5277979476</v>
      </c>
      <c r="AK35" s="309">
        <v>0</v>
      </c>
      <c r="AL35" s="309">
        <f t="shared" si="26"/>
        <v>0</v>
      </c>
      <c r="AM35" s="309">
        <f t="shared" si="19"/>
        <v>0</v>
      </c>
      <c r="AN35" s="310">
        <v>0</v>
      </c>
      <c r="AO35" s="310">
        <v>0</v>
      </c>
      <c r="AP35" s="310">
        <f t="shared" si="20"/>
        <v>0</v>
      </c>
      <c r="AQ35" s="309">
        <v>0</v>
      </c>
      <c r="AR35" s="311">
        <f t="shared" ca="1" si="7"/>
        <v>2160296.651327448</v>
      </c>
      <c r="AS35" s="870">
        <f t="shared" ca="1" si="21"/>
        <v>24720871.770382054</v>
      </c>
      <c r="AT35" s="822"/>
      <c r="AU35" s="878"/>
      <c r="AV35" s="35"/>
      <c r="AW35" s="879"/>
      <c r="AX35" s="35"/>
      <c r="AY35" s="880"/>
    </row>
    <row r="36" spans="1:51">
      <c r="A36" s="303">
        <v>2027</v>
      </c>
      <c r="B36" s="304">
        <f ca="1">IF($D$3="BAU",UtilityDemand!C29,INDIRECT($D$3&amp;"!B"&amp;ROW(A36))+INDIRECT($D$3&amp;"!D"&amp;ROW(A36)))</f>
        <v>126327.23419953244</v>
      </c>
      <c r="C36" s="305">
        <f t="shared" ca="1" si="22"/>
        <v>-5.2102779275637473E-2</v>
      </c>
      <c r="D36" s="306">
        <f t="shared" si="23"/>
        <v>-6582</v>
      </c>
      <c r="E36" s="304">
        <f ca="1">IF($D$3="BAU",UtilityDemand!E29,INDIRECT($D$3&amp;"!E"&amp;ROW(D36))+INDIRECT($D$3&amp;"!G"&amp;ROW(D36)))</f>
        <v>664898.24538123107</v>
      </c>
      <c r="F36" s="305">
        <f t="shared" ca="1" si="24"/>
        <v>-9.9512106490915589E-2</v>
      </c>
      <c r="G36" s="306">
        <f t="shared" ca="1" si="8"/>
        <v>-66165.424999999988</v>
      </c>
      <c r="H36" s="304">
        <f ca="1">IF($D$3="BAU",UtilityDemand!G29,INDIRECT($D$3&amp;"!H"&amp;ROW(G36))+INDIRECT($D$3&amp;"!J"&amp;ROW(G36)))</f>
        <v>195621.17070092124</v>
      </c>
      <c r="I36" s="305">
        <f t="shared" ca="1" si="25"/>
        <v>-8.1945609171863054E-2</v>
      </c>
      <c r="J36" s="306">
        <f t="shared" ca="1" si="9"/>
        <v>-16030.295999999998</v>
      </c>
      <c r="K36" s="307">
        <f t="shared" ca="1" si="10"/>
        <v>119745.23419953244</v>
      </c>
      <c r="L36" s="307">
        <f t="shared" si="11"/>
        <v>0</v>
      </c>
      <c r="M36" s="307">
        <v>0</v>
      </c>
      <c r="N36" s="307">
        <f t="shared" ca="1" si="12"/>
        <v>119745.23419953244</v>
      </c>
      <c r="O36" s="1494">
        <f t="shared" ca="1" si="13"/>
        <v>598732.82038123114</v>
      </c>
      <c r="P36" s="306">
        <f t="shared" si="14"/>
        <v>0</v>
      </c>
      <c r="Q36" s="306">
        <v>0</v>
      </c>
      <c r="R36" s="306">
        <f t="shared" ca="1" si="15"/>
        <v>598732.82038123114</v>
      </c>
      <c r="S36" s="818">
        <f t="shared" ca="1" si="16"/>
        <v>179590.87470092124</v>
      </c>
      <c r="T36" s="818">
        <f t="shared" si="17"/>
        <v>0</v>
      </c>
      <c r="U36" s="818">
        <v>0</v>
      </c>
      <c r="V36" s="818">
        <f t="shared" ca="1" si="18"/>
        <v>179590.87470092124</v>
      </c>
      <c r="W36" s="306">
        <f t="shared" si="1"/>
        <v>0</v>
      </c>
      <c r="X36" s="306">
        <f t="shared" ca="1" si="2"/>
        <v>-13710.13521560043</v>
      </c>
      <c r="Y36" s="306">
        <v>0</v>
      </c>
      <c r="Z36" s="306">
        <v>0</v>
      </c>
      <c r="AA36" s="308">
        <f ca="1">-SUM(W36,X36/OFFSET(GridFootprintbyYear,$A36-$A$19,0)*EF_PurchElec_MTperMWh,Z36)*OFFSET(ExposureCalculations!Price_GHG_Allowance_2010,A36-$A$19,0)*ExposureCalculations!D33</f>
        <v>490597.43666901661</v>
      </c>
      <c r="AB36" s="308">
        <f t="shared" ca="1" si="3"/>
        <v>608975.54608941753</v>
      </c>
      <c r="AC36" s="308">
        <v>0</v>
      </c>
      <c r="AD36" s="819">
        <f t="shared" ca="1" si="4"/>
        <v>796818.92806751991</v>
      </c>
      <c r="AE36" s="308">
        <v>0</v>
      </c>
      <c r="AF36" s="819">
        <f t="shared" ca="1" si="5"/>
        <v>309919.05599999992</v>
      </c>
      <c r="AG36" s="308">
        <v>0</v>
      </c>
      <c r="AH36" s="308">
        <v>0</v>
      </c>
      <c r="AI36" s="308">
        <v>0</v>
      </c>
      <c r="AJ36" s="308">
        <f t="shared" ca="1" si="6"/>
        <v>1715713.5301569374</v>
      </c>
      <c r="AK36" s="309">
        <v>0</v>
      </c>
      <c r="AL36" s="309">
        <f t="shared" si="26"/>
        <v>0</v>
      </c>
      <c r="AM36" s="309">
        <f t="shared" si="19"/>
        <v>0</v>
      </c>
      <c r="AN36" s="310">
        <v>0</v>
      </c>
      <c r="AO36" s="310">
        <v>0</v>
      </c>
      <c r="AP36" s="310">
        <f t="shared" si="20"/>
        <v>0</v>
      </c>
      <c r="AQ36" s="309">
        <v>0</v>
      </c>
      <c r="AR36" s="311">
        <f t="shared" ca="1" si="7"/>
        <v>2206310.9668259542</v>
      </c>
      <c r="AS36" s="870">
        <f t="shared" ca="1" si="21"/>
        <v>26927182.737208009</v>
      </c>
      <c r="AT36" s="822"/>
      <c r="AU36" s="878"/>
      <c r="AV36" s="35"/>
      <c r="AW36" s="879"/>
      <c r="AX36" s="35"/>
      <c r="AY36" s="880"/>
    </row>
    <row r="37" spans="1:51">
      <c r="A37" s="303">
        <v>2028</v>
      </c>
      <c r="B37" s="304">
        <f ca="1">IF($D$3="BAU",UtilityDemand!C30,INDIRECT($D$3&amp;"!B"&amp;ROW(A37))+INDIRECT($D$3&amp;"!D"&amp;ROW(A37)))</f>
        <v>126205.51925585822</v>
      </c>
      <c r="C37" s="305">
        <f t="shared" ca="1" si="22"/>
        <v>-5.2153028162391368E-2</v>
      </c>
      <c r="D37" s="306">
        <f t="shared" si="23"/>
        <v>-6582</v>
      </c>
      <c r="E37" s="304">
        <f ca="1">IF($D$3="BAU",UtilityDemand!E30,INDIRECT($D$3&amp;"!E"&amp;ROW(D37))+INDIRECT($D$3&amp;"!G"&amp;ROW(D37)))</f>
        <v>664221.79145796609</v>
      </c>
      <c r="F37" s="305">
        <f t="shared" ca="1" si="24"/>
        <v>-9.9613451185886201E-2</v>
      </c>
      <c r="G37" s="306">
        <f t="shared" ca="1" si="8"/>
        <v>-66165.424999999988</v>
      </c>
      <c r="H37" s="304">
        <f ca="1">IF($D$3="BAU",UtilityDemand!G30,INDIRECT($D$3&amp;"!H"&amp;ROW(G37))+INDIRECT($D$3&amp;"!J"&amp;ROW(G37)))</f>
        <v>196448.81104736534</v>
      </c>
      <c r="I37" s="305">
        <f t="shared" ca="1" si="25"/>
        <v>-8.1600371692425108E-2</v>
      </c>
      <c r="J37" s="306">
        <f t="shared" ca="1" si="9"/>
        <v>-16030.295999999998</v>
      </c>
      <c r="K37" s="307">
        <f t="shared" ca="1" si="10"/>
        <v>119623.51925585822</v>
      </c>
      <c r="L37" s="307">
        <f t="shared" si="11"/>
        <v>0</v>
      </c>
      <c r="M37" s="307">
        <v>0</v>
      </c>
      <c r="N37" s="307">
        <f t="shared" ca="1" si="12"/>
        <v>119623.51925585822</v>
      </c>
      <c r="O37" s="1494">
        <f t="shared" ca="1" si="13"/>
        <v>598056.36645796616</v>
      </c>
      <c r="P37" s="306">
        <f t="shared" si="14"/>
        <v>0</v>
      </c>
      <c r="Q37" s="306">
        <v>0</v>
      </c>
      <c r="R37" s="306">
        <f t="shared" ca="1" si="15"/>
        <v>598056.36645796616</v>
      </c>
      <c r="S37" s="818">
        <f t="shared" ca="1" si="16"/>
        <v>180418.51504736533</v>
      </c>
      <c r="T37" s="818">
        <f t="shared" si="17"/>
        <v>0</v>
      </c>
      <c r="U37" s="818">
        <v>0</v>
      </c>
      <c r="V37" s="818">
        <f t="shared" ca="1" si="18"/>
        <v>180418.51504736533</v>
      </c>
      <c r="W37" s="306">
        <f t="shared" si="1"/>
        <v>0</v>
      </c>
      <c r="X37" s="306">
        <f t="shared" ca="1" si="2"/>
        <v>-13710.13521560043</v>
      </c>
      <c r="Y37" s="306">
        <v>0</v>
      </c>
      <c r="Z37" s="306">
        <v>0</v>
      </c>
      <c r="AA37" s="308">
        <f ca="1">-SUM(W37,X37/OFFSET(GridFootprintbyYear,$A37-$A$19,0)*EF_PurchElec_MTperMWh,Z37)*OFFSET(ExposureCalculations!Price_GHG_Allowance_2010,A37-$A$19,0)*ExposureCalculations!D34</f>
        <v>530735.66598908568</v>
      </c>
      <c r="AB37" s="308">
        <f t="shared" ca="1" si="3"/>
        <v>612020.4238198644</v>
      </c>
      <c r="AC37" s="308">
        <v>0</v>
      </c>
      <c r="AD37" s="819">
        <f t="shared" ca="1" si="4"/>
        <v>800803.02270785731</v>
      </c>
      <c r="AE37" s="308">
        <v>0</v>
      </c>
      <c r="AF37" s="819">
        <f t="shared" ca="1" si="5"/>
        <v>309919.05599999992</v>
      </c>
      <c r="AG37" s="308">
        <v>0</v>
      </c>
      <c r="AH37" s="308">
        <v>0</v>
      </c>
      <c r="AI37" s="308">
        <v>0</v>
      </c>
      <c r="AJ37" s="308">
        <f t="shared" ca="1" si="6"/>
        <v>1722742.5025277217</v>
      </c>
      <c r="AK37" s="309">
        <v>0</v>
      </c>
      <c r="AL37" s="309">
        <f t="shared" si="26"/>
        <v>0</v>
      </c>
      <c r="AM37" s="309">
        <f t="shared" si="19"/>
        <v>0</v>
      </c>
      <c r="AN37" s="310">
        <v>0</v>
      </c>
      <c r="AO37" s="310">
        <v>0</v>
      </c>
      <c r="AP37" s="310">
        <f t="shared" si="20"/>
        <v>0</v>
      </c>
      <c r="AQ37" s="309">
        <v>0</v>
      </c>
      <c r="AR37" s="311">
        <f t="shared" ca="1" si="7"/>
        <v>2253478.1685168073</v>
      </c>
      <c r="AS37" s="870">
        <f t="shared" ca="1" si="21"/>
        <v>29180660.905724816</v>
      </c>
      <c r="AT37" s="822"/>
      <c r="AU37" s="878"/>
      <c r="AV37" s="35"/>
      <c r="AW37" s="879"/>
      <c r="AX37" s="35"/>
      <c r="AY37" s="880"/>
    </row>
    <row r="38" spans="1:51">
      <c r="A38" s="303">
        <v>2029</v>
      </c>
      <c r="B38" s="304">
        <f ca="1">IF($D$3="BAU",UtilityDemand!C31,INDIRECT($D$3&amp;"!B"&amp;ROW(A38))+INDIRECT($D$3&amp;"!D"&amp;ROW(A38)))</f>
        <v>126082.81282641659</v>
      </c>
      <c r="C38" s="305">
        <f t="shared" ca="1" si="22"/>
        <v>-5.2203784579756413E-2</v>
      </c>
      <c r="D38" s="306">
        <f t="shared" si="23"/>
        <v>-6582</v>
      </c>
      <c r="E38" s="304">
        <f ca="1">IF($D$3="BAU",UtilityDemand!E31,INDIRECT($D$3&amp;"!E"&amp;ROW(D38))+INDIRECT($D$3&amp;"!G"&amp;ROW(D38)))</f>
        <v>663545.33753470134</v>
      </c>
      <c r="F38" s="305">
        <f t="shared" ca="1" si="24"/>
        <v>-9.9715002513358394E-2</v>
      </c>
      <c r="G38" s="306">
        <f t="shared" ca="1" si="8"/>
        <v>-66165.424999999988</v>
      </c>
      <c r="H38" s="304">
        <f ca="1">IF($D$3="BAU",UtilityDemand!G31,INDIRECT($D$3&amp;"!H"&amp;ROW(G38))+INDIRECT($D$3&amp;"!J"&amp;ROW(G38)))</f>
        <v>197275.4599080421</v>
      </c>
      <c r="I38" s="305">
        <f t="shared" ca="1" si="25"/>
        <v>-8.1258439379496838E-2</v>
      </c>
      <c r="J38" s="306">
        <f t="shared" ca="1" si="9"/>
        <v>-16030.295999999998</v>
      </c>
      <c r="K38" s="307">
        <f t="shared" ca="1" si="10"/>
        <v>119500.81282641659</v>
      </c>
      <c r="L38" s="307">
        <f t="shared" si="11"/>
        <v>0</v>
      </c>
      <c r="M38" s="307">
        <v>0</v>
      </c>
      <c r="N38" s="307">
        <f t="shared" ca="1" si="12"/>
        <v>119500.81282641659</v>
      </c>
      <c r="O38" s="1494">
        <f t="shared" ca="1" si="13"/>
        <v>597379.91253470141</v>
      </c>
      <c r="P38" s="306">
        <f t="shared" si="14"/>
        <v>0</v>
      </c>
      <c r="Q38" s="306">
        <v>0</v>
      </c>
      <c r="R38" s="306">
        <f t="shared" ca="1" si="15"/>
        <v>597379.91253470141</v>
      </c>
      <c r="S38" s="818">
        <f t="shared" ca="1" si="16"/>
        <v>181245.1639080421</v>
      </c>
      <c r="T38" s="818">
        <f t="shared" si="17"/>
        <v>0</v>
      </c>
      <c r="U38" s="818">
        <v>0</v>
      </c>
      <c r="V38" s="818">
        <f t="shared" ca="1" si="18"/>
        <v>181245.1639080421</v>
      </c>
      <c r="W38" s="306">
        <f t="shared" si="1"/>
        <v>0</v>
      </c>
      <c r="X38" s="306">
        <f t="shared" ca="1" si="2"/>
        <v>-13710.13521560043</v>
      </c>
      <c r="Y38" s="306">
        <v>0</v>
      </c>
      <c r="Z38" s="306">
        <v>0</v>
      </c>
      <c r="AA38" s="308">
        <f ca="1">-SUM(W38,X38/OFFSET(GridFootprintbyYear,$A38-$A$19,0)*EF_PurchElec_MTperMWh,Z38)*OFFSET(ExposureCalculations!Price_GHG_Allowance_2010,A38-$A$19,0)*ExposureCalculations!D35</f>
        <v>571935.07361631049</v>
      </c>
      <c r="AB38" s="308">
        <f t="shared" ca="1" si="3"/>
        <v>615080.52593896363</v>
      </c>
      <c r="AC38" s="308">
        <v>0</v>
      </c>
      <c r="AD38" s="819">
        <f t="shared" ca="1" si="4"/>
        <v>804807.03782139649</v>
      </c>
      <c r="AE38" s="308">
        <v>0</v>
      </c>
      <c r="AF38" s="819">
        <f t="shared" ca="1" si="5"/>
        <v>309919.05599999992</v>
      </c>
      <c r="AG38" s="308">
        <v>0</v>
      </c>
      <c r="AH38" s="308">
        <v>0</v>
      </c>
      <c r="AI38" s="308">
        <v>0</v>
      </c>
      <c r="AJ38" s="308">
        <f t="shared" ca="1" si="6"/>
        <v>1729806.6197603601</v>
      </c>
      <c r="AK38" s="309">
        <v>0</v>
      </c>
      <c r="AL38" s="309">
        <f t="shared" si="26"/>
        <v>0</v>
      </c>
      <c r="AM38" s="309">
        <f t="shared" si="19"/>
        <v>0</v>
      </c>
      <c r="AN38" s="310">
        <v>0</v>
      </c>
      <c r="AO38" s="310">
        <v>0</v>
      </c>
      <c r="AP38" s="310">
        <f t="shared" si="20"/>
        <v>0</v>
      </c>
      <c r="AQ38" s="309">
        <v>0</v>
      </c>
      <c r="AR38" s="311">
        <f t="shared" ca="1" si="7"/>
        <v>2301741.6933766706</v>
      </c>
      <c r="AS38" s="870">
        <f t="shared" ca="1" si="21"/>
        <v>31482402.599101488</v>
      </c>
      <c r="AT38" s="822"/>
      <c r="AU38" s="878"/>
      <c r="AV38" s="35"/>
      <c r="AW38" s="879"/>
      <c r="AX38" s="35"/>
      <c r="AY38" s="880"/>
    </row>
    <row r="39" spans="1:51">
      <c r="A39" s="303">
        <v>2030</v>
      </c>
      <c r="B39" s="304">
        <f ca="1">IF($D$3="BAU",UtilityDemand!C32,INDIRECT($D$3&amp;"!B"&amp;ROW(A39))+INDIRECT($D$3&amp;"!D"&amp;ROW(A39)))</f>
        <v>125959.14339630527</v>
      </c>
      <c r="C39" s="305">
        <f t="shared" ca="1" si="22"/>
        <v>-5.2255039392345284E-2</v>
      </c>
      <c r="D39" s="306">
        <f t="shared" si="23"/>
        <v>-6582</v>
      </c>
      <c r="E39" s="304">
        <f ca="1">IF($D$3="BAU",UtilityDemand!E32,INDIRECT($D$3&amp;"!E"&amp;ROW(D39))+INDIRECT($D$3&amp;"!G"&amp;ROW(D39)))</f>
        <v>662868.88361143647</v>
      </c>
      <c r="F39" s="305">
        <f t="shared" ca="1" si="24"/>
        <v>-9.9816761105934099E-2</v>
      </c>
      <c r="G39" s="306">
        <f t="shared" ca="1" si="8"/>
        <v>-66165.424999999988</v>
      </c>
      <c r="H39" s="304">
        <f ca="1">IF($D$3="BAU",UtilityDemand!G32,INDIRECT($D$3&amp;"!H"&amp;ROW(G39))+INDIRECT($D$3&amp;"!J"&amp;ROW(G39)))</f>
        <v>198101.14576804914</v>
      </c>
      <c r="I39" s="305">
        <f t="shared" ca="1" si="25"/>
        <v>-8.0919754087487236E-2</v>
      </c>
      <c r="J39" s="306">
        <f t="shared" ca="1" si="9"/>
        <v>-16030.295999999998</v>
      </c>
      <c r="K39" s="307">
        <f t="shared" ca="1" si="10"/>
        <v>119377.14339630527</v>
      </c>
      <c r="L39" s="307">
        <f t="shared" si="11"/>
        <v>0</v>
      </c>
      <c r="M39" s="307">
        <v>0</v>
      </c>
      <c r="N39" s="307">
        <f t="shared" ca="1" si="12"/>
        <v>119377.14339630527</v>
      </c>
      <c r="O39" s="1494">
        <f t="shared" ca="1" si="13"/>
        <v>596703.45861143642</v>
      </c>
      <c r="P39" s="306">
        <f t="shared" si="14"/>
        <v>0</v>
      </c>
      <c r="Q39" s="306">
        <v>0</v>
      </c>
      <c r="R39" s="306">
        <f t="shared" ca="1" si="15"/>
        <v>596703.45861143642</v>
      </c>
      <c r="S39" s="818">
        <f t="shared" ca="1" si="16"/>
        <v>182070.84976804914</v>
      </c>
      <c r="T39" s="818">
        <f t="shared" si="17"/>
        <v>0</v>
      </c>
      <c r="U39" s="818">
        <v>0</v>
      </c>
      <c r="V39" s="818">
        <f t="shared" ca="1" si="18"/>
        <v>182070.84976804914</v>
      </c>
      <c r="W39" s="306">
        <f t="shared" si="1"/>
        <v>0</v>
      </c>
      <c r="X39" s="306">
        <f t="shared" ca="1" si="2"/>
        <v>-13710.13521560043</v>
      </c>
      <c r="Y39" s="306">
        <v>0</v>
      </c>
      <c r="Z39" s="306">
        <v>0</v>
      </c>
      <c r="AA39" s="308">
        <f ca="1">-SUM(W39,X39/OFFSET(GridFootprintbyYear,$A39-$A$19,0)*EF_PurchElec_MTperMWh,Z39)*OFFSET(ExposureCalculations!Price_GHG_Allowance_2010,A39-$A$19,0)*ExposureCalculations!D36</f>
        <v>614139.22186619951</v>
      </c>
      <c r="AB39" s="308">
        <f t="shared" ca="1" si="3"/>
        <v>618155.92856865842</v>
      </c>
      <c r="AC39" s="308">
        <v>0</v>
      </c>
      <c r="AD39" s="819">
        <f t="shared" ca="1" si="4"/>
        <v>808831.07301050343</v>
      </c>
      <c r="AE39" s="308">
        <v>0</v>
      </c>
      <c r="AF39" s="819">
        <f t="shared" ca="1" si="5"/>
        <v>309919.05599999992</v>
      </c>
      <c r="AG39" s="308">
        <v>0</v>
      </c>
      <c r="AH39" s="308">
        <v>0</v>
      </c>
      <c r="AI39" s="308">
        <v>0</v>
      </c>
      <c r="AJ39" s="308">
        <f t="shared" ca="1" si="6"/>
        <v>1736906.0575791616</v>
      </c>
      <c r="AK39" s="309">
        <v>0</v>
      </c>
      <c r="AL39" s="309">
        <f t="shared" si="26"/>
        <v>0</v>
      </c>
      <c r="AM39" s="309">
        <f t="shared" si="19"/>
        <v>0</v>
      </c>
      <c r="AN39" s="310">
        <v>0</v>
      </c>
      <c r="AO39" s="310">
        <v>0</v>
      </c>
      <c r="AP39" s="310">
        <f t="shared" si="20"/>
        <v>0</v>
      </c>
      <c r="AQ39" s="309">
        <v>0</v>
      </c>
      <c r="AR39" s="311">
        <f t="shared" ca="1" si="7"/>
        <v>2351045.2794453613</v>
      </c>
      <c r="AS39" s="870">
        <f t="shared" ca="1" si="21"/>
        <v>33833447.878546849</v>
      </c>
      <c r="AT39" s="822"/>
      <c r="AU39" s="878"/>
      <c r="AV39" s="35"/>
      <c r="AW39" s="879"/>
      <c r="AX39" s="35"/>
      <c r="AY39" s="880"/>
    </row>
    <row r="40" spans="1:51">
      <c r="A40" s="303">
        <v>2031</v>
      </c>
      <c r="B40" s="304">
        <f ca="1">IF($D$3="BAU",UtilityDemand!C33,INDIRECT($D$3&amp;"!B"&amp;ROW(A40))+INDIRECT($D$3&amp;"!D"&amp;ROW(A40)))</f>
        <v>125834.53836981412</v>
      </c>
      <c r="C40" s="305">
        <f t="shared" ca="1" si="22"/>
        <v>-5.2306783854971617E-2</v>
      </c>
      <c r="D40" s="306">
        <f t="shared" si="23"/>
        <v>-6582</v>
      </c>
      <c r="E40" s="304">
        <f ca="1">IF($D$3="BAU",UtilityDemand!E33,INDIRECT($D$3&amp;"!E"&amp;ROW(D40))+INDIRECT($D$3&amp;"!G"&amp;ROW(D40)))</f>
        <v>662192.42968817148</v>
      </c>
      <c r="F40" s="305">
        <f t="shared" ca="1" si="24"/>
        <v>-9.9918727598800092E-2</v>
      </c>
      <c r="G40" s="306">
        <f t="shared" ca="1" si="8"/>
        <v>-66165.424999999988</v>
      </c>
      <c r="H40" s="304">
        <f ca="1">IF($D$3="BAU",UtilityDemand!G33,INDIRECT($D$3&amp;"!H"&amp;ROW(G40))+INDIRECT($D$3&amp;"!J"&amp;ROW(G40)))</f>
        <v>198925.89603167636</v>
      </c>
      <c r="I40" s="305">
        <f t="shared" ca="1" si="25"/>
        <v>-8.0584259363835578E-2</v>
      </c>
      <c r="J40" s="306">
        <f t="shared" ca="1" si="9"/>
        <v>-16030.295999999998</v>
      </c>
      <c r="K40" s="307">
        <f t="shared" ca="1" si="10"/>
        <v>119252.53836981412</v>
      </c>
      <c r="L40" s="307">
        <f t="shared" si="11"/>
        <v>0</v>
      </c>
      <c r="M40" s="307">
        <v>0</v>
      </c>
      <c r="N40" s="307">
        <f t="shared" ca="1" si="12"/>
        <v>119252.53836981412</v>
      </c>
      <c r="O40" s="1494">
        <f t="shared" ca="1" si="13"/>
        <v>596027.00468817144</v>
      </c>
      <c r="P40" s="306">
        <f t="shared" si="14"/>
        <v>0</v>
      </c>
      <c r="Q40" s="306">
        <v>0</v>
      </c>
      <c r="R40" s="306">
        <f t="shared" ca="1" si="15"/>
        <v>596027.00468817144</v>
      </c>
      <c r="S40" s="818">
        <f t="shared" ca="1" si="16"/>
        <v>182895.60003167635</v>
      </c>
      <c r="T40" s="818">
        <f t="shared" si="17"/>
        <v>0</v>
      </c>
      <c r="U40" s="818">
        <v>0</v>
      </c>
      <c r="V40" s="818">
        <f t="shared" ca="1" si="18"/>
        <v>182895.60003167635</v>
      </c>
      <c r="W40" s="306">
        <f t="shared" si="1"/>
        <v>0</v>
      </c>
      <c r="X40" s="306">
        <f t="shared" ca="1" si="2"/>
        <v>-13710.13521560043</v>
      </c>
      <c r="Y40" s="306">
        <v>0</v>
      </c>
      <c r="Z40" s="306">
        <v>0</v>
      </c>
      <c r="AA40" s="308">
        <f ca="1">-SUM(W40,X40/OFFSET(GridFootprintbyYear,$A40-$A$19,0)*EF_PurchElec_MTperMWh,Z40)*OFFSET(ExposureCalculations!Price_GHG_Allowance_2010,A40-$A$19,0)*ExposureCalculations!D37</f>
        <v>662467.02897005144</v>
      </c>
      <c r="AB40" s="308">
        <f t="shared" ca="1" si="3"/>
        <v>621246.70821150148</v>
      </c>
      <c r="AC40" s="308">
        <v>0</v>
      </c>
      <c r="AD40" s="819">
        <f t="shared" ca="1" si="4"/>
        <v>812875.22837555571</v>
      </c>
      <c r="AE40" s="308">
        <v>0</v>
      </c>
      <c r="AF40" s="819">
        <f t="shared" ca="1" si="5"/>
        <v>309919.05599999992</v>
      </c>
      <c r="AG40" s="308">
        <v>0</v>
      </c>
      <c r="AH40" s="308">
        <v>0</v>
      </c>
      <c r="AI40" s="308">
        <v>0</v>
      </c>
      <c r="AJ40" s="308">
        <f t="shared" ca="1" si="6"/>
        <v>1744040.9925870569</v>
      </c>
      <c r="AK40" s="309">
        <v>0</v>
      </c>
      <c r="AL40" s="309">
        <f t="shared" si="26"/>
        <v>0</v>
      </c>
      <c r="AM40" s="309">
        <f t="shared" si="19"/>
        <v>0</v>
      </c>
      <c r="AN40" s="310">
        <v>0</v>
      </c>
      <c r="AO40" s="310">
        <v>0</v>
      </c>
      <c r="AP40" s="310">
        <f t="shared" si="20"/>
        <v>0</v>
      </c>
      <c r="AQ40" s="309">
        <v>0</v>
      </c>
      <c r="AR40" s="311">
        <f t="shared" ca="1" si="7"/>
        <v>2406508.0215571085</v>
      </c>
      <c r="AS40" s="870">
        <f t="shared" ca="1" si="21"/>
        <v>36239955.900103956</v>
      </c>
      <c r="AT40" s="822"/>
      <c r="AU40" s="878"/>
      <c r="AV40" s="35"/>
      <c r="AW40" s="879"/>
      <c r="AX40" s="35"/>
      <c r="AY40" s="880"/>
    </row>
    <row r="41" spans="1:51">
      <c r="A41" s="303">
        <v>2032</v>
      </c>
      <c r="B41" s="304">
        <f ca="1">IF($D$3="BAU",UtilityDemand!C34,INDIRECT($D$3&amp;"!B"&amp;ROW(A41))+INDIRECT($D$3&amp;"!D"&amp;ROW(A41)))</f>
        <v>125709.0241212051</v>
      </c>
      <c r="C41" s="305">
        <f t="shared" ca="1" si="22"/>
        <v>-5.2359009593884211E-2</v>
      </c>
      <c r="D41" s="306">
        <f t="shared" si="23"/>
        <v>-6582</v>
      </c>
      <c r="E41" s="304">
        <f ca="1">IF($D$3="BAU",UtilityDemand!E34,INDIRECT($D$3&amp;"!E"&amp;ROW(D41))+INDIRECT($D$3&amp;"!G"&amp;ROW(D41)))</f>
        <v>661515.9757649065</v>
      </c>
      <c r="F41" s="305">
        <f t="shared" ca="1" si="24"/>
        <v>-0.10002090262974125</v>
      </c>
      <c r="G41" s="306">
        <f t="shared" ca="1" si="8"/>
        <v>-66165.424999999988</v>
      </c>
      <c r="H41" s="304">
        <f ca="1">IF($D$3="BAU",UtilityDemand!G34,INDIRECT($D$3&amp;"!H"&amp;ROW(G41))+INDIRECT($D$3&amp;"!J"&amp;ROW(G41)))</f>
        <v>199749.73707318565</v>
      </c>
      <c r="I41" s="305">
        <f t="shared" ca="1" si="25"/>
        <v>-8.0251900377354246E-2</v>
      </c>
      <c r="J41" s="306">
        <f t="shared" ca="1" si="9"/>
        <v>-16030.295999999998</v>
      </c>
      <c r="K41" s="307">
        <f t="shared" ca="1" si="10"/>
        <v>119127.0241212051</v>
      </c>
      <c r="L41" s="307">
        <f t="shared" si="11"/>
        <v>0</v>
      </c>
      <c r="M41" s="307">
        <v>0</v>
      </c>
      <c r="N41" s="307">
        <f t="shared" ca="1" si="12"/>
        <v>119127.0241212051</v>
      </c>
      <c r="O41" s="1494">
        <f t="shared" ca="1" si="13"/>
        <v>595350.55076490645</v>
      </c>
      <c r="P41" s="306">
        <f t="shared" si="14"/>
        <v>0</v>
      </c>
      <c r="Q41" s="306">
        <v>0</v>
      </c>
      <c r="R41" s="306">
        <f t="shared" ca="1" si="15"/>
        <v>595350.55076490645</v>
      </c>
      <c r="S41" s="818">
        <f t="shared" ca="1" si="16"/>
        <v>183719.44107318565</v>
      </c>
      <c r="T41" s="818">
        <f t="shared" si="17"/>
        <v>0</v>
      </c>
      <c r="U41" s="818">
        <v>0</v>
      </c>
      <c r="V41" s="818">
        <f t="shared" ca="1" si="18"/>
        <v>183719.44107318565</v>
      </c>
      <c r="W41" s="306">
        <f t="shared" si="1"/>
        <v>0</v>
      </c>
      <c r="X41" s="306">
        <f t="shared" ca="1" si="2"/>
        <v>-13710.13521560043</v>
      </c>
      <c r="Y41" s="306">
        <v>0</v>
      </c>
      <c r="Z41" s="306">
        <v>0</v>
      </c>
      <c r="AA41" s="308">
        <f ca="1">-SUM(W41,X41/OFFSET(GridFootprintbyYear,$A41-$A$19,0)*EF_PurchElec_MTperMWh,Z41)*OFFSET(ExposureCalculations!Price_GHG_Allowance_2010,A41-$A$19,0)*ExposureCalculations!D38</f>
        <v>711977.86449026689</v>
      </c>
      <c r="AB41" s="308">
        <f t="shared" ca="1" si="3"/>
        <v>624352.94175255904</v>
      </c>
      <c r="AC41" s="308">
        <v>0</v>
      </c>
      <c r="AD41" s="819">
        <f t="shared" ca="1" si="4"/>
        <v>816939.60451743333</v>
      </c>
      <c r="AE41" s="308">
        <v>0</v>
      </c>
      <c r="AF41" s="819">
        <f t="shared" ca="1" si="5"/>
        <v>309919.05599999992</v>
      </c>
      <c r="AG41" s="308">
        <v>0</v>
      </c>
      <c r="AH41" s="308">
        <v>0</v>
      </c>
      <c r="AI41" s="308">
        <v>0</v>
      </c>
      <c r="AJ41" s="308">
        <f t="shared" ca="1" si="6"/>
        <v>1751211.6022699922</v>
      </c>
      <c r="AK41" s="309">
        <v>0</v>
      </c>
      <c r="AL41" s="309">
        <f t="shared" si="26"/>
        <v>0</v>
      </c>
      <c r="AM41" s="309">
        <f t="shared" si="19"/>
        <v>0</v>
      </c>
      <c r="AN41" s="310">
        <v>0</v>
      </c>
      <c r="AO41" s="310">
        <v>0</v>
      </c>
      <c r="AP41" s="310">
        <f t="shared" si="20"/>
        <v>0</v>
      </c>
      <c r="AQ41" s="309">
        <v>0</v>
      </c>
      <c r="AR41" s="311">
        <f t="shared" ca="1" si="7"/>
        <v>2463189.4667602591</v>
      </c>
      <c r="AS41" s="870">
        <f t="shared" ca="1" si="21"/>
        <v>38703145.366864219</v>
      </c>
      <c r="AT41" s="822"/>
      <c r="AU41" s="878"/>
      <c r="AV41" s="35"/>
      <c r="AW41" s="879"/>
      <c r="AX41" s="35"/>
      <c r="AY41" s="880"/>
    </row>
    <row r="42" spans="1:51">
      <c r="A42" s="303">
        <v>2033</v>
      </c>
      <c r="B42" s="304">
        <f ca="1">IF($D$3="BAU",UtilityDemand!C35,INDIRECT($D$3&amp;"!B"&amp;ROW(A42))+INDIRECT($D$3&amp;"!D"&amp;ROW(A42)))</f>
        <v>125582.62604265516</v>
      </c>
      <c r="C42" s="305">
        <f t="shared" ca="1" si="22"/>
        <v>-5.2411708589087558E-2</v>
      </c>
      <c r="D42" s="306">
        <f t="shared" si="23"/>
        <v>-6582</v>
      </c>
      <c r="E42" s="304">
        <f ca="1">IF($D$3="BAU",UtilityDemand!E35,INDIRECT($D$3&amp;"!E"&amp;ROW(D42))+INDIRECT($D$3&amp;"!G"&amp;ROW(D42)))</f>
        <v>660839.52184164163</v>
      </c>
      <c r="F42" s="305">
        <f t="shared" ca="1" si="24"/>
        <v>-0.10012328683915389</v>
      </c>
      <c r="G42" s="306">
        <f t="shared" ca="1" si="8"/>
        <v>-66165.424999999988</v>
      </c>
      <c r="H42" s="304">
        <f ca="1">IF($D$3="BAU",UtilityDemand!G35,INDIRECT($D$3&amp;"!H"&amp;ROW(G42))+INDIRECT($D$3&amp;"!J"&amp;ROW(G42)))</f>
        <v>200572.69428475408</v>
      </c>
      <c r="I42" s="305">
        <f t="shared" ca="1" si="25"/>
        <v>-7.9922623850491356E-2</v>
      </c>
      <c r="J42" s="306">
        <f t="shared" ca="1" si="9"/>
        <v>-16030.295999999998</v>
      </c>
      <c r="K42" s="307">
        <f t="shared" ca="1" si="10"/>
        <v>119000.62604265516</v>
      </c>
      <c r="L42" s="307">
        <f t="shared" si="11"/>
        <v>0</v>
      </c>
      <c r="M42" s="307">
        <v>0</v>
      </c>
      <c r="N42" s="307">
        <f t="shared" ca="1" si="12"/>
        <v>119000.62604265516</v>
      </c>
      <c r="O42" s="1494">
        <f t="shared" ca="1" si="13"/>
        <v>594674.0968416417</v>
      </c>
      <c r="P42" s="306">
        <f t="shared" si="14"/>
        <v>0</v>
      </c>
      <c r="Q42" s="306">
        <v>0</v>
      </c>
      <c r="R42" s="306">
        <f t="shared" ca="1" si="15"/>
        <v>594674.0968416417</v>
      </c>
      <c r="S42" s="818">
        <f t="shared" ca="1" si="16"/>
        <v>184542.39828475408</v>
      </c>
      <c r="T42" s="818">
        <f t="shared" si="17"/>
        <v>0</v>
      </c>
      <c r="U42" s="818">
        <v>0</v>
      </c>
      <c r="V42" s="818">
        <f t="shared" ca="1" si="18"/>
        <v>184542.39828475408</v>
      </c>
      <c r="W42" s="306">
        <f t="shared" si="1"/>
        <v>0</v>
      </c>
      <c r="X42" s="306">
        <f t="shared" ca="1" si="2"/>
        <v>-13710.13521560043</v>
      </c>
      <c r="Y42" s="306">
        <v>0</v>
      </c>
      <c r="Z42" s="306">
        <v>0</v>
      </c>
      <c r="AA42" s="308">
        <f ca="1">-SUM(W42,X42/OFFSET(GridFootprintbyYear,$A42-$A$19,0)*EF_PurchElec_MTperMWh,Z42)*OFFSET(ExposureCalculations!Price_GHG_Allowance_2010,A42-$A$19,0)*ExposureCalculations!D39</f>
        <v>756361.35830100044</v>
      </c>
      <c r="AB42" s="308">
        <f t="shared" ca="1" si="3"/>
        <v>627474.70646132168</v>
      </c>
      <c r="AC42" s="308">
        <v>0</v>
      </c>
      <c r="AD42" s="819">
        <f t="shared" ca="1" si="4"/>
        <v>821024.30254002044</v>
      </c>
      <c r="AE42" s="308">
        <v>0</v>
      </c>
      <c r="AF42" s="819">
        <f t="shared" ca="1" si="5"/>
        <v>309919.05599999992</v>
      </c>
      <c r="AG42" s="308">
        <v>0</v>
      </c>
      <c r="AH42" s="308">
        <v>0</v>
      </c>
      <c r="AI42" s="308">
        <v>0</v>
      </c>
      <c r="AJ42" s="308">
        <f t="shared" ca="1" si="6"/>
        <v>1758418.065001342</v>
      </c>
      <c r="AK42" s="309">
        <v>0</v>
      </c>
      <c r="AL42" s="309">
        <f t="shared" si="26"/>
        <v>0</v>
      </c>
      <c r="AM42" s="309">
        <f t="shared" si="19"/>
        <v>0</v>
      </c>
      <c r="AN42" s="310">
        <v>0</v>
      </c>
      <c r="AO42" s="310">
        <v>0</v>
      </c>
      <c r="AP42" s="310">
        <f t="shared" si="20"/>
        <v>0</v>
      </c>
      <c r="AQ42" s="309">
        <v>0</v>
      </c>
      <c r="AR42" s="311">
        <f t="shared" ca="1" si="7"/>
        <v>2514779.4233023422</v>
      </c>
      <c r="AS42" s="870">
        <f t="shared" ca="1" si="21"/>
        <v>41217924.790166564</v>
      </c>
      <c r="AT42" s="822"/>
      <c r="AU42" s="878"/>
      <c r="AV42" s="35"/>
      <c r="AW42" s="879"/>
      <c r="AX42" s="35"/>
      <c r="AY42" s="880"/>
    </row>
    <row r="43" spans="1:51">
      <c r="A43" s="303">
        <v>2034</v>
      </c>
      <c r="B43" s="304">
        <f ca="1">IF($D$3="BAU",UtilityDemand!C36,INDIRECT($D$3&amp;"!B"&amp;ROW(A43))+INDIRECT($D$3&amp;"!D"&amp;ROW(A43)))</f>
        <v>125455.36858954668</v>
      </c>
      <c r="C43" s="305">
        <f t="shared" ca="1" si="22"/>
        <v>-5.2464873157675548E-2</v>
      </c>
      <c r="D43" s="306">
        <f t="shared" si="23"/>
        <v>-6582</v>
      </c>
      <c r="E43" s="304">
        <f ca="1">IF($D$3="BAU",UtilityDemand!E36,INDIRECT($D$3&amp;"!E"&amp;ROW(D43))+INDIRECT($D$3&amp;"!G"&amp;ROW(D43)))</f>
        <v>660163.06791837653</v>
      </c>
      <c r="F43" s="305">
        <f t="shared" ca="1" si="24"/>
        <v>-0.10022588087005917</v>
      </c>
      <c r="G43" s="306">
        <f t="shared" ca="1" si="8"/>
        <v>-66165.424999999988</v>
      </c>
      <c r="H43" s="304">
        <f ca="1">IF($D$3="BAU",UtilityDemand!G36,INDIRECT($D$3&amp;"!H"&amp;ROW(G43))+INDIRECT($D$3&amp;"!J"&amp;ROW(G43)))</f>
        <v>201394.79212176395</v>
      </c>
      <c r="I43" s="305">
        <f t="shared" ca="1" si="25"/>
        <v>-7.9596377995256345E-2</v>
      </c>
      <c r="J43" s="306">
        <f t="shared" ca="1" si="9"/>
        <v>-16030.295999999998</v>
      </c>
      <c r="K43" s="307">
        <f t="shared" ca="1" si="10"/>
        <v>118873.36858954668</v>
      </c>
      <c r="L43" s="307">
        <f t="shared" si="11"/>
        <v>0</v>
      </c>
      <c r="M43" s="307">
        <v>0</v>
      </c>
      <c r="N43" s="307">
        <f t="shared" ca="1" si="12"/>
        <v>118873.36858954668</v>
      </c>
      <c r="O43" s="1494">
        <f t="shared" ca="1" si="13"/>
        <v>593997.64291837648</v>
      </c>
      <c r="P43" s="306">
        <f t="shared" si="14"/>
        <v>0</v>
      </c>
      <c r="Q43" s="306">
        <v>0</v>
      </c>
      <c r="R43" s="306">
        <f t="shared" ca="1" si="15"/>
        <v>593997.64291837648</v>
      </c>
      <c r="S43" s="818">
        <f t="shared" ca="1" si="16"/>
        <v>185364.49612176395</v>
      </c>
      <c r="T43" s="818">
        <f t="shared" si="17"/>
        <v>0</v>
      </c>
      <c r="U43" s="818">
        <v>0</v>
      </c>
      <c r="V43" s="818">
        <f t="shared" ca="1" si="18"/>
        <v>185364.49612176395</v>
      </c>
      <c r="W43" s="306">
        <f t="shared" si="1"/>
        <v>0</v>
      </c>
      <c r="X43" s="306">
        <f t="shared" ca="1" si="2"/>
        <v>-13710.13521560043</v>
      </c>
      <c r="Y43" s="306">
        <v>0</v>
      </c>
      <c r="Z43" s="306">
        <v>0</v>
      </c>
      <c r="AA43" s="308">
        <f ca="1">-SUM(W43,X43/OFFSET(GridFootprintbyYear,$A43-$A$19,0)*EF_PurchElec_MTperMWh,Z43)*OFFSET(ExposureCalculations!Price_GHG_Allowance_2010,A43-$A$19,0)*ExposureCalculations!D40</f>
        <v>795365.77848777873</v>
      </c>
      <c r="AB43" s="308">
        <f t="shared" ca="1" si="3"/>
        <v>630612.07999362831</v>
      </c>
      <c r="AC43" s="308">
        <v>0</v>
      </c>
      <c r="AD43" s="819">
        <f t="shared" ca="1" si="4"/>
        <v>825129.42405272066</v>
      </c>
      <c r="AE43" s="308">
        <v>0</v>
      </c>
      <c r="AF43" s="819">
        <f t="shared" ca="1" si="5"/>
        <v>309919.05599999992</v>
      </c>
      <c r="AG43" s="308">
        <v>0</v>
      </c>
      <c r="AH43" s="308">
        <v>0</v>
      </c>
      <c r="AI43" s="308">
        <v>0</v>
      </c>
      <c r="AJ43" s="308">
        <f t="shared" ca="1" si="6"/>
        <v>1765660.5600463487</v>
      </c>
      <c r="AK43" s="309">
        <v>0</v>
      </c>
      <c r="AL43" s="309">
        <f t="shared" si="26"/>
        <v>0</v>
      </c>
      <c r="AM43" s="309">
        <f t="shared" si="19"/>
        <v>0</v>
      </c>
      <c r="AN43" s="310">
        <v>0</v>
      </c>
      <c r="AO43" s="310">
        <v>0</v>
      </c>
      <c r="AP43" s="310">
        <f t="shared" si="20"/>
        <v>0</v>
      </c>
      <c r="AQ43" s="309">
        <v>0</v>
      </c>
      <c r="AR43" s="311">
        <f t="shared" ca="1" si="7"/>
        <v>2561026.3385341275</v>
      </c>
      <c r="AS43" s="870">
        <f t="shared" ca="1" si="21"/>
        <v>43778951.128700688</v>
      </c>
      <c r="AT43" s="822"/>
      <c r="AU43" s="878"/>
      <c r="AV43" s="35"/>
      <c r="AW43" s="879"/>
      <c r="AX43" s="35"/>
      <c r="AY43" s="880"/>
    </row>
    <row r="44" spans="1:51">
      <c r="A44" s="303">
        <v>2035</v>
      </c>
      <c r="B44" s="304">
        <f ca="1">IF($D$3="BAU",UtilityDemand!C37,INDIRECT($D$3&amp;"!B"&amp;ROW(A44))+INDIRECT($D$3&amp;"!D"&amp;ROW(A44)))</f>
        <v>125327.27532327401</v>
      </c>
      <c r="C44" s="305">
        <f t="shared" ca="1" si="22"/>
        <v>-5.251849593811192E-2</v>
      </c>
      <c r="D44" s="306">
        <f t="shared" si="23"/>
        <v>-6582</v>
      </c>
      <c r="E44" s="304">
        <f ca="1">IF($D$3="BAU",UtilityDemand!E37,INDIRECT($D$3&amp;"!E"&amp;ROW(D44))+INDIRECT($D$3&amp;"!G"&amp;ROW(D44)))</f>
        <v>659486.61399511166</v>
      </c>
      <c r="F44" s="305">
        <f t="shared" ca="1" si="24"/>
        <v>-0.1003286853681164</v>
      </c>
      <c r="G44" s="306">
        <f t="shared" ca="1" si="8"/>
        <v>-66165.424999999988</v>
      </c>
      <c r="H44" s="304">
        <f ca="1">IF($D$3="BAU",UtilityDemand!G37,INDIRECT($D$3&amp;"!H"&amp;ROW(G44))+INDIRECT($D$3&amp;"!J"&amp;ROW(G44)))</f>
        <v>202216.05414560964</v>
      </c>
      <c r="I44" s="305">
        <f t="shared" ca="1" si="25"/>
        <v>-7.9273112452570502E-2</v>
      </c>
      <c r="J44" s="306">
        <f t="shared" ca="1" si="9"/>
        <v>-16030.295999999998</v>
      </c>
      <c r="K44" s="307">
        <f t="shared" ca="1" si="10"/>
        <v>118745.27532327401</v>
      </c>
      <c r="L44" s="307">
        <f t="shared" si="11"/>
        <v>0</v>
      </c>
      <c r="M44" s="307">
        <v>0</v>
      </c>
      <c r="N44" s="307">
        <f t="shared" ca="1" si="12"/>
        <v>118745.27532327401</v>
      </c>
      <c r="O44" s="1494">
        <f t="shared" ca="1" si="13"/>
        <v>593321.18899511173</v>
      </c>
      <c r="P44" s="306">
        <f t="shared" si="14"/>
        <v>0</v>
      </c>
      <c r="Q44" s="306">
        <v>0</v>
      </c>
      <c r="R44" s="306">
        <f t="shared" ca="1" si="15"/>
        <v>593321.18899511173</v>
      </c>
      <c r="S44" s="818">
        <f t="shared" ca="1" si="16"/>
        <v>186185.75814560964</v>
      </c>
      <c r="T44" s="818">
        <f t="shared" si="17"/>
        <v>0</v>
      </c>
      <c r="U44" s="818">
        <v>0</v>
      </c>
      <c r="V44" s="818">
        <f t="shared" ca="1" si="18"/>
        <v>186185.75814560964</v>
      </c>
      <c r="W44" s="306">
        <f t="shared" si="1"/>
        <v>0</v>
      </c>
      <c r="X44" s="306">
        <f t="shared" ca="1" si="2"/>
        <v>-13710.13521560043</v>
      </c>
      <c r="Y44" s="306">
        <v>0</v>
      </c>
      <c r="Z44" s="306">
        <v>0</v>
      </c>
      <c r="AA44" s="308">
        <f ca="1">-SUM(W44,X44/OFFSET(GridFootprintbyYear,$A44-$A$19,0)*EF_PurchElec_MTperMWh,Z44)*OFFSET(ExposureCalculations!Price_GHG_Allowance_2010,A44-$A$19,0)*ExposureCalculations!D41</f>
        <v>835171.07165490894</v>
      </c>
      <c r="AB44" s="308">
        <f t="shared" ca="1" si="3"/>
        <v>633765.14039359626</v>
      </c>
      <c r="AC44" s="308">
        <v>0</v>
      </c>
      <c r="AD44" s="819">
        <f t="shared" ca="1" si="4"/>
        <v>829255.07117298408</v>
      </c>
      <c r="AE44" s="308">
        <v>0</v>
      </c>
      <c r="AF44" s="819">
        <f t="shared" ca="1" si="5"/>
        <v>309919.05599999992</v>
      </c>
      <c r="AG44" s="308">
        <v>0</v>
      </c>
      <c r="AH44" s="308">
        <v>0</v>
      </c>
      <c r="AI44" s="308">
        <v>0</v>
      </c>
      <c r="AJ44" s="308">
        <f t="shared" ca="1" si="6"/>
        <v>1772939.2675665803</v>
      </c>
      <c r="AK44" s="309">
        <v>0</v>
      </c>
      <c r="AL44" s="309">
        <f t="shared" si="26"/>
        <v>0</v>
      </c>
      <c r="AM44" s="309">
        <f t="shared" si="19"/>
        <v>0</v>
      </c>
      <c r="AN44" s="310">
        <v>0</v>
      </c>
      <c r="AO44" s="310">
        <v>0</v>
      </c>
      <c r="AP44" s="310">
        <f t="shared" si="20"/>
        <v>0</v>
      </c>
      <c r="AQ44" s="309">
        <v>0</v>
      </c>
      <c r="AR44" s="311">
        <f t="shared" ca="1" si="7"/>
        <v>2608110.3392214892</v>
      </c>
      <c r="AS44" s="870">
        <f t="shared" ca="1" si="21"/>
        <v>46387061.467922181</v>
      </c>
      <c r="AT44" s="822"/>
      <c r="AU44" s="878"/>
      <c r="AV44" s="35"/>
      <c r="AW44" s="879"/>
      <c r="AX44" s="35"/>
      <c r="AY44" s="880"/>
    </row>
    <row r="45" spans="1:51">
      <c r="A45" s="303">
        <v>2036</v>
      </c>
      <c r="B45" s="304">
        <f ca="1">IF($D$3="BAU",UtilityDemand!C38,INDIRECT($D$3&amp;"!B"&amp;ROW(A45))+INDIRECT($D$3&amp;"!D"&amp;ROW(A45)))</f>
        <v>125198.36895172419</v>
      </c>
      <c r="C45" s="305">
        <f t="shared" ca="1" si="22"/>
        <v>-5.2572569875394971E-2</v>
      </c>
      <c r="D45" s="306">
        <f t="shared" si="23"/>
        <v>-6582</v>
      </c>
      <c r="E45" s="304">
        <f ca="1">IF($D$3="BAU",UtilityDemand!E38,INDIRECT($D$3&amp;"!E"&amp;ROW(D45))+INDIRECT($D$3&amp;"!G"&amp;ROW(D45)))</f>
        <v>658810.1600718468</v>
      </c>
      <c r="F45" s="305">
        <f t="shared" ca="1" si="24"/>
        <v>-0.1004317009816368</v>
      </c>
      <c r="G45" s="306">
        <f t="shared" ca="1" si="8"/>
        <v>-66165.424999999988</v>
      </c>
      <c r="H45" s="304">
        <f ca="1">IF($D$3="BAU",UtilityDemand!G38,INDIRECT($D$3&amp;"!H"&amp;ROW(G45))+INDIRECT($D$3&amp;"!J"&amp;ROW(G45)))</f>
        <v>203036.50306417819</v>
      </c>
      <c r="I45" s="305">
        <f t="shared" ca="1" si="25"/>
        <v>-7.8952778234822885E-2</v>
      </c>
      <c r="J45" s="306">
        <f t="shared" ca="1" si="9"/>
        <v>-16030.295999999998</v>
      </c>
      <c r="K45" s="307">
        <f t="shared" ca="1" si="10"/>
        <v>118616.36895172419</v>
      </c>
      <c r="L45" s="307">
        <f t="shared" si="11"/>
        <v>0</v>
      </c>
      <c r="M45" s="307">
        <v>0</v>
      </c>
      <c r="N45" s="307">
        <f t="shared" ca="1" si="12"/>
        <v>118616.36895172419</v>
      </c>
      <c r="O45" s="1494">
        <f t="shared" ca="1" si="13"/>
        <v>592644.73507184675</v>
      </c>
      <c r="P45" s="306">
        <f t="shared" si="14"/>
        <v>0</v>
      </c>
      <c r="Q45" s="306">
        <v>0</v>
      </c>
      <c r="R45" s="306">
        <f t="shared" ca="1" si="15"/>
        <v>592644.73507184675</v>
      </c>
      <c r="S45" s="818">
        <f t="shared" ca="1" si="16"/>
        <v>187006.20706417819</v>
      </c>
      <c r="T45" s="818">
        <f t="shared" si="17"/>
        <v>0</v>
      </c>
      <c r="U45" s="818">
        <v>0</v>
      </c>
      <c r="V45" s="818">
        <f t="shared" ca="1" si="18"/>
        <v>187006.20706417819</v>
      </c>
      <c r="W45" s="306">
        <f t="shared" si="1"/>
        <v>0</v>
      </c>
      <c r="X45" s="306">
        <f t="shared" ca="1" si="2"/>
        <v>-13710.13521560043</v>
      </c>
      <c r="Y45" s="306">
        <v>0</v>
      </c>
      <c r="Z45" s="306">
        <v>0</v>
      </c>
      <c r="AA45" s="308">
        <f ca="1">-SUM(W45,X45/OFFSET(GridFootprintbyYear,$A45-$A$19,0)*EF_PurchElec_MTperMWh,Z45)*OFFSET(ExposureCalculations!Price_GHG_Allowance_2010,A45-$A$19,0)*ExposureCalculations!D42</f>
        <v>881742.13817058131</v>
      </c>
      <c r="AB45" s="308">
        <f t="shared" ca="1" si="3"/>
        <v>636933.96609556419</v>
      </c>
      <c r="AC45" s="308">
        <v>0</v>
      </c>
      <c r="AD45" s="819">
        <f t="shared" ca="1" si="4"/>
        <v>833401.34652884887</v>
      </c>
      <c r="AE45" s="308">
        <v>0</v>
      </c>
      <c r="AF45" s="819">
        <f t="shared" ca="1" si="5"/>
        <v>309919.05599999992</v>
      </c>
      <c r="AG45" s="308">
        <v>0</v>
      </c>
      <c r="AH45" s="308">
        <v>0</v>
      </c>
      <c r="AI45" s="308">
        <v>0</v>
      </c>
      <c r="AJ45" s="308">
        <f t="shared" ca="1" si="6"/>
        <v>1780254.3686244129</v>
      </c>
      <c r="AK45" s="309">
        <v>0</v>
      </c>
      <c r="AL45" s="309">
        <f t="shared" si="26"/>
        <v>0</v>
      </c>
      <c r="AM45" s="309">
        <f t="shared" si="19"/>
        <v>0</v>
      </c>
      <c r="AN45" s="310">
        <v>0</v>
      </c>
      <c r="AO45" s="310">
        <v>0</v>
      </c>
      <c r="AP45" s="310">
        <f t="shared" si="20"/>
        <v>0</v>
      </c>
      <c r="AQ45" s="309">
        <v>0</v>
      </c>
      <c r="AR45" s="311">
        <f t="shared" ca="1" si="7"/>
        <v>2661996.5067949942</v>
      </c>
      <c r="AS45" s="870">
        <f t="shared" ca="1" si="21"/>
        <v>49049057.974717177</v>
      </c>
      <c r="AT45" s="822"/>
      <c r="AU45" s="878"/>
      <c r="AV45" s="35"/>
      <c r="AW45" s="879"/>
      <c r="AX45" s="35"/>
      <c r="AY45" s="880"/>
    </row>
    <row r="46" spans="1:51">
      <c r="A46" s="303">
        <v>2037</v>
      </c>
      <c r="B46" s="304">
        <f ca="1">IF($D$3="BAU",UtilityDemand!C39,INDIRECT($D$3&amp;"!B"&amp;ROW(A46))+INDIRECT($D$3&amp;"!D"&amp;ROW(A46)))</f>
        <v>125068.67136757774</v>
      </c>
      <c r="C46" s="305">
        <f t="shared" ca="1" si="22"/>
        <v>-5.2627088207049498E-2</v>
      </c>
      <c r="D46" s="306">
        <f t="shared" si="23"/>
        <v>-6582</v>
      </c>
      <c r="E46" s="304">
        <f ca="1">IF($D$3="BAU",UtilityDemand!E39,INDIRECT($D$3&amp;"!E"&amp;ROW(D46))+INDIRECT($D$3&amp;"!G"&amp;ROW(D46)))</f>
        <v>658133.70614858181</v>
      </c>
      <c r="F46" s="305">
        <f t="shared" ca="1" si="24"/>
        <v>-0.10053492836159697</v>
      </c>
      <c r="G46" s="306">
        <f t="shared" ca="1" si="8"/>
        <v>-66165.424999999988</v>
      </c>
      <c r="H46" s="304">
        <f ca="1">IF($D$3="BAU",UtilityDemand!G39,INDIRECT($D$3&amp;"!H"&amp;ROW(G46))+INDIRECT($D$3&amp;"!J"&amp;ROW(G46)))</f>
        <v>203856.16077015013</v>
      </c>
      <c r="I46" s="305">
        <f t="shared" ca="1" si="25"/>
        <v>-7.8635327671427682E-2</v>
      </c>
      <c r="J46" s="306">
        <f t="shared" ca="1" si="9"/>
        <v>-16030.295999999998</v>
      </c>
      <c r="K46" s="307">
        <f t="shared" ca="1" si="10"/>
        <v>118486.67136757774</v>
      </c>
      <c r="L46" s="307">
        <f t="shared" si="11"/>
        <v>0</v>
      </c>
      <c r="M46" s="307">
        <v>0</v>
      </c>
      <c r="N46" s="307">
        <f t="shared" ca="1" si="12"/>
        <v>118486.67136757774</v>
      </c>
      <c r="O46" s="1494">
        <f t="shared" ca="1" si="13"/>
        <v>591968.28114858177</v>
      </c>
      <c r="P46" s="306">
        <f t="shared" si="14"/>
        <v>0</v>
      </c>
      <c r="Q46" s="306">
        <v>0</v>
      </c>
      <c r="R46" s="306">
        <f t="shared" ca="1" si="15"/>
        <v>591968.28114858177</v>
      </c>
      <c r="S46" s="818">
        <f t="shared" ca="1" si="16"/>
        <v>187825.86477015013</v>
      </c>
      <c r="T46" s="818">
        <f t="shared" si="17"/>
        <v>0</v>
      </c>
      <c r="U46" s="818">
        <v>0</v>
      </c>
      <c r="V46" s="818">
        <f t="shared" ca="1" si="18"/>
        <v>187825.86477015013</v>
      </c>
      <c r="W46" s="306">
        <f t="shared" si="1"/>
        <v>0</v>
      </c>
      <c r="X46" s="306">
        <f t="shared" ca="1" si="2"/>
        <v>-13710.13521560043</v>
      </c>
      <c r="Y46" s="306">
        <v>0</v>
      </c>
      <c r="Z46" s="306">
        <v>0</v>
      </c>
      <c r="AA46" s="308">
        <f ca="1">-SUM(W46,X46/OFFSET(GridFootprintbyYear,$A46-$A$19,0)*EF_PurchElec_MTperMWh,Z46)*OFFSET(ExposureCalculations!Price_GHG_Allowance_2010,A46-$A$19,0)*ExposureCalculations!D43</f>
        <v>928110.77135982446</v>
      </c>
      <c r="AB46" s="308">
        <f t="shared" ca="1" si="3"/>
        <v>640118.63592604187</v>
      </c>
      <c r="AC46" s="308">
        <v>0</v>
      </c>
      <c r="AD46" s="819">
        <f t="shared" ca="1" si="4"/>
        <v>837568.35326149291</v>
      </c>
      <c r="AE46" s="308">
        <v>0</v>
      </c>
      <c r="AF46" s="819">
        <f t="shared" ca="1" si="5"/>
        <v>309919.05599999992</v>
      </c>
      <c r="AG46" s="308">
        <v>0</v>
      </c>
      <c r="AH46" s="308">
        <v>0</v>
      </c>
      <c r="AI46" s="308">
        <v>0</v>
      </c>
      <c r="AJ46" s="308">
        <f t="shared" ca="1" si="6"/>
        <v>1787606.0451875348</v>
      </c>
      <c r="AK46" s="309">
        <v>0</v>
      </c>
      <c r="AL46" s="309">
        <f t="shared" si="26"/>
        <v>0</v>
      </c>
      <c r="AM46" s="309">
        <f t="shared" si="19"/>
        <v>0</v>
      </c>
      <c r="AN46" s="310">
        <v>0</v>
      </c>
      <c r="AO46" s="310">
        <v>0</v>
      </c>
      <c r="AP46" s="310">
        <f t="shared" si="20"/>
        <v>0</v>
      </c>
      <c r="AQ46" s="309">
        <v>0</v>
      </c>
      <c r="AR46" s="311">
        <f t="shared" ca="1" si="7"/>
        <v>2715716.8165473593</v>
      </c>
      <c r="AS46" s="870">
        <f t="shared" ca="1" si="21"/>
        <v>51764774.791264534</v>
      </c>
      <c r="AT46" s="822"/>
      <c r="AU46" s="878"/>
      <c r="AV46" s="35"/>
      <c r="AW46" s="879"/>
      <c r="AX46" s="35"/>
      <c r="AY46" s="880"/>
    </row>
    <row r="47" spans="1:51">
      <c r="A47" s="303">
        <v>2038</v>
      </c>
      <c r="B47" s="304">
        <f ca="1">IF($D$3="BAU",UtilityDemand!C40,INDIRECT($D$3&amp;"!B"&amp;ROW(A47))+INDIRECT($D$3&amp;"!D"&amp;ROW(A47)))</f>
        <v>124938.20368456552</v>
      </c>
      <c r="C47" s="305">
        <f t="shared" ca="1" si="22"/>
        <v>-5.2682044449892468E-2</v>
      </c>
      <c r="D47" s="306">
        <f t="shared" si="23"/>
        <v>-6582</v>
      </c>
      <c r="E47" s="304">
        <f ca="1">IF($D$3="BAU",UtilityDemand!E40,INDIRECT($D$3&amp;"!E"&amp;ROW(D47))+INDIRECT($D$3&amp;"!G"&amp;ROW(D47)))</f>
        <v>657457.25222531694</v>
      </c>
      <c r="F47" s="305">
        <f t="shared" ca="1" si="24"/>
        <v>-0.10063836816165267</v>
      </c>
      <c r="G47" s="306">
        <f t="shared" ca="1" si="8"/>
        <v>-66165.424999999988</v>
      </c>
      <c r="H47" s="304">
        <f ca="1">IF($D$3="BAU",UtilityDemand!G40,INDIRECT($D$3&amp;"!H"&amp;ROW(G47))+INDIRECT($D$3&amp;"!J"&amp;ROW(G47)))</f>
        <v>204675.04837725623</v>
      </c>
      <c r="I47" s="305">
        <f t="shared" ca="1" si="25"/>
        <v>-7.8320714357194246E-2</v>
      </c>
      <c r="J47" s="306">
        <f t="shared" ca="1" si="9"/>
        <v>-16030.295999999998</v>
      </c>
      <c r="K47" s="307">
        <f t="shared" ca="1" si="10"/>
        <v>118356.20368456552</v>
      </c>
      <c r="L47" s="307">
        <f t="shared" si="11"/>
        <v>0</v>
      </c>
      <c r="M47" s="307">
        <v>0</v>
      </c>
      <c r="N47" s="307">
        <f t="shared" ca="1" si="12"/>
        <v>118356.20368456552</v>
      </c>
      <c r="O47" s="1494">
        <f t="shared" ca="1" si="13"/>
        <v>591291.82722531701</v>
      </c>
      <c r="P47" s="306">
        <f t="shared" si="14"/>
        <v>0</v>
      </c>
      <c r="Q47" s="306">
        <v>0</v>
      </c>
      <c r="R47" s="306">
        <f t="shared" ca="1" si="15"/>
        <v>591291.82722531701</v>
      </c>
      <c r="S47" s="818">
        <f t="shared" ca="1" si="16"/>
        <v>188644.75237725623</v>
      </c>
      <c r="T47" s="818">
        <f t="shared" si="17"/>
        <v>0</v>
      </c>
      <c r="U47" s="818">
        <v>0</v>
      </c>
      <c r="V47" s="818">
        <f t="shared" ca="1" si="18"/>
        <v>188644.75237725623</v>
      </c>
      <c r="W47" s="306">
        <f t="shared" si="1"/>
        <v>0</v>
      </c>
      <c r="X47" s="306">
        <f t="shared" ca="1" si="2"/>
        <v>-13710.13521560043</v>
      </c>
      <c r="Y47" s="306">
        <v>0</v>
      </c>
      <c r="Z47" s="306">
        <v>0</v>
      </c>
      <c r="AA47" s="308">
        <f ca="1">-SUM(W47,X47/OFFSET(GridFootprintbyYear,$A47-$A$19,0)*EF_PurchElec_MTperMWh,Z47)*OFFSET(ExposureCalculations!Price_GHG_Allowance_2010,A47-$A$19,0)*ExposureCalculations!D44</f>
        <v>974154.08706160262</v>
      </c>
      <c r="AB47" s="308">
        <f t="shared" ca="1" si="3"/>
        <v>643319.22910567198</v>
      </c>
      <c r="AC47" s="308">
        <v>0</v>
      </c>
      <c r="AD47" s="819">
        <f t="shared" ca="1" si="4"/>
        <v>841756.19502780016</v>
      </c>
      <c r="AE47" s="308">
        <v>0</v>
      </c>
      <c r="AF47" s="819">
        <f t="shared" ca="1" si="5"/>
        <v>309919.05599999992</v>
      </c>
      <c r="AG47" s="308">
        <v>0</v>
      </c>
      <c r="AH47" s="308">
        <v>0</v>
      </c>
      <c r="AI47" s="308">
        <v>0</v>
      </c>
      <c r="AJ47" s="308">
        <f t="shared" ca="1" si="6"/>
        <v>1794994.480133472</v>
      </c>
      <c r="AK47" s="309">
        <v>0</v>
      </c>
      <c r="AL47" s="309">
        <f t="shared" si="26"/>
        <v>0</v>
      </c>
      <c r="AM47" s="309">
        <f t="shared" si="19"/>
        <v>0</v>
      </c>
      <c r="AN47" s="310">
        <v>0</v>
      </c>
      <c r="AO47" s="310">
        <v>0</v>
      </c>
      <c r="AP47" s="310">
        <f t="shared" si="20"/>
        <v>0</v>
      </c>
      <c r="AQ47" s="309">
        <v>0</v>
      </c>
      <c r="AR47" s="311">
        <f t="shared" ca="1" si="7"/>
        <v>2769148.5671950746</v>
      </c>
      <c r="AS47" s="870">
        <f t="shared" ca="1" si="21"/>
        <v>54533923.358459607</v>
      </c>
      <c r="AT47" s="822"/>
      <c r="AU47" s="878"/>
      <c r="AV47" s="35"/>
      <c r="AW47" s="879"/>
      <c r="AX47" s="35"/>
      <c r="AY47" s="880"/>
    </row>
    <row r="48" spans="1:51">
      <c r="A48" s="303">
        <v>2039</v>
      </c>
      <c r="B48" s="304">
        <f ca="1">IF($D$3="BAU",UtilityDemand!C41,INDIRECT($D$3&amp;"!B"&amp;ROW(A48))+INDIRECT($D$3&amp;"!D"&amp;ROW(A48)))</f>
        <v>124806.98627180712</v>
      </c>
      <c r="C48" s="305">
        <f t="shared" ca="1" si="22"/>
        <v>-5.2737432387523486E-2</v>
      </c>
      <c r="D48" s="306">
        <f t="shared" si="23"/>
        <v>-6582</v>
      </c>
      <c r="E48" s="304">
        <f ca="1">IF($D$3="BAU",UtilityDemand!E41,INDIRECT($D$3&amp;"!E"&amp;ROW(D48))+INDIRECT($D$3&amp;"!G"&amp;ROW(D48)))</f>
        <v>656780.79830205208</v>
      </c>
      <c r="F48" s="305">
        <f t="shared" ca="1" si="24"/>
        <v>-0.10074202103815259</v>
      </c>
      <c r="G48" s="306">
        <f t="shared" ca="1" si="8"/>
        <v>-66165.424999999988</v>
      </c>
      <c r="H48" s="304">
        <f ca="1">IF($D$3="BAU",UtilityDemand!G41,INDIRECT($D$3&amp;"!H"&amp;ROW(G48))+INDIRECT($D$3&amp;"!J"&amp;ROW(G48)))</f>
        <v>205493.18625461622</v>
      </c>
      <c r="I48" s="305">
        <f t="shared" ca="1" si="25"/>
        <v>-7.800889310333467E-2</v>
      </c>
      <c r="J48" s="306">
        <f t="shared" ca="1" si="9"/>
        <v>-16030.295999999998</v>
      </c>
      <c r="K48" s="307">
        <f t="shared" ca="1" si="10"/>
        <v>118224.98627180712</v>
      </c>
      <c r="L48" s="307">
        <f t="shared" si="11"/>
        <v>0</v>
      </c>
      <c r="M48" s="307">
        <v>0</v>
      </c>
      <c r="N48" s="307">
        <f t="shared" ca="1" si="12"/>
        <v>118224.98627180712</v>
      </c>
      <c r="O48" s="1494">
        <f t="shared" ca="1" si="13"/>
        <v>590615.37330205203</v>
      </c>
      <c r="P48" s="306">
        <f t="shared" si="14"/>
        <v>0</v>
      </c>
      <c r="Q48" s="306">
        <v>0</v>
      </c>
      <c r="R48" s="306">
        <f t="shared" ca="1" si="15"/>
        <v>590615.37330205203</v>
      </c>
      <c r="S48" s="818">
        <f t="shared" ca="1" si="16"/>
        <v>189462.89025461621</v>
      </c>
      <c r="T48" s="818">
        <f t="shared" si="17"/>
        <v>0</v>
      </c>
      <c r="U48" s="818">
        <v>0</v>
      </c>
      <c r="V48" s="818">
        <f t="shared" ca="1" si="18"/>
        <v>189462.89025461621</v>
      </c>
      <c r="W48" s="306">
        <f t="shared" si="1"/>
        <v>0</v>
      </c>
      <c r="X48" s="306">
        <f t="shared" ca="1" si="2"/>
        <v>-13710.13521560043</v>
      </c>
      <c r="Y48" s="306">
        <v>0</v>
      </c>
      <c r="Z48" s="306">
        <v>0</v>
      </c>
      <c r="AA48" s="308">
        <f ca="1">-SUM(W48,X48/OFFSET(GridFootprintbyYear,$A48-$A$19,0)*EF_PurchElec_MTperMWh,Z48)*OFFSET(ExposureCalculations!Price_GHG_Allowance_2010,A48-$A$19,0)*ExposureCalculations!D45</f>
        <v>1019771.9369703343</v>
      </c>
      <c r="AB48" s="308">
        <f t="shared" ca="1" si="3"/>
        <v>646535.82525120024</v>
      </c>
      <c r="AC48" s="308">
        <v>0</v>
      </c>
      <c r="AD48" s="819">
        <f t="shared" ca="1" si="4"/>
        <v>845964.97600293905</v>
      </c>
      <c r="AE48" s="308">
        <v>0</v>
      </c>
      <c r="AF48" s="819">
        <f t="shared" ca="1" si="5"/>
        <v>309919.05599999992</v>
      </c>
      <c r="AG48" s="308">
        <v>0</v>
      </c>
      <c r="AH48" s="308">
        <v>0</v>
      </c>
      <c r="AI48" s="308">
        <v>0</v>
      </c>
      <c r="AJ48" s="308">
        <f t="shared" ca="1" si="6"/>
        <v>1802419.8572541391</v>
      </c>
      <c r="AK48" s="309">
        <v>0</v>
      </c>
      <c r="AL48" s="309">
        <f t="shared" si="26"/>
        <v>0</v>
      </c>
      <c r="AM48" s="309">
        <f t="shared" si="19"/>
        <v>0</v>
      </c>
      <c r="AN48" s="310">
        <v>0</v>
      </c>
      <c r="AO48" s="310">
        <v>0</v>
      </c>
      <c r="AP48" s="310">
        <f t="shared" si="20"/>
        <v>0</v>
      </c>
      <c r="AQ48" s="309">
        <v>0</v>
      </c>
      <c r="AR48" s="311">
        <f t="shared" ca="1" si="7"/>
        <v>2822191.7942244736</v>
      </c>
      <c r="AS48" s="870">
        <f t="shared" ca="1" si="21"/>
        <v>57356115.152684078</v>
      </c>
      <c r="AT48" s="822"/>
      <c r="AU48" s="878"/>
      <c r="AV48" s="35"/>
      <c r="AW48" s="879"/>
      <c r="AX48" s="35"/>
      <c r="AY48" s="880"/>
    </row>
    <row r="49" spans="1:51">
      <c r="A49" s="303">
        <v>2040</v>
      </c>
      <c r="B49" s="304">
        <f ca="1">IF($D$3="BAU",UtilityDemand!C42,INDIRECT($D$3&amp;"!B"&amp;ROW(A49))+INDIRECT($D$3&amp;"!D"&amp;ROW(A49)))</f>
        <v>124675.03878634929</v>
      </c>
      <c r="C49" s="305">
        <f t="shared" ca="1" si="22"/>
        <v>-5.279324605849383E-2</v>
      </c>
      <c r="D49" s="306">
        <f t="shared" si="23"/>
        <v>-6582</v>
      </c>
      <c r="E49" s="304">
        <f ca="1">IF($D$3="BAU",UtilityDemand!E42,INDIRECT($D$3&amp;"!E"&amp;ROW(D49))+INDIRECT($D$3&amp;"!G"&amp;ROW(D49)))</f>
        <v>656104.34437878698</v>
      </c>
      <c r="F49" s="305">
        <f t="shared" ca="1" si="24"/>
        <v>-0.1008458876501523</v>
      </c>
      <c r="G49" s="306">
        <f t="shared" ca="1" si="8"/>
        <v>-66165.424999999988</v>
      </c>
      <c r="H49" s="304">
        <f ca="1">IF($D$3="BAU",UtilityDemand!G42,INDIRECT($D$3&amp;"!H"&amp;ROW(G49))+INDIRECT($D$3&amp;"!J"&amp;ROW(G49)))</f>
        <v>206310.59405927677</v>
      </c>
      <c r="I49" s="305">
        <f t="shared" ca="1" si="25"/>
        <v>-7.7699819890946584E-2</v>
      </c>
      <c r="J49" s="306">
        <f t="shared" ca="1" si="9"/>
        <v>-16030.295999999998</v>
      </c>
      <c r="K49" s="307">
        <f t="shared" ca="1" si="10"/>
        <v>118093.03878634929</v>
      </c>
      <c r="L49" s="307">
        <f t="shared" si="11"/>
        <v>0</v>
      </c>
      <c r="M49" s="307">
        <v>0</v>
      </c>
      <c r="N49" s="307">
        <f t="shared" ca="1" si="12"/>
        <v>118093.03878634929</v>
      </c>
      <c r="O49" s="1494">
        <f t="shared" ca="1" si="13"/>
        <v>589938.91937878705</v>
      </c>
      <c r="P49" s="306">
        <f t="shared" si="14"/>
        <v>0</v>
      </c>
      <c r="Q49" s="306">
        <v>0</v>
      </c>
      <c r="R49" s="306">
        <f t="shared" ca="1" si="15"/>
        <v>589938.91937878705</v>
      </c>
      <c r="S49" s="818">
        <f t="shared" ca="1" si="16"/>
        <v>190280.29805927677</v>
      </c>
      <c r="T49" s="818">
        <f t="shared" si="17"/>
        <v>0</v>
      </c>
      <c r="U49" s="818">
        <v>0</v>
      </c>
      <c r="V49" s="818">
        <f t="shared" ca="1" si="18"/>
        <v>190280.29805927677</v>
      </c>
      <c r="W49" s="306">
        <f t="shared" si="1"/>
        <v>0</v>
      </c>
      <c r="X49" s="306">
        <f t="shared" ca="1" si="2"/>
        <v>-13710.13521560043</v>
      </c>
      <c r="Y49" s="306">
        <v>0</v>
      </c>
      <c r="Z49" s="306">
        <v>0</v>
      </c>
      <c r="AA49" s="308">
        <f ca="1">-SUM(W49,X49/OFFSET(GridFootprintbyYear,$A49-$A$19,0)*EF_PurchElec_MTperMWh,Z49)*OFFSET(ExposureCalculations!Price_GHG_Allowance_2010,A49-$A$19,0)*ExposureCalculations!D46</f>
        <v>1067614.2604511806</v>
      </c>
      <c r="AB49" s="308">
        <f t="shared" ca="1" si="3"/>
        <v>649768.50437745627</v>
      </c>
      <c r="AC49" s="308">
        <v>0</v>
      </c>
      <c r="AD49" s="819">
        <f t="shared" ca="1" si="4"/>
        <v>850194.80088295357</v>
      </c>
      <c r="AE49" s="308">
        <v>0</v>
      </c>
      <c r="AF49" s="819">
        <f t="shared" ca="1" si="5"/>
        <v>309919.05599999992</v>
      </c>
      <c r="AG49" s="308">
        <v>0</v>
      </c>
      <c r="AH49" s="308">
        <v>0</v>
      </c>
      <c r="AI49" s="308">
        <v>0</v>
      </c>
      <c r="AJ49" s="308">
        <f t="shared" ca="1" si="6"/>
        <v>1809882.3612604097</v>
      </c>
      <c r="AK49" s="309">
        <v>0</v>
      </c>
      <c r="AL49" s="309">
        <f t="shared" si="26"/>
        <v>0</v>
      </c>
      <c r="AM49" s="309">
        <f t="shared" si="19"/>
        <v>0</v>
      </c>
      <c r="AN49" s="310">
        <v>0</v>
      </c>
      <c r="AO49" s="310">
        <v>0</v>
      </c>
      <c r="AP49" s="310">
        <f t="shared" si="20"/>
        <v>0</v>
      </c>
      <c r="AQ49" s="309">
        <v>0</v>
      </c>
      <c r="AR49" s="311">
        <f t="shared" ca="1" si="7"/>
        <v>2877496.6217115903</v>
      </c>
      <c r="AS49" s="870">
        <f t="shared" ca="1" si="21"/>
        <v>60233611.774395667</v>
      </c>
      <c r="AT49" s="822"/>
      <c r="AU49" s="878"/>
      <c r="AV49" s="35"/>
      <c r="AW49" s="879"/>
      <c r="AX49" s="35"/>
      <c r="AY49" s="880"/>
    </row>
    <row r="50" spans="1:51">
      <c r="A50" s="303">
        <v>2041</v>
      </c>
      <c r="B50" s="304">
        <f ca="1">IF($D$3="BAU",UtilityDemand!C43,INDIRECT($D$3&amp;"!B"&amp;ROW(A50))+INDIRECT($D$3&amp;"!D"&amp;ROW(A50)))</f>
        <v>124542.38020401237</v>
      </c>
      <c r="C50" s="305">
        <f t="shared" ca="1" si="22"/>
        <v>-5.2849479745112088E-2</v>
      </c>
      <c r="D50" s="306">
        <f t="shared" si="23"/>
        <v>-6582</v>
      </c>
      <c r="E50" s="304">
        <f ca="1">IF($D$3="BAU",UtilityDemand!E43,INDIRECT($D$3&amp;"!E"&amp;ROW(D50))+INDIRECT($D$3&amp;"!G"&amp;ROW(D50)))</f>
        <v>655427.89045552211</v>
      </c>
      <c r="F50" s="305">
        <f t="shared" ca="1" si="24"/>
        <v>-0.10094996865942804</v>
      </c>
      <c r="G50" s="306">
        <f t="shared" ca="1" si="8"/>
        <v>-66165.424999999988</v>
      </c>
      <c r="H50" s="304">
        <f ca="1">IF($D$3="BAU",UtilityDemand!G43,INDIRECT($D$3&amp;"!H"&amp;ROW(G50))+INDIRECT($D$3&amp;"!J"&amp;ROW(G50)))</f>
        <v>207127.29076705818</v>
      </c>
      <c r="I50" s="305">
        <f t="shared" ca="1" si="25"/>
        <v>-7.7393451826819726E-2</v>
      </c>
      <c r="J50" s="306">
        <f t="shared" ca="1" si="9"/>
        <v>-16030.295999999998</v>
      </c>
      <c r="K50" s="307">
        <f t="shared" ca="1" si="10"/>
        <v>117960.38020401237</v>
      </c>
      <c r="L50" s="307">
        <f t="shared" si="11"/>
        <v>0</v>
      </c>
      <c r="M50" s="307">
        <v>0</v>
      </c>
      <c r="N50" s="307">
        <f t="shared" ca="1" si="12"/>
        <v>117960.38020401237</v>
      </c>
      <c r="O50" s="1494">
        <f t="shared" ca="1" si="13"/>
        <v>589262.46545552206</v>
      </c>
      <c r="P50" s="306">
        <f t="shared" si="14"/>
        <v>0</v>
      </c>
      <c r="Q50" s="306">
        <v>0</v>
      </c>
      <c r="R50" s="306">
        <f t="shared" ca="1" si="15"/>
        <v>589262.46545552206</v>
      </c>
      <c r="S50" s="818">
        <f t="shared" ca="1" si="16"/>
        <v>191096.99476705818</v>
      </c>
      <c r="T50" s="818">
        <f t="shared" si="17"/>
        <v>0</v>
      </c>
      <c r="U50" s="818">
        <v>0</v>
      </c>
      <c r="V50" s="818">
        <f t="shared" ca="1" si="18"/>
        <v>191096.99476705818</v>
      </c>
      <c r="W50" s="306">
        <f t="shared" si="1"/>
        <v>0</v>
      </c>
      <c r="X50" s="306">
        <f t="shared" ca="1" si="2"/>
        <v>-13710.13521560043</v>
      </c>
      <c r="Y50" s="306">
        <v>0</v>
      </c>
      <c r="Z50" s="306">
        <v>0</v>
      </c>
      <c r="AA50" s="308">
        <f ca="1">-SUM(W50,X50/OFFSET(GridFootprintbyYear,$A50-$A$19,0)*EF_PurchElec_MTperMWh,Z50)*OFFSET(ExposureCalculations!Price_GHG_Allowance_2010,A50-$A$19,0)*ExposureCalculations!D47</f>
        <v>1113961.6579388408</v>
      </c>
      <c r="AB50" s="308">
        <f t="shared" ca="1" si="3"/>
        <v>653017.34689934331</v>
      </c>
      <c r="AC50" s="308">
        <v>0</v>
      </c>
      <c r="AD50" s="819">
        <f t="shared" ca="1" si="4"/>
        <v>854445.7748873682</v>
      </c>
      <c r="AE50" s="308">
        <v>0</v>
      </c>
      <c r="AF50" s="819">
        <f t="shared" ca="1" si="5"/>
        <v>309919.05599999992</v>
      </c>
      <c r="AG50" s="308">
        <v>0</v>
      </c>
      <c r="AH50" s="308">
        <v>0</v>
      </c>
      <c r="AI50" s="308">
        <v>0</v>
      </c>
      <c r="AJ50" s="308">
        <f t="shared" ca="1" si="6"/>
        <v>1817382.1777867114</v>
      </c>
      <c r="AK50" s="309">
        <v>0</v>
      </c>
      <c r="AL50" s="309">
        <f t="shared" si="26"/>
        <v>0</v>
      </c>
      <c r="AM50" s="309">
        <f t="shared" si="19"/>
        <v>0</v>
      </c>
      <c r="AN50" s="310">
        <v>0</v>
      </c>
      <c r="AO50" s="310">
        <v>0</v>
      </c>
      <c r="AP50" s="310">
        <f t="shared" si="20"/>
        <v>0</v>
      </c>
      <c r="AQ50" s="309">
        <v>0</v>
      </c>
      <c r="AR50" s="311">
        <f t="shared" ca="1" si="7"/>
        <v>2931343.8357255524</v>
      </c>
      <c r="AS50" s="870">
        <f t="shared" ca="1" si="21"/>
        <v>63164955.61012122</v>
      </c>
      <c r="AT50" s="822"/>
      <c r="AU50" s="878"/>
      <c r="AV50" s="35"/>
      <c r="AW50" s="879"/>
      <c r="AX50" s="35"/>
      <c r="AY50" s="880"/>
    </row>
    <row r="51" spans="1:51">
      <c r="A51" s="303">
        <v>2042</v>
      </c>
      <c r="B51" s="304">
        <f ca="1">IF($D$3="BAU",UtilityDemand!C44,INDIRECT($D$3&amp;"!B"&amp;ROW(A51))+INDIRECT($D$3&amp;"!D"&amp;ROW(A51)))</f>
        <v>124409.02884864717</v>
      </c>
      <c r="C51" s="305">
        <f t="shared" ca="1" si="22"/>
        <v>-5.2906127962846591E-2</v>
      </c>
      <c r="D51" s="306">
        <f t="shared" si="23"/>
        <v>-6582</v>
      </c>
      <c r="E51" s="304">
        <f ca="1">IF($D$3="BAU",UtilityDemand!E44,INDIRECT($D$3&amp;"!E"&amp;ROW(D51))+INDIRECT($D$3&amp;"!G"&amp;ROW(D51)))</f>
        <v>654751.43653225701</v>
      </c>
      <c r="F51" s="305">
        <f t="shared" ca="1" si="24"/>
        <v>-0.10105426473049102</v>
      </c>
      <c r="G51" s="306">
        <f t="shared" ca="1" si="8"/>
        <v>-66165.424999999988</v>
      </c>
      <c r="H51" s="304">
        <f ca="1">IF($D$3="BAU",UtilityDemand!G44,INDIRECT($D$3&amp;"!H"&amp;ROW(G51))+INDIRECT($D$3&amp;"!J"&amp;ROW(G51)))</f>
        <v>207943.29470181128</v>
      </c>
      <c r="I51" s="305">
        <f t="shared" ca="1" si="25"/>
        <v>-7.708974710142634E-2</v>
      </c>
      <c r="J51" s="306">
        <f t="shared" ca="1" si="9"/>
        <v>-16030.295999999998</v>
      </c>
      <c r="K51" s="307">
        <f t="shared" ca="1" si="10"/>
        <v>117827.02884864717</v>
      </c>
      <c r="L51" s="307">
        <f t="shared" si="11"/>
        <v>0</v>
      </c>
      <c r="M51" s="307">
        <v>0</v>
      </c>
      <c r="N51" s="307">
        <f t="shared" ca="1" si="12"/>
        <v>117827.02884864717</v>
      </c>
      <c r="O51" s="1494">
        <f t="shared" ca="1" si="13"/>
        <v>588586.01153225708</v>
      </c>
      <c r="P51" s="306">
        <f t="shared" si="14"/>
        <v>0</v>
      </c>
      <c r="Q51" s="306">
        <v>0</v>
      </c>
      <c r="R51" s="306">
        <f t="shared" ca="1" si="15"/>
        <v>588586.01153225708</v>
      </c>
      <c r="S51" s="818">
        <f t="shared" ca="1" si="16"/>
        <v>191912.99870181127</v>
      </c>
      <c r="T51" s="818">
        <f t="shared" si="17"/>
        <v>0</v>
      </c>
      <c r="U51" s="818">
        <v>0</v>
      </c>
      <c r="V51" s="818">
        <f t="shared" ca="1" si="18"/>
        <v>191912.99870181127</v>
      </c>
      <c r="W51" s="306">
        <f t="shared" si="1"/>
        <v>0</v>
      </c>
      <c r="X51" s="306">
        <f t="shared" ca="1" si="2"/>
        <v>-13710.13521560043</v>
      </c>
      <c r="Y51" s="306">
        <v>0</v>
      </c>
      <c r="Z51" s="306">
        <v>0</v>
      </c>
      <c r="AA51" s="308">
        <f ca="1">-SUM(W51,X51/OFFSET(GridFootprintbyYear,$A51-$A$19,0)*EF_PurchElec_MTperMWh,Z51)*OFFSET(ExposureCalculations!Price_GHG_Allowance_2010,A51-$A$19,0)*ExposureCalculations!D48</f>
        <v>1158503.0385960864</v>
      </c>
      <c r="AB51" s="308">
        <f t="shared" ca="1" si="3"/>
        <v>656282.43363383994</v>
      </c>
      <c r="AC51" s="308">
        <v>0</v>
      </c>
      <c r="AD51" s="819">
        <f t="shared" ca="1" si="4"/>
        <v>858718.0037618049</v>
      </c>
      <c r="AE51" s="308">
        <v>0</v>
      </c>
      <c r="AF51" s="819">
        <f t="shared" ca="1" si="5"/>
        <v>309919.05599999992</v>
      </c>
      <c r="AG51" s="308">
        <v>0</v>
      </c>
      <c r="AH51" s="308">
        <v>0</v>
      </c>
      <c r="AI51" s="308">
        <v>0</v>
      </c>
      <c r="AJ51" s="308">
        <f t="shared" ca="1" si="6"/>
        <v>1824919.4933956447</v>
      </c>
      <c r="AK51" s="309">
        <v>0</v>
      </c>
      <c r="AL51" s="309">
        <f t="shared" si="26"/>
        <v>0</v>
      </c>
      <c r="AM51" s="309">
        <f t="shared" si="19"/>
        <v>0</v>
      </c>
      <c r="AN51" s="310">
        <v>0</v>
      </c>
      <c r="AO51" s="310">
        <v>0</v>
      </c>
      <c r="AP51" s="310">
        <f t="shared" si="20"/>
        <v>0</v>
      </c>
      <c r="AQ51" s="309">
        <v>0</v>
      </c>
      <c r="AR51" s="311">
        <f t="shared" ca="1" si="7"/>
        <v>2983422.5319917314</v>
      </c>
      <c r="AS51" s="870">
        <f t="shared" ca="1" si="21"/>
        <v>66148378.142112955</v>
      </c>
      <c r="AT51" s="822"/>
      <c r="AU51" s="878"/>
      <c r="AV51" s="35"/>
      <c r="AW51" s="879"/>
      <c r="AX51" s="35"/>
      <c r="AY51" s="880"/>
    </row>
    <row r="52" spans="1:51">
      <c r="A52" s="303">
        <v>2043</v>
      </c>
      <c r="B52" s="304">
        <f ca="1">IF($D$3="BAU",UtilityDemand!C45,INDIRECT($D$3&amp;"!B"&amp;ROW(A52))+INDIRECT($D$3&amp;"!D"&amp;ROW(A52)))</f>
        <v>124275.00241989689</v>
      </c>
      <c r="C52" s="305">
        <f t="shared" ca="1" si="22"/>
        <v>-5.2963185450288087E-2</v>
      </c>
      <c r="D52" s="306">
        <f t="shared" si="23"/>
        <v>-6582</v>
      </c>
      <c r="E52" s="304">
        <f ca="1">IF($D$3="BAU",UtilityDemand!E45,INDIRECT($D$3&amp;"!E"&amp;ROW(D52))+INDIRECT($D$3&amp;"!G"&amp;ROW(D52)))</f>
        <v>654074.98260899214</v>
      </c>
      <c r="F52" s="305">
        <f t="shared" ca="1" si="24"/>
        <v>-0.10115877653060133</v>
      </c>
      <c r="G52" s="306">
        <f t="shared" ca="1" si="8"/>
        <v>-66165.424999999988</v>
      </c>
      <c r="H52" s="304">
        <f ca="1">IF($D$3="BAU",UtilityDemand!G45,INDIRECT($D$3&amp;"!H"&amp;ROW(G52))+INDIRECT($D$3&amp;"!J"&amp;ROW(G52)))</f>
        <v>208758.6235631794</v>
      </c>
      <c r="I52" s="305">
        <f t="shared" ca="1" si="25"/>
        <v>-7.6788664948964552E-2</v>
      </c>
      <c r="J52" s="306">
        <f t="shared" ca="1" si="9"/>
        <v>-16030.295999999998</v>
      </c>
      <c r="K52" s="307">
        <f t="shared" ca="1" si="10"/>
        <v>117693.00241989689</v>
      </c>
      <c r="L52" s="307">
        <f t="shared" si="11"/>
        <v>0</v>
      </c>
      <c r="M52" s="307">
        <v>0</v>
      </c>
      <c r="N52" s="307">
        <f t="shared" ca="1" si="12"/>
        <v>117693.00241989689</v>
      </c>
      <c r="O52" s="1494">
        <f t="shared" ca="1" si="13"/>
        <v>587909.55760899209</v>
      </c>
      <c r="P52" s="306">
        <f t="shared" si="14"/>
        <v>0</v>
      </c>
      <c r="Q52" s="306">
        <v>0</v>
      </c>
      <c r="R52" s="306">
        <f t="shared" ca="1" si="15"/>
        <v>587909.55760899209</v>
      </c>
      <c r="S52" s="818">
        <f t="shared" ca="1" si="16"/>
        <v>192728.32756317939</v>
      </c>
      <c r="T52" s="818">
        <f t="shared" si="17"/>
        <v>0</v>
      </c>
      <c r="U52" s="818">
        <v>0</v>
      </c>
      <c r="V52" s="818">
        <f t="shared" ca="1" si="18"/>
        <v>192728.32756317939</v>
      </c>
      <c r="W52" s="306">
        <f t="shared" si="1"/>
        <v>0</v>
      </c>
      <c r="X52" s="306">
        <f t="shared" ca="1" si="2"/>
        <v>-13710.13521560043</v>
      </c>
      <c r="Y52" s="306">
        <v>0</v>
      </c>
      <c r="Z52" s="306">
        <v>0</v>
      </c>
      <c r="AA52" s="308">
        <f ca="1">-SUM(W52,X52/OFFSET(GridFootprintbyYear,$A52-$A$19,0)*EF_PurchElec_MTperMWh,Z52)*OFFSET(ExposureCalculations!Price_GHG_Allowance_2010,A52-$A$19,0)*ExposureCalculations!D49</f>
        <v>1208601.2950352721</v>
      </c>
      <c r="AB52" s="308">
        <f t="shared" ca="1" si="3"/>
        <v>659563.84580200899</v>
      </c>
      <c r="AC52" s="308">
        <v>0</v>
      </c>
      <c r="AD52" s="819">
        <f t="shared" ca="1" si="4"/>
        <v>863011.59378061385</v>
      </c>
      <c r="AE52" s="308">
        <v>0</v>
      </c>
      <c r="AF52" s="819">
        <f t="shared" ca="1" si="5"/>
        <v>309919.05599999992</v>
      </c>
      <c r="AG52" s="308">
        <v>0</v>
      </c>
      <c r="AH52" s="308">
        <v>0</v>
      </c>
      <c r="AI52" s="308">
        <v>0</v>
      </c>
      <c r="AJ52" s="308">
        <f t="shared" ca="1" si="6"/>
        <v>1832494.4955826227</v>
      </c>
      <c r="AK52" s="309">
        <v>0</v>
      </c>
      <c r="AL52" s="309">
        <f t="shared" si="26"/>
        <v>0</v>
      </c>
      <c r="AM52" s="309">
        <f t="shared" si="19"/>
        <v>0</v>
      </c>
      <c r="AN52" s="310">
        <v>0</v>
      </c>
      <c r="AO52" s="310">
        <v>0</v>
      </c>
      <c r="AP52" s="310">
        <f t="shared" si="20"/>
        <v>0</v>
      </c>
      <c r="AQ52" s="309">
        <v>0</v>
      </c>
      <c r="AR52" s="311">
        <f t="shared" ca="1" si="7"/>
        <v>3041095.7906178948</v>
      </c>
      <c r="AS52" s="870">
        <f t="shared" ca="1" si="21"/>
        <v>69189473.932730854</v>
      </c>
      <c r="AT52" s="822"/>
      <c r="AU52" s="878"/>
      <c r="AV52" s="35"/>
      <c r="AW52" s="879"/>
      <c r="AX52" s="35"/>
      <c r="AY52" s="880"/>
    </row>
    <row r="53" spans="1:51">
      <c r="A53" s="303">
        <v>2044</v>
      </c>
      <c r="B53" s="304">
        <f ca="1">IF($D$3="BAU",UtilityDemand!C46,INDIRECT($D$3&amp;"!B"&amp;ROW(A53))+INDIRECT($D$3&amp;"!D"&amp;ROW(A53)))</f>
        <v>124140.31801955259</v>
      </c>
      <c r="C53" s="305">
        <f t="shared" ca="1" si="22"/>
        <v>-5.3020647159638411E-2</v>
      </c>
      <c r="D53" s="306">
        <f t="shared" si="23"/>
        <v>-6582</v>
      </c>
      <c r="E53" s="304">
        <f ca="1">IF($D$3="BAU",UtilityDemand!E46,INDIRECT($D$3&amp;"!E"&amp;ROW(D53))+INDIRECT($D$3&amp;"!G"&amp;ROW(D53)))</f>
        <v>653398.52868572739</v>
      </c>
      <c r="F53" s="305">
        <f t="shared" ca="1" si="24"/>
        <v>-0.10126350472978235</v>
      </c>
      <c r="G53" s="306">
        <f t="shared" ca="1" si="8"/>
        <v>-66165.424999999988</v>
      </c>
      <c r="H53" s="304">
        <f ca="1">IF($D$3="BAU",UtilityDemand!G46,INDIRECT($D$3&amp;"!H"&amp;ROW(G53))+INDIRECT($D$3&amp;"!J"&amp;ROW(G53)))</f>
        <v>209573.29445295344</v>
      </c>
      <c r="I53" s="305">
        <f t="shared" ca="1" si="25"/>
        <v>-7.6490165609333388E-2</v>
      </c>
      <c r="J53" s="306">
        <f t="shared" ca="1" si="9"/>
        <v>-16030.295999999998</v>
      </c>
      <c r="K53" s="307">
        <f t="shared" ca="1" si="10"/>
        <v>117558.31801955259</v>
      </c>
      <c r="L53" s="307">
        <f t="shared" si="11"/>
        <v>0</v>
      </c>
      <c r="M53" s="307">
        <v>0</v>
      </c>
      <c r="N53" s="307">
        <f t="shared" ca="1" si="12"/>
        <v>117558.31801955259</v>
      </c>
      <c r="O53" s="1494">
        <f t="shared" ca="1" si="13"/>
        <v>587233.10368572734</v>
      </c>
      <c r="P53" s="306">
        <f t="shared" si="14"/>
        <v>0</v>
      </c>
      <c r="Q53" s="306">
        <v>0</v>
      </c>
      <c r="R53" s="306">
        <f t="shared" ca="1" si="15"/>
        <v>587233.10368572734</v>
      </c>
      <c r="S53" s="818">
        <f t="shared" ca="1" si="16"/>
        <v>193542.99845295344</v>
      </c>
      <c r="T53" s="818">
        <f t="shared" si="17"/>
        <v>0</v>
      </c>
      <c r="U53" s="818">
        <v>0</v>
      </c>
      <c r="V53" s="818">
        <f t="shared" ca="1" si="18"/>
        <v>193542.99845295344</v>
      </c>
      <c r="W53" s="306">
        <f t="shared" si="1"/>
        <v>0</v>
      </c>
      <c r="X53" s="306">
        <f t="shared" ca="1" si="2"/>
        <v>-13710.13521560043</v>
      </c>
      <c r="Y53" s="306">
        <v>0</v>
      </c>
      <c r="Z53" s="306">
        <v>0</v>
      </c>
      <c r="AA53" s="308">
        <f ca="1">-SUM(W53,X53/OFFSET(GridFootprintbyYear,$A53-$A$19,0)*EF_PurchElec_MTperMWh,Z53)*OFFSET(ExposureCalculations!Price_GHG_Allowance_2010,A53-$A$19,0)*ExposureCalculations!D50</f>
        <v>1265388.7350408151</v>
      </c>
      <c r="AB53" s="308">
        <f t="shared" ca="1" si="3"/>
        <v>662861.66503101902</v>
      </c>
      <c r="AC53" s="308">
        <v>0</v>
      </c>
      <c r="AD53" s="819">
        <f t="shared" ca="1" si="4"/>
        <v>867326.65174951684</v>
      </c>
      <c r="AE53" s="308">
        <v>0</v>
      </c>
      <c r="AF53" s="819">
        <f t="shared" ca="1" si="5"/>
        <v>309919.05599999992</v>
      </c>
      <c r="AG53" s="308">
        <v>0</v>
      </c>
      <c r="AH53" s="308">
        <v>0</v>
      </c>
      <c r="AI53" s="308">
        <v>0</v>
      </c>
      <c r="AJ53" s="308">
        <f t="shared" ca="1" si="6"/>
        <v>1840107.3727805358</v>
      </c>
      <c r="AK53" s="309">
        <v>0</v>
      </c>
      <c r="AL53" s="309">
        <f t="shared" si="26"/>
        <v>0</v>
      </c>
      <c r="AM53" s="309">
        <f t="shared" si="19"/>
        <v>0</v>
      </c>
      <c r="AN53" s="310">
        <v>0</v>
      </c>
      <c r="AO53" s="310">
        <v>0</v>
      </c>
      <c r="AP53" s="310">
        <f t="shared" si="20"/>
        <v>0</v>
      </c>
      <c r="AQ53" s="309">
        <v>0</v>
      </c>
      <c r="AR53" s="311">
        <f t="shared" ca="1" si="7"/>
        <v>3105496.1078213509</v>
      </c>
      <c r="AS53" s="870">
        <f t="shared" ca="1" si="21"/>
        <v>72294970.040552199</v>
      </c>
      <c r="AT53" s="822"/>
      <c r="AU53" s="878"/>
      <c r="AV53" s="35"/>
      <c r="AW53" s="879"/>
      <c r="AX53" s="35"/>
      <c r="AY53" s="880"/>
    </row>
    <row r="54" spans="1:51">
      <c r="A54" s="303">
        <v>2045</v>
      </c>
      <c r="B54" s="304">
        <f ca="1">IF($D$3="BAU",UtilityDemand!C47,INDIRECT($D$3&amp;"!B"&amp;ROW(A54))+INDIRECT($D$3&amp;"!D"&amp;ROW(A54)))</f>
        <v>124004.99217658423</v>
      </c>
      <c r="C54" s="305">
        <f t="shared" ca="1" si="22"/>
        <v>-5.307850824769355E-2</v>
      </c>
      <c r="D54" s="306">
        <f t="shared" si="23"/>
        <v>-6582</v>
      </c>
      <c r="E54" s="304">
        <f ca="1">IF($D$3="BAU",UtilityDemand!E47,INDIRECT($D$3&amp;"!E"&amp;ROW(D54))+INDIRECT($D$3&amp;"!G"&amp;ROW(D54)))</f>
        <v>652722.07476246241</v>
      </c>
      <c r="F54" s="305">
        <f t="shared" ca="1" si="24"/>
        <v>-0.10136845000083505</v>
      </c>
      <c r="G54" s="306">
        <f t="shared" ca="1" si="8"/>
        <v>-66165.424999999988</v>
      </c>
      <c r="H54" s="304">
        <f ca="1">IF($D$3="BAU",UtilityDemand!G47,INDIRECT($D$3&amp;"!H"&amp;ROW(G54))+INDIRECT($D$3&amp;"!J"&amp;ROW(G54)))</f>
        <v>210387.32390010345</v>
      </c>
      <c r="I54" s="305">
        <f t="shared" ca="1" si="25"/>
        <v>-7.6194210291925843E-2</v>
      </c>
      <c r="J54" s="306">
        <f t="shared" ca="1" si="9"/>
        <v>-16030.295999999998</v>
      </c>
      <c r="K54" s="307">
        <f t="shared" ca="1" si="10"/>
        <v>117422.99217658423</v>
      </c>
      <c r="L54" s="307">
        <f t="shared" si="11"/>
        <v>0</v>
      </c>
      <c r="M54" s="307">
        <v>0</v>
      </c>
      <c r="N54" s="307">
        <f t="shared" ca="1" si="12"/>
        <v>117422.99217658423</v>
      </c>
      <c r="O54" s="1494">
        <f t="shared" ca="1" si="13"/>
        <v>586556.64976246236</v>
      </c>
      <c r="P54" s="306">
        <f t="shared" si="14"/>
        <v>0</v>
      </c>
      <c r="Q54" s="306">
        <v>0</v>
      </c>
      <c r="R54" s="306">
        <f t="shared" ca="1" si="15"/>
        <v>586556.64976246236</v>
      </c>
      <c r="S54" s="818">
        <f t="shared" ca="1" si="16"/>
        <v>194357.02790010345</v>
      </c>
      <c r="T54" s="818">
        <f t="shared" si="17"/>
        <v>0</v>
      </c>
      <c r="U54" s="818">
        <v>0</v>
      </c>
      <c r="V54" s="818">
        <f t="shared" ca="1" si="18"/>
        <v>194357.02790010345</v>
      </c>
      <c r="W54" s="306">
        <f t="shared" si="1"/>
        <v>0</v>
      </c>
      <c r="X54" s="306">
        <f t="shared" ca="1" si="2"/>
        <v>-13710.13521560043</v>
      </c>
      <c r="Y54" s="306">
        <v>0</v>
      </c>
      <c r="Z54" s="306">
        <v>0</v>
      </c>
      <c r="AA54" s="308">
        <f ca="1">-SUM(W54,X54/OFFSET(GridFootprintbyYear,$A54-$A$19,0)*EF_PurchElec_MTperMWh,Z54)*OFFSET(ExposureCalculations!Price_GHG_Allowance_2010,A54-$A$19,0)*ExposureCalculations!D51</f>
        <v>1330487.7057984557</v>
      </c>
      <c r="AB54" s="308">
        <f t="shared" ca="1" si="3"/>
        <v>666175.97335617407</v>
      </c>
      <c r="AC54" s="308">
        <v>0</v>
      </c>
      <c r="AD54" s="819">
        <f t="shared" ca="1" si="4"/>
        <v>871663.28500826424</v>
      </c>
      <c r="AE54" s="308">
        <v>0</v>
      </c>
      <c r="AF54" s="819">
        <f t="shared" ca="1" si="5"/>
        <v>309919.05599999992</v>
      </c>
      <c r="AG54" s="308">
        <v>0</v>
      </c>
      <c r="AH54" s="308">
        <v>0</v>
      </c>
      <c r="AI54" s="308">
        <v>0</v>
      </c>
      <c r="AJ54" s="308">
        <f t="shared" ca="1" si="6"/>
        <v>1847758.3143644382</v>
      </c>
      <c r="AK54" s="309">
        <v>0</v>
      </c>
      <c r="AL54" s="309">
        <f t="shared" si="26"/>
        <v>0</v>
      </c>
      <c r="AM54" s="309">
        <f t="shared" si="19"/>
        <v>0</v>
      </c>
      <c r="AN54" s="310">
        <v>0</v>
      </c>
      <c r="AO54" s="310">
        <v>0</v>
      </c>
      <c r="AP54" s="310">
        <f t="shared" si="20"/>
        <v>0</v>
      </c>
      <c r="AQ54" s="309">
        <v>0</v>
      </c>
      <c r="AR54" s="311">
        <f t="shared" ca="1" si="7"/>
        <v>3178246.0201628939</v>
      </c>
      <c r="AS54" s="870">
        <f t="shared" ca="1" si="21"/>
        <v>75473216.060715094</v>
      </c>
      <c r="AT54" s="822"/>
      <c r="AU54" s="878"/>
      <c r="AV54" s="35"/>
      <c r="AW54" s="879"/>
      <c r="AX54" s="35"/>
      <c r="AY54" s="880"/>
    </row>
    <row r="55" spans="1:51">
      <c r="A55" s="303">
        <v>2046</v>
      </c>
      <c r="B55" s="304">
        <f ca="1">IF($D$3="BAU",UtilityDemand!C48,INDIRECT($D$3&amp;"!B"&amp;ROW(A55))+INDIRECT($D$3&amp;"!D"&amp;ROW(A55)))</f>
        <v>123869.04087092477</v>
      </c>
      <c r="C55" s="305">
        <f t="shared" ca="1" si="22"/>
        <v>-5.3136764067291356E-2</v>
      </c>
      <c r="D55" s="306">
        <f t="shared" si="23"/>
        <v>-6582</v>
      </c>
      <c r="E55" s="304">
        <f ca="1">IF($D$3="BAU",UtilityDemand!E48,INDIRECT($D$3&amp;"!E"&amp;ROW(D55))+INDIRECT($D$3&amp;"!G"&amp;ROW(D55)))</f>
        <v>652045.62083919731</v>
      </c>
      <c r="F55" s="305">
        <f t="shared" ca="1" si="24"/>
        <v>-0.10147361301935225</v>
      </c>
      <c r="G55" s="306">
        <f t="shared" ca="1" si="8"/>
        <v>-66165.424999999988</v>
      </c>
      <c r="H55" s="304">
        <f ca="1">IF($D$3="BAU",UtilityDemand!G48,INDIRECT($D$3&amp;"!H"&amp;ROW(G55))+INDIRECT($D$3&amp;"!J"&amp;ROW(G55)))</f>
        <v>211200.72788456231</v>
      </c>
      <c r="I55" s="305">
        <f t="shared" ca="1" si="25"/>
        <v>-7.590076114113492E-2</v>
      </c>
      <c r="J55" s="306">
        <f t="shared" ca="1" si="9"/>
        <v>-16030.295999999998</v>
      </c>
      <c r="K55" s="307">
        <f t="shared" ca="1" si="10"/>
        <v>117287.04087092477</v>
      </c>
      <c r="L55" s="307">
        <f t="shared" si="11"/>
        <v>0</v>
      </c>
      <c r="M55" s="307">
        <v>0</v>
      </c>
      <c r="N55" s="307">
        <f t="shared" ca="1" si="12"/>
        <v>117287.04087092477</v>
      </c>
      <c r="O55" s="1494">
        <f t="shared" ca="1" si="13"/>
        <v>585880.19583919737</v>
      </c>
      <c r="P55" s="306">
        <f t="shared" si="14"/>
        <v>0</v>
      </c>
      <c r="Q55" s="306">
        <v>0</v>
      </c>
      <c r="R55" s="306">
        <f t="shared" ca="1" si="15"/>
        <v>585880.19583919737</v>
      </c>
      <c r="S55" s="818">
        <f t="shared" ca="1" si="16"/>
        <v>195170.43188456231</v>
      </c>
      <c r="T55" s="818">
        <f t="shared" si="17"/>
        <v>0</v>
      </c>
      <c r="U55" s="818">
        <v>0</v>
      </c>
      <c r="V55" s="818">
        <f t="shared" ca="1" si="18"/>
        <v>195170.43188456231</v>
      </c>
      <c r="W55" s="306">
        <f t="shared" si="1"/>
        <v>0</v>
      </c>
      <c r="X55" s="306">
        <f t="shared" ca="1" si="2"/>
        <v>-13710.13521560043</v>
      </c>
      <c r="Y55" s="306">
        <v>0</v>
      </c>
      <c r="Z55" s="306">
        <v>0</v>
      </c>
      <c r="AA55" s="308">
        <f ca="1">-SUM(W55,X55/OFFSET(GridFootprintbyYear,$A55-$A$19,0)*EF_PurchElec_MTperMWh,Z55)*OFFSET(ExposureCalculations!Price_GHG_Allowance_2010,A55-$A$19,0)*ExposureCalculations!D52</f>
        <v>1399957.8056926038</v>
      </c>
      <c r="AB55" s="308">
        <f t="shared" ca="1" si="3"/>
        <v>669506.85322295467</v>
      </c>
      <c r="AC55" s="308">
        <v>0</v>
      </c>
      <c r="AD55" s="819">
        <f t="shared" ca="1" si="4"/>
        <v>876021.60143330519</v>
      </c>
      <c r="AE55" s="308">
        <v>0</v>
      </c>
      <c r="AF55" s="819">
        <f t="shared" ca="1" si="5"/>
        <v>309919.05599999992</v>
      </c>
      <c r="AG55" s="308">
        <v>0</v>
      </c>
      <c r="AH55" s="308">
        <v>0</v>
      </c>
      <c r="AI55" s="308">
        <v>0</v>
      </c>
      <c r="AJ55" s="308">
        <f t="shared" ca="1" si="6"/>
        <v>1855447.5106562597</v>
      </c>
      <c r="AK55" s="309">
        <v>0</v>
      </c>
      <c r="AL55" s="309">
        <f t="shared" si="26"/>
        <v>0</v>
      </c>
      <c r="AM55" s="309">
        <f t="shared" si="19"/>
        <v>0</v>
      </c>
      <c r="AN55" s="310">
        <v>0</v>
      </c>
      <c r="AO55" s="310">
        <v>0</v>
      </c>
      <c r="AP55" s="310">
        <f t="shared" si="20"/>
        <v>0</v>
      </c>
      <c r="AQ55" s="309">
        <v>0</v>
      </c>
      <c r="AR55" s="311">
        <f t="shared" ca="1" si="7"/>
        <v>3255405.3163488638</v>
      </c>
      <c r="AS55" s="870">
        <f t="shared" ca="1" si="21"/>
        <v>78728621.37706396</v>
      </c>
      <c r="AT55" s="822"/>
      <c r="AU55" s="878"/>
      <c r="AV55" s="35"/>
      <c r="AW55" s="879"/>
      <c r="AX55" s="35"/>
      <c r="AY55" s="880"/>
    </row>
    <row r="56" spans="1:51">
      <c r="A56" s="303">
        <v>2047</v>
      </c>
      <c r="B56" s="304">
        <f ca="1">IF($D$3="BAU",UtilityDemand!C49,INDIRECT($D$3&amp;"!B"&amp;ROW(A56))+INDIRECT($D$3&amp;"!D"&amp;ROW(A56)))</f>
        <v>123732.47955607864</v>
      </c>
      <c r="C56" s="305">
        <f t="shared" ca="1" si="22"/>
        <v>-5.3195410159196509E-2</v>
      </c>
      <c r="D56" s="306">
        <f t="shared" si="23"/>
        <v>-6582</v>
      </c>
      <c r="E56" s="304">
        <f ca="1">IF($D$3="BAU",UtilityDemand!E49,INDIRECT($D$3&amp;"!E"&amp;ROW(D56))+INDIRECT($D$3&amp;"!G"&amp;ROW(D56)))</f>
        <v>651369.16691593244</v>
      </c>
      <c r="F56" s="305">
        <f t="shared" ca="1" si="24"/>
        <v>-0.10157899446373317</v>
      </c>
      <c r="G56" s="306">
        <f t="shared" ca="1" si="8"/>
        <v>-66165.424999999988</v>
      </c>
      <c r="H56" s="304">
        <f ca="1">IF($D$3="BAU",UtilityDemand!G49,INDIRECT($D$3&amp;"!H"&amp;ROW(G56))+INDIRECT($D$3&amp;"!J"&amp;ROW(G56)))</f>
        <v>212013.52185983458</v>
      </c>
      <c r="I56" s="305">
        <f t="shared" ca="1" si="25"/>
        <v>-7.560978120347378E-2</v>
      </c>
      <c r="J56" s="306">
        <f t="shared" ca="1" si="9"/>
        <v>-16030.295999999998</v>
      </c>
      <c r="K56" s="307">
        <f t="shared" ca="1" si="10"/>
        <v>117150.47955607864</v>
      </c>
      <c r="L56" s="307">
        <f t="shared" si="11"/>
        <v>0</v>
      </c>
      <c r="M56" s="307">
        <v>0</v>
      </c>
      <c r="N56" s="307">
        <f t="shared" ca="1" si="12"/>
        <v>117150.47955607864</v>
      </c>
      <c r="O56" s="1494">
        <f t="shared" ca="1" si="13"/>
        <v>585203.74191593239</v>
      </c>
      <c r="P56" s="306">
        <f t="shared" si="14"/>
        <v>0</v>
      </c>
      <c r="Q56" s="306">
        <v>0</v>
      </c>
      <c r="R56" s="306">
        <f t="shared" ca="1" si="15"/>
        <v>585203.74191593239</v>
      </c>
      <c r="S56" s="818">
        <f t="shared" ca="1" si="16"/>
        <v>195983.22585983458</v>
      </c>
      <c r="T56" s="818">
        <f t="shared" si="17"/>
        <v>0</v>
      </c>
      <c r="U56" s="818">
        <v>0</v>
      </c>
      <c r="V56" s="818">
        <f t="shared" ca="1" si="18"/>
        <v>195983.22585983458</v>
      </c>
      <c r="W56" s="306">
        <f t="shared" si="1"/>
        <v>0</v>
      </c>
      <c r="X56" s="306">
        <f t="shared" ca="1" si="2"/>
        <v>-13710.13521560043</v>
      </c>
      <c r="Y56" s="306">
        <v>0</v>
      </c>
      <c r="Z56" s="306">
        <v>0</v>
      </c>
      <c r="AA56" s="308">
        <f ca="1">-SUM(W56,X56/OFFSET(GridFootprintbyYear,$A56-$A$19,0)*EF_PurchElec_MTperMWh,Z56)*OFFSET(ExposureCalculations!Price_GHG_Allowance_2010,A56-$A$19,0)*ExposureCalculations!D53</f>
        <v>1474346.0871795693</v>
      </c>
      <c r="AB56" s="308">
        <f t="shared" ca="1" si="3"/>
        <v>672854.38748906937</v>
      </c>
      <c r="AC56" s="308">
        <v>0</v>
      </c>
      <c r="AD56" s="819">
        <f t="shared" ca="1" si="4"/>
        <v>880401.70944047149</v>
      </c>
      <c r="AE56" s="308">
        <v>0</v>
      </c>
      <c r="AF56" s="819">
        <f t="shared" ca="1" si="5"/>
        <v>309919.05599999992</v>
      </c>
      <c r="AG56" s="308">
        <v>0</v>
      </c>
      <c r="AH56" s="308">
        <v>0</v>
      </c>
      <c r="AI56" s="308">
        <v>0</v>
      </c>
      <c r="AJ56" s="308">
        <f t="shared" ca="1" si="6"/>
        <v>1863175.1529295407</v>
      </c>
      <c r="AK56" s="309">
        <v>0</v>
      </c>
      <c r="AL56" s="309">
        <f t="shared" si="26"/>
        <v>0</v>
      </c>
      <c r="AM56" s="309">
        <f t="shared" si="19"/>
        <v>0</v>
      </c>
      <c r="AN56" s="310">
        <v>0</v>
      </c>
      <c r="AO56" s="310">
        <v>0</v>
      </c>
      <c r="AP56" s="310">
        <f t="shared" si="20"/>
        <v>0</v>
      </c>
      <c r="AQ56" s="309">
        <v>0</v>
      </c>
      <c r="AR56" s="311">
        <f t="shared" ca="1" si="7"/>
        <v>3337521.2401091103</v>
      </c>
      <c r="AS56" s="870">
        <f t="shared" ca="1" si="21"/>
        <v>82066142.617173076</v>
      </c>
      <c r="AT56" s="822"/>
      <c r="AU56" s="878"/>
      <c r="AV56" s="35"/>
      <c r="AW56" s="879"/>
      <c r="AX56" s="35"/>
      <c r="AY56" s="880"/>
    </row>
    <row r="57" spans="1:51">
      <c r="A57" s="303">
        <v>2048</v>
      </c>
      <c r="B57" s="304">
        <f ca="1">IF($D$3="BAU",UtilityDemand!C50,INDIRECT($D$3&amp;"!B"&amp;ROW(A57))+INDIRECT($D$3&amp;"!D"&amp;ROW(A57)))</f>
        <v>123595.3231806228</v>
      </c>
      <c r="C57" s="305">
        <f t="shared" ca="1" si="22"/>
        <v>-5.3254442244396523E-2</v>
      </c>
      <c r="D57" s="306">
        <f t="shared" si="23"/>
        <v>-6582</v>
      </c>
      <c r="E57" s="304">
        <f ca="1">IF($D$3="BAU",UtilityDemand!E50,INDIRECT($D$3&amp;"!E"&amp;ROW(D57))+INDIRECT($D$3&amp;"!G"&amp;ROW(D57)))</f>
        <v>650692.71299266745</v>
      </c>
      <c r="F57" s="305">
        <f t="shared" ca="1" si="24"/>
        <v>-0.10168459501519821</v>
      </c>
      <c r="G57" s="306">
        <f t="shared" ca="1" si="8"/>
        <v>-66165.424999999988</v>
      </c>
      <c r="H57" s="304">
        <f ca="1">IF($D$3="BAU",UtilityDemand!G50,INDIRECT($D$3&amp;"!H"&amp;ROW(G57))+INDIRECT($D$3&amp;"!J"&amp;ROW(G57)))</f>
        <v>212825.72077449708</v>
      </c>
      <c r="I57" s="305">
        <f t="shared" ca="1" si="25"/>
        <v>-7.5321234396218281E-2</v>
      </c>
      <c r="J57" s="306">
        <f t="shared" ca="1" si="9"/>
        <v>-16030.295999999998</v>
      </c>
      <c r="K57" s="307">
        <f t="shared" ca="1" si="10"/>
        <v>117013.3231806228</v>
      </c>
      <c r="L57" s="307">
        <f t="shared" si="11"/>
        <v>0</v>
      </c>
      <c r="M57" s="307">
        <v>0</v>
      </c>
      <c r="N57" s="307">
        <f t="shared" ca="1" si="12"/>
        <v>117013.3231806228</v>
      </c>
      <c r="O57" s="1494">
        <f t="shared" ca="1" si="13"/>
        <v>584527.28799266741</v>
      </c>
      <c r="P57" s="306">
        <f t="shared" si="14"/>
        <v>0</v>
      </c>
      <c r="Q57" s="306">
        <v>0</v>
      </c>
      <c r="R57" s="306">
        <f t="shared" ca="1" si="15"/>
        <v>584527.28799266741</v>
      </c>
      <c r="S57" s="818">
        <f t="shared" ca="1" si="16"/>
        <v>196795.42477449708</v>
      </c>
      <c r="T57" s="818">
        <f t="shared" si="17"/>
        <v>0</v>
      </c>
      <c r="U57" s="818">
        <v>0</v>
      </c>
      <c r="V57" s="818">
        <f t="shared" ca="1" si="18"/>
        <v>196795.42477449708</v>
      </c>
      <c r="W57" s="306">
        <f t="shared" si="1"/>
        <v>0</v>
      </c>
      <c r="X57" s="306">
        <f t="shared" ca="1" si="2"/>
        <v>-13710.13521560043</v>
      </c>
      <c r="Y57" s="306">
        <v>0</v>
      </c>
      <c r="Z57" s="306">
        <v>0</v>
      </c>
      <c r="AA57" s="308">
        <f ca="1">-SUM(W57,X57/OFFSET(GridFootprintbyYear,$A57-$A$19,0)*EF_PurchElec_MTperMWh,Z57)*OFFSET(ExposureCalculations!Price_GHG_Allowance_2010,A57-$A$19,0)*ExposureCalculations!D54</f>
        <v>1554245.5872932104</v>
      </c>
      <c r="AB57" s="308">
        <f t="shared" ca="1" si="3"/>
        <v>676218.65942651464</v>
      </c>
      <c r="AC57" s="308">
        <v>0</v>
      </c>
      <c r="AD57" s="819">
        <f t="shared" ca="1" si="4"/>
        <v>884803.71798767406</v>
      </c>
      <c r="AE57" s="308">
        <v>0</v>
      </c>
      <c r="AF57" s="819">
        <f t="shared" ca="1" si="5"/>
        <v>309919.05599999992</v>
      </c>
      <c r="AG57" s="308">
        <v>0</v>
      </c>
      <c r="AH57" s="308">
        <v>0</v>
      </c>
      <c r="AI57" s="308">
        <v>0</v>
      </c>
      <c r="AJ57" s="308">
        <f t="shared" ca="1" si="6"/>
        <v>1870941.4334141887</v>
      </c>
      <c r="AK57" s="309">
        <v>0</v>
      </c>
      <c r="AL57" s="309">
        <f t="shared" si="26"/>
        <v>0</v>
      </c>
      <c r="AM57" s="309">
        <f t="shared" si="19"/>
        <v>0</v>
      </c>
      <c r="AN57" s="310">
        <v>0</v>
      </c>
      <c r="AO57" s="310">
        <v>0</v>
      </c>
      <c r="AP57" s="310">
        <f t="shared" si="20"/>
        <v>0</v>
      </c>
      <c r="AQ57" s="309">
        <v>0</v>
      </c>
      <c r="AR57" s="311">
        <f t="shared" ca="1" si="7"/>
        <v>3425187.0207073991</v>
      </c>
      <c r="AS57" s="870">
        <f t="shared" ca="1" si="21"/>
        <v>85491329.637880474</v>
      </c>
      <c r="AT57" s="822"/>
      <c r="AU57" s="878"/>
      <c r="AV57" s="35"/>
      <c r="AW57" s="879"/>
      <c r="AX57" s="35"/>
      <c r="AY57" s="880"/>
    </row>
    <row r="58" spans="1:51">
      <c r="A58" s="303">
        <v>2049</v>
      </c>
      <c r="B58" s="304">
        <f ca="1">IF($D$3="BAU",UtilityDemand!C51,INDIRECT($D$3&amp;"!B"&amp;ROW(A58))+INDIRECT($D$3&amp;"!D"&amp;ROW(A58)))</f>
        <v>123457.58620866176</v>
      </c>
      <c r="C58" s="305">
        <f t="shared" ca="1" si="22"/>
        <v>-5.3313856216785555E-2</v>
      </c>
      <c r="D58" s="306">
        <f t="shared" si="23"/>
        <v>-6582</v>
      </c>
      <c r="E58" s="304">
        <f ca="1">IF($D$3="BAU",UtilityDemand!E51,INDIRECT($D$3&amp;"!E"&amp;ROW(D58))+INDIRECT($D$3&amp;"!G"&amp;ROW(D58)))</f>
        <v>650016.2590694027</v>
      </c>
      <c r="F58" s="305">
        <f t="shared" ca="1" si="24"/>
        <v>-0.10179041535780331</v>
      </c>
      <c r="G58" s="306">
        <f t="shared" ca="1" si="8"/>
        <v>-66165.424999999988</v>
      </c>
      <c r="H58" s="304">
        <f ca="1">IF($D$3="BAU",UtilityDemand!G51,INDIRECT($D$3&amp;"!H"&amp;ROW(G58))+INDIRECT($D$3&amp;"!J"&amp;ROW(G58)))</f>
        <v>213637.33909265441</v>
      </c>
      <c r="I58" s="305">
        <f t="shared" ca="1" si="25"/>
        <v>-7.5035085477486066E-2</v>
      </c>
      <c r="J58" s="306">
        <f t="shared" ca="1" si="9"/>
        <v>-16030.295999999998</v>
      </c>
      <c r="K58" s="307">
        <f t="shared" ca="1" si="10"/>
        <v>116875.58620866176</v>
      </c>
      <c r="L58" s="307">
        <f t="shared" si="11"/>
        <v>0</v>
      </c>
      <c r="M58" s="307">
        <v>0</v>
      </c>
      <c r="N58" s="307">
        <f t="shared" ca="1" si="12"/>
        <v>116875.58620866176</v>
      </c>
      <c r="O58" s="1494">
        <f t="shared" ca="1" si="13"/>
        <v>583850.83406940266</v>
      </c>
      <c r="P58" s="306">
        <f t="shared" si="14"/>
        <v>0</v>
      </c>
      <c r="Q58" s="306">
        <v>0</v>
      </c>
      <c r="R58" s="306">
        <f t="shared" ca="1" si="15"/>
        <v>583850.83406940266</v>
      </c>
      <c r="S58" s="818">
        <f t="shared" ca="1" si="16"/>
        <v>197607.04309265441</v>
      </c>
      <c r="T58" s="818">
        <f t="shared" si="17"/>
        <v>0</v>
      </c>
      <c r="U58" s="818">
        <v>0</v>
      </c>
      <c r="V58" s="818">
        <f t="shared" ca="1" si="18"/>
        <v>197607.04309265441</v>
      </c>
      <c r="W58" s="306">
        <f t="shared" si="1"/>
        <v>0</v>
      </c>
      <c r="X58" s="306">
        <f t="shared" ca="1" si="2"/>
        <v>-13710.13521560043</v>
      </c>
      <c r="Y58" s="306">
        <v>0</v>
      </c>
      <c r="Z58" s="306">
        <v>0</v>
      </c>
      <c r="AA58" s="308">
        <f ca="1">-SUM(W58,X58/OFFSET(GridFootprintbyYear,$A58-$A$19,0)*EF_PurchElec_MTperMWh,Z58)*OFFSET(ExposureCalculations!Price_GHG_Allowance_2010,A58-$A$19,0)*ExposureCalculations!D55</f>
        <v>1640290.5038863502</v>
      </c>
      <c r="AB58" s="308">
        <f t="shared" ca="1" si="3"/>
        <v>679599.75272364705</v>
      </c>
      <c r="AC58" s="308">
        <v>0</v>
      </c>
      <c r="AD58" s="819">
        <f t="shared" ca="1" si="4"/>
        <v>889227.73657761223</v>
      </c>
      <c r="AE58" s="308">
        <v>0</v>
      </c>
      <c r="AF58" s="819">
        <f t="shared" ca="1" si="5"/>
        <v>309919.05599999992</v>
      </c>
      <c r="AG58" s="308">
        <v>0</v>
      </c>
      <c r="AH58" s="308">
        <v>0</v>
      </c>
      <c r="AI58" s="308">
        <v>0</v>
      </c>
      <c r="AJ58" s="308">
        <f t="shared" ca="1" si="6"/>
        <v>1878746.545301259</v>
      </c>
      <c r="AK58" s="309">
        <v>0</v>
      </c>
      <c r="AL58" s="309">
        <f t="shared" si="26"/>
        <v>0</v>
      </c>
      <c r="AM58" s="309">
        <f t="shared" si="19"/>
        <v>0</v>
      </c>
      <c r="AN58" s="310">
        <v>0</v>
      </c>
      <c r="AO58" s="310">
        <v>0</v>
      </c>
      <c r="AP58" s="310">
        <f t="shared" si="20"/>
        <v>0</v>
      </c>
      <c r="AQ58" s="309">
        <v>0</v>
      </c>
      <c r="AR58" s="311">
        <f t="shared" ca="1" si="7"/>
        <v>3519037.049187609</v>
      </c>
      <c r="AS58" s="870">
        <f t="shared" ca="1" si="21"/>
        <v>89010366.68706809</v>
      </c>
      <c r="AT58" s="822"/>
      <c r="AU58" s="878"/>
      <c r="AV58" s="35"/>
      <c r="AW58" s="879"/>
      <c r="AX58" s="35"/>
      <c r="AY58" s="880"/>
    </row>
    <row r="59" spans="1:51">
      <c r="A59" s="303">
        <v>2050</v>
      </c>
      <c r="B59" s="304">
        <f ca="1">IF($D$3="BAU",UtilityDemand!C52,INDIRECT($D$3&amp;"!B"&amp;ROW(A59))+INDIRECT($D$3&amp;"!D"&amp;ROW(A59)))</f>
        <v>123319.28263929689</v>
      </c>
      <c r="C59" s="305">
        <f t="shared" ca="1" si="22"/>
        <v>-5.3373648136212738E-2</v>
      </c>
      <c r="D59" s="306">
        <f t="shared" si="23"/>
        <v>-6582</v>
      </c>
      <c r="E59" s="304">
        <f ca="1">IF($D$3="BAU",UtilityDemand!E52,INDIRECT($D$3&amp;"!E"&amp;ROW(D59))+INDIRECT($D$3&amp;"!G"&amp;ROW(D59)))</f>
        <v>649339.80514613783</v>
      </c>
      <c r="F59" s="305">
        <f t="shared" ca="1" si="24"/>
        <v>-0.10189645617845507</v>
      </c>
      <c r="G59" s="306">
        <f t="shared" ca="1" si="8"/>
        <v>-66165.424999999988</v>
      </c>
      <c r="H59" s="304">
        <f ca="1">IF($D$3="BAU",UtilityDemand!G52,INDIRECT($D$3&amp;"!H"&amp;ROW(G59))+INDIRECT($D$3&amp;"!J"&amp;ROW(G59)))</f>
        <v>214448.3908134079</v>
      </c>
      <c r="I59" s="305">
        <f t="shared" ca="1" si="25"/>
        <v>-7.4751300017671857E-2</v>
      </c>
      <c r="J59" s="306">
        <f t="shared" ca="1" si="9"/>
        <v>-16030.295999999998</v>
      </c>
      <c r="K59" s="307">
        <f t="shared" ca="1" si="10"/>
        <v>116737.28263929689</v>
      </c>
      <c r="L59" s="307">
        <f t="shared" si="11"/>
        <v>0</v>
      </c>
      <c r="M59" s="307">
        <v>0</v>
      </c>
      <c r="N59" s="307">
        <f t="shared" ca="1" si="12"/>
        <v>116737.28263929689</v>
      </c>
      <c r="O59" s="1494">
        <f t="shared" ca="1" si="13"/>
        <v>583174.3801461379</v>
      </c>
      <c r="P59" s="306">
        <f t="shared" si="14"/>
        <v>0</v>
      </c>
      <c r="Q59" s="306">
        <v>0</v>
      </c>
      <c r="R59" s="306">
        <f t="shared" ca="1" si="15"/>
        <v>583174.3801461379</v>
      </c>
      <c r="S59" s="818">
        <f t="shared" ca="1" si="16"/>
        <v>198418.09481340789</v>
      </c>
      <c r="T59" s="818">
        <f t="shared" si="17"/>
        <v>0</v>
      </c>
      <c r="U59" s="818">
        <v>0</v>
      </c>
      <c r="V59" s="818">
        <f t="shared" ca="1" si="18"/>
        <v>198418.09481340789</v>
      </c>
      <c r="W59" s="306">
        <f t="shared" si="1"/>
        <v>0</v>
      </c>
      <c r="X59" s="306">
        <f t="shared" ca="1" si="2"/>
        <v>-13710.13521560043</v>
      </c>
      <c r="Y59" s="306">
        <v>0</v>
      </c>
      <c r="Z59" s="306">
        <v>0</v>
      </c>
      <c r="AA59" s="308">
        <f ca="1">-SUM(W59,X59/OFFSET(GridFootprintbyYear,$A59-$A$19,0)*EF_PurchElec_MTperMWh,Z59)*OFFSET(ExposureCalculations!Price_GHG_Allowance_2010,A59-$A$19,0)*ExposureCalculations!D56</f>
        <v>1733151.4415704408</v>
      </c>
      <c r="AB59" s="308">
        <f t="shared" ca="1" si="3"/>
        <v>682997.75148726522</v>
      </c>
      <c r="AC59" s="308">
        <v>0</v>
      </c>
      <c r="AD59" s="819">
        <f t="shared" ca="1" si="4"/>
        <v>893673.87526050035</v>
      </c>
      <c r="AE59" s="308">
        <v>0</v>
      </c>
      <c r="AF59" s="819">
        <f t="shared" ca="1" si="5"/>
        <v>309919.05599999992</v>
      </c>
      <c r="AG59" s="308">
        <v>0</v>
      </c>
      <c r="AH59" s="308">
        <v>0</v>
      </c>
      <c r="AI59" s="308">
        <v>0</v>
      </c>
      <c r="AJ59" s="308">
        <f t="shared" ca="1" si="6"/>
        <v>1886590.6827477654</v>
      </c>
      <c r="AK59" s="309">
        <v>0</v>
      </c>
      <c r="AL59" s="309">
        <f t="shared" si="26"/>
        <v>0</v>
      </c>
      <c r="AM59" s="309">
        <f t="shared" si="19"/>
        <v>0</v>
      </c>
      <c r="AN59" s="310">
        <v>0</v>
      </c>
      <c r="AO59" s="310">
        <v>0</v>
      </c>
      <c r="AP59" s="310">
        <f t="shared" si="20"/>
        <v>0</v>
      </c>
      <c r="AQ59" s="309">
        <v>0</v>
      </c>
      <c r="AR59" s="311">
        <f t="shared" ca="1" si="7"/>
        <v>3619742.1243182062</v>
      </c>
      <c r="AS59" s="870">
        <f t="shared" ca="1" si="21"/>
        <v>92630108.811386302</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Sheet2"/>
  <dimension ref="A1:A15"/>
  <sheetViews>
    <sheetView workbookViewId="0">
      <selection activeCell="C25" sqref="C25"/>
    </sheetView>
  </sheetViews>
  <sheetFormatPr defaultRowHeight="15"/>
  <sheetData>
    <row r="1" spans="1:1">
      <c r="A1" t="s">
        <v>56</v>
      </c>
    </row>
    <row r="7" spans="1:1">
      <c r="A7" s="154"/>
    </row>
    <row r="12" spans="1:1">
      <c r="A12" s="154"/>
    </row>
    <row r="15" spans="1:1">
      <c r="A15" s="15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23">
    <tabColor rgb="FFA9DA74"/>
  </sheetPr>
  <dimension ref="A1:AY84"/>
  <sheetViews>
    <sheetView workbookViewId="0">
      <pane xSplit="1" topLeftCell="B1" activePane="topRight" state="frozen"/>
      <selection activeCell="B1" sqref="B1"/>
      <selection pane="topRight" activeCell="O3" sqref="O3:O7"/>
    </sheetView>
  </sheetViews>
  <sheetFormatPr defaultRowHeight="15"/>
  <cols>
    <col min="11" max="11" width="12" customWidth="1"/>
    <col min="12" max="12" width="12.85546875" customWidth="1"/>
    <col min="13" max="13" width="12.42578125" customWidth="1"/>
    <col min="15" max="15" width="13.5703125" style="37" bestFit="1" customWidth="1"/>
    <col min="35" max="36" width="13" customWidth="1"/>
    <col min="38" max="39" width="11.5703125" bestFit="1" customWidth="1"/>
    <col min="40" max="40" width="12.42578125" customWidth="1"/>
    <col min="44" max="44" width="10.85546875" customWidth="1"/>
    <col min="45" max="45" width="11.85546875" bestFit="1" customWidth="1"/>
    <col min="46" max="46" width="1.7109375" customWidth="1"/>
    <col min="47" max="47" width="10.85546875" bestFit="1" customWidth="1"/>
    <col min="51" max="51" width="10.5703125" customWidth="1"/>
  </cols>
  <sheetData>
    <row r="1" spans="1:50" ht="60">
      <c r="C1" s="257" t="s">
        <v>226</v>
      </c>
      <c r="D1" s="258" t="s">
        <v>789</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2010</v>
      </c>
      <c r="E2" s="266"/>
      <c r="J2" s="267" t="s">
        <v>231</v>
      </c>
      <c r="K2" s="268">
        <f ca="1">NPV(DiscountRate,AA19:AA59)</f>
        <v>5594517.9115207782</v>
      </c>
      <c r="L2" s="269">
        <f ca="1">-SUM(OFFSET(W19,0,0,M2-2010+1,4))</f>
        <v>416226.80943274801</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791</v>
      </c>
      <c r="E3" s="1635"/>
      <c r="F3" s="1635"/>
      <c r="G3" s="273"/>
      <c r="H3" s="273"/>
      <c r="I3" s="273"/>
      <c r="J3" s="275" t="s">
        <v>234</v>
      </c>
      <c r="K3" s="276">
        <f ca="1">NPV(DiscountRate,AJ19:AJ59)</f>
        <v>14513477.726050658</v>
      </c>
      <c r="L3" s="277" t="s">
        <v>235</v>
      </c>
      <c r="M3" s="278">
        <f ca="1">-SUM(OFFSET(W19,M2-2010,0,1,4))</f>
        <v>13213.549505801528</v>
      </c>
      <c r="N3" s="272"/>
      <c r="O3" s="1496">
        <f ca="1">AVERAGE(OFFSET(AJ19,0,0,$M$2-2010+1,1))</f>
        <v>1296727.9298652508</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10151.873400798731</v>
      </c>
      <c r="M4" s="281">
        <f ca="1">-SUM(OFFSET(W19,M2-2010,0,1,4))/SUM(OFFSET(ExposureCalculations!G16,M2-2010,0,1,3))</f>
        <v>1.2085586849028367E-2</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939</v>
      </c>
      <c r="E5" s="273"/>
      <c r="F5" s="272"/>
      <c r="G5" s="272"/>
      <c r="H5" s="272"/>
      <c r="I5" s="273"/>
      <c r="J5" s="275" t="s">
        <v>238</v>
      </c>
      <c r="K5" s="276">
        <f>NPV(DiscountRate,AL19:AL59)</f>
        <v>-3421010.1138174692</v>
      </c>
      <c r="L5" s="277"/>
      <c r="M5" s="272"/>
      <c r="N5" s="272"/>
      <c r="O5" s="1496">
        <f ca="1">AVERAGE(OFFSET(AL19,0,0,$M$2-2010+1,1))</f>
        <v>-146974.51219512196</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16686985.523753969</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5.8777948525656765</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f ca="1">IFERROR(IF(K8&lt;0,"",IRR(AR19:AR59)),"")</f>
        <v>0.43864370259056834</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11.660067474824974</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11092467.612233192</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-95.617893431330998</v>
      </c>
      <c r="L13" s="824" t="str">
        <f ca="1">IF(K13&gt;99998,"(Values $99,999 and above indicate net carbon increase)","")</f>
        <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48.225159284983498</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9" t="s">
        <v>1454</v>
      </c>
      <c r="AW18" s="875"/>
      <c r="AX18" s="876"/>
      <c r="AY18" s="877"/>
    </row>
    <row r="19" spans="1:51">
      <c r="A19" s="303">
        <v>2010</v>
      </c>
      <c r="B19" s="304">
        <f ca="1">IF($D$3="BAU",UtilityDemand!C12,INDIRECT($D$3&amp;"!B"&amp;ROW(A19))+INDIRECT($D$3&amp;"!D"&amp;ROW(A19)))</f>
        <v>127163.99016669342</v>
      </c>
      <c r="C19" s="305">
        <v>0</v>
      </c>
      <c r="D19" s="306">
        <f ca="1">-B19*C19</f>
        <v>0</v>
      </c>
      <c r="E19" s="304">
        <f ca="1">IF($D$3="BAU",UtilityDemand!E12,INDIRECT($D$3&amp;"!E"&amp;ROW(D19))+INDIRECT($D$3&amp;"!G"&amp;ROW(D19)))</f>
        <v>678074.34788952675</v>
      </c>
      <c r="F19" s="305">
        <v>0</v>
      </c>
      <c r="G19" s="306">
        <f ca="1">-E19*F19</f>
        <v>0</v>
      </c>
      <c r="H19" s="304">
        <f ca="1">IF($D$3="BAU",UtilityDemand!G12,INDIRECT($D$3&amp;"!H"&amp;ROW(G19))+INDIRECT($D$3&amp;"!J"&amp;ROW(G19)))</f>
        <v>177513.47721383756</v>
      </c>
      <c r="I19" s="305">
        <v>0</v>
      </c>
      <c r="J19" s="306">
        <f ca="1">-H19*I19</f>
        <v>0</v>
      </c>
      <c r="K19" s="307">
        <f ca="1">IF($D$3="BAU",B19+D19,INDIRECT($D$3&amp;"!B"&amp;ROW(A19))+INDIRECT($D$3&amp;"!D"&amp;ROW(A19))+INDIRECT($D$3&amp;"!L"&amp;ROW(A19))+D19)</f>
        <v>127163.99016669342</v>
      </c>
      <c r="L19" s="307">
        <f>-M19</f>
        <v>0</v>
      </c>
      <c r="M19" s="307">
        <v>0</v>
      </c>
      <c r="N19" s="307">
        <f ca="1">K19+L19</f>
        <v>127163.99016669342</v>
      </c>
      <c r="O19" s="1494">
        <f ca="1">IF($D$3="BAU",E19+G19,INDIRECT($D$3&amp;"!E"&amp;ROW(A19))+INDIRECT($D$3&amp;"!G"&amp;ROW(A19))+INDIRECT($D$3&amp;"!P"&amp;ROW(A19))+G19)</f>
        <v>678074.34788952675</v>
      </c>
      <c r="P19" s="306">
        <f>-Q19</f>
        <v>0</v>
      </c>
      <c r="Q19" s="306">
        <v>0</v>
      </c>
      <c r="R19" s="306">
        <f ca="1">O19+P19</f>
        <v>678074.34788952675</v>
      </c>
      <c r="S19" s="818">
        <f ca="1">IF($D$3="BAU",H19+J19,INDIRECT($D$3&amp;"!H"&amp;ROW(A19))+INDIRECT($D$3&amp;"!J"&amp;ROW(A19))+INDIRECT($D$3&amp;"!T"&amp;ROW(A19))+J19)</f>
        <v>177513.47721383756</v>
      </c>
      <c r="T19" s="818">
        <f>-U19</f>
        <v>0</v>
      </c>
      <c r="U19" s="818">
        <v>0</v>
      </c>
      <c r="V19" s="818">
        <f ca="1">S19+T19</f>
        <v>177513.47721383756</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918">
        <v>8321</v>
      </c>
      <c r="AV19" s="879" t="s">
        <v>1457</v>
      </c>
      <c r="AW19" s="879"/>
      <c r="AX19" s="35"/>
      <c r="AY19" s="880"/>
    </row>
    <row r="20" spans="1:51">
      <c r="A20" s="303">
        <v>2011</v>
      </c>
      <c r="B20" s="304">
        <f ca="1">IF($D$3="BAU",UtilityDemand!C13,INDIRECT($D$3&amp;"!B"&amp;ROW(A20))+INDIRECT($D$3&amp;"!D"&amp;ROW(A20)))</f>
        <v>125518.36963995529</v>
      </c>
      <c r="C20" s="305">
        <f ca="1">D20/B20</f>
        <v>0</v>
      </c>
      <c r="D20" s="306">
        <f ca="1">IF(AND(A20&gt;=$AU$22,A20&lt;$AU$22+$AU$23),-$AU$19/$AU$23+D19,D19)</f>
        <v>0</v>
      </c>
      <c r="E20" s="304">
        <f ca="1">IF($D$3="BAU",UtilityDemand!E13,INDIRECT($D$3&amp;"!E"&amp;ROW(D20))+INDIRECT($D$3&amp;"!G"&amp;ROW(D20)))</f>
        <v>662488.42315347027</v>
      </c>
      <c r="F20" s="305">
        <f ca="1">G20/E20</f>
        <v>0</v>
      </c>
      <c r="G20" s="306">
        <f t="shared" ref="G20:G59" ca="1" si="8">IF(AND($A20&gt;=$AU$22,$A20&lt;$AU$22+$AU$23),(-$AU$20/$AU$23)*1000*Btu_per_lb/1000000+G19,G19)</f>
        <v>0</v>
      </c>
      <c r="H20" s="304">
        <f ca="1">IF($D$3="BAU",UtilityDemand!G13,INDIRECT($D$3&amp;"!H"&amp;ROW(G20))+INDIRECT($D$3&amp;"!J"&amp;ROW(G20)))</f>
        <v>174929.27148685895</v>
      </c>
      <c r="I20" s="305">
        <f ca="1">J20/H20</f>
        <v>0</v>
      </c>
      <c r="J20" s="306">
        <f t="shared" ref="J20:J59" ca="1" si="9">IF(AND($A20&gt;=$AU$22,$A20&lt;$AU$22+$AU$23),(-$AU$21/$AU$23)*btu_tonhr/1000000+J19,J19)</f>
        <v>0</v>
      </c>
      <c r="K20" s="307">
        <f t="shared" ref="K20:K59" ca="1" si="10">IF($D$3="BAU",B20+D20,INDIRECT($D$3&amp;"!B"&amp;ROW(A20))+INDIRECT($D$3&amp;"!D"&amp;ROW(A20))+INDIRECT($D$3&amp;"!L"&amp;ROW(A20))+D20)</f>
        <v>125518.36963995529</v>
      </c>
      <c r="L20" s="307">
        <f t="shared" ref="L20:L59" si="11">-M20</f>
        <v>0</v>
      </c>
      <c r="M20" s="307">
        <v>0</v>
      </c>
      <c r="N20" s="307">
        <f t="shared" ref="N20:N59" ca="1" si="12">K20+L20</f>
        <v>125518.36963995529</v>
      </c>
      <c r="O20" s="1494">
        <f t="shared" ref="O20:O59" ca="1" si="13">IF($D$3="BAU",E20+G20,INDIRECT($D$3&amp;"!E"&amp;ROW(A20))+INDIRECT($D$3&amp;"!G"&amp;ROW(A20))+INDIRECT($D$3&amp;"!P"&amp;ROW(A20))+G20)</f>
        <v>662488.42315347027</v>
      </c>
      <c r="P20" s="306">
        <f>-Q20</f>
        <v>0</v>
      </c>
      <c r="Q20" s="306">
        <v>0</v>
      </c>
      <c r="R20" s="306">
        <f t="shared" ref="R20:R59" ca="1" si="14">O20+P20</f>
        <v>662488.42315347027</v>
      </c>
      <c r="S20" s="818">
        <f t="shared" ref="S20:S59" ca="1" si="15">IF($D$3="BAU",H20+J20,INDIRECT($D$3&amp;"!H"&amp;ROW(A20))+INDIRECT($D$3&amp;"!J"&amp;ROW(A20))+INDIRECT($D$3&amp;"!T"&amp;ROW(A20))+J20)</f>
        <v>174929.27148685895</v>
      </c>
      <c r="T20" s="818">
        <f t="shared" ref="T20:T59" si="16">-U20</f>
        <v>0</v>
      </c>
      <c r="U20" s="818">
        <v>0</v>
      </c>
      <c r="V20" s="818">
        <f t="shared" ref="V20:V59" ca="1" si="17">S20+T20</f>
        <v>174929.27148685895</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f>IF(AND($A20&gt;=$AU$22,$A20&lt;$AU$22+$AU$23),-$AU$24/$AU$23,0)</f>
        <v>0</v>
      </c>
      <c r="AM20" s="309">
        <f t="shared" ref="AM20:AM59" si="18">SUM(AK20:AL20)</f>
        <v>0</v>
      </c>
      <c r="AN20" s="310">
        <v>0</v>
      </c>
      <c r="AO20" s="310">
        <v>0</v>
      </c>
      <c r="AP20" s="310">
        <f t="shared" ref="AP20:AP59" si="19">SUM(AN20:AO20)</f>
        <v>0</v>
      </c>
      <c r="AQ20" s="309">
        <v>0</v>
      </c>
      <c r="AR20" s="311">
        <f t="shared" ca="1" si="7"/>
        <v>0</v>
      </c>
      <c r="AS20" s="870">
        <f t="shared" ref="AS20:AS59" ca="1" si="20">AR20+AS19</f>
        <v>0</v>
      </c>
      <c r="AT20" s="822"/>
      <c r="AU20" s="918">
        <v>51177</v>
      </c>
      <c r="AV20" t="s">
        <v>1458</v>
      </c>
      <c r="AW20" s="879"/>
      <c r="AX20" s="35"/>
      <c r="AY20" s="880"/>
    </row>
    <row r="21" spans="1:51">
      <c r="A21" s="303">
        <v>2012</v>
      </c>
      <c r="B21" s="304">
        <f ca="1">IF($D$3="BAU",UtilityDemand!C14,INDIRECT($D$3&amp;"!B"&amp;ROW(A21))+INDIRECT($D$3&amp;"!D"&amp;ROW(A21)))</f>
        <v>124752.19211798218</v>
      </c>
      <c r="C21" s="305">
        <f t="shared" ref="C21:C59" ca="1" si="21">D21/B21</f>
        <v>0</v>
      </c>
      <c r="D21" s="306">
        <f t="shared" ref="D21:D59" ca="1" si="22">IF(AND(A21&gt;=$AU$22,A21&lt;$AU$22+$AU$23),-$AU$19/$AU$23+D20,D20)</f>
        <v>0</v>
      </c>
      <c r="E21" s="304">
        <f ca="1">IF($D$3="BAU",UtilityDemand!E14,INDIRECT($D$3&amp;"!E"&amp;ROW(D21))+INDIRECT($D$3&amp;"!G"&amp;ROW(D21)))</f>
        <v>648578.88423020509</v>
      </c>
      <c r="F21" s="305">
        <f t="shared" ref="F21:F59" ca="1" si="23">G21/E21</f>
        <v>0</v>
      </c>
      <c r="G21" s="306">
        <f t="shared" ca="1" si="8"/>
        <v>0</v>
      </c>
      <c r="H21" s="304">
        <f ca="1">IF($D$3="BAU",UtilityDemand!G14,INDIRECT($D$3&amp;"!H"&amp;ROW(G21))+INDIRECT($D$3&amp;"!J"&amp;ROW(G21)))</f>
        <v>174624.63546129991</v>
      </c>
      <c r="I21" s="305">
        <f t="shared" ref="I21:I59" ca="1" si="24">J21/H21</f>
        <v>0</v>
      </c>
      <c r="J21" s="306">
        <f t="shared" ca="1" si="9"/>
        <v>0</v>
      </c>
      <c r="K21" s="307">
        <f t="shared" ca="1" si="10"/>
        <v>124752.19211798218</v>
      </c>
      <c r="L21" s="307">
        <f t="shared" si="11"/>
        <v>0</v>
      </c>
      <c r="M21" s="307">
        <v>0</v>
      </c>
      <c r="N21" s="307">
        <f t="shared" ca="1" si="12"/>
        <v>124752.19211798218</v>
      </c>
      <c r="O21" s="1494">
        <f t="shared" ca="1" si="13"/>
        <v>648578.88423020509</v>
      </c>
      <c r="P21" s="306">
        <f t="shared" ref="P21:P59" si="25">-Q21</f>
        <v>0</v>
      </c>
      <c r="Q21" s="306">
        <v>0</v>
      </c>
      <c r="R21" s="306">
        <f t="shared" ca="1" si="14"/>
        <v>648578.88423020509</v>
      </c>
      <c r="S21" s="818">
        <f t="shared" ca="1" si="15"/>
        <v>174624.63546129991</v>
      </c>
      <c r="T21" s="818">
        <f t="shared" si="16"/>
        <v>0</v>
      </c>
      <c r="U21" s="818">
        <v>0</v>
      </c>
      <c r="V21" s="818">
        <f t="shared" ca="1" si="17"/>
        <v>174624.63546129991</v>
      </c>
      <c r="W21" s="306">
        <f t="shared" si="1"/>
        <v>0</v>
      </c>
      <c r="X21" s="306">
        <f t="shared" ca="1" si="2"/>
        <v>0</v>
      </c>
      <c r="Y21" s="306">
        <v>0</v>
      </c>
      <c r="Z21" s="306">
        <v>0</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f t="shared" ref="AL21:AL59" si="26">IF(AND($A21&gt;=$AU$22,$A21&lt;$AU$22+$AU$23),-$AU$24/$AU$23,0)</f>
        <v>0</v>
      </c>
      <c r="AM21" s="309">
        <f t="shared" si="18"/>
        <v>0</v>
      </c>
      <c r="AN21" s="310">
        <v>0</v>
      </c>
      <c r="AO21" s="310">
        <v>0</v>
      </c>
      <c r="AP21" s="310">
        <f t="shared" si="19"/>
        <v>0</v>
      </c>
      <c r="AQ21" s="309">
        <v>0</v>
      </c>
      <c r="AR21" s="311">
        <f t="shared" ca="1" si="7"/>
        <v>0</v>
      </c>
      <c r="AS21" s="870">
        <f t="shared" ca="1" si="20"/>
        <v>0</v>
      </c>
      <c r="AT21" s="822"/>
      <c r="AU21" s="918">
        <v>577084</v>
      </c>
      <c r="AV21" t="s">
        <v>1459</v>
      </c>
      <c r="AW21" s="879"/>
      <c r="AX21" s="35"/>
      <c r="AY21" s="880"/>
    </row>
    <row r="22" spans="1:51">
      <c r="A22" s="303">
        <v>2013</v>
      </c>
      <c r="B22" s="304">
        <f ca="1">IF($D$3="BAU",UtilityDemand!C15,INDIRECT($D$3&amp;"!B"&amp;ROW(A22))+INDIRECT($D$3&amp;"!D"&amp;ROW(A22)))</f>
        <v>123513.03802167765</v>
      </c>
      <c r="C22" s="305">
        <f t="shared" ca="1" si="21"/>
        <v>0</v>
      </c>
      <c r="D22" s="306">
        <f t="shared" ca="1" si="22"/>
        <v>0</v>
      </c>
      <c r="E22" s="304">
        <f ca="1">IF($D$3="BAU",UtilityDemand!E15,INDIRECT($D$3&amp;"!E"&amp;ROW(D22))+INDIRECT($D$3&amp;"!G"&amp;ROW(D22)))</f>
        <v>634669.34530694014</v>
      </c>
      <c r="F22" s="305">
        <f t="shared" ca="1" si="23"/>
        <v>0</v>
      </c>
      <c r="G22" s="306">
        <f t="shared" ca="1" si="8"/>
        <v>0</v>
      </c>
      <c r="H22" s="304">
        <f ca="1">IF($D$3="BAU",UtilityDemand!G15,INDIRECT($D$3&amp;"!H"&amp;ROW(G22))+INDIRECT($D$3&amp;"!J"&amp;ROW(G22)))</f>
        <v>172827.49892955803</v>
      </c>
      <c r="I22" s="305">
        <f t="shared" ca="1" si="24"/>
        <v>0</v>
      </c>
      <c r="J22" s="306">
        <f t="shared" ca="1" si="9"/>
        <v>0</v>
      </c>
      <c r="K22" s="307">
        <f t="shared" ca="1" si="10"/>
        <v>123513.03802167765</v>
      </c>
      <c r="L22" s="307">
        <f t="shared" si="11"/>
        <v>0</v>
      </c>
      <c r="M22" s="307">
        <v>0</v>
      </c>
      <c r="N22" s="307">
        <f t="shared" ca="1" si="12"/>
        <v>123513.03802167765</v>
      </c>
      <c r="O22" s="1494">
        <f t="shared" ca="1" si="13"/>
        <v>634669.34530694014</v>
      </c>
      <c r="P22" s="306">
        <f t="shared" si="25"/>
        <v>0</v>
      </c>
      <c r="Q22" s="306">
        <v>0</v>
      </c>
      <c r="R22" s="306">
        <f t="shared" ca="1" si="14"/>
        <v>634669.34530694014</v>
      </c>
      <c r="S22" s="818">
        <f t="shared" ca="1" si="15"/>
        <v>172827.49892955803</v>
      </c>
      <c r="T22" s="818">
        <f t="shared" si="16"/>
        <v>0</v>
      </c>
      <c r="U22" s="818">
        <v>0</v>
      </c>
      <c r="V22" s="818">
        <f t="shared" ca="1" si="17"/>
        <v>172827.49892955803</v>
      </c>
      <c r="W22" s="306">
        <f t="shared" si="1"/>
        <v>0</v>
      </c>
      <c r="X22" s="306">
        <f t="shared" ca="1" si="2"/>
        <v>0</v>
      </c>
      <c r="Y22" s="306">
        <v>0</v>
      </c>
      <c r="Z22" s="306">
        <v>0</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f t="shared" si="26"/>
        <v>0</v>
      </c>
      <c r="AM22" s="309">
        <f t="shared" si="18"/>
        <v>0</v>
      </c>
      <c r="AN22" s="310">
        <v>0</v>
      </c>
      <c r="AO22" s="310">
        <v>0</v>
      </c>
      <c r="AP22" s="310">
        <f t="shared" si="19"/>
        <v>0</v>
      </c>
      <c r="AQ22" s="309">
        <v>0</v>
      </c>
      <c r="AR22" s="311">
        <f t="shared" ca="1" si="7"/>
        <v>0</v>
      </c>
      <c r="AS22" s="870">
        <f t="shared" ca="1" si="20"/>
        <v>0</v>
      </c>
      <c r="AT22" s="822"/>
      <c r="AU22" s="878">
        <f>ShortECM!AU22+ShortECM!AU23</f>
        <v>2016</v>
      </c>
      <c r="AV22" t="s">
        <v>1460</v>
      </c>
      <c r="AW22" s="879"/>
      <c r="AX22" s="35"/>
      <c r="AY22" s="880"/>
    </row>
    <row r="23" spans="1:51">
      <c r="A23" s="303">
        <v>2014</v>
      </c>
      <c r="B23" s="304">
        <f ca="1">IF($D$3="BAU",UtilityDemand!C16,INDIRECT($D$3&amp;"!B"&amp;ROW(A23))+INDIRECT($D$3&amp;"!D"&amp;ROW(A23)))</f>
        <v>122101.55115445409</v>
      </c>
      <c r="C23" s="305">
        <f t="shared" ca="1" si="21"/>
        <v>0</v>
      </c>
      <c r="D23" s="306">
        <f t="shared" ca="1" si="22"/>
        <v>0</v>
      </c>
      <c r="E23" s="304">
        <f ca="1">IF($D$3="BAU",UtilityDemand!E16,INDIRECT($D$3&amp;"!E"&amp;ROW(D23))+INDIRECT($D$3&amp;"!G"&amp;ROW(D23)))</f>
        <v>620759.8063836752</v>
      </c>
      <c r="F23" s="305">
        <f t="shared" ca="1" si="23"/>
        <v>0</v>
      </c>
      <c r="G23" s="306">
        <f t="shared" ca="1" si="8"/>
        <v>0</v>
      </c>
      <c r="H23" s="304">
        <f ca="1">IF($D$3="BAU",UtilityDemand!G16,INDIRECT($D$3&amp;"!H"&amp;ROW(G23))+INDIRECT($D$3&amp;"!J"&amp;ROW(G23)))</f>
        <v>170475.70815245277</v>
      </c>
      <c r="I23" s="305">
        <f t="shared" ca="1" si="24"/>
        <v>0</v>
      </c>
      <c r="J23" s="306">
        <f t="shared" ca="1" si="9"/>
        <v>0</v>
      </c>
      <c r="K23" s="307">
        <f t="shared" ca="1" si="10"/>
        <v>122101.55115445409</v>
      </c>
      <c r="L23" s="307">
        <f t="shared" si="11"/>
        <v>0</v>
      </c>
      <c r="M23" s="307">
        <v>0</v>
      </c>
      <c r="N23" s="307">
        <f t="shared" ca="1" si="12"/>
        <v>122101.55115445409</v>
      </c>
      <c r="O23" s="1494">
        <f t="shared" ca="1" si="13"/>
        <v>620759.8063836752</v>
      </c>
      <c r="P23" s="306">
        <f t="shared" si="25"/>
        <v>0</v>
      </c>
      <c r="Q23" s="306">
        <v>0</v>
      </c>
      <c r="R23" s="306">
        <f t="shared" ca="1" si="14"/>
        <v>620759.8063836752</v>
      </c>
      <c r="S23" s="818">
        <f t="shared" ca="1" si="15"/>
        <v>170475.70815245277</v>
      </c>
      <c r="T23" s="818">
        <f t="shared" si="16"/>
        <v>0</v>
      </c>
      <c r="U23" s="818">
        <v>0</v>
      </c>
      <c r="V23" s="818">
        <f t="shared" ca="1" si="17"/>
        <v>170475.70815245277</v>
      </c>
      <c r="W23" s="306">
        <f t="shared" si="1"/>
        <v>0</v>
      </c>
      <c r="X23" s="306">
        <f t="shared" ca="1" si="2"/>
        <v>0</v>
      </c>
      <c r="Y23" s="306">
        <v>0</v>
      </c>
      <c r="Z23" s="306">
        <v>0</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f t="shared" si="26"/>
        <v>0</v>
      </c>
      <c r="AM23" s="309">
        <f t="shared" si="18"/>
        <v>0</v>
      </c>
      <c r="AN23" s="310">
        <v>0</v>
      </c>
      <c r="AO23" s="310">
        <v>0</v>
      </c>
      <c r="AP23" s="310">
        <f t="shared" si="19"/>
        <v>0</v>
      </c>
      <c r="AQ23" s="309">
        <v>0</v>
      </c>
      <c r="AR23" s="311">
        <f t="shared" ca="1" si="7"/>
        <v>0</v>
      </c>
      <c r="AS23" s="870">
        <f t="shared" ca="1" si="20"/>
        <v>0</v>
      </c>
      <c r="AT23" s="822"/>
      <c r="AU23" s="918">
        <v>8</v>
      </c>
      <c r="AV23" s="35" t="s">
        <v>1455</v>
      </c>
      <c r="AW23" s="879"/>
      <c r="AX23" s="35"/>
      <c r="AY23" s="880"/>
    </row>
    <row r="24" spans="1:51">
      <c r="A24" s="303">
        <v>2015</v>
      </c>
      <c r="B24" s="304">
        <f ca="1">IF($D$3="BAU",UtilityDemand!C17,INDIRECT($D$3&amp;"!B"&amp;ROW(A24))+INDIRECT($D$3&amp;"!D"&amp;ROW(A24)))</f>
        <v>121116.36978310837</v>
      </c>
      <c r="C24" s="305">
        <f t="shared" ca="1" si="21"/>
        <v>0</v>
      </c>
      <c r="D24" s="306">
        <f t="shared" ca="1" si="22"/>
        <v>0</v>
      </c>
      <c r="E24" s="304">
        <f ca="1">IF($D$3="BAU",UtilityDemand!E17,INDIRECT($D$3&amp;"!E"&amp;ROW(D24))+INDIRECT($D$3&amp;"!G"&amp;ROW(D24)))</f>
        <v>606850.26746041025</v>
      </c>
      <c r="F24" s="305">
        <f t="shared" ca="1" si="23"/>
        <v>0</v>
      </c>
      <c r="G24" s="306">
        <f t="shared" ca="1" si="8"/>
        <v>0</v>
      </c>
      <c r="H24" s="304">
        <f ca="1">IF($D$3="BAU",UtilityDemand!G17,INDIRECT($D$3&amp;"!H"&amp;ROW(G24))+INDIRECT($D$3&amp;"!J"&amp;ROW(G24)))</f>
        <v>169569.74680307685</v>
      </c>
      <c r="I24" s="305">
        <f t="shared" ca="1" si="24"/>
        <v>0</v>
      </c>
      <c r="J24" s="306">
        <f t="shared" ca="1" si="9"/>
        <v>0</v>
      </c>
      <c r="K24" s="307">
        <f t="shared" ca="1" si="10"/>
        <v>121116.36978310837</v>
      </c>
      <c r="L24" s="307">
        <f t="shared" si="11"/>
        <v>0</v>
      </c>
      <c r="M24" s="307">
        <v>0</v>
      </c>
      <c r="N24" s="307">
        <f t="shared" ca="1" si="12"/>
        <v>121116.36978310837</v>
      </c>
      <c r="O24" s="1494">
        <f t="shared" ca="1" si="13"/>
        <v>606850.26746041025</v>
      </c>
      <c r="P24" s="306">
        <f t="shared" si="25"/>
        <v>0</v>
      </c>
      <c r="Q24" s="306">
        <v>0</v>
      </c>
      <c r="R24" s="306">
        <f t="shared" ca="1" si="14"/>
        <v>606850.26746041025</v>
      </c>
      <c r="S24" s="818">
        <f t="shared" ca="1" si="15"/>
        <v>169569.74680307685</v>
      </c>
      <c r="T24" s="818">
        <f t="shared" si="16"/>
        <v>0</v>
      </c>
      <c r="U24" s="818">
        <v>0</v>
      </c>
      <c r="V24" s="818">
        <f t="shared" ca="1" si="17"/>
        <v>169569.74680307685</v>
      </c>
      <c r="W24" s="306">
        <f t="shared" si="1"/>
        <v>0</v>
      </c>
      <c r="X24" s="306">
        <f t="shared" ca="1" si="2"/>
        <v>0</v>
      </c>
      <c r="Y24" s="306">
        <v>0</v>
      </c>
      <c r="Z24" s="306">
        <v>0</v>
      </c>
      <c r="AA24" s="308">
        <f ca="1">-SUM(W24,X24/OFFSET(GridFootprintbyYear,$A24-$A$19,0)*EF_PurchElec_MTperMWh,Z24)*OFFSET(ExposureCalculations!Price_GHG_Allowance_2010,A24-$A$19,0)*ExposureCalculations!D21</f>
        <v>0</v>
      </c>
      <c r="AB24" s="308">
        <f t="shared" ca="1" si="3"/>
        <v>0</v>
      </c>
      <c r="AC24" s="308">
        <v>0</v>
      </c>
      <c r="AD24" s="819">
        <f t="shared" ca="1" si="4"/>
        <v>0</v>
      </c>
      <c r="AE24" s="308">
        <v>0</v>
      </c>
      <c r="AF24" s="819">
        <f t="shared" ca="1" si="5"/>
        <v>0</v>
      </c>
      <c r="AG24" s="308">
        <v>0</v>
      </c>
      <c r="AH24" s="308">
        <v>0</v>
      </c>
      <c r="AI24" s="308">
        <v>0</v>
      </c>
      <c r="AJ24" s="308">
        <f t="shared" ca="1" si="6"/>
        <v>0</v>
      </c>
      <c r="AK24" s="309">
        <v>0</v>
      </c>
      <c r="AL24" s="309">
        <f t="shared" si="26"/>
        <v>0</v>
      </c>
      <c r="AM24" s="309">
        <f t="shared" si="18"/>
        <v>0</v>
      </c>
      <c r="AN24" s="310">
        <v>0</v>
      </c>
      <c r="AO24" s="310">
        <v>0</v>
      </c>
      <c r="AP24" s="310">
        <f t="shared" si="19"/>
        <v>0</v>
      </c>
      <c r="AQ24" s="309">
        <v>0</v>
      </c>
      <c r="AR24" s="311">
        <f t="shared" ca="1" si="7"/>
        <v>0</v>
      </c>
      <c r="AS24" s="870">
        <f t="shared" ca="1" si="20"/>
        <v>0</v>
      </c>
      <c r="AT24" s="822"/>
      <c r="AU24" s="1261">
        <v>6025955</v>
      </c>
      <c r="AV24" s="35" t="s">
        <v>1456</v>
      </c>
      <c r="AW24" s="879"/>
      <c r="AX24" s="35"/>
      <c r="AY24" s="880"/>
    </row>
    <row r="25" spans="1:51">
      <c r="A25" s="303">
        <v>2016</v>
      </c>
      <c r="B25" s="304">
        <f ca="1">IF($D$3="BAU",UtilityDemand!C18,INDIRECT($D$3&amp;"!B"&amp;ROW(A25))+INDIRECT($D$3&amp;"!D"&amp;ROW(A25)))</f>
        <v>121009.25241876335</v>
      </c>
      <c r="C25" s="305">
        <f t="shared" ca="1" si="21"/>
        <v>-8.5954171206723464E-3</v>
      </c>
      <c r="D25" s="306">
        <f t="shared" ca="1" si="22"/>
        <v>-1040.125</v>
      </c>
      <c r="E25" s="304">
        <f ca="1">IF($D$3="BAU",UtilityDemand!E18,INDIRECT($D$3&amp;"!E"&amp;ROW(D25))+INDIRECT($D$3&amp;"!G"&amp;ROW(D25)))</f>
        <v>606173.8135371455</v>
      </c>
      <c r="F25" s="305">
        <f t="shared" ca="1" si="23"/>
        <v>-1.240010984826119E-2</v>
      </c>
      <c r="G25" s="306">
        <f t="shared" ca="1" si="8"/>
        <v>-7516.6218749999998</v>
      </c>
      <c r="H25" s="304">
        <f ca="1">IF($D$3="BAU",UtilityDemand!G18,INDIRECT($D$3&amp;"!H"&amp;ROW(G25))+INDIRECT($D$3&amp;"!J"&amp;ROW(G25)))</f>
        <v>170411.98472885016</v>
      </c>
      <c r="I25" s="305">
        <f t="shared" ca="1" si="24"/>
        <v>-5.0796075251240969E-3</v>
      </c>
      <c r="J25" s="306">
        <f t="shared" ca="1" si="9"/>
        <v>-865.62599999999998</v>
      </c>
      <c r="K25" s="307">
        <f t="shared" ca="1" si="10"/>
        <v>119969.12741876335</v>
      </c>
      <c r="L25" s="307">
        <f t="shared" si="11"/>
        <v>0</v>
      </c>
      <c r="M25" s="307">
        <v>0</v>
      </c>
      <c r="N25" s="307">
        <f t="shared" ca="1" si="12"/>
        <v>119969.12741876335</v>
      </c>
      <c r="O25" s="1494">
        <f t="shared" ca="1" si="13"/>
        <v>598657.19166214555</v>
      </c>
      <c r="P25" s="306">
        <f t="shared" si="25"/>
        <v>0</v>
      </c>
      <c r="Q25" s="306">
        <v>0</v>
      </c>
      <c r="R25" s="306">
        <f t="shared" ca="1" si="14"/>
        <v>598657.19166214555</v>
      </c>
      <c r="S25" s="818">
        <f t="shared" ca="1" si="15"/>
        <v>169546.35872885017</v>
      </c>
      <c r="T25" s="818">
        <f t="shared" si="16"/>
        <v>0</v>
      </c>
      <c r="U25" s="818">
        <v>0</v>
      </c>
      <c r="V25" s="818">
        <f t="shared" ca="1" si="17"/>
        <v>169546.35872885017</v>
      </c>
      <c r="W25" s="306">
        <f t="shared" si="1"/>
        <v>0</v>
      </c>
      <c r="X25" s="306">
        <f t="shared" ca="1" si="2"/>
        <v>-1651.693688225191</v>
      </c>
      <c r="Y25" s="306">
        <v>0</v>
      </c>
      <c r="Z25" s="306">
        <v>0</v>
      </c>
      <c r="AA25" s="308">
        <f ca="1">-SUM(W25,X25/OFFSET(GridFootprintbyYear,$A25-$A$19,0)*EF_PurchElec_MTperMWh,Z25)*OFFSET(ExposureCalculations!Price_GHG_Allowance_2010,A25-$A$19,0)*ExposureCalculations!D22</f>
        <v>19388.416491967022</v>
      </c>
      <c r="AB25" s="308">
        <f t="shared" ca="1" si="3"/>
        <v>91096.31959144611</v>
      </c>
      <c r="AC25" s="308">
        <v>0</v>
      </c>
      <c r="AD25" s="819">
        <f t="shared" ca="1" si="4"/>
        <v>85688.898422147613</v>
      </c>
      <c r="AE25" s="308">
        <v>0</v>
      </c>
      <c r="AF25" s="819">
        <f t="shared" ca="1" si="5"/>
        <v>16735.435999999998</v>
      </c>
      <c r="AG25" s="308">
        <v>0</v>
      </c>
      <c r="AH25" s="308">
        <v>0</v>
      </c>
      <c r="AI25" s="308">
        <v>0</v>
      </c>
      <c r="AJ25" s="308">
        <f t="shared" ca="1" si="6"/>
        <v>193520.65401359371</v>
      </c>
      <c r="AK25" s="309">
        <v>0</v>
      </c>
      <c r="AL25" s="309">
        <f t="shared" si="26"/>
        <v>-753244.375</v>
      </c>
      <c r="AM25" s="309">
        <f t="shared" si="18"/>
        <v>-753244.375</v>
      </c>
      <c r="AN25" s="310">
        <v>0</v>
      </c>
      <c r="AO25" s="310">
        <v>0</v>
      </c>
      <c r="AP25" s="310">
        <f t="shared" si="19"/>
        <v>0</v>
      </c>
      <c r="AQ25" s="309">
        <v>0</v>
      </c>
      <c r="AR25" s="311">
        <f t="shared" ca="1" si="7"/>
        <v>-540335.30449443928</v>
      </c>
      <c r="AS25" s="870">
        <f t="shared" ca="1" si="20"/>
        <v>-540335.30449443928</v>
      </c>
      <c r="AT25" s="822"/>
      <c r="AU25" s="878"/>
      <c r="AV25" s="35"/>
      <c r="AW25" s="879"/>
      <c r="AX25" s="35"/>
      <c r="AY25" s="880"/>
    </row>
    <row r="26" spans="1:51">
      <c r="A26" s="303">
        <v>2017</v>
      </c>
      <c r="B26" s="304">
        <f ca="1">IF($D$3="BAU",UtilityDemand!C19,INDIRECT($D$3&amp;"!B"&amp;ROW(A26))+INDIRECT($D$3&amp;"!D"&amp;ROW(A26)))</f>
        <v>120900.6940794487</v>
      </c>
      <c r="C26" s="305">
        <f t="shared" ca="1" si="21"/>
        <v>-1.7206270119780986E-2</v>
      </c>
      <c r="D26" s="306">
        <f t="shared" ca="1" si="22"/>
        <v>-2080.25</v>
      </c>
      <c r="E26" s="304">
        <f ca="1">IF($D$3="BAU",UtilityDemand!E19,INDIRECT($D$3&amp;"!E"&amp;ROW(D26))+INDIRECT($D$3&amp;"!G"&amp;ROW(D26)))</f>
        <v>605497.35961388052</v>
      </c>
      <c r="F26" s="305">
        <f t="shared" ca="1" si="23"/>
        <v>-2.4827926185485839E-2</v>
      </c>
      <c r="G26" s="306">
        <f t="shared" ca="1" si="8"/>
        <v>-15033.24375</v>
      </c>
      <c r="H26" s="304">
        <f ca="1">IF($D$3="BAU",UtilityDemand!G19,INDIRECT($D$3&amp;"!H"&amp;ROW(G26))+INDIRECT($D$3&amp;"!J"&amp;ROW(G26)))</f>
        <v>171252.78167965385</v>
      </c>
      <c r="I26" s="305">
        <f t="shared" ca="1" si="24"/>
        <v>-1.0109336520083435E-2</v>
      </c>
      <c r="J26" s="306">
        <f t="shared" ca="1" si="9"/>
        <v>-1731.252</v>
      </c>
      <c r="K26" s="307">
        <f t="shared" ca="1" si="10"/>
        <v>118820.4440794487</v>
      </c>
      <c r="L26" s="307">
        <f t="shared" si="11"/>
        <v>0</v>
      </c>
      <c r="M26" s="307">
        <v>0</v>
      </c>
      <c r="N26" s="307">
        <f t="shared" ca="1" si="12"/>
        <v>118820.4440794487</v>
      </c>
      <c r="O26" s="1494">
        <f t="shared" ca="1" si="13"/>
        <v>590464.11586388049</v>
      </c>
      <c r="P26" s="306">
        <f t="shared" si="25"/>
        <v>0</v>
      </c>
      <c r="Q26" s="306">
        <v>0</v>
      </c>
      <c r="R26" s="306">
        <f t="shared" ca="1" si="14"/>
        <v>590464.11586388049</v>
      </c>
      <c r="S26" s="818">
        <f t="shared" ca="1" si="15"/>
        <v>169521.52967965385</v>
      </c>
      <c r="T26" s="818">
        <f t="shared" si="16"/>
        <v>0</v>
      </c>
      <c r="U26" s="818">
        <v>0</v>
      </c>
      <c r="V26" s="818">
        <f t="shared" ca="1" si="17"/>
        <v>169521.52967965385</v>
      </c>
      <c r="W26" s="306">
        <f t="shared" si="1"/>
        <v>0</v>
      </c>
      <c r="X26" s="306">
        <f t="shared" ca="1" si="2"/>
        <v>-3303.3873764503819</v>
      </c>
      <c r="Y26" s="306">
        <v>0</v>
      </c>
      <c r="Z26" s="306">
        <v>0</v>
      </c>
      <c r="AA26" s="308">
        <f ca="1">-SUM(W26,X26/OFFSET(GridFootprintbyYear,$A26-$A$19,0)*EF_PurchElec_MTperMWh,Z26)*OFFSET(ExposureCalculations!Price_GHG_Allowance_2010,A26-$A$19,0)*ExposureCalculations!D23</f>
        <v>44202.156303676245</v>
      </c>
      <c r="AB26" s="308">
        <f t="shared" ca="1" si="3"/>
        <v>183103.60237880665</v>
      </c>
      <c r="AC26" s="308">
        <v>0</v>
      </c>
      <c r="AD26" s="819">
        <f t="shared" ca="1" si="4"/>
        <v>172234.6858285167</v>
      </c>
      <c r="AE26" s="308">
        <v>0</v>
      </c>
      <c r="AF26" s="819">
        <f t="shared" ca="1" si="5"/>
        <v>33470.871999999996</v>
      </c>
      <c r="AG26" s="308">
        <v>0</v>
      </c>
      <c r="AH26" s="308">
        <v>0</v>
      </c>
      <c r="AI26" s="308">
        <v>0</v>
      </c>
      <c r="AJ26" s="308">
        <f t="shared" ca="1" si="6"/>
        <v>388809.16020732332</v>
      </c>
      <c r="AK26" s="309">
        <v>0</v>
      </c>
      <c r="AL26" s="309">
        <f t="shared" si="26"/>
        <v>-753244.375</v>
      </c>
      <c r="AM26" s="309">
        <f t="shared" si="18"/>
        <v>-753244.375</v>
      </c>
      <c r="AN26" s="310">
        <v>0</v>
      </c>
      <c r="AO26" s="310">
        <v>0</v>
      </c>
      <c r="AP26" s="310">
        <f t="shared" si="19"/>
        <v>0</v>
      </c>
      <c r="AQ26" s="309">
        <v>0</v>
      </c>
      <c r="AR26" s="311">
        <f t="shared" ca="1" si="7"/>
        <v>-320233.05848900042</v>
      </c>
      <c r="AS26" s="870">
        <f t="shared" ca="1" si="20"/>
        <v>-860568.3629834397</v>
      </c>
      <c r="AT26" s="822"/>
      <c r="AU26" s="878" t="s">
        <v>1461</v>
      </c>
      <c r="AV26" s="35"/>
      <c r="AW26" s="879"/>
      <c r="AX26" s="35"/>
      <c r="AY26" s="880"/>
    </row>
    <row r="27" spans="1:51">
      <c r="A27" s="303">
        <v>2018</v>
      </c>
      <c r="B27" s="304">
        <f ca="1">IF($D$3="BAU",UtilityDemand!C20,INDIRECT($D$3&amp;"!B"&amp;ROW(A27))+INDIRECT($D$3&amp;"!D"&amp;ROW(A27)))</f>
        <v>120790.74153917041</v>
      </c>
      <c r="C27" s="305">
        <f t="shared" ca="1" si="21"/>
        <v>-2.5832898782131533E-2</v>
      </c>
      <c r="D27" s="306">
        <f t="shared" ca="1" si="22"/>
        <v>-3120.375</v>
      </c>
      <c r="E27" s="304">
        <f ca="1">IF($D$3="BAU",UtilityDemand!E20,INDIRECT($D$3&amp;"!E"&amp;ROW(D27))+INDIRECT($D$3&amp;"!G"&amp;ROW(D27)))</f>
        <v>604820.90569061553</v>
      </c>
      <c r="F27" s="305">
        <f t="shared" ca="1" si="23"/>
        <v>-3.7283541975539694E-2</v>
      </c>
      <c r="G27" s="306">
        <f t="shared" ca="1" si="8"/>
        <v>-22549.865624999999</v>
      </c>
      <c r="H27" s="304">
        <f ca="1">IF($D$3="BAU",UtilityDemand!G20,INDIRECT($D$3&amp;"!H"&amp;ROW(G27))+INDIRECT($D$3&amp;"!J"&amp;ROW(G27)))</f>
        <v>172092.18442949394</v>
      </c>
      <c r="I27" s="305">
        <f t="shared" ca="1" si="24"/>
        <v>-1.5090040309552459E-2</v>
      </c>
      <c r="J27" s="306">
        <f t="shared" ca="1" si="9"/>
        <v>-2596.8779999999997</v>
      </c>
      <c r="K27" s="307">
        <f t="shared" ca="1" si="10"/>
        <v>117670.36653917041</v>
      </c>
      <c r="L27" s="307">
        <f t="shared" si="11"/>
        <v>0</v>
      </c>
      <c r="M27" s="307">
        <v>0</v>
      </c>
      <c r="N27" s="307">
        <f t="shared" ca="1" si="12"/>
        <v>117670.36653917041</v>
      </c>
      <c r="O27" s="1494">
        <f t="shared" ca="1" si="13"/>
        <v>582271.04006561555</v>
      </c>
      <c r="P27" s="306">
        <f t="shared" si="25"/>
        <v>0</v>
      </c>
      <c r="Q27" s="306">
        <v>0</v>
      </c>
      <c r="R27" s="306">
        <f t="shared" ca="1" si="14"/>
        <v>582271.04006561555</v>
      </c>
      <c r="S27" s="818">
        <f t="shared" ca="1" si="15"/>
        <v>169495.30642949394</v>
      </c>
      <c r="T27" s="818">
        <f t="shared" si="16"/>
        <v>0</v>
      </c>
      <c r="U27" s="818">
        <v>0</v>
      </c>
      <c r="V27" s="818">
        <f t="shared" ca="1" si="17"/>
        <v>169495.30642949394</v>
      </c>
      <c r="W27" s="306">
        <f t="shared" si="1"/>
        <v>0</v>
      </c>
      <c r="X27" s="306">
        <f t="shared" ca="1" si="2"/>
        <v>-4955.0810646755726</v>
      </c>
      <c r="Y27" s="306">
        <v>0</v>
      </c>
      <c r="Z27" s="306">
        <v>0</v>
      </c>
      <c r="AA27" s="308">
        <f ca="1">-SUM(W27,X27/OFFSET(GridFootprintbyYear,$A27-$A$19,0)*EF_PurchElec_MTperMWh,Z27)*OFFSET(ExposureCalculations!Price_GHG_Allowance_2010,A27-$A$19,0)*ExposureCalculations!D24</f>
        <v>74792.60490484738</v>
      </c>
      <c r="AB27" s="308">
        <f t="shared" ca="1" si="3"/>
        <v>276028.68058605096</v>
      </c>
      <c r="AC27" s="308">
        <v>0</v>
      </c>
      <c r="AD27" s="819">
        <f t="shared" ca="1" si="4"/>
        <v>259643.78888648888</v>
      </c>
      <c r="AE27" s="308">
        <v>0</v>
      </c>
      <c r="AF27" s="819">
        <f t="shared" ca="1" si="5"/>
        <v>50206.30799999999</v>
      </c>
      <c r="AG27" s="308">
        <v>0</v>
      </c>
      <c r="AH27" s="308">
        <v>0</v>
      </c>
      <c r="AI27" s="308">
        <v>0</v>
      </c>
      <c r="AJ27" s="308">
        <f t="shared" ca="1" si="6"/>
        <v>585878.7774725398</v>
      </c>
      <c r="AK27" s="309">
        <v>0</v>
      </c>
      <c r="AL27" s="309">
        <f t="shared" si="26"/>
        <v>-753244.375</v>
      </c>
      <c r="AM27" s="309">
        <f t="shared" si="18"/>
        <v>-753244.375</v>
      </c>
      <c r="AN27" s="310">
        <v>0</v>
      </c>
      <c r="AO27" s="310">
        <v>0</v>
      </c>
      <c r="AP27" s="310">
        <f t="shared" si="19"/>
        <v>0</v>
      </c>
      <c r="AQ27" s="309">
        <v>0</v>
      </c>
      <c r="AR27" s="311">
        <f t="shared" ca="1" si="7"/>
        <v>-92572.992622612859</v>
      </c>
      <c r="AS27" s="870">
        <f t="shared" ca="1" si="20"/>
        <v>-953141.35560605256</v>
      </c>
      <c r="AT27" s="822"/>
      <c r="AU27" s="878"/>
      <c r="AV27" s="35"/>
      <c r="AW27" s="879"/>
      <c r="AX27" s="35"/>
      <c r="AY27" s="880"/>
    </row>
    <row r="28" spans="1:51">
      <c r="A28" s="303">
        <v>2019</v>
      </c>
      <c r="B28" s="304">
        <f ca="1">IF($D$3="BAU",UtilityDemand!C21,INDIRECT($D$3&amp;"!B"&amp;ROW(A28))+INDIRECT($D$3&amp;"!D"&amp;ROW(A28)))</f>
        <v>120679.43956922642</v>
      </c>
      <c r="C28" s="305">
        <f t="shared" ca="1" si="21"/>
        <v>-3.4475632426295574E-2</v>
      </c>
      <c r="D28" s="306">
        <f t="shared" ca="1" si="22"/>
        <v>-4160.5</v>
      </c>
      <c r="E28" s="304">
        <f ca="1">IF($D$3="BAU",UtilityDemand!E21,INDIRECT($D$3&amp;"!E"&amp;ROW(D28))+INDIRECT($D$3&amp;"!G"&amp;ROW(D28)))</f>
        <v>604144.45176735055</v>
      </c>
      <c r="F28" s="305">
        <f t="shared" ca="1" si="23"/>
        <v>-4.976705059865099E-2</v>
      </c>
      <c r="G28" s="306">
        <f t="shared" ca="1" si="8"/>
        <v>-30066.487499999999</v>
      </c>
      <c r="H28" s="304">
        <f ca="1">IF($D$3="BAU",UtilityDemand!G21,INDIRECT($D$3&amp;"!H"&amp;ROW(G28))+INDIRECT($D$3&amp;"!J"&amp;ROW(G28)))</f>
        <v>172930.23774966836</v>
      </c>
      <c r="I28" s="305">
        <f t="shared" ca="1" si="24"/>
        <v>-2.002254808099135E-2</v>
      </c>
      <c r="J28" s="306">
        <f t="shared" ca="1" si="9"/>
        <v>-3462.5039999999999</v>
      </c>
      <c r="K28" s="307">
        <f t="shared" ca="1" si="10"/>
        <v>116518.93956922642</v>
      </c>
      <c r="L28" s="307">
        <f t="shared" si="11"/>
        <v>0</v>
      </c>
      <c r="M28" s="307">
        <v>0</v>
      </c>
      <c r="N28" s="307">
        <f t="shared" ca="1" si="12"/>
        <v>116518.93956922642</v>
      </c>
      <c r="O28" s="1494">
        <f t="shared" ca="1" si="13"/>
        <v>574077.9642673505</v>
      </c>
      <c r="P28" s="306">
        <f t="shared" si="25"/>
        <v>0</v>
      </c>
      <c r="Q28" s="306">
        <v>0</v>
      </c>
      <c r="R28" s="306">
        <f t="shared" ca="1" si="14"/>
        <v>574077.9642673505</v>
      </c>
      <c r="S28" s="818">
        <f t="shared" ca="1" si="15"/>
        <v>169467.73374966838</v>
      </c>
      <c r="T28" s="818">
        <f t="shared" si="16"/>
        <v>0</v>
      </c>
      <c r="U28" s="818">
        <v>0</v>
      </c>
      <c r="V28" s="818">
        <f t="shared" ca="1" si="17"/>
        <v>169467.73374966838</v>
      </c>
      <c r="W28" s="306">
        <f t="shared" si="1"/>
        <v>0</v>
      </c>
      <c r="X28" s="306">
        <f t="shared" ca="1" si="2"/>
        <v>-6606.7747529007638</v>
      </c>
      <c r="Y28" s="306">
        <v>0</v>
      </c>
      <c r="Z28" s="306">
        <v>0</v>
      </c>
      <c r="AA28" s="308">
        <f ca="1">-SUM(W28,X28/OFFSET(GridFootprintbyYear,$A28-$A$19,0)*EF_PurchElec_MTperMWh,Z28)*OFFSET(ExposureCalculations!Price_GHG_Allowance_2010,A28-$A$19,0)*ExposureCalculations!D25</f>
        <v>111496.31981002005</v>
      </c>
      <c r="AB28" s="308">
        <f t="shared" ca="1" si="3"/>
        <v>369878.43198530836</v>
      </c>
      <c r="AC28" s="308">
        <v>0</v>
      </c>
      <c r="AD28" s="819">
        <f t="shared" ca="1" si="4"/>
        <v>347922.67710789514</v>
      </c>
      <c r="AE28" s="308">
        <v>0</v>
      </c>
      <c r="AF28" s="819">
        <f t="shared" ca="1" si="5"/>
        <v>66941.743999999992</v>
      </c>
      <c r="AG28" s="308">
        <v>0</v>
      </c>
      <c r="AH28" s="308">
        <v>0</v>
      </c>
      <c r="AI28" s="308">
        <v>0</v>
      </c>
      <c r="AJ28" s="308">
        <f t="shared" ca="1" si="6"/>
        <v>784742.85309320339</v>
      </c>
      <c r="AK28" s="309">
        <v>0</v>
      </c>
      <c r="AL28" s="309">
        <f t="shared" si="26"/>
        <v>-753244.375</v>
      </c>
      <c r="AM28" s="309">
        <f t="shared" si="18"/>
        <v>-753244.375</v>
      </c>
      <c r="AN28" s="310">
        <v>0</v>
      </c>
      <c r="AO28" s="310">
        <v>0</v>
      </c>
      <c r="AP28" s="310">
        <f t="shared" si="19"/>
        <v>0</v>
      </c>
      <c r="AQ28" s="309">
        <v>0</v>
      </c>
      <c r="AR28" s="311">
        <f t="shared" ca="1" si="7"/>
        <v>142994.79790322343</v>
      </c>
      <c r="AS28" s="870">
        <f t="shared" ca="1" si="20"/>
        <v>-810146.55770282913</v>
      </c>
      <c r="AT28" s="822"/>
      <c r="AU28" s="878"/>
      <c r="AV28" s="35"/>
      <c r="AW28" s="879"/>
      <c r="AX28" s="35"/>
      <c r="AY28" s="880"/>
    </row>
    <row r="29" spans="1:51">
      <c r="A29" s="303">
        <v>2020</v>
      </c>
      <c r="B29" s="304">
        <f ca="1">IF($D$3="BAU",UtilityDemand!C22,INDIRECT($D$3&amp;"!B"&amp;ROW(A29))+INDIRECT($D$3&amp;"!D"&amp;ROW(A29)))</f>
        <v>120566.83104425845</v>
      </c>
      <c r="C29" s="305">
        <f t="shared" ca="1" si="21"/>
        <v>-4.3134790513743547E-2</v>
      </c>
      <c r="D29" s="306">
        <f t="shared" ca="1" si="22"/>
        <v>-5200.625</v>
      </c>
      <c r="E29" s="304">
        <f ca="1">IF($D$3="BAU",UtilityDemand!E22,INDIRECT($D$3&amp;"!E"&amp;ROW(D29))+INDIRECT($D$3&amp;"!G"&amp;ROW(D29)))</f>
        <v>603467.99784408556</v>
      </c>
      <c r="F29" s="305">
        <f t="shared" ca="1" si="23"/>
        <v>-6.2278545853744052E-2</v>
      </c>
      <c r="G29" s="306">
        <f t="shared" ca="1" si="8"/>
        <v>-37583.109375</v>
      </c>
      <c r="H29" s="304">
        <f ca="1">IF($D$3="BAU",UtilityDemand!G22,INDIRECT($D$3&amp;"!H"&amp;ROW(G29))+INDIRECT($D$3&amp;"!J"&amp;ROW(G29)))</f>
        <v>173766.98451481873</v>
      </c>
      <c r="I29" s="305">
        <f t="shared" ca="1" si="24"/>
        <v>-2.4907665930238319E-2</v>
      </c>
      <c r="J29" s="306">
        <f t="shared" ca="1" si="9"/>
        <v>-4328.13</v>
      </c>
      <c r="K29" s="307">
        <f t="shared" ca="1" si="10"/>
        <v>115366.20604425845</v>
      </c>
      <c r="L29" s="307">
        <f t="shared" si="11"/>
        <v>0</v>
      </c>
      <c r="M29" s="307">
        <v>0</v>
      </c>
      <c r="N29" s="307">
        <f t="shared" ca="1" si="12"/>
        <v>115366.20604425845</v>
      </c>
      <c r="O29" s="1494">
        <f t="shared" ca="1" si="13"/>
        <v>565884.88846908556</v>
      </c>
      <c r="P29" s="306">
        <f t="shared" si="25"/>
        <v>0</v>
      </c>
      <c r="Q29" s="306">
        <v>0</v>
      </c>
      <c r="R29" s="306">
        <f t="shared" ca="1" si="14"/>
        <v>565884.88846908556</v>
      </c>
      <c r="S29" s="818">
        <f t="shared" ca="1" si="15"/>
        <v>169438.85451481873</v>
      </c>
      <c r="T29" s="818">
        <f t="shared" si="16"/>
        <v>0</v>
      </c>
      <c r="U29" s="818">
        <v>0</v>
      </c>
      <c r="V29" s="818">
        <f t="shared" ca="1" si="17"/>
        <v>169438.85451481873</v>
      </c>
      <c r="W29" s="306">
        <f t="shared" si="1"/>
        <v>0</v>
      </c>
      <c r="X29" s="306">
        <f t="shared" ca="1" si="2"/>
        <v>-8258.468441125955</v>
      </c>
      <c r="Y29" s="306">
        <v>0</v>
      </c>
      <c r="Z29" s="306">
        <v>0</v>
      </c>
      <c r="AA29" s="308">
        <f ca="1">-SUM(W29,X29/OFFSET(GridFootprintbyYear,$A29-$A$19,0)*EF_PurchElec_MTperMWh,Z29)*OFFSET(ExposureCalculations!Price_GHG_Allowance_2010,A29-$A$19,0)*ExposureCalculations!D26</f>
        <v>154635.23024530828</v>
      </c>
      <c r="AB29" s="308">
        <f t="shared" ca="1" si="3"/>
        <v>464659.78018154344</v>
      </c>
      <c r="AC29" s="308">
        <v>0</v>
      </c>
      <c r="AD29" s="819">
        <f t="shared" ca="1" si="4"/>
        <v>437077.86311679316</v>
      </c>
      <c r="AE29" s="308">
        <v>0</v>
      </c>
      <c r="AF29" s="819">
        <f t="shared" ca="1" si="5"/>
        <v>83677.179999999993</v>
      </c>
      <c r="AG29" s="308">
        <v>0</v>
      </c>
      <c r="AH29" s="308">
        <v>0</v>
      </c>
      <c r="AI29" s="308">
        <v>0</v>
      </c>
      <c r="AJ29" s="308">
        <f t="shared" ca="1" si="6"/>
        <v>985414.82329833647</v>
      </c>
      <c r="AK29" s="309">
        <v>0</v>
      </c>
      <c r="AL29" s="309">
        <f t="shared" si="26"/>
        <v>-753244.375</v>
      </c>
      <c r="AM29" s="309">
        <f t="shared" si="18"/>
        <v>-753244.375</v>
      </c>
      <c r="AN29" s="310">
        <v>0</v>
      </c>
      <c r="AO29" s="310">
        <v>0</v>
      </c>
      <c r="AP29" s="310">
        <f t="shared" si="19"/>
        <v>0</v>
      </c>
      <c r="AQ29" s="309">
        <v>0</v>
      </c>
      <c r="AR29" s="311">
        <f t="shared" ca="1" si="7"/>
        <v>386805.67854364472</v>
      </c>
      <c r="AS29" s="870">
        <f t="shared" ca="1" si="20"/>
        <v>-423340.87915918441</v>
      </c>
      <c r="AT29" s="822"/>
      <c r="AU29" s="878"/>
      <c r="AV29" s="35"/>
      <c r="AW29" s="879"/>
      <c r="AX29" s="35"/>
      <c r="AY29" s="880"/>
    </row>
    <row r="30" spans="1:51">
      <c r="A30" s="303">
        <v>2021</v>
      </c>
      <c r="B30" s="304">
        <f ca="1">IF($D$3="BAU",UtilityDemand!C23,INDIRECT($D$3&amp;"!B"&amp;ROW(A30))+INDIRECT($D$3&amp;"!D"&amp;ROW(A30)))</f>
        <v>120452.9570416346</v>
      </c>
      <c r="C30" s="305">
        <f t="shared" ca="1" si="21"/>
        <v>-5.1810683218369499E-2</v>
      </c>
      <c r="D30" s="306">
        <f t="shared" ca="1" si="22"/>
        <v>-6240.75</v>
      </c>
      <c r="E30" s="304">
        <f ca="1">IF($D$3="BAU",UtilityDemand!E23,INDIRECT($D$3&amp;"!E"&amp;ROW(D30))+INDIRECT($D$3&amp;"!G"&amp;ROW(D30)))</f>
        <v>602791.54392082081</v>
      </c>
      <c r="F30" s="305">
        <f t="shared" ca="1" si="23"/>
        <v>-7.4818121960788547E-2</v>
      </c>
      <c r="G30" s="306">
        <f t="shared" ca="1" si="8"/>
        <v>-45099.731249999997</v>
      </c>
      <c r="H30" s="304">
        <f ca="1">IF($D$3="BAU",UtilityDemand!G23,INDIRECT($D$3&amp;"!H"&amp;ROW(G30))+INDIRECT($D$3&amp;"!J"&amp;ROW(G30)))</f>
        <v>174602.46580231324</v>
      </c>
      <c r="I30" s="305">
        <f t="shared" ca="1" si="24"/>
        <v>-2.9746177845394382E-2</v>
      </c>
      <c r="J30" s="306">
        <f t="shared" ca="1" si="9"/>
        <v>-5193.7560000000003</v>
      </c>
      <c r="K30" s="307">
        <f t="shared" ca="1" si="10"/>
        <v>114212.2070416346</v>
      </c>
      <c r="L30" s="307">
        <f t="shared" si="11"/>
        <v>0</v>
      </c>
      <c r="M30" s="307">
        <v>0</v>
      </c>
      <c r="N30" s="307">
        <f t="shared" ca="1" si="12"/>
        <v>114212.2070416346</v>
      </c>
      <c r="O30" s="1494">
        <f t="shared" ca="1" si="13"/>
        <v>557691.81267082086</v>
      </c>
      <c r="P30" s="306">
        <f t="shared" si="25"/>
        <v>0</v>
      </c>
      <c r="Q30" s="306">
        <v>0</v>
      </c>
      <c r="R30" s="306">
        <f t="shared" ca="1" si="14"/>
        <v>557691.81267082086</v>
      </c>
      <c r="S30" s="818">
        <f t="shared" ca="1" si="15"/>
        <v>169408.70980231324</v>
      </c>
      <c r="T30" s="818">
        <f t="shared" si="16"/>
        <v>0</v>
      </c>
      <c r="U30" s="818">
        <v>0</v>
      </c>
      <c r="V30" s="818">
        <f t="shared" ca="1" si="17"/>
        <v>169408.70980231324</v>
      </c>
      <c r="W30" s="306">
        <f t="shared" si="1"/>
        <v>0</v>
      </c>
      <c r="X30" s="306">
        <f t="shared" ca="1" si="2"/>
        <v>-9910.1621293511453</v>
      </c>
      <c r="Y30" s="306">
        <v>0</v>
      </c>
      <c r="Z30" s="306">
        <v>0</v>
      </c>
      <c r="AA30" s="308">
        <f ca="1">-SUM(W30,X30/OFFSET(GridFootprintbyYear,$A30-$A$19,0)*EF_PurchElec_MTperMWh,Z30)*OFFSET(ExposureCalculations!Price_GHG_Allowance_2010,A30-$A$19,0)*ExposureCalculations!D27</f>
        <v>206696.16649293559</v>
      </c>
      <c r="AB30" s="308">
        <f t="shared" ca="1" si="3"/>
        <v>560379.69489894144</v>
      </c>
      <c r="AC30" s="308">
        <v>0</v>
      </c>
      <c r="AD30" s="819">
        <f t="shared" ca="1" si="4"/>
        <v>527115.90291885252</v>
      </c>
      <c r="AE30" s="308">
        <v>0</v>
      </c>
      <c r="AF30" s="819">
        <f t="shared" ca="1" si="5"/>
        <v>100412.61599999999</v>
      </c>
      <c r="AG30" s="308">
        <v>0</v>
      </c>
      <c r="AH30" s="308">
        <v>0</v>
      </c>
      <c r="AI30" s="308">
        <v>0</v>
      </c>
      <c r="AJ30" s="308">
        <f t="shared" ca="1" si="6"/>
        <v>1187908.2138177939</v>
      </c>
      <c r="AK30" s="309">
        <v>0</v>
      </c>
      <c r="AL30" s="309">
        <f t="shared" si="26"/>
        <v>-753244.375</v>
      </c>
      <c r="AM30" s="309">
        <f t="shared" si="18"/>
        <v>-753244.375</v>
      </c>
      <c r="AN30" s="310">
        <v>0</v>
      </c>
      <c r="AO30" s="310">
        <v>0</v>
      </c>
      <c r="AP30" s="310">
        <f t="shared" si="19"/>
        <v>0</v>
      </c>
      <c r="AQ30" s="309">
        <v>0</v>
      </c>
      <c r="AR30" s="311">
        <f t="shared" ca="1" si="7"/>
        <v>641360.00531072938</v>
      </c>
      <c r="AS30" s="870">
        <f t="shared" ca="1" si="20"/>
        <v>218019.12615154497</v>
      </c>
      <c r="AT30" s="822"/>
      <c r="AU30" s="878"/>
      <c r="AV30" s="35"/>
      <c r="AW30" s="879"/>
      <c r="AX30" s="35"/>
      <c r="AY30" s="880"/>
    </row>
    <row r="31" spans="1:51">
      <c r="A31" s="303">
        <v>2022</v>
      </c>
      <c r="B31" s="304">
        <f ca="1">IF($D$3="BAU",UtilityDemand!C24,INDIRECT($D$3&amp;"!B"&amp;ROW(A31))+INDIRECT($D$3&amp;"!D"&amp;ROW(A31)))</f>
        <v>120337.85693464843</v>
      </c>
      <c r="C31" s="305">
        <f t="shared" ca="1" si="21"/>
        <v>-6.0503611959401987E-2</v>
      </c>
      <c r="D31" s="306">
        <f t="shared" ca="1" si="22"/>
        <v>-7280.875</v>
      </c>
      <c r="E31" s="304">
        <f ca="1">IF($D$3="BAU",UtilityDemand!E24,INDIRECT($D$3&amp;"!E"&amp;ROW(D31))+INDIRECT($D$3&amp;"!G"&amp;ROW(D31)))</f>
        <v>602115.08999755583</v>
      </c>
      <c r="F31" s="305">
        <f t="shared" ca="1" si="23"/>
        <v>-8.7385873563164781E-2</v>
      </c>
      <c r="G31" s="306">
        <f t="shared" ca="1" si="8"/>
        <v>-52616.353124999994</v>
      </c>
      <c r="H31" s="304">
        <f ca="1">IF($D$3="BAU",UtilityDemand!G24,INDIRECT($D$3&amp;"!H"&amp;ROW(G31))+INDIRECT($D$3&amp;"!J"&amp;ROW(G31)))</f>
        <v>175436.7209854454</v>
      </c>
      <c r="I31" s="305">
        <f t="shared" ca="1" si="24"/>
        <v>-3.4538846633497551E-2</v>
      </c>
      <c r="J31" s="306">
        <f t="shared" ca="1" si="9"/>
        <v>-6059.3820000000005</v>
      </c>
      <c r="K31" s="307">
        <f t="shared" ca="1" si="10"/>
        <v>113056.98193464843</v>
      </c>
      <c r="L31" s="307">
        <f t="shared" si="11"/>
        <v>0</v>
      </c>
      <c r="M31" s="307">
        <v>0</v>
      </c>
      <c r="N31" s="307">
        <f t="shared" ca="1" si="12"/>
        <v>113056.98193464843</v>
      </c>
      <c r="O31" s="1494">
        <f t="shared" ca="1" si="13"/>
        <v>549498.7368725558</v>
      </c>
      <c r="P31" s="306">
        <f t="shared" si="25"/>
        <v>0</v>
      </c>
      <c r="Q31" s="306">
        <v>0</v>
      </c>
      <c r="R31" s="306">
        <f t="shared" ca="1" si="14"/>
        <v>549498.7368725558</v>
      </c>
      <c r="S31" s="818">
        <f t="shared" ca="1" si="15"/>
        <v>169377.33898544539</v>
      </c>
      <c r="T31" s="818">
        <f t="shared" si="16"/>
        <v>0</v>
      </c>
      <c r="U31" s="818">
        <v>0</v>
      </c>
      <c r="V31" s="818">
        <f t="shared" ca="1" si="17"/>
        <v>169377.33898544539</v>
      </c>
      <c r="W31" s="306">
        <f t="shared" si="1"/>
        <v>0</v>
      </c>
      <c r="X31" s="306">
        <f t="shared" ca="1" si="2"/>
        <v>-11561.855817576336</v>
      </c>
      <c r="Y31" s="306">
        <v>0</v>
      </c>
      <c r="Z31" s="306">
        <v>0</v>
      </c>
      <c r="AA31" s="308">
        <f ca="1">-SUM(W31,X31/OFFSET(GridFootprintbyYear,$A31-$A$19,0)*EF_PurchElec_MTperMWh,Z31)*OFFSET(ExposureCalculations!Price_GHG_Allowance_2010,A31-$A$19,0)*ExposureCalculations!D28</f>
        <v>266753.23150451784</v>
      </c>
      <c r="AB31" s="308">
        <f t="shared" ca="1" si="3"/>
        <v>657045.19226900849</v>
      </c>
      <c r="AC31" s="308">
        <v>0</v>
      </c>
      <c r="AD31" s="819">
        <f t="shared" ca="1" si="4"/>
        <v>618043.39617235435</v>
      </c>
      <c r="AE31" s="308">
        <v>0</v>
      </c>
      <c r="AF31" s="819">
        <f t="shared" ca="1" si="5"/>
        <v>117148.052</v>
      </c>
      <c r="AG31" s="308">
        <v>0</v>
      </c>
      <c r="AH31" s="308">
        <v>0</v>
      </c>
      <c r="AI31" s="308">
        <v>0</v>
      </c>
      <c r="AJ31" s="308">
        <f t="shared" ca="1" si="6"/>
        <v>1392236.6404413627</v>
      </c>
      <c r="AK31" s="309">
        <v>0</v>
      </c>
      <c r="AL31" s="309">
        <f t="shared" si="26"/>
        <v>-753244.375</v>
      </c>
      <c r="AM31" s="309">
        <f t="shared" si="18"/>
        <v>-753244.375</v>
      </c>
      <c r="AN31" s="310">
        <v>0</v>
      </c>
      <c r="AO31" s="310">
        <v>0</v>
      </c>
      <c r="AP31" s="310">
        <f t="shared" si="19"/>
        <v>0</v>
      </c>
      <c r="AQ31" s="309">
        <v>0</v>
      </c>
      <c r="AR31" s="311">
        <f t="shared" ca="1" si="7"/>
        <v>905745.49694588059</v>
      </c>
      <c r="AS31" s="870">
        <f t="shared" ca="1" si="20"/>
        <v>1123764.6230974256</v>
      </c>
      <c r="AT31" s="822"/>
      <c r="AU31" s="878"/>
      <c r="AV31" s="35"/>
      <c r="AW31" s="879"/>
      <c r="AX31" s="35"/>
      <c r="AY31" s="880"/>
    </row>
    <row r="32" spans="1:51">
      <c r="A32" s="303">
        <v>2023</v>
      </c>
      <c r="B32" s="304">
        <f ca="1">IF($D$3="BAU",UtilityDemand!C25,INDIRECT($D$3&amp;"!B"&amp;ROW(A32))+INDIRECT($D$3&amp;"!D"&amp;ROW(A32)))</f>
        <v>120221.56847997775</v>
      </c>
      <c r="C32" s="305">
        <f t="shared" ca="1" si="21"/>
        <v>-6.9213869900439845E-2</v>
      </c>
      <c r="D32" s="306">
        <f t="shared" ca="1" si="22"/>
        <v>-8321</v>
      </c>
      <c r="E32" s="304">
        <f ca="1">IF($D$3="BAU",UtilityDemand!E25,INDIRECT($D$3&amp;"!E"&amp;ROW(D32))+INDIRECT($D$3&amp;"!G"&amp;ROW(D32)))</f>
        <v>601438.63607429084</v>
      </c>
      <c r="F32" s="305">
        <f t="shared" ca="1" si="23"/>
        <v>-9.9981895730044609E-2</v>
      </c>
      <c r="G32" s="306">
        <f t="shared" ca="1" si="8"/>
        <v>-60132.974999999991</v>
      </c>
      <c r="H32" s="304">
        <f ca="1">IF($D$3="BAU",UtilityDemand!G25,INDIRECT($D$3&amp;"!H"&amp;ROW(G32))+INDIRECT($D$3&amp;"!J"&amp;ROW(G32)))</f>
        <v>176269.78782089305</v>
      </c>
      <c r="I32" s="305">
        <f t="shared" ca="1" si="24"/>
        <v>-3.9286414794102269E-2</v>
      </c>
      <c r="J32" s="306">
        <f t="shared" ca="1" si="9"/>
        <v>-6925.0080000000007</v>
      </c>
      <c r="K32" s="307">
        <f t="shared" ca="1" si="10"/>
        <v>111900.56847997775</v>
      </c>
      <c r="L32" s="307">
        <f t="shared" si="11"/>
        <v>0</v>
      </c>
      <c r="M32" s="307">
        <v>0</v>
      </c>
      <c r="N32" s="307">
        <f t="shared" ca="1" si="12"/>
        <v>111900.56847997775</v>
      </c>
      <c r="O32" s="1494">
        <f t="shared" ca="1" si="13"/>
        <v>541305.66107429087</v>
      </c>
      <c r="P32" s="306">
        <f t="shared" si="25"/>
        <v>0</v>
      </c>
      <c r="Q32" s="306">
        <v>0</v>
      </c>
      <c r="R32" s="306">
        <f t="shared" ca="1" si="14"/>
        <v>541305.66107429087</v>
      </c>
      <c r="S32" s="818">
        <f t="shared" ca="1" si="15"/>
        <v>169344.77982089305</v>
      </c>
      <c r="T32" s="818">
        <f t="shared" si="16"/>
        <v>0</v>
      </c>
      <c r="U32" s="818">
        <v>0</v>
      </c>
      <c r="V32" s="818">
        <f t="shared" ca="1" si="17"/>
        <v>169344.77982089305</v>
      </c>
      <c r="W32" s="306">
        <f t="shared" si="1"/>
        <v>0</v>
      </c>
      <c r="X32" s="306">
        <f t="shared" ca="1" si="2"/>
        <v>-13213.549505801528</v>
      </c>
      <c r="Y32" s="306">
        <v>0</v>
      </c>
      <c r="Z32" s="306">
        <v>0</v>
      </c>
      <c r="AA32" s="308">
        <f ca="1">-SUM(W32,X32/OFFSET(GridFootprintbyYear,$A32-$A$19,0)*EF_PurchElec_MTperMWh,Z32)*OFFSET(ExposureCalculations!Price_GHG_Allowance_2010,A32-$A$19,0)*ExposureCalculations!D29</f>
        <v>335170.36168999283</v>
      </c>
      <c r="AB32" s="308">
        <f t="shared" ca="1" si="3"/>
        <v>754663.33512040402</v>
      </c>
      <c r="AC32" s="308">
        <v>0</v>
      </c>
      <c r="AD32" s="819">
        <f t="shared" ca="1" si="4"/>
        <v>709866.98646081833</v>
      </c>
      <c r="AE32" s="308">
        <v>0</v>
      </c>
      <c r="AF32" s="819">
        <f t="shared" ca="1" si="5"/>
        <v>133883.48800000001</v>
      </c>
      <c r="AG32" s="308">
        <v>0</v>
      </c>
      <c r="AH32" s="308">
        <v>0</v>
      </c>
      <c r="AI32" s="308">
        <v>0</v>
      </c>
      <c r="AJ32" s="308">
        <f t="shared" ca="1" si="6"/>
        <v>1598413.8095812225</v>
      </c>
      <c r="AK32" s="309">
        <v>0</v>
      </c>
      <c r="AL32" s="309">
        <f t="shared" si="26"/>
        <v>-753244.375</v>
      </c>
      <c r="AM32" s="309">
        <f t="shared" si="18"/>
        <v>-753244.375</v>
      </c>
      <c r="AN32" s="310">
        <v>0</v>
      </c>
      <c r="AO32" s="310">
        <v>0</v>
      </c>
      <c r="AP32" s="310">
        <f t="shared" si="19"/>
        <v>0</v>
      </c>
      <c r="AQ32" s="309">
        <v>0</v>
      </c>
      <c r="AR32" s="311">
        <f t="shared" ca="1" si="7"/>
        <v>1180339.7962712152</v>
      </c>
      <c r="AS32" s="870">
        <f t="shared" ca="1" si="20"/>
        <v>2304104.4193686405</v>
      </c>
      <c r="AT32" s="822"/>
      <c r="AU32" s="878"/>
      <c r="AV32" s="35"/>
      <c r="AW32" s="879"/>
      <c r="AX32" s="35"/>
      <c r="AY32" s="880"/>
    </row>
    <row r="33" spans="1:51">
      <c r="A33" s="303">
        <v>2024</v>
      </c>
      <c r="B33" s="304">
        <f ca="1">IF($D$3="BAU",UtilityDemand!C26,INDIRECT($D$3&amp;"!B"&amp;ROW(A33))+INDIRECT($D$3&amp;"!D"&amp;ROW(A33)))</f>
        <v>120104.12789981159</v>
      </c>
      <c r="C33" s="305">
        <f t="shared" ca="1" si="21"/>
        <v>-6.9281548815218141E-2</v>
      </c>
      <c r="D33" s="306">
        <f t="shared" ca="1" si="22"/>
        <v>-8321</v>
      </c>
      <c r="E33" s="304">
        <f ca="1">IF($D$3="BAU",UtilityDemand!E26,INDIRECT($D$3&amp;"!E"&amp;ROW(D33))+INDIRECT($D$3&amp;"!G"&amp;ROW(D33)))</f>
        <v>600762.18215102609</v>
      </c>
      <c r="F33" s="305">
        <f t="shared" ca="1" si="23"/>
        <v>-0.1000944746300344</v>
      </c>
      <c r="G33" s="306">
        <f t="shared" ca="1" si="8"/>
        <v>-60132.974999999991</v>
      </c>
      <c r="H33" s="304">
        <f ca="1">IF($D$3="BAU",UtilityDemand!G26,INDIRECT($D$3&amp;"!H"&amp;ROW(G33))+INDIRECT($D$3&amp;"!J"&amp;ROW(G33)))</f>
        <v>177101.70253084524</v>
      </c>
      <c r="I33" s="305">
        <f t="shared" ca="1" si="24"/>
        <v>-3.9101871416475482E-2</v>
      </c>
      <c r="J33" s="306">
        <f t="shared" ca="1" si="9"/>
        <v>-6925.0080000000007</v>
      </c>
      <c r="K33" s="307">
        <f t="shared" ca="1" si="10"/>
        <v>111783.12789981159</v>
      </c>
      <c r="L33" s="307">
        <f t="shared" si="11"/>
        <v>0</v>
      </c>
      <c r="M33" s="307">
        <v>0</v>
      </c>
      <c r="N33" s="307">
        <f t="shared" ca="1" si="12"/>
        <v>111783.12789981159</v>
      </c>
      <c r="O33" s="1494">
        <f t="shared" ca="1" si="13"/>
        <v>540629.20715102612</v>
      </c>
      <c r="P33" s="306">
        <f t="shared" si="25"/>
        <v>0</v>
      </c>
      <c r="Q33" s="306">
        <v>0</v>
      </c>
      <c r="R33" s="306">
        <f t="shared" ca="1" si="14"/>
        <v>540629.20715102612</v>
      </c>
      <c r="S33" s="818">
        <f t="shared" ca="1" si="15"/>
        <v>170176.69453084524</v>
      </c>
      <c r="T33" s="818">
        <f t="shared" si="16"/>
        <v>0</v>
      </c>
      <c r="U33" s="818">
        <v>0</v>
      </c>
      <c r="V33" s="818">
        <f t="shared" ca="1" si="17"/>
        <v>170176.69453084524</v>
      </c>
      <c r="W33" s="306">
        <f t="shared" si="1"/>
        <v>0</v>
      </c>
      <c r="X33" s="306">
        <f t="shared" ca="1" si="2"/>
        <v>-13213.549505801528</v>
      </c>
      <c r="Y33" s="306">
        <v>0</v>
      </c>
      <c r="Z33" s="306">
        <v>0</v>
      </c>
      <c r="AA33" s="308">
        <f ca="1">-SUM(W33,X33/OFFSET(GridFootprintbyYear,$A33-$A$19,0)*EF_PurchElec_MTperMWh,Z33)*OFFSET(ExposureCalculations!Price_GHG_Allowance_2010,A33-$A$19,0)*ExposureCalculations!D30</f>
        <v>366479.91950607003</v>
      </c>
      <c r="AB33" s="308">
        <f t="shared" ca="1" si="3"/>
        <v>758436.65179600602</v>
      </c>
      <c r="AC33" s="308">
        <v>0</v>
      </c>
      <c r="AD33" s="819">
        <f t="shared" ca="1" si="4"/>
        <v>713416.3213931222</v>
      </c>
      <c r="AE33" s="308">
        <v>0</v>
      </c>
      <c r="AF33" s="819">
        <f t="shared" ca="1" si="5"/>
        <v>133883.48800000001</v>
      </c>
      <c r="AG33" s="308">
        <v>0</v>
      </c>
      <c r="AH33" s="308">
        <v>0</v>
      </c>
      <c r="AI33" s="308">
        <v>0</v>
      </c>
      <c r="AJ33" s="308">
        <f t="shared" ca="1" si="6"/>
        <v>1605736.461189128</v>
      </c>
      <c r="AK33" s="309">
        <v>0</v>
      </c>
      <c r="AL33" s="309">
        <f t="shared" si="26"/>
        <v>0</v>
      </c>
      <c r="AM33" s="309">
        <f t="shared" si="18"/>
        <v>0</v>
      </c>
      <c r="AN33" s="310">
        <v>0</v>
      </c>
      <c r="AO33" s="310">
        <v>0</v>
      </c>
      <c r="AP33" s="310">
        <f t="shared" si="19"/>
        <v>0</v>
      </c>
      <c r="AQ33" s="309">
        <v>0</v>
      </c>
      <c r="AR33" s="311">
        <f t="shared" ca="1" si="7"/>
        <v>1972216.380695198</v>
      </c>
      <c r="AS33" s="870">
        <f t="shared" ca="1" si="20"/>
        <v>4276320.8000638383</v>
      </c>
      <c r="AT33" s="822"/>
      <c r="AU33" s="878"/>
      <c r="AV33" s="35"/>
      <c r="AW33" s="879"/>
      <c r="AX33" s="35"/>
      <c r="AY33" s="880"/>
    </row>
    <row r="34" spans="1:51">
      <c r="A34" s="303">
        <v>2025</v>
      </c>
      <c r="B34" s="304">
        <f ca="1">IF($D$3="BAU",UtilityDemand!C27,INDIRECT($D$3&amp;"!B"&amp;ROW(A34))+INDIRECT($D$3&amp;"!D"&amp;ROW(A34)))</f>
        <v>119985.56995902136</v>
      </c>
      <c r="C34" s="305">
        <f t="shared" ca="1" si="21"/>
        <v>-6.9350006028573843E-2</v>
      </c>
      <c r="D34" s="306">
        <f t="shared" ca="1" si="22"/>
        <v>-8321</v>
      </c>
      <c r="E34" s="304">
        <f ca="1">IF($D$3="BAU",UtilityDemand!E27,INDIRECT($D$3&amp;"!E"&amp;ROW(D34))+INDIRECT($D$3&amp;"!G"&amp;ROW(D34)))</f>
        <v>600085.72822776111</v>
      </c>
      <c r="F34" s="305">
        <f t="shared" ca="1" si="23"/>
        <v>-0.1002073073418881</v>
      </c>
      <c r="G34" s="306">
        <f t="shared" ca="1" si="8"/>
        <v>-60132.974999999991</v>
      </c>
      <c r="H34" s="304">
        <f ca="1">IF($D$3="BAU",UtilityDemand!G27,INDIRECT($D$3&amp;"!H"&amp;ROW(G34))+INDIRECT($D$3&amp;"!J"&amp;ROW(G34)))</f>
        <v>177932.49988017342</v>
      </c>
      <c r="I34" s="305">
        <f t="shared" ca="1" si="24"/>
        <v>-3.891929807462699E-2</v>
      </c>
      <c r="J34" s="306">
        <f t="shared" ca="1" si="9"/>
        <v>-6925.0080000000007</v>
      </c>
      <c r="K34" s="307">
        <f t="shared" ca="1" si="10"/>
        <v>111664.56995902136</v>
      </c>
      <c r="L34" s="307">
        <f t="shared" si="11"/>
        <v>0</v>
      </c>
      <c r="M34" s="307">
        <v>0</v>
      </c>
      <c r="N34" s="307">
        <f t="shared" ca="1" si="12"/>
        <v>111664.56995902136</v>
      </c>
      <c r="O34" s="1494">
        <f t="shared" ca="1" si="13"/>
        <v>539952.75322776113</v>
      </c>
      <c r="P34" s="306">
        <f t="shared" si="25"/>
        <v>0</v>
      </c>
      <c r="Q34" s="306">
        <v>0</v>
      </c>
      <c r="R34" s="306">
        <f t="shared" ca="1" si="14"/>
        <v>539952.75322776113</v>
      </c>
      <c r="S34" s="818">
        <f t="shared" ca="1" si="15"/>
        <v>171007.49188017342</v>
      </c>
      <c r="T34" s="818">
        <f t="shared" si="16"/>
        <v>0</v>
      </c>
      <c r="U34" s="818">
        <v>0</v>
      </c>
      <c r="V34" s="818">
        <f t="shared" ca="1" si="17"/>
        <v>171007.49188017342</v>
      </c>
      <c r="W34" s="306">
        <f t="shared" si="1"/>
        <v>0</v>
      </c>
      <c r="X34" s="306">
        <f t="shared" ca="1" si="2"/>
        <v>-13213.549505801528</v>
      </c>
      <c r="Y34" s="306">
        <v>0</v>
      </c>
      <c r="Z34" s="306">
        <v>0</v>
      </c>
      <c r="AA34" s="308">
        <f ca="1">-SUM(W34,X34/OFFSET(GridFootprintbyYear,$A34-$A$19,0)*EF_PurchElec_MTperMWh,Z34)*OFFSET(ExposureCalculations!Price_GHG_Allowance_2010,A34-$A$19,0)*ExposureCalculations!D31</f>
        <v>398746.26651767665</v>
      </c>
      <c r="AB34" s="308">
        <f t="shared" ca="1" si="3"/>
        <v>762228.83505498583</v>
      </c>
      <c r="AC34" s="308">
        <v>0</v>
      </c>
      <c r="AD34" s="819">
        <f t="shared" ca="1" si="4"/>
        <v>716983.40300008783</v>
      </c>
      <c r="AE34" s="308">
        <v>0</v>
      </c>
      <c r="AF34" s="819">
        <f t="shared" ca="1" si="5"/>
        <v>133883.48800000001</v>
      </c>
      <c r="AG34" s="308">
        <v>0</v>
      </c>
      <c r="AH34" s="308">
        <v>0</v>
      </c>
      <c r="AI34" s="308">
        <v>0</v>
      </c>
      <c r="AJ34" s="308">
        <f t="shared" ca="1" si="6"/>
        <v>1613095.7260550736</v>
      </c>
      <c r="AK34" s="309">
        <v>0</v>
      </c>
      <c r="AL34" s="309">
        <f t="shared" si="26"/>
        <v>0</v>
      </c>
      <c r="AM34" s="309">
        <f t="shared" si="18"/>
        <v>0</v>
      </c>
      <c r="AN34" s="310">
        <v>0</v>
      </c>
      <c r="AO34" s="310">
        <v>0</v>
      </c>
      <c r="AP34" s="310">
        <f t="shared" si="19"/>
        <v>0</v>
      </c>
      <c r="AQ34" s="309">
        <v>0</v>
      </c>
      <c r="AR34" s="311">
        <f t="shared" ca="1" si="7"/>
        <v>2011841.9925727502</v>
      </c>
      <c r="AS34" s="870">
        <f t="shared" ca="1" si="20"/>
        <v>6288162.7926365882</v>
      </c>
      <c r="AT34" s="822"/>
      <c r="AU34" s="878"/>
      <c r="AV34" s="35"/>
      <c r="AW34" s="879"/>
      <c r="AX34" s="35"/>
      <c r="AY34" s="880"/>
    </row>
    <row r="35" spans="1:51">
      <c r="A35" s="303">
        <v>2026</v>
      </c>
      <c r="B35" s="304">
        <f ca="1">IF($D$3="BAU",UtilityDemand!C28,INDIRECT($D$3&amp;"!B"&amp;ROW(A35))+INDIRECT($D$3&amp;"!D"&amp;ROW(A35)))</f>
        <v>119865.9280377206</v>
      </c>
      <c r="C35" s="305">
        <f t="shared" ca="1" si="21"/>
        <v>-6.9419226432564429E-2</v>
      </c>
      <c r="D35" s="306">
        <f t="shared" ca="1" si="22"/>
        <v>-8321</v>
      </c>
      <c r="E35" s="304">
        <f ca="1">IF($D$3="BAU",UtilityDemand!E28,INDIRECT($D$3&amp;"!E"&amp;ROW(D35))+INDIRECT($D$3&amp;"!G"&amp;ROW(D35)))</f>
        <v>599409.27430449589</v>
      </c>
      <c r="F35" s="305">
        <f t="shared" ca="1" si="23"/>
        <v>-0.10032039472491185</v>
      </c>
      <c r="G35" s="306">
        <f t="shared" ca="1" si="8"/>
        <v>-60132.974999999991</v>
      </c>
      <c r="H35" s="304">
        <f ca="1">IF($D$3="BAU",UtilityDemand!G28,INDIRECT($D$3&amp;"!H"&amp;ROW(G35))+INDIRECT($D$3&amp;"!J"&amp;ROW(G35)))</f>
        <v>178762.213248991</v>
      </c>
      <c r="I35" s="305">
        <f t="shared" ca="1" si="24"/>
        <v>-3.8738656644144498E-2</v>
      </c>
      <c r="J35" s="306">
        <f t="shared" ca="1" si="9"/>
        <v>-6925.0080000000007</v>
      </c>
      <c r="K35" s="307">
        <f t="shared" ca="1" si="10"/>
        <v>111544.9280377206</v>
      </c>
      <c r="L35" s="307">
        <f t="shared" si="11"/>
        <v>0</v>
      </c>
      <c r="M35" s="307">
        <v>0</v>
      </c>
      <c r="N35" s="307">
        <f t="shared" ca="1" si="12"/>
        <v>111544.9280377206</v>
      </c>
      <c r="O35" s="1494">
        <f t="shared" ca="1" si="13"/>
        <v>539276.29930449591</v>
      </c>
      <c r="P35" s="306">
        <f t="shared" si="25"/>
        <v>0</v>
      </c>
      <c r="Q35" s="306">
        <v>0</v>
      </c>
      <c r="R35" s="306">
        <f t="shared" ca="1" si="14"/>
        <v>539276.29930449591</v>
      </c>
      <c r="S35" s="818">
        <f t="shared" ca="1" si="15"/>
        <v>171837.205248991</v>
      </c>
      <c r="T35" s="818">
        <f t="shared" si="16"/>
        <v>0</v>
      </c>
      <c r="U35" s="818">
        <v>0</v>
      </c>
      <c r="V35" s="818">
        <f t="shared" ca="1" si="17"/>
        <v>171837.205248991</v>
      </c>
      <c r="W35" s="306">
        <f t="shared" si="1"/>
        <v>0</v>
      </c>
      <c r="X35" s="306">
        <f t="shared" ca="1" si="2"/>
        <v>-13213.549505801528</v>
      </c>
      <c r="Y35" s="306">
        <v>0</v>
      </c>
      <c r="Z35" s="306">
        <v>0</v>
      </c>
      <c r="AA35" s="308">
        <f ca="1">-SUM(W35,X35/OFFSET(GridFootprintbyYear,$A35-$A$19,0)*EF_PurchElec_MTperMWh,Z35)*OFFSET(ExposureCalculations!Price_GHG_Allowance_2010,A35-$A$19,0)*ExposureCalculations!D32</f>
        <v>435220.84819811763</v>
      </c>
      <c r="AB35" s="308">
        <f t="shared" ca="1" si="3"/>
        <v>766039.97923026071</v>
      </c>
      <c r="AC35" s="308">
        <v>0</v>
      </c>
      <c r="AD35" s="819">
        <f t="shared" ca="1" si="4"/>
        <v>720568.32001508796</v>
      </c>
      <c r="AE35" s="308">
        <v>0</v>
      </c>
      <c r="AF35" s="819">
        <f t="shared" ca="1" si="5"/>
        <v>133883.48800000001</v>
      </c>
      <c r="AG35" s="308">
        <v>0</v>
      </c>
      <c r="AH35" s="308">
        <v>0</v>
      </c>
      <c r="AI35" s="308">
        <v>0</v>
      </c>
      <c r="AJ35" s="308">
        <f t="shared" ca="1" si="6"/>
        <v>1620491.7872453486</v>
      </c>
      <c r="AK35" s="309">
        <v>0</v>
      </c>
      <c r="AL35" s="309">
        <f t="shared" si="26"/>
        <v>0</v>
      </c>
      <c r="AM35" s="309">
        <f t="shared" si="18"/>
        <v>0</v>
      </c>
      <c r="AN35" s="310">
        <v>0</v>
      </c>
      <c r="AO35" s="310">
        <v>0</v>
      </c>
      <c r="AP35" s="310">
        <f t="shared" si="19"/>
        <v>0</v>
      </c>
      <c r="AQ35" s="309">
        <v>0</v>
      </c>
      <c r="AR35" s="311">
        <f t="shared" ca="1" si="7"/>
        <v>2055712.6354434662</v>
      </c>
      <c r="AS35" s="870">
        <f t="shared" ca="1" si="20"/>
        <v>8343875.428080054</v>
      </c>
      <c r="AT35" s="822"/>
      <c r="AU35" s="878"/>
      <c r="AV35" s="35"/>
      <c r="AW35" s="879"/>
      <c r="AX35" s="35"/>
      <c r="AY35" s="880"/>
    </row>
    <row r="36" spans="1:51">
      <c r="A36" s="303">
        <v>2027</v>
      </c>
      <c r="B36" s="304">
        <f ca="1">IF($D$3="BAU",UtilityDemand!C29,INDIRECT($D$3&amp;"!B"&amp;ROW(A36))+INDIRECT($D$3&amp;"!D"&amp;ROW(A36)))</f>
        <v>119745.23419953244</v>
      </c>
      <c r="C36" s="305">
        <f t="shared" ca="1" si="21"/>
        <v>-6.94891955878148E-2</v>
      </c>
      <c r="D36" s="306">
        <f t="shared" ca="1" si="22"/>
        <v>-8321</v>
      </c>
      <c r="E36" s="304">
        <f ca="1">IF($D$3="BAU",UtilityDemand!E29,INDIRECT($D$3&amp;"!E"&amp;ROW(D36))+INDIRECT($D$3&amp;"!G"&amp;ROW(D36)))</f>
        <v>598732.82038123114</v>
      </c>
      <c r="F36" s="305">
        <f t="shared" ca="1" si="23"/>
        <v>-0.10043373764229514</v>
      </c>
      <c r="G36" s="306">
        <f t="shared" ca="1" si="8"/>
        <v>-60132.974999999991</v>
      </c>
      <c r="H36" s="304">
        <f ca="1">IF($D$3="BAU",UtilityDemand!G29,INDIRECT($D$3&amp;"!H"&amp;ROW(G36))+INDIRECT($D$3&amp;"!J"&amp;ROW(G36)))</f>
        <v>179590.87470092124</v>
      </c>
      <c r="I36" s="305">
        <f t="shared" ca="1" si="24"/>
        <v>-3.8559910193279312E-2</v>
      </c>
      <c r="J36" s="306">
        <f t="shared" ca="1" si="9"/>
        <v>-6925.0080000000007</v>
      </c>
      <c r="K36" s="307">
        <f t="shared" ca="1" si="10"/>
        <v>111424.23419953244</v>
      </c>
      <c r="L36" s="307">
        <f t="shared" si="11"/>
        <v>0</v>
      </c>
      <c r="M36" s="307">
        <v>0</v>
      </c>
      <c r="N36" s="307">
        <f t="shared" ca="1" si="12"/>
        <v>111424.23419953244</v>
      </c>
      <c r="O36" s="1494">
        <f t="shared" ca="1" si="13"/>
        <v>538599.84538123116</v>
      </c>
      <c r="P36" s="306">
        <f t="shared" si="25"/>
        <v>0</v>
      </c>
      <c r="Q36" s="306">
        <v>0</v>
      </c>
      <c r="R36" s="306">
        <f t="shared" ca="1" si="14"/>
        <v>538599.84538123116</v>
      </c>
      <c r="S36" s="818">
        <f t="shared" ca="1" si="15"/>
        <v>172665.86670092124</v>
      </c>
      <c r="T36" s="818">
        <f t="shared" si="16"/>
        <v>0</v>
      </c>
      <c r="U36" s="818">
        <v>0</v>
      </c>
      <c r="V36" s="818">
        <f t="shared" ca="1" si="17"/>
        <v>172665.86670092124</v>
      </c>
      <c r="W36" s="306">
        <f t="shared" si="1"/>
        <v>0</v>
      </c>
      <c r="X36" s="306">
        <f t="shared" ca="1" si="2"/>
        <v>-13213.549505801528</v>
      </c>
      <c r="Y36" s="306">
        <v>0</v>
      </c>
      <c r="Z36" s="306">
        <v>0</v>
      </c>
      <c r="AA36" s="308">
        <f ca="1">-SUM(W36,X36/OFFSET(GridFootprintbyYear,$A36-$A$19,0)*EF_PurchElec_MTperMWh,Z36)*OFFSET(ExposureCalculations!Price_GHG_Allowance_2010,A36-$A$19,0)*ExposureCalculations!D33</f>
        <v>472827.83246871718</v>
      </c>
      <c r="AB36" s="308">
        <f t="shared" ca="1" si="3"/>
        <v>769870.17912641191</v>
      </c>
      <c r="AC36" s="308">
        <v>0</v>
      </c>
      <c r="AD36" s="819">
        <f t="shared" ca="1" si="4"/>
        <v>724171.16161516344</v>
      </c>
      <c r="AE36" s="308">
        <v>0</v>
      </c>
      <c r="AF36" s="819">
        <f t="shared" ca="1" si="5"/>
        <v>133883.48800000001</v>
      </c>
      <c r="AG36" s="308">
        <v>0</v>
      </c>
      <c r="AH36" s="308">
        <v>0</v>
      </c>
      <c r="AI36" s="308">
        <v>0</v>
      </c>
      <c r="AJ36" s="308">
        <f t="shared" ca="1" si="6"/>
        <v>1627924.8287415751</v>
      </c>
      <c r="AK36" s="309">
        <v>0</v>
      </c>
      <c r="AL36" s="309">
        <f t="shared" si="26"/>
        <v>0</v>
      </c>
      <c r="AM36" s="309">
        <f t="shared" si="18"/>
        <v>0</v>
      </c>
      <c r="AN36" s="310">
        <v>0</v>
      </c>
      <c r="AO36" s="310">
        <v>0</v>
      </c>
      <c r="AP36" s="310">
        <f t="shared" si="19"/>
        <v>0</v>
      </c>
      <c r="AQ36" s="309">
        <v>0</v>
      </c>
      <c r="AR36" s="311">
        <f t="shared" ca="1" si="7"/>
        <v>2100752.6612102925</v>
      </c>
      <c r="AS36" s="870">
        <f t="shared" ca="1" si="20"/>
        <v>10444628.089290347</v>
      </c>
      <c r="AT36" s="822"/>
      <c r="AU36" s="878"/>
      <c r="AV36" s="35"/>
      <c r="AW36" s="879"/>
      <c r="AX36" s="35"/>
      <c r="AY36" s="880"/>
    </row>
    <row r="37" spans="1:51">
      <c r="A37" s="303">
        <v>2028</v>
      </c>
      <c r="B37" s="304">
        <f ca="1">IF($D$3="BAU",UtilityDemand!C30,INDIRECT($D$3&amp;"!B"&amp;ROW(A37))+INDIRECT($D$3&amp;"!D"&amp;ROW(A37)))</f>
        <v>119623.51925585822</v>
      </c>
      <c r="C37" s="305">
        <f t="shared" ca="1" si="21"/>
        <v>-6.9559899689980928E-2</v>
      </c>
      <c r="D37" s="306">
        <f t="shared" ca="1" si="22"/>
        <v>-8321</v>
      </c>
      <c r="E37" s="304">
        <f ca="1">IF($D$3="BAU",UtilityDemand!E30,INDIRECT($D$3&amp;"!E"&amp;ROW(D37))+INDIRECT($D$3&amp;"!G"&amp;ROW(D37)))</f>
        <v>598056.36645796616</v>
      </c>
      <c r="F37" s="305">
        <f t="shared" ca="1" si="23"/>
        <v>-0.10054733696113305</v>
      </c>
      <c r="G37" s="306">
        <f t="shared" ca="1" si="8"/>
        <v>-60132.974999999991</v>
      </c>
      <c r="H37" s="304">
        <f ca="1">IF($D$3="BAU",UtilityDemand!G30,INDIRECT($D$3&amp;"!H"&amp;ROW(G37))+INDIRECT($D$3&amp;"!J"&amp;ROW(G37)))</f>
        <v>180418.51504736533</v>
      </c>
      <c r="I37" s="305">
        <f t="shared" ca="1" si="24"/>
        <v>-3.8383022929669809E-2</v>
      </c>
      <c r="J37" s="306">
        <f t="shared" ca="1" si="9"/>
        <v>-6925.0080000000007</v>
      </c>
      <c r="K37" s="307">
        <f t="shared" ca="1" si="10"/>
        <v>111302.51925585822</v>
      </c>
      <c r="L37" s="307">
        <f t="shared" si="11"/>
        <v>0</v>
      </c>
      <c r="M37" s="307">
        <v>0</v>
      </c>
      <c r="N37" s="307">
        <f t="shared" ca="1" si="12"/>
        <v>111302.51925585822</v>
      </c>
      <c r="O37" s="1494">
        <f t="shared" ca="1" si="13"/>
        <v>537923.39145796618</v>
      </c>
      <c r="P37" s="306">
        <f t="shared" si="25"/>
        <v>0</v>
      </c>
      <c r="Q37" s="306">
        <v>0</v>
      </c>
      <c r="R37" s="306">
        <f t="shared" ca="1" si="14"/>
        <v>537923.39145796618</v>
      </c>
      <c r="S37" s="818">
        <f t="shared" ca="1" si="15"/>
        <v>173493.50704736533</v>
      </c>
      <c r="T37" s="818">
        <f t="shared" si="16"/>
        <v>0</v>
      </c>
      <c r="U37" s="818">
        <v>0</v>
      </c>
      <c r="V37" s="818">
        <f t="shared" ca="1" si="17"/>
        <v>173493.50704736533</v>
      </c>
      <c r="W37" s="306">
        <f t="shared" si="1"/>
        <v>0</v>
      </c>
      <c r="X37" s="306">
        <f t="shared" ca="1" si="2"/>
        <v>-13213.549505801528</v>
      </c>
      <c r="Y37" s="306">
        <v>0</v>
      </c>
      <c r="Z37" s="306">
        <v>0</v>
      </c>
      <c r="AA37" s="308">
        <f ca="1">-SUM(W37,X37/OFFSET(GridFootprintbyYear,$A37-$A$19,0)*EF_PurchElec_MTperMWh,Z37)*OFFSET(ExposureCalculations!Price_GHG_Allowance_2010,A37-$A$19,0)*ExposureCalculations!D34</f>
        <v>511512.24161972647</v>
      </c>
      <c r="AB37" s="308">
        <f t="shared" ca="1" si="3"/>
        <v>773719.53002204373</v>
      </c>
      <c r="AC37" s="308">
        <v>0</v>
      </c>
      <c r="AD37" s="819">
        <f t="shared" ca="1" si="4"/>
        <v>727792.01742323907</v>
      </c>
      <c r="AE37" s="308">
        <v>0</v>
      </c>
      <c r="AF37" s="819">
        <f t="shared" ca="1" si="5"/>
        <v>133883.48800000001</v>
      </c>
      <c r="AG37" s="308">
        <v>0</v>
      </c>
      <c r="AH37" s="308">
        <v>0</v>
      </c>
      <c r="AI37" s="308">
        <v>0</v>
      </c>
      <c r="AJ37" s="308">
        <f t="shared" ca="1" si="6"/>
        <v>1635395.0354452827</v>
      </c>
      <c r="AK37" s="309">
        <v>0</v>
      </c>
      <c r="AL37" s="309">
        <f t="shared" si="26"/>
        <v>0</v>
      </c>
      <c r="AM37" s="309">
        <f t="shared" si="18"/>
        <v>0</v>
      </c>
      <c r="AN37" s="310">
        <v>0</v>
      </c>
      <c r="AO37" s="310">
        <v>0</v>
      </c>
      <c r="AP37" s="310">
        <f t="shared" si="19"/>
        <v>0</v>
      </c>
      <c r="AQ37" s="309">
        <v>0</v>
      </c>
      <c r="AR37" s="311">
        <f t="shared" ca="1" si="7"/>
        <v>2146907.2770650093</v>
      </c>
      <c r="AS37" s="870">
        <f t="shared" ca="1" si="20"/>
        <v>12591535.366355356</v>
      </c>
      <c r="AT37" s="822"/>
      <c r="AU37" s="878"/>
      <c r="AV37" s="35"/>
      <c r="AW37" s="879"/>
      <c r="AX37" s="35"/>
      <c r="AY37" s="880"/>
    </row>
    <row r="38" spans="1:51">
      <c r="A38" s="303">
        <v>2029</v>
      </c>
      <c r="B38" s="304">
        <f ca="1">IF($D$3="BAU",UtilityDemand!C31,INDIRECT($D$3&amp;"!B"&amp;ROW(A38))+INDIRECT($D$3&amp;"!D"&amp;ROW(A38)))</f>
        <v>119500.81282641659</v>
      </c>
      <c r="C38" s="305">
        <f t="shared" ca="1" si="21"/>
        <v>-6.9631325538235825E-2</v>
      </c>
      <c r="D38" s="306">
        <f t="shared" ca="1" si="22"/>
        <v>-8321</v>
      </c>
      <c r="E38" s="304">
        <f ca="1">IF($D$3="BAU",UtilityDemand!E31,INDIRECT($D$3&amp;"!E"&amp;ROW(D38))+INDIRECT($D$3&amp;"!G"&amp;ROW(D38)))</f>
        <v>597379.91253470141</v>
      </c>
      <c r="F38" s="305">
        <f t="shared" ca="1" si="23"/>
        <v>-0.10066119355244793</v>
      </c>
      <c r="G38" s="306">
        <f t="shared" ca="1" si="8"/>
        <v>-60132.974999999991</v>
      </c>
      <c r="H38" s="304">
        <f ca="1">IF($D$3="BAU",UtilityDemand!G31,INDIRECT($D$3&amp;"!H"&amp;ROW(G38))+INDIRECT($D$3&amp;"!J"&amp;ROW(G38)))</f>
        <v>181245.1639080421</v>
      </c>
      <c r="I38" s="305">
        <f t="shared" ca="1" si="24"/>
        <v>-3.8207960150117577E-2</v>
      </c>
      <c r="J38" s="306">
        <f t="shared" ca="1" si="9"/>
        <v>-6925.0080000000007</v>
      </c>
      <c r="K38" s="307">
        <f t="shared" ca="1" si="10"/>
        <v>111179.81282641659</v>
      </c>
      <c r="L38" s="307">
        <f t="shared" si="11"/>
        <v>0</v>
      </c>
      <c r="M38" s="307">
        <v>0</v>
      </c>
      <c r="N38" s="307">
        <f t="shared" ca="1" si="12"/>
        <v>111179.81282641659</v>
      </c>
      <c r="O38" s="1494">
        <f t="shared" ca="1" si="13"/>
        <v>537246.93753470143</v>
      </c>
      <c r="P38" s="306">
        <f t="shared" si="25"/>
        <v>0</v>
      </c>
      <c r="Q38" s="306">
        <v>0</v>
      </c>
      <c r="R38" s="306">
        <f t="shared" ca="1" si="14"/>
        <v>537246.93753470143</v>
      </c>
      <c r="S38" s="818">
        <f t="shared" ca="1" si="15"/>
        <v>174320.1559080421</v>
      </c>
      <c r="T38" s="818">
        <f t="shared" si="16"/>
        <v>0</v>
      </c>
      <c r="U38" s="818">
        <v>0</v>
      </c>
      <c r="V38" s="818">
        <f t="shared" ca="1" si="17"/>
        <v>174320.1559080421</v>
      </c>
      <c r="W38" s="306">
        <f t="shared" si="1"/>
        <v>0</v>
      </c>
      <c r="X38" s="306">
        <f t="shared" ca="1" si="2"/>
        <v>-13213.549505801528</v>
      </c>
      <c r="Y38" s="306">
        <v>0</v>
      </c>
      <c r="Z38" s="306">
        <v>0</v>
      </c>
      <c r="AA38" s="308">
        <f ca="1">-SUM(W38,X38/OFFSET(GridFootprintbyYear,$A38-$A$19,0)*EF_PurchElec_MTperMWh,Z38)*OFFSET(ExposureCalculations!Price_GHG_Allowance_2010,A38-$A$19,0)*ExposureCalculations!D35</f>
        <v>551219.39284261037</v>
      </c>
      <c r="AB38" s="308">
        <f t="shared" ca="1" si="3"/>
        <v>777588.12767215387</v>
      </c>
      <c r="AC38" s="308">
        <v>0</v>
      </c>
      <c r="AD38" s="819">
        <f t="shared" ca="1" si="4"/>
        <v>731430.97751035518</v>
      </c>
      <c r="AE38" s="308">
        <v>0</v>
      </c>
      <c r="AF38" s="819">
        <f t="shared" ca="1" si="5"/>
        <v>133883.48800000001</v>
      </c>
      <c r="AG38" s="308">
        <v>0</v>
      </c>
      <c r="AH38" s="308">
        <v>0</v>
      </c>
      <c r="AI38" s="308">
        <v>0</v>
      </c>
      <c r="AJ38" s="308">
        <f t="shared" ca="1" si="6"/>
        <v>1642902.5931825088</v>
      </c>
      <c r="AK38" s="309">
        <v>0</v>
      </c>
      <c r="AL38" s="309">
        <f t="shared" si="26"/>
        <v>0</v>
      </c>
      <c r="AM38" s="309">
        <f t="shared" si="18"/>
        <v>0</v>
      </c>
      <c r="AN38" s="310">
        <v>0</v>
      </c>
      <c r="AO38" s="310">
        <v>0</v>
      </c>
      <c r="AP38" s="310">
        <f t="shared" si="19"/>
        <v>0</v>
      </c>
      <c r="AQ38" s="309">
        <v>0</v>
      </c>
      <c r="AR38" s="311">
        <f t="shared" ca="1" si="7"/>
        <v>2194121.9860251192</v>
      </c>
      <c r="AS38" s="870">
        <f t="shared" ca="1" si="20"/>
        <v>14785657.352380475</v>
      </c>
      <c r="AT38" s="822"/>
      <c r="AU38" s="878"/>
      <c r="AV38" s="35"/>
      <c r="AW38" s="879"/>
      <c r="AX38" s="35"/>
      <c r="AY38" s="880"/>
    </row>
    <row r="39" spans="1:51">
      <c r="A39" s="303">
        <v>2030</v>
      </c>
      <c r="B39" s="304">
        <f ca="1">IF($D$3="BAU",UtilityDemand!C32,INDIRECT($D$3&amp;"!B"&amp;ROW(A39))+INDIRECT($D$3&amp;"!D"&amp;ROW(A39)))</f>
        <v>119377.14339630527</v>
      </c>
      <c r="C39" s="305">
        <f t="shared" ca="1" si="21"/>
        <v>-6.9703460505635917E-2</v>
      </c>
      <c r="D39" s="306">
        <f t="shared" ca="1" si="22"/>
        <v>-8321</v>
      </c>
      <c r="E39" s="304">
        <f ca="1">IF($D$3="BAU",UtilityDemand!E32,INDIRECT($D$3&amp;"!E"&amp;ROW(D39))+INDIRECT($D$3&amp;"!G"&amp;ROW(D39)))</f>
        <v>596703.45861143642</v>
      </c>
      <c r="F39" s="305">
        <f t="shared" ca="1" si="23"/>
        <v>-0.10077530829121205</v>
      </c>
      <c r="G39" s="306">
        <f t="shared" ca="1" si="8"/>
        <v>-60132.974999999991</v>
      </c>
      <c r="H39" s="304">
        <f ca="1">IF($D$3="BAU",UtilityDemand!G32,INDIRECT($D$3&amp;"!H"&amp;ROW(G39))+INDIRECT($D$3&amp;"!J"&amp;ROW(G39)))</f>
        <v>182070.84976804914</v>
      </c>
      <c r="I39" s="305">
        <f t="shared" ca="1" si="24"/>
        <v>-3.8034688193207093E-2</v>
      </c>
      <c r="J39" s="306">
        <f t="shared" ca="1" si="9"/>
        <v>-6925.0080000000007</v>
      </c>
      <c r="K39" s="307">
        <f t="shared" ca="1" si="10"/>
        <v>111056.14339630527</v>
      </c>
      <c r="L39" s="307">
        <f t="shared" si="11"/>
        <v>0</v>
      </c>
      <c r="M39" s="307">
        <v>0</v>
      </c>
      <c r="N39" s="307">
        <f t="shared" ca="1" si="12"/>
        <v>111056.14339630527</v>
      </c>
      <c r="O39" s="1494">
        <f t="shared" ca="1" si="13"/>
        <v>536570.48361143644</v>
      </c>
      <c r="P39" s="306">
        <f t="shared" si="25"/>
        <v>0</v>
      </c>
      <c r="Q39" s="306">
        <v>0</v>
      </c>
      <c r="R39" s="306">
        <f t="shared" ca="1" si="14"/>
        <v>536570.48361143644</v>
      </c>
      <c r="S39" s="818">
        <f t="shared" ca="1" si="15"/>
        <v>175145.84176804914</v>
      </c>
      <c r="T39" s="818">
        <f t="shared" si="16"/>
        <v>0</v>
      </c>
      <c r="U39" s="818">
        <v>0</v>
      </c>
      <c r="V39" s="818">
        <f t="shared" ca="1" si="17"/>
        <v>175145.84176804914</v>
      </c>
      <c r="W39" s="306">
        <f t="shared" si="1"/>
        <v>0</v>
      </c>
      <c r="X39" s="306">
        <f t="shared" ca="1" si="2"/>
        <v>-13213.549505801528</v>
      </c>
      <c r="Y39" s="306">
        <v>0</v>
      </c>
      <c r="Z39" s="306">
        <v>0</v>
      </c>
      <c r="AA39" s="308">
        <f ca="1">-SUM(W39,X39/OFFSET(GridFootprintbyYear,$A39-$A$19,0)*EF_PurchElec_MTperMWh,Z39)*OFFSET(ExposureCalculations!Price_GHG_Allowance_2010,A39-$A$19,0)*ExposureCalculations!D36</f>
        <v>591894.89264479617</v>
      </c>
      <c r="AB39" s="308">
        <f t="shared" ca="1" si="3"/>
        <v>781476.06831051456</v>
      </c>
      <c r="AC39" s="308">
        <v>0</v>
      </c>
      <c r="AD39" s="819">
        <f t="shared" ca="1" si="4"/>
        <v>735088.13239790685</v>
      </c>
      <c r="AE39" s="308">
        <v>0</v>
      </c>
      <c r="AF39" s="819">
        <f t="shared" ca="1" si="5"/>
        <v>133883.48800000001</v>
      </c>
      <c r="AG39" s="308">
        <v>0</v>
      </c>
      <c r="AH39" s="308">
        <v>0</v>
      </c>
      <c r="AI39" s="308">
        <v>0</v>
      </c>
      <c r="AJ39" s="308">
        <f t="shared" ca="1" si="6"/>
        <v>1650447.6887084213</v>
      </c>
      <c r="AK39" s="309">
        <v>0</v>
      </c>
      <c r="AL39" s="309">
        <f t="shared" si="26"/>
        <v>0</v>
      </c>
      <c r="AM39" s="309">
        <f t="shared" si="18"/>
        <v>0</v>
      </c>
      <c r="AN39" s="310">
        <v>0</v>
      </c>
      <c r="AO39" s="310">
        <v>0</v>
      </c>
      <c r="AP39" s="310">
        <f t="shared" si="19"/>
        <v>0</v>
      </c>
      <c r="AQ39" s="309">
        <v>0</v>
      </c>
      <c r="AR39" s="311">
        <f t="shared" ca="1" si="7"/>
        <v>2242342.5813532174</v>
      </c>
      <c r="AS39" s="870">
        <f t="shared" ca="1" si="20"/>
        <v>17027999.933733694</v>
      </c>
      <c r="AT39" s="822"/>
      <c r="AU39" s="878"/>
      <c r="AV39" s="35"/>
      <c r="AW39" s="879"/>
      <c r="AX39" s="35"/>
      <c r="AY39" s="880"/>
    </row>
    <row r="40" spans="1:51">
      <c r="A40" s="303">
        <v>2031</v>
      </c>
      <c r="B40" s="304">
        <f ca="1">IF($D$3="BAU",UtilityDemand!C33,INDIRECT($D$3&amp;"!B"&amp;ROW(A40))+INDIRECT($D$3&amp;"!D"&amp;ROW(A40)))</f>
        <v>119252.53836981412</v>
      </c>
      <c r="C40" s="305">
        <f t="shared" ca="1" si="21"/>
        <v>-6.9776292511239818E-2</v>
      </c>
      <c r="D40" s="306">
        <f t="shared" ca="1" si="22"/>
        <v>-8321</v>
      </c>
      <c r="E40" s="304">
        <f ca="1">IF($D$3="BAU",UtilityDemand!E33,INDIRECT($D$3&amp;"!E"&amp;ROW(D40))+INDIRECT($D$3&amp;"!G"&amp;ROW(D40)))</f>
        <v>596027.00468817144</v>
      </c>
      <c r="F40" s="305">
        <f t="shared" ca="1" si="23"/>
        <v>-0.10088968205636971</v>
      </c>
      <c r="G40" s="306">
        <f t="shared" ca="1" si="8"/>
        <v>-60132.974999999991</v>
      </c>
      <c r="H40" s="304">
        <f ca="1">IF($D$3="BAU",UtilityDemand!G33,INDIRECT($D$3&amp;"!H"&amp;ROW(G40))+INDIRECT($D$3&amp;"!J"&amp;ROW(G40)))</f>
        <v>182895.60003167635</v>
      </c>
      <c r="I40" s="305">
        <f t="shared" ca="1" si="24"/>
        <v>-3.7863174394576107E-2</v>
      </c>
      <c r="J40" s="306">
        <f t="shared" ca="1" si="9"/>
        <v>-6925.0080000000007</v>
      </c>
      <c r="K40" s="307">
        <f t="shared" ca="1" si="10"/>
        <v>110931.53836981412</v>
      </c>
      <c r="L40" s="307">
        <f t="shared" si="11"/>
        <v>0</v>
      </c>
      <c r="M40" s="307">
        <v>0</v>
      </c>
      <c r="N40" s="307">
        <f t="shared" ca="1" si="12"/>
        <v>110931.53836981412</v>
      </c>
      <c r="O40" s="1494">
        <f t="shared" ca="1" si="13"/>
        <v>535894.02968817146</v>
      </c>
      <c r="P40" s="306">
        <f t="shared" si="25"/>
        <v>0</v>
      </c>
      <c r="Q40" s="306">
        <v>0</v>
      </c>
      <c r="R40" s="306">
        <f t="shared" ca="1" si="14"/>
        <v>535894.02968817146</v>
      </c>
      <c r="S40" s="818">
        <f t="shared" ca="1" si="15"/>
        <v>175970.59203167635</v>
      </c>
      <c r="T40" s="818">
        <f t="shared" si="16"/>
        <v>0</v>
      </c>
      <c r="U40" s="818">
        <v>0</v>
      </c>
      <c r="V40" s="818">
        <f t="shared" ca="1" si="17"/>
        <v>175970.59203167635</v>
      </c>
      <c r="W40" s="306">
        <f t="shared" si="1"/>
        <v>0</v>
      </c>
      <c r="X40" s="306">
        <f t="shared" ca="1" si="2"/>
        <v>-13213.549505801528</v>
      </c>
      <c r="Y40" s="306">
        <v>0</v>
      </c>
      <c r="Z40" s="306">
        <v>0</v>
      </c>
      <c r="AA40" s="308">
        <f ca="1">-SUM(W40,X40/OFFSET(GridFootprintbyYear,$A40-$A$19,0)*EF_PurchElec_MTperMWh,Z40)*OFFSET(ExposureCalculations!Price_GHG_Allowance_2010,A40-$A$19,0)*ExposureCalculations!D37</f>
        <v>638472.25031716586</v>
      </c>
      <c r="AB40" s="308">
        <f t="shared" ca="1" si="3"/>
        <v>785383.44865206687</v>
      </c>
      <c r="AC40" s="308">
        <v>0</v>
      </c>
      <c r="AD40" s="819">
        <f t="shared" ca="1" si="4"/>
        <v>738763.57305989624</v>
      </c>
      <c r="AE40" s="308">
        <v>0</v>
      </c>
      <c r="AF40" s="819">
        <f t="shared" ca="1" si="5"/>
        <v>133883.48800000001</v>
      </c>
      <c r="AG40" s="308">
        <v>0</v>
      </c>
      <c r="AH40" s="308">
        <v>0</v>
      </c>
      <c r="AI40" s="308">
        <v>0</v>
      </c>
      <c r="AJ40" s="308">
        <f t="shared" ca="1" si="6"/>
        <v>1658030.5097119631</v>
      </c>
      <c r="AK40" s="309">
        <v>0</v>
      </c>
      <c r="AL40" s="309">
        <f t="shared" si="26"/>
        <v>0</v>
      </c>
      <c r="AM40" s="309">
        <f t="shared" si="18"/>
        <v>0</v>
      </c>
      <c r="AN40" s="310">
        <v>0</v>
      </c>
      <c r="AO40" s="310">
        <v>0</v>
      </c>
      <c r="AP40" s="310">
        <f t="shared" si="19"/>
        <v>0</v>
      </c>
      <c r="AQ40" s="309">
        <v>0</v>
      </c>
      <c r="AR40" s="311">
        <f t="shared" ca="1" si="7"/>
        <v>2296502.7600291288</v>
      </c>
      <c r="AS40" s="870">
        <f t="shared" ca="1" si="20"/>
        <v>19324502.693762824</v>
      </c>
      <c r="AT40" s="822"/>
      <c r="AU40" s="878"/>
      <c r="AV40" s="35"/>
      <c r="AW40" s="879"/>
      <c r="AX40" s="35"/>
      <c r="AY40" s="880"/>
    </row>
    <row r="41" spans="1:51">
      <c r="A41" s="303">
        <v>2032</v>
      </c>
      <c r="B41" s="304">
        <f ca="1">IF($D$3="BAU",UtilityDemand!C34,INDIRECT($D$3&amp;"!B"&amp;ROW(A41))+INDIRECT($D$3&amp;"!D"&amp;ROW(A41)))</f>
        <v>119127.0241212051</v>
      </c>
      <c r="C41" s="305">
        <f t="shared" ca="1" si="21"/>
        <v>-6.9849809993858716E-2</v>
      </c>
      <c r="D41" s="306">
        <f t="shared" ca="1" si="22"/>
        <v>-8321</v>
      </c>
      <c r="E41" s="304">
        <f ca="1">IF($D$3="BAU",UtilityDemand!E34,INDIRECT($D$3&amp;"!E"&amp;ROW(D41))+INDIRECT($D$3&amp;"!G"&amp;ROW(D41)))</f>
        <v>595350.55076490645</v>
      </c>
      <c r="F41" s="305">
        <f t="shared" ca="1" si="23"/>
        <v>-0.10100431573085998</v>
      </c>
      <c r="G41" s="306">
        <f t="shared" ca="1" si="8"/>
        <v>-60132.974999999991</v>
      </c>
      <c r="H41" s="304">
        <f ca="1">IF($D$3="BAU",UtilityDemand!G34,INDIRECT($D$3&amp;"!H"&amp;ROW(G41))+INDIRECT($D$3&amp;"!J"&amp;ROW(G41)))</f>
        <v>183719.44107318565</v>
      </c>
      <c r="I41" s="305">
        <f t="shared" ca="1" si="24"/>
        <v>-3.7693387044658959E-2</v>
      </c>
      <c r="J41" s="306">
        <f t="shared" ca="1" si="9"/>
        <v>-6925.0080000000007</v>
      </c>
      <c r="K41" s="307">
        <f t="shared" ca="1" si="10"/>
        <v>110806.0241212051</v>
      </c>
      <c r="L41" s="307">
        <f t="shared" si="11"/>
        <v>0</v>
      </c>
      <c r="M41" s="307">
        <v>0</v>
      </c>
      <c r="N41" s="307">
        <f t="shared" ca="1" si="12"/>
        <v>110806.0241212051</v>
      </c>
      <c r="O41" s="1494">
        <f t="shared" ca="1" si="13"/>
        <v>535217.57576490648</v>
      </c>
      <c r="P41" s="306">
        <f t="shared" si="25"/>
        <v>0</v>
      </c>
      <c r="Q41" s="306">
        <v>0</v>
      </c>
      <c r="R41" s="306">
        <f t="shared" ca="1" si="14"/>
        <v>535217.57576490648</v>
      </c>
      <c r="S41" s="818">
        <f t="shared" ca="1" si="15"/>
        <v>176794.43307318565</v>
      </c>
      <c r="T41" s="818">
        <f t="shared" si="16"/>
        <v>0</v>
      </c>
      <c r="U41" s="818">
        <v>0</v>
      </c>
      <c r="V41" s="818">
        <f t="shared" ca="1" si="17"/>
        <v>176794.43307318565</v>
      </c>
      <c r="W41" s="306">
        <f t="shared" si="1"/>
        <v>0</v>
      </c>
      <c r="X41" s="306">
        <f t="shared" ca="1" si="2"/>
        <v>-13213.549505801528</v>
      </c>
      <c r="Y41" s="306">
        <v>0</v>
      </c>
      <c r="Z41" s="306">
        <v>0</v>
      </c>
      <c r="AA41" s="308">
        <f ca="1">-SUM(W41,X41/OFFSET(GridFootprintbyYear,$A41-$A$19,0)*EF_PurchElec_MTperMWh,Z41)*OFFSET(ExposureCalculations!Price_GHG_Allowance_2010,A41-$A$19,0)*ExposureCalculations!D38</f>
        <v>686189.78671867051</v>
      </c>
      <c r="AB41" s="308">
        <f t="shared" ca="1" si="3"/>
        <v>789310.36589532718</v>
      </c>
      <c r="AC41" s="308">
        <v>0</v>
      </c>
      <c r="AD41" s="819">
        <f t="shared" ca="1" si="4"/>
        <v>742457.39092519553</v>
      </c>
      <c r="AE41" s="308">
        <v>0</v>
      </c>
      <c r="AF41" s="819">
        <f t="shared" ca="1" si="5"/>
        <v>133883.48800000001</v>
      </c>
      <c r="AG41" s="308">
        <v>0</v>
      </c>
      <c r="AH41" s="308">
        <v>0</v>
      </c>
      <c r="AI41" s="308">
        <v>0</v>
      </c>
      <c r="AJ41" s="308">
        <f t="shared" ca="1" si="6"/>
        <v>1665651.2448205226</v>
      </c>
      <c r="AK41" s="309">
        <v>0</v>
      </c>
      <c r="AL41" s="309">
        <f t="shared" si="26"/>
        <v>0</v>
      </c>
      <c r="AM41" s="309">
        <f t="shared" si="18"/>
        <v>0</v>
      </c>
      <c r="AN41" s="310">
        <v>0</v>
      </c>
      <c r="AO41" s="310">
        <v>0</v>
      </c>
      <c r="AP41" s="310">
        <f t="shared" si="19"/>
        <v>0</v>
      </c>
      <c r="AQ41" s="309">
        <v>0</v>
      </c>
      <c r="AR41" s="311">
        <f t="shared" ca="1" si="7"/>
        <v>2351841.0315391934</v>
      </c>
      <c r="AS41" s="870">
        <f t="shared" ca="1" si="20"/>
        <v>21676343.725302018</v>
      </c>
      <c r="AT41" s="822"/>
      <c r="AU41" s="878"/>
      <c r="AV41" s="35"/>
      <c r="AW41" s="879"/>
      <c r="AX41" s="35"/>
      <c r="AY41" s="880"/>
    </row>
    <row r="42" spans="1:51">
      <c r="A42" s="303">
        <v>2033</v>
      </c>
      <c r="B42" s="304">
        <f ca="1">IF($D$3="BAU",UtilityDemand!C35,INDIRECT($D$3&amp;"!B"&amp;ROW(A42))+INDIRECT($D$3&amp;"!D"&amp;ROW(A42)))</f>
        <v>119000.62604265516</v>
      </c>
      <c r="C42" s="305">
        <f t="shared" ca="1" si="21"/>
        <v>-6.9924001887329404E-2</v>
      </c>
      <c r="D42" s="306">
        <f t="shared" ca="1" si="22"/>
        <v>-8321</v>
      </c>
      <c r="E42" s="304">
        <f ca="1">IF($D$3="BAU",UtilityDemand!E35,INDIRECT($D$3&amp;"!E"&amp;ROW(D42))+INDIRECT($D$3&amp;"!G"&amp;ROW(D42)))</f>
        <v>594674.0968416417</v>
      </c>
      <c r="F42" s="305">
        <f t="shared" ca="1" si="23"/>
        <v>-0.10111921020163933</v>
      </c>
      <c r="G42" s="306">
        <f t="shared" ca="1" si="8"/>
        <v>-60132.974999999991</v>
      </c>
      <c r="H42" s="304">
        <f ca="1">IF($D$3="BAU",UtilityDemand!G35,INDIRECT($D$3&amp;"!H"&amp;ROW(G42))+INDIRECT($D$3&amp;"!J"&amp;ROW(G42)))</f>
        <v>184542.39828475408</v>
      </c>
      <c r="I42" s="305">
        <f t="shared" ca="1" si="24"/>
        <v>-3.7525295348738885E-2</v>
      </c>
      <c r="J42" s="306">
        <f t="shared" ca="1" si="9"/>
        <v>-6925.0080000000007</v>
      </c>
      <c r="K42" s="307">
        <f t="shared" ca="1" si="10"/>
        <v>110679.62604265516</v>
      </c>
      <c r="L42" s="307">
        <f t="shared" si="11"/>
        <v>0</v>
      </c>
      <c r="M42" s="307">
        <v>0</v>
      </c>
      <c r="N42" s="307">
        <f t="shared" ca="1" si="12"/>
        <v>110679.62604265516</v>
      </c>
      <c r="O42" s="1494">
        <f t="shared" ca="1" si="13"/>
        <v>534541.12184164173</v>
      </c>
      <c r="P42" s="306">
        <f t="shared" si="25"/>
        <v>0</v>
      </c>
      <c r="Q42" s="306">
        <v>0</v>
      </c>
      <c r="R42" s="306">
        <f t="shared" ca="1" si="14"/>
        <v>534541.12184164173</v>
      </c>
      <c r="S42" s="818">
        <f t="shared" ca="1" si="15"/>
        <v>177617.39028475407</v>
      </c>
      <c r="T42" s="818">
        <f t="shared" si="16"/>
        <v>0</v>
      </c>
      <c r="U42" s="818">
        <v>0</v>
      </c>
      <c r="V42" s="818">
        <f t="shared" ca="1" si="17"/>
        <v>177617.39028475407</v>
      </c>
      <c r="W42" s="306">
        <f t="shared" si="1"/>
        <v>0</v>
      </c>
      <c r="X42" s="306">
        <f t="shared" ca="1" si="2"/>
        <v>-13213.549505801528</v>
      </c>
      <c r="Y42" s="306">
        <v>0</v>
      </c>
      <c r="Z42" s="306">
        <v>0</v>
      </c>
      <c r="AA42" s="308">
        <f ca="1">-SUM(W42,X42/OFFSET(GridFootprintbyYear,$A42-$A$19,0)*EF_PurchElec_MTperMWh,Z42)*OFFSET(ExposureCalculations!Price_GHG_Allowance_2010,A42-$A$19,0)*ExposureCalculations!D39</f>
        <v>728965.6954523233</v>
      </c>
      <c r="AB42" s="308">
        <f t="shared" ca="1" si="3"/>
        <v>793256.91772480367</v>
      </c>
      <c r="AC42" s="308">
        <v>0</v>
      </c>
      <c r="AD42" s="819">
        <f t="shared" ca="1" si="4"/>
        <v>746169.67787982151</v>
      </c>
      <c r="AE42" s="308">
        <v>0</v>
      </c>
      <c r="AF42" s="819">
        <f t="shared" ca="1" si="5"/>
        <v>133883.48800000001</v>
      </c>
      <c r="AG42" s="308">
        <v>0</v>
      </c>
      <c r="AH42" s="308">
        <v>0</v>
      </c>
      <c r="AI42" s="308">
        <v>0</v>
      </c>
      <c r="AJ42" s="308">
        <f t="shared" ca="1" si="6"/>
        <v>1673310.083604625</v>
      </c>
      <c r="AK42" s="309">
        <v>0</v>
      </c>
      <c r="AL42" s="309">
        <f t="shared" si="26"/>
        <v>0</v>
      </c>
      <c r="AM42" s="309">
        <f t="shared" si="18"/>
        <v>0</v>
      </c>
      <c r="AN42" s="310">
        <v>0</v>
      </c>
      <c r="AO42" s="310">
        <v>0</v>
      </c>
      <c r="AP42" s="310">
        <f t="shared" si="19"/>
        <v>0</v>
      </c>
      <c r="AQ42" s="309">
        <v>0</v>
      </c>
      <c r="AR42" s="311">
        <f t="shared" ca="1" si="7"/>
        <v>2402275.7790569481</v>
      </c>
      <c r="AS42" s="870">
        <f t="shared" ca="1" si="20"/>
        <v>24078619.504358966</v>
      </c>
      <c r="AT42" s="822"/>
      <c r="AU42" s="878"/>
      <c r="AV42" s="35"/>
      <c r="AW42" s="879"/>
      <c r="AX42" s="35"/>
      <c r="AY42" s="880"/>
    </row>
    <row r="43" spans="1:51">
      <c r="A43" s="303">
        <v>2034</v>
      </c>
      <c r="B43" s="304">
        <f ca="1">IF($D$3="BAU",UtilityDemand!C36,INDIRECT($D$3&amp;"!B"&amp;ROW(A43))+INDIRECT($D$3&amp;"!D"&amp;ROW(A43)))</f>
        <v>118873.36858954668</v>
      </c>
      <c r="C43" s="305">
        <f t="shared" ca="1" si="21"/>
        <v>-6.9998857597207184E-2</v>
      </c>
      <c r="D43" s="306">
        <f t="shared" ca="1" si="22"/>
        <v>-8321</v>
      </c>
      <c r="E43" s="304">
        <f ca="1">IF($D$3="BAU",UtilityDemand!E36,INDIRECT($D$3&amp;"!E"&amp;ROW(D43))+INDIRECT($D$3&amp;"!G"&amp;ROW(D43)))</f>
        <v>593997.64291837648</v>
      </c>
      <c r="F43" s="305">
        <f t="shared" ca="1" si="23"/>
        <v>-0.10123436635970473</v>
      </c>
      <c r="G43" s="306">
        <f t="shared" ca="1" si="8"/>
        <v>-60132.974999999991</v>
      </c>
      <c r="H43" s="304">
        <f ca="1">IF($D$3="BAU",UtilityDemand!G36,INDIRECT($D$3&amp;"!H"&amp;ROW(G43))+INDIRECT($D$3&amp;"!J"&amp;ROW(G43)))</f>
        <v>185364.49612176395</v>
      </c>
      <c r="I43" s="305">
        <f t="shared" ca="1" si="24"/>
        <v>-3.735886938915766E-2</v>
      </c>
      <c r="J43" s="306">
        <f t="shared" ca="1" si="9"/>
        <v>-6925.0080000000007</v>
      </c>
      <c r="K43" s="307">
        <f t="shared" ca="1" si="10"/>
        <v>110552.36858954668</v>
      </c>
      <c r="L43" s="307">
        <f t="shared" si="11"/>
        <v>0</v>
      </c>
      <c r="M43" s="307">
        <v>0</v>
      </c>
      <c r="N43" s="307">
        <f t="shared" ca="1" si="12"/>
        <v>110552.36858954668</v>
      </c>
      <c r="O43" s="1494">
        <f t="shared" ca="1" si="13"/>
        <v>533864.66791837651</v>
      </c>
      <c r="P43" s="306">
        <f t="shared" si="25"/>
        <v>0</v>
      </c>
      <c r="Q43" s="306">
        <v>0</v>
      </c>
      <c r="R43" s="306">
        <f t="shared" ca="1" si="14"/>
        <v>533864.66791837651</v>
      </c>
      <c r="S43" s="818">
        <f t="shared" ca="1" si="15"/>
        <v>178439.48812176395</v>
      </c>
      <c r="T43" s="818">
        <f t="shared" si="16"/>
        <v>0</v>
      </c>
      <c r="U43" s="818">
        <v>0</v>
      </c>
      <c r="V43" s="818">
        <f t="shared" ca="1" si="17"/>
        <v>178439.48812176395</v>
      </c>
      <c r="W43" s="306">
        <f t="shared" si="1"/>
        <v>0</v>
      </c>
      <c r="X43" s="306">
        <f t="shared" ca="1" si="2"/>
        <v>-13213.549505801528</v>
      </c>
      <c r="Y43" s="306">
        <v>0</v>
      </c>
      <c r="Z43" s="306">
        <v>0</v>
      </c>
      <c r="AA43" s="308">
        <f ca="1">-SUM(W43,X43/OFFSET(GridFootprintbyYear,$A43-$A$19,0)*EF_PurchElec_MTperMWh,Z43)*OFFSET(ExposureCalculations!Price_GHG_Allowance_2010,A43-$A$19,0)*ExposureCalculations!D40</f>
        <v>766557.36241827952</v>
      </c>
      <c r="AB43" s="308">
        <f t="shared" ca="1" si="3"/>
        <v>797223.2023134277</v>
      </c>
      <c r="AC43" s="308">
        <v>0</v>
      </c>
      <c r="AD43" s="819">
        <f t="shared" ca="1" si="4"/>
        <v>749900.52626922063</v>
      </c>
      <c r="AE43" s="308">
        <v>0</v>
      </c>
      <c r="AF43" s="819">
        <f t="shared" ca="1" si="5"/>
        <v>133883.48800000001</v>
      </c>
      <c r="AG43" s="308">
        <v>0</v>
      </c>
      <c r="AH43" s="308">
        <v>0</v>
      </c>
      <c r="AI43" s="308">
        <v>0</v>
      </c>
      <c r="AJ43" s="308">
        <f t="shared" ca="1" si="6"/>
        <v>1681007.2165826485</v>
      </c>
      <c r="AK43" s="309">
        <v>0</v>
      </c>
      <c r="AL43" s="309">
        <f t="shared" si="26"/>
        <v>0</v>
      </c>
      <c r="AM43" s="309">
        <f t="shared" si="18"/>
        <v>0</v>
      </c>
      <c r="AN43" s="310">
        <v>0</v>
      </c>
      <c r="AO43" s="310">
        <v>0</v>
      </c>
      <c r="AP43" s="310">
        <f t="shared" si="19"/>
        <v>0</v>
      </c>
      <c r="AQ43" s="309">
        <v>0</v>
      </c>
      <c r="AR43" s="311">
        <f t="shared" ca="1" si="7"/>
        <v>2447564.579000928</v>
      </c>
      <c r="AS43" s="870">
        <f t="shared" ca="1" si="20"/>
        <v>26526184.083359893</v>
      </c>
      <c r="AT43" s="822"/>
      <c r="AU43" s="878"/>
      <c r="AV43" s="35"/>
      <c r="AW43" s="879"/>
      <c r="AX43" s="35"/>
      <c r="AY43" s="880"/>
    </row>
    <row r="44" spans="1:51">
      <c r="A44" s="303">
        <v>2035</v>
      </c>
      <c r="B44" s="304">
        <f ca="1">IF($D$3="BAU",UtilityDemand!C37,INDIRECT($D$3&amp;"!B"&amp;ROW(A44))+INDIRECT($D$3&amp;"!D"&amp;ROW(A44)))</f>
        <v>118745.27532327401</v>
      </c>
      <c r="C44" s="305">
        <f t="shared" ca="1" si="21"/>
        <v>-7.0074366978785288E-2</v>
      </c>
      <c r="D44" s="306">
        <f t="shared" ca="1" si="22"/>
        <v>-8321</v>
      </c>
      <c r="E44" s="304">
        <f ca="1">IF($D$3="BAU",UtilityDemand!E37,INDIRECT($D$3&amp;"!E"&amp;ROW(D44))+INDIRECT($D$3&amp;"!G"&amp;ROW(D44)))</f>
        <v>593321.18899511173</v>
      </c>
      <c r="F44" s="305">
        <f t="shared" ca="1" si="23"/>
        <v>-0.10134978510011618</v>
      </c>
      <c r="G44" s="306">
        <f t="shared" ca="1" si="8"/>
        <v>-60132.974999999991</v>
      </c>
      <c r="H44" s="304">
        <f ca="1">IF($D$3="BAU",UtilityDemand!G37,INDIRECT($D$3&amp;"!H"&amp;ROW(G44))+INDIRECT($D$3&amp;"!J"&amp;ROW(G44)))</f>
        <v>186185.75814560964</v>
      </c>
      <c r="I44" s="305">
        <f t="shared" ca="1" si="24"/>
        <v>-3.7194080089542531E-2</v>
      </c>
      <c r="J44" s="306">
        <f t="shared" ca="1" si="9"/>
        <v>-6925.0080000000007</v>
      </c>
      <c r="K44" s="307">
        <f t="shared" ca="1" si="10"/>
        <v>110424.27532327401</v>
      </c>
      <c r="L44" s="307">
        <f t="shared" si="11"/>
        <v>0</v>
      </c>
      <c r="M44" s="307">
        <v>0</v>
      </c>
      <c r="N44" s="307">
        <f t="shared" ca="1" si="12"/>
        <v>110424.27532327401</v>
      </c>
      <c r="O44" s="1494">
        <f t="shared" ca="1" si="13"/>
        <v>533188.21399511176</v>
      </c>
      <c r="P44" s="306">
        <f t="shared" si="25"/>
        <v>0</v>
      </c>
      <c r="Q44" s="306">
        <v>0</v>
      </c>
      <c r="R44" s="306">
        <f t="shared" ca="1" si="14"/>
        <v>533188.21399511176</v>
      </c>
      <c r="S44" s="818">
        <f t="shared" ca="1" si="15"/>
        <v>179260.75014560964</v>
      </c>
      <c r="T44" s="818">
        <f t="shared" si="16"/>
        <v>0</v>
      </c>
      <c r="U44" s="818">
        <v>0</v>
      </c>
      <c r="V44" s="818">
        <f t="shared" ca="1" si="17"/>
        <v>179260.75014560964</v>
      </c>
      <c r="W44" s="306">
        <f t="shared" si="1"/>
        <v>0</v>
      </c>
      <c r="X44" s="306">
        <f t="shared" ca="1" si="2"/>
        <v>-13213.549505801528</v>
      </c>
      <c r="Y44" s="306">
        <v>0</v>
      </c>
      <c r="Z44" s="306">
        <v>0</v>
      </c>
      <c r="AA44" s="308">
        <f ca="1">-SUM(W44,X44/OFFSET(GridFootprintbyYear,$A44-$A$19,0)*EF_PurchElec_MTperMWh,Z44)*OFFSET(ExposureCalculations!Price_GHG_Allowance_2010,A44-$A$19,0)*ExposureCalculations!D41</f>
        <v>804920.89447581396</v>
      </c>
      <c r="AB44" s="308">
        <f t="shared" ca="1" si="3"/>
        <v>801209.31832499465</v>
      </c>
      <c r="AC44" s="308">
        <v>0</v>
      </c>
      <c r="AD44" s="819">
        <f t="shared" ca="1" si="4"/>
        <v>753650.02890056663</v>
      </c>
      <c r="AE44" s="308">
        <v>0</v>
      </c>
      <c r="AF44" s="819">
        <f t="shared" ca="1" si="5"/>
        <v>133883.48800000001</v>
      </c>
      <c r="AG44" s="308">
        <v>0</v>
      </c>
      <c r="AH44" s="308">
        <v>0</v>
      </c>
      <c r="AI44" s="308">
        <v>0</v>
      </c>
      <c r="AJ44" s="308">
        <f t="shared" ca="1" si="6"/>
        <v>1688742.8352255612</v>
      </c>
      <c r="AK44" s="309">
        <v>0</v>
      </c>
      <c r="AL44" s="309">
        <f t="shared" si="26"/>
        <v>0</v>
      </c>
      <c r="AM44" s="309">
        <f t="shared" si="18"/>
        <v>0</v>
      </c>
      <c r="AN44" s="310">
        <v>0</v>
      </c>
      <c r="AO44" s="310">
        <v>0</v>
      </c>
      <c r="AP44" s="310">
        <f t="shared" si="19"/>
        <v>0</v>
      </c>
      <c r="AQ44" s="309">
        <v>0</v>
      </c>
      <c r="AR44" s="311">
        <f t="shared" ca="1" si="7"/>
        <v>2493663.7297013751</v>
      </c>
      <c r="AS44" s="870">
        <f t="shared" ca="1" si="20"/>
        <v>29019847.813061267</v>
      </c>
      <c r="AT44" s="822"/>
      <c r="AU44" s="878"/>
      <c r="AV44" s="35"/>
      <c r="AW44" s="879"/>
      <c r="AX44" s="35"/>
      <c r="AY44" s="880"/>
    </row>
    <row r="45" spans="1:51">
      <c r="A45" s="303">
        <v>2036</v>
      </c>
      <c r="B45" s="304">
        <f ca="1">IF($D$3="BAU",UtilityDemand!C38,INDIRECT($D$3&amp;"!B"&amp;ROW(A45))+INDIRECT($D$3&amp;"!D"&amp;ROW(A45)))</f>
        <v>118616.36895172419</v>
      </c>
      <c r="C45" s="305">
        <f t="shared" ca="1" si="21"/>
        <v>-7.015052031635341E-2</v>
      </c>
      <c r="D45" s="306">
        <f t="shared" ca="1" si="22"/>
        <v>-8321</v>
      </c>
      <c r="E45" s="304">
        <f ca="1">IF($D$3="BAU",UtilityDemand!E38,INDIRECT($D$3&amp;"!E"&amp;ROW(D45))+INDIRECT($D$3&amp;"!G"&amp;ROW(D45)))</f>
        <v>592644.73507184675</v>
      </c>
      <c r="F45" s="305">
        <f t="shared" ca="1" si="23"/>
        <v>-0.10146546732202055</v>
      </c>
      <c r="G45" s="306">
        <f t="shared" ca="1" si="8"/>
        <v>-60132.974999999991</v>
      </c>
      <c r="H45" s="304">
        <f ca="1">IF($D$3="BAU",UtilityDemand!G38,INDIRECT($D$3&amp;"!H"&amp;ROW(G45))+INDIRECT($D$3&amp;"!J"&amp;ROW(G45)))</f>
        <v>187006.20706417819</v>
      </c>
      <c r="I45" s="305">
        <f t="shared" ca="1" si="24"/>
        <v>-3.7030899180920902E-2</v>
      </c>
      <c r="J45" s="306">
        <f t="shared" ca="1" si="9"/>
        <v>-6925.0080000000007</v>
      </c>
      <c r="K45" s="307">
        <f t="shared" ca="1" si="10"/>
        <v>110295.36895172419</v>
      </c>
      <c r="L45" s="307">
        <f t="shared" si="11"/>
        <v>0</v>
      </c>
      <c r="M45" s="307">
        <v>0</v>
      </c>
      <c r="N45" s="307">
        <f t="shared" ca="1" si="12"/>
        <v>110295.36895172419</v>
      </c>
      <c r="O45" s="1494">
        <f t="shared" ca="1" si="13"/>
        <v>532511.76007184677</v>
      </c>
      <c r="P45" s="306">
        <f t="shared" si="25"/>
        <v>0</v>
      </c>
      <c r="Q45" s="306">
        <v>0</v>
      </c>
      <c r="R45" s="306">
        <f t="shared" ca="1" si="14"/>
        <v>532511.76007184677</v>
      </c>
      <c r="S45" s="818">
        <f t="shared" ca="1" si="15"/>
        <v>180081.19906417819</v>
      </c>
      <c r="T45" s="818">
        <f t="shared" si="16"/>
        <v>0</v>
      </c>
      <c r="U45" s="818">
        <v>0</v>
      </c>
      <c r="V45" s="818">
        <f t="shared" ca="1" si="17"/>
        <v>180081.19906417819</v>
      </c>
      <c r="W45" s="306">
        <f t="shared" si="1"/>
        <v>0</v>
      </c>
      <c r="X45" s="306">
        <f t="shared" ca="1" si="2"/>
        <v>-13213.549505801528</v>
      </c>
      <c r="Y45" s="306">
        <v>0</v>
      </c>
      <c r="Z45" s="306">
        <v>0</v>
      </c>
      <c r="AA45" s="308">
        <f ca="1">-SUM(W45,X45/OFFSET(GridFootprintbyYear,$A45-$A$19,0)*EF_PurchElec_MTperMWh,Z45)*OFFSET(ExposureCalculations!Price_GHG_Allowance_2010,A45-$A$19,0)*ExposureCalculations!D42</f>
        <v>849805.14129510126</v>
      </c>
      <c r="AB45" s="308">
        <f t="shared" ca="1" si="3"/>
        <v>805215.36491661961</v>
      </c>
      <c r="AC45" s="308">
        <v>0</v>
      </c>
      <c r="AD45" s="819">
        <f t="shared" ca="1" si="4"/>
        <v>757418.27904506924</v>
      </c>
      <c r="AE45" s="308">
        <v>0</v>
      </c>
      <c r="AF45" s="819">
        <f t="shared" ca="1" si="5"/>
        <v>133883.48800000001</v>
      </c>
      <c r="AG45" s="308">
        <v>0</v>
      </c>
      <c r="AH45" s="308">
        <v>0</v>
      </c>
      <c r="AI45" s="308">
        <v>0</v>
      </c>
      <c r="AJ45" s="308">
        <f t="shared" ca="1" si="6"/>
        <v>1696517.1319616889</v>
      </c>
      <c r="AK45" s="309">
        <v>0</v>
      </c>
      <c r="AL45" s="309">
        <f t="shared" si="26"/>
        <v>0</v>
      </c>
      <c r="AM45" s="309">
        <f t="shared" si="18"/>
        <v>0</v>
      </c>
      <c r="AN45" s="310">
        <v>0</v>
      </c>
      <c r="AO45" s="310">
        <v>0</v>
      </c>
      <c r="AP45" s="310">
        <f t="shared" si="19"/>
        <v>0</v>
      </c>
      <c r="AQ45" s="309">
        <v>0</v>
      </c>
      <c r="AR45" s="311">
        <f t="shared" ca="1" si="7"/>
        <v>2546322.2732567899</v>
      </c>
      <c r="AS45" s="870">
        <f t="shared" ca="1" si="20"/>
        <v>31566170.086318057</v>
      </c>
      <c r="AT45" s="822"/>
      <c r="AU45" s="878"/>
      <c r="AV45" s="35"/>
      <c r="AW45" s="879"/>
      <c r="AX45" s="35"/>
      <c r="AY45" s="880"/>
    </row>
    <row r="46" spans="1:51">
      <c r="A46" s="303">
        <v>2037</v>
      </c>
      <c r="B46" s="304">
        <f ca="1">IF($D$3="BAU",UtilityDemand!C39,INDIRECT($D$3&amp;"!B"&amp;ROW(A46))+INDIRECT($D$3&amp;"!D"&amp;ROW(A46)))</f>
        <v>118486.67136757774</v>
      </c>
      <c r="C46" s="305">
        <f t="shared" ca="1" si="21"/>
        <v>-7.0227308303615052E-2</v>
      </c>
      <c r="D46" s="306">
        <f t="shared" ca="1" si="22"/>
        <v>-8321</v>
      </c>
      <c r="E46" s="304">
        <f ca="1">IF($D$3="BAU",UtilityDemand!E39,INDIRECT($D$3&amp;"!E"&amp;ROW(D46))+INDIRECT($D$3&amp;"!G"&amp;ROW(D46)))</f>
        <v>591968.28114858177</v>
      </c>
      <c r="F46" s="305">
        <f t="shared" ca="1" si="23"/>
        <v>-0.10158141392867441</v>
      </c>
      <c r="G46" s="306">
        <f t="shared" ca="1" si="8"/>
        <v>-60132.974999999991</v>
      </c>
      <c r="H46" s="304">
        <f ca="1">IF($D$3="BAU",UtilityDemand!G39,INDIRECT($D$3&amp;"!H"&amp;ROW(G46))+INDIRECT($D$3&amp;"!J"&amp;ROW(G46)))</f>
        <v>187825.86477015013</v>
      </c>
      <c r="I46" s="305">
        <f t="shared" ca="1" si="24"/>
        <v>-3.6869299169602673E-2</v>
      </c>
      <c r="J46" s="306">
        <f t="shared" ca="1" si="9"/>
        <v>-6925.0080000000007</v>
      </c>
      <c r="K46" s="307">
        <f t="shared" ca="1" si="10"/>
        <v>110165.67136757774</v>
      </c>
      <c r="L46" s="307">
        <f t="shared" si="11"/>
        <v>0</v>
      </c>
      <c r="M46" s="307">
        <v>0</v>
      </c>
      <c r="N46" s="307">
        <f t="shared" ca="1" si="12"/>
        <v>110165.67136757774</v>
      </c>
      <c r="O46" s="1494">
        <f t="shared" ca="1" si="13"/>
        <v>531835.30614858179</v>
      </c>
      <c r="P46" s="306">
        <f t="shared" si="25"/>
        <v>0</v>
      </c>
      <c r="Q46" s="306">
        <v>0</v>
      </c>
      <c r="R46" s="306">
        <f t="shared" ca="1" si="14"/>
        <v>531835.30614858179</v>
      </c>
      <c r="S46" s="818">
        <f t="shared" ca="1" si="15"/>
        <v>180900.85677015013</v>
      </c>
      <c r="T46" s="818">
        <f t="shared" si="16"/>
        <v>0</v>
      </c>
      <c r="U46" s="818">
        <v>0</v>
      </c>
      <c r="V46" s="818">
        <f t="shared" ca="1" si="17"/>
        <v>180900.85677015013</v>
      </c>
      <c r="W46" s="306">
        <f t="shared" si="1"/>
        <v>0</v>
      </c>
      <c r="X46" s="306">
        <f t="shared" ca="1" si="2"/>
        <v>-13213.549505801528</v>
      </c>
      <c r="Y46" s="306">
        <v>0</v>
      </c>
      <c r="Z46" s="306">
        <v>0</v>
      </c>
      <c r="AA46" s="308">
        <f ca="1">-SUM(W46,X46/OFFSET(GridFootprintbyYear,$A46-$A$19,0)*EF_PurchElec_MTperMWh,Z46)*OFFSET(ExposureCalculations!Price_GHG_Allowance_2010,A46-$A$19,0)*ExposureCalculations!D43</f>
        <v>894494.2869911443</v>
      </c>
      <c r="AB46" s="308">
        <f t="shared" ca="1" si="3"/>
        <v>809241.44174120249</v>
      </c>
      <c r="AC46" s="308">
        <v>0</v>
      </c>
      <c r="AD46" s="819">
        <f t="shared" ca="1" si="4"/>
        <v>761205.3704402945</v>
      </c>
      <c r="AE46" s="308">
        <v>0</v>
      </c>
      <c r="AF46" s="819">
        <f t="shared" ca="1" si="5"/>
        <v>133883.48800000001</v>
      </c>
      <c r="AG46" s="308">
        <v>0</v>
      </c>
      <c r="AH46" s="308">
        <v>0</v>
      </c>
      <c r="AI46" s="308">
        <v>0</v>
      </c>
      <c r="AJ46" s="308">
        <f t="shared" ca="1" si="6"/>
        <v>1704330.3001814969</v>
      </c>
      <c r="AK46" s="309">
        <v>0</v>
      </c>
      <c r="AL46" s="309">
        <f t="shared" si="26"/>
        <v>0</v>
      </c>
      <c r="AM46" s="309">
        <f t="shared" si="18"/>
        <v>0</v>
      </c>
      <c r="AN46" s="310">
        <v>0</v>
      </c>
      <c r="AO46" s="310">
        <v>0</v>
      </c>
      <c r="AP46" s="310">
        <f t="shared" si="19"/>
        <v>0</v>
      </c>
      <c r="AQ46" s="309">
        <v>0</v>
      </c>
      <c r="AR46" s="311">
        <f t="shared" ca="1" si="7"/>
        <v>2598824.5871726414</v>
      </c>
      <c r="AS46" s="870">
        <f t="shared" ca="1" si="20"/>
        <v>34164994.673490696</v>
      </c>
      <c r="AT46" s="822"/>
      <c r="AU46" s="878"/>
      <c r="AV46" s="35"/>
      <c r="AW46" s="879"/>
      <c r="AX46" s="35"/>
      <c r="AY46" s="880"/>
    </row>
    <row r="47" spans="1:51">
      <c r="A47" s="303">
        <v>2038</v>
      </c>
      <c r="B47" s="304">
        <f ca="1">IF($D$3="BAU",UtilityDemand!C40,INDIRECT($D$3&amp;"!B"&amp;ROW(A47))+INDIRECT($D$3&amp;"!D"&amp;ROW(A47)))</f>
        <v>118356.20368456552</v>
      </c>
      <c r="C47" s="305">
        <f t="shared" ca="1" si="21"/>
        <v>-7.0304722025188754E-2</v>
      </c>
      <c r="D47" s="306">
        <f t="shared" ca="1" si="22"/>
        <v>-8321</v>
      </c>
      <c r="E47" s="304">
        <f ca="1">IF($D$3="BAU",UtilityDemand!E40,INDIRECT($D$3&amp;"!E"&amp;ROW(D47))+INDIRECT($D$3&amp;"!G"&amp;ROW(D47)))</f>
        <v>591291.82722531701</v>
      </c>
      <c r="F47" s="305">
        <f t="shared" ca="1" si="23"/>
        <v>-0.10169762582746773</v>
      </c>
      <c r="G47" s="306">
        <f t="shared" ca="1" si="8"/>
        <v>-60132.974999999991</v>
      </c>
      <c r="H47" s="304">
        <f ca="1">IF($D$3="BAU",UtilityDemand!G40,INDIRECT($D$3&amp;"!H"&amp;ROW(G47))+INDIRECT($D$3&amp;"!J"&amp;ROW(G47)))</f>
        <v>188644.75237725623</v>
      </c>
      <c r="I47" s="305">
        <f t="shared" ca="1" si="24"/>
        <v>-3.6709253306719113E-2</v>
      </c>
      <c r="J47" s="306">
        <f t="shared" ca="1" si="9"/>
        <v>-6925.0080000000007</v>
      </c>
      <c r="K47" s="307">
        <f t="shared" ca="1" si="10"/>
        <v>110035.20368456552</v>
      </c>
      <c r="L47" s="307">
        <f t="shared" si="11"/>
        <v>0</v>
      </c>
      <c r="M47" s="307">
        <v>0</v>
      </c>
      <c r="N47" s="307">
        <f t="shared" ca="1" si="12"/>
        <v>110035.20368456552</v>
      </c>
      <c r="O47" s="1494">
        <f t="shared" ca="1" si="13"/>
        <v>531158.85222531704</v>
      </c>
      <c r="P47" s="306">
        <f t="shared" si="25"/>
        <v>0</v>
      </c>
      <c r="Q47" s="306">
        <v>0</v>
      </c>
      <c r="R47" s="306">
        <f t="shared" ca="1" si="14"/>
        <v>531158.85222531704</v>
      </c>
      <c r="S47" s="818">
        <f t="shared" ca="1" si="15"/>
        <v>181719.74437725623</v>
      </c>
      <c r="T47" s="818">
        <f t="shared" si="16"/>
        <v>0</v>
      </c>
      <c r="U47" s="818">
        <v>0</v>
      </c>
      <c r="V47" s="818">
        <f t="shared" ca="1" si="17"/>
        <v>181719.74437725623</v>
      </c>
      <c r="W47" s="306">
        <f t="shared" si="1"/>
        <v>0</v>
      </c>
      <c r="X47" s="306">
        <f t="shared" ca="1" si="2"/>
        <v>-13213.549505801528</v>
      </c>
      <c r="Y47" s="306">
        <v>0</v>
      </c>
      <c r="Z47" s="306">
        <v>0</v>
      </c>
      <c r="AA47" s="308">
        <f ca="1">-SUM(W47,X47/OFFSET(GridFootprintbyYear,$A47-$A$19,0)*EF_PurchElec_MTperMWh,Z47)*OFFSET(ExposureCalculations!Price_GHG_Allowance_2010,A47-$A$19,0)*ExposureCalculations!D44</f>
        <v>938869.89830855955</v>
      </c>
      <c r="AB47" s="308">
        <f t="shared" ca="1" si="3"/>
        <v>813287.64894990833</v>
      </c>
      <c r="AC47" s="308">
        <v>0</v>
      </c>
      <c r="AD47" s="819">
        <f t="shared" ca="1" si="4"/>
        <v>765011.39729249571</v>
      </c>
      <c r="AE47" s="308">
        <v>0</v>
      </c>
      <c r="AF47" s="819">
        <f t="shared" ca="1" si="5"/>
        <v>133883.48800000001</v>
      </c>
      <c r="AG47" s="308">
        <v>0</v>
      </c>
      <c r="AH47" s="308">
        <v>0</v>
      </c>
      <c r="AI47" s="308">
        <v>0</v>
      </c>
      <c r="AJ47" s="308">
        <f t="shared" ca="1" si="6"/>
        <v>1712182.5342424042</v>
      </c>
      <c r="AK47" s="309">
        <v>0</v>
      </c>
      <c r="AL47" s="309">
        <f t="shared" si="26"/>
        <v>0</v>
      </c>
      <c r="AM47" s="309">
        <f t="shared" si="18"/>
        <v>0</v>
      </c>
      <c r="AN47" s="310">
        <v>0</v>
      </c>
      <c r="AO47" s="310">
        <v>0</v>
      </c>
      <c r="AP47" s="310">
        <f t="shared" si="19"/>
        <v>0</v>
      </c>
      <c r="AQ47" s="309">
        <v>0</v>
      </c>
      <c r="AR47" s="311">
        <f t="shared" ca="1" si="7"/>
        <v>2651052.4325509639</v>
      </c>
      <c r="AS47" s="870">
        <f t="shared" ca="1" si="20"/>
        <v>36816047.106041662</v>
      </c>
      <c r="AT47" s="822"/>
      <c r="AU47" s="878"/>
      <c r="AV47" s="35"/>
      <c r="AW47" s="879"/>
      <c r="AX47" s="35"/>
      <c r="AY47" s="880"/>
    </row>
    <row r="48" spans="1:51">
      <c r="A48" s="303">
        <v>2039</v>
      </c>
      <c r="B48" s="304">
        <f ca="1">IF($D$3="BAU",UtilityDemand!C41,INDIRECT($D$3&amp;"!B"&amp;ROW(A48))+INDIRECT($D$3&amp;"!D"&amp;ROW(A48)))</f>
        <v>118224.98627180712</v>
      </c>
      <c r="C48" s="305">
        <f t="shared" ca="1" si="21"/>
        <v>-7.0382752939124618E-2</v>
      </c>
      <c r="D48" s="306">
        <f t="shared" ca="1" si="22"/>
        <v>-8321</v>
      </c>
      <c r="E48" s="304">
        <f ca="1">IF($D$3="BAU",UtilityDemand!E41,INDIRECT($D$3&amp;"!E"&amp;ROW(D48))+INDIRECT($D$3&amp;"!G"&amp;ROW(D48)))</f>
        <v>590615.37330205203</v>
      </c>
      <c r="F48" s="305">
        <f t="shared" ca="1" si="23"/>
        <v>-0.10181410392994772</v>
      </c>
      <c r="G48" s="306">
        <f t="shared" ca="1" si="8"/>
        <v>-60132.974999999991</v>
      </c>
      <c r="H48" s="304">
        <f ca="1">IF($D$3="BAU",UtilityDemand!G41,INDIRECT($D$3&amp;"!H"&amp;ROW(G48))+INDIRECT($D$3&amp;"!J"&amp;ROW(G48)))</f>
        <v>189462.89025461621</v>
      </c>
      <c r="I48" s="305">
        <f t="shared" ca="1" si="24"/>
        <v>-3.6550735559315026E-2</v>
      </c>
      <c r="J48" s="306">
        <f t="shared" ca="1" si="9"/>
        <v>-6925.0080000000007</v>
      </c>
      <c r="K48" s="307">
        <f t="shared" ca="1" si="10"/>
        <v>109903.98627180712</v>
      </c>
      <c r="L48" s="307">
        <f t="shared" si="11"/>
        <v>0</v>
      </c>
      <c r="M48" s="307">
        <v>0</v>
      </c>
      <c r="N48" s="307">
        <f t="shared" ca="1" si="12"/>
        <v>109903.98627180712</v>
      </c>
      <c r="O48" s="1494">
        <f t="shared" ca="1" si="13"/>
        <v>530482.39830205205</v>
      </c>
      <c r="P48" s="306">
        <f t="shared" si="25"/>
        <v>0</v>
      </c>
      <c r="Q48" s="306">
        <v>0</v>
      </c>
      <c r="R48" s="306">
        <f t="shared" ca="1" si="14"/>
        <v>530482.39830205205</v>
      </c>
      <c r="S48" s="818">
        <f t="shared" ca="1" si="15"/>
        <v>182537.88225461621</v>
      </c>
      <c r="T48" s="818">
        <f t="shared" si="16"/>
        <v>0</v>
      </c>
      <c r="U48" s="818">
        <v>0</v>
      </c>
      <c r="V48" s="818">
        <f t="shared" ca="1" si="17"/>
        <v>182537.88225461621</v>
      </c>
      <c r="W48" s="306">
        <f t="shared" si="1"/>
        <v>0</v>
      </c>
      <c r="X48" s="306">
        <f t="shared" ca="1" si="2"/>
        <v>-13213.549505801528</v>
      </c>
      <c r="Y48" s="306">
        <v>0</v>
      </c>
      <c r="Z48" s="306">
        <v>0</v>
      </c>
      <c r="AA48" s="308">
        <f ca="1">-SUM(W48,X48/OFFSET(GridFootprintbyYear,$A48-$A$19,0)*EF_PurchElec_MTperMWh,Z48)*OFFSET(ExposureCalculations!Price_GHG_Allowance_2010,A48-$A$19,0)*ExposureCalculations!D45</f>
        <v>982835.45434708556</v>
      </c>
      <c r="AB48" s="308">
        <f t="shared" ca="1" si="3"/>
        <v>817354.08719465777</v>
      </c>
      <c r="AC48" s="308">
        <v>0</v>
      </c>
      <c r="AD48" s="819">
        <f t="shared" ca="1" si="4"/>
        <v>768836.45427895826</v>
      </c>
      <c r="AE48" s="308">
        <v>0</v>
      </c>
      <c r="AF48" s="819">
        <f t="shared" ca="1" si="5"/>
        <v>133883.48800000001</v>
      </c>
      <c r="AG48" s="308">
        <v>0</v>
      </c>
      <c r="AH48" s="308">
        <v>0</v>
      </c>
      <c r="AI48" s="308">
        <v>0</v>
      </c>
      <c r="AJ48" s="308">
        <f t="shared" ca="1" si="6"/>
        <v>1720074.0294736158</v>
      </c>
      <c r="AK48" s="309">
        <v>0</v>
      </c>
      <c r="AL48" s="309">
        <f t="shared" si="26"/>
        <v>0</v>
      </c>
      <c r="AM48" s="309">
        <f t="shared" si="18"/>
        <v>0</v>
      </c>
      <c r="AN48" s="310">
        <v>0</v>
      </c>
      <c r="AO48" s="310">
        <v>0</v>
      </c>
      <c r="AP48" s="310">
        <f t="shared" si="19"/>
        <v>0</v>
      </c>
      <c r="AQ48" s="309">
        <v>0</v>
      </c>
      <c r="AR48" s="311">
        <f t="shared" ca="1" si="7"/>
        <v>2702909.4838207015</v>
      </c>
      <c r="AS48" s="870">
        <f t="shared" ca="1" si="20"/>
        <v>39518956.589862362</v>
      </c>
      <c r="AT48" s="822"/>
      <c r="AU48" s="878"/>
      <c r="AV48" s="35"/>
      <c r="AW48" s="879"/>
      <c r="AX48" s="35"/>
      <c r="AY48" s="880"/>
    </row>
    <row r="49" spans="1:51">
      <c r="A49" s="303">
        <v>2040</v>
      </c>
      <c r="B49" s="304">
        <f ca="1">IF($D$3="BAU",UtilityDemand!C42,INDIRECT($D$3&amp;"!B"&amp;ROW(A49))+INDIRECT($D$3&amp;"!D"&amp;ROW(A49)))</f>
        <v>118093.03878634929</v>
      </c>
      <c r="C49" s="305">
        <f t="shared" ca="1" si="21"/>
        <v>-7.0461392860371105E-2</v>
      </c>
      <c r="D49" s="306">
        <f t="shared" ca="1" si="22"/>
        <v>-8321</v>
      </c>
      <c r="E49" s="304">
        <f ca="1">IF($D$3="BAU",UtilityDemand!E42,INDIRECT($D$3&amp;"!E"&amp;ROW(D49))+INDIRECT($D$3&amp;"!G"&amp;ROW(D49)))</f>
        <v>589938.91937878705</v>
      </c>
      <c r="F49" s="305">
        <f t="shared" ca="1" si="23"/>
        <v>-0.10193084915184229</v>
      </c>
      <c r="G49" s="306">
        <f t="shared" ca="1" si="8"/>
        <v>-60132.974999999991</v>
      </c>
      <c r="H49" s="304">
        <f ca="1">IF($D$3="BAU",UtilityDemand!G42,INDIRECT($D$3&amp;"!H"&amp;ROW(G49))+INDIRECT($D$3&amp;"!J"&amp;ROW(G49)))</f>
        <v>190280.29805927677</v>
      </c>
      <c r="I49" s="305">
        <f t="shared" ca="1" si="24"/>
        <v>-3.6393720582898699E-2</v>
      </c>
      <c r="J49" s="306">
        <f t="shared" ca="1" si="9"/>
        <v>-6925.0080000000007</v>
      </c>
      <c r="K49" s="307">
        <f t="shared" ca="1" si="10"/>
        <v>109772.03878634929</v>
      </c>
      <c r="L49" s="307">
        <f t="shared" si="11"/>
        <v>0</v>
      </c>
      <c r="M49" s="307">
        <v>0</v>
      </c>
      <c r="N49" s="307">
        <f t="shared" ca="1" si="12"/>
        <v>109772.03878634929</v>
      </c>
      <c r="O49" s="1494">
        <f t="shared" ca="1" si="13"/>
        <v>529805.94437878707</v>
      </c>
      <c r="P49" s="306">
        <f t="shared" si="25"/>
        <v>0</v>
      </c>
      <c r="Q49" s="306">
        <v>0</v>
      </c>
      <c r="R49" s="306">
        <f t="shared" ca="1" si="14"/>
        <v>529805.94437878707</v>
      </c>
      <c r="S49" s="818">
        <f t="shared" ca="1" si="15"/>
        <v>183355.29005927677</v>
      </c>
      <c r="T49" s="818">
        <f t="shared" si="16"/>
        <v>0</v>
      </c>
      <c r="U49" s="818">
        <v>0</v>
      </c>
      <c r="V49" s="818">
        <f t="shared" ca="1" si="17"/>
        <v>183355.29005927677</v>
      </c>
      <c r="W49" s="306">
        <f t="shared" si="1"/>
        <v>0</v>
      </c>
      <c r="X49" s="306">
        <f t="shared" ca="1" si="2"/>
        <v>-13213.549505801528</v>
      </c>
      <c r="Y49" s="306">
        <v>0</v>
      </c>
      <c r="Z49" s="306">
        <v>0</v>
      </c>
      <c r="AA49" s="308">
        <f ca="1">-SUM(W49,X49/OFFSET(GridFootprintbyYear,$A49-$A$19,0)*EF_PurchElec_MTperMWh,Z49)*OFFSET(ExposureCalculations!Price_GHG_Allowance_2010,A49-$A$19,0)*ExposureCalculations!D46</f>
        <v>1028944.9127765988</v>
      </c>
      <c r="AB49" s="308">
        <f t="shared" ca="1" si="3"/>
        <v>821440.85763063096</v>
      </c>
      <c r="AC49" s="308">
        <v>0</v>
      </c>
      <c r="AD49" s="819">
        <f t="shared" ca="1" si="4"/>
        <v>772680.63655035279</v>
      </c>
      <c r="AE49" s="308">
        <v>0</v>
      </c>
      <c r="AF49" s="819">
        <f t="shared" ca="1" si="5"/>
        <v>133883.48800000001</v>
      </c>
      <c r="AG49" s="308">
        <v>0</v>
      </c>
      <c r="AH49" s="308">
        <v>0</v>
      </c>
      <c r="AI49" s="308">
        <v>0</v>
      </c>
      <c r="AJ49" s="308">
        <f t="shared" ca="1" si="6"/>
        <v>1728004.9821809838</v>
      </c>
      <c r="AK49" s="309">
        <v>0</v>
      </c>
      <c r="AL49" s="309">
        <f t="shared" si="26"/>
        <v>0</v>
      </c>
      <c r="AM49" s="309">
        <f t="shared" si="18"/>
        <v>0</v>
      </c>
      <c r="AN49" s="310">
        <v>0</v>
      </c>
      <c r="AO49" s="310">
        <v>0</v>
      </c>
      <c r="AP49" s="310">
        <f t="shared" si="19"/>
        <v>0</v>
      </c>
      <c r="AQ49" s="309">
        <v>0</v>
      </c>
      <c r="AR49" s="311">
        <f t="shared" ca="1" si="7"/>
        <v>2756949.8949575825</v>
      </c>
      <c r="AS49" s="870">
        <f t="shared" ca="1" si="20"/>
        <v>42275906.484819941</v>
      </c>
      <c r="AT49" s="822"/>
      <c r="AU49" s="878"/>
      <c r="AV49" s="35"/>
      <c r="AW49" s="879"/>
      <c r="AX49" s="35"/>
      <c r="AY49" s="880"/>
    </row>
    <row r="50" spans="1:51">
      <c r="A50" s="303">
        <v>2041</v>
      </c>
      <c r="B50" s="304">
        <f ca="1">IF($D$3="BAU",UtilityDemand!C43,INDIRECT($D$3&amp;"!B"&amp;ROW(A50))+INDIRECT($D$3&amp;"!D"&amp;ROW(A50)))</f>
        <v>117960.38020401237</v>
      </c>
      <c r="C50" s="305">
        <f t="shared" ca="1" si="21"/>
        <v>-7.0540633945133421E-2</v>
      </c>
      <c r="D50" s="306">
        <f t="shared" ca="1" si="22"/>
        <v>-8321</v>
      </c>
      <c r="E50" s="304">
        <f ca="1">IF($D$3="BAU",UtilityDemand!E43,INDIRECT($D$3&amp;"!E"&amp;ROW(D50))+INDIRECT($D$3&amp;"!G"&amp;ROW(D50)))</f>
        <v>589262.46545552206</v>
      </c>
      <c r="F50" s="305">
        <f t="shared" ca="1" si="23"/>
        <v>-0.10204786241308436</v>
      </c>
      <c r="G50" s="306">
        <f t="shared" ca="1" si="8"/>
        <v>-60132.974999999991</v>
      </c>
      <c r="H50" s="304">
        <f ca="1">IF($D$3="BAU",UtilityDemand!G43,INDIRECT($D$3&amp;"!H"&amp;ROW(G50))+INDIRECT($D$3&amp;"!J"&amp;ROW(G50)))</f>
        <v>191096.99476705818</v>
      </c>
      <c r="I50" s="305">
        <f t="shared" ca="1" si="24"/>
        <v>-3.6238183695360512E-2</v>
      </c>
      <c r="J50" s="306">
        <f t="shared" ca="1" si="9"/>
        <v>-6925.0080000000007</v>
      </c>
      <c r="K50" s="307">
        <f t="shared" ca="1" si="10"/>
        <v>109639.38020401237</v>
      </c>
      <c r="L50" s="307">
        <f t="shared" si="11"/>
        <v>0</v>
      </c>
      <c r="M50" s="307">
        <v>0</v>
      </c>
      <c r="N50" s="307">
        <f t="shared" ca="1" si="12"/>
        <v>109639.38020401237</v>
      </c>
      <c r="O50" s="1494">
        <f t="shared" ca="1" si="13"/>
        <v>529129.49045552209</v>
      </c>
      <c r="P50" s="306">
        <f t="shared" si="25"/>
        <v>0</v>
      </c>
      <c r="Q50" s="306">
        <v>0</v>
      </c>
      <c r="R50" s="306">
        <f t="shared" ca="1" si="14"/>
        <v>529129.49045552209</v>
      </c>
      <c r="S50" s="818">
        <f t="shared" ca="1" si="15"/>
        <v>184171.98676705817</v>
      </c>
      <c r="T50" s="818">
        <f t="shared" si="16"/>
        <v>0</v>
      </c>
      <c r="U50" s="818">
        <v>0</v>
      </c>
      <c r="V50" s="818">
        <f t="shared" ca="1" si="17"/>
        <v>184171.98676705817</v>
      </c>
      <c r="W50" s="306">
        <f t="shared" si="1"/>
        <v>0</v>
      </c>
      <c r="X50" s="306">
        <f t="shared" ca="1" si="2"/>
        <v>-13213.549505801528</v>
      </c>
      <c r="Y50" s="306">
        <v>0</v>
      </c>
      <c r="Z50" s="306">
        <v>0</v>
      </c>
      <c r="AA50" s="308">
        <f ca="1">-SUM(W50,X50/OFFSET(GridFootprintbyYear,$A50-$A$19,0)*EF_PurchElec_MTperMWh,Z50)*OFFSET(ExposureCalculations!Price_GHG_Allowance_2010,A50-$A$19,0)*ExposureCalculations!D47</f>
        <v>1073613.5919353142</v>
      </c>
      <c r="AB50" s="308">
        <f t="shared" ca="1" si="3"/>
        <v>825548.06191878382</v>
      </c>
      <c r="AC50" s="308">
        <v>0</v>
      </c>
      <c r="AD50" s="819">
        <f t="shared" ca="1" si="4"/>
        <v>776544.03973310441</v>
      </c>
      <c r="AE50" s="308">
        <v>0</v>
      </c>
      <c r="AF50" s="819">
        <f t="shared" ca="1" si="5"/>
        <v>133883.48800000001</v>
      </c>
      <c r="AG50" s="308">
        <v>0</v>
      </c>
      <c r="AH50" s="308">
        <v>0</v>
      </c>
      <c r="AI50" s="308">
        <v>0</v>
      </c>
      <c r="AJ50" s="308">
        <f t="shared" ca="1" si="6"/>
        <v>1735975.5896518882</v>
      </c>
      <c r="AK50" s="309">
        <v>0</v>
      </c>
      <c r="AL50" s="309">
        <f t="shared" si="26"/>
        <v>0</v>
      </c>
      <c r="AM50" s="309">
        <f t="shared" si="18"/>
        <v>0</v>
      </c>
      <c r="AN50" s="310">
        <v>0</v>
      </c>
      <c r="AO50" s="310">
        <v>0</v>
      </c>
      <c r="AP50" s="310">
        <f t="shared" si="19"/>
        <v>0</v>
      </c>
      <c r="AQ50" s="309">
        <v>0</v>
      </c>
      <c r="AR50" s="311">
        <f t="shared" ca="1" si="7"/>
        <v>2809589.1815872025</v>
      </c>
      <c r="AS50" s="870">
        <f t="shared" ca="1" si="20"/>
        <v>45085495.666407146</v>
      </c>
      <c r="AT50" s="822"/>
      <c r="AU50" s="878"/>
      <c r="AV50" s="35"/>
      <c r="AW50" s="879"/>
      <c r="AX50" s="35"/>
      <c r="AY50" s="880"/>
    </row>
    <row r="51" spans="1:51">
      <c r="A51" s="303">
        <v>2042</v>
      </c>
      <c r="B51" s="304">
        <f ca="1">IF($D$3="BAU",UtilityDemand!C44,INDIRECT($D$3&amp;"!B"&amp;ROW(A51))+INDIRECT($D$3&amp;"!D"&amp;ROW(A51)))</f>
        <v>117827.02884864717</v>
      </c>
      <c r="C51" s="305">
        <f t="shared" ca="1" si="21"/>
        <v>-7.0620468676067596E-2</v>
      </c>
      <c r="D51" s="306">
        <f t="shared" ca="1" si="22"/>
        <v>-8321</v>
      </c>
      <c r="E51" s="304">
        <f ca="1">IF($D$3="BAU",UtilityDemand!E44,INDIRECT($D$3&amp;"!E"&amp;ROW(D51))+INDIRECT($D$3&amp;"!G"&amp;ROW(D51)))</f>
        <v>588586.01153225708</v>
      </c>
      <c r="F51" s="305">
        <f t="shared" ca="1" si="23"/>
        <v>-0.10216514463783589</v>
      </c>
      <c r="G51" s="306">
        <f t="shared" ca="1" si="8"/>
        <v>-60132.974999999991</v>
      </c>
      <c r="H51" s="304">
        <f ca="1">IF($D$3="BAU",UtilityDemand!G44,INDIRECT($D$3&amp;"!H"&amp;ROW(G51))+INDIRECT($D$3&amp;"!J"&amp;ROW(G51)))</f>
        <v>191912.99870181127</v>
      </c>
      <c r="I51" s="305">
        <f t="shared" ca="1" si="24"/>
        <v>-3.608410085217767E-2</v>
      </c>
      <c r="J51" s="306">
        <f t="shared" ca="1" si="9"/>
        <v>-6925.0080000000007</v>
      </c>
      <c r="K51" s="307">
        <f t="shared" ca="1" si="10"/>
        <v>109506.02884864717</v>
      </c>
      <c r="L51" s="307">
        <f t="shared" si="11"/>
        <v>0</v>
      </c>
      <c r="M51" s="307">
        <v>0</v>
      </c>
      <c r="N51" s="307">
        <f t="shared" ca="1" si="12"/>
        <v>109506.02884864717</v>
      </c>
      <c r="O51" s="1494">
        <f t="shared" ca="1" si="13"/>
        <v>528453.0365322571</v>
      </c>
      <c r="P51" s="306">
        <f t="shared" si="25"/>
        <v>0</v>
      </c>
      <c r="Q51" s="306">
        <v>0</v>
      </c>
      <c r="R51" s="306">
        <f t="shared" ca="1" si="14"/>
        <v>528453.0365322571</v>
      </c>
      <c r="S51" s="818">
        <f t="shared" ca="1" si="15"/>
        <v>184987.99070181127</v>
      </c>
      <c r="T51" s="818">
        <f t="shared" si="16"/>
        <v>0</v>
      </c>
      <c r="U51" s="818">
        <v>0</v>
      </c>
      <c r="V51" s="818">
        <f t="shared" ca="1" si="17"/>
        <v>184987.99070181127</v>
      </c>
      <c r="W51" s="306">
        <f t="shared" si="1"/>
        <v>0</v>
      </c>
      <c r="X51" s="306">
        <f t="shared" ca="1" si="2"/>
        <v>-13213.549505801528</v>
      </c>
      <c r="Y51" s="306">
        <v>0</v>
      </c>
      <c r="Z51" s="306">
        <v>0</v>
      </c>
      <c r="AA51" s="308">
        <f ca="1">-SUM(W51,X51/OFFSET(GridFootprintbyYear,$A51-$A$19,0)*EF_PurchElec_MTperMWh,Z51)*OFFSET(ExposureCalculations!Price_GHG_Allowance_2010,A51-$A$19,0)*ExposureCalculations!D48</f>
        <v>1116541.6688007831</v>
      </c>
      <c r="AB51" s="308">
        <f t="shared" ca="1" si="3"/>
        <v>829675.80222837767</v>
      </c>
      <c r="AC51" s="308">
        <v>0</v>
      </c>
      <c r="AD51" s="819">
        <f t="shared" ca="1" si="4"/>
        <v>780426.7599317698</v>
      </c>
      <c r="AE51" s="308">
        <v>0</v>
      </c>
      <c r="AF51" s="819">
        <f t="shared" ca="1" si="5"/>
        <v>133883.48800000001</v>
      </c>
      <c r="AG51" s="308">
        <v>0</v>
      </c>
      <c r="AH51" s="308">
        <v>0</v>
      </c>
      <c r="AI51" s="308">
        <v>0</v>
      </c>
      <c r="AJ51" s="308">
        <f t="shared" ca="1" si="6"/>
        <v>1743986.0501601472</v>
      </c>
      <c r="AK51" s="309">
        <v>0</v>
      </c>
      <c r="AL51" s="309">
        <f t="shared" si="26"/>
        <v>0</v>
      </c>
      <c r="AM51" s="309">
        <f t="shared" si="18"/>
        <v>0</v>
      </c>
      <c r="AN51" s="310">
        <v>0</v>
      </c>
      <c r="AO51" s="310">
        <v>0</v>
      </c>
      <c r="AP51" s="310">
        <f t="shared" si="19"/>
        <v>0</v>
      </c>
      <c r="AQ51" s="309">
        <v>0</v>
      </c>
      <c r="AR51" s="311">
        <f t="shared" ca="1" si="7"/>
        <v>2860527.7189609306</v>
      </c>
      <c r="AS51" s="870">
        <f t="shared" ca="1" si="20"/>
        <v>47946023.385368079</v>
      </c>
      <c r="AT51" s="822"/>
      <c r="AU51" s="878"/>
      <c r="AV51" s="35"/>
      <c r="AW51" s="879"/>
      <c r="AX51" s="35"/>
      <c r="AY51" s="880"/>
    </row>
    <row r="52" spans="1:51">
      <c r="A52" s="303">
        <v>2043</v>
      </c>
      <c r="B52" s="304">
        <f ca="1">IF($D$3="BAU",UtilityDemand!C45,INDIRECT($D$3&amp;"!B"&amp;ROW(A52))+INDIRECT($D$3&amp;"!D"&amp;ROW(A52)))</f>
        <v>117693.00241989689</v>
      </c>
      <c r="C52" s="305">
        <f t="shared" ca="1" si="21"/>
        <v>-7.070088984825891E-2</v>
      </c>
      <c r="D52" s="306">
        <f t="shared" ca="1" si="22"/>
        <v>-8321</v>
      </c>
      <c r="E52" s="304">
        <f ca="1">IF($D$3="BAU",UtilityDemand!E45,INDIRECT($D$3&amp;"!E"&amp;ROW(D52))+INDIRECT($D$3&amp;"!G"&amp;ROW(D52)))</f>
        <v>587909.55760899209</v>
      </c>
      <c r="F52" s="305">
        <f t="shared" ca="1" si="23"/>
        <v>-0.10228269675451225</v>
      </c>
      <c r="G52" s="306">
        <f t="shared" ca="1" si="8"/>
        <v>-60132.974999999991</v>
      </c>
      <c r="H52" s="304">
        <f ca="1">IF($D$3="BAU",UtilityDemand!G45,INDIRECT($D$3&amp;"!H"&amp;ROW(G52))+INDIRECT($D$3&amp;"!J"&amp;ROW(G52)))</f>
        <v>192728.32756317939</v>
      </c>
      <c r="I52" s="305">
        <f t="shared" ca="1" si="24"/>
        <v>-3.5931448622828287E-2</v>
      </c>
      <c r="J52" s="306">
        <f t="shared" ca="1" si="9"/>
        <v>-6925.0080000000007</v>
      </c>
      <c r="K52" s="307">
        <f t="shared" ca="1" si="10"/>
        <v>109372.00241989689</v>
      </c>
      <c r="L52" s="307">
        <f t="shared" si="11"/>
        <v>0</v>
      </c>
      <c r="M52" s="307">
        <v>0</v>
      </c>
      <c r="N52" s="307">
        <f t="shared" ca="1" si="12"/>
        <v>109372.00241989689</v>
      </c>
      <c r="O52" s="1494">
        <f t="shared" ca="1" si="13"/>
        <v>527776.58260899212</v>
      </c>
      <c r="P52" s="306">
        <f t="shared" si="25"/>
        <v>0</v>
      </c>
      <c r="Q52" s="306">
        <v>0</v>
      </c>
      <c r="R52" s="306">
        <f t="shared" ca="1" si="14"/>
        <v>527776.58260899212</v>
      </c>
      <c r="S52" s="818">
        <f t="shared" ca="1" si="15"/>
        <v>185803.31956317939</v>
      </c>
      <c r="T52" s="818">
        <f t="shared" si="16"/>
        <v>0</v>
      </c>
      <c r="U52" s="818">
        <v>0</v>
      </c>
      <c r="V52" s="818">
        <f t="shared" ca="1" si="17"/>
        <v>185803.31956317939</v>
      </c>
      <c r="W52" s="306">
        <f t="shared" si="1"/>
        <v>0</v>
      </c>
      <c r="X52" s="306">
        <f t="shared" ca="1" si="2"/>
        <v>-13213.549505801528</v>
      </c>
      <c r="Y52" s="306">
        <v>0</v>
      </c>
      <c r="Z52" s="306">
        <v>0</v>
      </c>
      <c r="AA52" s="308">
        <f ca="1">-SUM(W52,X52/OFFSET(GridFootprintbyYear,$A52-$A$19,0)*EF_PurchElec_MTperMWh,Z52)*OFFSET(ExposureCalculations!Price_GHG_Allowance_2010,A52-$A$19,0)*ExposureCalculations!D49</f>
        <v>1164825.3495379558</v>
      </c>
      <c r="AB52" s="308">
        <f t="shared" ca="1" si="3"/>
        <v>833824.1812395195</v>
      </c>
      <c r="AC52" s="308">
        <v>0</v>
      </c>
      <c r="AD52" s="819">
        <f t="shared" ca="1" si="4"/>
        <v>784328.89373142866</v>
      </c>
      <c r="AE52" s="308">
        <v>0</v>
      </c>
      <c r="AF52" s="819">
        <f t="shared" ca="1" si="5"/>
        <v>133883.48800000001</v>
      </c>
      <c r="AG52" s="308">
        <v>0</v>
      </c>
      <c r="AH52" s="308">
        <v>0</v>
      </c>
      <c r="AI52" s="308">
        <v>0</v>
      </c>
      <c r="AJ52" s="308">
        <f t="shared" ca="1" si="6"/>
        <v>1752036.5629709479</v>
      </c>
      <c r="AK52" s="309">
        <v>0</v>
      </c>
      <c r="AL52" s="309">
        <f t="shared" si="26"/>
        <v>0</v>
      </c>
      <c r="AM52" s="309">
        <f t="shared" si="18"/>
        <v>0</v>
      </c>
      <c r="AN52" s="310">
        <v>0</v>
      </c>
      <c r="AO52" s="310">
        <v>0</v>
      </c>
      <c r="AP52" s="310">
        <f t="shared" si="19"/>
        <v>0</v>
      </c>
      <c r="AQ52" s="309">
        <v>0</v>
      </c>
      <c r="AR52" s="311">
        <f t="shared" ca="1" si="7"/>
        <v>2916861.912508904</v>
      </c>
      <c r="AS52" s="870">
        <f t="shared" ca="1" si="20"/>
        <v>50862885.297876984</v>
      </c>
      <c r="AT52" s="822"/>
      <c r="AU52" s="878"/>
      <c r="AV52" s="35"/>
      <c r="AW52" s="879"/>
      <c r="AX52" s="35"/>
      <c r="AY52" s="880"/>
    </row>
    <row r="53" spans="1:51">
      <c r="A53" s="303">
        <v>2044</v>
      </c>
      <c r="B53" s="304">
        <f ca="1">IF($D$3="BAU",UtilityDemand!C46,INDIRECT($D$3&amp;"!B"&amp;ROW(A53))+INDIRECT($D$3&amp;"!D"&amp;ROW(A53)))</f>
        <v>117558.31801955259</v>
      </c>
      <c r="C53" s="305">
        <f t="shared" ca="1" si="21"/>
        <v>-7.0781890555936935E-2</v>
      </c>
      <c r="D53" s="306">
        <f t="shared" ca="1" si="22"/>
        <v>-8321</v>
      </c>
      <c r="E53" s="304">
        <f ca="1">IF($D$3="BAU",UtilityDemand!E46,INDIRECT($D$3&amp;"!E"&amp;ROW(D53))+INDIRECT($D$3&amp;"!G"&amp;ROW(D53)))</f>
        <v>587233.10368572734</v>
      </c>
      <c r="F53" s="305">
        <f t="shared" ca="1" si="23"/>
        <v>-0.10240051969580664</v>
      </c>
      <c r="G53" s="306">
        <f t="shared" ca="1" si="8"/>
        <v>-60132.974999999991</v>
      </c>
      <c r="H53" s="304">
        <f ca="1">IF($D$3="BAU",UtilityDemand!G46,INDIRECT($D$3&amp;"!H"&amp;ROW(G53))+INDIRECT($D$3&amp;"!J"&amp;ROW(G53)))</f>
        <v>193542.99845295344</v>
      </c>
      <c r="I53" s="305">
        <f t="shared" ca="1" si="24"/>
        <v>-3.5780204168343169E-2</v>
      </c>
      <c r="J53" s="306">
        <f t="shared" ca="1" si="9"/>
        <v>-6925.0080000000007</v>
      </c>
      <c r="K53" s="307">
        <f t="shared" ca="1" si="10"/>
        <v>109237.31801955259</v>
      </c>
      <c r="L53" s="307">
        <f t="shared" si="11"/>
        <v>0</v>
      </c>
      <c r="M53" s="307">
        <v>0</v>
      </c>
      <c r="N53" s="307">
        <f t="shared" ca="1" si="12"/>
        <v>109237.31801955259</v>
      </c>
      <c r="O53" s="1494">
        <f t="shared" ca="1" si="13"/>
        <v>527100.12868572737</v>
      </c>
      <c r="P53" s="306">
        <f t="shared" si="25"/>
        <v>0</v>
      </c>
      <c r="Q53" s="306">
        <v>0</v>
      </c>
      <c r="R53" s="306">
        <f t="shared" ca="1" si="14"/>
        <v>527100.12868572737</v>
      </c>
      <c r="S53" s="818">
        <f t="shared" ca="1" si="15"/>
        <v>186617.99045295344</v>
      </c>
      <c r="T53" s="818">
        <f t="shared" si="16"/>
        <v>0</v>
      </c>
      <c r="U53" s="818">
        <v>0</v>
      </c>
      <c r="V53" s="818">
        <f t="shared" ca="1" si="17"/>
        <v>186617.99045295344</v>
      </c>
      <c r="W53" s="306">
        <f t="shared" si="1"/>
        <v>0</v>
      </c>
      <c r="X53" s="306">
        <f t="shared" ca="1" si="2"/>
        <v>-13213.549505801528</v>
      </c>
      <c r="Y53" s="306">
        <v>0</v>
      </c>
      <c r="Z53" s="306">
        <v>0</v>
      </c>
      <c r="AA53" s="308">
        <f ca="1">-SUM(W53,X53/OFFSET(GridFootprintbyYear,$A53-$A$19,0)*EF_PurchElec_MTperMWh,Z53)*OFFSET(ExposureCalculations!Price_GHG_Allowance_2010,A53-$A$19,0)*ExposureCalculations!D50</f>
        <v>1219555.9293623732</v>
      </c>
      <c r="AB53" s="308">
        <f t="shared" ca="1" si="3"/>
        <v>837993.30214571697</v>
      </c>
      <c r="AC53" s="308">
        <v>0</v>
      </c>
      <c r="AD53" s="819">
        <f t="shared" ca="1" si="4"/>
        <v>788250.53820008563</v>
      </c>
      <c r="AE53" s="308">
        <v>0</v>
      </c>
      <c r="AF53" s="819">
        <f t="shared" ca="1" si="5"/>
        <v>133883.48800000001</v>
      </c>
      <c r="AG53" s="308">
        <v>0</v>
      </c>
      <c r="AH53" s="308">
        <v>0</v>
      </c>
      <c r="AI53" s="308">
        <v>0</v>
      </c>
      <c r="AJ53" s="308">
        <f t="shared" ca="1" si="6"/>
        <v>1760127.3283458026</v>
      </c>
      <c r="AK53" s="309">
        <v>0</v>
      </c>
      <c r="AL53" s="309">
        <f t="shared" si="26"/>
        <v>0</v>
      </c>
      <c r="AM53" s="309">
        <f t="shared" si="18"/>
        <v>0</v>
      </c>
      <c r="AN53" s="310">
        <v>0</v>
      </c>
      <c r="AO53" s="310">
        <v>0</v>
      </c>
      <c r="AP53" s="310">
        <f t="shared" si="19"/>
        <v>0</v>
      </c>
      <c r="AQ53" s="309">
        <v>0</v>
      </c>
      <c r="AR53" s="311">
        <f t="shared" ca="1" si="7"/>
        <v>2979683.257708176</v>
      </c>
      <c r="AS53" s="870">
        <f t="shared" ca="1" si="20"/>
        <v>53842568.555585161</v>
      </c>
      <c r="AT53" s="822"/>
      <c r="AU53" s="878"/>
      <c r="AV53" s="35"/>
      <c r="AW53" s="879"/>
      <c r="AX53" s="35"/>
      <c r="AY53" s="880"/>
    </row>
    <row r="54" spans="1:51">
      <c r="A54" s="303">
        <v>2045</v>
      </c>
      <c r="B54" s="304">
        <f ca="1">IF($D$3="BAU",UtilityDemand!C47,INDIRECT($D$3&amp;"!B"&amp;ROW(A54))+INDIRECT($D$3&amp;"!D"&amp;ROW(A54)))</f>
        <v>117422.99217658423</v>
      </c>
      <c r="C54" s="305">
        <f t="shared" ca="1" si="21"/>
        <v>-7.0863464179882499E-2</v>
      </c>
      <c r="D54" s="306">
        <f t="shared" ca="1" si="22"/>
        <v>-8321</v>
      </c>
      <c r="E54" s="304">
        <f ca="1">IF($D$3="BAU",UtilityDemand!E47,INDIRECT($D$3&amp;"!E"&amp;ROW(D54))+INDIRECT($D$3&amp;"!G"&amp;ROW(D54)))</f>
        <v>586556.64976246236</v>
      </c>
      <c r="F54" s="305">
        <f t="shared" ca="1" si="23"/>
        <v>-0.10251861439871497</v>
      </c>
      <c r="G54" s="306">
        <f t="shared" ca="1" si="8"/>
        <v>-60132.974999999991</v>
      </c>
      <c r="H54" s="304">
        <f ca="1">IF($D$3="BAU",UtilityDemand!G47,INDIRECT($D$3&amp;"!H"&amp;ROW(G54))+INDIRECT($D$3&amp;"!J"&amp;ROW(G54)))</f>
        <v>194357.02790010345</v>
      </c>
      <c r="I54" s="305">
        <f t="shared" ca="1" si="24"/>
        <v>-3.5630345219928701E-2</v>
      </c>
      <c r="J54" s="306">
        <f t="shared" ca="1" si="9"/>
        <v>-6925.0080000000007</v>
      </c>
      <c r="K54" s="307">
        <f t="shared" ca="1" si="10"/>
        <v>109101.99217658423</v>
      </c>
      <c r="L54" s="307">
        <f t="shared" si="11"/>
        <v>0</v>
      </c>
      <c r="M54" s="307">
        <v>0</v>
      </c>
      <c r="N54" s="307">
        <f t="shared" ca="1" si="12"/>
        <v>109101.99217658423</v>
      </c>
      <c r="O54" s="1494">
        <f t="shared" ca="1" si="13"/>
        <v>526423.67476246238</v>
      </c>
      <c r="P54" s="306">
        <f t="shared" si="25"/>
        <v>0</v>
      </c>
      <c r="Q54" s="306">
        <v>0</v>
      </c>
      <c r="R54" s="306">
        <f t="shared" ca="1" si="14"/>
        <v>526423.67476246238</v>
      </c>
      <c r="S54" s="818">
        <f t="shared" ca="1" si="15"/>
        <v>187432.01990010345</v>
      </c>
      <c r="T54" s="818">
        <f t="shared" si="16"/>
        <v>0</v>
      </c>
      <c r="U54" s="818">
        <v>0</v>
      </c>
      <c r="V54" s="818">
        <f t="shared" ca="1" si="17"/>
        <v>187432.01990010345</v>
      </c>
      <c r="W54" s="306">
        <f t="shared" si="1"/>
        <v>0</v>
      </c>
      <c r="X54" s="306">
        <f t="shared" ca="1" si="2"/>
        <v>-13213.549505801528</v>
      </c>
      <c r="Y54" s="306">
        <v>0</v>
      </c>
      <c r="Z54" s="306">
        <v>0</v>
      </c>
      <c r="AA54" s="308">
        <f ca="1">-SUM(W54,X54/OFFSET(GridFootprintbyYear,$A54-$A$19,0)*EF_PurchElec_MTperMWh,Z54)*OFFSET(ExposureCalculations!Price_GHG_Allowance_2010,A54-$A$19,0)*ExposureCalculations!D51</f>
        <v>1282296.9934989267</v>
      </c>
      <c r="AB54" s="308">
        <f t="shared" ca="1" si="3"/>
        <v>842183.26865644543</v>
      </c>
      <c r="AC54" s="308">
        <v>0</v>
      </c>
      <c r="AD54" s="819">
        <f t="shared" ca="1" si="4"/>
        <v>792191.79089108598</v>
      </c>
      <c r="AE54" s="308">
        <v>0</v>
      </c>
      <c r="AF54" s="819">
        <f t="shared" ca="1" si="5"/>
        <v>133883.48800000001</v>
      </c>
      <c r="AG54" s="308">
        <v>0</v>
      </c>
      <c r="AH54" s="308">
        <v>0</v>
      </c>
      <c r="AI54" s="308">
        <v>0</v>
      </c>
      <c r="AJ54" s="308">
        <f t="shared" ca="1" si="6"/>
        <v>1768258.5475475313</v>
      </c>
      <c r="AK54" s="309">
        <v>0</v>
      </c>
      <c r="AL54" s="309">
        <f t="shared" si="26"/>
        <v>0</v>
      </c>
      <c r="AM54" s="309">
        <f t="shared" si="18"/>
        <v>0</v>
      </c>
      <c r="AN54" s="310">
        <v>0</v>
      </c>
      <c r="AO54" s="310">
        <v>0</v>
      </c>
      <c r="AP54" s="310">
        <f t="shared" si="19"/>
        <v>0</v>
      </c>
      <c r="AQ54" s="309">
        <v>0</v>
      </c>
      <c r="AR54" s="311">
        <f t="shared" ca="1" si="7"/>
        <v>3050555.5410464583</v>
      </c>
      <c r="AS54" s="870">
        <f t="shared" ca="1" si="20"/>
        <v>56893124.096631616</v>
      </c>
      <c r="AT54" s="822"/>
      <c r="AU54" s="878"/>
      <c r="AV54" s="35"/>
      <c r="AW54" s="879"/>
      <c r="AX54" s="35"/>
      <c r="AY54" s="880"/>
    </row>
    <row r="55" spans="1:51">
      <c r="A55" s="303">
        <v>2046</v>
      </c>
      <c r="B55" s="304">
        <f ca="1">IF($D$3="BAU",UtilityDemand!C48,INDIRECT($D$3&amp;"!B"&amp;ROW(A55))+INDIRECT($D$3&amp;"!D"&amp;ROW(A55)))</f>
        <v>117287.04087092477</v>
      </c>
      <c r="C55" s="305">
        <f t="shared" ca="1" si="21"/>
        <v>-7.0945604375485263E-2</v>
      </c>
      <c r="D55" s="306">
        <f t="shared" ca="1" si="22"/>
        <v>-8321</v>
      </c>
      <c r="E55" s="304">
        <f ca="1">IF($D$3="BAU",UtilityDemand!E48,INDIRECT($D$3&amp;"!E"&amp;ROW(D55))+INDIRECT($D$3&amp;"!G"&amp;ROW(D55)))</f>
        <v>585880.19583919737</v>
      </c>
      <c r="F55" s="305">
        <f t="shared" ca="1" si="23"/>
        <v>-0.10263698180456041</v>
      </c>
      <c r="G55" s="306">
        <f t="shared" ca="1" si="8"/>
        <v>-60132.974999999991</v>
      </c>
      <c r="H55" s="304">
        <f ca="1">IF($D$3="BAU",UtilityDemand!G48,INDIRECT($D$3&amp;"!H"&amp;ROW(G55))+INDIRECT($D$3&amp;"!J"&amp;ROW(G55)))</f>
        <v>195170.43188456231</v>
      </c>
      <c r="I55" s="305">
        <f t="shared" ca="1" si="24"/>
        <v>-3.5481850058598753E-2</v>
      </c>
      <c r="J55" s="306">
        <f t="shared" ca="1" si="9"/>
        <v>-6925.0080000000007</v>
      </c>
      <c r="K55" s="307">
        <f t="shared" ca="1" si="10"/>
        <v>108966.04087092477</v>
      </c>
      <c r="L55" s="307">
        <f t="shared" si="11"/>
        <v>0</v>
      </c>
      <c r="M55" s="307">
        <v>0</v>
      </c>
      <c r="N55" s="307">
        <f t="shared" ca="1" si="12"/>
        <v>108966.04087092477</v>
      </c>
      <c r="O55" s="1494">
        <f t="shared" ca="1" si="13"/>
        <v>525747.2208391974</v>
      </c>
      <c r="P55" s="306">
        <f t="shared" si="25"/>
        <v>0</v>
      </c>
      <c r="Q55" s="306">
        <v>0</v>
      </c>
      <c r="R55" s="306">
        <f t="shared" ca="1" si="14"/>
        <v>525747.2208391974</v>
      </c>
      <c r="S55" s="818">
        <f t="shared" ca="1" si="15"/>
        <v>188245.4238845623</v>
      </c>
      <c r="T55" s="818">
        <f t="shared" si="16"/>
        <v>0</v>
      </c>
      <c r="U55" s="818">
        <v>0</v>
      </c>
      <c r="V55" s="818">
        <f t="shared" ca="1" si="17"/>
        <v>188245.4238845623</v>
      </c>
      <c r="W55" s="306">
        <f t="shared" si="1"/>
        <v>0</v>
      </c>
      <c r="X55" s="306">
        <f t="shared" ca="1" si="2"/>
        <v>-13213.549505801528</v>
      </c>
      <c r="Y55" s="306">
        <v>0</v>
      </c>
      <c r="Z55" s="306">
        <v>0</v>
      </c>
      <c r="AA55" s="308">
        <f ca="1">-SUM(W55,X55/OFFSET(GridFootprintbyYear,$A55-$A$19,0)*EF_PurchElec_MTperMWh,Z55)*OFFSET(ExposureCalculations!Price_GHG_Allowance_2010,A55-$A$19,0)*ExposureCalculations!D52</f>
        <v>1349250.863004152</v>
      </c>
      <c r="AB55" s="308">
        <f t="shared" ca="1" si="3"/>
        <v>846394.18499972741</v>
      </c>
      <c r="AC55" s="308">
        <v>0</v>
      </c>
      <c r="AD55" s="819">
        <f t="shared" ca="1" si="4"/>
        <v>796152.74984554108</v>
      </c>
      <c r="AE55" s="308">
        <v>0</v>
      </c>
      <c r="AF55" s="819">
        <f t="shared" ca="1" si="5"/>
        <v>133883.48800000001</v>
      </c>
      <c r="AG55" s="308">
        <v>0</v>
      </c>
      <c r="AH55" s="308">
        <v>0</v>
      </c>
      <c r="AI55" s="308">
        <v>0</v>
      </c>
      <c r="AJ55" s="308">
        <f t="shared" ca="1" si="6"/>
        <v>1776430.4228452686</v>
      </c>
      <c r="AK55" s="309">
        <v>0</v>
      </c>
      <c r="AL55" s="309">
        <f t="shared" si="26"/>
        <v>0</v>
      </c>
      <c r="AM55" s="309">
        <f t="shared" si="18"/>
        <v>0</v>
      </c>
      <c r="AN55" s="310">
        <v>0</v>
      </c>
      <c r="AO55" s="310">
        <v>0</v>
      </c>
      <c r="AP55" s="310">
        <f t="shared" si="19"/>
        <v>0</v>
      </c>
      <c r="AQ55" s="309">
        <v>0</v>
      </c>
      <c r="AR55" s="311">
        <f t="shared" ca="1" si="7"/>
        <v>3125681.2858494204</v>
      </c>
      <c r="AS55" s="870">
        <f t="shared" ca="1" si="20"/>
        <v>60018805.382481039</v>
      </c>
      <c r="AT55" s="822"/>
      <c r="AU55" s="878"/>
      <c r="AV55" s="35"/>
      <c r="AW55" s="879"/>
      <c r="AX55" s="35"/>
      <c r="AY55" s="880"/>
    </row>
    <row r="56" spans="1:51">
      <c r="A56" s="303">
        <v>2047</v>
      </c>
      <c r="B56" s="304">
        <f ca="1">IF($D$3="BAU",UtilityDemand!C49,INDIRECT($D$3&amp;"!B"&amp;ROW(A56))+INDIRECT($D$3&amp;"!D"&amp;ROW(A56)))</f>
        <v>117150.47955607864</v>
      </c>
      <c r="C56" s="305">
        <f t="shared" ca="1" si="21"/>
        <v>-7.1028305061413166E-2</v>
      </c>
      <c r="D56" s="306">
        <f t="shared" ca="1" si="22"/>
        <v>-8321</v>
      </c>
      <c r="E56" s="304">
        <f ca="1">IF($D$3="BAU",UtilityDemand!E49,INDIRECT($D$3&amp;"!E"&amp;ROW(D56))+INDIRECT($D$3&amp;"!G"&amp;ROW(D56)))</f>
        <v>585203.74191593239</v>
      </c>
      <c r="F56" s="305">
        <f t="shared" ca="1" si="23"/>
        <v>-0.10275562285901858</v>
      </c>
      <c r="G56" s="306">
        <f t="shared" ca="1" si="8"/>
        <v>-60132.974999999991</v>
      </c>
      <c r="H56" s="304">
        <f ca="1">IF($D$3="BAU",UtilityDemand!G49,INDIRECT($D$3&amp;"!H"&amp;ROW(G56))+INDIRECT($D$3&amp;"!J"&amp;ROW(G56)))</f>
        <v>195983.22585983458</v>
      </c>
      <c r="I56" s="305">
        <f t="shared" ca="1" si="24"/>
        <v>-3.5334697495757642E-2</v>
      </c>
      <c r="J56" s="306">
        <f t="shared" ca="1" si="9"/>
        <v>-6925.0080000000007</v>
      </c>
      <c r="K56" s="307">
        <f t="shared" ca="1" si="10"/>
        <v>108829.47955607864</v>
      </c>
      <c r="L56" s="307">
        <f t="shared" si="11"/>
        <v>0</v>
      </c>
      <c r="M56" s="307">
        <v>0</v>
      </c>
      <c r="N56" s="307">
        <f t="shared" ca="1" si="12"/>
        <v>108829.47955607864</v>
      </c>
      <c r="O56" s="1494">
        <f t="shared" ca="1" si="13"/>
        <v>525070.76691593241</v>
      </c>
      <c r="P56" s="306">
        <f t="shared" si="25"/>
        <v>0</v>
      </c>
      <c r="Q56" s="306">
        <v>0</v>
      </c>
      <c r="R56" s="306">
        <f t="shared" ca="1" si="14"/>
        <v>525070.76691593241</v>
      </c>
      <c r="S56" s="818">
        <f t="shared" ca="1" si="15"/>
        <v>189058.21785983458</v>
      </c>
      <c r="T56" s="818">
        <f t="shared" si="16"/>
        <v>0</v>
      </c>
      <c r="U56" s="818">
        <v>0</v>
      </c>
      <c r="V56" s="818">
        <f t="shared" ca="1" si="17"/>
        <v>189058.21785983458</v>
      </c>
      <c r="W56" s="306">
        <f t="shared" si="1"/>
        <v>0</v>
      </c>
      <c r="X56" s="306">
        <f t="shared" ca="1" si="2"/>
        <v>-13213.549505801528</v>
      </c>
      <c r="Y56" s="306">
        <v>0</v>
      </c>
      <c r="Z56" s="306">
        <v>0</v>
      </c>
      <c r="AA56" s="308">
        <f ca="1">-SUM(W56,X56/OFFSET(GridFootprintbyYear,$A56-$A$19,0)*EF_PurchElec_MTperMWh,Z56)*OFFSET(ExposureCalculations!Price_GHG_Allowance_2010,A56-$A$19,0)*ExposureCalculations!D53</f>
        <v>1420944.7759103547</v>
      </c>
      <c r="AB56" s="308">
        <f t="shared" ca="1" si="3"/>
        <v>850626.15592472593</v>
      </c>
      <c r="AC56" s="308">
        <v>0</v>
      </c>
      <c r="AD56" s="819">
        <f t="shared" ca="1" si="4"/>
        <v>800133.51359476859</v>
      </c>
      <c r="AE56" s="308">
        <v>0</v>
      </c>
      <c r="AF56" s="819">
        <f t="shared" ca="1" si="5"/>
        <v>133883.48800000001</v>
      </c>
      <c r="AG56" s="308">
        <v>0</v>
      </c>
      <c r="AH56" s="308">
        <v>0</v>
      </c>
      <c r="AI56" s="308">
        <v>0</v>
      </c>
      <c r="AJ56" s="308">
        <f t="shared" ca="1" si="6"/>
        <v>1784643.1575194946</v>
      </c>
      <c r="AK56" s="309">
        <v>0</v>
      </c>
      <c r="AL56" s="309">
        <f t="shared" si="26"/>
        <v>0</v>
      </c>
      <c r="AM56" s="309">
        <f t="shared" si="18"/>
        <v>0</v>
      </c>
      <c r="AN56" s="310">
        <v>0</v>
      </c>
      <c r="AO56" s="310">
        <v>0</v>
      </c>
      <c r="AP56" s="310">
        <f t="shared" si="19"/>
        <v>0</v>
      </c>
      <c r="AQ56" s="309">
        <v>0</v>
      </c>
      <c r="AR56" s="311">
        <f t="shared" ca="1" si="7"/>
        <v>3205587.9334298493</v>
      </c>
      <c r="AS56" s="870">
        <f t="shared" ca="1" si="20"/>
        <v>63224393.315910891</v>
      </c>
      <c r="AT56" s="822"/>
      <c r="AU56" s="878"/>
      <c r="AV56" s="35"/>
      <c r="AW56" s="879"/>
      <c r="AX56" s="35"/>
      <c r="AY56" s="880"/>
    </row>
    <row r="57" spans="1:51">
      <c r="A57" s="303">
        <v>2048</v>
      </c>
      <c r="B57" s="304">
        <f ca="1">IF($D$3="BAU",UtilityDemand!C50,INDIRECT($D$3&amp;"!B"&amp;ROW(A57))+INDIRECT($D$3&amp;"!D"&amp;ROW(A57)))</f>
        <v>117013.3231806228</v>
      </c>
      <c r="C57" s="305">
        <f t="shared" ca="1" si="21"/>
        <v>-7.1111560408857299E-2</v>
      </c>
      <c r="D57" s="306">
        <f t="shared" ca="1" si="22"/>
        <v>-8321</v>
      </c>
      <c r="E57" s="304">
        <f ca="1">IF($D$3="BAU",UtilityDemand!E50,INDIRECT($D$3&amp;"!E"&amp;ROW(D57))+INDIRECT($D$3&amp;"!G"&amp;ROW(D57)))</f>
        <v>584527.28799266741</v>
      </c>
      <c r="F57" s="305">
        <f t="shared" ca="1" si="23"/>
        <v>-0.1028745385121427</v>
      </c>
      <c r="G57" s="306">
        <f t="shared" ca="1" si="8"/>
        <v>-60132.974999999991</v>
      </c>
      <c r="H57" s="304">
        <f ca="1">IF($D$3="BAU",UtilityDemand!G50,INDIRECT($D$3&amp;"!H"&amp;ROW(G57))+INDIRECT($D$3&amp;"!J"&amp;ROW(G57)))</f>
        <v>196795.42477449708</v>
      </c>
      <c r="I57" s="305">
        <f t="shared" ca="1" si="24"/>
        <v>-3.5188866854680145E-2</v>
      </c>
      <c r="J57" s="306">
        <f t="shared" ca="1" si="9"/>
        <v>-6925.0080000000007</v>
      </c>
      <c r="K57" s="307">
        <f t="shared" ca="1" si="10"/>
        <v>108692.3231806228</v>
      </c>
      <c r="L57" s="307">
        <f t="shared" si="11"/>
        <v>0</v>
      </c>
      <c r="M57" s="307">
        <v>0</v>
      </c>
      <c r="N57" s="307">
        <f t="shared" ca="1" si="12"/>
        <v>108692.3231806228</v>
      </c>
      <c r="O57" s="1494">
        <f t="shared" ca="1" si="13"/>
        <v>524394.31299266743</v>
      </c>
      <c r="P57" s="306">
        <f t="shared" si="25"/>
        <v>0</v>
      </c>
      <c r="Q57" s="306">
        <v>0</v>
      </c>
      <c r="R57" s="306">
        <f t="shared" ca="1" si="14"/>
        <v>524394.31299266743</v>
      </c>
      <c r="S57" s="818">
        <f t="shared" ca="1" si="15"/>
        <v>189870.41677449708</v>
      </c>
      <c r="T57" s="818">
        <f t="shared" si="16"/>
        <v>0</v>
      </c>
      <c r="U57" s="818">
        <v>0</v>
      </c>
      <c r="V57" s="818">
        <f t="shared" ca="1" si="17"/>
        <v>189870.41677449708</v>
      </c>
      <c r="W57" s="306">
        <f t="shared" si="1"/>
        <v>0</v>
      </c>
      <c r="X57" s="306">
        <f t="shared" ca="1" si="2"/>
        <v>-13213.549505801528</v>
      </c>
      <c r="Y57" s="306">
        <v>0</v>
      </c>
      <c r="Z57" s="306">
        <v>0</v>
      </c>
      <c r="AA57" s="308">
        <f ca="1">-SUM(W57,X57/OFFSET(GridFootprintbyYear,$A57-$A$19,0)*EF_PurchElec_MTperMWh,Z57)*OFFSET(ExposureCalculations!Price_GHG_Allowance_2010,A57-$A$19,0)*ExposureCalculations!D54</f>
        <v>1497950.2892505201</v>
      </c>
      <c r="AB57" s="308">
        <f t="shared" ca="1" si="3"/>
        <v>854879.28670434945</v>
      </c>
      <c r="AC57" s="308">
        <v>0</v>
      </c>
      <c r="AD57" s="819">
        <f t="shared" ca="1" si="4"/>
        <v>804134.18116274255</v>
      </c>
      <c r="AE57" s="308">
        <v>0</v>
      </c>
      <c r="AF57" s="819">
        <f t="shared" ca="1" si="5"/>
        <v>133883.48800000001</v>
      </c>
      <c r="AG57" s="308">
        <v>0</v>
      </c>
      <c r="AH57" s="308">
        <v>0</v>
      </c>
      <c r="AI57" s="308">
        <v>0</v>
      </c>
      <c r="AJ57" s="308">
        <f t="shared" ca="1" si="6"/>
        <v>1792896.9558670921</v>
      </c>
      <c r="AK57" s="309">
        <v>0</v>
      </c>
      <c r="AL57" s="309">
        <f t="shared" si="26"/>
        <v>0</v>
      </c>
      <c r="AM57" s="309">
        <f t="shared" si="18"/>
        <v>0</v>
      </c>
      <c r="AN57" s="310">
        <v>0</v>
      </c>
      <c r="AO57" s="310">
        <v>0</v>
      </c>
      <c r="AP57" s="310">
        <f t="shared" si="19"/>
        <v>0</v>
      </c>
      <c r="AQ57" s="309">
        <v>0</v>
      </c>
      <c r="AR57" s="311">
        <f t="shared" ca="1" si="7"/>
        <v>3290847.2451176122</v>
      </c>
      <c r="AS57" s="870">
        <f t="shared" ca="1" si="20"/>
        <v>66515240.561028503</v>
      </c>
      <c r="AT57" s="822"/>
      <c r="AU57" s="878"/>
      <c r="AV57" s="35"/>
      <c r="AW57" s="879"/>
      <c r="AX57" s="35"/>
      <c r="AY57" s="880"/>
    </row>
    <row r="58" spans="1:51">
      <c r="A58" s="303">
        <v>2049</v>
      </c>
      <c r="B58" s="304">
        <f ca="1">IF($D$3="BAU",UtilityDemand!C51,INDIRECT($D$3&amp;"!B"&amp;ROW(A58))+INDIRECT($D$3&amp;"!D"&amp;ROW(A58)))</f>
        <v>116875.58620866176</v>
      </c>
      <c r="C58" s="305">
        <f t="shared" ca="1" si="21"/>
        <v>-7.1195364831319441E-2</v>
      </c>
      <c r="D58" s="306">
        <f t="shared" ca="1" si="22"/>
        <v>-8321</v>
      </c>
      <c r="E58" s="304">
        <f ca="1">IF($D$3="BAU",UtilityDemand!E51,INDIRECT($D$3&amp;"!E"&amp;ROW(D58))+INDIRECT($D$3&amp;"!G"&amp;ROW(D58)))</f>
        <v>583850.83406940266</v>
      </c>
      <c r="F58" s="305">
        <f t="shared" ca="1" si="23"/>
        <v>-0.10299372971838891</v>
      </c>
      <c r="G58" s="306">
        <f t="shared" ca="1" si="8"/>
        <v>-60132.974999999991</v>
      </c>
      <c r="H58" s="304">
        <f ca="1">IF($D$3="BAU",UtilityDemand!G51,INDIRECT($D$3&amp;"!H"&amp;ROW(G58))+INDIRECT($D$3&amp;"!J"&amp;ROW(G58)))</f>
        <v>197607.04309265441</v>
      </c>
      <c r="I58" s="305">
        <f t="shared" ca="1" si="24"/>
        <v>-3.5044337952837991E-2</v>
      </c>
      <c r="J58" s="306">
        <f t="shared" ca="1" si="9"/>
        <v>-6925.0080000000007</v>
      </c>
      <c r="K58" s="307">
        <f t="shared" ca="1" si="10"/>
        <v>108554.58620866176</v>
      </c>
      <c r="L58" s="307">
        <f t="shared" si="11"/>
        <v>0</v>
      </c>
      <c r="M58" s="307">
        <v>0</v>
      </c>
      <c r="N58" s="307">
        <f t="shared" ca="1" si="12"/>
        <v>108554.58620866176</v>
      </c>
      <c r="O58" s="1494">
        <f t="shared" ca="1" si="13"/>
        <v>523717.85906940268</v>
      </c>
      <c r="P58" s="306">
        <f t="shared" si="25"/>
        <v>0</v>
      </c>
      <c r="Q58" s="306">
        <v>0</v>
      </c>
      <c r="R58" s="306">
        <f t="shared" ca="1" si="14"/>
        <v>523717.85906940268</v>
      </c>
      <c r="S58" s="818">
        <f t="shared" ca="1" si="15"/>
        <v>190682.03509265441</v>
      </c>
      <c r="T58" s="818">
        <f t="shared" si="16"/>
        <v>0</v>
      </c>
      <c r="U58" s="818">
        <v>0</v>
      </c>
      <c r="V58" s="818">
        <f t="shared" ca="1" si="17"/>
        <v>190682.03509265441</v>
      </c>
      <c r="W58" s="306">
        <f t="shared" si="1"/>
        <v>0</v>
      </c>
      <c r="X58" s="306">
        <f t="shared" ca="1" si="2"/>
        <v>-13213.549505801528</v>
      </c>
      <c r="Y58" s="306">
        <v>0</v>
      </c>
      <c r="Z58" s="306">
        <v>0</v>
      </c>
      <c r="AA58" s="308">
        <f ca="1">-SUM(W58,X58/OFFSET(GridFootprintbyYear,$A58-$A$19,0)*EF_PurchElec_MTperMWh,Z58)*OFFSET(ExposureCalculations!Price_GHG_Allowance_2010,A58-$A$19,0)*ExposureCalculations!D55</f>
        <v>1580878.630017889</v>
      </c>
      <c r="AB58" s="308">
        <f t="shared" ca="1" si="3"/>
        <v>859153.68313787109</v>
      </c>
      <c r="AC58" s="308">
        <v>0</v>
      </c>
      <c r="AD58" s="819">
        <f t="shared" ca="1" si="4"/>
        <v>808154.85206855612</v>
      </c>
      <c r="AE58" s="308">
        <v>0</v>
      </c>
      <c r="AF58" s="819">
        <f t="shared" ca="1" si="5"/>
        <v>133883.48800000001</v>
      </c>
      <c r="AG58" s="308">
        <v>0</v>
      </c>
      <c r="AH58" s="308">
        <v>0</v>
      </c>
      <c r="AI58" s="308">
        <v>0</v>
      </c>
      <c r="AJ58" s="308">
        <f t="shared" ca="1" si="6"/>
        <v>1801192.0232064272</v>
      </c>
      <c r="AK58" s="309">
        <v>0</v>
      </c>
      <c r="AL58" s="309">
        <f t="shared" si="26"/>
        <v>0</v>
      </c>
      <c r="AM58" s="309">
        <f t="shared" si="18"/>
        <v>0</v>
      </c>
      <c r="AN58" s="310">
        <v>0</v>
      </c>
      <c r="AO58" s="310">
        <v>0</v>
      </c>
      <c r="AP58" s="310">
        <f t="shared" si="19"/>
        <v>0</v>
      </c>
      <c r="AQ58" s="309">
        <v>0</v>
      </c>
      <c r="AR58" s="311">
        <f t="shared" ca="1" si="7"/>
        <v>3382070.6532243164</v>
      </c>
      <c r="AS58" s="870">
        <f t="shared" ca="1" si="20"/>
        <v>69897311.214252815</v>
      </c>
      <c r="AT58" s="822"/>
      <c r="AU58" s="878"/>
      <c r="AV58" s="35"/>
      <c r="AW58" s="879"/>
      <c r="AX58" s="35"/>
      <c r="AY58" s="880"/>
    </row>
    <row r="59" spans="1:51">
      <c r="A59" s="303">
        <v>2050</v>
      </c>
      <c r="B59" s="304">
        <f ca="1">IF($D$3="BAU",UtilityDemand!C52,INDIRECT($D$3&amp;"!B"&amp;ROW(A59))+INDIRECT($D$3&amp;"!D"&amp;ROW(A59)))</f>
        <v>116737.28263929689</v>
      </c>
      <c r="C59" s="305">
        <f t="shared" ca="1" si="21"/>
        <v>-7.1279712974909773E-2</v>
      </c>
      <c r="D59" s="306">
        <f t="shared" ca="1" si="22"/>
        <v>-8321</v>
      </c>
      <c r="E59" s="304">
        <f ca="1">IF($D$3="BAU",UtilityDemand!E52,INDIRECT($D$3&amp;"!E"&amp;ROW(D59))+INDIRECT($D$3&amp;"!G"&amp;ROW(D59)))</f>
        <v>583174.3801461379</v>
      </c>
      <c r="F59" s="305">
        <f t="shared" ca="1" si="23"/>
        <v>-0.10311319743664192</v>
      </c>
      <c r="G59" s="306">
        <f t="shared" ca="1" si="8"/>
        <v>-60132.974999999991</v>
      </c>
      <c r="H59" s="304">
        <f ca="1">IF($D$3="BAU",UtilityDemand!G52,INDIRECT($D$3&amp;"!H"&amp;ROW(G59))+INDIRECT($D$3&amp;"!J"&amp;ROW(G59)))</f>
        <v>198418.09481340789</v>
      </c>
      <c r="I59" s="305">
        <f t="shared" ca="1" si="24"/>
        <v>-3.4901091085025635E-2</v>
      </c>
      <c r="J59" s="306">
        <f t="shared" ca="1" si="9"/>
        <v>-6925.0080000000007</v>
      </c>
      <c r="K59" s="307">
        <f t="shared" ca="1" si="10"/>
        <v>108416.28263929689</v>
      </c>
      <c r="L59" s="307">
        <f t="shared" si="11"/>
        <v>0</v>
      </c>
      <c r="M59" s="307">
        <v>0</v>
      </c>
      <c r="N59" s="307">
        <f t="shared" ca="1" si="12"/>
        <v>108416.28263929689</v>
      </c>
      <c r="O59" s="1494">
        <f t="shared" ca="1" si="13"/>
        <v>523041.40514613793</v>
      </c>
      <c r="P59" s="306">
        <f t="shared" si="25"/>
        <v>0</v>
      </c>
      <c r="Q59" s="306">
        <v>0</v>
      </c>
      <c r="R59" s="306">
        <f t="shared" ca="1" si="14"/>
        <v>523041.40514613793</v>
      </c>
      <c r="S59" s="818">
        <f t="shared" ca="1" si="15"/>
        <v>191493.08681340789</v>
      </c>
      <c r="T59" s="818">
        <f t="shared" si="16"/>
        <v>0</v>
      </c>
      <c r="U59" s="818">
        <v>0</v>
      </c>
      <c r="V59" s="818">
        <f t="shared" ca="1" si="17"/>
        <v>191493.08681340789</v>
      </c>
      <c r="W59" s="306">
        <f t="shared" si="1"/>
        <v>0</v>
      </c>
      <c r="X59" s="306">
        <f t="shared" ca="1" si="2"/>
        <v>-13213.549505801528</v>
      </c>
      <c r="Y59" s="306">
        <v>0</v>
      </c>
      <c r="Z59" s="306">
        <v>0</v>
      </c>
      <c r="AA59" s="308">
        <f ca="1">-SUM(W59,X59/OFFSET(GridFootprintbyYear,$A59-$A$19,0)*EF_PurchElec_MTperMWh,Z59)*OFFSET(ExposureCalculations!Price_GHG_Allowance_2010,A59-$A$19,0)*ExposureCalculations!D56</f>
        <v>1670376.1132992851</v>
      </c>
      <c r="AB59" s="308">
        <f t="shared" ca="1" si="3"/>
        <v>863449.45155356033</v>
      </c>
      <c r="AC59" s="308">
        <v>0</v>
      </c>
      <c r="AD59" s="819">
        <f t="shared" ca="1" si="4"/>
        <v>812195.62632889894</v>
      </c>
      <c r="AE59" s="308">
        <v>0</v>
      </c>
      <c r="AF59" s="819">
        <f t="shared" ca="1" si="5"/>
        <v>133883.48800000001</v>
      </c>
      <c r="AG59" s="308">
        <v>0</v>
      </c>
      <c r="AH59" s="308">
        <v>0</v>
      </c>
      <c r="AI59" s="308">
        <v>0</v>
      </c>
      <c r="AJ59" s="308">
        <f t="shared" ca="1" si="6"/>
        <v>1809528.5658824593</v>
      </c>
      <c r="AK59" s="309">
        <v>0</v>
      </c>
      <c r="AL59" s="309">
        <f t="shared" si="26"/>
        <v>0</v>
      </c>
      <c r="AM59" s="309">
        <f t="shared" si="18"/>
        <v>0</v>
      </c>
      <c r="AN59" s="310">
        <v>0</v>
      </c>
      <c r="AO59" s="310">
        <v>0</v>
      </c>
      <c r="AP59" s="310">
        <f t="shared" si="19"/>
        <v>0</v>
      </c>
      <c r="AQ59" s="309">
        <v>0</v>
      </c>
      <c r="AR59" s="311">
        <f t="shared" ca="1" si="7"/>
        <v>3479904.6791817443</v>
      </c>
      <c r="AS59" s="870">
        <f t="shared" ca="1" si="20"/>
        <v>73377215.893434554</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Sheet24">
    <tabColor rgb="FFA9DA74"/>
  </sheetPr>
  <dimension ref="A1:AY84"/>
  <sheetViews>
    <sheetView workbookViewId="0">
      <pane xSplit="1" topLeftCell="B1" activePane="topRight" state="frozen"/>
      <selection activeCell="B1" sqref="B1"/>
      <selection pane="topRight" activeCell="O3" sqref="O3:O7"/>
    </sheetView>
  </sheetViews>
  <sheetFormatPr defaultRowHeight="15"/>
  <cols>
    <col min="11" max="11" width="12" customWidth="1"/>
    <col min="12" max="12" width="12.85546875" customWidth="1"/>
    <col min="13" max="13" width="12.42578125" customWidth="1"/>
    <col min="15" max="15" width="11.85546875" style="37" bestFit="1" customWidth="1"/>
    <col min="35" max="36" width="13" customWidth="1"/>
    <col min="38" max="39" width="10" bestFit="1" customWidth="1"/>
    <col min="40" max="40" width="12.42578125" customWidth="1"/>
    <col min="44" max="44" width="10.85546875" customWidth="1"/>
    <col min="45" max="45" width="11.85546875" bestFit="1" customWidth="1"/>
    <col min="46" max="46" width="1.7109375" customWidth="1"/>
    <col min="47" max="47" width="10.85546875" bestFit="1" customWidth="1"/>
    <col min="51" max="51" width="10.5703125" customWidth="1"/>
  </cols>
  <sheetData>
    <row r="1" spans="1:50" ht="60">
      <c r="C1" s="257" t="s">
        <v>226</v>
      </c>
      <c r="D1" s="258" t="s">
        <v>790</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2010</v>
      </c>
      <c r="E2" s="266"/>
      <c r="J2" s="267" t="s">
        <v>231</v>
      </c>
      <c r="K2" s="268">
        <f ca="1">NPV(DiscountRate,AA19:AA59)</f>
        <v>3189585.8939562985</v>
      </c>
      <c r="L2" s="269">
        <f ca="1">-SUM(OFFSET(W19,0,0,M2-2010+1,4))</f>
        <v>226850.43606807373</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792</v>
      </c>
      <c r="E3" s="1635"/>
      <c r="F3" s="1635"/>
      <c r="G3" s="273"/>
      <c r="H3" s="273"/>
      <c r="I3" s="273"/>
      <c r="J3" s="275" t="s">
        <v>234</v>
      </c>
      <c r="K3" s="276">
        <f ca="1">NPV(DiscountRate,AJ19:AJ59)</f>
        <v>6109936.4077579295</v>
      </c>
      <c r="L3" s="277" t="s">
        <v>235</v>
      </c>
      <c r="M3" s="278">
        <f ca="1">-SUM(OFFSET(W19,M2-2010,0,1,4))</f>
        <v>10082.241603025503</v>
      </c>
      <c r="N3" s="272"/>
      <c r="O3" s="1496">
        <f ca="1">AVERAGE(OFFSET(AJ19,0,0,$M$2-2010+1,1))</f>
        <v>726119.82502808771</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5532.9374650749687</v>
      </c>
      <c r="M4" s="281">
        <f ca="1">-SUM(OFFSET(W19,M2-2010,0,1,4))/SUM(OFFSET(ExposureCalculations!G16,M2-2010,0,1,3))</f>
        <v>9.2215802024090826E-3</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939</v>
      </c>
      <c r="E5" s="273"/>
      <c r="F5" s="272"/>
      <c r="G5" s="272"/>
      <c r="H5" s="272"/>
      <c r="I5" s="273"/>
      <c r="J5" s="275" t="s">
        <v>238</v>
      </c>
      <c r="K5" s="276">
        <f>NPV(DiscountRate,AL19:AL59)</f>
        <v>-2900388.971806766</v>
      </c>
      <c r="L5" s="277"/>
      <c r="M5" s="272"/>
      <c r="N5" s="272"/>
      <c r="O5" s="1496">
        <f ca="1">AVERAGE(OFFSET(AL19,0,0,$M$2-2010+1,1))</f>
        <v>-202893.17073170733</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6399133.3299074601</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3.2063017726623024</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f ca="1">IFERROR(IF(K8&lt;0,"",IRR(AR19:AR59)),"")</f>
        <v>0.26550178507098932</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22.736546148610849</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3209547.4359511617</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-68.286883813284135</v>
      </c>
      <c r="L13" s="824" t="str">
        <f ca="1">IF(K13&gt;99998,"(Values $99,999 and above indicate net carbon increase)","")</f>
        <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67.862178609158292</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9" t="s">
        <v>1454</v>
      </c>
      <c r="AW18" s="875"/>
      <c r="AX18" s="876"/>
      <c r="AY18" s="877"/>
    </row>
    <row r="19" spans="1:51">
      <c r="A19" s="303">
        <v>2010</v>
      </c>
      <c r="B19" s="304">
        <f ca="1">IF($D$3="BAU",UtilityDemand!C12,INDIRECT($D$3&amp;"!B"&amp;ROW(A19))+INDIRECT($D$3&amp;"!D"&amp;ROW(A19)))</f>
        <v>127163.99016669342</v>
      </c>
      <c r="C19" s="305">
        <v>0</v>
      </c>
      <c r="D19" s="306">
        <f ca="1">-B19*C19</f>
        <v>0</v>
      </c>
      <c r="E19" s="304">
        <f ca="1">IF($D$3="BAU",UtilityDemand!E12,INDIRECT($D$3&amp;"!E"&amp;ROW(D19))+INDIRECT($D$3&amp;"!G"&amp;ROW(D19)))</f>
        <v>678074.34788952675</v>
      </c>
      <c r="F19" s="305">
        <v>0</v>
      </c>
      <c r="G19" s="306">
        <f ca="1">-E19*F19</f>
        <v>0</v>
      </c>
      <c r="H19" s="304">
        <f ca="1">IF($D$3="BAU",UtilityDemand!G12,INDIRECT($D$3&amp;"!H"&amp;ROW(G19))+INDIRECT($D$3&amp;"!J"&amp;ROW(G19)))</f>
        <v>177513.47721383756</v>
      </c>
      <c r="I19" s="305">
        <v>0</v>
      </c>
      <c r="J19" s="306">
        <f ca="1">-H19*I19</f>
        <v>0</v>
      </c>
      <c r="K19" s="307">
        <f ca="1">IF($D$3="BAU",B19+D19,INDIRECT($D$3&amp;"!B"&amp;ROW(A19))+INDIRECT($D$3&amp;"!D"&amp;ROW(A19))+INDIRECT($D$3&amp;"!L"&amp;ROW(A19))+D19)</f>
        <v>127163.99016669342</v>
      </c>
      <c r="L19" s="307">
        <f>-M19</f>
        <v>0</v>
      </c>
      <c r="M19" s="307">
        <v>0</v>
      </c>
      <c r="N19" s="307">
        <f ca="1">K19+L19</f>
        <v>127163.99016669342</v>
      </c>
      <c r="O19" s="1494">
        <f ca="1">IF($D$3="BAU",E19+G19,INDIRECT($D$3&amp;"!E"&amp;ROW(A19))+INDIRECT($D$3&amp;"!G"&amp;ROW(A19))+INDIRECT($D$3&amp;"!P"&amp;ROW(A19))+G19)</f>
        <v>678074.34788952675</v>
      </c>
      <c r="P19" s="306">
        <f>-Q19</f>
        <v>0</v>
      </c>
      <c r="Q19" s="306">
        <v>0</v>
      </c>
      <c r="R19" s="306">
        <f ca="1">O19+P19</f>
        <v>678074.34788952675</v>
      </c>
      <c r="S19" s="818">
        <f ca="1">IF($D$3="BAU",H19+J19,INDIRECT($D$3&amp;"!H"&amp;ROW(A19))+INDIRECT($D$3&amp;"!J"&amp;ROW(A19))+INDIRECT($D$3&amp;"!T"&amp;ROW(A19))+J19)</f>
        <v>177513.47721383756</v>
      </c>
      <c r="T19" s="818">
        <f>-U19</f>
        <v>0</v>
      </c>
      <c r="U19" s="818">
        <v>0</v>
      </c>
      <c r="V19" s="818">
        <f ca="1">S19+T19</f>
        <v>177513.47721383756</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918">
        <v>2664</v>
      </c>
      <c r="AV19" s="879" t="s">
        <v>1457</v>
      </c>
      <c r="AW19" s="879"/>
      <c r="AX19" s="35"/>
      <c r="AY19" s="880"/>
    </row>
    <row r="20" spans="1:51">
      <c r="A20" s="303">
        <v>2011</v>
      </c>
      <c r="B20" s="304">
        <f ca="1">IF($D$3="BAU",UtilityDemand!C13,INDIRECT($D$3&amp;"!B"&amp;ROW(A20))+INDIRECT($D$3&amp;"!D"&amp;ROW(A20)))</f>
        <v>125518.36963995529</v>
      </c>
      <c r="C20" s="305">
        <f ca="1">D20/B20</f>
        <v>0</v>
      </c>
      <c r="D20" s="306">
        <f ca="1">IF(AND(A20&gt;=$AU$22,A20&lt;$AU$22+$AU$23),-$AU$19/$AU$23+D19,D19)</f>
        <v>0</v>
      </c>
      <c r="E20" s="304">
        <f ca="1">IF($D$3="BAU",UtilityDemand!E13,INDIRECT($D$3&amp;"!E"&amp;ROW(D20))+INDIRECT($D$3&amp;"!G"&amp;ROW(D20)))</f>
        <v>662488.42315347027</v>
      </c>
      <c r="F20" s="305">
        <f ca="1">G20/E20</f>
        <v>0</v>
      </c>
      <c r="G20" s="306">
        <f t="shared" ref="G20:G59" ca="1" si="8">IF(AND($A20&gt;=$AU$22,$A20&lt;$AU$22+$AU$23),(-$AU$20/$AU$23)*1000*Btu_per_lb/1000000+G19,G19)</f>
        <v>0</v>
      </c>
      <c r="H20" s="304">
        <f ca="1">IF($D$3="BAU",UtilityDemand!G13,INDIRECT($D$3&amp;"!H"&amp;ROW(G20))+INDIRECT($D$3&amp;"!J"&amp;ROW(G20)))</f>
        <v>174929.27148685895</v>
      </c>
      <c r="I20" s="305">
        <f ca="1">J20/H20</f>
        <v>0</v>
      </c>
      <c r="J20" s="306">
        <f t="shared" ref="J20:J59" ca="1" si="9">IF(AND($A20&gt;=$AU$22,$A20&lt;$AU$22+$AU$23),(-$AU$21/$AU$23)*btu_tonhr/1000000+J19,J19)</f>
        <v>0</v>
      </c>
      <c r="K20" s="307">
        <f t="shared" ref="K20:K59" ca="1" si="10">IF($D$3="BAU",B20+D20,INDIRECT($D$3&amp;"!B"&amp;ROW(A20))+INDIRECT($D$3&amp;"!D"&amp;ROW(A20))+INDIRECT($D$3&amp;"!L"&amp;ROW(A20))+D20)</f>
        <v>125518.36963995529</v>
      </c>
      <c r="L20" s="307">
        <f t="shared" ref="L20:L59" si="11">-M20</f>
        <v>0</v>
      </c>
      <c r="M20" s="307">
        <v>0</v>
      </c>
      <c r="N20" s="307">
        <f t="shared" ref="N20:N59" ca="1" si="12">K20+L20</f>
        <v>125518.36963995529</v>
      </c>
      <c r="O20" s="1494">
        <f t="shared" ref="O20:O59" ca="1" si="13">IF($D$3="BAU",E20+G20,INDIRECT($D$3&amp;"!E"&amp;ROW(A20))+INDIRECT($D$3&amp;"!G"&amp;ROW(A20))+INDIRECT($D$3&amp;"!P"&amp;ROW(A20))+G20)</f>
        <v>662488.42315347027</v>
      </c>
      <c r="P20" s="306">
        <f t="shared" ref="P20:P59" si="14">-Q20</f>
        <v>0</v>
      </c>
      <c r="Q20" s="306">
        <v>0</v>
      </c>
      <c r="R20" s="306">
        <f t="shared" ref="R20:R59" ca="1" si="15">O20+P20</f>
        <v>662488.42315347027</v>
      </c>
      <c r="S20" s="818">
        <f t="shared" ref="S20:S59" ca="1" si="16">IF($D$3="BAU",H20+J20,INDIRECT($D$3&amp;"!H"&amp;ROW(A20))+INDIRECT($D$3&amp;"!J"&amp;ROW(A20))+INDIRECT($D$3&amp;"!T"&amp;ROW(A20))+J20)</f>
        <v>174929.27148685895</v>
      </c>
      <c r="T20" s="818">
        <f t="shared" ref="T20:T59" si="17">-U20</f>
        <v>0</v>
      </c>
      <c r="U20" s="818">
        <v>0</v>
      </c>
      <c r="V20" s="818">
        <f t="shared" ref="V20:V59" ca="1" si="18">S20+T20</f>
        <v>174929.27148685895</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f>IF(AND($A20&gt;=$AU$22,$A20&lt;$AU$22+$AU$23),-$AU$24/$AU$23,0)</f>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918">
        <v>48753</v>
      </c>
      <c r="AV20" t="s">
        <v>1458</v>
      </c>
      <c r="AW20" s="879"/>
      <c r="AX20" s="35"/>
      <c r="AY20" s="880"/>
    </row>
    <row r="21" spans="1:51">
      <c r="A21" s="303">
        <v>2012</v>
      </c>
      <c r="B21" s="304">
        <f ca="1">IF($D$3="BAU",UtilityDemand!C14,INDIRECT($D$3&amp;"!B"&amp;ROW(A21))+INDIRECT($D$3&amp;"!D"&amp;ROW(A21)))</f>
        <v>124752.19211798218</v>
      </c>
      <c r="C21" s="305">
        <f t="shared" ref="C21:C59" ca="1" si="22">D21/B21</f>
        <v>0</v>
      </c>
      <c r="D21" s="306">
        <f t="shared" ref="D21:D59" ca="1" si="23">IF(AND(A21&gt;=$AU$22,A21&lt;$AU$22+$AU$23),-$AU$19/$AU$23+D20,D20)</f>
        <v>0</v>
      </c>
      <c r="E21" s="304">
        <f ca="1">IF($D$3="BAU",UtilityDemand!E14,INDIRECT($D$3&amp;"!E"&amp;ROW(D21))+INDIRECT($D$3&amp;"!G"&amp;ROW(D21)))</f>
        <v>648578.88423020509</v>
      </c>
      <c r="F21" s="305">
        <f t="shared" ref="F21:F59" ca="1" si="24">G21/E21</f>
        <v>0</v>
      </c>
      <c r="G21" s="306">
        <f t="shared" ca="1" si="8"/>
        <v>0</v>
      </c>
      <c r="H21" s="304">
        <f ca="1">IF($D$3="BAU",UtilityDemand!G14,INDIRECT($D$3&amp;"!H"&amp;ROW(G21))+INDIRECT($D$3&amp;"!J"&amp;ROW(G21)))</f>
        <v>174624.63546129991</v>
      </c>
      <c r="I21" s="305">
        <f t="shared" ref="I21:I59" ca="1" si="25">J21/H21</f>
        <v>0</v>
      </c>
      <c r="J21" s="306">
        <f t="shared" ca="1" si="9"/>
        <v>0</v>
      </c>
      <c r="K21" s="307">
        <f t="shared" ca="1" si="10"/>
        <v>124752.19211798218</v>
      </c>
      <c r="L21" s="307">
        <f t="shared" si="11"/>
        <v>0</v>
      </c>
      <c r="M21" s="307">
        <v>0</v>
      </c>
      <c r="N21" s="307">
        <f t="shared" ca="1" si="12"/>
        <v>124752.19211798218</v>
      </c>
      <c r="O21" s="1494">
        <f t="shared" ca="1" si="13"/>
        <v>648578.88423020509</v>
      </c>
      <c r="P21" s="306">
        <f t="shared" si="14"/>
        <v>0</v>
      </c>
      <c r="Q21" s="306">
        <v>0</v>
      </c>
      <c r="R21" s="306">
        <f t="shared" ca="1" si="15"/>
        <v>648578.88423020509</v>
      </c>
      <c r="S21" s="818">
        <f t="shared" ca="1" si="16"/>
        <v>174624.63546129991</v>
      </c>
      <c r="T21" s="818">
        <f t="shared" si="17"/>
        <v>0</v>
      </c>
      <c r="U21" s="818">
        <v>0</v>
      </c>
      <c r="V21" s="818">
        <f t="shared" ca="1" si="18"/>
        <v>174624.63546129991</v>
      </c>
      <c r="W21" s="306">
        <f t="shared" si="1"/>
        <v>0</v>
      </c>
      <c r="X21" s="306">
        <f t="shared" ca="1" si="2"/>
        <v>0</v>
      </c>
      <c r="Y21" s="306">
        <v>0</v>
      </c>
      <c r="Z21" s="306">
        <v>0</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f t="shared" ref="AL21:AL59" si="26">IF(AND($A21&gt;=$AU$22,$A21&lt;$AU$22+$AU$23),-$AU$24/$AU$23,0)</f>
        <v>0</v>
      </c>
      <c r="AM21" s="309">
        <f t="shared" si="19"/>
        <v>0</v>
      </c>
      <c r="AN21" s="310">
        <v>0</v>
      </c>
      <c r="AO21" s="310">
        <v>0</v>
      </c>
      <c r="AP21" s="310">
        <f t="shared" si="20"/>
        <v>0</v>
      </c>
      <c r="AQ21" s="309">
        <v>0</v>
      </c>
      <c r="AR21" s="311">
        <f t="shared" ca="1" si="7"/>
        <v>0</v>
      </c>
      <c r="AS21" s="870">
        <f t="shared" ca="1" si="21"/>
        <v>0</v>
      </c>
      <c r="AT21" s="822"/>
      <c r="AU21" s="918">
        <v>1414444</v>
      </c>
      <c r="AV21" t="s">
        <v>1459</v>
      </c>
      <c r="AW21" s="879"/>
      <c r="AX21" s="35"/>
      <c r="AY21" s="880"/>
    </row>
    <row r="22" spans="1:51">
      <c r="A22" s="303">
        <v>2013</v>
      </c>
      <c r="B22" s="304">
        <f ca="1">IF($D$3="BAU",UtilityDemand!C15,INDIRECT($D$3&amp;"!B"&amp;ROW(A22))+INDIRECT($D$3&amp;"!D"&amp;ROW(A22)))</f>
        <v>123513.03802167765</v>
      </c>
      <c r="C22" s="305">
        <f t="shared" ca="1" si="22"/>
        <v>0</v>
      </c>
      <c r="D22" s="306">
        <f t="shared" ca="1" si="23"/>
        <v>0</v>
      </c>
      <c r="E22" s="304">
        <f ca="1">IF($D$3="BAU",UtilityDemand!E15,INDIRECT($D$3&amp;"!E"&amp;ROW(D22))+INDIRECT($D$3&amp;"!G"&amp;ROW(D22)))</f>
        <v>634669.34530694014</v>
      </c>
      <c r="F22" s="305">
        <f t="shared" ca="1" si="24"/>
        <v>0</v>
      </c>
      <c r="G22" s="306">
        <f t="shared" ca="1" si="8"/>
        <v>0</v>
      </c>
      <c r="H22" s="304">
        <f ca="1">IF($D$3="BAU",UtilityDemand!G15,INDIRECT($D$3&amp;"!H"&amp;ROW(G22))+INDIRECT($D$3&amp;"!J"&amp;ROW(G22)))</f>
        <v>172827.49892955803</v>
      </c>
      <c r="I22" s="305">
        <f t="shared" ca="1" si="25"/>
        <v>0</v>
      </c>
      <c r="J22" s="306">
        <f t="shared" ca="1" si="9"/>
        <v>0</v>
      </c>
      <c r="K22" s="307">
        <f t="shared" ca="1" si="10"/>
        <v>123513.03802167765</v>
      </c>
      <c r="L22" s="307">
        <f t="shared" si="11"/>
        <v>0</v>
      </c>
      <c r="M22" s="307">
        <v>0</v>
      </c>
      <c r="N22" s="307">
        <f t="shared" ca="1" si="12"/>
        <v>123513.03802167765</v>
      </c>
      <c r="O22" s="1494">
        <f t="shared" ca="1" si="13"/>
        <v>634669.34530694014</v>
      </c>
      <c r="P22" s="306">
        <f t="shared" si="14"/>
        <v>0</v>
      </c>
      <c r="Q22" s="306">
        <v>0</v>
      </c>
      <c r="R22" s="306">
        <f t="shared" ca="1" si="15"/>
        <v>634669.34530694014</v>
      </c>
      <c r="S22" s="818">
        <f t="shared" ca="1" si="16"/>
        <v>172827.49892955803</v>
      </c>
      <c r="T22" s="818">
        <f t="shared" si="17"/>
        <v>0</v>
      </c>
      <c r="U22" s="818">
        <v>0</v>
      </c>
      <c r="V22" s="818">
        <f t="shared" ca="1" si="18"/>
        <v>172827.49892955803</v>
      </c>
      <c r="W22" s="306">
        <f t="shared" si="1"/>
        <v>0</v>
      </c>
      <c r="X22" s="306">
        <f t="shared" ca="1" si="2"/>
        <v>0</v>
      </c>
      <c r="Y22" s="306">
        <v>0</v>
      </c>
      <c r="Z22" s="306">
        <v>0</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f t="shared" si="26"/>
        <v>0</v>
      </c>
      <c r="AM22" s="309">
        <f t="shared" si="19"/>
        <v>0</v>
      </c>
      <c r="AN22" s="310">
        <v>0</v>
      </c>
      <c r="AO22" s="310">
        <v>0</v>
      </c>
      <c r="AP22" s="310">
        <f t="shared" si="20"/>
        <v>0</v>
      </c>
      <c r="AQ22" s="309">
        <v>0</v>
      </c>
      <c r="AR22" s="311">
        <f t="shared" ca="1" si="7"/>
        <v>0</v>
      </c>
      <c r="AS22" s="870">
        <f t="shared" ca="1" si="21"/>
        <v>0</v>
      </c>
      <c r="AT22" s="822"/>
      <c r="AU22" s="1262">
        <f>MidECM!AU22+MidECM!AU23</f>
        <v>2024</v>
      </c>
      <c r="AV22" t="s">
        <v>1460</v>
      </c>
      <c r="AW22" s="879"/>
      <c r="AX22" s="35"/>
      <c r="AY22" s="880"/>
    </row>
    <row r="23" spans="1:51">
      <c r="A23" s="303">
        <v>2014</v>
      </c>
      <c r="B23" s="304">
        <f ca="1">IF($D$3="BAU",UtilityDemand!C16,INDIRECT($D$3&amp;"!B"&amp;ROW(A23))+INDIRECT($D$3&amp;"!D"&amp;ROW(A23)))</f>
        <v>122101.55115445409</v>
      </c>
      <c r="C23" s="305">
        <f t="shared" ca="1" si="22"/>
        <v>0</v>
      </c>
      <c r="D23" s="306">
        <f t="shared" ca="1" si="23"/>
        <v>0</v>
      </c>
      <c r="E23" s="304">
        <f ca="1">IF($D$3="BAU",UtilityDemand!E16,INDIRECT($D$3&amp;"!E"&amp;ROW(D23))+INDIRECT($D$3&amp;"!G"&amp;ROW(D23)))</f>
        <v>620759.8063836752</v>
      </c>
      <c r="F23" s="305">
        <f t="shared" ca="1" si="24"/>
        <v>0</v>
      </c>
      <c r="G23" s="306">
        <f t="shared" ca="1" si="8"/>
        <v>0</v>
      </c>
      <c r="H23" s="304">
        <f ca="1">IF($D$3="BAU",UtilityDemand!G16,INDIRECT($D$3&amp;"!H"&amp;ROW(G23))+INDIRECT($D$3&amp;"!J"&amp;ROW(G23)))</f>
        <v>170475.70815245277</v>
      </c>
      <c r="I23" s="305">
        <f t="shared" ca="1" si="25"/>
        <v>0</v>
      </c>
      <c r="J23" s="306">
        <f t="shared" ca="1" si="9"/>
        <v>0</v>
      </c>
      <c r="K23" s="307">
        <f t="shared" ca="1" si="10"/>
        <v>122101.55115445409</v>
      </c>
      <c r="L23" s="307">
        <f t="shared" si="11"/>
        <v>0</v>
      </c>
      <c r="M23" s="307">
        <v>0</v>
      </c>
      <c r="N23" s="307">
        <f t="shared" ca="1" si="12"/>
        <v>122101.55115445409</v>
      </c>
      <c r="O23" s="1494">
        <f t="shared" ca="1" si="13"/>
        <v>620759.8063836752</v>
      </c>
      <c r="P23" s="306">
        <f t="shared" si="14"/>
        <v>0</v>
      </c>
      <c r="Q23" s="306">
        <v>0</v>
      </c>
      <c r="R23" s="306">
        <f t="shared" ca="1" si="15"/>
        <v>620759.8063836752</v>
      </c>
      <c r="S23" s="818">
        <f t="shared" ca="1" si="16"/>
        <v>170475.70815245277</v>
      </c>
      <c r="T23" s="818">
        <f t="shared" si="17"/>
        <v>0</v>
      </c>
      <c r="U23" s="818">
        <v>0</v>
      </c>
      <c r="V23" s="818">
        <f t="shared" ca="1" si="18"/>
        <v>170475.70815245277</v>
      </c>
      <c r="W23" s="306">
        <f t="shared" si="1"/>
        <v>0</v>
      </c>
      <c r="X23" s="306">
        <f t="shared" ca="1" si="2"/>
        <v>0</v>
      </c>
      <c r="Y23" s="306">
        <v>0</v>
      </c>
      <c r="Z23" s="306">
        <v>0</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f t="shared" si="26"/>
        <v>0</v>
      </c>
      <c r="AM23" s="309">
        <f t="shared" si="19"/>
        <v>0</v>
      </c>
      <c r="AN23" s="310">
        <v>0</v>
      </c>
      <c r="AO23" s="310">
        <v>0</v>
      </c>
      <c r="AP23" s="310">
        <f t="shared" si="20"/>
        <v>0</v>
      </c>
      <c r="AQ23" s="309">
        <v>0</v>
      </c>
      <c r="AR23" s="311">
        <f t="shared" ca="1" si="7"/>
        <v>0</v>
      </c>
      <c r="AS23" s="870">
        <f t="shared" ca="1" si="21"/>
        <v>0</v>
      </c>
      <c r="AT23" s="822"/>
      <c r="AU23" s="878">
        <v>10</v>
      </c>
      <c r="AV23" s="35" t="s">
        <v>1455</v>
      </c>
      <c r="AW23" s="879"/>
      <c r="AX23" s="35"/>
      <c r="AY23" s="880"/>
    </row>
    <row r="24" spans="1:51">
      <c r="A24" s="303">
        <v>2015</v>
      </c>
      <c r="B24" s="304">
        <f ca="1">IF($D$3="BAU",UtilityDemand!C17,INDIRECT($D$3&amp;"!B"&amp;ROW(A24))+INDIRECT($D$3&amp;"!D"&amp;ROW(A24)))</f>
        <v>121116.36978310837</v>
      </c>
      <c r="C24" s="305">
        <f t="shared" ca="1" si="22"/>
        <v>0</v>
      </c>
      <c r="D24" s="306">
        <f t="shared" ca="1" si="23"/>
        <v>0</v>
      </c>
      <c r="E24" s="304">
        <f ca="1">IF($D$3="BAU",UtilityDemand!E17,INDIRECT($D$3&amp;"!E"&amp;ROW(D24))+INDIRECT($D$3&amp;"!G"&amp;ROW(D24)))</f>
        <v>606850.26746041025</v>
      </c>
      <c r="F24" s="305">
        <f t="shared" ca="1" si="24"/>
        <v>0</v>
      </c>
      <c r="G24" s="306">
        <f t="shared" ca="1" si="8"/>
        <v>0</v>
      </c>
      <c r="H24" s="304">
        <f ca="1">IF($D$3="BAU",UtilityDemand!G17,INDIRECT($D$3&amp;"!H"&amp;ROW(G24))+INDIRECT($D$3&amp;"!J"&amp;ROW(G24)))</f>
        <v>169569.74680307685</v>
      </c>
      <c r="I24" s="305">
        <f t="shared" ca="1" si="25"/>
        <v>0</v>
      </c>
      <c r="J24" s="306">
        <f t="shared" ca="1" si="9"/>
        <v>0</v>
      </c>
      <c r="K24" s="307">
        <f t="shared" ca="1" si="10"/>
        <v>121116.36978310837</v>
      </c>
      <c r="L24" s="307">
        <f t="shared" si="11"/>
        <v>0</v>
      </c>
      <c r="M24" s="307">
        <v>0</v>
      </c>
      <c r="N24" s="307">
        <f t="shared" ca="1" si="12"/>
        <v>121116.36978310837</v>
      </c>
      <c r="O24" s="1494">
        <f t="shared" ca="1" si="13"/>
        <v>606850.26746041025</v>
      </c>
      <c r="P24" s="306">
        <f t="shared" si="14"/>
        <v>0</v>
      </c>
      <c r="Q24" s="306">
        <v>0</v>
      </c>
      <c r="R24" s="306">
        <f t="shared" ca="1" si="15"/>
        <v>606850.26746041025</v>
      </c>
      <c r="S24" s="818">
        <f t="shared" ca="1" si="16"/>
        <v>169569.74680307685</v>
      </c>
      <c r="T24" s="818">
        <f t="shared" si="17"/>
        <v>0</v>
      </c>
      <c r="U24" s="818">
        <v>0</v>
      </c>
      <c r="V24" s="818">
        <f t="shared" ca="1" si="18"/>
        <v>169569.74680307685</v>
      </c>
      <c r="W24" s="306">
        <f t="shared" si="1"/>
        <v>0</v>
      </c>
      <c r="X24" s="306">
        <f t="shared" ca="1" si="2"/>
        <v>0</v>
      </c>
      <c r="Y24" s="306">
        <v>0</v>
      </c>
      <c r="Z24" s="306">
        <v>0</v>
      </c>
      <c r="AA24" s="308">
        <f ca="1">-SUM(W24,X24/OFFSET(GridFootprintbyYear,$A24-$A$19,0)*EF_PurchElec_MTperMWh,Z24)*OFFSET(ExposureCalculations!Price_GHG_Allowance_2010,A24-$A$19,0)*ExposureCalculations!D21</f>
        <v>0</v>
      </c>
      <c r="AB24" s="308">
        <f t="shared" ca="1" si="3"/>
        <v>0</v>
      </c>
      <c r="AC24" s="308">
        <v>0</v>
      </c>
      <c r="AD24" s="819">
        <f t="shared" ca="1" si="4"/>
        <v>0</v>
      </c>
      <c r="AE24" s="308">
        <v>0</v>
      </c>
      <c r="AF24" s="819">
        <f t="shared" ca="1" si="5"/>
        <v>0</v>
      </c>
      <c r="AG24" s="308">
        <v>0</v>
      </c>
      <c r="AH24" s="308">
        <v>0</v>
      </c>
      <c r="AI24" s="308">
        <v>0</v>
      </c>
      <c r="AJ24" s="308">
        <f t="shared" ca="1" si="6"/>
        <v>0</v>
      </c>
      <c r="AK24" s="309">
        <v>0</v>
      </c>
      <c r="AL24" s="309">
        <f t="shared" si="26"/>
        <v>0</v>
      </c>
      <c r="AM24" s="309">
        <f t="shared" si="19"/>
        <v>0</v>
      </c>
      <c r="AN24" s="310">
        <v>0</v>
      </c>
      <c r="AO24" s="310">
        <v>0</v>
      </c>
      <c r="AP24" s="310">
        <f t="shared" si="20"/>
        <v>0</v>
      </c>
      <c r="AQ24" s="309">
        <v>0</v>
      </c>
      <c r="AR24" s="311">
        <f t="shared" ca="1" si="7"/>
        <v>0</v>
      </c>
      <c r="AS24" s="870">
        <f t="shared" ca="1" si="21"/>
        <v>0</v>
      </c>
      <c r="AT24" s="822"/>
      <c r="AU24" s="1261">
        <v>8318620</v>
      </c>
      <c r="AV24" s="35" t="s">
        <v>1456</v>
      </c>
      <c r="AW24" s="879"/>
      <c r="AX24" s="35"/>
      <c r="AY24" s="880"/>
    </row>
    <row r="25" spans="1:51">
      <c r="A25" s="303">
        <v>2016</v>
      </c>
      <c r="B25" s="304">
        <f ca="1">IF($D$3="BAU",UtilityDemand!C18,INDIRECT($D$3&amp;"!B"&amp;ROW(A25))+INDIRECT($D$3&amp;"!D"&amp;ROW(A25)))</f>
        <v>119969.12741876335</v>
      </c>
      <c r="C25" s="305">
        <f t="shared" ca="1" si="22"/>
        <v>0</v>
      </c>
      <c r="D25" s="306">
        <f t="shared" ca="1" si="23"/>
        <v>0</v>
      </c>
      <c r="E25" s="304">
        <f ca="1">IF($D$3="BAU",UtilityDemand!E18,INDIRECT($D$3&amp;"!E"&amp;ROW(D25))+INDIRECT($D$3&amp;"!G"&amp;ROW(D25)))</f>
        <v>598657.19166214555</v>
      </c>
      <c r="F25" s="305">
        <f t="shared" ca="1" si="24"/>
        <v>0</v>
      </c>
      <c r="G25" s="306">
        <f t="shared" ca="1" si="8"/>
        <v>0</v>
      </c>
      <c r="H25" s="304">
        <f ca="1">IF($D$3="BAU",UtilityDemand!G18,INDIRECT($D$3&amp;"!H"&amp;ROW(G25))+INDIRECT($D$3&amp;"!J"&amp;ROW(G25)))</f>
        <v>169546.35872885017</v>
      </c>
      <c r="I25" s="305">
        <f t="shared" ca="1" si="25"/>
        <v>0</v>
      </c>
      <c r="J25" s="306">
        <f t="shared" ca="1" si="9"/>
        <v>0</v>
      </c>
      <c r="K25" s="307">
        <f t="shared" ca="1" si="10"/>
        <v>119969.12741876335</v>
      </c>
      <c r="L25" s="307">
        <f t="shared" si="11"/>
        <v>0</v>
      </c>
      <c r="M25" s="307">
        <v>0</v>
      </c>
      <c r="N25" s="307">
        <f t="shared" ca="1" si="12"/>
        <v>119969.12741876335</v>
      </c>
      <c r="O25" s="1494">
        <f t="shared" ca="1" si="13"/>
        <v>598657.19166214555</v>
      </c>
      <c r="P25" s="306">
        <f t="shared" si="14"/>
        <v>0</v>
      </c>
      <c r="Q25" s="306">
        <v>0</v>
      </c>
      <c r="R25" s="306">
        <f t="shared" ca="1" si="15"/>
        <v>598657.19166214555</v>
      </c>
      <c r="S25" s="818">
        <f t="shared" ca="1" si="16"/>
        <v>169546.35872885017</v>
      </c>
      <c r="T25" s="818">
        <f t="shared" si="17"/>
        <v>0</v>
      </c>
      <c r="U25" s="818">
        <v>0</v>
      </c>
      <c r="V25" s="818">
        <f t="shared" ca="1" si="18"/>
        <v>169546.35872885017</v>
      </c>
      <c r="W25" s="306">
        <f t="shared" si="1"/>
        <v>0</v>
      </c>
      <c r="X25" s="306">
        <f t="shared" ca="1" si="2"/>
        <v>0</v>
      </c>
      <c r="Y25" s="306">
        <v>0</v>
      </c>
      <c r="Z25" s="306">
        <v>0</v>
      </c>
      <c r="AA25" s="308">
        <f ca="1">-SUM(W25,X25/OFFSET(GridFootprintbyYear,$A25-$A$19,0)*EF_PurchElec_MTperMWh,Z25)*OFFSET(ExposureCalculations!Price_GHG_Allowance_2010,A25-$A$19,0)*ExposureCalculations!D22</f>
        <v>0</v>
      </c>
      <c r="AB25" s="308">
        <f t="shared" ca="1" si="3"/>
        <v>0</v>
      </c>
      <c r="AC25" s="308">
        <v>0</v>
      </c>
      <c r="AD25" s="819">
        <f t="shared" ca="1" si="4"/>
        <v>0</v>
      </c>
      <c r="AE25" s="308">
        <v>0</v>
      </c>
      <c r="AF25" s="819">
        <f t="shared" ca="1" si="5"/>
        <v>0</v>
      </c>
      <c r="AG25" s="308">
        <v>0</v>
      </c>
      <c r="AH25" s="308">
        <v>0</v>
      </c>
      <c r="AI25" s="308">
        <v>0</v>
      </c>
      <c r="AJ25" s="308">
        <f t="shared" ca="1" si="6"/>
        <v>0</v>
      </c>
      <c r="AK25" s="309">
        <v>0</v>
      </c>
      <c r="AL25" s="309">
        <f t="shared" si="26"/>
        <v>0</v>
      </c>
      <c r="AM25" s="309">
        <f t="shared" si="19"/>
        <v>0</v>
      </c>
      <c r="AN25" s="310">
        <v>0</v>
      </c>
      <c r="AO25" s="310">
        <v>0</v>
      </c>
      <c r="AP25" s="310">
        <f t="shared" si="20"/>
        <v>0</v>
      </c>
      <c r="AQ25" s="309">
        <v>0</v>
      </c>
      <c r="AR25" s="311">
        <f t="shared" ca="1" si="7"/>
        <v>0</v>
      </c>
      <c r="AS25" s="870">
        <f t="shared" ca="1" si="21"/>
        <v>0</v>
      </c>
      <c r="AT25" s="822"/>
      <c r="AU25" s="878"/>
      <c r="AV25" s="35"/>
      <c r="AW25" s="879"/>
      <c r="AX25" s="35"/>
      <c r="AY25" s="880"/>
    </row>
    <row r="26" spans="1:51">
      <c r="A26" s="303">
        <v>2017</v>
      </c>
      <c r="B26" s="304">
        <f ca="1">IF($D$3="BAU",UtilityDemand!C19,INDIRECT($D$3&amp;"!B"&amp;ROW(A26))+INDIRECT($D$3&amp;"!D"&amp;ROW(A26)))</f>
        <v>118820.4440794487</v>
      </c>
      <c r="C26" s="305">
        <f t="shared" ca="1" si="22"/>
        <v>0</v>
      </c>
      <c r="D26" s="306">
        <f t="shared" ca="1" si="23"/>
        <v>0</v>
      </c>
      <c r="E26" s="304">
        <f ca="1">IF($D$3="BAU",UtilityDemand!E19,INDIRECT($D$3&amp;"!E"&amp;ROW(D26))+INDIRECT($D$3&amp;"!G"&amp;ROW(D26)))</f>
        <v>590464.11586388049</v>
      </c>
      <c r="F26" s="305">
        <f t="shared" ca="1" si="24"/>
        <v>0</v>
      </c>
      <c r="G26" s="306">
        <f t="shared" ca="1" si="8"/>
        <v>0</v>
      </c>
      <c r="H26" s="304">
        <f ca="1">IF($D$3="BAU",UtilityDemand!G19,INDIRECT($D$3&amp;"!H"&amp;ROW(G26))+INDIRECT($D$3&amp;"!J"&amp;ROW(G26)))</f>
        <v>169521.52967965385</v>
      </c>
      <c r="I26" s="305">
        <f t="shared" ca="1" si="25"/>
        <v>0</v>
      </c>
      <c r="J26" s="306">
        <f t="shared" ca="1" si="9"/>
        <v>0</v>
      </c>
      <c r="K26" s="307">
        <f t="shared" ca="1" si="10"/>
        <v>118820.4440794487</v>
      </c>
      <c r="L26" s="307">
        <f t="shared" si="11"/>
        <v>0</v>
      </c>
      <c r="M26" s="307">
        <v>0</v>
      </c>
      <c r="N26" s="307">
        <f t="shared" ca="1" si="12"/>
        <v>118820.4440794487</v>
      </c>
      <c r="O26" s="1494">
        <f t="shared" ca="1" si="13"/>
        <v>590464.11586388049</v>
      </c>
      <c r="P26" s="306">
        <f t="shared" si="14"/>
        <v>0</v>
      </c>
      <c r="Q26" s="306">
        <v>0</v>
      </c>
      <c r="R26" s="306">
        <f t="shared" ca="1" si="15"/>
        <v>590464.11586388049</v>
      </c>
      <c r="S26" s="818">
        <f t="shared" ca="1" si="16"/>
        <v>169521.52967965385</v>
      </c>
      <c r="T26" s="818">
        <f t="shared" si="17"/>
        <v>0</v>
      </c>
      <c r="U26" s="818">
        <v>0</v>
      </c>
      <c r="V26" s="818">
        <f t="shared" ca="1" si="18"/>
        <v>169521.52967965385</v>
      </c>
      <c r="W26" s="306">
        <f t="shared" si="1"/>
        <v>0</v>
      </c>
      <c r="X26" s="306">
        <f t="shared" ca="1" si="2"/>
        <v>0</v>
      </c>
      <c r="Y26" s="306">
        <v>0</v>
      </c>
      <c r="Z26" s="306">
        <v>0</v>
      </c>
      <c r="AA26" s="308">
        <f ca="1">-SUM(W26,X26/OFFSET(GridFootprintbyYear,$A26-$A$19,0)*EF_PurchElec_MTperMWh,Z26)*OFFSET(ExposureCalculations!Price_GHG_Allowance_2010,A26-$A$19,0)*ExposureCalculations!D23</f>
        <v>0</v>
      </c>
      <c r="AB26" s="308">
        <f t="shared" ca="1" si="3"/>
        <v>0</v>
      </c>
      <c r="AC26" s="308">
        <v>0</v>
      </c>
      <c r="AD26" s="819">
        <f t="shared" ca="1" si="4"/>
        <v>0</v>
      </c>
      <c r="AE26" s="308">
        <v>0</v>
      </c>
      <c r="AF26" s="819">
        <f t="shared" ca="1" si="5"/>
        <v>0</v>
      </c>
      <c r="AG26" s="308">
        <v>0</v>
      </c>
      <c r="AH26" s="308">
        <v>0</v>
      </c>
      <c r="AI26" s="308">
        <v>0</v>
      </c>
      <c r="AJ26" s="308">
        <f t="shared" ca="1" si="6"/>
        <v>0</v>
      </c>
      <c r="AK26" s="309">
        <v>0</v>
      </c>
      <c r="AL26" s="309">
        <f t="shared" si="26"/>
        <v>0</v>
      </c>
      <c r="AM26" s="309">
        <f t="shared" si="19"/>
        <v>0</v>
      </c>
      <c r="AN26" s="310">
        <v>0</v>
      </c>
      <c r="AO26" s="310">
        <v>0</v>
      </c>
      <c r="AP26" s="310">
        <f t="shared" si="20"/>
        <v>0</v>
      </c>
      <c r="AQ26" s="309">
        <v>0</v>
      </c>
      <c r="AR26" s="311">
        <f t="shared" ca="1" si="7"/>
        <v>0</v>
      </c>
      <c r="AS26" s="870">
        <f t="shared" ca="1" si="21"/>
        <v>0</v>
      </c>
      <c r="AT26" s="822"/>
      <c r="AU26" s="878" t="s">
        <v>1461</v>
      </c>
      <c r="AV26" s="35"/>
      <c r="AW26" s="879"/>
      <c r="AX26" s="35"/>
      <c r="AY26" s="880"/>
    </row>
    <row r="27" spans="1:51">
      <c r="A27" s="303">
        <v>2018</v>
      </c>
      <c r="B27" s="304">
        <f ca="1">IF($D$3="BAU",UtilityDemand!C20,INDIRECT($D$3&amp;"!B"&amp;ROW(A27))+INDIRECT($D$3&amp;"!D"&amp;ROW(A27)))</f>
        <v>117670.36653917041</v>
      </c>
      <c r="C27" s="305">
        <f t="shared" ca="1" si="22"/>
        <v>0</v>
      </c>
      <c r="D27" s="306">
        <f t="shared" ca="1" si="23"/>
        <v>0</v>
      </c>
      <c r="E27" s="304">
        <f ca="1">IF($D$3="BAU",UtilityDemand!E20,INDIRECT($D$3&amp;"!E"&amp;ROW(D27))+INDIRECT($D$3&amp;"!G"&amp;ROW(D27)))</f>
        <v>582271.04006561555</v>
      </c>
      <c r="F27" s="305">
        <f t="shared" ca="1" si="24"/>
        <v>0</v>
      </c>
      <c r="G27" s="306">
        <f t="shared" ca="1" si="8"/>
        <v>0</v>
      </c>
      <c r="H27" s="304">
        <f ca="1">IF($D$3="BAU",UtilityDemand!G20,INDIRECT($D$3&amp;"!H"&amp;ROW(G27))+INDIRECT($D$3&amp;"!J"&amp;ROW(G27)))</f>
        <v>169495.30642949394</v>
      </c>
      <c r="I27" s="305">
        <f t="shared" ca="1" si="25"/>
        <v>0</v>
      </c>
      <c r="J27" s="306">
        <f t="shared" ca="1" si="9"/>
        <v>0</v>
      </c>
      <c r="K27" s="307">
        <f t="shared" ca="1" si="10"/>
        <v>117670.36653917041</v>
      </c>
      <c r="L27" s="307">
        <f t="shared" si="11"/>
        <v>0</v>
      </c>
      <c r="M27" s="307">
        <v>0</v>
      </c>
      <c r="N27" s="307">
        <f t="shared" ca="1" si="12"/>
        <v>117670.36653917041</v>
      </c>
      <c r="O27" s="1494">
        <f t="shared" ca="1" si="13"/>
        <v>582271.04006561555</v>
      </c>
      <c r="P27" s="306">
        <f t="shared" si="14"/>
        <v>0</v>
      </c>
      <c r="Q27" s="306">
        <v>0</v>
      </c>
      <c r="R27" s="306">
        <f t="shared" ca="1" si="15"/>
        <v>582271.04006561555</v>
      </c>
      <c r="S27" s="818">
        <f t="shared" ca="1" si="16"/>
        <v>169495.30642949394</v>
      </c>
      <c r="T27" s="818">
        <f t="shared" si="17"/>
        <v>0</v>
      </c>
      <c r="U27" s="818">
        <v>0</v>
      </c>
      <c r="V27" s="818">
        <f t="shared" ca="1" si="18"/>
        <v>169495.30642949394</v>
      </c>
      <c r="W27" s="306">
        <f t="shared" si="1"/>
        <v>0</v>
      </c>
      <c r="X27" s="306">
        <f t="shared" ca="1" si="2"/>
        <v>0</v>
      </c>
      <c r="Y27" s="306">
        <v>0</v>
      </c>
      <c r="Z27" s="306">
        <v>0</v>
      </c>
      <c r="AA27" s="308">
        <f ca="1">-SUM(W27,X27/OFFSET(GridFootprintbyYear,$A27-$A$19,0)*EF_PurchElec_MTperMWh,Z27)*OFFSET(ExposureCalculations!Price_GHG_Allowance_2010,A27-$A$19,0)*ExposureCalculations!D24</f>
        <v>0</v>
      </c>
      <c r="AB27" s="308">
        <f t="shared" ca="1" si="3"/>
        <v>0</v>
      </c>
      <c r="AC27" s="308">
        <v>0</v>
      </c>
      <c r="AD27" s="819">
        <f t="shared" ca="1" si="4"/>
        <v>0</v>
      </c>
      <c r="AE27" s="308">
        <v>0</v>
      </c>
      <c r="AF27" s="819">
        <f t="shared" ca="1" si="5"/>
        <v>0</v>
      </c>
      <c r="AG27" s="308">
        <v>0</v>
      </c>
      <c r="AH27" s="308">
        <v>0</v>
      </c>
      <c r="AI27" s="308">
        <v>0</v>
      </c>
      <c r="AJ27" s="308">
        <f t="shared" ca="1" si="6"/>
        <v>0</v>
      </c>
      <c r="AK27" s="309">
        <v>0</v>
      </c>
      <c r="AL27" s="309">
        <f t="shared" si="26"/>
        <v>0</v>
      </c>
      <c r="AM27" s="309">
        <f t="shared" si="19"/>
        <v>0</v>
      </c>
      <c r="AN27" s="310">
        <v>0</v>
      </c>
      <c r="AO27" s="310">
        <v>0</v>
      </c>
      <c r="AP27" s="310">
        <f t="shared" si="20"/>
        <v>0</v>
      </c>
      <c r="AQ27" s="309">
        <v>0</v>
      </c>
      <c r="AR27" s="311">
        <f t="shared" ca="1" si="7"/>
        <v>0</v>
      </c>
      <c r="AS27" s="870">
        <f t="shared" ca="1" si="21"/>
        <v>0</v>
      </c>
      <c r="AT27" s="822"/>
      <c r="AU27" s="878"/>
      <c r="AV27" s="35"/>
      <c r="AW27" s="879"/>
      <c r="AX27" s="35"/>
      <c r="AY27" s="880"/>
    </row>
    <row r="28" spans="1:51">
      <c r="A28" s="303">
        <v>2019</v>
      </c>
      <c r="B28" s="304">
        <f ca="1">IF($D$3="BAU",UtilityDemand!C21,INDIRECT($D$3&amp;"!B"&amp;ROW(A28))+INDIRECT($D$3&amp;"!D"&amp;ROW(A28)))</f>
        <v>116518.93956922642</v>
      </c>
      <c r="C28" s="305">
        <f t="shared" ca="1" si="22"/>
        <v>0</v>
      </c>
      <c r="D28" s="306">
        <f t="shared" ca="1" si="23"/>
        <v>0</v>
      </c>
      <c r="E28" s="304">
        <f ca="1">IF($D$3="BAU",UtilityDemand!E21,INDIRECT($D$3&amp;"!E"&amp;ROW(D28))+INDIRECT($D$3&amp;"!G"&amp;ROW(D28)))</f>
        <v>574077.9642673505</v>
      </c>
      <c r="F28" s="305">
        <f t="shared" ca="1" si="24"/>
        <v>0</v>
      </c>
      <c r="G28" s="306">
        <f t="shared" ca="1" si="8"/>
        <v>0</v>
      </c>
      <c r="H28" s="304">
        <f ca="1">IF($D$3="BAU",UtilityDemand!G21,INDIRECT($D$3&amp;"!H"&amp;ROW(G28))+INDIRECT($D$3&amp;"!J"&amp;ROW(G28)))</f>
        <v>169467.73374966838</v>
      </c>
      <c r="I28" s="305">
        <f t="shared" ca="1" si="25"/>
        <v>0</v>
      </c>
      <c r="J28" s="306">
        <f t="shared" ca="1" si="9"/>
        <v>0</v>
      </c>
      <c r="K28" s="307">
        <f t="shared" ca="1" si="10"/>
        <v>116518.93956922642</v>
      </c>
      <c r="L28" s="307">
        <f t="shared" si="11"/>
        <v>0</v>
      </c>
      <c r="M28" s="307">
        <v>0</v>
      </c>
      <c r="N28" s="307">
        <f t="shared" ca="1" si="12"/>
        <v>116518.93956922642</v>
      </c>
      <c r="O28" s="1494">
        <f t="shared" ca="1" si="13"/>
        <v>574077.9642673505</v>
      </c>
      <c r="P28" s="306">
        <f t="shared" si="14"/>
        <v>0</v>
      </c>
      <c r="Q28" s="306">
        <v>0</v>
      </c>
      <c r="R28" s="306">
        <f t="shared" ca="1" si="15"/>
        <v>574077.9642673505</v>
      </c>
      <c r="S28" s="818">
        <f t="shared" ca="1" si="16"/>
        <v>169467.73374966838</v>
      </c>
      <c r="T28" s="818">
        <f t="shared" si="17"/>
        <v>0</v>
      </c>
      <c r="U28" s="818">
        <v>0</v>
      </c>
      <c r="V28" s="818">
        <f t="shared" ca="1" si="18"/>
        <v>169467.73374966838</v>
      </c>
      <c r="W28" s="306">
        <f t="shared" si="1"/>
        <v>0</v>
      </c>
      <c r="X28" s="306">
        <f t="shared" ca="1" si="2"/>
        <v>0</v>
      </c>
      <c r="Y28" s="306">
        <v>0</v>
      </c>
      <c r="Z28" s="306">
        <v>0</v>
      </c>
      <c r="AA28" s="308">
        <f ca="1">-SUM(W28,X28/OFFSET(GridFootprintbyYear,$A28-$A$19,0)*EF_PurchElec_MTperMWh,Z28)*OFFSET(ExposureCalculations!Price_GHG_Allowance_2010,A28-$A$19,0)*ExposureCalculations!D25</f>
        <v>0</v>
      </c>
      <c r="AB28" s="308">
        <f t="shared" ca="1" si="3"/>
        <v>0</v>
      </c>
      <c r="AC28" s="308">
        <v>0</v>
      </c>
      <c r="AD28" s="819">
        <f t="shared" ca="1" si="4"/>
        <v>0</v>
      </c>
      <c r="AE28" s="308">
        <v>0</v>
      </c>
      <c r="AF28" s="819">
        <f t="shared" ca="1" si="5"/>
        <v>0</v>
      </c>
      <c r="AG28" s="308">
        <v>0</v>
      </c>
      <c r="AH28" s="308">
        <v>0</v>
      </c>
      <c r="AI28" s="308">
        <v>0</v>
      </c>
      <c r="AJ28" s="308">
        <f t="shared" ca="1" si="6"/>
        <v>0</v>
      </c>
      <c r="AK28" s="309">
        <v>0</v>
      </c>
      <c r="AL28" s="309">
        <f t="shared" si="26"/>
        <v>0</v>
      </c>
      <c r="AM28" s="309">
        <f t="shared" si="19"/>
        <v>0</v>
      </c>
      <c r="AN28" s="310">
        <v>0</v>
      </c>
      <c r="AO28" s="310">
        <v>0</v>
      </c>
      <c r="AP28" s="310">
        <f t="shared" si="20"/>
        <v>0</v>
      </c>
      <c r="AQ28" s="309">
        <v>0</v>
      </c>
      <c r="AR28" s="311">
        <f t="shared" ca="1" si="7"/>
        <v>0</v>
      </c>
      <c r="AS28" s="870">
        <f t="shared" ca="1" si="21"/>
        <v>0</v>
      </c>
      <c r="AT28" s="822"/>
      <c r="AU28" s="878"/>
      <c r="AV28" s="35"/>
      <c r="AW28" s="879"/>
      <c r="AX28" s="35"/>
      <c r="AY28" s="880"/>
    </row>
    <row r="29" spans="1:51">
      <c r="A29" s="303">
        <v>2020</v>
      </c>
      <c r="B29" s="304">
        <f ca="1">IF($D$3="BAU",UtilityDemand!C22,INDIRECT($D$3&amp;"!B"&amp;ROW(A29))+INDIRECT($D$3&amp;"!D"&amp;ROW(A29)))</f>
        <v>115366.20604425845</v>
      </c>
      <c r="C29" s="305">
        <f t="shared" ca="1" si="22"/>
        <v>0</v>
      </c>
      <c r="D29" s="306">
        <f t="shared" ca="1" si="23"/>
        <v>0</v>
      </c>
      <c r="E29" s="304">
        <f ca="1">IF($D$3="BAU",UtilityDemand!E22,INDIRECT($D$3&amp;"!E"&amp;ROW(D29))+INDIRECT($D$3&amp;"!G"&amp;ROW(D29)))</f>
        <v>565884.88846908556</v>
      </c>
      <c r="F29" s="305">
        <f t="shared" ca="1" si="24"/>
        <v>0</v>
      </c>
      <c r="G29" s="306">
        <f t="shared" ca="1" si="8"/>
        <v>0</v>
      </c>
      <c r="H29" s="304">
        <f ca="1">IF($D$3="BAU",UtilityDemand!G22,INDIRECT($D$3&amp;"!H"&amp;ROW(G29))+INDIRECT($D$3&amp;"!J"&amp;ROW(G29)))</f>
        <v>169438.85451481873</v>
      </c>
      <c r="I29" s="305">
        <f t="shared" ca="1" si="25"/>
        <v>0</v>
      </c>
      <c r="J29" s="306">
        <f t="shared" ca="1" si="9"/>
        <v>0</v>
      </c>
      <c r="K29" s="307">
        <f t="shared" ca="1" si="10"/>
        <v>115366.20604425845</v>
      </c>
      <c r="L29" s="307">
        <f t="shared" si="11"/>
        <v>0</v>
      </c>
      <c r="M29" s="307">
        <v>0</v>
      </c>
      <c r="N29" s="307">
        <f t="shared" ca="1" si="12"/>
        <v>115366.20604425845</v>
      </c>
      <c r="O29" s="1494">
        <f t="shared" ca="1" si="13"/>
        <v>565884.88846908556</v>
      </c>
      <c r="P29" s="306">
        <f t="shared" si="14"/>
        <v>0</v>
      </c>
      <c r="Q29" s="306">
        <v>0</v>
      </c>
      <c r="R29" s="306">
        <f t="shared" ca="1" si="15"/>
        <v>565884.88846908556</v>
      </c>
      <c r="S29" s="818">
        <f t="shared" ca="1" si="16"/>
        <v>169438.85451481873</v>
      </c>
      <c r="T29" s="818">
        <f t="shared" si="17"/>
        <v>0</v>
      </c>
      <c r="U29" s="818">
        <v>0</v>
      </c>
      <c r="V29" s="818">
        <f t="shared" ca="1" si="18"/>
        <v>169438.85451481873</v>
      </c>
      <c r="W29" s="306">
        <f t="shared" si="1"/>
        <v>0</v>
      </c>
      <c r="X29" s="306">
        <f t="shared" ca="1" si="2"/>
        <v>0</v>
      </c>
      <c r="Y29" s="306">
        <v>0</v>
      </c>
      <c r="Z29" s="306">
        <v>0</v>
      </c>
      <c r="AA29" s="308">
        <f ca="1">-SUM(W29,X29/OFFSET(GridFootprintbyYear,$A29-$A$19,0)*EF_PurchElec_MTperMWh,Z29)*OFFSET(ExposureCalculations!Price_GHG_Allowance_2010,A29-$A$19,0)*ExposureCalculations!D26</f>
        <v>0</v>
      </c>
      <c r="AB29" s="308">
        <f t="shared" ca="1" si="3"/>
        <v>0</v>
      </c>
      <c r="AC29" s="308">
        <v>0</v>
      </c>
      <c r="AD29" s="819">
        <f t="shared" ca="1" si="4"/>
        <v>0</v>
      </c>
      <c r="AE29" s="308">
        <v>0</v>
      </c>
      <c r="AF29" s="819">
        <f t="shared" ca="1" si="5"/>
        <v>0</v>
      </c>
      <c r="AG29" s="308">
        <v>0</v>
      </c>
      <c r="AH29" s="308">
        <v>0</v>
      </c>
      <c r="AI29" s="308">
        <v>0</v>
      </c>
      <c r="AJ29" s="308">
        <f t="shared" ca="1" si="6"/>
        <v>0</v>
      </c>
      <c r="AK29" s="309">
        <v>0</v>
      </c>
      <c r="AL29" s="309">
        <f t="shared" si="26"/>
        <v>0</v>
      </c>
      <c r="AM29" s="309">
        <f t="shared" si="19"/>
        <v>0</v>
      </c>
      <c r="AN29" s="310">
        <v>0</v>
      </c>
      <c r="AO29" s="310">
        <v>0</v>
      </c>
      <c r="AP29" s="310">
        <f t="shared" si="20"/>
        <v>0</v>
      </c>
      <c r="AQ29" s="309">
        <v>0</v>
      </c>
      <c r="AR29" s="311">
        <f t="shared" ca="1" si="7"/>
        <v>0</v>
      </c>
      <c r="AS29" s="870">
        <f t="shared" ca="1" si="21"/>
        <v>0</v>
      </c>
      <c r="AT29" s="822"/>
      <c r="AU29" s="878"/>
      <c r="AV29" s="35"/>
      <c r="AW29" s="879"/>
      <c r="AX29" s="35"/>
      <c r="AY29" s="880"/>
    </row>
    <row r="30" spans="1:51">
      <c r="A30" s="303">
        <v>2021</v>
      </c>
      <c r="B30" s="304">
        <f ca="1">IF($D$3="BAU",UtilityDemand!C23,INDIRECT($D$3&amp;"!B"&amp;ROW(A30))+INDIRECT($D$3&amp;"!D"&amp;ROW(A30)))</f>
        <v>114212.2070416346</v>
      </c>
      <c r="C30" s="305">
        <f t="shared" ca="1" si="22"/>
        <v>0</v>
      </c>
      <c r="D30" s="306">
        <f t="shared" ca="1" si="23"/>
        <v>0</v>
      </c>
      <c r="E30" s="304">
        <f ca="1">IF($D$3="BAU",UtilityDemand!E23,INDIRECT($D$3&amp;"!E"&amp;ROW(D30))+INDIRECT($D$3&amp;"!G"&amp;ROW(D30)))</f>
        <v>557691.81267082086</v>
      </c>
      <c r="F30" s="305">
        <f t="shared" ca="1" si="24"/>
        <v>0</v>
      </c>
      <c r="G30" s="306">
        <f t="shared" ca="1" si="8"/>
        <v>0</v>
      </c>
      <c r="H30" s="304">
        <f ca="1">IF($D$3="BAU",UtilityDemand!G23,INDIRECT($D$3&amp;"!H"&amp;ROW(G30))+INDIRECT($D$3&amp;"!J"&amp;ROW(G30)))</f>
        <v>169408.70980231324</v>
      </c>
      <c r="I30" s="305">
        <f t="shared" ca="1" si="25"/>
        <v>0</v>
      </c>
      <c r="J30" s="306">
        <f t="shared" ca="1" si="9"/>
        <v>0</v>
      </c>
      <c r="K30" s="307">
        <f t="shared" ca="1" si="10"/>
        <v>114212.2070416346</v>
      </c>
      <c r="L30" s="307">
        <f t="shared" si="11"/>
        <v>0</v>
      </c>
      <c r="M30" s="307">
        <v>0</v>
      </c>
      <c r="N30" s="307">
        <f t="shared" ca="1" si="12"/>
        <v>114212.2070416346</v>
      </c>
      <c r="O30" s="1494">
        <f t="shared" ca="1" si="13"/>
        <v>557691.81267082086</v>
      </c>
      <c r="P30" s="306">
        <f t="shared" si="14"/>
        <v>0</v>
      </c>
      <c r="Q30" s="306">
        <v>0</v>
      </c>
      <c r="R30" s="306">
        <f t="shared" ca="1" si="15"/>
        <v>557691.81267082086</v>
      </c>
      <c r="S30" s="818">
        <f t="shared" ca="1" si="16"/>
        <v>169408.70980231324</v>
      </c>
      <c r="T30" s="818">
        <f t="shared" si="17"/>
        <v>0</v>
      </c>
      <c r="U30" s="818">
        <v>0</v>
      </c>
      <c r="V30" s="818">
        <f t="shared" ca="1" si="18"/>
        <v>169408.70980231324</v>
      </c>
      <c r="W30" s="306">
        <f t="shared" si="1"/>
        <v>0</v>
      </c>
      <c r="X30" s="306">
        <f t="shared" ca="1" si="2"/>
        <v>0</v>
      </c>
      <c r="Y30" s="306">
        <v>0</v>
      </c>
      <c r="Z30" s="306">
        <v>0</v>
      </c>
      <c r="AA30" s="308">
        <f ca="1">-SUM(W30,X30/OFFSET(GridFootprintbyYear,$A30-$A$19,0)*EF_PurchElec_MTperMWh,Z30)*OFFSET(ExposureCalculations!Price_GHG_Allowance_2010,A30-$A$19,0)*ExposureCalculations!D27</f>
        <v>0</v>
      </c>
      <c r="AB30" s="308">
        <f t="shared" ca="1" si="3"/>
        <v>0</v>
      </c>
      <c r="AC30" s="308">
        <v>0</v>
      </c>
      <c r="AD30" s="819">
        <f t="shared" ca="1" si="4"/>
        <v>0</v>
      </c>
      <c r="AE30" s="308">
        <v>0</v>
      </c>
      <c r="AF30" s="819">
        <f t="shared" ca="1" si="5"/>
        <v>0</v>
      </c>
      <c r="AG30" s="308">
        <v>0</v>
      </c>
      <c r="AH30" s="308">
        <v>0</v>
      </c>
      <c r="AI30" s="308">
        <v>0</v>
      </c>
      <c r="AJ30" s="308">
        <f t="shared" ca="1" si="6"/>
        <v>0</v>
      </c>
      <c r="AK30" s="309">
        <v>0</v>
      </c>
      <c r="AL30" s="309">
        <f t="shared" si="26"/>
        <v>0</v>
      </c>
      <c r="AM30" s="309">
        <f t="shared" si="19"/>
        <v>0</v>
      </c>
      <c r="AN30" s="310">
        <v>0</v>
      </c>
      <c r="AO30" s="310">
        <v>0</v>
      </c>
      <c r="AP30" s="310">
        <f t="shared" si="20"/>
        <v>0</v>
      </c>
      <c r="AQ30" s="309">
        <v>0</v>
      </c>
      <c r="AR30" s="311">
        <f t="shared" ca="1" si="7"/>
        <v>0</v>
      </c>
      <c r="AS30" s="870">
        <f t="shared" ca="1" si="21"/>
        <v>0</v>
      </c>
      <c r="AT30" s="822"/>
      <c r="AU30" s="878"/>
      <c r="AV30" s="35"/>
      <c r="AW30" s="879"/>
      <c r="AX30" s="35"/>
      <c r="AY30" s="880"/>
    </row>
    <row r="31" spans="1:51">
      <c r="A31" s="303">
        <v>2022</v>
      </c>
      <c r="B31" s="304">
        <f ca="1">IF($D$3="BAU",UtilityDemand!C24,INDIRECT($D$3&amp;"!B"&amp;ROW(A31))+INDIRECT($D$3&amp;"!D"&amp;ROW(A31)))</f>
        <v>113056.98193464843</v>
      </c>
      <c r="C31" s="305">
        <f t="shared" ca="1" si="22"/>
        <v>0</v>
      </c>
      <c r="D31" s="306">
        <f t="shared" ca="1" si="23"/>
        <v>0</v>
      </c>
      <c r="E31" s="304">
        <f ca="1">IF($D$3="BAU",UtilityDemand!E24,INDIRECT($D$3&amp;"!E"&amp;ROW(D31))+INDIRECT($D$3&amp;"!G"&amp;ROW(D31)))</f>
        <v>549498.7368725558</v>
      </c>
      <c r="F31" s="305">
        <f t="shared" ca="1" si="24"/>
        <v>0</v>
      </c>
      <c r="G31" s="306">
        <f t="shared" ca="1" si="8"/>
        <v>0</v>
      </c>
      <c r="H31" s="304">
        <f ca="1">IF($D$3="BAU",UtilityDemand!G24,INDIRECT($D$3&amp;"!H"&amp;ROW(G31))+INDIRECT($D$3&amp;"!J"&amp;ROW(G31)))</f>
        <v>169377.33898544539</v>
      </c>
      <c r="I31" s="305">
        <f t="shared" ca="1" si="25"/>
        <v>0</v>
      </c>
      <c r="J31" s="306">
        <f t="shared" ca="1" si="9"/>
        <v>0</v>
      </c>
      <c r="K31" s="307">
        <f t="shared" ca="1" si="10"/>
        <v>113056.98193464843</v>
      </c>
      <c r="L31" s="307">
        <f t="shared" si="11"/>
        <v>0</v>
      </c>
      <c r="M31" s="307">
        <v>0</v>
      </c>
      <c r="N31" s="307">
        <f t="shared" ca="1" si="12"/>
        <v>113056.98193464843</v>
      </c>
      <c r="O31" s="1494">
        <f t="shared" ca="1" si="13"/>
        <v>549498.7368725558</v>
      </c>
      <c r="P31" s="306">
        <f t="shared" si="14"/>
        <v>0</v>
      </c>
      <c r="Q31" s="306">
        <v>0</v>
      </c>
      <c r="R31" s="306">
        <f t="shared" ca="1" si="15"/>
        <v>549498.7368725558</v>
      </c>
      <c r="S31" s="818">
        <f t="shared" ca="1" si="16"/>
        <v>169377.33898544539</v>
      </c>
      <c r="T31" s="818">
        <f t="shared" si="17"/>
        <v>0</v>
      </c>
      <c r="U31" s="818">
        <v>0</v>
      </c>
      <c r="V31" s="818">
        <f t="shared" ca="1" si="18"/>
        <v>169377.33898544539</v>
      </c>
      <c r="W31" s="306">
        <f t="shared" si="1"/>
        <v>0</v>
      </c>
      <c r="X31" s="306">
        <f t="shared" ca="1" si="2"/>
        <v>0</v>
      </c>
      <c r="Y31" s="306">
        <v>0</v>
      </c>
      <c r="Z31" s="306">
        <v>0</v>
      </c>
      <c r="AA31" s="308">
        <f ca="1">-SUM(W31,X31/OFFSET(GridFootprintbyYear,$A31-$A$19,0)*EF_PurchElec_MTperMWh,Z31)*OFFSET(ExposureCalculations!Price_GHG_Allowance_2010,A31-$A$19,0)*ExposureCalculations!D28</f>
        <v>0</v>
      </c>
      <c r="AB31" s="308">
        <f t="shared" ca="1" si="3"/>
        <v>0</v>
      </c>
      <c r="AC31" s="308">
        <v>0</v>
      </c>
      <c r="AD31" s="819">
        <f t="shared" ca="1" si="4"/>
        <v>0</v>
      </c>
      <c r="AE31" s="308">
        <v>0</v>
      </c>
      <c r="AF31" s="819">
        <f t="shared" ca="1" si="5"/>
        <v>0</v>
      </c>
      <c r="AG31" s="308">
        <v>0</v>
      </c>
      <c r="AH31" s="308">
        <v>0</v>
      </c>
      <c r="AI31" s="308">
        <v>0</v>
      </c>
      <c r="AJ31" s="308">
        <f t="shared" ca="1" si="6"/>
        <v>0</v>
      </c>
      <c r="AK31" s="309">
        <v>0</v>
      </c>
      <c r="AL31" s="309">
        <f t="shared" si="26"/>
        <v>0</v>
      </c>
      <c r="AM31" s="309">
        <f t="shared" si="19"/>
        <v>0</v>
      </c>
      <c r="AN31" s="310">
        <v>0</v>
      </c>
      <c r="AO31" s="310">
        <v>0</v>
      </c>
      <c r="AP31" s="310">
        <f t="shared" si="20"/>
        <v>0</v>
      </c>
      <c r="AQ31" s="309">
        <v>0</v>
      </c>
      <c r="AR31" s="311">
        <f t="shared" ca="1" si="7"/>
        <v>0</v>
      </c>
      <c r="AS31" s="870">
        <f t="shared" ca="1" si="21"/>
        <v>0</v>
      </c>
      <c r="AT31" s="822"/>
      <c r="AU31" s="878"/>
      <c r="AV31" s="35"/>
      <c r="AW31" s="879"/>
      <c r="AX31" s="35"/>
      <c r="AY31" s="880"/>
    </row>
    <row r="32" spans="1:51">
      <c r="A32" s="303">
        <v>2023</v>
      </c>
      <c r="B32" s="304">
        <f ca="1">IF($D$3="BAU",UtilityDemand!C25,INDIRECT($D$3&amp;"!B"&amp;ROW(A32))+INDIRECT($D$3&amp;"!D"&amp;ROW(A32)))</f>
        <v>111900.56847997775</v>
      </c>
      <c r="C32" s="305">
        <f t="shared" ca="1" si="22"/>
        <v>0</v>
      </c>
      <c r="D32" s="306">
        <f t="shared" ca="1" si="23"/>
        <v>0</v>
      </c>
      <c r="E32" s="304">
        <f ca="1">IF($D$3="BAU",UtilityDemand!E25,INDIRECT($D$3&amp;"!E"&amp;ROW(D32))+INDIRECT($D$3&amp;"!G"&amp;ROW(D32)))</f>
        <v>541305.66107429087</v>
      </c>
      <c r="F32" s="305">
        <f t="shared" ca="1" si="24"/>
        <v>0</v>
      </c>
      <c r="G32" s="306">
        <f t="shared" ca="1" si="8"/>
        <v>0</v>
      </c>
      <c r="H32" s="304">
        <f ca="1">IF($D$3="BAU",UtilityDemand!G25,INDIRECT($D$3&amp;"!H"&amp;ROW(G32))+INDIRECT($D$3&amp;"!J"&amp;ROW(G32)))</f>
        <v>169344.77982089305</v>
      </c>
      <c r="I32" s="305">
        <f t="shared" ca="1" si="25"/>
        <v>0</v>
      </c>
      <c r="J32" s="306">
        <f t="shared" ca="1" si="9"/>
        <v>0</v>
      </c>
      <c r="K32" s="307">
        <f t="shared" ca="1" si="10"/>
        <v>111900.56847997775</v>
      </c>
      <c r="L32" s="307">
        <f t="shared" si="11"/>
        <v>0</v>
      </c>
      <c r="M32" s="307">
        <v>0</v>
      </c>
      <c r="N32" s="307">
        <f t="shared" ca="1" si="12"/>
        <v>111900.56847997775</v>
      </c>
      <c r="O32" s="1494">
        <f t="shared" ca="1" si="13"/>
        <v>541305.66107429087</v>
      </c>
      <c r="P32" s="306">
        <f t="shared" si="14"/>
        <v>0</v>
      </c>
      <c r="Q32" s="306">
        <v>0</v>
      </c>
      <c r="R32" s="306">
        <f t="shared" ca="1" si="15"/>
        <v>541305.66107429087</v>
      </c>
      <c r="S32" s="818">
        <f t="shared" ca="1" si="16"/>
        <v>169344.77982089305</v>
      </c>
      <c r="T32" s="818">
        <f t="shared" si="17"/>
        <v>0</v>
      </c>
      <c r="U32" s="818">
        <v>0</v>
      </c>
      <c r="V32" s="818">
        <f t="shared" ca="1" si="18"/>
        <v>169344.77982089305</v>
      </c>
      <c r="W32" s="306">
        <f t="shared" si="1"/>
        <v>0</v>
      </c>
      <c r="X32" s="306">
        <f t="shared" ca="1" si="2"/>
        <v>0</v>
      </c>
      <c r="Y32" s="306">
        <v>0</v>
      </c>
      <c r="Z32" s="306">
        <v>0</v>
      </c>
      <c r="AA32" s="308">
        <f ca="1">-SUM(W32,X32/OFFSET(GridFootprintbyYear,$A32-$A$19,0)*EF_PurchElec_MTperMWh,Z32)*OFFSET(ExposureCalculations!Price_GHG_Allowance_2010,A32-$A$19,0)*ExposureCalculations!D29</f>
        <v>0</v>
      </c>
      <c r="AB32" s="308">
        <f t="shared" ca="1" si="3"/>
        <v>0</v>
      </c>
      <c r="AC32" s="308">
        <v>0</v>
      </c>
      <c r="AD32" s="819">
        <f t="shared" ca="1" si="4"/>
        <v>0</v>
      </c>
      <c r="AE32" s="308">
        <v>0</v>
      </c>
      <c r="AF32" s="819">
        <f t="shared" ca="1" si="5"/>
        <v>0</v>
      </c>
      <c r="AG32" s="308">
        <v>0</v>
      </c>
      <c r="AH32" s="308">
        <v>0</v>
      </c>
      <c r="AI32" s="308">
        <v>0</v>
      </c>
      <c r="AJ32" s="308">
        <f t="shared" ca="1" si="6"/>
        <v>0</v>
      </c>
      <c r="AK32" s="309">
        <v>0</v>
      </c>
      <c r="AL32" s="309">
        <f t="shared" si="26"/>
        <v>0</v>
      </c>
      <c r="AM32" s="309">
        <f t="shared" si="19"/>
        <v>0</v>
      </c>
      <c r="AN32" s="310">
        <v>0</v>
      </c>
      <c r="AO32" s="310">
        <v>0</v>
      </c>
      <c r="AP32" s="310">
        <f t="shared" si="20"/>
        <v>0</v>
      </c>
      <c r="AQ32" s="309">
        <v>0</v>
      </c>
      <c r="AR32" s="311">
        <f t="shared" ca="1" si="7"/>
        <v>0</v>
      </c>
      <c r="AS32" s="870">
        <f t="shared" ca="1" si="21"/>
        <v>0</v>
      </c>
      <c r="AT32" s="822"/>
      <c r="AU32" s="878"/>
      <c r="AV32" s="35"/>
      <c r="AW32" s="879"/>
      <c r="AX32" s="35"/>
      <c r="AY32" s="880"/>
    </row>
    <row r="33" spans="1:51">
      <c r="A33" s="303">
        <v>2024</v>
      </c>
      <c r="B33" s="304">
        <f ca="1">IF($D$3="BAU",UtilityDemand!C26,INDIRECT($D$3&amp;"!B"&amp;ROW(A33))+INDIRECT($D$3&amp;"!D"&amp;ROW(A33)))</f>
        <v>111783.12789981159</v>
      </c>
      <c r="C33" s="305">
        <f t="shared" ca="1" si="22"/>
        <v>-2.383186130189232E-3</v>
      </c>
      <c r="D33" s="306">
        <f t="shared" ca="1" si="23"/>
        <v>-266.39999999999998</v>
      </c>
      <c r="E33" s="304">
        <f ca="1">IF($D$3="BAU",UtilityDemand!E26,INDIRECT($D$3&amp;"!E"&amp;ROW(D33))+INDIRECT($D$3&amp;"!G"&amp;ROW(D33)))</f>
        <v>540629.20715102612</v>
      </c>
      <c r="F33" s="305">
        <f t="shared" ca="1" si="24"/>
        <v>-1.0595945287875903E-2</v>
      </c>
      <c r="G33" s="306">
        <f t="shared" ca="1" si="8"/>
        <v>-5728.4775</v>
      </c>
      <c r="H33" s="304">
        <f ca="1">IF($D$3="BAU",UtilityDemand!G26,INDIRECT($D$3&amp;"!H"&amp;ROW(G33))+INDIRECT($D$3&amp;"!J"&amp;ROW(G33)))</f>
        <v>170176.69453084524</v>
      </c>
      <c r="I33" s="305">
        <f t="shared" ca="1" si="25"/>
        <v>-9.9739438745083345E-3</v>
      </c>
      <c r="J33" s="306">
        <f t="shared" ca="1" si="9"/>
        <v>-1697.3327999999999</v>
      </c>
      <c r="K33" s="307">
        <f t="shared" ca="1" si="10"/>
        <v>111516.72789981159</v>
      </c>
      <c r="L33" s="307">
        <f t="shared" si="11"/>
        <v>0</v>
      </c>
      <c r="M33" s="307">
        <v>0</v>
      </c>
      <c r="N33" s="307">
        <f t="shared" ca="1" si="12"/>
        <v>111516.72789981159</v>
      </c>
      <c r="O33" s="1494">
        <f t="shared" ca="1" si="13"/>
        <v>534900.72965102608</v>
      </c>
      <c r="P33" s="306">
        <f t="shared" si="14"/>
        <v>0</v>
      </c>
      <c r="Q33" s="306">
        <v>0</v>
      </c>
      <c r="R33" s="306">
        <f t="shared" ca="1" si="15"/>
        <v>534900.72965102608</v>
      </c>
      <c r="S33" s="818">
        <f t="shared" ca="1" si="16"/>
        <v>168479.36173084524</v>
      </c>
      <c r="T33" s="818">
        <f t="shared" si="17"/>
        <v>0</v>
      </c>
      <c r="U33" s="818">
        <v>0</v>
      </c>
      <c r="V33" s="818">
        <f t="shared" ca="1" si="18"/>
        <v>168479.36173084524</v>
      </c>
      <c r="W33" s="306">
        <f t="shared" si="1"/>
        <v>0</v>
      </c>
      <c r="X33" s="306">
        <f t="shared" ca="1" si="2"/>
        <v>-1008.2241603025502</v>
      </c>
      <c r="Y33" s="306">
        <v>0</v>
      </c>
      <c r="Z33" s="306">
        <v>0</v>
      </c>
      <c r="AA33" s="308">
        <f ca="1">-SUM(W33,X33/OFFSET(GridFootprintbyYear,$A33-$A$19,0)*EF_PurchElec_MTperMWh,Z33)*OFFSET(ExposureCalculations!Price_GHG_Allowance_2010,A33-$A$19,0)*ExposureCalculations!D30</f>
        <v>27963.259149218313</v>
      </c>
      <c r="AB33" s="308">
        <f t="shared" ca="1" si="3"/>
        <v>24281.639711387572</v>
      </c>
      <c r="AC33" s="308">
        <v>0</v>
      </c>
      <c r="AD33" s="819">
        <f t="shared" ca="1" si="4"/>
        <v>67962.53378837934</v>
      </c>
      <c r="AE33" s="308">
        <v>0</v>
      </c>
      <c r="AF33" s="819">
        <f t="shared" ca="1" si="5"/>
        <v>32815.100799999993</v>
      </c>
      <c r="AG33" s="308">
        <v>0</v>
      </c>
      <c r="AH33" s="308">
        <v>0</v>
      </c>
      <c r="AI33" s="308">
        <v>0</v>
      </c>
      <c r="AJ33" s="308">
        <f t="shared" ca="1" si="6"/>
        <v>125059.2742997669</v>
      </c>
      <c r="AK33" s="309">
        <v>0</v>
      </c>
      <c r="AL33" s="309">
        <f t="shared" si="26"/>
        <v>-831862</v>
      </c>
      <c r="AM33" s="309">
        <f t="shared" si="19"/>
        <v>-831862</v>
      </c>
      <c r="AN33" s="310">
        <v>0</v>
      </c>
      <c r="AO33" s="310">
        <v>0</v>
      </c>
      <c r="AP33" s="310">
        <f t="shared" si="20"/>
        <v>0</v>
      </c>
      <c r="AQ33" s="309">
        <v>0</v>
      </c>
      <c r="AR33" s="311">
        <f t="shared" ca="1" si="7"/>
        <v>-678839.4665510148</v>
      </c>
      <c r="AS33" s="870">
        <f t="shared" ca="1" si="21"/>
        <v>-678839.4665510148</v>
      </c>
      <c r="AT33" s="822"/>
      <c r="AU33" s="878"/>
      <c r="AV33" s="35"/>
      <c r="AW33" s="879"/>
      <c r="AX33" s="35"/>
      <c r="AY33" s="880"/>
    </row>
    <row r="34" spans="1:51">
      <c r="A34" s="303">
        <v>2025</v>
      </c>
      <c r="B34" s="304">
        <f ca="1">IF($D$3="BAU",UtilityDemand!C27,INDIRECT($D$3&amp;"!B"&amp;ROW(A34))+INDIRECT($D$3&amp;"!D"&amp;ROW(A34)))</f>
        <v>111664.56995902136</v>
      </c>
      <c r="C34" s="305">
        <f t="shared" ca="1" si="22"/>
        <v>-4.7714328743264471E-3</v>
      </c>
      <c r="D34" s="306">
        <f t="shared" ca="1" si="23"/>
        <v>-532.79999999999995</v>
      </c>
      <c r="E34" s="304">
        <f ca="1">IF($D$3="BAU",UtilityDemand!E27,INDIRECT($D$3&amp;"!E"&amp;ROW(D34))+INDIRECT($D$3&amp;"!G"&amp;ROW(D34)))</f>
        <v>539952.75322776113</v>
      </c>
      <c r="F34" s="305">
        <f t="shared" ca="1" si="24"/>
        <v>-2.1218439819987851E-2</v>
      </c>
      <c r="G34" s="306">
        <f t="shared" ca="1" si="8"/>
        <v>-11456.955</v>
      </c>
      <c r="H34" s="304">
        <f ca="1">IF($D$3="BAU",UtilityDemand!G27,INDIRECT($D$3&amp;"!H"&amp;ROW(G34))+INDIRECT($D$3&amp;"!J"&amp;ROW(G34)))</f>
        <v>171007.49188017342</v>
      </c>
      <c r="I34" s="305">
        <f t="shared" ca="1" si="25"/>
        <v>-1.985097589980838E-2</v>
      </c>
      <c r="J34" s="306">
        <f t="shared" ca="1" si="9"/>
        <v>-3394.6655999999998</v>
      </c>
      <c r="K34" s="307">
        <f t="shared" ca="1" si="10"/>
        <v>111131.76995902136</v>
      </c>
      <c r="L34" s="307">
        <f t="shared" si="11"/>
        <v>0</v>
      </c>
      <c r="M34" s="307">
        <v>0</v>
      </c>
      <c r="N34" s="307">
        <f t="shared" ca="1" si="12"/>
        <v>111131.76995902136</v>
      </c>
      <c r="O34" s="1494">
        <f t="shared" ca="1" si="13"/>
        <v>528495.79822776117</v>
      </c>
      <c r="P34" s="306">
        <f t="shared" si="14"/>
        <v>0</v>
      </c>
      <c r="Q34" s="306">
        <v>0</v>
      </c>
      <c r="R34" s="306">
        <f t="shared" ca="1" si="15"/>
        <v>528495.79822776117</v>
      </c>
      <c r="S34" s="818">
        <f t="shared" ca="1" si="16"/>
        <v>167612.82628017341</v>
      </c>
      <c r="T34" s="818">
        <f t="shared" si="17"/>
        <v>0</v>
      </c>
      <c r="U34" s="818">
        <v>0</v>
      </c>
      <c r="V34" s="818">
        <f t="shared" ca="1" si="18"/>
        <v>167612.82628017341</v>
      </c>
      <c r="W34" s="306">
        <f t="shared" si="1"/>
        <v>0</v>
      </c>
      <c r="X34" s="306">
        <f t="shared" ca="1" si="2"/>
        <v>-2016.4483206051004</v>
      </c>
      <c r="Y34" s="306">
        <v>0</v>
      </c>
      <c r="Z34" s="306">
        <v>0</v>
      </c>
      <c r="AA34" s="308">
        <f ca="1">-SUM(W34,X34/OFFSET(GridFootprintbyYear,$A34-$A$19,0)*EF_PurchElec_MTperMWh,Z34)*OFFSET(ExposureCalculations!Price_GHG_Allowance_2010,A34-$A$19,0)*ExposureCalculations!D31</f>
        <v>60850.510993590105</v>
      </c>
      <c r="AB34" s="308">
        <f t="shared" ca="1" si="3"/>
        <v>48806.095819889008</v>
      </c>
      <c r="AC34" s="308">
        <v>0</v>
      </c>
      <c r="AD34" s="819">
        <f t="shared" ca="1" si="4"/>
        <v>136604.69291464245</v>
      </c>
      <c r="AE34" s="308">
        <v>0</v>
      </c>
      <c r="AF34" s="819">
        <f t="shared" ca="1" si="5"/>
        <v>65630.201599999986</v>
      </c>
      <c r="AG34" s="308">
        <v>0</v>
      </c>
      <c r="AH34" s="308">
        <v>0</v>
      </c>
      <c r="AI34" s="308">
        <v>0</v>
      </c>
      <c r="AJ34" s="308">
        <f t="shared" ca="1" si="6"/>
        <v>251040.99033453147</v>
      </c>
      <c r="AK34" s="309">
        <v>0</v>
      </c>
      <c r="AL34" s="309">
        <f t="shared" si="26"/>
        <v>-831862</v>
      </c>
      <c r="AM34" s="309">
        <f t="shared" si="19"/>
        <v>-831862</v>
      </c>
      <c r="AN34" s="310">
        <v>0</v>
      </c>
      <c r="AO34" s="310">
        <v>0</v>
      </c>
      <c r="AP34" s="310">
        <f t="shared" si="20"/>
        <v>0</v>
      </c>
      <c r="AQ34" s="309">
        <v>0</v>
      </c>
      <c r="AR34" s="311">
        <f t="shared" ca="1" si="7"/>
        <v>-519970.49867187842</v>
      </c>
      <c r="AS34" s="870">
        <f t="shared" ca="1" si="21"/>
        <v>-1198809.9652228933</v>
      </c>
      <c r="AT34" s="822"/>
      <c r="AU34" s="878"/>
      <c r="AV34" s="35"/>
      <c r="AW34" s="879"/>
      <c r="AX34" s="35"/>
      <c r="AY34" s="880"/>
    </row>
    <row r="35" spans="1:51">
      <c r="A35" s="303">
        <v>2026</v>
      </c>
      <c r="B35" s="304">
        <f ca="1">IF($D$3="BAU",UtilityDemand!C28,INDIRECT($D$3&amp;"!B"&amp;ROW(A35))+INDIRECT($D$3&amp;"!D"&amp;ROW(A35)))</f>
        <v>111544.9280377206</v>
      </c>
      <c r="C35" s="305">
        <f t="shared" ca="1" si="22"/>
        <v>-7.1648259948649427E-3</v>
      </c>
      <c r="D35" s="306">
        <f t="shared" ca="1" si="23"/>
        <v>-799.19999999999993</v>
      </c>
      <c r="E35" s="304">
        <f ca="1">IF($D$3="BAU",UtilityDemand!E28,INDIRECT($D$3&amp;"!E"&amp;ROW(D35))+INDIRECT($D$3&amp;"!G"&amp;ROW(D35)))</f>
        <v>539276.29930449591</v>
      </c>
      <c r="F35" s="305">
        <f t="shared" ca="1" si="24"/>
        <v>-3.1867583504344682E-2</v>
      </c>
      <c r="G35" s="306">
        <f t="shared" ca="1" si="8"/>
        <v>-17185.432499999999</v>
      </c>
      <c r="H35" s="304">
        <f ca="1">IF($D$3="BAU",UtilityDemand!G28,INDIRECT($D$3&amp;"!H"&amp;ROW(G35))+INDIRECT($D$3&amp;"!J"&amp;ROW(G35)))</f>
        <v>171837.205248991</v>
      </c>
      <c r="I35" s="305">
        <f t="shared" ca="1" si="25"/>
        <v>-2.9632688640517209E-2</v>
      </c>
      <c r="J35" s="306">
        <f t="shared" ca="1" si="9"/>
        <v>-5091.9983999999995</v>
      </c>
      <c r="K35" s="307">
        <f t="shared" ca="1" si="10"/>
        <v>110745.7280377206</v>
      </c>
      <c r="L35" s="307">
        <f t="shared" si="11"/>
        <v>0</v>
      </c>
      <c r="M35" s="307">
        <v>0</v>
      </c>
      <c r="N35" s="307">
        <f t="shared" ca="1" si="12"/>
        <v>110745.7280377206</v>
      </c>
      <c r="O35" s="1494">
        <f t="shared" ca="1" si="13"/>
        <v>522090.86680449592</v>
      </c>
      <c r="P35" s="306">
        <f t="shared" si="14"/>
        <v>0</v>
      </c>
      <c r="Q35" s="306">
        <v>0</v>
      </c>
      <c r="R35" s="306">
        <f t="shared" ca="1" si="15"/>
        <v>522090.86680449592</v>
      </c>
      <c r="S35" s="818">
        <f t="shared" ca="1" si="16"/>
        <v>166745.20684899099</v>
      </c>
      <c r="T35" s="818">
        <f t="shared" si="17"/>
        <v>0</v>
      </c>
      <c r="U35" s="818">
        <v>0</v>
      </c>
      <c r="V35" s="818">
        <f t="shared" ca="1" si="18"/>
        <v>166745.20684899099</v>
      </c>
      <c r="W35" s="306">
        <f t="shared" si="1"/>
        <v>0</v>
      </c>
      <c r="X35" s="306">
        <f t="shared" ca="1" si="2"/>
        <v>-3024.6724809076504</v>
      </c>
      <c r="Y35" s="306">
        <v>0</v>
      </c>
      <c r="Z35" s="306">
        <v>0</v>
      </c>
      <c r="AA35" s="308">
        <f ca="1">-SUM(W35,X35/OFFSET(GridFootprintbyYear,$A35-$A$19,0)*EF_PurchElec_MTperMWh,Z35)*OFFSET(ExposureCalculations!Price_GHG_Allowance_2010,A35-$A$19,0)*ExposureCalculations!D32</f>
        <v>99625.049430068379</v>
      </c>
      <c r="AB35" s="308">
        <f t="shared" ca="1" si="3"/>
        <v>73575.189448482663</v>
      </c>
      <c r="AC35" s="308">
        <v>0</v>
      </c>
      <c r="AD35" s="819">
        <f t="shared" ca="1" si="4"/>
        <v>205931.57456882342</v>
      </c>
      <c r="AE35" s="308">
        <v>0</v>
      </c>
      <c r="AF35" s="819">
        <f t="shared" ca="1" si="5"/>
        <v>98445.302399999986</v>
      </c>
      <c r="AG35" s="308">
        <v>0</v>
      </c>
      <c r="AH35" s="308">
        <v>0</v>
      </c>
      <c r="AI35" s="308">
        <v>0</v>
      </c>
      <c r="AJ35" s="308">
        <f t="shared" ca="1" si="6"/>
        <v>377952.06641730608</v>
      </c>
      <c r="AK35" s="309">
        <v>0</v>
      </c>
      <c r="AL35" s="309">
        <f t="shared" si="26"/>
        <v>-831862</v>
      </c>
      <c r="AM35" s="309">
        <f t="shared" si="19"/>
        <v>-831862</v>
      </c>
      <c r="AN35" s="310">
        <v>0</v>
      </c>
      <c r="AO35" s="310">
        <v>0</v>
      </c>
      <c r="AP35" s="310">
        <f t="shared" si="20"/>
        <v>0</v>
      </c>
      <c r="AQ35" s="309">
        <v>0</v>
      </c>
      <c r="AR35" s="311">
        <f t="shared" ca="1" si="7"/>
        <v>-354284.88415262557</v>
      </c>
      <c r="AS35" s="870">
        <f t="shared" ca="1" si="21"/>
        <v>-1553094.849375519</v>
      </c>
      <c r="AT35" s="822"/>
      <c r="AU35" s="878"/>
      <c r="AV35" s="35"/>
      <c r="AW35" s="879"/>
      <c r="AX35" s="35"/>
      <c r="AY35" s="880"/>
    </row>
    <row r="36" spans="1:51">
      <c r="A36" s="303">
        <v>2027</v>
      </c>
      <c r="B36" s="304">
        <f ca="1">IF($D$3="BAU",UtilityDemand!C29,INDIRECT($D$3&amp;"!B"&amp;ROW(A36))+INDIRECT($D$3&amp;"!D"&amp;ROW(A36)))</f>
        <v>111424.23419953244</v>
      </c>
      <c r="C36" s="305">
        <f t="shared" ca="1" si="22"/>
        <v>-9.563449169341218E-3</v>
      </c>
      <c r="D36" s="306">
        <f t="shared" ca="1" si="23"/>
        <v>-1065.5999999999999</v>
      </c>
      <c r="E36" s="304">
        <f ca="1">IF($D$3="BAU",UtilityDemand!E29,INDIRECT($D$3&amp;"!E"&amp;ROW(D36))+INDIRECT($D$3&amp;"!G"&amp;ROW(D36)))</f>
        <v>538599.84538123116</v>
      </c>
      <c r="F36" s="305">
        <f t="shared" ca="1" si="24"/>
        <v>-4.2543476750872625E-2</v>
      </c>
      <c r="G36" s="306">
        <f t="shared" ca="1" si="8"/>
        <v>-22913.91</v>
      </c>
      <c r="H36" s="304">
        <f ca="1">IF($D$3="BAU",UtilityDemand!G29,INDIRECT($D$3&amp;"!H"&amp;ROW(G36))+INDIRECT($D$3&amp;"!J"&amp;ROW(G36)))</f>
        <v>172665.86670092124</v>
      </c>
      <c r="I36" s="305">
        <f t="shared" ca="1" si="25"/>
        <v>-3.9320633137989953E-2</v>
      </c>
      <c r="J36" s="306">
        <f t="shared" ca="1" si="9"/>
        <v>-6789.3311999999996</v>
      </c>
      <c r="K36" s="307">
        <f t="shared" ca="1" si="10"/>
        <v>110358.63419953243</v>
      </c>
      <c r="L36" s="307">
        <f t="shared" si="11"/>
        <v>0</v>
      </c>
      <c r="M36" s="307">
        <v>0</v>
      </c>
      <c r="N36" s="307">
        <f t="shared" ca="1" si="12"/>
        <v>110358.63419953243</v>
      </c>
      <c r="O36" s="1494">
        <f t="shared" ca="1" si="13"/>
        <v>515685.93538123119</v>
      </c>
      <c r="P36" s="306">
        <f t="shared" si="14"/>
        <v>0</v>
      </c>
      <c r="Q36" s="306">
        <v>0</v>
      </c>
      <c r="R36" s="306">
        <f t="shared" ca="1" si="15"/>
        <v>515685.93538123119</v>
      </c>
      <c r="S36" s="818">
        <f t="shared" ca="1" si="16"/>
        <v>165876.53550092125</v>
      </c>
      <c r="T36" s="818">
        <f t="shared" si="17"/>
        <v>0</v>
      </c>
      <c r="U36" s="818">
        <v>0</v>
      </c>
      <c r="V36" s="818">
        <f t="shared" ca="1" si="18"/>
        <v>165876.53550092125</v>
      </c>
      <c r="W36" s="306">
        <f t="shared" si="1"/>
        <v>0</v>
      </c>
      <c r="X36" s="306">
        <f t="shared" ca="1" si="2"/>
        <v>-4032.8966412102009</v>
      </c>
      <c r="Y36" s="306">
        <v>0</v>
      </c>
      <c r="Z36" s="306">
        <v>0</v>
      </c>
      <c r="AA36" s="308">
        <f ca="1">-SUM(W36,X36/OFFSET(GridFootprintbyYear,$A36-$A$19,0)*EF_PurchElec_MTperMWh,Z36)*OFFSET(ExposureCalculations!Price_GHG_Allowance_2010,A36-$A$19,0)*ExposureCalculations!D33</f>
        <v>144311.39616168712</v>
      </c>
      <c r="AB36" s="308">
        <f t="shared" ca="1" si="3"/>
        <v>98590.753860966768</v>
      </c>
      <c r="AC36" s="308">
        <v>0</v>
      </c>
      <c r="AD36" s="819">
        <f t="shared" ca="1" si="4"/>
        <v>275948.30992222339</v>
      </c>
      <c r="AE36" s="308">
        <v>0</v>
      </c>
      <c r="AF36" s="819">
        <f t="shared" ca="1" si="5"/>
        <v>131260.40319999997</v>
      </c>
      <c r="AG36" s="308">
        <v>0</v>
      </c>
      <c r="AH36" s="308">
        <v>0</v>
      </c>
      <c r="AI36" s="308">
        <v>0</v>
      </c>
      <c r="AJ36" s="308">
        <f t="shared" ca="1" si="6"/>
        <v>505799.46698319016</v>
      </c>
      <c r="AK36" s="309">
        <v>0</v>
      </c>
      <c r="AL36" s="309">
        <f t="shared" si="26"/>
        <v>-831862</v>
      </c>
      <c r="AM36" s="309">
        <f t="shared" si="19"/>
        <v>-831862</v>
      </c>
      <c r="AN36" s="310">
        <v>0</v>
      </c>
      <c r="AO36" s="310">
        <v>0</v>
      </c>
      <c r="AP36" s="310">
        <f t="shared" si="20"/>
        <v>0</v>
      </c>
      <c r="AQ36" s="309">
        <v>0</v>
      </c>
      <c r="AR36" s="311">
        <f t="shared" ca="1" si="7"/>
        <v>-181751.13685512275</v>
      </c>
      <c r="AS36" s="870">
        <f t="shared" ca="1" si="21"/>
        <v>-1734845.9862306416</v>
      </c>
      <c r="AT36" s="822"/>
      <c r="AU36" s="878"/>
      <c r="AV36" s="35"/>
      <c r="AW36" s="879"/>
      <c r="AX36" s="35"/>
      <c r="AY36" s="880"/>
    </row>
    <row r="37" spans="1:51">
      <c r="A37" s="303">
        <v>2028</v>
      </c>
      <c r="B37" s="304">
        <f ca="1">IF($D$3="BAU",UtilityDemand!C30,INDIRECT($D$3&amp;"!B"&amp;ROW(A37))+INDIRECT($D$3&amp;"!D"&amp;ROW(A37)))</f>
        <v>111302.51925585822</v>
      </c>
      <c r="C37" s="305">
        <f t="shared" ca="1" si="22"/>
        <v>-1.1967384106895608E-2</v>
      </c>
      <c r="D37" s="306">
        <f t="shared" ca="1" si="23"/>
        <v>-1332</v>
      </c>
      <c r="E37" s="304">
        <f ca="1">IF($D$3="BAU",UtilityDemand!E30,INDIRECT($D$3&amp;"!E"&amp;ROW(D37))+INDIRECT($D$3&amp;"!G"&amp;ROW(D37)))</f>
        <v>537923.39145796618</v>
      </c>
      <c r="F37" s="305">
        <f t="shared" ca="1" si="24"/>
        <v>-5.3246220474571317E-2</v>
      </c>
      <c r="G37" s="306">
        <f t="shared" ca="1" si="8"/>
        <v>-28642.387500000001</v>
      </c>
      <c r="H37" s="304">
        <f ca="1">IF($D$3="BAU",UtilityDemand!G30,INDIRECT($D$3&amp;"!H"&amp;ROW(G37))+INDIRECT($D$3&amp;"!J"&amp;ROW(G37)))</f>
        <v>173493.50704736533</v>
      </c>
      <c r="I37" s="305">
        <f t="shared" ca="1" si="25"/>
        <v>-4.8916320526525878E-2</v>
      </c>
      <c r="J37" s="306">
        <f t="shared" ca="1" si="9"/>
        <v>-8486.6639999999989</v>
      </c>
      <c r="K37" s="307">
        <f t="shared" ca="1" si="10"/>
        <v>109970.51925585822</v>
      </c>
      <c r="L37" s="307">
        <f t="shared" si="11"/>
        <v>0</v>
      </c>
      <c r="M37" s="307">
        <v>0</v>
      </c>
      <c r="N37" s="307">
        <f t="shared" ca="1" si="12"/>
        <v>109970.51925585822</v>
      </c>
      <c r="O37" s="1494">
        <f t="shared" ca="1" si="13"/>
        <v>509281.00395796617</v>
      </c>
      <c r="P37" s="306">
        <f t="shared" si="14"/>
        <v>0</v>
      </c>
      <c r="Q37" s="306">
        <v>0</v>
      </c>
      <c r="R37" s="306">
        <f t="shared" ca="1" si="15"/>
        <v>509281.00395796617</v>
      </c>
      <c r="S37" s="818">
        <f t="shared" ca="1" si="16"/>
        <v>165006.84304736534</v>
      </c>
      <c r="T37" s="818">
        <f t="shared" si="17"/>
        <v>0</v>
      </c>
      <c r="U37" s="818">
        <v>0</v>
      </c>
      <c r="V37" s="818">
        <f t="shared" ca="1" si="18"/>
        <v>165006.84304736534</v>
      </c>
      <c r="W37" s="306">
        <f t="shared" si="1"/>
        <v>0</v>
      </c>
      <c r="X37" s="306">
        <f t="shared" ca="1" si="2"/>
        <v>-5041.1208015127513</v>
      </c>
      <c r="Y37" s="306">
        <v>0</v>
      </c>
      <c r="Z37" s="306">
        <v>0</v>
      </c>
      <c r="AA37" s="308">
        <f ca="1">-SUM(W37,X37/OFFSET(GridFootprintbyYear,$A37-$A$19,0)*EF_PurchElec_MTperMWh,Z37)*OFFSET(ExposureCalculations!Price_GHG_Allowance_2010,A37-$A$19,0)*ExposureCalculations!D34</f>
        <v>195147.79131265712</v>
      </c>
      <c r="AB37" s="308">
        <f t="shared" ca="1" si="3"/>
        <v>123854.63453783948</v>
      </c>
      <c r="AC37" s="308">
        <v>0</v>
      </c>
      <c r="AD37" s="819">
        <f t="shared" ca="1" si="4"/>
        <v>346660.06433979305</v>
      </c>
      <c r="AE37" s="308">
        <v>0</v>
      </c>
      <c r="AF37" s="819">
        <f t="shared" ca="1" si="5"/>
        <v>164075.50399999996</v>
      </c>
      <c r="AG37" s="308">
        <v>0</v>
      </c>
      <c r="AH37" s="308">
        <v>0</v>
      </c>
      <c r="AI37" s="308">
        <v>0</v>
      </c>
      <c r="AJ37" s="308">
        <f t="shared" ca="1" si="6"/>
        <v>634590.20287763246</v>
      </c>
      <c r="AK37" s="309">
        <v>0</v>
      </c>
      <c r="AL37" s="309">
        <f t="shared" si="26"/>
        <v>-831862</v>
      </c>
      <c r="AM37" s="309">
        <f t="shared" si="19"/>
        <v>-831862</v>
      </c>
      <c r="AN37" s="310">
        <v>0</v>
      </c>
      <c r="AO37" s="310">
        <v>0</v>
      </c>
      <c r="AP37" s="310">
        <f t="shared" si="20"/>
        <v>0</v>
      </c>
      <c r="AQ37" s="309">
        <v>0</v>
      </c>
      <c r="AR37" s="311">
        <f t="shared" ca="1" si="7"/>
        <v>-2124.0058097103611</v>
      </c>
      <c r="AS37" s="870">
        <f t="shared" ca="1" si="21"/>
        <v>-1736969.992040352</v>
      </c>
      <c r="AT37" s="822"/>
      <c r="AU37" s="878"/>
      <c r="AV37" s="35"/>
      <c r="AW37" s="879"/>
      <c r="AX37" s="35"/>
      <c r="AY37" s="880"/>
    </row>
    <row r="38" spans="1:51">
      <c r="A38" s="303">
        <v>2029</v>
      </c>
      <c r="B38" s="304">
        <f ca="1">IF($D$3="BAU",UtilityDemand!C31,INDIRECT($D$3&amp;"!B"&amp;ROW(A38))+INDIRECT($D$3&amp;"!D"&amp;ROW(A38)))</f>
        <v>111179.81282641659</v>
      </c>
      <c r="C38" s="305">
        <f t="shared" ca="1" si="22"/>
        <v>-1.4376710657856194E-2</v>
      </c>
      <c r="D38" s="306">
        <f t="shared" ca="1" si="23"/>
        <v>-1598.4</v>
      </c>
      <c r="E38" s="304">
        <f ca="1">IF($D$3="BAU",UtilityDemand!E31,INDIRECT($D$3&amp;"!E"&amp;ROW(D38))+INDIRECT($D$3&amp;"!G"&amp;ROW(D38)))</f>
        <v>537246.93753470143</v>
      </c>
      <c r="F38" s="305">
        <f t="shared" ca="1" si="24"/>
        <v>-6.3975916098693339E-2</v>
      </c>
      <c r="G38" s="306">
        <f t="shared" ca="1" si="8"/>
        <v>-34370.864999999998</v>
      </c>
      <c r="H38" s="304">
        <f ca="1">IF($D$3="BAU",UtilityDemand!G31,INDIRECT($D$3&amp;"!H"&amp;ROW(G38))+INDIRECT($D$3&amp;"!J"&amp;ROW(G38)))</f>
        <v>174320.1559080421</v>
      </c>
      <c r="I38" s="305">
        <f t="shared" ca="1" si="25"/>
        <v>-5.8421223563913584E-2</v>
      </c>
      <c r="J38" s="306">
        <f t="shared" ca="1" si="9"/>
        <v>-10183.996799999999</v>
      </c>
      <c r="K38" s="307">
        <f t="shared" ca="1" si="10"/>
        <v>109581.41282641659</v>
      </c>
      <c r="L38" s="307">
        <f t="shared" si="11"/>
        <v>0</v>
      </c>
      <c r="M38" s="307">
        <v>0</v>
      </c>
      <c r="N38" s="307">
        <f t="shared" ca="1" si="12"/>
        <v>109581.41282641659</v>
      </c>
      <c r="O38" s="1494">
        <f t="shared" ca="1" si="13"/>
        <v>502876.07253470144</v>
      </c>
      <c r="P38" s="306">
        <f t="shared" si="14"/>
        <v>0</v>
      </c>
      <c r="Q38" s="306">
        <v>0</v>
      </c>
      <c r="R38" s="306">
        <f t="shared" ca="1" si="15"/>
        <v>502876.07253470144</v>
      </c>
      <c r="S38" s="818">
        <f t="shared" ca="1" si="16"/>
        <v>164136.15910804211</v>
      </c>
      <c r="T38" s="818">
        <f t="shared" si="17"/>
        <v>0</v>
      </c>
      <c r="U38" s="818">
        <v>0</v>
      </c>
      <c r="V38" s="818">
        <f t="shared" ca="1" si="18"/>
        <v>164136.15910804211</v>
      </c>
      <c r="W38" s="306">
        <f t="shared" si="1"/>
        <v>0</v>
      </c>
      <c r="X38" s="306">
        <f t="shared" ca="1" si="2"/>
        <v>-6049.3449618153018</v>
      </c>
      <c r="Y38" s="306">
        <v>0</v>
      </c>
      <c r="Z38" s="306">
        <v>0</v>
      </c>
      <c r="AA38" s="308">
        <f ca="1">-SUM(W38,X38/OFFSET(GridFootprintbyYear,$A38-$A$19,0)*EF_PurchElec_MTperMWh,Z38)*OFFSET(ExposureCalculations!Price_GHG_Allowance_2010,A38-$A$19,0)*ExposureCalculations!D35</f>
        <v>252355.83031518414</v>
      </c>
      <c r="AB38" s="308">
        <f t="shared" ca="1" si="3"/>
        <v>149368.68925263439</v>
      </c>
      <c r="AC38" s="308">
        <v>0</v>
      </c>
      <c r="AD38" s="819">
        <f t="shared" ca="1" si="4"/>
        <v>418072.03759379039</v>
      </c>
      <c r="AE38" s="308">
        <v>0</v>
      </c>
      <c r="AF38" s="819">
        <f t="shared" ca="1" si="5"/>
        <v>196890.60479999997</v>
      </c>
      <c r="AG38" s="308">
        <v>0</v>
      </c>
      <c r="AH38" s="308">
        <v>0</v>
      </c>
      <c r="AI38" s="308">
        <v>0</v>
      </c>
      <c r="AJ38" s="308">
        <f t="shared" ca="1" si="6"/>
        <v>764331.33164642472</v>
      </c>
      <c r="AK38" s="309">
        <v>0</v>
      </c>
      <c r="AL38" s="309">
        <f t="shared" si="26"/>
        <v>-831862</v>
      </c>
      <c r="AM38" s="309">
        <f t="shared" si="19"/>
        <v>-831862</v>
      </c>
      <c r="AN38" s="310">
        <v>0</v>
      </c>
      <c r="AO38" s="310">
        <v>0</v>
      </c>
      <c r="AP38" s="310">
        <f t="shared" si="20"/>
        <v>0</v>
      </c>
      <c r="AQ38" s="309">
        <v>0</v>
      </c>
      <c r="AR38" s="311">
        <f t="shared" ca="1" si="7"/>
        <v>184825.1619616088</v>
      </c>
      <c r="AS38" s="870">
        <f t="shared" ca="1" si="21"/>
        <v>-1552144.8300787432</v>
      </c>
      <c r="AT38" s="822"/>
      <c r="AU38" s="878"/>
      <c r="AV38" s="35"/>
      <c r="AW38" s="879"/>
      <c r="AX38" s="35"/>
      <c r="AY38" s="880"/>
    </row>
    <row r="39" spans="1:51">
      <c r="A39" s="303">
        <v>2030</v>
      </c>
      <c r="B39" s="304">
        <f ca="1">IF($D$3="BAU",UtilityDemand!C32,INDIRECT($D$3&amp;"!B"&amp;ROW(A39))+INDIRECT($D$3&amp;"!D"&amp;ROW(A39)))</f>
        <v>111056.14339630527</v>
      </c>
      <c r="C39" s="305">
        <f t="shared" ca="1" si="22"/>
        <v>-1.6791506916870303E-2</v>
      </c>
      <c r="D39" s="306">
        <f t="shared" ca="1" si="23"/>
        <v>-1864.8000000000002</v>
      </c>
      <c r="E39" s="304">
        <f ca="1">IF($D$3="BAU",UtilityDemand!E32,INDIRECT($D$3&amp;"!E"&amp;ROW(D39))+INDIRECT($D$3&amp;"!G"&amp;ROW(D39)))</f>
        <v>536570.48361143644</v>
      </c>
      <c r="F39" s="305">
        <f t="shared" ca="1" si="24"/>
        <v>-7.4732665557948191E-2</v>
      </c>
      <c r="G39" s="306">
        <f t="shared" ca="1" si="8"/>
        <v>-40099.342499999999</v>
      </c>
      <c r="H39" s="304">
        <f ca="1">IF($D$3="BAU",UtilityDemand!G32,INDIRECT($D$3&amp;"!H"&amp;ROW(G39))+INDIRECT($D$3&amp;"!J"&amp;ROW(G39)))</f>
        <v>175145.84176804914</v>
      </c>
      <c r="I39" s="305">
        <f t="shared" ca="1" si="25"/>
        <v>-6.7836778081975815E-2</v>
      </c>
      <c r="J39" s="306">
        <f t="shared" ca="1" si="9"/>
        <v>-11881.329599999999</v>
      </c>
      <c r="K39" s="307">
        <f t="shared" ca="1" si="10"/>
        <v>109191.34339630527</v>
      </c>
      <c r="L39" s="307">
        <f t="shared" si="11"/>
        <v>0</v>
      </c>
      <c r="M39" s="307">
        <v>0</v>
      </c>
      <c r="N39" s="307">
        <f t="shared" ca="1" si="12"/>
        <v>109191.34339630527</v>
      </c>
      <c r="O39" s="1494">
        <f t="shared" ca="1" si="13"/>
        <v>496471.14111143642</v>
      </c>
      <c r="P39" s="306">
        <f t="shared" si="14"/>
        <v>0</v>
      </c>
      <c r="Q39" s="306">
        <v>0</v>
      </c>
      <c r="R39" s="306">
        <f t="shared" ca="1" si="15"/>
        <v>496471.14111143642</v>
      </c>
      <c r="S39" s="818">
        <f t="shared" ca="1" si="16"/>
        <v>163264.51216804914</v>
      </c>
      <c r="T39" s="818">
        <f t="shared" si="17"/>
        <v>0</v>
      </c>
      <c r="U39" s="818">
        <v>0</v>
      </c>
      <c r="V39" s="818">
        <f t="shared" ca="1" si="18"/>
        <v>163264.51216804914</v>
      </c>
      <c r="W39" s="306">
        <f t="shared" si="1"/>
        <v>0</v>
      </c>
      <c r="X39" s="306">
        <f t="shared" ca="1" si="2"/>
        <v>-7057.5691221178513</v>
      </c>
      <c r="Y39" s="306">
        <v>0</v>
      </c>
      <c r="Z39" s="306">
        <v>0</v>
      </c>
      <c r="AA39" s="308">
        <f ca="1">-SUM(W39,X39/OFFSET(GridFootprintbyYear,$A39-$A$19,0)*EF_PurchElec_MTperMWh,Z39)*OFFSET(ExposureCalculations!Price_GHG_Allowance_2010,A39-$A$19,0)*ExposureCalculations!D36</f>
        <v>316140.57343449432</v>
      </c>
      <c r="AB39" s="308">
        <f t="shared" ca="1" si="3"/>
        <v>175134.78814871382</v>
      </c>
      <c r="AC39" s="308">
        <v>0</v>
      </c>
      <c r="AD39" s="819">
        <f t="shared" ca="1" si="4"/>
        <v>490189.46407871915</v>
      </c>
      <c r="AE39" s="308">
        <v>0</v>
      </c>
      <c r="AF39" s="819">
        <f t="shared" ca="1" si="5"/>
        <v>229705.70559999996</v>
      </c>
      <c r="AG39" s="308">
        <v>0</v>
      </c>
      <c r="AH39" s="308">
        <v>0</v>
      </c>
      <c r="AI39" s="308">
        <v>0</v>
      </c>
      <c r="AJ39" s="308">
        <f t="shared" ca="1" si="6"/>
        <v>895029.95782743301</v>
      </c>
      <c r="AK39" s="309">
        <v>0</v>
      </c>
      <c r="AL39" s="309">
        <f t="shared" si="26"/>
        <v>-831862</v>
      </c>
      <c r="AM39" s="309">
        <f t="shared" si="19"/>
        <v>-831862</v>
      </c>
      <c r="AN39" s="310">
        <v>0</v>
      </c>
      <c r="AO39" s="310">
        <v>0</v>
      </c>
      <c r="AP39" s="310">
        <f t="shared" si="20"/>
        <v>0</v>
      </c>
      <c r="AQ39" s="309">
        <v>0</v>
      </c>
      <c r="AR39" s="311">
        <f t="shared" ca="1" si="7"/>
        <v>379308.53126192745</v>
      </c>
      <c r="AS39" s="870">
        <f t="shared" ca="1" si="21"/>
        <v>-1172836.2988168157</v>
      </c>
      <c r="AT39" s="822"/>
      <c r="AU39" s="878"/>
      <c r="AV39" s="35"/>
      <c r="AW39" s="879"/>
      <c r="AX39" s="35"/>
      <c r="AY39" s="880"/>
    </row>
    <row r="40" spans="1:51">
      <c r="A40" s="303">
        <v>2031</v>
      </c>
      <c r="B40" s="304">
        <f ca="1">IF($D$3="BAU",UtilityDemand!C33,INDIRECT($D$3&amp;"!B"&amp;ROW(A40))+INDIRECT($D$3&amp;"!D"&amp;ROW(A40)))</f>
        <v>110931.53836981412</v>
      </c>
      <c r="C40" s="305">
        <f t="shared" ca="1" si="22"/>
        <v>-1.9211849320030044E-2</v>
      </c>
      <c r="D40" s="306">
        <f t="shared" ca="1" si="23"/>
        <v>-2131.2000000000003</v>
      </c>
      <c r="E40" s="304">
        <f ca="1">IF($D$3="BAU",UtilityDemand!E33,INDIRECT($D$3&amp;"!E"&amp;ROW(D40))+INDIRECT($D$3&amp;"!G"&amp;ROW(D40)))</f>
        <v>535894.02968817146</v>
      </c>
      <c r="F40" s="305">
        <f t="shared" ca="1" si="24"/>
        <v>-8.551657130173014E-2</v>
      </c>
      <c r="G40" s="306">
        <f t="shared" ca="1" si="8"/>
        <v>-45827.82</v>
      </c>
      <c r="H40" s="304">
        <f ca="1">IF($D$3="BAU",UtilityDemand!G33,INDIRECT($D$3&amp;"!H"&amp;ROW(G40))+INDIRECT($D$3&amp;"!J"&amp;ROW(G40)))</f>
        <v>175970.59203167635</v>
      </c>
      <c r="I40" s="305">
        <f t="shared" ca="1" si="25"/>
        <v>-7.7164384362335456E-2</v>
      </c>
      <c r="J40" s="306">
        <f t="shared" ca="1" si="9"/>
        <v>-13578.662399999999</v>
      </c>
      <c r="K40" s="307">
        <f t="shared" ca="1" si="10"/>
        <v>108800.33836981413</v>
      </c>
      <c r="L40" s="307">
        <f t="shared" si="11"/>
        <v>0</v>
      </c>
      <c r="M40" s="307">
        <v>0</v>
      </c>
      <c r="N40" s="307">
        <f t="shared" ca="1" si="12"/>
        <v>108800.33836981413</v>
      </c>
      <c r="O40" s="1494">
        <f t="shared" ca="1" si="13"/>
        <v>490066.20968817145</v>
      </c>
      <c r="P40" s="306">
        <f t="shared" si="14"/>
        <v>0</v>
      </c>
      <c r="Q40" s="306">
        <v>0</v>
      </c>
      <c r="R40" s="306">
        <f t="shared" ca="1" si="15"/>
        <v>490066.20968817145</v>
      </c>
      <c r="S40" s="818">
        <f t="shared" ca="1" si="16"/>
        <v>162391.92963167635</v>
      </c>
      <c r="T40" s="818">
        <f t="shared" si="17"/>
        <v>0</v>
      </c>
      <c r="U40" s="818">
        <v>0</v>
      </c>
      <c r="V40" s="818">
        <f t="shared" ca="1" si="18"/>
        <v>162391.92963167635</v>
      </c>
      <c r="W40" s="306">
        <f t="shared" si="1"/>
        <v>0</v>
      </c>
      <c r="X40" s="306">
        <f t="shared" ca="1" si="2"/>
        <v>-8065.7932824204017</v>
      </c>
      <c r="Y40" s="306">
        <v>0</v>
      </c>
      <c r="Z40" s="306">
        <v>0</v>
      </c>
      <c r="AA40" s="308">
        <f ca="1">-SUM(W40,X40/OFFSET(GridFootprintbyYear,$A40-$A$19,0)*EF_PurchElec_MTperMWh,Z40)*OFFSET(ExposureCalculations!Price_GHG_Allowance_2010,A40-$A$19,0)*ExposureCalculations!D37</f>
        <v>389735.18700323295</v>
      </c>
      <c r="AB40" s="308">
        <f t="shared" ca="1" si="3"/>
        <v>201154.81381652266</v>
      </c>
      <c r="AC40" s="308">
        <v>0</v>
      </c>
      <c r="AD40" s="819">
        <f t="shared" ca="1" si="4"/>
        <v>563017.61302755727</v>
      </c>
      <c r="AE40" s="308">
        <v>0</v>
      </c>
      <c r="AF40" s="819">
        <f t="shared" ca="1" si="5"/>
        <v>262520.80639999994</v>
      </c>
      <c r="AG40" s="308">
        <v>0</v>
      </c>
      <c r="AH40" s="308">
        <v>0</v>
      </c>
      <c r="AI40" s="308">
        <v>0</v>
      </c>
      <c r="AJ40" s="308">
        <f t="shared" ca="1" si="6"/>
        <v>1026693.2332440799</v>
      </c>
      <c r="AK40" s="309">
        <v>0</v>
      </c>
      <c r="AL40" s="309">
        <f t="shared" si="26"/>
        <v>-831862</v>
      </c>
      <c r="AM40" s="309">
        <f t="shared" si="19"/>
        <v>-831862</v>
      </c>
      <c r="AN40" s="310">
        <v>0</v>
      </c>
      <c r="AO40" s="310">
        <v>0</v>
      </c>
      <c r="AP40" s="310">
        <f t="shared" si="20"/>
        <v>0</v>
      </c>
      <c r="AQ40" s="309">
        <v>0</v>
      </c>
      <c r="AR40" s="311">
        <f t="shared" ca="1" si="7"/>
        <v>584566.42024731287</v>
      </c>
      <c r="AS40" s="870">
        <f t="shared" ca="1" si="21"/>
        <v>-588269.87856950285</v>
      </c>
      <c r="AT40" s="822"/>
      <c r="AU40" s="878"/>
      <c r="AV40" s="35"/>
      <c r="AW40" s="879"/>
      <c r="AX40" s="35"/>
      <c r="AY40" s="880"/>
    </row>
    <row r="41" spans="1:51">
      <c r="A41" s="303">
        <v>2032</v>
      </c>
      <c r="B41" s="304">
        <f ca="1">IF($D$3="BAU",UtilityDemand!C34,INDIRECT($D$3&amp;"!B"&amp;ROW(A41))+INDIRECT($D$3&amp;"!D"&amp;ROW(A41)))</f>
        <v>110806.0241212051</v>
      </c>
      <c r="C41" s="305">
        <f t="shared" ca="1" si="22"/>
        <v>-2.1637812736403094E-2</v>
      </c>
      <c r="D41" s="306">
        <f t="shared" ca="1" si="23"/>
        <v>-2397.6000000000004</v>
      </c>
      <c r="E41" s="304">
        <f ca="1">IF($D$3="BAU",UtilityDemand!E34,INDIRECT($D$3&amp;"!E"&amp;ROW(D41))+INDIRECT($D$3&amp;"!G"&amp;ROW(D41)))</f>
        <v>535217.57576490648</v>
      </c>
      <c r="F41" s="305">
        <f t="shared" ca="1" si="24"/>
        <v>-9.632773629737082E-2</v>
      </c>
      <c r="G41" s="306">
        <f t="shared" ca="1" si="8"/>
        <v>-51556.297500000001</v>
      </c>
      <c r="H41" s="304">
        <f ca="1">IF($D$3="BAU",UtilityDemand!G34,INDIRECT($D$3&amp;"!H"&amp;ROW(G41))+INDIRECT($D$3&amp;"!J"&amp;ROW(G41)))</f>
        <v>176794.43307318565</v>
      </c>
      <c r="I41" s="305">
        <f t="shared" ca="1" si="25"/>
        <v>-8.6405408442223761E-2</v>
      </c>
      <c r="J41" s="306">
        <f t="shared" ca="1" si="9"/>
        <v>-15275.995199999999</v>
      </c>
      <c r="K41" s="307">
        <f t="shared" ca="1" si="10"/>
        <v>108408.4241212051</v>
      </c>
      <c r="L41" s="307">
        <f t="shared" si="11"/>
        <v>0</v>
      </c>
      <c r="M41" s="307">
        <v>0</v>
      </c>
      <c r="N41" s="307">
        <f t="shared" ca="1" si="12"/>
        <v>108408.4241212051</v>
      </c>
      <c r="O41" s="1494">
        <f t="shared" ca="1" si="13"/>
        <v>483661.27826490649</v>
      </c>
      <c r="P41" s="306">
        <f t="shared" si="14"/>
        <v>0</v>
      </c>
      <c r="Q41" s="306">
        <v>0</v>
      </c>
      <c r="R41" s="306">
        <f t="shared" ca="1" si="15"/>
        <v>483661.27826490649</v>
      </c>
      <c r="S41" s="818">
        <f t="shared" ca="1" si="16"/>
        <v>161518.43787318564</v>
      </c>
      <c r="T41" s="818">
        <f t="shared" si="17"/>
        <v>0</v>
      </c>
      <c r="U41" s="818">
        <v>0</v>
      </c>
      <c r="V41" s="818">
        <f t="shared" ca="1" si="18"/>
        <v>161518.43787318564</v>
      </c>
      <c r="W41" s="306">
        <f t="shared" si="1"/>
        <v>0</v>
      </c>
      <c r="X41" s="306">
        <f t="shared" ca="1" si="2"/>
        <v>-9074.017442722954</v>
      </c>
      <c r="Y41" s="306">
        <v>0</v>
      </c>
      <c r="Z41" s="306">
        <v>0</v>
      </c>
      <c r="AA41" s="308">
        <f ca="1">-SUM(W41,X41/OFFSET(GridFootprintbyYear,$A41-$A$19,0)*EF_PurchElec_MTperMWh,Z41)*OFFSET(ExposureCalculations!Price_GHG_Allowance_2010,A41-$A$19,0)*ExposureCalculations!D38</f>
        <v>471220.70348847302</v>
      </c>
      <c r="AB41" s="308">
        <f t="shared" ca="1" si="3"/>
        <v>227430.66137130593</v>
      </c>
      <c r="AC41" s="308">
        <v>0</v>
      </c>
      <c r="AD41" s="819">
        <f t="shared" ca="1" si="4"/>
        <v>636561.78872928186</v>
      </c>
      <c r="AE41" s="308">
        <v>0</v>
      </c>
      <c r="AF41" s="819">
        <f t="shared" ca="1" si="5"/>
        <v>295335.90719999996</v>
      </c>
      <c r="AG41" s="308">
        <v>0</v>
      </c>
      <c r="AH41" s="308">
        <v>0</v>
      </c>
      <c r="AI41" s="308">
        <v>0</v>
      </c>
      <c r="AJ41" s="308">
        <f t="shared" ca="1" si="6"/>
        <v>1159328.3573005877</v>
      </c>
      <c r="AK41" s="309">
        <v>0</v>
      </c>
      <c r="AL41" s="309">
        <f t="shared" si="26"/>
        <v>-831862</v>
      </c>
      <c r="AM41" s="309">
        <f t="shared" si="19"/>
        <v>-831862</v>
      </c>
      <c r="AN41" s="310">
        <v>0</v>
      </c>
      <c r="AO41" s="310">
        <v>0</v>
      </c>
      <c r="AP41" s="310">
        <f t="shared" si="20"/>
        <v>0</v>
      </c>
      <c r="AQ41" s="309">
        <v>0</v>
      </c>
      <c r="AR41" s="311">
        <f t="shared" ca="1" si="7"/>
        <v>798687.06078906078</v>
      </c>
      <c r="AS41" s="870">
        <f t="shared" ca="1" si="21"/>
        <v>210417.18221955793</v>
      </c>
      <c r="AT41" s="822"/>
      <c r="AU41" s="878"/>
      <c r="AV41" s="35"/>
      <c r="AW41" s="879"/>
      <c r="AX41" s="35"/>
      <c r="AY41" s="880"/>
    </row>
    <row r="42" spans="1:51">
      <c r="A42" s="303">
        <v>2033</v>
      </c>
      <c r="B42" s="304">
        <f ca="1">IF($D$3="BAU",UtilityDemand!C35,INDIRECT($D$3&amp;"!B"&amp;ROW(A42))+INDIRECT($D$3&amp;"!D"&amp;ROW(A42)))</f>
        <v>110679.62604265516</v>
      </c>
      <c r="C42" s="305">
        <f t="shared" ca="1" si="22"/>
        <v>-2.406947055434858E-2</v>
      </c>
      <c r="D42" s="306">
        <f t="shared" ca="1" si="23"/>
        <v>-2664.0000000000005</v>
      </c>
      <c r="E42" s="304">
        <f ca="1">IF($D$3="BAU",UtilityDemand!E35,INDIRECT($D$3&amp;"!E"&amp;ROW(D42))+INDIRECT($D$3&amp;"!G"&amp;ROW(D42)))</f>
        <v>534541.12184164173</v>
      </c>
      <c r="F42" s="305">
        <f t="shared" ca="1" si="24"/>
        <v>-0.10716626403341643</v>
      </c>
      <c r="G42" s="306">
        <f t="shared" ca="1" si="8"/>
        <v>-57284.775000000001</v>
      </c>
      <c r="H42" s="304">
        <f ca="1">IF($D$3="BAU",UtilityDemand!G35,INDIRECT($D$3&amp;"!H"&amp;ROW(G42))+INDIRECT($D$3&amp;"!J"&amp;ROW(G42)))</f>
        <v>177617.39028475407</v>
      </c>
      <c r="I42" s="305">
        <f t="shared" ca="1" si="25"/>
        <v>-9.5561183354786153E-2</v>
      </c>
      <c r="J42" s="306">
        <f t="shared" ca="1" si="9"/>
        <v>-16973.327999999998</v>
      </c>
      <c r="K42" s="307">
        <f t="shared" ca="1" si="10"/>
        <v>108015.62604265516</v>
      </c>
      <c r="L42" s="307">
        <f t="shared" si="11"/>
        <v>0</v>
      </c>
      <c r="M42" s="307">
        <v>0</v>
      </c>
      <c r="N42" s="307">
        <f t="shared" ca="1" si="12"/>
        <v>108015.62604265516</v>
      </c>
      <c r="O42" s="1494">
        <f t="shared" ca="1" si="13"/>
        <v>477256.3468416417</v>
      </c>
      <c r="P42" s="306">
        <f t="shared" si="14"/>
        <v>0</v>
      </c>
      <c r="Q42" s="306">
        <v>0</v>
      </c>
      <c r="R42" s="306">
        <f t="shared" ca="1" si="15"/>
        <v>477256.3468416417</v>
      </c>
      <c r="S42" s="818">
        <f t="shared" ca="1" si="16"/>
        <v>160644.06228475407</v>
      </c>
      <c r="T42" s="818">
        <f t="shared" si="17"/>
        <v>0</v>
      </c>
      <c r="U42" s="818">
        <v>0</v>
      </c>
      <c r="V42" s="818">
        <f t="shared" ca="1" si="18"/>
        <v>160644.06228475407</v>
      </c>
      <c r="W42" s="306">
        <f t="shared" si="1"/>
        <v>0</v>
      </c>
      <c r="X42" s="306">
        <f t="shared" ca="1" si="2"/>
        <v>-10082.241603025503</v>
      </c>
      <c r="Y42" s="306">
        <v>0</v>
      </c>
      <c r="Z42" s="306">
        <v>0</v>
      </c>
      <c r="AA42" s="308">
        <f ca="1">-SUM(W42,X42/OFFSET(GridFootprintbyYear,$A42-$A$19,0)*EF_PurchElec_MTperMWh,Z42)*OFFSET(ExposureCalculations!Price_GHG_Allowance_2010,A42-$A$19,0)*ExposureCalculations!D39</f>
        <v>556217.55975870998</v>
      </c>
      <c r="AB42" s="308">
        <f t="shared" ca="1" si="3"/>
        <v>253964.23853129157</v>
      </c>
      <c r="AC42" s="308">
        <v>0</v>
      </c>
      <c r="AD42" s="819">
        <f t="shared" ca="1" si="4"/>
        <v>710827.33074769808</v>
      </c>
      <c r="AE42" s="308">
        <v>0</v>
      </c>
      <c r="AF42" s="819">
        <f t="shared" ca="1" si="5"/>
        <v>328151.00799999991</v>
      </c>
      <c r="AG42" s="308">
        <v>0</v>
      </c>
      <c r="AH42" s="308">
        <v>0</v>
      </c>
      <c r="AI42" s="308">
        <v>0</v>
      </c>
      <c r="AJ42" s="308">
        <f t="shared" ca="1" si="6"/>
        <v>1292942.5772789896</v>
      </c>
      <c r="AK42" s="309">
        <v>0</v>
      </c>
      <c r="AL42" s="309">
        <f t="shared" si="26"/>
        <v>-831862</v>
      </c>
      <c r="AM42" s="309">
        <f t="shared" si="19"/>
        <v>-831862</v>
      </c>
      <c r="AN42" s="310">
        <v>0</v>
      </c>
      <c r="AO42" s="310">
        <v>0</v>
      </c>
      <c r="AP42" s="310">
        <f t="shared" si="20"/>
        <v>0</v>
      </c>
      <c r="AQ42" s="309">
        <v>0</v>
      </c>
      <c r="AR42" s="311">
        <f t="shared" ca="1" si="7"/>
        <v>1017298.1370376996</v>
      </c>
      <c r="AS42" s="870">
        <f t="shared" ca="1" si="21"/>
        <v>1227715.3192572575</v>
      </c>
      <c r="AT42" s="822"/>
      <c r="AU42" s="878"/>
      <c r="AV42" s="35"/>
      <c r="AW42" s="879"/>
      <c r="AX42" s="35"/>
      <c r="AY42" s="880"/>
    </row>
    <row r="43" spans="1:51">
      <c r="A43" s="303">
        <v>2034</v>
      </c>
      <c r="B43" s="304">
        <f ca="1">IF($D$3="BAU",UtilityDemand!C36,INDIRECT($D$3&amp;"!B"&amp;ROW(A43))+INDIRECT($D$3&amp;"!D"&amp;ROW(A43)))</f>
        <v>110552.36858954668</v>
      </c>
      <c r="C43" s="305">
        <f t="shared" ca="1" si="22"/>
        <v>-2.4097177057243947E-2</v>
      </c>
      <c r="D43" s="306">
        <f t="shared" ca="1" si="23"/>
        <v>-2664.0000000000005</v>
      </c>
      <c r="E43" s="304">
        <f ca="1">IF($D$3="BAU",UtilityDemand!E36,INDIRECT($D$3&amp;"!E"&amp;ROW(D43))+INDIRECT($D$3&amp;"!G"&amp;ROW(D43)))</f>
        <v>533864.66791837651</v>
      </c>
      <c r="F43" s="305">
        <f t="shared" ca="1" si="24"/>
        <v>-0.10730205320266366</v>
      </c>
      <c r="G43" s="306">
        <f t="shared" ca="1" si="8"/>
        <v>-57284.775000000001</v>
      </c>
      <c r="H43" s="304">
        <f ca="1">IF($D$3="BAU",UtilityDemand!G36,INDIRECT($D$3&amp;"!H"&amp;ROW(G43))+INDIRECT($D$3&amp;"!J"&amp;ROW(G43)))</f>
        <v>178439.48812176395</v>
      </c>
      <c r="I43" s="305">
        <f t="shared" ca="1" si="25"/>
        <v>-9.5120918461824425E-2</v>
      </c>
      <c r="J43" s="306">
        <f t="shared" ca="1" si="9"/>
        <v>-16973.327999999998</v>
      </c>
      <c r="K43" s="307">
        <f t="shared" ca="1" si="10"/>
        <v>107888.36858954668</v>
      </c>
      <c r="L43" s="307">
        <f t="shared" si="11"/>
        <v>0</v>
      </c>
      <c r="M43" s="307">
        <v>0</v>
      </c>
      <c r="N43" s="307">
        <f t="shared" ca="1" si="12"/>
        <v>107888.36858954668</v>
      </c>
      <c r="O43" s="1494">
        <f t="shared" ca="1" si="13"/>
        <v>476579.89291837648</v>
      </c>
      <c r="P43" s="306">
        <f t="shared" si="14"/>
        <v>0</v>
      </c>
      <c r="Q43" s="306">
        <v>0</v>
      </c>
      <c r="R43" s="306">
        <f t="shared" ca="1" si="15"/>
        <v>476579.89291837648</v>
      </c>
      <c r="S43" s="818">
        <f t="shared" ca="1" si="16"/>
        <v>161466.16012176394</v>
      </c>
      <c r="T43" s="818">
        <f t="shared" si="17"/>
        <v>0</v>
      </c>
      <c r="U43" s="818">
        <v>0</v>
      </c>
      <c r="V43" s="818">
        <f t="shared" ca="1" si="18"/>
        <v>161466.16012176394</v>
      </c>
      <c r="W43" s="306">
        <f t="shared" si="1"/>
        <v>0</v>
      </c>
      <c r="X43" s="306">
        <f t="shared" ca="1" si="2"/>
        <v>-10082.241603025503</v>
      </c>
      <c r="Y43" s="306">
        <v>0</v>
      </c>
      <c r="Z43" s="306">
        <v>0</v>
      </c>
      <c r="AA43" s="308">
        <f ca="1">-SUM(W43,X43/OFFSET(GridFootprintbyYear,$A43-$A$19,0)*EF_PurchElec_MTperMWh,Z43)*OFFSET(ExposureCalculations!Price_GHG_Allowance_2010,A43-$A$19,0)*ExposureCalculations!D40</f>
        <v>584900.86460763309</v>
      </c>
      <c r="AB43" s="308">
        <f t="shared" ca="1" si="3"/>
        <v>255234.05972394807</v>
      </c>
      <c r="AC43" s="308">
        <v>0</v>
      </c>
      <c r="AD43" s="819">
        <f t="shared" ca="1" si="4"/>
        <v>714381.46740143665</v>
      </c>
      <c r="AE43" s="308">
        <v>0</v>
      </c>
      <c r="AF43" s="819">
        <f t="shared" ca="1" si="5"/>
        <v>328151.00799999991</v>
      </c>
      <c r="AG43" s="308">
        <v>0</v>
      </c>
      <c r="AH43" s="308">
        <v>0</v>
      </c>
      <c r="AI43" s="308">
        <v>0</v>
      </c>
      <c r="AJ43" s="308">
        <f t="shared" ca="1" si="6"/>
        <v>1297766.5351253846</v>
      </c>
      <c r="AK43" s="309">
        <v>0</v>
      </c>
      <c r="AL43" s="309">
        <f t="shared" si="26"/>
        <v>0</v>
      </c>
      <c r="AM43" s="309">
        <f t="shared" si="19"/>
        <v>0</v>
      </c>
      <c r="AN43" s="310">
        <v>0</v>
      </c>
      <c r="AO43" s="310">
        <v>0</v>
      </c>
      <c r="AP43" s="310">
        <f t="shared" si="20"/>
        <v>0</v>
      </c>
      <c r="AQ43" s="309">
        <v>0</v>
      </c>
      <c r="AR43" s="311">
        <f t="shared" ca="1" si="7"/>
        <v>1882667.3997330177</v>
      </c>
      <c r="AS43" s="870">
        <f t="shared" ca="1" si="21"/>
        <v>3110382.7189902752</v>
      </c>
      <c r="AT43" s="822"/>
      <c r="AU43" s="878"/>
      <c r="AV43" s="35"/>
      <c r="AW43" s="879"/>
      <c r="AX43" s="35"/>
      <c r="AY43" s="880"/>
    </row>
    <row r="44" spans="1:51">
      <c r="A44" s="303">
        <v>2035</v>
      </c>
      <c r="B44" s="304">
        <f ca="1">IF($D$3="BAU",UtilityDemand!C37,INDIRECT($D$3&amp;"!B"&amp;ROW(A44))+INDIRECT($D$3&amp;"!D"&amp;ROW(A44)))</f>
        <v>110424.27532327401</v>
      </c>
      <c r="C44" s="305">
        <f t="shared" ca="1" si="22"/>
        <v>-2.4125130024181485E-2</v>
      </c>
      <c r="D44" s="306">
        <f t="shared" ca="1" si="23"/>
        <v>-2664.0000000000005</v>
      </c>
      <c r="E44" s="304">
        <f ca="1">IF($D$3="BAU",UtilityDemand!E37,INDIRECT($D$3&amp;"!E"&amp;ROW(D44))+INDIRECT($D$3&amp;"!G"&amp;ROW(D44)))</f>
        <v>533188.21399511176</v>
      </c>
      <c r="F44" s="305">
        <f t="shared" ca="1" si="24"/>
        <v>-0.10743818692234856</v>
      </c>
      <c r="G44" s="306">
        <f t="shared" ca="1" si="8"/>
        <v>-57284.775000000001</v>
      </c>
      <c r="H44" s="304">
        <f ca="1">IF($D$3="BAU",UtilityDemand!G37,INDIRECT($D$3&amp;"!H"&amp;ROW(G44))+INDIRECT($D$3&amp;"!J"&amp;ROW(G44)))</f>
        <v>179260.75014560964</v>
      </c>
      <c r="I44" s="305">
        <f t="shared" ca="1" si="25"/>
        <v>-9.4685133171722918E-2</v>
      </c>
      <c r="J44" s="306">
        <f t="shared" ca="1" si="9"/>
        <v>-16973.327999999998</v>
      </c>
      <c r="K44" s="307">
        <f t="shared" ca="1" si="10"/>
        <v>107760.27532327401</v>
      </c>
      <c r="L44" s="307">
        <f t="shared" si="11"/>
        <v>0</v>
      </c>
      <c r="M44" s="307">
        <v>0</v>
      </c>
      <c r="N44" s="307">
        <f t="shared" ca="1" si="12"/>
        <v>107760.27532327401</v>
      </c>
      <c r="O44" s="1494">
        <f t="shared" ca="1" si="13"/>
        <v>475903.43899511173</v>
      </c>
      <c r="P44" s="306">
        <f t="shared" si="14"/>
        <v>0</v>
      </c>
      <c r="Q44" s="306">
        <v>0</v>
      </c>
      <c r="R44" s="306">
        <f t="shared" ca="1" si="15"/>
        <v>475903.43899511173</v>
      </c>
      <c r="S44" s="818">
        <f t="shared" ca="1" si="16"/>
        <v>162287.42214560963</v>
      </c>
      <c r="T44" s="818">
        <f t="shared" si="17"/>
        <v>0</v>
      </c>
      <c r="U44" s="818">
        <v>0</v>
      </c>
      <c r="V44" s="818">
        <f t="shared" ca="1" si="18"/>
        <v>162287.42214560963</v>
      </c>
      <c r="W44" s="306">
        <f t="shared" si="1"/>
        <v>0</v>
      </c>
      <c r="X44" s="306">
        <f t="shared" ca="1" si="2"/>
        <v>-10082.241603025503</v>
      </c>
      <c r="Y44" s="306">
        <v>0</v>
      </c>
      <c r="Z44" s="306">
        <v>0</v>
      </c>
      <c r="AA44" s="308">
        <f ca="1">-SUM(W44,X44/OFFSET(GridFootprintbyYear,$A44-$A$19,0)*EF_PurchElec_MTperMWh,Z44)*OFFSET(ExposureCalculations!Price_GHG_Allowance_2010,A44-$A$19,0)*ExposureCalculations!D41</f>
        <v>614173.12024035712</v>
      </c>
      <c r="AB44" s="308">
        <f t="shared" ca="1" si="3"/>
        <v>256510.23002256773</v>
      </c>
      <c r="AC44" s="308">
        <v>0</v>
      </c>
      <c r="AD44" s="819">
        <f t="shared" ca="1" si="4"/>
        <v>717953.37473844364</v>
      </c>
      <c r="AE44" s="308">
        <v>0</v>
      </c>
      <c r="AF44" s="819">
        <f t="shared" ca="1" si="5"/>
        <v>328151.00799999991</v>
      </c>
      <c r="AG44" s="308">
        <v>0</v>
      </c>
      <c r="AH44" s="308">
        <v>0</v>
      </c>
      <c r="AI44" s="308">
        <v>0</v>
      </c>
      <c r="AJ44" s="308">
        <f t="shared" ca="1" si="6"/>
        <v>1302614.6127610113</v>
      </c>
      <c r="AK44" s="309">
        <v>0</v>
      </c>
      <c r="AL44" s="309">
        <f t="shared" si="26"/>
        <v>0</v>
      </c>
      <c r="AM44" s="309">
        <f t="shared" si="19"/>
        <v>0</v>
      </c>
      <c r="AN44" s="310">
        <v>0</v>
      </c>
      <c r="AO44" s="310">
        <v>0</v>
      </c>
      <c r="AP44" s="310">
        <f t="shared" si="20"/>
        <v>0</v>
      </c>
      <c r="AQ44" s="309">
        <v>0</v>
      </c>
      <c r="AR44" s="311">
        <f t="shared" ca="1" si="7"/>
        <v>1916787.7330013686</v>
      </c>
      <c r="AS44" s="870">
        <f t="shared" ca="1" si="21"/>
        <v>5027170.4519916438</v>
      </c>
      <c r="AT44" s="822"/>
      <c r="AU44" s="878"/>
      <c r="AV44" s="35"/>
      <c r="AW44" s="879"/>
      <c r="AX44" s="35"/>
      <c r="AY44" s="880"/>
    </row>
    <row r="45" spans="1:51">
      <c r="A45" s="303">
        <v>2036</v>
      </c>
      <c r="B45" s="304">
        <f ca="1">IF($D$3="BAU",UtilityDemand!C38,INDIRECT($D$3&amp;"!B"&amp;ROW(A45))+INDIRECT($D$3&amp;"!D"&amp;ROW(A45)))</f>
        <v>110295.36895172419</v>
      </c>
      <c r="C45" s="305">
        <f t="shared" ca="1" si="22"/>
        <v>-2.415332597659673E-2</v>
      </c>
      <c r="D45" s="306">
        <f t="shared" ca="1" si="23"/>
        <v>-2664.0000000000005</v>
      </c>
      <c r="E45" s="304">
        <f ca="1">IF($D$3="BAU",UtilityDemand!E38,INDIRECT($D$3&amp;"!E"&amp;ROW(D45))+INDIRECT($D$3&amp;"!G"&amp;ROW(D45)))</f>
        <v>532511.76007184677</v>
      </c>
      <c r="F45" s="305">
        <f t="shared" ca="1" si="24"/>
        <v>-0.10757466650552677</v>
      </c>
      <c r="G45" s="306">
        <f t="shared" ca="1" si="8"/>
        <v>-57284.775000000001</v>
      </c>
      <c r="H45" s="304">
        <f ca="1">IF($D$3="BAU",UtilityDemand!G38,INDIRECT($D$3&amp;"!H"&amp;ROW(G45))+INDIRECT($D$3&amp;"!J"&amp;ROW(G45)))</f>
        <v>180081.19906417819</v>
      </c>
      <c r="I45" s="305">
        <f t="shared" ca="1" si="25"/>
        <v>-9.425374824359628E-2</v>
      </c>
      <c r="J45" s="306">
        <f t="shared" ca="1" si="9"/>
        <v>-16973.327999999998</v>
      </c>
      <c r="K45" s="307">
        <f t="shared" ca="1" si="10"/>
        <v>107631.36895172419</v>
      </c>
      <c r="L45" s="307">
        <f t="shared" si="11"/>
        <v>0</v>
      </c>
      <c r="M45" s="307">
        <v>0</v>
      </c>
      <c r="N45" s="307">
        <f t="shared" ca="1" si="12"/>
        <v>107631.36895172419</v>
      </c>
      <c r="O45" s="1494">
        <f t="shared" ca="1" si="13"/>
        <v>475226.98507184675</v>
      </c>
      <c r="P45" s="306">
        <f t="shared" si="14"/>
        <v>0</v>
      </c>
      <c r="Q45" s="306">
        <v>0</v>
      </c>
      <c r="R45" s="306">
        <f t="shared" ca="1" si="15"/>
        <v>475226.98507184675</v>
      </c>
      <c r="S45" s="818">
        <f t="shared" ca="1" si="16"/>
        <v>163107.87106417818</v>
      </c>
      <c r="T45" s="818">
        <f t="shared" si="17"/>
        <v>0</v>
      </c>
      <c r="U45" s="818">
        <v>0</v>
      </c>
      <c r="V45" s="818">
        <f t="shared" ca="1" si="18"/>
        <v>163107.87106417818</v>
      </c>
      <c r="W45" s="306">
        <f t="shared" si="1"/>
        <v>0</v>
      </c>
      <c r="X45" s="306">
        <f t="shared" ca="1" si="2"/>
        <v>-10082.241603025503</v>
      </c>
      <c r="Y45" s="306">
        <v>0</v>
      </c>
      <c r="Z45" s="306">
        <v>0</v>
      </c>
      <c r="AA45" s="308">
        <f ca="1">-SUM(W45,X45/OFFSET(GridFootprintbyYear,$A45-$A$19,0)*EF_PurchElec_MTperMWh,Z45)*OFFSET(ExposureCalculations!Price_GHG_Allowance_2010,A45-$A$19,0)*ExposureCalculations!D42</f>
        <v>648420.8309257559</v>
      </c>
      <c r="AB45" s="308">
        <f t="shared" ca="1" si="3"/>
        <v>257792.78117268055</v>
      </c>
      <c r="AC45" s="308">
        <v>0</v>
      </c>
      <c r="AD45" s="819">
        <f t="shared" ca="1" si="4"/>
        <v>721543.14161213569</v>
      </c>
      <c r="AE45" s="308">
        <v>0</v>
      </c>
      <c r="AF45" s="819">
        <f t="shared" ca="1" si="5"/>
        <v>328151.00799999991</v>
      </c>
      <c r="AG45" s="308">
        <v>0</v>
      </c>
      <c r="AH45" s="308">
        <v>0</v>
      </c>
      <c r="AI45" s="308">
        <v>0</v>
      </c>
      <c r="AJ45" s="308">
        <f t="shared" ca="1" si="6"/>
        <v>1307486.9307848162</v>
      </c>
      <c r="AK45" s="309">
        <v>0</v>
      </c>
      <c r="AL45" s="309">
        <f t="shared" si="26"/>
        <v>0</v>
      </c>
      <c r="AM45" s="309">
        <f t="shared" si="19"/>
        <v>0</v>
      </c>
      <c r="AN45" s="310">
        <v>0</v>
      </c>
      <c r="AO45" s="310">
        <v>0</v>
      </c>
      <c r="AP45" s="310">
        <f t="shared" si="20"/>
        <v>0</v>
      </c>
      <c r="AQ45" s="309">
        <v>0</v>
      </c>
      <c r="AR45" s="311">
        <f t="shared" ca="1" si="7"/>
        <v>1955907.7617105721</v>
      </c>
      <c r="AS45" s="870">
        <f t="shared" ca="1" si="21"/>
        <v>6983078.2137022158</v>
      </c>
      <c r="AT45" s="822"/>
      <c r="AU45" s="878"/>
      <c r="AV45" s="35"/>
      <c r="AW45" s="879"/>
      <c r="AX45" s="35"/>
      <c r="AY45" s="880"/>
    </row>
    <row r="46" spans="1:51">
      <c r="A46" s="303">
        <v>2037</v>
      </c>
      <c r="B46" s="304">
        <f ca="1">IF($D$3="BAU",UtilityDemand!C39,INDIRECT($D$3&amp;"!B"&amp;ROW(A46))+INDIRECT($D$3&amp;"!D"&amp;ROW(A46)))</f>
        <v>110165.67136757774</v>
      </c>
      <c r="C46" s="305">
        <f t="shared" ca="1" si="22"/>
        <v>-2.4181761586250614E-2</v>
      </c>
      <c r="D46" s="306">
        <f t="shared" ca="1" si="23"/>
        <v>-2664.0000000000005</v>
      </c>
      <c r="E46" s="304">
        <f ca="1">IF($D$3="BAU",UtilityDemand!E39,INDIRECT($D$3&amp;"!E"&amp;ROW(D46))+INDIRECT($D$3&amp;"!G"&amp;ROW(D46)))</f>
        <v>531835.30614858179</v>
      </c>
      <c r="F46" s="305">
        <f t="shared" ca="1" si="24"/>
        <v>-0.10771149327193415</v>
      </c>
      <c r="G46" s="306">
        <f t="shared" ca="1" si="8"/>
        <v>-57284.775000000001</v>
      </c>
      <c r="H46" s="304">
        <f ca="1">IF($D$3="BAU",UtilityDemand!G39,INDIRECT($D$3&amp;"!H"&amp;ROW(G46))+INDIRECT($D$3&amp;"!J"&amp;ROW(G46)))</f>
        <v>180900.85677015013</v>
      </c>
      <c r="I46" s="305">
        <f t="shared" ca="1" si="25"/>
        <v>-9.3826686634027656E-2</v>
      </c>
      <c r="J46" s="306">
        <f t="shared" ca="1" si="9"/>
        <v>-16973.327999999998</v>
      </c>
      <c r="K46" s="307">
        <f t="shared" ca="1" si="10"/>
        <v>107501.67136757774</v>
      </c>
      <c r="L46" s="307">
        <f t="shared" si="11"/>
        <v>0</v>
      </c>
      <c r="M46" s="307">
        <v>0</v>
      </c>
      <c r="N46" s="307">
        <f t="shared" ca="1" si="12"/>
        <v>107501.67136757774</v>
      </c>
      <c r="O46" s="1494">
        <f t="shared" ca="1" si="13"/>
        <v>474550.53114858177</v>
      </c>
      <c r="P46" s="306">
        <f t="shared" si="14"/>
        <v>0</v>
      </c>
      <c r="Q46" s="306">
        <v>0</v>
      </c>
      <c r="R46" s="306">
        <f t="shared" ca="1" si="15"/>
        <v>474550.53114858177</v>
      </c>
      <c r="S46" s="818">
        <f t="shared" ca="1" si="16"/>
        <v>163927.52877015012</v>
      </c>
      <c r="T46" s="818">
        <f t="shared" si="17"/>
        <v>0</v>
      </c>
      <c r="U46" s="818">
        <v>0</v>
      </c>
      <c r="V46" s="818">
        <f t="shared" ca="1" si="18"/>
        <v>163927.52877015012</v>
      </c>
      <c r="W46" s="306">
        <f t="shared" si="1"/>
        <v>0</v>
      </c>
      <c r="X46" s="306">
        <f t="shared" ca="1" si="2"/>
        <v>-10082.241603025503</v>
      </c>
      <c r="Y46" s="306">
        <v>0</v>
      </c>
      <c r="Z46" s="306">
        <v>0</v>
      </c>
      <c r="AA46" s="308">
        <f ca="1">-SUM(W46,X46/OFFSET(GridFootprintbyYear,$A46-$A$19,0)*EF_PurchElec_MTperMWh,Z46)*OFFSET(ExposureCalculations!Price_GHG_Allowance_2010,A46-$A$19,0)*ExposureCalculations!D43</f>
        <v>682519.67497537984</v>
      </c>
      <c r="AB46" s="308">
        <f t="shared" ca="1" si="3"/>
        <v>259081.7450785439</v>
      </c>
      <c r="AC46" s="308">
        <v>0</v>
      </c>
      <c r="AD46" s="819">
        <f t="shared" ca="1" si="4"/>
        <v>725150.85732019634</v>
      </c>
      <c r="AE46" s="308">
        <v>0</v>
      </c>
      <c r="AF46" s="819">
        <f t="shared" ca="1" si="5"/>
        <v>328151.00799999991</v>
      </c>
      <c r="AG46" s="308">
        <v>0</v>
      </c>
      <c r="AH46" s="308">
        <v>0</v>
      </c>
      <c r="AI46" s="308">
        <v>0</v>
      </c>
      <c r="AJ46" s="308">
        <f t="shared" ca="1" si="6"/>
        <v>1312383.61039874</v>
      </c>
      <c r="AK46" s="309">
        <v>0</v>
      </c>
      <c r="AL46" s="309">
        <f t="shared" si="26"/>
        <v>0</v>
      </c>
      <c r="AM46" s="309">
        <f t="shared" si="19"/>
        <v>0</v>
      </c>
      <c r="AN46" s="310">
        <v>0</v>
      </c>
      <c r="AO46" s="310">
        <v>0</v>
      </c>
      <c r="AP46" s="310">
        <f t="shared" si="20"/>
        <v>0</v>
      </c>
      <c r="AQ46" s="309">
        <v>0</v>
      </c>
      <c r="AR46" s="311">
        <f t="shared" ca="1" si="7"/>
        <v>1994903.2853741199</v>
      </c>
      <c r="AS46" s="870">
        <f t="shared" ca="1" si="21"/>
        <v>8977981.4990763366</v>
      </c>
      <c r="AT46" s="822"/>
      <c r="AU46" s="878"/>
      <c r="AV46" s="35"/>
      <c r="AW46" s="879"/>
      <c r="AX46" s="35"/>
      <c r="AY46" s="880"/>
    </row>
    <row r="47" spans="1:51">
      <c r="A47" s="303">
        <v>2038</v>
      </c>
      <c r="B47" s="304">
        <f ca="1">IF($D$3="BAU",UtilityDemand!C40,INDIRECT($D$3&amp;"!B"&amp;ROW(A47))+INDIRECT($D$3&amp;"!D"&amp;ROW(A47)))</f>
        <v>110035.20368456552</v>
      </c>
      <c r="C47" s="305">
        <f t="shared" ca="1" si="22"/>
        <v>-2.4210433668454014E-2</v>
      </c>
      <c r="D47" s="306">
        <f t="shared" ca="1" si="23"/>
        <v>-2664.0000000000005</v>
      </c>
      <c r="E47" s="304">
        <f ca="1">IF($D$3="BAU",UtilityDemand!E40,INDIRECT($D$3&amp;"!E"&amp;ROW(D47))+INDIRECT($D$3&amp;"!G"&amp;ROW(D47)))</f>
        <v>531158.85222531704</v>
      </c>
      <c r="F47" s="305">
        <f t="shared" ca="1" si="24"/>
        <v>-0.10784866854802951</v>
      </c>
      <c r="G47" s="306">
        <f t="shared" ca="1" si="8"/>
        <v>-57284.775000000001</v>
      </c>
      <c r="H47" s="304">
        <f ca="1">IF($D$3="BAU",UtilityDemand!G40,INDIRECT($D$3&amp;"!H"&amp;ROW(G47))+INDIRECT($D$3&amp;"!J"&amp;ROW(G47)))</f>
        <v>181719.74437725623</v>
      </c>
      <c r="I47" s="305">
        <f t="shared" ca="1" si="25"/>
        <v>-9.3403873410490848E-2</v>
      </c>
      <c r="J47" s="306">
        <f t="shared" ca="1" si="9"/>
        <v>-16973.327999999998</v>
      </c>
      <c r="K47" s="307">
        <f t="shared" ca="1" si="10"/>
        <v>107371.20368456552</v>
      </c>
      <c r="L47" s="307">
        <f t="shared" si="11"/>
        <v>0</v>
      </c>
      <c r="M47" s="307">
        <v>0</v>
      </c>
      <c r="N47" s="307">
        <f t="shared" ca="1" si="12"/>
        <v>107371.20368456552</v>
      </c>
      <c r="O47" s="1494">
        <f t="shared" ca="1" si="13"/>
        <v>473874.07722531701</v>
      </c>
      <c r="P47" s="306">
        <f t="shared" si="14"/>
        <v>0</v>
      </c>
      <c r="Q47" s="306">
        <v>0</v>
      </c>
      <c r="R47" s="306">
        <f t="shared" ca="1" si="15"/>
        <v>473874.07722531701</v>
      </c>
      <c r="S47" s="818">
        <f t="shared" ca="1" si="16"/>
        <v>164746.41637725622</v>
      </c>
      <c r="T47" s="818">
        <f t="shared" si="17"/>
        <v>0</v>
      </c>
      <c r="U47" s="818">
        <v>0</v>
      </c>
      <c r="V47" s="818">
        <f t="shared" ca="1" si="18"/>
        <v>164746.41637725622</v>
      </c>
      <c r="W47" s="306">
        <f t="shared" si="1"/>
        <v>0</v>
      </c>
      <c r="X47" s="306">
        <f t="shared" ca="1" si="2"/>
        <v>-10082.241603025503</v>
      </c>
      <c r="Y47" s="306">
        <v>0</v>
      </c>
      <c r="Z47" s="306">
        <v>0</v>
      </c>
      <c r="AA47" s="308">
        <f ca="1">-SUM(W47,X47/OFFSET(GridFootprintbyYear,$A47-$A$19,0)*EF_PurchElec_MTperMWh,Z47)*OFFSET(ExposureCalculations!Price_GHG_Allowance_2010,A47-$A$19,0)*ExposureCalculations!D44</f>
        <v>716379.28509661916</v>
      </c>
      <c r="AB47" s="308">
        <f t="shared" ca="1" si="3"/>
        <v>260377.15380393656</v>
      </c>
      <c r="AC47" s="308">
        <v>0</v>
      </c>
      <c r="AD47" s="819">
        <f t="shared" ca="1" si="4"/>
        <v>728776.61160679709</v>
      </c>
      <c r="AE47" s="308">
        <v>0</v>
      </c>
      <c r="AF47" s="819">
        <f t="shared" ca="1" si="5"/>
        <v>328151.00799999991</v>
      </c>
      <c r="AG47" s="308">
        <v>0</v>
      </c>
      <c r="AH47" s="308">
        <v>0</v>
      </c>
      <c r="AI47" s="308">
        <v>0</v>
      </c>
      <c r="AJ47" s="308">
        <f t="shared" ca="1" si="6"/>
        <v>1317304.7734107336</v>
      </c>
      <c r="AK47" s="309">
        <v>0</v>
      </c>
      <c r="AL47" s="309">
        <f t="shared" si="26"/>
        <v>0</v>
      </c>
      <c r="AM47" s="309">
        <f t="shared" si="19"/>
        <v>0</v>
      </c>
      <c r="AN47" s="310">
        <v>0</v>
      </c>
      <c r="AO47" s="310">
        <v>0</v>
      </c>
      <c r="AP47" s="310">
        <f t="shared" si="20"/>
        <v>0</v>
      </c>
      <c r="AQ47" s="309">
        <v>0</v>
      </c>
      <c r="AR47" s="311">
        <f t="shared" ca="1" si="7"/>
        <v>2033684.0585073526</v>
      </c>
      <c r="AS47" s="870">
        <f t="shared" ca="1" si="21"/>
        <v>11011665.55758369</v>
      </c>
      <c r="AT47" s="822"/>
      <c r="AU47" s="878"/>
      <c r="AV47" s="35"/>
      <c r="AW47" s="879"/>
      <c r="AX47" s="35"/>
      <c r="AY47" s="880"/>
    </row>
    <row r="48" spans="1:51">
      <c r="A48" s="303">
        <v>2039</v>
      </c>
      <c r="B48" s="304">
        <f ca="1">IF($D$3="BAU",UtilityDemand!C41,INDIRECT($D$3&amp;"!B"&amp;ROW(A48))+INDIRECT($D$3&amp;"!D"&amp;ROW(A48)))</f>
        <v>109903.98627180712</v>
      </c>
      <c r="C48" s="305">
        <f t="shared" ca="1" si="22"/>
        <v>-2.4239339175665342E-2</v>
      </c>
      <c r="D48" s="306">
        <f t="shared" ca="1" si="23"/>
        <v>-2664.0000000000005</v>
      </c>
      <c r="E48" s="304">
        <f ca="1">IF($D$3="BAU",UtilityDemand!E41,INDIRECT($D$3&amp;"!E"&amp;ROW(D48))+INDIRECT($D$3&amp;"!G"&amp;ROW(D48)))</f>
        <v>530482.39830205205</v>
      </c>
      <c r="F48" s="305">
        <f t="shared" ca="1" si="24"/>
        <v>-0.10798619366703766</v>
      </c>
      <c r="G48" s="306">
        <f t="shared" ca="1" si="8"/>
        <v>-57284.775000000001</v>
      </c>
      <c r="H48" s="304">
        <f ca="1">IF($D$3="BAU",UtilityDemand!G41,INDIRECT($D$3&amp;"!H"&amp;ROW(G48))+INDIRECT($D$3&amp;"!J"&amp;ROW(G48)))</f>
        <v>182537.88225461621</v>
      </c>
      <c r="I48" s="305">
        <f t="shared" ca="1" si="25"/>
        <v>-9.2985235669188107E-2</v>
      </c>
      <c r="J48" s="306">
        <f t="shared" ca="1" si="9"/>
        <v>-16973.327999999998</v>
      </c>
      <c r="K48" s="307">
        <f t="shared" ca="1" si="10"/>
        <v>107239.98627180712</v>
      </c>
      <c r="L48" s="307">
        <f t="shared" si="11"/>
        <v>0</v>
      </c>
      <c r="M48" s="307">
        <v>0</v>
      </c>
      <c r="N48" s="307">
        <f t="shared" ca="1" si="12"/>
        <v>107239.98627180712</v>
      </c>
      <c r="O48" s="1494">
        <f t="shared" ca="1" si="13"/>
        <v>473197.62330205203</v>
      </c>
      <c r="P48" s="306">
        <f t="shared" si="14"/>
        <v>0</v>
      </c>
      <c r="Q48" s="306">
        <v>0</v>
      </c>
      <c r="R48" s="306">
        <f t="shared" ca="1" si="15"/>
        <v>473197.62330205203</v>
      </c>
      <c r="S48" s="818">
        <f t="shared" ca="1" si="16"/>
        <v>165564.5542546162</v>
      </c>
      <c r="T48" s="818">
        <f t="shared" si="17"/>
        <v>0</v>
      </c>
      <c r="U48" s="818">
        <v>0</v>
      </c>
      <c r="V48" s="818">
        <f t="shared" ca="1" si="18"/>
        <v>165564.5542546162</v>
      </c>
      <c r="W48" s="306">
        <f t="shared" si="1"/>
        <v>0</v>
      </c>
      <c r="X48" s="306">
        <f t="shared" ca="1" si="2"/>
        <v>-10082.241603025503</v>
      </c>
      <c r="Y48" s="306">
        <v>0</v>
      </c>
      <c r="Z48" s="306">
        <v>0</v>
      </c>
      <c r="AA48" s="308">
        <f ca="1">-SUM(W48,X48/OFFSET(GridFootprintbyYear,$A48-$A$19,0)*EF_PurchElec_MTperMWh,Z48)*OFFSET(ExposureCalculations!Price_GHG_Allowance_2010,A48-$A$19,0)*ExposureCalculations!D45</f>
        <v>749926.01362684136</v>
      </c>
      <c r="AB48" s="308">
        <f t="shared" ca="1" si="3"/>
        <v>261679.03957295622</v>
      </c>
      <c r="AC48" s="308">
        <v>0</v>
      </c>
      <c r="AD48" s="819">
        <f t="shared" ca="1" si="4"/>
        <v>732420.49466483097</v>
      </c>
      <c r="AE48" s="308">
        <v>0</v>
      </c>
      <c r="AF48" s="819">
        <f t="shared" ca="1" si="5"/>
        <v>328151.00799999991</v>
      </c>
      <c r="AG48" s="308">
        <v>0</v>
      </c>
      <c r="AH48" s="308">
        <v>0</v>
      </c>
      <c r="AI48" s="308">
        <v>0</v>
      </c>
      <c r="AJ48" s="308">
        <f t="shared" ca="1" si="6"/>
        <v>1322250.542237787</v>
      </c>
      <c r="AK48" s="309">
        <v>0</v>
      </c>
      <c r="AL48" s="309">
        <f t="shared" si="26"/>
        <v>0</v>
      </c>
      <c r="AM48" s="309">
        <f t="shared" si="19"/>
        <v>0</v>
      </c>
      <c r="AN48" s="310">
        <v>0</v>
      </c>
      <c r="AO48" s="310">
        <v>0</v>
      </c>
      <c r="AP48" s="310">
        <f t="shared" si="20"/>
        <v>0</v>
      </c>
      <c r="AQ48" s="309">
        <v>0</v>
      </c>
      <c r="AR48" s="311">
        <f t="shared" ca="1" si="7"/>
        <v>2072176.5558646284</v>
      </c>
      <c r="AS48" s="870">
        <f t="shared" ca="1" si="21"/>
        <v>13083842.113448318</v>
      </c>
      <c r="AT48" s="822"/>
      <c r="AU48" s="878"/>
      <c r="AV48" s="35"/>
      <c r="AW48" s="879"/>
      <c r="AX48" s="35"/>
      <c r="AY48" s="880"/>
    </row>
    <row r="49" spans="1:51">
      <c r="A49" s="303">
        <v>2040</v>
      </c>
      <c r="B49" s="304">
        <f ca="1">IF($D$3="BAU",UtilityDemand!C42,INDIRECT($D$3&amp;"!B"&amp;ROW(A49))+INDIRECT($D$3&amp;"!D"&amp;ROW(A49)))</f>
        <v>109772.03878634929</v>
      </c>
      <c r="C49" s="305">
        <f t="shared" ca="1" si="22"/>
        <v>-2.4268475191437204E-2</v>
      </c>
      <c r="D49" s="306">
        <f t="shared" ca="1" si="23"/>
        <v>-2664.0000000000005</v>
      </c>
      <c r="E49" s="304">
        <f ca="1">IF($D$3="BAU",UtilityDemand!E42,INDIRECT($D$3&amp;"!E"&amp;ROW(D49))+INDIRECT($D$3&amp;"!G"&amp;ROW(D49)))</f>
        <v>529805.94437878707</v>
      </c>
      <c r="F49" s="305">
        <f t="shared" ca="1" si="24"/>
        <v>-0.10812406996899228</v>
      </c>
      <c r="G49" s="306">
        <f t="shared" ca="1" si="8"/>
        <v>-57284.775000000001</v>
      </c>
      <c r="H49" s="304">
        <f ca="1">IF($D$3="BAU",UtilityDemand!G42,INDIRECT($D$3&amp;"!H"&amp;ROW(G49))+INDIRECT($D$3&amp;"!J"&amp;ROW(G49)))</f>
        <v>183355.29005927677</v>
      </c>
      <c r="I49" s="305">
        <f t="shared" ca="1" si="25"/>
        <v>-9.2570702457031404E-2</v>
      </c>
      <c r="J49" s="306">
        <f t="shared" ca="1" si="9"/>
        <v>-16973.327999999998</v>
      </c>
      <c r="K49" s="307">
        <f t="shared" ca="1" si="10"/>
        <v>107108.03878634929</v>
      </c>
      <c r="L49" s="307">
        <f t="shared" si="11"/>
        <v>0</v>
      </c>
      <c r="M49" s="307">
        <v>0</v>
      </c>
      <c r="N49" s="307">
        <f t="shared" ca="1" si="12"/>
        <v>107108.03878634929</v>
      </c>
      <c r="O49" s="1494">
        <f t="shared" ca="1" si="13"/>
        <v>472521.16937878705</v>
      </c>
      <c r="P49" s="306">
        <f t="shared" si="14"/>
        <v>0</v>
      </c>
      <c r="Q49" s="306">
        <v>0</v>
      </c>
      <c r="R49" s="306">
        <f t="shared" ca="1" si="15"/>
        <v>472521.16937878705</v>
      </c>
      <c r="S49" s="818">
        <f t="shared" ca="1" si="16"/>
        <v>166381.96205927676</v>
      </c>
      <c r="T49" s="818">
        <f t="shared" si="17"/>
        <v>0</v>
      </c>
      <c r="U49" s="818">
        <v>0</v>
      </c>
      <c r="V49" s="818">
        <f t="shared" ca="1" si="18"/>
        <v>166381.96205927676</v>
      </c>
      <c r="W49" s="306">
        <f t="shared" si="1"/>
        <v>0</v>
      </c>
      <c r="X49" s="306">
        <f t="shared" ca="1" si="2"/>
        <v>-10082.241603025503</v>
      </c>
      <c r="Y49" s="306">
        <v>0</v>
      </c>
      <c r="Z49" s="306">
        <v>0</v>
      </c>
      <c r="AA49" s="308">
        <f ca="1">-SUM(W49,X49/OFFSET(GridFootprintbyYear,$A49-$A$19,0)*EF_PurchElec_MTperMWh,Z49)*OFFSET(ExposureCalculations!Price_GHG_Allowance_2010,A49-$A$19,0)*ExposureCalculations!D46</f>
        <v>785108.58889678691</v>
      </c>
      <c r="AB49" s="308">
        <f t="shared" ca="1" si="3"/>
        <v>262987.43477082095</v>
      </c>
      <c r="AC49" s="308">
        <v>0</v>
      </c>
      <c r="AD49" s="819">
        <f t="shared" ca="1" si="4"/>
        <v>736082.59713815502</v>
      </c>
      <c r="AE49" s="308">
        <v>0</v>
      </c>
      <c r="AF49" s="819">
        <f t="shared" ca="1" si="5"/>
        <v>328151.00799999991</v>
      </c>
      <c r="AG49" s="308">
        <v>0</v>
      </c>
      <c r="AH49" s="308">
        <v>0</v>
      </c>
      <c r="AI49" s="308">
        <v>0</v>
      </c>
      <c r="AJ49" s="308">
        <f t="shared" ca="1" si="6"/>
        <v>1327221.0399089758</v>
      </c>
      <c r="AK49" s="309">
        <v>0</v>
      </c>
      <c r="AL49" s="309">
        <f t="shared" si="26"/>
        <v>0</v>
      </c>
      <c r="AM49" s="309">
        <f t="shared" si="19"/>
        <v>0</v>
      </c>
      <c r="AN49" s="310">
        <v>0</v>
      </c>
      <c r="AO49" s="310">
        <v>0</v>
      </c>
      <c r="AP49" s="310">
        <f t="shared" si="20"/>
        <v>0</v>
      </c>
      <c r="AQ49" s="309">
        <v>0</v>
      </c>
      <c r="AR49" s="311">
        <f t="shared" ca="1" si="7"/>
        <v>2112329.6288057626</v>
      </c>
      <c r="AS49" s="870">
        <f t="shared" ca="1" si="21"/>
        <v>15196171.74225408</v>
      </c>
      <c r="AT49" s="822"/>
      <c r="AU49" s="878"/>
      <c r="AV49" s="35"/>
      <c r="AW49" s="879"/>
      <c r="AX49" s="35"/>
      <c r="AY49" s="880"/>
    </row>
    <row r="50" spans="1:51">
      <c r="A50" s="303">
        <v>2041</v>
      </c>
      <c r="B50" s="304">
        <f ca="1">IF($D$3="BAU",UtilityDemand!C43,INDIRECT($D$3&amp;"!B"&amp;ROW(A50))+INDIRECT($D$3&amp;"!D"&amp;ROW(A50)))</f>
        <v>109639.38020401237</v>
      </c>
      <c r="C50" s="305">
        <f t="shared" ca="1" si="22"/>
        <v>-2.4297838924690569E-2</v>
      </c>
      <c r="D50" s="306">
        <f t="shared" ca="1" si="23"/>
        <v>-2664.0000000000005</v>
      </c>
      <c r="E50" s="304">
        <f ca="1">IF($D$3="BAU",UtilityDemand!E43,INDIRECT($D$3&amp;"!E"&amp;ROW(D50))+INDIRECT($D$3&amp;"!G"&amp;ROW(D50)))</f>
        <v>529129.49045552209</v>
      </c>
      <c r="F50" s="305">
        <f t="shared" ca="1" si="24"/>
        <v>-0.10826229880077962</v>
      </c>
      <c r="G50" s="306">
        <f t="shared" ca="1" si="8"/>
        <v>-57284.775000000001</v>
      </c>
      <c r="H50" s="304">
        <f ca="1">IF($D$3="BAU",UtilityDemand!G43,INDIRECT($D$3&amp;"!H"&amp;ROW(G50))+INDIRECT($D$3&amp;"!J"&amp;ROW(G50)))</f>
        <v>184171.98676705817</v>
      </c>
      <c r="I50" s="305">
        <f t="shared" ca="1" si="25"/>
        <v>-9.2160204697514417E-2</v>
      </c>
      <c r="J50" s="306">
        <f t="shared" ca="1" si="9"/>
        <v>-16973.327999999998</v>
      </c>
      <c r="K50" s="307">
        <f t="shared" ca="1" si="10"/>
        <v>106975.38020401237</v>
      </c>
      <c r="L50" s="307">
        <f t="shared" si="11"/>
        <v>0</v>
      </c>
      <c r="M50" s="307">
        <v>0</v>
      </c>
      <c r="N50" s="307">
        <f t="shared" ca="1" si="12"/>
        <v>106975.38020401237</v>
      </c>
      <c r="O50" s="1494">
        <f t="shared" ca="1" si="13"/>
        <v>471844.71545552206</v>
      </c>
      <c r="P50" s="306">
        <f t="shared" si="14"/>
        <v>0</v>
      </c>
      <c r="Q50" s="306">
        <v>0</v>
      </c>
      <c r="R50" s="306">
        <f t="shared" ca="1" si="15"/>
        <v>471844.71545552206</v>
      </c>
      <c r="S50" s="818">
        <f t="shared" ca="1" si="16"/>
        <v>167198.65876705816</v>
      </c>
      <c r="T50" s="818">
        <f t="shared" si="17"/>
        <v>0</v>
      </c>
      <c r="U50" s="818">
        <v>0</v>
      </c>
      <c r="V50" s="818">
        <f t="shared" ca="1" si="18"/>
        <v>167198.65876705816</v>
      </c>
      <c r="W50" s="306">
        <f t="shared" si="1"/>
        <v>0</v>
      </c>
      <c r="X50" s="306">
        <f t="shared" ca="1" si="2"/>
        <v>-10082.241603025503</v>
      </c>
      <c r="Y50" s="306">
        <v>0</v>
      </c>
      <c r="Z50" s="306">
        <v>0</v>
      </c>
      <c r="AA50" s="308">
        <f ca="1">-SUM(W50,X50/OFFSET(GridFootprintbyYear,$A50-$A$19,0)*EF_PurchElec_MTperMWh,Z50)*OFFSET(ExposureCalculations!Price_GHG_Allowance_2010,A50-$A$19,0)*ExposureCalculations!D47</f>
        <v>819191.81650860037</v>
      </c>
      <c r="AB50" s="308">
        <f t="shared" ca="1" si="3"/>
        <v>264302.37194467499</v>
      </c>
      <c r="AC50" s="308">
        <v>0</v>
      </c>
      <c r="AD50" s="819">
        <f t="shared" ca="1" si="4"/>
        <v>739763.01012384566</v>
      </c>
      <c r="AE50" s="308">
        <v>0</v>
      </c>
      <c r="AF50" s="819">
        <f t="shared" ca="1" si="5"/>
        <v>328151.00799999991</v>
      </c>
      <c r="AG50" s="308">
        <v>0</v>
      </c>
      <c r="AH50" s="308">
        <v>0</v>
      </c>
      <c r="AI50" s="308">
        <v>0</v>
      </c>
      <c r="AJ50" s="308">
        <f t="shared" ca="1" si="6"/>
        <v>1332216.3900685206</v>
      </c>
      <c r="AK50" s="309">
        <v>0</v>
      </c>
      <c r="AL50" s="309">
        <f t="shared" si="26"/>
        <v>0</v>
      </c>
      <c r="AM50" s="309">
        <f t="shared" si="19"/>
        <v>0</v>
      </c>
      <c r="AN50" s="310">
        <v>0</v>
      </c>
      <c r="AO50" s="310">
        <v>0</v>
      </c>
      <c r="AP50" s="310">
        <f t="shared" si="20"/>
        <v>0</v>
      </c>
      <c r="AQ50" s="309">
        <v>0</v>
      </c>
      <c r="AR50" s="311">
        <f t="shared" ca="1" si="7"/>
        <v>2151408.2065771208</v>
      </c>
      <c r="AS50" s="870">
        <f t="shared" ca="1" si="21"/>
        <v>17347579.948831201</v>
      </c>
      <c r="AT50" s="822"/>
      <c r="AU50" s="878"/>
      <c r="AV50" s="35"/>
      <c r="AW50" s="879"/>
      <c r="AX50" s="35"/>
      <c r="AY50" s="880"/>
    </row>
    <row r="51" spans="1:51">
      <c r="A51" s="303">
        <v>2042</v>
      </c>
      <c r="B51" s="304">
        <f ca="1">IF($D$3="BAU",UtilityDemand!C44,INDIRECT($D$3&amp;"!B"&amp;ROW(A51))+INDIRECT($D$3&amp;"!D"&amp;ROW(A51)))</f>
        <v>109506.02884864717</v>
      </c>
      <c r="C51" s="305">
        <f t="shared" ca="1" si="22"/>
        <v>-2.4327427704295856E-2</v>
      </c>
      <c r="D51" s="306">
        <f t="shared" ca="1" si="23"/>
        <v>-2664.0000000000005</v>
      </c>
      <c r="E51" s="304">
        <f ca="1">IF($D$3="BAU",UtilityDemand!E44,INDIRECT($D$3&amp;"!E"&amp;ROW(D51))+INDIRECT($D$3&amp;"!G"&amp;ROW(D51)))</f>
        <v>528453.0365322571</v>
      </c>
      <c r="F51" s="305">
        <f t="shared" ca="1" si="24"/>
        <v>-0.10840088151618238</v>
      </c>
      <c r="G51" s="306">
        <f t="shared" ca="1" si="8"/>
        <v>-57284.775000000001</v>
      </c>
      <c r="H51" s="304">
        <f ca="1">IF($D$3="BAU",UtilityDemand!G44,INDIRECT($D$3&amp;"!H"&amp;ROW(G51))+INDIRECT($D$3&amp;"!J"&amp;ROW(G51)))</f>
        <v>184987.99070181127</v>
      </c>
      <c r="I51" s="305">
        <f t="shared" ca="1" si="25"/>
        <v>-9.1753675120240158E-2</v>
      </c>
      <c r="J51" s="306">
        <f t="shared" ca="1" si="9"/>
        <v>-16973.327999999998</v>
      </c>
      <c r="K51" s="307">
        <f t="shared" ca="1" si="10"/>
        <v>106842.02884864717</v>
      </c>
      <c r="L51" s="307">
        <f t="shared" si="11"/>
        <v>0</v>
      </c>
      <c r="M51" s="307">
        <v>0</v>
      </c>
      <c r="N51" s="307">
        <f t="shared" ca="1" si="12"/>
        <v>106842.02884864717</v>
      </c>
      <c r="O51" s="1494">
        <f t="shared" ca="1" si="13"/>
        <v>471168.26153225708</v>
      </c>
      <c r="P51" s="306">
        <f t="shared" si="14"/>
        <v>0</v>
      </c>
      <c r="Q51" s="306">
        <v>0</v>
      </c>
      <c r="R51" s="306">
        <f t="shared" ca="1" si="15"/>
        <v>471168.26153225708</v>
      </c>
      <c r="S51" s="818">
        <f t="shared" ca="1" si="16"/>
        <v>168014.66270181126</v>
      </c>
      <c r="T51" s="818">
        <f t="shared" si="17"/>
        <v>0</v>
      </c>
      <c r="U51" s="818">
        <v>0</v>
      </c>
      <c r="V51" s="818">
        <f t="shared" ca="1" si="18"/>
        <v>168014.66270181126</v>
      </c>
      <c r="W51" s="306">
        <f t="shared" si="1"/>
        <v>0</v>
      </c>
      <c r="X51" s="306">
        <f t="shared" ca="1" si="2"/>
        <v>-10082.241603025503</v>
      </c>
      <c r="Y51" s="306">
        <v>0</v>
      </c>
      <c r="Z51" s="306">
        <v>0</v>
      </c>
      <c r="AA51" s="308">
        <f ca="1">-SUM(W51,X51/OFFSET(GridFootprintbyYear,$A51-$A$19,0)*EF_PurchElec_MTperMWh,Z51)*OFFSET(ExposureCalculations!Price_GHG_Allowance_2010,A51-$A$19,0)*ExposureCalculations!D48</f>
        <v>851946.92461341934</v>
      </c>
      <c r="AB51" s="308">
        <f t="shared" ca="1" si="3"/>
        <v>265623.8838043983</v>
      </c>
      <c r="AC51" s="308">
        <v>0</v>
      </c>
      <c r="AD51" s="819">
        <f t="shared" ca="1" si="4"/>
        <v>743461.82517446473</v>
      </c>
      <c r="AE51" s="308">
        <v>0</v>
      </c>
      <c r="AF51" s="819">
        <f t="shared" ca="1" si="5"/>
        <v>328151.00799999991</v>
      </c>
      <c r="AG51" s="308">
        <v>0</v>
      </c>
      <c r="AH51" s="308">
        <v>0</v>
      </c>
      <c r="AI51" s="308">
        <v>0</v>
      </c>
      <c r="AJ51" s="308">
        <f t="shared" ca="1" si="6"/>
        <v>1337236.7169788629</v>
      </c>
      <c r="AK51" s="309">
        <v>0</v>
      </c>
      <c r="AL51" s="309">
        <f t="shared" si="26"/>
        <v>0</v>
      </c>
      <c r="AM51" s="309">
        <f t="shared" si="19"/>
        <v>0</v>
      </c>
      <c r="AN51" s="310">
        <v>0</v>
      </c>
      <c r="AO51" s="310">
        <v>0</v>
      </c>
      <c r="AP51" s="310">
        <f t="shared" si="20"/>
        <v>0</v>
      </c>
      <c r="AQ51" s="309">
        <v>0</v>
      </c>
      <c r="AR51" s="311">
        <f t="shared" ca="1" si="7"/>
        <v>2189183.6415922823</v>
      </c>
      <c r="AS51" s="870">
        <f t="shared" ca="1" si="21"/>
        <v>19536763.590423483</v>
      </c>
      <c r="AT51" s="822"/>
      <c r="AU51" s="878"/>
      <c r="AV51" s="35"/>
      <c r="AW51" s="879"/>
      <c r="AX51" s="35"/>
      <c r="AY51" s="880"/>
    </row>
    <row r="52" spans="1:51">
      <c r="A52" s="303">
        <v>2043</v>
      </c>
      <c r="B52" s="304">
        <f ca="1">IF($D$3="BAU",UtilityDemand!C45,INDIRECT($D$3&amp;"!B"&amp;ROW(A52))+INDIRECT($D$3&amp;"!D"&amp;ROW(A52)))</f>
        <v>109372.00241989689</v>
      </c>
      <c r="C52" s="305">
        <f t="shared" ca="1" si="22"/>
        <v>-2.4357238973942083E-2</v>
      </c>
      <c r="D52" s="306">
        <f t="shared" ca="1" si="23"/>
        <v>-2664.0000000000005</v>
      </c>
      <c r="E52" s="304">
        <f ca="1">IF($D$3="BAU",UtilityDemand!E45,INDIRECT($D$3&amp;"!E"&amp;ROW(D52))+INDIRECT($D$3&amp;"!G"&amp;ROW(D52)))</f>
        <v>527776.58260899212</v>
      </c>
      <c r="F52" s="305">
        <f t="shared" ca="1" si="24"/>
        <v>-0.10853981947592382</v>
      </c>
      <c r="G52" s="306">
        <f t="shared" ca="1" si="8"/>
        <v>-57284.775000000001</v>
      </c>
      <c r="H52" s="304">
        <f ca="1">IF($D$3="BAU",UtilityDemand!G45,INDIRECT($D$3&amp;"!H"&amp;ROW(G52))+INDIRECT($D$3&amp;"!J"&amp;ROW(G52)))</f>
        <v>185803.31956317939</v>
      </c>
      <c r="I52" s="305">
        <f t="shared" ca="1" si="25"/>
        <v>-9.1351048193885981E-2</v>
      </c>
      <c r="J52" s="306">
        <f t="shared" ca="1" si="9"/>
        <v>-16973.327999999998</v>
      </c>
      <c r="K52" s="307">
        <f t="shared" ca="1" si="10"/>
        <v>106708.00241989689</v>
      </c>
      <c r="L52" s="307">
        <f t="shared" si="11"/>
        <v>0</v>
      </c>
      <c r="M52" s="307">
        <v>0</v>
      </c>
      <c r="N52" s="307">
        <f t="shared" ca="1" si="12"/>
        <v>106708.00241989689</v>
      </c>
      <c r="O52" s="1494">
        <f t="shared" ca="1" si="13"/>
        <v>470491.80760899209</v>
      </c>
      <c r="P52" s="306">
        <f t="shared" si="14"/>
        <v>0</v>
      </c>
      <c r="Q52" s="306">
        <v>0</v>
      </c>
      <c r="R52" s="306">
        <f t="shared" ca="1" si="15"/>
        <v>470491.80760899209</v>
      </c>
      <c r="S52" s="818">
        <f t="shared" ca="1" si="16"/>
        <v>168829.99156317938</v>
      </c>
      <c r="T52" s="818">
        <f t="shared" si="17"/>
        <v>0</v>
      </c>
      <c r="U52" s="818">
        <v>0</v>
      </c>
      <c r="V52" s="818">
        <f t="shared" ca="1" si="18"/>
        <v>168829.99156317938</v>
      </c>
      <c r="W52" s="306">
        <f t="shared" si="1"/>
        <v>0</v>
      </c>
      <c r="X52" s="306">
        <f t="shared" ca="1" si="2"/>
        <v>-10082.241603025503</v>
      </c>
      <c r="Y52" s="306">
        <v>0</v>
      </c>
      <c r="Z52" s="306">
        <v>0</v>
      </c>
      <c r="AA52" s="308">
        <f ca="1">-SUM(W52,X52/OFFSET(GridFootprintbyYear,$A52-$A$19,0)*EF_PurchElec_MTperMWh,Z52)*OFFSET(ExposureCalculations!Price_GHG_Allowance_2010,A52-$A$19,0)*ExposureCalculations!D49</f>
        <v>888788.48141553276</v>
      </c>
      <c r="AB52" s="308">
        <f t="shared" ca="1" si="3"/>
        <v>266952.0032234203</v>
      </c>
      <c r="AC52" s="308">
        <v>0</v>
      </c>
      <c r="AD52" s="819">
        <f t="shared" ca="1" si="4"/>
        <v>747179.13430033706</v>
      </c>
      <c r="AE52" s="308">
        <v>0</v>
      </c>
      <c r="AF52" s="819">
        <f t="shared" ca="1" si="5"/>
        <v>328151.00799999991</v>
      </c>
      <c r="AG52" s="308">
        <v>0</v>
      </c>
      <c r="AH52" s="308">
        <v>0</v>
      </c>
      <c r="AI52" s="308">
        <v>0</v>
      </c>
      <c r="AJ52" s="308">
        <f t="shared" ca="1" si="6"/>
        <v>1342282.1455237572</v>
      </c>
      <c r="AK52" s="309">
        <v>0</v>
      </c>
      <c r="AL52" s="309">
        <f t="shared" si="26"/>
        <v>0</v>
      </c>
      <c r="AM52" s="309">
        <f t="shared" si="19"/>
        <v>0</v>
      </c>
      <c r="AN52" s="310">
        <v>0</v>
      </c>
      <c r="AO52" s="310">
        <v>0</v>
      </c>
      <c r="AP52" s="310">
        <f t="shared" si="20"/>
        <v>0</v>
      </c>
      <c r="AQ52" s="309">
        <v>0</v>
      </c>
      <c r="AR52" s="311">
        <f t="shared" ca="1" si="7"/>
        <v>2231070.6269392902</v>
      </c>
      <c r="AS52" s="870">
        <f t="shared" ca="1" si="21"/>
        <v>21767834.217362773</v>
      </c>
      <c r="AT52" s="822"/>
      <c r="AU52" s="878"/>
      <c r="AV52" s="35"/>
      <c r="AW52" s="879"/>
      <c r="AX52" s="35"/>
      <c r="AY52" s="880"/>
    </row>
    <row r="53" spans="1:51">
      <c r="A53" s="303">
        <v>2044</v>
      </c>
      <c r="B53" s="304">
        <f ca="1">IF($D$3="BAU",UtilityDemand!C46,INDIRECT($D$3&amp;"!B"&amp;ROW(A53))+INDIRECT($D$3&amp;"!D"&amp;ROW(A53)))</f>
        <v>109237.31801955259</v>
      </c>
      <c r="C53" s="305">
        <f t="shared" ca="1" si="22"/>
        <v>-2.4387270287276424E-2</v>
      </c>
      <c r="D53" s="306">
        <f t="shared" ca="1" si="23"/>
        <v>-2664.0000000000005</v>
      </c>
      <c r="E53" s="304">
        <f ca="1">IF($D$3="BAU",UtilityDemand!E46,INDIRECT($D$3&amp;"!E"&amp;ROW(D53))+INDIRECT($D$3&amp;"!G"&amp;ROW(D53)))</f>
        <v>527100.12868572737</v>
      </c>
      <c r="F53" s="305">
        <f t="shared" ca="1" si="24"/>
        <v>-0.10867911404771231</v>
      </c>
      <c r="G53" s="306">
        <f t="shared" ca="1" si="8"/>
        <v>-57284.775000000001</v>
      </c>
      <c r="H53" s="304">
        <f ca="1">IF($D$3="BAU",UtilityDemand!G46,INDIRECT($D$3&amp;"!H"&amp;ROW(G53))+INDIRECT($D$3&amp;"!J"&amp;ROW(G53)))</f>
        <v>186617.99045295344</v>
      </c>
      <c r="I53" s="305">
        <f t="shared" ca="1" si="25"/>
        <v>-9.0952260062402659E-2</v>
      </c>
      <c r="J53" s="306">
        <f t="shared" ca="1" si="9"/>
        <v>-16973.327999999998</v>
      </c>
      <c r="K53" s="307">
        <f t="shared" ca="1" si="10"/>
        <v>106573.31801955259</v>
      </c>
      <c r="L53" s="307">
        <f t="shared" si="11"/>
        <v>0</v>
      </c>
      <c r="M53" s="307">
        <v>0</v>
      </c>
      <c r="N53" s="307">
        <f t="shared" ca="1" si="12"/>
        <v>106573.31801955259</v>
      </c>
      <c r="O53" s="1494">
        <f t="shared" ca="1" si="13"/>
        <v>469815.35368572734</v>
      </c>
      <c r="P53" s="306">
        <f t="shared" si="14"/>
        <v>0</v>
      </c>
      <c r="Q53" s="306">
        <v>0</v>
      </c>
      <c r="R53" s="306">
        <f t="shared" ca="1" si="15"/>
        <v>469815.35368572734</v>
      </c>
      <c r="S53" s="818">
        <f t="shared" ca="1" si="16"/>
        <v>169644.66245295343</v>
      </c>
      <c r="T53" s="818">
        <f t="shared" si="17"/>
        <v>0</v>
      </c>
      <c r="U53" s="818">
        <v>0</v>
      </c>
      <c r="V53" s="818">
        <f t="shared" ca="1" si="18"/>
        <v>169644.66245295343</v>
      </c>
      <c r="W53" s="306">
        <f t="shared" si="1"/>
        <v>0</v>
      </c>
      <c r="X53" s="306">
        <f t="shared" ca="1" si="2"/>
        <v>-10082.241603025503</v>
      </c>
      <c r="Y53" s="306">
        <v>0</v>
      </c>
      <c r="Z53" s="306">
        <v>0</v>
      </c>
      <c r="AA53" s="308">
        <f ca="1">-SUM(W53,X53/OFFSET(GridFootprintbyYear,$A53-$A$19,0)*EF_PurchElec_MTperMWh,Z53)*OFFSET(ExposureCalculations!Price_GHG_Allowance_2010,A53-$A$19,0)*ExposureCalculations!D50</f>
        <v>930549.17021615908</v>
      </c>
      <c r="AB53" s="308">
        <f t="shared" ca="1" si="3"/>
        <v>268286.76323953737</v>
      </c>
      <c r="AC53" s="308">
        <v>0</v>
      </c>
      <c r="AD53" s="819">
        <f t="shared" ca="1" si="4"/>
        <v>750915.02997183858</v>
      </c>
      <c r="AE53" s="308">
        <v>0</v>
      </c>
      <c r="AF53" s="819">
        <f t="shared" ca="1" si="5"/>
        <v>328151.00799999991</v>
      </c>
      <c r="AG53" s="308">
        <v>0</v>
      </c>
      <c r="AH53" s="308">
        <v>0</v>
      </c>
      <c r="AI53" s="308">
        <v>0</v>
      </c>
      <c r="AJ53" s="308">
        <f t="shared" ca="1" si="6"/>
        <v>1347352.8012113757</v>
      </c>
      <c r="AK53" s="309">
        <v>0</v>
      </c>
      <c r="AL53" s="309">
        <f t="shared" si="26"/>
        <v>0</v>
      </c>
      <c r="AM53" s="309">
        <f t="shared" si="19"/>
        <v>0</v>
      </c>
      <c r="AN53" s="310">
        <v>0</v>
      </c>
      <c r="AO53" s="310">
        <v>0</v>
      </c>
      <c r="AP53" s="310">
        <f t="shared" si="20"/>
        <v>0</v>
      </c>
      <c r="AQ53" s="309">
        <v>0</v>
      </c>
      <c r="AR53" s="311">
        <f t="shared" ca="1" si="7"/>
        <v>2277901.9714275347</v>
      </c>
      <c r="AS53" s="870">
        <f t="shared" ca="1" si="21"/>
        <v>24045736.188790306</v>
      </c>
      <c r="AT53" s="822"/>
      <c r="AU53" s="878"/>
      <c r="AV53" s="35"/>
      <c r="AW53" s="879"/>
      <c r="AX53" s="35"/>
      <c r="AY53" s="880"/>
    </row>
    <row r="54" spans="1:51">
      <c r="A54" s="303">
        <v>2045</v>
      </c>
      <c r="B54" s="304">
        <f ca="1">IF($D$3="BAU",UtilityDemand!C47,INDIRECT($D$3&amp;"!B"&amp;ROW(A54))+INDIRECT($D$3&amp;"!D"&amp;ROW(A54)))</f>
        <v>109101.99217658423</v>
      </c>
      <c r="C54" s="305">
        <f t="shared" ca="1" si="22"/>
        <v>-2.4417519303297885E-2</v>
      </c>
      <c r="D54" s="306">
        <f t="shared" ca="1" si="23"/>
        <v>-2664.0000000000005</v>
      </c>
      <c r="E54" s="304">
        <f ca="1">IF($D$3="BAU",UtilityDemand!E47,INDIRECT($D$3&amp;"!E"&amp;ROW(D54))+INDIRECT($D$3&amp;"!G"&amp;ROW(D54)))</f>
        <v>526423.67476246238</v>
      </c>
      <c r="F54" s="305">
        <f t="shared" ca="1" si="24"/>
        <v>-0.10881876660628638</v>
      </c>
      <c r="G54" s="306">
        <f t="shared" ca="1" si="8"/>
        <v>-57284.775000000001</v>
      </c>
      <c r="H54" s="304">
        <f ca="1">IF($D$3="BAU",UtilityDemand!G47,INDIRECT($D$3&amp;"!H"&amp;ROW(G54))+INDIRECT($D$3&amp;"!J"&amp;ROW(G54)))</f>
        <v>187432.01990010345</v>
      </c>
      <c r="I54" s="305">
        <f t="shared" ca="1" si="25"/>
        <v>-9.0557248484257682E-2</v>
      </c>
      <c r="J54" s="306">
        <f t="shared" ca="1" si="9"/>
        <v>-16973.327999999998</v>
      </c>
      <c r="K54" s="307">
        <f t="shared" ca="1" si="10"/>
        <v>106437.99217658423</v>
      </c>
      <c r="L54" s="307">
        <f t="shared" si="11"/>
        <v>0</v>
      </c>
      <c r="M54" s="307">
        <v>0</v>
      </c>
      <c r="N54" s="307">
        <f t="shared" ca="1" si="12"/>
        <v>106437.99217658423</v>
      </c>
      <c r="O54" s="1494">
        <f t="shared" ca="1" si="13"/>
        <v>469138.89976246236</v>
      </c>
      <c r="P54" s="306">
        <f t="shared" si="14"/>
        <v>0</v>
      </c>
      <c r="Q54" s="306">
        <v>0</v>
      </c>
      <c r="R54" s="306">
        <f t="shared" ca="1" si="15"/>
        <v>469138.89976246236</v>
      </c>
      <c r="S54" s="818">
        <f t="shared" ca="1" si="16"/>
        <v>170458.69190010344</v>
      </c>
      <c r="T54" s="818">
        <f t="shared" si="17"/>
        <v>0</v>
      </c>
      <c r="U54" s="818">
        <v>0</v>
      </c>
      <c r="V54" s="818">
        <f t="shared" ca="1" si="18"/>
        <v>170458.69190010344</v>
      </c>
      <c r="W54" s="306">
        <f t="shared" si="1"/>
        <v>0</v>
      </c>
      <c r="X54" s="306">
        <f t="shared" ca="1" si="2"/>
        <v>-10082.241603025503</v>
      </c>
      <c r="Y54" s="306">
        <v>0</v>
      </c>
      <c r="Z54" s="306">
        <v>0</v>
      </c>
      <c r="AA54" s="308">
        <f ca="1">-SUM(W54,X54/OFFSET(GridFootprintbyYear,$A54-$A$19,0)*EF_PurchElec_MTperMWh,Z54)*OFFSET(ExposureCalculations!Price_GHG_Allowance_2010,A54-$A$19,0)*ExposureCalculations!D51</f>
        <v>978422.04243553651</v>
      </c>
      <c r="AB54" s="308">
        <f t="shared" ca="1" si="3"/>
        <v>269628.19705573504</v>
      </c>
      <c r="AC54" s="308">
        <v>0</v>
      </c>
      <c r="AD54" s="819">
        <f t="shared" ca="1" si="4"/>
        <v>754669.60512169765</v>
      </c>
      <c r="AE54" s="308">
        <v>0</v>
      </c>
      <c r="AF54" s="819">
        <f t="shared" ca="1" si="5"/>
        <v>328151.00799999991</v>
      </c>
      <c r="AG54" s="308">
        <v>0</v>
      </c>
      <c r="AH54" s="308">
        <v>0</v>
      </c>
      <c r="AI54" s="308">
        <v>0</v>
      </c>
      <c r="AJ54" s="308">
        <f t="shared" ca="1" si="6"/>
        <v>1352448.8101774326</v>
      </c>
      <c r="AK54" s="309">
        <v>0</v>
      </c>
      <c r="AL54" s="309">
        <f t="shared" si="26"/>
        <v>0</v>
      </c>
      <c r="AM54" s="309">
        <f t="shared" si="19"/>
        <v>0</v>
      </c>
      <c r="AN54" s="310">
        <v>0</v>
      </c>
      <c r="AO54" s="310">
        <v>0</v>
      </c>
      <c r="AP54" s="310">
        <f t="shared" si="20"/>
        <v>0</v>
      </c>
      <c r="AQ54" s="309">
        <v>0</v>
      </c>
      <c r="AR54" s="311">
        <f t="shared" ca="1" si="7"/>
        <v>2330870.852612969</v>
      </c>
      <c r="AS54" s="870">
        <f t="shared" ca="1" si="21"/>
        <v>26376607.041403275</v>
      </c>
      <c r="AT54" s="822"/>
      <c r="AU54" s="878"/>
      <c r="AV54" s="35"/>
      <c r="AW54" s="879"/>
      <c r="AX54" s="35"/>
      <c r="AY54" s="880"/>
    </row>
    <row r="55" spans="1:51">
      <c r="A55" s="303">
        <v>2046</v>
      </c>
      <c r="B55" s="304">
        <f ca="1">IF($D$3="BAU",UtilityDemand!C48,INDIRECT($D$3&amp;"!B"&amp;ROW(A55))+INDIRECT($D$3&amp;"!D"&amp;ROW(A55)))</f>
        <v>108966.04087092477</v>
      </c>
      <c r="C55" s="305">
        <f t="shared" ca="1" si="22"/>
        <v>-2.4447983781989743E-2</v>
      </c>
      <c r="D55" s="306">
        <f t="shared" ca="1" si="23"/>
        <v>-2664.0000000000005</v>
      </c>
      <c r="E55" s="304">
        <f ca="1">IF($D$3="BAU",UtilityDemand!E48,INDIRECT($D$3&amp;"!E"&amp;ROW(D55))+INDIRECT($D$3&amp;"!G"&amp;ROW(D55)))</f>
        <v>525747.2208391974</v>
      </c>
      <c r="F55" s="305">
        <f t="shared" ca="1" si="24"/>
        <v>-0.10895877853345963</v>
      </c>
      <c r="G55" s="306">
        <f t="shared" ca="1" si="8"/>
        <v>-57284.775000000001</v>
      </c>
      <c r="H55" s="304">
        <f ca="1">IF($D$3="BAU",UtilityDemand!G48,INDIRECT($D$3&amp;"!H"&amp;ROW(G55))+INDIRECT($D$3&amp;"!J"&amp;ROW(G55)))</f>
        <v>188245.4238845623</v>
      </c>
      <c r="I55" s="305">
        <f t="shared" ca="1" si="25"/>
        <v>-9.0165952774546851E-2</v>
      </c>
      <c r="J55" s="306">
        <f t="shared" ca="1" si="9"/>
        <v>-16973.327999999998</v>
      </c>
      <c r="K55" s="307">
        <f t="shared" ca="1" si="10"/>
        <v>106302.04087092477</v>
      </c>
      <c r="L55" s="307">
        <f t="shared" si="11"/>
        <v>0</v>
      </c>
      <c r="M55" s="307">
        <v>0</v>
      </c>
      <c r="N55" s="307">
        <f t="shared" ca="1" si="12"/>
        <v>106302.04087092477</v>
      </c>
      <c r="O55" s="1494">
        <f t="shared" ca="1" si="13"/>
        <v>468462.44583919737</v>
      </c>
      <c r="P55" s="306">
        <f t="shared" si="14"/>
        <v>0</v>
      </c>
      <c r="Q55" s="306">
        <v>0</v>
      </c>
      <c r="R55" s="306">
        <f t="shared" ca="1" si="15"/>
        <v>468462.44583919737</v>
      </c>
      <c r="S55" s="818">
        <f t="shared" ca="1" si="16"/>
        <v>171272.0958845623</v>
      </c>
      <c r="T55" s="818">
        <f t="shared" si="17"/>
        <v>0</v>
      </c>
      <c r="U55" s="818">
        <v>0</v>
      </c>
      <c r="V55" s="818">
        <f t="shared" ca="1" si="18"/>
        <v>171272.0958845623</v>
      </c>
      <c r="W55" s="306">
        <f t="shared" si="1"/>
        <v>0</v>
      </c>
      <c r="X55" s="306">
        <f t="shared" ca="1" si="2"/>
        <v>-10082.241603025503</v>
      </c>
      <c r="Y55" s="306">
        <v>0</v>
      </c>
      <c r="Z55" s="306">
        <v>0</v>
      </c>
      <c r="AA55" s="308">
        <f ca="1">-SUM(W55,X55/OFFSET(GridFootprintbyYear,$A55-$A$19,0)*EF_PurchElec_MTperMWh,Z55)*OFFSET(ExposureCalculations!Price_GHG_Allowance_2010,A55-$A$19,0)*ExposureCalculations!D52</f>
        <v>1029509.3818603244</v>
      </c>
      <c r="AB55" s="308">
        <f t="shared" ca="1" si="3"/>
        <v>270976.33804101363</v>
      </c>
      <c r="AC55" s="308">
        <v>0</v>
      </c>
      <c r="AD55" s="819">
        <f t="shared" ca="1" si="4"/>
        <v>758442.95314730587</v>
      </c>
      <c r="AE55" s="308">
        <v>0</v>
      </c>
      <c r="AF55" s="819">
        <f t="shared" ca="1" si="5"/>
        <v>328151.00799999991</v>
      </c>
      <c r="AG55" s="308">
        <v>0</v>
      </c>
      <c r="AH55" s="308">
        <v>0</v>
      </c>
      <c r="AI55" s="308">
        <v>0</v>
      </c>
      <c r="AJ55" s="308">
        <f t="shared" ca="1" si="6"/>
        <v>1357570.2991883194</v>
      </c>
      <c r="AK55" s="309">
        <v>0</v>
      </c>
      <c r="AL55" s="309">
        <f t="shared" si="26"/>
        <v>0</v>
      </c>
      <c r="AM55" s="309">
        <f t="shared" si="19"/>
        <v>0</v>
      </c>
      <c r="AN55" s="310">
        <v>0</v>
      </c>
      <c r="AO55" s="310">
        <v>0</v>
      </c>
      <c r="AP55" s="310">
        <f t="shared" si="20"/>
        <v>0</v>
      </c>
      <c r="AQ55" s="309">
        <v>0</v>
      </c>
      <c r="AR55" s="311">
        <f t="shared" ca="1" si="7"/>
        <v>2387079.6810486438</v>
      </c>
      <c r="AS55" s="870">
        <f t="shared" ca="1" si="21"/>
        <v>28763686.722451918</v>
      </c>
      <c r="AT55" s="822"/>
      <c r="AU55" s="878"/>
      <c r="AV55" s="35"/>
      <c r="AW55" s="879"/>
      <c r="AX55" s="35"/>
      <c r="AY55" s="880"/>
    </row>
    <row r="56" spans="1:51">
      <c r="A56" s="303">
        <v>2047</v>
      </c>
      <c r="B56" s="304">
        <f ca="1">IF($D$3="BAU",UtilityDemand!C49,INDIRECT($D$3&amp;"!B"&amp;ROW(A56))+INDIRECT($D$3&amp;"!D"&amp;ROW(A56)))</f>
        <v>108829.47955607864</v>
      </c>
      <c r="C56" s="305">
        <f t="shared" ca="1" si="22"/>
        <v>-2.4478661580176631E-2</v>
      </c>
      <c r="D56" s="306">
        <f t="shared" ca="1" si="23"/>
        <v>-2664.0000000000005</v>
      </c>
      <c r="E56" s="304">
        <f ca="1">IF($D$3="BAU",UtilityDemand!E49,INDIRECT($D$3&amp;"!E"&amp;ROW(D56))+INDIRECT($D$3&amp;"!G"&amp;ROW(D56)))</f>
        <v>525070.76691593241</v>
      </c>
      <c r="F56" s="305">
        <f t="shared" ca="1" si="24"/>
        <v>-0.10909915121816657</v>
      </c>
      <c r="G56" s="306">
        <f t="shared" ca="1" si="8"/>
        <v>-57284.775000000001</v>
      </c>
      <c r="H56" s="304">
        <f ca="1">IF($D$3="BAU",UtilityDemand!G49,INDIRECT($D$3&amp;"!H"&amp;ROW(G56))+INDIRECT($D$3&amp;"!J"&amp;ROW(G56)))</f>
        <v>189058.21785983458</v>
      </c>
      <c r="I56" s="305">
        <f t="shared" ca="1" si="25"/>
        <v>-8.977831374980913E-2</v>
      </c>
      <c r="J56" s="306">
        <f t="shared" ca="1" si="9"/>
        <v>-16973.327999999998</v>
      </c>
      <c r="K56" s="307">
        <f t="shared" ca="1" si="10"/>
        <v>106165.47955607864</v>
      </c>
      <c r="L56" s="307">
        <f t="shared" si="11"/>
        <v>0</v>
      </c>
      <c r="M56" s="307">
        <v>0</v>
      </c>
      <c r="N56" s="307">
        <f t="shared" ca="1" si="12"/>
        <v>106165.47955607864</v>
      </c>
      <c r="O56" s="1494">
        <f t="shared" ca="1" si="13"/>
        <v>467785.99191593239</v>
      </c>
      <c r="P56" s="306">
        <f t="shared" si="14"/>
        <v>0</v>
      </c>
      <c r="Q56" s="306">
        <v>0</v>
      </c>
      <c r="R56" s="306">
        <f t="shared" ca="1" si="15"/>
        <v>467785.99191593239</v>
      </c>
      <c r="S56" s="818">
        <f t="shared" ca="1" si="16"/>
        <v>172084.88985983457</v>
      </c>
      <c r="T56" s="818">
        <f t="shared" si="17"/>
        <v>0</v>
      </c>
      <c r="U56" s="818">
        <v>0</v>
      </c>
      <c r="V56" s="818">
        <f t="shared" ca="1" si="18"/>
        <v>172084.88985983457</v>
      </c>
      <c r="W56" s="306">
        <f t="shared" si="1"/>
        <v>0</v>
      </c>
      <c r="X56" s="306">
        <f t="shared" ca="1" si="2"/>
        <v>-10082.241603025503</v>
      </c>
      <c r="Y56" s="306">
        <v>0</v>
      </c>
      <c r="Z56" s="306">
        <v>0</v>
      </c>
      <c r="AA56" s="308">
        <f ca="1">-SUM(W56,X56/OFFSET(GridFootprintbyYear,$A56-$A$19,0)*EF_PurchElec_MTperMWh,Z56)*OFFSET(ExposureCalculations!Price_GHG_Allowance_2010,A56-$A$19,0)*ExposureCalculations!D53</f>
        <v>1084213.4832124431</v>
      </c>
      <c r="AB56" s="308">
        <f t="shared" ca="1" si="3"/>
        <v>272331.21973121865</v>
      </c>
      <c r="AC56" s="308">
        <v>0</v>
      </c>
      <c r="AD56" s="819">
        <f t="shared" ca="1" si="4"/>
        <v>762235.16791304213</v>
      </c>
      <c r="AE56" s="308">
        <v>0</v>
      </c>
      <c r="AF56" s="819">
        <f t="shared" ca="1" si="5"/>
        <v>328151.00799999991</v>
      </c>
      <c r="AG56" s="308">
        <v>0</v>
      </c>
      <c r="AH56" s="308">
        <v>0</v>
      </c>
      <c r="AI56" s="308">
        <v>0</v>
      </c>
      <c r="AJ56" s="308">
        <f t="shared" ca="1" si="6"/>
        <v>1362717.3956442606</v>
      </c>
      <c r="AK56" s="309">
        <v>0</v>
      </c>
      <c r="AL56" s="309">
        <f t="shared" si="26"/>
        <v>0</v>
      </c>
      <c r="AM56" s="309">
        <f t="shared" si="19"/>
        <v>0</v>
      </c>
      <c r="AN56" s="310">
        <v>0</v>
      </c>
      <c r="AO56" s="310">
        <v>0</v>
      </c>
      <c r="AP56" s="310">
        <f t="shared" si="20"/>
        <v>0</v>
      </c>
      <c r="AQ56" s="309">
        <v>0</v>
      </c>
      <c r="AR56" s="311">
        <f t="shared" ca="1" si="7"/>
        <v>2446930.8788567036</v>
      </c>
      <c r="AS56" s="870">
        <f t="shared" ca="1" si="21"/>
        <v>31210617.601308621</v>
      </c>
      <c r="AT56" s="822"/>
      <c r="AU56" s="878"/>
      <c r="AV56" s="35"/>
      <c r="AW56" s="879"/>
      <c r="AX56" s="35"/>
      <c r="AY56" s="880"/>
    </row>
    <row r="57" spans="1:51">
      <c r="A57" s="303">
        <v>2048</v>
      </c>
      <c r="B57" s="304">
        <f ca="1">IF($D$3="BAU",UtilityDemand!C50,INDIRECT($D$3&amp;"!B"&amp;ROW(A57))+INDIRECT($D$3&amp;"!D"&amp;ROW(A57)))</f>
        <v>108692.3231806228</v>
      </c>
      <c r="C57" s="305">
        <f t="shared" ca="1" si="22"/>
        <v>-2.4509550647592811E-2</v>
      </c>
      <c r="D57" s="306">
        <f t="shared" ca="1" si="23"/>
        <v>-2664.0000000000005</v>
      </c>
      <c r="E57" s="304">
        <f ca="1">IF($D$3="BAU",UtilityDemand!E50,INDIRECT($D$3&amp;"!E"&amp;ROW(D57))+INDIRECT($D$3&amp;"!G"&amp;ROW(D57)))</f>
        <v>524394.31299266743</v>
      </c>
      <c r="F57" s="305">
        <f t="shared" ca="1" si="24"/>
        <v>-0.10923988605650842</v>
      </c>
      <c r="G57" s="306">
        <f t="shared" ca="1" si="8"/>
        <v>-57284.775000000001</v>
      </c>
      <c r="H57" s="304">
        <f ca="1">IF($D$3="BAU",UtilityDemand!G50,INDIRECT($D$3&amp;"!H"&amp;ROW(G57))+INDIRECT($D$3&amp;"!J"&amp;ROW(G57)))</f>
        <v>189870.41677449708</v>
      </c>
      <c r="I57" s="305">
        <f t="shared" ca="1" si="25"/>
        <v>-8.9394273675391295E-2</v>
      </c>
      <c r="J57" s="306">
        <f t="shared" ca="1" si="9"/>
        <v>-16973.327999999998</v>
      </c>
      <c r="K57" s="307">
        <f t="shared" ca="1" si="10"/>
        <v>106028.3231806228</v>
      </c>
      <c r="L57" s="307">
        <f t="shared" si="11"/>
        <v>0</v>
      </c>
      <c r="M57" s="307">
        <v>0</v>
      </c>
      <c r="N57" s="307">
        <f t="shared" ca="1" si="12"/>
        <v>106028.3231806228</v>
      </c>
      <c r="O57" s="1494">
        <f t="shared" ca="1" si="13"/>
        <v>467109.53799266741</v>
      </c>
      <c r="P57" s="306">
        <f t="shared" si="14"/>
        <v>0</v>
      </c>
      <c r="Q57" s="306">
        <v>0</v>
      </c>
      <c r="R57" s="306">
        <f t="shared" ca="1" si="15"/>
        <v>467109.53799266741</v>
      </c>
      <c r="S57" s="818">
        <f t="shared" ca="1" si="16"/>
        <v>172897.08877449707</v>
      </c>
      <c r="T57" s="818">
        <f t="shared" si="17"/>
        <v>0</v>
      </c>
      <c r="U57" s="818">
        <v>0</v>
      </c>
      <c r="V57" s="818">
        <f t="shared" ca="1" si="18"/>
        <v>172897.08877449707</v>
      </c>
      <c r="W57" s="306">
        <f t="shared" si="1"/>
        <v>0</v>
      </c>
      <c r="X57" s="306">
        <f t="shared" ca="1" si="2"/>
        <v>-10082.241603025503</v>
      </c>
      <c r="Y57" s="306">
        <v>0</v>
      </c>
      <c r="Z57" s="306">
        <v>0</v>
      </c>
      <c r="AA57" s="308">
        <f ca="1">-SUM(W57,X57/OFFSET(GridFootprintbyYear,$A57-$A$19,0)*EF_PurchElec_MTperMWh,Z57)*OFFSET(ExposureCalculations!Price_GHG_Allowance_2010,A57-$A$19,0)*ExposureCalculations!D54</f>
        <v>1142970.4576287169</v>
      </c>
      <c r="AB57" s="308">
        <f t="shared" ca="1" si="3"/>
        <v>273692.87582987471</v>
      </c>
      <c r="AC57" s="308">
        <v>0</v>
      </c>
      <c r="AD57" s="819">
        <f t="shared" ca="1" si="4"/>
        <v>766046.34375260747</v>
      </c>
      <c r="AE57" s="308">
        <v>0</v>
      </c>
      <c r="AF57" s="819">
        <f t="shared" ca="1" si="5"/>
        <v>328151.00799999991</v>
      </c>
      <c r="AG57" s="308">
        <v>0</v>
      </c>
      <c r="AH57" s="308">
        <v>0</v>
      </c>
      <c r="AI57" s="308">
        <v>0</v>
      </c>
      <c r="AJ57" s="308">
        <f t="shared" ca="1" si="6"/>
        <v>1367890.2275824822</v>
      </c>
      <c r="AK57" s="309">
        <v>0</v>
      </c>
      <c r="AL57" s="309">
        <f t="shared" si="26"/>
        <v>0</v>
      </c>
      <c r="AM57" s="309">
        <f t="shared" si="19"/>
        <v>0</v>
      </c>
      <c r="AN57" s="310">
        <v>0</v>
      </c>
      <c r="AO57" s="310">
        <v>0</v>
      </c>
      <c r="AP57" s="310">
        <f t="shared" si="20"/>
        <v>0</v>
      </c>
      <c r="AQ57" s="309">
        <v>0</v>
      </c>
      <c r="AR57" s="311">
        <f t="shared" ca="1" si="7"/>
        <v>2510860.6852111993</v>
      </c>
      <c r="AS57" s="870">
        <f t="shared" ca="1" si="21"/>
        <v>33721478.286519818</v>
      </c>
      <c r="AT57" s="822"/>
      <c r="AU57" s="878"/>
      <c r="AV57" s="35"/>
      <c r="AW57" s="879"/>
      <c r="AX57" s="35"/>
      <c r="AY57" s="880"/>
    </row>
    <row r="58" spans="1:51">
      <c r="A58" s="303">
        <v>2049</v>
      </c>
      <c r="B58" s="304">
        <f ca="1">IF($D$3="BAU",UtilityDemand!C51,INDIRECT($D$3&amp;"!B"&amp;ROW(A58))+INDIRECT($D$3&amp;"!D"&amp;ROW(A58)))</f>
        <v>108554.58620866176</v>
      </c>
      <c r="C58" s="305">
        <f t="shared" ca="1" si="22"/>
        <v>-2.4540649023149567E-2</v>
      </c>
      <c r="D58" s="306">
        <f t="shared" ca="1" si="23"/>
        <v>-2664.0000000000005</v>
      </c>
      <c r="E58" s="304">
        <f ca="1">IF($D$3="BAU",UtilityDemand!E51,INDIRECT($D$3&amp;"!E"&amp;ROW(D58))+INDIRECT($D$3&amp;"!G"&amp;ROW(D58)))</f>
        <v>523717.85906940268</v>
      </c>
      <c r="F58" s="305">
        <f t="shared" ca="1" si="24"/>
        <v>-0.10938098445179939</v>
      </c>
      <c r="G58" s="306">
        <f t="shared" ca="1" si="8"/>
        <v>-57284.775000000001</v>
      </c>
      <c r="H58" s="304">
        <f ca="1">IF($D$3="BAU",UtilityDemand!G51,INDIRECT($D$3&amp;"!H"&amp;ROW(G58))+INDIRECT($D$3&amp;"!J"&amp;ROW(G58)))</f>
        <v>190682.03509265441</v>
      </c>
      <c r="I58" s="305">
        <f t="shared" ca="1" si="25"/>
        <v>-8.9013776215218596E-2</v>
      </c>
      <c r="J58" s="306">
        <f t="shared" ca="1" si="9"/>
        <v>-16973.327999999998</v>
      </c>
      <c r="K58" s="307">
        <f t="shared" ca="1" si="10"/>
        <v>105890.58620866176</v>
      </c>
      <c r="L58" s="307">
        <f t="shared" si="11"/>
        <v>0</v>
      </c>
      <c r="M58" s="307">
        <v>0</v>
      </c>
      <c r="N58" s="307">
        <f t="shared" ca="1" si="12"/>
        <v>105890.58620866176</v>
      </c>
      <c r="O58" s="1494">
        <f t="shared" ca="1" si="13"/>
        <v>466433.08406940266</v>
      </c>
      <c r="P58" s="306">
        <f t="shared" si="14"/>
        <v>0</v>
      </c>
      <c r="Q58" s="306">
        <v>0</v>
      </c>
      <c r="R58" s="306">
        <f t="shared" ca="1" si="15"/>
        <v>466433.08406940266</v>
      </c>
      <c r="S58" s="818">
        <f t="shared" ca="1" si="16"/>
        <v>173708.7070926544</v>
      </c>
      <c r="T58" s="818">
        <f t="shared" si="17"/>
        <v>0</v>
      </c>
      <c r="U58" s="818">
        <v>0</v>
      </c>
      <c r="V58" s="818">
        <f t="shared" ca="1" si="18"/>
        <v>173708.7070926544</v>
      </c>
      <c r="W58" s="306">
        <f t="shared" si="1"/>
        <v>0</v>
      </c>
      <c r="X58" s="306">
        <f t="shared" ca="1" si="2"/>
        <v>-10082.241603025503</v>
      </c>
      <c r="Y58" s="306">
        <v>0</v>
      </c>
      <c r="Z58" s="306">
        <v>0</v>
      </c>
      <c r="AA58" s="308">
        <f ca="1">-SUM(W58,X58/OFFSET(GridFootprintbyYear,$A58-$A$19,0)*EF_PurchElec_MTperMWh,Z58)*OFFSET(ExposureCalculations!Price_GHG_Allowance_2010,A58-$A$19,0)*ExposureCalculations!D55</f>
        <v>1206246.6853363095</v>
      </c>
      <c r="AB58" s="308">
        <f t="shared" ca="1" si="3"/>
        <v>275061.34020902403</v>
      </c>
      <c r="AC58" s="308">
        <v>0</v>
      </c>
      <c r="AD58" s="819">
        <f t="shared" ca="1" si="4"/>
        <v>769876.57547137036</v>
      </c>
      <c r="AE58" s="308">
        <v>0</v>
      </c>
      <c r="AF58" s="819">
        <f t="shared" ca="1" si="5"/>
        <v>328151.00799999991</v>
      </c>
      <c r="AG58" s="308">
        <v>0</v>
      </c>
      <c r="AH58" s="308">
        <v>0</v>
      </c>
      <c r="AI58" s="308">
        <v>0</v>
      </c>
      <c r="AJ58" s="308">
        <f t="shared" ca="1" si="6"/>
        <v>1373088.9236803944</v>
      </c>
      <c r="AK58" s="309">
        <v>0</v>
      </c>
      <c r="AL58" s="309">
        <f t="shared" si="26"/>
        <v>0</v>
      </c>
      <c r="AM58" s="309">
        <f t="shared" si="19"/>
        <v>0</v>
      </c>
      <c r="AN58" s="310">
        <v>0</v>
      </c>
      <c r="AO58" s="310">
        <v>0</v>
      </c>
      <c r="AP58" s="310">
        <f t="shared" si="20"/>
        <v>0</v>
      </c>
      <c r="AQ58" s="309">
        <v>0</v>
      </c>
      <c r="AR58" s="311">
        <f t="shared" ca="1" si="7"/>
        <v>2579335.6090167039</v>
      </c>
      <c r="AS58" s="870">
        <f t="shared" ca="1" si="21"/>
        <v>36300813.89553652</v>
      </c>
      <c r="AT58" s="822"/>
      <c r="AU58" s="878"/>
      <c r="AV58" s="35"/>
      <c r="AW58" s="879"/>
      <c r="AX58" s="35"/>
      <c r="AY58" s="880"/>
    </row>
    <row r="59" spans="1:51">
      <c r="A59" s="303">
        <v>2050</v>
      </c>
      <c r="B59" s="304">
        <f ca="1">IF($D$3="BAU",UtilityDemand!C52,INDIRECT($D$3&amp;"!B"&amp;ROW(A59))+INDIRECT($D$3&amp;"!D"&amp;ROW(A59)))</f>
        <v>108416.28263929689</v>
      </c>
      <c r="C59" s="305">
        <f t="shared" ca="1" si="22"/>
        <v>-2.4571954831389867E-2</v>
      </c>
      <c r="D59" s="306">
        <f t="shared" ca="1" si="23"/>
        <v>-2664.0000000000005</v>
      </c>
      <c r="E59" s="304">
        <f ca="1">IF($D$3="BAU",UtilityDemand!E52,INDIRECT($D$3&amp;"!E"&amp;ROW(D59))+INDIRECT($D$3&amp;"!G"&amp;ROW(D59)))</f>
        <v>523041.40514613793</v>
      </c>
      <c r="F59" s="305">
        <f t="shared" ca="1" si="24"/>
        <v>-0.10952244781461348</v>
      </c>
      <c r="G59" s="306">
        <f t="shared" ca="1" si="8"/>
        <v>-57284.775000000001</v>
      </c>
      <c r="H59" s="304">
        <f ca="1">IF($D$3="BAU",UtilityDemand!G52,INDIRECT($D$3&amp;"!H"&amp;ROW(G59))+INDIRECT($D$3&amp;"!J"&amp;ROW(G59)))</f>
        <v>191493.08681340789</v>
      </c>
      <c r="I59" s="305">
        <f t="shared" ca="1" si="25"/>
        <v>-8.8636766383837759E-2</v>
      </c>
      <c r="J59" s="306">
        <f t="shared" ca="1" si="9"/>
        <v>-16973.327999999998</v>
      </c>
      <c r="K59" s="307">
        <f t="shared" ca="1" si="10"/>
        <v>105752.28263929689</v>
      </c>
      <c r="L59" s="307">
        <f t="shared" si="11"/>
        <v>0</v>
      </c>
      <c r="M59" s="307">
        <v>0</v>
      </c>
      <c r="N59" s="307">
        <f t="shared" ca="1" si="12"/>
        <v>105752.28263929689</v>
      </c>
      <c r="O59" s="1494">
        <f t="shared" ca="1" si="13"/>
        <v>465756.6301461379</v>
      </c>
      <c r="P59" s="306">
        <f t="shared" si="14"/>
        <v>0</v>
      </c>
      <c r="Q59" s="306">
        <v>0</v>
      </c>
      <c r="R59" s="306">
        <f t="shared" ca="1" si="15"/>
        <v>465756.6301461379</v>
      </c>
      <c r="S59" s="818">
        <f t="shared" ca="1" si="16"/>
        <v>174519.75881340788</v>
      </c>
      <c r="T59" s="818">
        <f t="shared" si="17"/>
        <v>0</v>
      </c>
      <c r="U59" s="818">
        <v>0</v>
      </c>
      <c r="V59" s="818">
        <f t="shared" ca="1" si="18"/>
        <v>174519.75881340788</v>
      </c>
      <c r="W59" s="306">
        <f t="shared" si="1"/>
        <v>0</v>
      </c>
      <c r="X59" s="306">
        <f t="shared" ca="1" si="2"/>
        <v>-10082.241603025503</v>
      </c>
      <c r="Y59" s="306">
        <v>0</v>
      </c>
      <c r="Z59" s="306">
        <v>0</v>
      </c>
      <c r="AA59" s="308">
        <f ca="1">-SUM(W59,X59/OFFSET(GridFootprintbyYear,$A59-$A$19,0)*EF_PurchElec_MTperMWh,Z59)*OFFSET(ExposureCalculations!Price_GHG_Allowance_2010,A59-$A$19,0)*ExposureCalculations!D56</f>
        <v>1274535.3195832688</v>
      </c>
      <c r="AB59" s="308">
        <f t="shared" ca="1" si="3"/>
        <v>276436.6469100691</v>
      </c>
      <c r="AC59" s="308">
        <v>0</v>
      </c>
      <c r="AD59" s="819">
        <f t="shared" ca="1" si="4"/>
        <v>773725.95834872732</v>
      </c>
      <c r="AE59" s="308">
        <v>0</v>
      </c>
      <c r="AF59" s="819">
        <f t="shared" ca="1" si="5"/>
        <v>328151.00799999991</v>
      </c>
      <c r="AG59" s="308">
        <v>0</v>
      </c>
      <c r="AH59" s="308">
        <v>0</v>
      </c>
      <c r="AI59" s="308">
        <v>0</v>
      </c>
      <c r="AJ59" s="308">
        <f t="shared" ca="1" si="6"/>
        <v>1378313.6132587963</v>
      </c>
      <c r="AK59" s="309">
        <v>0</v>
      </c>
      <c r="AL59" s="309">
        <f t="shared" si="26"/>
        <v>0</v>
      </c>
      <c r="AM59" s="309">
        <f t="shared" si="19"/>
        <v>0</v>
      </c>
      <c r="AN59" s="310">
        <v>0</v>
      </c>
      <c r="AO59" s="310">
        <v>0</v>
      </c>
      <c r="AP59" s="310">
        <f t="shared" si="20"/>
        <v>0</v>
      </c>
      <c r="AQ59" s="309">
        <v>0</v>
      </c>
      <c r="AR59" s="311">
        <f t="shared" ca="1" si="7"/>
        <v>2652848.9328420651</v>
      </c>
      <c r="AS59" s="870">
        <f t="shared" ca="1" si="21"/>
        <v>38953662.828378588</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sheetPr codeName="Sheet25">
    <tabColor rgb="FFA9DA74"/>
  </sheetPr>
  <dimension ref="A1:BA84"/>
  <sheetViews>
    <sheetView workbookViewId="0">
      <pane xSplit="1" topLeftCell="B1" activePane="topRight" state="frozen"/>
      <selection activeCell="B1" sqref="B1"/>
      <selection pane="topRight" activeCell="O3" sqref="O3:O7"/>
    </sheetView>
  </sheetViews>
  <sheetFormatPr defaultRowHeight="15"/>
  <cols>
    <col min="11" max="11" width="12" customWidth="1"/>
    <col min="12" max="12" width="12.85546875" customWidth="1"/>
    <col min="13" max="13" width="12.42578125" customWidth="1"/>
    <col min="15" max="15" width="11.85546875" style="37" bestFit="1" customWidth="1"/>
    <col min="35" max="36" width="13" customWidth="1"/>
    <col min="40" max="40" width="12.42578125" customWidth="1"/>
    <col min="41" max="41" width="10.7109375" bestFit="1" customWidth="1"/>
    <col min="42" max="42" width="10.5703125" customWidth="1"/>
    <col min="44" max="44" width="10.85546875" customWidth="1"/>
    <col min="45" max="45" width="13.140625" customWidth="1"/>
    <col min="46" max="46" width="1.7109375" customWidth="1"/>
    <col min="47" max="47" width="10.42578125" customWidth="1"/>
    <col min="51" max="51" width="10.5703125" customWidth="1"/>
    <col min="53" max="53" width="11.85546875" customWidth="1"/>
  </cols>
  <sheetData>
    <row r="1" spans="1:50" ht="60">
      <c r="C1" s="257" t="s">
        <v>226</v>
      </c>
      <c r="D1" s="258" t="s">
        <v>835</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2012</v>
      </c>
      <c r="E2" s="266"/>
      <c r="J2" s="267" t="s">
        <v>231</v>
      </c>
      <c r="K2" s="268">
        <f ca="1">NPV(DiscountRate,AA19:AA59)</f>
        <v>1715920.5391189205</v>
      </c>
      <c r="L2" s="269">
        <f ca="1">-SUM(OFFSET(W19,0,0,M2-2010+1,4))</f>
        <v>133632.64289701066</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793</v>
      </c>
      <c r="E3" s="1635"/>
      <c r="F3" s="1635"/>
      <c r="G3" s="273"/>
      <c r="H3" s="273"/>
      <c r="I3" s="273"/>
      <c r="J3" s="275" t="s">
        <v>234</v>
      </c>
      <c r="K3" s="276">
        <f ca="1">NPV(DiscountRate,AJ19:AJ59)</f>
        <v>5519083.4371940391</v>
      </c>
      <c r="L3" s="277" t="s">
        <v>235</v>
      </c>
      <c r="M3" s="278">
        <f ca="1">-SUM(OFFSET(W19,M2-2010,0,1,4))</f>
        <v>3755.5634971097347</v>
      </c>
      <c r="N3" s="272"/>
      <c r="O3" s="1496">
        <f ca="1">AVERAGE(OFFSET(AJ19,0,0,$M$2-2010+1,1))</f>
        <v>437757.72653997515</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3426.4780230002734</v>
      </c>
      <c r="M4" s="281">
        <f ca="1">-SUM(OFFSET(W19,M2-2010,0,1,4))/SUM(OFFSET(ExposureCalculations!G16,M2-2010,0,1,3))</f>
        <v>3.4349732289141763E-3</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939</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-893904.24771150737</v>
      </c>
      <c r="L7" s="272"/>
      <c r="M7" s="272"/>
      <c r="N7" s="272"/>
      <c r="O7" s="1496">
        <f ca="1">AVERAGE(OFFSET(AO19,0,0,$M$2-2010+1,1))</f>
        <v>-53658.536585365851</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6341099.7286014529</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t="str">
        <f ca="1">IFERROR((K8-K5)/-K5,"No Capital")</f>
        <v>No Capital</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f ca="1">IFERROR(IF(K8&lt;0,"",IRR(AR19:AR59)),"")</f>
        <v>1.2108224493272133</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2.6780416609492939</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4625179.1894825324</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-109.50809255997319</v>
      </c>
      <c r="L13" s="906" t="str">
        <f ca="1">IF(K13&gt;99998,"(Values $99,999 and above indicate net carbon increase)","")</f>
        <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40.627006549429929</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3"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A17" s="264" t="s">
        <v>951</v>
      </c>
    </row>
    <row r="18" spans="1:53">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3">
      <c r="A19" s="303">
        <v>2010</v>
      </c>
      <c r="B19" s="304">
        <f ca="1">IF($D$3="BAU",UtilityDemand!C12,INDIRECT($D$3&amp;"!B"&amp;ROW(A19))+INDIRECT($D$3&amp;"!D"&amp;ROW(A19)))</f>
        <v>127163.99016669342</v>
      </c>
      <c r="C19" s="305">
        <v>0</v>
      </c>
      <c r="D19" s="306">
        <f ca="1">-B19*C19</f>
        <v>0</v>
      </c>
      <c r="E19" s="304">
        <f ca="1">IF($D$3="BAU",UtilityDemand!E12,INDIRECT($D$3&amp;"!E"&amp;ROW(D19))+INDIRECT($D$3&amp;"!G"&amp;ROW(D19)))</f>
        <v>678074.34788952675</v>
      </c>
      <c r="F19" s="305">
        <v>0</v>
      </c>
      <c r="G19" s="306">
        <f ca="1">-E19*F19</f>
        <v>0</v>
      </c>
      <c r="H19" s="304">
        <f ca="1">IF($D$3="BAU",UtilityDemand!G12,INDIRECT($D$3&amp;"!H"&amp;ROW(G19))+INDIRECT($D$3&amp;"!J"&amp;ROW(G19)))</f>
        <v>177513.47721383756</v>
      </c>
      <c r="I19" s="305">
        <v>0</v>
      </c>
      <c r="J19" s="306">
        <f ca="1">-H19*I19</f>
        <v>0</v>
      </c>
      <c r="K19" s="307">
        <f ca="1">IF($D$3="BAU",B19+D19,INDIRECT($D$3&amp;"!B"&amp;ROW(A19))+INDIRECT($D$3&amp;"!D"&amp;ROW(A19))+INDIRECT($D$3&amp;"!L"&amp;ROW(A19))+D19)</f>
        <v>127163.99016669342</v>
      </c>
      <c r="L19" s="307">
        <f>-M19</f>
        <v>0</v>
      </c>
      <c r="M19" s="307">
        <v>0</v>
      </c>
      <c r="N19" s="307">
        <f ca="1">K19+L19</f>
        <v>127163.99016669342</v>
      </c>
      <c r="O19" s="1494">
        <f ca="1">IF($D$3="BAU",E19+G19,INDIRECT($D$3&amp;"!E"&amp;ROW(A19))+INDIRECT($D$3&amp;"!G"&amp;ROW(A19))+INDIRECT($D$3&amp;"!P"&amp;ROW(A19))+G19)</f>
        <v>678074.34788952675</v>
      </c>
      <c r="P19" s="306">
        <f>-Q19</f>
        <v>0</v>
      </c>
      <c r="Q19" s="306">
        <v>0</v>
      </c>
      <c r="R19" s="306">
        <f ca="1">O19+P19</f>
        <v>678074.34788952675</v>
      </c>
      <c r="S19" s="818">
        <f ca="1">IF($D$3="BAU",H19+J19,INDIRECT($D$3&amp;"!H"&amp;ROW(A19))+INDIRECT($D$3&amp;"!J"&amp;ROW(A19))+INDIRECT($D$3&amp;"!T"&amp;ROW(A19))+J19)</f>
        <v>177513.47721383756</v>
      </c>
      <c r="T19" s="818">
        <f>-U19</f>
        <v>0</v>
      </c>
      <c r="U19" s="818">
        <v>0</v>
      </c>
      <c r="V19" s="818">
        <f ca="1">S19+T19</f>
        <v>177513.47721383756</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878"/>
      <c r="AV19" s="879"/>
      <c r="AW19" s="879"/>
      <c r="AX19" s="35"/>
      <c r="AY19" s="880"/>
    </row>
    <row r="20" spans="1:53">
      <c r="A20" s="303">
        <v>2011</v>
      </c>
      <c r="B20" s="304">
        <f ca="1">IF($D$3="BAU",UtilityDemand!C13,INDIRECT($D$3&amp;"!B"&amp;ROW(A20))+INDIRECT($D$3&amp;"!D"&amp;ROW(A20)))</f>
        <v>125518.36963995529</v>
      </c>
      <c r="C20" s="305">
        <v>0</v>
      </c>
      <c r="D20" s="306">
        <f t="shared" ref="D20:D59" ca="1" si="8">-B20*C20</f>
        <v>0</v>
      </c>
      <c r="E20" s="304">
        <f ca="1">IF($D$3="BAU",UtilityDemand!E13,INDIRECT($D$3&amp;"!E"&amp;ROW(D20))+INDIRECT($D$3&amp;"!G"&amp;ROW(D20)))</f>
        <v>662488.42315347027</v>
      </c>
      <c r="F20" s="305">
        <v>0</v>
      </c>
      <c r="G20" s="306">
        <f t="shared" ref="G20:G59" ca="1" si="9">-E20*F20</f>
        <v>0</v>
      </c>
      <c r="H20" s="304">
        <f ca="1">IF($D$3="BAU",UtilityDemand!G13,INDIRECT($D$3&amp;"!H"&amp;ROW(G20))+INDIRECT($D$3&amp;"!J"&amp;ROW(G20)))</f>
        <v>174929.27148685895</v>
      </c>
      <c r="I20" s="305">
        <v>0</v>
      </c>
      <c r="J20" s="306">
        <f ca="1">-H20*I20</f>
        <v>0</v>
      </c>
      <c r="K20" s="307">
        <f t="shared" ref="K20:K59" ca="1" si="10">IF($D$3="BAU",B20+D20,INDIRECT($D$3&amp;"!B"&amp;ROW(A20))+INDIRECT($D$3&amp;"!D"&amp;ROW(A20))+INDIRECT($D$3&amp;"!L"&amp;ROW(A20))+D20)</f>
        <v>125518.36963995529</v>
      </c>
      <c r="L20" s="307">
        <f t="shared" ref="L20:L59" si="11">-M20</f>
        <v>0</v>
      </c>
      <c r="M20" s="307">
        <v>0</v>
      </c>
      <c r="N20" s="307">
        <f t="shared" ref="N20:N59" ca="1" si="12">K20+L20</f>
        <v>125518.36963995529</v>
      </c>
      <c r="O20" s="1494">
        <f t="shared" ref="O20:O59" ca="1" si="13">IF($D$3="BAU",E20+G20,INDIRECT($D$3&amp;"!E"&amp;ROW(A20))+INDIRECT($D$3&amp;"!G"&amp;ROW(A20))+INDIRECT($D$3&amp;"!P"&amp;ROW(A20))+G20)</f>
        <v>662488.42315347027</v>
      </c>
      <c r="P20" s="306">
        <f t="shared" ref="P20:P59" si="14">-Q20</f>
        <v>0</v>
      </c>
      <c r="Q20" s="306">
        <v>0</v>
      </c>
      <c r="R20" s="306">
        <f t="shared" ref="R20:R59" ca="1" si="15">O20+P20</f>
        <v>662488.42315347027</v>
      </c>
      <c r="S20" s="818">
        <f t="shared" ref="S20:S59" ca="1" si="16">IF($D$3="BAU",H20+J20,INDIRECT($D$3&amp;"!H"&amp;ROW(A20))+INDIRECT($D$3&amp;"!J"&amp;ROW(A20))+INDIRECT($D$3&amp;"!T"&amp;ROW(A20))+J20)</f>
        <v>174929.27148685895</v>
      </c>
      <c r="T20" s="818">
        <f t="shared" ref="T20:T59" si="17">-U20</f>
        <v>0</v>
      </c>
      <c r="U20" s="818">
        <v>0</v>
      </c>
      <c r="V20" s="818">
        <f t="shared" ref="V20:V59" ca="1" si="18">S20+T20</f>
        <v>174929.27148685895</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878">
        <v>2012</v>
      </c>
      <c r="AV20" s="35" t="s">
        <v>776</v>
      </c>
      <c r="AW20" s="879"/>
      <c r="AX20" s="35"/>
      <c r="AY20" s="880"/>
      <c r="BA20" s="886">
        <v>0</v>
      </c>
    </row>
    <row r="21" spans="1:53">
      <c r="A21" s="303">
        <v>2012</v>
      </c>
      <c r="B21" s="304">
        <f ca="1">IF($D$3="BAU",UtilityDemand!C14,INDIRECT($D$3&amp;"!B"&amp;ROW(A21))+INDIRECT($D$3&amp;"!D"&amp;ROW(A21)))</f>
        <v>124752.19211798218</v>
      </c>
      <c r="C21" s="305">
        <f>BA21</f>
        <v>5.0000000000000001E-3</v>
      </c>
      <c r="D21" s="306">
        <f t="shared" ca="1" si="8"/>
        <v>-623.76096058991095</v>
      </c>
      <c r="E21" s="304">
        <f ca="1">IF($D$3="BAU",UtilityDemand!E14,INDIRECT($D$3&amp;"!E"&amp;ROW(D21))+INDIRECT($D$3&amp;"!G"&amp;ROW(D21)))</f>
        <v>648578.88423020509</v>
      </c>
      <c r="F21" s="305">
        <v>0</v>
      </c>
      <c r="G21" s="306">
        <f t="shared" ca="1" si="9"/>
        <v>0</v>
      </c>
      <c r="H21" s="304">
        <f ca="1">IF($D$3="BAU",UtilityDemand!G14,INDIRECT($D$3&amp;"!H"&amp;ROW(G21))+INDIRECT($D$3&amp;"!J"&amp;ROW(G21)))</f>
        <v>174624.63546129991</v>
      </c>
      <c r="I21" s="305">
        <v>0</v>
      </c>
      <c r="J21" s="306">
        <f t="shared" ref="J21:J59" ca="1" si="22">-H21*I21</f>
        <v>0</v>
      </c>
      <c r="K21" s="307">
        <f t="shared" ca="1" si="10"/>
        <v>124128.43115739228</v>
      </c>
      <c r="L21" s="307">
        <f t="shared" si="11"/>
        <v>0</v>
      </c>
      <c r="M21" s="307">
        <v>0</v>
      </c>
      <c r="N21" s="307">
        <f t="shared" ca="1" si="12"/>
        <v>124128.43115739228</v>
      </c>
      <c r="O21" s="1494">
        <f t="shared" ca="1" si="13"/>
        <v>648578.88423020509</v>
      </c>
      <c r="P21" s="306">
        <f t="shared" si="14"/>
        <v>0</v>
      </c>
      <c r="Q21" s="306">
        <v>0</v>
      </c>
      <c r="R21" s="306">
        <f t="shared" ca="1" si="15"/>
        <v>648578.88423020509</v>
      </c>
      <c r="S21" s="818">
        <f t="shared" ca="1" si="16"/>
        <v>174624.63546129991</v>
      </c>
      <c r="T21" s="818">
        <f t="shared" si="17"/>
        <v>0</v>
      </c>
      <c r="U21" s="818">
        <v>0</v>
      </c>
      <c r="V21" s="818">
        <f t="shared" ca="1" si="18"/>
        <v>174624.63546129991</v>
      </c>
      <c r="W21" s="306">
        <f t="shared" si="1"/>
        <v>0</v>
      </c>
      <c r="X21" s="306">
        <f t="shared" ca="1" si="2"/>
        <v>-443.03041713126811</v>
      </c>
      <c r="Y21" s="306">
        <v>0</v>
      </c>
      <c r="Z21" s="306">
        <v>0</v>
      </c>
      <c r="AA21" s="308">
        <f ca="1">-SUM(W21,X21/OFFSET(GridFootprintbyYear,$A21-$A$19,0)*EF_PurchElec_MTperMWh,Z21)*OFFSET(ExposureCalculations!Price_GHG_Allowance_2010,A21-$A$19,0)*ExposureCalculations!D18</f>
        <v>0</v>
      </c>
      <c r="AB21" s="308">
        <f t="shared" ca="1" si="3"/>
        <v>53551.203958685095</v>
      </c>
      <c r="AC21" s="308">
        <v>0</v>
      </c>
      <c r="AD21" s="819">
        <f t="shared" ca="1" si="4"/>
        <v>0</v>
      </c>
      <c r="AE21" s="308">
        <v>0</v>
      </c>
      <c r="AF21" s="819">
        <f t="shared" ca="1" si="5"/>
        <v>0</v>
      </c>
      <c r="AG21" s="308">
        <v>0</v>
      </c>
      <c r="AH21" s="308">
        <v>0</v>
      </c>
      <c r="AI21" s="308">
        <v>0</v>
      </c>
      <c r="AJ21" s="308">
        <f ca="1">SUM(AB21:AI21)</f>
        <v>53551.203958685095</v>
      </c>
      <c r="AK21" s="309">
        <v>0</v>
      </c>
      <c r="AL21" s="309">
        <v>0</v>
      </c>
      <c r="AM21" s="309">
        <f t="shared" si="19"/>
        <v>0</v>
      </c>
      <c r="AN21" s="310">
        <v>0</v>
      </c>
      <c r="AO21" s="310">
        <f>-$AU$26</f>
        <v>-100000</v>
      </c>
      <c r="AP21" s="310">
        <f t="shared" si="20"/>
        <v>-100000</v>
      </c>
      <c r="AQ21" s="309">
        <v>0</v>
      </c>
      <c r="AR21" s="311">
        <f t="shared" ca="1" si="7"/>
        <v>-46448.796041314905</v>
      </c>
      <c r="AS21" s="870">
        <f t="shared" ca="1" si="21"/>
        <v>-46448.796041314905</v>
      </c>
      <c r="AT21" s="822"/>
      <c r="AU21" s="878"/>
      <c r="AV21" s="35"/>
      <c r="AW21" s="879"/>
      <c r="AX21" s="35"/>
      <c r="AY21" s="880"/>
      <c r="BA21" s="886">
        <f>($BA$26-$BA$20)/($A$26-$A$20)+BA20</f>
        <v>5.0000000000000001E-3</v>
      </c>
    </row>
    <row r="22" spans="1:53">
      <c r="A22" s="303">
        <v>2013</v>
      </c>
      <c r="B22" s="304">
        <f ca="1">IF($D$3="BAU",UtilityDemand!C15,INDIRECT($D$3&amp;"!B"&amp;ROW(A22))+INDIRECT($D$3&amp;"!D"&amp;ROW(A22)))</f>
        <v>123513.03802167765</v>
      </c>
      <c r="C22" s="305">
        <f t="shared" ref="C22:C59" si="23">BA22</f>
        <v>0.01</v>
      </c>
      <c r="D22" s="306">
        <f t="shared" ca="1" si="8"/>
        <v>-1235.1303802167765</v>
      </c>
      <c r="E22" s="304">
        <f ca="1">IF($D$3="BAU",UtilityDemand!E15,INDIRECT($D$3&amp;"!E"&amp;ROW(D22))+INDIRECT($D$3&amp;"!G"&amp;ROW(D22)))</f>
        <v>634669.34530694014</v>
      </c>
      <c r="F22" s="305">
        <v>0</v>
      </c>
      <c r="G22" s="306">
        <f t="shared" ca="1" si="9"/>
        <v>0</v>
      </c>
      <c r="H22" s="304">
        <f ca="1">IF($D$3="BAU",UtilityDemand!G15,INDIRECT($D$3&amp;"!H"&amp;ROW(G22))+INDIRECT($D$3&amp;"!J"&amp;ROW(G22)))</f>
        <v>172827.49892955803</v>
      </c>
      <c r="I22" s="305">
        <v>0</v>
      </c>
      <c r="J22" s="306">
        <f t="shared" ca="1" si="22"/>
        <v>0</v>
      </c>
      <c r="K22" s="307">
        <f t="shared" ca="1" si="10"/>
        <v>122277.90764146087</v>
      </c>
      <c r="L22" s="307">
        <f t="shared" si="11"/>
        <v>0</v>
      </c>
      <c r="M22" s="307">
        <v>0</v>
      </c>
      <c r="N22" s="307">
        <f t="shared" ca="1" si="12"/>
        <v>122277.90764146087</v>
      </c>
      <c r="O22" s="1494">
        <f t="shared" ca="1" si="13"/>
        <v>634669.34530694014</v>
      </c>
      <c r="P22" s="306">
        <f t="shared" si="14"/>
        <v>0</v>
      </c>
      <c r="Q22" s="306">
        <v>0</v>
      </c>
      <c r="R22" s="306">
        <f t="shared" ca="1" si="15"/>
        <v>634669.34530694014</v>
      </c>
      <c r="S22" s="818">
        <f t="shared" ca="1" si="16"/>
        <v>172827.49892955803</v>
      </c>
      <c r="T22" s="818">
        <f t="shared" si="17"/>
        <v>0</v>
      </c>
      <c r="U22" s="818">
        <v>0</v>
      </c>
      <c r="V22" s="818">
        <f t="shared" ca="1" si="18"/>
        <v>172827.49892955803</v>
      </c>
      <c r="W22" s="306">
        <f t="shared" si="1"/>
        <v>0</v>
      </c>
      <c r="X22" s="306">
        <f t="shared" ca="1" si="2"/>
        <v>-877.25965895883451</v>
      </c>
      <c r="Y22" s="306">
        <v>0</v>
      </c>
      <c r="Z22" s="306">
        <v>0</v>
      </c>
      <c r="AA22" s="308">
        <f ca="1">-SUM(W22,X22/OFFSET(GridFootprintbyYear,$A22-$A$19,0)*EF_PurchElec_MTperMWh,Z22)*OFFSET(ExposureCalculations!Price_GHG_Allowance_2010,A22-$A$19,0)*ExposureCalculations!D19</f>
        <v>0</v>
      </c>
      <c r="AB22" s="308">
        <f t="shared" ca="1" si="3"/>
        <v>106568.76063263653</v>
      </c>
      <c r="AC22" s="308">
        <v>0</v>
      </c>
      <c r="AD22" s="819">
        <f t="shared" ca="1" si="4"/>
        <v>0</v>
      </c>
      <c r="AE22" s="308">
        <v>0</v>
      </c>
      <c r="AF22" s="819">
        <f t="shared" ca="1" si="5"/>
        <v>0</v>
      </c>
      <c r="AG22" s="308">
        <v>0</v>
      </c>
      <c r="AH22" s="308">
        <v>0</v>
      </c>
      <c r="AI22" s="308">
        <v>0</v>
      </c>
      <c r="AJ22" s="308">
        <f t="shared" ca="1" si="6"/>
        <v>106568.76063263653</v>
      </c>
      <c r="AK22" s="309">
        <v>0</v>
      </c>
      <c r="AL22" s="309">
        <v>0</v>
      </c>
      <c r="AM22" s="309">
        <f t="shared" si="19"/>
        <v>0</v>
      </c>
      <c r="AN22" s="310">
        <v>0</v>
      </c>
      <c r="AO22" s="310">
        <f>-$AU$26</f>
        <v>-100000</v>
      </c>
      <c r="AP22" s="310">
        <f t="shared" si="20"/>
        <v>-100000</v>
      </c>
      <c r="AQ22" s="309">
        <v>0</v>
      </c>
      <c r="AR22" s="311">
        <f t="shared" ca="1" si="7"/>
        <v>6568.7606326365349</v>
      </c>
      <c r="AS22" s="870">
        <f t="shared" ca="1" si="21"/>
        <v>-39880.03540867837</v>
      </c>
      <c r="AT22" s="822"/>
      <c r="AU22" s="913">
        <v>0.03</v>
      </c>
      <c r="AV22" s="35" t="s">
        <v>1395</v>
      </c>
      <c r="AW22" s="879"/>
      <c r="AX22" s="35"/>
      <c r="AY22" s="880"/>
      <c r="BA22" s="886">
        <f>($BA$26-$BA$20)/($A$26-$A$20)+BA21</f>
        <v>0.01</v>
      </c>
    </row>
    <row r="23" spans="1:53">
      <c r="A23" s="303">
        <v>2014</v>
      </c>
      <c r="B23" s="304">
        <f ca="1">IF($D$3="BAU",UtilityDemand!C16,INDIRECT($D$3&amp;"!B"&amp;ROW(A23))+INDIRECT($D$3&amp;"!D"&amp;ROW(A23)))</f>
        <v>122101.55115445409</v>
      </c>
      <c r="C23" s="305">
        <f t="shared" si="23"/>
        <v>1.4999999999999999E-2</v>
      </c>
      <c r="D23" s="306">
        <f t="shared" ca="1" si="8"/>
        <v>-1831.5232673168114</v>
      </c>
      <c r="E23" s="304">
        <f ca="1">IF($D$3="BAU",UtilityDemand!E16,INDIRECT($D$3&amp;"!E"&amp;ROW(D23))+INDIRECT($D$3&amp;"!G"&amp;ROW(D23)))</f>
        <v>620759.8063836752</v>
      </c>
      <c r="F23" s="305">
        <v>0</v>
      </c>
      <c r="G23" s="306">
        <f t="shared" ca="1" si="9"/>
        <v>0</v>
      </c>
      <c r="H23" s="304">
        <f ca="1">IF($D$3="BAU",UtilityDemand!G16,INDIRECT($D$3&amp;"!H"&amp;ROW(G23))+INDIRECT($D$3&amp;"!J"&amp;ROW(G23)))</f>
        <v>170475.70815245277</v>
      </c>
      <c r="I23" s="305">
        <v>0</v>
      </c>
      <c r="J23" s="306">
        <f t="shared" ca="1" si="22"/>
        <v>0</v>
      </c>
      <c r="K23" s="307">
        <f t="shared" ca="1" si="10"/>
        <v>120270.02788713729</v>
      </c>
      <c r="L23" s="307">
        <f t="shared" si="11"/>
        <v>0</v>
      </c>
      <c r="M23" s="307">
        <v>0</v>
      </c>
      <c r="N23" s="307">
        <f t="shared" ca="1" si="12"/>
        <v>120270.02788713729</v>
      </c>
      <c r="O23" s="1494">
        <f t="shared" ca="1" si="13"/>
        <v>620759.8063836752</v>
      </c>
      <c r="P23" s="306">
        <f t="shared" si="14"/>
        <v>0</v>
      </c>
      <c r="Q23" s="306">
        <v>0</v>
      </c>
      <c r="R23" s="306">
        <f t="shared" ca="1" si="15"/>
        <v>620759.8063836752</v>
      </c>
      <c r="S23" s="818">
        <f t="shared" ca="1" si="16"/>
        <v>170475.70815245277</v>
      </c>
      <c r="T23" s="818">
        <f t="shared" si="17"/>
        <v>0</v>
      </c>
      <c r="U23" s="818">
        <v>0</v>
      </c>
      <c r="V23" s="818">
        <f t="shared" ca="1" si="18"/>
        <v>170475.70815245277</v>
      </c>
      <c r="W23" s="306">
        <f t="shared" si="1"/>
        <v>0</v>
      </c>
      <c r="X23" s="306">
        <f t="shared" ca="1" si="2"/>
        <v>-1300.8517178401214</v>
      </c>
      <c r="Y23" s="306">
        <v>0</v>
      </c>
      <c r="Z23" s="306">
        <v>0</v>
      </c>
      <c r="AA23" s="308">
        <f ca="1">-SUM(W23,X23/OFFSET(GridFootprintbyYear,$A23-$A$19,0)*EF_PurchElec_MTperMWh,Z23)*OFFSET(ExposureCalculations!Price_GHG_Allowance_2010,A23-$A$19,0)*ExposureCalculations!D20</f>
        <v>0</v>
      </c>
      <c r="AB23" s="308">
        <f t="shared" ca="1" si="3"/>
        <v>158816.49713506427</v>
      </c>
      <c r="AC23" s="308">
        <v>0</v>
      </c>
      <c r="AD23" s="819">
        <f t="shared" ca="1" si="4"/>
        <v>0</v>
      </c>
      <c r="AE23" s="308">
        <v>0</v>
      </c>
      <c r="AF23" s="819">
        <f t="shared" ca="1" si="5"/>
        <v>0</v>
      </c>
      <c r="AG23" s="308">
        <v>0</v>
      </c>
      <c r="AH23" s="308">
        <v>0</v>
      </c>
      <c r="AI23" s="308">
        <v>0</v>
      </c>
      <c r="AJ23" s="308">
        <f t="shared" ca="1" si="6"/>
        <v>158816.49713506427</v>
      </c>
      <c r="AK23" s="309">
        <v>0</v>
      </c>
      <c r="AL23" s="309">
        <v>0</v>
      </c>
      <c r="AM23" s="309">
        <f t="shared" si="19"/>
        <v>0</v>
      </c>
      <c r="AN23" s="310">
        <v>0</v>
      </c>
      <c r="AO23" s="310">
        <f>-$AU$26</f>
        <v>-100000</v>
      </c>
      <c r="AP23" s="310">
        <f t="shared" si="20"/>
        <v>-100000</v>
      </c>
      <c r="AQ23" s="309">
        <v>0</v>
      </c>
      <c r="AR23" s="311">
        <f t="shared" ca="1" si="7"/>
        <v>58816.497135064274</v>
      </c>
      <c r="AS23" s="870">
        <f t="shared" ca="1" si="21"/>
        <v>18936.461726385904</v>
      </c>
      <c r="AT23" s="822"/>
      <c r="AU23" s="913">
        <v>0.05</v>
      </c>
      <c r="AV23" s="35" t="s">
        <v>1396</v>
      </c>
      <c r="AW23" s="879"/>
      <c r="AX23" s="35"/>
      <c r="AY23" s="880"/>
      <c r="BA23" s="886">
        <f>($BA$26-$BA$20)/($A$26-$A$20)+BA22</f>
        <v>1.4999999999999999E-2</v>
      </c>
    </row>
    <row r="24" spans="1:53">
      <c r="A24" s="303">
        <v>2015</v>
      </c>
      <c r="B24" s="304">
        <f ca="1">IF($D$3="BAU",UtilityDemand!C17,INDIRECT($D$3&amp;"!B"&amp;ROW(A24))+INDIRECT($D$3&amp;"!D"&amp;ROW(A24)))</f>
        <v>121116.36978310837</v>
      </c>
      <c r="C24" s="305">
        <f t="shared" si="23"/>
        <v>0.02</v>
      </c>
      <c r="D24" s="306">
        <f t="shared" ca="1" si="8"/>
        <v>-2422.3273956621674</v>
      </c>
      <c r="E24" s="304">
        <f ca="1">IF($D$3="BAU",UtilityDemand!E17,INDIRECT($D$3&amp;"!E"&amp;ROW(D24))+INDIRECT($D$3&amp;"!G"&amp;ROW(D24)))</f>
        <v>606850.26746041025</v>
      </c>
      <c r="F24" s="305">
        <v>0</v>
      </c>
      <c r="G24" s="306">
        <f t="shared" ca="1" si="9"/>
        <v>0</v>
      </c>
      <c r="H24" s="304">
        <f ca="1">IF($D$3="BAU",UtilityDemand!G17,INDIRECT($D$3&amp;"!H"&amp;ROW(G24))+INDIRECT($D$3&amp;"!J"&amp;ROW(G24)))</f>
        <v>169569.74680307685</v>
      </c>
      <c r="I24" s="305">
        <v>0</v>
      </c>
      <c r="J24" s="306">
        <f t="shared" ca="1" si="22"/>
        <v>0</v>
      </c>
      <c r="K24" s="307">
        <f t="shared" ca="1" si="10"/>
        <v>118694.0423874462</v>
      </c>
      <c r="L24" s="307">
        <f t="shared" si="11"/>
        <v>0</v>
      </c>
      <c r="M24" s="307">
        <v>0</v>
      </c>
      <c r="N24" s="307">
        <f t="shared" ca="1" si="12"/>
        <v>118694.0423874462</v>
      </c>
      <c r="O24" s="1494">
        <f t="shared" ca="1" si="13"/>
        <v>606850.26746041025</v>
      </c>
      <c r="P24" s="306">
        <f t="shared" si="14"/>
        <v>0</v>
      </c>
      <c r="Q24" s="306">
        <v>0</v>
      </c>
      <c r="R24" s="306">
        <f t="shared" ca="1" si="15"/>
        <v>606850.26746041025</v>
      </c>
      <c r="S24" s="818">
        <f t="shared" ca="1" si="16"/>
        <v>169569.74680307685</v>
      </c>
      <c r="T24" s="818">
        <f t="shared" si="17"/>
        <v>0</v>
      </c>
      <c r="U24" s="818">
        <v>0</v>
      </c>
      <c r="V24" s="818">
        <f t="shared" ca="1" si="18"/>
        <v>169569.74680307685</v>
      </c>
      <c r="W24" s="306">
        <f t="shared" si="1"/>
        <v>0</v>
      </c>
      <c r="X24" s="306">
        <f t="shared" ca="1" si="2"/>
        <v>-1720.4743232307801</v>
      </c>
      <c r="Y24" s="306">
        <v>0</v>
      </c>
      <c r="Z24" s="306">
        <v>0</v>
      </c>
      <c r="AA24" s="308">
        <f ca="1">-SUM(W24,X24/OFFSET(GridFootprintbyYear,$A24-$A$19,0)*EF_PurchElec_MTperMWh,Z24)*OFFSET(ExposureCalculations!Price_GHG_Allowance_2010,A24-$A$19,0)*ExposureCalculations!D21</f>
        <v>17496.082799065818</v>
      </c>
      <c r="AB24" s="308">
        <f t="shared" ca="1" si="3"/>
        <v>211097.00682058392</v>
      </c>
      <c r="AC24" s="308">
        <v>0</v>
      </c>
      <c r="AD24" s="819">
        <f t="shared" ca="1" si="4"/>
        <v>0</v>
      </c>
      <c r="AE24" s="308">
        <v>0</v>
      </c>
      <c r="AF24" s="819">
        <f t="shared" ca="1" si="5"/>
        <v>0</v>
      </c>
      <c r="AG24" s="308">
        <v>0</v>
      </c>
      <c r="AH24" s="308">
        <v>0</v>
      </c>
      <c r="AI24" s="308">
        <v>0</v>
      </c>
      <c r="AJ24" s="308">
        <f t="shared" ca="1" si="6"/>
        <v>211097.00682058392</v>
      </c>
      <c r="AK24" s="309">
        <v>0</v>
      </c>
      <c r="AL24" s="309">
        <v>0</v>
      </c>
      <c r="AM24" s="309">
        <f t="shared" si="19"/>
        <v>0</v>
      </c>
      <c r="AN24" s="310">
        <v>0</v>
      </c>
      <c r="AO24" s="310">
        <f>-$AU$26</f>
        <v>-100000</v>
      </c>
      <c r="AP24" s="310">
        <f t="shared" si="20"/>
        <v>-100000</v>
      </c>
      <c r="AQ24" s="309">
        <v>0</v>
      </c>
      <c r="AR24" s="311">
        <f t="shared" ca="1" si="7"/>
        <v>128593.08961964975</v>
      </c>
      <c r="AS24" s="870">
        <f t="shared" ca="1" si="21"/>
        <v>147529.55134603565</v>
      </c>
      <c r="AT24" s="822"/>
      <c r="AU24" s="878"/>
      <c r="AV24" s="827" t="s">
        <v>1392</v>
      </c>
      <c r="AW24" s="879"/>
      <c r="AX24" s="35"/>
      <c r="AY24" s="880"/>
      <c r="BA24" s="886">
        <f>($BA$26-$BA$20)/($A$26-$A$20)+BA23</f>
        <v>0.02</v>
      </c>
    </row>
    <row r="25" spans="1:53">
      <c r="A25" s="303">
        <v>2016</v>
      </c>
      <c r="B25" s="304">
        <f ca="1">IF($D$3="BAU",UtilityDemand!C18,INDIRECT($D$3&amp;"!B"&amp;ROW(A25))+INDIRECT($D$3&amp;"!D"&amp;ROW(A25)))</f>
        <v>119969.12741876335</v>
      </c>
      <c r="C25" s="305">
        <f t="shared" si="23"/>
        <v>2.5000000000000001E-2</v>
      </c>
      <c r="D25" s="306">
        <f t="shared" ca="1" si="8"/>
        <v>-2999.2281854690841</v>
      </c>
      <c r="E25" s="304">
        <f ca="1">IF($D$3="BAU",UtilityDemand!E18,INDIRECT($D$3&amp;"!E"&amp;ROW(D25))+INDIRECT($D$3&amp;"!G"&amp;ROW(D25)))</f>
        <v>598657.19166214555</v>
      </c>
      <c r="F25" s="305">
        <v>0</v>
      </c>
      <c r="G25" s="306">
        <f t="shared" ca="1" si="9"/>
        <v>0</v>
      </c>
      <c r="H25" s="304">
        <f ca="1">IF($D$3="BAU",UtilityDemand!G18,INDIRECT($D$3&amp;"!H"&amp;ROW(G25))+INDIRECT($D$3&amp;"!J"&amp;ROW(G25)))</f>
        <v>169546.35872885017</v>
      </c>
      <c r="I25" s="305">
        <v>0</v>
      </c>
      <c r="J25" s="306">
        <f t="shared" ca="1" si="22"/>
        <v>0</v>
      </c>
      <c r="K25" s="307">
        <f t="shared" ca="1" si="10"/>
        <v>116969.89923329427</v>
      </c>
      <c r="L25" s="307">
        <f t="shared" si="11"/>
        <v>0</v>
      </c>
      <c r="M25" s="307">
        <v>0</v>
      </c>
      <c r="N25" s="307">
        <f t="shared" ca="1" si="12"/>
        <v>116969.89923329427</v>
      </c>
      <c r="O25" s="1494">
        <f t="shared" ca="1" si="13"/>
        <v>598657.19166214555</v>
      </c>
      <c r="P25" s="306">
        <f t="shared" si="14"/>
        <v>0</v>
      </c>
      <c r="Q25" s="306">
        <v>0</v>
      </c>
      <c r="R25" s="306">
        <f t="shared" ca="1" si="15"/>
        <v>598657.19166214555</v>
      </c>
      <c r="S25" s="818">
        <f t="shared" ca="1" si="16"/>
        <v>169546.35872885017</v>
      </c>
      <c r="T25" s="818">
        <f t="shared" si="17"/>
        <v>0</v>
      </c>
      <c r="U25" s="818">
        <v>0</v>
      </c>
      <c r="V25" s="818">
        <f t="shared" ca="1" si="18"/>
        <v>169546.35872885017</v>
      </c>
      <c r="W25" s="306">
        <f t="shared" si="1"/>
        <v>0</v>
      </c>
      <c r="X25" s="306">
        <f t="shared" ca="1" si="2"/>
        <v>-2130.2219889227813</v>
      </c>
      <c r="Y25" s="306">
        <v>0</v>
      </c>
      <c r="Z25" s="306">
        <v>0</v>
      </c>
      <c r="AA25" s="308">
        <f ca="1">-SUM(W25,X25/OFFSET(GridFootprintbyYear,$A25-$A$19,0)*EF_PurchElec_MTperMWh,Z25)*OFFSET(ExposureCalculations!Price_GHG_Allowance_2010,A25-$A$19,0)*ExposureCalculations!D22</f>
        <v>25005.623885359433</v>
      </c>
      <c r="AB25" s="308">
        <f t="shared" ca="1" si="3"/>
        <v>262678.66776701325</v>
      </c>
      <c r="AC25" s="308">
        <v>0</v>
      </c>
      <c r="AD25" s="819">
        <f t="shared" ca="1" si="4"/>
        <v>0</v>
      </c>
      <c r="AE25" s="308">
        <v>0</v>
      </c>
      <c r="AF25" s="819">
        <f t="shared" ca="1" si="5"/>
        <v>0</v>
      </c>
      <c r="AG25" s="308">
        <v>0</v>
      </c>
      <c r="AH25" s="308">
        <v>0</v>
      </c>
      <c r="AI25" s="308">
        <v>0</v>
      </c>
      <c r="AJ25" s="308">
        <f t="shared" ca="1" si="6"/>
        <v>262678.66776701325</v>
      </c>
      <c r="AK25" s="309">
        <v>0</v>
      </c>
      <c r="AL25" s="309">
        <v>0</v>
      </c>
      <c r="AM25" s="309">
        <f t="shared" si="19"/>
        <v>0</v>
      </c>
      <c r="AN25" s="310">
        <v>0</v>
      </c>
      <c r="AO25" s="310">
        <f>-$AU$26</f>
        <v>-100000</v>
      </c>
      <c r="AP25" s="310">
        <f t="shared" si="20"/>
        <v>-100000</v>
      </c>
      <c r="AQ25" s="309">
        <v>0</v>
      </c>
      <c r="AR25" s="311">
        <f t="shared" ca="1" si="7"/>
        <v>187684.29165237269</v>
      </c>
      <c r="AS25" s="870">
        <f t="shared" ca="1" si="21"/>
        <v>335213.84299840836</v>
      </c>
      <c r="AT25" s="822"/>
      <c r="AU25" s="878"/>
      <c r="AX25" s="35"/>
      <c r="AY25" s="880"/>
      <c r="BA25" s="886">
        <f>($BA$26-$BA$20)/($A$26-$A$20)+BA24</f>
        <v>2.5000000000000001E-2</v>
      </c>
    </row>
    <row r="26" spans="1:53">
      <c r="A26" s="303">
        <v>2017</v>
      </c>
      <c r="B26" s="304">
        <f ca="1">IF($D$3="BAU",UtilityDemand!C19,INDIRECT($D$3&amp;"!B"&amp;ROW(A26))+INDIRECT($D$3&amp;"!D"&amp;ROW(A26)))</f>
        <v>118820.4440794487</v>
      </c>
      <c r="C26" s="305">
        <f t="shared" si="23"/>
        <v>0.03</v>
      </c>
      <c r="D26" s="306">
        <f t="shared" ca="1" si="8"/>
        <v>-3564.6133223834609</v>
      </c>
      <c r="E26" s="304">
        <f ca="1">IF($D$3="BAU",UtilityDemand!E19,INDIRECT($D$3&amp;"!E"&amp;ROW(D26))+INDIRECT($D$3&amp;"!G"&amp;ROW(D26)))</f>
        <v>590464.11586388049</v>
      </c>
      <c r="F26" s="305">
        <v>0</v>
      </c>
      <c r="G26" s="306">
        <f t="shared" ca="1" si="9"/>
        <v>0</v>
      </c>
      <c r="H26" s="304">
        <f ca="1">IF($D$3="BAU",UtilityDemand!G19,INDIRECT($D$3&amp;"!H"&amp;ROW(G26))+INDIRECT($D$3&amp;"!J"&amp;ROW(G26)))</f>
        <v>169521.52967965385</v>
      </c>
      <c r="I26" s="305">
        <v>0</v>
      </c>
      <c r="J26" s="306">
        <f t="shared" ca="1" si="22"/>
        <v>0</v>
      </c>
      <c r="K26" s="307">
        <f t="shared" ca="1" si="10"/>
        <v>115255.83075706524</v>
      </c>
      <c r="L26" s="307">
        <f t="shared" si="11"/>
        <v>0</v>
      </c>
      <c r="M26" s="307">
        <v>0</v>
      </c>
      <c r="N26" s="307">
        <f t="shared" ca="1" si="12"/>
        <v>115255.83075706524</v>
      </c>
      <c r="O26" s="1494">
        <f t="shared" ca="1" si="13"/>
        <v>590464.11586388049</v>
      </c>
      <c r="P26" s="306">
        <f t="shared" si="14"/>
        <v>0</v>
      </c>
      <c r="Q26" s="306">
        <v>0</v>
      </c>
      <c r="R26" s="306">
        <f t="shared" ca="1" si="15"/>
        <v>590464.11586388049</v>
      </c>
      <c r="S26" s="818">
        <f t="shared" ca="1" si="16"/>
        <v>169521.52967965385</v>
      </c>
      <c r="T26" s="818">
        <f t="shared" si="17"/>
        <v>0</v>
      </c>
      <c r="U26" s="818">
        <v>0</v>
      </c>
      <c r="V26" s="818">
        <f t="shared" ca="1" si="18"/>
        <v>169521.52967965385</v>
      </c>
      <c r="W26" s="306">
        <f t="shared" si="1"/>
        <v>0</v>
      </c>
      <c r="X26" s="306">
        <f t="shared" ca="1" si="2"/>
        <v>-2531.7905847036163</v>
      </c>
      <c r="Y26" s="306">
        <v>0</v>
      </c>
      <c r="Z26" s="306">
        <v>0</v>
      </c>
      <c r="AA26" s="308">
        <f ca="1">-SUM(W26,X26/OFFSET(GridFootprintbyYear,$A26-$A$19,0)*EF_PurchElec_MTperMWh,Z26)*OFFSET(ExposureCalculations!Price_GHG_Allowance_2010,A26-$A$19,0)*ExposureCalculations!D23</f>
        <v>33877.529456898701</v>
      </c>
      <c r="AB26" s="308">
        <f t="shared" ca="1" si="3"/>
        <v>313757.26014464517</v>
      </c>
      <c r="AC26" s="308">
        <v>0</v>
      </c>
      <c r="AD26" s="819">
        <f t="shared" ca="1" si="4"/>
        <v>0</v>
      </c>
      <c r="AE26" s="308">
        <v>0</v>
      </c>
      <c r="AF26" s="819">
        <f t="shared" ca="1" si="5"/>
        <v>0</v>
      </c>
      <c r="AG26" s="308">
        <v>0</v>
      </c>
      <c r="AH26" s="308">
        <v>0</v>
      </c>
      <c r="AI26" s="308">
        <v>0</v>
      </c>
      <c r="AJ26" s="308">
        <f t="shared" ca="1" si="6"/>
        <v>313757.26014464517</v>
      </c>
      <c r="AK26" s="309">
        <v>0</v>
      </c>
      <c r="AL26" s="309">
        <v>0</v>
      </c>
      <c r="AM26" s="309">
        <f t="shared" si="19"/>
        <v>0</v>
      </c>
      <c r="AN26" s="310">
        <v>0</v>
      </c>
      <c r="AO26" s="310">
        <f t="shared" ref="AO26:AO59" si="24">-$AU$27</f>
        <v>-50000</v>
      </c>
      <c r="AP26" s="310">
        <f t="shared" si="20"/>
        <v>-50000</v>
      </c>
      <c r="AQ26" s="309">
        <v>0</v>
      </c>
      <c r="AR26" s="311">
        <f t="shared" ca="1" si="7"/>
        <v>297634.78960154386</v>
      </c>
      <c r="AS26" s="870">
        <f t="shared" ca="1" si="21"/>
        <v>632848.63259995217</v>
      </c>
      <c r="AT26" s="822"/>
      <c r="AU26" s="899">
        <v>100000</v>
      </c>
      <c r="AV26" s="827" t="s">
        <v>949</v>
      </c>
      <c r="AW26" s="879"/>
      <c r="AX26" s="35"/>
      <c r="AY26" s="880"/>
      <c r="BA26" s="886">
        <f>AU22</f>
        <v>0.03</v>
      </c>
    </row>
    <row r="27" spans="1:53">
      <c r="A27" s="303">
        <v>2018</v>
      </c>
      <c r="B27" s="304">
        <f ca="1">IF($D$3="BAU",UtilityDemand!C20,INDIRECT($D$3&amp;"!B"&amp;ROW(A27))+INDIRECT($D$3&amp;"!D"&amp;ROW(A27)))</f>
        <v>117670.36653917041</v>
      </c>
      <c r="C27" s="305">
        <f t="shared" si="23"/>
        <v>3.4000000000000002E-2</v>
      </c>
      <c r="D27" s="306">
        <f t="shared" ca="1" si="8"/>
        <v>-4000.7924623317945</v>
      </c>
      <c r="E27" s="304">
        <f ca="1">IF($D$3="BAU",UtilityDemand!E20,INDIRECT($D$3&amp;"!E"&amp;ROW(D27))+INDIRECT($D$3&amp;"!G"&amp;ROW(D27)))</f>
        <v>582271.04006561555</v>
      </c>
      <c r="F27" s="305">
        <v>0</v>
      </c>
      <c r="G27" s="306">
        <f t="shared" ca="1" si="9"/>
        <v>0</v>
      </c>
      <c r="H27" s="304">
        <f ca="1">IF($D$3="BAU",UtilityDemand!G20,INDIRECT($D$3&amp;"!H"&amp;ROW(G27))+INDIRECT($D$3&amp;"!J"&amp;ROW(G27)))</f>
        <v>169495.30642949394</v>
      </c>
      <c r="I27" s="305">
        <v>0</v>
      </c>
      <c r="J27" s="306">
        <f t="shared" ca="1" si="22"/>
        <v>0</v>
      </c>
      <c r="K27" s="307">
        <f t="shared" ca="1" si="10"/>
        <v>113669.57407683862</v>
      </c>
      <c r="L27" s="307">
        <f t="shared" si="11"/>
        <v>0</v>
      </c>
      <c r="M27" s="307">
        <v>0</v>
      </c>
      <c r="N27" s="307">
        <f t="shared" ca="1" si="12"/>
        <v>113669.57407683862</v>
      </c>
      <c r="O27" s="1494">
        <f t="shared" ca="1" si="13"/>
        <v>582271.04006561555</v>
      </c>
      <c r="P27" s="306">
        <f t="shared" si="14"/>
        <v>0</v>
      </c>
      <c r="Q27" s="306">
        <v>0</v>
      </c>
      <c r="R27" s="306">
        <f t="shared" ca="1" si="15"/>
        <v>582271.04006561555</v>
      </c>
      <c r="S27" s="818">
        <f t="shared" ca="1" si="16"/>
        <v>169495.30642949394</v>
      </c>
      <c r="T27" s="818">
        <f t="shared" si="17"/>
        <v>0</v>
      </c>
      <c r="U27" s="818">
        <v>0</v>
      </c>
      <c r="V27" s="818">
        <f t="shared" ca="1" si="18"/>
        <v>169495.30642949394</v>
      </c>
      <c r="W27" s="306">
        <f t="shared" si="1"/>
        <v>0</v>
      </c>
      <c r="X27" s="306">
        <f t="shared" ca="1" si="2"/>
        <v>-2841.5897522124551</v>
      </c>
      <c r="Y27" s="306">
        <v>0</v>
      </c>
      <c r="Z27" s="306">
        <v>0</v>
      </c>
      <c r="AA27" s="308">
        <f ca="1">-SUM(W27,X27/OFFSET(GridFootprintbyYear,$A27-$A$19,0)*EF_PurchElec_MTperMWh,Z27)*OFFSET(ExposureCalculations!Price_GHG_Allowance_2010,A27-$A$19,0)*ExposureCalculations!D24</f>
        <v>42891.306290425833</v>
      </c>
      <c r="AB27" s="308">
        <f t="shared" ca="1" si="3"/>
        <v>353910.49623076181</v>
      </c>
      <c r="AC27" s="308">
        <v>0</v>
      </c>
      <c r="AD27" s="819">
        <f t="shared" ca="1" si="4"/>
        <v>0</v>
      </c>
      <c r="AE27" s="308">
        <v>0</v>
      </c>
      <c r="AF27" s="819">
        <f t="shared" ca="1" si="5"/>
        <v>0</v>
      </c>
      <c r="AG27" s="308">
        <v>0</v>
      </c>
      <c r="AH27" s="308">
        <v>0</v>
      </c>
      <c r="AI27" s="308">
        <v>0</v>
      </c>
      <c r="AJ27" s="308">
        <f t="shared" ca="1" si="6"/>
        <v>353910.49623076181</v>
      </c>
      <c r="AK27" s="309">
        <v>0</v>
      </c>
      <c r="AL27" s="309">
        <v>0</v>
      </c>
      <c r="AM27" s="309">
        <f t="shared" si="19"/>
        <v>0</v>
      </c>
      <c r="AN27" s="310">
        <v>0</v>
      </c>
      <c r="AO27" s="310">
        <f t="shared" si="24"/>
        <v>-50000</v>
      </c>
      <c r="AP27" s="310">
        <f t="shared" si="20"/>
        <v>-50000</v>
      </c>
      <c r="AQ27" s="309">
        <v>0</v>
      </c>
      <c r="AR27" s="311">
        <f t="shared" ca="1" si="7"/>
        <v>346801.80252118764</v>
      </c>
      <c r="AS27" s="870">
        <f t="shared" ca="1" si="21"/>
        <v>979650.43512113974</v>
      </c>
      <c r="AT27" s="822"/>
      <c r="AU27" s="899">
        <v>50000</v>
      </c>
      <c r="AV27" s="827" t="s">
        <v>950</v>
      </c>
      <c r="AW27" s="879"/>
      <c r="AX27" s="35"/>
      <c r="AY27" s="880"/>
      <c r="BA27" s="886">
        <f>($BA$31-$BA$26)/($A$31-$A$26)+BA26</f>
        <v>3.4000000000000002E-2</v>
      </c>
    </row>
    <row r="28" spans="1:53">
      <c r="A28" s="303">
        <v>2019</v>
      </c>
      <c r="B28" s="304">
        <f ca="1">IF($D$3="BAU",UtilityDemand!C21,INDIRECT($D$3&amp;"!B"&amp;ROW(A28))+INDIRECT($D$3&amp;"!D"&amp;ROW(A28)))</f>
        <v>116518.93956922642</v>
      </c>
      <c r="C28" s="305">
        <f t="shared" si="23"/>
        <v>3.8000000000000006E-2</v>
      </c>
      <c r="D28" s="306">
        <f t="shared" ca="1" si="8"/>
        <v>-4427.7197036306052</v>
      </c>
      <c r="E28" s="304">
        <f ca="1">IF($D$3="BAU",UtilityDemand!E21,INDIRECT($D$3&amp;"!E"&amp;ROW(D28))+INDIRECT($D$3&amp;"!G"&amp;ROW(D28)))</f>
        <v>574077.9642673505</v>
      </c>
      <c r="F28" s="305">
        <v>0</v>
      </c>
      <c r="G28" s="306">
        <f t="shared" ca="1" si="9"/>
        <v>0</v>
      </c>
      <c r="H28" s="304">
        <f ca="1">IF($D$3="BAU",UtilityDemand!G21,INDIRECT($D$3&amp;"!H"&amp;ROW(G28))+INDIRECT($D$3&amp;"!J"&amp;ROW(G28)))</f>
        <v>169467.73374966838</v>
      </c>
      <c r="I28" s="305">
        <v>0</v>
      </c>
      <c r="J28" s="306">
        <f t="shared" ca="1" si="22"/>
        <v>0</v>
      </c>
      <c r="K28" s="307">
        <f t="shared" ca="1" si="10"/>
        <v>112091.21986559582</v>
      </c>
      <c r="L28" s="307">
        <f t="shared" si="11"/>
        <v>0</v>
      </c>
      <c r="M28" s="307">
        <v>0</v>
      </c>
      <c r="N28" s="307">
        <f t="shared" ca="1" si="12"/>
        <v>112091.21986559582</v>
      </c>
      <c r="O28" s="1494">
        <f t="shared" ca="1" si="13"/>
        <v>574077.9642673505</v>
      </c>
      <c r="P28" s="306">
        <f t="shared" si="14"/>
        <v>0</v>
      </c>
      <c r="Q28" s="306">
        <v>0</v>
      </c>
      <c r="R28" s="306">
        <f t="shared" ca="1" si="15"/>
        <v>574077.9642673505</v>
      </c>
      <c r="S28" s="818">
        <f t="shared" ca="1" si="16"/>
        <v>169467.73374966838</v>
      </c>
      <c r="T28" s="818">
        <f t="shared" si="17"/>
        <v>0</v>
      </c>
      <c r="U28" s="818">
        <v>0</v>
      </c>
      <c r="V28" s="818">
        <f t="shared" ca="1" si="18"/>
        <v>169467.73374966838</v>
      </c>
      <c r="W28" s="306">
        <f t="shared" si="1"/>
        <v>0</v>
      </c>
      <c r="X28" s="306">
        <f t="shared" ca="1" si="2"/>
        <v>-3144.8176964852678</v>
      </c>
      <c r="Y28" s="306">
        <v>0</v>
      </c>
      <c r="Z28" s="306">
        <v>0</v>
      </c>
      <c r="AA28" s="308">
        <f ca="1">-SUM(W28,X28/OFFSET(GridFootprintbyYear,$A28-$A$19,0)*EF_PurchElec_MTperMWh,Z28)*OFFSET(ExposureCalculations!Price_GHG_Allowance_2010,A28-$A$19,0)*ExposureCalculations!D25</f>
        <v>53072.128647579862</v>
      </c>
      <c r="AB28" s="308">
        <f t="shared" ca="1" si="3"/>
        <v>393634.90475888533</v>
      </c>
      <c r="AC28" s="308">
        <v>0</v>
      </c>
      <c r="AD28" s="819">
        <f t="shared" ca="1" si="4"/>
        <v>0</v>
      </c>
      <c r="AE28" s="308">
        <v>0</v>
      </c>
      <c r="AF28" s="819">
        <f t="shared" ca="1" si="5"/>
        <v>0</v>
      </c>
      <c r="AG28" s="308">
        <v>0</v>
      </c>
      <c r="AH28" s="308">
        <v>0</v>
      </c>
      <c r="AI28" s="308">
        <v>0</v>
      </c>
      <c r="AJ28" s="308">
        <f t="shared" ca="1" si="6"/>
        <v>393634.90475888533</v>
      </c>
      <c r="AK28" s="309">
        <v>0</v>
      </c>
      <c r="AL28" s="309">
        <v>0</v>
      </c>
      <c r="AM28" s="309">
        <f t="shared" si="19"/>
        <v>0</v>
      </c>
      <c r="AN28" s="310">
        <v>0</v>
      </c>
      <c r="AO28" s="310">
        <f t="shared" si="24"/>
        <v>-50000</v>
      </c>
      <c r="AP28" s="310">
        <f t="shared" si="20"/>
        <v>-50000</v>
      </c>
      <c r="AQ28" s="309">
        <v>0</v>
      </c>
      <c r="AR28" s="311">
        <f t="shared" ca="1" si="7"/>
        <v>396707.0334064652</v>
      </c>
      <c r="AS28" s="870">
        <f t="shared" ca="1" si="21"/>
        <v>1376357.4685276048</v>
      </c>
      <c r="AT28" s="822"/>
      <c r="AU28" s="878"/>
      <c r="AV28" s="35"/>
      <c r="AW28" s="879"/>
      <c r="AX28" s="35"/>
      <c r="AY28" s="880"/>
      <c r="BA28" s="886">
        <f>($BA$31-$BA$26)/($A$31-$A$26)+BA27</f>
        <v>3.8000000000000006E-2</v>
      </c>
    </row>
    <row r="29" spans="1:53">
      <c r="A29" s="303">
        <v>2020</v>
      </c>
      <c r="B29" s="304">
        <f ca="1">IF($D$3="BAU",UtilityDemand!C22,INDIRECT($D$3&amp;"!B"&amp;ROW(A29))+INDIRECT($D$3&amp;"!D"&amp;ROW(A29)))</f>
        <v>115366.20604425845</v>
      </c>
      <c r="C29" s="305">
        <f t="shared" si="23"/>
        <v>4.200000000000001E-2</v>
      </c>
      <c r="D29" s="306">
        <f t="shared" ca="1" si="8"/>
        <v>-4845.380653858856</v>
      </c>
      <c r="E29" s="304">
        <f ca="1">IF($D$3="BAU",UtilityDemand!E22,INDIRECT($D$3&amp;"!E"&amp;ROW(D29))+INDIRECT($D$3&amp;"!G"&amp;ROW(D29)))</f>
        <v>565884.88846908556</v>
      </c>
      <c r="F29" s="305">
        <v>0</v>
      </c>
      <c r="G29" s="306">
        <f t="shared" ca="1" si="9"/>
        <v>0</v>
      </c>
      <c r="H29" s="304">
        <f ca="1">IF($D$3="BAU",UtilityDemand!G22,INDIRECT($D$3&amp;"!H"&amp;ROW(G29))+INDIRECT($D$3&amp;"!J"&amp;ROW(G29)))</f>
        <v>169438.85451481873</v>
      </c>
      <c r="I29" s="305">
        <v>0</v>
      </c>
      <c r="J29" s="306">
        <f t="shared" ca="1" si="22"/>
        <v>0</v>
      </c>
      <c r="K29" s="307">
        <f t="shared" ca="1" si="10"/>
        <v>110520.82539039959</v>
      </c>
      <c r="L29" s="307">
        <f t="shared" si="11"/>
        <v>0</v>
      </c>
      <c r="M29" s="307">
        <v>0</v>
      </c>
      <c r="N29" s="307">
        <f t="shared" ca="1" si="12"/>
        <v>110520.82539039959</v>
      </c>
      <c r="O29" s="1494">
        <f t="shared" ca="1" si="13"/>
        <v>565884.88846908556</v>
      </c>
      <c r="P29" s="306">
        <f t="shared" si="14"/>
        <v>0</v>
      </c>
      <c r="Q29" s="306">
        <v>0</v>
      </c>
      <c r="R29" s="306">
        <f t="shared" ca="1" si="15"/>
        <v>565884.88846908556</v>
      </c>
      <c r="S29" s="818">
        <f t="shared" ca="1" si="16"/>
        <v>169438.85451481873</v>
      </c>
      <c r="T29" s="818">
        <f t="shared" si="17"/>
        <v>0</v>
      </c>
      <c r="U29" s="818">
        <v>0</v>
      </c>
      <c r="V29" s="818">
        <f t="shared" ca="1" si="18"/>
        <v>169438.85451481873</v>
      </c>
      <c r="W29" s="306">
        <f t="shared" si="1"/>
        <v>0</v>
      </c>
      <c r="X29" s="306">
        <f t="shared" ca="1" si="2"/>
        <v>-3441.464195208222</v>
      </c>
      <c r="Y29" s="306">
        <v>0</v>
      </c>
      <c r="Z29" s="306">
        <v>0</v>
      </c>
      <c r="AA29" s="308">
        <f ca="1">-SUM(W29,X29/OFFSET(GridFootprintbyYear,$A29-$A$19,0)*EF_PurchElec_MTperMWh,Z29)*OFFSET(ExposureCalculations!Price_GHG_Allowance_2010,A29-$A$19,0)*ExposureCalculations!D26</f>
        <v>64439.503765234709</v>
      </c>
      <c r="AB29" s="308">
        <f t="shared" ca="1" si="3"/>
        <v>432919.79512423207</v>
      </c>
      <c r="AC29" s="308">
        <v>0</v>
      </c>
      <c r="AD29" s="819">
        <f t="shared" ca="1" si="4"/>
        <v>0</v>
      </c>
      <c r="AE29" s="308">
        <v>0</v>
      </c>
      <c r="AF29" s="819">
        <f t="shared" ca="1" si="5"/>
        <v>0</v>
      </c>
      <c r="AG29" s="308">
        <v>0</v>
      </c>
      <c r="AH29" s="308">
        <v>0</v>
      </c>
      <c r="AI29" s="308">
        <v>0</v>
      </c>
      <c r="AJ29" s="308">
        <f t="shared" ca="1" si="6"/>
        <v>432919.79512423207</v>
      </c>
      <c r="AK29" s="309">
        <v>0</v>
      </c>
      <c r="AL29" s="309">
        <v>0</v>
      </c>
      <c r="AM29" s="309">
        <f t="shared" si="19"/>
        <v>0</v>
      </c>
      <c r="AN29" s="310">
        <v>0</v>
      </c>
      <c r="AO29" s="310">
        <f t="shared" si="24"/>
        <v>-50000</v>
      </c>
      <c r="AP29" s="310">
        <f t="shared" si="20"/>
        <v>-50000</v>
      </c>
      <c r="AQ29" s="309">
        <v>0</v>
      </c>
      <c r="AR29" s="311">
        <f t="shared" ca="1" si="7"/>
        <v>447359.29888946679</v>
      </c>
      <c r="AS29" s="870">
        <f t="shared" ca="1" si="21"/>
        <v>1823716.7674170716</v>
      </c>
      <c r="AT29" s="822"/>
      <c r="AU29" s="878"/>
      <c r="AV29" s="35"/>
      <c r="AW29" s="879"/>
      <c r="AX29" s="35"/>
      <c r="AY29" s="880"/>
      <c r="BA29" s="886">
        <f>($BA$31-$BA$26)/($A$31-$A$26)+BA28</f>
        <v>4.200000000000001E-2</v>
      </c>
    </row>
    <row r="30" spans="1:53">
      <c r="A30" s="303">
        <v>2021</v>
      </c>
      <c r="B30" s="304">
        <f ca="1">IF($D$3="BAU",UtilityDemand!C23,INDIRECT($D$3&amp;"!B"&amp;ROW(A30))+INDIRECT($D$3&amp;"!D"&amp;ROW(A30)))</f>
        <v>114212.2070416346</v>
      </c>
      <c r="C30" s="305">
        <f t="shared" si="23"/>
        <v>4.6000000000000013E-2</v>
      </c>
      <c r="D30" s="306">
        <f t="shared" ca="1" si="8"/>
        <v>-5253.7615239151928</v>
      </c>
      <c r="E30" s="304">
        <f ca="1">IF($D$3="BAU",UtilityDemand!E23,INDIRECT($D$3&amp;"!E"&amp;ROW(D30))+INDIRECT($D$3&amp;"!G"&amp;ROW(D30)))</f>
        <v>557691.81267082086</v>
      </c>
      <c r="F30" s="305">
        <v>0</v>
      </c>
      <c r="G30" s="306">
        <f t="shared" ca="1" si="9"/>
        <v>0</v>
      </c>
      <c r="H30" s="304">
        <f ca="1">IF($D$3="BAU",UtilityDemand!G23,INDIRECT($D$3&amp;"!H"&amp;ROW(G30))+INDIRECT($D$3&amp;"!J"&amp;ROW(G30)))</f>
        <v>169408.70980231324</v>
      </c>
      <c r="I30" s="305">
        <v>0</v>
      </c>
      <c r="J30" s="306">
        <f t="shared" ca="1" si="22"/>
        <v>0</v>
      </c>
      <c r="K30" s="307">
        <f t="shared" ca="1" si="10"/>
        <v>108958.4455177194</v>
      </c>
      <c r="L30" s="307">
        <f t="shared" si="11"/>
        <v>0</v>
      </c>
      <c r="M30" s="307">
        <v>0</v>
      </c>
      <c r="N30" s="307">
        <f t="shared" ca="1" si="12"/>
        <v>108958.4455177194</v>
      </c>
      <c r="O30" s="1494">
        <f t="shared" ca="1" si="13"/>
        <v>557691.81267082086</v>
      </c>
      <c r="P30" s="306">
        <f t="shared" si="14"/>
        <v>0</v>
      </c>
      <c r="Q30" s="306">
        <v>0</v>
      </c>
      <c r="R30" s="306">
        <f t="shared" ca="1" si="15"/>
        <v>557691.81267082086</v>
      </c>
      <c r="S30" s="818">
        <f t="shared" ca="1" si="16"/>
        <v>169408.70980231324</v>
      </c>
      <c r="T30" s="818">
        <f t="shared" si="17"/>
        <v>0</v>
      </c>
      <c r="U30" s="818">
        <v>0</v>
      </c>
      <c r="V30" s="818">
        <f t="shared" ca="1" si="18"/>
        <v>169408.70980231324</v>
      </c>
      <c r="W30" s="306">
        <f t="shared" si="1"/>
        <v>0</v>
      </c>
      <c r="X30" s="306">
        <f t="shared" ca="1" si="2"/>
        <v>-3731.5194545793479</v>
      </c>
      <c r="Y30" s="306">
        <v>0</v>
      </c>
      <c r="Z30" s="306">
        <v>0</v>
      </c>
      <c r="AA30" s="308">
        <f ca="1">-SUM(W30,X30/OFFSET(GridFootprintbyYear,$A30-$A$19,0)*EF_PurchElec_MTperMWh,Z30)*OFFSET(ExposureCalculations!Price_GHG_Allowance_2010,A30-$A$19,0)*ExposureCalculations!D27</f>
        <v>77828.269244053256</v>
      </c>
      <c r="AB30" s="308">
        <f t="shared" ca="1" si="3"/>
        <v>471754.40128885041</v>
      </c>
      <c r="AC30" s="308">
        <v>0</v>
      </c>
      <c r="AD30" s="819">
        <f t="shared" ca="1" si="4"/>
        <v>0</v>
      </c>
      <c r="AE30" s="308">
        <v>0</v>
      </c>
      <c r="AF30" s="819">
        <f t="shared" ca="1" si="5"/>
        <v>0</v>
      </c>
      <c r="AG30" s="308">
        <v>0</v>
      </c>
      <c r="AH30" s="308">
        <v>0</v>
      </c>
      <c r="AI30" s="308">
        <v>0</v>
      </c>
      <c r="AJ30" s="308">
        <f t="shared" ca="1" si="6"/>
        <v>471754.40128885041</v>
      </c>
      <c r="AK30" s="309">
        <v>0</v>
      </c>
      <c r="AL30" s="309">
        <v>0</v>
      </c>
      <c r="AM30" s="309">
        <f t="shared" si="19"/>
        <v>0</v>
      </c>
      <c r="AN30" s="310">
        <v>0</v>
      </c>
      <c r="AO30" s="310">
        <f t="shared" si="24"/>
        <v>-50000</v>
      </c>
      <c r="AP30" s="310">
        <f t="shared" si="20"/>
        <v>-50000</v>
      </c>
      <c r="AQ30" s="309">
        <v>0</v>
      </c>
      <c r="AR30" s="311">
        <f t="shared" ca="1" si="7"/>
        <v>499582.67053290363</v>
      </c>
      <c r="AS30" s="870">
        <f t="shared" ca="1" si="21"/>
        <v>2323299.437949975</v>
      </c>
      <c r="AT30" s="822"/>
      <c r="AU30" s="878"/>
      <c r="AV30" s="35"/>
      <c r="AW30" s="879"/>
      <c r="AX30" s="35"/>
      <c r="AY30" s="880"/>
      <c r="BA30" s="886">
        <f>($BA$31-$BA$26)/($A$31-$A$26)+BA29</f>
        <v>4.6000000000000013E-2</v>
      </c>
    </row>
    <row r="31" spans="1:53">
      <c r="A31" s="303">
        <v>2022</v>
      </c>
      <c r="B31" s="304">
        <f ca="1">IF($D$3="BAU",UtilityDemand!C24,INDIRECT($D$3&amp;"!B"&amp;ROW(A31))+INDIRECT($D$3&amp;"!D"&amp;ROW(A31)))</f>
        <v>113056.98193464843</v>
      </c>
      <c r="C31" s="305">
        <f t="shared" si="23"/>
        <v>0.05</v>
      </c>
      <c r="D31" s="306">
        <f t="shared" ca="1" si="8"/>
        <v>-5652.8490967324215</v>
      </c>
      <c r="E31" s="304">
        <f ca="1">IF($D$3="BAU",UtilityDemand!E24,INDIRECT($D$3&amp;"!E"&amp;ROW(D31))+INDIRECT($D$3&amp;"!G"&amp;ROW(D31)))</f>
        <v>549498.7368725558</v>
      </c>
      <c r="F31" s="305">
        <v>0</v>
      </c>
      <c r="G31" s="306">
        <f t="shared" ca="1" si="9"/>
        <v>0</v>
      </c>
      <c r="H31" s="304">
        <f ca="1">IF($D$3="BAU",UtilityDemand!G24,INDIRECT($D$3&amp;"!H"&amp;ROW(G31))+INDIRECT($D$3&amp;"!J"&amp;ROW(G31)))</f>
        <v>169377.33898544539</v>
      </c>
      <c r="I31" s="305">
        <v>0</v>
      </c>
      <c r="J31" s="306">
        <f t="shared" ca="1" si="22"/>
        <v>0</v>
      </c>
      <c r="K31" s="307">
        <f t="shared" ca="1" si="10"/>
        <v>107404.13283791601</v>
      </c>
      <c r="L31" s="307">
        <f t="shared" si="11"/>
        <v>0</v>
      </c>
      <c r="M31" s="307">
        <v>0</v>
      </c>
      <c r="N31" s="307">
        <f t="shared" ca="1" si="12"/>
        <v>107404.13283791601</v>
      </c>
      <c r="O31" s="1494">
        <f t="shared" ca="1" si="13"/>
        <v>549498.7368725558</v>
      </c>
      <c r="P31" s="306">
        <f t="shared" si="14"/>
        <v>0</v>
      </c>
      <c r="Q31" s="306">
        <v>0</v>
      </c>
      <c r="R31" s="306">
        <f t="shared" ca="1" si="15"/>
        <v>549498.7368725558</v>
      </c>
      <c r="S31" s="818">
        <f t="shared" ca="1" si="16"/>
        <v>169377.33898544539</v>
      </c>
      <c r="T31" s="818">
        <f t="shared" si="17"/>
        <v>0</v>
      </c>
      <c r="U31" s="818">
        <v>0</v>
      </c>
      <c r="V31" s="818">
        <f t="shared" ca="1" si="18"/>
        <v>169377.33898544539</v>
      </c>
      <c r="W31" s="306">
        <f t="shared" si="1"/>
        <v>0</v>
      </c>
      <c r="X31" s="306">
        <f t="shared" ca="1" si="2"/>
        <v>-4014.9740870877836</v>
      </c>
      <c r="Y31" s="306">
        <v>0</v>
      </c>
      <c r="Z31" s="306">
        <v>0</v>
      </c>
      <c r="AA31" s="308">
        <f ca="1">-SUM(W31,X31/OFFSET(GridFootprintbyYear,$A31-$A$19,0)*EF_PurchElec_MTperMWh,Z31)*OFFSET(ExposureCalculations!Price_GHG_Allowance_2010,A31-$A$19,0)*ExposureCalculations!D28</f>
        <v>92632.820287329843</v>
      </c>
      <c r="AB31" s="308">
        <f t="shared" ca="1" si="3"/>
        <v>510127.87908462167</v>
      </c>
      <c r="AC31" s="308">
        <v>0</v>
      </c>
      <c r="AD31" s="819">
        <f t="shared" ca="1" si="4"/>
        <v>0</v>
      </c>
      <c r="AE31" s="308">
        <v>0</v>
      </c>
      <c r="AF31" s="819">
        <f t="shared" ca="1" si="5"/>
        <v>0</v>
      </c>
      <c r="AG31" s="308">
        <v>0</v>
      </c>
      <c r="AH31" s="308">
        <v>0</v>
      </c>
      <c r="AI31" s="308">
        <v>0</v>
      </c>
      <c r="AJ31" s="308">
        <f t="shared" ca="1" si="6"/>
        <v>510127.87908462167</v>
      </c>
      <c r="AK31" s="309">
        <v>0</v>
      </c>
      <c r="AL31" s="309">
        <v>0</v>
      </c>
      <c r="AM31" s="309">
        <f t="shared" si="19"/>
        <v>0</v>
      </c>
      <c r="AN31" s="310">
        <v>0</v>
      </c>
      <c r="AO31" s="310">
        <f t="shared" si="24"/>
        <v>-50000</v>
      </c>
      <c r="AP31" s="310">
        <f t="shared" si="20"/>
        <v>-50000</v>
      </c>
      <c r="AQ31" s="309">
        <v>0</v>
      </c>
      <c r="AR31" s="311">
        <f t="shared" ca="1" si="7"/>
        <v>552760.69937195152</v>
      </c>
      <c r="AS31" s="870">
        <f t="shared" ca="1" si="21"/>
        <v>2876060.1373219267</v>
      </c>
      <c r="AT31" s="822"/>
      <c r="AU31" s="878"/>
      <c r="AV31" s="35"/>
      <c r="AW31" s="879"/>
      <c r="AX31" s="35"/>
      <c r="AY31" s="880"/>
      <c r="BA31" s="943">
        <f>AU23</f>
        <v>0.05</v>
      </c>
    </row>
    <row r="32" spans="1:53">
      <c r="A32" s="303">
        <v>2023</v>
      </c>
      <c r="B32" s="304">
        <f ca="1">IF($D$3="BAU",UtilityDemand!C25,INDIRECT($D$3&amp;"!B"&amp;ROW(A32))+INDIRECT($D$3&amp;"!D"&amp;ROW(A32)))</f>
        <v>111900.56847997775</v>
      </c>
      <c r="C32" s="305">
        <f t="shared" si="23"/>
        <v>0.05</v>
      </c>
      <c r="D32" s="306">
        <f t="shared" ca="1" si="8"/>
        <v>-5595.0284239988878</v>
      </c>
      <c r="E32" s="304">
        <f ca="1">IF($D$3="BAU",UtilityDemand!E25,INDIRECT($D$3&amp;"!E"&amp;ROW(D32))+INDIRECT($D$3&amp;"!G"&amp;ROW(D32)))</f>
        <v>541305.66107429087</v>
      </c>
      <c r="F32" s="305">
        <v>0</v>
      </c>
      <c r="G32" s="306">
        <f t="shared" ca="1" si="9"/>
        <v>0</v>
      </c>
      <c r="H32" s="304">
        <f ca="1">IF($D$3="BAU",UtilityDemand!G25,INDIRECT($D$3&amp;"!H"&amp;ROW(G32))+INDIRECT($D$3&amp;"!J"&amp;ROW(G32)))</f>
        <v>169344.77982089305</v>
      </c>
      <c r="I32" s="305">
        <v>0</v>
      </c>
      <c r="J32" s="306">
        <f t="shared" ca="1" si="22"/>
        <v>0</v>
      </c>
      <c r="K32" s="307">
        <f t="shared" ca="1" si="10"/>
        <v>106305.54005597887</v>
      </c>
      <c r="L32" s="307">
        <f t="shared" si="11"/>
        <v>0</v>
      </c>
      <c r="M32" s="307">
        <v>0</v>
      </c>
      <c r="N32" s="307">
        <f t="shared" ca="1" si="12"/>
        <v>106305.54005597887</v>
      </c>
      <c r="O32" s="1494">
        <f t="shared" ca="1" si="13"/>
        <v>541305.66107429087</v>
      </c>
      <c r="P32" s="306">
        <f t="shared" si="14"/>
        <v>0</v>
      </c>
      <c r="Q32" s="306">
        <v>0</v>
      </c>
      <c r="R32" s="306">
        <f t="shared" ca="1" si="15"/>
        <v>541305.66107429087</v>
      </c>
      <c r="S32" s="818">
        <f t="shared" ca="1" si="16"/>
        <v>169344.77982089305</v>
      </c>
      <c r="T32" s="818">
        <f t="shared" si="17"/>
        <v>0</v>
      </c>
      <c r="U32" s="818">
        <v>0</v>
      </c>
      <c r="V32" s="818">
        <f t="shared" ca="1" si="18"/>
        <v>169344.77982089305</v>
      </c>
      <c r="W32" s="306">
        <f t="shared" si="1"/>
        <v>0</v>
      </c>
      <c r="X32" s="306">
        <f t="shared" ca="1" si="2"/>
        <v>-3973.9065654273677</v>
      </c>
      <c r="Y32" s="306">
        <v>0</v>
      </c>
      <c r="Z32" s="306">
        <v>0</v>
      </c>
      <c r="AA32" s="308">
        <f ca="1">-SUM(W32,X32/OFFSET(GridFootprintbyYear,$A32-$A$19,0)*EF_PurchElec_MTperMWh,Z32)*OFFSET(ExposureCalculations!Price_GHG_Allowance_2010,A32-$A$19,0)*ExposureCalculations!D29</f>
        <v>100800.75003856682</v>
      </c>
      <c r="AB32" s="308">
        <f t="shared" ca="1" si="3"/>
        <v>507434.54038558574</v>
      </c>
      <c r="AC32" s="308">
        <v>0</v>
      </c>
      <c r="AD32" s="819">
        <f t="shared" ca="1" si="4"/>
        <v>0</v>
      </c>
      <c r="AE32" s="308">
        <v>0</v>
      </c>
      <c r="AF32" s="819">
        <f t="shared" ca="1" si="5"/>
        <v>0</v>
      </c>
      <c r="AG32" s="308">
        <v>0</v>
      </c>
      <c r="AH32" s="308">
        <v>0</v>
      </c>
      <c r="AI32" s="308">
        <v>0</v>
      </c>
      <c r="AJ32" s="308">
        <f t="shared" ca="1" si="6"/>
        <v>507434.54038558574</v>
      </c>
      <c r="AK32" s="309">
        <v>0</v>
      </c>
      <c r="AL32" s="309">
        <v>0</v>
      </c>
      <c r="AM32" s="309">
        <f t="shared" si="19"/>
        <v>0</v>
      </c>
      <c r="AN32" s="310">
        <v>0</v>
      </c>
      <c r="AO32" s="310">
        <f t="shared" si="24"/>
        <v>-50000</v>
      </c>
      <c r="AP32" s="310">
        <f t="shared" si="20"/>
        <v>-50000</v>
      </c>
      <c r="AQ32" s="309">
        <v>0</v>
      </c>
      <c r="AR32" s="311">
        <f t="shared" ca="1" si="7"/>
        <v>558235.29042415251</v>
      </c>
      <c r="AS32" s="870">
        <f t="shared" ca="1" si="21"/>
        <v>3434295.4277460789</v>
      </c>
      <c r="AT32" s="822"/>
      <c r="AU32" s="878"/>
      <c r="AV32" s="35"/>
      <c r="AW32" s="879"/>
      <c r="AX32" s="35"/>
      <c r="AY32" s="880"/>
      <c r="BA32" s="943">
        <f>BA31</f>
        <v>0.05</v>
      </c>
    </row>
    <row r="33" spans="1:53">
      <c r="A33" s="303">
        <v>2024</v>
      </c>
      <c r="B33" s="304">
        <f ca="1">IF($D$3="BAU",UtilityDemand!C26,INDIRECT($D$3&amp;"!B"&amp;ROW(A33))+INDIRECT($D$3&amp;"!D"&amp;ROW(A33)))</f>
        <v>111516.72789981159</v>
      </c>
      <c r="C33" s="305">
        <f t="shared" si="23"/>
        <v>0.05</v>
      </c>
      <c r="D33" s="306">
        <f t="shared" ca="1" si="8"/>
        <v>-5575.8363949905797</v>
      </c>
      <c r="E33" s="304">
        <f ca="1">IF($D$3="BAU",UtilityDemand!E26,INDIRECT($D$3&amp;"!E"&amp;ROW(D33))+INDIRECT($D$3&amp;"!G"&amp;ROW(D33)))</f>
        <v>534900.72965102608</v>
      </c>
      <c r="F33" s="305">
        <v>0</v>
      </c>
      <c r="G33" s="306">
        <f t="shared" ca="1" si="9"/>
        <v>0</v>
      </c>
      <c r="H33" s="304">
        <f ca="1">IF($D$3="BAU",UtilityDemand!G26,INDIRECT($D$3&amp;"!H"&amp;ROW(G33))+INDIRECT($D$3&amp;"!J"&amp;ROW(G33)))</f>
        <v>168479.36173084524</v>
      </c>
      <c r="I33" s="305">
        <v>0</v>
      </c>
      <c r="J33" s="306">
        <f t="shared" ca="1" si="22"/>
        <v>0</v>
      </c>
      <c r="K33" s="307">
        <f t="shared" ca="1" si="10"/>
        <v>105940.89150482102</v>
      </c>
      <c r="L33" s="307">
        <f t="shared" si="11"/>
        <v>0</v>
      </c>
      <c r="M33" s="307">
        <v>0</v>
      </c>
      <c r="N33" s="307">
        <f t="shared" ca="1" si="12"/>
        <v>105940.89150482102</v>
      </c>
      <c r="O33" s="1494">
        <f t="shared" ca="1" si="13"/>
        <v>534900.72965102608</v>
      </c>
      <c r="P33" s="306">
        <f t="shared" si="14"/>
        <v>0</v>
      </c>
      <c r="Q33" s="306">
        <v>0</v>
      </c>
      <c r="R33" s="306">
        <f t="shared" ca="1" si="15"/>
        <v>534900.72965102608</v>
      </c>
      <c r="S33" s="818">
        <f t="shared" ca="1" si="16"/>
        <v>168479.36173084524</v>
      </c>
      <c r="T33" s="818">
        <f t="shared" si="17"/>
        <v>0</v>
      </c>
      <c r="U33" s="818">
        <v>0</v>
      </c>
      <c r="V33" s="818">
        <f t="shared" ca="1" si="18"/>
        <v>168479.36173084524</v>
      </c>
      <c r="W33" s="306">
        <f t="shared" si="1"/>
        <v>0</v>
      </c>
      <c r="X33" s="306">
        <f t="shared" ca="1" si="2"/>
        <v>-3960.275297755366</v>
      </c>
      <c r="Y33" s="306">
        <v>0</v>
      </c>
      <c r="Z33" s="306">
        <v>0</v>
      </c>
      <c r="AA33" s="308">
        <f ca="1">-SUM(W33,X33/OFFSET(GridFootprintbyYear,$A33-$A$19,0)*EF_PurchElec_MTperMWh,Z33)*OFFSET(ExposureCalculations!Price_GHG_Allowance_2010,A33-$A$19,0)*ExposureCalculations!D30</f>
        <v>109838.87196290676</v>
      </c>
      <c r="AB33" s="308">
        <f t="shared" ca="1" si="3"/>
        <v>508222.41153454722</v>
      </c>
      <c r="AC33" s="308">
        <v>0</v>
      </c>
      <c r="AD33" s="819">
        <f t="shared" ca="1" si="4"/>
        <v>0</v>
      </c>
      <c r="AE33" s="308">
        <v>0</v>
      </c>
      <c r="AF33" s="819">
        <f t="shared" ca="1" si="5"/>
        <v>0</v>
      </c>
      <c r="AG33" s="308">
        <v>0</v>
      </c>
      <c r="AH33" s="308">
        <v>0</v>
      </c>
      <c r="AI33" s="308">
        <v>0</v>
      </c>
      <c r="AJ33" s="308">
        <f t="shared" ca="1" si="6"/>
        <v>508222.41153454722</v>
      </c>
      <c r="AK33" s="309">
        <v>0</v>
      </c>
      <c r="AL33" s="309">
        <v>0</v>
      </c>
      <c r="AM33" s="309">
        <f t="shared" si="19"/>
        <v>0</v>
      </c>
      <c r="AN33" s="310">
        <v>0</v>
      </c>
      <c r="AO33" s="310">
        <f t="shared" si="24"/>
        <v>-50000</v>
      </c>
      <c r="AP33" s="310">
        <f t="shared" si="20"/>
        <v>-50000</v>
      </c>
      <c r="AQ33" s="309">
        <v>0</v>
      </c>
      <c r="AR33" s="311">
        <f t="shared" ca="1" si="7"/>
        <v>568061.28349745402</v>
      </c>
      <c r="AS33" s="870">
        <f t="shared" ca="1" si="21"/>
        <v>4002356.7112435331</v>
      </c>
      <c r="AT33" s="822"/>
      <c r="AU33" s="878"/>
      <c r="AV33" s="35"/>
      <c r="AW33" s="879"/>
      <c r="AX33" s="35"/>
      <c r="AY33" s="880"/>
      <c r="BA33" s="943">
        <f t="shared" ref="BA33:BA59" si="25">BA32</f>
        <v>0.05</v>
      </c>
    </row>
    <row r="34" spans="1:53">
      <c r="A34" s="303">
        <v>2025</v>
      </c>
      <c r="B34" s="304">
        <f ca="1">IF($D$3="BAU",UtilityDemand!C27,INDIRECT($D$3&amp;"!B"&amp;ROW(A34))+INDIRECT($D$3&amp;"!D"&amp;ROW(A34)))</f>
        <v>111131.76995902136</v>
      </c>
      <c r="C34" s="305">
        <f t="shared" si="23"/>
        <v>0.05</v>
      </c>
      <c r="D34" s="306">
        <f t="shared" ca="1" si="8"/>
        <v>-5556.5884979510683</v>
      </c>
      <c r="E34" s="304">
        <f ca="1">IF($D$3="BAU",UtilityDemand!E27,INDIRECT($D$3&amp;"!E"&amp;ROW(D34))+INDIRECT($D$3&amp;"!G"&amp;ROW(D34)))</f>
        <v>528495.79822776117</v>
      </c>
      <c r="F34" s="305">
        <v>0</v>
      </c>
      <c r="G34" s="306">
        <f t="shared" ca="1" si="9"/>
        <v>0</v>
      </c>
      <c r="H34" s="304">
        <f ca="1">IF($D$3="BAU",UtilityDemand!G27,INDIRECT($D$3&amp;"!H"&amp;ROW(G34))+INDIRECT($D$3&amp;"!J"&amp;ROW(G34)))</f>
        <v>167612.82628017341</v>
      </c>
      <c r="I34" s="305">
        <v>0</v>
      </c>
      <c r="J34" s="306">
        <f t="shared" ca="1" si="22"/>
        <v>0</v>
      </c>
      <c r="K34" s="307">
        <f t="shared" ca="1" si="10"/>
        <v>105575.18146107029</v>
      </c>
      <c r="L34" s="307">
        <f t="shared" si="11"/>
        <v>0</v>
      </c>
      <c r="M34" s="307">
        <v>0</v>
      </c>
      <c r="N34" s="307">
        <f t="shared" ca="1" si="12"/>
        <v>105575.18146107029</v>
      </c>
      <c r="O34" s="1494">
        <f t="shared" ca="1" si="13"/>
        <v>528495.79822776117</v>
      </c>
      <c r="P34" s="306">
        <f t="shared" si="14"/>
        <v>0</v>
      </c>
      <c r="Q34" s="306">
        <v>0</v>
      </c>
      <c r="R34" s="306">
        <f t="shared" ca="1" si="15"/>
        <v>528495.79822776117</v>
      </c>
      <c r="S34" s="818">
        <f t="shared" ca="1" si="16"/>
        <v>167612.82628017341</v>
      </c>
      <c r="T34" s="818">
        <f t="shared" si="17"/>
        <v>0</v>
      </c>
      <c r="U34" s="818">
        <v>0</v>
      </c>
      <c r="V34" s="818">
        <f t="shared" ca="1" si="18"/>
        <v>167612.82628017341</v>
      </c>
      <c r="W34" s="306">
        <f t="shared" si="1"/>
        <v>0</v>
      </c>
      <c r="X34" s="306">
        <f t="shared" ca="1" si="2"/>
        <v>-3946.6043494384821</v>
      </c>
      <c r="Y34" s="306">
        <v>0</v>
      </c>
      <c r="Z34" s="306">
        <v>0</v>
      </c>
      <c r="AA34" s="308">
        <f ca="1">-SUM(W34,X34/OFFSET(GridFootprintbyYear,$A34-$A$19,0)*EF_PurchElec_MTperMWh,Z34)*OFFSET(ExposureCalculations!Price_GHG_Allowance_2010,A34-$A$19,0)*ExposureCalculations!D31</f>
        <v>119096.97307828412</v>
      </c>
      <c r="AB34" s="308">
        <f t="shared" ca="1" si="3"/>
        <v>509000.35785039974</v>
      </c>
      <c r="AC34" s="308">
        <v>0</v>
      </c>
      <c r="AD34" s="819">
        <f t="shared" ca="1" si="4"/>
        <v>0</v>
      </c>
      <c r="AE34" s="308">
        <v>0</v>
      </c>
      <c r="AF34" s="819">
        <f t="shared" ca="1" si="5"/>
        <v>0</v>
      </c>
      <c r="AG34" s="308">
        <v>0</v>
      </c>
      <c r="AH34" s="308">
        <v>0</v>
      </c>
      <c r="AI34" s="308">
        <v>0</v>
      </c>
      <c r="AJ34" s="308">
        <f t="shared" ca="1" si="6"/>
        <v>509000.35785039974</v>
      </c>
      <c r="AK34" s="309">
        <v>0</v>
      </c>
      <c r="AL34" s="309">
        <v>0</v>
      </c>
      <c r="AM34" s="309">
        <f t="shared" si="19"/>
        <v>0</v>
      </c>
      <c r="AN34" s="310">
        <v>0</v>
      </c>
      <c r="AO34" s="310">
        <f t="shared" si="24"/>
        <v>-50000</v>
      </c>
      <c r="AP34" s="310">
        <f t="shared" si="20"/>
        <v>-50000</v>
      </c>
      <c r="AQ34" s="309">
        <v>0</v>
      </c>
      <c r="AR34" s="311">
        <f t="shared" ca="1" si="7"/>
        <v>578097.33092868386</v>
      </c>
      <c r="AS34" s="870">
        <f t="shared" ca="1" si="21"/>
        <v>4580454.0421722168</v>
      </c>
      <c r="AT34" s="822"/>
      <c r="AU34" s="878"/>
      <c r="AV34" s="35"/>
      <c r="AW34" s="879"/>
      <c r="AX34" s="35"/>
      <c r="AY34" s="880"/>
      <c r="BA34" s="943">
        <f t="shared" si="25"/>
        <v>0.05</v>
      </c>
    </row>
    <row r="35" spans="1:53">
      <c r="A35" s="303">
        <v>2026</v>
      </c>
      <c r="B35" s="304">
        <f ca="1">IF($D$3="BAU",UtilityDemand!C28,INDIRECT($D$3&amp;"!B"&amp;ROW(A35))+INDIRECT($D$3&amp;"!D"&amp;ROW(A35)))</f>
        <v>110745.7280377206</v>
      </c>
      <c r="C35" s="305">
        <f t="shared" si="23"/>
        <v>0.05</v>
      </c>
      <c r="D35" s="306">
        <f t="shared" ca="1" si="8"/>
        <v>-5537.2864018860309</v>
      </c>
      <c r="E35" s="304">
        <f ca="1">IF($D$3="BAU",UtilityDemand!E28,INDIRECT($D$3&amp;"!E"&amp;ROW(D35))+INDIRECT($D$3&amp;"!G"&amp;ROW(D35)))</f>
        <v>522090.86680449592</v>
      </c>
      <c r="F35" s="305">
        <v>0</v>
      </c>
      <c r="G35" s="306">
        <f t="shared" ca="1" si="9"/>
        <v>0</v>
      </c>
      <c r="H35" s="304">
        <f ca="1">IF($D$3="BAU",UtilityDemand!G28,INDIRECT($D$3&amp;"!H"&amp;ROW(G35))+INDIRECT($D$3&amp;"!J"&amp;ROW(G35)))</f>
        <v>166745.20684899099</v>
      </c>
      <c r="I35" s="305">
        <v>0</v>
      </c>
      <c r="J35" s="306">
        <f t="shared" ca="1" si="22"/>
        <v>0</v>
      </c>
      <c r="K35" s="307">
        <f t="shared" ca="1" si="10"/>
        <v>105208.44163583458</v>
      </c>
      <c r="L35" s="307">
        <f t="shared" si="11"/>
        <v>0</v>
      </c>
      <c r="M35" s="307">
        <v>0</v>
      </c>
      <c r="N35" s="307">
        <f t="shared" ca="1" si="12"/>
        <v>105208.44163583458</v>
      </c>
      <c r="O35" s="1494">
        <f t="shared" ca="1" si="13"/>
        <v>522090.86680449592</v>
      </c>
      <c r="P35" s="306">
        <f t="shared" si="14"/>
        <v>0</v>
      </c>
      <c r="Q35" s="306">
        <v>0</v>
      </c>
      <c r="R35" s="306">
        <f t="shared" ca="1" si="15"/>
        <v>522090.86680449592</v>
      </c>
      <c r="S35" s="818">
        <f t="shared" ca="1" si="16"/>
        <v>166745.20684899099</v>
      </c>
      <c r="T35" s="818">
        <f t="shared" si="17"/>
        <v>0</v>
      </c>
      <c r="U35" s="818">
        <v>0</v>
      </c>
      <c r="V35" s="818">
        <f t="shared" ca="1" si="18"/>
        <v>166745.20684899099</v>
      </c>
      <c r="W35" s="306">
        <f t="shared" si="1"/>
        <v>0</v>
      </c>
      <c r="X35" s="306">
        <f t="shared" ca="1" si="2"/>
        <v>-3932.894905899223</v>
      </c>
      <c r="Y35" s="306">
        <v>0</v>
      </c>
      <c r="Z35" s="306">
        <v>0</v>
      </c>
      <c r="AA35" s="308">
        <f ca="1">-SUM(W35,X35/OFFSET(GridFootprintbyYear,$A35-$A$19,0)*EF_PurchElec_MTperMWh,Z35)*OFFSET(ExposureCalculations!Price_GHG_Allowance_2010,A35-$A$19,0)*ExposureCalculations!D32</f>
        <v>129539.595403036</v>
      </c>
      <c r="AB35" s="308">
        <f t="shared" ca="1" si="3"/>
        <v>509768.38845003967</v>
      </c>
      <c r="AC35" s="308">
        <v>0</v>
      </c>
      <c r="AD35" s="819">
        <f t="shared" ca="1" si="4"/>
        <v>0</v>
      </c>
      <c r="AE35" s="308">
        <v>0</v>
      </c>
      <c r="AF35" s="819">
        <f t="shared" ca="1" si="5"/>
        <v>0</v>
      </c>
      <c r="AG35" s="308">
        <v>0</v>
      </c>
      <c r="AH35" s="308">
        <v>0</v>
      </c>
      <c r="AI35" s="308">
        <v>0</v>
      </c>
      <c r="AJ35" s="308">
        <f t="shared" ca="1" si="6"/>
        <v>509768.38845003967</v>
      </c>
      <c r="AK35" s="309">
        <v>0</v>
      </c>
      <c r="AL35" s="309">
        <v>0</v>
      </c>
      <c r="AM35" s="309">
        <f t="shared" si="19"/>
        <v>0</v>
      </c>
      <c r="AN35" s="310">
        <v>0</v>
      </c>
      <c r="AO35" s="310">
        <f t="shared" si="24"/>
        <v>-50000</v>
      </c>
      <c r="AP35" s="310">
        <f t="shared" si="20"/>
        <v>-50000</v>
      </c>
      <c r="AQ35" s="309">
        <v>0</v>
      </c>
      <c r="AR35" s="311">
        <f t="shared" ca="1" si="7"/>
        <v>589307.98385307565</v>
      </c>
      <c r="AS35" s="870">
        <f t="shared" ca="1" si="21"/>
        <v>5169762.0260252925</v>
      </c>
      <c r="AT35" s="822"/>
      <c r="AU35" s="878"/>
      <c r="AV35" s="35"/>
      <c r="AW35" s="879"/>
      <c r="AX35" s="35"/>
      <c r="AY35" s="880"/>
      <c r="BA35" s="943">
        <f t="shared" si="25"/>
        <v>0.05</v>
      </c>
    </row>
    <row r="36" spans="1:53">
      <c r="A36" s="303">
        <v>2027</v>
      </c>
      <c r="B36" s="304">
        <f ca="1">IF($D$3="BAU",UtilityDemand!C29,INDIRECT($D$3&amp;"!B"&amp;ROW(A36))+INDIRECT($D$3&amp;"!D"&amp;ROW(A36)))</f>
        <v>110358.63419953243</v>
      </c>
      <c r="C36" s="305">
        <f t="shared" si="23"/>
        <v>0.05</v>
      </c>
      <c r="D36" s="306">
        <f t="shared" ca="1" si="8"/>
        <v>-5517.9317099766222</v>
      </c>
      <c r="E36" s="304">
        <f ca="1">IF($D$3="BAU",UtilityDemand!E29,INDIRECT($D$3&amp;"!E"&amp;ROW(D36))+INDIRECT($D$3&amp;"!G"&amp;ROW(D36)))</f>
        <v>515685.93538123119</v>
      </c>
      <c r="F36" s="305">
        <v>0</v>
      </c>
      <c r="G36" s="306">
        <f t="shared" ca="1" si="9"/>
        <v>0</v>
      </c>
      <c r="H36" s="304">
        <f ca="1">IF($D$3="BAU",UtilityDemand!G29,INDIRECT($D$3&amp;"!H"&amp;ROW(G36))+INDIRECT($D$3&amp;"!J"&amp;ROW(G36)))</f>
        <v>165876.53550092125</v>
      </c>
      <c r="I36" s="305">
        <v>0</v>
      </c>
      <c r="J36" s="306">
        <f t="shared" ca="1" si="22"/>
        <v>0</v>
      </c>
      <c r="K36" s="307">
        <f t="shared" ca="1" si="10"/>
        <v>104840.70248955581</v>
      </c>
      <c r="L36" s="307">
        <f t="shared" si="11"/>
        <v>0</v>
      </c>
      <c r="M36" s="307">
        <v>0</v>
      </c>
      <c r="N36" s="307">
        <f t="shared" ca="1" si="12"/>
        <v>104840.70248955581</v>
      </c>
      <c r="O36" s="1494">
        <f t="shared" ca="1" si="13"/>
        <v>515685.93538123119</v>
      </c>
      <c r="P36" s="306">
        <f t="shared" si="14"/>
        <v>0</v>
      </c>
      <c r="Q36" s="306">
        <v>0</v>
      </c>
      <c r="R36" s="306">
        <f t="shared" ca="1" si="15"/>
        <v>515685.93538123119</v>
      </c>
      <c r="S36" s="818">
        <f t="shared" ca="1" si="16"/>
        <v>165876.53550092125</v>
      </c>
      <c r="T36" s="818">
        <f t="shared" si="17"/>
        <v>0</v>
      </c>
      <c r="U36" s="818">
        <v>0</v>
      </c>
      <c r="V36" s="818">
        <f t="shared" ca="1" si="18"/>
        <v>165876.53550092125</v>
      </c>
      <c r="W36" s="306">
        <f t="shared" si="1"/>
        <v>0</v>
      </c>
      <c r="X36" s="306">
        <f t="shared" ca="1" si="2"/>
        <v>-3919.1481058077857</v>
      </c>
      <c r="Y36" s="306">
        <v>0</v>
      </c>
      <c r="Z36" s="306">
        <v>0</v>
      </c>
      <c r="AA36" s="308">
        <f ca="1">-SUM(W36,X36/OFFSET(GridFootprintbyYear,$A36-$A$19,0)*EF_PurchElec_MTperMWh,Z36)*OFFSET(ExposureCalculations!Price_GHG_Allowance_2010,A36-$A$19,0)*ExposureCalculations!D33</f>
        <v>140241.06869841157</v>
      </c>
      <c r="AB36" s="308">
        <f t="shared" ca="1" si="3"/>
        <v>510526.50810804113</v>
      </c>
      <c r="AC36" s="308">
        <v>0</v>
      </c>
      <c r="AD36" s="819">
        <f t="shared" ca="1" si="4"/>
        <v>0</v>
      </c>
      <c r="AE36" s="308">
        <v>0</v>
      </c>
      <c r="AF36" s="819">
        <f t="shared" ca="1" si="5"/>
        <v>0</v>
      </c>
      <c r="AG36" s="308">
        <v>0</v>
      </c>
      <c r="AH36" s="308">
        <v>0</v>
      </c>
      <c r="AI36" s="308">
        <v>0</v>
      </c>
      <c r="AJ36" s="308">
        <f t="shared" ca="1" si="6"/>
        <v>510526.50810804113</v>
      </c>
      <c r="AK36" s="309">
        <v>0</v>
      </c>
      <c r="AL36" s="309">
        <v>0</v>
      </c>
      <c r="AM36" s="309">
        <f t="shared" si="19"/>
        <v>0</v>
      </c>
      <c r="AN36" s="310">
        <v>0</v>
      </c>
      <c r="AO36" s="310">
        <f t="shared" si="24"/>
        <v>-50000</v>
      </c>
      <c r="AP36" s="310">
        <f t="shared" si="20"/>
        <v>-50000</v>
      </c>
      <c r="AQ36" s="309">
        <v>0</v>
      </c>
      <c r="AR36" s="311">
        <f t="shared" ca="1" si="7"/>
        <v>600767.57680645271</v>
      </c>
      <c r="AS36" s="870">
        <f t="shared" ca="1" si="21"/>
        <v>5770529.6028317455</v>
      </c>
      <c r="AT36" s="822"/>
      <c r="AU36" s="878"/>
      <c r="AV36" s="35"/>
      <c r="AW36" s="879"/>
      <c r="AX36" s="35"/>
      <c r="AY36" s="880"/>
      <c r="BA36" s="943">
        <f t="shared" si="25"/>
        <v>0.05</v>
      </c>
    </row>
    <row r="37" spans="1:53">
      <c r="A37" s="303">
        <v>2028</v>
      </c>
      <c r="B37" s="304">
        <f ca="1">IF($D$3="BAU",UtilityDemand!C30,INDIRECT($D$3&amp;"!B"&amp;ROW(A37))+INDIRECT($D$3&amp;"!D"&amp;ROW(A37)))</f>
        <v>109970.51925585822</v>
      </c>
      <c r="C37" s="305">
        <f t="shared" si="23"/>
        <v>0.05</v>
      </c>
      <c r="D37" s="306">
        <f t="shared" ca="1" si="8"/>
        <v>-5498.5259627929117</v>
      </c>
      <c r="E37" s="304">
        <f ca="1">IF($D$3="BAU",UtilityDemand!E30,INDIRECT($D$3&amp;"!E"&amp;ROW(D37))+INDIRECT($D$3&amp;"!G"&amp;ROW(D37)))</f>
        <v>509281.00395796617</v>
      </c>
      <c r="F37" s="305">
        <v>0</v>
      </c>
      <c r="G37" s="306">
        <f t="shared" ca="1" si="9"/>
        <v>0</v>
      </c>
      <c r="H37" s="304">
        <f ca="1">IF($D$3="BAU",UtilityDemand!G30,INDIRECT($D$3&amp;"!H"&amp;ROW(G37))+INDIRECT($D$3&amp;"!J"&amp;ROW(G37)))</f>
        <v>165006.84304736534</v>
      </c>
      <c r="I37" s="305">
        <v>0</v>
      </c>
      <c r="J37" s="306">
        <f t="shared" ca="1" si="22"/>
        <v>0</v>
      </c>
      <c r="K37" s="307">
        <f t="shared" ca="1" si="10"/>
        <v>104471.99329306532</v>
      </c>
      <c r="L37" s="307">
        <f t="shared" si="11"/>
        <v>0</v>
      </c>
      <c r="M37" s="307">
        <v>0</v>
      </c>
      <c r="N37" s="307">
        <f t="shared" ca="1" si="12"/>
        <v>104471.99329306532</v>
      </c>
      <c r="O37" s="1494">
        <f t="shared" ca="1" si="13"/>
        <v>509281.00395796617</v>
      </c>
      <c r="P37" s="306">
        <f t="shared" si="14"/>
        <v>0</v>
      </c>
      <c r="Q37" s="306">
        <v>0</v>
      </c>
      <c r="R37" s="306">
        <f t="shared" ca="1" si="15"/>
        <v>509281.00395796617</v>
      </c>
      <c r="S37" s="818">
        <f t="shared" ca="1" si="16"/>
        <v>165006.84304736534</v>
      </c>
      <c r="T37" s="818">
        <f t="shared" si="17"/>
        <v>0</v>
      </c>
      <c r="U37" s="818">
        <v>0</v>
      </c>
      <c r="V37" s="818">
        <f t="shared" ca="1" si="18"/>
        <v>165006.84304736534</v>
      </c>
      <c r="W37" s="306">
        <f t="shared" si="1"/>
        <v>0</v>
      </c>
      <c r="X37" s="306">
        <f t="shared" ca="1" si="2"/>
        <v>-3905.365043364422</v>
      </c>
      <c r="Y37" s="306">
        <v>0</v>
      </c>
      <c r="Z37" s="306">
        <v>0</v>
      </c>
      <c r="AA37" s="308">
        <f ca="1">-SUM(W37,X37/OFFSET(GridFootprintbyYear,$A37-$A$19,0)*EF_PurchElec_MTperMWh,Z37)*OFFSET(ExposureCalculations!Price_GHG_Allowance_2010,A37-$A$19,0)*ExposureCalculations!D34</f>
        <v>151181.33297927052</v>
      </c>
      <c r="AB37" s="308">
        <f t="shared" ca="1" si="3"/>
        <v>511274.71743133484</v>
      </c>
      <c r="AC37" s="308">
        <v>0</v>
      </c>
      <c r="AD37" s="819">
        <f t="shared" ca="1" si="4"/>
        <v>0</v>
      </c>
      <c r="AE37" s="308">
        <v>0</v>
      </c>
      <c r="AF37" s="819">
        <f t="shared" ca="1" si="5"/>
        <v>0</v>
      </c>
      <c r="AG37" s="308">
        <v>0</v>
      </c>
      <c r="AH37" s="308">
        <v>0</v>
      </c>
      <c r="AI37" s="308">
        <v>0</v>
      </c>
      <c r="AJ37" s="308">
        <f t="shared" ca="1" si="6"/>
        <v>511274.71743133484</v>
      </c>
      <c r="AK37" s="309">
        <v>0</v>
      </c>
      <c r="AL37" s="309">
        <v>0</v>
      </c>
      <c r="AM37" s="309">
        <f t="shared" si="19"/>
        <v>0</v>
      </c>
      <c r="AN37" s="310">
        <v>0</v>
      </c>
      <c r="AO37" s="310">
        <f t="shared" si="24"/>
        <v>-50000</v>
      </c>
      <c r="AP37" s="310">
        <f t="shared" si="20"/>
        <v>-50000</v>
      </c>
      <c r="AQ37" s="309">
        <v>0</v>
      </c>
      <c r="AR37" s="311">
        <f t="shared" ca="1" si="7"/>
        <v>612456.05041060538</v>
      </c>
      <c r="AS37" s="870">
        <f t="shared" ca="1" si="21"/>
        <v>6382985.6532423506</v>
      </c>
      <c r="AT37" s="822"/>
      <c r="AU37" s="878"/>
      <c r="AV37" s="35"/>
      <c r="AW37" s="879"/>
      <c r="AX37" s="35"/>
      <c r="AY37" s="880"/>
      <c r="BA37" s="943">
        <f t="shared" si="25"/>
        <v>0.05</v>
      </c>
    </row>
    <row r="38" spans="1:53">
      <c r="A38" s="303">
        <v>2029</v>
      </c>
      <c r="B38" s="304">
        <f ca="1">IF($D$3="BAU",UtilityDemand!C31,INDIRECT($D$3&amp;"!B"&amp;ROW(A38))+INDIRECT($D$3&amp;"!D"&amp;ROW(A38)))</f>
        <v>109581.41282641659</v>
      </c>
      <c r="C38" s="305">
        <f t="shared" si="23"/>
        <v>0.05</v>
      </c>
      <c r="D38" s="306">
        <f t="shared" ca="1" si="8"/>
        <v>-5479.07064132083</v>
      </c>
      <c r="E38" s="304">
        <f ca="1">IF($D$3="BAU",UtilityDemand!E31,INDIRECT($D$3&amp;"!E"&amp;ROW(D38))+INDIRECT($D$3&amp;"!G"&amp;ROW(D38)))</f>
        <v>502876.07253470144</v>
      </c>
      <c r="F38" s="305">
        <v>0</v>
      </c>
      <c r="G38" s="306">
        <f t="shared" ca="1" si="9"/>
        <v>0</v>
      </c>
      <c r="H38" s="304">
        <f ca="1">IF($D$3="BAU",UtilityDemand!G31,INDIRECT($D$3&amp;"!H"&amp;ROW(G38))+INDIRECT($D$3&amp;"!J"&amp;ROW(G38)))</f>
        <v>164136.15910804211</v>
      </c>
      <c r="I38" s="305">
        <v>0</v>
      </c>
      <c r="J38" s="306">
        <f t="shared" ca="1" si="22"/>
        <v>0</v>
      </c>
      <c r="K38" s="307">
        <f t="shared" ca="1" si="10"/>
        <v>104102.34218509577</v>
      </c>
      <c r="L38" s="307">
        <f t="shared" si="11"/>
        <v>0</v>
      </c>
      <c r="M38" s="307">
        <v>0</v>
      </c>
      <c r="N38" s="307">
        <f t="shared" ca="1" si="12"/>
        <v>104102.34218509577</v>
      </c>
      <c r="O38" s="1494">
        <f t="shared" ca="1" si="13"/>
        <v>502876.07253470144</v>
      </c>
      <c r="P38" s="306">
        <f t="shared" si="14"/>
        <v>0</v>
      </c>
      <c r="Q38" s="306">
        <v>0</v>
      </c>
      <c r="R38" s="306">
        <f t="shared" ca="1" si="15"/>
        <v>502876.07253470144</v>
      </c>
      <c r="S38" s="818">
        <f t="shared" ca="1" si="16"/>
        <v>164136.15910804211</v>
      </c>
      <c r="T38" s="818">
        <f t="shared" si="17"/>
        <v>0</v>
      </c>
      <c r="U38" s="818">
        <v>0</v>
      </c>
      <c r="V38" s="818">
        <f t="shared" ca="1" si="18"/>
        <v>164136.15910804211</v>
      </c>
      <c r="W38" s="306">
        <f t="shared" si="1"/>
        <v>0</v>
      </c>
      <c r="X38" s="306">
        <f t="shared" ca="1" si="2"/>
        <v>-3891.5467704493494</v>
      </c>
      <c r="Y38" s="306">
        <v>0</v>
      </c>
      <c r="Z38" s="306">
        <v>0</v>
      </c>
      <c r="AA38" s="308">
        <f ca="1">-SUM(W38,X38/OFFSET(GridFootprintbyYear,$A38-$A$19,0)*EF_PurchElec_MTperMWh,Z38)*OFFSET(ExposureCalculations!Price_GHG_Allowance_2010,A38-$A$19,0)*ExposureCalculations!D35</f>
        <v>162340.63731958537</v>
      </c>
      <c r="AB38" s="308">
        <f t="shared" ca="1" si="3"/>
        <v>512013.0130234505</v>
      </c>
      <c r="AC38" s="308">
        <v>0</v>
      </c>
      <c r="AD38" s="819">
        <f t="shared" ca="1" si="4"/>
        <v>0</v>
      </c>
      <c r="AE38" s="308">
        <v>0</v>
      </c>
      <c r="AF38" s="819">
        <f t="shared" ca="1" si="5"/>
        <v>0</v>
      </c>
      <c r="AG38" s="308">
        <v>0</v>
      </c>
      <c r="AH38" s="308">
        <v>0</v>
      </c>
      <c r="AI38" s="308">
        <v>0</v>
      </c>
      <c r="AJ38" s="308">
        <f t="shared" ca="1" si="6"/>
        <v>512013.0130234505</v>
      </c>
      <c r="AK38" s="309">
        <v>0</v>
      </c>
      <c r="AL38" s="309">
        <v>0</v>
      </c>
      <c r="AM38" s="309">
        <f t="shared" si="19"/>
        <v>0</v>
      </c>
      <c r="AN38" s="310">
        <v>0</v>
      </c>
      <c r="AO38" s="310">
        <f t="shared" si="24"/>
        <v>-50000</v>
      </c>
      <c r="AP38" s="310">
        <f t="shared" si="20"/>
        <v>-50000</v>
      </c>
      <c r="AQ38" s="309">
        <v>0</v>
      </c>
      <c r="AR38" s="311">
        <f t="shared" ca="1" si="7"/>
        <v>624353.65034303581</v>
      </c>
      <c r="AS38" s="870">
        <f t="shared" ca="1" si="21"/>
        <v>7007339.3035853859</v>
      </c>
      <c r="AT38" s="822"/>
      <c r="AU38" s="878"/>
      <c r="AV38" s="35"/>
      <c r="AW38" s="879"/>
      <c r="AX38" s="35"/>
      <c r="AY38" s="880"/>
      <c r="BA38" s="943">
        <f t="shared" si="25"/>
        <v>0.05</v>
      </c>
    </row>
    <row r="39" spans="1:53">
      <c r="A39" s="303">
        <v>2030</v>
      </c>
      <c r="B39" s="304">
        <f ca="1">IF($D$3="BAU",UtilityDemand!C32,INDIRECT($D$3&amp;"!B"&amp;ROW(A39))+INDIRECT($D$3&amp;"!D"&amp;ROW(A39)))</f>
        <v>109191.34339630527</v>
      </c>
      <c r="C39" s="305">
        <f t="shared" si="23"/>
        <v>0.05</v>
      </c>
      <c r="D39" s="306">
        <f t="shared" ca="1" si="8"/>
        <v>-5459.5671698152637</v>
      </c>
      <c r="E39" s="304">
        <f ca="1">IF($D$3="BAU",UtilityDemand!E32,INDIRECT($D$3&amp;"!E"&amp;ROW(D39))+INDIRECT($D$3&amp;"!G"&amp;ROW(D39)))</f>
        <v>496471.14111143642</v>
      </c>
      <c r="F39" s="305">
        <v>0</v>
      </c>
      <c r="G39" s="306">
        <f t="shared" ca="1" si="9"/>
        <v>0</v>
      </c>
      <c r="H39" s="304">
        <f ca="1">IF($D$3="BAU",UtilityDemand!G32,INDIRECT($D$3&amp;"!H"&amp;ROW(G39))+INDIRECT($D$3&amp;"!J"&amp;ROW(G39)))</f>
        <v>163264.51216804914</v>
      </c>
      <c r="I39" s="305">
        <v>0</v>
      </c>
      <c r="J39" s="306">
        <f t="shared" ca="1" si="22"/>
        <v>0</v>
      </c>
      <c r="K39" s="307">
        <f t="shared" ca="1" si="10"/>
        <v>103731.77622649001</v>
      </c>
      <c r="L39" s="307">
        <f t="shared" si="11"/>
        <v>0</v>
      </c>
      <c r="M39" s="307">
        <v>0</v>
      </c>
      <c r="N39" s="307">
        <f t="shared" ca="1" si="12"/>
        <v>103731.77622649001</v>
      </c>
      <c r="O39" s="1494">
        <f t="shared" ca="1" si="13"/>
        <v>496471.14111143642</v>
      </c>
      <c r="P39" s="306">
        <f t="shared" si="14"/>
        <v>0</v>
      </c>
      <c r="Q39" s="306">
        <v>0</v>
      </c>
      <c r="R39" s="306">
        <f t="shared" ca="1" si="15"/>
        <v>496471.14111143642</v>
      </c>
      <c r="S39" s="818">
        <f t="shared" ca="1" si="16"/>
        <v>163264.51216804914</v>
      </c>
      <c r="T39" s="818">
        <f t="shared" si="17"/>
        <v>0</v>
      </c>
      <c r="U39" s="818">
        <v>0</v>
      </c>
      <c r="V39" s="818">
        <f t="shared" ca="1" si="18"/>
        <v>163264.51216804914</v>
      </c>
      <c r="W39" s="306">
        <f t="shared" si="1"/>
        <v>0</v>
      </c>
      <c r="X39" s="306">
        <f t="shared" ca="1" si="2"/>
        <v>-3877.694298649179</v>
      </c>
      <c r="Y39" s="306">
        <v>0</v>
      </c>
      <c r="Z39" s="306">
        <v>0</v>
      </c>
      <c r="AA39" s="308">
        <f ca="1">-SUM(W39,X39/OFFSET(GridFootprintbyYear,$A39-$A$19,0)*EF_PurchElec_MTperMWh,Z39)*OFFSET(ExposureCalculations!Price_GHG_Allowance_2010,A39-$A$19,0)*ExposureCalculations!D36</f>
        <v>173699.53846243749</v>
      </c>
      <c r="AB39" s="308">
        <f t="shared" ca="1" si="3"/>
        <v>512741.38763903326</v>
      </c>
      <c r="AC39" s="308">
        <v>0</v>
      </c>
      <c r="AD39" s="819">
        <f t="shared" ca="1" si="4"/>
        <v>0</v>
      </c>
      <c r="AE39" s="308">
        <v>0</v>
      </c>
      <c r="AF39" s="819">
        <f t="shared" ca="1" si="5"/>
        <v>0</v>
      </c>
      <c r="AG39" s="308">
        <v>0</v>
      </c>
      <c r="AH39" s="308">
        <v>0</v>
      </c>
      <c r="AI39" s="308">
        <v>0</v>
      </c>
      <c r="AJ39" s="308">
        <f t="shared" ca="1" si="6"/>
        <v>512741.38763903326</v>
      </c>
      <c r="AK39" s="309">
        <v>0</v>
      </c>
      <c r="AL39" s="309">
        <v>0</v>
      </c>
      <c r="AM39" s="309">
        <f t="shared" si="19"/>
        <v>0</v>
      </c>
      <c r="AN39" s="310">
        <v>0</v>
      </c>
      <c r="AO39" s="310">
        <f t="shared" si="24"/>
        <v>-50000</v>
      </c>
      <c r="AP39" s="310">
        <f t="shared" si="20"/>
        <v>-50000</v>
      </c>
      <c r="AQ39" s="309">
        <v>0</v>
      </c>
      <c r="AR39" s="311">
        <f t="shared" ca="1" si="7"/>
        <v>636440.92610147072</v>
      </c>
      <c r="AS39" s="870">
        <f t="shared" ca="1" si="21"/>
        <v>7643780.2296868563</v>
      </c>
      <c r="AT39" s="822"/>
      <c r="AU39" s="878"/>
      <c r="AV39" s="35"/>
      <c r="AW39" s="879"/>
      <c r="AX39" s="35"/>
      <c r="AY39" s="880"/>
      <c r="BA39" s="943">
        <f t="shared" si="25"/>
        <v>0.05</v>
      </c>
    </row>
    <row r="40" spans="1:53">
      <c r="A40" s="303">
        <v>2031</v>
      </c>
      <c r="B40" s="304">
        <f ca="1">IF($D$3="BAU",UtilityDemand!C33,INDIRECT($D$3&amp;"!B"&amp;ROW(A40))+INDIRECT($D$3&amp;"!D"&amp;ROW(A40)))</f>
        <v>108800.33836981413</v>
      </c>
      <c r="C40" s="305">
        <f t="shared" si="23"/>
        <v>0.05</v>
      </c>
      <c r="D40" s="306">
        <f t="shared" ca="1" si="8"/>
        <v>-5440.0169184907063</v>
      </c>
      <c r="E40" s="304">
        <f ca="1">IF($D$3="BAU",UtilityDemand!E33,INDIRECT($D$3&amp;"!E"&amp;ROW(D40))+INDIRECT($D$3&amp;"!G"&amp;ROW(D40)))</f>
        <v>490066.20968817145</v>
      </c>
      <c r="F40" s="305">
        <v>0</v>
      </c>
      <c r="G40" s="306">
        <f t="shared" ca="1" si="9"/>
        <v>0</v>
      </c>
      <c r="H40" s="304">
        <f ca="1">IF($D$3="BAU",UtilityDemand!G33,INDIRECT($D$3&amp;"!H"&amp;ROW(G40))+INDIRECT($D$3&amp;"!J"&amp;ROW(G40)))</f>
        <v>162391.92963167635</v>
      </c>
      <c r="I40" s="305">
        <v>0</v>
      </c>
      <c r="J40" s="306">
        <f t="shared" ca="1" si="22"/>
        <v>0</v>
      </c>
      <c r="K40" s="307">
        <f t="shared" ca="1" si="10"/>
        <v>103360.32145132343</v>
      </c>
      <c r="L40" s="307">
        <f t="shared" si="11"/>
        <v>0</v>
      </c>
      <c r="M40" s="307">
        <v>0</v>
      </c>
      <c r="N40" s="307">
        <f t="shared" ca="1" si="12"/>
        <v>103360.32145132343</v>
      </c>
      <c r="O40" s="1494">
        <f t="shared" ca="1" si="13"/>
        <v>490066.20968817145</v>
      </c>
      <c r="P40" s="306">
        <f t="shared" si="14"/>
        <v>0</v>
      </c>
      <c r="Q40" s="306">
        <v>0</v>
      </c>
      <c r="R40" s="306">
        <f t="shared" ca="1" si="15"/>
        <v>490066.20968817145</v>
      </c>
      <c r="S40" s="818">
        <f t="shared" ca="1" si="16"/>
        <v>162391.92963167635</v>
      </c>
      <c r="T40" s="818">
        <f t="shared" si="17"/>
        <v>0</v>
      </c>
      <c r="U40" s="818">
        <v>0</v>
      </c>
      <c r="V40" s="818">
        <f t="shared" ca="1" si="18"/>
        <v>162391.92963167635</v>
      </c>
      <c r="W40" s="306">
        <f t="shared" si="1"/>
        <v>0</v>
      </c>
      <c r="X40" s="306">
        <f t="shared" ca="1" si="2"/>
        <v>-3863.8086011679702</v>
      </c>
      <c r="Y40" s="306">
        <v>0</v>
      </c>
      <c r="Z40" s="306">
        <v>0</v>
      </c>
      <c r="AA40" s="308">
        <f ca="1">-SUM(W40,X40/OFFSET(GridFootprintbyYear,$A40-$A$19,0)*EF_PurchElec_MTperMWh,Z40)*OFFSET(ExposureCalculations!Price_GHG_Allowance_2010,A40-$A$19,0)*ExposureCalculations!D37</f>
        <v>186697.34209565757</v>
      </c>
      <c r="AB40" s="308">
        <f t="shared" ca="1" si="3"/>
        <v>513459.83032926579</v>
      </c>
      <c r="AC40" s="308">
        <v>0</v>
      </c>
      <c r="AD40" s="819">
        <f t="shared" ca="1" si="4"/>
        <v>0</v>
      </c>
      <c r="AE40" s="308">
        <v>0</v>
      </c>
      <c r="AF40" s="819">
        <f t="shared" ca="1" si="5"/>
        <v>0</v>
      </c>
      <c r="AG40" s="308">
        <v>0</v>
      </c>
      <c r="AH40" s="308">
        <v>0</v>
      </c>
      <c r="AI40" s="308">
        <v>0</v>
      </c>
      <c r="AJ40" s="308">
        <f t="shared" ca="1" si="6"/>
        <v>513459.83032926579</v>
      </c>
      <c r="AK40" s="309">
        <v>0</v>
      </c>
      <c r="AL40" s="309">
        <v>0</v>
      </c>
      <c r="AM40" s="309">
        <f t="shared" si="19"/>
        <v>0</v>
      </c>
      <c r="AN40" s="310">
        <v>0</v>
      </c>
      <c r="AO40" s="310">
        <f t="shared" si="24"/>
        <v>-50000</v>
      </c>
      <c r="AP40" s="310">
        <f t="shared" si="20"/>
        <v>-50000</v>
      </c>
      <c r="AQ40" s="309">
        <v>0</v>
      </c>
      <c r="AR40" s="311">
        <f t="shared" ca="1" si="7"/>
        <v>650157.1724249234</v>
      </c>
      <c r="AS40" s="870">
        <f t="shared" ca="1" si="21"/>
        <v>8293937.4021117799</v>
      </c>
      <c r="AT40" s="822"/>
      <c r="AU40" s="878"/>
      <c r="AV40" s="35"/>
      <c r="AW40" s="879"/>
      <c r="AX40" s="35"/>
      <c r="AY40" s="880"/>
      <c r="BA40" s="943">
        <f t="shared" si="25"/>
        <v>0.05</v>
      </c>
    </row>
    <row r="41" spans="1:53">
      <c r="A41" s="303">
        <v>2032</v>
      </c>
      <c r="B41" s="304">
        <f ca="1">IF($D$3="BAU",UtilityDemand!C34,INDIRECT($D$3&amp;"!B"&amp;ROW(A41))+INDIRECT($D$3&amp;"!D"&amp;ROW(A41)))</f>
        <v>108408.4241212051</v>
      </c>
      <c r="C41" s="305">
        <f t="shared" si="23"/>
        <v>0.05</v>
      </c>
      <c r="D41" s="306">
        <f t="shared" ca="1" si="8"/>
        <v>-5420.4212060602549</v>
      </c>
      <c r="E41" s="304">
        <f ca="1">IF($D$3="BAU",UtilityDemand!E34,INDIRECT($D$3&amp;"!E"&amp;ROW(D41))+INDIRECT($D$3&amp;"!G"&amp;ROW(D41)))</f>
        <v>483661.27826490649</v>
      </c>
      <c r="F41" s="305">
        <v>0</v>
      </c>
      <c r="G41" s="306">
        <f t="shared" ca="1" si="9"/>
        <v>0</v>
      </c>
      <c r="H41" s="304">
        <f ca="1">IF($D$3="BAU",UtilityDemand!G34,INDIRECT($D$3&amp;"!H"&amp;ROW(G41))+INDIRECT($D$3&amp;"!J"&amp;ROW(G41)))</f>
        <v>161518.43787318564</v>
      </c>
      <c r="I41" s="305">
        <v>0</v>
      </c>
      <c r="J41" s="306">
        <f t="shared" ca="1" si="22"/>
        <v>0</v>
      </c>
      <c r="K41" s="307">
        <f t="shared" ca="1" si="10"/>
        <v>102988.00291514484</v>
      </c>
      <c r="L41" s="307">
        <f t="shared" si="11"/>
        <v>0</v>
      </c>
      <c r="M41" s="307">
        <v>0</v>
      </c>
      <c r="N41" s="307">
        <f t="shared" ca="1" si="12"/>
        <v>102988.00291514484</v>
      </c>
      <c r="O41" s="1494">
        <f t="shared" ca="1" si="13"/>
        <v>483661.27826490649</v>
      </c>
      <c r="P41" s="306">
        <f t="shared" si="14"/>
        <v>0</v>
      </c>
      <c r="Q41" s="306">
        <v>0</v>
      </c>
      <c r="R41" s="306">
        <f t="shared" ca="1" si="15"/>
        <v>483661.27826490649</v>
      </c>
      <c r="S41" s="818">
        <f t="shared" ca="1" si="16"/>
        <v>161518.43787318564</v>
      </c>
      <c r="T41" s="818">
        <f t="shared" si="17"/>
        <v>0</v>
      </c>
      <c r="U41" s="818">
        <v>0</v>
      </c>
      <c r="V41" s="818">
        <f t="shared" ca="1" si="18"/>
        <v>161518.43787318564</v>
      </c>
      <c r="W41" s="306">
        <f t="shared" si="1"/>
        <v>0</v>
      </c>
      <c r="X41" s="306">
        <f t="shared" ca="1" si="2"/>
        <v>-3849.8906146305685</v>
      </c>
      <c r="Y41" s="306">
        <v>0</v>
      </c>
      <c r="Z41" s="306">
        <v>0</v>
      </c>
      <c r="AA41" s="308">
        <f ca="1">-SUM(W41,X41/OFFSET(GridFootprintbyYear,$A41-$A$19,0)*EF_PurchElec_MTperMWh,Z41)*OFFSET(ExposureCalculations!Price_GHG_Allowance_2010,A41-$A$19,0)*ExposureCalculations!D38</f>
        <v>199927.78008540967</v>
      </c>
      <c r="AB41" s="308">
        <f t="shared" ca="1" si="3"/>
        <v>514168.32657880191</v>
      </c>
      <c r="AC41" s="308">
        <v>0</v>
      </c>
      <c r="AD41" s="819">
        <f t="shared" ca="1" si="4"/>
        <v>0</v>
      </c>
      <c r="AE41" s="308">
        <v>0</v>
      </c>
      <c r="AF41" s="819">
        <f t="shared" ca="1" si="5"/>
        <v>0</v>
      </c>
      <c r="AG41" s="308">
        <v>0</v>
      </c>
      <c r="AH41" s="308">
        <v>0</v>
      </c>
      <c r="AI41" s="308">
        <v>0</v>
      </c>
      <c r="AJ41" s="308">
        <f t="shared" ca="1" si="6"/>
        <v>514168.32657880191</v>
      </c>
      <c r="AK41" s="309">
        <v>0</v>
      </c>
      <c r="AL41" s="309">
        <v>0</v>
      </c>
      <c r="AM41" s="309">
        <f t="shared" si="19"/>
        <v>0</v>
      </c>
      <c r="AN41" s="310">
        <v>0</v>
      </c>
      <c r="AO41" s="310">
        <f t="shared" si="24"/>
        <v>-50000</v>
      </c>
      <c r="AP41" s="310">
        <f t="shared" si="20"/>
        <v>-50000</v>
      </c>
      <c r="AQ41" s="309">
        <v>0</v>
      </c>
      <c r="AR41" s="311">
        <f t="shared" ca="1" si="7"/>
        <v>664096.10666421161</v>
      </c>
      <c r="AS41" s="870">
        <f t="shared" ca="1" si="21"/>
        <v>8958033.5087759923</v>
      </c>
      <c r="AT41" s="822"/>
      <c r="AU41" s="878"/>
      <c r="AV41" s="35"/>
      <c r="AW41" s="879"/>
      <c r="AX41" s="35"/>
      <c r="AY41" s="880"/>
      <c r="BA41" s="943">
        <f t="shared" si="25"/>
        <v>0.05</v>
      </c>
    </row>
    <row r="42" spans="1:53">
      <c r="A42" s="303">
        <v>2033</v>
      </c>
      <c r="B42" s="304">
        <f ca="1">IF($D$3="BAU",UtilityDemand!C35,INDIRECT($D$3&amp;"!B"&amp;ROW(A42))+INDIRECT($D$3&amp;"!D"&amp;ROW(A42)))</f>
        <v>108015.62604265516</v>
      </c>
      <c r="C42" s="305">
        <f t="shared" si="23"/>
        <v>0.05</v>
      </c>
      <c r="D42" s="306">
        <f t="shared" ca="1" si="8"/>
        <v>-5400.7813021327584</v>
      </c>
      <c r="E42" s="304">
        <f ca="1">IF($D$3="BAU",UtilityDemand!E35,INDIRECT($D$3&amp;"!E"&amp;ROW(D42))+INDIRECT($D$3&amp;"!G"&amp;ROW(D42)))</f>
        <v>477256.3468416417</v>
      </c>
      <c r="F42" s="305">
        <v>0</v>
      </c>
      <c r="G42" s="306">
        <f t="shared" ca="1" si="9"/>
        <v>0</v>
      </c>
      <c r="H42" s="304">
        <f ca="1">IF($D$3="BAU",UtilityDemand!G35,INDIRECT($D$3&amp;"!H"&amp;ROW(G42))+INDIRECT($D$3&amp;"!J"&amp;ROW(G42)))</f>
        <v>160644.06228475407</v>
      </c>
      <c r="I42" s="305">
        <v>0</v>
      </c>
      <c r="J42" s="306">
        <f t="shared" ca="1" si="22"/>
        <v>0</v>
      </c>
      <c r="K42" s="307">
        <f t="shared" ca="1" si="10"/>
        <v>102614.8447405224</v>
      </c>
      <c r="L42" s="307">
        <f t="shared" si="11"/>
        <v>0</v>
      </c>
      <c r="M42" s="307">
        <v>0</v>
      </c>
      <c r="N42" s="307">
        <f t="shared" ca="1" si="12"/>
        <v>102614.8447405224</v>
      </c>
      <c r="O42" s="1494">
        <f t="shared" ca="1" si="13"/>
        <v>477256.3468416417</v>
      </c>
      <c r="P42" s="306">
        <f t="shared" si="14"/>
        <v>0</v>
      </c>
      <c r="Q42" s="306">
        <v>0</v>
      </c>
      <c r="R42" s="306">
        <f t="shared" ca="1" si="15"/>
        <v>477256.3468416417</v>
      </c>
      <c r="S42" s="818">
        <f t="shared" ca="1" si="16"/>
        <v>160644.06228475407</v>
      </c>
      <c r="T42" s="818">
        <f t="shared" si="17"/>
        <v>0</v>
      </c>
      <c r="U42" s="818">
        <v>0</v>
      </c>
      <c r="V42" s="818">
        <f t="shared" ca="1" si="18"/>
        <v>160644.06228475407</v>
      </c>
      <c r="W42" s="306">
        <f t="shared" si="1"/>
        <v>0</v>
      </c>
      <c r="X42" s="306">
        <f t="shared" ca="1" si="2"/>
        <v>-3835.9412407851964</v>
      </c>
      <c r="Y42" s="306">
        <v>0</v>
      </c>
      <c r="Z42" s="306">
        <v>0</v>
      </c>
      <c r="AA42" s="308">
        <f ca="1">-SUM(W42,X42/OFFSET(GridFootprintbyYear,$A42-$A$19,0)*EF_PurchElec_MTperMWh,Z42)*OFFSET(ExposureCalculations!Price_GHG_Allowance_2010,A42-$A$19,0)*ExposureCalculations!D39</f>
        <v>211621.3794844074</v>
      </c>
      <c r="AB42" s="308">
        <f t="shared" ca="1" si="3"/>
        <v>514866.85843475343</v>
      </c>
      <c r="AC42" s="308">
        <v>0</v>
      </c>
      <c r="AD42" s="819">
        <f t="shared" ca="1" si="4"/>
        <v>0</v>
      </c>
      <c r="AE42" s="308">
        <v>0</v>
      </c>
      <c r="AF42" s="819">
        <f t="shared" ca="1" si="5"/>
        <v>0</v>
      </c>
      <c r="AG42" s="308">
        <v>0</v>
      </c>
      <c r="AH42" s="308">
        <v>0</v>
      </c>
      <c r="AI42" s="308">
        <v>0</v>
      </c>
      <c r="AJ42" s="308">
        <f t="shared" ca="1" si="6"/>
        <v>514866.85843475343</v>
      </c>
      <c r="AK42" s="309">
        <v>0</v>
      </c>
      <c r="AL42" s="309">
        <v>0</v>
      </c>
      <c r="AM42" s="309">
        <f t="shared" si="19"/>
        <v>0</v>
      </c>
      <c r="AN42" s="310">
        <v>0</v>
      </c>
      <c r="AO42" s="310">
        <f t="shared" si="24"/>
        <v>-50000</v>
      </c>
      <c r="AP42" s="310">
        <f t="shared" si="20"/>
        <v>-50000</v>
      </c>
      <c r="AQ42" s="309">
        <v>0</v>
      </c>
      <c r="AR42" s="311">
        <f t="shared" ca="1" si="7"/>
        <v>676488.23791916086</v>
      </c>
      <c r="AS42" s="870">
        <f t="shared" ca="1" si="21"/>
        <v>9634521.7466951534</v>
      </c>
      <c r="AT42" s="822"/>
      <c r="AU42" s="878"/>
      <c r="AV42" s="35"/>
      <c r="AW42" s="879"/>
      <c r="AX42" s="35"/>
      <c r="AY42" s="880"/>
      <c r="BA42" s="943">
        <f t="shared" si="25"/>
        <v>0.05</v>
      </c>
    </row>
    <row r="43" spans="1:53">
      <c r="A43" s="303">
        <v>2034</v>
      </c>
      <c r="B43" s="304">
        <f ca="1">IF($D$3="BAU",UtilityDemand!C36,INDIRECT($D$3&amp;"!B"&amp;ROW(A43))+INDIRECT($D$3&amp;"!D"&amp;ROW(A43)))</f>
        <v>107888.36858954668</v>
      </c>
      <c r="C43" s="305">
        <f t="shared" si="23"/>
        <v>0.05</v>
      </c>
      <c r="D43" s="306">
        <f t="shared" ca="1" si="8"/>
        <v>-5394.418429477334</v>
      </c>
      <c r="E43" s="304">
        <f ca="1">IF($D$3="BAU",UtilityDemand!E36,INDIRECT($D$3&amp;"!E"&amp;ROW(D43))+INDIRECT($D$3&amp;"!G"&amp;ROW(D43)))</f>
        <v>476579.89291837648</v>
      </c>
      <c r="F43" s="305">
        <v>0</v>
      </c>
      <c r="G43" s="306">
        <f t="shared" ca="1" si="9"/>
        <v>0</v>
      </c>
      <c r="H43" s="304">
        <f ca="1">IF($D$3="BAU",UtilityDemand!G36,INDIRECT($D$3&amp;"!H"&amp;ROW(G43))+INDIRECT($D$3&amp;"!J"&amp;ROW(G43)))</f>
        <v>161466.16012176394</v>
      </c>
      <c r="I43" s="305">
        <v>0</v>
      </c>
      <c r="J43" s="306">
        <f t="shared" ca="1" si="22"/>
        <v>0</v>
      </c>
      <c r="K43" s="307">
        <f t="shared" ca="1" si="10"/>
        <v>102493.95016006935</v>
      </c>
      <c r="L43" s="307">
        <f t="shared" si="11"/>
        <v>0</v>
      </c>
      <c r="M43" s="307">
        <v>0</v>
      </c>
      <c r="N43" s="307">
        <f t="shared" ca="1" si="12"/>
        <v>102493.95016006935</v>
      </c>
      <c r="O43" s="1494">
        <f t="shared" ca="1" si="13"/>
        <v>476579.89291837648</v>
      </c>
      <c r="P43" s="306">
        <f t="shared" si="14"/>
        <v>0</v>
      </c>
      <c r="Q43" s="306">
        <v>0</v>
      </c>
      <c r="R43" s="306">
        <f t="shared" ca="1" si="15"/>
        <v>476579.89291837648</v>
      </c>
      <c r="S43" s="818">
        <f t="shared" ca="1" si="16"/>
        <v>161466.16012176394</v>
      </c>
      <c r="T43" s="818">
        <f t="shared" si="17"/>
        <v>0</v>
      </c>
      <c r="U43" s="818">
        <v>0</v>
      </c>
      <c r="V43" s="818">
        <f t="shared" ca="1" si="18"/>
        <v>161466.16012176394</v>
      </c>
      <c r="W43" s="306">
        <f t="shared" si="1"/>
        <v>0</v>
      </c>
      <c r="X43" s="306">
        <f t="shared" ca="1" si="2"/>
        <v>-3831.4219676905486</v>
      </c>
      <c r="Y43" s="306">
        <v>0</v>
      </c>
      <c r="Z43" s="306">
        <v>0</v>
      </c>
      <c r="AA43" s="308">
        <f ca="1">-SUM(W43,X43/OFFSET(GridFootprintbyYear,$A43-$A$19,0)*EF_PurchElec_MTperMWh,Z43)*OFFSET(ExposureCalculations!Price_GHG_Allowance_2010,A43-$A$19,0)*ExposureCalculations!D40</f>
        <v>222272.19995466043</v>
      </c>
      <c r="AB43" s="308">
        <f t="shared" ca="1" si="3"/>
        <v>516831.57492687076</v>
      </c>
      <c r="AC43" s="308">
        <v>0</v>
      </c>
      <c r="AD43" s="819">
        <f t="shared" ca="1" si="4"/>
        <v>0</v>
      </c>
      <c r="AE43" s="308">
        <v>0</v>
      </c>
      <c r="AF43" s="819">
        <f t="shared" ca="1" si="5"/>
        <v>0</v>
      </c>
      <c r="AG43" s="308">
        <v>0</v>
      </c>
      <c r="AH43" s="308">
        <v>0</v>
      </c>
      <c r="AI43" s="308">
        <v>0</v>
      </c>
      <c r="AJ43" s="308">
        <f t="shared" ca="1" si="6"/>
        <v>516831.57492687076</v>
      </c>
      <c r="AK43" s="309">
        <v>0</v>
      </c>
      <c r="AL43" s="309">
        <v>0</v>
      </c>
      <c r="AM43" s="309">
        <f t="shared" si="19"/>
        <v>0</v>
      </c>
      <c r="AN43" s="310">
        <v>0</v>
      </c>
      <c r="AO43" s="310">
        <f t="shared" si="24"/>
        <v>-50000</v>
      </c>
      <c r="AP43" s="310">
        <f t="shared" si="20"/>
        <v>-50000</v>
      </c>
      <c r="AQ43" s="309">
        <v>0</v>
      </c>
      <c r="AR43" s="311">
        <f t="shared" ca="1" si="7"/>
        <v>689103.77488153125</v>
      </c>
      <c r="AS43" s="870">
        <f t="shared" ca="1" si="21"/>
        <v>10323625.521576684</v>
      </c>
      <c r="AT43" s="822"/>
      <c r="AU43" s="878"/>
      <c r="AV43" s="35"/>
      <c r="AW43" s="879"/>
      <c r="AX43" s="35"/>
      <c r="AY43" s="880"/>
      <c r="BA43" s="943">
        <f t="shared" si="25"/>
        <v>0.05</v>
      </c>
    </row>
    <row r="44" spans="1:53">
      <c r="A44" s="303">
        <v>2035</v>
      </c>
      <c r="B44" s="304">
        <f ca="1">IF($D$3="BAU",UtilityDemand!C37,INDIRECT($D$3&amp;"!B"&amp;ROW(A44))+INDIRECT($D$3&amp;"!D"&amp;ROW(A44)))</f>
        <v>107760.27532327401</v>
      </c>
      <c r="C44" s="305">
        <f t="shared" si="23"/>
        <v>0.05</v>
      </c>
      <c r="D44" s="306">
        <f t="shared" ca="1" si="8"/>
        <v>-5388.0137661637009</v>
      </c>
      <c r="E44" s="304">
        <f ca="1">IF($D$3="BAU",UtilityDemand!E37,INDIRECT($D$3&amp;"!E"&amp;ROW(D44))+INDIRECT($D$3&amp;"!G"&amp;ROW(D44)))</f>
        <v>475903.43899511173</v>
      </c>
      <c r="F44" s="305">
        <v>0</v>
      </c>
      <c r="G44" s="306">
        <f t="shared" ca="1" si="9"/>
        <v>0</v>
      </c>
      <c r="H44" s="304">
        <f ca="1">IF($D$3="BAU",UtilityDemand!G37,INDIRECT($D$3&amp;"!H"&amp;ROW(G44))+INDIRECT($D$3&amp;"!J"&amp;ROW(G44)))</f>
        <v>162287.42214560963</v>
      </c>
      <c r="I44" s="305">
        <v>0</v>
      </c>
      <c r="J44" s="306">
        <f t="shared" ca="1" si="22"/>
        <v>0</v>
      </c>
      <c r="K44" s="307">
        <f t="shared" ca="1" si="10"/>
        <v>102372.26155711031</v>
      </c>
      <c r="L44" s="307">
        <f t="shared" si="11"/>
        <v>0</v>
      </c>
      <c r="M44" s="307">
        <v>0</v>
      </c>
      <c r="N44" s="307">
        <f t="shared" ca="1" si="12"/>
        <v>102372.26155711031</v>
      </c>
      <c r="O44" s="1494">
        <f t="shared" ca="1" si="13"/>
        <v>475903.43899511173</v>
      </c>
      <c r="P44" s="306">
        <f t="shared" si="14"/>
        <v>0</v>
      </c>
      <c r="Q44" s="306">
        <v>0</v>
      </c>
      <c r="R44" s="306">
        <f t="shared" ca="1" si="15"/>
        <v>475903.43899511173</v>
      </c>
      <c r="S44" s="818">
        <f t="shared" ca="1" si="16"/>
        <v>162287.42214560963</v>
      </c>
      <c r="T44" s="818">
        <f t="shared" si="17"/>
        <v>0</v>
      </c>
      <c r="U44" s="818">
        <v>0</v>
      </c>
      <c r="V44" s="818">
        <f t="shared" ca="1" si="18"/>
        <v>162287.42214560963</v>
      </c>
      <c r="W44" s="306">
        <f t="shared" si="1"/>
        <v>0</v>
      </c>
      <c r="X44" s="306">
        <f t="shared" ca="1" si="2"/>
        <v>-3826.8730124998601</v>
      </c>
      <c r="Y44" s="306">
        <v>0</v>
      </c>
      <c r="Z44" s="306">
        <v>0</v>
      </c>
      <c r="AA44" s="308">
        <f ca="1">-SUM(W44,X44/OFFSET(GridFootprintbyYear,$A44-$A$19,0)*EF_PurchElec_MTperMWh,Z44)*OFFSET(ExposureCalculations!Price_GHG_Allowance_2010,A44-$A$19,0)*ExposureCalculations!D41</f>
        <v>233119.04548541587</v>
      </c>
      <c r="AB44" s="308">
        <f t="shared" ca="1" si="3"/>
        <v>518799.04298926884</v>
      </c>
      <c r="AC44" s="308">
        <v>0</v>
      </c>
      <c r="AD44" s="819">
        <f t="shared" ca="1" si="4"/>
        <v>0</v>
      </c>
      <c r="AE44" s="308">
        <v>0</v>
      </c>
      <c r="AF44" s="819">
        <f t="shared" ca="1" si="5"/>
        <v>0</v>
      </c>
      <c r="AG44" s="308">
        <v>0</v>
      </c>
      <c r="AH44" s="308">
        <v>0</v>
      </c>
      <c r="AI44" s="308">
        <v>0</v>
      </c>
      <c r="AJ44" s="308">
        <f t="shared" ca="1" si="6"/>
        <v>518799.04298926884</v>
      </c>
      <c r="AK44" s="309">
        <v>0</v>
      </c>
      <c r="AL44" s="309">
        <v>0</v>
      </c>
      <c r="AM44" s="309">
        <f t="shared" si="19"/>
        <v>0</v>
      </c>
      <c r="AN44" s="310">
        <v>0</v>
      </c>
      <c r="AO44" s="310">
        <f t="shared" si="24"/>
        <v>-50000</v>
      </c>
      <c r="AP44" s="310">
        <f t="shared" si="20"/>
        <v>-50000</v>
      </c>
      <c r="AQ44" s="309">
        <v>0</v>
      </c>
      <c r="AR44" s="311">
        <f t="shared" ca="1" si="7"/>
        <v>701918.08847468474</v>
      </c>
      <c r="AS44" s="870">
        <f t="shared" ca="1" si="21"/>
        <v>11025543.610051369</v>
      </c>
      <c r="AT44" s="822"/>
      <c r="AU44" s="878"/>
      <c r="AV44" s="35"/>
      <c r="AW44" s="879"/>
      <c r="AX44" s="35"/>
      <c r="AY44" s="880"/>
      <c r="BA44" s="943">
        <f t="shared" si="25"/>
        <v>0.05</v>
      </c>
    </row>
    <row r="45" spans="1:53">
      <c r="A45" s="303">
        <v>2036</v>
      </c>
      <c r="B45" s="304">
        <f ca="1">IF($D$3="BAU",UtilityDemand!C38,INDIRECT($D$3&amp;"!B"&amp;ROW(A45))+INDIRECT($D$3&amp;"!D"&amp;ROW(A45)))</f>
        <v>107631.36895172419</v>
      </c>
      <c r="C45" s="305">
        <f t="shared" si="23"/>
        <v>0.05</v>
      </c>
      <c r="D45" s="306">
        <f t="shared" ca="1" si="8"/>
        <v>-5381.5684475862099</v>
      </c>
      <c r="E45" s="304">
        <f ca="1">IF($D$3="BAU",UtilityDemand!E38,INDIRECT($D$3&amp;"!E"&amp;ROW(D45))+INDIRECT($D$3&amp;"!G"&amp;ROW(D45)))</f>
        <v>475226.98507184675</v>
      </c>
      <c r="F45" s="305">
        <v>0</v>
      </c>
      <c r="G45" s="306">
        <f t="shared" ca="1" si="9"/>
        <v>0</v>
      </c>
      <c r="H45" s="304">
        <f ca="1">IF($D$3="BAU",UtilityDemand!G38,INDIRECT($D$3&amp;"!H"&amp;ROW(G45))+INDIRECT($D$3&amp;"!J"&amp;ROW(G45)))</f>
        <v>163107.87106417818</v>
      </c>
      <c r="I45" s="305">
        <v>0</v>
      </c>
      <c r="J45" s="306">
        <f t="shared" ca="1" si="22"/>
        <v>0</v>
      </c>
      <c r="K45" s="307">
        <f t="shared" ca="1" si="10"/>
        <v>102249.80050413798</v>
      </c>
      <c r="L45" s="307">
        <f t="shared" si="11"/>
        <v>0</v>
      </c>
      <c r="M45" s="307">
        <v>0</v>
      </c>
      <c r="N45" s="307">
        <f t="shared" ca="1" si="12"/>
        <v>102249.80050413798</v>
      </c>
      <c r="O45" s="1494">
        <f t="shared" ca="1" si="13"/>
        <v>475226.98507184675</v>
      </c>
      <c r="P45" s="306">
        <f t="shared" si="14"/>
        <v>0</v>
      </c>
      <c r="Q45" s="306">
        <v>0</v>
      </c>
      <c r="R45" s="306">
        <f t="shared" ca="1" si="15"/>
        <v>475226.98507184675</v>
      </c>
      <c r="S45" s="818">
        <f t="shared" ca="1" si="16"/>
        <v>163107.87106417818</v>
      </c>
      <c r="T45" s="818">
        <f t="shared" si="17"/>
        <v>0</v>
      </c>
      <c r="U45" s="818">
        <v>0</v>
      </c>
      <c r="V45" s="818">
        <f t="shared" ca="1" si="18"/>
        <v>163107.87106417818</v>
      </c>
      <c r="W45" s="306">
        <f t="shared" si="1"/>
        <v>0</v>
      </c>
      <c r="X45" s="306">
        <f t="shared" ca="1" si="2"/>
        <v>-3822.2951816346049</v>
      </c>
      <c r="Y45" s="306">
        <v>0</v>
      </c>
      <c r="Z45" s="306">
        <v>0</v>
      </c>
      <c r="AA45" s="308">
        <f ca="1">-SUM(W45,X45/OFFSET(GridFootprintbyYear,$A45-$A$19,0)*EF_PurchElec_MTperMWh,Z45)*OFFSET(ExposureCalculations!Price_GHG_Allowance_2010,A45-$A$19,0)*ExposureCalculations!D42</f>
        <v>245823.88672131029</v>
      </c>
      <c r="AB45" s="308">
        <f t="shared" ca="1" si="3"/>
        <v>520769.33077116887</v>
      </c>
      <c r="AC45" s="308">
        <v>0</v>
      </c>
      <c r="AD45" s="819">
        <f t="shared" ca="1" si="4"/>
        <v>0</v>
      </c>
      <c r="AE45" s="308">
        <v>0</v>
      </c>
      <c r="AF45" s="819">
        <f t="shared" ca="1" si="5"/>
        <v>0</v>
      </c>
      <c r="AG45" s="308">
        <v>0</v>
      </c>
      <c r="AH45" s="308">
        <v>0</v>
      </c>
      <c r="AI45" s="308">
        <v>0</v>
      </c>
      <c r="AJ45" s="308">
        <f t="shared" ca="1" si="6"/>
        <v>520769.33077116887</v>
      </c>
      <c r="AK45" s="309">
        <v>0</v>
      </c>
      <c r="AL45" s="309">
        <v>0</v>
      </c>
      <c r="AM45" s="309">
        <f t="shared" si="19"/>
        <v>0</v>
      </c>
      <c r="AN45" s="310">
        <v>0</v>
      </c>
      <c r="AO45" s="310">
        <f t="shared" si="24"/>
        <v>-50000</v>
      </c>
      <c r="AP45" s="310">
        <f t="shared" si="20"/>
        <v>-50000</v>
      </c>
      <c r="AQ45" s="309">
        <v>0</v>
      </c>
      <c r="AR45" s="311">
        <f t="shared" ca="1" si="7"/>
        <v>716593.21749247913</v>
      </c>
      <c r="AS45" s="870">
        <f t="shared" ca="1" si="21"/>
        <v>11742136.827543849</v>
      </c>
      <c r="AT45" s="822"/>
      <c r="AU45" s="878"/>
      <c r="AV45" s="35"/>
      <c r="AW45" s="879"/>
      <c r="AX45" s="35"/>
      <c r="AY45" s="880"/>
      <c r="BA45" s="943">
        <f t="shared" si="25"/>
        <v>0.05</v>
      </c>
    </row>
    <row r="46" spans="1:53">
      <c r="A46" s="303">
        <v>2037</v>
      </c>
      <c r="B46" s="304">
        <f ca="1">IF($D$3="BAU",UtilityDemand!C39,INDIRECT($D$3&amp;"!B"&amp;ROW(A46))+INDIRECT($D$3&amp;"!D"&amp;ROW(A46)))</f>
        <v>107501.67136757774</v>
      </c>
      <c r="C46" s="305">
        <f t="shared" si="23"/>
        <v>0.05</v>
      </c>
      <c r="D46" s="306">
        <f t="shared" ca="1" si="8"/>
        <v>-5375.0835683788873</v>
      </c>
      <c r="E46" s="304">
        <f ca="1">IF($D$3="BAU",UtilityDemand!E39,INDIRECT($D$3&amp;"!E"&amp;ROW(D46))+INDIRECT($D$3&amp;"!G"&amp;ROW(D46)))</f>
        <v>474550.53114858177</v>
      </c>
      <c r="F46" s="305">
        <v>0</v>
      </c>
      <c r="G46" s="306">
        <f t="shared" ca="1" si="9"/>
        <v>0</v>
      </c>
      <c r="H46" s="304">
        <f ca="1">IF($D$3="BAU",UtilityDemand!G39,INDIRECT($D$3&amp;"!H"&amp;ROW(G46))+INDIRECT($D$3&amp;"!J"&amp;ROW(G46)))</f>
        <v>163927.52877015012</v>
      </c>
      <c r="I46" s="305">
        <v>0</v>
      </c>
      <c r="J46" s="306">
        <f t="shared" ca="1" si="22"/>
        <v>0</v>
      </c>
      <c r="K46" s="307">
        <f t="shared" ca="1" si="10"/>
        <v>102126.58779919885</v>
      </c>
      <c r="L46" s="307">
        <f t="shared" si="11"/>
        <v>0</v>
      </c>
      <c r="M46" s="307">
        <v>0</v>
      </c>
      <c r="N46" s="307">
        <f t="shared" ca="1" si="12"/>
        <v>102126.58779919885</v>
      </c>
      <c r="O46" s="1494">
        <f t="shared" ca="1" si="13"/>
        <v>474550.53114858177</v>
      </c>
      <c r="P46" s="306">
        <f t="shared" si="14"/>
        <v>0</v>
      </c>
      <c r="Q46" s="306">
        <v>0</v>
      </c>
      <c r="R46" s="306">
        <f t="shared" ca="1" si="15"/>
        <v>474550.53114858177</v>
      </c>
      <c r="S46" s="818">
        <f t="shared" ca="1" si="16"/>
        <v>163927.52877015012</v>
      </c>
      <c r="T46" s="818">
        <f t="shared" si="17"/>
        <v>0</v>
      </c>
      <c r="U46" s="818">
        <v>0</v>
      </c>
      <c r="V46" s="818">
        <f t="shared" ca="1" si="18"/>
        <v>163927.52877015012</v>
      </c>
      <c r="W46" s="306">
        <f t="shared" si="1"/>
        <v>0</v>
      </c>
      <c r="X46" s="306">
        <f t="shared" ca="1" si="2"/>
        <v>-3817.6892525659619</v>
      </c>
      <c r="Y46" s="306">
        <v>0</v>
      </c>
      <c r="Z46" s="306">
        <v>0</v>
      </c>
      <c r="AA46" s="308">
        <f ca="1">-SUM(W46,X46/OFFSET(GridFootprintbyYear,$A46-$A$19,0)*EF_PurchElec_MTperMWh,Z46)*OFFSET(ExposureCalculations!Price_GHG_Allowance_2010,A46-$A$19,0)*ExposureCalculations!D43</f>
        <v>258439.35608886936</v>
      </c>
      <c r="AB46" s="308">
        <f t="shared" ca="1" si="3"/>
        <v>522742.50406854681</v>
      </c>
      <c r="AC46" s="308">
        <v>0</v>
      </c>
      <c r="AD46" s="819">
        <f t="shared" ca="1" si="4"/>
        <v>0</v>
      </c>
      <c r="AE46" s="308">
        <v>0</v>
      </c>
      <c r="AF46" s="819">
        <f t="shared" ca="1" si="5"/>
        <v>0</v>
      </c>
      <c r="AG46" s="308">
        <v>0</v>
      </c>
      <c r="AH46" s="308">
        <v>0</v>
      </c>
      <c r="AI46" s="308">
        <v>0</v>
      </c>
      <c r="AJ46" s="308">
        <f t="shared" ca="1" si="6"/>
        <v>522742.50406854681</v>
      </c>
      <c r="AK46" s="309">
        <v>0</v>
      </c>
      <c r="AL46" s="309">
        <v>0</v>
      </c>
      <c r="AM46" s="309">
        <f t="shared" si="19"/>
        <v>0</v>
      </c>
      <c r="AN46" s="310">
        <v>0</v>
      </c>
      <c r="AO46" s="310">
        <f t="shared" si="24"/>
        <v>-50000</v>
      </c>
      <c r="AP46" s="310">
        <f t="shared" si="20"/>
        <v>-50000</v>
      </c>
      <c r="AQ46" s="309">
        <v>0</v>
      </c>
      <c r="AR46" s="311">
        <f t="shared" ca="1" si="7"/>
        <v>731181.8601574162</v>
      </c>
      <c r="AS46" s="870">
        <f t="shared" ca="1" si="21"/>
        <v>12473318.687701266</v>
      </c>
      <c r="AT46" s="822"/>
      <c r="AU46" s="878"/>
      <c r="AV46" s="35"/>
      <c r="AW46" s="879"/>
      <c r="AX46" s="35"/>
      <c r="AY46" s="880"/>
      <c r="BA46" s="943">
        <f t="shared" si="25"/>
        <v>0.05</v>
      </c>
    </row>
    <row r="47" spans="1:53">
      <c r="A47" s="303">
        <v>2038</v>
      </c>
      <c r="B47" s="304">
        <f ca="1">IF($D$3="BAU",UtilityDemand!C40,INDIRECT($D$3&amp;"!B"&amp;ROW(A47))+INDIRECT($D$3&amp;"!D"&amp;ROW(A47)))</f>
        <v>107371.20368456552</v>
      </c>
      <c r="C47" s="305">
        <f t="shared" si="23"/>
        <v>0.05</v>
      </c>
      <c r="D47" s="306">
        <f t="shared" ca="1" si="8"/>
        <v>-5368.5601842282767</v>
      </c>
      <c r="E47" s="304">
        <f ca="1">IF($D$3="BAU",UtilityDemand!E40,INDIRECT($D$3&amp;"!E"&amp;ROW(D47))+INDIRECT($D$3&amp;"!G"&amp;ROW(D47)))</f>
        <v>473874.07722531701</v>
      </c>
      <c r="F47" s="305">
        <v>0</v>
      </c>
      <c r="G47" s="306">
        <f t="shared" ca="1" si="9"/>
        <v>0</v>
      </c>
      <c r="H47" s="304">
        <f ca="1">IF($D$3="BAU",UtilityDemand!G40,INDIRECT($D$3&amp;"!H"&amp;ROW(G47))+INDIRECT($D$3&amp;"!J"&amp;ROW(G47)))</f>
        <v>164746.41637725622</v>
      </c>
      <c r="I47" s="305">
        <v>0</v>
      </c>
      <c r="J47" s="306">
        <f t="shared" ca="1" si="22"/>
        <v>0</v>
      </c>
      <c r="K47" s="307">
        <f t="shared" ca="1" si="10"/>
        <v>102002.64350033725</v>
      </c>
      <c r="L47" s="307">
        <f t="shared" si="11"/>
        <v>0</v>
      </c>
      <c r="M47" s="307">
        <v>0</v>
      </c>
      <c r="N47" s="307">
        <f t="shared" ca="1" si="12"/>
        <v>102002.64350033725</v>
      </c>
      <c r="O47" s="1494">
        <f t="shared" ca="1" si="13"/>
        <v>473874.07722531701</v>
      </c>
      <c r="P47" s="306">
        <f t="shared" si="14"/>
        <v>0</v>
      </c>
      <c r="Q47" s="306">
        <v>0</v>
      </c>
      <c r="R47" s="306">
        <f t="shared" ca="1" si="15"/>
        <v>473874.07722531701</v>
      </c>
      <c r="S47" s="818">
        <f t="shared" ca="1" si="16"/>
        <v>164746.41637725622</v>
      </c>
      <c r="T47" s="818">
        <f t="shared" si="17"/>
        <v>0</v>
      </c>
      <c r="U47" s="818">
        <v>0</v>
      </c>
      <c r="V47" s="818">
        <f t="shared" ca="1" si="18"/>
        <v>164746.41637725622</v>
      </c>
      <c r="W47" s="306">
        <f t="shared" si="1"/>
        <v>0</v>
      </c>
      <c r="X47" s="306">
        <f t="shared" ca="1" si="2"/>
        <v>-3813.0559751023975</v>
      </c>
      <c r="Y47" s="306">
        <v>0</v>
      </c>
      <c r="Z47" s="306">
        <v>0</v>
      </c>
      <c r="AA47" s="308">
        <f ca="1">-SUM(W47,X47/OFFSET(GridFootprintbyYear,$A47-$A$19,0)*EF_PurchElec_MTperMWh,Z47)*OFFSET(ExposureCalculations!Price_GHG_Allowance_2010,A47-$A$19,0)*ExposureCalculations!D44</f>
        <v>270931.24932232767</v>
      </c>
      <c r="AB47" s="308">
        <f t="shared" ca="1" si="3"/>
        <v>524718.62642436032</v>
      </c>
      <c r="AC47" s="308">
        <v>0</v>
      </c>
      <c r="AD47" s="819">
        <f t="shared" ca="1" si="4"/>
        <v>0</v>
      </c>
      <c r="AE47" s="308">
        <v>0</v>
      </c>
      <c r="AF47" s="819">
        <f t="shared" ca="1" si="5"/>
        <v>0</v>
      </c>
      <c r="AG47" s="308">
        <v>0</v>
      </c>
      <c r="AH47" s="308">
        <v>0</v>
      </c>
      <c r="AI47" s="308">
        <v>0</v>
      </c>
      <c r="AJ47" s="308">
        <f t="shared" ca="1" si="6"/>
        <v>524718.62642436032</v>
      </c>
      <c r="AK47" s="309">
        <v>0</v>
      </c>
      <c r="AL47" s="309">
        <v>0</v>
      </c>
      <c r="AM47" s="309">
        <f t="shared" si="19"/>
        <v>0</v>
      </c>
      <c r="AN47" s="310">
        <v>0</v>
      </c>
      <c r="AO47" s="310">
        <f t="shared" si="24"/>
        <v>-50000</v>
      </c>
      <c r="AP47" s="310">
        <f t="shared" si="20"/>
        <v>-50000</v>
      </c>
      <c r="AQ47" s="309">
        <v>0</v>
      </c>
      <c r="AR47" s="311">
        <f t="shared" ca="1" si="7"/>
        <v>745649.87574668799</v>
      </c>
      <c r="AS47" s="870">
        <f t="shared" ca="1" si="21"/>
        <v>13218968.563447954</v>
      </c>
      <c r="AT47" s="822"/>
      <c r="AU47" s="878"/>
      <c r="AV47" s="35"/>
      <c r="AW47" s="879"/>
      <c r="AX47" s="35"/>
      <c r="AY47" s="880"/>
      <c r="BA47" s="943">
        <f t="shared" si="25"/>
        <v>0.05</v>
      </c>
    </row>
    <row r="48" spans="1:53">
      <c r="A48" s="303">
        <v>2039</v>
      </c>
      <c r="B48" s="304">
        <f ca="1">IF($D$3="BAU",UtilityDemand!C41,INDIRECT($D$3&amp;"!B"&amp;ROW(A48))+INDIRECT($D$3&amp;"!D"&amp;ROW(A48)))</f>
        <v>107239.98627180712</v>
      </c>
      <c r="C48" s="305">
        <f t="shared" si="23"/>
        <v>0.05</v>
      </c>
      <c r="D48" s="306">
        <f t="shared" ca="1" si="8"/>
        <v>-5361.9993135903569</v>
      </c>
      <c r="E48" s="304">
        <f ca="1">IF($D$3="BAU",UtilityDemand!E41,INDIRECT($D$3&amp;"!E"&amp;ROW(D48))+INDIRECT($D$3&amp;"!G"&amp;ROW(D48)))</f>
        <v>473197.62330205203</v>
      </c>
      <c r="F48" s="305">
        <v>0</v>
      </c>
      <c r="G48" s="306">
        <f t="shared" ca="1" si="9"/>
        <v>0</v>
      </c>
      <c r="H48" s="304">
        <f ca="1">IF($D$3="BAU",UtilityDemand!G41,INDIRECT($D$3&amp;"!H"&amp;ROW(G48))+INDIRECT($D$3&amp;"!J"&amp;ROW(G48)))</f>
        <v>165564.5542546162</v>
      </c>
      <c r="I48" s="305">
        <v>0</v>
      </c>
      <c r="J48" s="306">
        <f t="shared" ca="1" si="22"/>
        <v>0</v>
      </c>
      <c r="K48" s="307">
        <f t="shared" ca="1" si="10"/>
        <v>101877.98695821676</v>
      </c>
      <c r="L48" s="307">
        <f t="shared" si="11"/>
        <v>0</v>
      </c>
      <c r="M48" s="307">
        <v>0</v>
      </c>
      <c r="N48" s="307">
        <f t="shared" ca="1" si="12"/>
        <v>101877.98695821676</v>
      </c>
      <c r="O48" s="1494">
        <f t="shared" ca="1" si="13"/>
        <v>473197.62330205203</v>
      </c>
      <c r="P48" s="306">
        <f t="shared" si="14"/>
        <v>0</v>
      </c>
      <c r="Q48" s="306">
        <v>0</v>
      </c>
      <c r="R48" s="306">
        <f t="shared" ca="1" si="15"/>
        <v>473197.62330205203</v>
      </c>
      <c r="S48" s="818">
        <f t="shared" ca="1" si="16"/>
        <v>165564.5542546162</v>
      </c>
      <c r="T48" s="818">
        <f t="shared" si="17"/>
        <v>0</v>
      </c>
      <c r="U48" s="818">
        <v>0</v>
      </c>
      <c r="V48" s="818">
        <f t="shared" ca="1" si="18"/>
        <v>165564.5542546162</v>
      </c>
      <c r="W48" s="306">
        <f t="shared" si="1"/>
        <v>0</v>
      </c>
      <c r="X48" s="306">
        <f t="shared" ca="1" si="2"/>
        <v>-3808.39607260912</v>
      </c>
      <c r="Y48" s="306">
        <v>0</v>
      </c>
      <c r="Z48" s="306">
        <v>0</v>
      </c>
      <c r="AA48" s="308">
        <f ca="1">-SUM(W48,X48/OFFSET(GridFootprintbyYear,$A48-$A$19,0)*EF_PurchElec_MTperMWh,Z48)*OFFSET(ExposureCalculations!Price_GHG_Allowance_2010,A48-$A$19,0)*ExposureCalculations!D45</f>
        <v>283271.85535673302</v>
      </c>
      <c r="AB48" s="308">
        <f t="shared" ca="1" si="3"/>
        <v>526697.759223414</v>
      </c>
      <c r="AC48" s="308">
        <v>0</v>
      </c>
      <c r="AD48" s="819">
        <f t="shared" ca="1" si="4"/>
        <v>0</v>
      </c>
      <c r="AE48" s="308">
        <v>0</v>
      </c>
      <c r="AF48" s="819">
        <f t="shared" ca="1" si="5"/>
        <v>0</v>
      </c>
      <c r="AG48" s="308">
        <v>0</v>
      </c>
      <c r="AH48" s="308">
        <v>0</v>
      </c>
      <c r="AI48" s="308">
        <v>0</v>
      </c>
      <c r="AJ48" s="308">
        <f t="shared" ca="1" si="6"/>
        <v>526697.759223414</v>
      </c>
      <c r="AK48" s="309">
        <v>0</v>
      </c>
      <c r="AL48" s="309">
        <v>0</v>
      </c>
      <c r="AM48" s="309">
        <f t="shared" si="19"/>
        <v>0</v>
      </c>
      <c r="AN48" s="310">
        <v>0</v>
      </c>
      <c r="AO48" s="310">
        <f t="shared" si="24"/>
        <v>-50000</v>
      </c>
      <c r="AP48" s="310">
        <f t="shared" si="20"/>
        <v>-50000</v>
      </c>
      <c r="AQ48" s="309">
        <v>0</v>
      </c>
      <c r="AR48" s="311">
        <f t="shared" ca="1" si="7"/>
        <v>759969.61458014697</v>
      </c>
      <c r="AS48" s="870">
        <f t="shared" ca="1" si="21"/>
        <v>13978938.178028101</v>
      </c>
      <c r="AT48" s="822"/>
      <c r="AU48" s="878"/>
      <c r="AV48" s="35"/>
      <c r="AW48" s="879"/>
      <c r="AX48" s="35"/>
      <c r="AY48" s="880"/>
      <c r="BA48" s="943">
        <f t="shared" si="25"/>
        <v>0.05</v>
      </c>
    </row>
    <row r="49" spans="1:53">
      <c r="A49" s="303">
        <v>2040</v>
      </c>
      <c r="B49" s="304">
        <f ca="1">IF($D$3="BAU",UtilityDemand!C42,INDIRECT($D$3&amp;"!B"&amp;ROW(A49))+INDIRECT($D$3&amp;"!D"&amp;ROW(A49)))</f>
        <v>107108.03878634929</v>
      </c>
      <c r="C49" s="305">
        <f t="shared" si="23"/>
        <v>0.05</v>
      </c>
      <c r="D49" s="306">
        <f t="shared" ca="1" si="8"/>
        <v>-5355.4019393174649</v>
      </c>
      <c r="E49" s="304">
        <f ca="1">IF($D$3="BAU",UtilityDemand!E42,INDIRECT($D$3&amp;"!E"&amp;ROW(D49))+INDIRECT($D$3&amp;"!G"&amp;ROW(D49)))</f>
        <v>472521.16937878705</v>
      </c>
      <c r="F49" s="305">
        <v>0</v>
      </c>
      <c r="G49" s="306">
        <f t="shared" ca="1" si="9"/>
        <v>0</v>
      </c>
      <c r="H49" s="304">
        <f ca="1">IF($D$3="BAU",UtilityDemand!G42,INDIRECT($D$3&amp;"!H"&amp;ROW(G49))+INDIRECT($D$3&amp;"!J"&amp;ROW(G49)))</f>
        <v>166381.96205927676</v>
      </c>
      <c r="I49" s="305">
        <v>0</v>
      </c>
      <c r="J49" s="306">
        <f t="shared" ca="1" si="22"/>
        <v>0</v>
      </c>
      <c r="K49" s="307">
        <f t="shared" ca="1" si="10"/>
        <v>101752.63684703183</v>
      </c>
      <c r="L49" s="307">
        <f t="shared" si="11"/>
        <v>0</v>
      </c>
      <c r="M49" s="307">
        <v>0</v>
      </c>
      <c r="N49" s="307">
        <f t="shared" ca="1" si="12"/>
        <v>101752.63684703183</v>
      </c>
      <c r="O49" s="1494">
        <f t="shared" ca="1" si="13"/>
        <v>472521.16937878705</v>
      </c>
      <c r="P49" s="306">
        <f t="shared" si="14"/>
        <v>0</v>
      </c>
      <c r="Q49" s="306">
        <v>0</v>
      </c>
      <c r="R49" s="306">
        <f t="shared" ca="1" si="15"/>
        <v>472521.16937878705</v>
      </c>
      <c r="S49" s="818">
        <f t="shared" ca="1" si="16"/>
        <v>166381.96205927676</v>
      </c>
      <c r="T49" s="818">
        <f t="shared" si="17"/>
        <v>0</v>
      </c>
      <c r="U49" s="818">
        <v>0</v>
      </c>
      <c r="V49" s="818">
        <f t="shared" ca="1" si="18"/>
        <v>166381.96205927676</v>
      </c>
      <c r="W49" s="306">
        <f t="shared" si="1"/>
        <v>0</v>
      </c>
      <c r="X49" s="306">
        <f t="shared" ca="1" si="2"/>
        <v>-3803.7102431636122</v>
      </c>
      <c r="Y49" s="306">
        <v>0</v>
      </c>
      <c r="Z49" s="306">
        <v>0</v>
      </c>
      <c r="AA49" s="308">
        <f ca="1">-SUM(W49,X49/OFFSET(GridFootprintbyYear,$A49-$A$19,0)*EF_PurchElec_MTperMWh,Z49)*OFFSET(ExposureCalculations!Price_GHG_Allowance_2010,A49-$A$19,0)*ExposureCalculations!D46</f>
        <v>296196.58992165932</v>
      </c>
      <c r="AB49" s="308">
        <f t="shared" ca="1" si="3"/>
        <v>528679.96178219956</v>
      </c>
      <c r="AC49" s="308">
        <v>0</v>
      </c>
      <c r="AD49" s="819">
        <f t="shared" ca="1" si="4"/>
        <v>0</v>
      </c>
      <c r="AE49" s="308">
        <v>0</v>
      </c>
      <c r="AF49" s="819">
        <f t="shared" ca="1" si="5"/>
        <v>0</v>
      </c>
      <c r="AG49" s="308">
        <v>0</v>
      </c>
      <c r="AH49" s="308">
        <v>0</v>
      </c>
      <c r="AI49" s="308">
        <v>0</v>
      </c>
      <c r="AJ49" s="308">
        <f t="shared" ca="1" si="6"/>
        <v>528679.96178219956</v>
      </c>
      <c r="AK49" s="309">
        <v>0</v>
      </c>
      <c r="AL49" s="309">
        <v>0</v>
      </c>
      <c r="AM49" s="309">
        <f t="shared" si="19"/>
        <v>0</v>
      </c>
      <c r="AN49" s="310">
        <v>0</v>
      </c>
      <c r="AO49" s="310">
        <f t="shared" si="24"/>
        <v>-50000</v>
      </c>
      <c r="AP49" s="310">
        <f t="shared" si="20"/>
        <v>-50000</v>
      </c>
      <c r="AQ49" s="309">
        <v>0</v>
      </c>
      <c r="AR49" s="311">
        <f t="shared" ca="1" si="7"/>
        <v>774876.55170385889</v>
      </c>
      <c r="AS49" s="870">
        <f t="shared" ca="1" si="21"/>
        <v>14753814.72973196</v>
      </c>
      <c r="AT49" s="822"/>
      <c r="AU49" s="878"/>
      <c r="AV49" s="35"/>
      <c r="AW49" s="879"/>
      <c r="AX49" s="35"/>
      <c r="AY49" s="880"/>
      <c r="BA49" s="943">
        <f t="shared" si="25"/>
        <v>0.05</v>
      </c>
    </row>
    <row r="50" spans="1:53">
      <c r="A50" s="303">
        <v>2041</v>
      </c>
      <c r="B50" s="304">
        <f ca="1">IF($D$3="BAU",UtilityDemand!C43,INDIRECT($D$3&amp;"!B"&amp;ROW(A50))+INDIRECT($D$3&amp;"!D"&amp;ROW(A50)))</f>
        <v>106975.38020401237</v>
      </c>
      <c r="C50" s="305">
        <f t="shared" si="23"/>
        <v>0.05</v>
      </c>
      <c r="D50" s="306">
        <f t="shared" ca="1" si="8"/>
        <v>-5348.7690102006191</v>
      </c>
      <c r="E50" s="304">
        <f ca="1">IF($D$3="BAU",UtilityDemand!E43,INDIRECT($D$3&amp;"!E"&amp;ROW(D50))+INDIRECT($D$3&amp;"!G"&amp;ROW(D50)))</f>
        <v>471844.71545552206</v>
      </c>
      <c r="F50" s="305">
        <v>0</v>
      </c>
      <c r="G50" s="306">
        <f t="shared" ca="1" si="9"/>
        <v>0</v>
      </c>
      <c r="H50" s="304">
        <f ca="1">IF($D$3="BAU",UtilityDemand!G43,INDIRECT($D$3&amp;"!H"&amp;ROW(G50))+INDIRECT($D$3&amp;"!J"&amp;ROW(G50)))</f>
        <v>167198.65876705816</v>
      </c>
      <c r="I50" s="305">
        <v>0</v>
      </c>
      <c r="J50" s="306">
        <f t="shared" ca="1" si="22"/>
        <v>0</v>
      </c>
      <c r="K50" s="307">
        <f t="shared" ca="1" si="10"/>
        <v>101626.61119381175</v>
      </c>
      <c r="L50" s="307">
        <f t="shared" si="11"/>
        <v>0</v>
      </c>
      <c r="M50" s="307">
        <v>0</v>
      </c>
      <c r="N50" s="307">
        <f t="shared" ca="1" si="12"/>
        <v>101626.61119381175</v>
      </c>
      <c r="O50" s="1494">
        <f t="shared" ca="1" si="13"/>
        <v>471844.71545552206</v>
      </c>
      <c r="P50" s="306">
        <f t="shared" si="14"/>
        <v>0</v>
      </c>
      <c r="Q50" s="306">
        <v>0</v>
      </c>
      <c r="R50" s="306">
        <f t="shared" ca="1" si="15"/>
        <v>471844.71545552206</v>
      </c>
      <c r="S50" s="818">
        <f t="shared" ca="1" si="16"/>
        <v>167198.65876705816</v>
      </c>
      <c r="T50" s="818">
        <f t="shared" si="17"/>
        <v>0</v>
      </c>
      <c r="U50" s="818">
        <v>0</v>
      </c>
      <c r="V50" s="818">
        <f t="shared" ca="1" si="18"/>
        <v>167198.65876705816</v>
      </c>
      <c r="W50" s="306">
        <f t="shared" si="1"/>
        <v>0</v>
      </c>
      <c r="X50" s="306">
        <f t="shared" ca="1" si="2"/>
        <v>-3798.9991606510753</v>
      </c>
      <c r="Y50" s="306">
        <v>0</v>
      </c>
      <c r="Z50" s="306">
        <v>0</v>
      </c>
      <c r="AA50" s="308">
        <f ca="1">-SUM(W50,X50/OFFSET(GridFootprintbyYear,$A50-$A$19,0)*EF_PurchElec_MTperMWh,Z50)*OFFSET(ExposureCalculations!Price_GHG_Allowance_2010,A50-$A$19,0)*ExposureCalculations!D47</f>
        <v>308672.33159682597</v>
      </c>
      <c r="AB50" s="308">
        <f t="shared" ca="1" si="3"/>
        <v>530665.29143400711</v>
      </c>
      <c r="AC50" s="308">
        <v>0</v>
      </c>
      <c r="AD50" s="819">
        <f t="shared" ca="1" si="4"/>
        <v>0</v>
      </c>
      <c r="AE50" s="308">
        <v>0</v>
      </c>
      <c r="AF50" s="819">
        <f t="shared" ca="1" si="5"/>
        <v>0</v>
      </c>
      <c r="AG50" s="308">
        <v>0</v>
      </c>
      <c r="AH50" s="308">
        <v>0</v>
      </c>
      <c r="AI50" s="308">
        <v>0</v>
      </c>
      <c r="AJ50" s="308">
        <f t="shared" ca="1" si="6"/>
        <v>530665.29143400711</v>
      </c>
      <c r="AK50" s="309">
        <v>0</v>
      </c>
      <c r="AL50" s="309">
        <v>0</v>
      </c>
      <c r="AM50" s="309">
        <f t="shared" si="19"/>
        <v>0</v>
      </c>
      <c r="AN50" s="310">
        <v>0</v>
      </c>
      <c r="AO50" s="310">
        <f t="shared" si="24"/>
        <v>-50000</v>
      </c>
      <c r="AP50" s="310">
        <f t="shared" si="20"/>
        <v>-50000</v>
      </c>
      <c r="AQ50" s="309">
        <v>0</v>
      </c>
      <c r="AR50" s="311">
        <f t="shared" ca="1" si="7"/>
        <v>789337.62303083309</v>
      </c>
      <c r="AS50" s="870">
        <f t="shared" ca="1" si="21"/>
        <v>15543152.352762794</v>
      </c>
      <c r="AT50" s="822"/>
      <c r="AU50" s="878"/>
      <c r="AV50" s="35"/>
      <c r="AW50" s="879"/>
      <c r="AX50" s="35"/>
      <c r="AY50" s="880"/>
      <c r="BA50" s="943">
        <f t="shared" si="25"/>
        <v>0.05</v>
      </c>
    </row>
    <row r="51" spans="1:53">
      <c r="A51" s="303">
        <v>2042</v>
      </c>
      <c r="B51" s="304">
        <f ca="1">IF($D$3="BAU",UtilityDemand!C44,INDIRECT($D$3&amp;"!B"&amp;ROW(A51))+INDIRECT($D$3&amp;"!D"&amp;ROW(A51)))</f>
        <v>106842.02884864717</v>
      </c>
      <c r="C51" s="305">
        <f t="shared" si="23"/>
        <v>0.05</v>
      </c>
      <c r="D51" s="306">
        <f t="shared" ca="1" si="8"/>
        <v>-5342.1014424323585</v>
      </c>
      <c r="E51" s="304">
        <f ca="1">IF($D$3="BAU",UtilityDemand!E44,INDIRECT($D$3&amp;"!E"&amp;ROW(D51))+INDIRECT($D$3&amp;"!G"&amp;ROW(D51)))</f>
        <v>471168.26153225708</v>
      </c>
      <c r="F51" s="305">
        <v>0</v>
      </c>
      <c r="G51" s="306">
        <f t="shared" ca="1" si="9"/>
        <v>0</v>
      </c>
      <c r="H51" s="304">
        <f ca="1">IF($D$3="BAU",UtilityDemand!G44,INDIRECT($D$3&amp;"!H"&amp;ROW(G51))+INDIRECT($D$3&amp;"!J"&amp;ROW(G51)))</f>
        <v>168014.66270181126</v>
      </c>
      <c r="I51" s="305">
        <v>0</v>
      </c>
      <c r="J51" s="306">
        <f t="shared" ca="1" si="22"/>
        <v>0</v>
      </c>
      <c r="K51" s="307">
        <f t="shared" ca="1" si="10"/>
        <v>101499.92740621482</v>
      </c>
      <c r="L51" s="307">
        <f t="shared" si="11"/>
        <v>0</v>
      </c>
      <c r="M51" s="307">
        <v>0</v>
      </c>
      <c r="N51" s="307">
        <f t="shared" ca="1" si="12"/>
        <v>101499.92740621482</v>
      </c>
      <c r="O51" s="1494">
        <f t="shared" ca="1" si="13"/>
        <v>471168.26153225708</v>
      </c>
      <c r="P51" s="306">
        <f t="shared" si="14"/>
        <v>0</v>
      </c>
      <c r="Q51" s="306">
        <v>0</v>
      </c>
      <c r="R51" s="306">
        <f t="shared" ca="1" si="15"/>
        <v>471168.26153225708</v>
      </c>
      <c r="S51" s="818">
        <f t="shared" ca="1" si="16"/>
        <v>168014.66270181126</v>
      </c>
      <c r="T51" s="818">
        <f t="shared" si="17"/>
        <v>0</v>
      </c>
      <c r="U51" s="818">
        <v>0</v>
      </c>
      <c r="V51" s="818">
        <f t="shared" ca="1" si="18"/>
        <v>168014.66270181126</v>
      </c>
      <c r="W51" s="306">
        <f t="shared" si="1"/>
        <v>0</v>
      </c>
      <c r="X51" s="306">
        <f t="shared" ca="1" si="2"/>
        <v>-3794.2634758034219</v>
      </c>
      <c r="Y51" s="306">
        <v>0</v>
      </c>
      <c r="Z51" s="306">
        <v>0</v>
      </c>
      <c r="AA51" s="308">
        <f ca="1">-SUM(W51,X51/OFFSET(GridFootprintbyYear,$A51-$A$19,0)*EF_PurchElec_MTperMWh,Z51)*OFFSET(ExposureCalculations!Price_GHG_Allowance_2010,A51-$A$19,0)*ExposureCalculations!D48</f>
        <v>320614.32632339705</v>
      </c>
      <c r="AB51" s="308">
        <f t="shared" ca="1" si="3"/>
        <v>532653.80360959505</v>
      </c>
      <c r="AC51" s="308">
        <v>0</v>
      </c>
      <c r="AD51" s="819">
        <f t="shared" ca="1" si="4"/>
        <v>0</v>
      </c>
      <c r="AE51" s="308">
        <v>0</v>
      </c>
      <c r="AF51" s="819">
        <f t="shared" ca="1" si="5"/>
        <v>0</v>
      </c>
      <c r="AG51" s="308">
        <v>0</v>
      </c>
      <c r="AH51" s="308">
        <v>0</v>
      </c>
      <c r="AI51" s="308">
        <v>0</v>
      </c>
      <c r="AJ51" s="308">
        <f t="shared" ca="1" si="6"/>
        <v>532653.80360959505</v>
      </c>
      <c r="AK51" s="309">
        <v>0</v>
      </c>
      <c r="AL51" s="309">
        <v>0</v>
      </c>
      <c r="AM51" s="309">
        <f t="shared" si="19"/>
        <v>0</v>
      </c>
      <c r="AN51" s="310">
        <v>0</v>
      </c>
      <c r="AO51" s="310">
        <f t="shared" si="24"/>
        <v>-50000</v>
      </c>
      <c r="AP51" s="310">
        <f t="shared" si="20"/>
        <v>-50000</v>
      </c>
      <c r="AQ51" s="309">
        <v>0</v>
      </c>
      <c r="AR51" s="311">
        <f t="shared" ca="1" si="7"/>
        <v>803268.12993299216</v>
      </c>
      <c r="AS51" s="870">
        <f t="shared" ca="1" si="21"/>
        <v>16346420.482695786</v>
      </c>
      <c r="AT51" s="822"/>
      <c r="AU51" s="878"/>
      <c r="AV51" s="35"/>
      <c r="AW51" s="879"/>
      <c r="AX51" s="35"/>
      <c r="AY51" s="880"/>
      <c r="BA51" s="943">
        <f t="shared" si="25"/>
        <v>0.05</v>
      </c>
    </row>
    <row r="52" spans="1:53">
      <c r="A52" s="303">
        <v>2043</v>
      </c>
      <c r="B52" s="304">
        <f ca="1">IF($D$3="BAU",UtilityDemand!C45,INDIRECT($D$3&amp;"!B"&amp;ROW(A52))+INDIRECT($D$3&amp;"!D"&amp;ROW(A52)))</f>
        <v>106708.00241989689</v>
      </c>
      <c r="C52" s="305">
        <f t="shared" si="23"/>
        <v>0.05</v>
      </c>
      <c r="D52" s="306">
        <f t="shared" ca="1" si="8"/>
        <v>-5335.4001209948447</v>
      </c>
      <c r="E52" s="304">
        <f ca="1">IF($D$3="BAU",UtilityDemand!E45,INDIRECT($D$3&amp;"!E"&amp;ROW(D52))+INDIRECT($D$3&amp;"!G"&amp;ROW(D52)))</f>
        <v>470491.80760899209</v>
      </c>
      <c r="F52" s="305">
        <v>0</v>
      </c>
      <c r="G52" s="306">
        <f t="shared" ca="1" si="9"/>
        <v>0</v>
      </c>
      <c r="H52" s="304">
        <f ca="1">IF($D$3="BAU",UtilityDemand!G45,INDIRECT($D$3&amp;"!H"&amp;ROW(G52))+INDIRECT($D$3&amp;"!J"&amp;ROW(G52)))</f>
        <v>168829.99156317938</v>
      </c>
      <c r="I52" s="305">
        <v>0</v>
      </c>
      <c r="J52" s="306">
        <f t="shared" ca="1" si="22"/>
        <v>0</v>
      </c>
      <c r="K52" s="307">
        <f t="shared" ca="1" si="10"/>
        <v>101372.60229890204</v>
      </c>
      <c r="L52" s="307">
        <f t="shared" si="11"/>
        <v>0</v>
      </c>
      <c r="M52" s="307">
        <v>0</v>
      </c>
      <c r="N52" s="307">
        <f t="shared" ca="1" si="12"/>
        <v>101372.60229890204</v>
      </c>
      <c r="O52" s="1494">
        <f t="shared" ca="1" si="13"/>
        <v>470491.80760899209</v>
      </c>
      <c r="P52" s="306">
        <f t="shared" si="14"/>
        <v>0</v>
      </c>
      <c r="Q52" s="306">
        <v>0</v>
      </c>
      <c r="R52" s="306">
        <f t="shared" ca="1" si="15"/>
        <v>470491.80760899209</v>
      </c>
      <c r="S52" s="818">
        <f t="shared" ca="1" si="16"/>
        <v>168829.99156317938</v>
      </c>
      <c r="T52" s="818">
        <f t="shared" si="17"/>
        <v>0</v>
      </c>
      <c r="U52" s="818">
        <v>0</v>
      </c>
      <c r="V52" s="818">
        <f t="shared" ca="1" si="18"/>
        <v>168829.99156317938</v>
      </c>
      <c r="W52" s="306">
        <f t="shared" si="1"/>
        <v>0</v>
      </c>
      <c r="X52" s="306">
        <f t="shared" ca="1" si="2"/>
        <v>-3789.5038171851834</v>
      </c>
      <c r="Y52" s="306">
        <v>0</v>
      </c>
      <c r="Z52" s="306">
        <v>0</v>
      </c>
      <c r="AA52" s="308">
        <f ca="1">-SUM(W52,X52/OFFSET(GridFootprintbyYear,$A52-$A$19,0)*EF_PurchElec_MTperMWh,Z52)*OFFSET(ExposureCalculations!Price_GHG_Allowance_2010,A52-$A$19,0)*ExposureCalculations!D49</f>
        <v>334059.37643705012</v>
      </c>
      <c r="AB52" s="308">
        <f t="shared" ca="1" si="3"/>
        <v>534645.55191368342</v>
      </c>
      <c r="AC52" s="308">
        <v>0</v>
      </c>
      <c r="AD52" s="819">
        <f t="shared" ca="1" si="4"/>
        <v>0</v>
      </c>
      <c r="AE52" s="308">
        <v>0</v>
      </c>
      <c r="AF52" s="819">
        <f t="shared" ca="1" si="5"/>
        <v>0</v>
      </c>
      <c r="AG52" s="308">
        <v>0</v>
      </c>
      <c r="AH52" s="308">
        <v>0</v>
      </c>
      <c r="AI52" s="308">
        <v>0</v>
      </c>
      <c r="AJ52" s="308">
        <f t="shared" ca="1" si="6"/>
        <v>534645.55191368342</v>
      </c>
      <c r="AK52" s="309">
        <v>0</v>
      </c>
      <c r="AL52" s="309">
        <v>0</v>
      </c>
      <c r="AM52" s="309">
        <f t="shared" si="19"/>
        <v>0</v>
      </c>
      <c r="AN52" s="310">
        <v>0</v>
      </c>
      <c r="AO52" s="310">
        <f t="shared" si="24"/>
        <v>-50000</v>
      </c>
      <c r="AP52" s="310">
        <f t="shared" si="20"/>
        <v>-50000</v>
      </c>
      <c r="AQ52" s="309">
        <v>0</v>
      </c>
      <c r="AR52" s="311">
        <f t="shared" ca="1" si="7"/>
        <v>818704.92835073359</v>
      </c>
      <c r="AS52" s="870">
        <f t="shared" ca="1" si="21"/>
        <v>17165125.41104652</v>
      </c>
      <c r="AT52" s="822"/>
      <c r="AU52" s="878"/>
      <c r="AV52" s="35"/>
      <c r="AW52" s="879"/>
      <c r="AX52" s="35"/>
      <c r="AY52" s="880"/>
      <c r="BA52" s="943">
        <f t="shared" si="25"/>
        <v>0.05</v>
      </c>
    </row>
    <row r="53" spans="1:53">
      <c r="A53" s="303">
        <v>2044</v>
      </c>
      <c r="B53" s="304">
        <f ca="1">IF($D$3="BAU",UtilityDemand!C46,INDIRECT($D$3&amp;"!B"&amp;ROW(A53))+INDIRECT($D$3&amp;"!D"&amp;ROW(A53)))</f>
        <v>106573.31801955259</v>
      </c>
      <c r="C53" s="305">
        <f t="shared" si="23"/>
        <v>0.05</v>
      </c>
      <c r="D53" s="306">
        <f t="shared" ca="1" si="8"/>
        <v>-5328.6659009776304</v>
      </c>
      <c r="E53" s="304">
        <f ca="1">IF($D$3="BAU",UtilityDemand!E46,INDIRECT($D$3&amp;"!E"&amp;ROW(D53))+INDIRECT($D$3&amp;"!G"&amp;ROW(D53)))</f>
        <v>469815.35368572734</v>
      </c>
      <c r="F53" s="305">
        <v>0</v>
      </c>
      <c r="G53" s="306">
        <f t="shared" ca="1" si="9"/>
        <v>0</v>
      </c>
      <c r="H53" s="304">
        <f ca="1">IF($D$3="BAU",UtilityDemand!G46,INDIRECT($D$3&amp;"!H"&amp;ROW(G53))+INDIRECT($D$3&amp;"!J"&amp;ROW(G53)))</f>
        <v>169644.66245295343</v>
      </c>
      <c r="I53" s="305">
        <v>0</v>
      </c>
      <c r="J53" s="306">
        <f t="shared" ca="1" si="22"/>
        <v>0</v>
      </c>
      <c r="K53" s="307">
        <f t="shared" ca="1" si="10"/>
        <v>101244.65211857496</v>
      </c>
      <c r="L53" s="307">
        <f t="shared" si="11"/>
        <v>0</v>
      </c>
      <c r="M53" s="307">
        <v>0</v>
      </c>
      <c r="N53" s="307">
        <f t="shared" ca="1" si="12"/>
        <v>101244.65211857496</v>
      </c>
      <c r="O53" s="1494">
        <f t="shared" ca="1" si="13"/>
        <v>469815.35368572734</v>
      </c>
      <c r="P53" s="306">
        <f t="shared" si="14"/>
        <v>0</v>
      </c>
      <c r="Q53" s="306">
        <v>0</v>
      </c>
      <c r="R53" s="306">
        <f t="shared" ca="1" si="15"/>
        <v>469815.35368572734</v>
      </c>
      <c r="S53" s="818">
        <f t="shared" ca="1" si="16"/>
        <v>169644.66245295343</v>
      </c>
      <c r="T53" s="818">
        <f t="shared" si="17"/>
        <v>0</v>
      </c>
      <c r="U53" s="818">
        <v>0</v>
      </c>
      <c r="V53" s="818">
        <f t="shared" ca="1" si="18"/>
        <v>169644.66245295343</v>
      </c>
      <c r="W53" s="306">
        <f t="shared" si="1"/>
        <v>0</v>
      </c>
      <c r="X53" s="306">
        <f t="shared" ca="1" si="2"/>
        <v>-3784.7207921294653</v>
      </c>
      <c r="Y53" s="306">
        <v>0</v>
      </c>
      <c r="Z53" s="306">
        <v>0</v>
      </c>
      <c r="AA53" s="308">
        <f ca="1">-SUM(W53,X53/OFFSET(GridFootprintbyYear,$A53-$A$19,0)*EF_PurchElec_MTperMWh,Z53)*OFFSET(ExposureCalculations!Price_GHG_Allowance_2010,A53-$A$19,0)*ExposureCalculations!D50</f>
        <v>349314.06440003065</v>
      </c>
      <c r="AB53" s="308">
        <f t="shared" ca="1" si="3"/>
        <v>536640.58819751546</v>
      </c>
      <c r="AC53" s="308">
        <v>0</v>
      </c>
      <c r="AD53" s="819">
        <f t="shared" ca="1" si="4"/>
        <v>0</v>
      </c>
      <c r="AE53" s="308">
        <v>0</v>
      </c>
      <c r="AF53" s="819">
        <f t="shared" ca="1" si="5"/>
        <v>0</v>
      </c>
      <c r="AG53" s="308">
        <v>0</v>
      </c>
      <c r="AH53" s="308">
        <v>0</v>
      </c>
      <c r="AI53" s="308">
        <v>0</v>
      </c>
      <c r="AJ53" s="308">
        <f t="shared" ca="1" si="6"/>
        <v>536640.58819751546</v>
      </c>
      <c r="AK53" s="309">
        <v>0</v>
      </c>
      <c r="AL53" s="309">
        <v>0</v>
      </c>
      <c r="AM53" s="309">
        <f t="shared" si="19"/>
        <v>0</v>
      </c>
      <c r="AN53" s="310">
        <v>0</v>
      </c>
      <c r="AO53" s="310">
        <f t="shared" si="24"/>
        <v>-50000</v>
      </c>
      <c r="AP53" s="310">
        <f t="shared" si="20"/>
        <v>-50000</v>
      </c>
      <c r="AQ53" s="309">
        <v>0</v>
      </c>
      <c r="AR53" s="311">
        <f t="shared" ca="1" si="7"/>
        <v>835954.65259754611</v>
      </c>
      <c r="AS53" s="870">
        <f t="shared" ca="1" si="21"/>
        <v>18001080.063644066</v>
      </c>
      <c r="AT53" s="822"/>
      <c r="AU53" s="878"/>
      <c r="AV53" s="35"/>
      <c r="AW53" s="879"/>
      <c r="AX53" s="35"/>
      <c r="AY53" s="880"/>
      <c r="BA53" s="943">
        <f t="shared" si="25"/>
        <v>0.05</v>
      </c>
    </row>
    <row r="54" spans="1:53">
      <c r="A54" s="303">
        <v>2045</v>
      </c>
      <c r="B54" s="304">
        <f ca="1">IF($D$3="BAU",UtilityDemand!C47,INDIRECT($D$3&amp;"!B"&amp;ROW(A54))+INDIRECT($D$3&amp;"!D"&amp;ROW(A54)))</f>
        <v>106437.99217658423</v>
      </c>
      <c r="C54" s="305">
        <f t="shared" si="23"/>
        <v>0.05</v>
      </c>
      <c r="D54" s="306">
        <f t="shared" ca="1" si="8"/>
        <v>-5321.8996088292115</v>
      </c>
      <c r="E54" s="304">
        <f ca="1">IF($D$3="BAU",UtilityDemand!E47,INDIRECT($D$3&amp;"!E"&amp;ROW(D54))+INDIRECT($D$3&amp;"!G"&amp;ROW(D54)))</f>
        <v>469138.89976246236</v>
      </c>
      <c r="F54" s="305">
        <v>0</v>
      </c>
      <c r="G54" s="306">
        <f t="shared" ca="1" si="9"/>
        <v>0</v>
      </c>
      <c r="H54" s="304">
        <f ca="1">IF($D$3="BAU",UtilityDemand!G47,INDIRECT($D$3&amp;"!H"&amp;ROW(G54))+INDIRECT($D$3&amp;"!J"&amp;ROW(G54)))</f>
        <v>170458.69190010344</v>
      </c>
      <c r="I54" s="305">
        <v>0</v>
      </c>
      <c r="J54" s="306">
        <f t="shared" ca="1" si="22"/>
        <v>0</v>
      </c>
      <c r="K54" s="307">
        <f t="shared" ca="1" si="10"/>
        <v>101116.09256775503</v>
      </c>
      <c r="L54" s="307">
        <f t="shared" si="11"/>
        <v>0</v>
      </c>
      <c r="M54" s="307">
        <v>0</v>
      </c>
      <c r="N54" s="307">
        <f t="shared" ca="1" si="12"/>
        <v>101116.09256775503</v>
      </c>
      <c r="O54" s="1494">
        <f t="shared" ca="1" si="13"/>
        <v>469138.89976246236</v>
      </c>
      <c r="P54" s="306">
        <f t="shared" si="14"/>
        <v>0</v>
      </c>
      <c r="Q54" s="306">
        <v>0</v>
      </c>
      <c r="R54" s="306">
        <f t="shared" ca="1" si="15"/>
        <v>469138.89976246236</v>
      </c>
      <c r="S54" s="818">
        <f t="shared" ca="1" si="16"/>
        <v>170458.69190010344</v>
      </c>
      <c r="T54" s="818">
        <f t="shared" si="17"/>
        <v>0</v>
      </c>
      <c r="U54" s="818">
        <v>0</v>
      </c>
      <c r="V54" s="818">
        <f t="shared" ca="1" si="18"/>
        <v>170458.69190010344</v>
      </c>
      <c r="W54" s="306">
        <f t="shared" si="1"/>
        <v>0</v>
      </c>
      <c r="X54" s="306">
        <f t="shared" ca="1" si="2"/>
        <v>-3779.9149876268702</v>
      </c>
      <c r="Y54" s="306">
        <v>0</v>
      </c>
      <c r="Z54" s="306">
        <v>0</v>
      </c>
      <c r="AA54" s="308">
        <f ca="1">-SUM(W54,X54/OFFSET(GridFootprintbyYear,$A54-$A$19,0)*EF_PurchElec_MTperMWh,Z54)*OFFSET(ExposureCalculations!Price_GHG_Allowance_2010,A54-$A$19,0)*ExposureCalculations!D51</f>
        <v>366818.44058535231</v>
      </c>
      <c r="AB54" s="308">
        <f t="shared" ca="1" si="3"/>
        <v>538638.96262771834</v>
      </c>
      <c r="AC54" s="308">
        <v>0</v>
      </c>
      <c r="AD54" s="819">
        <f t="shared" ca="1" si="4"/>
        <v>0</v>
      </c>
      <c r="AE54" s="308">
        <v>0</v>
      </c>
      <c r="AF54" s="819">
        <f t="shared" ca="1" si="5"/>
        <v>0</v>
      </c>
      <c r="AG54" s="308">
        <v>0</v>
      </c>
      <c r="AH54" s="308">
        <v>0</v>
      </c>
      <c r="AI54" s="308">
        <v>0</v>
      </c>
      <c r="AJ54" s="308">
        <f t="shared" ca="1" si="6"/>
        <v>538638.96262771834</v>
      </c>
      <c r="AK54" s="309">
        <v>0</v>
      </c>
      <c r="AL54" s="309">
        <v>0</v>
      </c>
      <c r="AM54" s="309">
        <f t="shared" si="19"/>
        <v>0</v>
      </c>
      <c r="AN54" s="310">
        <v>0</v>
      </c>
      <c r="AO54" s="310">
        <f t="shared" si="24"/>
        <v>-50000</v>
      </c>
      <c r="AP54" s="310">
        <f t="shared" si="20"/>
        <v>-50000</v>
      </c>
      <c r="AQ54" s="309">
        <v>0</v>
      </c>
      <c r="AR54" s="311">
        <f t="shared" ca="1" si="7"/>
        <v>855457.40321307071</v>
      </c>
      <c r="AS54" s="870">
        <f t="shared" ca="1" si="21"/>
        <v>18856537.466857135</v>
      </c>
      <c r="AT54" s="822"/>
      <c r="AU54" s="878"/>
      <c r="AV54" s="35"/>
      <c r="AW54" s="879"/>
      <c r="AX54" s="35"/>
      <c r="AY54" s="880"/>
      <c r="BA54" s="943">
        <f t="shared" si="25"/>
        <v>0.05</v>
      </c>
    </row>
    <row r="55" spans="1:53">
      <c r="A55" s="303">
        <v>2046</v>
      </c>
      <c r="B55" s="304">
        <f ca="1">IF($D$3="BAU",UtilityDemand!C48,INDIRECT($D$3&amp;"!B"&amp;ROW(A55))+INDIRECT($D$3&amp;"!D"&amp;ROW(A55)))</f>
        <v>106302.04087092477</v>
      </c>
      <c r="C55" s="305">
        <f t="shared" si="23"/>
        <v>0.05</v>
      </c>
      <c r="D55" s="306">
        <f t="shared" ca="1" si="8"/>
        <v>-5315.1020435462387</v>
      </c>
      <c r="E55" s="304">
        <f ca="1">IF($D$3="BAU",UtilityDemand!E48,INDIRECT($D$3&amp;"!E"&amp;ROW(D55))+INDIRECT($D$3&amp;"!G"&amp;ROW(D55)))</f>
        <v>468462.44583919737</v>
      </c>
      <c r="F55" s="305">
        <v>0</v>
      </c>
      <c r="G55" s="306">
        <f t="shared" ca="1" si="9"/>
        <v>0</v>
      </c>
      <c r="H55" s="304">
        <f ca="1">IF($D$3="BAU",UtilityDemand!G48,INDIRECT($D$3&amp;"!H"&amp;ROW(G55))+INDIRECT($D$3&amp;"!J"&amp;ROW(G55)))</f>
        <v>171272.0958845623</v>
      </c>
      <c r="I55" s="305">
        <v>0</v>
      </c>
      <c r="J55" s="306">
        <f t="shared" ca="1" si="22"/>
        <v>0</v>
      </c>
      <c r="K55" s="307">
        <f t="shared" ca="1" si="10"/>
        <v>100986.93882737853</v>
      </c>
      <c r="L55" s="307">
        <f t="shared" si="11"/>
        <v>0</v>
      </c>
      <c r="M55" s="307">
        <v>0</v>
      </c>
      <c r="N55" s="307">
        <f t="shared" ca="1" si="12"/>
        <v>100986.93882737853</v>
      </c>
      <c r="O55" s="1494">
        <f t="shared" ca="1" si="13"/>
        <v>468462.44583919737</v>
      </c>
      <c r="P55" s="306">
        <f t="shared" si="14"/>
        <v>0</v>
      </c>
      <c r="Q55" s="306">
        <v>0</v>
      </c>
      <c r="R55" s="306">
        <f t="shared" ca="1" si="15"/>
        <v>468462.44583919737</v>
      </c>
      <c r="S55" s="818">
        <f t="shared" ca="1" si="16"/>
        <v>171272.0958845623</v>
      </c>
      <c r="T55" s="818">
        <f t="shared" si="17"/>
        <v>0</v>
      </c>
      <c r="U55" s="818">
        <v>0</v>
      </c>
      <c r="V55" s="818">
        <f t="shared" ca="1" si="18"/>
        <v>171272.0958845623</v>
      </c>
      <c r="W55" s="306">
        <f t="shared" si="1"/>
        <v>0</v>
      </c>
      <c r="X55" s="306">
        <f t="shared" ca="1" si="2"/>
        <v>-3775.0869711701425</v>
      </c>
      <c r="Y55" s="306">
        <v>0</v>
      </c>
      <c r="Z55" s="306">
        <v>0</v>
      </c>
      <c r="AA55" s="308">
        <f ca="1">-SUM(W55,X55/OFFSET(GridFootprintbyYear,$A55-$A$19,0)*EF_PurchElec_MTperMWh,Z55)*OFFSET(ExposureCalculations!Price_GHG_Allowance_2010,A55-$A$19,0)*ExposureCalculations!D52</f>
        <v>385478.50836981251</v>
      </c>
      <c r="AB55" s="308">
        <f t="shared" ca="1" si="3"/>
        <v>540640.72375167708</v>
      </c>
      <c r="AC55" s="308">
        <v>0</v>
      </c>
      <c r="AD55" s="819">
        <f t="shared" ca="1" si="4"/>
        <v>0</v>
      </c>
      <c r="AE55" s="308">
        <v>0</v>
      </c>
      <c r="AF55" s="819">
        <f t="shared" ca="1" si="5"/>
        <v>0</v>
      </c>
      <c r="AG55" s="308">
        <v>0</v>
      </c>
      <c r="AH55" s="308">
        <v>0</v>
      </c>
      <c r="AI55" s="308">
        <v>0</v>
      </c>
      <c r="AJ55" s="308">
        <f t="shared" ca="1" si="6"/>
        <v>540640.72375167708</v>
      </c>
      <c r="AK55" s="309">
        <v>0</v>
      </c>
      <c r="AL55" s="309">
        <v>0</v>
      </c>
      <c r="AM55" s="309">
        <f t="shared" si="19"/>
        <v>0</v>
      </c>
      <c r="AN55" s="310">
        <v>0</v>
      </c>
      <c r="AO55" s="310">
        <f t="shared" si="24"/>
        <v>-50000</v>
      </c>
      <c r="AP55" s="310">
        <f t="shared" si="20"/>
        <v>-50000</v>
      </c>
      <c r="AQ55" s="309">
        <v>0</v>
      </c>
      <c r="AR55" s="311">
        <f t="shared" ca="1" si="7"/>
        <v>876119.23212148959</v>
      </c>
      <c r="AS55" s="870">
        <f t="shared" ca="1" si="21"/>
        <v>19732656.698978625</v>
      </c>
      <c r="AT55" s="822"/>
      <c r="AU55" s="878"/>
      <c r="AV55" s="35"/>
      <c r="AW55" s="879"/>
      <c r="AX55" s="35"/>
      <c r="AY55" s="880"/>
      <c r="BA55" s="943">
        <f t="shared" si="25"/>
        <v>0.05</v>
      </c>
    </row>
    <row r="56" spans="1:53">
      <c r="A56" s="303">
        <v>2047</v>
      </c>
      <c r="B56" s="304">
        <f ca="1">IF($D$3="BAU",UtilityDemand!C49,INDIRECT($D$3&amp;"!B"&amp;ROW(A56))+INDIRECT($D$3&amp;"!D"&amp;ROW(A56)))</f>
        <v>106165.47955607864</v>
      </c>
      <c r="C56" s="305">
        <f t="shared" si="23"/>
        <v>0.05</v>
      </c>
      <c r="D56" s="306">
        <f t="shared" ca="1" si="8"/>
        <v>-5308.2739778039322</v>
      </c>
      <c r="E56" s="304">
        <f ca="1">IF($D$3="BAU",UtilityDemand!E49,INDIRECT($D$3&amp;"!E"&amp;ROW(D56))+INDIRECT($D$3&amp;"!G"&amp;ROW(D56)))</f>
        <v>467785.99191593239</v>
      </c>
      <c r="F56" s="305">
        <v>0</v>
      </c>
      <c r="G56" s="306">
        <f t="shared" ca="1" si="9"/>
        <v>0</v>
      </c>
      <c r="H56" s="304">
        <f ca="1">IF($D$3="BAU",UtilityDemand!G49,INDIRECT($D$3&amp;"!H"&amp;ROW(G56))+INDIRECT($D$3&amp;"!J"&amp;ROW(G56)))</f>
        <v>172084.88985983457</v>
      </c>
      <c r="I56" s="305">
        <v>0</v>
      </c>
      <c r="J56" s="306">
        <f t="shared" ca="1" si="22"/>
        <v>0</v>
      </c>
      <c r="K56" s="307">
        <f t="shared" ca="1" si="10"/>
        <v>100857.2055782747</v>
      </c>
      <c r="L56" s="307">
        <f t="shared" si="11"/>
        <v>0</v>
      </c>
      <c r="M56" s="307">
        <v>0</v>
      </c>
      <c r="N56" s="307">
        <f t="shared" ca="1" si="12"/>
        <v>100857.2055782747</v>
      </c>
      <c r="O56" s="1494">
        <f t="shared" ca="1" si="13"/>
        <v>467785.99191593239</v>
      </c>
      <c r="P56" s="306">
        <f t="shared" si="14"/>
        <v>0</v>
      </c>
      <c r="Q56" s="306">
        <v>0</v>
      </c>
      <c r="R56" s="306">
        <f t="shared" ca="1" si="15"/>
        <v>467785.99191593239</v>
      </c>
      <c r="S56" s="818">
        <f t="shared" ca="1" si="16"/>
        <v>172084.88985983457</v>
      </c>
      <c r="T56" s="818">
        <f t="shared" si="17"/>
        <v>0</v>
      </c>
      <c r="U56" s="818">
        <v>0</v>
      </c>
      <c r="V56" s="818">
        <f t="shared" ca="1" si="18"/>
        <v>172084.88985983457</v>
      </c>
      <c r="W56" s="306">
        <f t="shared" si="1"/>
        <v>0</v>
      </c>
      <c r="X56" s="306">
        <f t="shared" ca="1" si="2"/>
        <v>-3770.2372915570536</v>
      </c>
      <c r="Y56" s="306">
        <v>0</v>
      </c>
      <c r="Z56" s="306">
        <v>0</v>
      </c>
      <c r="AA56" s="308">
        <f ca="1">-SUM(W56,X56/OFFSET(GridFootprintbyYear,$A56-$A$19,0)*EF_PurchElec_MTperMWh,Z56)*OFFSET(ExposureCalculations!Price_GHG_Allowance_2010,A56-$A$19,0)*ExposureCalculations!D53</f>
        <v>405439.80866217898</v>
      </c>
      <c r="AB56" s="308">
        <f t="shared" ca="1" si="3"/>
        <v>542645.91855962179</v>
      </c>
      <c r="AC56" s="308">
        <v>0</v>
      </c>
      <c r="AD56" s="819">
        <f t="shared" ca="1" si="4"/>
        <v>0</v>
      </c>
      <c r="AE56" s="308">
        <v>0</v>
      </c>
      <c r="AF56" s="819">
        <f t="shared" ca="1" si="5"/>
        <v>0</v>
      </c>
      <c r="AG56" s="308">
        <v>0</v>
      </c>
      <c r="AH56" s="308">
        <v>0</v>
      </c>
      <c r="AI56" s="308">
        <v>0</v>
      </c>
      <c r="AJ56" s="308">
        <f t="shared" ca="1" si="6"/>
        <v>542645.91855962179</v>
      </c>
      <c r="AK56" s="309">
        <v>0</v>
      </c>
      <c r="AL56" s="309">
        <v>0</v>
      </c>
      <c r="AM56" s="309">
        <f t="shared" si="19"/>
        <v>0</v>
      </c>
      <c r="AN56" s="310">
        <v>0</v>
      </c>
      <c r="AO56" s="310">
        <f t="shared" si="24"/>
        <v>-50000</v>
      </c>
      <c r="AP56" s="310">
        <f t="shared" si="20"/>
        <v>-50000</v>
      </c>
      <c r="AQ56" s="309">
        <v>0</v>
      </c>
      <c r="AR56" s="311">
        <f t="shared" ca="1" si="7"/>
        <v>898085.72722180071</v>
      </c>
      <c r="AS56" s="870">
        <f t="shared" ca="1" si="21"/>
        <v>20630742.426200427</v>
      </c>
      <c r="AT56" s="822"/>
      <c r="AU56" s="878"/>
      <c r="AV56" s="35"/>
      <c r="AW56" s="879"/>
      <c r="AX56" s="35"/>
      <c r="AY56" s="880"/>
      <c r="BA56" s="943">
        <f t="shared" si="25"/>
        <v>0.05</v>
      </c>
    </row>
    <row r="57" spans="1:53">
      <c r="A57" s="303">
        <v>2048</v>
      </c>
      <c r="B57" s="304">
        <f ca="1">IF($D$3="BAU",UtilityDemand!C50,INDIRECT($D$3&amp;"!B"&amp;ROW(A57))+INDIRECT($D$3&amp;"!D"&amp;ROW(A57)))</f>
        <v>106028.3231806228</v>
      </c>
      <c r="C57" s="305">
        <f t="shared" si="23"/>
        <v>0.05</v>
      </c>
      <c r="D57" s="306">
        <f t="shared" ca="1" si="8"/>
        <v>-5301.4161590311405</v>
      </c>
      <c r="E57" s="304">
        <f ca="1">IF($D$3="BAU",UtilityDemand!E50,INDIRECT($D$3&amp;"!E"&amp;ROW(D57))+INDIRECT($D$3&amp;"!G"&amp;ROW(D57)))</f>
        <v>467109.53799266741</v>
      </c>
      <c r="F57" s="305">
        <v>0</v>
      </c>
      <c r="G57" s="306">
        <f t="shared" ca="1" si="9"/>
        <v>0</v>
      </c>
      <c r="H57" s="304">
        <f ca="1">IF($D$3="BAU",UtilityDemand!G50,INDIRECT($D$3&amp;"!H"&amp;ROW(G57))+INDIRECT($D$3&amp;"!J"&amp;ROW(G57)))</f>
        <v>172897.08877449707</v>
      </c>
      <c r="I57" s="305">
        <v>0</v>
      </c>
      <c r="J57" s="306">
        <f t="shared" ca="1" si="22"/>
        <v>0</v>
      </c>
      <c r="K57" s="307">
        <f t="shared" ca="1" si="10"/>
        <v>100726.90702159166</v>
      </c>
      <c r="L57" s="307">
        <f t="shared" si="11"/>
        <v>0</v>
      </c>
      <c r="M57" s="307">
        <v>0</v>
      </c>
      <c r="N57" s="307">
        <f t="shared" ca="1" si="12"/>
        <v>100726.90702159166</v>
      </c>
      <c r="O57" s="1494">
        <f t="shared" ca="1" si="13"/>
        <v>467109.53799266741</v>
      </c>
      <c r="P57" s="306">
        <f t="shared" si="14"/>
        <v>0</v>
      </c>
      <c r="Q57" s="306">
        <v>0</v>
      </c>
      <c r="R57" s="306">
        <f t="shared" ca="1" si="15"/>
        <v>467109.53799266741</v>
      </c>
      <c r="S57" s="818">
        <f t="shared" ca="1" si="16"/>
        <v>172897.08877449707</v>
      </c>
      <c r="T57" s="818">
        <f t="shared" si="17"/>
        <v>0</v>
      </c>
      <c r="U57" s="818">
        <v>0</v>
      </c>
      <c r="V57" s="818">
        <f t="shared" ca="1" si="18"/>
        <v>172897.08877449707</v>
      </c>
      <c r="W57" s="306">
        <f t="shared" si="1"/>
        <v>0</v>
      </c>
      <c r="X57" s="306">
        <f t="shared" ca="1" si="2"/>
        <v>-3765.3664796539692</v>
      </c>
      <c r="Y57" s="306">
        <v>0</v>
      </c>
      <c r="Z57" s="306">
        <v>0</v>
      </c>
      <c r="AA57" s="308">
        <f ca="1">-SUM(W57,X57/OFFSET(GridFootprintbyYear,$A57-$A$19,0)*EF_PurchElec_MTperMWh,Z57)*OFFSET(ExposureCalculations!Price_GHG_Allowance_2010,A57-$A$19,0)*ExposureCalculations!D54</f>
        <v>426859.70222122659</v>
      </c>
      <c r="AB57" s="308">
        <f t="shared" ca="1" si="3"/>
        <v>544654.59254361899</v>
      </c>
      <c r="AC57" s="308">
        <v>0</v>
      </c>
      <c r="AD57" s="819">
        <f t="shared" ca="1" si="4"/>
        <v>0</v>
      </c>
      <c r="AE57" s="308">
        <v>0</v>
      </c>
      <c r="AF57" s="819">
        <f t="shared" ca="1" si="5"/>
        <v>0</v>
      </c>
      <c r="AG57" s="308">
        <v>0</v>
      </c>
      <c r="AH57" s="308">
        <v>0</v>
      </c>
      <c r="AI57" s="308">
        <v>0</v>
      </c>
      <c r="AJ57" s="308">
        <f t="shared" ca="1" si="6"/>
        <v>544654.59254361899</v>
      </c>
      <c r="AK57" s="309">
        <v>0</v>
      </c>
      <c r="AL57" s="309">
        <v>0</v>
      </c>
      <c r="AM57" s="309">
        <f t="shared" si="19"/>
        <v>0</v>
      </c>
      <c r="AN57" s="310">
        <v>0</v>
      </c>
      <c r="AO57" s="310">
        <f t="shared" si="24"/>
        <v>-50000</v>
      </c>
      <c r="AP57" s="310">
        <f t="shared" si="20"/>
        <v>-50000</v>
      </c>
      <c r="AQ57" s="309">
        <v>0</v>
      </c>
      <c r="AR57" s="311">
        <f t="shared" ca="1" si="7"/>
        <v>921514.29476484563</v>
      </c>
      <c r="AS57" s="870">
        <f t="shared" ca="1" si="21"/>
        <v>21552256.720965274</v>
      </c>
      <c r="AT57" s="822"/>
      <c r="AU57" s="878"/>
      <c r="AV57" s="35"/>
      <c r="AW57" s="879"/>
      <c r="AX57" s="35"/>
      <c r="AY57" s="880"/>
      <c r="BA57" s="943">
        <f t="shared" si="25"/>
        <v>0.05</v>
      </c>
    </row>
    <row r="58" spans="1:53">
      <c r="A58" s="303">
        <v>2049</v>
      </c>
      <c r="B58" s="304">
        <f ca="1">IF($D$3="BAU",UtilityDemand!C51,INDIRECT($D$3&amp;"!B"&amp;ROW(A58))+INDIRECT($D$3&amp;"!D"&amp;ROW(A58)))</f>
        <v>105890.58620866176</v>
      </c>
      <c r="C58" s="305">
        <f t="shared" si="23"/>
        <v>0.05</v>
      </c>
      <c r="D58" s="306">
        <f t="shared" ca="1" si="8"/>
        <v>-5294.5293104330885</v>
      </c>
      <c r="E58" s="304">
        <f ca="1">IF($D$3="BAU",UtilityDemand!E51,INDIRECT($D$3&amp;"!E"&amp;ROW(D58))+INDIRECT($D$3&amp;"!G"&amp;ROW(D58)))</f>
        <v>466433.08406940266</v>
      </c>
      <c r="F58" s="305">
        <v>0</v>
      </c>
      <c r="G58" s="306">
        <f t="shared" ca="1" si="9"/>
        <v>0</v>
      </c>
      <c r="H58" s="304">
        <f ca="1">IF($D$3="BAU",UtilityDemand!G51,INDIRECT($D$3&amp;"!H"&amp;ROW(G58))+INDIRECT($D$3&amp;"!J"&amp;ROW(G58)))</f>
        <v>173708.7070926544</v>
      </c>
      <c r="I58" s="305">
        <v>0</v>
      </c>
      <c r="J58" s="306">
        <f t="shared" ca="1" si="22"/>
        <v>0</v>
      </c>
      <c r="K58" s="307">
        <f t="shared" ca="1" si="10"/>
        <v>100596.05689822866</v>
      </c>
      <c r="L58" s="307">
        <f t="shared" si="11"/>
        <v>0</v>
      </c>
      <c r="M58" s="307">
        <v>0</v>
      </c>
      <c r="N58" s="307">
        <f t="shared" ca="1" si="12"/>
        <v>100596.05689822866</v>
      </c>
      <c r="O58" s="1494">
        <f t="shared" ca="1" si="13"/>
        <v>466433.08406940266</v>
      </c>
      <c r="P58" s="306">
        <f t="shared" si="14"/>
        <v>0</v>
      </c>
      <c r="Q58" s="306">
        <v>0</v>
      </c>
      <c r="R58" s="306">
        <f t="shared" ca="1" si="15"/>
        <v>466433.08406940266</v>
      </c>
      <c r="S58" s="818">
        <f t="shared" ca="1" si="16"/>
        <v>173708.7070926544</v>
      </c>
      <c r="T58" s="818">
        <f t="shared" si="17"/>
        <v>0</v>
      </c>
      <c r="U58" s="818">
        <v>0</v>
      </c>
      <c r="V58" s="818">
        <f t="shared" ca="1" si="18"/>
        <v>173708.7070926544</v>
      </c>
      <c r="W58" s="306">
        <f t="shared" si="1"/>
        <v>0</v>
      </c>
      <c r="X58" s="306">
        <f t="shared" ca="1" si="2"/>
        <v>-3760.4750491222649</v>
      </c>
      <c r="Y58" s="306">
        <v>0</v>
      </c>
      <c r="Z58" s="306">
        <v>0</v>
      </c>
      <c r="AA58" s="308">
        <f ca="1">-SUM(W58,X58/OFFSET(GridFootprintbyYear,$A58-$A$19,0)*EF_PurchElec_MTperMWh,Z58)*OFFSET(ExposureCalculations!Price_GHG_Allowance_2010,A58-$A$19,0)*ExposureCalculations!D55</f>
        <v>449905.95761288202</v>
      </c>
      <c r="AB58" s="308">
        <f t="shared" ca="1" si="3"/>
        <v>546666.78975363541</v>
      </c>
      <c r="AC58" s="308">
        <v>0</v>
      </c>
      <c r="AD58" s="819">
        <f t="shared" ca="1" si="4"/>
        <v>0</v>
      </c>
      <c r="AE58" s="308">
        <v>0</v>
      </c>
      <c r="AF58" s="819">
        <f t="shared" ca="1" si="5"/>
        <v>0</v>
      </c>
      <c r="AG58" s="308">
        <v>0</v>
      </c>
      <c r="AH58" s="308">
        <v>0</v>
      </c>
      <c r="AI58" s="308">
        <v>0</v>
      </c>
      <c r="AJ58" s="308">
        <f t="shared" ca="1" si="6"/>
        <v>546666.78975363541</v>
      </c>
      <c r="AK58" s="309">
        <v>0</v>
      </c>
      <c r="AL58" s="309">
        <v>0</v>
      </c>
      <c r="AM58" s="309">
        <f t="shared" si="19"/>
        <v>0</v>
      </c>
      <c r="AN58" s="310">
        <v>0</v>
      </c>
      <c r="AO58" s="310">
        <f t="shared" si="24"/>
        <v>-50000</v>
      </c>
      <c r="AP58" s="310">
        <f t="shared" si="20"/>
        <v>-50000</v>
      </c>
      <c r="AQ58" s="309">
        <v>0</v>
      </c>
      <c r="AR58" s="311">
        <f t="shared" ca="1" si="7"/>
        <v>946572.74736651743</v>
      </c>
      <c r="AS58" s="870">
        <f t="shared" ca="1" si="21"/>
        <v>22498829.468331791</v>
      </c>
      <c r="AT58" s="822"/>
      <c r="AU58" s="878"/>
      <c r="AV58" s="35"/>
      <c r="AW58" s="879"/>
      <c r="AX58" s="35"/>
      <c r="AY58" s="880"/>
      <c r="BA58" s="943">
        <f t="shared" si="25"/>
        <v>0.05</v>
      </c>
    </row>
    <row r="59" spans="1:53">
      <c r="A59" s="303">
        <v>2050</v>
      </c>
      <c r="B59" s="304">
        <f ca="1">IF($D$3="BAU",UtilityDemand!C52,INDIRECT($D$3&amp;"!B"&amp;ROW(A59))+INDIRECT($D$3&amp;"!D"&amp;ROW(A59)))</f>
        <v>105752.28263929689</v>
      </c>
      <c r="C59" s="305">
        <f t="shared" si="23"/>
        <v>0.05</v>
      </c>
      <c r="D59" s="306">
        <f t="shared" ca="1" si="8"/>
        <v>-5287.614131964845</v>
      </c>
      <c r="E59" s="304">
        <f ca="1">IF($D$3="BAU",UtilityDemand!E52,INDIRECT($D$3&amp;"!E"&amp;ROW(D59))+INDIRECT($D$3&amp;"!G"&amp;ROW(D59)))</f>
        <v>465756.6301461379</v>
      </c>
      <c r="F59" s="305">
        <v>0</v>
      </c>
      <c r="G59" s="306">
        <f t="shared" ca="1" si="9"/>
        <v>0</v>
      </c>
      <c r="H59" s="304">
        <f ca="1">IF($D$3="BAU",UtilityDemand!G52,INDIRECT($D$3&amp;"!H"&amp;ROW(G59))+INDIRECT($D$3&amp;"!J"&amp;ROW(G59)))</f>
        <v>174519.75881340788</v>
      </c>
      <c r="I59" s="305">
        <v>0</v>
      </c>
      <c r="J59" s="306">
        <f t="shared" ca="1" si="22"/>
        <v>0</v>
      </c>
      <c r="K59" s="307">
        <f t="shared" ca="1" si="10"/>
        <v>100464.66850733204</v>
      </c>
      <c r="L59" s="307">
        <f t="shared" si="11"/>
        <v>0</v>
      </c>
      <c r="M59" s="307">
        <v>0</v>
      </c>
      <c r="N59" s="307">
        <f t="shared" ca="1" si="12"/>
        <v>100464.66850733204</v>
      </c>
      <c r="O59" s="1494">
        <f t="shared" ca="1" si="13"/>
        <v>465756.6301461379</v>
      </c>
      <c r="P59" s="306">
        <f t="shared" si="14"/>
        <v>0</v>
      </c>
      <c r="Q59" s="306">
        <v>0</v>
      </c>
      <c r="R59" s="306">
        <f t="shared" ca="1" si="15"/>
        <v>465756.6301461379</v>
      </c>
      <c r="S59" s="818">
        <f t="shared" ca="1" si="16"/>
        <v>174519.75881340788</v>
      </c>
      <c r="T59" s="818">
        <f t="shared" si="17"/>
        <v>0</v>
      </c>
      <c r="U59" s="818">
        <v>0</v>
      </c>
      <c r="V59" s="818">
        <f t="shared" ca="1" si="18"/>
        <v>174519.75881340788</v>
      </c>
      <c r="W59" s="306">
        <f t="shared" si="1"/>
        <v>0</v>
      </c>
      <c r="X59" s="306">
        <f t="shared" ca="1" si="2"/>
        <v>-3755.5634971097347</v>
      </c>
      <c r="Y59" s="306">
        <v>0</v>
      </c>
      <c r="Z59" s="306">
        <v>0</v>
      </c>
      <c r="AA59" s="308">
        <f ca="1">-SUM(W59,X59/OFFSET(GridFootprintbyYear,$A59-$A$19,0)*EF_PurchElec_MTperMWh,Z59)*OFFSET(ExposureCalculations!Price_GHG_Allowance_2010,A59-$A$19,0)*ExposureCalculations!D56</f>
        <v>474755.36794988532</v>
      </c>
      <c r="AB59" s="308">
        <f t="shared" ca="1" si="3"/>
        <v>548682.55285084737</v>
      </c>
      <c r="AC59" s="308">
        <v>0</v>
      </c>
      <c r="AD59" s="819">
        <f t="shared" ca="1" si="4"/>
        <v>0</v>
      </c>
      <c r="AE59" s="308">
        <v>0</v>
      </c>
      <c r="AF59" s="819">
        <f t="shared" ca="1" si="5"/>
        <v>0</v>
      </c>
      <c r="AG59" s="308">
        <v>0</v>
      </c>
      <c r="AH59" s="308">
        <v>0</v>
      </c>
      <c r="AI59" s="308">
        <v>0</v>
      </c>
      <c r="AJ59" s="308">
        <f t="shared" ca="1" si="6"/>
        <v>548682.55285084737</v>
      </c>
      <c r="AK59" s="309">
        <v>0</v>
      </c>
      <c r="AL59" s="309">
        <v>0</v>
      </c>
      <c r="AM59" s="309">
        <f t="shared" si="19"/>
        <v>0</v>
      </c>
      <c r="AN59" s="310">
        <v>0</v>
      </c>
      <c r="AO59" s="310">
        <f t="shared" si="24"/>
        <v>-50000</v>
      </c>
      <c r="AP59" s="310">
        <f t="shared" si="20"/>
        <v>-50000</v>
      </c>
      <c r="AQ59" s="309">
        <v>0</v>
      </c>
      <c r="AR59" s="311">
        <f t="shared" ca="1" si="7"/>
        <v>973437.92080073268</v>
      </c>
      <c r="AS59" s="870">
        <f t="shared" ca="1" si="21"/>
        <v>23472267.389132526</v>
      </c>
      <c r="AT59" s="823"/>
      <c r="AU59" s="881"/>
      <c r="AV59" s="882"/>
      <c r="AW59" s="883"/>
      <c r="AX59" s="882"/>
      <c r="AY59" s="884"/>
      <c r="BA59" s="943">
        <f t="shared" si="25"/>
        <v>0.05</v>
      </c>
    </row>
    <row r="60" spans="1:53">
      <c r="AJ60" s="264"/>
    </row>
    <row r="61" spans="1:53">
      <c r="AJ61" s="264"/>
    </row>
    <row r="62" spans="1:53">
      <c r="AJ62" s="264"/>
    </row>
    <row r="63" spans="1:53">
      <c r="AJ63" s="264"/>
    </row>
    <row r="64" spans="1:53">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sheetPr codeName="Sheet26">
    <tabColor rgb="FFA9DA74"/>
  </sheetPr>
  <dimension ref="A1:CG84"/>
  <sheetViews>
    <sheetView workbookViewId="0">
      <pane xSplit="1" topLeftCell="B1" activePane="topRight" state="frozen"/>
      <selection activeCell="B1" sqref="B1"/>
      <selection pane="topRight" activeCell="O3" sqref="O3:O7"/>
    </sheetView>
  </sheetViews>
  <sheetFormatPr defaultRowHeight="15"/>
  <cols>
    <col min="11" max="11" width="15.28515625" bestFit="1" customWidth="1"/>
    <col min="12" max="12" width="12.85546875" customWidth="1"/>
    <col min="13" max="13" width="12.42578125" customWidth="1"/>
    <col min="15" max="15" width="13.5703125" style="37" bestFit="1" customWidth="1"/>
    <col min="27" max="27" width="12.85546875" customWidth="1"/>
    <col min="28" max="28" width="10.85546875" customWidth="1"/>
    <col min="30" max="30" width="12.7109375" customWidth="1"/>
    <col min="35" max="36" width="13" customWidth="1"/>
    <col min="37" max="38" width="13.7109375" bestFit="1" customWidth="1"/>
    <col min="39" max="39" width="12.85546875" bestFit="1" customWidth="1"/>
    <col min="40" max="40" width="11.85546875" bestFit="1" customWidth="1"/>
    <col min="41" max="41" width="10" bestFit="1" customWidth="1"/>
    <col min="42" max="42" width="11.85546875" bestFit="1" customWidth="1"/>
    <col min="43" max="43" width="7.42578125" bestFit="1" customWidth="1"/>
    <col min="44" max="44" width="12.85546875" bestFit="1" customWidth="1"/>
    <col min="45" max="45" width="14.5703125" bestFit="1" customWidth="1"/>
    <col min="46" max="46" width="1.7109375" customWidth="1"/>
    <col min="51" max="51" width="10.5703125" customWidth="1"/>
    <col min="55" max="58" width="11.42578125" customWidth="1"/>
    <col min="59" max="59" width="3.85546875" customWidth="1"/>
    <col min="60" max="60" width="10.42578125" customWidth="1"/>
    <col min="61" max="61" width="10.28515625" customWidth="1"/>
    <col min="62" max="62" width="11.28515625" customWidth="1"/>
    <col min="63" max="63" width="10.42578125" customWidth="1"/>
    <col min="64" max="64" width="3.140625" customWidth="1"/>
    <col min="65" max="65" width="10.85546875" customWidth="1"/>
    <col min="66" max="66" width="10.42578125" customWidth="1"/>
    <col min="67" max="68" width="11.140625" customWidth="1"/>
    <col min="69" max="69" width="3" customWidth="1"/>
    <col min="70" max="70" width="10" customWidth="1"/>
    <col min="71" max="71" width="10.140625" customWidth="1"/>
    <col min="72" max="72" width="11" customWidth="1"/>
    <col min="73" max="73" width="10.7109375" customWidth="1"/>
    <col min="74" max="74" width="3.140625" customWidth="1"/>
    <col min="75" max="77" width="14.42578125" bestFit="1" customWidth="1"/>
    <col min="78" max="78" width="13.7109375" bestFit="1" customWidth="1"/>
    <col min="79" max="79" width="3.140625" customWidth="1"/>
    <col min="80" max="80" width="10.85546875" customWidth="1"/>
    <col min="81" max="81" width="12.140625" customWidth="1"/>
    <col min="82" max="82" width="11" customWidth="1"/>
    <col min="83" max="83" width="10.85546875" customWidth="1"/>
    <col min="84" max="84" width="3.140625" customWidth="1"/>
    <col min="85" max="85" width="13.7109375" bestFit="1" customWidth="1"/>
  </cols>
  <sheetData>
    <row r="1" spans="1:85" ht="60">
      <c r="C1" s="257" t="s">
        <v>226</v>
      </c>
      <c r="D1" s="258" t="s">
        <v>956</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85">
      <c r="C2" s="257" t="s">
        <v>230</v>
      </c>
      <c r="D2" s="265">
        <v>2011</v>
      </c>
      <c r="E2" s="266"/>
      <c r="J2" s="267" t="s">
        <v>231</v>
      </c>
      <c r="K2" s="268">
        <f ca="1">NPV(DiscountRate,AA19:AA59)</f>
        <v>22995351.580469109</v>
      </c>
      <c r="L2" s="269">
        <f ca="1">-SUM(OFFSET(W19,0,0,M2-2010+1,4))</f>
        <v>1731926.1930670706</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85">
      <c r="A3" s="272"/>
      <c r="B3" s="273"/>
      <c r="C3" s="274" t="s">
        <v>232</v>
      </c>
      <c r="D3" s="1635" t="s">
        <v>233</v>
      </c>
      <c r="E3" s="1635"/>
      <c r="F3" s="1635"/>
      <c r="G3" s="273"/>
      <c r="H3" s="273"/>
      <c r="I3" s="273"/>
      <c r="J3" s="275" t="s">
        <v>234</v>
      </c>
      <c r="K3" s="276">
        <f ca="1">NPV(DiscountRate,AJ19:AJ59)</f>
        <v>57406611.44080469</v>
      </c>
      <c r="L3" s="277" t="s">
        <v>235</v>
      </c>
      <c r="M3" s="278">
        <f ca="1">-SUM(OFFSET(W19,M2-2010,0,1,4))</f>
        <v>82472.675860336691</v>
      </c>
      <c r="N3" s="272"/>
      <c r="O3" s="1496">
        <f ca="1">AVERAGE(OFFSET(AJ19,0,0,$M$2-2010+1,1))</f>
        <v>5580475.6382032586</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85">
      <c r="A4" s="272"/>
      <c r="B4" s="273"/>
      <c r="C4" s="273"/>
      <c r="D4" s="280" t="s">
        <v>236</v>
      </c>
      <c r="E4" s="273"/>
      <c r="F4" s="272"/>
      <c r="G4" s="272"/>
      <c r="H4" s="272"/>
      <c r="I4" s="273"/>
      <c r="J4" s="275" t="s">
        <v>237</v>
      </c>
      <c r="K4" s="276">
        <f>NPV(DiscountRate,AK19:AK59)</f>
        <v>377330450.07839131</v>
      </c>
      <c r="L4" s="278">
        <f ca="1">L2/(2050-D2+1)</f>
        <v>43298.154826676764</v>
      </c>
      <c r="M4" s="281">
        <f ca="1">-SUM(OFFSET(W19,M2-2010,0,1,4))/SUM(OFFSET(ExposureCalculations!G16,M2-2010,0,1,3))</f>
        <v>7.543247076375964E-2</v>
      </c>
      <c r="N4" s="272"/>
      <c r="O4" s="1496">
        <f ca="1">AVERAGE(OFFSET(AK19,0,0,$M$2-2010+1,1))</f>
        <v>24609252.914564516</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85">
      <c r="A5" s="272"/>
      <c r="B5" s="273"/>
      <c r="C5" s="814" t="s">
        <v>649</v>
      </c>
      <c r="D5" s="885" t="s">
        <v>939</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85">
      <c r="A6" s="272"/>
      <c r="B6" s="273"/>
      <c r="C6" s="273"/>
      <c r="D6" s="273"/>
      <c r="E6" s="273"/>
      <c r="F6" s="272"/>
      <c r="G6" s="272"/>
      <c r="H6" s="272"/>
      <c r="I6" s="273"/>
      <c r="J6" s="275" t="s">
        <v>239</v>
      </c>
      <c r="K6" s="276">
        <f>NPV(DiscountRate,AN19:AN59)</f>
        <v>45123548.422856234</v>
      </c>
      <c r="L6" s="277"/>
      <c r="M6" s="272"/>
      <c r="N6" s="272"/>
      <c r="O6" s="1496">
        <f ca="1">AVERAGE(OFFSET(AN19,0,0,$M$2-2010+1,1))</f>
        <v>4293259.9513237411</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85">
      <c r="A7" s="272"/>
      <c r="B7" s="282"/>
      <c r="C7" s="282"/>
      <c r="D7" s="282"/>
      <c r="E7" s="282"/>
      <c r="F7" s="272"/>
      <c r="G7" s="272"/>
      <c r="H7" s="272"/>
      <c r="I7" s="273"/>
      <c r="J7" s="275" t="s">
        <v>240</v>
      </c>
      <c r="K7" s="276">
        <f>NPV(DiscountRate,AO19:AO59)</f>
        <v>-268930.93544206338</v>
      </c>
      <c r="L7" s="272"/>
      <c r="M7" s="272"/>
      <c r="N7" s="272"/>
      <c r="O7" s="1496">
        <f ca="1">AVERAGE(OFFSET(AO19,0,0,$M$2-2010+1,1))</f>
        <v>-7317.0731707317073</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85">
      <c r="A8" s="272"/>
      <c r="B8" s="282"/>
      <c r="C8" s="282"/>
      <c r="D8" s="282"/>
      <c r="E8" s="282"/>
      <c r="F8" s="272"/>
      <c r="G8" s="272"/>
      <c r="H8" s="272"/>
      <c r="I8" s="273"/>
      <c r="J8" s="283" t="s">
        <v>241</v>
      </c>
      <c r="K8" s="276">
        <f ca="1">NPV(DiscountRate,AR19:AR59)</f>
        <v>502587030.58707935</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85">
      <c r="A9" s="272"/>
      <c r="B9" s="282"/>
      <c r="C9" s="282"/>
      <c r="D9" s="282"/>
      <c r="E9" s="282"/>
      <c r="F9" s="272"/>
      <c r="G9" s="272"/>
      <c r="H9" s="272"/>
      <c r="I9" s="273"/>
      <c r="J9" s="283" t="s">
        <v>242</v>
      </c>
      <c r="K9" s="286" t="str">
        <f ca="1">IFERROR((K8-K5)/-K5,"No Capital")</f>
        <v>No Capital</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85">
      <c r="A10" s="272"/>
      <c r="B10" s="282"/>
      <c r="C10" s="282"/>
      <c r="D10" s="282"/>
      <c r="E10" s="282"/>
      <c r="F10" s="272"/>
      <c r="G10" s="272"/>
      <c r="H10" s="272"/>
      <c r="I10" s="273"/>
      <c r="J10" s="283" t="s">
        <v>243</v>
      </c>
      <c r="K10" s="287" t="str">
        <f ca="1">IFERROR(IF(K8&lt;0,"",IRR(AR19:AR59)),"")</f>
        <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85">
      <c r="A11" s="272"/>
      <c r="B11" s="282"/>
      <c r="C11" s="282"/>
      <c r="D11" s="282"/>
      <c r="E11" s="282"/>
      <c r="F11" s="272"/>
      <c r="G11" s="272"/>
      <c r="H11" s="272"/>
      <c r="I11" s="273"/>
      <c r="J11" s="283" t="s">
        <v>244</v>
      </c>
      <c r="K11" s="288">
        <f ca="1">IFERROR(COUNTIF(AS19:AS59,"&lt;=0")+1-INDEX(AS19:AS59,COUNTIF(AS19:AS59,"&lt;=0")+1)/INDEX(AR19:AR59,COUNTIF(AS19:AS59,"&lt;=0")+1)-(D2-2010),"Check Calc")</f>
        <v>-1</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85">
      <c r="A12" s="272"/>
      <c r="B12" s="317"/>
      <c r="C12" s="282"/>
      <c r="D12" s="282"/>
      <c r="E12" s="282"/>
      <c r="F12" s="272"/>
      <c r="G12" s="272"/>
      <c r="H12" s="272"/>
      <c r="I12" s="273"/>
      <c r="J12" s="283" t="s">
        <v>245</v>
      </c>
      <c r="K12" s="276">
        <f ca="1">K8-K2</f>
        <v>479591679.00661021</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85">
      <c r="A13" s="272"/>
      <c r="B13" s="282"/>
      <c r="C13" s="282"/>
      <c r="D13" s="282"/>
      <c r="E13" s="282"/>
      <c r="F13" s="272"/>
      <c r="G13" s="272"/>
      <c r="H13" s="272"/>
      <c r="I13" s="273"/>
      <c r="J13" s="275" t="s">
        <v>246</v>
      </c>
      <c r="K13" s="276">
        <f ca="1">IFERROR(IF(L2&lt;0,99999.4,K12/SUM(NPV(DiscountRate,W19:W59),NPV(DiscountRate,X19:X59),NPV(DiscountRate,Y19:Y59),NPV(DiscountRate,Z19:Z59))),"")</f>
        <v>-1076.846007063994</v>
      </c>
      <c r="L13" s="915" t="str">
        <f ca="1">IF(K13&gt;99998,"(Values $99,999 and above indicate net carbon increase)","")</f>
        <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85">
      <c r="A14" s="272"/>
      <c r="B14" s="282"/>
      <c r="C14" s="282"/>
      <c r="D14" s="282"/>
      <c r="E14" s="282"/>
      <c r="F14" s="272"/>
      <c r="G14" s="272"/>
      <c r="H14" s="272"/>
      <c r="I14" s="273"/>
      <c r="J14" s="275" t="s">
        <v>247</v>
      </c>
      <c r="K14" s="276">
        <f ca="1">IFERROR(IF(L2&lt;0,"",-K2/SUM(NPV(DiscountRate,W19:W59),NPV(DiscountRate,X19:X59),NPV(DiscountRate,Y19:Y59),NPV(DiscountRate,Z19:Z59))),"")</f>
        <v>51.63236481031516</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85">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c r="AV15" s="1216"/>
      <c r="AW15" t="s">
        <v>1374</v>
      </c>
    </row>
    <row r="16" spans="1:85"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c r="BA16" s="1680" t="s">
        <v>1059</v>
      </c>
      <c r="BB16" s="1680"/>
      <c r="BC16" s="1680"/>
      <c r="BD16" s="1680"/>
      <c r="BE16" s="1680"/>
      <c r="BF16" s="1680"/>
      <c r="BH16" s="1680" t="s">
        <v>1056</v>
      </c>
      <c r="BI16" s="1680"/>
      <c r="BJ16" s="1680"/>
      <c r="BK16" s="1680"/>
      <c r="BM16" s="1680" t="s">
        <v>1055</v>
      </c>
      <c r="BN16" s="1680"/>
      <c r="BO16" s="1680"/>
      <c r="BP16" s="1680"/>
      <c r="BR16" s="1680" t="s">
        <v>1057</v>
      </c>
      <c r="BS16" s="1680"/>
      <c r="BT16" s="1680"/>
      <c r="BU16" s="1680"/>
      <c r="BW16" s="1680" t="s">
        <v>1058</v>
      </c>
      <c r="BX16" s="1680"/>
      <c r="BY16" s="1680"/>
      <c r="BZ16" s="1680"/>
      <c r="CB16" s="1680" t="s">
        <v>1432</v>
      </c>
      <c r="CC16" s="1680"/>
      <c r="CD16" s="1680"/>
      <c r="CE16" s="1680"/>
      <c r="CG16" s="1208"/>
    </row>
    <row r="17" spans="1:85"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A17" s="927" t="s">
        <v>979</v>
      </c>
      <c r="BB17" s="927" t="s">
        <v>978</v>
      </c>
      <c r="BC17" s="927" t="s">
        <v>1403</v>
      </c>
      <c r="BD17" s="927" t="s">
        <v>1404</v>
      </c>
      <c r="BE17" s="927" t="s">
        <v>1405</v>
      </c>
      <c r="BF17" s="927" t="s">
        <v>1406</v>
      </c>
      <c r="BH17" s="949" t="s">
        <v>986</v>
      </c>
      <c r="BI17" s="949" t="s">
        <v>987</v>
      </c>
      <c r="BJ17" s="949" t="s">
        <v>988</v>
      </c>
      <c r="BK17" s="949" t="s">
        <v>989</v>
      </c>
      <c r="BM17" s="949" t="s">
        <v>990</v>
      </c>
      <c r="BN17" s="949" t="s">
        <v>991</v>
      </c>
      <c r="BO17" s="949" t="s">
        <v>992</v>
      </c>
      <c r="BP17" s="949" t="s">
        <v>993</v>
      </c>
      <c r="BR17" s="949" t="s">
        <v>994</v>
      </c>
      <c r="BS17" s="949" t="s">
        <v>995</v>
      </c>
      <c r="BT17" s="949" t="s">
        <v>996</v>
      </c>
      <c r="BU17" s="949" t="s">
        <v>997</v>
      </c>
      <c r="BW17" s="949" t="s">
        <v>982</v>
      </c>
      <c r="BX17" s="949" t="s">
        <v>983</v>
      </c>
      <c r="BY17" s="949" t="s">
        <v>984</v>
      </c>
      <c r="BZ17" s="949" t="s">
        <v>985</v>
      </c>
      <c r="CB17" s="949" t="s">
        <v>998</v>
      </c>
      <c r="CC17" s="949" t="s">
        <v>1430</v>
      </c>
      <c r="CD17" s="949" t="s">
        <v>1429</v>
      </c>
      <c r="CE17" s="949" t="s">
        <v>1431</v>
      </c>
      <c r="CG17" s="950" t="s">
        <v>1433</v>
      </c>
    </row>
    <row r="18" spans="1:85">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t="s">
        <v>233</v>
      </c>
      <c r="AX18" s="876" t="s">
        <v>1421</v>
      </c>
      <c r="AY18" s="877"/>
      <c r="BA18" s="957" t="s">
        <v>1062</v>
      </c>
      <c r="BB18" s="957" t="s">
        <v>1062</v>
      </c>
      <c r="BC18" s="957" t="s">
        <v>1062</v>
      </c>
      <c r="BD18" s="957" t="s">
        <v>1062</v>
      </c>
      <c r="BE18" s="957" t="s">
        <v>1062</v>
      </c>
      <c r="BF18" s="957" t="s">
        <v>1062</v>
      </c>
      <c r="BH18" s="934" t="s">
        <v>60</v>
      </c>
      <c r="BI18" s="934" t="s">
        <v>60</v>
      </c>
      <c r="BJ18" s="934" t="s">
        <v>60</v>
      </c>
      <c r="BK18" s="934" t="s">
        <v>60</v>
      </c>
      <c r="BM18" s="934" t="s">
        <v>278</v>
      </c>
      <c r="BN18" s="934" t="s">
        <v>278</v>
      </c>
      <c r="BO18" s="934" t="s">
        <v>278</v>
      </c>
      <c r="BP18" s="934" t="s">
        <v>278</v>
      </c>
      <c r="BR18" s="934" t="s">
        <v>278</v>
      </c>
      <c r="BS18" s="934" t="s">
        <v>278</v>
      </c>
      <c r="BT18" s="934" t="s">
        <v>278</v>
      </c>
      <c r="BU18" s="934" t="s">
        <v>278</v>
      </c>
      <c r="BW18" s="932" t="s">
        <v>1002</v>
      </c>
      <c r="BX18" s="932" t="s">
        <v>1002</v>
      </c>
      <c r="BY18" s="932" t="s">
        <v>1002</v>
      </c>
      <c r="BZ18" s="932" t="s">
        <v>1002</v>
      </c>
      <c r="CB18" s="932" t="s">
        <v>25</v>
      </c>
      <c r="CC18" s="932" t="str">
        <f>BH18</f>
        <v>MWh</v>
      </c>
      <c r="CD18" s="932" t="str">
        <f>BO18</f>
        <v>MMBtu</v>
      </c>
      <c r="CE18" s="932" t="str">
        <f>BS18</f>
        <v>MMBtu</v>
      </c>
      <c r="CG18" s="932" t="s">
        <v>1002</v>
      </c>
    </row>
    <row r="19" spans="1:85">
      <c r="A19" s="303">
        <v>2010</v>
      </c>
      <c r="B19" s="304">
        <f ca="1">IF($D$3="BAU",UtilityDemand!C12,INDIRECT($D$3&amp;"!B"&amp;ROW(A19))+INDIRECT($D$3&amp;"!D"&amp;ROW(A19)))</f>
        <v>128552.63513418502</v>
      </c>
      <c r="C19" s="305">
        <f ca="1">D19/B19</f>
        <v>-1.0802150932511951E-2</v>
      </c>
      <c r="D19" s="306">
        <f>-BK19+CC19</f>
        <v>-1388.6449674916055</v>
      </c>
      <c r="E19" s="304">
        <f ca="1">IF($D$3="BAU",UtilityDemand!E12,INDIRECT($D$3&amp;"!E"&amp;ROW(D19))+INDIRECT($D$3&amp;"!G"&amp;ROW(D19)))</f>
        <v>685461.01512967527</v>
      </c>
      <c r="F19" s="305">
        <f ca="1">G19/E19</f>
        <v>-1.0776203280869494E-2</v>
      </c>
      <c r="G19" s="306">
        <f>-BP19+CD19</f>
        <v>-7386.6672401485412</v>
      </c>
      <c r="H19" s="304">
        <f ca="1">IF($D$3="BAU",UtilityDemand!G12,INDIRECT($D$3&amp;"!H"&amp;ROW(G19))+INDIRECT($D$3&amp;"!J"&amp;ROW(G19)))</f>
        <v>179442.39456260367</v>
      </c>
      <c r="I19" s="305">
        <f ca="1">J19/H19</f>
        <v>-1.0749507403018778E-2</v>
      </c>
      <c r="J19" s="306">
        <f>-BU19+CE19</f>
        <v>-1928.9173487661249</v>
      </c>
      <c r="K19" s="307">
        <f ca="1">IF($D$3="BAU",B19+D19,INDIRECT($D$3&amp;"!B"&amp;ROW(A19))+INDIRECT($D$3&amp;"!D"&amp;ROW(A19))+INDIRECT($D$3&amp;"!L"&amp;ROW(A19))+D19)</f>
        <v>127163.99016669342</v>
      </c>
      <c r="L19" s="307">
        <f>-M19</f>
        <v>0</v>
      </c>
      <c r="M19" s="307">
        <v>0</v>
      </c>
      <c r="N19" s="307">
        <f ca="1">K19+L19</f>
        <v>127163.99016669342</v>
      </c>
      <c r="O19" s="1494">
        <f ca="1">IF($D$3="BAU",E19+G19,INDIRECT($D$3&amp;"!E"&amp;ROW(A19))+INDIRECT($D$3&amp;"!G"&amp;ROW(A19))+INDIRECT($D$3&amp;"!P"&amp;ROW(A19))+G19)</f>
        <v>678074.34788952675</v>
      </c>
      <c r="P19" s="306">
        <f>-Q19</f>
        <v>0</v>
      </c>
      <c r="Q19" s="306">
        <v>0</v>
      </c>
      <c r="R19" s="306">
        <f ca="1">O19+P19</f>
        <v>678074.34788952675</v>
      </c>
      <c r="S19" s="818">
        <f ca="1">IF($D$3="BAU",H19+J19,INDIRECT($D$3&amp;"!H"&amp;ROW(A19))+INDIRECT($D$3&amp;"!J"&amp;ROW(A19))+INDIRECT($D$3&amp;"!T"&amp;ROW(A19))+J19)</f>
        <v>177513.47721383756</v>
      </c>
      <c r="T19" s="818">
        <f>-U19</f>
        <v>0</v>
      </c>
      <c r="U19" s="818">
        <v>0</v>
      </c>
      <c r="V19" s="818">
        <f ca="1">S19+T19</f>
        <v>177513.47721383756</v>
      </c>
      <c r="W19" s="306">
        <f t="shared" ref="W19:W59" si="1">0*Emission_Factor_NG</f>
        <v>0</v>
      </c>
      <c r="X19" s="306">
        <f t="shared" ref="X19:X59" ca="1" si="2">SUM(D19,L19)*OFFSET(GridFootprintbyYear,$A19-$A$19,0)+SUM(G19,P19)*Emissions_factor_PurchSteam+SUM(J19,T19)*Emissions_factor_PurchCooling</f>
        <v>-2011.5286795204174</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118034.82223678647</v>
      </c>
      <c r="AC19" s="308">
        <v>0</v>
      </c>
      <c r="AD19" s="819">
        <f t="shared" ref="AD19:AD59" ca="1" si="4">-SUM(G19,P19)*OFFSET(Price_PS_mmbtu,A19-$A$19+3,0)</f>
        <v>81724.829039941309</v>
      </c>
      <c r="AE19" s="308">
        <v>0</v>
      </c>
      <c r="AF19" s="819">
        <f t="shared" ref="AF19:AF59" ca="1" si="5">-SUM(J19,T19)*OFFSET(Price_PCW_mmbtu,A19-$A$19+3,0)</f>
        <v>37292.402076145081</v>
      </c>
      <c r="AG19" s="308">
        <v>0</v>
      </c>
      <c r="AH19" s="308">
        <v>0</v>
      </c>
      <c r="AI19" s="308">
        <v>0</v>
      </c>
      <c r="AJ19" s="308">
        <f t="shared" ref="AJ19:AJ59" ca="1" si="6">SUM(AB19:AI19)</f>
        <v>237052.05335287287</v>
      </c>
      <c r="AK19" s="309">
        <v>0</v>
      </c>
      <c r="AL19" s="309">
        <v>0</v>
      </c>
      <c r="AM19" s="309">
        <f>SUM(AK19:AL19)</f>
        <v>0</v>
      </c>
      <c r="AN19" s="310">
        <v>0</v>
      </c>
      <c r="AO19" s="310">
        <v>0</v>
      </c>
      <c r="AP19" s="310">
        <f>SUM(AN19:AO19)</f>
        <v>0</v>
      </c>
      <c r="AQ19" s="309">
        <v>0</v>
      </c>
      <c r="AR19" s="311">
        <f t="shared" ref="AR19:AR59" ca="1" si="7">SUM(AA19,AJ19,AM19,AP19,AQ19)</f>
        <v>237052.05335287287</v>
      </c>
      <c r="AS19" s="870">
        <f ca="1">AR19</f>
        <v>237052.05335287287</v>
      </c>
      <c r="AT19" s="822"/>
      <c r="AU19" s="1247"/>
      <c r="AV19" s="1251" t="s">
        <v>1422</v>
      </c>
      <c r="AW19" s="1250">
        <f>BA59-CampusArea!$F$11</f>
        <v>3574.8681535273536</v>
      </c>
      <c r="AX19" s="1250">
        <f>BB59-CampusArea!$F$11</f>
        <v>620</v>
      </c>
      <c r="AY19" s="1249" t="s">
        <v>1062</v>
      </c>
      <c r="BA19" s="945">
        <f>CampusArea!F12</f>
        <v>6687.8800525250572</v>
      </c>
      <c r="BB19" s="944">
        <f>BA19-((CampusArea!$N$60/CampusArea!$U$52)*(1+A19-$A$19))</f>
        <v>6615.810097560975</v>
      </c>
      <c r="BC19" s="945">
        <f>BA19-BB19</f>
        <v>72.069954964082172</v>
      </c>
      <c r="BD19" s="946">
        <f>BC19*$AU$22</f>
        <v>72.069954964082172</v>
      </c>
      <c r="BE19" s="946">
        <f>BC19*$AU$23</f>
        <v>0</v>
      </c>
      <c r="BF19" s="946">
        <f>BC19*$AU$24</f>
        <v>0</v>
      </c>
      <c r="BH19" s="931">
        <f>BD19*$AU$32/BTU_Electric_per_kWh*1000</f>
        <v>1388.6449674916055</v>
      </c>
      <c r="BI19" s="931">
        <f t="shared" ref="BI19:BI59" si="8">BE19*$AU$33/BTU_Electric_per_kWh*1000</f>
        <v>0</v>
      </c>
      <c r="BJ19" s="931">
        <f t="shared" ref="BJ19:BJ59" si="9">BF19*$AU$34/BTU_Electric_per_kWh*1000</f>
        <v>0</v>
      </c>
      <c r="BK19" s="931">
        <f>SUM(BH19:BJ19)</f>
        <v>1388.6449674916055</v>
      </c>
      <c r="BM19" s="931">
        <f>BD19*$AU$37</f>
        <v>7386.6672401485412</v>
      </c>
      <c r="BN19" s="931">
        <f>BE19*$AU$38</f>
        <v>0</v>
      </c>
      <c r="BO19" s="931">
        <f>BF19*$AU$39</f>
        <v>0</v>
      </c>
      <c r="BP19" s="931">
        <f>SUM(BM19:BO19)</f>
        <v>7386.6672401485412</v>
      </c>
      <c r="BR19" s="931">
        <f>BD19*$AU$42</f>
        <v>1928.9173487661249</v>
      </c>
      <c r="BS19" s="931">
        <f>BE19*$AU$43</f>
        <v>0</v>
      </c>
      <c r="BT19" s="931">
        <f>BF19*$AU$44</f>
        <v>0</v>
      </c>
      <c r="BU19" s="931">
        <f>SUM(BR19:BT19)</f>
        <v>1928.9173487661249</v>
      </c>
      <c r="BW19" s="929">
        <f>BD19*$AU$27*1000</f>
        <v>25224484.237428762</v>
      </c>
      <c r="BX19" s="929">
        <f>BE19*$AU$28*1000</f>
        <v>0</v>
      </c>
      <c r="BY19" s="929">
        <f>BF19*$AU$29*1000</f>
        <v>0</v>
      </c>
      <c r="BZ19" s="929">
        <f>SUM(BW19:BY19)</f>
        <v>25224484.237428762</v>
      </c>
      <c r="CB19" s="931">
        <f>$AU$49-CampusArea!D12</f>
        <v>0</v>
      </c>
      <c r="CC19" s="931">
        <f t="shared" ref="CC19:CC59" si="10">CB19*$AU$56*1000/BTU_Electric_per_kWh</f>
        <v>0</v>
      </c>
      <c r="CD19" s="931">
        <f>CB19*$AU$57</f>
        <v>0</v>
      </c>
      <c r="CE19" s="931">
        <f>CB19*$AU$58</f>
        <v>0</v>
      </c>
      <c r="CG19" s="929">
        <f>CB19*$AU$27*$AU$53*1000</f>
        <v>0</v>
      </c>
    </row>
    <row r="20" spans="1:85">
      <c r="A20" s="303">
        <v>2011</v>
      </c>
      <c r="B20" s="304">
        <f ca="1">IF($D$3="BAU",UtilityDemand!C13,INDIRECT($D$3&amp;"!B"&amp;ROW(A20))+INDIRECT($D$3&amp;"!D"&amp;ROW(A20)))</f>
        <v>130129.26073503707</v>
      </c>
      <c r="C20" s="305">
        <f t="shared" ref="C20:C59" ca="1" si="11">D20/B20</f>
        <v>-2.1342547550763216E-2</v>
      </c>
      <c r="D20" s="306">
        <f t="shared" ref="D20:D59" si="12">-BK20+CC20</f>
        <v>-2777.2899349831932</v>
      </c>
      <c r="E20" s="304">
        <f ca="1">IF($D$3="BAU",UtilityDemand!E13,INDIRECT($D$3&amp;"!E"&amp;ROW(D20))+INDIRECT($D$3&amp;"!G"&amp;ROW(D20)))</f>
        <v>693847.61425935081</v>
      </c>
      <c r="F20" s="305">
        <f t="shared" ref="F20:F59" ca="1" si="13">G20/E20</f>
        <v>-2.1291900666210142E-2</v>
      </c>
      <c r="G20" s="306">
        <f t="shared" ref="G20:G59" si="14">-BP20+CD20</f>
        <v>-14773.33448029699</v>
      </c>
      <c r="H20" s="304">
        <f ca="1">IF($D$3="BAU",UtilityDemand!G13,INDIRECT($D$3&amp;"!H"&amp;ROW(G20))+INDIRECT($D$3&amp;"!J"&amp;ROW(G20)))</f>
        <v>182506.92912520736</v>
      </c>
      <c r="I20" s="305">
        <f t="shared" ref="I20:I59" ca="1" si="15">J20/H20</f>
        <v>-2.1138017696224507E-2</v>
      </c>
      <c r="J20" s="306">
        <f t="shared" ref="J20:J59" si="16">-BU20+CE20</f>
        <v>-3857.8346975322252</v>
      </c>
      <c r="K20" s="307">
        <f t="shared" ref="K20:K59" ca="1" si="17">IF($D$3="BAU",B20+D20,INDIRECT($D$3&amp;"!B"&amp;ROW(A20))+INDIRECT($D$3&amp;"!D"&amp;ROW(A20))+INDIRECT($D$3&amp;"!L"&amp;ROW(A20))+D20)</f>
        <v>127351.97080005388</v>
      </c>
      <c r="L20" s="307">
        <f t="shared" ref="L20:L59" si="18">-M20</f>
        <v>0</v>
      </c>
      <c r="M20" s="307">
        <v>0</v>
      </c>
      <c r="N20" s="307">
        <f t="shared" ref="N20:N59" ca="1" si="19">K20+L20</f>
        <v>127351.97080005388</v>
      </c>
      <c r="O20" s="1494">
        <f t="shared" ref="O20:O59" ca="1" si="20">IF($D$3="BAU",E20+G20,INDIRECT($D$3&amp;"!E"&amp;ROW(A20))+INDIRECT($D$3&amp;"!G"&amp;ROW(A20))+INDIRECT($D$3&amp;"!P"&amp;ROW(A20))+G20)</f>
        <v>679074.27977905388</v>
      </c>
      <c r="P20" s="306">
        <f t="shared" ref="P20:P59" si="21">-Q20</f>
        <v>0</v>
      </c>
      <c r="Q20" s="306">
        <v>0</v>
      </c>
      <c r="R20" s="306">
        <f t="shared" ref="R20:R59" ca="1" si="22">O20+P20</f>
        <v>679074.27977905388</v>
      </c>
      <c r="S20" s="818">
        <f t="shared" ref="S20:S59" ca="1" si="23">IF($D$3="BAU",H20+J20,INDIRECT($D$3&amp;"!H"&amp;ROW(A20))+INDIRECT($D$3&amp;"!J"&amp;ROW(A20))+INDIRECT($D$3&amp;"!T"&amp;ROW(A20))+J20)</f>
        <v>178649.09442767513</v>
      </c>
      <c r="T20" s="818">
        <f t="shared" ref="T20:T59" si="24">-U20</f>
        <v>0</v>
      </c>
      <c r="U20" s="818">
        <v>0</v>
      </c>
      <c r="V20" s="818">
        <f t="shared" ref="V20:V59" ca="1" si="25">S20+T20</f>
        <v>178649.09442767513</v>
      </c>
      <c r="W20" s="306">
        <f t="shared" si="1"/>
        <v>0</v>
      </c>
      <c r="X20" s="306">
        <f t="shared" ca="1" si="2"/>
        <v>-4023.0573590408094</v>
      </c>
      <c r="Y20" s="306">
        <v>0</v>
      </c>
      <c r="Z20" s="306">
        <v>0</v>
      </c>
      <c r="AA20" s="308">
        <f ca="1">-SUM(W20,X20/OFFSET(GridFootprintbyYear,$A20-$A$19,0)*EF_PurchElec_MTperMWh,Z20)*OFFSET(ExposureCalculations!Price_GHG_Allowance_2010,A20-$A$19,0)*ExposureCalculations!D17</f>
        <v>0</v>
      </c>
      <c r="AB20" s="308">
        <f t="shared" ca="1" si="3"/>
        <v>237249.99269593926</v>
      </c>
      <c r="AC20" s="308">
        <v>0</v>
      </c>
      <c r="AD20" s="819">
        <f t="shared" ca="1" si="4"/>
        <v>164266.90637028095</v>
      </c>
      <c r="AE20" s="308">
        <v>0</v>
      </c>
      <c r="AF20" s="819">
        <f t="shared" ca="1" si="5"/>
        <v>74584.804152289682</v>
      </c>
      <c r="AG20" s="308">
        <v>0</v>
      </c>
      <c r="AH20" s="308">
        <v>0</v>
      </c>
      <c r="AI20" s="308">
        <v>0</v>
      </c>
      <c r="AJ20" s="308">
        <f t="shared" ca="1" si="6"/>
        <v>476101.70321850991</v>
      </c>
      <c r="AK20" s="911">
        <f>BZ20</f>
        <v>25224484.237428442</v>
      </c>
      <c r="AL20" s="309">
        <f>-CG20</f>
        <v>0</v>
      </c>
      <c r="AM20" s="309">
        <f t="shared" ref="AM20:AM59" si="26">SUM(AK20:AL20)</f>
        <v>25224484.237428442</v>
      </c>
      <c r="AN20" s="310">
        <f>BC20*$AU$62*1000</f>
        <v>409357.34419598413</v>
      </c>
      <c r="AO20" s="310">
        <v>-300000</v>
      </c>
      <c r="AP20" s="310">
        <f t="shared" ref="AP20:AP59" si="27">SUM(AN20:AO20)</f>
        <v>109357.34419598413</v>
      </c>
      <c r="AQ20" s="309">
        <v>0</v>
      </c>
      <c r="AR20" s="311">
        <f t="shared" ca="1" si="7"/>
        <v>25809943.284842934</v>
      </c>
      <c r="AS20" s="870">
        <f t="shared" ref="AS20:AS59" ca="1" si="28">AR20+AS19</f>
        <v>26046995.338195808</v>
      </c>
      <c r="AT20" s="822"/>
      <c r="AU20" s="1247"/>
      <c r="AV20" s="1248" t="s">
        <v>1423</v>
      </c>
      <c r="AW20" s="1250">
        <f>AW19-AX19</f>
        <v>2954.8681535273536</v>
      </c>
      <c r="AX20" s="35"/>
      <c r="AY20" s="1249"/>
      <c r="BA20" s="945">
        <f>CampusArea!F13</f>
        <v>6769.7061050501152</v>
      </c>
      <c r="BB20" s="944">
        <f>BA20-((CampusArea!$N$60/CampusArea!$U$52)*(1+A20-$A$19))</f>
        <v>6625.5661951219518</v>
      </c>
      <c r="BC20" s="945">
        <f t="shared" ref="BC20:BC59" si="29">BA20-BB20</f>
        <v>144.13990992816343</v>
      </c>
      <c r="BD20" s="946">
        <f t="shared" ref="BD20:BD59" si="30">BC20*$AU$22</f>
        <v>144.13990992816343</v>
      </c>
      <c r="BE20" s="946">
        <f t="shared" ref="BE20:BE59" si="31">BC20*$AU$23</f>
        <v>0</v>
      </c>
      <c r="BF20" s="946">
        <f t="shared" ref="BF20:BF59" si="32">BC20*$AU$24</f>
        <v>0</v>
      </c>
      <c r="BH20" s="931">
        <f t="shared" ref="BH20:BH59" si="33">BD20*$AU$32/BTU_Electric_per_kWh*1000</f>
        <v>2777.2899349831932</v>
      </c>
      <c r="BI20" s="931">
        <f t="shared" si="8"/>
        <v>0</v>
      </c>
      <c r="BJ20" s="931">
        <f t="shared" si="9"/>
        <v>0</v>
      </c>
      <c r="BK20" s="931">
        <f t="shared" ref="BK20:BK59" si="34">SUM(BH20:BJ20)</f>
        <v>2777.2899349831932</v>
      </c>
      <c r="BM20" s="931">
        <f t="shared" ref="BM20:BM59" si="35">BD20*$AU$37</f>
        <v>14773.33448029699</v>
      </c>
      <c r="BN20" s="931">
        <f t="shared" ref="BN20:BN59" si="36">BE20*$AU$38</f>
        <v>0</v>
      </c>
      <c r="BO20" s="931">
        <f t="shared" ref="BO20:BO59" si="37">BF20*$AU$39</f>
        <v>0</v>
      </c>
      <c r="BP20" s="931">
        <f t="shared" ref="BP20:BP59" si="38">SUM(BM20:BO20)</f>
        <v>14773.33448029699</v>
      </c>
      <c r="BR20" s="931">
        <f t="shared" ref="BR20:BR59" si="39">BD20*$AU$42</f>
        <v>3857.8346975322252</v>
      </c>
      <c r="BS20" s="931">
        <f t="shared" ref="BS20:BS59" si="40">BE20*$AU$43</f>
        <v>0</v>
      </c>
      <c r="BT20" s="931">
        <f t="shared" ref="BT20:BT59" si="41">BF20*$AU$44</f>
        <v>0</v>
      </c>
      <c r="BU20" s="931">
        <f t="shared" ref="BU20:BU59" si="42">SUM(BR20:BT20)</f>
        <v>3857.8346975322252</v>
      </c>
      <c r="BW20" s="929">
        <f>(BD20-BD19)*$AU$27*1000</f>
        <v>25224484.237428442</v>
      </c>
      <c r="BX20" s="929">
        <f>(BE20-BE19)*$AU$28*1000</f>
        <v>0</v>
      </c>
      <c r="BY20" s="929">
        <f>(BF20-BF19)*$AU$29*1000</f>
        <v>0</v>
      </c>
      <c r="BZ20" s="929">
        <f t="shared" ref="BZ20:BZ59" si="43">SUM(BW20:BY20)</f>
        <v>25224484.237428442</v>
      </c>
      <c r="CB20" s="931">
        <f>$AU$49*(A20-2009)-CampusArea!D13</f>
        <v>0</v>
      </c>
      <c r="CC20" s="931">
        <f t="shared" si="10"/>
        <v>0</v>
      </c>
      <c r="CD20" s="931">
        <f t="shared" ref="CD20:CD59" si="44">CB20*$AU$57</f>
        <v>0</v>
      </c>
      <c r="CE20" s="931">
        <f t="shared" ref="CE20:CE59" si="45">CB20*$AU$58</f>
        <v>0</v>
      </c>
      <c r="CG20" s="929">
        <f>(CB20-CB19)*$AU$27*$AU$53*1000</f>
        <v>0</v>
      </c>
    </row>
    <row r="21" spans="1:85">
      <c r="A21" s="303">
        <v>2012</v>
      </c>
      <c r="B21" s="304">
        <f ca="1">IF($D$3="BAU",UtilityDemand!C14,INDIRECT($D$3&amp;"!B"&amp;ROW(A21))+INDIRECT($D$3&amp;"!D"&amp;ROW(A21)))</f>
        <v>133825.36797702796</v>
      </c>
      <c r="C21" s="305">
        <f t="shared" ca="1" si="11"/>
        <v>-3.1129635325866694E-2</v>
      </c>
      <c r="D21" s="306">
        <f t="shared" si="12"/>
        <v>-4165.9349024747989</v>
      </c>
      <c r="E21" s="304">
        <f ca="1">IF($D$3="BAU",UtilityDemand!E14,INDIRECT($D$3&amp;"!E"&amp;ROW(D21))+INDIRECT($D$3&amp;"!G"&amp;ROW(D21)))</f>
        <v>713508.44544344163</v>
      </c>
      <c r="F21" s="305">
        <f t="shared" ca="1" si="13"/>
        <v>-3.1057798771636416E-2</v>
      </c>
      <c r="G21" s="306">
        <f t="shared" si="14"/>
        <v>-22160.001720445529</v>
      </c>
      <c r="H21" s="304">
        <f ca="1">IF($D$3="BAU",UtilityDemand!G14,INDIRECT($D$3&amp;"!H"&amp;ROW(G21))+INDIRECT($D$3&amp;"!J"&amp;ROW(G21)))</f>
        <v>188515.56027382973</v>
      </c>
      <c r="I21" s="305">
        <f t="shared" ca="1" si="15"/>
        <v>-3.0696415923930943E-2</v>
      </c>
      <c r="J21" s="306">
        <f t="shared" si="16"/>
        <v>-5786.7520462983503</v>
      </c>
      <c r="K21" s="307">
        <f t="shared" ca="1" si="17"/>
        <v>129659.43307455316</v>
      </c>
      <c r="L21" s="307">
        <f t="shared" si="18"/>
        <v>0</v>
      </c>
      <c r="M21" s="307">
        <v>0</v>
      </c>
      <c r="N21" s="307">
        <f t="shared" ca="1" si="19"/>
        <v>129659.43307455316</v>
      </c>
      <c r="O21" s="1494">
        <f t="shared" ca="1" si="20"/>
        <v>691348.44372299605</v>
      </c>
      <c r="P21" s="306">
        <f t="shared" si="21"/>
        <v>0</v>
      </c>
      <c r="Q21" s="306">
        <v>0</v>
      </c>
      <c r="R21" s="306">
        <f t="shared" ca="1" si="22"/>
        <v>691348.44372299605</v>
      </c>
      <c r="S21" s="818">
        <f t="shared" ca="1" si="23"/>
        <v>182728.80822753138</v>
      </c>
      <c r="T21" s="818">
        <f t="shared" si="24"/>
        <v>0</v>
      </c>
      <c r="U21" s="818">
        <v>0</v>
      </c>
      <c r="V21" s="818">
        <f t="shared" ca="1" si="25"/>
        <v>182728.80822753138</v>
      </c>
      <c r="W21" s="306">
        <f t="shared" si="1"/>
        <v>0</v>
      </c>
      <c r="X21" s="306">
        <f t="shared" ca="1" si="2"/>
        <v>-6034.5860385612268</v>
      </c>
      <c r="Y21" s="306">
        <v>0</v>
      </c>
      <c r="Z21" s="306">
        <v>0</v>
      </c>
      <c r="AA21" s="308">
        <f ca="1">-SUM(W21,X21/OFFSET(GridFootprintbyYear,$A21-$A$19,0)*EF_PurchElec_MTperMWh,Z21)*OFFSET(ExposureCalculations!Price_GHG_Allowance_2010,A21-$A$19,0)*ExposureCalculations!D18</f>
        <v>0</v>
      </c>
      <c r="AB21" s="308">
        <f t="shared" ca="1" si="3"/>
        <v>357654.36398912914</v>
      </c>
      <c r="AC21" s="308">
        <v>0</v>
      </c>
      <c r="AD21" s="819">
        <f t="shared" ca="1" si="4"/>
        <v>247632.361353199</v>
      </c>
      <c r="AE21" s="308">
        <v>0</v>
      </c>
      <c r="AF21" s="819">
        <f t="shared" ca="1" si="5"/>
        <v>111877.20622843476</v>
      </c>
      <c r="AG21" s="308">
        <v>0</v>
      </c>
      <c r="AH21" s="308">
        <v>0</v>
      </c>
      <c r="AI21" s="308">
        <v>0</v>
      </c>
      <c r="AJ21" s="308">
        <f ca="1">SUM(AB21:AI21)</f>
        <v>717163.931570763</v>
      </c>
      <c r="AK21" s="911">
        <f t="shared" ref="AK21:AK59" si="46">BZ21</f>
        <v>25224484.237428762</v>
      </c>
      <c r="AL21" s="309">
        <f t="shared" ref="AL21:AL59" si="47">-CG21</f>
        <v>0</v>
      </c>
      <c r="AM21" s="309">
        <f t="shared" si="26"/>
        <v>25224484.237428762</v>
      </c>
      <c r="AN21" s="310">
        <f t="shared" ref="AN21:AN59" si="48">BC21*$AU$62*1000</f>
        <v>614036.0162939775</v>
      </c>
      <c r="AO21" s="310">
        <v>0</v>
      </c>
      <c r="AP21" s="310">
        <f t="shared" si="27"/>
        <v>614036.0162939775</v>
      </c>
      <c r="AQ21" s="309">
        <v>0</v>
      </c>
      <c r="AR21" s="311">
        <f t="shared" ca="1" si="7"/>
        <v>26555684.185293503</v>
      </c>
      <c r="AS21" s="870">
        <f t="shared" ca="1" si="28"/>
        <v>52602679.523489311</v>
      </c>
      <c r="AT21" s="822"/>
      <c r="AU21" s="962" t="s">
        <v>981</v>
      </c>
      <c r="AV21" s="879"/>
      <c r="AW21" s="879"/>
      <c r="AX21" s="35" t="s">
        <v>1424</v>
      </c>
      <c r="AY21" s="1249" t="s">
        <v>1425</v>
      </c>
      <c r="BA21" s="945">
        <f>CampusArea!F14</f>
        <v>6961.5321575751723</v>
      </c>
      <c r="BB21" s="944">
        <f>BA21-((CampusArea!$N$60/CampusArea!$U$52)*(1+A21-$A$19))</f>
        <v>6745.3222926829267</v>
      </c>
      <c r="BC21" s="945">
        <f t="shared" si="29"/>
        <v>216.20986489224561</v>
      </c>
      <c r="BD21" s="946">
        <f>BC21*$AU$22</f>
        <v>216.20986489224561</v>
      </c>
      <c r="BE21" s="946">
        <f t="shared" si="31"/>
        <v>0</v>
      </c>
      <c r="BF21" s="946">
        <f t="shared" si="32"/>
        <v>0</v>
      </c>
      <c r="BH21" s="931">
        <f t="shared" si="33"/>
        <v>4165.9349024747989</v>
      </c>
      <c r="BI21" s="931">
        <f t="shared" si="8"/>
        <v>0</v>
      </c>
      <c r="BJ21" s="931">
        <f t="shared" si="9"/>
        <v>0</v>
      </c>
      <c r="BK21" s="931">
        <f t="shared" si="34"/>
        <v>4165.9349024747989</v>
      </c>
      <c r="BM21" s="931">
        <f t="shared" si="35"/>
        <v>22160.001720445529</v>
      </c>
      <c r="BN21" s="931">
        <f t="shared" si="36"/>
        <v>0</v>
      </c>
      <c r="BO21" s="931">
        <f t="shared" si="37"/>
        <v>0</v>
      </c>
      <c r="BP21" s="931">
        <f t="shared" si="38"/>
        <v>22160.001720445529</v>
      </c>
      <c r="BR21" s="931">
        <f t="shared" si="39"/>
        <v>5786.7520462983503</v>
      </c>
      <c r="BS21" s="931">
        <f t="shared" si="40"/>
        <v>0</v>
      </c>
      <c r="BT21" s="931">
        <f t="shared" si="41"/>
        <v>0</v>
      </c>
      <c r="BU21" s="931">
        <f t="shared" si="42"/>
        <v>5786.7520462983503</v>
      </c>
      <c r="BW21" s="929">
        <f t="shared" ref="BW21:BW59" si="49">(BD21-BD20)*$AU$27*1000</f>
        <v>25224484.237428762</v>
      </c>
      <c r="BX21" s="929">
        <f t="shared" ref="BX21:BX59" si="50">(BE21-BE20)*$AU$28*1000</f>
        <v>0</v>
      </c>
      <c r="BY21" s="929">
        <f t="shared" ref="BY21:BY59" si="51">(BF21-BF20)*$AU$29*1000</f>
        <v>0</v>
      </c>
      <c r="BZ21" s="929">
        <f t="shared" si="43"/>
        <v>25224484.237428762</v>
      </c>
      <c r="CB21" s="931">
        <f>$AU$49*(A21-2009)-CampusArea!D14</f>
        <v>0</v>
      </c>
      <c r="CC21" s="931">
        <f t="shared" si="10"/>
        <v>0</v>
      </c>
      <c r="CD21" s="931">
        <f t="shared" si="44"/>
        <v>0</v>
      </c>
      <c r="CE21" s="931">
        <f t="shared" si="45"/>
        <v>0</v>
      </c>
      <c r="CG21" s="929">
        <f t="shared" ref="CG21:CG59" si="52">(CB21-CB20)*$AU$27*$AU$53*1000</f>
        <v>0</v>
      </c>
    </row>
    <row r="22" spans="1:85">
      <c r="A22" s="303">
        <v>2013</v>
      </c>
      <c r="B22" s="304">
        <f ca="1">IF($D$3="BAU",UtilityDemand!C15,INDIRECT($D$3&amp;"!B"&amp;ROW(A22))+INDIRECT($D$3&amp;"!D"&amp;ROW(A22)))</f>
        <v>135980.03402546333</v>
      </c>
      <c r="C22" s="305">
        <f t="shared" ca="1" si="11"/>
        <v>-4.0848495955856635E-2</v>
      </c>
      <c r="D22" s="306">
        <f t="shared" si="12"/>
        <v>-5554.5798699663865</v>
      </c>
      <c r="E22" s="304">
        <f ca="1">IF($D$3="BAU",UtilityDemand!E15,INDIRECT($D$3&amp;"!E"&amp;ROW(D22))+INDIRECT($D$3&amp;"!G"&amp;ROW(D22)))</f>
        <v>724969.83513341204</v>
      </c>
      <c r="F22" s="305">
        <f t="shared" ca="1" si="13"/>
        <v>-4.0755721864147179E-2</v>
      </c>
      <c r="G22" s="306">
        <f t="shared" si="14"/>
        <v>-29546.668960593979</v>
      </c>
      <c r="H22" s="304">
        <f ca="1">IF($D$3="BAU",UtilityDemand!G15,INDIRECT($D$3&amp;"!H"&amp;ROW(G22))+INDIRECT($D$3&amp;"!J"&amp;ROW(G22)))</f>
        <v>192383.03026898397</v>
      </c>
      <c r="I22" s="305">
        <f t="shared" ca="1" si="15"/>
        <v>-4.0105769122550157E-2</v>
      </c>
      <c r="J22" s="306">
        <f t="shared" si="16"/>
        <v>-7715.6693950644503</v>
      </c>
      <c r="K22" s="307">
        <f t="shared" ca="1" si="17"/>
        <v>130425.45415549695</v>
      </c>
      <c r="L22" s="307">
        <f t="shared" si="18"/>
        <v>0</v>
      </c>
      <c r="M22" s="307">
        <v>0</v>
      </c>
      <c r="N22" s="307">
        <f t="shared" ca="1" si="19"/>
        <v>130425.45415549695</v>
      </c>
      <c r="O22" s="1494">
        <f t="shared" ca="1" si="20"/>
        <v>695423.16617281805</v>
      </c>
      <c r="P22" s="306">
        <f t="shared" si="21"/>
        <v>0</v>
      </c>
      <c r="Q22" s="306">
        <v>0</v>
      </c>
      <c r="R22" s="306">
        <f t="shared" ca="1" si="22"/>
        <v>695423.16617281805</v>
      </c>
      <c r="S22" s="818">
        <f t="shared" ca="1" si="23"/>
        <v>184667.36087391953</v>
      </c>
      <c r="T22" s="818">
        <f t="shared" si="24"/>
        <v>0</v>
      </c>
      <c r="U22" s="818">
        <v>0</v>
      </c>
      <c r="V22" s="818">
        <f t="shared" ca="1" si="25"/>
        <v>184667.36087391953</v>
      </c>
      <c r="W22" s="306">
        <f t="shared" si="1"/>
        <v>0</v>
      </c>
      <c r="X22" s="306">
        <f t="shared" ca="1" si="2"/>
        <v>-8046.1147180816188</v>
      </c>
      <c r="Y22" s="306">
        <v>0</v>
      </c>
      <c r="Z22" s="306">
        <v>0</v>
      </c>
      <c r="AA22" s="308">
        <f ca="1">-SUM(W22,X22/OFFSET(GridFootprintbyYear,$A22-$A$19,0)*EF_PurchElec_MTperMWh,Z22)*OFFSET(ExposureCalculations!Price_GHG_Allowance_2010,A22-$A$19,0)*ExposureCalculations!D19</f>
        <v>0</v>
      </c>
      <c r="AB22" s="308">
        <f t="shared" ca="1" si="3"/>
        <v>479256.84774543199</v>
      </c>
      <c r="AC22" s="308">
        <v>0</v>
      </c>
      <c r="AD22" s="819">
        <f t="shared" ca="1" si="4"/>
        <v>331827.36421328597</v>
      </c>
      <c r="AE22" s="308">
        <v>0</v>
      </c>
      <c r="AF22" s="819">
        <f t="shared" ca="1" si="5"/>
        <v>149169.60830457936</v>
      </c>
      <c r="AG22" s="308">
        <v>0</v>
      </c>
      <c r="AH22" s="308">
        <v>0</v>
      </c>
      <c r="AI22" s="308">
        <v>0</v>
      </c>
      <c r="AJ22" s="308">
        <f t="shared" ca="1" si="6"/>
        <v>960253.82026329741</v>
      </c>
      <c r="AK22" s="911">
        <f t="shared" si="46"/>
        <v>25224484.237428442</v>
      </c>
      <c r="AL22" s="309">
        <f t="shared" si="47"/>
        <v>0</v>
      </c>
      <c r="AM22" s="309">
        <f t="shared" si="26"/>
        <v>25224484.237428442</v>
      </c>
      <c r="AN22" s="310">
        <f t="shared" si="48"/>
        <v>818714.68839196826</v>
      </c>
      <c r="AO22" s="310">
        <v>0</v>
      </c>
      <c r="AP22" s="310">
        <f t="shared" si="27"/>
        <v>818714.68839196826</v>
      </c>
      <c r="AQ22" s="309">
        <v>0</v>
      </c>
      <c r="AR22" s="311">
        <f t="shared" ca="1" si="7"/>
        <v>27003452.746083707</v>
      </c>
      <c r="AS22" s="870">
        <f t="shared" ca="1" si="28"/>
        <v>79606132.269573018</v>
      </c>
      <c r="AT22" s="822"/>
      <c r="AU22" s="1253">
        <v>1</v>
      </c>
      <c r="AV22" s="35" t="s">
        <v>2918</v>
      </c>
      <c r="AW22" s="879"/>
      <c r="AX22" s="1237">
        <v>1</v>
      </c>
      <c r="AY22" s="1252">
        <v>1</v>
      </c>
      <c r="BA22" s="945">
        <f>CampusArea!F15</f>
        <v>7073.3582101002294</v>
      </c>
      <c r="BB22" s="944">
        <f>BA22-((CampusArea!$N$60/CampusArea!$U$52)*(1+A22-$A$19))</f>
        <v>6785.0783902439025</v>
      </c>
      <c r="BC22" s="945">
        <f t="shared" si="29"/>
        <v>288.27981985632687</v>
      </c>
      <c r="BD22" s="946">
        <f t="shared" si="30"/>
        <v>288.27981985632687</v>
      </c>
      <c r="BE22" s="946">
        <f t="shared" si="31"/>
        <v>0</v>
      </c>
      <c r="BF22" s="946">
        <f t="shared" si="32"/>
        <v>0</v>
      </c>
      <c r="BH22" s="931">
        <f t="shared" si="33"/>
        <v>5554.5798699663865</v>
      </c>
      <c r="BI22" s="931">
        <f t="shared" si="8"/>
        <v>0</v>
      </c>
      <c r="BJ22" s="931">
        <f t="shared" si="9"/>
        <v>0</v>
      </c>
      <c r="BK22" s="931">
        <f t="shared" si="34"/>
        <v>5554.5798699663865</v>
      </c>
      <c r="BM22" s="931">
        <f t="shared" si="35"/>
        <v>29546.668960593979</v>
      </c>
      <c r="BN22" s="931">
        <f t="shared" si="36"/>
        <v>0</v>
      </c>
      <c r="BO22" s="931">
        <f t="shared" si="37"/>
        <v>0</v>
      </c>
      <c r="BP22" s="931">
        <f t="shared" si="38"/>
        <v>29546.668960593979</v>
      </c>
      <c r="BR22" s="931">
        <f t="shared" si="39"/>
        <v>7715.6693950644503</v>
      </c>
      <c r="BS22" s="931">
        <f t="shared" si="40"/>
        <v>0</v>
      </c>
      <c r="BT22" s="931">
        <f t="shared" si="41"/>
        <v>0</v>
      </c>
      <c r="BU22" s="931">
        <f t="shared" si="42"/>
        <v>7715.6693950644503</v>
      </c>
      <c r="BW22" s="929">
        <f t="shared" si="49"/>
        <v>25224484.237428442</v>
      </c>
      <c r="BX22" s="929">
        <f t="shared" si="50"/>
        <v>0</v>
      </c>
      <c r="BY22" s="929">
        <f t="shared" si="51"/>
        <v>0</v>
      </c>
      <c r="BZ22" s="929">
        <f t="shared" si="43"/>
        <v>25224484.237428442</v>
      </c>
      <c r="CB22" s="931">
        <f>$AU$49*(A22-2009)-CampusArea!D15</f>
        <v>0</v>
      </c>
      <c r="CC22" s="931">
        <f t="shared" si="10"/>
        <v>0</v>
      </c>
      <c r="CD22" s="931">
        <f t="shared" si="44"/>
        <v>0</v>
      </c>
      <c r="CE22" s="931">
        <f t="shared" si="45"/>
        <v>0</v>
      </c>
      <c r="CG22" s="929">
        <f t="shared" si="52"/>
        <v>0</v>
      </c>
    </row>
    <row r="23" spans="1:85">
      <c r="A23" s="303">
        <v>2014</v>
      </c>
      <c r="B23" s="304">
        <f ca="1">IF($D$3="BAU",UtilityDemand!C16,INDIRECT($D$3&amp;"!B"&amp;ROW(A23))+INDIRECT($D$3&amp;"!D"&amp;ROW(A23)))</f>
        <v>137556.65962631535</v>
      </c>
      <c r="C23" s="305">
        <f t="shared" ca="1" si="11"/>
        <v>-5.0475381245225541E-2</v>
      </c>
      <c r="D23" s="306">
        <f t="shared" si="12"/>
        <v>-6943.2248374579913</v>
      </c>
      <c r="E23" s="304">
        <f ca="1">IF($D$3="BAU",UtilityDemand!E16,INDIRECT($D$3&amp;"!E"&amp;ROW(D23))+INDIRECT($D$3&amp;"!G"&amp;ROW(D23)))</f>
        <v>733356.43426308746</v>
      </c>
      <c r="F23" s="305">
        <f t="shared" ca="1" si="13"/>
        <v>-5.0362053805193575E-2</v>
      </c>
      <c r="G23" s="306">
        <f t="shared" si="14"/>
        <v>-36933.336200742517</v>
      </c>
      <c r="H23" s="304">
        <f ca="1">IF($D$3="BAU",UtilityDemand!G16,INDIRECT($D$3&amp;"!H"&amp;ROW(G23))+INDIRECT($D$3&amp;"!J"&amp;ROW(G23)))</f>
        <v>195447.56483158763</v>
      </c>
      <c r="I23" s="305">
        <f t="shared" ca="1" si="15"/>
        <v>-4.93461596829875E-2</v>
      </c>
      <c r="J23" s="306">
        <f t="shared" si="16"/>
        <v>-9644.5867438305759</v>
      </c>
      <c r="K23" s="307">
        <f t="shared" ca="1" si="17"/>
        <v>130613.43478885735</v>
      </c>
      <c r="L23" s="307">
        <f t="shared" si="18"/>
        <v>0</v>
      </c>
      <c r="M23" s="307">
        <v>0</v>
      </c>
      <c r="N23" s="307">
        <f t="shared" ca="1" si="19"/>
        <v>130613.43478885735</v>
      </c>
      <c r="O23" s="1494">
        <f t="shared" ca="1" si="20"/>
        <v>696423.09806234494</v>
      </c>
      <c r="P23" s="306">
        <f t="shared" si="21"/>
        <v>0</v>
      </c>
      <c r="Q23" s="306">
        <v>0</v>
      </c>
      <c r="R23" s="306">
        <f t="shared" ca="1" si="22"/>
        <v>696423.09806234494</v>
      </c>
      <c r="S23" s="818">
        <f t="shared" ca="1" si="23"/>
        <v>185802.97808775704</v>
      </c>
      <c r="T23" s="818">
        <f t="shared" si="24"/>
        <v>0</v>
      </c>
      <c r="U23" s="818">
        <v>0</v>
      </c>
      <c r="V23" s="818">
        <f t="shared" ca="1" si="25"/>
        <v>185802.97808775704</v>
      </c>
      <c r="W23" s="306">
        <f t="shared" si="1"/>
        <v>0</v>
      </c>
      <c r="X23" s="306">
        <f t="shared" ca="1" si="2"/>
        <v>-10057.643397602036</v>
      </c>
      <c r="Y23" s="306">
        <v>0</v>
      </c>
      <c r="Z23" s="306">
        <v>0</v>
      </c>
      <c r="AA23" s="308">
        <f ca="1">-SUM(W23,X23/OFFSET(GridFootprintbyYear,$A23-$A$19,0)*EF_PurchElec_MTperMWh,Z23)*OFFSET(ExposureCalculations!Price_GHG_Allowance_2010,A23-$A$19,0)*ExposureCalculations!D20</f>
        <v>0</v>
      </c>
      <c r="AB23" s="308">
        <f t="shared" ca="1" si="3"/>
        <v>602066.41498019942</v>
      </c>
      <c r="AC23" s="308">
        <v>0</v>
      </c>
      <c r="AD23" s="819">
        <f t="shared" ca="1" si="4"/>
        <v>416858.12629294087</v>
      </c>
      <c r="AE23" s="308">
        <v>0</v>
      </c>
      <c r="AF23" s="819">
        <f t="shared" ca="1" si="5"/>
        <v>186462.01038072444</v>
      </c>
      <c r="AG23" s="308">
        <v>0</v>
      </c>
      <c r="AH23" s="308">
        <v>0</v>
      </c>
      <c r="AI23" s="308">
        <v>0</v>
      </c>
      <c r="AJ23" s="308">
        <f t="shared" ca="1" si="6"/>
        <v>1205386.5516538648</v>
      </c>
      <c r="AK23" s="911">
        <f t="shared" si="46"/>
        <v>25224484.237428762</v>
      </c>
      <c r="AL23" s="309">
        <f t="shared" si="47"/>
        <v>0</v>
      </c>
      <c r="AM23" s="309">
        <f t="shared" si="26"/>
        <v>25224484.237428762</v>
      </c>
      <c r="AN23" s="310">
        <f t="shared" si="48"/>
        <v>1023393.3604899617</v>
      </c>
      <c r="AO23" s="310">
        <v>0</v>
      </c>
      <c r="AP23" s="310">
        <f t="shared" si="27"/>
        <v>1023393.3604899617</v>
      </c>
      <c r="AQ23" s="309">
        <v>0</v>
      </c>
      <c r="AR23" s="311">
        <f t="shared" ca="1" si="7"/>
        <v>27453264.149572589</v>
      </c>
      <c r="AS23" s="870">
        <f t="shared" ca="1" si="28"/>
        <v>107059396.41914561</v>
      </c>
      <c r="AT23" s="822"/>
      <c r="AU23" s="1253"/>
      <c r="AV23" s="35"/>
      <c r="AW23" s="879"/>
      <c r="AX23" s="1237"/>
      <c r="AY23" s="1252"/>
      <c r="BA23" s="945">
        <f>CampusArea!F16</f>
        <v>7155.1842626252874</v>
      </c>
      <c r="BB23" s="944">
        <f>BA23-((CampusArea!$N$60/CampusArea!$U$52)*(1+A23-$A$19))</f>
        <v>6794.8344878048783</v>
      </c>
      <c r="BC23" s="945">
        <f t="shared" si="29"/>
        <v>360.34977482040904</v>
      </c>
      <c r="BD23" s="946">
        <f t="shared" si="30"/>
        <v>360.34977482040904</v>
      </c>
      <c r="BE23" s="946">
        <f t="shared" si="31"/>
        <v>0</v>
      </c>
      <c r="BF23" s="946">
        <f t="shared" si="32"/>
        <v>0</v>
      </c>
      <c r="BH23" s="931">
        <f t="shared" si="33"/>
        <v>6943.2248374579913</v>
      </c>
      <c r="BI23" s="931">
        <f t="shared" si="8"/>
        <v>0</v>
      </c>
      <c r="BJ23" s="931">
        <f t="shared" si="9"/>
        <v>0</v>
      </c>
      <c r="BK23" s="931">
        <f t="shared" si="34"/>
        <v>6943.2248374579913</v>
      </c>
      <c r="BM23" s="931">
        <f t="shared" si="35"/>
        <v>36933.336200742517</v>
      </c>
      <c r="BN23" s="931">
        <f t="shared" si="36"/>
        <v>0</v>
      </c>
      <c r="BO23" s="931">
        <f t="shared" si="37"/>
        <v>0</v>
      </c>
      <c r="BP23" s="931">
        <f t="shared" si="38"/>
        <v>36933.336200742517</v>
      </c>
      <c r="BR23" s="931">
        <f t="shared" si="39"/>
        <v>9644.5867438305759</v>
      </c>
      <c r="BS23" s="931">
        <f t="shared" si="40"/>
        <v>0</v>
      </c>
      <c r="BT23" s="931">
        <f t="shared" si="41"/>
        <v>0</v>
      </c>
      <c r="BU23" s="931">
        <f t="shared" si="42"/>
        <v>9644.5867438305759</v>
      </c>
      <c r="BW23" s="929">
        <f t="shared" si="49"/>
        <v>25224484.237428762</v>
      </c>
      <c r="BX23" s="929">
        <f t="shared" si="50"/>
        <v>0</v>
      </c>
      <c r="BY23" s="929">
        <f t="shared" si="51"/>
        <v>0</v>
      </c>
      <c r="BZ23" s="929">
        <f t="shared" si="43"/>
        <v>25224484.237428762</v>
      </c>
      <c r="CB23" s="931">
        <f>$AU$49*(A23-2009)-CampusArea!D16</f>
        <v>0</v>
      </c>
      <c r="CC23" s="931">
        <f t="shared" si="10"/>
        <v>0</v>
      </c>
      <c r="CD23" s="931">
        <f t="shared" si="44"/>
        <v>0</v>
      </c>
      <c r="CE23" s="931">
        <f t="shared" si="45"/>
        <v>0</v>
      </c>
      <c r="CG23" s="929">
        <f t="shared" si="52"/>
        <v>0</v>
      </c>
    </row>
    <row r="24" spans="1:85">
      <c r="A24" s="303">
        <v>2015</v>
      </c>
      <c r="B24" s="304">
        <f ca="1">IF($D$3="BAU",UtilityDemand!C17,INDIRECT($D$3&amp;"!B"&amp;ROW(A24))+INDIRECT($D$3&amp;"!D"&amp;ROW(A24)))</f>
        <v>140674.7264207229</v>
      </c>
      <c r="C24" s="305">
        <f t="shared" ca="1" si="11"/>
        <v>-5.922790835953759E-2</v>
      </c>
      <c r="D24" s="306">
        <f t="shared" si="12"/>
        <v>-8331.8698049495979</v>
      </c>
      <c r="E24" s="304">
        <f ca="1">IF($D$3="BAU",UtilityDemand!E17,INDIRECT($D$3&amp;"!E"&amp;ROW(D24))+INDIRECT($D$3&amp;"!G"&amp;ROW(D24)))</f>
        <v>749942.47488688328</v>
      </c>
      <c r="F24" s="305">
        <f t="shared" ca="1" si="13"/>
        <v>-5.9097870736786864E-2</v>
      </c>
      <c r="G24" s="306">
        <f t="shared" si="14"/>
        <v>-44320.003440891058</v>
      </c>
      <c r="H24" s="304">
        <f ca="1">IF($D$3="BAU",UtilityDemand!G17,INDIRECT($D$3&amp;"!H"&amp;ROW(G24))+INDIRECT($D$3&amp;"!J"&amp;ROW(G24)))</f>
        <v>200653.26054765948</v>
      </c>
      <c r="I24" s="305">
        <f t="shared" ca="1" si="15"/>
        <v>-5.7679122985632936E-2</v>
      </c>
      <c r="J24" s="306">
        <f t="shared" si="16"/>
        <v>-11573.504092596701</v>
      </c>
      <c r="K24" s="307">
        <f t="shared" ca="1" si="17"/>
        <v>132342.85661577331</v>
      </c>
      <c r="L24" s="307">
        <f t="shared" si="18"/>
        <v>0</v>
      </c>
      <c r="M24" s="307">
        <v>0</v>
      </c>
      <c r="N24" s="307">
        <f t="shared" ca="1" si="19"/>
        <v>132342.85661577331</v>
      </c>
      <c r="O24" s="1494">
        <f t="shared" ca="1" si="20"/>
        <v>705622.47144599224</v>
      </c>
      <c r="P24" s="306">
        <f t="shared" si="21"/>
        <v>0</v>
      </c>
      <c r="Q24" s="306">
        <v>0</v>
      </c>
      <c r="R24" s="306">
        <f t="shared" ca="1" si="22"/>
        <v>705622.47144599224</v>
      </c>
      <c r="S24" s="818">
        <f t="shared" ca="1" si="23"/>
        <v>189079.75645506277</v>
      </c>
      <c r="T24" s="818">
        <f t="shared" si="24"/>
        <v>0</v>
      </c>
      <c r="U24" s="818">
        <v>0</v>
      </c>
      <c r="V24" s="818">
        <f t="shared" ca="1" si="25"/>
        <v>189079.75645506277</v>
      </c>
      <c r="W24" s="306">
        <f t="shared" si="1"/>
        <v>0</v>
      </c>
      <c r="X24" s="306">
        <f t="shared" ca="1" si="2"/>
        <v>-12069.172077122454</v>
      </c>
      <c r="Y24" s="306">
        <v>0</v>
      </c>
      <c r="Z24" s="306">
        <v>0</v>
      </c>
      <c r="AA24" s="308">
        <f ca="1">-SUM(W24,X24/OFFSET(GridFootprintbyYear,$A24-$A$19,0)*EF_PurchElec_MTperMWh,Z24)*OFFSET(ExposureCalculations!Price_GHG_Allowance_2010,A24-$A$19,0)*ExposureCalculations!D21</f>
        <v>122735.47540132786</v>
      </c>
      <c r="AB24" s="308">
        <f t="shared" ca="1" si="3"/>
        <v>726092.09646612115</v>
      </c>
      <c r="AC24" s="308">
        <v>0</v>
      </c>
      <c r="AD24" s="819">
        <f t="shared" ca="1" si="4"/>
        <v>502730.90030928701</v>
      </c>
      <c r="AE24" s="308">
        <v>0</v>
      </c>
      <c r="AF24" s="819">
        <f t="shared" ca="1" si="5"/>
        <v>223754.41245686953</v>
      </c>
      <c r="AG24" s="308">
        <v>0</v>
      </c>
      <c r="AH24" s="308">
        <v>0</v>
      </c>
      <c r="AI24" s="308">
        <v>0</v>
      </c>
      <c r="AJ24" s="308">
        <f t="shared" ca="1" si="6"/>
        <v>1452577.4092322779</v>
      </c>
      <c r="AK24" s="911">
        <f t="shared" si="46"/>
        <v>25224484.237428762</v>
      </c>
      <c r="AL24" s="309">
        <f t="shared" si="47"/>
        <v>0</v>
      </c>
      <c r="AM24" s="309">
        <f t="shared" si="26"/>
        <v>25224484.237428762</v>
      </c>
      <c r="AN24" s="310">
        <f t="shared" si="48"/>
        <v>1228072.032587955</v>
      </c>
      <c r="AO24" s="310">
        <v>0</v>
      </c>
      <c r="AP24" s="310">
        <f t="shared" si="27"/>
        <v>1228072.032587955</v>
      </c>
      <c r="AQ24" s="309">
        <v>0</v>
      </c>
      <c r="AR24" s="311">
        <f t="shared" ca="1" si="7"/>
        <v>28027869.154650323</v>
      </c>
      <c r="AS24" s="870">
        <f t="shared" ca="1" si="28"/>
        <v>135087265.57379594</v>
      </c>
      <c r="AT24" s="822"/>
      <c r="AU24" s="1253"/>
      <c r="AV24" s="35"/>
      <c r="AW24" s="879"/>
      <c r="AX24" s="1237"/>
      <c r="AY24" s="1252"/>
      <c r="BA24" s="945">
        <f>CampusArea!F17</f>
        <v>7317.0103151503445</v>
      </c>
      <c r="BB24" s="944">
        <f>BA24-((CampusArea!$N$60/CampusArea!$U$52)*(1+A24-$A$19))</f>
        <v>6884.5905853658533</v>
      </c>
      <c r="BC24" s="945">
        <f t="shared" si="29"/>
        <v>432.41972978449121</v>
      </c>
      <c r="BD24" s="946">
        <f t="shared" si="30"/>
        <v>432.41972978449121</v>
      </c>
      <c r="BE24" s="946">
        <f t="shared" si="31"/>
        <v>0</v>
      </c>
      <c r="BF24" s="946">
        <f t="shared" si="32"/>
        <v>0</v>
      </c>
      <c r="BH24" s="931">
        <f t="shared" si="33"/>
        <v>8331.8698049495979</v>
      </c>
      <c r="BI24" s="931">
        <f t="shared" si="8"/>
        <v>0</v>
      </c>
      <c r="BJ24" s="931">
        <f t="shared" si="9"/>
        <v>0</v>
      </c>
      <c r="BK24" s="931">
        <f t="shared" si="34"/>
        <v>8331.8698049495979</v>
      </c>
      <c r="BM24" s="931">
        <f t="shared" si="35"/>
        <v>44320.003440891058</v>
      </c>
      <c r="BN24" s="931">
        <f t="shared" si="36"/>
        <v>0</v>
      </c>
      <c r="BO24" s="931">
        <f t="shared" si="37"/>
        <v>0</v>
      </c>
      <c r="BP24" s="931">
        <f t="shared" si="38"/>
        <v>44320.003440891058</v>
      </c>
      <c r="BR24" s="931">
        <f t="shared" si="39"/>
        <v>11573.504092596701</v>
      </c>
      <c r="BS24" s="931">
        <f t="shared" si="40"/>
        <v>0</v>
      </c>
      <c r="BT24" s="931">
        <f t="shared" si="41"/>
        <v>0</v>
      </c>
      <c r="BU24" s="931">
        <f t="shared" si="42"/>
        <v>11573.504092596701</v>
      </c>
      <c r="BW24" s="929">
        <f t="shared" si="49"/>
        <v>25224484.237428762</v>
      </c>
      <c r="BX24" s="929">
        <f t="shared" si="50"/>
        <v>0</v>
      </c>
      <c r="BY24" s="929">
        <f t="shared" si="51"/>
        <v>0</v>
      </c>
      <c r="BZ24" s="929">
        <f t="shared" si="43"/>
        <v>25224484.237428762</v>
      </c>
      <c r="CB24" s="931">
        <f>$AU$49*(A24-2009)-CampusArea!D17</f>
        <v>0</v>
      </c>
      <c r="CC24" s="931">
        <f t="shared" si="10"/>
        <v>0</v>
      </c>
      <c r="CD24" s="931">
        <f t="shared" si="44"/>
        <v>0</v>
      </c>
      <c r="CE24" s="931">
        <f t="shared" si="45"/>
        <v>0</v>
      </c>
      <c r="CG24" s="929">
        <f t="shared" si="52"/>
        <v>0</v>
      </c>
    </row>
    <row r="25" spans="1:85">
      <c r="A25" s="303">
        <v>2016</v>
      </c>
      <c r="B25" s="304">
        <f ca="1">IF($D$3="BAU",UtilityDemand!C18,INDIRECT($D$3&amp;"!B"&amp;ROW(A25))+INDIRECT($D$3&amp;"!D"&amp;ROW(A25)))</f>
        <v>142251.35202157494</v>
      </c>
      <c r="C25" s="305">
        <f t="shared" ca="1" si="11"/>
        <v>-6.833337352721186E-2</v>
      </c>
      <c r="D25" s="306">
        <f t="shared" si="12"/>
        <v>-9720.5147724411854</v>
      </c>
      <c r="E25" s="304">
        <f ca="1">IF($D$3="BAU",UtilityDemand!E18,INDIRECT($D$3&amp;"!E"&amp;ROW(D25))+INDIRECT($D$3&amp;"!G"&amp;ROW(D25)))</f>
        <v>758329.0740165587</v>
      </c>
      <c r="F25" s="305">
        <f t="shared" ca="1" si="13"/>
        <v>-6.8185003651739795E-2</v>
      </c>
      <c r="G25" s="306">
        <f t="shared" si="14"/>
        <v>-51706.670681039512</v>
      </c>
      <c r="H25" s="304">
        <f ca="1">IF($D$3="BAU",UtilityDemand!G18,INDIRECT($D$3&amp;"!H"&amp;ROW(G25))+INDIRECT($D$3&amp;"!J"&amp;ROW(G25)))</f>
        <v>203717.79511026316</v>
      </c>
      <c r="I25" s="305">
        <f t="shared" ca="1" si="15"/>
        <v>-6.6280029361473092E-2</v>
      </c>
      <c r="J25" s="306">
        <f t="shared" si="16"/>
        <v>-13502.421441362801</v>
      </c>
      <c r="K25" s="307">
        <f t="shared" ca="1" si="17"/>
        <v>132530.83724913376</v>
      </c>
      <c r="L25" s="307">
        <f t="shared" si="18"/>
        <v>0</v>
      </c>
      <c r="M25" s="307">
        <v>0</v>
      </c>
      <c r="N25" s="307">
        <f t="shared" ca="1" si="19"/>
        <v>132530.83724913376</v>
      </c>
      <c r="O25" s="1494">
        <f t="shared" ca="1" si="20"/>
        <v>706622.40333551913</v>
      </c>
      <c r="P25" s="306">
        <f t="shared" si="21"/>
        <v>0</v>
      </c>
      <c r="Q25" s="306">
        <v>0</v>
      </c>
      <c r="R25" s="306">
        <f t="shared" ca="1" si="22"/>
        <v>706622.40333551913</v>
      </c>
      <c r="S25" s="818">
        <f t="shared" ca="1" si="23"/>
        <v>190215.37366890037</v>
      </c>
      <c r="T25" s="818">
        <f t="shared" si="24"/>
        <v>0</v>
      </c>
      <c r="U25" s="818">
        <v>0</v>
      </c>
      <c r="V25" s="818">
        <f t="shared" ca="1" si="25"/>
        <v>190215.37366890037</v>
      </c>
      <c r="W25" s="306">
        <f t="shared" si="1"/>
        <v>0</v>
      </c>
      <c r="X25" s="306">
        <f t="shared" ca="1" si="2"/>
        <v>-14080.700756642846</v>
      </c>
      <c r="Y25" s="306">
        <v>0</v>
      </c>
      <c r="Z25" s="306">
        <v>0</v>
      </c>
      <c r="AA25" s="308">
        <f ca="1">-SUM(W25,X25/OFFSET(GridFootprintbyYear,$A25-$A$19,0)*EF_PurchElec_MTperMWh,Z25)*OFFSET(ExposureCalculations!Price_GHG_Allowance_2010,A25-$A$19,0)*ExposureCalculations!D22</f>
        <v>165286.39221349719</v>
      </c>
      <c r="AB25" s="308">
        <f t="shared" ca="1" si="3"/>
        <v>851342.98310652585</v>
      </c>
      <c r="AC25" s="308">
        <v>0</v>
      </c>
      <c r="AD25" s="819">
        <f t="shared" ca="1" si="4"/>
        <v>589451.98061263829</v>
      </c>
      <c r="AE25" s="308">
        <v>0</v>
      </c>
      <c r="AF25" s="819">
        <f t="shared" ca="1" si="5"/>
        <v>261046.81453301414</v>
      </c>
      <c r="AG25" s="308">
        <v>0</v>
      </c>
      <c r="AH25" s="308">
        <v>0</v>
      </c>
      <c r="AI25" s="308">
        <v>0</v>
      </c>
      <c r="AJ25" s="308">
        <f t="shared" ca="1" si="6"/>
        <v>1701841.7782521781</v>
      </c>
      <c r="AK25" s="911">
        <f t="shared" si="46"/>
        <v>25224484.237428442</v>
      </c>
      <c r="AL25" s="309">
        <f t="shared" si="47"/>
        <v>0</v>
      </c>
      <c r="AM25" s="309">
        <f t="shared" si="26"/>
        <v>25224484.237428442</v>
      </c>
      <c r="AN25" s="310">
        <f t="shared" si="48"/>
        <v>1432750.7046859458</v>
      </c>
      <c r="AO25" s="310">
        <v>0</v>
      </c>
      <c r="AP25" s="310">
        <f t="shared" si="27"/>
        <v>1432750.7046859458</v>
      </c>
      <c r="AQ25" s="309">
        <v>0</v>
      </c>
      <c r="AR25" s="311">
        <f t="shared" ca="1" si="7"/>
        <v>28524363.112580061</v>
      </c>
      <c r="AS25" s="870">
        <f t="shared" ca="1" si="28"/>
        <v>163611628.68637601</v>
      </c>
      <c r="AT25" s="822"/>
      <c r="AU25" s="878"/>
      <c r="AV25" s="35"/>
      <c r="AW25" s="879"/>
      <c r="AX25" s="35"/>
      <c r="AY25" s="1249"/>
      <c r="BA25" s="945">
        <f>CampusArea!F18</f>
        <v>7398.8363676754016</v>
      </c>
      <c r="BB25" s="944">
        <f>BA25-((CampusArea!$N$60/CampusArea!$U$52)*(1+A25-$A$19))</f>
        <v>6894.3466829268291</v>
      </c>
      <c r="BC25" s="945">
        <f t="shared" si="29"/>
        <v>504.48968474857247</v>
      </c>
      <c r="BD25" s="946">
        <f t="shared" si="30"/>
        <v>504.48968474857247</v>
      </c>
      <c r="BE25" s="946">
        <f t="shared" si="31"/>
        <v>0</v>
      </c>
      <c r="BF25" s="946">
        <f t="shared" si="32"/>
        <v>0</v>
      </c>
      <c r="BH25" s="931">
        <f t="shared" si="33"/>
        <v>9720.5147724411854</v>
      </c>
      <c r="BI25" s="931">
        <f t="shared" si="8"/>
        <v>0</v>
      </c>
      <c r="BJ25" s="931">
        <f t="shared" si="9"/>
        <v>0</v>
      </c>
      <c r="BK25" s="931">
        <f t="shared" si="34"/>
        <v>9720.5147724411854</v>
      </c>
      <c r="BM25" s="931">
        <f t="shared" si="35"/>
        <v>51706.670681039512</v>
      </c>
      <c r="BN25" s="931">
        <f t="shared" si="36"/>
        <v>0</v>
      </c>
      <c r="BO25" s="931">
        <f t="shared" si="37"/>
        <v>0</v>
      </c>
      <c r="BP25" s="931">
        <f t="shared" si="38"/>
        <v>51706.670681039512</v>
      </c>
      <c r="BR25" s="931">
        <f t="shared" si="39"/>
        <v>13502.421441362801</v>
      </c>
      <c r="BS25" s="931">
        <f t="shared" si="40"/>
        <v>0</v>
      </c>
      <c r="BT25" s="931">
        <f t="shared" si="41"/>
        <v>0</v>
      </c>
      <c r="BU25" s="931">
        <f t="shared" si="42"/>
        <v>13502.421441362801</v>
      </c>
      <c r="BW25" s="929">
        <f t="shared" si="49"/>
        <v>25224484.237428442</v>
      </c>
      <c r="BX25" s="929">
        <f t="shared" si="50"/>
        <v>0</v>
      </c>
      <c r="BY25" s="929">
        <f t="shared" si="51"/>
        <v>0</v>
      </c>
      <c r="BZ25" s="929">
        <f t="shared" si="43"/>
        <v>25224484.237428442</v>
      </c>
      <c r="CB25" s="931">
        <f>$AU$49*(A25-2009)-CampusArea!D18</f>
        <v>0</v>
      </c>
      <c r="CC25" s="931">
        <f t="shared" si="10"/>
        <v>0</v>
      </c>
      <c r="CD25" s="931">
        <f t="shared" si="44"/>
        <v>0</v>
      </c>
      <c r="CE25" s="931">
        <f t="shared" si="45"/>
        <v>0</v>
      </c>
      <c r="CG25" s="929">
        <f t="shared" si="52"/>
        <v>0</v>
      </c>
    </row>
    <row r="26" spans="1:85">
      <c r="A26" s="303">
        <v>2017</v>
      </c>
      <c r="B26" s="304">
        <f ca="1">IF($D$3="BAU",UtilityDemand!C19,INDIRECT($D$3&amp;"!B"&amp;ROW(A26))+INDIRECT($D$3&amp;"!D"&amp;ROW(A26)))</f>
        <v>143827.97762242699</v>
      </c>
      <c r="C26" s="305">
        <f t="shared" ca="1" si="11"/>
        <v>-7.7239212589752429E-2</v>
      </c>
      <c r="D26" s="306">
        <f t="shared" si="12"/>
        <v>-11109.159739932793</v>
      </c>
      <c r="E26" s="304">
        <f ca="1">IF($D$3="BAU",UtilityDemand!E19,INDIRECT($D$3&amp;"!E"&amp;ROW(D26))+INDIRECT($D$3&amp;"!G"&amp;ROW(D26)))</f>
        <v>766715.67314623413</v>
      </c>
      <c r="F26" s="305">
        <f t="shared" ca="1" si="13"/>
        <v>-7.7073340210585858E-2</v>
      </c>
      <c r="G26" s="306">
        <f t="shared" si="14"/>
        <v>-59093.337921188053</v>
      </c>
      <c r="H26" s="304">
        <f ca="1">IF($D$3="BAU",UtilityDemand!G19,INDIRECT($D$3&amp;"!H"&amp;ROW(G26))+INDIRECT($D$3&amp;"!J"&amp;ROW(G26)))</f>
        <v>206782.32967286685</v>
      </c>
      <c r="I26" s="305">
        <f t="shared" ca="1" si="15"/>
        <v>-7.4626003172232197E-2</v>
      </c>
      <c r="J26" s="306">
        <f t="shared" si="16"/>
        <v>-15431.338790128926</v>
      </c>
      <c r="K26" s="307">
        <f t="shared" ca="1" si="17"/>
        <v>132718.81788249419</v>
      </c>
      <c r="L26" s="307">
        <f t="shared" si="18"/>
        <v>0</v>
      </c>
      <c r="M26" s="307">
        <v>0</v>
      </c>
      <c r="N26" s="307">
        <f t="shared" ca="1" si="19"/>
        <v>132718.81788249419</v>
      </c>
      <c r="O26" s="1494">
        <f t="shared" ca="1" si="20"/>
        <v>707622.33522504603</v>
      </c>
      <c r="P26" s="306">
        <f t="shared" si="21"/>
        <v>0</v>
      </c>
      <c r="Q26" s="306">
        <v>0</v>
      </c>
      <c r="R26" s="306">
        <f t="shared" ca="1" si="22"/>
        <v>707622.33522504603</v>
      </c>
      <c r="S26" s="818">
        <f t="shared" ca="1" si="23"/>
        <v>191350.99088273791</v>
      </c>
      <c r="T26" s="818">
        <f t="shared" si="24"/>
        <v>0</v>
      </c>
      <c r="U26" s="818">
        <v>0</v>
      </c>
      <c r="V26" s="818">
        <f t="shared" ca="1" si="25"/>
        <v>191350.99088273791</v>
      </c>
      <c r="W26" s="306">
        <f t="shared" si="1"/>
        <v>0</v>
      </c>
      <c r="X26" s="306">
        <f t="shared" ca="1" si="2"/>
        <v>-16092.229436163265</v>
      </c>
      <c r="Y26" s="306">
        <v>0</v>
      </c>
      <c r="Z26" s="306">
        <v>0</v>
      </c>
      <c r="AA26" s="308">
        <f ca="1">-SUM(W26,X26/OFFSET(GridFootprintbyYear,$A26-$A$19,0)*EF_PurchElec_MTperMWh,Z26)*OFFSET(ExposureCalculations!Price_GHG_Allowance_2010,A26-$A$19,0)*ExposureCalculations!D23</f>
        <v>215327.83163209885</v>
      </c>
      <c r="AB26" s="308">
        <f t="shared" ca="1" si="3"/>
        <v>977828.22631092474</v>
      </c>
      <c r="AC26" s="308">
        <v>0</v>
      </c>
      <c r="AD26" s="819">
        <f t="shared" ca="1" si="4"/>
        <v>677027.70344651642</v>
      </c>
      <c r="AE26" s="308">
        <v>0</v>
      </c>
      <c r="AF26" s="819">
        <f t="shared" ca="1" si="5"/>
        <v>298339.21660915919</v>
      </c>
      <c r="AG26" s="308">
        <v>0</v>
      </c>
      <c r="AH26" s="308">
        <v>0</v>
      </c>
      <c r="AI26" s="308">
        <v>0</v>
      </c>
      <c r="AJ26" s="308">
        <f t="shared" ca="1" si="6"/>
        <v>1953195.1463666004</v>
      </c>
      <c r="AK26" s="911">
        <f t="shared" si="46"/>
        <v>25224484.237428762</v>
      </c>
      <c r="AL26" s="309">
        <f t="shared" si="47"/>
        <v>0</v>
      </c>
      <c r="AM26" s="309">
        <f t="shared" si="26"/>
        <v>25224484.237428762</v>
      </c>
      <c r="AN26" s="310">
        <f t="shared" si="48"/>
        <v>1637429.3767839391</v>
      </c>
      <c r="AO26" s="310">
        <v>0</v>
      </c>
      <c r="AP26" s="310">
        <f t="shared" si="27"/>
        <v>1637429.3767839391</v>
      </c>
      <c r="AQ26" s="309">
        <v>0</v>
      </c>
      <c r="AR26" s="311">
        <f t="shared" ca="1" si="7"/>
        <v>29030436.592211403</v>
      </c>
      <c r="AS26" s="870">
        <f t="shared" ca="1" si="28"/>
        <v>192642065.2785874</v>
      </c>
      <c r="AT26" s="822"/>
      <c r="AU26" s="963" t="s">
        <v>1397</v>
      </c>
      <c r="AV26" s="827"/>
      <c r="AW26" s="879"/>
      <c r="AX26" s="35"/>
      <c r="AY26" s="1249"/>
      <c r="BA26" s="945">
        <f>CampusArea!F19</f>
        <v>7480.6624202004596</v>
      </c>
      <c r="BB26" s="944">
        <f>BA26-((CampusArea!$N$60/CampusArea!$U$52)*(1+A26-$A$19))</f>
        <v>6904.1027804878049</v>
      </c>
      <c r="BC26" s="945">
        <f t="shared" si="29"/>
        <v>576.55963971265464</v>
      </c>
      <c r="BD26" s="946">
        <f t="shared" si="30"/>
        <v>576.55963971265464</v>
      </c>
      <c r="BE26" s="946">
        <f t="shared" si="31"/>
        <v>0</v>
      </c>
      <c r="BF26" s="946">
        <f t="shared" si="32"/>
        <v>0</v>
      </c>
      <c r="BH26" s="931">
        <f t="shared" si="33"/>
        <v>11109.159739932793</v>
      </c>
      <c r="BI26" s="931">
        <f t="shared" si="8"/>
        <v>0</v>
      </c>
      <c r="BJ26" s="931">
        <f t="shared" si="9"/>
        <v>0</v>
      </c>
      <c r="BK26" s="931">
        <f t="shared" si="34"/>
        <v>11109.159739932793</v>
      </c>
      <c r="BM26" s="931">
        <f t="shared" si="35"/>
        <v>59093.337921188053</v>
      </c>
      <c r="BN26" s="931">
        <f t="shared" si="36"/>
        <v>0</v>
      </c>
      <c r="BO26" s="931">
        <f t="shared" si="37"/>
        <v>0</v>
      </c>
      <c r="BP26" s="931">
        <f t="shared" si="38"/>
        <v>59093.337921188053</v>
      </c>
      <c r="BR26" s="931">
        <f t="shared" si="39"/>
        <v>15431.338790128926</v>
      </c>
      <c r="BS26" s="931">
        <f t="shared" si="40"/>
        <v>0</v>
      </c>
      <c r="BT26" s="931">
        <f t="shared" si="41"/>
        <v>0</v>
      </c>
      <c r="BU26" s="931">
        <f t="shared" si="42"/>
        <v>15431.338790128926</v>
      </c>
      <c r="BW26" s="929">
        <f t="shared" si="49"/>
        <v>25224484.237428762</v>
      </c>
      <c r="BX26" s="929">
        <f t="shared" si="50"/>
        <v>0</v>
      </c>
      <c r="BY26" s="929">
        <f t="shared" si="51"/>
        <v>0</v>
      </c>
      <c r="BZ26" s="929">
        <f t="shared" si="43"/>
        <v>25224484.237428762</v>
      </c>
      <c r="CB26" s="931">
        <f>$AU$49*(A26-2009)-CampusArea!D19</f>
        <v>0</v>
      </c>
      <c r="CC26" s="931">
        <f t="shared" si="10"/>
        <v>0</v>
      </c>
      <c r="CD26" s="931">
        <f t="shared" si="44"/>
        <v>0</v>
      </c>
      <c r="CE26" s="931">
        <f t="shared" si="45"/>
        <v>0</v>
      </c>
      <c r="CG26" s="929">
        <f t="shared" si="52"/>
        <v>0</v>
      </c>
    </row>
    <row r="27" spans="1:85">
      <c r="A27" s="303">
        <v>2018</v>
      </c>
      <c r="B27" s="304">
        <f ca="1">IF($D$3="BAU",UtilityDemand!C20,INDIRECT($D$3&amp;"!B"&amp;ROW(A27))+INDIRECT($D$3&amp;"!D"&amp;ROW(A27)))</f>
        <v>145404.603223279</v>
      </c>
      <c r="C27" s="305">
        <f t="shared" ca="1" si="11"/>
        <v>-8.595191919909935E-2</v>
      </c>
      <c r="D27" s="306">
        <f t="shared" si="12"/>
        <v>-12497.804707424379</v>
      </c>
      <c r="E27" s="304">
        <f ca="1">IF($D$3="BAU",UtilityDemand!E20,INDIRECT($D$3&amp;"!E"&amp;ROW(D27))+INDIRECT($D$3&amp;"!G"&amp;ROW(D27)))</f>
        <v>775102.27227590943</v>
      </c>
      <c r="F27" s="305">
        <f t="shared" ca="1" si="13"/>
        <v>-8.5769333337306908E-2</v>
      </c>
      <c r="G27" s="306">
        <f t="shared" si="14"/>
        <v>-66480.005161336492</v>
      </c>
      <c r="H27" s="304">
        <f ca="1">IF($D$3="BAU",UtilityDemand!G20,INDIRECT($D$3&amp;"!H"&amp;ROW(G27))+INDIRECT($D$3&amp;"!J"&amp;ROW(G27)))</f>
        <v>209846.86423547054</v>
      </c>
      <c r="I27" s="305">
        <f t="shared" ca="1" si="15"/>
        <v>-8.2728213271821727E-2</v>
      </c>
      <c r="J27" s="306">
        <f t="shared" si="16"/>
        <v>-17360.256138895027</v>
      </c>
      <c r="K27" s="307">
        <f t="shared" ca="1" si="17"/>
        <v>132906.79851585464</v>
      </c>
      <c r="L27" s="307">
        <f t="shared" si="18"/>
        <v>0</v>
      </c>
      <c r="M27" s="307">
        <v>0</v>
      </c>
      <c r="N27" s="307">
        <f t="shared" ca="1" si="19"/>
        <v>132906.79851585464</v>
      </c>
      <c r="O27" s="1494">
        <f t="shared" ca="1" si="20"/>
        <v>708622.26711457293</v>
      </c>
      <c r="P27" s="306">
        <f t="shared" si="21"/>
        <v>0</v>
      </c>
      <c r="Q27" s="306">
        <v>0</v>
      </c>
      <c r="R27" s="306">
        <f t="shared" ca="1" si="22"/>
        <v>708622.26711457293</v>
      </c>
      <c r="S27" s="818">
        <f t="shared" ca="1" si="23"/>
        <v>192486.60809657551</v>
      </c>
      <c r="T27" s="818">
        <f t="shared" si="24"/>
        <v>0</v>
      </c>
      <c r="U27" s="818">
        <v>0</v>
      </c>
      <c r="V27" s="818">
        <f t="shared" ca="1" si="25"/>
        <v>192486.60809657551</v>
      </c>
      <c r="W27" s="306">
        <f t="shared" si="1"/>
        <v>0</v>
      </c>
      <c r="X27" s="306">
        <f t="shared" ca="1" si="2"/>
        <v>-18103.758115683657</v>
      </c>
      <c r="Y27" s="306">
        <v>0</v>
      </c>
      <c r="Z27" s="306">
        <v>0</v>
      </c>
      <c r="AA27" s="308">
        <f ca="1">-SUM(W27,X27/OFFSET(GridFootprintbyYear,$A27-$A$19,0)*EF_PurchElec_MTperMWh,Z27)*OFFSET(ExposureCalculations!Price_GHG_Allowance_2010,A27-$A$19,0)*ExposureCalculations!D24</f>
        <v>273260.35848172446</v>
      </c>
      <c r="AB27" s="308">
        <f t="shared" ca="1" si="3"/>
        <v>1105557.0383727879</v>
      </c>
      <c r="AC27" s="308">
        <v>0</v>
      </c>
      <c r="AD27" s="819">
        <f t="shared" ca="1" si="4"/>
        <v>765464.44720921677</v>
      </c>
      <c r="AE27" s="308">
        <v>0</v>
      </c>
      <c r="AF27" s="819">
        <f t="shared" ca="1" si="5"/>
        <v>335631.61868530384</v>
      </c>
      <c r="AG27" s="308">
        <v>0</v>
      </c>
      <c r="AH27" s="308">
        <v>0</v>
      </c>
      <c r="AI27" s="308">
        <v>0</v>
      </c>
      <c r="AJ27" s="308">
        <f t="shared" ca="1" si="6"/>
        <v>2206653.1042673085</v>
      </c>
      <c r="AK27" s="911">
        <f t="shared" si="46"/>
        <v>25224484.237428442</v>
      </c>
      <c r="AL27" s="309">
        <f t="shared" si="47"/>
        <v>0</v>
      </c>
      <c r="AM27" s="309">
        <f t="shared" si="26"/>
        <v>25224484.237428442</v>
      </c>
      <c r="AN27" s="310">
        <f t="shared" si="48"/>
        <v>1842108.0488819298</v>
      </c>
      <c r="AO27" s="310">
        <v>0</v>
      </c>
      <c r="AP27" s="310">
        <f t="shared" si="27"/>
        <v>1842108.0488819298</v>
      </c>
      <c r="AQ27" s="309">
        <v>0</v>
      </c>
      <c r="AR27" s="311">
        <f t="shared" ca="1" si="7"/>
        <v>29546505.749059405</v>
      </c>
      <c r="AS27" s="870">
        <f t="shared" ca="1" si="28"/>
        <v>222188571.02764681</v>
      </c>
      <c r="AT27" s="822"/>
      <c r="AU27" s="1452">
        <v>350</v>
      </c>
      <c r="AV27" s="35" t="str">
        <f>AV22</f>
        <v>Generic</v>
      </c>
      <c r="AW27" s="879"/>
      <c r="AX27" s="35"/>
      <c r="AY27" s="1249"/>
      <c r="BA27" s="945">
        <f>CampusArea!F20</f>
        <v>7562.4884727255167</v>
      </c>
      <c r="BB27" s="944">
        <f>BA27-((CampusArea!$N$60/CampusArea!$U$52)*(1+A27-$A$19))</f>
        <v>6913.8588780487808</v>
      </c>
      <c r="BC27" s="945">
        <f t="shared" si="29"/>
        <v>648.62959467673591</v>
      </c>
      <c r="BD27" s="946">
        <f t="shared" si="30"/>
        <v>648.62959467673591</v>
      </c>
      <c r="BE27" s="946">
        <f t="shared" si="31"/>
        <v>0</v>
      </c>
      <c r="BF27" s="946">
        <f t="shared" si="32"/>
        <v>0</v>
      </c>
      <c r="BH27" s="931">
        <f t="shared" si="33"/>
        <v>12497.804707424379</v>
      </c>
      <c r="BI27" s="931">
        <f t="shared" si="8"/>
        <v>0</v>
      </c>
      <c r="BJ27" s="931">
        <f t="shared" si="9"/>
        <v>0</v>
      </c>
      <c r="BK27" s="931">
        <f t="shared" si="34"/>
        <v>12497.804707424379</v>
      </c>
      <c r="BM27" s="931">
        <f t="shared" si="35"/>
        <v>66480.005161336492</v>
      </c>
      <c r="BN27" s="931">
        <f t="shared" si="36"/>
        <v>0</v>
      </c>
      <c r="BO27" s="931">
        <f t="shared" si="37"/>
        <v>0</v>
      </c>
      <c r="BP27" s="931">
        <f t="shared" si="38"/>
        <v>66480.005161336492</v>
      </c>
      <c r="BR27" s="931">
        <f t="shared" si="39"/>
        <v>17360.256138895027</v>
      </c>
      <c r="BS27" s="931">
        <f t="shared" si="40"/>
        <v>0</v>
      </c>
      <c r="BT27" s="931">
        <f t="shared" si="41"/>
        <v>0</v>
      </c>
      <c r="BU27" s="931">
        <f t="shared" si="42"/>
        <v>17360.256138895027</v>
      </c>
      <c r="BW27" s="929">
        <f t="shared" si="49"/>
        <v>25224484.237428442</v>
      </c>
      <c r="BX27" s="929">
        <f t="shared" si="50"/>
        <v>0</v>
      </c>
      <c r="BY27" s="929">
        <f t="shared" si="51"/>
        <v>0</v>
      </c>
      <c r="BZ27" s="929">
        <f t="shared" si="43"/>
        <v>25224484.237428442</v>
      </c>
      <c r="CB27" s="931">
        <f>$AU$49*(A27-2009)-CampusArea!D20</f>
        <v>0</v>
      </c>
      <c r="CC27" s="931">
        <f t="shared" si="10"/>
        <v>0</v>
      </c>
      <c r="CD27" s="931">
        <f t="shared" si="44"/>
        <v>0</v>
      </c>
      <c r="CE27" s="931">
        <f t="shared" si="45"/>
        <v>0</v>
      </c>
      <c r="CG27" s="929">
        <f t="shared" si="52"/>
        <v>0</v>
      </c>
    </row>
    <row r="28" spans="1:85">
      <c r="A28" s="303">
        <v>2019</v>
      </c>
      <c r="B28" s="304">
        <f ca="1">IF($D$3="BAU",UtilityDemand!C21,INDIRECT($D$3&amp;"!B"&amp;ROW(A28))+INDIRECT($D$3&amp;"!D"&amp;ROW(A28)))</f>
        <v>146981.22882413102</v>
      </c>
      <c r="C28" s="305">
        <f t="shared" ca="1" si="11"/>
        <v>-9.4477708385005285E-2</v>
      </c>
      <c r="D28" s="306">
        <f t="shared" si="12"/>
        <v>-13886.449674915983</v>
      </c>
      <c r="E28" s="304">
        <f ca="1">IF($D$3="BAU",UtilityDemand!E21,INDIRECT($D$3&amp;"!E"&amp;ROW(D28))+INDIRECT($D$3&amp;"!G"&amp;ROW(D28)))</f>
        <v>783488.87140558485</v>
      </c>
      <c r="F28" s="305">
        <f t="shared" ca="1" si="13"/>
        <v>-9.4279159663069212E-2</v>
      </c>
      <c r="G28" s="306">
        <f t="shared" si="14"/>
        <v>-73866.672401485033</v>
      </c>
      <c r="H28" s="304">
        <f ca="1">IF($D$3="BAU",UtilityDemand!G21,INDIRECT($D$3&amp;"!H"&amp;ROW(G28))+INDIRECT($D$3&amp;"!J"&amp;ROW(G28)))</f>
        <v>212911.39879807425</v>
      </c>
      <c r="I28" s="305">
        <f t="shared" ca="1" si="15"/>
        <v>-9.0597185479745296E-2</v>
      </c>
      <c r="J28" s="306">
        <f t="shared" si="16"/>
        <v>-19289.173487661152</v>
      </c>
      <c r="K28" s="307">
        <f t="shared" ca="1" si="17"/>
        <v>133094.77914921503</v>
      </c>
      <c r="L28" s="307">
        <f t="shared" si="18"/>
        <v>0</v>
      </c>
      <c r="M28" s="307">
        <v>0</v>
      </c>
      <c r="N28" s="307">
        <f t="shared" ca="1" si="19"/>
        <v>133094.77914921503</v>
      </c>
      <c r="O28" s="1494">
        <f t="shared" ca="1" si="20"/>
        <v>709622.19900409982</v>
      </c>
      <c r="P28" s="306">
        <f t="shared" si="21"/>
        <v>0</v>
      </c>
      <c r="Q28" s="306">
        <v>0</v>
      </c>
      <c r="R28" s="306">
        <f t="shared" ca="1" si="22"/>
        <v>709622.19900409982</v>
      </c>
      <c r="S28" s="818">
        <f t="shared" ca="1" si="23"/>
        <v>193622.22531041311</v>
      </c>
      <c r="T28" s="818">
        <f t="shared" si="24"/>
        <v>0</v>
      </c>
      <c r="U28" s="818">
        <v>0</v>
      </c>
      <c r="V28" s="818">
        <f t="shared" ca="1" si="25"/>
        <v>193622.22531041311</v>
      </c>
      <c r="W28" s="306">
        <f t="shared" si="1"/>
        <v>0</v>
      </c>
      <c r="X28" s="306">
        <f t="shared" ca="1" si="2"/>
        <v>-20115.286795204072</v>
      </c>
      <c r="Y28" s="306">
        <v>0</v>
      </c>
      <c r="Z28" s="306">
        <v>0</v>
      </c>
      <c r="AA28" s="308">
        <f ca="1">-SUM(W28,X28/OFFSET(GridFootprintbyYear,$A28-$A$19,0)*EF_PurchElec_MTperMWh,Z28)*OFFSET(ExposureCalculations!Price_GHG_Allowance_2010,A28-$A$19,0)*ExposureCalculations!D25</f>
        <v>339466.76456672506</v>
      </c>
      <c r="AB28" s="308">
        <f t="shared" ca="1" si="3"/>
        <v>1234538.6928496137</v>
      </c>
      <c r="AC28" s="308">
        <v>0</v>
      </c>
      <c r="AD28" s="819">
        <f t="shared" ca="1" si="4"/>
        <v>854768.63271695923</v>
      </c>
      <c r="AE28" s="308">
        <v>0</v>
      </c>
      <c r="AF28" s="819">
        <f t="shared" ca="1" si="5"/>
        <v>372924.02076144889</v>
      </c>
      <c r="AG28" s="308">
        <v>0</v>
      </c>
      <c r="AH28" s="308">
        <v>0</v>
      </c>
      <c r="AI28" s="308">
        <v>0</v>
      </c>
      <c r="AJ28" s="308">
        <f t="shared" ca="1" si="6"/>
        <v>2462231.346328022</v>
      </c>
      <c r="AK28" s="911">
        <f t="shared" si="46"/>
        <v>25224484.237428762</v>
      </c>
      <c r="AL28" s="309">
        <f t="shared" si="47"/>
        <v>0</v>
      </c>
      <c r="AM28" s="309">
        <f t="shared" si="26"/>
        <v>25224484.237428762</v>
      </c>
      <c r="AN28" s="310">
        <f t="shared" si="48"/>
        <v>2046786.7209799234</v>
      </c>
      <c r="AO28" s="310">
        <v>0</v>
      </c>
      <c r="AP28" s="310">
        <f t="shared" si="27"/>
        <v>2046786.7209799234</v>
      </c>
      <c r="AQ28" s="309">
        <v>0</v>
      </c>
      <c r="AR28" s="311">
        <f t="shared" ca="1" si="7"/>
        <v>30072969.069303431</v>
      </c>
      <c r="AS28" s="870">
        <f t="shared" ca="1" si="28"/>
        <v>252261540.09695023</v>
      </c>
      <c r="AT28" s="822"/>
      <c r="AU28" s="1254"/>
      <c r="AV28" s="35"/>
      <c r="AW28" s="879"/>
      <c r="AX28" s="35"/>
      <c r="AY28" s="1249"/>
      <c r="BA28" s="945">
        <f>CampusArea!F21</f>
        <v>7644.3145252505747</v>
      </c>
      <c r="BB28" s="944">
        <f>BA28-((CampusArea!$N$60/CampusArea!$U$52)*(1+A28-$A$19))</f>
        <v>6923.6149756097566</v>
      </c>
      <c r="BC28" s="945">
        <f t="shared" si="29"/>
        <v>720.69954964081808</v>
      </c>
      <c r="BD28" s="946">
        <f t="shared" si="30"/>
        <v>720.69954964081808</v>
      </c>
      <c r="BE28" s="946">
        <f t="shared" si="31"/>
        <v>0</v>
      </c>
      <c r="BF28" s="946">
        <f t="shared" si="32"/>
        <v>0</v>
      </c>
      <c r="BH28" s="931">
        <f t="shared" si="33"/>
        <v>13886.449674915983</v>
      </c>
      <c r="BI28" s="931">
        <f t="shared" si="8"/>
        <v>0</v>
      </c>
      <c r="BJ28" s="931">
        <f t="shared" si="9"/>
        <v>0</v>
      </c>
      <c r="BK28" s="931">
        <f t="shared" si="34"/>
        <v>13886.449674915983</v>
      </c>
      <c r="BM28" s="931">
        <f t="shared" si="35"/>
        <v>73866.672401485033</v>
      </c>
      <c r="BN28" s="931">
        <f t="shared" si="36"/>
        <v>0</v>
      </c>
      <c r="BO28" s="931">
        <f t="shared" si="37"/>
        <v>0</v>
      </c>
      <c r="BP28" s="931">
        <f t="shared" si="38"/>
        <v>73866.672401485033</v>
      </c>
      <c r="BR28" s="931">
        <f t="shared" si="39"/>
        <v>19289.173487661152</v>
      </c>
      <c r="BS28" s="931">
        <f t="shared" si="40"/>
        <v>0</v>
      </c>
      <c r="BT28" s="931">
        <f t="shared" si="41"/>
        <v>0</v>
      </c>
      <c r="BU28" s="931">
        <f t="shared" si="42"/>
        <v>19289.173487661152</v>
      </c>
      <c r="BW28" s="929">
        <f t="shared" si="49"/>
        <v>25224484.237428762</v>
      </c>
      <c r="BX28" s="929">
        <f t="shared" si="50"/>
        <v>0</v>
      </c>
      <c r="BY28" s="929">
        <f t="shared" si="51"/>
        <v>0</v>
      </c>
      <c r="BZ28" s="929">
        <f t="shared" si="43"/>
        <v>25224484.237428762</v>
      </c>
      <c r="CB28" s="931">
        <f>$AU$49*(A28-2009)-CampusArea!D21</f>
        <v>0</v>
      </c>
      <c r="CC28" s="931">
        <f t="shared" si="10"/>
        <v>0</v>
      </c>
      <c r="CD28" s="931">
        <f t="shared" si="44"/>
        <v>0</v>
      </c>
      <c r="CE28" s="931">
        <f t="shared" si="45"/>
        <v>0</v>
      </c>
      <c r="CG28" s="929">
        <f t="shared" si="52"/>
        <v>0</v>
      </c>
    </row>
    <row r="29" spans="1:85">
      <c r="A29" s="303">
        <v>2020</v>
      </c>
      <c r="B29" s="304">
        <f ca="1">IF($D$3="BAU",UtilityDemand!C22,INDIRECT($D$3&amp;"!B"&amp;ROW(A29))+INDIRECT($D$3&amp;"!D"&amp;ROW(A29)))</f>
        <v>148557.85442498306</v>
      </c>
      <c r="C29" s="305">
        <f t="shared" ca="1" si="11"/>
        <v>-0.10282253133994343</v>
      </c>
      <c r="D29" s="306">
        <f t="shared" si="12"/>
        <v>-15275.094642407574</v>
      </c>
      <c r="E29" s="304">
        <f ca="1">IF($D$3="BAU",UtilityDemand!E22,INDIRECT($D$3&amp;"!E"&amp;ROW(D29))+INDIRECT($D$3&amp;"!G"&amp;ROW(D29)))</f>
        <v>791875.47053526016</v>
      </c>
      <c r="F29" s="305">
        <f t="shared" ca="1" si="13"/>
        <v>-0.10260873415704003</v>
      </c>
      <c r="G29" s="306">
        <f t="shared" si="14"/>
        <v>-81253.339641633487</v>
      </c>
      <c r="H29" s="304">
        <f ca="1">IF($D$3="BAU",UtilityDemand!G22,INDIRECT($D$3&amp;"!H"&amp;ROW(G29))+INDIRECT($D$3&amp;"!J"&amp;ROW(G29)))</f>
        <v>215975.93336067794</v>
      </c>
      <c r="I29" s="305">
        <f t="shared" ca="1" si="15"/>
        <v>-9.8242848201948604E-2</v>
      </c>
      <c r="J29" s="306">
        <f t="shared" si="16"/>
        <v>-21218.090836427251</v>
      </c>
      <c r="K29" s="307">
        <f t="shared" ca="1" si="17"/>
        <v>133282.75978257548</v>
      </c>
      <c r="L29" s="307">
        <f t="shared" si="18"/>
        <v>0</v>
      </c>
      <c r="M29" s="307">
        <v>0</v>
      </c>
      <c r="N29" s="307">
        <f t="shared" ca="1" si="19"/>
        <v>133282.75978257548</v>
      </c>
      <c r="O29" s="1494">
        <f t="shared" ca="1" si="20"/>
        <v>710622.13089362672</v>
      </c>
      <c r="P29" s="306">
        <f t="shared" si="21"/>
        <v>0</v>
      </c>
      <c r="Q29" s="306">
        <v>0</v>
      </c>
      <c r="R29" s="306">
        <f t="shared" ca="1" si="22"/>
        <v>710622.13089362672</v>
      </c>
      <c r="S29" s="818">
        <f t="shared" ca="1" si="23"/>
        <v>194757.84252425068</v>
      </c>
      <c r="T29" s="818">
        <f t="shared" si="24"/>
        <v>0</v>
      </c>
      <c r="U29" s="818">
        <v>0</v>
      </c>
      <c r="V29" s="818">
        <f t="shared" ca="1" si="25"/>
        <v>194757.84252425068</v>
      </c>
      <c r="W29" s="306">
        <f t="shared" si="1"/>
        <v>0</v>
      </c>
      <c r="X29" s="306">
        <f t="shared" ca="1" si="2"/>
        <v>-22126.815474724466</v>
      </c>
      <c r="Y29" s="306">
        <v>0</v>
      </c>
      <c r="Z29" s="306">
        <v>0</v>
      </c>
      <c r="AA29" s="308">
        <f ca="1">-SUM(W29,X29/OFFSET(GridFootprintbyYear,$A29-$A$19,0)*EF_PurchElec_MTperMWh,Z29)*OFFSET(ExposureCalculations!Price_GHG_Allowance_2010,A29-$A$19,0)*ExposureCalculations!D26</f>
        <v>414312.31830958859</v>
      </c>
      <c r="AB29" s="308">
        <f t="shared" ca="1" si="3"/>
        <v>1364782.524945247</v>
      </c>
      <c r="AC29" s="308">
        <v>0</v>
      </c>
      <c r="AD29" s="819">
        <f t="shared" ca="1" si="4"/>
        <v>944946.72346859763</v>
      </c>
      <c r="AE29" s="308">
        <v>0</v>
      </c>
      <c r="AF29" s="819">
        <f t="shared" ca="1" si="5"/>
        <v>410216.42283759348</v>
      </c>
      <c r="AG29" s="308">
        <v>0</v>
      </c>
      <c r="AH29" s="308">
        <v>0</v>
      </c>
      <c r="AI29" s="308">
        <v>0</v>
      </c>
      <c r="AJ29" s="308">
        <f t="shared" ca="1" si="6"/>
        <v>2719945.6712514381</v>
      </c>
      <c r="AK29" s="911">
        <f t="shared" si="46"/>
        <v>25224484.237428442</v>
      </c>
      <c r="AL29" s="309">
        <f t="shared" si="47"/>
        <v>0</v>
      </c>
      <c r="AM29" s="309">
        <f t="shared" si="26"/>
        <v>25224484.237428442</v>
      </c>
      <c r="AN29" s="310">
        <f t="shared" si="48"/>
        <v>2251465.3930779141</v>
      </c>
      <c r="AO29" s="310">
        <v>0</v>
      </c>
      <c r="AP29" s="310">
        <f t="shared" si="27"/>
        <v>2251465.3930779141</v>
      </c>
      <c r="AQ29" s="309">
        <v>0</v>
      </c>
      <c r="AR29" s="311">
        <f t="shared" ca="1" si="7"/>
        <v>30610207.620067384</v>
      </c>
      <c r="AS29" s="870">
        <f t="shared" ca="1" si="28"/>
        <v>282871747.71701759</v>
      </c>
      <c r="AT29" s="822"/>
      <c r="AU29" s="1254"/>
      <c r="AV29" s="35"/>
      <c r="AW29" s="879"/>
      <c r="AX29" s="35"/>
      <c r="AY29" s="1249"/>
      <c r="BA29" s="945">
        <f>CampusArea!F22</f>
        <v>7726.1405777756318</v>
      </c>
      <c r="BB29" s="944">
        <f>BA29-((CampusArea!$N$60/CampusArea!$U$52)*(1+A29-$A$19))</f>
        <v>6933.3710731707324</v>
      </c>
      <c r="BC29" s="945">
        <f t="shared" si="29"/>
        <v>792.76950460489934</v>
      </c>
      <c r="BD29" s="946">
        <f t="shared" si="30"/>
        <v>792.76950460489934</v>
      </c>
      <c r="BE29" s="946">
        <f t="shared" si="31"/>
        <v>0</v>
      </c>
      <c r="BF29" s="946">
        <f t="shared" si="32"/>
        <v>0</v>
      </c>
      <c r="BH29" s="931">
        <f t="shared" si="33"/>
        <v>15275.094642407574</v>
      </c>
      <c r="BI29" s="931">
        <f t="shared" si="8"/>
        <v>0</v>
      </c>
      <c r="BJ29" s="931">
        <f t="shared" si="9"/>
        <v>0</v>
      </c>
      <c r="BK29" s="931">
        <f t="shared" si="34"/>
        <v>15275.094642407574</v>
      </c>
      <c r="BM29" s="931">
        <f t="shared" si="35"/>
        <v>81253.339641633487</v>
      </c>
      <c r="BN29" s="931">
        <f t="shared" si="36"/>
        <v>0</v>
      </c>
      <c r="BO29" s="931">
        <f t="shared" si="37"/>
        <v>0</v>
      </c>
      <c r="BP29" s="931">
        <f t="shared" si="38"/>
        <v>81253.339641633487</v>
      </c>
      <c r="BR29" s="931">
        <f t="shared" si="39"/>
        <v>21218.090836427251</v>
      </c>
      <c r="BS29" s="931">
        <f t="shared" si="40"/>
        <v>0</v>
      </c>
      <c r="BT29" s="931">
        <f t="shared" si="41"/>
        <v>0</v>
      </c>
      <c r="BU29" s="931">
        <f t="shared" si="42"/>
        <v>21218.090836427251</v>
      </c>
      <c r="BW29" s="929">
        <f t="shared" si="49"/>
        <v>25224484.237428442</v>
      </c>
      <c r="BX29" s="929">
        <f t="shared" si="50"/>
        <v>0</v>
      </c>
      <c r="BY29" s="929">
        <f t="shared" si="51"/>
        <v>0</v>
      </c>
      <c r="BZ29" s="929">
        <f t="shared" si="43"/>
        <v>25224484.237428442</v>
      </c>
      <c r="CB29" s="931">
        <f>$AU$49*(A29-2009)-CampusArea!D22</f>
        <v>0</v>
      </c>
      <c r="CC29" s="931">
        <f t="shared" si="10"/>
        <v>0</v>
      </c>
      <c r="CD29" s="931">
        <f t="shared" si="44"/>
        <v>0</v>
      </c>
      <c r="CE29" s="931">
        <f t="shared" si="45"/>
        <v>0</v>
      </c>
      <c r="CG29" s="929">
        <f t="shared" si="52"/>
        <v>0</v>
      </c>
    </row>
    <row r="30" spans="1:85">
      <c r="A30" s="303">
        <v>2021</v>
      </c>
      <c r="B30" s="304">
        <f ca="1">IF($D$3="BAU",UtilityDemand!C23,INDIRECT($D$3&amp;"!B"&amp;ROW(A30))+INDIRECT($D$3&amp;"!D"&amp;ROW(A30)))</f>
        <v>150134.48002583507</v>
      </c>
      <c r="C30" s="305">
        <f t="shared" ca="1" si="11"/>
        <v>-0.11099208927244221</v>
      </c>
      <c r="D30" s="306">
        <f t="shared" si="12"/>
        <v>-16663.739609899178</v>
      </c>
      <c r="E30" s="304">
        <f ca="1">IF($D$3="BAU",UtilityDemand!E23,INDIRECT($D$3&amp;"!E"&amp;ROW(D30))+INDIRECT($D$3&amp;"!G"&amp;ROW(D30)))</f>
        <v>800262.06966493546</v>
      </c>
      <c r="F30" s="305">
        <f t="shared" ca="1" si="13"/>
        <v>-0.11076372383723625</v>
      </c>
      <c r="G30" s="306">
        <f t="shared" si="14"/>
        <v>-88640.006881782028</v>
      </c>
      <c r="H30" s="304">
        <f ca="1">IF($D$3="BAU",UtilityDemand!G23,INDIRECT($D$3&amp;"!H"&amp;ROW(G30))+INDIRECT($D$3&amp;"!J"&amp;ROW(G30)))</f>
        <v>219040.46792328163</v>
      </c>
      <c r="I30" s="305">
        <f t="shared" ca="1" si="15"/>
        <v>-0.10567457422205909</v>
      </c>
      <c r="J30" s="306">
        <f t="shared" si="16"/>
        <v>-23147.008185193376</v>
      </c>
      <c r="K30" s="307">
        <f t="shared" ca="1" si="17"/>
        <v>133470.7404159359</v>
      </c>
      <c r="L30" s="307">
        <f t="shared" si="18"/>
        <v>0</v>
      </c>
      <c r="M30" s="307">
        <v>0</v>
      </c>
      <c r="N30" s="307">
        <f t="shared" ca="1" si="19"/>
        <v>133470.7404159359</v>
      </c>
      <c r="O30" s="1494">
        <f t="shared" ca="1" si="20"/>
        <v>711622.06278315349</v>
      </c>
      <c r="P30" s="306">
        <f t="shared" si="21"/>
        <v>0</v>
      </c>
      <c r="Q30" s="306">
        <v>0</v>
      </c>
      <c r="R30" s="306">
        <f t="shared" ca="1" si="22"/>
        <v>711622.06278315349</v>
      </c>
      <c r="S30" s="818">
        <f t="shared" ca="1" si="23"/>
        <v>195893.45973808825</v>
      </c>
      <c r="T30" s="818">
        <f t="shared" si="24"/>
        <v>0</v>
      </c>
      <c r="U30" s="818">
        <v>0</v>
      </c>
      <c r="V30" s="818">
        <f t="shared" ca="1" si="25"/>
        <v>195893.45973808825</v>
      </c>
      <c r="W30" s="306">
        <f t="shared" si="1"/>
        <v>0</v>
      </c>
      <c r="X30" s="306">
        <f t="shared" ca="1" si="2"/>
        <v>-24138.344154244882</v>
      </c>
      <c r="Y30" s="306">
        <v>0</v>
      </c>
      <c r="Z30" s="306">
        <v>0</v>
      </c>
      <c r="AA30" s="308">
        <f ca="1">-SUM(W30,X30/OFFSET(GridFootprintbyYear,$A30-$A$19,0)*EF_PurchElec_MTperMWh,Z30)*OFFSET(ExposureCalculations!Price_GHG_Allowance_2010,A30-$A$19,0)*ExposureCalculations!D27</f>
        <v>503453.23689434386</v>
      </c>
      <c r="AB30" s="308">
        <f t="shared" ca="1" si="3"/>
        <v>1496297.9318945168</v>
      </c>
      <c r="AC30" s="308">
        <v>0</v>
      </c>
      <c r="AD30" s="819">
        <f t="shared" ca="1" si="4"/>
        <v>1036005.2259119358</v>
      </c>
      <c r="AE30" s="308">
        <v>0</v>
      </c>
      <c r="AF30" s="819">
        <f t="shared" ca="1" si="5"/>
        <v>447508.82491373859</v>
      </c>
      <c r="AG30" s="308">
        <v>0</v>
      </c>
      <c r="AH30" s="308">
        <v>0</v>
      </c>
      <c r="AI30" s="308">
        <v>0</v>
      </c>
      <c r="AJ30" s="308">
        <f t="shared" ca="1" si="6"/>
        <v>2979811.9827201911</v>
      </c>
      <c r="AK30" s="911">
        <f t="shared" si="46"/>
        <v>25224484.237428762</v>
      </c>
      <c r="AL30" s="309">
        <f t="shared" si="47"/>
        <v>0</v>
      </c>
      <c r="AM30" s="309">
        <f t="shared" si="26"/>
        <v>25224484.237428762</v>
      </c>
      <c r="AN30" s="310">
        <f t="shared" si="48"/>
        <v>2456144.0651759072</v>
      </c>
      <c r="AO30" s="310">
        <v>0</v>
      </c>
      <c r="AP30" s="310">
        <f t="shared" si="27"/>
        <v>2456144.0651759072</v>
      </c>
      <c r="AQ30" s="309">
        <v>0</v>
      </c>
      <c r="AR30" s="311">
        <f t="shared" ca="1" si="7"/>
        <v>31163893.522219203</v>
      </c>
      <c r="AS30" s="870">
        <f t="shared" ca="1" si="28"/>
        <v>314035641.23923677</v>
      </c>
      <c r="AT30" s="822"/>
      <c r="AU30" s="878"/>
      <c r="AV30" s="35"/>
      <c r="AW30" s="879"/>
      <c r="AX30" s="35"/>
      <c r="AY30" s="1249"/>
      <c r="BA30" s="945">
        <f>CampusArea!F23</f>
        <v>7807.9666303006888</v>
      </c>
      <c r="BB30" s="944">
        <f>BA30-((CampusArea!$N$60/CampusArea!$U$52)*(1+A30-$A$19))</f>
        <v>6943.1271707317073</v>
      </c>
      <c r="BC30" s="945">
        <f t="shared" si="29"/>
        <v>864.83945956898151</v>
      </c>
      <c r="BD30" s="946">
        <f t="shared" si="30"/>
        <v>864.83945956898151</v>
      </c>
      <c r="BE30" s="946">
        <f t="shared" si="31"/>
        <v>0</v>
      </c>
      <c r="BF30" s="946">
        <f t="shared" si="32"/>
        <v>0</v>
      </c>
      <c r="BH30" s="931">
        <f t="shared" si="33"/>
        <v>16663.739609899178</v>
      </c>
      <c r="BI30" s="931">
        <f t="shared" si="8"/>
        <v>0</v>
      </c>
      <c r="BJ30" s="931">
        <f t="shared" si="9"/>
        <v>0</v>
      </c>
      <c r="BK30" s="931">
        <f t="shared" si="34"/>
        <v>16663.739609899178</v>
      </c>
      <c r="BM30" s="931">
        <f t="shared" si="35"/>
        <v>88640.006881782028</v>
      </c>
      <c r="BN30" s="931">
        <f t="shared" si="36"/>
        <v>0</v>
      </c>
      <c r="BO30" s="931">
        <f t="shared" si="37"/>
        <v>0</v>
      </c>
      <c r="BP30" s="931">
        <f t="shared" si="38"/>
        <v>88640.006881782028</v>
      </c>
      <c r="BR30" s="931">
        <f t="shared" si="39"/>
        <v>23147.008185193376</v>
      </c>
      <c r="BS30" s="931">
        <f t="shared" si="40"/>
        <v>0</v>
      </c>
      <c r="BT30" s="931">
        <f t="shared" si="41"/>
        <v>0</v>
      </c>
      <c r="BU30" s="931">
        <f t="shared" si="42"/>
        <v>23147.008185193376</v>
      </c>
      <c r="BW30" s="929">
        <f t="shared" si="49"/>
        <v>25224484.237428762</v>
      </c>
      <c r="BX30" s="929">
        <f t="shared" si="50"/>
        <v>0</v>
      </c>
      <c r="BY30" s="929">
        <f t="shared" si="51"/>
        <v>0</v>
      </c>
      <c r="BZ30" s="929">
        <f t="shared" si="43"/>
        <v>25224484.237428762</v>
      </c>
      <c r="CB30" s="931">
        <f>$AU$49*(A30-2009)-CampusArea!D23</f>
        <v>0</v>
      </c>
      <c r="CC30" s="931">
        <f t="shared" si="10"/>
        <v>0</v>
      </c>
      <c r="CD30" s="931">
        <f t="shared" si="44"/>
        <v>0</v>
      </c>
      <c r="CE30" s="931">
        <f t="shared" si="45"/>
        <v>0</v>
      </c>
      <c r="CG30" s="929">
        <f t="shared" si="52"/>
        <v>0</v>
      </c>
    </row>
    <row r="31" spans="1:85">
      <c r="A31" s="303">
        <v>2022</v>
      </c>
      <c r="B31" s="304">
        <f ca="1">IF($D$3="BAU",UtilityDemand!C24,INDIRECT($D$3&amp;"!B"&amp;ROW(A31))+INDIRECT($D$3&amp;"!D"&amp;ROW(A31)))</f>
        <v>151711.10562668712</v>
      </c>
      <c r="C31" s="305">
        <f t="shared" ca="1" si="11"/>
        <v>-0.11899184639661103</v>
      </c>
      <c r="D31" s="306">
        <f t="shared" si="12"/>
        <v>-18052.384577390785</v>
      </c>
      <c r="E31" s="304">
        <f ca="1">IF($D$3="BAU",UtilityDemand!E24,INDIRECT($D$3&amp;"!E"&amp;ROW(D31))+INDIRECT($D$3&amp;"!G"&amp;ROW(D31)))</f>
        <v>808648.668794611</v>
      </c>
      <c r="F31" s="305">
        <f t="shared" ca="1" si="13"/>
        <v>-0.11874956062818973</v>
      </c>
      <c r="G31" s="306">
        <f t="shared" si="14"/>
        <v>-96026.67412193057</v>
      </c>
      <c r="H31" s="304">
        <f ca="1">IF($D$3="BAU",UtilityDemand!G24,INDIRECT($D$3&amp;"!H"&amp;ROW(G31))+INDIRECT($D$3&amp;"!J"&amp;ROW(G31)))</f>
        <v>222105.00248588528</v>
      </c>
      <c r="I31" s="305">
        <f t="shared" ca="1" si="15"/>
        <v>-0.11290121903288994</v>
      </c>
      <c r="J31" s="306">
        <f t="shared" si="16"/>
        <v>-25075.9255339595</v>
      </c>
      <c r="K31" s="307">
        <f t="shared" ca="1" si="17"/>
        <v>133658.72104929632</v>
      </c>
      <c r="L31" s="307">
        <f t="shared" si="18"/>
        <v>0</v>
      </c>
      <c r="M31" s="307">
        <v>0</v>
      </c>
      <c r="N31" s="307">
        <f t="shared" ca="1" si="19"/>
        <v>133658.72104929632</v>
      </c>
      <c r="O31" s="1494">
        <f t="shared" ca="1" si="20"/>
        <v>712621.99467268039</v>
      </c>
      <c r="P31" s="306">
        <f t="shared" si="21"/>
        <v>0</v>
      </c>
      <c r="Q31" s="306">
        <v>0</v>
      </c>
      <c r="R31" s="306">
        <f t="shared" ca="1" si="22"/>
        <v>712621.99467268039</v>
      </c>
      <c r="S31" s="818">
        <f t="shared" ca="1" si="23"/>
        <v>197029.07695192579</v>
      </c>
      <c r="T31" s="818">
        <f t="shared" si="24"/>
        <v>0</v>
      </c>
      <c r="U31" s="818">
        <v>0</v>
      </c>
      <c r="V31" s="818">
        <f t="shared" ca="1" si="25"/>
        <v>197029.07695192579</v>
      </c>
      <c r="W31" s="306">
        <f t="shared" si="1"/>
        <v>0</v>
      </c>
      <c r="X31" s="306">
        <f t="shared" ca="1" si="2"/>
        <v>-26149.872833765301</v>
      </c>
      <c r="Y31" s="306">
        <v>0</v>
      </c>
      <c r="Z31" s="306">
        <v>0</v>
      </c>
      <c r="AA31" s="308">
        <f ca="1">-SUM(W31,X31/OFFSET(GridFootprintbyYear,$A31-$A$19,0)*EF_PurchElec_MTperMWh,Z31)*OFFSET(ExposureCalculations!Price_GHG_Allowance_2010,A31-$A$19,0)*ExposureCalculations!D28</f>
        <v>603325.55533471052</v>
      </c>
      <c r="AB31" s="308">
        <f t="shared" ca="1" si="3"/>
        <v>1629094.3733501553</v>
      </c>
      <c r="AC31" s="308">
        <v>0</v>
      </c>
      <c r="AD31" s="819">
        <f t="shared" ca="1" si="4"/>
        <v>1127950.6897116201</v>
      </c>
      <c r="AE31" s="308">
        <v>0</v>
      </c>
      <c r="AF31" s="819">
        <f t="shared" ca="1" si="5"/>
        <v>484801.22698988364</v>
      </c>
      <c r="AG31" s="308">
        <v>0</v>
      </c>
      <c r="AH31" s="308">
        <v>0</v>
      </c>
      <c r="AI31" s="308">
        <v>0</v>
      </c>
      <c r="AJ31" s="308">
        <f t="shared" ca="1" si="6"/>
        <v>3241846.2900516591</v>
      </c>
      <c r="AK31" s="911">
        <f t="shared" si="46"/>
        <v>25224484.237428762</v>
      </c>
      <c r="AL31" s="309">
        <f t="shared" si="47"/>
        <v>0</v>
      </c>
      <c r="AM31" s="309">
        <f t="shared" si="26"/>
        <v>25224484.237428762</v>
      </c>
      <c r="AN31" s="310">
        <f t="shared" si="48"/>
        <v>2660822.7372739008</v>
      </c>
      <c r="AO31" s="310">
        <v>0</v>
      </c>
      <c r="AP31" s="310">
        <f t="shared" si="27"/>
        <v>2660822.7372739008</v>
      </c>
      <c r="AQ31" s="309">
        <v>0</v>
      </c>
      <c r="AR31" s="311">
        <f t="shared" ca="1" si="7"/>
        <v>31730478.820089035</v>
      </c>
      <c r="AS31" s="870">
        <f t="shared" ca="1" si="28"/>
        <v>345766120.05932581</v>
      </c>
      <c r="AT31" s="822"/>
      <c r="AU31" s="964" t="s">
        <v>1398</v>
      </c>
      <c r="AV31" s="35"/>
      <c r="AW31" s="879"/>
      <c r="AX31" s="35"/>
      <c r="AY31" s="1249"/>
      <c r="BA31" s="945">
        <f>CampusArea!F24</f>
        <v>7889.7926828257459</v>
      </c>
      <c r="BB31" s="944">
        <f>BA31-((CampusArea!$N$60/CampusArea!$U$52)*(1+A31-$A$19))</f>
        <v>6952.8832682926823</v>
      </c>
      <c r="BC31" s="945">
        <f t="shared" si="29"/>
        <v>936.90941453306368</v>
      </c>
      <c r="BD31" s="946">
        <f t="shared" si="30"/>
        <v>936.90941453306368</v>
      </c>
      <c r="BE31" s="946">
        <f t="shared" si="31"/>
        <v>0</v>
      </c>
      <c r="BF31" s="946">
        <f t="shared" si="32"/>
        <v>0</v>
      </c>
      <c r="BH31" s="931">
        <f t="shared" si="33"/>
        <v>18052.384577390785</v>
      </c>
      <c r="BI31" s="931">
        <f t="shared" si="8"/>
        <v>0</v>
      </c>
      <c r="BJ31" s="931">
        <f t="shared" si="9"/>
        <v>0</v>
      </c>
      <c r="BK31" s="931">
        <f t="shared" si="34"/>
        <v>18052.384577390785</v>
      </c>
      <c r="BM31" s="931">
        <f t="shared" si="35"/>
        <v>96026.67412193057</v>
      </c>
      <c r="BN31" s="931">
        <f t="shared" si="36"/>
        <v>0</v>
      </c>
      <c r="BO31" s="931">
        <f t="shared" si="37"/>
        <v>0</v>
      </c>
      <c r="BP31" s="931">
        <f t="shared" si="38"/>
        <v>96026.67412193057</v>
      </c>
      <c r="BR31" s="931">
        <f t="shared" si="39"/>
        <v>25075.9255339595</v>
      </c>
      <c r="BS31" s="931">
        <f t="shared" si="40"/>
        <v>0</v>
      </c>
      <c r="BT31" s="931">
        <f t="shared" si="41"/>
        <v>0</v>
      </c>
      <c r="BU31" s="931">
        <f t="shared" si="42"/>
        <v>25075.9255339595</v>
      </c>
      <c r="BW31" s="929">
        <f t="shared" si="49"/>
        <v>25224484.237428762</v>
      </c>
      <c r="BX31" s="929">
        <f t="shared" si="50"/>
        <v>0</v>
      </c>
      <c r="BY31" s="929">
        <f t="shared" si="51"/>
        <v>0</v>
      </c>
      <c r="BZ31" s="929">
        <f t="shared" si="43"/>
        <v>25224484.237428762</v>
      </c>
      <c r="CB31" s="931">
        <f>$AU$49*(A31-2009)-CampusArea!D24</f>
        <v>0</v>
      </c>
      <c r="CC31" s="931">
        <f t="shared" si="10"/>
        <v>0</v>
      </c>
      <c r="CD31" s="931">
        <f t="shared" si="44"/>
        <v>0</v>
      </c>
      <c r="CE31" s="931">
        <f t="shared" si="45"/>
        <v>0</v>
      </c>
      <c r="CG31" s="929">
        <f t="shared" si="52"/>
        <v>0</v>
      </c>
    </row>
    <row r="32" spans="1:85">
      <c r="A32" s="303">
        <v>2023</v>
      </c>
      <c r="B32" s="304">
        <f ca="1">IF($D$3="BAU",UtilityDemand!C25,INDIRECT($D$3&amp;"!B"&amp;ROW(A32))+INDIRECT($D$3&amp;"!D"&amp;ROW(A32)))</f>
        <v>153287.73122753916</v>
      </c>
      <c r="C32" s="305">
        <f t="shared" ca="1" si="11"/>
        <v>-0.12682704212005233</v>
      </c>
      <c r="D32" s="306">
        <f t="shared" si="12"/>
        <v>-19441.029544882371</v>
      </c>
      <c r="E32" s="304">
        <f ca="1">IF($D$3="BAU",UtilityDemand!E25,INDIRECT($D$3&amp;"!E"&amp;ROW(D32))+INDIRECT($D$3&amp;"!G"&amp;ROW(D32)))</f>
        <v>817035.26792428643</v>
      </c>
      <c r="F32" s="305">
        <f t="shared" ca="1" si="13"/>
        <v>-0.12657145342673531</v>
      </c>
      <c r="G32" s="306">
        <f t="shared" si="14"/>
        <v>-103413.34136207902</v>
      </c>
      <c r="H32" s="304">
        <f ca="1">IF($D$3="BAU",UtilityDemand!G25,INDIRECT($D$3&amp;"!H"&amp;ROW(G32))+INDIRECT($D$3&amp;"!J"&amp;ROW(G32)))</f>
        <v>225169.537048489</v>
      </c>
      <c r="I32" s="305">
        <f t="shared" ca="1" si="15"/>
        <v>-0.11993115603781812</v>
      </c>
      <c r="J32" s="306">
        <f t="shared" si="16"/>
        <v>-27004.842882725603</v>
      </c>
      <c r="K32" s="307">
        <f t="shared" ca="1" si="17"/>
        <v>133846.7016826568</v>
      </c>
      <c r="L32" s="307">
        <f t="shared" si="18"/>
        <v>0</v>
      </c>
      <c r="M32" s="307">
        <v>0</v>
      </c>
      <c r="N32" s="307">
        <f t="shared" ca="1" si="19"/>
        <v>133846.7016826568</v>
      </c>
      <c r="O32" s="1494">
        <f t="shared" ca="1" si="20"/>
        <v>713621.9265622074</v>
      </c>
      <c r="P32" s="306">
        <f t="shared" si="21"/>
        <v>0</v>
      </c>
      <c r="Q32" s="306">
        <v>0</v>
      </c>
      <c r="R32" s="306">
        <f t="shared" ca="1" si="22"/>
        <v>713621.9265622074</v>
      </c>
      <c r="S32" s="818">
        <f t="shared" ca="1" si="23"/>
        <v>198164.69416576339</v>
      </c>
      <c r="T32" s="818">
        <f t="shared" si="24"/>
        <v>0</v>
      </c>
      <c r="U32" s="818">
        <v>0</v>
      </c>
      <c r="V32" s="818">
        <f t="shared" ca="1" si="25"/>
        <v>198164.69416576339</v>
      </c>
      <c r="W32" s="306">
        <f t="shared" si="1"/>
        <v>0</v>
      </c>
      <c r="X32" s="306">
        <f t="shared" ca="1" si="2"/>
        <v>-28161.401513285691</v>
      </c>
      <c r="Y32" s="306">
        <v>0</v>
      </c>
      <c r="Z32" s="306">
        <v>0</v>
      </c>
      <c r="AA32" s="308">
        <f ca="1">-SUM(W32,X32/OFFSET(GridFootprintbyYear,$A32-$A$19,0)*EF_PurchElec_MTperMWh,Z32)*OFFSET(ExposureCalculations!Price_GHG_Allowance_2010,A32-$A$19,0)*ExposureCalculations!D29</f>
        <v>714332.44540090126</v>
      </c>
      <c r="AB32" s="308">
        <f t="shared" ca="1" si="3"/>
        <v>1763181.3717720516</v>
      </c>
      <c r="AC32" s="308">
        <v>0</v>
      </c>
      <c r="AD32" s="819">
        <f t="shared" ca="1" si="4"/>
        <v>1220789.7080186526</v>
      </c>
      <c r="AE32" s="308">
        <v>0</v>
      </c>
      <c r="AF32" s="819">
        <f t="shared" ca="1" si="5"/>
        <v>522093.62906602828</v>
      </c>
      <c r="AG32" s="308">
        <v>0</v>
      </c>
      <c r="AH32" s="308">
        <v>0</v>
      </c>
      <c r="AI32" s="308">
        <v>0</v>
      </c>
      <c r="AJ32" s="308">
        <f t="shared" ca="1" si="6"/>
        <v>3506064.7088567321</v>
      </c>
      <c r="AK32" s="911">
        <f t="shared" si="46"/>
        <v>25224484.237428442</v>
      </c>
      <c r="AL32" s="309">
        <f t="shared" si="47"/>
        <v>0</v>
      </c>
      <c r="AM32" s="309">
        <f t="shared" si="26"/>
        <v>25224484.237428442</v>
      </c>
      <c r="AN32" s="310">
        <f t="shared" si="48"/>
        <v>2865501.4093718915</v>
      </c>
      <c r="AO32" s="310">
        <v>0</v>
      </c>
      <c r="AP32" s="310">
        <f t="shared" si="27"/>
        <v>2865501.4093718915</v>
      </c>
      <c r="AQ32" s="309">
        <v>0</v>
      </c>
      <c r="AR32" s="311">
        <f t="shared" ca="1" si="7"/>
        <v>32310382.801057965</v>
      </c>
      <c r="AS32" s="870">
        <f t="shared" ca="1" si="28"/>
        <v>378076502.86038375</v>
      </c>
      <c r="AT32" s="822"/>
      <c r="AU32" s="1255">
        <f>UtilityDemand!$L$9+($AU$46-UtilityDemand!$L$12)*(UtilityDemand!$L$9/SUM(UtilityDemand!$L$9,UtilityDemand!$L$11))</f>
        <v>65.742466905143544</v>
      </c>
      <c r="AV32" s="35" t="str">
        <f>AV27</f>
        <v>Generic</v>
      </c>
      <c r="AW32" s="879"/>
      <c r="AX32" s="35"/>
      <c r="AY32" s="1249"/>
      <c r="BA32" s="945">
        <f>CampusArea!F25</f>
        <v>7971.6187353508039</v>
      </c>
      <c r="BB32" s="944">
        <f>BA32-((CampusArea!$N$60/CampusArea!$U$52)*(1+A32-$A$19))</f>
        <v>6962.639365853659</v>
      </c>
      <c r="BC32" s="945">
        <f t="shared" si="29"/>
        <v>1008.9793694971449</v>
      </c>
      <c r="BD32" s="946">
        <f t="shared" si="30"/>
        <v>1008.9793694971449</v>
      </c>
      <c r="BE32" s="946">
        <f t="shared" si="31"/>
        <v>0</v>
      </c>
      <c r="BF32" s="946">
        <f t="shared" si="32"/>
        <v>0</v>
      </c>
      <c r="BH32" s="931">
        <f t="shared" si="33"/>
        <v>19441.029544882371</v>
      </c>
      <c r="BI32" s="931">
        <f t="shared" si="8"/>
        <v>0</v>
      </c>
      <c r="BJ32" s="931">
        <f t="shared" si="9"/>
        <v>0</v>
      </c>
      <c r="BK32" s="931">
        <f t="shared" si="34"/>
        <v>19441.029544882371</v>
      </c>
      <c r="BM32" s="931">
        <f t="shared" si="35"/>
        <v>103413.34136207902</v>
      </c>
      <c r="BN32" s="931">
        <f t="shared" si="36"/>
        <v>0</v>
      </c>
      <c r="BO32" s="931">
        <f t="shared" si="37"/>
        <v>0</v>
      </c>
      <c r="BP32" s="931">
        <f t="shared" si="38"/>
        <v>103413.34136207902</v>
      </c>
      <c r="BR32" s="931">
        <f t="shared" si="39"/>
        <v>27004.842882725603</v>
      </c>
      <c r="BS32" s="931">
        <f t="shared" si="40"/>
        <v>0</v>
      </c>
      <c r="BT32" s="931">
        <f t="shared" si="41"/>
        <v>0</v>
      </c>
      <c r="BU32" s="931">
        <f t="shared" si="42"/>
        <v>27004.842882725603</v>
      </c>
      <c r="BW32" s="929">
        <f t="shared" si="49"/>
        <v>25224484.237428442</v>
      </c>
      <c r="BX32" s="929">
        <f t="shared" si="50"/>
        <v>0</v>
      </c>
      <c r="BY32" s="929">
        <f t="shared" si="51"/>
        <v>0</v>
      </c>
      <c r="BZ32" s="929">
        <f t="shared" si="43"/>
        <v>25224484.237428442</v>
      </c>
      <c r="CB32" s="931">
        <f>$AU$49*(A32-2009)-CampusArea!D25</f>
        <v>0</v>
      </c>
      <c r="CC32" s="931">
        <f t="shared" si="10"/>
        <v>0</v>
      </c>
      <c r="CD32" s="931">
        <f t="shared" si="44"/>
        <v>0</v>
      </c>
      <c r="CE32" s="931">
        <f t="shared" si="45"/>
        <v>0</v>
      </c>
      <c r="CG32" s="929">
        <f t="shared" si="52"/>
        <v>0</v>
      </c>
    </row>
    <row r="33" spans="1:85">
      <c r="A33" s="303">
        <v>2024</v>
      </c>
      <c r="B33" s="304">
        <f ca="1">IF($D$3="BAU",UtilityDemand!C26,INDIRECT($D$3&amp;"!B"&amp;ROW(A33))+INDIRECT($D$3&amp;"!D"&amp;ROW(A33)))</f>
        <v>154864.35682839117</v>
      </c>
      <c r="C33" s="305">
        <f t="shared" ca="1" si="11"/>
        <v>-0.13450270248728588</v>
      </c>
      <c r="D33" s="306">
        <f t="shared" si="12"/>
        <v>-20829.674512373978</v>
      </c>
      <c r="E33" s="304">
        <f ca="1">IF($D$3="BAU",UtilityDemand!E26,INDIRECT($D$3&amp;"!E"&amp;ROW(D33))+INDIRECT($D$3&amp;"!G"&amp;ROW(D33)))</f>
        <v>825421.86705396173</v>
      </c>
      <c r="F33" s="305">
        <f t="shared" ca="1" si="13"/>
        <v>-0.13423439943224091</v>
      </c>
      <c r="G33" s="306">
        <f t="shared" si="14"/>
        <v>-110800.00860222756</v>
      </c>
      <c r="H33" s="304">
        <f ca="1">IF($D$3="BAU",UtilityDemand!G26,INDIRECT($D$3&amp;"!H"&amp;ROW(G33))+INDIRECT($D$3&amp;"!J"&amp;ROW(G33)))</f>
        <v>228234.07161109266</v>
      </c>
      <c r="I33" s="305">
        <f t="shared" ca="1" si="15"/>
        <v>-0.12677230891623584</v>
      </c>
      <c r="J33" s="306">
        <f t="shared" si="16"/>
        <v>-28933.760231491728</v>
      </c>
      <c r="K33" s="307">
        <f t="shared" ca="1" si="17"/>
        <v>134034.68231601719</v>
      </c>
      <c r="L33" s="307">
        <f t="shared" si="18"/>
        <v>0</v>
      </c>
      <c r="M33" s="307">
        <v>0</v>
      </c>
      <c r="N33" s="307">
        <f t="shared" ca="1" si="19"/>
        <v>134034.68231601719</v>
      </c>
      <c r="O33" s="1494">
        <f t="shared" ca="1" si="20"/>
        <v>714621.85845173418</v>
      </c>
      <c r="P33" s="306">
        <f t="shared" si="21"/>
        <v>0</v>
      </c>
      <c r="Q33" s="306">
        <v>0</v>
      </c>
      <c r="R33" s="306">
        <f t="shared" ca="1" si="22"/>
        <v>714621.85845173418</v>
      </c>
      <c r="S33" s="818">
        <f t="shared" ca="1" si="23"/>
        <v>199300.31137960093</v>
      </c>
      <c r="T33" s="818">
        <f t="shared" si="24"/>
        <v>0</v>
      </c>
      <c r="U33" s="818">
        <v>0</v>
      </c>
      <c r="V33" s="818">
        <f t="shared" ca="1" si="25"/>
        <v>199300.31137960093</v>
      </c>
      <c r="W33" s="306">
        <f t="shared" si="1"/>
        <v>0</v>
      </c>
      <c r="X33" s="306">
        <f t="shared" ca="1" si="2"/>
        <v>-30172.93019280611</v>
      </c>
      <c r="Y33" s="306">
        <v>0</v>
      </c>
      <c r="Z33" s="306">
        <v>0</v>
      </c>
      <c r="AA33" s="308">
        <f ca="1">-SUM(W33,X33/OFFSET(GridFootprintbyYear,$A33-$A$19,0)*EF_PurchElec_MTperMWh,Z33)*OFFSET(ExposureCalculations!Price_GHG_Allowance_2010,A33-$A$19,0)*ExposureCalculations!D30</f>
        <v>836851.06893244968</v>
      </c>
      <c r="AB33" s="308">
        <f t="shared" ca="1" si="3"/>
        <v>1898568.5128188347</v>
      </c>
      <c r="AC33" s="308">
        <v>0</v>
      </c>
      <c r="AD33" s="819">
        <f t="shared" ca="1" si="4"/>
        <v>1314528.9177415138</v>
      </c>
      <c r="AE33" s="308">
        <v>0</v>
      </c>
      <c r="AF33" s="819">
        <f t="shared" ca="1" si="5"/>
        <v>559386.03114217333</v>
      </c>
      <c r="AG33" s="308">
        <v>0</v>
      </c>
      <c r="AH33" s="308">
        <v>0</v>
      </c>
      <c r="AI33" s="308">
        <v>0</v>
      </c>
      <c r="AJ33" s="308">
        <f t="shared" ca="1" si="6"/>
        <v>3772483.4617025219</v>
      </c>
      <c r="AK33" s="911">
        <f t="shared" si="46"/>
        <v>25224484.237428762</v>
      </c>
      <c r="AL33" s="309">
        <f t="shared" si="47"/>
        <v>0</v>
      </c>
      <c r="AM33" s="309">
        <f t="shared" si="26"/>
        <v>25224484.237428762</v>
      </c>
      <c r="AN33" s="310">
        <f t="shared" si="48"/>
        <v>3070180.0814698851</v>
      </c>
      <c r="AO33" s="310">
        <v>0</v>
      </c>
      <c r="AP33" s="310">
        <f t="shared" si="27"/>
        <v>3070180.0814698851</v>
      </c>
      <c r="AQ33" s="309">
        <v>0</v>
      </c>
      <c r="AR33" s="311">
        <f t="shared" ca="1" si="7"/>
        <v>32903998.849533617</v>
      </c>
      <c r="AS33" s="870">
        <f t="shared" ca="1" si="28"/>
        <v>410980501.70991737</v>
      </c>
      <c r="AT33" s="822"/>
      <c r="AU33" s="1255"/>
      <c r="AV33" s="35"/>
      <c r="AW33" s="879"/>
      <c r="AX33" s="35"/>
      <c r="AY33" s="1249"/>
      <c r="BA33" s="945">
        <f>CampusArea!F26</f>
        <v>8053.444787875861</v>
      </c>
      <c r="BB33" s="944">
        <f>BA33-((CampusArea!$N$60/CampusArea!$U$52)*(1+A33-$A$19))</f>
        <v>6972.3954634146339</v>
      </c>
      <c r="BC33" s="945">
        <f t="shared" si="29"/>
        <v>1081.0493244612271</v>
      </c>
      <c r="BD33" s="946">
        <f t="shared" si="30"/>
        <v>1081.0493244612271</v>
      </c>
      <c r="BE33" s="946">
        <f t="shared" si="31"/>
        <v>0</v>
      </c>
      <c r="BF33" s="946">
        <f t="shared" si="32"/>
        <v>0</v>
      </c>
      <c r="BH33" s="931">
        <f t="shared" si="33"/>
        <v>20829.674512373978</v>
      </c>
      <c r="BI33" s="931">
        <f t="shared" si="8"/>
        <v>0</v>
      </c>
      <c r="BJ33" s="931">
        <f t="shared" si="9"/>
        <v>0</v>
      </c>
      <c r="BK33" s="931">
        <f t="shared" si="34"/>
        <v>20829.674512373978</v>
      </c>
      <c r="BM33" s="931">
        <f t="shared" si="35"/>
        <v>110800.00860222756</v>
      </c>
      <c r="BN33" s="931">
        <f t="shared" si="36"/>
        <v>0</v>
      </c>
      <c r="BO33" s="931">
        <f t="shared" si="37"/>
        <v>0</v>
      </c>
      <c r="BP33" s="931">
        <f t="shared" si="38"/>
        <v>110800.00860222756</v>
      </c>
      <c r="BR33" s="931">
        <f t="shared" si="39"/>
        <v>28933.760231491728</v>
      </c>
      <c r="BS33" s="931">
        <f t="shared" si="40"/>
        <v>0</v>
      </c>
      <c r="BT33" s="931">
        <f t="shared" si="41"/>
        <v>0</v>
      </c>
      <c r="BU33" s="931">
        <f t="shared" si="42"/>
        <v>28933.760231491728</v>
      </c>
      <c r="BW33" s="929">
        <f t="shared" si="49"/>
        <v>25224484.237428762</v>
      </c>
      <c r="BX33" s="929">
        <f t="shared" si="50"/>
        <v>0</v>
      </c>
      <c r="BY33" s="929">
        <f t="shared" si="51"/>
        <v>0</v>
      </c>
      <c r="BZ33" s="929">
        <f t="shared" si="43"/>
        <v>25224484.237428762</v>
      </c>
      <c r="CB33" s="931">
        <f>$AU$49*(A33-2009)-CampusArea!D26</f>
        <v>0</v>
      </c>
      <c r="CC33" s="931">
        <f t="shared" si="10"/>
        <v>0</v>
      </c>
      <c r="CD33" s="931">
        <f t="shared" si="44"/>
        <v>0</v>
      </c>
      <c r="CE33" s="931">
        <f t="shared" si="45"/>
        <v>0</v>
      </c>
      <c r="CG33" s="929">
        <f t="shared" si="52"/>
        <v>0</v>
      </c>
    </row>
    <row r="34" spans="1:85">
      <c r="A34" s="303">
        <v>2025</v>
      </c>
      <c r="B34" s="304">
        <f ca="1">IF($D$3="BAU",UtilityDemand!C27,INDIRECT($D$3&amp;"!B"&amp;ROW(A34))+INDIRECT($D$3&amp;"!D"&amp;ROW(A34)))</f>
        <v>156440.98242924322</v>
      </c>
      <c r="C34" s="305">
        <f t="shared" ca="1" si="11"/>
        <v>-0.14202365093120484</v>
      </c>
      <c r="D34" s="306">
        <f t="shared" si="12"/>
        <v>-22218.319479865586</v>
      </c>
      <c r="E34" s="304">
        <f ca="1">IF($D$3="BAU",UtilityDemand!E27,INDIRECT($D$3&amp;"!E"&amp;ROW(D34))+INDIRECT($D$3&amp;"!G"&amp;ROW(D34)))</f>
        <v>833808.46618363715</v>
      </c>
      <c r="F34" s="305">
        <f t="shared" ca="1" si="13"/>
        <v>-0.14174319479306749</v>
      </c>
      <c r="G34" s="306">
        <f t="shared" si="14"/>
        <v>-118186.67584237611</v>
      </c>
      <c r="H34" s="304">
        <f ca="1">IF($D$3="BAU",UtilityDemand!G27,INDIRECT($D$3&amp;"!H"&amp;ROW(G34))+INDIRECT($D$3&amp;"!J"&amp;ROW(G34)))</f>
        <v>231298.6061736964</v>
      </c>
      <c r="I34" s="305">
        <f t="shared" ca="1" si="15"/>
        <v>-0.13343218141609189</v>
      </c>
      <c r="J34" s="306">
        <f t="shared" si="16"/>
        <v>-30862.677580257852</v>
      </c>
      <c r="K34" s="307">
        <f t="shared" ca="1" si="17"/>
        <v>134222.66294937764</v>
      </c>
      <c r="L34" s="307">
        <f t="shared" si="18"/>
        <v>0</v>
      </c>
      <c r="M34" s="307">
        <v>0</v>
      </c>
      <c r="N34" s="307">
        <f t="shared" ca="1" si="19"/>
        <v>134222.66294937764</v>
      </c>
      <c r="O34" s="1494">
        <f t="shared" ca="1" si="20"/>
        <v>715621.79034126108</v>
      </c>
      <c r="P34" s="306">
        <f t="shared" si="21"/>
        <v>0</v>
      </c>
      <c r="Q34" s="306">
        <v>0</v>
      </c>
      <c r="R34" s="306">
        <f t="shared" ca="1" si="22"/>
        <v>715621.79034126108</v>
      </c>
      <c r="S34" s="818">
        <f t="shared" ca="1" si="23"/>
        <v>200435.92859343856</v>
      </c>
      <c r="T34" s="818">
        <f t="shared" si="24"/>
        <v>0</v>
      </c>
      <c r="U34" s="818">
        <v>0</v>
      </c>
      <c r="V34" s="818">
        <f t="shared" ca="1" si="25"/>
        <v>200435.92859343856</v>
      </c>
      <c r="W34" s="306">
        <f t="shared" si="1"/>
        <v>0</v>
      </c>
      <c r="X34" s="306">
        <f t="shared" ca="1" si="2"/>
        <v>-32184.45887232653</v>
      </c>
      <c r="Y34" s="306">
        <v>0</v>
      </c>
      <c r="Z34" s="306">
        <v>0</v>
      </c>
      <c r="AA34" s="308">
        <f ca="1">-SUM(W34,X34/OFFSET(GridFootprintbyYear,$A34-$A$19,0)*EF_PurchElec_MTperMWh,Z34)*OFFSET(ExposureCalculations!Price_GHG_Allowance_2010,A34-$A$19,0)*ExposureCalculations!D31</f>
        <v>971232.80989693839</v>
      </c>
      <c r="AB34" s="308">
        <f t="shared" ca="1" si="3"/>
        <v>2035265.445741791</v>
      </c>
      <c r="AC34" s="308">
        <v>0</v>
      </c>
      <c r="AD34" s="819">
        <f t="shared" ca="1" si="4"/>
        <v>1409174.9998189029</v>
      </c>
      <c r="AE34" s="308">
        <v>0</v>
      </c>
      <c r="AF34" s="819">
        <f t="shared" ca="1" si="5"/>
        <v>596678.43321831839</v>
      </c>
      <c r="AG34" s="308">
        <v>0</v>
      </c>
      <c r="AH34" s="308">
        <v>0</v>
      </c>
      <c r="AI34" s="308">
        <v>0</v>
      </c>
      <c r="AJ34" s="308">
        <f t="shared" ca="1" si="6"/>
        <v>4041118.8787790122</v>
      </c>
      <c r="AK34" s="911">
        <f t="shared" si="46"/>
        <v>25224484.237428762</v>
      </c>
      <c r="AL34" s="309">
        <f t="shared" si="47"/>
        <v>0</v>
      </c>
      <c r="AM34" s="309">
        <f t="shared" si="26"/>
        <v>25224484.237428762</v>
      </c>
      <c r="AN34" s="310">
        <f t="shared" si="48"/>
        <v>3274858.7535678782</v>
      </c>
      <c r="AO34" s="310">
        <v>0</v>
      </c>
      <c r="AP34" s="310">
        <f t="shared" si="27"/>
        <v>3274858.7535678782</v>
      </c>
      <c r="AQ34" s="309">
        <v>0</v>
      </c>
      <c r="AR34" s="311">
        <f t="shared" ca="1" si="7"/>
        <v>33511694.679672591</v>
      </c>
      <c r="AS34" s="870">
        <f t="shared" ca="1" si="28"/>
        <v>444492196.38958997</v>
      </c>
      <c r="AT34" s="822"/>
      <c r="AU34" s="1255"/>
      <c r="AV34" s="35"/>
      <c r="AW34" s="879"/>
      <c r="AX34" s="35"/>
      <c r="AY34" s="1249"/>
      <c r="BA34" s="945">
        <f>CampusArea!F27</f>
        <v>8135.270840400919</v>
      </c>
      <c r="BB34" s="944">
        <f>BA34-((CampusArea!$N$60/CampusArea!$U$52)*(1+A34-$A$19))</f>
        <v>6982.1515609756098</v>
      </c>
      <c r="BC34" s="945">
        <f t="shared" si="29"/>
        <v>1153.1192794253093</v>
      </c>
      <c r="BD34" s="946">
        <f t="shared" si="30"/>
        <v>1153.1192794253093</v>
      </c>
      <c r="BE34" s="946">
        <f t="shared" si="31"/>
        <v>0</v>
      </c>
      <c r="BF34" s="946">
        <f t="shared" si="32"/>
        <v>0</v>
      </c>
      <c r="BH34" s="931">
        <f t="shared" si="33"/>
        <v>22218.319479865586</v>
      </c>
      <c r="BI34" s="931">
        <f t="shared" si="8"/>
        <v>0</v>
      </c>
      <c r="BJ34" s="931">
        <f t="shared" si="9"/>
        <v>0</v>
      </c>
      <c r="BK34" s="931">
        <f t="shared" si="34"/>
        <v>22218.319479865586</v>
      </c>
      <c r="BM34" s="931">
        <f t="shared" si="35"/>
        <v>118186.67584237611</v>
      </c>
      <c r="BN34" s="931">
        <f t="shared" si="36"/>
        <v>0</v>
      </c>
      <c r="BO34" s="931">
        <f t="shared" si="37"/>
        <v>0</v>
      </c>
      <c r="BP34" s="931">
        <f t="shared" si="38"/>
        <v>118186.67584237611</v>
      </c>
      <c r="BR34" s="931">
        <f t="shared" si="39"/>
        <v>30862.677580257852</v>
      </c>
      <c r="BS34" s="931">
        <f t="shared" si="40"/>
        <v>0</v>
      </c>
      <c r="BT34" s="931">
        <f t="shared" si="41"/>
        <v>0</v>
      </c>
      <c r="BU34" s="931">
        <f t="shared" si="42"/>
        <v>30862.677580257852</v>
      </c>
      <c r="BW34" s="929">
        <f t="shared" si="49"/>
        <v>25224484.237428762</v>
      </c>
      <c r="BX34" s="929">
        <f t="shared" si="50"/>
        <v>0</v>
      </c>
      <c r="BY34" s="929">
        <f t="shared" si="51"/>
        <v>0</v>
      </c>
      <c r="BZ34" s="929">
        <f t="shared" si="43"/>
        <v>25224484.237428762</v>
      </c>
      <c r="CB34" s="931">
        <f>$AU$49*(A34-2009)-CampusArea!D27</f>
        <v>0</v>
      </c>
      <c r="CC34" s="931">
        <f t="shared" si="10"/>
        <v>0</v>
      </c>
      <c r="CD34" s="931">
        <f t="shared" si="44"/>
        <v>0</v>
      </c>
      <c r="CE34" s="931">
        <f t="shared" si="45"/>
        <v>0</v>
      </c>
      <c r="CG34" s="929">
        <f t="shared" si="52"/>
        <v>0</v>
      </c>
    </row>
    <row r="35" spans="1:85">
      <c r="A35" s="303">
        <v>2026</v>
      </c>
      <c r="B35" s="304">
        <f ca="1">IF($D$3="BAU",UtilityDemand!C28,INDIRECT($D$3&amp;"!B"&amp;ROW(A35))+INDIRECT($D$3&amp;"!D"&amp;ROW(A35)))</f>
        <v>158017.60803009526</v>
      </c>
      <c r="C35" s="305">
        <f t="shared" ca="1" si="11"/>
        <v>-0.14939451838089526</v>
      </c>
      <c r="D35" s="306">
        <f t="shared" si="12"/>
        <v>-23606.964447357168</v>
      </c>
      <c r="E35" s="304">
        <f ca="1">IF($D$3="BAU",UtilityDemand!E28,INDIRECT($D$3&amp;"!E"&amp;ROW(D35))+INDIRECT($D$3&amp;"!G"&amp;ROW(D35)))</f>
        <v>842195.06531331246</v>
      </c>
      <c r="F35" s="305">
        <f t="shared" ca="1" si="13"/>
        <v>-0.14910244461692362</v>
      </c>
      <c r="G35" s="306">
        <f t="shared" si="14"/>
        <v>-125573.34308252455</v>
      </c>
      <c r="H35" s="304">
        <f ca="1">IF($D$3="BAU",UtilityDemand!G28,INDIRECT($D$3&amp;"!H"&amp;ROW(G35))+INDIRECT($D$3&amp;"!J"&amp;ROW(G35)))</f>
        <v>234363.14073630009</v>
      </c>
      <c r="I35" s="305">
        <f t="shared" ca="1" si="15"/>
        <v>-0.13991788480902928</v>
      </c>
      <c r="J35" s="306">
        <f t="shared" si="16"/>
        <v>-32791.594929023951</v>
      </c>
      <c r="K35" s="307">
        <f t="shared" ca="1" si="17"/>
        <v>134410.64358273809</v>
      </c>
      <c r="L35" s="307">
        <f t="shared" si="18"/>
        <v>0</v>
      </c>
      <c r="M35" s="307">
        <v>0</v>
      </c>
      <c r="N35" s="307">
        <f t="shared" ca="1" si="19"/>
        <v>134410.64358273809</v>
      </c>
      <c r="O35" s="1494">
        <f t="shared" ca="1" si="20"/>
        <v>716621.72223078785</v>
      </c>
      <c r="P35" s="306">
        <f t="shared" si="21"/>
        <v>0</v>
      </c>
      <c r="Q35" s="306">
        <v>0</v>
      </c>
      <c r="R35" s="306">
        <f t="shared" ca="1" si="22"/>
        <v>716621.72223078785</v>
      </c>
      <c r="S35" s="818">
        <f t="shared" ca="1" si="23"/>
        <v>201571.54580727615</v>
      </c>
      <c r="T35" s="818">
        <f t="shared" si="24"/>
        <v>0</v>
      </c>
      <c r="U35" s="818">
        <v>0</v>
      </c>
      <c r="V35" s="818">
        <f t="shared" ca="1" si="25"/>
        <v>201571.54580727615</v>
      </c>
      <c r="W35" s="306">
        <f t="shared" si="1"/>
        <v>0</v>
      </c>
      <c r="X35" s="306">
        <f t="shared" ca="1" si="2"/>
        <v>-34195.98755184692</v>
      </c>
      <c r="Y35" s="306">
        <v>0</v>
      </c>
      <c r="Z35" s="306">
        <v>0</v>
      </c>
      <c r="AA35" s="308">
        <f ca="1">-SUM(W35,X35/OFFSET(GridFootprintbyYear,$A35-$A$19,0)*EF_PurchElec_MTperMWh,Z35)*OFFSET(ExposureCalculations!Price_GHG_Allowance_2010,A35-$A$19,0)*ExposureCalculations!D32</f>
        <v>1126329.2047873025</v>
      </c>
      <c r="AB35" s="308">
        <f t="shared" ca="1" si="3"/>
        <v>2173281.8837811546</v>
      </c>
      <c r="AC35" s="308">
        <v>0</v>
      </c>
      <c r="AD35" s="819">
        <f t="shared" ca="1" si="4"/>
        <v>1504734.6794941211</v>
      </c>
      <c r="AE35" s="308">
        <v>0</v>
      </c>
      <c r="AF35" s="819">
        <f t="shared" ca="1" si="5"/>
        <v>633970.83529446297</v>
      </c>
      <c r="AG35" s="308">
        <v>0</v>
      </c>
      <c r="AH35" s="308">
        <v>0</v>
      </c>
      <c r="AI35" s="308">
        <v>0</v>
      </c>
      <c r="AJ35" s="308">
        <f t="shared" ca="1" si="6"/>
        <v>4311987.3985697385</v>
      </c>
      <c r="AK35" s="911">
        <f t="shared" si="46"/>
        <v>25224484.237428442</v>
      </c>
      <c r="AL35" s="309">
        <f t="shared" si="47"/>
        <v>0</v>
      </c>
      <c r="AM35" s="309">
        <f t="shared" si="26"/>
        <v>25224484.237428442</v>
      </c>
      <c r="AN35" s="310">
        <f t="shared" si="48"/>
        <v>3479537.4256658689</v>
      </c>
      <c r="AO35" s="310">
        <v>0</v>
      </c>
      <c r="AP35" s="310">
        <f t="shared" si="27"/>
        <v>3479537.4256658689</v>
      </c>
      <c r="AQ35" s="309">
        <v>0</v>
      </c>
      <c r="AR35" s="311">
        <f t="shared" ca="1" si="7"/>
        <v>34142338.266451351</v>
      </c>
      <c r="AS35" s="870">
        <f t="shared" ca="1" si="28"/>
        <v>478634534.65604132</v>
      </c>
      <c r="AT35" s="822"/>
      <c r="AU35" s="878"/>
      <c r="AV35" s="35"/>
      <c r="AW35" s="879"/>
      <c r="AX35" s="35"/>
      <c r="AY35" s="1249"/>
      <c r="BA35" s="945">
        <f>CampusArea!F28</f>
        <v>8217.0968929259761</v>
      </c>
      <c r="BB35" s="944">
        <f>BA35-((CampusArea!$N$60/CampusArea!$U$52)*(1+A35-$A$19))</f>
        <v>6991.9076585365856</v>
      </c>
      <c r="BC35" s="945">
        <f t="shared" si="29"/>
        <v>1225.1892343893905</v>
      </c>
      <c r="BD35" s="946">
        <f t="shared" si="30"/>
        <v>1225.1892343893905</v>
      </c>
      <c r="BE35" s="946">
        <f t="shared" si="31"/>
        <v>0</v>
      </c>
      <c r="BF35" s="946">
        <f t="shared" si="32"/>
        <v>0</v>
      </c>
      <c r="BH35" s="931">
        <f t="shared" si="33"/>
        <v>23606.964447357168</v>
      </c>
      <c r="BI35" s="931">
        <f t="shared" si="8"/>
        <v>0</v>
      </c>
      <c r="BJ35" s="931">
        <f t="shared" si="9"/>
        <v>0</v>
      </c>
      <c r="BK35" s="931">
        <f t="shared" si="34"/>
        <v>23606.964447357168</v>
      </c>
      <c r="BM35" s="931">
        <f t="shared" si="35"/>
        <v>125573.34308252455</v>
      </c>
      <c r="BN35" s="931">
        <f t="shared" si="36"/>
        <v>0</v>
      </c>
      <c r="BO35" s="931">
        <f t="shared" si="37"/>
        <v>0</v>
      </c>
      <c r="BP35" s="931">
        <f t="shared" si="38"/>
        <v>125573.34308252455</v>
      </c>
      <c r="BR35" s="931">
        <f t="shared" si="39"/>
        <v>32791.594929023951</v>
      </c>
      <c r="BS35" s="931">
        <f t="shared" si="40"/>
        <v>0</v>
      </c>
      <c r="BT35" s="931">
        <f t="shared" si="41"/>
        <v>0</v>
      </c>
      <c r="BU35" s="931">
        <f t="shared" si="42"/>
        <v>32791.594929023951</v>
      </c>
      <c r="BW35" s="929">
        <f t="shared" si="49"/>
        <v>25224484.237428442</v>
      </c>
      <c r="BX35" s="929">
        <f t="shared" si="50"/>
        <v>0</v>
      </c>
      <c r="BY35" s="929">
        <f t="shared" si="51"/>
        <v>0</v>
      </c>
      <c r="BZ35" s="929">
        <f t="shared" si="43"/>
        <v>25224484.237428442</v>
      </c>
      <c r="CB35" s="931">
        <f>$AU$49*(A35-2009)-CampusArea!D28</f>
        <v>0</v>
      </c>
      <c r="CC35" s="931">
        <f t="shared" si="10"/>
        <v>0</v>
      </c>
      <c r="CD35" s="931">
        <f t="shared" si="44"/>
        <v>0</v>
      </c>
      <c r="CE35" s="931">
        <f t="shared" si="45"/>
        <v>0</v>
      </c>
      <c r="CG35" s="929">
        <f t="shared" si="52"/>
        <v>0</v>
      </c>
    </row>
    <row r="36" spans="1:85">
      <c r="A36" s="303">
        <v>2027</v>
      </c>
      <c r="B36" s="304">
        <f ca="1">IF($D$3="BAU",UtilityDemand!C29,INDIRECT($D$3&amp;"!B"&amp;ROW(A36))+INDIRECT($D$3&amp;"!D"&amp;ROW(A36)))</f>
        <v>159594.23363094722</v>
      </c>
      <c r="C36" s="305">
        <f t="shared" ca="1" si="11"/>
        <v>-0.15661975277032711</v>
      </c>
      <c r="D36" s="306">
        <f t="shared" si="12"/>
        <v>-24995.609414848775</v>
      </c>
      <c r="E36" s="304">
        <f ca="1">IF($D$3="BAU",UtilityDemand!E29,INDIRECT($D$3&amp;"!E"&amp;ROW(D36))+INDIRECT($D$3&amp;"!G"&amp;ROW(D36)))</f>
        <v>850581.66444298776</v>
      </c>
      <c r="F36" s="305">
        <f t="shared" ca="1" si="13"/>
        <v>-0.15631657238901728</v>
      </c>
      <c r="G36" s="306">
        <f t="shared" si="14"/>
        <v>-132960.0103226731</v>
      </c>
      <c r="H36" s="304">
        <f ca="1">IF($D$3="BAU",UtilityDemand!G29,INDIRECT($D$3&amp;"!H"&amp;ROW(G36))+INDIRECT($D$3&amp;"!J"&amp;ROW(G36)))</f>
        <v>237427.67529890378</v>
      </c>
      <c r="I36" s="305">
        <f t="shared" ca="1" si="15"/>
        <v>-0.14623616321930261</v>
      </c>
      <c r="J36" s="306">
        <f t="shared" si="16"/>
        <v>-34720.512277790076</v>
      </c>
      <c r="K36" s="307">
        <f t="shared" ca="1" si="17"/>
        <v>134598.62421609845</v>
      </c>
      <c r="L36" s="307">
        <f t="shared" si="18"/>
        <v>0</v>
      </c>
      <c r="M36" s="307">
        <v>0</v>
      </c>
      <c r="N36" s="307">
        <f t="shared" ca="1" si="19"/>
        <v>134598.62421609845</v>
      </c>
      <c r="O36" s="1494">
        <f t="shared" ca="1" si="20"/>
        <v>717621.65412031463</v>
      </c>
      <c r="P36" s="306">
        <f t="shared" si="21"/>
        <v>0</v>
      </c>
      <c r="Q36" s="306">
        <v>0</v>
      </c>
      <c r="R36" s="306">
        <f t="shared" ca="1" si="22"/>
        <v>717621.65412031463</v>
      </c>
      <c r="S36" s="818">
        <f t="shared" ca="1" si="23"/>
        <v>202707.16302111369</v>
      </c>
      <c r="T36" s="818">
        <f t="shared" si="24"/>
        <v>0</v>
      </c>
      <c r="U36" s="818">
        <v>0</v>
      </c>
      <c r="V36" s="818">
        <f t="shared" ca="1" si="25"/>
        <v>202707.16302111369</v>
      </c>
      <c r="W36" s="306">
        <f t="shared" si="1"/>
        <v>0</v>
      </c>
      <c r="X36" s="306">
        <f t="shared" ca="1" si="2"/>
        <v>-36207.516231367335</v>
      </c>
      <c r="Y36" s="306">
        <v>0</v>
      </c>
      <c r="Z36" s="306">
        <v>0</v>
      </c>
      <c r="AA36" s="308">
        <f ca="1">-SUM(W36,X36/OFFSET(GridFootprintbyYear,$A36-$A$19,0)*EF_PurchElec_MTperMWh,Z36)*OFFSET(ExposureCalculations!Price_GHG_Allowance_2010,A36-$A$19,0)*ExposureCalculations!D33</f>
        <v>1295633.8046212837</v>
      </c>
      <c r="AB36" s="308">
        <f t="shared" ca="1" si="3"/>
        <v>2312627.6045647701</v>
      </c>
      <c r="AC36" s="308">
        <v>0</v>
      </c>
      <c r="AD36" s="819">
        <f t="shared" ca="1" si="4"/>
        <v>1601214.7265910977</v>
      </c>
      <c r="AE36" s="308">
        <v>0</v>
      </c>
      <c r="AF36" s="819">
        <f t="shared" ca="1" si="5"/>
        <v>671263.23737060814</v>
      </c>
      <c r="AG36" s="308">
        <v>0</v>
      </c>
      <c r="AH36" s="308">
        <v>0</v>
      </c>
      <c r="AI36" s="308">
        <v>0</v>
      </c>
      <c r="AJ36" s="308">
        <f t="shared" ca="1" si="6"/>
        <v>4585105.5685264757</v>
      </c>
      <c r="AK36" s="911">
        <f t="shared" si="46"/>
        <v>25224484.237428762</v>
      </c>
      <c r="AL36" s="309">
        <f t="shared" si="47"/>
        <v>0</v>
      </c>
      <c r="AM36" s="309">
        <f t="shared" si="26"/>
        <v>25224484.237428762</v>
      </c>
      <c r="AN36" s="310">
        <f t="shared" si="48"/>
        <v>3684216.0977638625</v>
      </c>
      <c r="AO36" s="310">
        <v>0</v>
      </c>
      <c r="AP36" s="310">
        <f t="shared" si="27"/>
        <v>3684216.0977638625</v>
      </c>
      <c r="AQ36" s="309">
        <v>0</v>
      </c>
      <c r="AR36" s="311">
        <f t="shared" ca="1" si="7"/>
        <v>34789439.708340384</v>
      </c>
      <c r="AS36" s="870">
        <f t="shared" ca="1" si="28"/>
        <v>513423974.36438173</v>
      </c>
      <c r="AT36" s="822"/>
      <c r="AU36" s="964" t="s">
        <v>1400</v>
      </c>
      <c r="AV36" s="35"/>
      <c r="AW36" s="879"/>
      <c r="AX36" s="35"/>
      <c r="AY36" s="1249"/>
      <c r="BA36" s="945">
        <f>CampusArea!F29</f>
        <v>8298.9229454510332</v>
      </c>
      <c r="BB36" s="944">
        <f>BA36-((CampusArea!$N$60/CampusArea!$U$52)*(1+A36-$A$19))</f>
        <v>7001.6637560975605</v>
      </c>
      <c r="BC36" s="945">
        <f t="shared" si="29"/>
        <v>1297.2591893534727</v>
      </c>
      <c r="BD36" s="946">
        <f t="shared" si="30"/>
        <v>1297.2591893534727</v>
      </c>
      <c r="BE36" s="946">
        <f t="shared" si="31"/>
        <v>0</v>
      </c>
      <c r="BF36" s="946">
        <f t="shared" si="32"/>
        <v>0</v>
      </c>
      <c r="BH36" s="931">
        <f t="shared" si="33"/>
        <v>24995.609414848775</v>
      </c>
      <c r="BI36" s="931">
        <f t="shared" si="8"/>
        <v>0</v>
      </c>
      <c r="BJ36" s="931">
        <f t="shared" si="9"/>
        <v>0</v>
      </c>
      <c r="BK36" s="931">
        <f t="shared" si="34"/>
        <v>24995.609414848775</v>
      </c>
      <c r="BM36" s="931">
        <f t="shared" si="35"/>
        <v>132960.0103226731</v>
      </c>
      <c r="BN36" s="931">
        <f t="shared" si="36"/>
        <v>0</v>
      </c>
      <c r="BO36" s="931">
        <f t="shared" si="37"/>
        <v>0</v>
      </c>
      <c r="BP36" s="931">
        <f t="shared" si="38"/>
        <v>132960.0103226731</v>
      </c>
      <c r="BR36" s="931">
        <f t="shared" si="39"/>
        <v>34720.512277790076</v>
      </c>
      <c r="BS36" s="931">
        <f t="shared" si="40"/>
        <v>0</v>
      </c>
      <c r="BT36" s="931">
        <f t="shared" si="41"/>
        <v>0</v>
      </c>
      <c r="BU36" s="931">
        <f t="shared" si="42"/>
        <v>34720.512277790076</v>
      </c>
      <c r="BW36" s="929">
        <f t="shared" si="49"/>
        <v>25224484.237428762</v>
      </c>
      <c r="BX36" s="929">
        <f t="shared" si="50"/>
        <v>0</v>
      </c>
      <c r="BY36" s="929">
        <f t="shared" si="51"/>
        <v>0</v>
      </c>
      <c r="BZ36" s="929">
        <f t="shared" si="43"/>
        <v>25224484.237428762</v>
      </c>
      <c r="CB36" s="931">
        <f>$AU$49*(A36-2009)-CampusArea!D29</f>
        <v>0</v>
      </c>
      <c r="CC36" s="931">
        <f t="shared" si="10"/>
        <v>0</v>
      </c>
      <c r="CD36" s="931">
        <f t="shared" si="44"/>
        <v>0</v>
      </c>
      <c r="CE36" s="931">
        <f t="shared" si="45"/>
        <v>0</v>
      </c>
      <c r="CG36" s="929">
        <f t="shared" si="52"/>
        <v>0</v>
      </c>
    </row>
    <row r="37" spans="1:85">
      <c r="A37" s="303">
        <v>2028</v>
      </c>
      <c r="B37" s="304">
        <f ca="1">IF($D$3="BAU",UtilityDemand!C30,INDIRECT($D$3&amp;"!B"&amp;ROW(A37))+INDIRECT($D$3&amp;"!D"&amp;ROW(A37)))</f>
        <v>161170.85923179929</v>
      </c>
      <c r="C37" s="305">
        <f t="shared" ca="1" si="11"/>
        <v>-0.16370362798894048</v>
      </c>
      <c r="D37" s="306">
        <f t="shared" si="12"/>
        <v>-26384.254382340361</v>
      </c>
      <c r="E37" s="304">
        <f ca="1">IF($D$3="BAU",UtilityDemand!E30,INDIRECT($D$3&amp;"!E"&amp;ROW(D37))+INDIRECT($D$3&amp;"!G"&amp;ROW(D37)))</f>
        <v>858968.26357266307</v>
      </c>
      <c r="F37" s="305">
        <f t="shared" ca="1" si="13"/>
        <v>-0.16338982883847739</v>
      </c>
      <c r="G37" s="306">
        <f t="shared" si="14"/>
        <v>-140346.67756282154</v>
      </c>
      <c r="H37" s="304">
        <f ca="1">IF($D$3="BAU",UtilityDemand!G30,INDIRECT($D$3&amp;"!H"&amp;ROW(G37))+INDIRECT($D$3&amp;"!J"&amp;ROW(G37)))</f>
        <v>240492.20986150744</v>
      </c>
      <c r="I37" s="305">
        <f t="shared" ca="1" si="15"/>
        <v>-0.15239341701613343</v>
      </c>
      <c r="J37" s="306">
        <f t="shared" si="16"/>
        <v>-36649.429626556179</v>
      </c>
      <c r="K37" s="307">
        <f t="shared" ca="1" si="17"/>
        <v>134786.60484945893</v>
      </c>
      <c r="L37" s="307">
        <f t="shared" si="18"/>
        <v>0</v>
      </c>
      <c r="M37" s="307">
        <v>0</v>
      </c>
      <c r="N37" s="307">
        <f t="shared" ca="1" si="19"/>
        <v>134786.60484945893</v>
      </c>
      <c r="O37" s="1494">
        <f t="shared" ca="1" si="20"/>
        <v>718621.58600984153</v>
      </c>
      <c r="P37" s="306">
        <f t="shared" si="21"/>
        <v>0</v>
      </c>
      <c r="Q37" s="306">
        <v>0</v>
      </c>
      <c r="R37" s="306">
        <f t="shared" ca="1" si="22"/>
        <v>718621.58600984153</v>
      </c>
      <c r="S37" s="818">
        <f t="shared" ca="1" si="23"/>
        <v>203842.78023495126</v>
      </c>
      <c r="T37" s="818">
        <f t="shared" si="24"/>
        <v>0</v>
      </c>
      <c r="U37" s="818">
        <v>0</v>
      </c>
      <c r="V37" s="818">
        <f t="shared" ca="1" si="25"/>
        <v>203842.78023495126</v>
      </c>
      <c r="W37" s="306">
        <f t="shared" si="1"/>
        <v>0</v>
      </c>
      <c r="X37" s="306">
        <f t="shared" ca="1" si="2"/>
        <v>-38219.044910887722</v>
      </c>
      <c r="Y37" s="306">
        <v>0</v>
      </c>
      <c r="Z37" s="306">
        <v>0</v>
      </c>
      <c r="AA37" s="308">
        <f ca="1">-SUM(W37,X37/OFFSET(GridFootprintbyYear,$A37-$A$19,0)*EF_PurchElec_MTperMWh,Z37)*OFFSET(ExposureCalculations!Price_GHG_Allowance_2010,A37-$A$19,0)*ExposureCalculations!D34</f>
        <v>1479504.7558076496</v>
      </c>
      <c r="AB37" s="308">
        <f t="shared" ca="1" si="3"/>
        <v>2453312.4505091254</v>
      </c>
      <c r="AC37" s="308">
        <v>0</v>
      </c>
      <c r="AD37" s="819">
        <f t="shared" ca="1" si="4"/>
        <v>1698621.9557920548</v>
      </c>
      <c r="AE37" s="308">
        <v>0</v>
      </c>
      <c r="AF37" s="819">
        <f t="shared" ca="1" si="5"/>
        <v>708555.63944675273</v>
      </c>
      <c r="AG37" s="308">
        <v>0</v>
      </c>
      <c r="AH37" s="308">
        <v>0</v>
      </c>
      <c r="AI37" s="308">
        <v>0</v>
      </c>
      <c r="AJ37" s="308">
        <f t="shared" ca="1" si="6"/>
        <v>4860490.045747933</v>
      </c>
      <c r="AK37" s="911">
        <f t="shared" si="46"/>
        <v>25224484.237428442</v>
      </c>
      <c r="AL37" s="309">
        <f t="shared" si="47"/>
        <v>0</v>
      </c>
      <c r="AM37" s="309">
        <f t="shared" si="26"/>
        <v>25224484.237428442</v>
      </c>
      <c r="AN37" s="310">
        <f t="shared" si="48"/>
        <v>3888894.7698618532</v>
      </c>
      <c r="AO37" s="310">
        <v>0</v>
      </c>
      <c r="AP37" s="310">
        <f t="shared" si="27"/>
        <v>3888894.7698618532</v>
      </c>
      <c r="AQ37" s="309">
        <v>0</v>
      </c>
      <c r="AR37" s="311">
        <f t="shared" ca="1" si="7"/>
        <v>35453373.808845878</v>
      </c>
      <c r="AS37" s="870">
        <f t="shared" ca="1" si="28"/>
        <v>548877348.17322755</v>
      </c>
      <c r="AT37" s="822"/>
      <c r="AU37" s="1255">
        <f>UtilityDemand!$L$14</f>
        <v>102.4930186765049</v>
      </c>
      <c r="AV37" s="35" t="str">
        <f>AV32</f>
        <v>Generic</v>
      </c>
      <c r="AW37" s="879"/>
      <c r="AX37" s="35"/>
      <c r="AY37" s="1249"/>
      <c r="BA37" s="945">
        <f>CampusArea!F30</f>
        <v>8380.7489979760903</v>
      </c>
      <c r="BB37" s="944">
        <f>BA37-((CampusArea!$N$60/CampusArea!$U$52)*(1+A37-$A$19))</f>
        <v>7011.4198536585363</v>
      </c>
      <c r="BC37" s="945">
        <f t="shared" si="29"/>
        <v>1369.329144317554</v>
      </c>
      <c r="BD37" s="946">
        <f t="shared" si="30"/>
        <v>1369.329144317554</v>
      </c>
      <c r="BE37" s="946">
        <f t="shared" si="31"/>
        <v>0</v>
      </c>
      <c r="BF37" s="946">
        <f t="shared" si="32"/>
        <v>0</v>
      </c>
      <c r="BH37" s="931">
        <f t="shared" si="33"/>
        <v>26384.254382340361</v>
      </c>
      <c r="BI37" s="931">
        <f t="shared" si="8"/>
        <v>0</v>
      </c>
      <c r="BJ37" s="931">
        <f t="shared" si="9"/>
        <v>0</v>
      </c>
      <c r="BK37" s="931">
        <f t="shared" si="34"/>
        <v>26384.254382340361</v>
      </c>
      <c r="BM37" s="931">
        <f t="shared" si="35"/>
        <v>140346.67756282154</v>
      </c>
      <c r="BN37" s="931">
        <f t="shared" si="36"/>
        <v>0</v>
      </c>
      <c r="BO37" s="931">
        <f t="shared" si="37"/>
        <v>0</v>
      </c>
      <c r="BP37" s="931">
        <f t="shared" si="38"/>
        <v>140346.67756282154</v>
      </c>
      <c r="BR37" s="931">
        <f t="shared" si="39"/>
        <v>36649.429626556179</v>
      </c>
      <c r="BS37" s="931">
        <f t="shared" si="40"/>
        <v>0</v>
      </c>
      <c r="BT37" s="931">
        <f t="shared" si="41"/>
        <v>0</v>
      </c>
      <c r="BU37" s="931">
        <f t="shared" si="42"/>
        <v>36649.429626556179</v>
      </c>
      <c r="BW37" s="929">
        <f t="shared" si="49"/>
        <v>25224484.237428442</v>
      </c>
      <c r="BX37" s="929">
        <f t="shared" si="50"/>
        <v>0</v>
      </c>
      <c r="BY37" s="929">
        <f t="shared" si="51"/>
        <v>0</v>
      </c>
      <c r="BZ37" s="929">
        <f t="shared" si="43"/>
        <v>25224484.237428442</v>
      </c>
      <c r="CB37" s="931">
        <f>$AU$49*(A37-2009)-CampusArea!D30</f>
        <v>0</v>
      </c>
      <c r="CC37" s="931">
        <f t="shared" si="10"/>
        <v>0</v>
      </c>
      <c r="CD37" s="931">
        <f t="shared" si="44"/>
        <v>0</v>
      </c>
      <c r="CE37" s="931">
        <f t="shared" si="45"/>
        <v>0</v>
      </c>
      <c r="CG37" s="929">
        <f t="shared" si="52"/>
        <v>0</v>
      </c>
    </row>
    <row r="38" spans="1:85">
      <c r="A38" s="303">
        <v>2029</v>
      </c>
      <c r="B38" s="304">
        <f ca="1">IF($D$3="BAU",UtilityDemand!C31,INDIRECT($D$3&amp;"!B"&amp;ROW(A38))+INDIRECT($D$3&amp;"!D"&amp;ROW(A38)))</f>
        <v>162747.48483265133</v>
      </c>
      <c r="C38" s="305">
        <f t="shared" ca="1" si="11"/>
        <v>-0.17065025231197925</v>
      </c>
      <c r="D38" s="306">
        <f t="shared" si="12"/>
        <v>-27772.899349831965</v>
      </c>
      <c r="E38" s="304">
        <f ca="1">IF($D$3="BAU",UtilityDemand!E31,INDIRECT($D$3&amp;"!E"&amp;ROW(D38))+INDIRECT($D$3&amp;"!G"&amp;ROW(D38)))</f>
        <v>867354.86270233872</v>
      </c>
      <c r="F38" s="305">
        <f t="shared" ca="1" si="13"/>
        <v>-0.17032630029039178</v>
      </c>
      <c r="G38" s="306">
        <f t="shared" si="14"/>
        <v>-147733.34480297007</v>
      </c>
      <c r="H38" s="304">
        <f ca="1">IF($D$3="BAU",UtilityDemand!G31,INDIRECT($D$3&amp;"!H"&amp;ROW(G38))+INDIRECT($D$3&amp;"!J"&amp;ROW(G38)))</f>
        <v>243556.74442411118</v>
      </c>
      <c r="I38" s="305">
        <f t="shared" ca="1" si="15"/>
        <v>-0.15839572444007097</v>
      </c>
      <c r="J38" s="306">
        <f t="shared" si="16"/>
        <v>-38578.346975322303</v>
      </c>
      <c r="K38" s="307">
        <f t="shared" ca="1" si="17"/>
        <v>134974.58548281936</v>
      </c>
      <c r="L38" s="307">
        <f t="shared" si="18"/>
        <v>0</v>
      </c>
      <c r="M38" s="307">
        <v>0</v>
      </c>
      <c r="N38" s="307">
        <f t="shared" ca="1" si="19"/>
        <v>134974.58548281936</v>
      </c>
      <c r="O38" s="1494">
        <f t="shared" ca="1" si="20"/>
        <v>719621.51789936866</v>
      </c>
      <c r="P38" s="306">
        <f t="shared" si="21"/>
        <v>0</v>
      </c>
      <c r="Q38" s="306">
        <v>0</v>
      </c>
      <c r="R38" s="306">
        <f t="shared" ca="1" si="22"/>
        <v>719621.51789936866</v>
      </c>
      <c r="S38" s="818">
        <f t="shared" ca="1" si="23"/>
        <v>204978.39744878886</v>
      </c>
      <c r="T38" s="818">
        <f t="shared" si="24"/>
        <v>0</v>
      </c>
      <c r="U38" s="818">
        <v>0</v>
      </c>
      <c r="V38" s="818">
        <f t="shared" ca="1" si="25"/>
        <v>204978.39744878886</v>
      </c>
      <c r="W38" s="306">
        <f t="shared" si="1"/>
        <v>0</v>
      </c>
      <c r="X38" s="306">
        <f t="shared" ca="1" si="2"/>
        <v>-40230.573590408145</v>
      </c>
      <c r="Y38" s="306">
        <v>0</v>
      </c>
      <c r="Z38" s="306">
        <v>0</v>
      </c>
      <c r="AA38" s="308">
        <f ca="1">-SUM(W38,X38/OFFSET(GridFootprintbyYear,$A38-$A$19,0)*EF_PurchElec_MTperMWh,Z38)*OFFSET(ExposureCalculations!Price_GHG_Allowance_2010,A38-$A$19,0)*ExposureCalculations!D35</f>
        <v>1678267.6250978755</v>
      </c>
      <c r="AB38" s="308">
        <f t="shared" ca="1" si="3"/>
        <v>2595346.3292228119</v>
      </c>
      <c r="AC38" s="308">
        <v>0</v>
      </c>
      <c r="AD38" s="819">
        <f t="shared" ca="1" si="4"/>
        <v>1796963.2269168582</v>
      </c>
      <c r="AE38" s="308">
        <v>0</v>
      </c>
      <c r="AF38" s="819">
        <f t="shared" ca="1" si="5"/>
        <v>745848.04152289778</v>
      </c>
      <c r="AG38" s="308">
        <v>0</v>
      </c>
      <c r="AH38" s="308">
        <v>0</v>
      </c>
      <c r="AI38" s="308">
        <v>0</v>
      </c>
      <c r="AJ38" s="308">
        <f t="shared" ca="1" si="6"/>
        <v>5138157.5976625681</v>
      </c>
      <c r="AK38" s="911">
        <f t="shared" si="46"/>
        <v>25224484.237428762</v>
      </c>
      <c r="AL38" s="309">
        <f t="shared" si="47"/>
        <v>0</v>
      </c>
      <c r="AM38" s="309">
        <f t="shared" si="26"/>
        <v>25224484.237428762</v>
      </c>
      <c r="AN38" s="310">
        <f t="shared" si="48"/>
        <v>4093573.4419598468</v>
      </c>
      <c r="AO38" s="310">
        <v>0</v>
      </c>
      <c r="AP38" s="310">
        <f t="shared" si="27"/>
        <v>4093573.4419598468</v>
      </c>
      <c r="AQ38" s="309">
        <v>0</v>
      </c>
      <c r="AR38" s="311">
        <f t="shared" ca="1" si="7"/>
        <v>36134482.902149051</v>
      </c>
      <c r="AS38" s="870">
        <f t="shared" ca="1" si="28"/>
        <v>585011831.07537663</v>
      </c>
      <c r="AT38" s="822"/>
      <c r="AU38" s="1255"/>
      <c r="AV38" s="35"/>
      <c r="AW38" s="879"/>
      <c r="AX38" s="35"/>
      <c r="AY38" s="1249"/>
      <c r="BA38" s="945">
        <f>CampusArea!F31</f>
        <v>8462.5750505011492</v>
      </c>
      <c r="BB38" s="944">
        <f>BA38-((CampusArea!$N$60/CampusArea!$U$52)*(1+A38-$A$19))</f>
        <v>7021.1759512195131</v>
      </c>
      <c r="BC38" s="945">
        <f t="shared" si="29"/>
        <v>1441.3990992816362</v>
      </c>
      <c r="BD38" s="946">
        <f t="shared" si="30"/>
        <v>1441.3990992816362</v>
      </c>
      <c r="BE38" s="946">
        <f t="shared" si="31"/>
        <v>0</v>
      </c>
      <c r="BF38" s="946">
        <f t="shared" si="32"/>
        <v>0</v>
      </c>
      <c r="BH38" s="931">
        <f t="shared" si="33"/>
        <v>27772.899349831965</v>
      </c>
      <c r="BI38" s="931">
        <f t="shared" si="8"/>
        <v>0</v>
      </c>
      <c r="BJ38" s="931">
        <f t="shared" si="9"/>
        <v>0</v>
      </c>
      <c r="BK38" s="931">
        <f t="shared" si="34"/>
        <v>27772.899349831965</v>
      </c>
      <c r="BM38" s="931">
        <f t="shared" si="35"/>
        <v>147733.34480297007</v>
      </c>
      <c r="BN38" s="931">
        <f t="shared" si="36"/>
        <v>0</v>
      </c>
      <c r="BO38" s="931">
        <f t="shared" si="37"/>
        <v>0</v>
      </c>
      <c r="BP38" s="931">
        <f t="shared" si="38"/>
        <v>147733.34480297007</v>
      </c>
      <c r="BR38" s="931">
        <f t="shared" si="39"/>
        <v>38578.346975322303</v>
      </c>
      <c r="BS38" s="931">
        <f t="shared" si="40"/>
        <v>0</v>
      </c>
      <c r="BT38" s="931">
        <f t="shared" si="41"/>
        <v>0</v>
      </c>
      <c r="BU38" s="931">
        <f t="shared" si="42"/>
        <v>38578.346975322303</v>
      </c>
      <c r="BW38" s="929">
        <f t="shared" si="49"/>
        <v>25224484.237428762</v>
      </c>
      <c r="BX38" s="929">
        <f t="shared" si="50"/>
        <v>0</v>
      </c>
      <c r="BY38" s="929">
        <f t="shared" si="51"/>
        <v>0</v>
      </c>
      <c r="BZ38" s="929">
        <f t="shared" si="43"/>
        <v>25224484.237428762</v>
      </c>
      <c r="CB38" s="931">
        <f>$AU$49*(A38-2009)-CampusArea!D31</f>
        <v>0</v>
      </c>
      <c r="CC38" s="931">
        <f t="shared" si="10"/>
        <v>0</v>
      </c>
      <c r="CD38" s="931">
        <f t="shared" si="44"/>
        <v>0</v>
      </c>
      <c r="CE38" s="931">
        <f t="shared" si="45"/>
        <v>0</v>
      </c>
      <c r="CG38" s="929">
        <f t="shared" si="52"/>
        <v>0</v>
      </c>
    </row>
    <row r="39" spans="1:85">
      <c r="A39" s="303">
        <v>2030</v>
      </c>
      <c r="B39" s="304">
        <f ca="1">IF($D$3="BAU",UtilityDemand!C32,INDIRECT($D$3&amp;"!B"&amp;ROW(A39))+INDIRECT($D$3&amp;"!D"&amp;ROW(A39)))</f>
        <v>164324.11043350337</v>
      </c>
      <c r="C39" s="305">
        <f t="shared" ca="1" si="11"/>
        <v>-0.17746357634550705</v>
      </c>
      <c r="D39" s="306">
        <f t="shared" si="12"/>
        <v>-29161.544317323558</v>
      </c>
      <c r="E39" s="304">
        <f ca="1">IF($D$3="BAU",UtilityDemand!E32,INDIRECT($D$3&amp;"!E"&amp;ROW(D39))+INDIRECT($D$3&amp;"!G"&amp;ROW(D39)))</f>
        <v>875741.46183201415</v>
      </c>
      <c r="F39" s="305">
        <f t="shared" ca="1" si="13"/>
        <v>-0.17712991653794036</v>
      </c>
      <c r="G39" s="306">
        <f t="shared" si="14"/>
        <v>-155120.01204311854</v>
      </c>
      <c r="H39" s="304">
        <f ca="1">IF($D$3="BAU",UtilityDemand!G32,INDIRECT($D$3&amp;"!H"&amp;ROW(G39))+INDIRECT($D$3&amp;"!J"&amp;ROW(G39)))</f>
        <v>246621.27898671487</v>
      </c>
      <c r="I39" s="305">
        <f t="shared" ca="1" si="15"/>
        <v>-0.16424886161696725</v>
      </c>
      <c r="J39" s="306">
        <f t="shared" si="16"/>
        <v>-40507.264324088406</v>
      </c>
      <c r="K39" s="307">
        <f t="shared" ca="1" si="17"/>
        <v>135162.56611617981</v>
      </c>
      <c r="L39" s="307">
        <f t="shared" si="18"/>
        <v>0</v>
      </c>
      <c r="M39" s="307">
        <v>0</v>
      </c>
      <c r="N39" s="307">
        <f t="shared" ca="1" si="19"/>
        <v>135162.56611617981</v>
      </c>
      <c r="O39" s="1494">
        <f t="shared" ca="1" si="20"/>
        <v>720621.44978889567</v>
      </c>
      <c r="P39" s="306">
        <f t="shared" si="21"/>
        <v>0</v>
      </c>
      <c r="Q39" s="306">
        <v>0</v>
      </c>
      <c r="R39" s="306">
        <f t="shared" ca="1" si="22"/>
        <v>720621.44978889567</v>
      </c>
      <c r="S39" s="818">
        <f t="shared" ca="1" si="23"/>
        <v>206114.01466262646</v>
      </c>
      <c r="T39" s="818">
        <f t="shared" si="24"/>
        <v>0</v>
      </c>
      <c r="U39" s="818">
        <v>0</v>
      </c>
      <c r="V39" s="818">
        <f t="shared" ca="1" si="25"/>
        <v>206114.01466262646</v>
      </c>
      <c r="W39" s="306">
        <f t="shared" si="1"/>
        <v>0</v>
      </c>
      <c r="X39" s="306">
        <f t="shared" ca="1" si="2"/>
        <v>-42242.102269928539</v>
      </c>
      <c r="Y39" s="306">
        <v>0</v>
      </c>
      <c r="Z39" s="306">
        <v>0</v>
      </c>
      <c r="AA39" s="308">
        <f ca="1">-SUM(W39,X39/OFFSET(GridFootprintbyYear,$A39-$A$19,0)*EF_PurchElec_MTperMWh,Z39)*OFFSET(ExposureCalculations!Price_GHG_Allowance_2010,A39-$A$19,0)*ExposureCalculations!D36</f>
        <v>1892215.6061981767</v>
      </c>
      <c r="AB39" s="308">
        <f t="shared" ca="1" si="3"/>
        <v>2738739.2139123715</v>
      </c>
      <c r="AC39" s="308">
        <v>0</v>
      </c>
      <c r="AD39" s="819">
        <f t="shared" ca="1" si="4"/>
        <v>1896245.445204014</v>
      </c>
      <c r="AE39" s="308">
        <v>0</v>
      </c>
      <c r="AF39" s="819">
        <f t="shared" ca="1" si="5"/>
        <v>783140.44359904248</v>
      </c>
      <c r="AG39" s="308">
        <v>0</v>
      </c>
      <c r="AH39" s="308">
        <v>0</v>
      </c>
      <c r="AI39" s="308">
        <v>0</v>
      </c>
      <c r="AJ39" s="308">
        <f t="shared" ca="1" si="6"/>
        <v>5418125.102715428</v>
      </c>
      <c r="AK39" s="911">
        <f t="shared" si="46"/>
        <v>25224484.237428442</v>
      </c>
      <c r="AL39" s="309">
        <f t="shared" si="47"/>
        <v>0</v>
      </c>
      <c r="AM39" s="309">
        <f t="shared" si="26"/>
        <v>25224484.237428442</v>
      </c>
      <c r="AN39" s="310">
        <f t="shared" si="48"/>
        <v>4298252.1140578371</v>
      </c>
      <c r="AO39" s="310">
        <v>0</v>
      </c>
      <c r="AP39" s="310">
        <f t="shared" si="27"/>
        <v>4298252.1140578371</v>
      </c>
      <c r="AQ39" s="309">
        <v>0</v>
      </c>
      <c r="AR39" s="311">
        <f t="shared" ca="1" si="7"/>
        <v>36833077.060399882</v>
      </c>
      <c r="AS39" s="870">
        <f t="shared" ca="1" si="28"/>
        <v>621844908.13577652</v>
      </c>
      <c r="AT39" s="822"/>
      <c r="AU39" s="1255"/>
      <c r="AV39" s="35"/>
      <c r="AW39" s="879"/>
      <c r="AX39" s="35"/>
      <c r="AY39" s="1249"/>
      <c r="BA39" s="945">
        <f>CampusArea!F32</f>
        <v>8544.4011030262063</v>
      </c>
      <c r="BB39" s="944">
        <f>BA39-((CampusArea!$N$60/CampusArea!$U$52)*(1+A39-$A$19))</f>
        <v>7030.9320487804889</v>
      </c>
      <c r="BC39" s="945">
        <f t="shared" si="29"/>
        <v>1513.4690542457174</v>
      </c>
      <c r="BD39" s="946">
        <f t="shared" si="30"/>
        <v>1513.4690542457174</v>
      </c>
      <c r="BE39" s="946">
        <f t="shared" si="31"/>
        <v>0</v>
      </c>
      <c r="BF39" s="946">
        <f t="shared" si="32"/>
        <v>0</v>
      </c>
      <c r="BH39" s="931">
        <f t="shared" si="33"/>
        <v>29161.544317323558</v>
      </c>
      <c r="BI39" s="931">
        <f t="shared" si="8"/>
        <v>0</v>
      </c>
      <c r="BJ39" s="931">
        <f t="shared" si="9"/>
        <v>0</v>
      </c>
      <c r="BK39" s="931">
        <f t="shared" si="34"/>
        <v>29161.544317323558</v>
      </c>
      <c r="BM39" s="931">
        <f t="shared" si="35"/>
        <v>155120.01204311854</v>
      </c>
      <c r="BN39" s="931">
        <f t="shared" si="36"/>
        <v>0</v>
      </c>
      <c r="BO39" s="931">
        <f t="shared" si="37"/>
        <v>0</v>
      </c>
      <c r="BP39" s="931">
        <f t="shared" si="38"/>
        <v>155120.01204311854</v>
      </c>
      <c r="BR39" s="931">
        <f t="shared" si="39"/>
        <v>40507.264324088406</v>
      </c>
      <c r="BS39" s="931">
        <f t="shared" si="40"/>
        <v>0</v>
      </c>
      <c r="BT39" s="931">
        <f t="shared" si="41"/>
        <v>0</v>
      </c>
      <c r="BU39" s="931">
        <f t="shared" si="42"/>
        <v>40507.264324088406</v>
      </c>
      <c r="BW39" s="929">
        <f t="shared" si="49"/>
        <v>25224484.237428442</v>
      </c>
      <c r="BX39" s="929">
        <f t="shared" si="50"/>
        <v>0</v>
      </c>
      <c r="BY39" s="929">
        <f t="shared" si="51"/>
        <v>0</v>
      </c>
      <c r="BZ39" s="929">
        <f t="shared" si="43"/>
        <v>25224484.237428442</v>
      </c>
      <c r="CB39" s="931">
        <f>$AU$49*(A39-2009)-CampusArea!D32</f>
        <v>0</v>
      </c>
      <c r="CC39" s="931">
        <f t="shared" si="10"/>
        <v>0</v>
      </c>
      <c r="CD39" s="931">
        <f t="shared" si="44"/>
        <v>0</v>
      </c>
      <c r="CE39" s="931">
        <f t="shared" si="45"/>
        <v>0</v>
      </c>
      <c r="CG39" s="929">
        <f t="shared" si="52"/>
        <v>0</v>
      </c>
    </row>
    <row r="40" spans="1:85">
      <c r="A40" s="303">
        <v>2031</v>
      </c>
      <c r="B40" s="304">
        <f ca="1">IF($D$3="BAU",UtilityDemand!C33,INDIRECT($D$3&amp;"!B"&amp;ROW(A40))+INDIRECT($D$3&amp;"!D"&amp;ROW(A40)))</f>
        <v>165900.73603435536</v>
      </c>
      <c r="C40" s="305">
        <f t="shared" ca="1" si="11"/>
        <v>-0.1841474005183962</v>
      </c>
      <c r="D40" s="306">
        <f t="shared" si="12"/>
        <v>-30550.189284815162</v>
      </c>
      <c r="E40" s="304">
        <f ca="1">IF($D$3="BAU",UtilityDemand!E33,INDIRECT($D$3&amp;"!E"&amp;ROW(D40))+INDIRECT($D$3&amp;"!G"&amp;ROW(D40)))</f>
        <v>884128.06096168945</v>
      </c>
      <c r="F40" s="305">
        <f t="shared" ca="1" si="13"/>
        <v>-0.18380445826649169</v>
      </c>
      <c r="G40" s="306">
        <f t="shared" si="14"/>
        <v>-162506.67928326706</v>
      </c>
      <c r="H40" s="304">
        <f ca="1">IF($D$3="BAU",UtilityDemand!G33,INDIRECT($D$3&amp;"!H"&amp;ROW(G40))+INDIRECT($D$3&amp;"!J"&amp;ROW(G40)))</f>
        <v>249685.81354931853</v>
      </c>
      <c r="I40" s="305">
        <f t="shared" ca="1" si="15"/>
        <v>-0.1699583210980965</v>
      </c>
      <c r="J40" s="306">
        <f t="shared" si="16"/>
        <v>-42436.181672854531</v>
      </c>
      <c r="K40" s="307">
        <f t="shared" ca="1" si="17"/>
        <v>135350.5467495402</v>
      </c>
      <c r="L40" s="307">
        <f t="shared" si="18"/>
        <v>0</v>
      </c>
      <c r="M40" s="307">
        <v>0</v>
      </c>
      <c r="N40" s="307">
        <f t="shared" ca="1" si="19"/>
        <v>135350.5467495402</v>
      </c>
      <c r="O40" s="1494">
        <f t="shared" ca="1" si="20"/>
        <v>721621.38167842245</v>
      </c>
      <c r="P40" s="306">
        <f t="shared" si="21"/>
        <v>0</v>
      </c>
      <c r="Q40" s="306">
        <v>0</v>
      </c>
      <c r="R40" s="306">
        <f t="shared" ca="1" si="22"/>
        <v>721621.38167842245</v>
      </c>
      <c r="S40" s="818">
        <f t="shared" ca="1" si="23"/>
        <v>207249.631876464</v>
      </c>
      <c r="T40" s="818">
        <f t="shared" si="24"/>
        <v>0</v>
      </c>
      <c r="U40" s="818">
        <v>0</v>
      </c>
      <c r="V40" s="818">
        <f t="shared" ca="1" si="25"/>
        <v>207249.631876464</v>
      </c>
      <c r="W40" s="306">
        <f t="shared" si="1"/>
        <v>0</v>
      </c>
      <c r="X40" s="306">
        <f t="shared" ca="1" si="2"/>
        <v>-44253.630949448947</v>
      </c>
      <c r="Y40" s="306">
        <v>0</v>
      </c>
      <c r="Z40" s="306">
        <v>0</v>
      </c>
      <c r="AA40" s="308">
        <f ca="1">-SUM(W40,X40/OFFSET(GridFootprintbyYear,$A40-$A$19,0)*EF_PurchElec_MTperMWh,Z40)*OFFSET(ExposureCalculations!Price_GHG_Allowance_2010,A40-$A$19,0)*ExposureCalculations!D37</f>
        <v>2138313.8061876986</v>
      </c>
      <c r="AB40" s="308">
        <f t="shared" ca="1" si="3"/>
        <v>2883501.1437905962</v>
      </c>
      <c r="AC40" s="308">
        <v>0</v>
      </c>
      <c r="AD40" s="819">
        <f t="shared" ca="1" si="4"/>
        <v>1996475.5615933686</v>
      </c>
      <c r="AE40" s="308">
        <v>0</v>
      </c>
      <c r="AF40" s="819">
        <f t="shared" ca="1" si="5"/>
        <v>820432.84567518753</v>
      </c>
      <c r="AG40" s="308">
        <v>0</v>
      </c>
      <c r="AH40" s="308">
        <v>0</v>
      </c>
      <c r="AI40" s="308">
        <v>0</v>
      </c>
      <c r="AJ40" s="308">
        <f t="shared" ca="1" si="6"/>
        <v>5700409.551059152</v>
      </c>
      <c r="AK40" s="911">
        <f t="shared" si="46"/>
        <v>25224484.237428762</v>
      </c>
      <c r="AL40" s="309">
        <f t="shared" si="47"/>
        <v>0</v>
      </c>
      <c r="AM40" s="309">
        <f t="shared" si="26"/>
        <v>25224484.237428762</v>
      </c>
      <c r="AN40" s="310">
        <f t="shared" si="48"/>
        <v>4502930.7861558311</v>
      </c>
      <c r="AO40" s="310">
        <v>0</v>
      </c>
      <c r="AP40" s="310">
        <f t="shared" si="27"/>
        <v>4502930.7861558311</v>
      </c>
      <c r="AQ40" s="309">
        <v>0</v>
      </c>
      <c r="AR40" s="311">
        <f t="shared" ca="1" si="7"/>
        <v>37566138.380831443</v>
      </c>
      <c r="AS40" s="870">
        <f t="shared" ca="1" si="28"/>
        <v>659411046.516608</v>
      </c>
      <c r="AT40" s="822"/>
      <c r="AU40" s="878"/>
      <c r="AV40" s="35"/>
      <c r="AW40" s="879"/>
      <c r="AX40" s="35"/>
      <c r="AY40" s="1249"/>
      <c r="BA40" s="945">
        <f>CampusArea!F33</f>
        <v>8626.2271555512634</v>
      </c>
      <c r="BB40" s="944">
        <f>BA40-((CampusArea!$N$60/CampusArea!$U$52)*(1+A40-$A$19))</f>
        <v>7040.6881463414638</v>
      </c>
      <c r="BC40" s="945">
        <f t="shared" si="29"/>
        <v>1585.5390092097996</v>
      </c>
      <c r="BD40" s="946">
        <f t="shared" si="30"/>
        <v>1585.5390092097996</v>
      </c>
      <c r="BE40" s="946">
        <f t="shared" si="31"/>
        <v>0</v>
      </c>
      <c r="BF40" s="946">
        <f t="shared" si="32"/>
        <v>0</v>
      </c>
      <c r="BH40" s="931">
        <f t="shared" si="33"/>
        <v>30550.189284815162</v>
      </c>
      <c r="BI40" s="931">
        <f t="shared" si="8"/>
        <v>0</v>
      </c>
      <c r="BJ40" s="931">
        <f t="shared" si="9"/>
        <v>0</v>
      </c>
      <c r="BK40" s="931">
        <f t="shared" si="34"/>
        <v>30550.189284815162</v>
      </c>
      <c r="BM40" s="931">
        <f t="shared" si="35"/>
        <v>162506.67928326706</v>
      </c>
      <c r="BN40" s="931">
        <f t="shared" si="36"/>
        <v>0</v>
      </c>
      <c r="BO40" s="931">
        <f t="shared" si="37"/>
        <v>0</v>
      </c>
      <c r="BP40" s="931">
        <f t="shared" si="38"/>
        <v>162506.67928326706</v>
      </c>
      <c r="BR40" s="931">
        <f t="shared" si="39"/>
        <v>42436.181672854531</v>
      </c>
      <c r="BS40" s="931">
        <f t="shared" si="40"/>
        <v>0</v>
      </c>
      <c r="BT40" s="931">
        <f t="shared" si="41"/>
        <v>0</v>
      </c>
      <c r="BU40" s="931">
        <f t="shared" si="42"/>
        <v>42436.181672854531</v>
      </c>
      <c r="BW40" s="929">
        <f t="shared" si="49"/>
        <v>25224484.237428762</v>
      </c>
      <c r="BX40" s="929">
        <f t="shared" si="50"/>
        <v>0</v>
      </c>
      <c r="BY40" s="929">
        <f t="shared" si="51"/>
        <v>0</v>
      </c>
      <c r="BZ40" s="929">
        <f t="shared" si="43"/>
        <v>25224484.237428762</v>
      </c>
      <c r="CB40" s="931">
        <f>$AU$49*(A40-2009)-CampusArea!D33</f>
        <v>0</v>
      </c>
      <c r="CC40" s="931">
        <f t="shared" si="10"/>
        <v>0</v>
      </c>
      <c r="CD40" s="931">
        <f t="shared" si="44"/>
        <v>0</v>
      </c>
      <c r="CE40" s="931">
        <f t="shared" si="45"/>
        <v>0</v>
      </c>
      <c r="CG40" s="929">
        <f t="shared" si="52"/>
        <v>0</v>
      </c>
    </row>
    <row r="41" spans="1:85">
      <c r="A41" s="303">
        <v>2032</v>
      </c>
      <c r="B41" s="304">
        <f ca="1">IF($D$3="BAU",UtilityDemand!C34,INDIRECT($D$3&amp;"!B"&amp;ROW(A41))+INDIRECT($D$3&amp;"!D"&amp;ROW(A41)))</f>
        <v>167477.3616352074</v>
      </c>
      <c r="C41" s="305">
        <f t="shared" ca="1" si="11"/>
        <v>-0.19070538215113922</v>
      </c>
      <c r="D41" s="306">
        <f t="shared" si="12"/>
        <v>-31938.834252306769</v>
      </c>
      <c r="E41" s="304">
        <f ca="1">IF($D$3="BAU",UtilityDemand!E34,INDIRECT($D$3&amp;"!E"&amp;ROW(D41))+INDIRECT($D$3&amp;"!G"&amp;ROW(D41)))</f>
        <v>892514.66009136476</v>
      </c>
      <c r="F41" s="305">
        <f t="shared" ca="1" si="13"/>
        <v>-0.19035356405913154</v>
      </c>
      <c r="G41" s="306">
        <f t="shared" si="14"/>
        <v>-169893.34652341562</v>
      </c>
      <c r="H41" s="304">
        <f ca="1">IF($D$3="BAU",UtilityDemand!G34,INDIRECT($D$3&amp;"!H"&amp;ROW(G41))+INDIRECT($D$3&amp;"!J"&amp;ROW(G41)))</f>
        <v>252750.34811192221</v>
      </c>
      <c r="I41" s="305">
        <f t="shared" ca="1" si="15"/>
        <v>-0.17552932905150748</v>
      </c>
      <c r="J41" s="306">
        <f t="shared" si="16"/>
        <v>-44365.099021620656</v>
      </c>
      <c r="K41" s="307">
        <f t="shared" ca="1" si="17"/>
        <v>135538.52738290065</v>
      </c>
      <c r="L41" s="307">
        <f t="shared" si="18"/>
        <v>0</v>
      </c>
      <c r="M41" s="307">
        <v>0</v>
      </c>
      <c r="N41" s="307">
        <f t="shared" ca="1" si="19"/>
        <v>135538.52738290065</v>
      </c>
      <c r="O41" s="1494">
        <f t="shared" ca="1" si="20"/>
        <v>722621.31356794911</v>
      </c>
      <c r="P41" s="306">
        <f t="shared" si="21"/>
        <v>0</v>
      </c>
      <c r="Q41" s="306">
        <v>0</v>
      </c>
      <c r="R41" s="306">
        <f t="shared" ca="1" si="22"/>
        <v>722621.31356794911</v>
      </c>
      <c r="S41" s="818">
        <f t="shared" ca="1" si="23"/>
        <v>208385.24909030157</v>
      </c>
      <c r="T41" s="818">
        <f t="shared" si="24"/>
        <v>0</v>
      </c>
      <c r="U41" s="818">
        <v>0</v>
      </c>
      <c r="V41" s="818">
        <f t="shared" ca="1" si="25"/>
        <v>208385.24909030157</v>
      </c>
      <c r="W41" s="306">
        <f t="shared" si="1"/>
        <v>0</v>
      </c>
      <c r="X41" s="306">
        <f t="shared" ca="1" si="2"/>
        <v>-46265.15962896937</v>
      </c>
      <c r="Y41" s="306">
        <v>0</v>
      </c>
      <c r="Z41" s="306">
        <v>0</v>
      </c>
      <c r="AA41" s="308">
        <f ca="1">-SUM(W41,X41/OFFSET(GridFootprintbyYear,$A41-$A$19,0)*EF_PurchElec_MTperMWh,Z41)*OFFSET(ExposureCalculations!Price_GHG_Allowance_2010,A41-$A$19,0)*ExposureCalculations!D38</f>
        <v>2402585.3162595769</v>
      </c>
      <c r="AB41" s="308">
        <f t="shared" ca="1" si="3"/>
        <v>3029642.2244872567</v>
      </c>
      <c r="AC41" s="308">
        <v>0</v>
      </c>
      <c r="AD41" s="819">
        <f t="shared" ca="1" si="4"/>
        <v>2097660.5730104875</v>
      </c>
      <c r="AE41" s="308">
        <v>0</v>
      </c>
      <c r="AF41" s="819">
        <f t="shared" ca="1" si="5"/>
        <v>857725.24775133259</v>
      </c>
      <c r="AG41" s="308">
        <v>0</v>
      </c>
      <c r="AH41" s="308">
        <v>0</v>
      </c>
      <c r="AI41" s="308">
        <v>0</v>
      </c>
      <c r="AJ41" s="308">
        <f t="shared" ca="1" si="6"/>
        <v>5985028.0452490766</v>
      </c>
      <c r="AK41" s="911">
        <f t="shared" si="46"/>
        <v>25224484.237428762</v>
      </c>
      <c r="AL41" s="309">
        <f t="shared" si="47"/>
        <v>0</v>
      </c>
      <c r="AM41" s="309">
        <f t="shared" si="26"/>
        <v>25224484.237428762</v>
      </c>
      <c r="AN41" s="310">
        <f t="shared" si="48"/>
        <v>4707609.4582538242</v>
      </c>
      <c r="AO41" s="310">
        <v>0</v>
      </c>
      <c r="AP41" s="310">
        <f t="shared" si="27"/>
        <v>4707609.4582538242</v>
      </c>
      <c r="AQ41" s="309">
        <v>0</v>
      </c>
      <c r="AR41" s="311">
        <f t="shared" ca="1" si="7"/>
        <v>38319707.057191238</v>
      </c>
      <c r="AS41" s="870">
        <f t="shared" ca="1" si="28"/>
        <v>697730753.57379925</v>
      </c>
      <c r="AT41" s="822"/>
      <c r="AU41" s="964" t="s">
        <v>1401</v>
      </c>
      <c r="AV41" s="35"/>
      <c r="AW41" s="879"/>
      <c r="AX41" s="35"/>
      <c r="AY41" s="1249"/>
      <c r="BA41" s="945">
        <f>CampusArea!F34</f>
        <v>8708.0532080763205</v>
      </c>
      <c r="BB41" s="944">
        <f>BA41-((CampusArea!$N$60/CampusArea!$U$52)*(1+A41-$A$19))</f>
        <v>7050.4442439024388</v>
      </c>
      <c r="BC41" s="945">
        <f t="shared" si="29"/>
        <v>1657.6089641738818</v>
      </c>
      <c r="BD41" s="946">
        <f t="shared" si="30"/>
        <v>1657.6089641738818</v>
      </c>
      <c r="BE41" s="946">
        <f t="shared" si="31"/>
        <v>0</v>
      </c>
      <c r="BF41" s="946">
        <f t="shared" si="32"/>
        <v>0</v>
      </c>
      <c r="BH41" s="931">
        <f t="shared" si="33"/>
        <v>31938.834252306769</v>
      </c>
      <c r="BI41" s="931">
        <f t="shared" si="8"/>
        <v>0</v>
      </c>
      <c r="BJ41" s="931">
        <f t="shared" si="9"/>
        <v>0</v>
      </c>
      <c r="BK41" s="931">
        <f t="shared" si="34"/>
        <v>31938.834252306769</v>
      </c>
      <c r="BM41" s="931">
        <f t="shared" si="35"/>
        <v>169893.34652341562</v>
      </c>
      <c r="BN41" s="931">
        <f t="shared" si="36"/>
        <v>0</v>
      </c>
      <c r="BO41" s="931">
        <f t="shared" si="37"/>
        <v>0</v>
      </c>
      <c r="BP41" s="931">
        <f t="shared" si="38"/>
        <v>169893.34652341562</v>
      </c>
      <c r="BR41" s="931">
        <f t="shared" si="39"/>
        <v>44365.099021620656</v>
      </c>
      <c r="BS41" s="931">
        <f t="shared" si="40"/>
        <v>0</v>
      </c>
      <c r="BT41" s="931">
        <f t="shared" si="41"/>
        <v>0</v>
      </c>
      <c r="BU41" s="931">
        <f t="shared" si="42"/>
        <v>44365.099021620656</v>
      </c>
      <c r="BW41" s="929">
        <f t="shared" si="49"/>
        <v>25224484.237428762</v>
      </c>
      <c r="BX41" s="929">
        <f t="shared" si="50"/>
        <v>0</v>
      </c>
      <c r="BY41" s="929">
        <f t="shared" si="51"/>
        <v>0</v>
      </c>
      <c r="BZ41" s="929">
        <f t="shared" si="43"/>
        <v>25224484.237428762</v>
      </c>
      <c r="CB41" s="931">
        <f>$AU$49*(A41-2009)-CampusArea!D34</f>
        <v>0</v>
      </c>
      <c r="CC41" s="931">
        <f t="shared" si="10"/>
        <v>0</v>
      </c>
      <c r="CD41" s="931">
        <f t="shared" si="44"/>
        <v>0</v>
      </c>
      <c r="CE41" s="931">
        <f t="shared" si="45"/>
        <v>0</v>
      </c>
      <c r="CG41" s="929">
        <f t="shared" si="52"/>
        <v>0</v>
      </c>
    </row>
    <row r="42" spans="1:85">
      <c r="A42" s="303">
        <v>2033</v>
      </c>
      <c r="B42" s="304">
        <f ca="1">IF($D$3="BAU",UtilityDemand!C35,INDIRECT($D$3&amp;"!B"&amp;ROW(A42))+INDIRECT($D$3&amp;"!D"&amp;ROW(A42)))</f>
        <v>169053.98723605942</v>
      </c>
      <c r="C42" s="305">
        <f t="shared" ca="1" si="11"/>
        <v>-0.19714104212911202</v>
      </c>
      <c r="D42" s="306">
        <f t="shared" si="12"/>
        <v>-33327.479219798355</v>
      </c>
      <c r="E42" s="304">
        <f ca="1">IF($D$3="BAU",UtilityDemand!E35,INDIRECT($D$3&amp;"!E"&amp;ROW(D42))+INDIRECT($D$3&amp;"!G"&amp;ROW(D42)))</f>
        <v>900901.25922104018</v>
      </c>
      <c r="F42" s="305">
        <f t="shared" ca="1" si="13"/>
        <v>-0.1967807370108999</v>
      </c>
      <c r="G42" s="306">
        <f t="shared" si="14"/>
        <v>-177280.01376356406</v>
      </c>
      <c r="H42" s="304">
        <f ca="1">IF($D$3="BAU",UtilityDemand!G35,INDIRECT($D$3&amp;"!H"&amp;ROW(G42))+INDIRECT($D$3&amp;"!J"&amp;ROW(G42)))</f>
        <v>255814.8826745259</v>
      </c>
      <c r="I42" s="305">
        <f t="shared" ca="1" si="15"/>
        <v>-0.18096686121771413</v>
      </c>
      <c r="J42" s="306">
        <f t="shared" si="16"/>
        <v>-46294.016370386751</v>
      </c>
      <c r="K42" s="307">
        <f t="shared" ca="1" si="17"/>
        <v>135726.50801626107</v>
      </c>
      <c r="L42" s="307">
        <f t="shared" si="18"/>
        <v>0</v>
      </c>
      <c r="M42" s="307">
        <v>0</v>
      </c>
      <c r="N42" s="307">
        <f t="shared" ca="1" si="19"/>
        <v>135726.50801626107</v>
      </c>
      <c r="O42" s="1494">
        <f t="shared" ca="1" si="20"/>
        <v>723621.24545747612</v>
      </c>
      <c r="P42" s="306">
        <f t="shared" si="21"/>
        <v>0</v>
      </c>
      <c r="Q42" s="306">
        <v>0</v>
      </c>
      <c r="R42" s="306">
        <f t="shared" ca="1" si="22"/>
        <v>723621.24545747612</v>
      </c>
      <c r="S42" s="818">
        <f t="shared" ca="1" si="23"/>
        <v>209520.86630413914</v>
      </c>
      <c r="T42" s="818">
        <f t="shared" si="24"/>
        <v>0</v>
      </c>
      <c r="U42" s="818">
        <v>0</v>
      </c>
      <c r="V42" s="818">
        <f t="shared" ca="1" si="25"/>
        <v>209520.86630413914</v>
      </c>
      <c r="W42" s="306">
        <f t="shared" si="1"/>
        <v>0</v>
      </c>
      <c r="X42" s="306">
        <f t="shared" ca="1" si="2"/>
        <v>-48276.688308489764</v>
      </c>
      <c r="Y42" s="306">
        <v>0</v>
      </c>
      <c r="Z42" s="306">
        <v>0</v>
      </c>
      <c r="AA42" s="308">
        <f ca="1">-SUM(W42,X42/OFFSET(GridFootprintbyYear,$A42-$A$19,0)*EF_PurchElec_MTperMWh,Z42)*OFFSET(ExposureCalculations!Price_GHG_Allowance_2010,A42-$A$19,0)*ExposureCalculations!D39</f>
        <v>2663330.5192886963</v>
      </c>
      <c r="AB42" s="308">
        <f t="shared" ca="1" si="3"/>
        <v>3177172.6284622867</v>
      </c>
      <c r="AC42" s="308">
        <v>0</v>
      </c>
      <c r="AD42" s="819">
        <f t="shared" ca="1" si="4"/>
        <v>2199807.5226527364</v>
      </c>
      <c r="AE42" s="308">
        <v>0</v>
      </c>
      <c r="AF42" s="819">
        <f t="shared" ca="1" si="5"/>
        <v>895017.64982747717</v>
      </c>
      <c r="AG42" s="308">
        <v>0</v>
      </c>
      <c r="AH42" s="308">
        <v>0</v>
      </c>
      <c r="AI42" s="308">
        <v>0</v>
      </c>
      <c r="AJ42" s="308">
        <f t="shared" ca="1" si="6"/>
        <v>6271997.8009425001</v>
      </c>
      <c r="AK42" s="911">
        <f t="shared" si="46"/>
        <v>25224484.237428442</v>
      </c>
      <c r="AL42" s="309">
        <f t="shared" si="47"/>
        <v>0</v>
      </c>
      <c r="AM42" s="309">
        <f t="shared" si="26"/>
        <v>25224484.237428442</v>
      </c>
      <c r="AN42" s="310">
        <f t="shared" si="48"/>
        <v>4912288.1303518144</v>
      </c>
      <c r="AO42" s="310">
        <v>0</v>
      </c>
      <c r="AP42" s="310">
        <f t="shared" si="27"/>
        <v>4912288.1303518144</v>
      </c>
      <c r="AQ42" s="309">
        <v>0</v>
      </c>
      <c r="AR42" s="311">
        <f t="shared" ca="1" si="7"/>
        <v>39072100.688011453</v>
      </c>
      <c r="AS42" s="870">
        <f t="shared" ca="1" si="28"/>
        <v>736802854.26181066</v>
      </c>
      <c r="AT42" s="822"/>
      <c r="AU42" s="1255">
        <f>UtilityDemand!$L$11+($AU$46-UtilityDemand!$L$12)*(UtilityDemand!$L$11/SUM(UtilityDemand!$L$9,UtilityDemand!$L$11))</f>
        <v>26.76451441835156</v>
      </c>
      <c r="AV42" s="35" t="str">
        <f>AV37</f>
        <v>Generic</v>
      </c>
      <c r="AW42" s="879"/>
      <c r="AX42" s="35"/>
      <c r="AY42" s="1249"/>
      <c r="BA42" s="945">
        <f>CampusArea!F35</f>
        <v>8789.8792606013776</v>
      </c>
      <c r="BB42" s="944">
        <f>BA42-((CampusArea!$N$60/CampusArea!$U$52)*(1+A42-$A$19))</f>
        <v>7060.2003414634146</v>
      </c>
      <c r="BC42" s="945">
        <f t="shared" si="29"/>
        <v>1729.678919137963</v>
      </c>
      <c r="BD42" s="946">
        <f t="shared" si="30"/>
        <v>1729.678919137963</v>
      </c>
      <c r="BE42" s="946">
        <f t="shared" si="31"/>
        <v>0</v>
      </c>
      <c r="BF42" s="946">
        <f t="shared" si="32"/>
        <v>0</v>
      </c>
      <c r="BH42" s="931">
        <f t="shared" si="33"/>
        <v>33327.479219798355</v>
      </c>
      <c r="BI42" s="931">
        <f t="shared" si="8"/>
        <v>0</v>
      </c>
      <c r="BJ42" s="931">
        <f t="shared" si="9"/>
        <v>0</v>
      </c>
      <c r="BK42" s="931">
        <f t="shared" si="34"/>
        <v>33327.479219798355</v>
      </c>
      <c r="BM42" s="931">
        <f t="shared" si="35"/>
        <v>177280.01376356406</v>
      </c>
      <c r="BN42" s="931">
        <f t="shared" si="36"/>
        <v>0</v>
      </c>
      <c r="BO42" s="931">
        <f t="shared" si="37"/>
        <v>0</v>
      </c>
      <c r="BP42" s="931">
        <f t="shared" si="38"/>
        <v>177280.01376356406</v>
      </c>
      <c r="BR42" s="931">
        <f t="shared" si="39"/>
        <v>46294.016370386751</v>
      </c>
      <c r="BS42" s="931">
        <f t="shared" si="40"/>
        <v>0</v>
      </c>
      <c r="BT42" s="931">
        <f t="shared" si="41"/>
        <v>0</v>
      </c>
      <c r="BU42" s="931">
        <f t="shared" si="42"/>
        <v>46294.016370386751</v>
      </c>
      <c r="BW42" s="929">
        <f t="shared" si="49"/>
        <v>25224484.237428442</v>
      </c>
      <c r="BX42" s="929">
        <f t="shared" si="50"/>
        <v>0</v>
      </c>
      <c r="BY42" s="929">
        <f t="shared" si="51"/>
        <v>0</v>
      </c>
      <c r="BZ42" s="929">
        <f t="shared" si="43"/>
        <v>25224484.237428442</v>
      </c>
      <c r="CB42" s="931">
        <f>$AU$49*(A42-2009)-CampusArea!D35</f>
        <v>0</v>
      </c>
      <c r="CC42" s="931">
        <f t="shared" si="10"/>
        <v>0</v>
      </c>
      <c r="CD42" s="931">
        <f t="shared" si="44"/>
        <v>0</v>
      </c>
      <c r="CE42" s="931">
        <f t="shared" si="45"/>
        <v>0</v>
      </c>
      <c r="CG42" s="929">
        <f t="shared" si="52"/>
        <v>0</v>
      </c>
    </row>
    <row r="43" spans="1:85">
      <c r="A43" s="303">
        <v>2034</v>
      </c>
      <c r="B43" s="304">
        <f ca="1">IF($D$3="BAU",UtilityDemand!C36,INDIRECT($D$3&amp;"!B"&amp;ROW(A43))+INDIRECT($D$3&amp;"!D"&amp;ROW(A43)))</f>
        <v>170630.61283691146</v>
      </c>
      <c r="C43" s="305">
        <f t="shared" ca="1" si="11"/>
        <v>-0.20345777120587144</v>
      </c>
      <c r="D43" s="306">
        <f t="shared" si="12"/>
        <v>-34716.124187289963</v>
      </c>
      <c r="E43" s="304">
        <f ca="1">IF($D$3="BAU",UtilityDemand!E36,INDIRECT($D$3&amp;"!E"&amp;ROW(D43))+INDIRECT($D$3&amp;"!G"&amp;ROW(D43)))</f>
        <v>909287.85835071537</v>
      </c>
      <c r="F43" s="305">
        <f t="shared" ca="1" si="13"/>
        <v>-0.20308935097699948</v>
      </c>
      <c r="G43" s="306">
        <f t="shared" si="14"/>
        <v>-184666.68100371261</v>
      </c>
      <c r="H43" s="304">
        <f ca="1">IF($D$3="BAU",UtilityDemand!G36,INDIRECT($D$3&amp;"!H"&amp;ROW(G43))+INDIRECT($D$3&amp;"!J"&amp;ROW(G43)))</f>
        <v>258879.41723712959</v>
      </c>
      <c r="I43" s="305">
        <f t="shared" ca="1" si="15"/>
        <v>-0.18627565773211474</v>
      </c>
      <c r="J43" s="306">
        <f t="shared" si="16"/>
        <v>-48222.933719152876</v>
      </c>
      <c r="K43" s="307">
        <f t="shared" ca="1" si="17"/>
        <v>135914.48864962149</v>
      </c>
      <c r="L43" s="307">
        <f t="shared" si="18"/>
        <v>0</v>
      </c>
      <c r="M43" s="307">
        <v>0</v>
      </c>
      <c r="N43" s="307">
        <f t="shared" ca="1" si="19"/>
        <v>135914.48864962149</v>
      </c>
      <c r="O43" s="1494">
        <f t="shared" ca="1" si="20"/>
        <v>724621.17734700278</v>
      </c>
      <c r="P43" s="306">
        <f t="shared" si="21"/>
        <v>0</v>
      </c>
      <c r="Q43" s="306">
        <v>0</v>
      </c>
      <c r="R43" s="306">
        <f t="shared" ca="1" si="22"/>
        <v>724621.17734700278</v>
      </c>
      <c r="S43" s="818">
        <f t="shared" ca="1" si="23"/>
        <v>210656.48351797671</v>
      </c>
      <c r="T43" s="818">
        <f t="shared" si="24"/>
        <v>0</v>
      </c>
      <c r="U43" s="818">
        <v>0</v>
      </c>
      <c r="V43" s="818">
        <f t="shared" ca="1" si="25"/>
        <v>210656.48351797671</v>
      </c>
      <c r="W43" s="306">
        <f t="shared" si="1"/>
        <v>0</v>
      </c>
      <c r="X43" s="306">
        <f t="shared" ca="1" si="2"/>
        <v>-50288.216988010186</v>
      </c>
      <c r="Y43" s="306">
        <v>0</v>
      </c>
      <c r="Z43" s="306">
        <v>0</v>
      </c>
      <c r="AA43" s="308">
        <f ca="1">-SUM(W43,X43/OFFSET(GridFootprintbyYear,$A43-$A$19,0)*EF_PurchElec_MTperMWh,Z43)*OFFSET(ExposureCalculations!Price_GHG_Allowance_2010,A43-$A$19,0)*ExposureCalculations!D40</f>
        <v>2917369.2472353484</v>
      </c>
      <c r="AB43" s="308">
        <f t="shared" ca="1" si="3"/>
        <v>3326102.5954214577</v>
      </c>
      <c r="AC43" s="308">
        <v>0</v>
      </c>
      <c r="AD43" s="819">
        <f t="shared" ca="1" si="4"/>
        <v>2302923.5002770843</v>
      </c>
      <c r="AE43" s="308">
        <v>0</v>
      </c>
      <c r="AF43" s="819">
        <f t="shared" ca="1" si="5"/>
        <v>932310.05190362222</v>
      </c>
      <c r="AG43" s="308">
        <v>0</v>
      </c>
      <c r="AH43" s="308">
        <v>0</v>
      </c>
      <c r="AI43" s="308">
        <v>0</v>
      </c>
      <c r="AJ43" s="308">
        <f t="shared" ca="1" si="6"/>
        <v>6561336.1476021642</v>
      </c>
      <c r="AK43" s="911">
        <f t="shared" si="46"/>
        <v>25224484.237428762</v>
      </c>
      <c r="AL43" s="309">
        <f t="shared" si="47"/>
        <v>0</v>
      </c>
      <c r="AM43" s="309">
        <f t="shared" si="26"/>
        <v>25224484.237428762</v>
      </c>
      <c r="AN43" s="310">
        <f t="shared" si="48"/>
        <v>5116966.8024498075</v>
      </c>
      <c r="AO43" s="310">
        <v>0</v>
      </c>
      <c r="AP43" s="310">
        <f t="shared" si="27"/>
        <v>5116966.8024498075</v>
      </c>
      <c r="AQ43" s="309">
        <v>0</v>
      </c>
      <c r="AR43" s="311">
        <f t="shared" ca="1" si="7"/>
        <v>39820156.434716083</v>
      </c>
      <c r="AS43" s="870">
        <f t="shared" ca="1" si="28"/>
        <v>776623010.69652677</v>
      </c>
      <c r="AT43" s="822"/>
      <c r="AU43" s="1255"/>
      <c r="AV43" s="35"/>
      <c r="AW43" s="879"/>
      <c r="AX43" s="35"/>
      <c r="AY43" s="1249"/>
      <c r="BA43" s="945">
        <f>CampusArea!F36</f>
        <v>8871.7053131264347</v>
      </c>
      <c r="BB43" s="944">
        <f>BA43-((CampusArea!$N$60/CampusArea!$U$52)*(1+A43-$A$19))</f>
        <v>7069.9564390243895</v>
      </c>
      <c r="BC43" s="945">
        <f t="shared" si="29"/>
        <v>1801.7488741020452</v>
      </c>
      <c r="BD43" s="946">
        <f t="shared" si="30"/>
        <v>1801.7488741020452</v>
      </c>
      <c r="BE43" s="946">
        <f t="shared" si="31"/>
        <v>0</v>
      </c>
      <c r="BF43" s="946">
        <f t="shared" si="32"/>
        <v>0</v>
      </c>
      <c r="BH43" s="931">
        <f t="shared" si="33"/>
        <v>34716.124187289963</v>
      </c>
      <c r="BI43" s="931">
        <f t="shared" si="8"/>
        <v>0</v>
      </c>
      <c r="BJ43" s="931">
        <f t="shared" si="9"/>
        <v>0</v>
      </c>
      <c r="BK43" s="931">
        <f t="shared" si="34"/>
        <v>34716.124187289963</v>
      </c>
      <c r="BM43" s="931">
        <f t="shared" si="35"/>
        <v>184666.68100371261</v>
      </c>
      <c r="BN43" s="931">
        <f t="shared" si="36"/>
        <v>0</v>
      </c>
      <c r="BO43" s="931">
        <f t="shared" si="37"/>
        <v>0</v>
      </c>
      <c r="BP43" s="931">
        <f t="shared" si="38"/>
        <v>184666.68100371261</v>
      </c>
      <c r="BR43" s="931">
        <f t="shared" si="39"/>
        <v>48222.933719152876</v>
      </c>
      <c r="BS43" s="931">
        <f t="shared" si="40"/>
        <v>0</v>
      </c>
      <c r="BT43" s="931">
        <f t="shared" si="41"/>
        <v>0</v>
      </c>
      <c r="BU43" s="931">
        <f t="shared" si="42"/>
        <v>48222.933719152876</v>
      </c>
      <c r="BW43" s="929">
        <f t="shared" si="49"/>
        <v>25224484.237428762</v>
      </c>
      <c r="BX43" s="929">
        <f t="shared" si="50"/>
        <v>0</v>
      </c>
      <c r="BY43" s="929">
        <f t="shared" si="51"/>
        <v>0</v>
      </c>
      <c r="BZ43" s="929">
        <f t="shared" si="43"/>
        <v>25224484.237428762</v>
      </c>
      <c r="CB43" s="931">
        <f>$AU$49*(A43-2009)-CampusArea!D36</f>
        <v>0</v>
      </c>
      <c r="CC43" s="931">
        <f t="shared" si="10"/>
        <v>0</v>
      </c>
      <c r="CD43" s="931">
        <f t="shared" si="44"/>
        <v>0</v>
      </c>
      <c r="CE43" s="931">
        <f t="shared" si="45"/>
        <v>0</v>
      </c>
      <c r="CG43" s="929">
        <f t="shared" si="52"/>
        <v>0</v>
      </c>
    </row>
    <row r="44" spans="1:85">
      <c r="A44" s="303">
        <v>2035</v>
      </c>
      <c r="B44" s="304">
        <f ca="1">IF($D$3="BAU",UtilityDemand!C37,INDIRECT($D$3&amp;"!B"&amp;ROW(A44))+INDIRECT($D$3&amp;"!D"&amp;ROW(A44)))</f>
        <v>172207.23843776347</v>
      </c>
      <c r="C44" s="305">
        <f t="shared" ca="1" si="11"/>
        <v>-0.20965883596019691</v>
      </c>
      <c r="D44" s="306">
        <f t="shared" si="12"/>
        <v>-36104.76915478157</v>
      </c>
      <c r="E44" s="304">
        <f ca="1">IF($D$3="BAU",UtilityDemand!E37,INDIRECT($D$3&amp;"!E"&amp;ROW(D44))+INDIRECT($D$3&amp;"!G"&amp;ROW(D44)))</f>
        <v>917674.45748039079</v>
      </c>
      <c r="F44" s="305">
        <f t="shared" ca="1" si="13"/>
        <v>-0.20928265647838956</v>
      </c>
      <c r="G44" s="306">
        <f t="shared" si="14"/>
        <v>-192053.34824386114</v>
      </c>
      <c r="H44" s="304">
        <f ca="1">IF($D$3="BAU",UtilityDemand!G37,INDIRECT($D$3&amp;"!H"&amp;ROW(G44))+INDIRECT($D$3&amp;"!J"&amp;ROW(G44)))</f>
        <v>261943.95179973327</v>
      </c>
      <c r="I44" s="305">
        <f t="shared" ca="1" si="15"/>
        <v>-0.19146023690694761</v>
      </c>
      <c r="J44" s="306">
        <f t="shared" si="16"/>
        <v>-50151.851067919</v>
      </c>
      <c r="K44" s="307">
        <f t="shared" ca="1" si="17"/>
        <v>136102.46928298191</v>
      </c>
      <c r="L44" s="307">
        <f t="shared" si="18"/>
        <v>0</v>
      </c>
      <c r="M44" s="307">
        <v>0</v>
      </c>
      <c r="N44" s="307">
        <f t="shared" ca="1" si="19"/>
        <v>136102.46928298191</v>
      </c>
      <c r="O44" s="1494">
        <f t="shared" ca="1" si="20"/>
        <v>725621.10923652968</v>
      </c>
      <c r="P44" s="306">
        <f t="shared" si="21"/>
        <v>0</v>
      </c>
      <c r="Q44" s="306">
        <v>0</v>
      </c>
      <c r="R44" s="306">
        <f t="shared" ca="1" si="22"/>
        <v>725621.10923652968</v>
      </c>
      <c r="S44" s="818">
        <f t="shared" ca="1" si="23"/>
        <v>211792.10073181428</v>
      </c>
      <c r="T44" s="818">
        <f t="shared" si="24"/>
        <v>0</v>
      </c>
      <c r="U44" s="818">
        <v>0</v>
      </c>
      <c r="V44" s="818">
        <f t="shared" ca="1" si="25"/>
        <v>211792.10073181428</v>
      </c>
      <c r="W44" s="306">
        <f t="shared" si="1"/>
        <v>0</v>
      </c>
      <c r="X44" s="306">
        <f t="shared" ca="1" si="2"/>
        <v>-52299.745667530602</v>
      </c>
      <c r="Y44" s="306">
        <v>0</v>
      </c>
      <c r="Z44" s="306">
        <v>0</v>
      </c>
      <c r="AA44" s="308">
        <f ca="1">-SUM(W44,X44/OFFSET(GridFootprintbyYear,$A44-$A$19,0)*EF_PurchElec_MTperMWh,Z44)*OFFSET(ExposureCalculations!Price_GHG_Allowance_2010,A44-$A$19,0)*ExposureCalculations!D41</f>
        <v>3185908.3772368035</v>
      </c>
      <c r="AB44" s="308">
        <f t="shared" ca="1" si="3"/>
        <v>3476442.4327345071</v>
      </c>
      <c r="AC44" s="308">
        <v>0</v>
      </c>
      <c r="AD44" s="819">
        <f t="shared" ca="1" si="4"/>
        <v>2407015.6424896084</v>
      </c>
      <c r="AE44" s="308">
        <v>0</v>
      </c>
      <c r="AF44" s="819">
        <f t="shared" ca="1" si="5"/>
        <v>969602.45397976728</v>
      </c>
      <c r="AG44" s="308">
        <v>0</v>
      </c>
      <c r="AH44" s="308">
        <v>0</v>
      </c>
      <c r="AI44" s="308">
        <v>0</v>
      </c>
      <c r="AJ44" s="308">
        <f t="shared" ca="1" si="6"/>
        <v>6853060.5292038824</v>
      </c>
      <c r="AK44" s="911">
        <f t="shared" si="46"/>
        <v>25224484.237428762</v>
      </c>
      <c r="AL44" s="309">
        <f t="shared" si="47"/>
        <v>0</v>
      </c>
      <c r="AM44" s="309">
        <f t="shared" si="26"/>
        <v>25224484.237428762</v>
      </c>
      <c r="AN44" s="310">
        <f t="shared" si="48"/>
        <v>5321645.4745478015</v>
      </c>
      <c r="AO44" s="310">
        <v>0</v>
      </c>
      <c r="AP44" s="310">
        <f t="shared" si="27"/>
        <v>5321645.4745478015</v>
      </c>
      <c r="AQ44" s="309">
        <v>0</v>
      </c>
      <c r="AR44" s="311">
        <f t="shared" ca="1" si="7"/>
        <v>40585098.618417248</v>
      </c>
      <c r="AS44" s="870">
        <f t="shared" ca="1" si="28"/>
        <v>817208109.31494403</v>
      </c>
      <c r="AT44" s="822"/>
      <c r="AU44" s="1255"/>
      <c r="AV44" s="35"/>
      <c r="AW44" s="879"/>
      <c r="AX44" s="35"/>
      <c r="AY44" s="1249"/>
      <c r="BA44" s="945">
        <f>CampusArea!F37</f>
        <v>8953.5313656514918</v>
      </c>
      <c r="BB44" s="944">
        <f>BA44-((CampusArea!$N$60/CampusArea!$U$52)*(1+A44-$A$19))</f>
        <v>7079.7125365853644</v>
      </c>
      <c r="BC44" s="945">
        <f t="shared" si="29"/>
        <v>1873.8188290661274</v>
      </c>
      <c r="BD44" s="946">
        <f t="shared" si="30"/>
        <v>1873.8188290661274</v>
      </c>
      <c r="BE44" s="946">
        <f t="shared" si="31"/>
        <v>0</v>
      </c>
      <c r="BF44" s="946">
        <f t="shared" si="32"/>
        <v>0</v>
      </c>
      <c r="BH44" s="931">
        <f t="shared" si="33"/>
        <v>36104.76915478157</v>
      </c>
      <c r="BI44" s="931">
        <f t="shared" si="8"/>
        <v>0</v>
      </c>
      <c r="BJ44" s="931">
        <f t="shared" si="9"/>
        <v>0</v>
      </c>
      <c r="BK44" s="931">
        <f t="shared" si="34"/>
        <v>36104.76915478157</v>
      </c>
      <c r="BM44" s="931">
        <f t="shared" si="35"/>
        <v>192053.34824386114</v>
      </c>
      <c r="BN44" s="931">
        <f t="shared" si="36"/>
        <v>0</v>
      </c>
      <c r="BO44" s="931">
        <f t="shared" si="37"/>
        <v>0</v>
      </c>
      <c r="BP44" s="931">
        <f t="shared" si="38"/>
        <v>192053.34824386114</v>
      </c>
      <c r="BR44" s="931">
        <f t="shared" si="39"/>
        <v>50151.851067919</v>
      </c>
      <c r="BS44" s="931">
        <f t="shared" si="40"/>
        <v>0</v>
      </c>
      <c r="BT44" s="931">
        <f t="shared" si="41"/>
        <v>0</v>
      </c>
      <c r="BU44" s="931">
        <f t="shared" si="42"/>
        <v>50151.851067919</v>
      </c>
      <c r="BW44" s="929">
        <f t="shared" si="49"/>
        <v>25224484.237428762</v>
      </c>
      <c r="BX44" s="929">
        <f t="shared" si="50"/>
        <v>0</v>
      </c>
      <c r="BY44" s="929">
        <f t="shared" si="51"/>
        <v>0</v>
      </c>
      <c r="BZ44" s="929">
        <f t="shared" si="43"/>
        <v>25224484.237428762</v>
      </c>
      <c r="CB44" s="931">
        <f>$AU$49*(A44-2009)-CampusArea!D37</f>
        <v>0</v>
      </c>
      <c r="CC44" s="931">
        <f t="shared" si="10"/>
        <v>0</v>
      </c>
      <c r="CD44" s="931">
        <f t="shared" si="44"/>
        <v>0</v>
      </c>
      <c r="CE44" s="931">
        <f t="shared" si="45"/>
        <v>0</v>
      </c>
      <c r="CG44" s="929">
        <f t="shared" si="52"/>
        <v>0</v>
      </c>
    </row>
    <row r="45" spans="1:85">
      <c r="A45" s="303">
        <v>2036</v>
      </c>
      <c r="B45" s="304">
        <f ca="1">IF($D$3="BAU",UtilityDemand!C38,INDIRECT($D$3&amp;"!B"&amp;ROW(A45))+INDIRECT($D$3&amp;"!D"&amp;ROW(A45)))</f>
        <v>173783.86403861555</v>
      </c>
      <c r="C45" s="305">
        <f t="shared" ca="1" si="11"/>
        <v>-0.21574738442886707</v>
      </c>
      <c r="D45" s="306">
        <f t="shared" si="12"/>
        <v>-37493.414122273156</v>
      </c>
      <c r="E45" s="304">
        <f ca="1">IF($D$3="BAU",UtilityDemand!E38,INDIRECT($D$3&amp;"!E"&amp;ROW(D45))+INDIRECT($D$3&amp;"!G"&amp;ROW(D45)))</f>
        <v>926061.05661006644</v>
      </c>
      <c r="F45" s="305">
        <f t="shared" ca="1" si="13"/>
        <v>-0.21536378628648797</v>
      </c>
      <c r="G45" s="306">
        <f t="shared" si="14"/>
        <v>-199440.01548400958</v>
      </c>
      <c r="H45" s="304">
        <f ca="1">IF($D$3="BAU",UtilityDemand!G38,INDIRECT($D$3&amp;"!H"&amp;ROW(G45))+INDIRECT($D$3&amp;"!J"&amp;ROW(G45)))</f>
        <v>265008.48636233702</v>
      </c>
      <c r="I45" s="305">
        <f t="shared" ca="1" si="15"/>
        <v>-0.19652490805700787</v>
      </c>
      <c r="J45" s="306">
        <f t="shared" si="16"/>
        <v>-52080.768416685103</v>
      </c>
      <c r="K45" s="307">
        <f t="shared" ca="1" si="17"/>
        <v>136290.44991634239</v>
      </c>
      <c r="L45" s="307">
        <f t="shared" si="18"/>
        <v>0</v>
      </c>
      <c r="M45" s="307">
        <v>0</v>
      </c>
      <c r="N45" s="307">
        <f t="shared" ca="1" si="19"/>
        <v>136290.44991634239</v>
      </c>
      <c r="O45" s="1494">
        <f t="shared" ca="1" si="20"/>
        <v>726621.04112605681</v>
      </c>
      <c r="P45" s="306">
        <f t="shared" si="21"/>
        <v>0</v>
      </c>
      <c r="Q45" s="306">
        <v>0</v>
      </c>
      <c r="R45" s="306">
        <f t="shared" ca="1" si="22"/>
        <v>726621.04112605681</v>
      </c>
      <c r="S45" s="818">
        <f t="shared" ca="1" si="23"/>
        <v>212927.71794565191</v>
      </c>
      <c r="T45" s="818">
        <f t="shared" si="24"/>
        <v>0</v>
      </c>
      <c r="U45" s="818">
        <v>0</v>
      </c>
      <c r="V45" s="818">
        <f t="shared" ca="1" si="25"/>
        <v>212927.71794565191</v>
      </c>
      <c r="W45" s="306">
        <f t="shared" si="1"/>
        <v>0</v>
      </c>
      <c r="X45" s="306">
        <f t="shared" ca="1" si="2"/>
        <v>-54311.274347050989</v>
      </c>
      <c r="Y45" s="306">
        <v>0</v>
      </c>
      <c r="Z45" s="306">
        <v>0</v>
      </c>
      <c r="AA45" s="308">
        <f ca="1">-SUM(W45,X45/OFFSET(GridFootprintbyYear,$A45-$A$19,0)*EF_PurchElec_MTperMWh,Z45)*OFFSET(ExposureCalculations!Price_GHG_Allowance_2010,A45-$A$19,0)*ExposureCalculations!D42</f>
        <v>3492929.7498865351</v>
      </c>
      <c r="AB45" s="308">
        <f t="shared" ca="1" si="3"/>
        <v>3628202.5158558008</v>
      </c>
      <c r="AC45" s="308">
        <v>0</v>
      </c>
      <c r="AD45" s="819">
        <f t="shared" ca="1" si="4"/>
        <v>2512091.1330367494</v>
      </c>
      <c r="AE45" s="308">
        <v>0</v>
      </c>
      <c r="AF45" s="819">
        <f t="shared" ca="1" si="5"/>
        <v>1006894.856055912</v>
      </c>
      <c r="AG45" s="308">
        <v>0</v>
      </c>
      <c r="AH45" s="308">
        <v>0</v>
      </c>
      <c r="AI45" s="308">
        <v>0</v>
      </c>
      <c r="AJ45" s="308">
        <f t="shared" ca="1" si="6"/>
        <v>7147188.5049484614</v>
      </c>
      <c r="AK45" s="911">
        <f t="shared" si="46"/>
        <v>25224484.237428442</v>
      </c>
      <c r="AL45" s="309">
        <f t="shared" si="47"/>
        <v>0</v>
      </c>
      <c r="AM45" s="309">
        <f t="shared" si="26"/>
        <v>25224484.237428442</v>
      </c>
      <c r="AN45" s="310">
        <f t="shared" si="48"/>
        <v>5526324.1466457918</v>
      </c>
      <c r="AO45" s="310">
        <v>0</v>
      </c>
      <c r="AP45" s="310">
        <f t="shared" si="27"/>
        <v>5526324.1466457918</v>
      </c>
      <c r="AQ45" s="309">
        <v>0</v>
      </c>
      <c r="AR45" s="311">
        <f t="shared" ca="1" si="7"/>
        <v>41390926.638909228</v>
      </c>
      <c r="AS45" s="870">
        <f t="shared" ca="1" si="28"/>
        <v>858599035.95385325</v>
      </c>
      <c r="AT45" s="822"/>
      <c r="AU45" s="1258"/>
      <c r="AV45" s="35"/>
      <c r="AW45" s="879"/>
      <c r="AX45" s="35"/>
      <c r="AY45" s="1249"/>
      <c r="BA45" s="945">
        <f>CampusArea!F38</f>
        <v>9035.3574181765507</v>
      </c>
      <c r="BB45" s="944">
        <f>BA45-((CampusArea!$N$60/CampusArea!$U$52)*(1+A45-$A$19))</f>
        <v>7089.4686341463421</v>
      </c>
      <c r="BC45" s="945">
        <f t="shared" si="29"/>
        <v>1945.8887840302086</v>
      </c>
      <c r="BD45" s="946">
        <f t="shared" si="30"/>
        <v>1945.8887840302086</v>
      </c>
      <c r="BE45" s="946">
        <f t="shared" si="31"/>
        <v>0</v>
      </c>
      <c r="BF45" s="946">
        <f t="shared" si="32"/>
        <v>0</v>
      </c>
      <c r="BH45" s="931">
        <f t="shared" si="33"/>
        <v>37493.414122273156</v>
      </c>
      <c r="BI45" s="931">
        <f t="shared" si="8"/>
        <v>0</v>
      </c>
      <c r="BJ45" s="931">
        <f t="shared" si="9"/>
        <v>0</v>
      </c>
      <c r="BK45" s="931">
        <f t="shared" si="34"/>
        <v>37493.414122273156</v>
      </c>
      <c r="BM45" s="931">
        <f t="shared" si="35"/>
        <v>199440.01548400958</v>
      </c>
      <c r="BN45" s="931">
        <f t="shared" si="36"/>
        <v>0</v>
      </c>
      <c r="BO45" s="931">
        <f t="shared" si="37"/>
        <v>0</v>
      </c>
      <c r="BP45" s="931">
        <f t="shared" si="38"/>
        <v>199440.01548400958</v>
      </c>
      <c r="BR45" s="931">
        <f t="shared" si="39"/>
        <v>52080.768416685103</v>
      </c>
      <c r="BS45" s="931">
        <f t="shared" si="40"/>
        <v>0</v>
      </c>
      <c r="BT45" s="931">
        <f t="shared" si="41"/>
        <v>0</v>
      </c>
      <c r="BU45" s="931">
        <f t="shared" si="42"/>
        <v>52080.768416685103</v>
      </c>
      <c r="BW45" s="929">
        <f t="shared" si="49"/>
        <v>25224484.237428442</v>
      </c>
      <c r="BX45" s="929">
        <f t="shared" si="50"/>
        <v>0</v>
      </c>
      <c r="BY45" s="929">
        <f t="shared" si="51"/>
        <v>0</v>
      </c>
      <c r="BZ45" s="929">
        <f t="shared" si="43"/>
        <v>25224484.237428442</v>
      </c>
      <c r="CB45" s="931">
        <f>$AU$49*(A45-2009)-CampusArea!D38</f>
        <v>0</v>
      </c>
      <c r="CC45" s="931">
        <f t="shared" si="10"/>
        <v>0</v>
      </c>
      <c r="CD45" s="931">
        <f t="shared" si="44"/>
        <v>0</v>
      </c>
      <c r="CE45" s="931">
        <f t="shared" si="45"/>
        <v>0</v>
      </c>
      <c r="CG45" s="929">
        <f t="shared" si="52"/>
        <v>0</v>
      </c>
    </row>
    <row r="46" spans="1:85">
      <c r="A46" s="303">
        <v>2037</v>
      </c>
      <c r="B46" s="304">
        <f ca="1">IF($D$3="BAU",UtilityDemand!C39,INDIRECT($D$3&amp;"!B"&amp;ROW(A46))+INDIRECT($D$3&amp;"!D"&amp;ROW(A46)))</f>
        <v>175360.48963946756</v>
      </c>
      <c r="C46" s="305">
        <f t="shared" ca="1" si="11"/>
        <v>-0.2217264514355789</v>
      </c>
      <c r="D46" s="306">
        <f t="shared" si="12"/>
        <v>-38882.059089764742</v>
      </c>
      <c r="E46" s="304">
        <f ca="1">IF($D$3="BAU",UtilityDemand!E39,INDIRECT($D$3&amp;"!E"&amp;ROW(D46))+INDIRECT($D$3&amp;"!G"&amp;ROW(D46)))</f>
        <v>934447.65573974175</v>
      </c>
      <c r="F46" s="305">
        <f t="shared" ca="1" si="13"/>
        <v>-0.22133576070713853</v>
      </c>
      <c r="G46" s="306">
        <f t="shared" si="14"/>
        <v>-206826.68272415805</v>
      </c>
      <c r="H46" s="304">
        <f ca="1">IF($D$3="BAU",UtilityDemand!G39,INDIRECT($D$3&amp;"!H"&amp;ROW(G46))+INDIRECT($D$3&amp;"!J"&amp;ROW(G46)))</f>
        <v>268073.02092494071</v>
      </c>
      <c r="I46" s="305">
        <f t="shared" ca="1" si="15"/>
        <v>-0.2014737834456444</v>
      </c>
      <c r="J46" s="306">
        <f t="shared" si="16"/>
        <v>-54009.685765451206</v>
      </c>
      <c r="K46" s="307">
        <f t="shared" ca="1" si="17"/>
        <v>136478.43054970281</v>
      </c>
      <c r="L46" s="307">
        <f t="shared" si="18"/>
        <v>0</v>
      </c>
      <c r="M46" s="307">
        <v>0</v>
      </c>
      <c r="N46" s="307">
        <f t="shared" ca="1" si="19"/>
        <v>136478.43054970281</v>
      </c>
      <c r="O46" s="1494">
        <f t="shared" ca="1" si="20"/>
        <v>727620.9730155837</v>
      </c>
      <c r="P46" s="306">
        <f t="shared" si="21"/>
        <v>0</v>
      </c>
      <c r="Q46" s="306">
        <v>0</v>
      </c>
      <c r="R46" s="306">
        <f t="shared" ca="1" si="22"/>
        <v>727620.9730155837</v>
      </c>
      <c r="S46" s="818">
        <f t="shared" ca="1" si="23"/>
        <v>214063.33515948951</v>
      </c>
      <c r="T46" s="818">
        <f t="shared" si="24"/>
        <v>0</v>
      </c>
      <c r="U46" s="818">
        <v>0</v>
      </c>
      <c r="V46" s="818">
        <f t="shared" ca="1" si="25"/>
        <v>214063.33515948951</v>
      </c>
      <c r="W46" s="306">
        <f t="shared" si="1"/>
        <v>0</v>
      </c>
      <c r="X46" s="306">
        <f t="shared" ca="1" si="2"/>
        <v>-56322.803026571382</v>
      </c>
      <c r="Y46" s="306">
        <v>0</v>
      </c>
      <c r="Z46" s="306">
        <v>0</v>
      </c>
      <c r="AA46" s="308">
        <f ca="1">-SUM(W46,X46/OFFSET(GridFootprintbyYear,$A46-$A$19,0)*EF_PurchElec_MTperMWh,Z46)*OFFSET(ExposureCalculations!Price_GHG_Allowance_2010,A46-$A$19,0)*ExposureCalculations!D43</f>
        <v>3812785.1651424663</v>
      </c>
      <c r="AB46" s="308">
        <f t="shared" ca="1" si="3"/>
        <v>3781393.2887474881</v>
      </c>
      <c r="AC46" s="308">
        <v>0</v>
      </c>
      <c r="AD46" s="819">
        <f t="shared" ca="1" si="4"/>
        <v>2618157.2030983004</v>
      </c>
      <c r="AE46" s="308">
        <v>0</v>
      </c>
      <c r="AF46" s="819">
        <f t="shared" ca="1" si="5"/>
        <v>1044187.2581320566</v>
      </c>
      <c r="AG46" s="308">
        <v>0</v>
      </c>
      <c r="AH46" s="308">
        <v>0</v>
      </c>
      <c r="AI46" s="308">
        <v>0</v>
      </c>
      <c r="AJ46" s="308">
        <f t="shared" ca="1" si="6"/>
        <v>7443737.7499778448</v>
      </c>
      <c r="AK46" s="911">
        <f t="shared" si="46"/>
        <v>25224484.237428442</v>
      </c>
      <c r="AL46" s="309">
        <f t="shared" si="47"/>
        <v>0</v>
      </c>
      <c r="AM46" s="309">
        <f t="shared" si="26"/>
        <v>25224484.237428442</v>
      </c>
      <c r="AN46" s="310">
        <f t="shared" si="48"/>
        <v>5731002.818743783</v>
      </c>
      <c r="AO46" s="310">
        <v>0</v>
      </c>
      <c r="AP46" s="310">
        <f t="shared" si="27"/>
        <v>5731002.818743783</v>
      </c>
      <c r="AQ46" s="309">
        <v>0</v>
      </c>
      <c r="AR46" s="311">
        <f t="shared" ca="1" si="7"/>
        <v>42212009.971292533</v>
      </c>
      <c r="AS46" s="870">
        <f t="shared" ca="1" si="28"/>
        <v>900811045.92514575</v>
      </c>
      <c r="AT46" s="822"/>
      <c r="AU46" s="1259">
        <f>SUMPRODUCT(AU22:AU24,UtilityDemand!P14:P16)</f>
        <v>195</v>
      </c>
      <c r="AV46" s="827" t="s">
        <v>66</v>
      </c>
      <c r="AW46" s="879"/>
      <c r="AX46" s="35"/>
      <c r="AY46" s="1249"/>
      <c r="BA46" s="945">
        <f>CampusArea!F39</f>
        <v>9117.1834707016078</v>
      </c>
      <c r="BB46" s="944">
        <f>BA46-((CampusArea!$N$60/CampusArea!$U$52)*(1+A46-$A$19))</f>
        <v>7099.2247317073179</v>
      </c>
      <c r="BC46" s="945">
        <f t="shared" si="29"/>
        <v>2017.9587389942899</v>
      </c>
      <c r="BD46" s="946">
        <f t="shared" si="30"/>
        <v>2017.9587389942899</v>
      </c>
      <c r="BE46" s="946">
        <f t="shared" si="31"/>
        <v>0</v>
      </c>
      <c r="BF46" s="946">
        <f t="shared" si="32"/>
        <v>0</v>
      </c>
      <c r="BH46" s="931">
        <f t="shared" si="33"/>
        <v>38882.059089764742</v>
      </c>
      <c r="BI46" s="931">
        <f t="shared" si="8"/>
        <v>0</v>
      </c>
      <c r="BJ46" s="931">
        <f t="shared" si="9"/>
        <v>0</v>
      </c>
      <c r="BK46" s="931">
        <f t="shared" si="34"/>
        <v>38882.059089764742</v>
      </c>
      <c r="BM46" s="931">
        <f t="shared" si="35"/>
        <v>206826.68272415805</v>
      </c>
      <c r="BN46" s="931">
        <f t="shared" si="36"/>
        <v>0</v>
      </c>
      <c r="BO46" s="931">
        <f t="shared" si="37"/>
        <v>0</v>
      </c>
      <c r="BP46" s="931">
        <f t="shared" si="38"/>
        <v>206826.68272415805</v>
      </c>
      <c r="BR46" s="931">
        <f t="shared" si="39"/>
        <v>54009.685765451206</v>
      </c>
      <c r="BS46" s="931">
        <f t="shared" si="40"/>
        <v>0</v>
      </c>
      <c r="BT46" s="931">
        <f t="shared" si="41"/>
        <v>0</v>
      </c>
      <c r="BU46" s="931">
        <f t="shared" si="42"/>
        <v>54009.685765451206</v>
      </c>
      <c r="BW46" s="929">
        <f t="shared" si="49"/>
        <v>25224484.237428442</v>
      </c>
      <c r="BX46" s="929">
        <f t="shared" si="50"/>
        <v>0</v>
      </c>
      <c r="BY46" s="929">
        <f t="shared" si="51"/>
        <v>0</v>
      </c>
      <c r="BZ46" s="929">
        <f t="shared" si="43"/>
        <v>25224484.237428442</v>
      </c>
      <c r="CB46" s="931">
        <f>$AU$49*(A46-2009)-CampusArea!D39</f>
        <v>0</v>
      </c>
      <c r="CC46" s="931">
        <f t="shared" si="10"/>
        <v>0</v>
      </c>
      <c r="CD46" s="931">
        <f t="shared" si="44"/>
        <v>0</v>
      </c>
      <c r="CE46" s="931">
        <f t="shared" si="45"/>
        <v>0</v>
      </c>
      <c r="CG46" s="929">
        <f t="shared" si="52"/>
        <v>0</v>
      </c>
    </row>
    <row r="47" spans="1:85">
      <c r="A47" s="303">
        <v>2038</v>
      </c>
      <c r="B47" s="304">
        <f ca="1">IF($D$3="BAU",UtilityDemand!C40,INDIRECT($D$3&amp;"!B"&amp;ROW(A47))+INDIRECT($D$3&amp;"!D"&amp;ROW(A47)))</f>
        <v>176937.1152403196</v>
      </c>
      <c r="C47" s="305">
        <f t="shared" ca="1" si="11"/>
        <v>-0.22759896363496068</v>
      </c>
      <c r="D47" s="306">
        <f t="shared" si="12"/>
        <v>-40270.704057256349</v>
      </c>
      <c r="E47" s="304">
        <f ca="1">IF($D$3="BAU",UtilityDemand!E40,INDIRECT($D$3&amp;"!E"&amp;ROW(D47))+INDIRECT($D$3&amp;"!G"&amp;ROW(D47)))</f>
        <v>942834.25486941705</v>
      </c>
      <c r="F47" s="305">
        <f t="shared" ca="1" si="13"/>
        <v>-0.2272014925825698</v>
      </c>
      <c r="G47" s="306">
        <f t="shared" si="14"/>
        <v>-214213.34996430657</v>
      </c>
      <c r="H47" s="304">
        <f ca="1">IF($D$3="BAU",UtilityDemand!G40,INDIRECT($D$3&amp;"!H"&amp;ROW(G47))+INDIRECT($D$3&amp;"!J"&amp;ROW(G47)))</f>
        <v>271137.55548754439</v>
      </c>
      <c r="I47" s="305">
        <f t="shared" ca="1" si="15"/>
        <v>-0.20631078942063802</v>
      </c>
      <c r="J47" s="306">
        <f t="shared" si="16"/>
        <v>-55938.603114217331</v>
      </c>
      <c r="K47" s="307">
        <f t="shared" ca="1" si="17"/>
        <v>136666.41118306326</v>
      </c>
      <c r="L47" s="307">
        <f t="shared" si="18"/>
        <v>0</v>
      </c>
      <c r="M47" s="307">
        <v>0</v>
      </c>
      <c r="N47" s="307">
        <f t="shared" ca="1" si="19"/>
        <v>136666.41118306326</v>
      </c>
      <c r="O47" s="1494">
        <f t="shared" ca="1" si="20"/>
        <v>728620.90490511048</v>
      </c>
      <c r="P47" s="306">
        <f t="shared" si="21"/>
        <v>0</v>
      </c>
      <c r="Q47" s="306">
        <v>0</v>
      </c>
      <c r="R47" s="306">
        <f t="shared" ca="1" si="22"/>
        <v>728620.90490511048</v>
      </c>
      <c r="S47" s="818">
        <f t="shared" ca="1" si="23"/>
        <v>215198.95237332705</v>
      </c>
      <c r="T47" s="818">
        <f t="shared" si="24"/>
        <v>0</v>
      </c>
      <c r="U47" s="818">
        <v>0</v>
      </c>
      <c r="V47" s="818">
        <f t="shared" ca="1" si="25"/>
        <v>215198.95237332705</v>
      </c>
      <c r="W47" s="306">
        <f t="shared" si="1"/>
        <v>0</v>
      </c>
      <c r="X47" s="306">
        <f t="shared" ca="1" si="2"/>
        <v>-58334.331706091805</v>
      </c>
      <c r="Y47" s="306">
        <v>0</v>
      </c>
      <c r="Z47" s="306">
        <v>0</v>
      </c>
      <c r="AA47" s="308">
        <f ca="1">-SUM(W47,X47/OFFSET(GridFootprintbyYear,$A47-$A$19,0)*EF_PurchElec_MTperMWh,Z47)*OFFSET(ExposureCalculations!Price_GHG_Allowance_2010,A47-$A$19,0)*ExposureCalculations!D44</f>
        <v>4144862.6693947506</v>
      </c>
      <c r="AB47" s="308">
        <f t="shared" ca="1" si="3"/>
        <v>3936025.2643051976</v>
      </c>
      <c r="AC47" s="308">
        <v>0</v>
      </c>
      <c r="AD47" s="819">
        <f t="shared" ca="1" si="4"/>
        <v>2725221.1315821409</v>
      </c>
      <c r="AE47" s="308">
        <v>0</v>
      </c>
      <c r="AF47" s="819">
        <f t="shared" ca="1" si="5"/>
        <v>1081479.6602082017</v>
      </c>
      <c r="AG47" s="308">
        <v>0</v>
      </c>
      <c r="AH47" s="308">
        <v>0</v>
      </c>
      <c r="AI47" s="308">
        <v>0</v>
      </c>
      <c r="AJ47" s="308">
        <f t="shared" ca="1" si="6"/>
        <v>7742726.0560955405</v>
      </c>
      <c r="AK47" s="911">
        <f t="shared" si="46"/>
        <v>25224484.237428762</v>
      </c>
      <c r="AL47" s="309">
        <f t="shared" si="47"/>
        <v>0</v>
      </c>
      <c r="AM47" s="309">
        <f t="shared" si="26"/>
        <v>25224484.237428762</v>
      </c>
      <c r="AN47" s="310">
        <f t="shared" si="48"/>
        <v>5935681.4908417761</v>
      </c>
      <c r="AO47" s="310">
        <v>0</v>
      </c>
      <c r="AP47" s="310">
        <f t="shared" si="27"/>
        <v>5935681.4908417761</v>
      </c>
      <c r="AQ47" s="309">
        <v>0</v>
      </c>
      <c r="AR47" s="311">
        <f t="shared" ca="1" si="7"/>
        <v>43047754.453760833</v>
      </c>
      <c r="AS47" s="870">
        <f t="shared" ca="1" si="28"/>
        <v>943858800.37890661</v>
      </c>
      <c r="AT47" s="822"/>
      <c r="AU47" s="878"/>
      <c r="AV47" s="35"/>
      <c r="AW47" s="879"/>
      <c r="AX47" s="35"/>
      <c r="AY47" s="1249"/>
      <c r="BA47" s="945">
        <f>CampusArea!F40</f>
        <v>9199.0095232266649</v>
      </c>
      <c r="BB47" s="944">
        <f>BA47-((CampusArea!$N$60/CampusArea!$U$52)*(1+A47-$A$19))</f>
        <v>7108.9808292682928</v>
      </c>
      <c r="BC47" s="945">
        <f t="shared" si="29"/>
        <v>2090.0286939583721</v>
      </c>
      <c r="BD47" s="946">
        <f t="shared" si="30"/>
        <v>2090.0286939583721</v>
      </c>
      <c r="BE47" s="946">
        <f t="shared" si="31"/>
        <v>0</v>
      </c>
      <c r="BF47" s="946">
        <f t="shared" si="32"/>
        <v>0</v>
      </c>
      <c r="BH47" s="931">
        <f t="shared" si="33"/>
        <v>40270.704057256349</v>
      </c>
      <c r="BI47" s="931">
        <f t="shared" si="8"/>
        <v>0</v>
      </c>
      <c r="BJ47" s="931">
        <f t="shared" si="9"/>
        <v>0</v>
      </c>
      <c r="BK47" s="931">
        <f t="shared" si="34"/>
        <v>40270.704057256349</v>
      </c>
      <c r="BM47" s="931">
        <f t="shared" si="35"/>
        <v>214213.34996430657</v>
      </c>
      <c r="BN47" s="931">
        <f t="shared" si="36"/>
        <v>0</v>
      </c>
      <c r="BO47" s="931">
        <f t="shared" si="37"/>
        <v>0</v>
      </c>
      <c r="BP47" s="931">
        <f t="shared" si="38"/>
        <v>214213.34996430657</v>
      </c>
      <c r="BR47" s="931">
        <f t="shared" si="39"/>
        <v>55938.603114217331</v>
      </c>
      <c r="BS47" s="931">
        <f t="shared" si="40"/>
        <v>0</v>
      </c>
      <c r="BT47" s="931">
        <f t="shared" si="41"/>
        <v>0</v>
      </c>
      <c r="BU47" s="931">
        <f t="shared" si="42"/>
        <v>55938.603114217331</v>
      </c>
      <c r="BW47" s="929">
        <f t="shared" si="49"/>
        <v>25224484.237428762</v>
      </c>
      <c r="BX47" s="929">
        <f t="shared" si="50"/>
        <v>0</v>
      </c>
      <c r="BY47" s="929">
        <f t="shared" si="51"/>
        <v>0</v>
      </c>
      <c r="BZ47" s="929">
        <f t="shared" si="43"/>
        <v>25224484.237428762</v>
      </c>
      <c r="CB47" s="931">
        <f>$AU$49*(A47-2009)-CampusArea!D40</f>
        <v>0</v>
      </c>
      <c r="CC47" s="931">
        <f t="shared" si="10"/>
        <v>0</v>
      </c>
      <c r="CD47" s="931">
        <f t="shared" si="44"/>
        <v>0</v>
      </c>
      <c r="CE47" s="931">
        <f t="shared" si="45"/>
        <v>0</v>
      </c>
      <c r="CG47" s="929">
        <f t="shared" si="52"/>
        <v>0</v>
      </c>
    </row>
    <row r="48" spans="1:85">
      <c r="A48" s="303">
        <v>2039</v>
      </c>
      <c r="B48" s="304">
        <f ca="1">IF($D$3="BAU",UtilityDemand!C41,INDIRECT($D$3&amp;"!B"&amp;ROW(A48))+INDIRECT($D$3&amp;"!D"&amp;ROW(A48)))</f>
        <v>178513.74084117162</v>
      </c>
      <c r="C48" s="305">
        <f t="shared" ca="1" si="11"/>
        <v>-0.23336774428929466</v>
      </c>
      <c r="D48" s="306">
        <f t="shared" si="12"/>
        <v>-41659.349024747957</v>
      </c>
      <c r="E48" s="304">
        <f ca="1">IF($D$3="BAU",UtilityDemand!E41,INDIRECT($D$3&amp;"!E"&amp;ROW(D48))+INDIRECT($D$3&amp;"!G"&amp;ROW(D48)))</f>
        <v>951220.85399909248</v>
      </c>
      <c r="F48" s="305">
        <f t="shared" ca="1" si="13"/>
        <v>-0.23296379202875062</v>
      </c>
      <c r="G48" s="306">
        <f t="shared" si="14"/>
        <v>-221600.01720445513</v>
      </c>
      <c r="H48" s="304">
        <f ca="1">IF($D$3="BAU",UtilityDemand!G41,INDIRECT($D$3&amp;"!H"&amp;ROW(G48))+INDIRECT($D$3&amp;"!J"&amp;ROW(G48)))</f>
        <v>274202.09005014808</v>
      </c>
      <c r="I48" s="305">
        <f t="shared" ca="1" si="15"/>
        <v>-0.21103967680333954</v>
      </c>
      <c r="J48" s="306">
        <f t="shared" si="16"/>
        <v>-57867.520462983455</v>
      </c>
      <c r="K48" s="307">
        <f t="shared" ca="1" si="17"/>
        <v>136854.39181642365</v>
      </c>
      <c r="L48" s="307">
        <f t="shared" si="18"/>
        <v>0</v>
      </c>
      <c r="M48" s="307">
        <v>0</v>
      </c>
      <c r="N48" s="307">
        <f t="shared" ca="1" si="19"/>
        <v>136854.39181642365</v>
      </c>
      <c r="O48" s="1494">
        <f t="shared" ca="1" si="20"/>
        <v>729620.83679463738</v>
      </c>
      <c r="P48" s="306">
        <f t="shared" si="21"/>
        <v>0</v>
      </c>
      <c r="Q48" s="306">
        <v>0</v>
      </c>
      <c r="R48" s="306">
        <f t="shared" ca="1" si="22"/>
        <v>729620.83679463738</v>
      </c>
      <c r="S48" s="818">
        <f t="shared" ca="1" si="23"/>
        <v>216334.56958716462</v>
      </c>
      <c r="T48" s="818">
        <f t="shared" si="24"/>
        <v>0</v>
      </c>
      <c r="U48" s="818">
        <v>0</v>
      </c>
      <c r="V48" s="818">
        <f t="shared" ca="1" si="25"/>
        <v>216334.56958716462</v>
      </c>
      <c r="W48" s="306">
        <f t="shared" si="1"/>
        <v>0</v>
      </c>
      <c r="X48" s="306">
        <f t="shared" ca="1" si="2"/>
        <v>-60345.860385612221</v>
      </c>
      <c r="Y48" s="306">
        <v>0</v>
      </c>
      <c r="Z48" s="306">
        <v>0</v>
      </c>
      <c r="AA48" s="308">
        <f ca="1">-SUM(W48,X48/OFFSET(GridFootprintbyYear,$A48-$A$19,0)*EF_PurchElec_MTperMWh,Z48)*OFFSET(ExposureCalculations!Price_GHG_Allowance_2010,A48-$A$19,0)*ExposureCalculations!D45</f>
        <v>4488578.2646077331</v>
      </c>
      <c r="AB48" s="308">
        <f t="shared" ca="1" si="3"/>
        <v>4092109.0247862665</v>
      </c>
      <c r="AC48" s="308">
        <v>0</v>
      </c>
      <c r="AD48" s="819">
        <f t="shared" ca="1" si="4"/>
        <v>2833290.2454207437</v>
      </c>
      <c r="AE48" s="308">
        <v>0</v>
      </c>
      <c r="AF48" s="819">
        <f t="shared" ca="1" si="5"/>
        <v>1118772.0622843467</v>
      </c>
      <c r="AG48" s="308">
        <v>0</v>
      </c>
      <c r="AH48" s="308">
        <v>0</v>
      </c>
      <c r="AI48" s="308">
        <v>0</v>
      </c>
      <c r="AJ48" s="308">
        <f t="shared" ca="1" si="6"/>
        <v>8044171.3324913569</v>
      </c>
      <c r="AK48" s="911">
        <f t="shared" si="46"/>
        <v>25224484.237428762</v>
      </c>
      <c r="AL48" s="309">
        <f t="shared" si="47"/>
        <v>0</v>
      </c>
      <c r="AM48" s="309">
        <f t="shared" si="26"/>
        <v>25224484.237428762</v>
      </c>
      <c r="AN48" s="310">
        <f t="shared" si="48"/>
        <v>6140360.1629397701</v>
      </c>
      <c r="AO48" s="310">
        <v>0</v>
      </c>
      <c r="AP48" s="310">
        <f t="shared" si="27"/>
        <v>6140360.1629397701</v>
      </c>
      <c r="AQ48" s="309">
        <v>0</v>
      </c>
      <c r="AR48" s="311">
        <f t="shared" ca="1" si="7"/>
        <v>43897593.997467622</v>
      </c>
      <c r="AS48" s="870">
        <f t="shared" ca="1" si="28"/>
        <v>987756394.37637424</v>
      </c>
      <c r="AT48" s="822"/>
      <c r="AU48" s="964" t="s">
        <v>998</v>
      </c>
      <c r="AV48" s="35"/>
      <c r="AW48" s="879"/>
      <c r="AX48" s="35"/>
      <c r="AY48" s="1249"/>
      <c r="BA48" s="945">
        <f>CampusArea!F41</f>
        <v>9280.835575751722</v>
      </c>
      <c r="BB48" s="944">
        <f>BA48-((CampusArea!$N$60/CampusArea!$U$52)*(1+A48-$A$19))</f>
        <v>7118.7369268292678</v>
      </c>
      <c r="BC48" s="945">
        <f t="shared" si="29"/>
        <v>2162.0986489224542</v>
      </c>
      <c r="BD48" s="946">
        <f t="shared" si="30"/>
        <v>2162.0986489224542</v>
      </c>
      <c r="BE48" s="946">
        <f t="shared" si="31"/>
        <v>0</v>
      </c>
      <c r="BF48" s="946">
        <f t="shared" si="32"/>
        <v>0</v>
      </c>
      <c r="BH48" s="931">
        <f t="shared" si="33"/>
        <v>41659.349024747957</v>
      </c>
      <c r="BI48" s="931">
        <f t="shared" si="8"/>
        <v>0</v>
      </c>
      <c r="BJ48" s="931">
        <f t="shared" si="9"/>
        <v>0</v>
      </c>
      <c r="BK48" s="931">
        <f t="shared" si="34"/>
        <v>41659.349024747957</v>
      </c>
      <c r="BM48" s="931">
        <f t="shared" si="35"/>
        <v>221600.01720445513</v>
      </c>
      <c r="BN48" s="931">
        <f t="shared" si="36"/>
        <v>0</v>
      </c>
      <c r="BO48" s="931">
        <f t="shared" si="37"/>
        <v>0</v>
      </c>
      <c r="BP48" s="931">
        <f t="shared" si="38"/>
        <v>221600.01720445513</v>
      </c>
      <c r="BR48" s="931">
        <f t="shared" si="39"/>
        <v>57867.520462983455</v>
      </c>
      <c r="BS48" s="931">
        <f t="shared" si="40"/>
        <v>0</v>
      </c>
      <c r="BT48" s="931">
        <f t="shared" si="41"/>
        <v>0</v>
      </c>
      <c r="BU48" s="931">
        <f t="shared" si="42"/>
        <v>57867.520462983455</v>
      </c>
      <c r="BW48" s="929">
        <f t="shared" si="49"/>
        <v>25224484.237428762</v>
      </c>
      <c r="BX48" s="929">
        <f t="shared" si="50"/>
        <v>0</v>
      </c>
      <c r="BY48" s="929">
        <f t="shared" si="51"/>
        <v>0</v>
      </c>
      <c r="BZ48" s="929">
        <f t="shared" si="43"/>
        <v>25224484.237428762</v>
      </c>
      <c r="CB48" s="931">
        <f>$AU$49*(A48-2009)-CampusArea!D41</f>
        <v>0</v>
      </c>
      <c r="CC48" s="931">
        <f t="shared" si="10"/>
        <v>0</v>
      </c>
      <c r="CD48" s="931">
        <f t="shared" si="44"/>
        <v>0</v>
      </c>
      <c r="CE48" s="931">
        <f t="shared" si="45"/>
        <v>0</v>
      </c>
      <c r="CG48" s="929">
        <f t="shared" si="52"/>
        <v>0</v>
      </c>
    </row>
    <row r="49" spans="1:85">
      <c r="A49" s="303">
        <v>2040</v>
      </c>
      <c r="B49" s="304">
        <f ca="1">IF($D$3="BAU",UtilityDemand!C42,INDIRECT($D$3&amp;"!B"&amp;ROW(A49))+INDIRECT($D$3&amp;"!D"&amp;ROW(A49)))</f>
        <v>180090.36644202363</v>
      </c>
      <c r="C49" s="305">
        <f t="shared" ca="1" si="11"/>
        <v>-0.23903551779432886</v>
      </c>
      <c r="D49" s="306">
        <f t="shared" si="12"/>
        <v>-43047.993992239542</v>
      </c>
      <c r="E49" s="304">
        <f ca="1">IF($D$3="BAU",UtilityDemand!E42,INDIRECT($D$3&amp;"!E"&amp;ROW(D49))+INDIRECT($D$3&amp;"!G"&amp;ROW(D49)))</f>
        <v>959607.45312876778</v>
      </c>
      <c r="F49" s="305">
        <f t="shared" ca="1" si="13"/>
        <v>-0.23862537092432973</v>
      </c>
      <c r="G49" s="306">
        <f t="shared" si="14"/>
        <v>-228986.68444460357</v>
      </c>
      <c r="H49" s="304">
        <f ca="1">IF($D$3="BAU",UtilityDemand!G42,INDIRECT($D$3&amp;"!H"&amp;ROW(G49))+INDIRECT($D$3&amp;"!J"&amp;ROW(G49)))</f>
        <v>277266.62461275177</v>
      </c>
      <c r="I49" s="305">
        <f t="shared" ca="1" si="15"/>
        <v>-0.21566403058884229</v>
      </c>
      <c r="J49" s="306">
        <f t="shared" si="16"/>
        <v>-59796.437811749551</v>
      </c>
      <c r="K49" s="307">
        <f t="shared" ca="1" si="17"/>
        <v>137042.37244978407</v>
      </c>
      <c r="L49" s="307">
        <f t="shared" si="18"/>
        <v>0</v>
      </c>
      <c r="M49" s="307">
        <v>0</v>
      </c>
      <c r="N49" s="307">
        <f t="shared" ca="1" si="19"/>
        <v>137042.37244978407</v>
      </c>
      <c r="O49" s="1494">
        <f t="shared" ca="1" si="20"/>
        <v>730620.76868416416</v>
      </c>
      <c r="P49" s="306">
        <f t="shared" si="21"/>
        <v>0</v>
      </c>
      <c r="Q49" s="306">
        <v>0</v>
      </c>
      <c r="R49" s="306">
        <f t="shared" ca="1" si="22"/>
        <v>730620.76868416416</v>
      </c>
      <c r="S49" s="818">
        <f t="shared" ca="1" si="23"/>
        <v>217470.18680100222</v>
      </c>
      <c r="T49" s="818">
        <f t="shared" si="24"/>
        <v>0</v>
      </c>
      <c r="U49" s="818">
        <v>0</v>
      </c>
      <c r="V49" s="818">
        <f t="shared" ca="1" si="25"/>
        <v>217470.18680100222</v>
      </c>
      <c r="W49" s="306">
        <f t="shared" si="1"/>
        <v>0</v>
      </c>
      <c r="X49" s="306">
        <f t="shared" ca="1" si="2"/>
        <v>-62357.389065132607</v>
      </c>
      <c r="Y49" s="306">
        <v>0</v>
      </c>
      <c r="Z49" s="306">
        <v>0</v>
      </c>
      <c r="AA49" s="308">
        <f ca="1">-SUM(W49,X49/OFFSET(GridFootprintbyYear,$A49-$A$19,0)*EF_PurchElec_MTperMWh,Z49)*OFFSET(ExposureCalculations!Price_GHG_Allowance_2010,A49-$A$19,0)*ExposureCalculations!D46</f>
        <v>4855797.3180808295</v>
      </c>
      <c r="AB49" s="308">
        <f t="shared" ca="1" si="3"/>
        <v>4249655.2222405365</v>
      </c>
      <c r="AC49" s="308">
        <v>0</v>
      </c>
      <c r="AD49" s="819">
        <f t="shared" ca="1" si="4"/>
        <v>2942371.9198694411</v>
      </c>
      <c r="AE49" s="308">
        <v>0</v>
      </c>
      <c r="AF49" s="819">
        <f t="shared" ca="1" si="5"/>
        <v>1156064.4643604911</v>
      </c>
      <c r="AG49" s="308">
        <v>0</v>
      </c>
      <c r="AH49" s="308">
        <v>0</v>
      </c>
      <c r="AI49" s="308">
        <v>0</v>
      </c>
      <c r="AJ49" s="308">
        <f t="shared" ca="1" si="6"/>
        <v>8348091.6064704685</v>
      </c>
      <c r="AK49" s="911">
        <f t="shared" si="46"/>
        <v>25224484.237428442</v>
      </c>
      <c r="AL49" s="309">
        <f t="shared" si="47"/>
        <v>0</v>
      </c>
      <c r="AM49" s="309">
        <f t="shared" si="26"/>
        <v>25224484.237428442</v>
      </c>
      <c r="AN49" s="310">
        <f t="shared" si="48"/>
        <v>6345038.8350377604</v>
      </c>
      <c r="AO49" s="310">
        <v>0</v>
      </c>
      <c r="AP49" s="310">
        <f t="shared" si="27"/>
        <v>6345038.8350377604</v>
      </c>
      <c r="AQ49" s="309">
        <v>0</v>
      </c>
      <c r="AR49" s="311">
        <f t="shared" ca="1" si="7"/>
        <v>44773411.997017495</v>
      </c>
      <c r="AS49" s="870">
        <f t="shared" ca="1" si="28"/>
        <v>1032529806.3733917</v>
      </c>
      <c r="AT49" s="822"/>
      <c r="AU49" s="1451">
        <v>22</v>
      </c>
      <c r="AV49" s="827" t="s">
        <v>999</v>
      </c>
      <c r="AW49" s="879"/>
      <c r="AX49" s="35"/>
      <c r="AY49" s="1249"/>
      <c r="BA49" s="945">
        <f>CampusArea!F42</f>
        <v>9362.6616282767791</v>
      </c>
      <c r="BB49" s="944">
        <f>BA49-((CampusArea!$N$60/CampusArea!$U$52)*(1+A49-$A$19))</f>
        <v>7128.4930243902436</v>
      </c>
      <c r="BC49" s="945">
        <f t="shared" si="29"/>
        <v>2234.1686038865355</v>
      </c>
      <c r="BD49" s="946">
        <f t="shared" si="30"/>
        <v>2234.1686038865355</v>
      </c>
      <c r="BE49" s="946">
        <f t="shared" si="31"/>
        <v>0</v>
      </c>
      <c r="BF49" s="946">
        <f t="shared" si="32"/>
        <v>0</v>
      </c>
      <c r="BH49" s="931">
        <f t="shared" si="33"/>
        <v>43047.993992239542</v>
      </c>
      <c r="BI49" s="931">
        <f t="shared" si="8"/>
        <v>0</v>
      </c>
      <c r="BJ49" s="931">
        <f t="shared" si="9"/>
        <v>0</v>
      </c>
      <c r="BK49" s="931">
        <f t="shared" si="34"/>
        <v>43047.993992239542</v>
      </c>
      <c r="BM49" s="931">
        <f t="shared" si="35"/>
        <v>228986.68444460357</v>
      </c>
      <c r="BN49" s="931">
        <f t="shared" si="36"/>
        <v>0</v>
      </c>
      <c r="BO49" s="931">
        <f t="shared" si="37"/>
        <v>0</v>
      </c>
      <c r="BP49" s="931">
        <f t="shared" si="38"/>
        <v>228986.68444460357</v>
      </c>
      <c r="BR49" s="931">
        <f t="shared" si="39"/>
        <v>59796.437811749551</v>
      </c>
      <c r="BS49" s="931">
        <f t="shared" si="40"/>
        <v>0</v>
      </c>
      <c r="BT49" s="931">
        <f t="shared" si="41"/>
        <v>0</v>
      </c>
      <c r="BU49" s="931">
        <f t="shared" si="42"/>
        <v>59796.437811749551</v>
      </c>
      <c r="BW49" s="929">
        <f t="shared" si="49"/>
        <v>25224484.237428442</v>
      </c>
      <c r="BX49" s="929">
        <f t="shared" si="50"/>
        <v>0</v>
      </c>
      <c r="BY49" s="929">
        <f t="shared" si="51"/>
        <v>0</v>
      </c>
      <c r="BZ49" s="929">
        <f t="shared" si="43"/>
        <v>25224484.237428442</v>
      </c>
      <c r="CB49" s="931">
        <f>$AU$49*(A49-2009)-CampusArea!D42</f>
        <v>0</v>
      </c>
      <c r="CC49" s="931">
        <f t="shared" si="10"/>
        <v>0</v>
      </c>
      <c r="CD49" s="931">
        <f t="shared" si="44"/>
        <v>0</v>
      </c>
      <c r="CE49" s="931">
        <f t="shared" si="45"/>
        <v>0</v>
      </c>
      <c r="CG49" s="929">
        <f t="shared" si="52"/>
        <v>0</v>
      </c>
    </row>
    <row r="50" spans="1:85">
      <c r="A50" s="303">
        <v>2041</v>
      </c>
      <c r="B50" s="304">
        <f ca="1">IF($D$3="BAU",UtilityDemand!C43,INDIRECT($D$3&amp;"!B"&amp;ROW(A50))+INDIRECT($D$3&amp;"!D"&amp;ROW(A50)))</f>
        <v>181666.99204287567</v>
      </c>
      <c r="C50" s="305">
        <f t="shared" ca="1" si="11"/>
        <v>-0.2446049139694213</v>
      </c>
      <c r="D50" s="306">
        <f t="shared" si="12"/>
        <v>-44436.63895973115</v>
      </c>
      <c r="E50" s="304">
        <f ca="1">IF($D$3="BAU",UtilityDemand!E43,INDIRECT($D$3&amp;"!E"&amp;ROW(D50))+INDIRECT($D$3&amp;"!G"&amp;ROW(D50)))</f>
        <v>967994.0522584432</v>
      </c>
      <c r="F50" s="305">
        <f t="shared" ca="1" si="13"/>
        <v>-0.2441888471662253</v>
      </c>
      <c r="G50" s="306">
        <f t="shared" si="14"/>
        <v>-236373.3516847521</v>
      </c>
      <c r="H50" s="304">
        <f ca="1">IF($D$3="BAU",UtilityDemand!G43,INDIRECT($D$3&amp;"!H"&amp;ROW(G50))+INDIRECT($D$3&amp;"!J"&amp;ROW(G50)))</f>
        <v>280331.15917535545</v>
      </c>
      <c r="I50" s="305">
        <f t="shared" ca="1" si="15"/>
        <v>-0.2201872790099107</v>
      </c>
      <c r="J50" s="306">
        <f t="shared" si="16"/>
        <v>-61725.355160515675</v>
      </c>
      <c r="K50" s="307">
        <f t="shared" ca="1" si="17"/>
        <v>137230.35308314452</v>
      </c>
      <c r="L50" s="307">
        <f t="shared" si="18"/>
        <v>0</v>
      </c>
      <c r="M50" s="307">
        <v>0</v>
      </c>
      <c r="N50" s="307">
        <f t="shared" ca="1" si="19"/>
        <v>137230.35308314452</v>
      </c>
      <c r="O50" s="1494">
        <f t="shared" ca="1" si="20"/>
        <v>731620.70057369117</v>
      </c>
      <c r="P50" s="306">
        <f t="shared" si="21"/>
        <v>0</v>
      </c>
      <c r="Q50" s="306">
        <v>0</v>
      </c>
      <c r="R50" s="306">
        <f t="shared" ca="1" si="22"/>
        <v>731620.70057369117</v>
      </c>
      <c r="S50" s="818">
        <f t="shared" ca="1" si="23"/>
        <v>218605.80401483978</v>
      </c>
      <c r="T50" s="818">
        <f t="shared" si="24"/>
        <v>0</v>
      </c>
      <c r="U50" s="818">
        <v>0</v>
      </c>
      <c r="V50" s="818">
        <f t="shared" ca="1" si="25"/>
        <v>218605.80401483978</v>
      </c>
      <c r="W50" s="306">
        <f t="shared" si="1"/>
        <v>0</v>
      </c>
      <c r="X50" s="306">
        <f t="shared" ca="1" si="2"/>
        <v>-64368.91774465303</v>
      </c>
      <c r="Y50" s="306">
        <v>0</v>
      </c>
      <c r="Z50" s="306">
        <v>0</v>
      </c>
      <c r="AA50" s="308">
        <f ca="1">-SUM(W50,X50/OFFSET(GridFootprintbyYear,$A50-$A$19,0)*EF_PurchElec_MTperMWh,Z50)*OFFSET(ExposureCalculations!Price_GHG_Allowance_2010,A50-$A$19,0)*ExposureCalculations!D47</f>
        <v>5230036.4075893108</v>
      </c>
      <c r="AB50" s="308">
        <f t="shared" ca="1" si="3"/>
        <v>4408674.5789437294</v>
      </c>
      <c r="AC50" s="308">
        <v>0</v>
      </c>
      <c r="AD50" s="819">
        <f t="shared" ca="1" si="4"/>
        <v>3052473.5788064906</v>
      </c>
      <c r="AE50" s="308">
        <v>0</v>
      </c>
      <c r="AF50" s="819">
        <f t="shared" ca="1" si="5"/>
        <v>1193356.8664366363</v>
      </c>
      <c r="AG50" s="308">
        <v>0</v>
      </c>
      <c r="AH50" s="308">
        <v>0</v>
      </c>
      <c r="AI50" s="308">
        <v>0</v>
      </c>
      <c r="AJ50" s="308">
        <f t="shared" ca="1" si="6"/>
        <v>8654505.024186857</v>
      </c>
      <c r="AK50" s="911">
        <f t="shared" si="46"/>
        <v>25224484.237428762</v>
      </c>
      <c r="AL50" s="309">
        <f t="shared" si="47"/>
        <v>0</v>
      </c>
      <c r="AM50" s="309">
        <f t="shared" si="26"/>
        <v>25224484.237428762</v>
      </c>
      <c r="AN50" s="310">
        <f t="shared" si="48"/>
        <v>6549717.5071357545</v>
      </c>
      <c r="AO50" s="310">
        <v>0</v>
      </c>
      <c r="AP50" s="310">
        <f t="shared" si="27"/>
        <v>6549717.5071357545</v>
      </c>
      <c r="AQ50" s="309">
        <v>0</v>
      </c>
      <c r="AR50" s="311">
        <f t="shared" ca="1" si="7"/>
        <v>45658743.176340684</v>
      </c>
      <c r="AS50" s="870">
        <f t="shared" ca="1" si="28"/>
        <v>1078188549.5497324</v>
      </c>
      <c r="AT50" s="822"/>
      <c r="AU50" s="1256">
        <f>CampusArea!J11</f>
        <v>22</v>
      </c>
      <c r="AV50" s="827" t="s">
        <v>1364</v>
      </c>
      <c r="AW50" s="879"/>
      <c r="AX50" s="35"/>
      <c r="AY50" s="1249"/>
      <c r="BA50" s="945">
        <f>CampusArea!F43</f>
        <v>9444.487680801838</v>
      </c>
      <c r="BB50" s="944">
        <f>BA50-((CampusArea!$N$60/CampusArea!$U$52)*(1+A50-$A$19))</f>
        <v>7138.2491219512203</v>
      </c>
      <c r="BC50" s="945">
        <f t="shared" si="29"/>
        <v>2306.2385588506177</v>
      </c>
      <c r="BD50" s="946">
        <f t="shared" si="30"/>
        <v>2306.2385588506177</v>
      </c>
      <c r="BE50" s="946">
        <f t="shared" si="31"/>
        <v>0</v>
      </c>
      <c r="BF50" s="946">
        <f t="shared" si="32"/>
        <v>0</v>
      </c>
      <c r="BH50" s="931">
        <f t="shared" si="33"/>
        <v>44436.63895973115</v>
      </c>
      <c r="BI50" s="931">
        <f t="shared" si="8"/>
        <v>0</v>
      </c>
      <c r="BJ50" s="931">
        <f t="shared" si="9"/>
        <v>0</v>
      </c>
      <c r="BK50" s="931">
        <f t="shared" si="34"/>
        <v>44436.63895973115</v>
      </c>
      <c r="BM50" s="931">
        <f t="shared" si="35"/>
        <v>236373.3516847521</v>
      </c>
      <c r="BN50" s="931">
        <f t="shared" si="36"/>
        <v>0</v>
      </c>
      <c r="BO50" s="931">
        <f t="shared" si="37"/>
        <v>0</v>
      </c>
      <c r="BP50" s="931">
        <f t="shared" si="38"/>
        <v>236373.3516847521</v>
      </c>
      <c r="BR50" s="931">
        <f t="shared" si="39"/>
        <v>61725.355160515675</v>
      </c>
      <c r="BS50" s="931">
        <f t="shared" si="40"/>
        <v>0</v>
      </c>
      <c r="BT50" s="931">
        <f t="shared" si="41"/>
        <v>0</v>
      </c>
      <c r="BU50" s="931">
        <f t="shared" si="42"/>
        <v>61725.355160515675</v>
      </c>
      <c r="BW50" s="929">
        <f t="shared" si="49"/>
        <v>25224484.237428762</v>
      </c>
      <c r="BX50" s="929">
        <f t="shared" si="50"/>
        <v>0</v>
      </c>
      <c r="BY50" s="929">
        <f t="shared" si="51"/>
        <v>0</v>
      </c>
      <c r="BZ50" s="929">
        <f t="shared" si="43"/>
        <v>25224484.237428762</v>
      </c>
      <c r="CB50" s="931">
        <f>$AU$49*(A50-2009)-CampusArea!D43</f>
        <v>0</v>
      </c>
      <c r="CC50" s="931">
        <f t="shared" si="10"/>
        <v>0</v>
      </c>
      <c r="CD50" s="931">
        <f t="shared" si="44"/>
        <v>0</v>
      </c>
      <c r="CE50" s="931">
        <f t="shared" si="45"/>
        <v>0</v>
      </c>
      <c r="CG50" s="929">
        <f t="shared" si="52"/>
        <v>0</v>
      </c>
    </row>
    <row r="51" spans="1:85">
      <c r="A51" s="303">
        <v>2042</v>
      </c>
      <c r="B51" s="304">
        <f ca="1">IF($D$3="BAU",UtilityDemand!C44,INDIRECT($D$3&amp;"!B"&amp;ROW(A51))+INDIRECT($D$3&amp;"!D"&amp;ROW(A51)))</f>
        <v>183243.61764372772</v>
      </c>
      <c r="C51" s="305">
        <f t="shared" ca="1" si="11"/>
        <v>-0.25007847212620954</v>
      </c>
      <c r="D51" s="306">
        <f t="shared" si="12"/>
        <v>-45825.283927222757</v>
      </c>
      <c r="E51" s="304">
        <f ca="1">IF($D$3="BAU",UtilityDemand!E44,INDIRECT($D$3&amp;"!E"&amp;ROW(D51))+INDIRECT($D$3&amp;"!G"&amp;ROW(D51)))</f>
        <v>976380.65138811851</v>
      </c>
      <c r="F51" s="305">
        <f t="shared" ca="1" si="13"/>
        <v>-0.24965674870589405</v>
      </c>
      <c r="G51" s="306">
        <f t="shared" si="14"/>
        <v>-243760.01892490065</v>
      </c>
      <c r="H51" s="304">
        <f ca="1">IF($D$3="BAU",UtilityDemand!G44,INDIRECT($D$3&amp;"!H"&amp;ROW(G51))+INDIRECT($D$3&amp;"!J"&amp;ROW(G51)))</f>
        <v>283395.69373795914</v>
      </c>
      <c r="I51" s="305">
        <f t="shared" ca="1" si="15"/>
        <v>-0.22461270201282418</v>
      </c>
      <c r="J51" s="306">
        <f t="shared" si="16"/>
        <v>-63654.2725092818</v>
      </c>
      <c r="K51" s="307">
        <f t="shared" ca="1" si="17"/>
        <v>137418.33371650497</v>
      </c>
      <c r="L51" s="307">
        <f t="shared" si="18"/>
        <v>0</v>
      </c>
      <c r="M51" s="307">
        <v>0</v>
      </c>
      <c r="N51" s="307">
        <f t="shared" ca="1" si="19"/>
        <v>137418.33371650497</v>
      </c>
      <c r="O51" s="1494">
        <f t="shared" ca="1" si="20"/>
        <v>732620.63246321783</v>
      </c>
      <c r="P51" s="306">
        <f t="shared" si="21"/>
        <v>0</v>
      </c>
      <c r="Q51" s="306">
        <v>0</v>
      </c>
      <c r="R51" s="306">
        <f t="shared" ca="1" si="22"/>
        <v>732620.63246321783</v>
      </c>
      <c r="S51" s="818">
        <f t="shared" ca="1" si="23"/>
        <v>219741.42122867733</v>
      </c>
      <c r="T51" s="818">
        <f t="shared" si="24"/>
        <v>0</v>
      </c>
      <c r="U51" s="818">
        <v>0</v>
      </c>
      <c r="V51" s="818">
        <f t="shared" ca="1" si="25"/>
        <v>219741.42122867733</v>
      </c>
      <c r="W51" s="306">
        <f t="shared" si="1"/>
        <v>0</v>
      </c>
      <c r="X51" s="306">
        <f t="shared" ca="1" si="2"/>
        <v>-66380.446424173453</v>
      </c>
      <c r="Y51" s="306">
        <v>0</v>
      </c>
      <c r="Z51" s="306">
        <v>0</v>
      </c>
      <c r="AA51" s="308">
        <f ca="1">-SUM(W51,X51/OFFSET(GridFootprintbyYear,$A51-$A$19,0)*EF_PurchElec_MTperMWh,Z51)*OFFSET(ExposureCalculations!Price_GHG_Allowance_2010,A51-$A$19,0)*ExposureCalculations!D48</f>
        <v>5609131.323392407</v>
      </c>
      <c r="AB51" s="308">
        <f t="shared" ca="1" si="3"/>
        <v>4569177.8878333997</v>
      </c>
      <c r="AC51" s="308">
        <v>0</v>
      </c>
      <c r="AD51" s="819">
        <f t="shared" ca="1" si="4"/>
        <v>3163602.6950349142</v>
      </c>
      <c r="AE51" s="308">
        <v>0</v>
      </c>
      <c r="AF51" s="819">
        <f t="shared" ca="1" si="5"/>
        <v>1230649.2685127815</v>
      </c>
      <c r="AG51" s="308">
        <v>0</v>
      </c>
      <c r="AH51" s="308">
        <v>0</v>
      </c>
      <c r="AI51" s="308">
        <v>0</v>
      </c>
      <c r="AJ51" s="308">
        <f t="shared" ca="1" si="6"/>
        <v>8963429.8513810951</v>
      </c>
      <c r="AK51" s="911">
        <f t="shared" si="46"/>
        <v>25224484.237428762</v>
      </c>
      <c r="AL51" s="309">
        <f t="shared" si="47"/>
        <v>0</v>
      </c>
      <c r="AM51" s="309">
        <f t="shared" si="26"/>
        <v>25224484.237428762</v>
      </c>
      <c r="AN51" s="310">
        <f t="shared" si="48"/>
        <v>6754396.1792337466</v>
      </c>
      <c r="AO51" s="310">
        <v>0</v>
      </c>
      <c r="AP51" s="310">
        <f t="shared" si="27"/>
        <v>6754396.1792337466</v>
      </c>
      <c r="AQ51" s="309">
        <v>0</v>
      </c>
      <c r="AR51" s="311">
        <f t="shared" ca="1" si="7"/>
        <v>46551441.591436014</v>
      </c>
      <c r="AS51" s="870">
        <f t="shared" ca="1" si="28"/>
        <v>1124739991.1411684</v>
      </c>
      <c r="AT51" s="822"/>
      <c r="AU51" s="878"/>
      <c r="AV51" s="35"/>
      <c r="AW51" s="879"/>
      <c r="AX51" s="35"/>
      <c r="AY51" s="1249"/>
      <c r="BA51" s="945">
        <f>CampusArea!F44</f>
        <v>9526.3137333268951</v>
      </c>
      <c r="BB51" s="944">
        <f>BA51-((CampusArea!$N$60/CampusArea!$U$52)*(1+A51-$A$19))</f>
        <v>7148.0052195121953</v>
      </c>
      <c r="BC51" s="945">
        <f t="shared" si="29"/>
        <v>2378.3085138146998</v>
      </c>
      <c r="BD51" s="946">
        <f t="shared" si="30"/>
        <v>2378.3085138146998</v>
      </c>
      <c r="BE51" s="946">
        <f t="shared" si="31"/>
        <v>0</v>
      </c>
      <c r="BF51" s="946">
        <f t="shared" si="32"/>
        <v>0</v>
      </c>
      <c r="BH51" s="931">
        <f t="shared" si="33"/>
        <v>45825.283927222757</v>
      </c>
      <c r="BI51" s="931">
        <f t="shared" si="8"/>
        <v>0</v>
      </c>
      <c r="BJ51" s="931">
        <f t="shared" si="9"/>
        <v>0</v>
      </c>
      <c r="BK51" s="931">
        <f t="shared" si="34"/>
        <v>45825.283927222757</v>
      </c>
      <c r="BM51" s="931">
        <f t="shared" si="35"/>
        <v>243760.01892490065</v>
      </c>
      <c r="BN51" s="931">
        <f t="shared" si="36"/>
        <v>0</v>
      </c>
      <c r="BO51" s="931">
        <f t="shared" si="37"/>
        <v>0</v>
      </c>
      <c r="BP51" s="931">
        <f t="shared" si="38"/>
        <v>243760.01892490065</v>
      </c>
      <c r="BR51" s="931">
        <f t="shared" si="39"/>
        <v>63654.2725092818</v>
      </c>
      <c r="BS51" s="931">
        <f t="shared" si="40"/>
        <v>0</v>
      </c>
      <c r="BT51" s="931">
        <f t="shared" si="41"/>
        <v>0</v>
      </c>
      <c r="BU51" s="931">
        <f t="shared" si="42"/>
        <v>63654.2725092818</v>
      </c>
      <c r="BW51" s="929">
        <f t="shared" si="49"/>
        <v>25224484.237428762</v>
      </c>
      <c r="BX51" s="929">
        <f t="shared" si="50"/>
        <v>0</v>
      </c>
      <c r="BY51" s="929">
        <f t="shared" si="51"/>
        <v>0</v>
      </c>
      <c r="BZ51" s="929">
        <f t="shared" si="43"/>
        <v>25224484.237428762</v>
      </c>
      <c r="CB51" s="931">
        <f>$AU$49*(A51-2009)-CampusArea!D44</f>
        <v>0</v>
      </c>
      <c r="CC51" s="931">
        <f t="shared" si="10"/>
        <v>0</v>
      </c>
      <c r="CD51" s="931">
        <f t="shared" si="44"/>
        <v>0</v>
      </c>
      <c r="CE51" s="931">
        <f t="shared" si="45"/>
        <v>0</v>
      </c>
      <c r="CG51" s="929">
        <f t="shared" si="52"/>
        <v>0</v>
      </c>
    </row>
    <row r="52" spans="1:85">
      <c r="A52" s="303">
        <v>2043</v>
      </c>
      <c r="B52" s="304">
        <f ca="1">IF($D$3="BAU",UtilityDemand!C45,INDIRECT($D$3&amp;"!B"&amp;ROW(A52))+INDIRECT($D$3&amp;"!D"&amp;ROW(A52)))</f>
        <v>184820.24324457973</v>
      </c>
      <c r="C52" s="305">
        <f t="shared" ca="1" si="11"/>
        <v>-0.25545864492903153</v>
      </c>
      <c r="D52" s="306">
        <f t="shared" si="12"/>
        <v>-47213.928894714336</v>
      </c>
      <c r="E52" s="304">
        <f ca="1">IF($D$3="BAU",UtilityDemand!E45,INDIRECT($D$3&amp;"!E"&amp;ROW(D52))+INDIRECT($D$3&amp;"!G"&amp;ROW(D52)))</f>
        <v>984767.25051779393</v>
      </c>
      <c r="F52" s="305">
        <f t="shared" ca="1" si="13"/>
        <v>-0.2550315173793557</v>
      </c>
      <c r="G52" s="306">
        <f t="shared" si="14"/>
        <v>-251146.68616504909</v>
      </c>
      <c r="H52" s="304">
        <f ca="1">IF($D$3="BAU",UtilityDemand!G45,INDIRECT($D$3&amp;"!H"&amp;ROW(G52))+INDIRECT($D$3&amp;"!J"&amp;ROW(G52)))</f>
        <v>286460.22830056283</v>
      </c>
      <c r="I52" s="305">
        <f t="shared" ca="1" si="15"/>
        <v>-0.22894343918917784</v>
      </c>
      <c r="J52" s="306">
        <f t="shared" si="16"/>
        <v>-65583.189858047903</v>
      </c>
      <c r="K52" s="307">
        <f t="shared" ca="1" si="17"/>
        <v>137606.3143498654</v>
      </c>
      <c r="L52" s="307">
        <f t="shared" si="18"/>
        <v>0</v>
      </c>
      <c r="M52" s="307">
        <v>0</v>
      </c>
      <c r="N52" s="307">
        <f t="shared" ca="1" si="19"/>
        <v>137606.3143498654</v>
      </c>
      <c r="O52" s="1494">
        <f t="shared" ca="1" si="20"/>
        <v>733620.56435274484</v>
      </c>
      <c r="P52" s="306">
        <f t="shared" si="21"/>
        <v>0</v>
      </c>
      <c r="Q52" s="306">
        <v>0</v>
      </c>
      <c r="R52" s="306">
        <f t="shared" ca="1" si="22"/>
        <v>733620.56435274484</v>
      </c>
      <c r="S52" s="818">
        <f t="shared" ca="1" si="23"/>
        <v>220877.03844251492</v>
      </c>
      <c r="T52" s="818">
        <f t="shared" si="24"/>
        <v>0</v>
      </c>
      <c r="U52" s="818">
        <v>0</v>
      </c>
      <c r="V52" s="818">
        <f t="shared" ca="1" si="25"/>
        <v>220877.03844251492</v>
      </c>
      <c r="W52" s="306">
        <f t="shared" si="1"/>
        <v>0</v>
      </c>
      <c r="X52" s="306">
        <f t="shared" ca="1" si="2"/>
        <v>-68391.97510369384</v>
      </c>
      <c r="Y52" s="306">
        <v>0</v>
      </c>
      <c r="Z52" s="306">
        <v>0</v>
      </c>
      <c r="AA52" s="308">
        <f ca="1">-SUM(W52,X52/OFFSET(GridFootprintbyYear,$A52-$A$19,0)*EF_PurchElec_MTperMWh,Z52)*OFFSET(ExposureCalculations!Price_GHG_Allowance_2010,A52-$A$19,0)*ExposureCalculations!D49</f>
        <v>6029016.3722301759</v>
      </c>
      <c r="AB52" s="308">
        <f t="shared" ca="1" si="3"/>
        <v>4731176.0129474914</v>
      </c>
      <c r="AC52" s="308">
        <v>0</v>
      </c>
      <c r="AD52" s="819">
        <f t="shared" ca="1" si="4"/>
        <v>3275766.7905861512</v>
      </c>
      <c r="AE52" s="308">
        <v>0</v>
      </c>
      <c r="AF52" s="819">
        <f t="shared" ca="1" si="5"/>
        <v>1267941.6705889259</v>
      </c>
      <c r="AG52" s="308">
        <v>0</v>
      </c>
      <c r="AH52" s="308">
        <v>0</v>
      </c>
      <c r="AI52" s="308">
        <v>0</v>
      </c>
      <c r="AJ52" s="308">
        <f t="shared" ca="1" si="6"/>
        <v>9274884.474122569</v>
      </c>
      <c r="AK52" s="911">
        <f t="shared" si="46"/>
        <v>25224484.237428442</v>
      </c>
      <c r="AL52" s="309">
        <f t="shared" si="47"/>
        <v>0</v>
      </c>
      <c r="AM52" s="309">
        <f t="shared" si="26"/>
        <v>25224484.237428442</v>
      </c>
      <c r="AN52" s="310">
        <f t="shared" si="48"/>
        <v>6959074.8513317378</v>
      </c>
      <c r="AO52" s="310">
        <v>0</v>
      </c>
      <c r="AP52" s="310">
        <f t="shared" si="27"/>
        <v>6959074.8513317378</v>
      </c>
      <c r="AQ52" s="309">
        <v>0</v>
      </c>
      <c r="AR52" s="311">
        <f t="shared" ca="1" si="7"/>
        <v>47487459.935112923</v>
      </c>
      <c r="AS52" s="870">
        <f t="shared" ca="1" si="28"/>
        <v>1172227451.0762813</v>
      </c>
      <c r="AT52" s="822"/>
      <c r="AU52" s="964" t="s">
        <v>1000</v>
      </c>
      <c r="AV52" s="35"/>
      <c r="AW52" s="879"/>
      <c r="AX52" s="35"/>
      <c r="AY52" s="1249"/>
      <c r="BA52" s="945">
        <f>CampusArea!F45</f>
        <v>9608.1397858519522</v>
      </c>
      <c r="BB52" s="944">
        <f>BA52-((CampusArea!$N$60/CampusArea!$U$52)*(1+A52-$A$19))</f>
        <v>7157.7613170731711</v>
      </c>
      <c r="BC52" s="945">
        <f t="shared" si="29"/>
        <v>2450.3784687787811</v>
      </c>
      <c r="BD52" s="946">
        <f t="shared" si="30"/>
        <v>2450.3784687787811</v>
      </c>
      <c r="BE52" s="946">
        <f t="shared" si="31"/>
        <v>0</v>
      </c>
      <c r="BF52" s="946">
        <f t="shared" si="32"/>
        <v>0</v>
      </c>
      <c r="BH52" s="931">
        <f t="shared" si="33"/>
        <v>47213.928894714336</v>
      </c>
      <c r="BI52" s="931">
        <f t="shared" si="8"/>
        <v>0</v>
      </c>
      <c r="BJ52" s="931">
        <f t="shared" si="9"/>
        <v>0</v>
      </c>
      <c r="BK52" s="931">
        <f t="shared" si="34"/>
        <v>47213.928894714336</v>
      </c>
      <c r="BM52" s="931">
        <f t="shared" si="35"/>
        <v>251146.68616504909</v>
      </c>
      <c r="BN52" s="931">
        <f t="shared" si="36"/>
        <v>0</v>
      </c>
      <c r="BO52" s="931">
        <f t="shared" si="37"/>
        <v>0</v>
      </c>
      <c r="BP52" s="931">
        <f t="shared" si="38"/>
        <v>251146.68616504909</v>
      </c>
      <c r="BR52" s="931">
        <f t="shared" si="39"/>
        <v>65583.189858047903</v>
      </c>
      <c r="BS52" s="931">
        <f t="shared" si="40"/>
        <v>0</v>
      </c>
      <c r="BT52" s="931">
        <f t="shared" si="41"/>
        <v>0</v>
      </c>
      <c r="BU52" s="931">
        <f t="shared" si="42"/>
        <v>65583.189858047903</v>
      </c>
      <c r="BW52" s="929">
        <f t="shared" si="49"/>
        <v>25224484.237428442</v>
      </c>
      <c r="BX52" s="929">
        <f t="shared" si="50"/>
        <v>0</v>
      </c>
      <c r="BY52" s="929">
        <f t="shared" si="51"/>
        <v>0</v>
      </c>
      <c r="BZ52" s="929">
        <f t="shared" si="43"/>
        <v>25224484.237428442</v>
      </c>
      <c r="CB52" s="931">
        <f>$AU$49*(A52-2009)-CampusArea!D45</f>
        <v>0</v>
      </c>
      <c r="CC52" s="931">
        <f t="shared" si="10"/>
        <v>0</v>
      </c>
      <c r="CD52" s="931">
        <f t="shared" si="44"/>
        <v>0</v>
      </c>
      <c r="CE52" s="931">
        <f t="shared" si="45"/>
        <v>0</v>
      </c>
      <c r="CG52" s="929">
        <f t="shared" si="52"/>
        <v>0</v>
      </c>
    </row>
    <row r="53" spans="1:85">
      <c r="A53" s="303">
        <v>2044</v>
      </c>
      <c r="B53" s="304">
        <f ca="1">IF($D$3="BAU",UtilityDemand!C46,INDIRECT($D$3&amp;"!B"&amp;ROW(A53))+INDIRECT($D$3&amp;"!D"&amp;ROW(A53)))</f>
        <v>186396.86884543177</v>
      </c>
      <c r="C53" s="305">
        <f t="shared" ca="1" si="11"/>
        <v>-0.26074780205942871</v>
      </c>
      <c r="D53" s="306">
        <f t="shared" si="12"/>
        <v>-48602.573862205943</v>
      </c>
      <c r="E53" s="304">
        <f ca="1">IF($D$3="BAU",UtilityDemand!E46,INDIRECT($D$3&amp;"!E"&amp;ROW(D53))+INDIRECT($D$3&amp;"!G"&amp;ROW(D53)))</f>
        <v>993153.84964746935</v>
      </c>
      <c r="F53" s="305">
        <f t="shared" ca="1" si="13"/>
        <v>-0.26031551254316421</v>
      </c>
      <c r="G53" s="306">
        <f t="shared" si="14"/>
        <v>-258533.35340519765</v>
      </c>
      <c r="H53" s="304">
        <f ca="1">IF($D$3="BAU",UtilityDemand!G46,INDIRECT($D$3&amp;"!H"&amp;ROW(G53))+INDIRECT($D$3&amp;"!J"&amp;ROW(G53)))</f>
        <v>289524.76286316651</v>
      </c>
      <c r="I53" s="305">
        <f t="shared" ca="1" si="15"/>
        <v>-0.23318249720394801</v>
      </c>
      <c r="J53" s="306">
        <f t="shared" si="16"/>
        <v>-67512.107206814035</v>
      </c>
      <c r="K53" s="307">
        <f t="shared" ca="1" si="17"/>
        <v>137794.29498322582</v>
      </c>
      <c r="L53" s="307">
        <f t="shared" si="18"/>
        <v>0</v>
      </c>
      <c r="M53" s="307">
        <v>0</v>
      </c>
      <c r="N53" s="307">
        <f t="shared" ca="1" si="19"/>
        <v>137794.29498322582</v>
      </c>
      <c r="O53" s="1494">
        <f t="shared" ca="1" si="20"/>
        <v>734620.49624227174</v>
      </c>
      <c r="P53" s="306">
        <f t="shared" si="21"/>
        <v>0</v>
      </c>
      <c r="Q53" s="306">
        <v>0</v>
      </c>
      <c r="R53" s="306">
        <f t="shared" ca="1" si="22"/>
        <v>734620.49624227174</v>
      </c>
      <c r="S53" s="818">
        <f t="shared" ca="1" si="23"/>
        <v>222012.65565635246</v>
      </c>
      <c r="T53" s="818">
        <f t="shared" si="24"/>
        <v>0</v>
      </c>
      <c r="U53" s="818">
        <v>0</v>
      </c>
      <c r="V53" s="818">
        <f t="shared" ca="1" si="25"/>
        <v>222012.65565635246</v>
      </c>
      <c r="W53" s="306">
        <f t="shared" si="1"/>
        <v>0</v>
      </c>
      <c r="X53" s="306">
        <f t="shared" ca="1" si="2"/>
        <v>-70403.503783214255</v>
      </c>
      <c r="Y53" s="306">
        <v>0</v>
      </c>
      <c r="Z53" s="306">
        <v>0</v>
      </c>
      <c r="AA53" s="308">
        <f ca="1">-SUM(W53,X53/OFFSET(GridFootprintbyYear,$A53-$A$19,0)*EF_PurchElec_MTperMWh,Z53)*OFFSET(ExposureCalculations!Price_GHG_Allowance_2010,A53-$A$19,0)*ExposureCalculations!D50</f>
        <v>6497952.0036616335</v>
      </c>
      <c r="AB53" s="308">
        <f t="shared" ca="1" si="3"/>
        <v>4894679.8898655297</v>
      </c>
      <c r="AC53" s="308">
        <v>0</v>
      </c>
      <c r="AD53" s="819">
        <f t="shared" ca="1" si="4"/>
        <v>3388973.4370255261</v>
      </c>
      <c r="AE53" s="308">
        <v>0</v>
      </c>
      <c r="AF53" s="819">
        <f t="shared" ca="1" si="5"/>
        <v>1305234.0726650713</v>
      </c>
      <c r="AG53" s="308">
        <v>0</v>
      </c>
      <c r="AH53" s="308">
        <v>0</v>
      </c>
      <c r="AI53" s="308">
        <v>0</v>
      </c>
      <c r="AJ53" s="308">
        <f t="shared" ca="1" si="6"/>
        <v>9588887.3995561264</v>
      </c>
      <c r="AK53" s="911">
        <f t="shared" si="46"/>
        <v>25224484.237428762</v>
      </c>
      <c r="AL53" s="309">
        <f t="shared" si="47"/>
        <v>0</v>
      </c>
      <c r="AM53" s="309">
        <f t="shared" si="26"/>
        <v>25224484.237428762</v>
      </c>
      <c r="AN53" s="310">
        <f t="shared" si="48"/>
        <v>7163753.5234297309</v>
      </c>
      <c r="AO53" s="310">
        <v>0</v>
      </c>
      <c r="AP53" s="310">
        <f t="shared" si="27"/>
        <v>7163753.5234297309</v>
      </c>
      <c r="AQ53" s="309">
        <v>0</v>
      </c>
      <c r="AR53" s="311">
        <f t="shared" ca="1" si="7"/>
        <v>48475077.164076246</v>
      </c>
      <c r="AS53" s="870">
        <f t="shared" ca="1" si="28"/>
        <v>1220702528.2403576</v>
      </c>
      <c r="AT53" s="822"/>
      <c r="AU53" s="1453">
        <v>0.7</v>
      </c>
      <c r="AV53" s="827" t="s">
        <v>1001</v>
      </c>
      <c r="AW53" s="879"/>
      <c r="AX53" s="35"/>
      <c r="AY53" s="1249"/>
      <c r="BA53" s="945">
        <f>CampusArea!F46</f>
        <v>9689.9658383770093</v>
      </c>
      <c r="BB53" s="944">
        <f>BA53-((CampusArea!$N$60/CampusArea!$U$52)*(1+A53-$A$19))</f>
        <v>7167.517414634146</v>
      </c>
      <c r="BC53" s="945">
        <f t="shared" si="29"/>
        <v>2522.4484237428633</v>
      </c>
      <c r="BD53" s="946">
        <f t="shared" si="30"/>
        <v>2522.4484237428633</v>
      </c>
      <c r="BE53" s="946">
        <f t="shared" si="31"/>
        <v>0</v>
      </c>
      <c r="BF53" s="946">
        <f t="shared" si="32"/>
        <v>0</v>
      </c>
      <c r="BH53" s="931">
        <f t="shared" si="33"/>
        <v>48602.573862205943</v>
      </c>
      <c r="BI53" s="931">
        <f t="shared" si="8"/>
        <v>0</v>
      </c>
      <c r="BJ53" s="931">
        <f t="shared" si="9"/>
        <v>0</v>
      </c>
      <c r="BK53" s="931">
        <f t="shared" si="34"/>
        <v>48602.573862205943</v>
      </c>
      <c r="BM53" s="931">
        <f t="shared" si="35"/>
        <v>258533.35340519765</v>
      </c>
      <c r="BN53" s="931">
        <f t="shared" si="36"/>
        <v>0</v>
      </c>
      <c r="BO53" s="931">
        <f t="shared" si="37"/>
        <v>0</v>
      </c>
      <c r="BP53" s="931">
        <f t="shared" si="38"/>
        <v>258533.35340519765</v>
      </c>
      <c r="BR53" s="931">
        <f t="shared" si="39"/>
        <v>67512.107206814035</v>
      </c>
      <c r="BS53" s="931">
        <f t="shared" si="40"/>
        <v>0</v>
      </c>
      <c r="BT53" s="931">
        <f t="shared" si="41"/>
        <v>0</v>
      </c>
      <c r="BU53" s="931">
        <f t="shared" si="42"/>
        <v>67512.107206814035</v>
      </c>
      <c r="BW53" s="929">
        <f t="shared" si="49"/>
        <v>25224484.237428762</v>
      </c>
      <c r="BX53" s="929">
        <f t="shared" si="50"/>
        <v>0</v>
      </c>
      <c r="BY53" s="929">
        <f t="shared" si="51"/>
        <v>0</v>
      </c>
      <c r="BZ53" s="929">
        <f t="shared" si="43"/>
        <v>25224484.237428762</v>
      </c>
      <c r="CB53" s="931">
        <f>$AU$49*(A53-2009)-CampusArea!D46</f>
        <v>0</v>
      </c>
      <c r="CC53" s="931">
        <f t="shared" si="10"/>
        <v>0</v>
      </c>
      <c r="CD53" s="931">
        <f t="shared" si="44"/>
        <v>0</v>
      </c>
      <c r="CE53" s="931">
        <f t="shared" si="45"/>
        <v>0</v>
      </c>
      <c r="CG53" s="929">
        <f t="shared" si="52"/>
        <v>0</v>
      </c>
    </row>
    <row r="54" spans="1:85">
      <c r="A54" s="303">
        <v>2045</v>
      </c>
      <c r="B54" s="304">
        <f ca="1">IF($D$3="BAU",UtilityDemand!C47,INDIRECT($D$3&amp;"!B"&amp;ROW(A54))+INDIRECT($D$3&amp;"!D"&amp;ROW(A54)))</f>
        <v>187973.49444628376</v>
      </c>
      <c r="C54" s="305">
        <f t="shared" ca="1" si="11"/>
        <v>-0.2659482336962315</v>
      </c>
      <c r="D54" s="306">
        <f t="shared" si="12"/>
        <v>-49991.218829697551</v>
      </c>
      <c r="E54" s="304">
        <f ca="1">IF($D$3="BAU",UtilityDemand!E47,INDIRECT($D$3&amp;"!E"&amp;ROW(D54))+INDIRECT($D$3&amp;"!G"&amp;ROW(D54)))</f>
        <v>1001540.4487771448</v>
      </c>
      <c r="F54" s="305">
        <f t="shared" ca="1" si="13"/>
        <v>-0.26551101452769854</v>
      </c>
      <c r="G54" s="306">
        <f t="shared" si="14"/>
        <v>-265920.0206453462</v>
      </c>
      <c r="H54" s="304">
        <f ca="1">IF($D$3="BAU",UtilityDemand!G47,INDIRECT($D$3&amp;"!H"&amp;ROW(G54))+INDIRECT($D$3&amp;"!J"&amp;ROW(G54)))</f>
        <v>292589.2974257702</v>
      </c>
      <c r="I54" s="305">
        <f t="shared" ca="1" si="15"/>
        <v>-0.23733275675675497</v>
      </c>
      <c r="J54" s="306">
        <f t="shared" si="16"/>
        <v>-69441.024555580152</v>
      </c>
      <c r="K54" s="307">
        <f t="shared" ca="1" si="17"/>
        <v>137982.27561658621</v>
      </c>
      <c r="L54" s="307">
        <f t="shared" si="18"/>
        <v>0</v>
      </c>
      <c r="M54" s="307">
        <v>0</v>
      </c>
      <c r="N54" s="307">
        <f t="shared" ca="1" si="19"/>
        <v>137982.27561658621</v>
      </c>
      <c r="O54" s="1494">
        <f t="shared" ca="1" si="20"/>
        <v>735620.42813179852</v>
      </c>
      <c r="P54" s="306">
        <f t="shared" si="21"/>
        <v>0</v>
      </c>
      <c r="Q54" s="306">
        <v>0</v>
      </c>
      <c r="R54" s="306">
        <f t="shared" ca="1" si="22"/>
        <v>735620.42813179852</v>
      </c>
      <c r="S54" s="818">
        <f t="shared" ca="1" si="23"/>
        <v>223148.27287019003</v>
      </c>
      <c r="T54" s="818">
        <f t="shared" si="24"/>
        <v>0</v>
      </c>
      <c r="U54" s="818">
        <v>0</v>
      </c>
      <c r="V54" s="818">
        <f t="shared" ca="1" si="25"/>
        <v>223148.27287019003</v>
      </c>
      <c r="W54" s="306">
        <f t="shared" si="1"/>
        <v>0</v>
      </c>
      <c r="X54" s="306">
        <f t="shared" ca="1" si="2"/>
        <v>-72415.032462734671</v>
      </c>
      <c r="Y54" s="306">
        <v>0</v>
      </c>
      <c r="Z54" s="306">
        <v>0</v>
      </c>
      <c r="AA54" s="308">
        <f ca="1">-SUM(W54,X54/OFFSET(GridFootprintbyYear,$A54-$A$19,0)*EF_PurchElec_MTperMWh,Z54)*OFFSET(ExposureCalculations!Price_GHG_Allowance_2010,A54-$A$19,0)*ExposureCalculations!D51</f>
        <v>7027451.5087957187</v>
      </c>
      <c r="AB54" s="308">
        <f t="shared" ca="1" si="3"/>
        <v>5059700.5261524254</v>
      </c>
      <c r="AC54" s="308">
        <v>0</v>
      </c>
      <c r="AD54" s="819">
        <f t="shared" ca="1" si="4"/>
        <v>3503230.2557595293</v>
      </c>
      <c r="AE54" s="308">
        <v>0</v>
      </c>
      <c r="AF54" s="819">
        <f t="shared" ca="1" si="5"/>
        <v>1342526.4747412163</v>
      </c>
      <c r="AG54" s="308">
        <v>0</v>
      </c>
      <c r="AH54" s="308">
        <v>0</v>
      </c>
      <c r="AI54" s="308">
        <v>0</v>
      </c>
      <c r="AJ54" s="308">
        <f t="shared" ca="1" si="6"/>
        <v>9905457.256653171</v>
      </c>
      <c r="AK54" s="911">
        <f t="shared" si="46"/>
        <v>25224484.237428762</v>
      </c>
      <c r="AL54" s="309">
        <f t="shared" si="47"/>
        <v>0</v>
      </c>
      <c r="AM54" s="309">
        <f t="shared" si="26"/>
        <v>25224484.237428762</v>
      </c>
      <c r="AN54" s="310">
        <f t="shared" si="48"/>
        <v>7368432.1955277249</v>
      </c>
      <c r="AO54" s="310">
        <v>0</v>
      </c>
      <c r="AP54" s="310">
        <f t="shared" si="27"/>
        <v>7368432.1955277249</v>
      </c>
      <c r="AQ54" s="309">
        <v>0</v>
      </c>
      <c r="AR54" s="311">
        <f t="shared" ca="1" si="7"/>
        <v>49525825.198405378</v>
      </c>
      <c r="AS54" s="870">
        <f t="shared" ca="1" si="28"/>
        <v>1270228353.4387629</v>
      </c>
      <c r="AT54" s="822"/>
      <c r="AU54" s="878"/>
      <c r="AV54" s="35"/>
      <c r="AW54" s="879"/>
      <c r="AX54" s="35"/>
      <c r="AY54" s="1249"/>
      <c r="BA54" s="945">
        <f>CampusArea!F47</f>
        <v>9771.7918909020664</v>
      </c>
      <c r="BB54" s="944">
        <f>BA54-((CampusArea!$N$60/CampusArea!$U$52)*(1+A54-$A$19))</f>
        <v>7177.2735121951209</v>
      </c>
      <c r="BC54" s="945">
        <f t="shared" si="29"/>
        <v>2594.5183787069454</v>
      </c>
      <c r="BD54" s="946">
        <f t="shared" si="30"/>
        <v>2594.5183787069454</v>
      </c>
      <c r="BE54" s="946">
        <f t="shared" si="31"/>
        <v>0</v>
      </c>
      <c r="BF54" s="946">
        <f t="shared" si="32"/>
        <v>0</v>
      </c>
      <c r="BH54" s="931">
        <f t="shared" si="33"/>
        <v>49991.218829697551</v>
      </c>
      <c r="BI54" s="931">
        <f t="shared" si="8"/>
        <v>0</v>
      </c>
      <c r="BJ54" s="931">
        <f t="shared" si="9"/>
        <v>0</v>
      </c>
      <c r="BK54" s="931">
        <f t="shared" si="34"/>
        <v>49991.218829697551</v>
      </c>
      <c r="BM54" s="931">
        <f t="shared" si="35"/>
        <v>265920.0206453462</v>
      </c>
      <c r="BN54" s="931">
        <f t="shared" si="36"/>
        <v>0</v>
      </c>
      <c r="BO54" s="931">
        <f t="shared" si="37"/>
        <v>0</v>
      </c>
      <c r="BP54" s="931">
        <f t="shared" si="38"/>
        <v>265920.0206453462</v>
      </c>
      <c r="BR54" s="931">
        <f t="shared" si="39"/>
        <v>69441.024555580152</v>
      </c>
      <c r="BS54" s="931">
        <f t="shared" si="40"/>
        <v>0</v>
      </c>
      <c r="BT54" s="931">
        <f t="shared" si="41"/>
        <v>0</v>
      </c>
      <c r="BU54" s="931">
        <f t="shared" si="42"/>
        <v>69441.024555580152</v>
      </c>
      <c r="BW54" s="929">
        <f t="shared" si="49"/>
        <v>25224484.237428762</v>
      </c>
      <c r="BX54" s="929">
        <f t="shared" si="50"/>
        <v>0</v>
      </c>
      <c r="BY54" s="929">
        <f t="shared" si="51"/>
        <v>0</v>
      </c>
      <c r="BZ54" s="929">
        <f t="shared" si="43"/>
        <v>25224484.237428762</v>
      </c>
      <c r="CB54" s="931">
        <f>$AU$49*(A54-2009)-CampusArea!D47</f>
        <v>0</v>
      </c>
      <c r="CC54" s="931">
        <f t="shared" si="10"/>
        <v>0</v>
      </c>
      <c r="CD54" s="931">
        <f t="shared" si="44"/>
        <v>0</v>
      </c>
      <c r="CE54" s="931">
        <f t="shared" si="45"/>
        <v>0</v>
      </c>
      <c r="CG54" s="929">
        <f t="shared" si="52"/>
        <v>0</v>
      </c>
    </row>
    <row r="55" spans="1:85">
      <c r="A55" s="303">
        <v>2046</v>
      </c>
      <c r="B55" s="304">
        <f ca="1">IF($D$3="BAU",UtilityDemand!C48,INDIRECT($D$3&amp;"!B"&amp;ROW(A55))+INDIRECT($D$3&amp;"!D"&amp;ROW(A55)))</f>
        <v>189550.12004713583</v>
      </c>
      <c r="C55" s="305">
        <f t="shared" ca="1" si="11"/>
        <v>-0.27106215382196747</v>
      </c>
      <c r="D55" s="306">
        <f t="shared" si="12"/>
        <v>-51379.863797189137</v>
      </c>
      <c r="E55" s="304">
        <f ca="1">IF($D$3="BAU",UtilityDemand!E48,INDIRECT($D$3&amp;"!E"&amp;ROW(D55))+INDIRECT($D$3&amp;"!G"&amp;ROW(D55)))</f>
        <v>1009927.04790682</v>
      </c>
      <c r="F55" s="305">
        <f t="shared" ca="1" si="13"/>
        <v>-0.27062022791839419</v>
      </c>
      <c r="G55" s="306">
        <f t="shared" si="14"/>
        <v>-273306.68788549461</v>
      </c>
      <c r="H55" s="304">
        <f ca="1">IF($D$3="BAU",UtilityDemand!G48,INDIRECT($D$3&amp;"!H"&amp;ROW(G55))+INDIRECT($D$3&amp;"!J"&amp;ROW(G55)))</f>
        <v>295653.83198837389</v>
      </c>
      <c r="I55" s="305">
        <f t="shared" ca="1" si="15"/>
        <v>-0.24139697911019387</v>
      </c>
      <c r="J55" s="306">
        <f t="shared" si="16"/>
        <v>-71369.941904346255</v>
      </c>
      <c r="K55" s="307">
        <f t="shared" ca="1" si="17"/>
        <v>138170.25624994669</v>
      </c>
      <c r="L55" s="307">
        <f t="shared" si="18"/>
        <v>0</v>
      </c>
      <c r="M55" s="307">
        <v>0</v>
      </c>
      <c r="N55" s="307">
        <f t="shared" ca="1" si="19"/>
        <v>138170.25624994669</v>
      </c>
      <c r="O55" s="1494">
        <f t="shared" ca="1" si="20"/>
        <v>736620.36002132529</v>
      </c>
      <c r="P55" s="306">
        <f t="shared" si="21"/>
        <v>0</v>
      </c>
      <c r="Q55" s="306">
        <v>0</v>
      </c>
      <c r="R55" s="306">
        <f t="shared" ca="1" si="22"/>
        <v>736620.36002132529</v>
      </c>
      <c r="S55" s="818">
        <f t="shared" ca="1" si="23"/>
        <v>224283.89008402763</v>
      </c>
      <c r="T55" s="818">
        <f t="shared" si="24"/>
        <v>0</v>
      </c>
      <c r="U55" s="818">
        <v>0</v>
      </c>
      <c r="V55" s="818">
        <f t="shared" ca="1" si="25"/>
        <v>224283.89008402763</v>
      </c>
      <c r="W55" s="306">
        <f t="shared" si="1"/>
        <v>0</v>
      </c>
      <c r="X55" s="306">
        <f t="shared" ca="1" si="2"/>
        <v>-74426.561142255057</v>
      </c>
      <c r="Y55" s="306">
        <v>0</v>
      </c>
      <c r="Z55" s="306">
        <v>0</v>
      </c>
      <c r="AA55" s="308">
        <f ca="1">-SUM(W55,X55/OFFSET(GridFootprintbyYear,$A55-$A$19,0)*EF_PurchElec_MTperMWh,Z55)*OFFSET(ExposureCalculations!Price_GHG_Allowance_2010,A55-$A$19,0)*ExposureCalculations!D52</f>
        <v>7599782.4662880013</v>
      </c>
      <c r="AB55" s="308">
        <f t="shared" ca="1" si="3"/>
        <v>5226249.0018049395</v>
      </c>
      <c r="AC55" s="308">
        <v>0</v>
      </c>
      <c r="AD55" s="819">
        <f t="shared" ca="1" si="4"/>
        <v>3618544.9183449447</v>
      </c>
      <c r="AE55" s="308">
        <v>0</v>
      </c>
      <c r="AF55" s="819">
        <f t="shared" ca="1" si="5"/>
        <v>1379818.8768173608</v>
      </c>
      <c r="AG55" s="308">
        <v>0</v>
      </c>
      <c r="AH55" s="308">
        <v>0</v>
      </c>
      <c r="AI55" s="308">
        <v>0</v>
      </c>
      <c r="AJ55" s="308">
        <f t="shared" ca="1" si="6"/>
        <v>10224612.796967246</v>
      </c>
      <c r="AK55" s="911">
        <f t="shared" si="46"/>
        <v>25224484.237428442</v>
      </c>
      <c r="AL55" s="309">
        <f t="shared" si="47"/>
        <v>0</v>
      </c>
      <c r="AM55" s="309">
        <f t="shared" si="26"/>
        <v>25224484.237428442</v>
      </c>
      <c r="AN55" s="310">
        <f t="shared" si="48"/>
        <v>7573110.8676257152</v>
      </c>
      <c r="AO55" s="310">
        <v>0</v>
      </c>
      <c r="AP55" s="310">
        <f t="shared" si="27"/>
        <v>7573110.8676257152</v>
      </c>
      <c r="AQ55" s="309">
        <v>0</v>
      </c>
      <c r="AR55" s="311">
        <f t="shared" ca="1" si="7"/>
        <v>50621990.368309401</v>
      </c>
      <c r="AS55" s="870">
        <f t="shared" ca="1" si="28"/>
        <v>1320850343.8070724</v>
      </c>
      <c r="AT55" s="822"/>
      <c r="AU55" s="964" t="s">
        <v>1428</v>
      </c>
      <c r="AV55" s="35"/>
      <c r="AW55" s="879"/>
      <c r="AX55" s="35"/>
      <c r="AY55" s="1249"/>
      <c r="BA55" s="945">
        <f>CampusArea!F48</f>
        <v>9853.6179434271235</v>
      </c>
      <c r="BB55" s="944">
        <f>BA55-((CampusArea!$N$60/CampusArea!$U$52)*(1+A55-$A$19))</f>
        <v>7187.0296097560968</v>
      </c>
      <c r="BC55" s="945">
        <f t="shared" si="29"/>
        <v>2666.5883336710267</v>
      </c>
      <c r="BD55" s="946">
        <f t="shared" si="30"/>
        <v>2666.5883336710267</v>
      </c>
      <c r="BE55" s="946">
        <f t="shared" si="31"/>
        <v>0</v>
      </c>
      <c r="BF55" s="946">
        <f t="shared" si="32"/>
        <v>0</v>
      </c>
      <c r="BH55" s="931">
        <f t="shared" si="33"/>
        <v>51379.863797189137</v>
      </c>
      <c r="BI55" s="931">
        <f t="shared" si="8"/>
        <v>0</v>
      </c>
      <c r="BJ55" s="931">
        <f t="shared" si="9"/>
        <v>0</v>
      </c>
      <c r="BK55" s="931">
        <f t="shared" si="34"/>
        <v>51379.863797189137</v>
      </c>
      <c r="BM55" s="931">
        <f t="shared" si="35"/>
        <v>273306.68788549461</v>
      </c>
      <c r="BN55" s="931">
        <f t="shared" si="36"/>
        <v>0</v>
      </c>
      <c r="BO55" s="931">
        <f t="shared" si="37"/>
        <v>0</v>
      </c>
      <c r="BP55" s="931">
        <f t="shared" si="38"/>
        <v>273306.68788549461</v>
      </c>
      <c r="BR55" s="931">
        <f t="shared" si="39"/>
        <v>71369.941904346255</v>
      </c>
      <c r="BS55" s="931">
        <f t="shared" si="40"/>
        <v>0</v>
      </c>
      <c r="BT55" s="931">
        <f t="shared" si="41"/>
        <v>0</v>
      </c>
      <c r="BU55" s="931">
        <f t="shared" si="42"/>
        <v>71369.941904346255</v>
      </c>
      <c r="BW55" s="929">
        <f t="shared" si="49"/>
        <v>25224484.237428442</v>
      </c>
      <c r="BX55" s="929">
        <f t="shared" si="50"/>
        <v>0</v>
      </c>
      <c r="BY55" s="929">
        <f t="shared" si="51"/>
        <v>0</v>
      </c>
      <c r="BZ55" s="929">
        <f t="shared" si="43"/>
        <v>25224484.237428442</v>
      </c>
      <c r="CB55" s="931">
        <f>$AU$49*(A55-2009)-CampusArea!D48</f>
        <v>0</v>
      </c>
      <c r="CC55" s="931">
        <f t="shared" si="10"/>
        <v>0</v>
      </c>
      <c r="CD55" s="931">
        <f t="shared" si="44"/>
        <v>0</v>
      </c>
      <c r="CE55" s="931">
        <f t="shared" si="45"/>
        <v>0</v>
      </c>
      <c r="CG55" s="929">
        <f t="shared" si="52"/>
        <v>0</v>
      </c>
    </row>
    <row r="56" spans="1:85">
      <c r="A56" s="303">
        <v>2047</v>
      </c>
      <c r="B56" s="304">
        <f ca="1">IF($D$3="BAU",UtilityDemand!C49,INDIRECT($D$3&amp;"!B"&amp;ROW(A56))+INDIRECT($D$3&amp;"!D"&amp;ROW(A56)))</f>
        <v>191126.74564798782</v>
      </c>
      <c r="C56" s="305">
        <f t="shared" ca="1" si="11"/>
        <v>-0.27609170336562089</v>
      </c>
      <c r="D56" s="306">
        <f t="shared" si="12"/>
        <v>-52768.508764680722</v>
      </c>
      <c r="E56" s="304">
        <f ca="1">IF($D$3="BAU",UtilityDemand!E49,INDIRECT($D$3&amp;"!E"&amp;ROW(D56))+INDIRECT($D$3&amp;"!G"&amp;ROW(D56)))</f>
        <v>1018313.6470364953</v>
      </c>
      <c r="F56" s="305">
        <f t="shared" ca="1" si="13"/>
        <v>-0.2756452846748339</v>
      </c>
      <c r="G56" s="306">
        <f t="shared" si="14"/>
        <v>-280693.35512564308</v>
      </c>
      <c r="H56" s="304">
        <f ca="1">IF($D$3="BAU",UtilityDemand!G49,INDIRECT($D$3&amp;"!H"&amp;ROW(G56))+INDIRECT($D$3&amp;"!J"&amp;ROW(G56)))</f>
        <v>298718.36655097757</v>
      </c>
      <c r="I56" s="305">
        <f t="shared" ca="1" si="15"/>
        <v>-0.24537781221632246</v>
      </c>
      <c r="J56" s="306">
        <f t="shared" si="16"/>
        <v>-73298.859253112358</v>
      </c>
      <c r="K56" s="307">
        <f t="shared" ca="1" si="17"/>
        <v>138358.23688330711</v>
      </c>
      <c r="L56" s="307">
        <f t="shared" si="18"/>
        <v>0</v>
      </c>
      <c r="M56" s="307">
        <v>0</v>
      </c>
      <c r="N56" s="307">
        <f t="shared" ca="1" si="19"/>
        <v>138358.23688330711</v>
      </c>
      <c r="O56" s="1494">
        <f t="shared" ca="1" si="20"/>
        <v>737620.29191085219</v>
      </c>
      <c r="P56" s="306">
        <f t="shared" si="21"/>
        <v>0</v>
      </c>
      <c r="Q56" s="306">
        <v>0</v>
      </c>
      <c r="R56" s="306">
        <f t="shared" ca="1" si="22"/>
        <v>737620.29191085219</v>
      </c>
      <c r="S56" s="818">
        <f t="shared" ca="1" si="23"/>
        <v>225419.50729786523</v>
      </c>
      <c r="T56" s="818">
        <f t="shared" si="24"/>
        <v>0</v>
      </c>
      <c r="U56" s="818">
        <v>0</v>
      </c>
      <c r="V56" s="818">
        <f t="shared" ca="1" si="25"/>
        <v>225419.50729786523</v>
      </c>
      <c r="W56" s="306">
        <f t="shared" si="1"/>
        <v>0</v>
      </c>
      <c r="X56" s="306">
        <f t="shared" ca="1" si="2"/>
        <v>-76438.089821775444</v>
      </c>
      <c r="Y56" s="306">
        <v>0</v>
      </c>
      <c r="Z56" s="306">
        <v>0</v>
      </c>
      <c r="AA56" s="308">
        <f ca="1">-SUM(W56,X56/OFFSET(GridFootprintbyYear,$A56-$A$19,0)*EF_PurchElec_MTperMWh,Z56)*OFFSET(ExposureCalculations!Price_GHG_Allowance_2010,A56-$A$19,0)*ExposureCalculations!D53</f>
        <v>8219918.8314336129</v>
      </c>
      <c r="AB56" s="308">
        <f t="shared" ca="1" si="3"/>
        <v>5394336.4697008254</v>
      </c>
      <c r="AC56" s="308">
        <v>0</v>
      </c>
      <c r="AD56" s="819">
        <f t="shared" ca="1" si="4"/>
        <v>3734925.1467998209</v>
      </c>
      <c r="AE56" s="308">
        <v>0</v>
      </c>
      <c r="AF56" s="819">
        <f t="shared" ca="1" si="5"/>
        <v>1417111.2788935055</v>
      </c>
      <c r="AG56" s="308">
        <v>0</v>
      </c>
      <c r="AH56" s="308">
        <v>0</v>
      </c>
      <c r="AI56" s="308">
        <v>0</v>
      </c>
      <c r="AJ56" s="308">
        <f t="shared" ca="1" si="6"/>
        <v>10546372.895394152</v>
      </c>
      <c r="AK56" s="911">
        <f t="shared" si="46"/>
        <v>25224484.237428442</v>
      </c>
      <c r="AL56" s="309">
        <f t="shared" si="47"/>
        <v>0</v>
      </c>
      <c r="AM56" s="309">
        <f t="shared" si="26"/>
        <v>25224484.237428442</v>
      </c>
      <c r="AN56" s="310">
        <f t="shared" si="48"/>
        <v>7777789.5397237064</v>
      </c>
      <c r="AO56" s="310">
        <v>0</v>
      </c>
      <c r="AP56" s="310">
        <f t="shared" si="27"/>
        <v>7777789.5397237064</v>
      </c>
      <c r="AQ56" s="309">
        <v>0</v>
      </c>
      <c r="AR56" s="311">
        <f t="shared" ca="1" si="7"/>
        <v>51768565.503979914</v>
      </c>
      <c r="AS56" s="870">
        <f t="shared" ca="1" si="28"/>
        <v>1372618909.3110523</v>
      </c>
      <c r="AT56" s="822"/>
      <c r="AU56" s="1257">
        <f>UtilityDemand!L17</f>
        <v>0</v>
      </c>
      <c r="AV56" s="35" t="s">
        <v>1426</v>
      </c>
      <c r="AW56" s="879"/>
      <c r="AX56" s="35"/>
      <c r="AY56" s="1249"/>
      <c r="BA56" s="945">
        <f>CampusArea!F49</f>
        <v>9935.4439959521806</v>
      </c>
      <c r="BB56" s="944">
        <f>BA56-((CampusArea!$N$60/CampusArea!$U$52)*(1+A56-$A$19))</f>
        <v>7196.7857073170726</v>
      </c>
      <c r="BC56" s="945">
        <f t="shared" si="29"/>
        <v>2738.658288635108</v>
      </c>
      <c r="BD56" s="946">
        <f t="shared" si="30"/>
        <v>2738.658288635108</v>
      </c>
      <c r="BE56" s="946">
        <f t="shared" si="31"/>
        <v>0</v>
      </c>
      <c r="BF56" s="946">
        <f t="shared" si="32"/>
        <v>0</v>
      </c>
      <c r="BH56" s="931">
        <f t="shared" si="33"/>
        <v>52768.508764680722</v>
      </c>
      <c r="BI56" s="931">
        <f t="shared" si="8"/>
        <v>0</v>
      </c>
      <c r="BJ56" s="931">
        <f t="shared" si="9"/>
        <v>0</v>
      </c>
      <c r="BK56" s="931">
        <f t="shared" si="34"/>
        <v>52768.508764680722</v>
      </c>
      <c r="BM56" s="931">
        <f t="shared" si="35"/>
        <v>280693.35512564308</v>
      </c>
      <c r="BN56" s="931">
        <f t="shared" si="36"/>
        <v>0</v>
      </c>
      <c r="BO56" s="931">
        <f t="shared" si="37"/>
        <v>0</v>
      </c>
      <c r="BP56" s="931">
        <f t="shared" si="38"/>
        <v>280693.35512564308</v>
      </c>
      <c r="BR56" s="931">
        <f t="shared" si="39"/>
        <v>73298.859253112358</v>
      </c>
      <c r="BS56" s="931">
        <f t="shared" si="40"/>
        <v>0</v>
      </c>
      <c r="BT56" s="931">
        <f t="shared" si="41"/>
        <v>0</v>
      </c>
      <c r="BU56" s="931">
        <f t="shared" si="42"/>
        <v>73298.859253112358</v>
      </c>
      <c r="BW56" s="929">
        <f t="shared" si="49"/>
        <v>25224484.237428442</v>
      </c>
      <c r="BX56" s="929">
        <f t="shared" si="50"/>
        <v>0</v>
      </c>
      <c r="BY56" s="929">
        <f t="shared" si="51"/>
        <v>0</v>
      </c>
      <c r="BZ56" s="929">
        <f t="shared" si="43"/>
        <v>25224484.237428442</v>
      </c>
      <c r="CB56" s="931">
        <f>$AU$49*(A56-2009)-CampusArea!D49</f>
        <v>0</v>
      </c>
      <c r="CC56" s="931">
        <f t="shared" si="10"/>
        <v>0</v>
      </c>
      <c r="CD56" s="931">
        <f t="shared" si="44"/>
        <v>0</v>
      </c>
      <c r="CE56" s="931">
        <f t="shared" si="45"/>
        <v>0</v>
      </c>
      <c r="CG56" s="929">
        <f t="shared" si="52"/>
        <v>0</v>
      </c>
    </row>
    <row r="57" spans="1:85">
      <c r="A57" s="303">
        <v>2048</v>
      </c>
      <c r="B57" s="304">
        <f ca="1">IF($D$3="BAU",UtilityDemand!C50,INDIRECT($D$3&amp;"!B"&amp;ROW(A57))+INDIRECT($D$3&amp;"!D"&amp;ROW(A57)))</f>
        <v>192703.37124883989</v>
      </c>
      <c r="C57" s="305">
        <f t="shared" ca="1" si="11"/>
        <v>-0.28103895319111272</v>
      </c>
      <c r="D57" s="306">
        <f t="shared" si="12"/>
        <v>-54157.15373217233</v>
      </c>
      <c r="E57" s="304">
        <f ca="1">IF($D$3="BAU",UtilityDemand!E50,INDIRECT($D$3&amp;"!E"&amp;ROW(D57))+INDIRECT($D$3&amp;"!G"&amp;ROW(D57)))</f>
        <v>1026700.2461661708</v>
      </c>
      <c r="F57" s="305">
        <f t="shared" ca="1" si="13"/>
        <v>-0.28058824709696817</v>
      </c>
      <c r="G57" s="306">
        <f t="shared" si="14"/>
        <v>-288080.02236579161</v>
      </c>
      <c r="H57" s="304">
        <f ca="1">IF($D$3="BAU",UtilityDemand!G50,INDIRECT($D$3&amp;"!H"&amp;ROW(G57))+INDIRECT($D$3&amp;"!J"&amp;ROW(G57)))</f>
        <v>301782.90111358126</v>
      </c>
      <c r="I57" s="305">
        <f t="shared" ca="1" si="15"/>
        <v>-0.24927779646987086</v>
      </c>
      <c r="J57" s="306">
        <f t="shared" si="16"/>
        <v>-75227.776601878475</v>
      </c>
      <c r="K57" s="307">
        <f t="shared" ca="1" si="17"/>
        <v>138546.21751666756</v>
      </c>
      <c r="L57" s="307">
        <f t="shared" si="18"/>
        <v>0</v>
      </c>
      <c r="M57" s="307">
        <v>0</v>
      </c>
      <c r="N57" s="307">
        <f t="shared" ca="1" si="19"/>
        <v>138546.21751666756</v>
      </c>
      <c r="O57" s="1494">
        <f t="shared" ca="1" si="20"/>
        <v>738620.2238003792</v>
      </c>
      <c r="P57" s="306">
        <f t="shared" si="21"/>
        <v>0</v>
      </c>
      <c r="Q57" s="306">
        <v>0</v>
      </c>
      <c r="R57" s="306">
        <f t="shared" ca="1" si="22"/>
        <v>738620.2238003792</v>
      </c>
      <c r="S57" s="818">
        <f t="shared" ca="1" si="23"/>
        <v>226555.1245117028</v>
      </c>
      <c r="T57" s="818">
        <f t="shared" si="24"/>
        <v>0</v>
      </c>
      <c r="U57" s="818">
        <v>0</v>
      </c>
      <c r="V57" s="818">
        <f t="shared" ca="1" si="25"/>
        <v>226555.1245117028</v>
      </c>
      <c r="W57" s="306">
        <f t="shared" si="1"/>
        <v>0</v>
      </c>
      <c r="X57" s="306">
        <f t="shared" ca="1" si="2"/>
        <v>-78449.618501295859</v>
      </c>
      <c r="Y57" s="306">
        <v>0</v>
      </c>
      <c r="Z57" s="306">
        <v>0</v>
      </c>
      <c r="AA57" s="308">
        <f ca="1">-SUM(W57,X57/OFFSET(GridFootprintbyYear,$A57-$A$19,0)*EF_PurchElec_MTperMWh,Z57)*OFFSET(ExposureCalculations!Price_GHG_Allowance_2010,A57-$A$19,0)*ExposureCalculations!D54</f>
        <v>8893418.7346112933</v>
      </c>
      <c r="AB57" s="308">
        <f t="shared" ca="1" si="3"/>
        <v>5563974.1560506281</v>
      </c>
      <c r="AC57" s="308">
        <v>0</v>
      </c>
      <c r="AD57" s="819">
        <f t="shared" ca="1" si="4"/>
        <v>3852378.7139162901</v>
      </c>
      <c r="AE57" s="308">
        <v>0</v>
      </c>
      <c r="AF57" s="819">
        <f t="shared" ca="1" si="5"/>
        <v>1454403.6809696504</v>
      </c>
      <c r="AG57" s="308">
        <v>0</v>
      </c>
      <c r="AH57" s="308">
        <v>0</v>
      </c>
      <c r="AI57" s="308">
        <v>0</v>
      </c>
      <c r="AJ57" s="308">
        <f t="shared" ca="1" si="6"/>
        <v>10870756.550936569</v>
      </c>
      <c r="AK57" s="911">
        <f t="shared" si="46"/>
        <v>25224484.237428762</v>
      </c>
      <c r="AL57" s="309">
        <f t="shared" si="47"/>
        <v>0</v>
      </c>
      <c r="AM57" s="309">
        <f t="shared" si="26"/>
        <v>25224484.237428762</v>
      </c>
      <c r="AN57" s="310">
        <f t="shared" si="48"/>
        <v>7982468.2118216995</v>
      </c>
      <c r="AO57" s="310">
        <v>0</v>
      </c>
      <c r="AP57" s="310">
        <f t="shared" si="27"/>
        <v>7982468.2118216995</v>
      </c>
      <c r="AQ57" s="309">
        <v>0</v>
      </c>
      <c r="AR57" s="311">
        <f t="shared" ca="1" si="7"/>
        <v>52971127.73479832</v>
      </c>
      <c r="AS57" s="870">
        <f t="shared" ca="1" si="28"/>
        <v>1425590037.0458508</v>
      </c>
      <c r="AT57" s="822"/>
      <c r="AU57" s="1257">
        <f>UtilityDemand!L18</f>
        <v>0</v>
      </c>
      <c r="AV57" s="35" t="s">
        <v>1399</v>
      </c>
      <c r="AW57" s="35"/>
      <c r="AX57" s="35"/>
      <c r="AY57" s="1249"/>
      <c r="BA57" s="945">
        <f>CampusArea!F50</f>
        <v>10017.270048477239</v>
      </c>
      <c r="BB57" s="944">
        <f>BA57-((CampusArea!$N$60/CampusArea!$U$52)*(1+A57-$A$19))</f>
        <v>7206.5418048780493</v>
      </c>
      <c r="BC57" s="945">
        <f t="shared" si="29"/>
        <v>2810.7282435991901</v>
      </c>
      <c r="BD57" s="946">
        <f t="shared" si="30"/>
        <v>2810.7282435991901</v>
      </c>
      <c r="BE57" s="946">
        <f t="shared" si="31"/>
        <v>0</v>
      </c>
      <c r="BF57" s="946">
        <f t="shared" si="32"/>
        <v>0</v>
      </c>
      <c r="BH57" s="931">
        <f t="shared" si="33"/>
        <v>54157.15373217233</v>
      </c>
      <c r="BI57" s="931">
        <f t="shared" si="8"/>
        <v>0</v>
      </c>
      <c r="BJ57" s="931">
        <f t="shared" si="9"/>
        <v>0</v>
      </c>
      <c r="BK57" s="931">
        <f t="shared" si="34"/>
        <v>54157.15373217233</v>
      </c>
      <c r="BM57" s="931">
        <f t="shared" si="35"/>
        <v>288080.02236579161</v>
      </c>
      <c r="BN57" s="931">
        <f t="shared" si="36"/>
        <v>0</v>
      </c>
      <c r="BO57" s="931">
        <f t="shared" si="37"/>
        <v>0</v>
      </c>
      <c r="BP57" s="931">
        <f t="shared" si="38"/>
        <v>288080.02236579161</v>
      </c>
      <c r="BR57" s="931">
        <f t="shared" si="39"/>
        <v>75227.776601878475</v>
      </c>
      <c r="BS57" s="931">
        <f t="shared" si="40"/>
        <v>0</v>
      </c>
      <c r="BT57" s="931">
        <f t="shared" si="41"/>
        <v>0</v>
      </c>
      <c r="BU57" s="931">
        <f t="shared" si="42"/>
        <v>75227.776601878475</v>
      </c>
      <c r="BW57" s="929">
        <f t="shared" si="49"/>
        <v>25224484.237428762</v>
      </c>
      <c r="BX57" s="929">
        <f t="shared" si="50"/>
        <v>0</v>
      </c>
      <c r="BY57" s="929">
        <f t="shared" si="51"/>
        <v>0</v>
      </c>
      <c r="BZ57" s="929">
        <f t="shared" si="43"/>
        <v>25224484.237428762</v>
      </c>
      <c r="CB57" s="931">
        <f>$AU$49*(A57-2009)-CampusArea!D50</f>
        <v>0</v>
      </c>
      <c r="CC57" s="931">
        <f t="shared" si="10"/>
        <v>0</v>
      </c>
      <c r="CD57" s="931">
        <f t="shared" si="44"/>
        <v>0</v>
      </c>
      <c r="CE57" s="931">
        <f t="shared" si="45"/>
        <v>0</v>
      </c>
      <c r="CG57" s="929">
        <f t="shared" si="52"/>
        <v>0</v>
      </c>
    </row>
    <row r="58" spans="1:85">
      <c r="A58" s="303">
        <v>2049</v>
      </c>
      <c r="B58" s="304">
        <f ca="1">IF($D$3="BAU",UtilityDemand!C51,INDIRECT($D$3&amp;"!B"&amp;ROW(A58))+INDIRECT($D$3&amp;"!D"&amp;ROW(A58)))</f>
        <v>194279.99684969187</v>
      </c>
      <c r="C58" s="305">
        <f t="shared" ca="1" si="11"/>
        <v>-0.2859059069402699</v>
      </c>
      <c r="D58" s="306">
        <f t="shared" si="12"/>
        <v>-55545.79869966393</v>
      </c>
      <c r="E58" s="304">
        <f ca="1">IF($D$3="BAU",UtilityDemand!E51,INDIRECT($D$3&amp;"!E"&amp;ROW(D58))+INDIRECT($D$3&amp;"!G"&amp;ROW(D58)))</f>
        <v>1035086.8452958462</v>
      </c>
      <c r="F58" s="305">
        <f t="shared" ca="1" si="13"/>
        <v>-0.28545111064713657</v>
      </c>
      <c r="G58" s="306">
        <f t="shared" si="14"/>
        <v>-295466.68960594013</v>
      </c>
      <c r="H58" s="304">
        <f ca="1">IF($D$3="BAU",UtilityDemand!G51,INDIRECT($D$3&amp;"!H"&amp;ROW(G58))+INDIRECT($D$3&amp;"!J"&amp;ROW(G58)))</f>
        <v>304847.43567618495</v>
      </c>
      <c r="I58" s="305">
        <f t="shared" ca="1" si="15"/>
        <v>-0.25309937011443978</v>
      </c>
      <c r="J58" s="306">
        <f t="shared" si="16"/>
        <v>-77156.693950644607</v>
      </c>
      <c r="K58" s="307">
        <f t="shared" ca="1" si="17"/>
        <v>138734.19815002795</v>
      </c>
      <c r="L58" s="307">
        <f t="shared" si="18"/>
        <v>0</v>
      </c>
      <c r="M58" s="307">
        <v>0</v>
      </c>
      <c r="N58" s="307">
        <f t="shared" ca="1" si="19"/>
        <v>138734.19815002795</v>
      </c>
      <c r="O58" s="1494">
        <f t="shared" ca="1" si="20"/>
        <v>739620.1556899061</v>
      </c>
      <c r="P58" s="306">
        <f t="shared" si="21"/>
        <v>0</v>
      </c>
      <c r="Q58" s="306">
        <v>0</v>
      </c>
      <c r="R58" s="306">
        <f t="shared" ca="1" si="22"/>
        <v>739620.1556899061</v>
      </c>
      <c r="S58" s="818">
        <f t="shared" ca="1" si="23"/>
        <v>227690.74172554034</v>
      </c>
      <c r="T58" s="818">
        <f t="shared" si="24"/>
        <v>0</v>
      </c>
      <c r="U58" s="818">
        <v>0</v>
      </c>
      <c r="V58" s="818">
        <f t="shared" ca="1" si="25"/>
        <v>227690.74172554034</v>
      </c>
      <c r="W58" s="306">
        <f t="shared" si="1"/>
        <v>0</v>
      </c>
      <c r="X58" s="306">
        <f t="shared" ca="1" si="2"/>
        <v>-80461.14718081629</v>
      </c>
      <c r="Y58" s="306">
        <v>0</v>
      </c>
      <c r="Z58" s="306">
        <v>0</v>
      </c>
      <c r="AA58" s="308">
        <f ca="1">-SUM(W58,X58/OFFSET(GridFootprintbyYear,$A58-$A$19,0)*EF_PurchElec_MTperMWh,Z58)*OFFSET(ExposureCalculations!Price_GHG_Allowance_2010,A58-$A$19,0)*ExposureCalculations!D55</f>
        <v>9626429.9058348089</v>
      </c>
      <c r="AB58" s="308">
        <f t="shared" ca="1" si="3"/>
        <v>5735173.3608521856</v>
      </c>
      <c r="AC58" s="308">
        <v>0</v>
      </c>
      <c r="AD58" s="819">
        <f t="shared" ca="1" si="4"/>
        <v>3970913.4435752523</v>
      </c>
      <c r="AE58" s="308">
        <v>0</v>
      </c>
      <c r="AF58" s="819">
        <f t="shared" ca="1" si="5"/>
        <v>1491696.0830457956</v>
      </c>
      <c r="AG58" s="308">
        <v>0</v>
      </c>
      <c r="AH58" s="308">
        <v>0</v>
      </c>
      <c r="AI58" s="308">
        <v>0</v>
      </c>
      <c r="AJ58" s="308">
        <f t="shared" ca="1" si="6"/>
        <v>11197782.887473233</v>
      </c>
      <c r="AK58" s="911">
        <f t="shared" si="46"/>
        <v>25224484.237428762</v>
      </c>
      <c r="AL58" s="309">
        <f t="shared" si="47"/>
        <v>0</v>
      </c>
      <c r="AM58" s="309">
        <f t="shared" si="26"/>
        <v>25224484.237428762</v>
      </c>
      <c r="AN58" s="310">
        <f t="shared" si="48"/>
        <v>8187146.8839196935</v>
      </c>
      <c r="AO58" s="310">
        <v>0</v>
      </c>
      <c r="AP58" s="310">
        <f t="shared" si="27"/>
        <v>8187146.8839196935</v>
      </c>
      <c r="AQ58" s="309">
        <v>0</v>
      </c>
      <c r="AR58" s="311">
        <f t="shared" ca="1" si="7"/>
        <v>54235843.914656498</v>
      </c>
      <c r="AS58" s="870">
        <f t="shared" ca="1" si="28"/>
        <v>1479825880.9605072</v>
      </c>
      <c r="AT58" s="822"/>
      <c r="AU58" s="1257">
        <f>UtilityDemand!L19</f>
        <v>39.75</v>
      </c>
      <c r="AV58" s="35" t="s">
        <v>1427</v>
      </c>
      <c r="AW58" s="35"/>
      <c r="AX58" s="35"/>
      <c r="AY58" s="1249"/>
      <c r="BA58" s="945">
        <f>CampusArea!F51</f>
        <v>10099.096101002297</v>
      </c>
      <c r="BB58" s="944">
        <f>BA58-((CampusArea!$N$60/CampusArea!$U$52)*(1+A58-$A$19))</f>
        <v>7216.2979024390243</v>
      </c>
      <c r="BC58" s="945">
        <f t="shared" si="29"/>
        <v>2882.7981985632723</v>
      </c>
      <c r="BD58" s="946">
        <f t="shared" si="30"/>
        <v>2882.7981985632723</v>
      </c>
      <c r="BE58" s="946">
        <f t="shared" si="31"/>
        <v>0</v>
      </c>
      <c r="BF58" s="946">
        <f t="shared" si="32"/>
        <v>0</v>
      </c>
      <c r="BH58" s="931">
        <f t="shared" si="33"/>
        <v>55545.79869966393</v>
      </c>
      <c r="BI58" s="931">
        <f t="shared" si="8"/>
        <v>0</v>
      </c>
      <c r="BJ58" s="931">
        <f t="shared" si="9"/>
        <v>0</v>
      </c>
      <c r="BK58" s="931">
        <f t="shared" si="34"/>
        <v>55545.79869966393</v>
      </c>
      <c r="BM58" s="931">
        <f t="shared" si="35"/>
        <v>295466.68960594013</v>
      </c>
      <c r="BN58" s="931">
        <f t="shared" si="36"/>
        <v>0</v>
      </c>
      <c r="BO58" s="931">
        <f t="shared" si="37"/>
        <v>0</v>
      </c>
      <c r="BP58" s="931">
        <f t="shared" si="38"/>
        <v>295466.68960594013</v>
      </c>
      <c r="BR58" s="931">
        <f t="shared" si="39"/>
        <v>77156.693950644607</v>
      </c>
      <c r="BS58" s="931">
        <f t="shared" si="40"/>
        <v>0</v>
      </c>
      <c r="BT58" s="931">
        <f t="shared" si="41"/>
        <v>0</v>
      </c>
      <c r="BU58" s="931">
        <f t="shared" si="42"/>
        <v>77156.693950644607</v>
      </c>
      <c r="BW58" s="929">
        <f t="shared" si="49"/>
        <v>25224484.237428762</v>
      </c>
      <c r="BX58" s="929">
        <f t="shared" si="50"/>
        <v>0</v>
      </c>
      <c r="BY58" s="929">
        <f t="shared" si="51"/>
        <v>0</v>
      </c>
      <c r="BZ58" s="929">
        <f t="shared" si="43"/>
        <v>25224484.237428762</v>
      </c>
      <c r="CB58" s="931">
        <f>$AU$49*(A58-2009)-CampusArea!D51</f>
        <v>0</v>
      </c>
      <c r="CC58" s="931">
        <f t="shared" si="10"/>
        <v>0</v>
      </c>
      <c r="CD58" s="931">
        <f t="shared" si="44"/>
        <v>0</v>
      </c>
      <c r="CE58" s="931">
        <f t="shared" si="45"/>
        <v>0</v>
      </c>
      <c r="CG58" s="929">
        <f t="shared" si="52"/>
        <v>0</v>
      </c>
    </row>
    <row r="59" spans="1:85">
      <c r="A59" s="303">
        <v>2050</v>
      </c>
      <c r="B59" s="304">
        <f ca="1">IF($D$3="BAU",UtilityDemand!C52,INDIRECT($D$3&amp;"!B"&amp;ROW(A59))+INDIRECT($D$3&amp;"!D"&amp;ROW(A59)))</f>
        <v>195856.62245054395</v>
      </c>
      <c r="C59" s="305">
        <f t="shared" ca="1" si="11"/>
        <v>-0.29069450373847905</v>
      </c>
      <c r="D59" s="306">
        <f t="shared" si="12"/>
        <v>-56934.44366715553</v>
      </c>
      <c r="E59" s="304">
        <f ca="1">IF($D$3="BAU",UtilityDemand!E52,INDIRECT($D$3&amp;"!E"&amp;ROW(D59))+INDIRECT($D$3&amp;"!G"&amp;ROW(D59)))</f>
        <v>1043473.4444255217</v>
      </c>
      <c r="F59" s="305">
        <f t="shared" ca="1" si="13"/>
        <v>-0.2902358066360019</v>
      </c>
      <c r="G59" s="306">
        <f t="shared" si="14"/>
        <v>-302853.3568460886</v>
      </c>
      <c r="H59" s="304">
        <f ca="1">IF($D$3="BAU",UtilityDemand!G52,INDIRECT($D$3&amp;"!H"&amp;ROW(G59))+INDIRECT($D$3&amp;"!J"&amp;ROW(G59)))</f>
        <v>307911.97023878864</v>
      </c>
      <c r="I59" s="305">
        <f t="shared" ca="1" si="15"/>
        <v>-0.25684487432586356</v>
      </c>
      <c r="J59" s="306">
        <f t="shared" si="16"/>
        <v>-79085.61129941071</v>
      </c>
      <c r="K59" s="307">
        <f t="shared" ca="1" si="17"/>
        <v>138922.1787833884</v>
      </c>
      <c r="L59" s="307">
        <f t="shared" si="18"/>
        <v>0</v>
      </c>
      <c r="M59" s="307">
        <v>0</v>
      </c>
      <c r="N59" s="307">
        <f t="shared" ca="1" si="19"/>
        <v>138922.1787833884</v>
      </c>
      <c r="O59" s="1494">
        <f t="shared" ca="1" si="20"/>
        <v>740620.08757943311</v>
      </c>
      <c r="P59" s="306">
        <f t="shared" si="21"/>
        <v>0</v>
      </c>
      <c r="Q59" s="306">
        <v>0</v>
      </c>
      <c r="R59" s="306">
        <f t="shared" ca="1" si="22"/>
        <v>740620.08757943311</v>
      </c>
      <c r="S59" s="818">
        <f t="shared" ca="1" si="23"/>
        <v>228826.35893937794</v>
      </c>
      <c r="T59" s="818">
        <f t="shared" si="24"/>
        <v>0</v>
      </c>
      <c r="U59" s="818">
        <v>0</v>
      </c>
      <c r="V59" s="818">
        <f t="shared" ca="1" si="25"/>
        <v>228826.35893937794</v>
      </c>
      <c r="W59" s="306">
        <f t="shared" si="1"/>
        <v>0</v>
      </c>
      <c r="X59" s="306">
        <f t="shared" ca="1" si="2"/>
        <v>-82472.675860336691</v>
      </c>
      <c r="Y59" s="306">
        <v>0</v>
      </c>
      <c r="Z59" s="306">
        <v>0</v>
      </c>
      <c r="AA59" s="308">
        <f ca="1">-SUM(W59,X59/OFFSET(GridFootprintbyYear,$A59-$A$19,0)*EF_PurchElec_MTperMWh,Z59)*OFFSET(ExposureCalculations!Price_GHG_Allowance_2010,A59-$A$19,0)*ExposureCalculations!D56</f>
        <v>10425691.272166956</v>
      </c>
      <c r="AB59" s="308">
        <f t="shared" ca="1" si="3"/>
        <v>5907945.458347857</v>
      </c>
      <c r="AC59" s="308">
        <v>0</v>
      </c>
      <c r="AD59" s="819">
        <f t="shared" ca="1" si="4"/>
        <v>4090537.2110629566</v>
      </c>
      <c r="AE59" s="308">
        <v>0</v>
      </c>
      <c r="AF59" s="819">
        <f t="shared" ca="1" si="5"/>
        <v>1528988.4851219403</v>
      </c>
      <c r="AG59" s="308">
        <v>0</v>
      </c>
      <c r="AH59" s="308">
        <v>0</v>
      </c>
      <c r="AI59" s="308">
        <v>0</v>
      </c>
      <c r="AJ59" s="308">
        <f t="shared" ca="1" si="6"/>
        <v>11527471.154532753</v>
      </c>
      <c r="AK59" s="911">
        <f t="shared" si="46"/>
        <v>25224484.237428442</v>
      </c>
      <c r="AL59" s="309">
        <f t="shared" si="47"/>
        <v>0</v>
      </c>
      <c r="AM59" s="309">
        <f t="shared" si="26"/>
        <v>25224484.237428442</v>
      </c>
      <c r="AN59" s="310">
        <f t="shared" si="48"/>
        <v>8391825.5560176838</v>
      </c>
      <c r="AO59" s="310">
        <v>0</v>
      </c>
      <c r="AP59" s="310">
        <f t="shared" si="27"/>
        <v>8391825.5560176838</v>
      </c>
      <c r="AQ59" s="309">
        <v>0</v>
      </c>
      <c r="AR59" s="311">
        <f t="shared" ca="1" si="7"/>
        <v>55569472.220145836</v>
      </c>
      <c r="AS59" s="870">
        <f t="shared" ca="1" si="28"/>
        <v>1535395353.1806531</v>
      </c>
      <c r="AT59" s="823"/>
      <c r="AU59" s="1257">
        <f>UtilityDemand!L20</f>
        <v>39.75</v>
      </c>
      <c r="AV59" s="35" t="s">
        <v>66</v>
      </c>
      <c r="AW59" s="35"/>
      <c r="AX59" s="35"/>
      <c r="AY59" s="1249"/>
      <c r="BA59" s="945">
        <f>CampusArea!F52</f>
        <v>10180.922153527354</v>
      </c>
      <c r="BB59" s="944">
        <f>BA59-((CampusArea!$N$60/CampusArea!$U$52)*(1+A59-$A$19))</f>
        <v>7226.0540000000001</v>
      </c>
      <c r="BC59" s="945">
        <f t="shared" si="29"/>
        <v>2954.8681535273536</v>
      </c>
      <c r="BD59" s="946">
        <f t="shared" si="30"/>
        <v>2954.8681535273536</v>
      </c>
      <c r="BE59" s="946">
        <f t="shared" si="31"/>
        <v>0</v>
      </c>
      <c r="BF59" s="946">
        <f t="shared" si="32"/>
        <v>0</v>
      </c>
      <c r="BH59" s="931">
        <f t="shared" si="33"/>
        <v>56934.44366715553</v>
      </c>
      <c r="BI59" s="931">
        <f t="shared" si="8"/>
        <v>0</v>
      </c>
      <c r="BJ59" s="931">
        <f t="shared" si="9"/>
        <v>0</v>
      </c>
      <c r="BK59" s="931">
        <f t="shared" si="34"/>
        <v>56934.44366715553</v>
      </c>
      <c r="BM59" s="931">
        <f t="shared" si="35"/>
        <v>302853.3568460886</v>
      </c>
      <c r="BN59" s="931">
        <f t="shared" si="36"/>
        <v>0</v>
      </c>
      <c r="BO59" s="931">
        <f t="shared" si="37"/>
        <v>0</v>
      </c>
      <c r="BP59" s="931">
        <f t="shared" si="38"/>
        <v>302853.3568460886</v>
      </c>
      <c r="BR59" s="931">
        <f t="shared" si="39"/>
        <v>79085.61129941071</v>
      </c>
      <c r="BS59" s="931">
        <f t="shared" si="40"/>
        <v>0</v>
      </c>
      <c r="BT59" s="931">
        <f t="shared" si="41"/>
        <v>0</v>
      </c>
      <c r="BU59" s="931">
        <f t="shared" si="42"/>
        <v>79085.61129941071</v>
      </c>
      <c r="BW59" s="929">
        <f t="shared" si="49"/>
        <v>25224484.237428442</v>
      </c>
      <c r="BX59" s="929">
        <f t="shared" si="50"/>
        <v>0</v>
      </c>
      <c r="BY59" s="929">
        <f t="shared" si="51"/>
        <v>0</v>
      </c>
      <c r="BZ59" s="929">
        <f t="shared" si="43"/>
        <v>25224484.237428442</v>
      </c>
      <c r="CB59" s="931">
        <f>$AU$49*(A59-2009)-CampusArea!D52</f>
        <v>0</v>
      </c>
      <c r="CC59" s="931">
        <f t="shared" si="10"/>
        <v>0</v>
      </c>
      <c r="CD59" s="931">
        <f t="shared" si="44"/>
        <v>0</v>
      </c>
      <c r="CE59" s="931">
        <f t="shared" si="45"/>
        <v>0</v>
      </c>
      <c r="CG59" s="929">
        <f t="shared" si="52"/>
        <v>0</v>
      </c>
    </row>
    <row r="60" spans="1:85">
      <c r="AJ60" s="264"/>
      <c r="AU60" s="878"/>
      <c r="AV60" s="35"/>
      <c r="AW60" s="35"/>
      <c r="AX60" s="35"/>
      <c r="AY60" s="1249"/>
    </row>
    <row r="61" spans="1:85">
      <c r="AJ61" s="264"/>
      <c r="AU61" s="878" t="s">
        <v>1402</v>
      </c>
      <c r="AV61" s="35"/>
      <c r="AW61" s="35"/>
      <c r="AX61" s="35"/>
      <c r="AY61" s="1249"/>
    </row>
    <row r="62" spans="1:85">
      <c r="AJ62" s="264"/>
      <c r="AU62" s="1266">
        <v>2.84</v>
      </c>
      <c r="AV62" s="1217"/>
      <c r="AW62" s="1217"/>
      <c r="AX62" s="1217"/>
      <c r="AY62" s="1218"/>
    </row>
    <row r="63" spans="1:85">
      <c r="AJ63" s="264"/>
    </row>
    <row r="64" spans="1:85">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6">
    <mergeCell ref="CB16:CE16"/>
    <mergeCell ref="AB16:AJ16"/>
    <mergeCell ref="AK16:AP16"/>
    <mergeCell ref="AR16:AS16"/>
    <mergeCell ref="BA16:BF16"/>
    <mergeCell ref="BH16:BK16"/>
    <mergeCell ref="BM16:BP16"/>
    <mergeCell ref="BR16:BU16"/>
    <mergeCell ref="BW16:BZ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legacyDrawing r:id="rId3"/>
</worksheet>
</file>

<file path=xl/worksheets/sheet34.xml><?xml version="1.0" encoding="utf-8"?>
<worksheet xmlns="http://schemas.openxmlformats.org/spreadsheetml/2006/main" xmlns:r="http://schemas.openxmlformats.org/officeDocument/2006/relationships">
  <sheetPr codeName="Sheet27">
    <tabColor rgb="FFA9DA74"/>
  </sheetPr>
  <dimension ref="A1:DC84"/>
  <sheetViews>
    <sheetView workbookViewId="0">
      <pane xSplit="1" topLeftCell="B1" activePane="topRight" state="frozen"/>
      <selection activeCell="B1" sqref="B1"/>
      <selection pane="topRight" activeCell="O3" sqref="O3:O7"/>
    </sheetView>
  </sheetViews>
  <sheetFormatPr defaultRowHeight="15"/>
  <cols>
    <col min="11" max="11" width="12.7109375" customWidth="1"/>
    <col min="12" max="12" width="12.85546875" customWidth="1"/>
    <col min="13" max="13" width="12.42578125" customWidth="1"/>
    <col min="15" max="15" width="13.5703125" style="37" bestFit="1" customWidth="1"/>
    <col min="28" max="28" width="10.85546875" bestFit="1" customWidth="1"/>
    <col min="35" max="36" width="13" customWidth="1"/>
    <col min="38" max="38" width="12.85546875" customWidth="1"/>
    <col min="39" max="39" width="12.5703125" customWidth="1"/>
    <col min="40" max="40" width="12.42578125" customWidth="1"/>
    <col min="41" max="42" width="10" bestFit="1" customWidth="1"/>
    <col min="44" max="45" width="12.140625" customWidth="1"/>
    <col min="46" max="46" width="1.7109375" customWidth="1"/>
    <col min="51" max="51" width="10.5703125" customWidth="1"/>
    <col min="53" max="53" width="13.5703125" customWidth="1"/>
    <col min="54" max="54" width="12.85546875" customWidth="1"/>
    <col min="55" max="55" width="12.140625" customWidth="1"/>
    <col min="56" max="56" width="10.5703125" customWidth="1"/>
    <col min="57" max="57" width="2.28515625" customWidth="1"/>
    <col min="58" max="58" width="10" customWidth="1"/>
    <col min="59" max="59" width="9.140625" customWidth="1"/>
    <col min="60" max="60" width="11.140625" customWidth="1"/>
    <col min="61" max="61" width="9.140625" customWidth="1"/>
    <col min="62" max="62" width="10" customWidth="1"/>
    <col min="63" max="63" width="2.5703125" customWidth="1"/>
    <col min="64" max="64" width="10" customWidth="1"/>
    <col min="65" max="65" width="9.140625" customWidth="1"/>
    <col min="66" max="66" width="11.140625" customWidth="1"/>
    <col min="67" max="67" width="9.140625" customWidth="1"/>
    <col min="68" max="68" width="10.140625" customWidth="1"/>
    <col min="69" max="69" width="2.42578125" customWidth="1"/>
    <col min="70" max="70" width="10.140625" customWidth="1"/>
    <col min="71" max="71" width="9.140625" customWidth="1"/>
    <col min="72" max="72" width="11" customWidth="1"/>
    <col min="73" max="73" width="9.140625" customWidth="1"/>
    <col min="74" max="74" width="9.85546875" customWidth="1"/>
    <col min="75" max="75" width="3.42578125" customWidth="1"/>
    <col min="76" max="76" width="10.85546875" customWidth="1"/>
    <col min="77" max="77" width="10.5703125" customWidth="1"/>
    <col min="78" max="78" width="10.85546875" customWidth="1"/>
    <col min="79" max="79" width="12.5703125" customWidth="1"/>
    <col min="80" max="80" width="4.28515625" customWidth="1"/>
    <col min="81" max="81" width="10.7109375" customWidth="1"/>
    <col min="82" max="82" width="9.7109375" customWidth="1"/>
    <col min="84" max="84" width="11" customWidth="1"/>
    <col min="85" max="85" width="2.5703125" customWidth="1"/>
    <col min="86" max="86" width="10.140625" customWidth="1"/>
    <col min="88" max="88" width="11.42578125" customWidth="1"/>
    <col min="90" max="90" width="10.5703125" customWidth="1"/>
    <col min="91" max="91" width="2.42578125" customWidth="1"/>
    <col min="92" max="92" width="10.42578125" customWidth="1"/>
    <col min="94" max="94" width="10.7109375" customWidth="1"/>
    <col min="96" max="96" width="9.85546875" customWidth="1"/>
    <col min="97" max="97" width="2.85546875" customWidth="1"/>
    <col min="98" max="98" width="10.140625" customWidth="1"/>
    <col min="100" max="100" width="11.28515625" customWidth="1"/>
    <col min="102" max="102" width="10.42578125" customWidth="1"/>
    <col min="103" max="103" width="4.140625" customWidth="1"/>
    <col min="104" max="104" width="9.85546875" customWidth="1"/>
    <col min="106" max="106" width="10.7109375" customWidth="1"/>
    <col min="107" max="107" width="12.7109375" customWidth="1"/>
  </cols>
  <sheetData>
    <row r="1" spans="1:107" ht="60">
      <c r="C1" s="257" t="s">
        <v>226</v>
      </c>
      <c r="D1" s="258" t="s">
        <v>954</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107">
      <c r="C2" s="257" t="s">
        <v>230</v>
      </c>
      <c r="D2" s="265">
        <v>2010</v>
      </c>
      <c r="E2" s="266"/>
      <c r="J2" s="267" t="s">
        <v>231</v>
      </c>
      <c r="K2" s="268">
        <f ca="1">NPV(DiscountRate,AA19:AA59)</f>
        <v>7117207.64380854</v>
      </c>
      <c r="L2" s="269">
        <f ca="1">-SUM(OFFSET(W19,0,0,M2-2010+1,4))</f>
        <v>548764.45185225375</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107">
      <c r="A3" s="272"/>
      <c r="B3" s="273"/>
      <c r="C3" s="274" t="s">
        <v>232</v>
      </c>
      <c r="D3" s="1635" t="s">
        <v>957</v>
      </c>
      <c r="E3" s="1635"/>
      <c r="F3" s="1635"/>
      <c r="G3" s="273"/>
      <c r="H3" s="273"/>
      <c r="I3" s="273"/>
      <c r="J3" s="275" t="s">
        <v>234</v>
      </c>
      <c r="K3" s="276">
        <f ca="1">NPV(DiscountRate,AJ19:AJ59)</f>
        <v>19513299.908897512</v>
      </c>
      <c r="L3" s="277" t="s">
        <v>235</v>
      </c>
      <c r="M3" s="278">
        <f ca="1">-SUM(OFFSET(W19,M2-2010,0,1,4))</f>
        <v>22627.807654349104</v>
      </c>
      <c r="N3" s="272"/>
      <c r="O3" s="1496">
        <f ca="1">AVERAGE(OFFSET(AJ19,0,0,$M$2-2010+1,1))</f>
        <v>1726664.8496081389</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107">
      <c r="A4" s="272"/>
      <c r="B4" s="273"/>
      <c r="C4" s="273"/>
      <c r="D4" s="280" t="s">
        <v>236</v>
      </c>
      <c r="E4" s="273"/>
      <c r="F4" s="272"/>
      <c r="G4" s="272"/>
      <c r="H4" s="272"/>
      <c r="I4" s="273"/>
      <c r="J4" s="275" t="s">
        <v>237</v>
      </c>
      <c r="K4" s="276">
        <f>NPV(DiscountRate,AK19:AK59)</f>
        <v>0</v>
      </c>
      <c r="L4" s="278">
        <f ca="1">L2/(2050-D2+1)</f>
        <v>13384.498825664727</v>
      </c>
      <c r="M4" s="281">
        <f ca="1">-SUM(OFFSET(W19,M2-2010,0,1,4))/SUM(OFFSET(ExposureCalculations!G16,M2-2010,0,1,3))</f>
        <v>2.069620539807834E-2</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107">
      <c r="A5" s="272"/>
      <c r="B5" s="273"/>
      <c r="C5" s="814" t="s">
        <v>649</v>
      </c>
      <c r="D5" s="885" t="s">
        <v>938</v>
      </c>
      <c r="E5" s="273"/>
      <c r="F5" s="272"/>
      <c r="G5" s="272"/>
      <c r="H5" s="272"/>
      <c r="I5" s="273"/>
      <c r="J5" s="275" t="s">
        <v>238</v>
      </c>
      <c r="K5" s="276">
        <f>NPV(DiscountRate,AL19:AL59)</f>
        <v>-9649636.1975330412</v>
      </c>
      <c r="L5" s="277"/>
      <c r="M5" s="272"/>
      <c r="N5" s="272"/>
      <c r="O5" s="1496">
        <f ca="1">AVERAGE(OFFSET(AL19,0,0,$M$2-2010+1,1))</f>
        <v>-523396.7876264131</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107">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107">
      <c r="A7" s="272"/>
      <c r="B7" s="282"/>
      <c r="C7" s="282"/>
      <c r="D7" s="282"/>
      <c r="E7" s="282"/>
      <c r="F7" s="272"/>
      <c r="G7" s="272"/>
      <c r="H7" s="272"/>
      <c r="I7" s="273"/>
      <c r="J7" s="275" t="s">
        <v>240</v>
      </c>
      <c r="K7" s="276">
        <f>NPV(DiscountRate,AO19:AO59)</f>
        <v>-89643.645147354444</v>
      </c>
      <c r="L7" s="272"/>
      <c r="M7" s="272"/>
      <c r="N7" s="272"/>
      <c r="O7" s="1496">
        <f ca="1">AVERAGE(OFFSET(AO19,0,0,$M$2-2010+1,1))</f>
        <v>-2439.0243902439024</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107">
      <c r="A8" s="272"/>
      <c r="B8" s="282"/>
      <c r="C8" s="282"/>
      <c r="D8" s="282"/>
      <c r="E8" s="282"/>
      <c r="F8" s="272"/>
      <c r="G8" s="272"/>
      <c r="H8" s="272"/>
      <c r="I8" s="273"/>
      <c r="J8" s="283" t="s">
        <v>241</v>
      </c>
      <c r="K8" s="276">
        <f ca="1">NPV(DiscountRate,AR19:AR59)</f>
        <v>16891227.71002565</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107">
      <c r="A9" s="272"/>
      <c r="B9" s="282"/>
      <c r="C9" s="282"/>
      <c r="D9" s="282"/>
      <c r="E9" s="282"/>
      <c r="F9" s="272"/>
      <c r="G9" s="272"/>
      <c r="H9" s="272"/>
      <c r="I9" s="273"/>
      <c r="J9" s="283" t="s">
        <v>242</v>
      </c>
      <c r="K9" s="286">
        <f ca="1">IFERROR((K8-K5)/-K5,"No Capital")</f>
        <v>2.7504522827859503</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107">
      <c r="A10" s="272"/>
      <c r="B10" s="282"/>
      <c r="C10" s="282"/>
      <c r="D10" s="282"/>
      <c r="E10" s="282"/>
      <c r="F10" s="272"/>
      <c r="G10" s="272"/>
      <c r="H10" s="272"/>
      <c r="I10" s="273"/>
      <c r="J10" s="283" t="s">
        <v>243</v>
      </c>
      <c r="K10" s="287">
        <f ca="1">IFERROR(IF(K8&lt;0,"",IRR(AR19:AR59)),"")</f>
        <v>0.18634662302016572</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107">
      <c r="A11" s="272"/>
      <c r="B11" s="282"/>
      <c r="C11" s="282"/>
      <c r="D11" s="282"/>
      <c r="E11" s="282"/>
      <c r="F11" s="272"/>
      <c r="G11" s="272"/>
      <c r="H11" s="272"/>
      <c r="I11" s="273"/>
      <c r="J11" s="283" t="s">
        <v>244</v>
      </c>
      <c r="K11" s="288">
        <f ca="1">IFERROR(COUNTIF(AS19:AS59,"&lt;=0")+1-INDEX(AS19:AS59,COUNTIF(AS19:AS59,"&lt;=0")+1)/INDEX(AR19:AR59,COUNTIF(AS19:AS59,"&lt;=0")+1)-(D2-2010),"Check Calc")</f>
        <v>11.129505097974713</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107">
      <c r="A12" s="272"/>
      <c r="B12" s="317"/>
      <c r="C12" s="282"/>
      <c r="D12" s="282"/>
      <c r="E12" s="282"/>
      <c r="F12" s="272"/>
      <c r="G12" s="272"/>
      <c r="H12" s="272"/>
      <c r="I12" s="273"/>
      <c r="J12" s="283" t="s">
        <v>245</v>
      </c>
      <c r="K12" s="276">
        <f ca="1">K8-K2</f>
        <v>9774020.0662171096</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107">
      <c r="A13" s="272"/>
      <c r="B13" s="282"/>
      <c r="C13" s="282"/>
      <c r="D13" s="282"/>
      <c r="E13" s="282"/>
      <c r="F13" s="272"/>
      <c r="G13" s="272"/>
      <c r="H13" s="272"/>
      <c r="I13" s="273"/>
      <c r="J13" s="275" t="s">
        <v>246</v>
      </c>
      <c r="K13" s="276">
        <f ca="1">IFERROR(IF(L2&lt;0,99999.4,K12/SUM(NPV(DiscountRate,W19:W59),NPV(DiscountRate,X19:X59),NPV(DiscountRate,Y19:Y59),NPV(DiscountRate,Z19:Z59))),"")</f>
        <v>-62.686548806655011</v>
      </c>
      <c r="L13" s="915" t="str">
        <f ca="1">IF(K13&gt;99998,"(Values $99,999 and above indicate net carbon increase)","")</f>
        <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107">
      <c r="A14" s="272"/>
      <c r="B14" s="282"/>
      <c r="C14" s="282"/>
      <c r="D14" s="282"/>
      <c r="E14" s="282"/>
      <c r="F14" s="272"/>
      <c r="G14" s="272"/>
      <c r="H14" s="272"/>
      <c r="I14" s="273"/>
      <c r="J14" s="275" t="s">
        <v>247</v>
      </c>
      <c r="K14" s="276">
        <f ca="1">IFERROR(IF(L2&lt;0,"",-K2/SUM(NPV(DiscountRate,W19:W59),NPV(DiscountRate,X19:X59),NPV(DiscountRate,Y19:Y59),NPV(DiscountRate,Z19:Z59))),"")</f>
        <v>45.646845546469102</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107">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c r="AV15" s="1216"/>
      <c r="AW15" t="s">
        <v>1374</v>
      </c>
    </row>
    <row r="16" spans="1:107"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c r="BF16" s="1680" t="s">
        <v>284</v>
      </c>
      <c r="BG16" s="1680"/>
      <c r="BH16" s="1680"/>
      <c r="BI16" s="1680"/>
      <c r="BJ16" s="1680"/>
      <c r="BL16" s="1680" t="s">
        <v>605</v>
      </c>
      <c r="BM16" s="1680"/>
      <c r="BN16" s="1680"/>
      <c r="BO16" s="1680"/>
      <c r="BP16" s="1680"/>
      <c r="BR16" s="1680" t="s">
        <v>606</v>
      </c>
      <c r="BS16" s="1680"/>
      <c r="BT16" s="1680"/>
      <c r="BU16" s="1680"/>
      <c r="BV16" s="1680"/>
      <c r="BX16" s="1680" t="s">
        <v>1072</v>
      </c>
      <c r="BY16" s="1680"/>
      <c r="BZ16" s="1680"/>
      <c r="CA16" s="1680"/>
      <c r="CC16" s="1680" t="s">
        <v>1070</v>
      </c>
      <c r="CD16" s="1680"/>
      <c r="CE16" s="1680"/>
      <c r="CF16" s="1680"/>
      <c r="CH16" s="1680" t="s">
        <v>1067</v>
      </c>
      <c r="CI16" s="1680"/>
      <c r="CJ16" s="1680"/>
      <c r="CK16" s="1680"/>
      <c r="CL16" s="1680"/>
      <c r="CN16" s="1680" t="s">
        <v>1068</v>
      </c>
      <c r="CO16" s="1680"/>
      <c r="CP16" s="1680"/>
      <c r="CQ16" s="1680"/>
      <c r="CR16" s="1680"/>
      <c r="CT16" s="1680" t="s">
        <v>1069</v>
      </c>
      <c r="CU16" s="1680"/>
      <c r="CV16" s="1680"/>
      <c r="CW16" s="1680"/>
      <c r="CX16" s="1680"/>
      <c r="CZ16" s="1680" t="s">
        <v>1071</v>
      </c>
      <c r="DA16" s="1680"/>
      <c r="DB16" s="1680"/>
      <c r="DC16" s="1680"/>
    </row>
    <row r="17" spans="1:107"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A17" s="927" t="s">
        <v>1060</v>
      </c>
      <c r="BB17" s="927" t="s">
        <v>1063</v>
      </c>
      <c r="BC17" s="927" t="s">
        <v>1064</v>
      </c>
      <c r="BD17" s="927" t="s">
        <v>1065</v>
      </c>
      <c r="BF17" s="927" t="s">
        <v>973</v>
      </c>
      <c r="BG17" s="927" t="s">
        <v>974</v>
      </c>
      <c r="BH17" s="927" t="s">
        <v>975</v>
      </c>
      <c r="BI17" s="927" t="s">
        <v>7</v>
      </c>
      <c r="BJ17" s="927" t="s">
        <v>980</v>
      </c>
      <c r="BL17" s="927" t="s">
        <v>973</v>
      </c>
      <c r="BM17" s="927" t="s">
        <v>974</v>
      </c>
      <c r="BN17" s="927" t="s">
        <v>975</v>
      </c>
      <c r="BO17" s="927" t="s">
        <v>7</v>
      </c>
      <c r="BP17" s="927" t="s">
        <v>980</v>
      </c>
      <c r="BR17" s="927" t="s">
        <v>973</v>
      </c>
      <c r="BS17" s="927" t="s">
        <v>974</v>
      </c>
      <c r="BT17" s="927" t="s">
        <v>975</v>
      </c>
      <c r="BU17" s="927" t="s">
        <v>7</v>
      </c>
      <c r="BV17" s="927" t="s">
        <v>980</v>
      </c>
      <c r="BX17" s="927" t="s">
        <v>973</v>
      </c>
      <c r="BY17" s="927" t="s">
        <v>974</v>
      </c>
      <c r="BZ17" s="927" t="s">
        <v>975</v>
      </c>
      <c r="CA17" s="927" t="s">
        <v>7</v>
      </c>
      <c r="CC17" s="927" t="s">
        <v>1407</v>
      </c>
      <c r="CD17" s="927" t="s">
        <v>103</v>
      </c>
      <c r="CE17" s="927" t="s">
        <v>9</v>
      </c>
      <c r="CF17" s="927" t="s">
        <v>674</v>
      </c>
      <c r="CG17" s="958"/>
      <c r="CH17" s="927" t="s">
        <v>973</v>
      </c>
      <c r="CI17" s="927" t="s">
        <v>974</v>
      </c>
      <c r="CJ17" s="927" t="s">
        <v>975</v>
      </c>
      <c r="CK17" s="927" t="s">
        <v>7</v>
      </c>
      <c r="CL17" s="927" t="s">
        <v>980</v>
      </c>
      <c r="CN17" s="927" t="s">
        <v>973</v>
      </c>
      <c r="CO17" s="927" t="s">
        <v>974</v>
      </c>
      <c r="CP17" s="927" t="s">
        <v>975</v>
      </c>
      <c r="CQ17" s="927" t="s">
        <v>7</v>
      </c>
      <c r="CR17" s="927" t="s">
        <v>980</v>
      </c>
      <c r="CT17" s="927" t="s">
        <v>973</v>
      </c>
      <c r="CU17" s="927" t="s">
        <v>974</v>
      </c>
      <c r="CV17" s="927" t="s">
        <v>975</v>
      </c>
      <c r="CW17" s="927" t="s">
        <v>7</v>
      </c>
      <c r="CX17" s="927" t="s">
        <v>980</v>
      </c>
      <c r="CZ17" s="927" t="s">
        <v>973</v>
      </c>
      <c r="DA17" s="927" t="s">
        <v>974</v>
      </c>
      <c r="DB17" s="927" t="s">
        <v>975</v>
      </c>
      <c r="DC17" s="927" t="s">
        <v>7</v>
      </c>
    </row>
    <row r="18" spans="1:107">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A18" s="965" t="s">
        <v>1061</v>
      </c>
      <c r="BB18" s="965" t="s">
        <v>60</v>
      </c>
      <c r="BC18" s="965" t="s">
        <v>278</v>
      </c>
      <c r="BD18" s="965" t="s">
        <v>278</v>
      </c>
      <c r="BE18" s="302"/>
      <c r="BF18" s="965" t="s">
        <v>60</v>
      </c>
      <c r="BG18" s="965" t="s">
        <v>60</v>
      </c>
      <c r="BH18" s="965" t="s">
        <v>60</v>
      </c>
      <c r="BI18" s="965" t="s">
        <v>60</v>
      </c>
      <c r="BJ18" s="965" t="s">
        <v>60</v>
      </c>
      <c r="BK18" s="302"/>
      <c r="BL18" s="965" t="s">
        <v>278</v>
      </c>
      <c r="BM18" s="965" t="s">
        <v>278</v>
      </c>
      <c r="BN18" s="965" t="s">
        <v>278</v>
      </c>
      <c r="BO18" s="965" t="s">
        <v>278</v>
      </c>
      <c r="BP18" s="965" t="s">
        <v>278</v>
      </c>
      <c r="BQ18" s="302"/>
      <c r="BR18" s="965" t="s">
        <v>278</v>
      </c>
      <c r="BS18" s="965" t="s">
        <v>278</v>
      </c>
      <c r="BT18" s="965" t="s">
        <v>278</v>
      </c>
      <c r="BU18" s="965" t="s">
        <v>278</v>
      </c>
      <c r="BV18" s="965" t="s">
        <v>278</v>
      </c>
      <c r="BW18" s="302"/>
      <c r="BX18" s="965" t="s">
        <v>1002</v>
      </c>
      <c r="BY18" s="965" t="s">
        <v>1002</v>
      </c>
      <c r="BZ18" s="965" t="s">
        <v>1002</v>
      </c>
      <c r="CA18" s="965" t="s">
        <v>1002</v>
      </c>
      <c r="CB18" s="302"/>
      <c r="CC18" s="965" t="s">
        <v>1062</v>
      </c>
      <c r="CD18" s="965" t="s">
        <v>60</v>
      </c>
      <c r="CE18" s="965" t="s">
        <v>278</v>
      </c>
      <c r="CF18" s="965" t="s">
        <v>278</v>
      </c>
      <c r="CG18" s="302"/>
      <c r="CH18" s="965" t="s">
        <v>60</v>
      </c>
      <c r="CI18" s="965" t="s">
        <v>60</v>
      </c>
      <c r="CJ18" s="965" t="s">
        <v>60</v>
      </c>
      <c r="CK18" s="965" t="s">
        <v>60</v>
      </c>
      <c r="CL18" s="965" t="s">
        <v>60</v>
      </c>
      <c r="CM18" s="302"/>
      <c r="CN18" s="965" t="s">
        <v>278</v>
      </c>
      <c r="CO18" s="965" t="s">
        <v>278</v>
      </c>
      <c r="CP18" s="965" t="s">
        <v>278</v>
      </c>
      <c r="CQ18" s="965" t="s">
        <v>278</v>
      </c>
      <c r="CR18" s="965" t="s">
        <v>278</v>
      </c>
      <c r="CS18" s="302"/>
      <c r="CT18" s="965" t="s">
        <v>278</v>
      </c>
      <c r="CU18" s="965" t="s">
        <v>278</v>
      </c>
      <c r="CV18" s="965" t="s">
        <v>278</v>
      </c>
      <c r="CW18" s="965" t="s">
        <v>278</v>
      </c>
      <c r="CX18" s="965" t="s">
        <v>278</v>
      </c>
      <c r="CY18" s="302"/>
      <c r="CZ18" s="965" t="s">
        <v>1002</v>
      </c>
      <c r="DA18" s="965" t="s">
        <v>1002</v>
      </c>
      <c r="DB18" s="965" t="s">
        <v>1002</v>
      </c>
      <c r="DC18" s="965" t="s">
        <v>1002</v>
      </c>
    </row>
    <row r="19" spans="1:107">
      <c r="A19" s="303">
        <v>2010</v>
      </c>
      <c r="B19" s="304">
        <f ca="1">IF($D$3="BAU",UtilityDemand!C12,INDIRECT($D$3&amp;"!B"&amp;ROW(A19))+INDIRECT($D$3&amp;"!D"&amp;ROW(A19)))</f>
        <v>127163.99016669342</v>
      </c>
      <c r="C19" s="305">
        <v>0</v>
      </c>
      <c r="D19" s="306">
        <f ca="1">-B19*C19</f>
        <v>0</v>
      </c>
      <c r="E19" s="304">
        <f ca="1">IF($D$3="BAU",UtilityDemand!E12,INDIRECT($D$3&amp;"!E"&amp;ROW(D19))+INDIRECT($D$3&amp;"!G"&amp;ROW(D19)))</f>
        <v>678074.34788952675</v>
      </c>
      <c r="F19" s="305">
        <v>0</v>
      </c>
      <c r="G19" s="306">
        <f ca="1">-E19*F19</f>
        <v>0</v>
      </c>
      <c r="H19" s="304">
        <f ca="1">IF($D$3="BAU",UtilityDemand!G12,INDIRECT($D$3&amp;"!H"&amp;ROW(G19))+INDIRECT($D$3&amp;"!J"&amp;ROW(G19)))</f>
        <v>177513.47721383756</v>
      </c>
      <c r="I19" s="305">
        <v>0</v>
      </c>
      <c r="J19" s="306">
        <f ca="1">-H19*I19</f>
        <v>0</v>
      </c>
      <c r="K19" s="307">
        <f ca="1">IF($D$3="BAU",B19+D19,INDIRECT($D$3&amp;"!B"&amp;ROW(A19))+INDIRECT($D$3&amp;"!D"&amp;ROW(A19))+INDIRECT($D$3&amp;"!L"&amp;ROW(A19))+D19)</f>
        <v>127163.99016669342</v>
      </c>
      <c r="L19" s="307">
        <f>-M19</f>
        <v>0</v>
      </c>
      <c r="M19" s="307">
        <v>0</v>
      </c>
      <c r="N19" s="307">
        <f ca="1">K19+L19</f>
        <v>127163.99016669342</v>
      </c>
      <c r="O19" s="1494">
        <f ca="1">IF($D$3="BAU",E19+G19,INDIRECT($D$3&amp;"!E"&amp;ROW(A19))+INDIRECT($D$3&amp;"!G"&amp;ROW(A19))+INDIRECT($D$3&amp;"!P"&amp;ROW(A19))+G19)</f>
        <v>678074.34788952675</v>
      </c>
      <c r="P19" s="306">
        <f>-Q19</f>
        <v>0</v>
      </c>
      <c r="Q19" s="306">
        <v>0</v>
      </c>
      <c r="R19" s="306">
        <f ca="1">O19+P19</f>
        <v>678074.34788952675</v>
      </c>
      <c r="S19" s="818">
        <f ca="1">IF($D$3="BAU",H19+J19,INDIRECT($D$3&amp;"!H"&amp;ROW(A19))+INDIRECT($D$3&amp;"!J"&amp;ROW(A19))+INDIRECT($D$3&amp;"!T"&amp;ROW(A19))+J19)</f>
        <v>177513.47721383756</v>
      </c>
      <c r="T19" s="818">
        <f>-U19</f>
        <v>0</v>
      </c>
      <c r="U19" s="818">
        <v>0</v>
      </c>
      <c r="V19" s="818">
        <f ca="1">S19+T19</f>
        <v>177513.47721383756</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1211"/>
      <c r="AV19" s="879" t="s">
        <v>971</v>
      </c>
      <c r="AW19" s="879"/>
      <c r="AX19" s="35"/>
      <c r="AY19" s="880"/>
      <c r="BA19" s="123">
        <f>SpacePlanning!BB19-CampusArea!$G$11</f>
        <v>9.7560975609749221</v>
      </c>
      <c r="BB19" s="123">
        <f t="shared" ref="BB19:BB59" si="8">BA19*$AU$22*1000/BTU_Electric_per_kWh</f>
        <v>187.98063336041778</v>
      </c>
      <c r="BC19" s="123">
        <f>BA19*UtilityDemand!F12</f>
        <v>999.93188952680657</v>
      </c>
      <c r="BD19" s="123">
        <f>BA19*UtilityDemand!H12</f>
        <v>261.76568571482437</v>
      </c>
      <c r="BF19" s="123">
        <f t="shared" ref="BF19:BF59" si="9">BA19*$AU$27*$AU$32/BTU_Electric_per_kWh*1000</f>
        <v>131.58644335229243</v>
      </c>
      <c r="BG19" s="123">
        <f t="shared" ref="BG19:BG59" si="10">BA19*$AU$28*$AU$33/BTU_Electric_per_kWh*1000</f>
        <v>0</v>
      </c>
      <c r="BH19" s="123">
        <f t="shared" ref="BH19:BH59" si="11">BA19*$AU$29*$AU$34/BTU_Electric_per_kWh*1000</f>
        <v>0</v>
      </c>
      <c r="BI19" s="123">
        <f>SUM(BF19:BH19)</f>
        <v>131.58644335229243</v>
      </c>
      <c r="BJ19" s="123">
        <f>BD19-BI19</f>
        <v>130.17924236253194</v>
      </c>
      <c r="BL19" s="123">
        <f>BA19*$AU$28*$AU$37</f>
        <v>0</v>
      </c>
      <c r="BM19" s="123">
        <f>BA19*$AU$28*$AU$38</f>
        <v>0</v>
      </c>
      <c r="BN19" s="123">
        <f>BA19*$AU$29*$AU$39</f>
        <v>0</v>
      </c>
      <c r="BO19" s="123">
        <f>SUM(BL19:BN19)</f>
        <v>0</v>
      </c>
      <c r="BP19" s="123">
        <f>BC19-BO19</f>
        <v>999.93188952680657</v>
      </c>
      <c r="BR19" s="123">
        <f t="shared" ref="BR19:BR59" si="12">$BA19*$AU$27*$AU$42</f>
        <v>182.78204968629043</v>
      </c>
      <c r="BS19" s="123">
        <f t="shared" ref="BS19:BS59" si="13">$BA19*$AU$28*$AU$43</f>
        <v>0</v>
      </c>
      <c r="BT19" s="123">
        <f t="shared" ref="BT19:BT59" si="14">$BA19*$AU$29*$AU$44</f>
        <v>0</v>
      </c>
      <c r="BU19" s="123">
        <f>SUM(BR19:BT19)</f>
        <v>182.78204968629043</v>
      </c>
      <c r="BV19" s="123">
        <f>BD19-BU19</f>
        <v>78.983636028533937</v>
      </c>
      <c r="BX19" s="968">
        <f>$BA19*$AU$27*$AU$48*1000</f>
        <v>170731.70731706114</v>
      </c>
      <c r="BY19" s="968">
        <f>$BA19*$AU$28*$AU$49*1000</f>
        <v>0</v>
      </c>
      <c r="BZ19" s="968">
        <f>$BA19*$AU$29*$AU$50*1000</f>
        <v>0</v>
      </c>
      <c r="CA19" s="968">
        <f>SUM(BX19:BZ19)</f>
        <v>170731.70731706114</v>
      </c>
      <c r="CC19" s="123">
        <f>SpacePlanning!$AU$49</f>
        <v>22</v>
      </c>
      <c r="CD19" s="123">
        <f>CC19*$AU$22/BTU_Electric_per_kWh*1000</f>
        <v>423.89632822777196</v>
      </c>
      <c r="CE19" s="123">
        <f>CC19*$AU$23</f>
        <v>2254.8464108831076</v>
      </c>
      <c r="CF19" s="123">
        <f>CC19*$AU$24</f>
        <v>588.81931720373427</v>
      </c>
      <c r="CG19" s="123"/>
      <c r="CH19" s="123">
        <f t="shared" ref="CH19:CH59" si="15">$CC19*$AU$53*$AU$32/BTU_Electric_per_kWh*1000</f>
        <v>296.72742975944038</v>
      </c>
      <c r="CI19" s="123">
        <f t="shared" ref="CI19:CI59" si="16">$CC19*$AU$54*$AU$33/BTU_Electric_per_kWh*1000</f>
        <v>0</v>
      </c>
      <c r="CJ19" s="123">
        <f t="shared" ref="CJ19:CJ59" si="17">$CC19*$AU$55*$AU$34/BTU_Electric_per_kWh*1000</f>
        <v>0</v>
      </c>
      <c r="CK19" s="123">
        <f>SUM(CH19:CJ19)</f>
        <v>296.72742975944038</v>
      </c>
      <c r="CL19" s="123">
        <f>CD19-CK19</f>
        <v>127.16889846833158</v>
      </c>
      <c r="CM19" s="123"/>
      <c r="CN19" s="123">
        <f t="shared" ref="CN19:CN59" si="18">$CC19*$AU$53*$AU$37</f>
        <v>1578.3924876181754</v>
      </c>
      <c r="CO19" s="123">
        <f t="shared" ref="CO19:CO59" si="19">$CC19*$AU$54*$AU$38</f>
        <v>0</v>
      </c>
      <c r="CP19" s="123">
        <f t="shared" ref="CP19:CP59" si="20">$CC19*$AU$55*$AU$39</f>
        <v>0</v>
      </c>
      <c r="CQ19" s="123">
        <f>SUM(CN19:CP19)</f>
        <v>1578.3924876181754</v>
      </c>
      <c r="CR19" s="123">
        <f>CE19-CQ19</f>
        <v>676.4539232649322</v>
      </c>
      <c r="CS19" s="123"/>
      <c r="CT19" s="123">
        <f t="shared" ref="CT19:CT59" si="21">$CC19*$AU$53*$AU$42</f>
        <v>412.17352204261397</v>
      </c>
      <c r="CU19" s="123">
        <f t="shared" ref="CU19:CU59" si="22">$CC19*$AU$54*$AU$43</f>
        <v>0</v>
      </c>
      <c r="CV19" s="123">
        <f t="shared" ref="CV19:CV59" si="23">$CC19*$AU$55*$AU$44</f>
        <v>0</v>
      </c>
      <c r="CW19" s="123">
        <f>SUM(CT19:CV19)</f>
        <v>412.17352204261397</v>
      </c>
      <c r="CX19" s="123">
        <f>CF19-CW19</f>
        <v>176.6457951611203</v>
      </c>
      <c r="CZ19" s="968">
        <f>$CC19*$AU$53*$AU$58*$AU$48*1000</f>
        <v>269500</v>
      </c>
      <c r="DA19" s="968">
        <f>$CC19*$AU$54*$AU$58*$AU$49*1000</f>
        <v>0</v>
      </c>
      <c r="DB19" s="968">
        <f>$CC19*$AU$55*$AU$58*$AU$50*1000</f>
        <v>0</v>
      </c>
      <c r="DC19" s="968">
        <f>SUM(CZ19:DB19)</f>
        <v>269500</v>
      </c>
    </row>
    <row r="20" spans="1:107">
      <c r="A20" s="303">
        <v>2011</v>
      </c>
      <c r="B20" s="304">
        <f ca="1">IF($D$3="BAU",UtilityDemand!C13,INDIRECT($D$3&amp;"!B"&amp;ROW(A20))+INDIRECT($D$3&amp;"!D"&amp;ROW(A20)))</f>
        <v>127351.97080005388</v>
      </c>
      <c r="C20" s="305">
        <f ca="1">-D20/B20</f>
        <v>4.0611947883446853E-3</v>
      </c>
      <c r="D20" s="306">
        <f>-BJ20-CL20</f>
        <v>-517.2011600986034</v>
      </c>
      <c r="E20" s="304">
        <f ca="1">IF($D$3="BAU",UtilityDemand!E13,INDIRECT($D$3&amp;"!E"&amp;ROW(D20))+INDIRECT($D$3&amp;"!G"&amp;ROW(D20)))</f>
        <v>679074.27977905388</v>
      </c>
      <c r="F20" s="305">
        <f ca="1">-G20/E20</f>
        <v>4.9372678739570798E-3</v>
      </c>
      <c r="G20" s="306">
        <f>-BP20-CR20</f>
        <v>-3352.7716255836644</v>
      </c>
      <c r="H20" s="304">
        <f ca="1">IF($D$3="BAU",UtilityDemand!G13,INDIRECT($D$3&amp;"!H"&amp;ROW(G20))+INDIRECT($D$3&amp;"!J"&amp;ROW(G20)))</f>
        <v>178649.09442767513</v>
      </c>
      <c r="I20" s="305">
        <f ca="1">-J20/H20</f>
        <v>2.8758261689603411E-3</v>
      </c>
      <c r="J20" s="306">
        <f>-BV20-CX20</f>
        <v>-513.76374081617519</v>
      </c>
      <c r="K20" s="307">
        <f t="shared" ref="K20:K59" ca="1" si="24">IF($D$3="BAU",B20+D20,INDIRECT($D$3&amp;"!B"&amp;ROW(A20))+INDIRECT($D$3&amp;"!D"&amp;ROW(A20))+INDIRECT($D$3&amp;"!L"&amp;ROW(A20))+D20)</f>
        <v>126834.76963995528</v>
      </c>
      <c r="L20" s="307">
        <f t="shared" ref="L20:L59" si="25">-M20</f>
        <v>0</v>
      </c>
      <c r="M20" s="307">
        <v>0</v>
      </c>
      <c r="N20" s="307">
        <f t="shared" ref="N20:N59" ca="1" si="26">K20+L20</f>
        <v>126834.76963995528</v>
      </c>
      <c r="O20" s="1494">
        <f t="shared" ref="O20:O59" ca="1" si="27">IF($D$3="BAU",E20+G20,INDIRECT($D$3&amp;"!E"&amp;ROW(A20))+INDIRECT($D$3&amp;"!G"&amp;ROW(A20))+INDIRECT($D$3&amp;"!P"&amp;ROW(A20))+G20)</f>
        <v>675721.50815347023</v>
      </c>
      <c r="P20" s="306">
        <f t="shared" ref="P20:P59" si="28">-Q20</f>
        <v>0</v>
      </c>
      <c r="Q20" s="306">
        <v>0</v>
      </c>
      <c r="R20" s="306">
        <f t="shared" ref="R20:R59" ca="1" si="29">O20+P20</f>
        <v>675721.50815347023</v>
      </c>
      <c r="S20" s="818">
        <f t="shared" ref="S20:S59" ca="1" si="30">IF($D$3="BAU",H20+J20,INDIRECT($D$3&amp;"!H"&amp;ROW(A20))+INDIRECT($D$3&amp;"!J"&amp;ROW(A20))+INDIRECT($D$3&amp;"!T"&amp;ROW(A20))+J20)</f>
        <v>178135.33068685894</v>
      </c>
      <c r="T20" s="818">
        <f t="shared" ref="T20:T59" si="31">-U20</f>
        <v>0</v>
      </c>
      <c r="U20" s="818">
        <v>0</v>
      </c>
      <c r="V20" s="818">
        <f t="shared" ref="V20:V59" ca="1" si="32">S20+T20</f>
        <v>178135.33068685894</v>
      </c>
      <c r="W20" s="306">
        <f t="shared" si="1"/>
        <v>0</v>
      </c>
      <c r="X20" s="306">
        <f t="shared" ca="1" si="2"/>
        <v>-789.72264015453493</v>
      </c>
      <c r="Y20" s="306">
        <v>0</v>
      </c>
      <c r="Z20" s="306">
        <v>0</v>
      </c>
      <c r="AA20" s="308">
        <f ca="1">-SUM(W20,X20/OFFSET(GridFootprintbyYear,$A20-$A$19,0)*EF_PurchElec_MTperMWh,Z20)*OFFSET(ExposureCalculations!Price_GHG_Allowance_2010,A20-$A$19,0)*ExposureCalculations!D17</f>
        <v>0</v>
      </c>
      <c r="AB20" s="308">
        <f t="shared" ca="1" si="3"/>
        <v>44181.909101423196</v>
      </c>
      <c r="AC20" s="308">
        <v>0</v>
      </c>
      <c r="AD20" s="819">
        <f t="shared" ca="1" si="4"/>
        <v>37279.967053830267</v>
      </c>
      <c r="AE20" s="308">
        <v>0</v>
      </c>
      <c r="AF20" s="819">
        <f t="shared" ca="1" si="5"/>
        <v>9932.7656557793871</v>
      </c>
      <c r="AG20" s="308">
        <v>0</v>
      </c>
      <c r="AH20" s="308">
        <v>0</v>
      </c>
      <c r="AI20" s="308">
        <v>0</v>
      </c>
      <c r="AJ20" s="308">
        <f t="shared" ca="1" si="6"/>
        <v>91394.641811032852</v>
      </c>
      <c r="AK20" s="309">
        <v>0</v>
      </c>
      <c r="AL20" s="309">
        <f>-CA20-DC20</f>
        <v>-440231.70731709298</v>
      </c>
      <c r="AM20" s="309">
        <f t="shared" ref="AM20:AM59" si="33">SUM(AK20:AL20)</f>
        <v>-440231.70731709298</v>
      </c>
      <c r="AN20" s="310">
        <v>0</v>
      </c>
      <c r="AO20" s="310">
        <v>-100000</v>
      </c>
      <c r="AP20" s="310">
        <f t="shared" ref="AP20:AP59" si="34">SUM(AN20:AO20)</f>
        <v>-100000</v>
      </c>
      <c r="AQ20" s="309">
        <v>0</v>
      </c>
      <c r="AR20" s="311">
        <f t="shared" ca="1" si="7"/>
        <v>-448837.06550606014</v>
      </c>
      <c r="AS20" s="870">
        <f t="shared" ref="AS20:AS59" ca="1" si="35">AR20+AS19</f>
        <v>-448837.06550606014</v>
      </c>
      <c r="AT20" s="822"/>
      <c r="AU20" s="947"/>
      <c r="AV20" s="879"/>
      <c r="AW20" s="879"/>
      <c r="AX20" s="35"/>
      <c r="AY20" s="880"/>
      <c r="BA20" s="123">
        <f>SpacePlanning!BB20-CampusArea!$G$11</f>
        <v>19.512195121951663</v>
      </c>
      <c r="BB20" s="123">
        <f t="shared" si="8"/>
        <v>375.96126672087064</v>
      </c>
      <c r="BC20" s="123">
        <f>BA20*UtilityDemand!F13</f>
        <v>1999.8637790538</v>
      </c>
      <c r="BD20" s="123">
        <f>BA20*UtilityDemand!H13</f>
        <v>526.03624986654961</v>
      </c>
      <c r="BF20" s="123">
        <f t="shared" si="9"/>
        <v>263.17288670460943</v>
      </c>
      <c r="BG20" s="123">
        <f t="shared" si="10"/>
        <v>0</v>
      </c>
      <c r="BH20" s="123">
        <f t="shared" si="11"/>
        <v>0</v>
      </c>
      <c r="BI20" s="123">
        <f t="shared" ref="BI20:BI59" si="36">SUM(BF20:BH20)</f>
        <v>263.17288670460943</v>
      </c>
      <c r="BJ20" s="123">
        <f t="shared" ref="BJ20:BJ59" si="37">BD20-BI20</f>
        <v>262.86336316194019</v>
      </c>
      <c r="BL20" s="123">
        <f t="shared" ref="BL20:BL59" si="38">BA20*$AU$28*$AU$37</f>
        <v>0</v>
      </c>
      <c r="BM20" s="123">
        <f t="shared" ref="BM20:BM59" si="39">BA20*$AU$28*$AU$38</f>
        <v>0</v>
      </c>
      <c r="BN20" s="123">
        <f t="shared" ref="BN20:BN59" si="40">BA20*$AU$29*$AU$39</f>
        <v>0</v>
      </c>
      <c r="BO20" s="123">
        <f t="shared" ref="BO20:BO59" si="41">SUM(BL20:BN20)</f>
        <v>0</v>
      </c>
      <c r="BP20" s="123">
        <f t="shared" ref="BP20:BP59" si="42">BC20-BO20</f>
        <v>1999.8637790538</v>
      </c>
      <c r="BR20" s="123">
        <f t="shared" si="12"/>
        <v>365.56409937261498</v>
      </c>
      <c r="BS20" s="123">
        <f t="shared" si="13"/>
        <v>0</v>
      </c>
      <c r="BT20" s="123">
        <f t="shared" si="14"/>
        <v>0</v>
      </c>
      <c r="BU20" s="123">
        <f t="shared" ref="BU20:BU59" si="43">SUM(BR20:BT20)</f>
        <v>365.56409937261498</v>
      </c>
      <c r="BV20" s="123">
        <f t="shared" ref="BV20:BV59" si="44">BD20-BU20</f>
        <v>160.47215049393463</v>
      </c>
      <c r="BX20" s="968">
        <f t="shared" ref="BX20:BX59" si="45">($BA20-BA19)*$AU$27*$AU$48*1000</f>
        <v>170731.70731709298</v>
      </c>
      <c r="BY20" s="968">
        <f t="shared" ref="BY20:BY59" si="46">($BA20-BA19)*$AU$28*$AU$49*1000</f>
        <v>0</v>
      </c>
      <c r="BZ20" s="968">
        <f t="shared" ref="BZ20:BZ59" si="47">($BA20-BA19)*$AU$29*$AU$50*1000</f>
        <v>0</v>
      </c>
      <c r="CA20" s="968">
        <f t="shared" ref="CA20:CA59" si="48">SUM(BX20:BZ20)</f>
        <v>170731.70731709298</v>
      </c>
      <c r="CB20" s="123"/>
      <c r="CC20" s="123">
        <f>SpacePlanning!$AU$49*(A20-2009)</f>
        <v>44</v>
      </c>
      <c r="CD20" s="123">
        <f t="shared" ref="CD20:CD59" si="49">CC20*$AU$22/BTU_Electric_per_kWh*1000</f>
        <v>847.79265645554392</v>
      </c>
      <c r="CE20" s="123">
        <f t="shared" ref="CE20:CE59" si="50">CC20*$AU$23</f>
        <v>4509.6928217662153</v>
      </c>
      <c r="CF20" s="123">
        <f t="shared" ref="CF20:CF59" si="51">CC20*$AU$24</f>
        <v>1177.6386344074685</v>
      </c>
      <c r="CH20" s="123">
        <f t="shared" si="15"/>
        <v>593.45485951888077</v>
      </c>
      <c r="CI20" s="123">
        <f t="shared" si="16"/>
        <v>0</v>
      </c>
      <c r="CJ20" s="123">
        <f t="shared" si="17"/>
        <v>0</v>
      </c>
      <c r="CK20" s="123">
        <f t="shared" ref="CK20:CK59" si="52">SUM(CH20:CJ20)</f>
        <v>593.45485951888077</v>
      </c>
      <c r="CL20" s="123">
        <f t="shared" ref="CL20:CL59" si="53">CD20-CK20</f>
        <v>254.33779693666315</v>
      </c>
      <c r="CN20" s="123">
        <f t="shared" si="18"/>
        <v>3156.7849752363509</v>
      </c>
      <c r="CO20" s="123">
        <f t="shared" si="19"/>
        <v>0</v>
      </c>
      <c r="CP20" s="123">
        <f t="shared" si="20"/>
        <v>0</v>
      </c>
      <c r="CQ20" s="123">
        <f t="shared" ref="CQ20:CQ59" si="54">SUM(CN20:CP20)</f>
        <v>3156.7849752363509</v>
      </c>
      <c r="CR20" s="123">
        <f t="shared" ref="CR20:CR59" si="55">CE20-CQ20</f>
        <v>1352.9078465298644</v>
      </c>
      <c r="CT20" s="123">
        <f t="shared" si="21"/>
        <v>824.34704408522794</v>
      </c>
      <c r="CU20" s="123">
        <f t="shared" si="22"/>
        <v>0</v>
      </c>
      <c r="CV20" s="123">
        <f t="shared" si="23"/>
        <v>0</v>
      </c>
      <c r="CW20" s="123">
        <f t="shared" ref="CW20:CW59" si="56">SUM(CT20:CV20)</f>
        <v>824.34704408522794</v>
      </c>
      <c r="CX20" s="123">
        <f t="shared" ref="CX20:CX59" si="57">CF20-CW20</f>
        <v>353.29159032224061</v>
      </c>
      <c r="CZ20" s="968">
        <f t="shared" ref="CZ20:CZ59" si="58">($CC20-CC19)*$AU$53*$AU$58*$AU$48*1000</f>
        <v>269500</v>
      </c>
      <c r="DA20" s="968">
        <f t="shared" ref="DA20:DA59" si="59">($CC20-CC19)*$AU$54*$AU$58*$AU$49*1000</f>
        <v>0</v>
      </c>
      <c r="DB20" s="968">
        <f t="shared" ref="DB20:DB59" si="60">($CC20-CC19)*$AU$55*$AU$58*$AU$50*1000</f>
        <v>0</v>
      </c>
      <c r="DC20" s="968">
        <f t="shared" ref="DC20:DC59" si="61">SUM(CZ20:DB20)</f>
        <v>269500</v>
      </c>
    </row>
    <row r="21" spans="1:107">
      <c r="A21" s="303">
        <v>2012</v>
      </c>
      <c r="B21" s="304">
        <f ca="1">IF($D$3="BAU",UtilityDemand!C14,INDIRECT($D$3&amp;"!B"&amp;ROW(A21))+INDIRECT($D$3&amp;"!D"&amp;ROW(A21)))</f>
        <v>129659.43307455316</v>
      </c>
      <c r="C21" s="305">
        <f t="shared" ref="C21:C59" ca="1" si="62">-D21/B21</f>
        <v>1.754165433735309E-2</v>
      </c>
      <c r="D21" s="306">
        <f t="shared" ref="D21:D59" si="63">-BJ21-CL21</f>
        <v>-2274.4409565709784</v>
      </c>
      <c r="E21" s="304">
        <f ca="1">IF($D$3="BAU",UtilityDemand!E14,INDIRECT($D$3&amp;"!E"&amp;ROW(D21))+INDIRECT($D$3&amp;"!G"&amp;ROW(D21)))</f>
        <v>691348.44372299605</v>
      </c>
      <c r="F21" s="305">
        <f t="shared" ref="F21:F59" ca="1" si="64">-G21/E21</f>
        <v>2.3582015177462747E-2</v>
      </c>
      <c r="G21" s="306">
        <f t="shared" ref="G21:G59" si="65">-BP21-CR21</f>
        <v>-16303.389492790942</v>
      </c>
      <c r="H21" s="304">
        <f ca="1">IF($D$3="BAU",UtilityDemand!G14,INDIRECT($D$3&amp;"!H"&amp;ROW(G21))+INDIRECT($D$3&amp;"!J"&amp;ROW(G21)))</f>
        <v>182728.80822753138</v>
      </c>
      <c r="I21" s="305">
        <f t="shared" ref="I21:I59" ca="1" si="66">-J21/H21</f>
        <v>9.2599212058809572E-3</v>
      </c>
      <c r="J21" s="306">
        <f t="shared" ref="J21:J59" si="67">-BV21-CX21</f>
        <v>-1692.0543662314726</v>
      </c>
      <c r="K21" s="307">
        <f t="shared" ca="1" si="24"/>
        <v>127384.99211798218</v>
      </c>
      <c r="L21" s="307">
        <f t="shared" si="25"/>
        <v>0</v>
      </c>
      <c r="M21" s="307">
        <v>0</v>
      </c>
      <c r="N21" s="307">
        <f t="shared" ca="1" si="26"/>
        <v>127384.99211798218</v>
      </c>
      <c r="O21" s="1494">
        <f t="shared" ca="1" si="27"/>
        <v>675045.05423020513</v>
      </c>
      <c r="P21" s="306">
        <f t="shared" si="28"/>
        <v>0</v>
      </c>
      <c r="Q21" s="306">
        <v>0</v>
      </c>
      <c r="R21" s="306">
        <f t="shared" ca="1" si="29"/>
        <v>675045.05423020513</v>
      </c>
      <c r="S21" s="818">
        <f t="shared" ca="1" si="30"/>
        <v>181036.75386129992</v>
      </c>
      <c r="T21" s="818">
        <f t="shared" si="31"/>
        <v>0</v>
      </c>
      <c r="U21" s="818">
        <v>0</v>
      </c>
      <c r="V21" s="818">
        <f t="shared" ca="1" si="32"/>
        <v>181036.75386129992</v>
      </c>
      <c r="W21" s="306">
        <f t="shared" si="1"/>
        <v>0</v>
      </c>
      <c r="X21" s="306">
        <f ca="1">SUM(D21,L21)*OFFSET(GridFootprintbyYear,$A21-$A$19,0)+SUM(G21,P21)*Emissions_factor_PurchSteam+SUM(J21,T21)*Emissions_factor_PurchCooling</f>
        <v>-3573.5485844890363</v>
      </c>
      <c r="Y21" s="306">
        <v>0</v>
      </c>
      <c r="Z21" s="306">
        <v>0</v>
      </c>
      <c r="AA21" s="308">
        <f ca="1">-SUM(W21,X21/OFFSET(GridFootprintbyYear,$A21-$A$19,0)*EF_PurchElec_MTperMWh,Z21)*OFFSET(ExposureCalculations!Price_GHG_Allowance_2010,A21-$A$19,0)*ExposureCalculations!D18</f>
        <v>0</v>
      </c>
      <c r="AB21" s="308">
        <f t="shared" ca="1" si="3"/>
        <v>195265.58930865114</v>
      </c>
      <c r="AC21" s="308">
        <v>0</v>
      </c>
      <c r="AD21" s="819">
        <f t="shared" ca="1" si="4"/>
        <v>182186.21501440863</v>
      </c>
      <c r="AE21" s="308">
        <v>0</v>
      </c>
      <c r="AF21" s="819">
        <f t="shared" ca="1" si="5"/>
        <v>32713.051080475136</v>
      </c>
      <c r="AG21" s="308">
        <v>0</v>
      </c>
      <c r="AH21" s="308">
        <v>0</v>
      </c>
      <c r="AI21" s="308">
        <v>0</v>
      </c>
      <c r="AJ21" s="308">
        <f ca="1">SUM(AB21:AI21)</f>
        <v>410164.85540353489</v>
      </c>
      <c r="AK21" s="309">
        <v>0</v>
      </c>
      <c r="AL21" s="309">
        <f t="shared" ref="AL21:AL59" si="68">-CA21-DC21</f>
        <v>-2365231.7073170608</v>
      </c>
      <c r="AM21" s="309">
        <f t="shared" si="33"/>
        <v>-2365231.7073170608</v>
      </c>
      <c r="AN21" s="310">
        <v>0</v>
      </c>
      <c r="AO21" s="310">
        <v>0</v>
      </c>
      <c r="AP21" s="310">
        <f t="shared" si="34"/>
        <v>0</v>
      </c>
      <c r="AQ21" s="309">
        <v>0</v>
      </c>
      <c r="AR21" s="311">
        <f t="shared" ca="1" si="7"/>
        <v>-1955066.851913526</v>
      </c>
      <c r="AS21" s="870">
        <f t="shared" ca="1" si="35"/>
        <v>-2403903.9174195863</v>
      </c>
      <c r="AT21" s="822"/>
      <c r="AU21" s="964" t="s">
        <v>1434</v>
      </c>
      <c r="AV21" s="35"/>
      <c r="AW21" s="879"/>
      <c r="AX21" s="35"/>
      <c r="AY21" s="880"/>
      <c r="BA21" s="123">
        <f>SpacePlanning!BB21-CampusArea!$G$11</f>
        <v>139.26829268292659</v>
      </c>
      <c r="BB21" s="123">
        <f t="shared" si="8"/>
        <v>2683.4235412201479</v>
      </c>
      <c r="BC21" s="123">
        <f>BA21*UtilityDemand!F14</f>
        <v>14274.027722996145</v>
      </c>
      <c r="BD21" s="123">
        <f>BA21*UtilityDemand!H14</f>
        <v>3771.330740020087</v>
      </c>
      <c r="BF21" s="123">
        <f t="shared" si="9"/>
        <v>1878.3964788541036</v>
      </c>
      <c r="BG21" s="123">
        <f t="shared" si="10"/>
        <v>0</v>
      </c>
      <c r="BH21" s="123">
        <f t="shared" si="11"/>
        <v>0</v>
      </c>
      <c r="BI21" s="123">
        <f t="shared" si="36"/>
        <v>1878.3964788541036</v>
      </c>
      <c r="BJ21" s="123">
        <f t="shared" si="37"/>
        <v>1892.9342611659833</v>
      </c>
      <c r="BL21" s="123">
        <f t="shared" si="38"/>
        <v>0</v>
      </c>
      <c r="BM21" s="123">
        <f t="shared" si="39"/>
        <v>0</v>
      </c>
      <c r="BN21" s="123">
        <f t="shared" si="40"/>
        <v>0</v>
      </c>
      <c r="BO21" s="123">
        <f t="shared" si="41"/>
        <v>0</v>
      </c>
      <c r="BP21" s="123">
        <f t="shared" si="42"/>
        <v>14274.027722996145</v>
      </c>
      <c r="BR21" s="123">
        <f t="shared" si="12"/>
        <v>2609.2137592719755</v>
      </c>
      <c r="BS21" s="123">
        <f t="shared" si="13"/>
        <v>0</v>
      </c>
      <c r="BT21" s="123">
        <f t="shared" si="14"/>
        <v>0</v>
      </c>
      <c r="BU21" s="123">
        <f t="shared" si="43"/>
        <v>2609.2137592719755</v>
      </c>
      <c r="BV21" s="123">
        <f t="shared" si="44"/>
        <v>1162.1169807481115</v>
      </c>
      <c r="BX21" s="968">
        <f t="shared" si="45"/>
        <v>2095731.707317061</v>
      </c>
      <c r="BY21" s="968">
        <f t="shared" si="46"/>
        <v>0</v>
      </c>
      <c r="BZ21" s="968">
        <f t="shared" si="47"/>
        <v>0</v>
      </c>
      <c r="CA21" s="968">
        <f t="shared" si="48"/>
        <v>2095731.707317061</v>
      </c>
      <c r="CB21" s="123"/>
      <c r="CC21" s="123">
        <f>SpacePlanning!$AU$49*(A21-2009)</f>
        <v>66</v>
      </c>
      <c r="CD21" s="123">
        <f t="shared" si="49"/>
        <v>1271.688984683316</v>
      </c>
      <c r="CE21" s="123">
        <f t="shared" si="50"/>
        <v>6764.5392326493238</v>
      </c>
      <c r="CF21" s="123">
        <f t="shared" si="51"/>
        <v>1766.457951611203</v>
      </c>
      <c r="CH21" s="123">
        <f t="shared" si="15"/>
        <v>890.18228927832115</v>
      </c>
      <c r="CI21" s="123">
        <f t="shared" si="16"/>
        <v>0</v>
      </c>
      <c r="CJ21" s="123">
        <f t="shared" si="17"/>
        <v>0</v>
      </c>
      <c r="CK21" s="123">
        <f t="shared" si="52"/>
        <v>890.18228927832115</v>
      </c>
      <c r="CL21" s="123">
        <f t="shared" si="53"/>
        <v>381.50669540499484</v>
      </c>
      <c r="CN21" s="123">
        <f t="shared" si="18"/>
        <v>4735.1774628545263</v>
      </c>
      <c r="CO21" s="123">
        <f t="shared" si="19"/>
        <v>0</v>
      </c>
      <c r="CP21" s="123">
        <f t="shared" si="20"/>
        <v>0</v>
      </c>
      <c r="CQ21" s="123">
        <f t="shared" si="54"/>
        <v>4735.1774628545263</v>
      </c>
      <c r="CR21" s="123">
        <f t="shared" si="55"/>
        <v>2029.3617697947975</v>
      </c>
      <c r="CT21" s="123">
        <f t="shared" si="21"/>
        <v>1236.5205661278419</v>
      </c>
      <c r="CU21" s="123">
        <f t="shared" si="22"/>
        <v>0</v>
      </c>
      <c r="CV21" s="123">
        <f t="shared" si="23"/>
        <v>0</v>
      </c>
      <c r="CW21" s="123">
        <f t="shared" si="56"/>
        <v>1236.5205661278419</v>
      </c>
      <c r="CX21" s="123">
        <f t="shared" si="57"/>
        <v>529.93738548336114</v>
      </c>
      <c r="CZ21" s="968">
        <f t="shared" si="58"/>
        <v>269500</v>
      </c>
      <c r="DA21" s="968">
        <f t="shared" si="59"/>
        <v>0</v>
      </c>
      <c r="DB21" s="968">
        <f t="shared" si="60"/>
        <v>0</v>
      </c>
      <c r="DC21" s="968">
        <f t="shared" si="61"/>
        <v>269500</v>
      </c>
    </row>
    <row r="22" spans="1:107">
      <c r="A22" s="303">
        <v>2013</v>
      </c>
      <c r="B22" s="304">
        <f ca="1">IF($D$3="BAU",UtilityDemand!C15,INDIRECT($D$3&amp;"!B"&amp;ROW(A22))+INDIRECT($D$3&amp;"!D"&amp;ROW(A22)))</f>
        <v>130425.45415549695</v>
      </c>
      <c r="C22" s="305">
        <f t="shared" ca="1" si="62"/>
        <v>2.2719615223930619E-2</v>
      </c>
      <c r="D22" s="306">
        <f t="shared" si="63"/>
        <v>-2963.2161338192936</v>
      </c>
      <c r="E22" s="304">
        <f ca="1">IF($D$3="BAU",UtilityDemand!E15,INDIRECT($D$3&amp;"!E"&amp;ROW(D22))+INDIRECT($D$3&amp;"!G"&amp;ROW(D22)))</f>
        <v>695423.16617281805</v>
      </c>
      <c r="F22" s="305">
        <f t="shared" ca="1" si="64"/>
        <v>3.027590521861576E-2</v>
      </c>
      <c r="G22" s="306">
        <f t="shared" si="65"/>
        <v>-21054.565865877918</v>
      </c>
      <c r="H22" s="304">
        <f ca="1">IF($D$3="BAU",UtilityDemand!G15,INDIRECT($D$3&amp;"!H"&amp;ROW(G22))+INDIRECT($D$3&amp;"!J"&amp;ROW(G22)))</f>
        <v>184667.36087391953</v>
      </c>
      <c r="I22" s="305">
        <f t="shared" ca="1" si="66"/>
        <v>1.2030736421680711E-2</v>
      </c>
      <c r="J22" s="306">
        <f t="shared" si="67"/>
        <v>-2221.6843443615194</v>
      </c>
      <c r="K22" s="307">
        <f t="shared" ca="1" si="24"/>
        <v>127462.23802167765</v>
      </c>
      <c r="L22" s="307">
        <f t="shared" si="25"/>
        <v>0</v>
      </c>
      <c r="M22" s="307">
        <v>0</v>
      </c>
      <c r="N22" s="307">
        <f t="shared" ca="1" si="26"/>
        <v>127462.23802167765</v>
      </c>
      <c r="O22" s="1494">
        <f t="shared" ca="1" si="27"/>
        <v>674368.60030694015</v>
      </c>
      <c r="P22" s="306">
        <f t="shared" si="28"/>
        <v>0</v>
      </c>
      <c r="Q22" s="306">
        <v>0</v>
      </c>
      <c r="R22" s="306">
        <f t="shared" ca="1" si="29"/>
        <v>674368.60030694015</v>
      </c>
      <c r="S22" s="818">
        <f t="shared" ca="1" si="30"/>
        <v>182445.67652955803</v>
      </c>
      <c r="T22" s="818">
        <f t="shared" si="31"/>
        <v>0</v>
      </c>
      <c r="U22" s="818">
        <v>0</v>
      </c>
      <c r="V22" s="818">
        <f t="shared" ca="1" si="32"/>
        <v>182445.67652955803</v>
      </c>
      <c r="W22" s="306">
        <f t="shared" si="1"/>
        <v>0</v>
      </c>
      <c r="X22" s="306">
        <f t="shared" ca="1" si="2"/>
        <v>-4637.7326311296556</v>
      </c>
      <c r="Y22" s="306">
        <v>0</v>
      </c>
      <c r="Z22" s="306">
        <v>0</v>
      </c>
      <c r="AA22" s="308">
        <f ca="1">-SUM(W22,X22/OFFSET(GridFootprintbyYear,$A22-$A$19,0)*EF_PurchElec_MTperMWh,Z22)*OFFSET(ExposureCalculations!Price_GHG_Allowance_2010,A22-$A$19,0)*ExposureCalculations!D19</f>
        <v>0</v>
      </c>
      <c r="AB22" s="308">
        <f t="shared" ca="1" si="3"/>
        <v>255670.393932284</v>
      </c>
      <c r="AC22" s="308">
        <v>0</v>
      </c>
      <c r="AD22" s="819">
        <f t="shared" ca="1" si="4"/>
        <v>236455.79490693426</v>
      </c>
      <c r="AE22" s="308">
        <v>0</v>
      </c>
      <c r="AF22" s="819">
        <f t="shared" ca="1" si="5"/>
        <v>42952.563990989373</v>
      </c>
      <c r="AG22" s="308">
        <v>0</v>
      </c>
      <c r="AH22" s="308">
        <v>0</v>
      </c>
      <c r="AI22" s="308">
        <v>0</v>
      </c>
      <c r="AJ22" s="308">
        <f t="shared" ca="1" si="6"/>
        <v>535078.75283020758</v>
      </c>
      <c r="AK22" s="309">
        <v>0</v>
      </c>
      <c r="AL22" s="309">
        <f t="shared" si="68"/>
        <v>-965231.70731707709</v>
      </c>
      <c r="AM22" s="309">
        <f t="shared" si="33"/>
        <v>-965231.70731707709</v>
      </c>
      <c r="AN22" s="310">
        <v>0</v>
      </c>
      <c r="AO22" s="310">
        <v>0</v>
      </c>
      <c r="AP22" s="310">
        <f t="shared" si="34"/>
        <v>0</v>
      </c>
      <c r="AQ22" s="309">
        <v>0</v>
      </c>
      <c r="AR22" s="311">
        <f t="shared" ca="1" si="7"/>
        <v>-430152.95448686951</v>
      </c>
      <c r="AS22" s="870">
        <f t="shared" ca="1" si="35"/>
        <v>-2834056.8719064556</v>
      </c>
      <c r="AT22" s="822"/>
      <c r="AU22" s="898">
        <f>UtilityDemand!L13</f>
        <v>65.742466905143544</v>
      </c>
      <c r="AV22" s="35" t="s">
        <v>1371</v>
      </c>
      <c r="AW22" s="879"/>
      <c r="AX22" s="35"/>
      <c r="AY22" s="880"/>
      <c r="BA22" s="123">
        <f>SpacePlanning!BB22-CampusArea!$G$11</f>
        <v>179.02439024390242</v>
      </c>
      <c r="BB22" s="123">
        <f t="shared" si="8"/>
        <v>3449.4446221639091</v>
      </c>
      <c r="BC22" s="123">
        <f>BA22*UtilityDemand!F15</f>
        <v>18348.750172818189</v>
      </c>
      <c r="BD22" s="123">
        <f>BA22*UtilityDemand!H15</f>
        <v>4869.1517754607039</v>
      </c>
      <c r="BF22" s="123">
        <f t="shared" si="9"/>
        <v>2414.6112355147366</v>
      </c>
      <c r="BG22" s="123">
        <f t="shared" si="10"/>
        <v>0</v>
      </c>
      <c r="BH22" s="123">
        <f t="shared" si="11"/>
        <v>0</v>
      </c>
      <c r="BI22" s="123">
        <f t="shared" si="36"/>
        <v>2414.6112355147366</v>
      </c>
      <c r="BJ22" s="123">
        <f t="shared" si="37"/>
        <v>2454.5405399459673</v>
      </c>
      <c r="BL22" s="123">
        <f t="shared" si="38"/>
        <v>0</v>
      </c>
      <c r="BM22" s="123">
        <f t="shared" si="39"/>
        <v>0</v>
      </c>
      <c r="BN22" s="123">
        <f t="shared" si="40"/>
        <v>0</v>
      </c>
      <c r="BO22" s="123">
        <f t="shared" si="41"/>
        <v>0</v>
      </c>
      <c r="BP22" s="123">
        <f t="shared" si="42"/>
        <v>18348.750172818189</v>
      </c>
      <c r="BR22" s="123">
        <f t="shared" si="12"/>
        <v>3354.0506117436657</v>
      </c>
      <c r="BS22" s="123">
        <f t="shared" si="13"/>
        <v>0</v>
      </c>
      <c r="BT22" s="123">
        <f t="shared" si="14"/>
        <v>0</v>
      </c>
      <c r="BU22" s="123">
        <f t="shared" si="43"/>
        <v>3354.0506117436657</v>
      </c>
      <c r="BV22" s="123">
        <f t="shared" si="44"/>
        <v>1515.1011637170382</v>
      </c>
      <c r="BX22" s="968">
        <f t="shared" si="45"/>
        <v>695731.70731707709</v>
      </c>
      <c r="BY22" s="968">
        <f t="shared" si="46"/>
        <v>0</v>
      </c>
      <c r="BZ22" s="968">
        <f t="shared" si="47"/>
        <v>0</v>
      </c>
      <c r="CA22" s="968">
        <f t="shared" si="48"/>
        <v>695731.70731707709</v>
      </c>
      <c r="CB22" s="123"/>
      <c r="CC22" s="123">
        <f>SpacePlanning!$AU$49*(A22-2009)</f>
        <v>88</v>
      </c>
      <c r="CD22" s="123">
        <f t="shared" si="49"/>
        <v>1695.5853129110878</v>
      </c>
      <c r="CE22" s="123">
        <f t="shared" si="50"/>
        <v>9019.3856435324305</v>
      </c>
      <c r="CF22" s="123">
        <f t="shared" si="51"/>
        <v>2355.2772688149371</v>
      </c>
      <c r="CH22" s="123">
        <f t="shared" si="15"/>
        <v>1186.9097190377615</v>
      </c>
      <c r="CI22" s="123">
        <f t="shared" si="16"/>
        <v>0</v>
      </c>
      <c r="CJ22" s="123">
        <f t="shared" si="17"/>
        <v>0</v>
      </c>
      <c r="CK22" s="123">
        <f t="shared" si="52"/>
        <v>1186.9097190377615</v>
      </c>
      <c r="CL22" s="123">
        <f t="shared" si="53"/>
        <v>508.67559387332631</v>
      </c>
      <c r="CN22" s="123">
        <f t="shared" si="18"/>
        <v>6313.5699504727017</v>
      </c>
      <c r="CO22" s="123">
        <f t="shared" si="19"/>
        <v>0</v>
      </c>
      <c r="CP22" s="123">
        <f t="shared" si="20"/>
        <v>0</v>
      </c>
      <c r="CQ22" s="123">
        <f t="shared" si="54"/>
        <v>6313.5699504727017</v>
      </c>
      <c r="CR22" s="123">
        <f t="shared" si="55"/>
        <v>2705.8156930597288</v>
      </c>
      <c r="CT22" s="123">
        <f t="shared" si="21"/>
        <v>1648.6940881704559</v>
      </c>
      <c r="CU22" s="123">
        <f t="shared" si="22"/>
        <v>0</v>
      </c>
      <c r="CV22" s="123">
        <f t="shared" si="23"/>
        <v>0</v>
      </c>
      <c r="CW22" s="123">
        <f t="shared" si="56"/>
        <v>1648.6940881704559</v>
      </c>
      <c r="CX22" s="123">
        <f t="shared" si="57"/>
        <v>706.58318064448122</v>
      </c>
      <c r="CZ22" s="968">
        <f t="shared" si="58"/>
        <v>269500</v>
      </c>
      <c r="DA22" s="968">
        <f t="shared" si="59"/>
        <v>0</v>
      </c>
      <c r="DB22" s="968">
        <f t="shared" si="60"/>
        <v>0</v>
      </c>
      <c r="DC22" s="968">
        <f t="shared" si="61"/>
        <v>269500</v>
      </c>
    </row>
    <row r="23" spans="1:107">
      <c r="A23" s="303">
        <v>2014</v>
      </c>
      <c r="B23" s="304">
        <f ca="1">IF($D$3="BAU",UtilityDemand!C16,INDIRECT($D$3&amp;"!B"&amp;ROW(A23))+INDIRECT($D$3&amp;"!D"&amp;ROW(A23)))</f>
        <v>130613.43478885735</v>
      </c>
      <c r="C23" s="305">
        <f t="shared" ca="1" si="62"/>
        <v>2.4854132652211636E-2</v>
      </c>
      <c r="D23" s="306">
        <f t="shared" si="63"/>
        <v>-3246.2836344032548</v>
      </c>
      <c r="E23" s="304">
        <f ca="1">IF($D$3="BAU",UtilityDemand!E16,INDIRECT($D$3&amp;"!E"&amp;ROW(D23))+INDIRECT($D$3&amp;"!G"&amp;ROW(D23)))</f>
        <v>696423.09806234494</v>
      </c>
      <c r="F23" s="305">
        <f t="shared" ca="1" si="64"/>
        <v>3.2639571751588915E-2</v>
      </c>
      <c r="G23" s="306">
        <f t="shared" si="65"/>
        <v>-22730.951678669753</v>
      </c>
      <c r="H23" s="304">
        <f ca="1">IF($D$3="BAU",UtilityDemand!G16,INDIRECT($D$3&amp;"!H"&amp;ROW(G23))+INDIRECT($D$3&amp;"!J"&amp;ROW(G23)))</f>
        <v>185802.97808775704</v>
      </c>
      <c r="I23" s="305">
        <f t="shared" ca="1" si="66"/>
        <v>1.3471437116158884E-2</v>
      </c>
      <c r="J23" s="306">
        <f t="shared" si="67"/>
        <v>-2503.0331353042661</v>
      </c>
      <c r="K23" s="307">
        <f t="shared" ca="1" si="24"/>
        <v>127367.1511544541</v>
      </c>
      <c r="L23" s="307">
        <f t="shared" si="25"/>
        <v>0</v>
      </c>
      <c r="M23" s="307">
        <v>0</v>
      </c>
      <c r="N23" s="307">
        <f t="shared" ca="1" si="26"/>
        <v>127367.1511544541</v>
      </c>
      <c r="O23" s="1494">
        <f t="shared" ca="1" si="27"/>
        <v>673692.14638367516</v>
      </c>
      <c r="P23" s="306">
        <f t="shared" si="28"/>
        <v>0</v>
      </c>
      <c r="Q23" s="306">
        <v>0</v>
      </c>
      <c r="R23" s="306">
        <f t="shared" ca="1" si="29"/>
        <v>673692.14638367516</v>
      </c>
      <c r="S23" s="818">
        <f t="shared" ca="1" si="30"/>
        <v>183299.94495245279</v>
      </c>
      <c r="T23" s="818">
        <f t="shared" si="31"/>
        <v>0</v>
      </c>
      <c r="U23" s="818">
        <v>0</v>
      </c>
      <c r="V23" s="818">
        <f t="shared" ca="1" si="32"/>
        <v>183299.94495245279</v>
      </c>
      <c r="W23" s="306">
        <f t="shared" si="1"/>
        <v>0</v>
      </c>
      <c r="X23" s="306">
        <f t="shared" ca="1" si="2"/>
        <v>-5052.878033826406</v>
      </c>
      <c r="Y23" s="306">
        <v>0</v>
      </c>
      <c r="Z23" s="306">
        <v>0</v>
      </c>
      <c r="AA23" s="308">
        <f ca="1">-SUM(W23,X23/OFFSET(GridFootprintbyYear,$A23-$A$19,0)*EF_PurchElec_MTperMWh,Z23)*OFFSET(ExposureCalculations!Price_GHG_Allowance_2010,A23-$A$19,0)*ExposureCalculations!D20</f>
        <v>0</v>
      </c>
      <c r="AB23" s="308">
        <f t="shared" ca="1" si="3"/>
        <v>281494.31935861392</v>
      </c>
      <c r="AC23" s="308">
        <v>0</v>
      </c>
      <c r="AD23" s="819">
        <f t="shared" ca="1" si="4"/>
        <v>256559.05749005021</v>
      </c>
      <c r="AE23" s="308">
        <v>0</v>
      </c>
      <c r="AF23" s="819">
        <f t="shared" ca="1" si="5"/>
        <v>48391.973949215811</v>
      </c>
      <c r="AG23" s="308">
        <v>0</v>
      </c>
      <c r="AH23" s="308">
        <v>0</v>
      </c>
      <c r="AI23" s="308">
        <v>0</v>
      </c>
      <c r="AJ23" s="308">
        <f t="shared" ca="1" si="6"/>
        <v>586445.35079787998</v>
      </c>
      <c r="AK23" s="309">
        <v>0</v>
      </c>
      <c r="AL23" s="309">
        <f t="shared" si="68"/>
        <v>-440231.70731707709</v>
      </c>
      <c r="AM23" s="309">
        <f t="shared" si="33"/>
        <v>-440231.70731707709</v>
      </c>
      <c r="AN23" s="310">
        <v>0</v>
      </c>
      <c r="AO23" s="310">
        <v>0</v>
      </c>
      <c r="AP23" s="310">
        <f t="shared" si="34"/>
        <v>0</v>
      </c>
      <c r="AQ23" s="309">
        <v>0</v>
      </c>
      <c r="AR23" s="311">
        <f t="shared" ca="1" si="7"/>
        <v>146213.64348080289</v>
      </c>
      <c r="AS23" s="870">
        <f t="shared" ca="1" si="35"/>
        <v>-2687843.2284256527</v>
      </c>
      <c r="AT23" s="822"/>
      <c r="AU23" s="898">
        <f>UtilityDemand!L14</f>
        <v>102.4930186765049</v>
      </c>
      <c r="AV23" s="35" t="s">
        <v>1372</v>
      </c>
      <c r="AW23" s="879"/>
      <c r="AX23" s="35"/>
      <c r="AY23" s="880"/>
      <c r="BA23" s="123">
        <f>SpacePlanning!BB23-CampusArea!$G$11</f>
        <v>188.78048780487825</v>
      </c>
      <c r="BB23" s="123">
        <f t="shared" si="8"/>
        <v>3637.4252555243438</v>
      </c>
      <c r="BC23" s="123">
        <f>BA23*UtilityDemand!F16</f>
        <v>19348.682062345091</v>
      </c>
      <c r="BD23" s="123">
        <f>BA23*UtilityDemand!H16</f>
        <v>5156.6368209286375</v>
      </c>
      <c r="BF23" s="123">
        <f t="shared" si="9"/>
        <v>2546.1976788670408</v>
      </c>
      <c r="BG23" s="123">
        <f t="shared" si="10"/>
        <v>0</v>
      </c>
      <c r="BH23" s="123">
        <f t="shared" si="11"/>
        <v>0</v>
      </c>
      <c r="BI23" s="123">
        <f t="shared" si="36"/>
        <v>2546.1976788670408</v>
      </c>
      <c r="BJ23" s="123">
        <f t="shared" si="37"/>
        <v>2610.4391420615966</v>
      </c>
      <c r="BL23" s="123">
        <f t="shared" si="38"/>
        <v>0</v>
      </c>
      <c r="BM23" s="123">
        <f t="shared" si="39"/>
        <v>0</v>
      </c>
      <c r="BN23" s="123">
        <f t="shared" si="40"/>
        <v>0</v>
      </c>
      <c r="BO23" s="123">
        <f t="shared" si="41"/>
        <v>0</v>
      </c>
      <c r="BP23" s="123">
        <f t="shared" si="42"/>
        <v>19348.682062345091</v>
      </c>
      <c r="BR23" s="123">
        <f t="shared" si="12"/>
        <v>3536.8326614299731</v>
      </c>
      <c r="BS23" s="123">
        <f t="shared" si="13"/>
        <v>0</v>
      </c>
      <c r="BT23" s="123">
        <f t="shared" si="14"/>
        <v>0</v>
      </c>
      <c r="BU23" s="123">
        <f t="shared" si="43"/>
        <v>3536.8326614299731</v>
      </c>
      <c r="BV23" s="123">
        <f t="shared" si="44"/>
        <v>1619.8041594986644</v>
      </c>
      <c r="BX23" s="968">
        <f t="shared" si="45"/>
        <v>170731.70731707706</v>
      </c>
      <c r="BY23" s="968">
        <f t="shared" si="46"/>
        <v>0</v>
      </c>
      <c r="BZ23" s="968">
        <f t="shared" si="47"/>
        <v>0</v>
      </c>
      <c r="CA23" s="968">
        <f t="shared" si="48"/>
        <v>170731.70731707706</v>
      </c>
      <c r="CB23" s="123"/>
      <c r="CC23" s="123">
        <f>SpacePlanning!$AU$49*(A23-2009)</f>
        <v>110</v>
      </c>
      <c r="CD23" s="123">
        <f t="shared" si="49"/>
        <v>2119.4816411388601</v>
      </c>
      <c r="CE23" s="123">
        <f t="shared" si="50"/>
        <v>11274.232054415539</v>
      </c>
      <c r="CF23" s="123">
        <f t="shared" si="51"/>
        <v>2944.0965860186716</v>
      </c>
      <c r="CH23" s="123">
        <f t="shared" si="15"/>
        <v>1483.6371487972017</v>
      </c>
      <c r="CI23" s="123">
        <f t="shared" si="16"/>
        <v>0</v>
      </c>
      <c r="CJ23" s="123">
        <f t="shared" si="17"/>
        <v>0</v>
      </c>
      <c r="CK23" s="123">
        <f t="shared" si="52"/>
        <v>1483.6371487972017</v>
      </c>
      <c r="CL23" s="123">
        <f t="shared" si="53"/>
        <v>635.84449234165845</v>
      </c>
      <c r="CN23" s="123">
        <f t="shared" si="18"/>
        <v>7891.9624380908772</v>
      </c>
      <c r="CO23" s="123">
        <f t="shared" si="19"/>
        <v>0</v>
      </c>
      <c r="CP23" s="123">
        <f t="shared" si="20"/>
        <v>0</v>
      </c>
      <c r="CQ23" s="123">
        <f t="shared" si="54"/>
        <v>7891.9624380908772</v>
      </c>
      <c r="CR23" s="123">
        <f t="shared" si="55"/>
        <v>3382.2696163246619</v>
      </c>
      <c r="CT23" s="123">
        <f t="shared" si="21"/>
        <v>2060.8676102130698</v>
      </c>
      <c r="CU23" s="123">
        <f t="shared" si="22"/>
        <v>0</v>
      </c>
      <c r="CV23" s="123">
        <f t="shared" si="23"/>
        <v>0</v>
      </c>
      <c r="CW23" s="123">
        <f t="shared" si="56"/>
        <v>2060.8676102130698</v>
      </c>
      <c r="CX23" s="123">
        <f t="shared" si="57"/>
        <v>883.22897580560175</v>
      </c>
      <c r="CZ23" s="968">
        <f t="shared" si="58"/>
        <v>269500</v>
      </c>
      <c r="DA23" s="968">
        <f t="shared" si="59"/>
        <v>0</v>
      </c>
      <c r="DB23" s="968">
        <f t="shared" si="60"/>
        <v>0</v>
      </c>
      <c r="DC23" s="968">
        <f t="shared" si="61"/>
        <v>269500</v>
      </c>
    </row>
    <row r="24" spans="1:107">
      <c r="A24" s="303">
        <v>2015</v>
      </c>
      <c r="B24" s="304">
        <f ca="1">IF($D$3="BAU",UtilityDemand!C17,INDIRECT($D$3&amp;"!B"&amp;ROW(A24))+INDIRECT($D$3&amp;"!D"&amp;ROW(A24)))</f>
        <v>132342.85661577331</v>
      </c>
      <c r="C24" s="305">
        <f t="shared" ca="1" si="62"/>
        <v>3.5094352286418676E-2</v>
      </c>
      <c r="D24" s="306">
        <f t="shared" si="63"/>
        <v>-4644.486832664943</v>
      </c>
      <c r="E24" s="304">
        <f ca="1">IF($D$3="BAU",UtilityDemand!E17,INDIRECT($D$3&amp;"!E"&amp;ROW(D24))+INDIRECT($D$3&amp;"!G"&amp;ROW(D24)))</f>
        <v>705622.47144599224</v>
      </c>
      <c r="F24" s="305">
        <f t="shared" ca="1" si="64"/>
        <v>4.6209949803274628E-2</v>
      </c>
      <c r="G24" s="306">
        <f t="shared" si="65"/>
        <v>-32606.778985581885</v>
      </c>
      <c r="H24" s="304">
        <f ca="1">IF($D$3="BAU",UtilityDemand!G17,INDIRECT($D$3&amp;"!H"&amp;ROW(G24))+INDIRECT($D$3&amp;"!J"&amp;ROW(G24)))</f>
        <v>189079.75645506277</v>
      </c>
      <c r="I24" s="305">
        <f t="shared" ca="1" si="66"/>
        <v>1.8403417252195003E-2</v>
      </c>
      <c r="J24" s="306">
        <f t="shared" si="67"/>
        <v>-3479.7136519859314</v>
      </c>
      <c r="K24" s="307">
        <f t="shared" ca="1" si="24"/>
        <v>127698.36978310837</v>
      </c>
      <c r="L24" s="307">
        <f t="shared" si="25"/>
        <v>0</v>
      </c>
      <c r="M24" s="307">
        <v>0</v>
      </c>
      <c r="N24" s="307">
        <f t="shared" ca="1" si="26"/>
        <v>127698.36978310837</v>
      </c>
      <c r="O24" s="1494">
        <f t="shared" ca="1" si="27"/>
        <v>673015.6924604103</v>
      </c>
      <c r="P24" s="306">
        <f t="shared" si="28"/>
        <v>0</v>
      </c>
      <c r="Q24" s="306">
        <v>0</v>
      </c>
      <c r="R24" s="306">
        <f t="shared" ca="1" si="29"/>
        <v>673015.6924604103</v>
      </c>
      <c r="S24" s="818">
        <f t="shared" ca="1" si="30"/>
        <v>185600.04280307685</v>
      </c>
      <c r="T24" s="818">
        <f t="shared" si="31"/>
        <v>0</v>
      </c>
      <c r="U24" s="818">
        <v>0</v>
      </c>
      <c r="V24" s="818">
        <f t="shared" ca="1" si="32"/>
        <v>185600.04280307685</v>
      </c>
      <c r="W24" s="306">
        <f t="shared" si="1"/>
        <v>0</v>
      </c>
      <c r="X24" s="306">
        <f t="shared" ca="1" si="2"/>
        <v>-7226.3575762567925</v>
      </c>
      <c r="Y24" s="306">
        <v>0</v>
      </c>
      <c r="Z24" s="306">
        <v>0</v>
      </c>
      <c r="AA24" s="308">
        <f ca="1">-SUM(W24,X24/OFFSET(GridFootprintbyYear,$A24-$A$19,0)*EF_PurchElec_MTperMWh,Z24)*OFFSET(ExposureCalculations!Price_GHG_Allowance_2010,A24-$A$19,0)*ExposureCalculations!D21</f>
        <v>73487.263821772271</v>
      </c>
      <c r="AB24" s="308">
        <f t="shared" ca="1" si="3"/>
        <v>404750.10535277845</v>
      </c>
      <c r="AC24" s="308">
        <v>0</v>
      </c>
      <c r="AD24" s="819">
        <f t="shared" ca="1" si="4"/>
        <v>369865.38995805522</v>
      </c>
      <c r="AE24" s="308">
        <v>0</v>
      </c>
      <c r="AF24" s="819">
        <f t="shared" ca="1" si="5"/>
        <v>67274.463938394663</v>
      </c>
      <c r="AG24" s="308">
        <v>0</v>
      </c>
      <c r="AH24" s="308">
        <v>0</v>
      </c>
      <c r="AI24" s="308">
        <v>0</v>
      </c>
      <c r="AJ24" s="308">
        <f t="shared" ca="1" si="6"/>
        <v>841889.95924922836</v>
      </c>
      <c r="AK24" s="309">
        <v>0</v>
      </c>
      <c r="AL24" s="309">
        <f t="shared" si="68"/>
        <v>-1840231.707317061</v>
      </c>
      <c r="AM24" s="309">
        <f t="shared" si="33"/>
        <v>-1840231.707317061</v>
      </c>
      <c r="AN24" s="310">
        <v>0</v>
      </c>
      <c r="AO24" s="310">
        <v>0</v>
      </c>
      <c r="AP24" s="310">
        <f t="shared" si="34"/>
        <v>0</v>
      </c>
      <c r="AQ24" s="309">
        <v>0</v>
      </c>
      <c r="AR24" s="311">
        <f t="shared" ca="1" si="7"/>
        <v>-924854.48424606037</v>
      </c>
      <c r="AS24" s="870">
        <f t="shared" ca="1" si="35"/>
        <v>-3612697.712671713</v>
      </c>
      <c r="AT24" s="822"/>
      <c r="AU24" s="898">
        <f>UtilityDemand!L15</f>
        <v>26.76451441835156</v>
      </c>
      <c r="AV24" s="827" t="s">
        <v>1373</v>
      </c>
      <c r="AW24" s="879"/>
      <c r="AX24" s="35"/>
      <c r="AY24" s="880"/>
      <c r="BA24" s="123">
        <f>SpacePlanning!BB24-CampusArea!$G$11</f>
        <v>278.53658536585317</v>
      </c>
      <c r="BB24" s="123">
        <f t="shared" si="8"/>
        <v>5366.8470824402957</v>
      </c>
      <c r="BC24" s="123">
        <f>BA24*UtilityDemand!F17</f>
        <v>28548.05544599229</v>
      </c>
      <c r="BD24" s="123">
        <f>BA24*UtilityDemand!H17</f>
        <v>7638.2663995631601</v>
      </c>
      <c r="BF24" s="123">
        <f t="shared" si="9"/>
        <v>3756.7929577082073</v>
      </c>
      <c r="BG24" s="123">
        <f t="shared" si="10"/>
        <v>0</v>
      </c>
      <c r="BH24" s="123">
        <f t="shared" si="11"/>
        <v>0</v>
      </c>
      <c r="BI24" s="123">
        <f t="shared" si="36"/>
        <v>3756.7929577082073</v>
      </c>
      <c r="BJ24" s="123">
        <f t="shared" si="37"/>
        <v>3881.4734418549529</v>
      </c>
      <c r="BL24" s="123">
        <f t="shared" si="38"/>
        <v>0</v>
      </c>
      <c r="BM24" s="123">
        <f t="shared" si="39"/>
        <v>0</v>
      </c>
      <c r="BN24" s="123">
        <f t="shared" si="40"/>
        <v>0</v>
      </c>
      <c r="BO24" s="123">
        <f t="shared" si="41"/>
        <v>0</v>
      </c>
      <c r="BP24" s="123">
        <f t="shared" si="42"/>
        <v>28548.05544599229</v>
      </c>
      <c r="BR24" s="123">
        <f t="shared" si="12"/>
        <v>5218.427518543951</v>
      </c>
      <c r="BS24" s="123">
        <f t="shared" si="13"/>
        <v>0</v>
      </c>
      <c r="BT24" s="123">
        <f t="shared" si="14"/>
        <v>0</v>
      </c>
      <c r="BU24" s="123">
        <f t="shared" si="43"/>
        <v>5218.427518543951</v>
      </c>
      <c r="BV24" s="123">
        <f t="shared" si="44"/>
        <v>2419.8388810192091</v>
      </c>
      <c r="BX24" s="968">
        <f t="shared" si="45"/>
        <v>1570731.707317061</v>
      </c>
      <c r="BY24" s="968">
        <f t="shared" si="46"/>
        <v>0</v>
      </c>
      <c r="BZ24" s="968">
        <f t="shared" si="47"/>
        <v>0</v>
      </c>
      <c r="CA24" s="968">
        <f t="shared" si="48"/>
        <v>1570731.707317061</v>
      </c>
      <c r="CB24" s="123"/>
      <c r="CC24" s="123">
        <f>SpacePlanning!$AU$49*(A24-2009)</f>
        <v>132</v>
      </c>
      <c r="CD24" s="123">
        <f t="shared" si="49"/>
        <v>2543.377969366632</v>
      </c>
      <c r="CE24" s="123">
        <f t="shared" si="50"/>
        <v>13529.078465298648</v>
      </c>
      <c r="CF24" s="123">
        <f t="shared" si="51"/>
        <v>3532.9159032224061</v>
      </c>
      <c r="CH24" s="123">
        <f t="shared" si="15"/>
        <v>1780.3645785566423</v>
      </c>
      <c r="CI24" s="123">
        <f t="shared" si="16"/>
        <v>0</v>
      </c>
      <c r="CJ24" s="123">
        <f t="shared" si="17"/>
        <v>0</v>
      </c>
      <c r="CK24" s="123">
        <f t="shared" si="52"/>
        <v>1780.3645785566423</v>
      </c>
      <c r="CL24" s="123">
        <f t="shared" si="53"/>
        <v>763.01339080998969</v>
      </c>
      <c r="CN24" s="123">
        <f t="shared" si="18"/>
        <v>9470.3549257090526</v>
      </c>
      <c r="CO24" s="123">
        <f t="shared" si="19"/>
        <v>0</v>
      </c>
      <c r="CP24" s="123">
        <f t="shared" si="20"/>
        <v>0</v>
      </c>
      <c r="CQ24" s="123">
        <f t="shared" si="54"/>
        <v>9470.3549257090526</v>
      </c>
      <c r="CR24" s="123">
        <f t="shared" si="55"/>
        <v>4058.723539589595</v>
      </c>
      <c r="CT24" s="123">
        <f t="shared" si="21"/>
        <v>2473.0411322556838</v>
      </c>
      <c r="CU24" s="123">
        <f t="shared" si="22"/>
        <v>0</v>
      </c>
      <c r="CV24" s="123">
        <f t="shared" si="23"/>
        <v>0</v>
      </c>
      <c r="CW24" s="123">
        <f t="shared" si="56"/>
        <v>2473.0411322556838</v>
      </c>
      <c r="CX24" s="123">
        <f t="shared" si="57"/>
        <v>1059.8747709667223</v>
      </c>
      <c r="CZ24" s="968">
        <f t="shared" si="58"/>
        <v>269500</v>
      </c>
      <c r="DA24" s="968">
        <f t="shared" si="59"/>
        <v>0</v>
      </c>
      <c r="DB24" s="968">
        <f t="shared" si="60"/>
        <v>0</v>
      </c>
      <c r="DC24" s="968">
        <f t="shared" si="61"/>
        <v>269500</v>
      </c>
    </row>
    <row r="25" spans="1:107">
      <c r="A25" s="303">
        <v>2016</v>
      </c>
      <c r="B25" s="304">
        <f ca="1">IF($D$3="BAU",UtilityDemand!C18,INDIRECT($D$3&amp;"!B"&amp;ROW(A25))+INDIRECT($D$3&amp;"!D"&amp;ROW(A25)))</f>
        <v>132530.83724913376</v>
      </c>
      <c r="C25" s="305">
        <f t="shared" ca="1" si="62"/>
        <v>3.7271211235803951E-2</v>
      </c>
      <c r="D25" s="306">
        <f t="shared" si="63"/>
        <v>-4939.5848303704188</v>
      </c>
      <c r="E25" s="304">
        <f ca="1">IF($D$3="BAU",UtilityDemand!E18,INDIRECT($D$3&amp;"!E"&amp;ROW(D25))+INDIRECT($D$3&amp;"!G"&amp;ROW(D25)))</f>
        <v>706622.40333551913</v>
      </c>
      <c r="F25" s="305">
        <f t="shared" ca="1" si="64"/>
        <v>4.8516951396593851E-2</v>
      </c>
      <c r="G25" s="306">
        <f t="shared" si="65"/>
        <v>-34283.16479837372</v>
      </c>
      <c r="H25" s="304">
        <f ca="1">IF($D$3="BAU",UtilityDemand!G18,INDIRECT($D$3&amp;"!H"&amp;ROW(G25))+INDIRECT($D$3&amp;"!J"&amp;ROW(G25)))</f>
        <v>190215.37366890037</v>
      </c>
      <c r="I25" s="305">
        <f t="shared" ca="1" si="66"/>
        <v>1.9835898998457686E-2</v>
      </c>
      <c r="J25" s="306">
        <f t="shared" si="67"/>
        <v>-3773.092940050195</v>
      </c>
      <c r="K25" s="307">
        <f t="shared" ca="1" si="24"/>
        <v>127591.25241876335</v>
      </c>
      <c r="L25" s="307">
        <f t="shared" si="25"/>
        <v>0</v>
      </c>
      <c r="M25" s="307">
        <v>0</v>
      </c>
      <c r="N25" s="307">
        <f t="shared" ca="1" si="26"/>
        <v>127591.25241876335</v>
      </c>
      <c r="O25" s="1494">
        <f t="shared" ca="1" si="27"/>
        <v>672339.23853714543</v>
      </c>
      <c r="P25" s="306">
        <f t="shared" si="28"/>
        <v>0</v>
      </c>
      <c r="Q25" s="306">
        <v>0</v>
      </c>
      <c r="R25" s="306">
        <f t="shared" ca="1" si="29"/>
        <v>672339.23853714543</v>
      </c>
      <c r="S25" s="818">
        <f t="shared" ca="1" si="30"/>
        <v>186442.28072885016</v>
      </c>
      <c r="T25" s="818">
        <f t="shared" si="31"/>
        <v>0</v>
      </c>
      <c r="U25" s="818">
        <v>0</v>
      </c>
      <c r="V25" s="818">
        <f t="shared" ca="1" si="32"/>
        <v>186442.28072885016</v>
      </c>
      <c r="W25" s="306">
        <f t="shared" si="1"/>
        <v>0</v>
      </c>
      <c r="X25" s="306">
        <f t="shared" ca="1" si="2"/>
        <v>-7651.4767554743994</v>
      </c>
      <c r="Y25" s="306">
        <v>0</v>
      </c>
      <c r="Z25" s="306">
        <v>0</v>
      </c>
      <c r="AA25" s="308">
        <f ca="1">-SUM(W25,X25/OFFSET(GridFootprintbyYear,$A25-$A$19,0)*EF_PurchElec_MTperMWh,Z25)*OFFSET(ExposureCalculations!Price_GHG_Allowance_2010,A25-$A$19,0)*ExposureCalculations!D22</f>
        <v>89816.906834069232</v>
      </c>
      <c r="AB25" s="308">
        <f t="shared" ca="1" si="3"/>
        <v>432619.15477128496</v>
      </c>
      <c r="AC25" s="308">
        <v>0</v>
      </c>
      <c r="AD25" s="819">
        <f t="shared" ca="1" si="4"/>
        <v>390825.38337710284</v>
      </c>
      <c r="AE25" s="308">
        <v>0</v>
      </c>
      <c r="AF25" s="819">
        <f t="shared" ca="1" si="5"/>
        <v>72946.463507637105</v>
      </c>
      <c r="AG25" s="308">
        <v>0</v>
      </c>
      <c r="AH25" s="308">
        <v>0</v>
      </c>
      <c r="AI25" s="308">
        <v>0</v>
      </c>
      <c r="AJ25" s="308">
        <f t="shared" ca="1" si="6"/>
        <v>896391.00165602495</v>
      </c>
      <c r="AK25" s="309">
        <v>0</v>
      </c>
      <c r="AL25" s="309">
        <f t="shared" si="68"/>
        <v>-440231.70731707709</v>
      </c>
      <c r="AM25" s="309">
        <f t="shared" si="33"/>
        <v>-440231.70731707709</v>
      </c>
      <c r="AN25" s="310">
        <v>0</v>
      </c>
      <c r="AO25" s="310">
        <v>0</v>
      </c>
      <c r="AP25" s="310">
        <f t="shared" si="34"/>
        <v>0</v>
      </c>
      <c r="AQ25" s="309">
        <v>0</v>
      </c>
      <c r="AR25" s="311">
        <f t="shared" ca="1" si="7"/>
        <v>545976.20117301703</v>
      </c>
      <c r="AS25" s="870">
        <f t="shared" ca="1" si="35"/>
        <v>-3066721.5114986962</v>
      </c>
      <c r="AT25" s="822"/>
      <c r="AU25" s="878"/>
      <c r="AV25" s="35"/>
      <c r="AW25" s="879"/>
      <c r="AX25" s="35"/>
      <c r="AY25" s="880"/>
      <c r="BA25" s="123">
        <f>SpacePlanning!BB25-CampusArea!$G$11</f>
        <v>288.292682926829</v>
      </c>
      <c r="BB25" s="123">
        <f t="shared" si="8"/>
        <v>5554.8277158007322</v>
      </c>
      <c r="BC25" s="123">
        <f>BA25*UtilityDemand!F18</f>
        <v>29547.987335519196</v>
      </c>
      <c r="BD25" s="123">
        <f>BA25*UtilityDemand!H18</f>
        <v>7937.7819421526101</v>
      </c>
      <c r="BF25" s="123">
        <f t="shared" si="9"/>
        <v>3888.379401060512</v>
      </c>
      <c r="BG25" s="123">
        <f t="shared" si="10"/>
        <v>0</v>
      </c>
      <c r="BH25" s="123">
        <f t="shared" si="11"/>
        <v>0</v>
      </c>
      <c r="BI25" s="123">
        <f t="shared" si="36"/>
        <v>3888.379401060512</v>
      </c>
      <c r="BJ25" s="123">
        <f t="shared" si="37"/>
        <v>4049.4025410920981</v>
      </c>
      <c r="BL25" s="123">
        <f t="shared" si="38"/>
        <v>0</v>
      </c>
      <c r="BM25" s="123">
        <f t="shared" si="39"/>
        <v>0</v>
      </c>
      <c r="BN25" s="123">
        <f t="shared" si="40"/>
        <v>0</v>
      </c>
      <c r="BO25" s="123">
        <f t="shared" si="41"/>
        <v>0</v>
      </c>
      <c r="BP25" s="123">
        <f t="shared" si="42"/>
        <v>29547.987335519196</v>
      </c>
      <c r="BR25" s="123">
        <f t="shared" si="12"/>
        <v>5401.2095682302579</v>
      </c>
      <c r="BS25" s="123">
        <f t="shared" si="13"/>
        <v>0</v>
      </c>
      <c r="BT25" s="123">
        <f t="shared" si="14"/>
        <v>0</v>
      </c>
      <c r="BU25" s="123">
        <f t="shared" si="43"/>
        <v>5401.2095682302579</v>
      </c>
      <c r="BV25" s="123">
        <f t="shared" si="44"/>
        <v>2536.5723739223522</v>
      </c>
      <c r="BX25" s="968">
        <f t="shared" si="45"/>
        <v>170731.70731707706</v>
      </c>
      <c r="BY25" s="968">
        <f t="shared" si="46"/>
        <v>0</v>
      </c>
      <c r="BZ25" s="968">
        <f t="shared" si="47"/>
        <v>0</v>
      </c>
      <c r="CA25" s="968">
        <f t="shared" si="48"/>
        <v>170731.70731707706</v>
      </c>
      <c r="CB25" s="123"/>
      <c r="CC25" s="123">
        <f>SpacePlanning!$AU$49*(A25-2009)</f>
        <v>154</v>
      </c>
      <c r="CD25" s="123">
        <f t="shared" si="49"/>
        <v>2967.2742975944034</v>
      </c>
      <c r="CE25" s="123">
        <f t="shared" si="50"/>
        <v>15783.924876181754</v>
      </c>
      <c r="CF25" s="123">
        <f t="shared" si="51"/>
        <v>4121.7352204261406</v>
      </c>
      <c r="CH25" s="123">
        <f t="shared" si="15"/>
        <v>2077.0920083160822</v>
      </c>
      <c r="CI25" s="123">
        <f t="shared" si="16"/>
        <v>0</v>
      </c>
      <c r="CJ25" s="123">
        <f t="shared" si="17"/>
        <v>0</v>
      </c>
      <c r="CK25" s="123">
        <f t="shared" si="52"/>
        <v>2077.0920083160822</v>
      </c>
      <c r="CL25" s="123">
        <f t="shared" si="53"/>
        <v>890.18228927832115</v>
      </c>
      <c r="CN25" s="123">
        <f t="shared" si="18"/>
        <v>11048.747413327228</v>
      </c>
      <c r="CO25" s="123">
        <f t="shared" si="19"/>
        <v>0</v>
      </c>
      <c r="CP25" s="123">
        <f t="shared" si="20"/>
        <v>0</v>
      </c>
      <c r="CQ25" s="123">
        <f t="shared" si="54"/>
        <v>11048.747413327228</v>
      </c>
      <c r="CR25" s="123">
        <f t="shared" si="55"/>
        <v>4735.1774628545263</v>
      </c>
      <c r="CT25" s="123">
        <f t="shared" si="21"/>
        <v>2885.2146542982978</v>
      </c>
      <c r="CU25" s="123">
        <f t="shared" si="22"/>
        <v>0</v>
      </c>
      <c r="CV25" s="123">
        <f t="shared" si="23"/>
        <v>0</v>
      </c>
      <c r="CW25" s="123">
        <f t="shared" si="56"/>
        <v>2885.2146542982978</v>
      </c>
      <c r="CX25" s="123">
        <f t="shared" si="57"/>
        <v>1236.5205661278428</v>
      </c>
      <c r="CZ25" s="968">
        <f t="shared" si="58"/>
        <v>269500</v>
      </c>
      <c r="DA25" s="968">
        <f t="shared" si="59"/>
        <v>0</v>
      </c>
      <c r="DB25" s="968">
        <f t="shared" si="60"/>
        <v>0</v>
      </c>
      <c r="DC25" s="968">
        <f t="shared" si="61"/>
        <v>269500</v>
      </c>
    </row>
    <row r="26" spans="1:107">
      <c r="A26" s="303">
        <v>2017</v>
      </c>
      <c r="B26" s="304">
        <f ca="1">IF($D$3="BAU",UtilityDemand!C19,INDIRECT($D$3&amp;"!B"&amp;ROW(A26))+INDIRECT($D$3&amp;"!D"&amp;ROW(A26)))</f>
        <v>132718.81788249419</v>
      </c>
      <c r="C26" s="305">
        <f t="shared" ca="1" si="62"/>
        <v>3.9452761006969025E-2</v>
      </c>
      <c r="D26" s="306">
        <f t="shared" si="63"/>
        <v>-5236.1238030454897</v>
      </c>
      <c r="E26" s="304">
        <f ca="1">IF($D$3="BAU",UtilityDemand!E19,INDIRECT($D$3&amp;"!E"&amp;ROW(D26))+INDIRECT($D$3&amp;"!G"&amp;ROW(D26)))</f>
        <v>707622.33522504603</v>
      </c>
      <c r="F26" s="305">
        <f t="shared" ca="1" si="64"/>
        <v>5.0817433002209145E-2</v>
      </c>
      <c r="G26" s="306">
        <f t="shared" si="65"/>
        <v>-35959.550611165556</v>
      </c>
      <c r="H26" s="304">
        <f ca="1">IF($D$3="BAU",UtilityDemand!G19,INDIRECT($D$3&amp;"!H"&amp;ROW(G26))+INDIRECT($D$3&amp;"!J"&amp;ROW(G26)))</f>
        <v>191350.99088273791</v>
      </c>
      <c r="I26" s="305">
        <f t="shared" ca="1" si="66"/>
        <v>2.1258908481832293E-2</v>
      </c>
      <c r="J26" s="306">
        <f t="shared" si="67"/>
        <v>-4067.913203084051</v>
      </c>
      <c r="K26" s="307">
        <f t="shared" ca="1" si="24"/>
        <v>127482.6940794487</v>
      </c>
      <c r="L26" s="307">
        <f t="shared" si="25"/>
        <v>0</v>
      </c>
      <c r="M26" s="307">
        <v>0</v>
      </c>
      <c r="N26" s="307">
        <f t="shared" ca="1" si="26"/>
        <v>127482.6940794487</v>
      </c>
      <c r="O26" s="1494">
        <f t="shared" ca="1" si="27"/>
        <v>671662.78461388045</v>
      </c>
      <c r="P26" s="306">
        <f t="shared" si="28"/>
        <v>0</v>
      </c>
      <c r="Q26" s="306">
        <v>0</v>
      </c>
      <c r="R26" s="306">
        <f t="shared" ca="1" si="29"/>
        <v>671662.78461388045</v>
      </c>
      <c r="S26" s="818">
        <f t="shared" ca="1" si="30"/>
        <v>187283.07767965386</v>
      </c>
      <c r="T26" s="818">
        <f t="shared" si="31"/>
        <v>0</v>
      </c>
      <c r="U26" s="818">
        <v>0</v>
      </c>
      <c r="V26" s="818">
        <f t="shared" ca="1" si="32"/>
        <v>187283.07767965386</v>
      </c>
      <c r="W26" s="306">
        <f t="shared" si="1"/>
        <v>0</v>
      </c>
      <c r="X26" s="306">
        <f t="shared" ca="1" si="2"/>
        <v>-8077.790562160325</v>
      </c>
      <c r="Y26" s="306">
        <v>0</v>
      </c>
      <c r="Z26" s="306">
        <v>0</v>
      </c>
      <c r="AA26" s="308">
        <f ca="1">-SUM(W26,X26/OFFSET(GridFootprintbyYear,$A26-$A$19,0)*EF_PurchElec_MTperMWh,Z26)*OFFSET(ExposureCalculations!Price_GHG_Allowance_2010,A26-$A$19,0)*ExposureCalculations!D23</f>
        <v>108087.76577715263</v>
      </c>
      <c r="AB26" s="308">
        <f t="shared" ca="1" si="3"/>
        <v>460883.61054635077</v>
      </c>
      <c r="AC26" s="308">
        <v>0</v>
      </c>
      <c r="AD26" s="819">
        <f t="shared" ca="1" si="4"/>
        <v>411985.73009559198</v>
      </c>
      <c r="AE26" s="308">
        <v>0</v>
      </c>
      <c r="AF26" s="819">
        <f t="shared" ca="1" si="5"/>
        <v>78646.321926291654</v>
      </c>
      <c r="AG26" s="308">
        <v>0</v>
      </c>
      <c r="AH26" s="308">
        <v>0</v>
      </c>
      <c r="AI26" s="308">
        <v>0</v>
      </c>
      <c r="AJ26" s="308">
        <f t="shared" ca="1" si="6"/>
        <v>951515.66256823449</v>
      </c>
      <c r="AK26" s="309">
        <v>0</v>
      </c>
      <c r="AL26" s="309">
        <f t="shared" si="68"/>
        <v>-440231.70731707709</v>
      </c>
      <c r="AM26" s="309">
        <f t="shared" si="33"/>
        <v>-440231.70731707709</v>
      </c>
      <c r="AN26" s="310">
        <v>0</v>
      </c>
      <c r="AO26" s="310">
        <v>0</v>
      </c>
      <c r="AP26" s="310">
        <f t="shared" si="34"/>
        <v>0</v>
      </c>
      <c r="AQ26" s="309">
        <v>0</v>
      </c>
      <c r="AR26" s="311">
        <f t="shared" ca="1" si="7"/>
        <v>619371.72102831001</v>
      </c>
      <c r="AS26" s="870">
        <f t="shared" ca="1" si="35"/>
        <v>-2447349.7904703859</v>
      </c>
      <c r="AT26" s="822"/>
      <c r="AU26" s="964" t="s">
        <v>1066</v>
      </c>
      <c r="AW26" s="879"/>
      <c r="AX26" s="35"/>
      <c r="AY26" s="880"/>
      <c r="BA26" s="123">
        <f>SpacePlanning!BB26-CampusArea!$G$11</f>
        <v>298.04878048780483</v>
      </c>
      <c r="BB26" s="123">
        <f t="shared" si="8"/>
        <v>5742.8083491611678</v>
      </c>
      <c r="BC26" s="123">
        <f>BA26*UtilityDemand!F19</f>
        <v>30547.919225046095</v>
      </c>
      <c r="BD26" s="123">
        <f>BA26*UtilityDemand!H19</f>
        <v>8238.7384597116543</v>
      </c>
      <c r="BF26" s="123">
        <f t="shared" si="9"/>
        <v>4019.9658444128172</v>
      </c>
      <c r="BG26" s="123">
        <f t="shared" si="10"/>
        <v>0</v>
      </c>
      <c r="BH26" s="123">
        <f t="shared" si="11"/>
        <v>0</v>
      </c>
      <c r="BI26" s="123">
        <f t="shared" si="36"/>
        <v>4019.9658444128172</v>
      </c>
      <c r="BJ26" s="123">
        <f t="shared" si="37"/>
        <v>4218.7726152988371</v>
      </c>
      <c r="BL26" s="123">
        <f t="shared" si="38"/>
        <v>0</v>
      </c>
      <c r="BM26" s="123">
        <f t="shared" si="39"/>
        <v>0</v>
      </c>
      <c r="BN26" s="123">
        <f t="shared" si="40"/>
        <v>0</v>
      </c>
      <c r="BO26" s="123">
        <f t="shared" si="41"/>
        <v>0</v>
      </c>
      <c r="BP26" s="123">
        <f t="shared" si="42"/>
        <v>30547.919225046095</v>
      </c>
      <c r="BR26" s="123">
        <f t="shared" si="12"/>
        <v>5583.9916179165657</v>
      </c>
      <c r="BS26" s="123">
        <f t="shared" si="13"/>
        <v>0</v>
      </c>
      <c r="BT26" s="123">
        <f t="shared" si="14"/>
        <v>0</v>
      </c>
      <c r="BU26" s="123">
        <f t="shared" si="43"/>
        <v>5583.9916179165657</v>
      </c>
      <c r="BV26" s="123">
        <f t="shared" si="44"/>
        <v>2654.7468417950886</v>
      </c>
      <c r="BX26" s="968">
        <f t="shared" si="45"/>
        <v>170731.70731707706</v>
      </c>
      <c r="BY26" s="968">
        <f t="shared" si="46"/>
        <v>0</v>
      </c>
      <c r="BZ26" s="968">
        <f t="shared" si="47"/>
        <v>0</v>
      </c>
      <c r="CA26" s="968">
        <f t="shared" si="48"/>
        <v>170731.70731707706</v>
      </c>
      <c r="CB26" s="123"/>
      <c r="CC26" s="123">
        <f>SpacePlanning!$AU$49*(A26-2009)</f>
        <v>176</v>
      </c>
      <c r="CD26" s="123">
        <f t="shared" si="49"/>
        <v>3391.1706258221757</v>
      </c>
      <c r="CE26" s="123">
        <f t="shared" si="50"/>
        <v>18038.771287064861</v>
      </c>
      <c r="CF26" s="123">
        <f t="shared" si="51"/>
        <v>4710.5545376298742</v>
      </c>
      <c r="CH26" s="123">
        <f t="shared" si="15"/>
        <v>2373.8194380755231</v>
      </c>
      <c r="CI26" s="123">
        <f t="shared" si="16"/>
        <v>0</v>
      </c>
      <c r="CJ26" s="123">
        <f t="shared" si="17"/>
        <v>0</v>
      </c>
      <c r="CK26" s="123">
        <f t="shared" si="52"/>
        <v>2373.8194380755231</v>
      </c>
      <c r="CL26" s="123">
        <f t="shared" si="53"/>
        <v>1017.3511877466526</v>
      </c>
      <c r="CN26" s="123">
        <f t="shared" si="18"/>
        <v>12627.139900945403</v>
      </c>
      <c r="CO26" s="123">
        <f t="shared" si="19"/>
        <v>0</v>
      </c>
      <c r="CP26" s="123">
        <f t="shared" si="20"/>
        <v>0</v>
      </c>
      <c r="CQ26" s="123">
        <f t="shared" si="54"/>
        <v>12627.139900945403</v>
      </c>
      <c r="CR26" s="123">
        <f t="shared" si="55"/>
        <v>5411.6313861194576</v>
      </c>
      <c r="CT26" s="123">
        <f t="shared" si="21"/>
        <v>3297.3881763409117</v>
      </c>
      <c r="CU26" s="123">
        <f t="shared" si="22"/>
        <v>0</v>
      </c>
      <c r="CV26" s="123">
        <f t="shared" si="23"/>
        <v>0</v>
      </c>
      <c r="CW26" s="123">
        <f t="shared" si="56"/>
        <v>3297.3881763409117</v>
      </c>
      <c r="CX26" s="123">
        <f t="shared" si="57"/>
        <v>1413.1663612889624</v>
      </c>
      <c r="CZ26" s="968">
        <f t="shared" si="58"/>
        <v>269500</v>
      </c>
      <c r="DA26" s="968">
        <f t="shared" si="59"/>
        <v>0</v>
      </c>
      <c r="DB26" s="968">
        <f t="shared" si="60"/>
        <v>0</v>
      </c>
      <c r="DC26" s="968">
        <f t="shared" si="61"/>
        <v>269500</v>
      </c>
    </row>
    <row r="27" spans="1:107">
      <c r="A27" s="303">
        <v>2018</v>
      </c>
      <c r="B27" s="304">
        <f ca="1">IF($D$3="BAU",UtilityDemand!C20,INDIRECT($D$3&amp;"!B"&amp;ROW(A27))+INDIRECT($D$3&amp;"!D"&amp;ROW(A27)))</f>
        <v>132906.79851585464</v>
      </c>
      <c r="C27" s="305">
        <f t="shared" ca="1" si="62"/>
        <v>4.1638629765234032E-2</v>
      </c>
      <c r="D27" s="306">
        <f t="shared" si="63"/>
        <v>-5534.0569766842273</v>
      </c>
      <c r="E27" s="304">
        <f ca="1">IF($D$3="BAU",UtilityDemand!E20,INDIRECT($D$3&amp;"!E"&amp;ROW(D27))+INDIRECT($D$3&amp;"!G"&amp;ROW(D27)))</f>
        <v>708622.26711457293</v>
      </c>
      <c r="F27" s="305">
        <f t="shared" ca="1" si="64"/>
        <v>5.3111422221046652E-2</v>
      </c>
      <c r="G27" s="306">
        <f t="shared" si="65"/>
        <v>-37635.936423957384</v>
      </c>
      <c r="H27" s="304">
        <f ca="1">IF($D$3="BAU",UtilityDemand!G20,INDIRECT($D$3&amp;"!H"&amp;ROW(G27))+INDIRECT($D$3&amp;"!J"&amp;ROW(G27)))</f>
        <v>192486.60809657551</v>
      </c>
      <c r="I27" s="305">
        <f t="shared" ca="1" si="66"/>
        <v>2.2672370354679311E-2</v>
      </c>
      <c r="J27" s="306">
        <f t="shared" si="67"/>
        <v>-4364.1276670815732</v>
      </c>
      <c r="K27" s="307">
        <f t="shared" ca="1" si="24"/>
        <v>127372.74153917041</v>
      </c>
      <c r="L27" s="307">
        <f t="shared" si="25"/>
        <v>0</v>
      </c>
      <c r="M27" s="307">
        <v>0</v>
      </c>
      <c r="N27" s="307">
        <f t="shared" ca="1" si="26"/>
        <v>127372.74153917041</v>
      </c>
      <c r="O27" s="1494">
        <f t="shared" ca="1" si="27"/>
        <v>670986.33069061558</v>
      </c>
      <c r="P27" s="306">
        <f t="shared" si="28"/>
        <v>0</v>
      </c>
      <c r="Q27" s="306">
        <v>0</v>
      </c>
      <c r="R27" s="306">
        <f t="shared" ca="1" si="29"/>
        <v>670986.33069061558</v>
      </c>
      <c r="S27" s="818">
        <f t="shared" ca="1" si="30"/>
        <v>188122.48042949394</v>
      </c>
      <c r="T27" s="818">
        <f t="shared" si="31"/>
        <v>0</v>
      </c>
      <c r="U27" s="818">
        <v>0</v>
      </c>
      <c r="V27" s="818">
        <f t="shared" ca="1" si="32"/>
        <v>188122.48042949394</v>
      </c>
      <c r="W27" s="306">
        <f t="shared" si="1"/>
        <v>0</v>
      </c>
      <c r="X27" s="306">
        <f t="shared" ca="1" si="2"/>
        <v>-8505.2602187414213</v>
      </c>
      <c r="Y27" s="306">
        <v>0</v>
      </c>
      <c r="Z27" s="306">
        <v>0</v>
      </c>
      <c r="AA27" s="308">
        <f ca="1">-SUM(W27,X27/OFFSET(GridFootprintbyYear,$A27-$A$19,0)*EF_PurchElec_MTperMWh,Z27)*OFFSET(ExposureCalculations!Price_GHG_Allowance_2010,A27-$A$19,0)*ExposureCalculations!D24</f>
        <v>128379.44704642137</v>
      </c>
      <c r="AB27" s="308">
        <f t="shared" ca="1" si="3"/>
        <v>489543.22655519855</v>
      </c>
      <c r="AC27" s="308">
        <v>0</v>
      </c>
      <c r="AD27" s="819">
        <f t="shared" ca="1" si="4"/>
        <v>433347.90964668151</v>
      </c>
      <c r="AE27" s="308">
        <v>0</v>
      </c>
      <c r="AF27" s="819">
        <f t="shared" ca="1" si="5"/>
        <v>84373.134896910415</v>
      </c>
      <c r="AG27" s="308">
        <v>0</v>
      </c>
      <c r="AH27" s="308">
        <v>0</v>
      </c>
      <c r="AI27" s="308">
        <v>0</v>
      </c>
      <c r="AJ27" s="308">
        <f t="shared" ca="1" si="6"/>
        <v>1007264.2710987905</v>
      </c>
      <c r="AK27" s="309">
        <v>0</v>
      </c>
      <c r="AL27" s="309">
        <f t="shared" si="68"/>
        <v>-440231.70731707709</v>
      </c>
      <c r="AM27" s="309">
        <f t="shared" si="33"/>
        <v>-440231.70731707709</v>
      </c>
      <c r="AN27" s="310">
        <v>0</v>
      </c>
      <c r="AO27" s="310">
        <v>0</v>
      </c>
      <c r="AP27" s="310">
        <f t="shared" si="34"/>
        <v>0</v>
      </c>
      <c r="AQ27" s="309">
        <v>0</v>
      </c>
      <c r="AR27" s="311">
        <f t="shared" ca="1" si="7"/>
        <v>695412.01082813484</v>
      </c>
      <c r="AS27" s="870">
        <f t="shared" ca="1" si="35"/>
        <v>-1751937.7796422511</v>
      </c>
      <c r="AT27" s="822"/>
      <c r="AU27" s="1210">
        <f>SpacePlanning!AU22</f>
        <v>1</v>
      </c>
      <c r="AV27" t="str">
        <f>SpacePlanning!AV22</f>
        <v>Generic</v>
      </c>
      <c r="AW27" s="879"/>
      <c r="AX27" s="35"/>
      <c r="AY27" s="880"/>
      <c r="BA27" s="123">
        <f>SpacePlanning!BB27-CampusArea!$G$11</f>
        <v>307.80487804878067</v>
      </c>
      <c r="BB27" s="123">
        <f t="shared" si="8"/>
        <v>5930.7889825216025</v>
      </c>
      <c r="BC27" s="123">
        <f>BA27*UtilityDemand!F20</f>
        <v>31547.85111457299</v>
      </c>
      <c r="BD27" s="123">
        <f>BA27*UtilityDemand!H20</f>
        <v>8541.0891782343642</v>
      </c>
      <c r="BF27" s="123">
        <f t="shared" si="9"/>
        <v>4151.5522877651219</v>
      </c>
      <c r="BG27" s="123">
        <f t="shared" si="10"/>
        <v>0</v>
      </c>
      <c r="BH27" s="123">
        <f t="shared" si="11"/>
        <v>0</v>
      </c>
      <c r="BI27" s="123">
        <f t="shared" si="36"/>
        <v>4151.5522877651219</v>
      </c>
      <c r="BJ27" s="123">
        <f t="shared" si="37"/>
        <v>4389.5368904692423</v>
      </c>
      <c r="BL27" s="123">
        <f t="shared" si="38"/>
        <v>0</v>
      </c>
      <c r="BM27" s="123">
        <f t="shared" si="39"/>
        <v>0</v>
      </c>
      <c r="BN27" s="123">
        <f t="shared" si="40"/>
        <v>0</v>
      </c>
      <c r="BO27" s="123">
        <f t="shared" si="41"/>
        <v>0</v>
      </c>
      <c r="BP27" s="123">
        <f t="shared" si="42"/>
        <v>31547.85111457299</v>
      </c>
      <c r="BR27" s="123">
        <f t="shared" si="12"/>
        <v>5766.7736676028735</v>
      </c>
      <c r="BS27" s="123">
        <f t="shared" si="13"/>
        <v>0</v>
      </c>
      <c r="BT27" s="123">
        <f t="shared" si="14"/>
        <v>0</v>
      </c>
      <c r="BU27" s="123">
        <f t="shared" si="43"/>
        <v>5766.7736676028735</v>
      </c>
      <c r="BV27" s="123">
        <f t="shared" si="44"/>
        <v>2774.3155106314907</v>
      </c>
      <c r="BX27" s="968">
        <f t="shared" si="45"/>
        <v>170731.70731707706</v>
      </c>
      <c r="BY27" s="968">
        <f t="shared" si="46"/>
        <v>0</v>
      </c>
      <c r="BZ27" s="968">
        <f t="shared" si="47"/>
        <v>0</v>
      </c>
      <c r="CA27" s="968">
        <f t="shared" si="48"/>
        <v>170731.70731707706</v>
      </c>
      <c r="CB27" s="123"/>
      <c r="CC27" s="123">
        <f>SpacePlanning!$AU$49*(A27-2009)</f>
        <v>198</v>
      </c>
      <c r="CD27" s="123">
        <f t="shared" si="49"/>
        <v>3815.0669540499484</v>
      </c>
      <c r="CE27" s="123">
        <f t="shared" si="50"/>
        <v>20293.617697947971</v>
      </c>
      <c r="CF27" s="123">
        <f t="shared" si="51"/>
        <v>5299.3738548336087</v>
      </c>
      <c r="CH27" s="123">
        <f t="shared" si="15"/>
        <v>2670.5468678349635</v>
      </c>
      <c r="CI27" s="123">
        <f t="shared" si="16"/>
        <v>0</v>
      </c>
      <c r="CJ27" s="123">
        <f t="shared" si="17"/>
        <v>0</v>
      </c>
      <c r="CK27" s="123">
        <f t="shared" si="52"/>
        <v>2670.5468678349635</v>
      </c>
      <c r="CL27" s="123">
        <f t="shared" si="53"/>
        <v>1144.520086214985</v>
      </c>
      <c r="CN27" s="123">
        <f t="shared" si="18"/>
        <v>14205.532388563579</v>
      </c>
      <c r="CO27" s="123">
        <f t="shared" si="19"/>
        <v>0</v>
      </c>
      <c r="CP27" s="123">
        <f t="shared" si="20"/>
        <v>0</v>
      </c>
      <c r="CQ27" s="123">
        <f t="shared" si="54"/>
        <v>14205.532388563579</v>
      </c>
      <c r="CR27" s="123">
        <f t="shared" si="55"/>
        <v>6088.0853093843925</v>
      </c>
      <c r="CT27" s="123">
        <f t="shared" si="21"/>
        <v>3709.5616983835257</v>
      </c>
      <c r="CU27" s="123">
        <f t="shared" si="22"/>
        <v>0</v>
      </c>
      <c r="CV27" s="123">
        <f t="shared" si="23"/>
        <v>0</v>
      </c>
      <c r="CW27" s="123">
        <f t="shared" si="56"/>
        <v>3709.5616983835257</v>
      </c>
      <c r="CX27" s="123">
        <f t="shared" si="57"/>
        <v>1589.812156450083</v>
      </c>
      <c r="CZ27" s="968">
        <f t="shared" si="58"/>
        <v>269500</v>
      </c>
      <c r="DA27" s="968">
        <f t="shared" si="59"/>
        <v>0</v>
      </c>
      <c r="DB27" s="968">
        <f t="shared" si="60"/>
        <v>0</v>
      </c>
      <c r="DC27" s="968">
        <f t="shared" si="61"/>
        <v>269500</v>
      </c>
    </row>
    <row r="28" spans="1:107">
      <c r="A28" s="303">
        <v>2019</v>
      </c>
      <c r="B28" s="304">
        <f ca="1">IF($D$3="BAU",UtilityDemand!C21,INDIRECT($D$3&amp;"!B"&amp;ROW(A28))+INDIRECT($D$3&amp;"!D"&amp;ROW(A28)))</f>
        <v>133094.77914921503</v>
      </c>
      <c r="C28" s="305">
        <f t="shared" ca="1" si="62"/>
        <v>4.38284628238403E-2</v>
      </c>
      <c r="D28" s="306">
        <f t="shared" si="63"/>
        <v>-5833.3395799886057</v>
      </c>
      <c r="E28" s="304">
        <f ca="1">IF($D$3="BAU",UtilityDemand!E21,INDIRECT($D$3&amp;"!E"&amp;ROW(D28))+INDIRECT($D$3&amp;"!G"&amp;ROW(D28)))</f>
        <v>709622.19900409982</v>
      </c>
      <c r="F28" s="305">
        <f t="shared" ca="1" si="64"/>
        <v>5.5398946498462186E-2</v>
      </c>
      <c r="G28" s="306">
        <f t="shared" si="65"/>
        <v>-39312.322236749213</v>
      </c>
      <c r="H28" s="304">
        <f ca="1">IF($D$3="BAU",UtilityDemand!G21,INDIRECT($D$3&amp;"!H"&amp;ROW(G28))+INDIRECT($D$3&amp;"!J"&amp;ROW(G28)))</f>
        <v>193622.22531041311</v>
      </c>
      <c r="I28" s="305">
        <f t="shared" ca="1" si="66"/>
        <v>2.4076221380428635E-2</v>
      </c>
      <c r="J28" s="306">
        <f t="shared" si="67"/>
        <v>-4661.6915607447381</v>
      </c>
      <c r="K28" s="307">
        <f t="shared" ca="1" si="24"/>
        <v>127261.43956922642</v>
      </c>
      <c r="L28" s="307">
        <f t="shared" si="25"/>
        <v>0</v>
      </c>
      <c r="M28" s="307">
        <v>0</v>
      </c>
      <c r="N28" s="307">
        <f t="shared" ca="1" si="26"/>
        <v>127261.43956922642</v>
      </c>
      <c r="O28" s="1494">
        <f t="shared" ca="1" si="27"/>
        <v>670309.87676735059</v>
      </c>
      <c r="P28" s="306">
        <f t="shared" si="28"/>
        <v>0</v>
      </c>
      <c r="Q28" s="306">
        <v>0</v>
      </c>
      <c r="R28" s="306">
        <f t="shared" ca="1" si="29"/>
        <v>670309.87676735059</v>
      </c>
      <c r="S28" s="818">
        <f t="shared" ca="1" si="30"/>
        <v>188960.53374966836</v>
      </c>
      <c r="T28" s="818">
        <f t="shared" si="31"/>
        <v>0</v>
      </c>
      <c r="U28" s="818">
        <v>0</v>
      </c>
      <c r="V28" s="818">
        <f t="shared" ca="1" si="32"/>
        <v>188960.53374966836</v>
      </c>
      <c r="W28" s="306">
        <f t="shared" si="1"/>
        <v>0</v>
      </c>
      <c r="X28" s="306">
        <f t="shared" ca="1" si="2"/>
        <v>-8933.8486079716986</v>
      </c>
      <c r="Y28" s="306">
        <v>0</v>
      </c>
      <c r="Z28" s="306">
        <v>0</v>
      </c>
      <c r="AA28" s="308">
        <f ca="1">-SUM(W28,X28/OFFSET(GridFootprintbyYear,$A28-$A$19,0)*EF_PurchElec_MTperMWh,Z28)*OFFSET(ExposureCalculations!Price_GHG_Allowance_2010,A28-$A$19,0)*ExposureCalculations!D25</f>
        <v>150768.15523207784</v>
      </c>
      <c r="AB28" s="308">
        <f t="shared" ca="1" si="3"/>
        <v>518597.88416873512</v>
      </c>
      <c r="AC28" s="308">
        <v>0</v>
      </c>
      <c r="AD28" s="819">
        <f t="shared" ca="1" si="4"/>
        <v>454913.41135002958</v>
      </c>
      <c r="AE28" s="308">
        <v>0</v>
      </c>
      <c r="AF28" s="819">
        <f t="shared" ca="1" si="5"/>
        <v>90126.036841064924</v>
      </c>
      <c r="AG28" s="308">
        <v>0</v>
      </c>
      <c r="AH28" s="308">
        <v>0</v>
      </c>
      <c r="AI28" s="308">
        <v>0</v>
      </c>
      <c r="AJ28" s="308">
        <f t="shared" ca="1" si="6"/>
        <v>1063637.3323598297</v>
      </c>
      <c r="AK28" s="309">
        <v>0</v>
      </c>
      <c r="AL28" s="309">
        <f t="shared" si="68"/>
        <v>-440231.70731707709</v>
      </c>
      <c r="AM28" s="309">
        <f t="shared" si="33"/>
        <v>-440231.70731707709</v>
      </c>
      <c r="AN28" s="310">
        <v>0</v>
      </c>
      <c r="AO28" s="310">
        <v>0</v>
      </c>
      <c r="AP28" s="310">
        <f t="shared" si="34"/>
        <v>0</v>
      </c>
      <c r="AQ28" s="309">
        <v>0</v>
      </c>
      <c r="AR28" s="311">
        <f t="shared" ca="1" si="7"/>
        <v>774173.78027483053</v>
      </c>
      <c r="AS28" s="870">
        <f t="shared" ca="1" si="35"/>
        <v>-977763.99936742056</v>
      </c>
      <c r="AT28" s="822"/>
      <c r="AU28" s="1210">
        <f>SpacePlanning!AU23</f>
        <v>0</v>
      </c>
      <c r="AV28">
        <f>SpacePlanning!AV23</f>
        <v>0</v>
      </c>
      <c r="AW28" s="879"/>
      <c r="AX28" s="35"/>
      <c r="AY28" s="880"/>
      <c r="BA28" s="123">
        <f>SpacePlanning!BB28-CampusArea!$G$11</f>
        <v>317.5609756097565</v>
      </c>
      <c r="BB28" s="123">
        <f t="shared" si="8"/>
        <v>6118.7696158820381</v>
      </c>
      <c r="BC28" s="123">
        <f>BA28*UtilityDemand!F21</f>
        <v>32547.783004099889</v>
      </c>
      <c r="BD28" s="123">
        <f>BA28*UtilityDemand!H21</f>
        <v>8844.789326422715</v>
      </c>
      <c r="BF28" s="123">
        <f t="shared" si="9"/>
        <v>4283.1387311174267</v>
      </c>
      <c r="BG28" s="123">
        <f t="shared" si="10"/>
        <v>0</v>
      </c>
      <c r="BH28" s="123">
        <f t="shared" si="11"/>
        <v>0</v>
      </c>
      <c r="BI28" s="123">
        <f t="shared" si="36"/>
        <v>4283.1387311174267</v>
      </c>
      <c r="BJ28" s="123">
        <f t="shared" si="37"/>
        <v>4561.6505953052883</v>
      </c>
      <c r="BL28" s="123">
        <f t="shared" si="38"/>
        <v>0</v>
      </c>
      <c r="BM28" s="123">
        <f t="shared" si="39"/>
        <v>0</v>
      </c>
      <c r="BN28" s="123">
        <f t="shared" si="40"/>
        <v>0</v>
      </c>
      <c r="BO28" s="123">
        <f t="shared" si="41"/>
        <v>0</v>
      </c>
      <c r="BP28" s="123">
        <f t="shared" si="42"/>
        <v>32547.783004099889</v>
      </c>
      <c r="BR28" s="123">
        <f t="shared" si="12"/>
        <v>5949.5557172891804</v>
      </c>
      <c r="BS28" s="123">
        <f t="shared" si="13"/>
        <v>0</v>
      </c>
      <c r="BT28" s="123">
        <f t="shared" si="14"/>
        <v>0</v>
      </c>
      <c r="BU28" s="123">
        <f t="shared" si="43"/>
        <v>5949.5557172891804</v>
      </c>
      <c r="BV28" s="123">
        <f t="shared" si="44"/>
        <v>2895.2336091335346</v>
      </c>
      <c r="BX28" s="968">
        <f t="shared" si="45"/>
        <v>170731.70731707706</v>
      </c>
      <c r="BY28" s="968">
        <f t="shared" si="46"/>
        <v>0</v>
      </c>
      <c r="BZ28" s="968">
        <f t="shared" si="47"/>
        <v>0</v>
      </c>
      <c r="CA28" s="968">
        <f t="shared" si="48"/>
        <v>170731.70731707706</v>
      </c>
      <c r="CB28" s="123"/>
      <c r="CC28" s="123">
        <f>SpacePlanning!$AU$49*(A28-2009)</f>
        <v>220</v>
      </c>
      <c r="CD28" s="123">
        <f t="shared" si="49"/>
        <v>4238.9632822777203</v>
      </c>
      <c r="CE28" s="123">
        <f t="shared" si="50"/>
        <v>22548.464108831078</v>
      </c>
      <c r="CF28" s="123">
        <f t="shared" si="51"/>
        <v>5888.1931720373432</v>
      </c>
      <c r="CH28" s="123">
        <f t="shared" si="15"/>
        <v>2967.2742975944034</v>
      </c>
      <c r="CI28" s="123">
        <f t="shared" si="16"/>
        <v>0</v>
      </c>
      <c r="CJ28" s="123">
        <f t="shared" si="17"/>
        <v>0</v>
      </c>
      <c r="CK28" s="123">
        <f t="shared" si="52"/>
        <v>2967.2742975944034</v>
      </c>
      <c r="CL28" s="123">
        <f t="shared" si="53"/>
        <v>1271.6889846833169</v>
      </c>
      <c r="CN28" s="123">
        <f t="shared" si="18"/>
        <v>15783.924876181754</v>
      </c>
      <c r="CO28" s="123">
        <f t="shared" si="19"/>
        <v>0</v>
      </c>
      <c r="CP28" s="123">
        <f t="shared" si="20"/>
        <v>0</v>
      </c>
      <c r="CQ28" s="123">
        <f t="shared" si="54"/>
        <v>15783.924876181754</v>
      </c>
      <c r="CR28" s="123">
        <f t="shared" si="55"/>
        <v>6764.5392326493238</v>
      </c>
      <c r="CT28" s="123">
        <f t="shared" si="21"/>
        <v>4121.7352204261397</v>
      </c>
      <c r="CU28" s="123">
        <f t="shared" si="22"/>
        <v>0</v>
      </c>
      <c r="CV28" s="123">
        <f t="shared" si="23"/>
        <v>0</v>
      </c>
      <c r="CW28" s="123">
        <f t="shared" si="56"/>
        <v>4121.7352204261397</v>
      </c>
      <c r="CX28" s="123">
        <f t="shared" si="57"/>
        <v>1766.4579516112035</v>
      </c>
      <c r="CZ28" s="968">
        <f t="shared" si="58"/>
        <v>269500</v>
      </c>
      <c r="DA28" s="968">
        <f t="shared" si="59"/>
        <v>0</v>
      </c>
      <c r="DB28" s="968">
        <f t="shared" si="60"/>
        <v>0</v>
      </c>
      <c r="DC28" s="968">
        <f t="shared" si="61"/>
        <v>269500</v>
      </c>
    </row>
    <row r="29" spans="1:107">
      <c r="A29" s="303">
        <v>2020</v>
      </c>
      <c r="B29" s="304">
        <f ca="1">IF($D$3="BAU",UtilityDemand!C22,INDIRECT($D$3&amp;"!B"&amp;ROW(A29))+INDIRECT($D$3&amp;"!D"&amp;ROW(A29)))</f>
        <v>133282.75978257548</v>
      </c>
      <c r="C29" s="305">
        <f t="shared" ca="1" si="62"/>
        <v>4.6021921727336129E-2</v>
      </c>
      <c r="D29" s="306">
        <f t="shared" si="63"/>
        <v>-6133.9287383170322</v>
      </c>
      <c r="E29" s="304">
        <f ca="1">IF($D$3="BAU",UtilityDemand!E22,INDIRECT($D$3&amp;"!E"&amp;ROW(D29))+INDIRECT($D$3&amp;"!G"&amp;ROW(D29)))</f>
        <v>710622.13089362672</v>
      </c>
      <c r="F29" s="305">
        <f t="shared" ca="1" si="64"/>
        <v>5.7680033125335727E-2</v>
      </c>
      <c r="G29" s="306">
        <f t="shared" si="65"/>
        <v>-40988.708049541048</v>
      </c>
      <c r="H29" s="304">
        <f ca="1">IF($D$3="BAU",UtilityDemand!G22,INDIRECT($D$3&amp;"!H"&amp;ROW(G29))+INDIRECT($D$3&amp;"!J"&amp;ROW(G29)))</f>
        <v>194757.84252425068</v>
      </c>
      <c r="I29" s="305">
        <f t="shared" ca="1" si="66"/>
        <v>2.5470409535956307E-2</v>
      </c>
      <c r="J29" s="306">
        <f t="shared" si="67"/>
        <v>-4960.5620094319511</v>
      </c>
      <c r="K29" s="307">
        <f t="shared" ca="1" si="24"/>
        <v>127148.83104425845</v>
      </c>
      <c r="L29" s="307">
        <f t="shared" si="25"/>
        <v>0</v>
      </c>
      <c r="M29" s="307">
        <v>0</v>
      </c>
      <c r="N29" s="307">
        <f t="shared" ca="1" si="26"/>
        <v>127148.83104425845</v>
      </c>
      <c r="O29" s="1494">
        <f t="shared" ca="1" si="27"/>
        <v>669633.42284408561</v>
      </c>
      <c r="P29" s="306">
        <f t="shared" si="28"/>
        <v>0</v>
      </c>
      <c r="Q29" s="306">
        <v>0</v>
      </c>
      <c r="R29" s="306">
        <f t="shared" ca="1" si="29"/>
        <v>669633.42284408561</v>
      </c>
      <c r="S29" s="818">
        <f t="shared" ca="1" si="30"/>
        <v>189797.28051481873</v>
      </c>
      <c r="T29" s="818">
        <f t="shared" si="31"/>
        <v>0</v>
      </c>
      <c r="U29" s="818">
        <v>0</v>
      </c>
      <c r="V29" s="818">
        <f t="shared" ca="1" si="32"/>
        <v>189797.28051481873</v>
      </c>
      <c r="W29" s="306">
        <f t="shared" si="1"/>
        <v>0</v>
      </c>
      <c r="X29" s="306">
        <f t="shared" ca="1" si="2"/>
        <v>-9363.5201850112971</v>
      </c>
      <c r="Y29" s="306">
        <v>0</v>
      </c>
      <c r="Z29" s="306">
        <v>0</v>
      </c>
      <c r="AA29" s="308">
        <f ca="1">-SUM(W29,X29/OFFSET(GridFootprintbyYear,$A29-$A$19,0)*EF_PurchElec_MTperMWh,Z29)*OFFSET(ExposureCalculations!Price_GHG_Allowance_2010,A29-$A$19,0)*ExposureCalculations!D26</f>
        <v>175326.70979346914</v>
      </c>
      <c r="AB29" s="308">
        <f t="shared" ca="1" si="3"/>
        <v>548047.58643348527</v>
      </c>
      <c r="AC29" s="308">
        <v>0</v>
      </c>
      <c r="AD29" s="819">
        <f t="shared" ca="1" si="4"/>
        <v>476683.73437266989</v>
      </c>
      <c r="AE29" s="308">
        <v>0</v>
      </c>
      <c r="AF29" s="819">
        <f t="shared" ca="1" si="5"/>
        <v>95904.198849017717</v>
      </c>
      <c r="AG29" s="308">
        <v>0</v>
      </c>
      <c r="AH29" s="308">
        <v>0</v>
      </c>
      <c r="AI29" s="308">
        <v>0</v>
      </c>
      <c r="AJ29" s="308">
        <f t="shared" ca="1" si="6"/>
        <v>1120635.5196551729</v>
      </c>
      <c r="AK29" s="309">
        <v>0</v>
      </c>
      <c r="AL29" s="309">
        <f t="shared" si="68"/>
        <v>-440231.70731707709</v>
      </c>
      <c r="AM29" s="309">
        <f t="shared" si="33"/>
        <v>-440231.70731707709</v>
      </c>
      <c r="AN29" s="310">
        <v>0</v>
      </c>
      <c r="AO29" s="310">
        <v>0</v>
      </c>
      <c r="AP29" s="310">
        <f t="shared" si="34"/>
        <v>0</v>
      </c>
      <c r="AQ29" s="309">
        <v>0</v>
      </c>
      <c r="AR29" s="311">
        <f t="shared" ca="1" si="7"/>
        <v>855730.52213156503</v>
      </c>
      <c r="AS29" s="870">
        <f t="shared" ca="1" si="35"/>
        <v>-122033.47723585553</v>
      </c>
      <c r="AT29" s="822"/>
      <c r="AU29" s="1210">
        <f>SpacePlanning!AU24</f>
        <v>0</v>
      </c>
      <c r="AV29">
        <f>SpacePlanning!AV24</f>
        <v>0</v>
      </c>
      <c r="AW29" s="879"/>
      <c r="AX29" s="35"/>
      <c r="AY29" s="880"/>
      <c r="BA29" s="123">
        <f>SpacePlanning!BB29-CampusArea!$G$11</f>
        <v>327.31707317073233</v>
      </c>
      <c r="BB29" s="123">
        <f t="shared" si="8"/>
        <v>6306.7502492424719</v>
      </c>
      <c r="BC29" s="123">
        <f>BA29*UtilityDemand!F22</f>
        <v>33547.714893626791</v>
      </c>
      <c r="BD29" s="123">
        <f>BA29*UtilityDemand!H22</f>
        <v>9149.7960296351157</v>
      </c>
      <c r="BF29" s="123">
        <f t="shared" si="9"/>
        <v>4414.7251744697305</v>
      </c>
      <c r="BG29" s="123">
        <f t="shared" si="10"/>
        <v>0</v>
      </c>
      <c r="BH29" s="123">
        <f t="shared" si="11"/>
        <v>0</v>
      </c>
      <c r="BI29" s="123">
        <f t="shared" si="36"/>
        <v>4414.7251744697305</v>
      </c>
      <c r="BJ29" s="123">
        <f t="shared" si="37"/>
        <v>4735.0708551653852</v>
      </c>
      <c r="BL29" s="123">
        <f t="shared" si="38"/>
        <v>0</v>
      </c>
      <c r="BM29" s="123">
        <f t="shared" si="39"/>
        <v>0</v>
      </c>
      <c r="BN29" s="123">
        <f t="shared" si="40"/>
        <v>0</v>
      </c>
      <c r="BO29" s="123">
        <f t="shared" si="41"/>
        <v>0</v>
      </c>
      <c r="BP29" s="123">
        <f t="shared" si="42"/>
        <v>33547.714893626791</v>
      </c>
      <c r="BR29" s="123">
        <f t="shared" si="12"/>
        <v>6132.3377669754882</v>
      </c>
      <c r="BS29" s="123">
        <f t="shared" si="13"/>
        <v>0</v>
      </c>
      <c r="BT29" s="123">
        <f t="shared" si="14"/>
        <v>0</v>
      </c>
      <c r="BU29" s="123">
        <f t="shared" si="43"/>
        <v>6132.3377669754882</v>
      </c>
      <c r="BV29" s="123">
        <f t="shared" si="44"/>
        <v>3017.4582626596275</v>
      </c>
      <c r="BX29" s="968">
        <f t="shared" si="45"/>
        <v>170731.70731707706</v>
      </c>
      <c r="BY29" s="968">
        <f t="shared" si="46"/>
        <v>0</v>
      </c>
      <c r="BZ29" s="968">
        <f t="shared" si="47"/>
        <v>0</v>
      </c>
      <c r="CA29" s="968">
        <f t="shared" si="48"/>
        <v>170731.70731707706</v>
      </c>
      <c r="CB29" s="123"/>
      <c r="CC29" s="123">
        <f>SpacePlanning!$AU$49*(A29-2009)</f>
        <v>242</v>
      </c>
      <c r="CD29" s="123">
        <f t="shared" si="49"/>
        <v>4662.8596105054912</v>
      </c>
      <c r="CE29" s="123">
        <f t="shared" si="50"/>
        <v>24803.310519714185</v>
      </c>
      <c r="CF29" s="123">
        <f t="shared" si="51"/>
        <v>6477.0124892410777</v>
      </c>
      <c r="CH29" s="123">
        <f t="shared" si="15"/>
        <v>3264.0017273538438</v>
      </c>
      <c r="CI29" s="123">
        <f t="shared" si="16"/>
        <v>0</v>
      </c>
      <c r="CJ29" s="123">
        <f t="shared" si="17"/>
        <v>0</v>
      </c>
      <c r="CK29" s="123">
        <f t="shared" si="52"/>
        <v>3264.0017273538438</v>
      </c>
      <c r="CL29" s="123">
        <f t="shared" si="53"/>
        <v>1398.8578831516475</v>
      </c>
      <c r="CN29" s="123">
        <f t="shared" si="18"/>
        <v>17362.317363799928</v>
      </c>
      <c r="CO29" s="123">
        <f t="shared" si="19"/>
        <v>0</v>
      </c>
      <c r="CP29" s="123">
        <f t="shared" si="20"/>
        <v>0</v>
      </c>
      <c r="CQ29" s="123">
        <f t="shared" si="54"/>
        <v>17362.317363799928</v>
      </c>
      <c r="CR29" s="123">
        <f t="shared" si="55"/>
        <v>7440.9931559142569</v>
      </c>
      <c r="CT29" s="123">
        <f t="shared" si="21"/>
        <v>4533.9087424687541</v>
      </c>
      <c r="CU29" s="123">
        <f t="shared" si="22"/>
        <v>0</v>
      </c>
      <c r="CV29" s="123">
        <f t="shared" si="23"/>
        <v>0</v>
      </c>
      <c r="CW29" s="123">
        <f t="shared" si="56"/>
        <v>4533.9087424687541</v>
      </c>
      <c r="CX29" s="123">
        <f t="shared" si="57"/>
        <v>1943.1037467723236</v>
      </c>
      <c r="CZ29" s="968">
        <f t="shared" si="58"/>
        <v>269500</v>
      </c>
      <c r="DA29" s="968">
        <f t="shared" si="59"/>
        <v>0</v>
      </c>
      <c r="DB29" s="968">
        <f t="shared" si="60"/>
        <v>0</v>
      </c>
      <c r="DC29" s="968">
        <f t="shared" si="61"/>
        <v>269500</v>
      </c>
    </row>
    <row r="30" spans="1:107">
      <c r="A30" s="303">
        <v>2021</v>
      </c>
      <c r="B30" s="304">
        <f ca="1">IF($D$3="BAU",UtilityDemand!C23,INDIRECT($D$3&amp;"!B"&amp;ROW(A30))+INDIRECT($D$3&amp;"!D"&amp;ROW(A30)))</f>
        <v>133470.7404159359</v>
      </c>
      <c r="C30" s="305">
        <f t="shared" ca="1" si="62"/>
        <v>4.8218683392670401E-2</v>
      </c>
      <c r="D30" s="306">
        <f t="shared" si="63"/>
        <v>-6435.7833743013107</v>
      </c>
      <c r="E30" s="304">
        <f ca="1">IF($D$3="BAU",UtilityDemand!E23,INDIRECT($D$3&amp;"!E"&amp;ROW(D30))+INDIRECT($D$3&amp;"!G"&amp;ROW(D30)))</f>
        <v>711622.06278315349</v>
      </c>
      <c r="F30" s="305">
        <f t="shared" ca="1" si="64"/>
        <v>5.9954709239156558E-2</v>
      </c>
      <c r="G30" s="306">
        <f t="shared" si="65"/>
        <v>-42665.093862332782</v>
      </c>
      <c r="H30" s="304">
        <f ca="1">IF($D$3="BAU",UtilityDemand!G23,INDIRECT($D$3&amp;"!H"&amp;ROW(G30))+INDIRECT($D$3&amp;"!J"&amp;ROW(G30)))</f>
        <v>195893.45973808825</v>
      </c>
      <c r="I30" s="305">
        <f t="shared" ca="1" si="66"/>
        <v>2.6854893179224227E-2</v>
      </c>
      <c r="J30" s="306">
        <f t="shared" si="67"/>
        <v>-5260.6979357750215</v>
      </c>
      <c r="K30" s="307">
        <f t="shared" ca="1" si="24"/>
        <v>127034.9570416346</v>
      </c>
      <c r="L30" s="307">
        <f t="shared" si="25"/>
        <v>0</v>
      </c>
      <c r="M30" s="307">
        <v>0</v>
      </c>
      <c r="N30" s="307">
        <f t="shared" ca="1" si="26"/>
        <v>127034.9570416346</v>
      </c>
      <c r="O30" s="1494">
        <f t="shared" ca="1" si="27"/>
        <v>668956.96892082074</v>
      </c>
      <c r="P30" s="306">
        <f t="shared" si="28"/>
        <v>0</v>
      </c>
      <c r="Q30" s="306">
        <v>0</v>
      </c>
      <c r="R30" s="306">
        <f t="shared" ca="1" si="29"/>
        <v>668956.96892082074</v>
      </c>
      <c r="S30" s="818">
        <f t="shared" ca="1" si="30"/>
        <v>190632.76180231324</v>
      </c>
      <c r="T30" s="818">
        <f t="shared" si="31"/>
        <v>0</v>
      </c>
      <c r="U30" s="818">
        <v>0</v>
      </c>
      <c r="V30" s="818">
        <f t="shared" ca="1" si="32"/>
        <v>190632.76180231324</v>
      </c>
      <c r="W30" s="306">
        <f t="shared" si="1"/>
        <v>0</v>
      </c>
      <c r="X30" s="306">
        <f t="shared" ca="1" si="2"/>
        <v>-9794.2408950338431</v>
      </c>
      <c r="Y30" s="306">
        <v>0</v>
      </c>
      <c r="Z30" s="306">
        <v>0</v>
      </c>
      <c r="AA30" s="308">
        <f ca="1">-SUM(W30,X30/OFFSET(GridFootprintbyYear,$A30-$A$19,0)*EF_PurchElec_MTperMWh,Z30)*OFFSET(ExposureCalculations!Price_GHG_Allowance_2010,A30-$A$19,0)*ExposureCalculations!D27</f>
        <v>204278.39830349787</v>
      </c>
      <c r="AB30" s="308">
        <f t="shared" ca="1" si="3"/>
        <v>577892.45262615045</v>
      </c>
      <c r="AC30" s="308">
        <v>0</v>
      </c>
      <c r="AD30" s="819">
        <f t="shared" ca="1" si="4"/>
        <v>498660.38779025181</v>
      </c>
      <c r="AE30" s="308">
        <v>0</v>
      </c>
      <c r="AF30" s="819">
        <f t="shared" ca="1" si="5"/>
        <v>101706.82675831708</v>
      </c>
      <c r="AG30" s="308">
        <v>0</v>
      </c>
      <c r="AH30" s="308">
        <v>0</v>
      </c>
      <c r="AI30" s="308">
        <v>0</v>
      </c>
      <c r="AJ30" s="308">
        <f t="shared" ca="1" si="6"/>
        <v>1178259.6671747195</v>
      </c>
      <c r="AK30" s="309">
        <v>0</v>
      </c>
      <c r="AL30" s="309">
        <f t="shared" si="68"/>
        <v>-440231.70731706114</v>
      </c>
      <c r="AM30" s="309">
        <f t="shared" si="33"/>
        <v>-440231.70731706114</v>
      </c>
      <c r="AN30" s="310">
        <v>0</v>
      </c>
      <c r="AO30" s="310">
        <v>0</v>
      </c>
      <c r="AP30" s="310">
        <f t="shared" si="34"/>
        <v>0</v>
      </c>
      <c r="AQ30" s="309">
        <v>0</v>
      </c>
      <c r="AR30" s="311">
        <f t="shared" ca="1" si="7"/>
        <v>942306.35816115618</v>
      </c>
      <c r="AS30" s="870">
        <f t="shared" ca="1" si="35"/>
        <v>820272.88092530065</v>
      </c>
      <c r="AT30" s="822"/>
      <c r="AU30" s="878"/>
      <c r="AW30" s="879"/>
      <c r="AX30" s="1251" t="s">
        <v>1435</v>
      </c>
      <c r="AY30" s="1210">
        <v>0.3</v>
      </c>
      <c r="BA30" s="123">
        <f>SpacePlanning!BB30-CampusArea!$G$11</f>
        <v>337.07317073170725</v>
      </c>
      <c r="BB30" s="123">
        <f t="shared" si="8"/>
        <v>6494.7308826028911</v>
      </c>
      <c r="BC30" s="123">
        <f>BA30*UtilityDemand!F23</f>
        <v>34547.646783153592</v>
      </c>
      <c r="BD30" s="123">
        <f>BA30*UtilityDemand!H23</f>
        <v>9456.0682105033557</v>
      </c>
      <c r="BF30" s="123">
        <f t="shared" si="9"/>
        <v>4546.3116178220243</v>
      </c>
      <c r="BG30" s="123">
        <f t="shared" si="10"/>
        <v>0</v>
      </c>
      <c r="BH30" s="123">
        <f t="shared" si="11"/>
        <v>0</v>
      </c>
      <c r="BI30" s="123">
        <f t="shared" si="36"/>
        <v>4546.3116178220243</v>
      </c>
      <c r="BJ30" s="123">
        <f t="shared" si="37"/>
        <v>4909.7565926813313</v>
      </c>
      <c r="BL30" s="123">
        <f t="shared" si="38"/>
        <v>0</v>
      </c>
      <c r="BM30" s="123">
        <f t="shared" si="39"/>
        <v>0</v>
      </c>
      <c r="BN30" s="123">
        <f t="shared" si="40"/>
        <v>0</v>
      </c>
      <c r="BO30" s="123">
        <f t="shared" si="41"/>
        <v>0</v>
      </c>
      <c r="BP30" s="123">
        <f t="shared" si="42"/>
        <v>34547.646783153592</v>
      </c>
      <c r="BR30" s="123">
        <f t="shared" si="12"/>
        <v>6315.1198166617787</v>
      </c>
      <c r="BS30" s="123">
        <f t="shared" si="13"/>
        <v>0</v>
      </c>
      <c r="BT30" s="123">
        <f t="shared" si="14"/>
        <v>0</v>
      </c>
      <c r="BU30" s="123">
        <f t="shared" si="43"/>
        <v>6315.1198166617787</v>
      </c>
      <c r="BV30" s="123">
        <f t="shared" si="44"/>
        <v>3140.9483938415769</v>
      </c>
      <c r="BX30" s="968">
        <f t="shared" si="45"/>
        <v>170731.70731706114</v>
      </c>
      <c r="BY30" s="968">
        <f t="shared" si="46"/>
        <v>0</v>
      </c>
      <c r="BZ30" s="968">
        <f t="shared" si="47"/>
        <v>0</v>
      </c>
      <c r="CA30" s="968">
        <f t="shared" si="48"/>
        <v>170731.70731706114</v>
      </c>
      <c r="CB30" s="123"/>
      <c r="CC30" s="123">
        <f>SpacePlanning!$AU$49*(A30-2009)</f>
        <v>264</v>
      </c>
      <c r="CD30" s="123">
        <f t="shared" si="49"/>
        <v>5086.755938733264</v>
      </c>
      <c r="CE30" s="123">
        <f t="shared" si="50"/>
        <v>27058.156930597295</v>
      </c>
      <c r="CF30" s="123">
        <f t="shared" si="51"/>
        <v>7065.8318064448122</v>
      </c>
      <c r="CH30" s="123">
        <f t="shared" si="15"/>
        <v>3560.7291571132846</v>
      </c>
      <c r="CI30" s="123">
        <f t="shared" si="16"/>
        <v>0</v>
      </c>
      <c r="CJ30" s="123">
        <f t="shared" si="17"/>
        <v>0</v>
      </c>
      <c r="CK30" s="123">
        <f t="shared" si="52"/>
        <v>3560.7291571132846</v>
      </c>
      <c r="CL30" s="123">
        <f t="shared" si="53"/>
        <v>1526.0267816199794</v>
      </c>
      <c r="CN30" s="123">
        <f t="shared" si="18"/>
        <v>18940.709851418105</v>
      </c>
      <c r="CO30" s="123">
        <f t="shared" si="19"/>
        <v>0</v>
      </c>
      <c r="CP30" s="123">
        <f t="shared" si="20"/>
        <v>0</v>
      </c>
      <c r="CQ30" s="123">
        <f t="shared" si="54"/>
        <v>18940.709851418105</v>
      </c>
      <c r="CR30" s="123">
        <f t="shared" si="55"/>
        <v>8117.44707917919</v>
      </c>
      <c r="CT30" s="123">
        <f t="shared" si="21"/>
        <v>4946.0822645113676</v>
      </c>
      <c r="CU30" s="123">
        <f t="shared" si="22"/>
        <v>0</v>
      </c>
      <c r="CV30" s="123">
        <f t="shared" si="23"/>
        <v>0</v>
      </c>
      <c r="CW30" s="123">
        <f t="shared" si="56"/>
        <v>4946.0822645113676</v>
      </c>
      <c r="CX30" s="123">
        <f t="shared" si="57"/>
        <v>2119.7495419334446</v>
      </c>
      <c r="CZ30" s="968">
        <f t="shared" si="58"/>
        <v>269500</v>
      </c>
      <c r="DA30" s="968">
        <f t="shared" si="59"/>
        <v>0</v>
      </c>
      <c r="DB30" s="968">
        <f t="shared" si="60"/>
        <v>0</v>
      </c>
      <c r="DC30" s="968">
        <f t="shared" si="61"/>
        <v>269500</v>
      </c>
    </row>
    <row r="31" spans="1:107">
      <c r="A31" s="303">
        <v>2022</v>
      </c>
      <c r="B31" s="304">
        <f ca="1">IF($D$3="BAU",UtilityDemand!C24,INDIRECT($D$3&amp;"!B"&amp;ROW(A31))+INDIRECT($D$3&amp;"!D"&amp;ROW(A31)))</f>
        <v>133658.72104929632</v>
      </c>
      <c r="C31" s="305">
        <f t="shared" ca="1" si="62"/>
        <v>5.0418439303803089E-2</v>
      </c>
      <c r="D31" s="306">
        <f t="shared" si="63"/>
        <v>-6738.8641146478949</v>
      </c>
      <c r="E31" s="304">
        <f ca="1">IF($D$3="BAU",UtilityDemand!E24,INDIRECT($D$3&amp;"!E"&amp;ROW(D31))+INDIRECT($D$3&amp;"!G"&amp;ROW(D31)))</f>
        <v>712621.99467268039</v>
      </c>
      <c r="F31" s="305">
        <f t="shared" ca="1" si="64"/>
        <v>6.2223001825099912E-2</v>
      </c>
      <c r="G31" s="306">
        <f t="shared" si="65"/>
        <v>-44341.47967512453</v>
      </c>
      <c r="H31" s="304">
        <f ca="1">IF($D$3="BAU",UtilityDemand!G24,INDIRECT($D$3&amp;"!H"&amp;ROW(G31))+INDIRECT($D$3&amp;"!J"&amp;ROW(G31)))</f>
        <v>197029.07695192579</v>
      </c>
      <c r="I31" s="305">
        <f t="shared" ca="1" si="66"/>
        <v>2.8229640277092266E-2</v>
      </c>
      <c r="J31" s="306">
        <f t="shared" si="67"/>
        <v>-5562.0599664803958</v>
      </c>
      <c r="K31" s="307">
        <f t="shared" ca="1" si="24"/>
        <v>126919.85693464843</v>
      </c>
      <c r="L31" s="307">
        <f t="shared" si="25"/>
        <v>0</v>
      </c>
      <c r="M31" s="307">
        <v>0</v>
      </c>
      <c r="N31" s="307">
        <f t="shared" ca="1" si="26"/>
        <v>126919.85693464843</v>
      </c>
      <c r="O31" s="1494">
        <f t="shared" ca="1" si="27"/>
        <v>668280.51499755587</v>
      </c>
      <c r="P31" s="306">
        <f t="shared" si="28"/>
        <v>0</v>
      </c>
      <c r="Q31" s="306">
        <v>0</v>
      </c>
      <c r="R31" s="306">
        <f t="shared" ca="1" si="29"/>
        <v>668280.51499755587</v>
      </c>
      <c r="S31" s="818">
        <f t="shared" ca="1" si="30"/>
        <v>191467.0169854454</v>
      </c>
      <c r="T31" s="818">
        <f t="shared" si="31"/>
        <v>0</v>
      </c>
      <c r="U31" s="818">
        <v>0</v>
      </c>
      <c r="V31" s="818">
        <f t="shared" ca="1" si="32"/>
        <v>191467.0169854454</v>
      </c>
      <c r="W31" s="306">
        <f t="shared" si="1"/>
        <v>0</v>
      </c>
      <c r="X31" s="306">
        <f t="shared" ca="1" si="2"/>
        <v>-10225.978095960911</v>
      </c>
      <c r="Y31" s="306">
        <v>0</v>
      </c>
      <c r="Z31" s="306">
        <v>0</v>
      </c>
      <c r="AA31" s="308">
        <f ca="1">-SUM(W31,X31/OFFSET(GridFootprintbyYear,$A31-$A$19,0)*EF_PurchElec_MTperMWh,Z31)*OFFSET(ExposureCalculations!Price_GHG_Allowance_2010,A31-$A$19,0)*ExposureCalculations!D28</f>
        <v>235932.08092468753</v>
      </c>
      <c r="AB31" s="308">
        <f t="shared" ca="1" si="3"/>
        <v>608132.71315378277</v>
      </c>
      <c r="AC31" s="308">
        <v>0</v>
      </c>
      <c r="AD31" s="819">
        <f t="shared" ca="1" si="4"/>
        <v>520844.89064865018</v>
      </c>
      <c r="AE31" s="308">
        <v>0</v>
      </c>
      <c r="AF31" s="819">
        <f t="shared" ca="1" si="5"/>
        <v>107533.15935195431</v>
      </c>
      <c r="AG31" s="308">
        <v>0</v>
      </c>
      <c r="AH31" s="308">
        <v>0</v>
      </c>
      <c r="AI31" s="308">
        <v>0</v>
      </c>
      <c r="AJ31" s="308">
        <f t="shared" ca="1" si="6"/>
        <v>1236510.7631543872</v>
      </c>
      <c r="AK31" s="309">
        <v>0</v>
      </c>
      <c r="AL31" s="309">
        <f t="shared" si="68"/>
        <v>-440231.70731706114</v>
      </c>
      <c r="AM31" s="309">
        <f t="shared" si="33"/>
        <v>-440231.70731706114</v>
      </c>
      <c r="AN31" s="310">
        <v>0</v>
      </c>
      <c r="AO31" s="310">
        <v>0</v>
      </c>
      <c r="AP31" s="310">
        <f t="shared" si="34"/>
        <v>0</v>
      </c>
      <c r="AQ31" s="309">
        <v>0</v>
      </c>
      <c r="AR31" s="311">
        <f t="shared" ca="1" si="7"/>
        <v>1032211.1367620135</v>
      </c>
      <c r="AS31" s="870">
        <f t="shared" ca="1" si="35"/>
        <v>1852484.0176873142</v>
      </c>
      <c r="AT31" s="822"/>
      <c r="AU31" s="963" t="s">
        <v>972</v>
      </c>
      <c r="AV31" s="827"/>
      <c r="AW31" s="879"/>
      <c r="AX31" s="35"/>
      <c r="AY31" s="880"/>
      <c r="BA31" s="123">
        <f>SpacePlanning!BB31-CampusArea!$G$11</f>
        <v>346.82926829268217</v>
      </c>
      <c r="BB31" s="123">
        <f t="shared" si="8"/>
        <v>6682.7115159633086</v>
      </c>
      <c r="BC31" s="123">
        <f>BA31*UtilityDemand!F24</f>
        <v>35547.578672680407</v>
      </c>
      <c r="BD31" s="123">
        <f>BA31*UtilityDemand!H24</f>
        <v>9763.5664957339013</v>
      </c>
      <c r="BF31" s="123">
        <f t="shared" si="9"/>
        <v>4677.8980611743164</v>
      </c>
      <c r="BG31" s="123">
        <f t="shared" si="10"/>
        <v>0</v>
      </c>
      <c r="BH31" s="123">
        <f t="shared" si="11"/>
        <v>0</v>
      </c>
      <c r="BI31" s="123">
        <f t="shared" si="36"/>
        <v>4677.8980611743164</v>
      </c>
      <c r="BJ31" s="123">
        <f t="shared" si="37"/>
        <v>5085.668434559585</v>
      </c>
      <c r="BL31" s="123">
        <f t="shared" si="38"/>
        <v>0</v>
      </c>
      <c r="BM31" s="123">
        <f t="shared" si="39"/>
        <v>0</v>
      </c>
      <c r="BN31" s="123">
        <f t="shared" si="40"/>
        <v>0</v>
      </c>
      <c r="BO31" s="123">
        <f t="shared" si="41"/>
        <v>0</v>
      </c>
      <c r="BP31" s="123">
        <f t="shared" si="42"/>
        <v>35547.578672680407</v>
      </c>
      <c r="BR31" s="123">
        <f t="shared" si="12"/>
        <v>6497.9018663480692</v>
      </c>
      <c r="BS31" s="123">
        <f t="shared" si="13"/>
        <v>0</v>
      </c>
      <c r="BT31" s="123">
        <f t="shared" si="14"/>
        <v>0</v>
      </c>
      <c r="BU31" s="123">
        <f t="shared" si="43"/>
        <v>6497.9018663480692</v>
      </c>
      <c r="BV31" s="123">
        <f t="shared" si="44"/>
        <v>3265.6646293858321</v>
      </c>
      <c r="BX31" s="968">
        <f t="shared" si="45"/>
        <v>170731.70731706114</v>
      </c>
      <c r="BY31" s="968">
        <f t="shared" si="46"/>
        <v>0</v>
      </c>
      <c r="BZ31" s="968">
        <f t="shared" si="47"/>
        <v>0</v>
      </c>
      <c r="CA31" s="968">
        <f t="shared" si="48"/>
        <v>170731.70731706114</v>
      </c>
      <c r="CB31" s="123"/>
      <c r="CC31" s="123">
        <f>SpacePlanning!$AU$49*(A31-2009)</f>
        <v>286</v>
      </c>
      <c r="CD31" s="123">
        <f t="shared" si="49"/>
        <v>5510.6522669610349</v>
      </c>
      <c r="CE31" s="123">
        <f t="shared" si="50"/>
        <v>29313.003341480402</v>
      </c>
      <c r="CF31" s="123">
        <f t="shared" si="51"/>
        <v>7654.6511236485458</v>
      </c>
      <c r="CH31" s="123">
        <f t="shared" si="15"/>
        <v>3857.456586872725</v>
      </c>
      <c r="CI31" s="123">
        <f t="shared" si="16"/>
        <v>0</v>
      </c>
      <c r="CJ31" s="123">
        <f t="shared" si="17"/>
        <v>0</v>
      </c>
      <c r="CK31" s="123">
        <f t="shared" si="52"/>
        <v>3857.456586872725</v>
      </c>
      <c r="CL31" s="123">
        <f t="shared" si="53"/>
        <v>1653.1956800883099</v>
      </c>
      <c r="CN31" s="123">
        <f t="shared" si="18"/>
        <v>20519.102339036279</v>
      </c>
      <c r="CO31" s="123">
        <f t="shared" si="19"/>
        <v>0</v>
      </c>
      <c r="CP31" s="123">
        <f t="shared" si="20"/>
        <v>0</v>
      </c>
      <c r="CQ31" s="123">
        <f t="shared" si="54"/>
        <v>20519.102339036279</v>
      </c>
      <c r="CR31" s="123">
        <f t="shared" si="55"/>
        <v>8793.9010024441232</v>
      </c>
      <c r="CT31" s="123">
        <f t="shared" si="21"/>
        <v>5358.255786553982</v>
      </c>
      <c r="CU31" s="123">
        <f t="shared" si="22"/>
        <v>0</v>
      </c>
      <c r="CV31" s="123">
        <f t="shared" si="23"/>
        <v>0</v>
      </c>
      <c r="CW31" s="123">
        <f t="shared" si="56"/>
        <v>5358.255786553982</v>
      </c>
      <c r="CX31" s="123">
        <f t="shared" si="57"/>
        <v>2296.3953370945637</v>
      </c>
      <c r="CZ31" s="968">
        <f t="shared" si="58"/>
        <v>269500</v>
      </c>
      <c r="DA31" s="968">
        <f t="shared" si="59"/>
        <v>0</v>
      </c>
      <c r="DB31" s="968">
        <f t="shared" si="60"/>
        <v>0</v>
      </c>
      <c r="DC31" s="968">
        <f t="shared" si="61"/>
        <v>269500</v>
      </c>
    </row>
    <row r="32" spans="1:107">
      <c r="A32" s="303">
        <v>2023</v>
      </c>
      <c r="B32" s="304">
        <f ca="1">IF($D$3="BAU",UtilityDemand!C25,INDIRECT($D$3&amp;"!B"&amp;ROW(A32))+INDIRECT($D$3&amp;"!D"&amp;ROW(A32)))</f>
        <v>133846.7016826568</v>
      </c>
      <c r="C32" s="305">
        <f t="shared" ca="1" si="62"/>
        <v>5.2620894755986851E-2</v>
      </c>
      <c r="D32" s="306">
        <f t="shared" si="63"/>
        <v>-7043.1332026790515</v>
      </c>
      <c r="E32" s="304">
        <f ca="1">IF($D$3="BAU",UtilityDemand!E25,INDIRECT($D$3&amp;"!E"&amp;ROW(D32))+INDIRECT($D$3&amp;"!G"&amp;ROW(D32)))</f>
        <v>713621.9265622074</v>
      </c>
      <c r="F32" s="305">
        <f t="shared" ca="1" si="64"/>
        <v>6.4484937717093835E-2</v>
      </c>
      <c r="G32" s="306">
        <f t="shared" si="65"/>
        <v>-46017.865487916453</v>
      </c>
      <c r="H32" s="304">
        <f ca="1">IF($D$3="BAU",UtilityDemand!G25,INDIRECT($D$3&amp;"!H"&amp;ROW(G32))+INDIRECT($D$3&amp;"!J"&amp;ROW(G32)))</f>
        <v>198164.69416576339</v>
      </c>
      <c r="I32" s="305">
        <f t="shared" ca="1" si="66"/>
        <v>2.9594627688646836E-2</v>
      </c>
      <c r="J32" s="306">
        <f t="shared" si="67"/>
        <v>-5864.6103448703334</v>
      </c>
      <c r="K32" s="307">
        <f t="shared" ca="1" si="24"/>
        <v>126803.56847997775</v>
      </c>
      <c r="L32" s="307">
        <f t="shared" si="25"/>
        <v>0</v>
      </c>
      <c r="M32" s="307">
        <v>0</v>
      </c>
      <c r="N32" s="307">
        <f t="shared" ca="1" si="26"/>
        <v>126803.56847997775</v>
      </c>
      <c r="O32" s="1494">
        <f t="shared" ca="1" si="27"/>
        <v>667604.06107429089</v>
      </c>
      <c r="P32" s="306">
        <f t="shared" si="28"/>
        <v>0</v>
      </c>
      <c r="Q32" s="306">
        <v>0</v>
      </c>
      <c r="R32" s="306">
        <f t="shared" ca="1" si="29"/>
        <v>667604.06107429089</v>
      </c>
      <c r="S32" s="818">
        <f t="shared" ca="1" si="30"/>
        <v>192300.08382089305</v>
      </c>
      <c r="T32" s="818">
        <f t="shared" si="31"/>
        <v>0</v>
      </c>
      <c r="U32" s="818">
        <v>0</v>
      </c>
      <c r="V32" s="818">
        <f t="shared" ca="1" si="32"/>
        <v>192300.08382089305</v>
      </c>
      <c r="W32" s="306">
        <f t="shared" si="1"/>
        <v>0</v>
      </c>
      <c r="X32" s="306">
        <f t="shared" ca="1" si="2"/>
        <v>-10658.700485955025</v>
      </c>
      <c r="Y32" s="306">
        <v>0</v>
      </c>
      <c r="Z32" s="306">
        <v>0</v>
      </c>
      <c r="AA32" s="308">
        <f ca="1">-SUM(W32,X32/OFFSET(GridFootprintbyYear,$A32-$A$19,0)*EF_PurchElec_MTperMWh,Z32)*OFFSET(ExposureCalculations!Price_GHG_Allowance_2010,A32-$A$19,0)*ExposureCalculations!D29</f>
        <v>270364.93831232237</v>
      </c>
      <c r="AB32" s="308">
        <f t="shared" ca="1" si="3"/>
        <v>638768.70477478974</v>
      </c>
      <c r="AC32" s="308">
        <v>0</v>
      </c>
      <c r="AD32" s="819">
        <f t="shared" ca="1" si="4"/>
        <v>543238.77202594001</v>
      </c>
      <c r="AE32" s="308">
        <v>0</v>
      </c>
      <c r="AF32" s="819">
        <f t="shared" ca="1" si="5"/>
        <v>113382.46666749311</v>
      </c>
      <c r="AG32" s="308">
        <v>0</v>
      </c>
      <c r="AH32" s="308">
        <v>0</v>
      </c>
      <c r="AI32" s="308">
        <v>0</v>
      </c>
      <c r="AJ32" s="308">
        <f t="shared" ca="1" si="6"/>
        <v>1295389.9434682229</v>
      </c>
      <c r="AK32" s="309">
        <v>0</v>
      </c>
      <c r="AL32" s="309">
        <f t="shared" si="68"/>
        <v>-440231.70731709298</v>
      </c>
      <c r="AM32" s="309">
        <f t="shared" si="33"/>
        <v>-440231.70731709298</v>
      </c>
      <c r="AN32" s="310">
        <v>0</v>
      </c>
      <c r="AO32" s="310">
        <v>0</v>
      </c>
      <c r="AP32" s="310">
        <f t="shared" si="34"/>
        <v>0</v>
      </c>
      <c r="AQ32" s="309">
        <v>0</v>
      </c>
      <c r="AR32" s="311">
        <f t="shared" ca="1" si="7"/>
        <v>1125523.1744634523</v>
      </c>
      <c r="AS32" s="870">
        <f t="shared" ca="1" si="35"/>
        <v>2978007.1921507665</v>
      </c>
      <c r="AT32" s="822"/>
      <c r="AU32" s="1215">
        <f>$AU$22*(1-$AY$30)</f>
        <v>46.01972683360048</v>
      </c>
      <c r="AV32" s="827" t="s">
        <v>973</v>
      </c>
      <c r="AW32" s="879"/>
      <c r="AX32" s="35"/>
      <c r="AY32" s="880"/>
      <c r="BA32" s="123">
        <f>SpacePlanning!BB32-CampusArea!$G$11</f>
        <v>356.58536585365891</v>
      </c>
      <c r="BB32" s="123">
        <f t="shared" si="8"/>
        <v>6870.6921493237605</v>
      </c>
      <c r="BC32" s="123">
        <f>BA32*UtilityDemand!F25</f>
        <v>36547.510562207404</v>
      </c>
      <c r="BD32" s="123">
        <f>BA32*UtilityDemand!H25</f>
        <v>10072.253128649041</v>
      </c>
      <c r="BF32" s="123">
        <f t="shared" si="9"/>
        <v>4809.484504526632</v>
      </c>
      <c r="BG32" s="123">
        <f t="shared" si="10"/>
        <v>0</v>
      </c>
      <c r="BH32" s="123">
        <f t="shared" si="11"/>
        <v>0</v>
      </c>
      <c r="BI32" s="123">
        <f t="shared" si="36"/>
        <v>4809.484504526632</v>
      </c>
      <c r="BJ32" s="123">
        <f t="shared" si="37"/>
        <v>5262.7686241224092</v>
      </c>
      <c r="BL32" s="123">
        <f t="shared" si="38"/>
        <v>0</v>
      </c>
      <c r="BM32" s="123">
        <f t="shared" si="39"/>
        <v>0</v>
      </c>
      <c r="BN32" s="123">
        <f t="shared" si="40"/>
        <v>0</v>
      </c>
      <c r="BO32" s="123">
        <f t="shared" si="41"/>
        <v>0</v>
      </c>
      <c r="BP32" s="123">
        <f t="shared" si="42"/>
        <v>36547.510562207404</v>
      </c>
      <c r="BR32" s="123">
        <f t="shared" si="12"/>
        <v>6680.6839160343934</v>
      </c>
      <c r="BS32" s="123">
        <f t="shared" si="13"/>
        <v>0</v>
      </c>
      <c r="BT32" s="123">
        <f t="shared" si="14"/>
        <v>0</v>
      </c>
      <c r="BU32" s="123">
        <f t="shared" si="43"/>
        <v>6680.6839160343934</v>
      </c>
      <c r="BV32" s="123">
        <f t="shared" si="44"/>
        <v>3391.5692126146478</v>
      </c>
      <c r="BX32" s="968">
        <f t="shared" si="45"/>
        <v>170731.70731709298</v>
      </c>
      <c r="BY32" s="968">
        <f t="shared" si="46"/>
        <v>0</v>
      </c>
      <c r="BZ32" s="968">
        <f t="shared" si="47"/>
        <v>0</v>
      </c>
      <c r="CA32" s="968">
        <f t="shared" si="48"/>
        <v>170731.70731709298</v>
      </c>
      <c r="CB32" s="123"/>
      <c r="CC32" s="123">
        <f>SpacePlanning!$AU$49*(A32-2009)</f>
        <v>308</v>
      </c>
      <c r="CD32" s="123">
        <f t="shared" si="49"/>
        <v>5934.5485951888068</v>
      </c>
      <c r="CE32" s="123">
        <f t="shared" si="50"/>
        <v>31567.849752363509</v>
      </c>
      <c r="CF32" s="123">
        <f t="shared" si="51"/>
        <v>8243.4704408522812</v>
      </c>
      <c r="CH32" s="123">
        <f t="shared" si="15"/>
        <v>4154.1840166321645</v>
      </c>
      <c r="CI32" s="123">
        <f t="shared" si="16"/>
        <v>0</v>
      </c>
      <c r="CJ32" s="123">
        <f t="shared" si="17"/>
        <v>0</v>
      </c>
      <c r="CK32" s="123">
        <f t="shared" si="52"/>
        <v>4154.1840166321645</v>
      </c>
      <c r="CL32" s="123">
        <f t="shared" si="53"/>
        <v>1780.3645785566423</v>
      </c>
      <c r="CN32" s="123">
        <f t="shared" si="18"/>
        <v>22097.494826654456</v>
      </c>
      <c r="CO32" s="123">
        <f t="shared" si="19"/>
        <v>0</v>
      </c>
      <c r="CP32" s="123">
        <f t="shared" si="20"/>
        <v>0</v>
      </c>
      <c r="CQ32" s="123">
        <f t="shared" si="54"/>
        <v>22097.494826654456</v>
      </c>
      <c r="CR32" s="123">
        <f t="shared" si="55"/>
        <v>9470.3549257090526</v>
      </c>
      <c r="CT32" s="123">
        <f t="shared" si="21"/>
        <v>5770.4293085965955</v>
      </c>
      <c r="CU32" s="123">
        <f t="shared" si="22"/>
        <v>0</v>
      </c>
      <c r="CV32" s="123">
        <f t="shared" si="23"/>
        <v>0</v>
      </c>
      <c r="CW32" s="123">
        <f t="shared" si="56"/>
        <v>5770.4293085965955</v>
      </c>
      <c r="CX32" s="123">
        <f t="shared" si="57"/>
        <v>2473.0411322556856</v>
      </c>
      <c r="CZ32" s="968">
        <f t="shared" si="58"/>
        <v>269500</v>
      </c>
      <c r="DA32" s="968">
        <f t="shared" si="59"/>
        <v>0</v>
      </c>
      <c r="DB32" s="968">
        <f t="shared" si="60"/>
        <v>0</v>
      </c>
      <c r="DC32" s="968">
        <f t="shared" si="61"/>
        <v>269500</v>
      </c>
    </row>
    <row r="33" spans="1:107">
      <c r="A33" s="303">
        <v>2024</v>
      </c>
      <c r="B33" s="304">
        <f ca="1">IF($D$3="BAU",UtilityDemand!C26,INDIRECT($D$3&amp;"!B"&amp;ROW(A33))+INDIRECT($D$3&amp;"!D"&amp;ROW(A33)))</f>
        <v>134034.68231601719</v>
      </c>
      <c r="C33" s="305">
        <f t="shared" ca="1" si="62"/>
        <v>5.4825768146185595E-2</v>
      </c>
      <c r="D33" s="306">
        <f t="shared" si="63"/>
        <v>-7348.5544162056012</v>
      </c>
      <c r="E33" s="304">
        <f ca="1">IF($D$3="BAU",UtilityDemand!E26,INDIRECT($D$3&amp;"!E"&amp;ROW(D33))+INDIRECT($D$3&amp;"!G"&amp;ROW(D33)))</f>
        <v>714621.85845173418</v>
      </c>
      <c r="F33" s="305">
        <f t="shared" ca="1" si="64"/>
        <v>6.6740543598876614E-2</v>
      </c>
      <c r="G33" s="306">
        <f t="shared" si="65"/>
        <v>-47694.251300708194</v>
      </c>
      <c r="H33" s="304">
        <f ca="1">IF($D$3="BAU",UtilityDemand!G26,INDIRECT($D$3&amp;"!H"&amp;ROW(G33))+INDIRECT($D$3&amp;"!J"&amp;ROW(G33)))</f>
        <v>199300.31137960093</v>
      </c>
      <c r="I33" s="305">
        <f t="shared" ca="1" si="66"/>
        <v>3.0949840499782687E-2</v>
      </c>
      <c r="J33" s="306">
        <f t="shared" si="67"/>
        <v>-6168.3128487556733</v>
      </c>
      <c r="K33" s="307">
        <f t="shared" ca="1" si="24"/>
        <v>126686.12789981159</v>
      </c>
      <c r="L33" s="307">
        <f t="shared" si="25"/>
        <v>0</v>
      </c>
      <c r="M33" s="307">
        <v>0</v>
      </c>
      <c r="N33" s="307">
        <f t="shared" ca="1" si="26"/>
        <v>126686.12789981159</v>
      </c>
      <c r="O33" s="1494">
        <f t="shared" ca="1" si="27"/>
        <v>666927.60715102602</v>
      </c>
      <c r="P33" s="306">
        <f t="shared" si="28"/>
        <v>0</v>
      </c>
      <c r="Q33" s="306">
        <v>0</v>
      </c>
      <c r="R33" s="306">
        <f t="shared" ca="1" si="29"/>
        <v>666927.60715102602</v>
      </c>
      <c r="S33" s="818">
        <f t="shared" ca="1" si="30"/>
        <v>193131.99853084525</v>
      </c>
      <c r="T33" s="818">
        <f t="shared" si="31"/>
        <v>0</v>
      </c>
      <c r="U33" s="818">
        <v>0</v>
      </c>
      <c r="V33" s="818">
        <f t="shared" ca="1" si="32"/>
        <v>193131.99853084525</v>
      </c>
      <c r="W33" s="306">
        <f t="shared" si="1"/>
        <v>0</v>
      </c>
      <c r="X33" s="306">
        <f t="shared" ca="1" si="2"/>
        <v>-11092.378035332724</v>
      </c>
      <c r="Y33" s="306">
        <v>0</v>
      </c>
      <c r="Z33" s="306">
        <v>0</v>
      </c>
      <c r="AA33" s="308">
        <f ca="1">-SUM(W33,X33/OFFSET(GridFootprintbyYear,$A33-$A$19,0)*EF_PurchElec_MTperMWh,Z33)*OFFSET(ExposureCalculations!Price_GHG_Allowance_2010,A33-$A$19,0)*ExposureCalculations!D30</f>
        <v>307648.88781283196</v>
      </c>
      <c r="AB33" s="308">
        <f t="shared" ca="1" si="3"/>
        <v>669800.86611798219</v>
      </c>
      <c r="AC33" s="308">
        <v>0</v>
      </c>
      <c r="AD33" s="819">
        <f t="shared" ca="1" si="4"/>
        <v>565843.57109473436</v>
      </c>
      <c r="AE33" s="308">
        <v>0</v>
      </c>
      <c r="AF33" s="819">
        <f t="shared" ca="1" si="5"/>
        <v>119254.04840927634</v>
      </c>
      <c r="AG33" s="308">
        <v>0</v>
      </c>
      <c r="AH33" s="308">
        <v>0</v>
      </c>
      <c r="AI33" s="308">
        <v>0</v>
      </c>
      <c r="AJ33" s="308">
        <f t="shared" ca="1" si="6"/>
        <v>1354898.485621993</v>
      </c>
      <c r="AK33" s="309">
        <v>0</v>
      </c>
      <c r="AL33" s="309">
        <f t="shared" si="68"/>
        <v>-440231.70731706114</v>
      </c>
      <c r="AM33" s="309">
        <f t="shared" si="33"/>
        <v>-440231.70731706114</v>
      </c>
      <c r="AN33" s="310">
        <v>0</v>
      </c>
      <c r="AO33" s="310">
        <v>0</v>
      </c>
      <c r="AP33" s="310">
        <f t="shared" si="34"/>
        <v>0</v>
      </c>
      <c r="AQ33" s="309">
        <v>0</v>
      </c>
      <c r="AR33" s="311">
        <f t="shared" ca="1" si="7"/>
        <v>1222315.6661177636</v>
      </c>
      <c r="AS33" s="870">
        <f t="shared" ca="1" si="35"/>
        <v>4200322.8582685301</v>
      </c>
      <c r="AT33" s="822"/>
      <c r="AU33" s="1215">
        <f>$AU$22*(1-$AY$30)</f>
        <v>46.01972683360048</v>
      </c>
      <c r="AV33" s="827" t="s">
        <v>974</v>
      </c>
      <c r="AW33" s="879"/>
      <c r="AX33" s="35"/>
      <c r="AY33" s="880"/>
      <c r="BA33" s="123">
        <f>SpacePlanning!BB33-CampusArea!$G$11</f>
        <v>366.34146341463384</v>
      </c>
      <c r="BB33" s="123">
        <f t="shared" si="8"/>
        <v>7058.6727826841798</v>
      </c>
      <c r="BC33" s="123">
        <f>BA33*UtilityDemand!F26</f>
        <v>37547.442451734205</v>
      </c>
      <c r="BD33" s="123">
        <f>BA33*UtilityDemand!H26</f>
        <v>10382.091887059552</v>
      </c>
      <c r="BF33" s="123">
        <f t="shared" si="9"/>
        <v>4941.0709478789258</v>
      </c>
      <c r="BG33" s="123">
        <f t="shared" si="10"/>
        <v>0</v>
      </c>
      <c r="BH33" s="123">
        <f t="shared" si="11"/>
        <v>0</v>
      </c>
      <c r="BI33" s="123">
        <f t="shared" si="36"/>
        <v>4941.0709478789258</v>
      </c>
      <c r="BJ33" s="123">
        <f t="shared" si="37"/>
        <v>5441.0209391806266</v>
      </c>
      <c r="BL33" s="123">
        <f t="shared" si="38"/>
        <v>0</v>
      </c>
      <c r="BM33" s="123">
        <f t="shared" si="39"/>
        <v>0</v>
      </c>
      <c r="BN33" s="123">
        <f t="shared" si="40"/>
        <v>0</v>
      </c>
      <c r="BO33" s="123">
        <f t="shared" si="41"/>
        <v>0</v>
      </c>
      <c r="BP33" s="123">
        <f t="shared" si="42"/>
        <v>37547.442451734205</v>
      </c>
      <c r="BR33" s="123">
        <f t="shared" si="12"/>
        <v>6863.4659657206839</v>
      </c>
      <c r="BS33" s="123">
        <f t="shared" si="13"/>
        <v>0</v>
      </c>
      <c r="BT33" s="123">
        <f t="shared" si="14"/>
        <v>0</v>
      </c>
      <c r="BU33" s="123">
        <f t="shared" si="43"/>
        <v>6863.4659657206839</v>
      </c>
      <c r="BV33" s="123">
        <f t="shared" si="44"/>
        <v>3518.6259213388685</v>
      </c>
      <c r="BX33" s="968">
        <f t="shared" si="45"/>
        <v>170731.70731706114</v>
      </c>
      <c r="BY33" s="968">
        <f t="shared" si="46"/>
        <v>0</v>
      </c>
      <c r="BZ33" s="968">
        <f t="shared" si="47"/>
        <v>0</v>
      </c>
      <c r="CA33" s="968">
        <f t="shared" si="48"/>
        <v>170731.70731706114</v>
      </c>
      <c r="CB33" s="123"/>
      <c r="CC33" s="123">
        <f>SpacePlanning!$AU$49*(A33-2009)</f>
        <v>330</v>
      </c>
      <c r="CD33" s="123">
        <f t="shared" si="49"/>
        <v>6358.4449234165795</v>
      </c>
      <c r="CE33" s="123">
        <f t="shared" si="50"/>
        <v>33822.696163246619</v>
      </c>
      <c r="CF33" s="123">
        <f t="shared" si="51"/>
        <v>8832.2897580560148</v>
      </c>
      <c r="CH33" s="123">
        <f t="shared" si="15"/>
        <v>4450.9114463916048</v>
      </c>
      <c r="CI33" s="123">
        <f t="shared" si="16"/>
        <v>0</v>
      </c>
      <c r="CJ33" s="123">
        <f t="shared" si="17"/>
        <v>0</v>
      </c>
      <c r="CK33" s="123">
        <f t="shared" si="52"/>
        <v>4450.9114463916048</v>
      </c>
      <c r="CL33" s="123">
        <f t="shared" si="53"/>
        <v>1907.5334770249747</v>
      </c>
      <c r="CN33" s="123">
        <f t="shared" si="18"/>
        <v>23675.88731427263</v>
      </c>
      <c r="CO33" s="123">
        <f t="shared" si="19"/>
        <v>0</v>
      </c>
      <c r="CP33" s="123">
        <f t="shared" si="20"/>
        <v>0</v>
      </c>
      <c r="CQ33" s="123">
        <f t="shared" si="54"/>
        <v>23675.88731427263</v>
      </c>
      <c r="CR33" s="123">
        <f t="shared" si="55"/>
        <v>10146.808848973989</v>
      </c>
      <c r="CT33" s="123">
        <f t="shared" si="21"/>
        <v>6182.60283063921</v>
      </c>
      <c r="CU33" s="123">
        <f t="shared" si="22"/>
        <v>0</v>
      </c>
      <c r="CV33" s="123">
        <f t="shared" si="23"/>
        <v>0</v>
      </c>
      <c r="CW33" s="123">
        <f t="shared" si="56"/>
        <v>6182.60283063921</v>
      </c>
      <c r="CX33" s="123">
        <f t="shared" si="57"/>
        <v>2649.6869274168048</v>
      </c>
      <c r="CZ33" s="968">
        <f t="shared" si="58"/>
        <v>269500</v>
      </c>
      <c r="DA33" s="968">
        <f t="shared" si="59"/>
        <v>0</v>
      </c>
      <c r="DB33" s="968">
        <f t="shared" si="60"/>
        <v>0</v>
      </c>
      <c r="DC33" s="968">
        <f t="shared" si="61"/>
        <v>269500</v>
      </c>
    </row>
    <row r="34" spans="1:107">
      <c r="A34" s="303">
        <v>2025</v>
      </c>
      <c r="B34" s="304">
        <f ca="1">IF($D$3="BAU",UtilityDemand!C27,INDIRECT($D$3&amp;"!B"&amp;ROW(A34))+INDIRECT($D$3&amp;"!D"&amp;ROW(A34)))</f>
        <v>134222.66294937764</v>
      </c>
      <c r="C34" s="305">
        <f t="shared" ca="1" si="62"/>
        <v>5.703279030638371E-2</v>
      </c>
      <c r="D34" s="306">
        <f t="shared" si="63"/>
        <v>-7655.0929903562728</v>
      </c>
      <c r="E34" s="304">
        <f ca="1">IF($D$3="BAU",UtilityDemand!E27,INDIRECT($D$3&amp;"!E"&amp;ROW(D34))+INDIRECT($D$3&amp;"!G"&amp;ROW(D34)))</f>
        <v>715621.79034126108</v>
      </c>
      <c r="F34" s="305">
        <f t="shared" ca="1" si="64"/>
        <v>6.8989846005047539E-2</v>
      </c>
      <c r="G34" s="306">
        <f t="shared" si="65"/>
        <v>-49370.637113500015</v>
      </c>
      <c r="H34" s="304">
        <f ca="1">IF($D$3="BAU",UtilityDemand!G27,INDIRECT($D$3&amp;"!H"&amp;ROW(G34))+INDIRECT($D$3&amp;"!J"&amp;ROW(G34)))</f>
        <v>200435.92859343856</v>
      </c>
      <c r="I34" s="305">
        <f t="shared" ca="1" si="66"/>
        <v>3.2295271405133871E-2</v>
      </c>
      <c r="J34" s="306">
        <f t="shared" si="67"/>
        <v>-6473.1327132651304</v>
      </c>
      <c r="K34" s="307">
        <f t="shared" ca="1" si="24"/>
        <v>126567.56995902136</v>
      </c>
      <c r="L34" s="307">
        <f t="shared" si="25"/>
        <v>0</v>
      </c>
      <c r="M34" s="307">
        <v>0</v>
      </c>
      <c r="N34" s="307">
        <f t="shared" ca="1" si="26"/>
        <v>126567.56995902136</v>
      </c>
      <c r="O34" s="1494">
        <f t="shared" ca="1" si="27"/>
        <v>666251.15322776104</v>
      </c>
      <c r="P34" s="306">
        <f t="shared" si="28"/>
        <v>0</v>
      </c>
      <c r="Q34" s="306">
        <v>0</v>
      </c>
      <c r="R34" s="306">
        <f t="shared" ca="1" si="29"/>
        <v>666251.15322776104</v>
      </c>
      <c r="S34" s="818">
        <f t="shared" ca="1" si="30"/>
        <v>193962.79588017342</v>
      </c>
      <c r="T34" s="818">
        <f t="shared" si="31"/>
        <v>0</v>
      </c>
      <c r="U34" s="818">
        <v>0</v>
      </c>
      <c r="V34" s="818">
        <f t="shared" ca="1" si="32"/>
        <v>193962.79588017342</v>
      </c>
      <c r="W34" s="306">
        <f t="shared" si="1"/>
        <v>0</v>
      </c>
      <c r="X34" s="306">
        <f t="shared" ca="1" si="2"/>
        <v>-11526.981922587047</v>
      </c>
      <c r="Y34" s="306">
        <v>0</v>
      </c>
      <c r="Z34" s="306">
        <v>0</v>
      </c>
      <c r="AA34" s="308">
        <f ca="1">-SUM(W34,X34/OFFSET(GridFootprintbyYear,$A34-$A$19,0)*EF_PurchElec_MTperMWh,Z34)*OFFSET(ExposureCalculations!Price_GHG_Allowance_2010,A34-$A$19,0)*ExposureCalculations!D31</f>
        <v>347850.59107927594</v>
      </c>
      <c r="AB34" s="308">
        <f t="shared" ca="1" si="3"/>
        <v>701229.73347877059</v>
      </c>
      <c r="AC34" s="308">
        <v>0</v>
      </c>
      <c r="AD34" s="819">
        <f t="shared" ca="1" si="4"/>
        <v>588660.83718491683</v>
      </c>
      <c r="AE34" s="308">
        <v>0</v>
      </c>
      <c r="AF34" s="819">
        <f t="shared" ca="1" si="5"/>
        <v>125147.23245645918</v>
      </c>
      <c r="AG34" s="308">
        <v>0</v>
      </c>
      <c r="AH34" s="308">
        <v>0</v>
      </c>
      <c r="AI34" s="308">
        <v>0</v>
      </c>
      <c r="AJ34" s="308">
        <f t="shared" ca="1" si="6"/>
        <v>1415037.8031201465</v>
      </c>
      <c r="AK34" s="309">
        <v>0</v>
      </c>
      <c r="AL34" s="309">
        <f t="shared" si="68"/>
        <v>-440231.70731707709</v>
      </c>
      <c r="AM34" s="309">
        <f t="shared" si="33"/>
        <v>-440231.70731707709</v>
      </c>
      <c r="AN34" s="310">
        <v>0</v>
      </c>
      <c r="AO34" s="310">
        <v>0</v>
      </c>
      <c r="AP34" s="310">
        <f t="shared" si="34"/>
        <v>0</v>
      </c>
      <c r="AQ34" s="309">
        <v>0</v>
      </c>
      <c r="AR34" s="311">
        <f t="shared" ca="1" si="7"/>
        <v>1322656.6868823455</v>
      </c>
      <c r="AS34" s="870">
        <f t="shared" ca="1" si="35"/>
        <v>5522979.545150876</v>
      </c>
      <c r="AT34" s="822"/>
      <c r="AU34" s="1215">
        <f>$AU$22*(1-$AY$30)</f>
        <v>46.01972683360048</v>
      </c>
      <c r="AV34" s="827" t="s">
        <v>975</v>
      </c>
      <c r="AW34" s="879"/>
      <c r="AX34" s="35"/>
      <c r="AY34" s="880"/>
      <c r="BA34" s="123">
        <f>SpacePlanning!BB34-CampusArea!$G$11</f>
        <v>376.09756097560967</v>
      </c>
      <c r="BB34" s="123">
        <f t="shared" si="8"/>
        <v>7246.6534160446136</v>
      </c>
      <c r="BC34" s="123">
        <f>BA34*UtilityDemand!F27</f>
        <v>38547.3743412611</v>
      </c>
      <c r="BD34" s="123">
        <f>BA34*UtilityDemand!H27</f>
        <v>10693.048006094197</v>
      </c>
      <c r="BF34" s="123">
        <f t="shared" si="9"/>
        <v>5072.6573912312297</v>
      </c>
      <c r="BG34" s="123">
        <f t="shared" si="10"/>
        <v>0</v>
      </c>
      <c r="BH34" s="123">
        <f t="shared" si="11"/>
        <v>0</v>
      </c>
      <c r="BI34" s="123">
        <f t="shared" si="36"/>
        <v>5072.6573912312297</v>
      </c>
      <c r="BJ34" s="123">
        <f t="shared" si="37"/>
        <v>5620.3906148629676</v>
      </c>
      <c r="BL34" s="123">
        <f t="shared" si="38"/>
        <v>0</v>
      </c>
      <c r="BM34" s="123">
        <f t="shared" si="39"/>
        <v>0</v>
      </c>
      <c r="BN34" s="123">
        <f t="shared" si="40"/>
        <v>0</v>
      </c>
      <c r="BO34" s="123">
        <f t="shared" si="41"/>
        <v>0</v>
      </c>
      <c r="BP34" s="123">
        <f t="shared" si="42"/>
        <v>38547.3743412611</v>
      </c>
      <c r="BR34" s="123">
        <f t="shared" si="12"/>
        <v>7046.2480154069917</v>
      </c>
      <c r="BS34" s="123">
        <f t="shared" si="13"/>
        <v>0</v>
      </c>
      <c r="BT34" s="123">
        <f t="shared" si="14"/>
        <v>0</v>
      </c>
      <c r="BU34" s="123">
        <f t="shared" si="43"/>
        <v>7046.2480154069917</v>
      </c>
      <c r="BV34" s="123">
        <f t="shared" si="44"/>
        <v>3646.7999906872055</v>
      </c>
      <c r="BX34" s="968">
        <f t="shared" si="45"/>
        <v>170731.70731707706</v>
      </c>
      <c r="BY34" s="968">
        <f t="shared" si="46"/>
        <v>0</v>
      </c>
      <c r="BZ34" s="968">
        <f t="shared" si="47"/>
        <v>0</v>
      </c>
      <c r="CA34" s="968">
        <f t="shared" si="48"/>
        <v>170731.70731707706</v>
      </c>
      <c r="CB34" s="123"/>
      <c r="CC34" s="123">
        <f>SpacePlanning!$AU$49*(A34-2009)</f>
        <v>352</v>
      </c>
      <c r="CD34" s="123">
        <f t="shared" si="49"/>
        <v>6782.3412516443514</v>
      </c>
      <c r="CE34" s="123">
        <f t="shared" si="50"/>
        <v>36077.542574129722</v>
      </c>
      <c r="CF34" s="123">
        <f t="shared" si="51"/>
        <v>9421.1090752597484</v>
      </c>
      <c r="CH34" s="123">
        <f t="shared" si="15"/>
        <v>4747.6388761510461</v>
      </c>
      <c r="CI34" s="123">
        <f t="shared" si="16"/>
        <v>0</v>
      </c>
      <c r="CJ34" s="123">
        <f t="shared" si="17"/>
        <v>0</v>
      </c>
      <c r="CK34" s="123">
        <f t="shared" si="52"/>
        <v>4747.6388761510461</v>
      </c>
      <c r="CL34" s="123">
        <f t="shared" si="53"/>
        <v>2034.7023754933052</v>
      </c>
      <c r="CN34" s="123">
        <f t="shared" si="18"/>
        <v>25254.279801890807</v>
      </c>
      <c r="CO34" s="123">
        <f t="shared" si="19"/>
        <v>0</v>
      </c>
      <c r="CP34" s="123">
        <f t="shared" si="20"/>
        <v>0</v>
      </c>
      <c r="CQ34" s="123">
        <f t="shared" si="54"/>
        <v>25254.279801890807</v>
      </c>
      <c r="CR34" s="123">
        <f t="shared" si="55"/>
        <v>10823.262772238915</v>
      </c>
      <c r="CT34" s="123">
        <f t="shared" si="21"/>
        <v>6594.7763526818235</v>
      </c>
      <c r="CU34" s="123">
        <f t="shared" si="22"/>
        <v>0</v>
      </c>
      <c r="CV34" s="123">
        <f t="shared" si="23"/>
        <v>0</v>
      </c>
      <c r="CW34" s="123">
        <f t="shared" si="56"/>
        <v>6594.7763526818235</v>
      </c>
      <c r="CX34" s="123">
        <f t="shared" si="57"/>
        <v>2826.3327225779249</v>
      </c>
      <c r="CZ34" s="968">
        <f t="shared" si="58"/>
        <v>269500</v>
      </c>
      <c r="DA34" s="968">
        <f t="shared" si="59"/>
        <v>0</v>
      </c>
      <c r="DB34" s="968">
        <f t="shared" si="60"/>
        <v>0</v>
      </c>
      <c r="DC34" s="968">
        <f t="shared" si="61"/>
        <v>269500</v>
      </c>
    </row>
    <row r="35" spans="1:107">
      <c r="A35" s="303">
        <v>2026</v>
      </c>
      <c r="B35" s="304">
        <f ca="1">IF($D$3="BAU",UtilityDemand!C28,INDIRECT($D$3&amp;"!B"&amp;ROW(A35))+INDIRECT($D$3&amp;"!D"&amp;ROW(A35)))</f>
        <v>134410.64358273809</v>
      </c>
      <c r="C35" s="305">
        <f t="shared" ca="1" si="62"/>
        <v>5.9241703876791195E-2</v>
      </c>
      <c r="D35" s="306">
        <f t="shared" si="63"/>
        <v>-7962.7155450174951</v>
      </c>
      <c r="E35" s="304">
        <f ca="1">IF($D$3="BAU",UtilityDemand!E28,INDIRECT($D$3&amp;"!E"&amp;ROW(D35))+INDIRECT($D$3&amp;"!G"&amp;ROW(D35)))</f>
        <v>716621.72223078785</v>
      </c>
      <c r="F35" s="305">
        <f t="shared" ca="1" si="64"/>
        <v>7.123287132210622E-2</v>
      </c>
      <c r="G35" s="306">
        <f t="shared" si="65"/>
        <v>-51047.022926291858</v>
      </c>
      <c r="H35" s="304">
        <f ca="1">IF($D$3="BAU",UtilityDemand!G28,INDIRECT($D$3&amp;"!H"&amp;ROW(G35))+INDIRECT($D$3&amp;"!J"&amp;ROW(G35)))</f>
        <v>201571.54580727615</v>
      </c>
      <c r="I35" s="305">
        <f t="shared" ca="1" si="66"/>
        <v>3.3630920133770364E-2</v>
      </c>
      <c r="J35" s="306">
        <f t="shared" si="67"/>
        <v>-6779.0365582851391</v>
      </c>
      <c r="K35" s="307">
        <f t="shared" ca="1" si="24"/>
        <v>126447.9280377206</v>
      </c>
      <c r="L35" s="307">
        <f t="shared" si="25"/>
        <v>0</v>
      </c>
      <c r="M35" s="307">
        <v>0</v>
      </c>
      <c r="N35" s="307">
        <f t="shared" ca="1" si="26"/>
        <v>126447.9280377206</v>
      </c>
      <c r="O35" s="1494">
        <f t="shared" ca="1" si="27"/>
        <v>665574.69930449594</v>
      </c>
      <c r="P35" s="306">
        <f t="shared" si="28"/>
        <v>0</v>
      </c>
      <c r="Q35" s="306">
        <v>0</v>
      </c>
      <c r="R35" s="306">
        <f t="shared" ca="1" si="29"/>
        <v>665574.69930449594</v>
      </c>
      <c r="S35" s="818">
        <f t="shared" ca="1" si="30"/>
        <v>194792.509248991</v>
      </c>
      <c r="T35" s="818">
        <f t="shared" si="31"/>
        <v>0</v>
      </c>
      <c r="U35" s="818">
        <v>0</v>
      </c>
      <c r="V35" s="818">
        <f t="shared" ca="1" si="32"/>
        <v>194792.509248991</v>
      </c>
      <c r="W35" s="306">
        <f t="shared" si="1"/>
        <v>0</v>
      </c>
      <c r="X35" s="306">
        <f t="shared" ca="1" si="2"/>
        <v>-11962.484474232047</v>
      </c>
      <c r="Y35" s="306">
        <v>0</v>
      </c>
      <c r="Z35" s="306">
        <v>0</v>
      </c>
      <c r="AA35" s="308">
        <f ca="1">-SUM(W35,X35/OFFSET(GridFootprintbyYear,$A35-$A$19,0)*EF_PurchElec_MTperMWh,Z35)*OFFSET(ExposureCalculations!Price_GHG_Allowance_2010,A35-$A$19,0)*ExposureCalculations!D32</f>
        <v>394013.93525231071</v>
      </c>
      <c r="AB35" s="308">
        <f t="shared" ca="1" si="3"/>
        <v>733055.93687317334</v>
      </c>
      <c r="AC35" s="308">
        <v>0</v>
      </c>
      <c r="AD35" s="819">
        <f t="shared" ca="1" si="4"/>
        <v>611692.12984672398</v>
      </c>
      <c r="AE35" s="308">
        <v>0</v>
      </c>
      <c r="AF35" s="819">
        <f t="shared" ca="1" si="5"/>
        <v>131061.37346017935</v>
      </c>
      <c r="AG35" s="308">
        <v>0</v>
      </c>
      <c r="AH35" s="308">
        <v>0</v>
      </c>
      <c r="AI35" s="308">
        <v>0</v>
      </c>
      <c r="AJ35" s="308">
        <f t="shared" ca="1" si="6"/>
        <v>1475809.4401800768</v>
      </c>
      <c r="AK35" s="309">
        <v>0</v>
      </c>
      <c r="AL35" s="309">
        <f t="shared" si="68"/>
        <v>-440231.70731707709</v>
      </c>
      <c r="AM35" s="309">
        <f t="shared" si="33"/>
        <v>-440231.70731707709</v>
      </c>
      <c r="AN35" s="310">
        <v>0</v>
      </c>
      <c r="AO35" s="310">
        <v>0</v>
      </c>
      <c r="AP35" s="310">
        <f t="shared" si="34"/>
        <v>0</v>
      </c>
      <c r="AQ35" s="309">
        <v>0</v>
      </c>
      <c r="AR35" s="311">
        <f t="shared" ca="1" si="7"/>
        <v>1429591.6681153104</v>
      </c>
      <c r="AS35" s="870">
        <f t="shared" ca="1" si="35"/>
        <v>6952571.2132661864</v>
      </c>
      <c r="AT35" s="822"/>
      <c r="AU35" s="1212">
        <f>SUMPRODUCT(AU27:AU29,AU32:AU34)</f>
        <v>46.01972683360048</v>
      </c>
      <c r="AV35" s="827" t="s">
        <v>1360</v>
      </c>
      <c r="AW35" s="879"/>
      <c r="AX35" s="35"/>
      <c r="AY35" s="880"/>
      <c r="BA35" s="123">
        <f>SpacePlanning!BB35-CampusArea!$G$11</f>
        <v>385.8536585365855</v>
      </c>
      <c r="BB35" s="123">
        <f t="shared" si="8"/>
        <v>7434.6340494050492</v>
      </c>
      <c r="BC35" s="123">
        <f>BA35*UtilityDemand!F28</f>
        <v>39547.306230788003</v>
      </c>
      <c r="BD35" s="123">
        <f>BA35*UtilityDemand!H28</f>
        <v>11005.088105639392</v>
      </c>
      <c r="BF35" s="123">
        <f t="shared" si="9"/>
        <v>5204.2438345835344</v>
      </c>
      <c r="BG35" s="123">
        <f t="shared" si="10"/>
        <v>0</v>
      </c>
      <c r="BH35" s="123">
        <f t="shared" si="11"/>
        <v>0</v>
      </c>
      <c r="BI35" s="123">
        <f t="shared" si="36"/>
        <v>5204.2438345835344</v>
      </c>
      <c r="BJ35" s="123">
        <f t="shared" si="37"/>
        <v>5800.8442710558575</v>
      </c>
      <c r="BL35" s="123">
        <f t="shared" si="38"/>
        <v>0</v>
      </c>
      <c r="BM35" s="123">
        <f t="shared" si="39"/>
        <v>0</v>
      </c>
      <c r="BN35" s="123">
        <f t="shared" si="40"/>
        <v>0</v>
      </c>
      <c r="BO35" s="123">
        <f t="shared" si="41"/>
        <v>0</v>
      </c>
      <c r="BP35" s="123">
        <f t="shared" si="42"/>
        <v>39547.306230788003</v>
      </c>
      <c r="BR35" s="123">
        <f t="shared" si="12"/>
        <v>7229.0300650932986</v>
      </c>
      <c r="BS35" s="123">
        <f t="shared" si="13"/>
        <v>0</v>
      </c>
      <c r="BT35" s="123">
        <f t="shared" si="14"/>
        <v>0</v>
      </c>
      <c r="BU35" s="123">
        <f t="shared" si="43"/>
        <v>7229.0300650932986</v>
      </c>
      <c r="BV35" s="123">
        <f t="shared" si="44"/>
        <v>3776.0580405460933</v>
      </c>
      <c r="BX35" s="968">
        <f t="shared" si="45"/>
        <v>170731.70731707706</v>
      </c>
      <c r="BY35" s="968">
        <f t="shared" si="46"/>
        <v>0</v>
      </c>
      <c r="BZ35" s="968">
        <f t="shared" si="47"/>
        <v>0</v>
      </c>
      <c r="CA35" s="968">
        <f t="shared" si="48"/>
        <v>170731.70731707706</v>
      </c>
      <c r="CB35" s="123"/>
      <c r="CC35" s="123">
        <f>SpacePlanning!$AU$49*(A35-2009)</f>
        <v>374</v>
      </c>
      <c r="CD35" s="123">
        <f t="shared" si="49"/>
        <v>7206.2375798721241</v>
      </c>
      <c r="CE35" s="123">
        <f t="shared" si="50"/>
        <v>38332.388985012833</v>
      </c>
      <c r="CF35" s="123">
        <f t="shared" si="51"/>
        <v>10009.928392463484</v>
      </c>
      <c r="CH35" s="123">
        <f t="shared" si="15"/>
        <v>5044.3663059104865</v>
      </c>
      <c r="CI35" s="123">
        <f t="shared" si="16"/>
        <v>0</v>
      </c>
      <c r="CJ35" s="123">
        <f t="shared" si="17"/>
        <v>0</v>
      </c>
      <c r="CK35" s="123">
        <f t="shared" si="52"/>
        <v>5044.3663059104865</v>
      </c>
      <c r="CL35" s="123">
        <f t="shared" si="53"/>
        <v>2161.8712739616376</v>
      </c>
      <c r="CN35" s="123">
        <f t="shared" si="18"/>
        <v>26832.672289508981</v>
      </c>
      <c r="CO35" s="123">
        <f t="shared" si="19"/>
        <v>0</v>
      </c>
      <c r="CP35" s="123">
        <f t="shared" si="20"/>
        <v>0</v>
      </c>
      <c r="CQ35" s="123">
        <f t="shared" si="54"/>
        <v>26832.672289508981</v>
      </c>
      <c r="CR35" s="123">
        <f t="shared" si="55"/>
        <v>11499.716695503852</v>
      </c>
      <c r="CT35" s="123">
        <f t="shared" si="21"/>
        <v>7006.9498747244379</v>
      </c>
      <c r="CU35" s="123">
        <f t="shared" si="22"/>
        <v>0</v>
      </c>
      <c r="CV35" s="123">
        <f t="shared" si="23"/>
        <v>0</v>
      </c>
      <c r="CW35" s="123">
        <f t="shared" si="56"/>
        <v>7006.9498747244379</v>
      </c>
      <c r="CX35" s="123">
        <f t="shared" si="57"/>
        <v>3002.9785177390459</v>
      </c>
      <c r="CZ35" s="968">
        <f t="shared" si="58"/>
        <v>269500</v>
      </c>
      <c r="DA35" s="968">
        <f t="shared" si="59"/>
        <v>0</v>
      </c>
      <c r="DB35" s="968">
        <f t="shared" si="60"/>
        <v>0</v>
      </c>
      <c r="DC35" s="968">
        <f t="shared" si="61"/>
        <v>269500</v>
      </c>
    </row>
    <row r="36" spans="1:107">
      <c r="A36" s="303">
        <v>2027</v>
      </c>
      <c r="B36" s="304">
        <f ca="1">IF($D$3="BAU",UtilityDemand!C29,INDIRECT($D$3&amp;"!B"&amp;ROW(A36))+INDIRECT($D$3&amp;"!D"&amp;ROW(A36)))</f>
        <v>134598.62421609845</v>
      </c>
      <c r="C36" s="305">
        <f t="shared" ca="1" si="62"/>
        <v>6.14522627161945E-2</v>
      </c>
      <c r="D36" s="306">
        <f t="shared" si="63"/>
        <v>-8271.3900165660216</v>
      </c>
      <c r="E36" s="304">
        <f ca="1">IF($D$3="BAU",UtilityDemand!E29,INDIRECT($D$3&amp;"!E"&amp;ROW(D36))+INDIRECT($D$3&amp;"!G"&amp;ROW(D36)))</f>
        <v>717621.65412031463</v>
      </c>
      <c r="F36" s="305">
        <f t="shared" ca="1" si="64"/>
        <v>7.3469645789484658E-2</v>
      </c>
      <c r="G36" s="306">
        <f t="shared" si="65"/>
        <v>-52723.408739083592</v>
      </c>
      <c r="H36" s="304">
        <f ca="1">IF($D$3="BAU",UtilityDemand!G29,INDIRECT($D$3&amp;"!H"&amp;ROW(G36))+INDIRECT($D$3&amp;"!J"&amp;ROW(G36)))</f>
        <v>202707.16302111369</v>
      </c>
      <c r="I36" s="305">
        <f t="shared" ca="1" si="66"/>
        <v>3.4956792915376102E-2</v>
      </c>
      <c r="J36" s="306">
        <f t="shared" si="67"/>
        <v>-7085.9923201924557</v>
      </c>
      <c r="K36" s="307">
        <f t="shared" ca="1" si="24"/>
        <v>126327.23419953244</v>
      </c>
      <c r="L36" s="307">
        <f t="shared" si="25"/>
        <v>0</v>
      </c>
      <c r="M36" s="307">
        <v>0</v>
      </c>
      <c r="N36" s="307">
        <f t="shared" ca="1" si="26"/>
        <v>126327.23419953244</v>
      </c>
      <c r="O36" s="1494">
        <f t="shared" ca="1" si="27"/>
        <v>664898.24538123107</v>
      </c>
      <c r="P36" s="306">
        <f t="shared" si="28"/>
        <v>0</v>
      </c>
      <c r="Q36" s="306">
        <v>0</v>
      </c>
      <c r="R36" s="306">
        <f t="shared" ca="1" si="29"/>
        <v>664898.24538123107</v>
      </c>
      <c r="S36" s="818">
        <f t="shared" ca="1" si="30"/>
        <v>195621.17070092124</v>
      </c>
      <c r="T36" s="818">
        <f t="shared" si="31"/>
        <v>0</v>
      </c>
      <c r="U36" s="818">
        <v>0</v>
      </c>
      <c r="V36" s="818">
        <f t="shared" ca="1" si="32"/>
        <v>195621.17070092124</v>
      </c>
      <c r="W36" s="306">
        <f t="shared" si="1"/>
        <v>0</v>
      </c>
      <c r="X36" s="306">
        <f t="shared" ca="1" si="2"/>
        <v>-12398.859108206347</v>
      </c>
      <c r="Y36" s="306">
        <v>0</v>
      </c>
      <c r="Z36" s="306">
        <v>0</v>
      </c>
      <c r="AA36" s="308">
        <f ca="1">-SUM(W36,X36/OFFSET(GridFootprintbyYear,$A36-$A$19,0)*EF_PurchElec_MTperMWh,Z36)*OFFSET(ExposureCalculations!Price_GHG_Allowance_2010,A36-$A$19,0)*ExposureCalculations!D33</f>
        <v>443675.31030509446</v>
      </c>
      <c r="AB36" s="308">
        <f t="shared" ca="1" si="3"/>
        <v>765280.19633194304</v>
      </c>
      <c r="AC36" s="308">
        <v>0</v>
      </c>
      <c r="AD36" s="819">
        <f t="shared" ca="1" si="4"/>
        <v>634939.01891421853</v>
      </c>
      <c r="AE36" s="308">
        <v>0</v>
      </c>
      <c r="AF36" s="819">
        <f t="shared" ca="1" si="5"/>
        <v>136995.8515237208</v>
      </c>
      <c r="AG36" s="308">
        <v>0</v>
      </c>
      <c r="AH36" s="308">
        <v>0</v>
      </c>
      <c r="AI36" s="308">
        <v>0</v>
      </c>
      <c r="AJ36" s="308">
        <f t="shared" ca="1" si="6"/>
        <v>1537215.0667698823</v>
      </c>
      <c r="AK36" s="309">
        <v>0</v>
      </c>
      <c r="AL36" s="309">
        <f t="shared" si="68"/>
        <v>-440231.70731706114</v>
      </c>
      <c r="AM36" s="309">
        <f t="shared" si="33"/>
        <v>-440231.70731706114</v>
      </c>
      <c r="AN36" s="310">
        <v>0</v>
      </c>
      <c r="AO36" s="310">
        <v>0</v>
      </c>
      <c r="AP36" s="310">
        <f t="shared" si="34"/>
        <v>0</v>
      </c>
      <c r="AQ36" s="309">
        <v>0</v>
      </c>
      <c r="AR36" s="311">
        <f t="shared" ca="1" si="7"/>
        <v>1540658.6697579157</v>
      </c>
      <c r="AS36" s="870">
        <f t="shared" ca="1" si="35"/>
        <v>8493229.8830241021</v>
      </c>
      <c r="AT36" s="822"/>
      <c r="AU36" s="963" t="s">
        <v>976</v>
      </c>
      <c r="AV36" s="827"/>
      <c r="AW36" s="879"/>
      <c r="AX36" s="35"/>
      <c r="AY36" s="880"/>
      <c r="BA36" s="123">
        <f>SpacePlanning!BB36-CampusArea!$G$11</f>
        <v>395.60975609756042</v>
      </c>
      <c r="BB36" s="123">
        <f t="shared" si="8"/>
        <v>7622.6146827654684</v>
      </c>
      <c r="BC36" s="123">
        <f>BA36*UtilityDemand!F29</f>
        <v>40547.238120314803</v>
      </c>
      <c r="BD36" s="123">
        <f>BA36*UtilityDemand!H29</f>
        <v>11318.180122071879</v>
      </c>
      <c r="BF36" s="123">
        <f t="shared" si="9"/>
        <v>5335.8302779358273</v>
      </c>
      <c r="BG36" s="123">
        <f t="shared" si="10"/>
        <v>0</v>
      </c>
      <c r="BH36" s="123">
        <f t="shared" si="11"/>
        <v>0</v>
      </c>
      <c r="BI36" s="123">
        <f t="shared" si="36"/>
        <v>5335.8302779358273</v>
      </c>
      <c r="BJ36" s="123">
        <f t="shared" si="37"/>
        <v>5982.3498441360516</v>
      </c>
      <c r="BL36" s="123">
        <f t="shared" si="38"/>
        <v>0</v>
      </c>
      <c r="BM36" s="123">
        <f t="shared" si="39"/>
        <v>0</v>
      </c>
      <c r="BN36" s="123">
        <f t="shared" si="40"/>
        <v>0</v>
      </c>
      <c r="BO36" s="123">
        <f t="shared" si="41"/>
        <v>0</v>
      </c>
      <c r="BP36" s="123">
        <f t="shared" si="42"/>
        <v>40547.238120314803</v>
      </c>
      <c r="BR36" s="123">
        <f t="shared" si="12"/>
        <v>7411.8121147795891</v>
      </c>
      <c r="BS36" s="123">
        <f t="shared" si="13"/>
        <v>0</v>
      </c>
      <c r="BT36" s="123">
        <f t="shared" si="14"/>
        <v>0</v>
      </c>
      <c r="BU36" s="123">
        <f t="shared" si="43"/>
        <v>7411.8121147795891</v>
      </c>
      <c r="BV36" s="123">
        <f t="shared" si="44"/>
        <v>3906.3680072922898</v>
      </c>
      <c r="BX36" s="968">
        <f t="shared" si="45"/>
        <v>170731.70731706114</v>
      </c>
      <c r="BY36" s="968">
        <f t="shared" si="46"/>
        <v>0</v>
      </c>
      <c r="BZ36" s="968">
        <f t="shared" si="47"/>
        <v>0</v>
      </c>
      <c r="CA36" s="968">
        <f t="shared" si="48"/>
        <v>170731.70731706114</v>
      </c>
      <c r="CB36" s="123"/>
      <c r="CC36" s="123">
        <f>SpacePlanning!$AU$49*(A36-2009)</f>
        <v>396</v>
      </c>
      <c r="CD36" s="123">
        <f t="shared" si="49"/>
        <v>7630.1339080998969</v>
      </c>
      <c r="CE36" s="123">
        <f t="shared" si="50"/>
        <v>40587.235395895943</v>
      </c>
      <c r="CF36" s="123">
        <f t="shared" si="51"/>
        <v>10598.747709667217</v>
      </c>
      <c r="CH36" s="123">
        <f t="shared" si="15"/>
        <v>5341.0937356699269</v>
      </c>
      <c r="CI36" s="123">
        <f t="shared" si="16"/>
        <v>0</v>
      </c>
      <c r="CJ36" s="123">
        <f t="shared" si="17"/>
        <v>0</v>
      </c>
      <c r="CK36" s="123">
        <f t="shared" si="52"/>
        <v>5341.0937356699269</v>
      </c>
      <c r="CL36" s="123">
        <f t="shared" si="53"/>
        <v>2289.04017242997</v>
      </c>
      <c r="CN36" s="123">
        <f t="shared" si="18"/>
        <v>28411.064777127158</v>
      </c>
      <c r="CO36" s="123">
        <f t="shared" si="19"/>
        <v>0</v>
      </c>
      <c r="CP36" s="123">
        <f t="shared" si="20"/>
        <v>0</v>
      </c>
      <c r="CQ36" s="123">
        <f t="shared" si="54"/>
        <v>28411.064777127158</v>
      </c>
      <c r="CR36" s="123">
        <f t="shared" si="55"/>
        <v>12176.170618768785</v>
      </c>
      <c r="CT36" s="123">
        <f t="shared" si="21"/>
        <v>7419.1233967670514</v>
      </c>
      <c r="CU36" s="123">
        <f t="shared" si="22"/>
        <v>0</v>
      </c>
      <c r="CV36" s="123">
        <f t="shared" si="23"/>
        <v>0</v>
      </c>
      <c r="CW36" s="123">
        <f t="shared" si="56"/>
        <v>7419.1233967670514</v>
      </c>
      <c r="CX36" s="123">
        <f t="shared" si="57"/>
        <v>3179.6243129001659</v>
      </c>
      <c r="CZ36" s="968">
        <f t="shared" si="58"/>
        <v>269500</v>
      </c>
      <c r="DA36" s="968">
        <f t="shared" si="59"/>
        <v>0</v>
      </c>
      <c r="DB36" s="968">
        <f t="shared" si="60"/>
        <v>0</v>
      </c>
      <c r="DC36" s="968">
        <f t="shared" si="61"/>
        <v>269500</v>
      </c>
    </row>
    <row r="37" spans="1:107">
      <c r="A37" s="303">
        <v>2028</v>
      </c>
      <c r="B37" s="304">
        <f ca="1">IF($D$3="BAU",UtilityDemand!C30,INDIRECT($D$3&amp;"!B"&amp;ROW(A37))+INDIRECT($D$3&amp;"!D"&amp;ROW(A37)))</f>
        <v>134786.60484945893</v>
      </c>
      <c r="C37" s="305">
        <f t="shared" ca="1" si="62"/>
        <v>6.3664231346911654E-2</v>
      </c>
      <c r="D37" s="306">
        <f t="shared" si="63"/>
        <v>-8581.0855936007174</v>
      </c>
      <c r="E37" s="304">
        <f ca="1">IF($D$3="BAU",UtilityDemand!E30,INDIRECT($D$3&amp;"!E"&amp;ROW(D37))+INDIRECT($D$3&amp;"!G"&amp;ROW(D37)))</f>
        <v>718621.58600984153</v>
      </c>
      <c r="F37" s="305">
        <f t="shared" ca="1" si="64"/>
        <v>7.5700195500571027E-2</v>
      </c>
      <c r="G37" s="306">
        <f t="shared" si="65"/>
        <v>-54399.79455187542</v>
      </c>
      <c r="H37" s="304">
        <f ca="1">IF($D$3="BAU",UtilityDemand!G30,INDIRECT($D$3&amp;"!H"&amp;ROW(G37))+INDIRECT($D$3&amp;"!J"&amp;ROW(G37)))</f>
        <v>203842.78023495126</v>
      </c>
      <c r="I37" s="305">
        <f t="shared" ca="1" si="66"/>
        <v>3.6272901983889605E-2</v>
      </c>
      <c r="J37" s="306">
        <f t="shared" si="67"/>
        <v>-7393.9691875859371</v>
      </c>
      <c r="K37" s="307">
        <f t="shared" ca="1" si="24"/>
        <v>126205.51925585822</v>
      </c>
      <c r="L37" s="307">
        <f t="shared" si="25"/>
        <v>0</v>
      </c>
      <c r="M37" s="307">
        <v>0</v>
      </c>
      <c r="N37" s="307">
        <f t="shared" ca="1" si="26"/>
        <v>126205.51925585822</v>
      </c>
      <c r="O37" s="1494">
        <f t="shared" ca="1" si="27"/>
        <v>664221.79145796609</v>
      </c>
      <c r="P37" s="306">
        <f t="shared" si="28"/>
        <v>0</v>
      </c>
      <c r="Q37" s="306">
        <v>0</v>
      </c>
      <c r="R37" s="306">
        <f t="shared" ca="1" si="29"/>
        <v>664221.79145796609</v>
      </c>
      <c r="S37" s="818">
        <f t="shared" ca="1" si="30"/>
        <v>196448.81104736534</v>
      </c>
      <c r="T37" s="818">
        <f t="shared" si="31"/>
        <v>0</v>
      </c>
      <c r="U37" s="818">
        <v>0</v>
      </c>
      <c r="V37" s="818">
        <f t="shared" ca="1" si="32"/>
        <v>196448.81104736534</v>
      </c>
      <c r="W37" s="306">
        <f t="shared" si="1"/>
        <v>0</v>
      </c>
      <c r="X37" s="306">
        <f t="shared" ca="1" si="2"/>
        <v>-12836.080280592192</v>
      </c>
      <c r="Y37" s="306">
        <v>0</v>
      </c>
      <c r="Z37" s="306">
        <v>0</v>
      </c>
      <c r="AA37" s="308">
        <f ca="1">-SUM(W37,X37/OFFSET(GridFootprintbyYear,$A37-$A$19,0)*EF_PurchElec_MTperMWh,Z37)*OFFSET(ExposureCalculations!Price_GHG_Allowance_2010,A37-$A$19,0)*ExposureCalculations!D34</f>
        <v>496899.95826281962</v>
      </c>
      <c r="AB37" s="308">
        <f t="shared" ca="1" si="3"/>
        <v>797903.3184184205</v>
      </c>
      <c r="AC37" s="308">
        <v>0</v>
      </c>
      <c r="AD37" s="819">
        <f t="shared" ca="1" si="4"/>
        <v>658403.08456914278</v>
      </c>
      <c r="AE37" s="308">
        <v>0</v>
      </c>
      <c r="AF37" s="819">
        <f t="shared" ca="1" si="5"/>
        <v>142950.07095999477</v>
      </c>
      <c r="AG37" s="308">
        <v>0</v>
      </c>
      <c r="AH37" s="308">
        <v>0</v>
      </c>
      <c r="AI37" s="308">
        <v>0</v>
      </c>
      <c r="AJ37" s="308">
        <f t="shared" ca="1" si="6"/>
        <v>1599256.4739475581</v>
      </c>
      <c r="AK37" s="309">
        <v>0</v>
      </c>
      <c r="AL37" s="309">
        <f t="shared" si="68"/>
        <v>-440231.70731707709</v>
      </c>
      <c r="AM37" s="309">
        <f t="shared" si="33"/>
        <v>-440231.70731707709</v>
      </c>
      <c r="AN37" s="310">
        <v>0</v>
      </c>
      <c r="AO37" s="310">
        <v>0</v>
      </c>
      <c r="AP37" s="310">
        <f t="shared" si="34"/>
        <v>0</v>
      </c>
      <c r="AQ37" s="309">
        <v>0</v>
      </c>
      <c r="AR37" s="311">
        <f t="shared" ca="1" si="7"/>
        <v>1655924.7248933006</v>
      </c>
      <c r="AS37" s="870">
        <f t="shared" ca="1" si="35"/>
        <v>10149154.607917402</v>
      </c>
      <c r="AT37" s="822"/>
      <c r="AU37" s="1215">
        <f>$AU$23*(1-$AY$30)</f>
        <v>71.745113073553426</v>
      </c>
      <c r="AV37" s="827" t="s">
        <v>973</v>
      </c>
      <c r="AW37" s="879"/>
      <c r="AX37" s="35"/>
      <c r="AY37" s="880"/>
      <c r="BA37" s="123">
        <f>SpacePlanning!BB37-CampusArea!$G$11</f>
        <v>405.36585365853625</v>
      </c>
      <c r="BB37" s="123">
        <f t="shared" si="8"/>
        <v>7810.5953161259022</v>
      </c>
      <c r="BC37" s="123">
        <f>BA37*UtilityDemand!F30</f>
        <v>41547.170009841706</v>
      </c>
      <c r="BD37" s="123">
        <f>BA37*UtilityDemand!H30</f>
        <v>11632.293243990547</v>
      </c>
      <c r="BF37" s="123">
        <f t="shared" si="9"/>
        <v>5467.4167212881312</v>
      </c>
      <c r="BG37" s="123">
        <f t="shared" si="10"/>
        <v>0</v>
      </c>
      <c r="BH37" s="123">
        <f t="shared" si="11"/>
        <v>0</v>
      </c>
      <c r="BI37" s="123">
        <f t="shared" si="36"/>
        <v>5467.4167212881312</v>
      </c>
      <c r="BJ37" s="123">
        <f t="shared" si="37"/>
        <v>6164.876522702416</v>
      </c>
      <c r="BL37" s="123">
        <f t="shared" si="38"/>
        <v>0</v>
      </c>
      <c r="BM37" s="123">
        <f t="shared" si="39"/>
        <v>0</v>
      </c>
      <c r="BN37" s="123">
        <f t="shared" si="40"/>
        <v>0</v>
      </c>
      <c r="BO37" s="123">
        <f t="shared" si="41"/>
        <v>0</v>
      </c>
      <c r="BP37" s="123">
        <f t="shared" si="42"/>
        <v>41547.170009841706</v>
      </c>
      <c r="BR37" s="123">
        <f t="shared" si="12"/>
        <v>7594.5941644658969</v>
      </c>
      <c r="BS37" s="123">
        <f t="shared" si="13"/>
        <v>0</v>
      </c>
      <c r="BT37" s="123">
        <f t="shared" si="14"/>
        <v>0</v>
      </c>
      <c r="BU37" s="123">
        <f t="shared" si="43"/>
        <v>7594.5941644658969</v>
      </c>
      <c r="BV37" s="123">
        <f t="shared" si="44"/>
        <v>4037.6990795246502</v>
      </c>
      <c r="BX37" s="968">
        <f t="shared" si="45"/>
        <v>170731.70731707706</v>
      </c>
      <c r="BY37" s="968">
        <f t="shared" si="46"/>
        <v>0</v>
      </c>
      <c r="BZ37" s="968">
        <f t="shared" si="47"/>
        <v>0</v>
      </c>
      <c r="CA37" s="968">
        <f t="shared" si="48"/>
        <v>170731.70731707706</v>
      </c>
      <c r="CB37" s="123"/>
      <c r="CC37" s="123">
        <f>SpacePlanning!$AU$49*(A37-2009)</f>
        <v>418</v>
      </c>
      <c r="CD37" s="123">
        <f t="shared" si="49"/>
        <v>8054.0302363276678</v>
      </c>
      <c r="CE37" s="123">
        <f t="shared" si="50"/>
        <v>42842.081806779046</v>
      </c>
      <c r="CF37" s="123">
        <f t="shared" si="51"/>
        <v>11187.567026870953</v>
      </c>
      <c r="CH37" s="123">
        <f t="shared" si="15"/>
        <v>5637.8211654293673</v>
      </c>
      <c r="CI37" s="123">
        <f t="shared" si="16"/>
        <v>0</v>
      </c>
      <c r="CJ37" s="123">
        <f t="shared" si="17"/>
        <v>0</v>
      </c>
      <c r="CK37" s="123">
        <f t="shared" si="52"/>
        <v>5637.8211654293673</v>
      </c>
      <c r="CL37" s="123">
        <f t="shared" si="53"/>
        <v>2416.2090708983005</v>
      </c>
      <c r="CN37" s="123">
        <f t="shared" si="18"/>
        <v>29989.457264745331</v>
      </c>
      <c r="CO37" s="123">
        <f t="shared" si="19"/>
        <v>0</v>
      </c>
      <c r="CP37" s="123">
        <f t="shared" si="20"/>
        <v>0</v>
      </c>
      <c r="CQ37" s="123">
        <f t="shared" si="54"/>
        <v>29989.457264745331</v>
      </c>
      <c r="CR37" s="123">
        <f t="shared" si="55"/>
        <v>12852.624542033715</v>
      </c>
      <c r="CT37" s="123">
        <f t="shared" si="21"/>
        <v>7831.2969188096658</v>
      </c>
      <c r="CU37" s="123">
        <f t="shared" si="22"/>
        <v>0</v>
      </c>
      <c r="CV37" s="123">
        <f t="shared" si="23"/>
        <v>0</v>
      </c>
      <c r="CW37" s="123">
        <f t="shared" si="56"/>
        <v>7831.2969188096658</v>
      </c>
      <c r="CX37" s="123">
        <f t="shared" si="57"/>
        <v>3356.2701080612869</v>
      </c>
      <c r="CZ37" s="968">
        <f t="shared" si="58"/>
        <v>269500</v>
      </c>
      <c r="DA37" s="968">
        <f t="shared" si="59"/>
        <v>0</v>
      </c>
      <c r="DB37" s="968">
        <f t="shared" si="60"/>
        <v>0</v>
      </c>
      <c r="DC37" s="968">
        <f t="shared" si="61"/>
        <v>269500</v>
      </c>
    </row>
    <row r="38" spans="1:107">
      <c r="A38" s="303">
        <v>2029</v>
      </c>
      <c r="B38" s="304">
        <f ca="1">IF($D$3="BAU",UtilityDemand!C31,INDIRECT($D$3&amp;"!B"&amp;ROW(A38))+INDIRECT($D$3&amp;"!D"&amp;ROW(A38)))</f>
        <v>134974.58548281936</v>
      </c>
      <c r="C38" s="305">
        <f t="shared" ca="1" si="62"/>
        <v>6.587738443200912E-2</v>
      </c>
      <c r="D38" s="306">
        <f t="shared" si="63"/>
        <v>-8891.7726564027671</v>
      </c>
      <c r="E38" s="304">
        <f ca="1">IF($D$3="BAU",UtilityDemand!E31,INDIRECT($D$3&amp;"!E"&amp;ROW(D38))+INDIRECT($D$3&amp;"!G"&amp;ROW(D38)))</f>
        <v>719621.51789936866</v>
      </c>
      <c r="F38" s="305">
        <f t="shared" ca="1" si="64"/>
        <v>7.792454640372358E-2</v>
      </c>
      <c r="G38" s="306">
        <f t="shared" si="65"/>
        <v>-56076.180364667351</v>
      </c>
      <c r="H38" s="304">
        <f ca="1">IF($D$3="BAU",UtilityDemand!G31,INDIRECT($D$3&amp;"!H"&amp;ROW(G38))+INDIRECT($D$3&amp;"!J"&amp;ROW(G38)))</f>
        <v>204978.39744878886</v>
      </c>
      <c r="I38" s="305">
        <f t="shared" ca="1" si="66"/>
        <v>3.7579265115833704E-2</v>
      </c>
      <c r="J38" s="306">
        <f t="shared" si="67"/>
        <v>-7702.9375407467678</v>
      </c>
      <c r="K38" s="307">
        <f t="shared" ca="1" si="24"/>
        <v>126082.81282641659</v>
      </c>
      <c r="L38" s="307">
        <f t="shared" si="25"/>
        <v>0</v>
      </c>
      <c r="M38" s="307">
        <v>0</v>
      </c>
      <c r="N38" s="307">
        <f t="shared" ca="1" si="26"/>
        <v>126082.81282641659</v>
      </c>
      <c r="O38" s="1494">
        <f t="shared" ca="1" si="27"/>
        <v>663545.33753470134</v>
      </c>
      <c r="P38" s="306">
        <f t="shared" si="28"/>
        <v>0</v>
      </c>
      <c r="Q38" s="306">
        <v>0</v>
      </c>
      <c r="R38" s="306">
        <f t="shared" ca="1" si="29"/>
        <v>663545.33753470134</v>
      </c>
      <c r="S38" s="818">
        <f t="shared" ca="1" si="30"/>
        <v>197275.4599080421</v>
      </c>
      <c r="T38" s="818">
        <f t="shared" si="31"/>
        <v>0</v>
      </c>
      <c r="U38" s="818">
        <v>0</v>
      </c>
      <c r="V38" s="818">
        <f t="shared" ca="1" si="32"/>
        <v>197275.4599080421</v>
      </c>
      <c r="W38" s="306">
        <f t="shared" si="1"/>
        <v>0</v>
      </c>
      <c r="X38" s="306">
        <f t="shared" ca="1" si="2"/>
        <v>-13274.123435425432</v>
      </c>
      <c r="Y38" s="306">
        <v>0</v>
      </c>
      <c r="Z38" s="306">
        <v>0</v>
      </c>
      <c r="AA38" s="308">
        <f ca="1">-SUM(W38,X38/OFFSET(GridFootprintbyYear,$A38-$A$19,0)*EF_PurchElec_MTperMWh,Z38)*OFFSET(ExposureCalculations!Price_GHG_Allowance_2010,A38-$A$19,0)*ExposureCalculations!D35</f>
        <v>553746.30846772087</v>
      </c>
      <c r="AB38" s="308">
        <f t="shared" ca="1" si="3"/>
        <v>830926.19295501523</v>
      </c>
      <c r="AC38" s="308">
        <v>0</v>
      </c>
      <c r="AD38" s="819">
        <f t="shared" ca="1" si="4"/>
        <v>682085.91740514478</v>
      </c>
      <c r="AE38" s="308">
        <v>0</v>
      </c>
      <c r="AF38" s="819">
        <f t="shared" ca="1" si="5"/>
        <v>148923.45912110416</v>
      </c>
      <c r="AG38" s="308">
        <v>0</v>
      </c>
      <c r="AH38" s="308">
        <v>0</v>
      </c>
      <c r="AI38" s="308">
        <v>0</v>
      </c>
      <c r="AJ38" s="308">
        <f t="shared" ca="1" si="6"/>
        <v>1661935.5694812641</v>
      </c>
      <c r="AK38" s="309">
        <v>0</v>
      </c>
      <c r="AL38" s="309">
        <f t="shared" si="68"/>
        <v>-440231.70731709298</v>
      </c>
      <c r="AM38" s="309">
        <f t="shared" si="33"/>
        <v>-440231.70731709298</v>
      </c>
      <c r="AN38" s="310">
        <v>0</v>
      </c>
      <c r="AO38" s="310">
        <v>0</v>
      </c>
      <c r="AP38" s="310">
        <f t="shared" si="34"/>
        <v>0</v>
      </c>
      <c r="AQ38" s="309">
        <v>0</v>
      </c>
      <c r="AR38" s="311">
        <f t="shared" ca="1" si="7"/>
        <v>1775450.170631892</v>
      </c>
      <c r="AS38" s="870">
        <f t="shared" ca="1" si="35"/>
        <v>11924604.778549295</v>
      </c>
      <c r="AT38" s="822"/>
      <c r="AU38" s="1215">
        <f>$AU$23*(1-$AY$30)</f>
        <v>71.745113073553426</v>
      </c>
      <c r="AV38" s="827" t="s">
        <v>974</v>
      </c>
      <c r="AW38" s="879"/>
      <c r="AX38" s="35"/>
      <c r="AY38" s="880"/>
      <c r="BA38" s="123">
        <f>SpacePlanning!BB38-CampusArea!$G$11</f>
        <v>415.12195121951299</v>
      </c>
      <c r="BB38" s="123">
        <f t="shared" si="8"/>
        <v>7998.575949486356</v>
      </c>
      <c r="BC38" s="123">
        <f>BA38*UtilityDemand!F31</f>
        <v>42547.101899368703</v>
      </c>
      <c r="BD38" s="123">
        <f>BA38*UtilityDemand!H31</f>
        <v>11947.397851676582</v>
      </c>
      <c r="BF38" s="123">
        <f t="shared" si="9"/>
        <v>5599.0031646404486</v>
      </c>
      <c r="BG38" s="123">
        <f t="shared" si="10"/>
        <v>0</v>
      </c>
      <c r="BH38" s="123">
        <f t="shared" si="11"/>
        <v>0</v>
      </c>
      <c r="BI38" s="123">
        <f t="shared" si="36"/>
        <v>5599.0031646404486</v>
      </c>
      <c r="BJ38" s="123">
        <f t="shared" si="37"/>
        <v>6348.3946870361333</v>
      </c>
      <c r="BL38" s="123">
        <f t="shared" si="38"/>
        <v>0</v>
      </c>
      <c r="BM38" s="123">
        <f t="shared" si="39"/>
        <v>0</v>
      </c>
      <c r="BN38" s="123">
        <f t="shared" si="40"/>
        <v>0</v>
      </c>
      <c r="BO38" s="123">
        <f t="shared" si="41"/>
        <v>0</v>
      </c>
      <c r="BP38" s="123">
        <f t="shared" si="42"/>
        <v>42547.101899368703</v>
      </c>
      <c r="BR38" s="123">
        <f t="shared" si="12"/>
        <v>7777.3762141522211</v>
      </c>
      <c r="BS38" s="123">
        <f t="shared" si="13"/>
        <v>0</v>
      </c>
      <c r="BT38" s="123">
        <f t="shared" si="14"/>
        <v>0</v>
      </c>
      <c r="BU38" s="123">
        <f t="shared" si="43"/>
        <v>7777.3762141522211</v>
      </c>
      <c r="BV38" s="123">
        <f t="shared" si="44"/>
        <v>4170.0216375243608</v>
      </c>
      <c r="BX38" s="968">
        <f t="shared" si="45"/>
        <v>170731.70731709298</v>
      </c>
      <c r="BY38" s="968">
        <f t="shared" si="46"/>
        <v>0</v>
      </c>
      <c r="BZ38" s="968">
        <f t="shared" si="47"/>
        <v>0</v>
      </c>
      <c r="CA38" s="968">
        <f t="shared" si="48"/>
        <v>170731.70731709298</v>
      </c>
      <c r="CB38" s="123"/>
      <c r="CC38" s="123">
        <f>SpacePlanning!$AU$49*(A38-2009)</f>
        <v>440</v>
      </c>
      <c r="CD38" s="123">
        <f t="shared" si="49"/>
        <v>8477.9265645554406</v>
      </c>
      <c r="CE38" s="123">
        <f t="shared" si="50"/>
        <v>45096.928217662156</v>
      </c>
      <c r="CF38" s="123">
        <f t="shared" si="51"/>
        <v>11776.386344074686</v>
      </c>
      <c r="CH38" s="123">
        <f t="shared" si="15"/>
        <v>5934.5485951888068</v>
      </c>
      <c r="CI38" s="123">
        <f t="shared" si="16"/>
        <v>0</v>
      </c>
      <c r="CJ38" s="123">
        <f t="shared" si="17"/>
        <v>0</v>
      </c>
      <c r="CK38" s="123">
        <f t="shared" si="52"/>
        <v>5934.5485951888068</v>
      </c>
      <c r="CL38" s="123">
        <f t="shared" si="53"/>
        <v>2543.3779693666338</v>
      </c>
      <c r="CN38" s="123">
        <f t="shared" si="18"/>
        <v>31567.849752363509</v>
      </c>
      <c r="CO38" s="123">
        <f t="shared" si="19"/>
        <v>0</v>
      </c>
      <c r="CP38" s="123">
        <f t="shared" si="20"/>
        <v>0</v>
      </c>
      <c r="CQ38" s="123">
        <f t="shared" si="54"/>
        <v>31567.849752363509</v>
      </c>
      <c r="CR38" s="123">
        <f t="shared" si="55"/>
        <v>13529.078465298648</v>
      </c>
      <c r="CT38" s="123">
        <f t="shared" si="21"/>
        <v>8243.4704408522794</v>
      </c>
      <c r="CU38" s="123">
        <f t="shared" si="22"/>
        <v>0</v>
      </c>
      <c r="CV38" s="123">
        <f t="shared" si="23"/>
        <v>0</v>
      </c>
      <c r="CW38" s="123">
        <f t="shared" si="56"/>
        <v>8243.4704408522794</v>
      </c>
      <c r="CX38" s="123">
        <f t="shared" si="57"/>
        <v>3532.915903222407</v>
      </c>
      <c r="CZ38" s="968">
        <f t="shared" si="58"/>
        <v>269500</v>
      </c>
      <c r="DA38" s="968">
        <f t="shared" si="59"/>
        <v>0</v>
      </c>
      <c r="DB38" s="968">
        <f t="shared" si="60"/>
        <v>0</v>
      </c>
      <c r="DC38" s="968">
        <f t="shared" si="61"/>
        <v>269500</v>
      </c>
    </row>
    <row r="39" spans="1:107">
      <c r="A39" s="303">
        <v>2030</v>
      </c>
      <c r="B39" s="304">
        <f ca="1">IF($D$3="BAU",UtilityDemand!C32,INDIRECT($D$3&amp;"!B"&amp;ROW(A39))+INDIRECT($D$3&amp;"!D"&amp;ROW(A39)))</f>
        <v>135162.56611617981</v>
      </c>
      <c r="C39" s="305">
        <f t="shared" ca="1" si="62"/>
        <v>6.8091506282617315E-2</v>
      </c>
      <c r="D39" s="306">
        <f t="shared" si="63"/>
        <v>-9203.4227198745357</v>
      </c>
      <c r="E39" s="304">
        <f ca="1">IF($D$3="BAU",UtilityDemand!E32,INDIRECT($D$3&amp;"!E"&amp;ROW(D39))+INDIRECT($D$3&amp;"!G"&amp;ROW(D39)))</f>
        <v>720621.44978889567</v>
      </c>
      <c r="F39" s="305">
        <f t="shared" ca="1" si="64"/>
        <v>8.014272430327693E-2</v>
      </c>
      <c r="G39" s="306">
        <f t="shared" si="65"/>
        <v>-57752.566177459186</v>
      </c>
      <c r="H39" s="304">
        <f ca="1">IF($D$3="BAU",UtilityDemand!G32,INDIRECT($D$3&amp;"!H"&amp;ROW(G39))+INDIRECT($D$3&amp;"!J"&amp;ROW(G39)))</f>
        <v>206114.01466262646</v>
      </c>
      <c r="I39" s="305">
        <f t="shared" ca="1" si="66"/>
        <v>3.887590520078426E-2</v>
      </c>
      <c r="J39" s="306">
        <f t="shared" si="67"/>
        <v>-8012.8688945773238</v>
      </c>
      <c r="K39" s="307">
        <f t="shared" ca="1" si="24"/>
        <v>125959.14339630527</v>
      </c>
      <c r="L39" s="307">
        <f t="shared" si="25"/>
        <v>0</v>
      </c>
      <c r="M39" s="307">
        <v>0</v>
      </c>
      <c r="N39" s="307">
        <f t="shared" ca="1" si="26"/>
        <v>125959.14339630527</v>
      </c>
      <c r="O39" s="1494">
        <f t="shared" ca="1" si="27"/>
        <v>662868.88361143647</v>
      </c>
      <c r="P39" s="306">
        <f t="shared" si="28"/>
        <v>0</v>
      </c>
      <c r="Q39" s="306">
        <v>0</v>
      </c>
      <c r="R39" s="306">
        <f t="shared" ca="1" si="29"/>
        <v>662868.88361143647</v>
      </c>
      <c r="S39" s="818">
        <f t="shared" ca="1" si="30"/>
        <v>198101.14576804914</v>
      </c>
      <c r="T39" s="818">
        <f t="shared" si="31"/>
        <v>0</v>
      </c>
      <c r="U39" s="818">
        <v>0</v>
      </c>
      <c r="V39" s="818">
        <f t="shared" ca="1" si="32"/>
        <v>198101.14576804914</v>
      </c>
      <c r="W39" s="306">
        <f t="shared" si="1"/>
        <v>0</v>
      </c>
      <c r="X39" s="306">
        <f t="shared" ca="1" si="2"/>
        <v>-13712.964957389482</v>
      </c>
      <c r="Y39" s="306">
        <v>0</v>
      </c>
      <c r="Z39" s="306">
        <v>0</v>
      </c>
      <c r="AA39" s="308">
        <f ca="1">-SUM(W39,X39/OFFSET(GridFootprintbyYear,$A39-$A$19,0)*EF_PurchElec_MTperMWh,Z39)*OFFSET(ExposureCalculations!Price_GHG_Allowance_2010,A39-$A$19,0)*ExposureCalculations!D36</f>
        <v>614265.97885240603</v>
      </c>
      <c r="AB39" s="308">
        <f t="shared" ca="1" si="3"/>
        <v>864349.78994438343</v>
      </c>
      <c r="AC39" s="308">
        <v>0</v>
      </c>
      <c r="AD39" s="819">
        <f t="shared" ca="1" si="4"/>
        <v>705989.11849239131</v>
      </c>
      <c r="AE39" s="308">
        <v>0</v>
      </c>
      <c r="AF39" s="819">
        <f t="shared" ca="1" si="5"/>
        <v>154915.46529516159</v>
      </c>
      <c r="AG39" s="308">
        <v>0</v>
      </c>
      <c r="AH39" s="308">
        <v>0</v>
      </c>
      <c r="AI39" s="308">
        <v>0</v>
      </c>
      <c r="AJ39" s="308">
        <f t="shared" ca="1" si="6"/>
        <v>1725254.3737319363</v>
      </c>
      <c r="AK39" s="309">
        <v>0</v>
      </c>
      <c r="AL39" s="309">
        <f t="shared" si="68"/>
        <v>-440231.70731707709</v>
      </c>
      <c r="AM39" s="309">
        <f t="shared" si="33"/>
        <v>-440231.70731707709</v>
      </c>
      <c r="AN39" s="310">
        <v>0</v>
      </c>
      <c r="AO39" s="310">
        <v>0</v>
      </c>
      <c r="AP39" s="310">
        <f t="shared" si="34"/>
        <v>0</v>
      </c>
      <c r="AQ39" s="309">
        <v>0</v>
      </c>
      <c r="AR39" s="311">
        <f t="shared" ca="1" si="7"/>
        <v>1899288.6452672654</v>
      </c>
      <c r="AS39" s="870">
        <f t="shared" ca="1" si="35"/>
        <v>13823893.42381656</v>
      </c>
      <c r="AT39" s="822"/>
      <c r="AU39" s="1215">
        <f>$AU$23*(1-$AY$30)</f>
        <v>71.745113073553426</v>
      </c>
      <c r="AV39" s="827" t="s">
        <v>975</v>
      </c>
      <c r="AW39" s="879"/>
      <c r="AX39" s="35"/>
      <c r="AY39" s="880"/>
      <c r="BA39" s="123">
        <f>SpacePlanning!BB39-CampusArea!$G$11</f>
        <v>424.87804878048883</v>
      </c>
      <c r="BB39" s="123">
        <f t="shared" si="8"/>
        <v>8186.5565828467916</v>
      </c>
      <c r="BC39" s="123">
        <f>BA39*UtilityDemand!F32</f>
        <v>43547.033788895606</v>
      </c>
      <c r="BD39" s="123">
        <f>BA39*UtilityDemand!H32</f>
        <v>12263.465460032327</v>
      </c>
      <c r="BF39" s="123">
        <f t="shared" si="9"/>
        <v>5730.5896079927543</v>
      </c>
      <c r="BG39" s="123">
        <f t="shared" si="10"/>
        <v>0</v>
      </c>
      <c r="BH39" s="123">
        <f t="shared" si="11"/>
        <v>0</v>
      </c>
      <c r="BI39" s="123">
        <f t="shared" si="36"/>
        <v>5730.5896079927543</v>
      </c>
      <c r="BJ39" s="123">
        <f t="shared" si="37"/>
        <v>6532.8758520395722</v>
      </c>
      <c r="BL39" s="123">
        <f t="shared" si="38"/>
        <v>0</v>
      </c>
      <c r="BM39" s="123">
        <f t="shared" si="39"/>
        <v>0</v>
      </c>
      <c r="BN39" s="123">
        <f t="shared" si="40"/>
        <v>0</v>
      </c>
      <c r="BO39" s="123">
        <f t="shared" si="41"/>
        <v>0</v>
      </c>
      <c r="BP39" s="123">
        <f t="shared" si="42"/>
        <v>43547.033788895606</v>
      </c>
      <c r="BR39" s="123">
        <f t="shared" si="12"/>
        <v>7960.1582638385289</v>
      </c>
      <c r="BS39" s="123">
        <f t="shared" si="13"/>
        <v>0</v>
      </c>
      <c r="BT39" s="123">
        <f t="shared" si="14"/>
        <v>0</v>
      </c>
      <c r="BU39" s="123">
        <f t="shared" si="43"/>
        <v>7960.1582638385289</v>
      </c>
      <c r="BV39" s="123">
        <f t="shared" si="44"/>
        <v>4303.3071961937976</v>
      </c>
      <c r="BX39" s="968">
        <f t="shared" si="45"/>
        <v>170731.70731707706</v>
      </c>
      <c r="BY39" s="968">
        <f t="shared" si="46"/>
        <v>0</v>
      </c>
      <c r="BZ39" s="968">
        <f t="shared" si="47"/>
        <v>0</v>
      </c>
      <c r="CA39" s="968">
        <f t="shared" si="48"/>
        <v>170731.70731707706</v>
      </c>
      <c r="CB39" s="123"/>
      <c r="CC39" s="123">
        <f>SpacePlanning!$AU$49*(A39-2009)</f>
        <v>462</v>
      </c>
      <c r="CD39" s="123">
        <f t="shared" si="49"/>
        <v>8901.8228927832115</v>
      </c>
      <c r="CE39" s="123">
        <f t="shared" si="50"/>
        <v>47351.774628545267</v>
      </c>
      <c r="CF39" s="123">
        <f t="shared" si="51"/>
        <v>12365.20566127842</v>
      </c>
      <c r="CH39" s="123">
        <f t="shared" si="15"/>
        <v>6231.2760249482471</v>
      </c>
      <c r="CI39" s="123">
        <f t="shared" si="16"/>
        <v>0</v>
      </c>
      <c r="CJ39" s="123">
        <f t="shared" si="17"/>
        <v>0</v>
      </c>
      <c r="CK39" s="123">
        <f t="shared" si="52"/>
        <v>6231.2760249482471</v>
      </c>
      <c r="CL39" s="123">
        <f t="shared" si="53"/>
        <v>2670.5468678349644</v>
      </c>
      <c r="CN39" s="123">
        <f t="shared" si="18"/>
        <v>33146.242239981686</v>
      </c>
      <c r="CO39" s="123">
        <f t="shared" si="19"/>
        <v>0</v>
      </c>
      <c r="CP39" s="123">
        <f t="shared" si="20"/>
        <v>0</v>
      </c>
      <c r="CQ39" s="123">
        <f t="shared" si="54"/>
        <v>33146.242239981686</v>
      </c>
      <c r="CR39" s="123">
        <f t="shared" si="55"/>
        <v>14205.532388563581</v>
      </c>
      <c r="CT39" s="123">
        <f t="shared" si="21"/>
        <v>8655.6439628948938</v>
      </c>
      <c r="CU39" s="123">
        <f t="shared" si="22"/>
        <v>0</v>
      </c>
      <c r="CV39" s="123">
        <f t="shared" si="23"/>
        <v>0</v>
      </c>
      <c r="CW39" s="123">
        <f t="shared" si="56"/>
        <v>8655.6439628948938</v>
      </c>
      <c r="CX39" s="123">
        <f t="shared" si="57"/>
        <v>3709.5616983835262</v>
      </c>
      <c r="CZ39" s="968">
        <f t="shared" si="58"/>
        <v>269500</v>
      </c>
      <c r="DA39" s="968">
        <f t="shared" si="59"/>
        <v>0</v>
      </c>
      <c r="DB39" s="968">
        <f t="shared" si="60"/>
        <v>0</v>
      </c>
      <c r="DC39" s="968">
        <f t="shared" si="61"/>
        <v>269500</v>
      </c>
    </row>
    <row r="40" spans="1:107">
      <c r="A40" s="303">
        <v>2031</v>
      </c>
      <c r="B40" s="304">
        <f ca="1">IF($D$3="BAU",UtilityDemand!C33,INDIRECT($D$3&amp;"!B"&amp;ROW(A40))+INDIRECT($D$3&amp;"!D"&amp;ROW(A40)))</f>
        <v>135350.5467495402</v>
      </c>
      <c r="C40" s="305">
        <f t="shared" ca="1" si="62"/>
        <v>7.0306390393346505E-2</v>
      </c>
      <c r="D40" s="306">
        <f t="shared" si="63"/>
        <v>-9516.0083797260704</v>
      </c>
      <c r="E40" s="304">
        <f ca="1">IF($D$3="BAU",UtilityDemand!E33,INDIRECT($D$3&amp;"!E"&amp;ROW(D40))+INDIRECT($D$3&amp;"!G"&amp;ROW(D40)))</f>
        <v>721621.38167842245</v>
      </c>
      <c r="F40" s="305">
        <f t="shared" ca="1" si="64"/>
        <v>8.2354754860540377E-2</v>
      </c>
      <c r="G40" s="306">
        <f t="shared" si="65"/>
        <v>-59428.95199025092</v>
      </c>
      <c r="H40" s="304">
        <f ca="1">IF($D$3="BAU",UtilityDemand!G33,INDIRECT($D$3&amp;"!H"&amp;ROW(G40))+INDIRECT($D$3&amp;"!J"&amp;ROW(G40)))</f>
        <v>207249.631876464</v>
      </c>
      <c r="I40" s="305">
        <f t="shared" ca="1" si="66"/>
        <v>4.0162849841630641E-2</v>
      </c>
      <c r="J40" s="306">
        <f t="shared" si="67"/>
        <v>-8323.7358447876504</v>
      </c>
      <c r="K40" s="307">
        <f t="shared" ca="1" si="24"/>
        <v>125834.53836981412</v>
      </c>
      <c r="L40" s="307">
        <f t="shared" si="25"/>
        <v>0</v>
      </c>
      <c r="M40" s="307">
        <v>0</v>
      </c>
      <c r="N40" s="307">
        <f t="shared" ca="1" si="26"/>
        <v>125834.53836981412</v>
      </c>
      <c r="O40" s="1494">
        <f t="shared" ca="1" si="27"/>
        <v>662192.42968817148</v>
      </c>
      <c r="P40" s="306">
        <f t="shared" si="28"/>
        <v>0</v>
      </c>
      <c r="Q40" s="306">
        <v>0</v>
      </c>
      <c r="R40" s="306">
        <f t="shared" ca="1" si="29"/>
        <v>662192.42968817148</v>
      </c>
      <c r="S40" s="818">
        <f t="shared" ca="1" si="30"/>
        <v>198925.89603167636</v>
      </c>
      <c r="T40" s="818">
        <f t="shared" si="31"/>
        <v>0</v>
      </c>
      <c r="U40" s="818">
        <v>0</v>
      </c>
      <c r="V40" s="818">
        <f t="shared" ca="1" si="32"/>
        <v>198925.89603167636</v>
      </c>
      <c r="W40" s="306">
        <f t="shared" si="1"/>
        <v>0</v>
      </c>
      <c r="X40" s="306">
        <f t="shared" ca="1" si="2"/>
        <v>-14152.582127201758</v>
      </c>
      <c r="Y40" s="306">
        <v>0</v>
      </c>
      <c r="Z40" s="306">
        <v>0</v>
      </c>
      <c r="AA40" s="308">
        <f ca="1">-SUM(W40,X40/OFFSET(GridFootprintbyYear,$A40-$A$19,0)*EF_PurchElec_MTperMWh,Z40)*OFFSET(ExposureCalculations!Price_GHG_Allowance_2010,A40-$A$19,0)*ExposureCalculations!D37</f>
        <v>683845.84736944898</v>
      </c>
      <c r="AB40" s="308">
        <f t="shared" ca="1" si="3"/>
        <v>898175.15667242254</v>
      </c>
      <c r="AC40" s="308">
        <v>0</v>
      </c>
      <c r="AD40" s="819">
        <f t="shared" ca="1" si="4"/>
        <v>730114.2994425738</v>
      </c>
      <c r="AE40" s="308">
        <v>0</v>
      </c>
      <c r="AF40" s="819">
        <f t="shared" ca="1" si="5"/>
        <v>160925.55966589457</v>
      </c>
      <c r="AG40" s="308">
        <v>0</v>
      </c>
      <c r="AH40" s="308">
        <v>0</v>
      </c>
      <c r="AI40" s="308">
        <v>0</v>
      </c>
      <c r="AJ40" s="308">
        <f t="shared" ca="1" si="6"/>
        <v>1789215.0157808908</v>
      </c>
      <c r="AK40" s="309">
        <v>0</v>
      </c>
      <c r="AL40" s="309">
        <f t="shared" si="68"/>
        <v>-440231.70731706114</v>
      </c>
      <c r="AM40" s="309">
        <f t="shared" si="33"/>
        <v>-440231.70731706114</v>
      </c>
      <c r="AN40" s="310">
        <v>0</v>
      </c>
      <c r="AO40" s="310">
        <v>0</v>
      </c>
      <c r="AP40" s="310">
        <f t="shared" si="34"/>
        <v>0</v>
      </c>
      <c r="AQ40" s="309">
        <v>0</v>
      </c>
      <c r="AR40" s="311">
        <f t="shared" ca="1" si="7"/>
        <v>2032829.1558332783</v>
      </c>
      <c r="AS40" s="870">
        <f t="shared" ca="1" si="35"/>
        <v>15856722.579649838</v>
      </c>
      <c r="AT40" s="822"/>
      <c r="AU40" s="1212">
        <f>SUMPRODUCT(AU27:AU29,AU37:AU39)</f>
        <v>71.745113073553426</v>
      </c>
      <c r="AV40" s="827" t="s">
        <v>1360</v>
      </c>
      <c r="AW40" s="879"/>
      <c r="AX40" s="35"/>
      <c r="AY40" s="880"/>
      <c r="BA40" s="123">
        <f>SpacePlanning!BB40-CampusArea!$G$11</f>
        <v>434.63414634146375</v>
      </c>
      <c r="BB40" s="123">
        <f t="shared" si="8"/>
        <v>8374.537216207209</v>
      </c>
      <c r="BC40" s="123">
        <f>BA40*UtilityDemand!F33</f>
        <v>44546.965678422406</v>
      </c>
      <c r="BD40" s="123">
        <f>BA40*UtilityDemand!H33</f>
        <v>12580.468664767823</v>
      </c>
      <c r="BF40" s="123">
        <f t="shared" si="9"/>
        <v>5862.1760513450463</v>
      </c>
      <c r="BG40" s="123">
        <f t="shared" si="10"/>
        <v>0</v>
      </c>
      <c r="BH40" s="123">
        <f t="shared" si="11"/>
        <v>0</v>
      </c>
      <c r="BI40" s="123">
        <f t="shared" si="36"/>
        <v>5862.1760513450463</v>
      </c>
      <c r="BJ40" s="123">
        <f t="shared" si="37"/>
        <v>6718.2926134227764</v>
      </c>
      <c r="BL40" s="123">
        <f t="shared" si="38"/>
        <v>0</v>
      </c>
      <c r="BM40" s="123">
        <f t="shared" si="39"/>
        <v>0</v>
      </c>
      <c r="BN40" s="123">
        <f t="shared" si="40"/>
        <v>0</v>
      </c>
      <c r="BO40" s="123">
        <f t="shared" si="41"/>
        <v>0</v>
      </c>
      <c r="BP40" s="123">
        <f t="shared" si="42"/>
        <v>44546.965678422406</v>
      </c>
      <c r="BR40" s="123">
        <f t="shared" si="12"/>
        <v>8142.9403135248194</v>
      </c>
      <c r="BS40" s="123">
        <f t="shared" si="13"/>
        <v>0</v>
      </c>
      <c r="BT40" s="123">
        <f t="shared" si="14"/>
        <v>0</v>
      </c>
      <c r="BU40" s="123">
        <f t="shared" si="43"/>
        <v>8142.9403135248194</v>
      </c>
      <c r="BV40" s="123">
        <f t="shared" si="44"/>
        <v>4437.5283512430033</v>
      </c>
      <c r="BX40" s="968">
        <f t="shared" si="45"/>
        <v>170731.70731706114</v>
      </c>
      <c r="BY40" s="968">
        <f t="shared" si="46"/>
        <v>0</v>
      </c>
      <c r="BZ40" s="968">
        <f t="shared" si="47"/>
        <v>0</v>
      </c>
      <c r="CA40" s="968">
        <f t="shared" si="48"/>
        <v>170731.70731706114</v>
      </c>
      <c r="CB40" s="123"/>
      <c r="CC40" s="123">
        <f>SpacePlanning!$AU$49*(A40-2009)</f>
        <v>484</v>
      </c>
      <c r="CD40" s="123">
        <f t="shared" si="49"/>
        <v>9325.7192210109824</v>
      </c>
      <c r="CE40" s="123">
        <f t="shared" si="50"/>
        <v>49606.62103942837</v>
      </c>
      <c r="CF40" s="123">
        <f t="shared" si="51"/>
        <v>12954.024978482155</v>
      </c>
      <c r="CH40" s="123">
        <f t="shared" si="15"/>
        <v>6528.0034547076875</v>
      </c>
      <c r="CI40" s="123">
        <f t="shared" si="16"/>
        <v>0</v>
      </c>
      <c r="CJ40" s="123">
        <f t="shared" si="17"/>
        <v>0</v>
      </c>
      <c r="CK40" s="123">
        <f t="shared" si="52"/>
        <v>6528.0034547076875</v>
      </c>
      <c r="CL40" s="123">
        <f t="shared" si="53"/>
        <v>2797.7157663032949</v>
      </c>
      <c r="CN40" s="123">
        <f t="shared" si="18"/>
        <v>34724.634727599856</v>
      </c>
      <c r="CO40" s="123">
        <f t="shared" si="19"/>
        <v>0</v>
      </c>
      <c r="CP40" s="123">
        <f t="shared" si="20"/>
        <v>0</v>
      </c>
      <c r="CQ40" s="123">
        <f t="shared" si="54"/>
        <v>34724.634727599856</v>
      </c>
      <c r="CR40" s="123">
        <f t="shared" si="55"/>
        <v>14881.986311828514</v>
      </c>
      <c r="CT40" s="123">
        <f t="shared" si="21"/>
        <v>9067.8174849375082</v>
      </c>
      <c r="CU40" s="123">
        <f t="shared" si="22"/>
        <v>0</v>
      </c>
      <c r="CV40" s="123">
        <f t="shared" si="23"/>
        <v>0</v>
      </c>
      <c r="CW40" s="123">
        <f t="shared" si="56"/>
        <v>9067.8174849375082</v>
      </c>
      <c r="CX40" s="123">
        <f t="shared" si="57"/>
        <v>3886.2074935446471</v>
      </c>
      <c r="CZ40" s="968">
        <f t="shared" si="58"/>
        <v>269500</v>
      </c>
      <c r="DA40" s="968">
        <f t="shared" si="59"/>
        <v>0</v>
      </c>
      <c r="DB40" s="968">
        <f t="shared" si="60"/>
        <v>0</v>
      </c>
      <c r="DC40" s="968">
        <f t="shared" si="61"/>
        <v>269500</v>
      </c>
    </row>
    <row r="41" spans="1:107">
      <c r="A41" s="303">
        <v>2032</v>
      </c>
      <c r="B41" s="304">
        <f ca="1">IF($D$3="BAU",UtilityDemand!C34,INDIRECT($D$3&amp;"!B"&amp;ROW(A41))+INDIRECT($D$3&amp;"!D"&amp;ROW(A41)))</f>
        <v>135538.52738290065</v>
      </c>
      <c r="C41" s="305">
        <f t="shared" ca="1" si="62"/>
        <v>7.2521839003952593E-2</v>
      </c>
      <c r="D41" s="306">
        <f t="shared" si="63"/>
        <v>-9829.5032616955414</v>
      </c>
      <c r="E41" s="304">
        <f ca="1">IF($D$3="BAU",UtilityDemand!E34,INDIRECT($D$3&amp;"!E"&amp;ROW(D41))+INDIRECT($D$3&amp;"!G"&amp;ROW(D41)))</f>
        <v>722621.31356794911</v>
      </c>
      <c r="F41" s="305">
        <f t="shared" ca="1" si="64"/>
        <v>8.4560663594787311E-2</v>
      </c>
      <c r="G41" s="306">
        <f t="shared" si="65"/>
        <v>-61105.337803042661</v>
      </c>
      <c r="H41" s="304">
        <f ca="1">IF($D$3="BAU",UtilityDemand!G34,INDIRECT($D$3&amp;"!H"&amp;ROW(G41))+INDIRECT($D$3&amp;"!J"&amp;ROW(G41)))</f>
        <v>208385.24909030157</v>
      </c>
      <c r="I41" s="305">
        <f t="shared" ca="1" si="66"/>
        <v>4.1440130982466038E-2</v>
      </c>
      <c r="J41" s="306">
        <f t="shared" si="67"/>
        <v>-8635.5120171159087</v>
      </c>
      <c r="K41" s="307">
        <f t="shared" ca="1" si="24"/>
        <v>125709.0241212051</v>
      </c>
      <c r="L41" s="307">
        <f t="shared" si="25"/>
        <v>0</v>
      </c>
      <c r="M41" s="307">
        <v>0</v>
      </c>
      <c r="N41" s="307">
        <f t="shared" ca="1" si="26"/>
        <v>125709.0241212051</v>
      </c>
      <c r="O41" s="1494">
        <f t="shared" ca="1" si="27"/>
        <v>661515.9757649065</v>
      </c>
      <c r="P41" s="306">
        <f t="shared" si="28"/>
        <v>0</v>
      </c>
      <c r="Q41" s="306">
        <v>0</v>
      </c>
      <c r="R41" s="306">
        <f t="shared" ca="1" si="29"/>
        <v>661515.9757649065</v>
      </c>
      <c r="S41" s="818">
        <f t="shared" ca="1" si="30"/>
        <v>199749.73707318565</v>
      </c>
      <c r="T41" s="818">
        <f t="shared" si="31"/>
        <v>0</v>
      </c>
      <c r="U41" s="818">
        <v>0</v>
      </c>
      <c r="V41" s="818">
        <f t="shared" ca="1" si="32"/>
        <v>199749.73707318565</v>
      </c>
      <c r="W41" s="306">
        <f t="shared" si="1"/>
        <v>0</v>
      </c>
      <c r="X41" s="306">
        <f t="shared" ca="1" si="2"/>
        <v>-14592.953079515333</v>
      </c>
      <c r="Y41" s="306">
        <v>0</v>
      </c>
      <c r="Z41" s="306">
        <v>0</v>
      </c>
      <c r="AA41" s="308">
        <f ca="1">-SUM(W41,X41/OFFSET(GridFootprintbyYear,$A41-$A$19,0)*EF_PurchElec_MTperMWh,Z41)*OFFSET(ExposureCalculations!Price_GHG_Allowance_2010,A41-$A$19,0)*ExposureCalculations!D38</f>
        <v>757823.27502777812</v>
      </c>
      <c r="AB41" s="308">
        <f t="shared" ca="1" si="3"/>
        <v>932403.41498115845</v>
      </c>
      <c r="AC41" s="308">
        <v>0</v>
      </c>
      <c r="AD41" s="819">
        <f t="shared" ca="1" si="4"/>
        <v>754463.08247429598</v>
      </c>
      <c r="AE41" s="308">
        <v>0</v>
      </c>
      <c r="AF41" s="819">
        <f t="shared" ca="1" si="5"/>
        <v>166953.23233090757</v>
      </c>
      <c r="AG41" s="308">
        <v>0</v>
      </c>
      <c r="AH41" s="308">
        <v>0</v>
      </c>
      <c r="AI41" s="308">
        <v>0</v>
      </c>
      <c r="AJ41" s="308">
        <f t="shared" ca="1" si="6"/>
        <v>1853819.729786362</v>
      </c>
      <c r="AK41" s="309">
        <v>0</v>
      </c>
      <c r="AL41" s="309">
        <f t="shared" si="68"/>
        <v>-440231.70731706114</v>
      </c>
      <c r="AM41" s="309">
        <f t="shared" si="33"/>
        <v>-440231.70731706114</v>
      </c>
      <c r="AN41" s="310">
        <v>0</v>
      </c>
      <c r="AO41" s="310">
        <v>0</v>
      </c>
      <c r="AP41" s="310">
        <f t="shared" si="34"/>
        <v>0</v>
      </c>
      <c r="AQ41" s="309">
        <v>0</v>
      </c>
      <c r="AR41" s="311">
        <f t="shared" ca="1" si="7"/>
        <v>2171411.2974970788</v>
      </c>
      <c r="AS41" s="870">
        <f t="shared" ca="1" si="35"/>
        <v>18028133.877146915</v>
      </c>
      <c r="AT41" s="822"/>
      <c r="AU41" s="963" t="s">
        <v>977</v>
      </c>
      <c r="AV41" s="827"/>
      <c r="AW41" s="879"/>
      <c r="AX41" s="35"/>
      <c r="AY41" s="880"/>
      <c r="BA41" s="123">
        <f>SpacePlanning!BB41-CampusArea!$G$11</f>
        <v>444.39024390243867</v>
      </c>
      <c r="BB41" s="123">
        <f t="shared" si="8"/>
        <v>8562.5178495676264</v>
      </c>
      <c r="BC41" s="123">
        <f>BA41*UtilityDemand!F34</f>
        <v>45546.897567949214</v>
      </c>
      <c r="BD41" s="123">
        <f>BA41*UtilityDemand!H34</f>
        <v>12898.381091621251</v>
      </c>
      <c r="BF41" s="123">
        <f t="shared" si="9"/>
        <v>5993.7624946973383</v>
      </c>
      <c r="BG41" s="123">
        <f t="shared" si="10"/>
        <v>0</v>
      </c>
      <c r="BH41" s="123">
        <f t="shared" si="11"/>
        <v>0</v>
      </c>
      <c r="BI41" s="123">
        <f t="shared" si="36"/>
        <v>5993.7624946973383</v>
      </c>
      <c r="BJ41" s="123">
        <f t="shared" si="37"/>
        <v>6904.6185969239132</v>
      </c>
      <c r="BL41" s="123">
        <f t="shared" si="38"/>
        <v>0</v>
      </c>
      <c r="BM41" s="123">
        <f t="shared" si="39"/>
        <v>0</v>
      </c>
      <c r="BN41" s="123">
        <f t="shared" si="40"/>
        <v>0</v>
      </c>
      <c r="BO41" s="123">
        <f t="shared" si="41"/>
        <v>0</v>
      </c>
      <c r="BP41" s="123">
        <f t="shared" si="42"/>
        <v>45546.897567949214</v>
      </c>
      <c r="BR41" s="123">
        <f t="shared" si="12"/>
        <v>8325.722363211109</v>
      </c>
      <c r="BS41" s="123">
        <f t="shared" si="13"/>
        <v>0</v>
      </c>
      <c r="BT41" s="123">
        <f t="shared" si="14"/>
        <v>0</v>
      </c>
      <c r="BU41" s="123">
        <f t="shared" si="43"/>
        <v>8325.722363211109</v>
      </c>
      <c r="BV41" s="123">
        <f t="shared" si="44"/>
        <v>4572.6587284101424</v>
      </c>
      <c r="BX41" s="968">
        <f t="shared" si="45"/>
        <v>170731.70731706114</v>
      </c>
      <c r="BY41" s="968">
        <f t="shared" si="46"/>
        <v>0</v>
      </c>
      <c r="BZ41" s="968">
        <f t="shared" si="47"/>
        <v>0</v>
      </c>
      <c r="CA41" s="968">
        <f t="shared" si="48"/>
        <v>170731.70731706114</v>
      </c>
      <c r="CB41" s="123"/>
      <c r="CC41" s="123">
        <f>SpacePlanning!$AU$49*(A41-2009)</f>
        <v>506</v>
      </c>
      <c r="CD41" s="123">
        <f t="shared" si="49"/>
        <v>9749.615549238757</v>
      </c>
      <c r="CE41" s="123">
        <f t="shared" si="50"/>
        <v>51861.46745031148</v>
      </c>
      <c r="CF41" s="123">
        <f t="shared" si="51"/>
        <v>13542.844295685889</v>
      </c>
      <c r="CH41" s="123">
        <f t="shared" si="15"/>
        <v>6824.7308844671288</v>
      </c>
      <c r="CI41" s="123">
        <f t="shared" si="16"/>
        <v>0</v>
      </c>
      <c r="CJ41" s="123">
        <f t="shared" si="17"/>
        <v>0</v>
      </c>
      <c r="CK41" s="123">
        <f t="shared" si="52"/>
        <v>6824.7308844671288</v>
      </c>
      <c r="CL41" s="123">
        <f t="shared" si="53"/>
        <v>2924.8846647716282</v>
      </c>
      <c r="CN41" s="123">
        <f t="shared" si="18"/>
        <v>36303.027215218033</v>
      </c>
      <c r="CO41" s="123">
        <f t="shared" si="19"/>
        <v>0</v>
      </c>
      <c r="CP41" s="123">
        <f t="shared" si="20"/>
        <v>0</v>
      </c>
      <c r="CQ41" s="123">
        <f t="shared" si="54"/>
        <v>36303.027215218033</v>
      </c>
      <c r="CR41" s="123">
        <f t="shared" si="55"/>
        <v>15558.440235093447</v>
      </c>
      <c r="CT41" s="123">
        <f t="shared" si="21"/>
        <v>9479.9910069801226</v>
      </c>
      <c r="CU41" s="123">
        <f t="shared" si="22"/>
        <v>0</v>
      </c>
      <c r="CV41" s="123">
        <f t="shared" si="23"/>
        <v>0</v>
      </c>
      <c r="CW41" s="123">
        <f t="shared" si="56"/>
        <v>9479.9910069801226</v>
      </c>
      <c r="CX41" s="123">
        <f t="shared" si="57"/>
        <v>4062.8532887057663</v>
      </c>
      <c r="CZ41" s="968">
        <f t="shared" si="58"/>
        <v>269500</v>
      </c>
      <c r="DA41" s="968">
        <f t="shared" si="59"/>
        <v>0</v>
      </c>
      <c r="DB41" s="968">
        <f t="shared" si="60"/>
        <v>0</v>
      </c>
      <c r="DC41" s="968">
        <f t="shared" si="61"/>
        <v>269500</v>
      </c>
    </row>
    <row r="42" spans="1:107">
      <c r="A42" s="303">
        <v>2033</v>
      </c>
      <c r="B42" s="304">
        <f ca="1">IF($D$3="BAU",UtilityDemand!C35,INDIRECT($D$3&amp;"!B"&amp;ROW(A42))+INDIRECT($D$3&amp;"!D"&amp;ROW(A42)))</f>
        <v>135726.50801626107</v>
      </c>
      <c r="C42" s="305">
        <f t="shared" ca="1" si="62"/>
        <v>7.4737662685542591E-2</v>
      </c>
      <c r="D42" s="306">
        <f t="shared" si="63"/>
        <v>-10143.881973605912</v>
      </c>
      <c r="E42" s="304">
        <f ca="1">IF($D$3="BAU",UtilityDemand!E35,INDIRECT($D$3&amp;"!E"&amp;ROW(D42))+INDIRECT($D$3&amp;"!G"&amp;ROW(D42)))</f>
        <v>723621.24545747612</v>
      </c>
      <c r="F42" s="305">
        <f t="shared" ca="1" si="64"/>
        <v>8.6760475884236452E-2</v>
      </c>
      <c r="G42" s="306">
        <f t="shared" si="65"/>
        <v>-62781.723615834504</v>
      </c>
      <c r="H42" s="304">
        <f ca="1">IF($D$3="BAU",UtilityDemand!G35,INDIRECT($D$3&amp;"!H"&amp;ROW(G42))+INDIRECT($D$3&amp;"!J"&amp;ROW(G42)))</f>
        <v>209520.86630413914</v>
      </c>
      <c r="I42" s="305">
        <f t="shared" ca="1" si="66"/>
        <v>4.2707784562115929E-2</v>
      </c>
      <c r="J42" s="306">
        <f t="shared" si="67"/>
        <v>-8948.1720193850688</v>
      </c>
      <c r="K42" s="307">
        <f t="shared" ca="1" si="24"/>
        <v>125582.62604265516</v>
      </c>
      <c r="L42" s="307">
        <f t="shared" si="25"/>
        <v>0</v>
      </c>
      <c r="M42" s="307">
        <v>0</v>
      </c>
      <c r="N42" s="307">
        <f t="shared" ca="1" si="26"/>
        <v>125582.62604265516</v>
      </c>
      <c r="O42" s="1494">
        <f t="shared" ca="1" si="27"/>
        <v>660839.52184164163</v>
      </c>
      <c r="P42" s="306">
        <f t="shared" si="28"/>
        <v>0</v>
      </c>
      <c r="Q42" s="306">
        <v>0</v>
      </c>
      <c r="R42" s="306">
        <f t="shared" ca="1" si="29"/>
        <v>660839.52184164163</v>
      </c>
      <c r="S42" s="818">
        <f t="shared" ca="1" si="30"/>
        <v>200572.69428475408</v>
      </c>
      <c r="T42" s="818">
        <f t="shared" si="31"/>
        <v>0</v>
      </c>
      <c r="U42" s="818">
        <v>0</v>
      </c>
      <c r="V42" s="818">
        <f t="shared" ca="1" si="32"/>
        <v>200572.69428475408</v>
      </c>
      <c r="W42" s="306">
        <f t="shared" si="1"/>
        <v>0</v>
      </c>
      <c r="X42" s="306">
        <f t="shared" ca="1" si="2"/>
        <v>-15034.056763171931</v>
      </c>
      <c r="Y42" s="306">
        <v>0</v>
      </c>
      <c r="Z42" s="306">
        <v>0</v>
      </c>
      <c r="AA42" s="308">
        <f ca="1">-SUM(W42,X42/OFFSET(GridFootprintbyYear,$A42-$A$19,0)*EF_PurchElec_MTperMWh,Z42)*OFFSET(ExposureCalculations!Price_GHG_Allowance_2010,A42-$A$19,0)*ExposureCalculations!D39</f>
        <v>829399.52198487974</v>
      </c>
      <c r="AB42" s="308">
        <f t="shared" ca="1" si="3"/>
        <v>967035.75870049559</v>
      </c>
      <c r="AC42" s="308">
        <v>0</v>
      </c>
      <c r="AD42" s="819">
        <f t="shared" ca="1" si="4"/>
        <v>779037.10047885077</v>
      </c>
      <c r="AE42" s="308">
        <v>0</v>
      </c>
      <c r="AF42" s="819">
        <f t="shared" ca="1" si="5"/>
        <v>172997.992374778</v>
      </c>
      <c r="AG42" s="308">
        <v>0</v>
      </c>
      <c r="AH42" s="308">
        <v>0</v>
      </c>
      <c r="AI42" s="308">
        <v>0</v>
      </c>
      <c r="AJ42" s="308">
        <f t="shared" ca="1" si="6"/>
        <v>1919070.8515541244</v>
      </c>
      <c r="AK42" s="309">
        <v>0</v>
      </c>
      <c r="AL42" s="309">
        <f t="shared" si="68"/>
        <v>-440231.70731707709</v>
      </c>
      <c r="AM42" s="309">
        <f t="shared" si="33"/>
        <v>-440231.70731707709</v>
      </c>
      <c r="AN42" s="310">
        <v>0</v>
      </c>
      <c r="AO42" s="310">
        <v>0</v>
      </c>
      <c r="AP42" s="310">
        <f t="shared" si="34"/>
        <v>0</v>
      </c>
      <c r="AQ42" s="309">
        <v>0</v>
      </c>
      <c r="AR42" s="311">
        <f t="shared" ca="1" si="7"/>
        <v>2308238.6662219269</v>
      </c>
      <c r="AS42" s="870">
        <f t="shared" ca="1" si="35"/>
        <v>20336372.543368842</v>
      </c>
      <c r="AT42" s="822"/>
      <c r="AU42" s="1215">
        <f>$AU$24*(1-$AY$30)</f>
        <v>18.73516009284609</v>
      </c>
      <c r="AV42" s="827" t="s">
        <v>973</v>
      </c>
      <c r="AW42" s="879"/>
      <c r="AX42" s="35"/>
      <c r="AY42" s="880"/>
      <c r="BA42" s="123">
        <f>SpacePlanning!BB42-CampusArea!$G$11</f>
        <v>454.1463414634145</v>
      </c>
      <c r="BB42" s="123">
        <f t="shared" si="8"/>
        <v>8750.498482928062</v>
      </c>
      <c r="BC42" s="123">
        <f>BA42*UtilityDemand!F35</f>
        <v>46546.829457476124</v>
      </c>
      <c r="BD42" s="123">
        <f>BA42*UtilityDemand!H35</f>
        <v>13217.177348415596</v>
      </c>
      <c r="BF42" s="123">
        <f t="shared" si="9"/>
        <v>6125.3489380496439</v>
      </c>
      <c r="BG42" s="123">
        <f t="shared" si="10"/>
        <v>0</v>
      </c>
      <c r="BH42" s="123">
        <f t="shared" si="11"/>
        <v>0</v>
      </c>
      <c r="BI42" s="123">
        <f t="shared" si="36"/>
        <v>6125.3489380496439</v>
      </c>
      <c r="BJ42" s="123">
        <f t="shared" si="37"/>
        <v>7091.8284103659525</v>
      </c>
      <c r="BL42" s="123">
        <f t="shared" si="38"/>
        <v>0</v>
      </c>
      <c r="BM42" s="123">
        <f t="shared" si="39"/>
        <v>0</v>
      </c>
      <c r="BN42" s="123">
        <f t="shared" si="40"/>
        <v>0</v>
      </c>
      <c r="BO42" s="123">
        <f t="shared" si="41"/>
        <v>0</v>
      </c>
      <c r="BP42" s="123">
        <f t="shared" si="42"/>
        <v>46546.829457476124</v>
      </c>
      <c r="BR42" s="123">
        <f t="shared" si="12"/>
        <v>8508.5044128974168</v>
      </c>
      <c r="BS42" s="123">
        <f t="shared" si="13"/>
        <v>0</v>
      </c>
      <c r="BT42" s="123">
        <f t="shared" si="14"/>
        <v>0</v>
      </c>
      <c r="BU42" s="123">
        <f t="shared" si="43"/>
        <v>8508.5044128974168</v>
      </c>
      <c r="BV42" s="123">
        <f t="shared" si="44"/>
        <v>4708.6729355181797</v>
      </c>
      <c r="BX42" s="968">
        <f t="shared" si="45"/>
        <v>170731.70731707706</v>
      </c>
      <c r="BY42" s="968">
        <f t="shared" si="46"/>
        <v>0</v>
      </c>
      <c r="BZ42" s="968">
        <f t="shared" si="47"/>
        <v>0</v>
      </c>
      <c r="CA42" s="968">
        <f t="shared" si="48"/>
        <v>170731.70731707706</v>
      </c>
      <c r="CB42" s="123"/>
      <c r="CC42" s="123">
        <f>SpacePlanning!$AU$49*(A42-2009)</f>
        <v>528</v>
      </c>
      <c r="CD42" s="123">
        <f t="shared" si="49"/>
        <v>10173.511877466528</v>
      </c>
      <c r="CE42" s="123">
        <f t="shared" si="50"/>
        <v>54116.313861194591</v>
      </c>
      <c r="CF42" s="123">
        <f t="shared" si="51"/>
        <v>14131.663612889624</v>
      </c>
      <c r="CH42" s="123">
        <f t="shared" si="15"/>
        <v>7121.4583142265692</v>
      </c>
      <c r="CI42" s="123">
        <f t="shared" si="16"/>
        <v>0</v>
      </c>
      <c r="CJ42" s="123">
        <f t="shared" si="17"/>
        <v>0</v>
      </c>
      <c r="CK42" s="123">
        <f t="shared" si="52"/>
        <v>7121.4583142265692</v>
      </c>
      <c r="CL42" s="123">
        <f t="shared" si="53"/>
        <v>3052.0535632399587</v>
      </c>
      <c r="CN42" s="123">
        <f t="shared" si="18"/>
        <v>37881.41970283621</v>
      </c>
      <c r="CO42" s="123">
        <f t="shared" si="19"/>
        <v>0</v>
      </c>
      <c r="CP42" s="123">
        <f t="shared" si="20"/>
        <v>0</v>
      </c>
      <c r="CQ42" s="123">
        <f t="shared" si="54"/>
        <v>37881.41970283621</v>
      </c>
      <c r="CR42" s="123">
        <f t="shared" si="55"/>
        <v>16234.89415835838</v>
      </c>
      <c r="CT42" s="123">
        <f t="shared" si="21"/>
        <v>9892.1645290227352</v>
      </c>
      <c r="CU42" s="123">
        <f t="shared" si="22"/>
        <v>0</v>
      </c>
      <c r="CV42" s="123">
        <f t="shared" si="23"/>
        <v>0</v>
      </c>
      <c r="CW42" s="123">
        <f t="shared" si="56"/>
        <v>9892.1645290227352</v>
      </c>
      <c r="CX42" s="123">
        <f t="shared" si="57"/>
        <v>4239.4990838668891</v>
      </c>
      <c r="CZ42" s="968">
        <f t="shared" si="58"/>
        <v>269500</v>
      </c>
      <c r="DA42" s="968">
        <f t="shared" si="59"/>
        <v>0</v>
      </c>
      <c r="DB42" s="968">
        <f t="shared" si="60"/>
        <v>0</v>
      </c>
      <c r="DC42" s="968">
        <f t="shared" si="61"/>
        <v>269500</v>
      </c>
    </row>
    <row r="43" spans="1:107">
      <c r="A43" s="303">
        <v>2034</v>
      </c>
      <c r="B43" s="304">
        <f ca="1">IF($D$3="BAU",UtilityDemand!C36,INDIRECT($D$3&amp;"!B"&amp;ROW(A43))+INDIRECT($D$3&amp;"!D"&amp;ROW(A43)))</f>
        <v>135914.48864962149</v>
      </c>
      <c r="C43" s="305">
        <f t="shared" ca="1" si="62"/>
        <v>7.6953679949734635E-2</v>
      </c>
      <c r="D43" s="306">
        <f t="shared" si="63"/>
        <v>-10459.120060074812</v>
      </c>
      <c r="E43" s="304">
        <f ca="1">IF($D$3="BAU",UtilityDemand!E36,INDIRECT($D$3&amp;"!E"&amp;ROW(D43))+INDIRECT($D$3&amp;"!G"&amp;ROW(D43)))</f>
        <v>724621.17734700278</v>
      </c>
      <c r="F43" s="305">
        <f t="shared" ca="1" si="64"/>
        <v>8.8954216967024768E-2</v>
      </c>
      <c r="G43" s="306">
        <f t="shared" si="65"/>
        <v>-64458.109428626223</v>
      </c>
      <c r="H43" s="304">
        <f ca="1">IF($D$3="BAU",UtilityDemand!G36,INDIRECT($D$3&amp;"!H"&amp;ROW(G43))+INDIRECT($D$3&amp;"!J"&amp;ROW(G43)))</f>
        <v>210656.48351797671</v>
      </c>
      <c r="I43" s="305">
        <f t="shared" ca="1" si="66"/>
        <v>4.3965850191467745E-2</v>
      </c>
      <c r="J43" s="306">
        <f t="shared" si="67"/>
        <v>-9261.6913962127583</v>
      </c>
      <c r="K43" s="307">
        <f t="shared" ca="1" si="24"/>
        <v>125455.36858954668</v>
      </c>
      <c r="L43" s="307">
        <f t="shared" si="25"/>
        <v>0</v>
      </c>
      <c r="M43" s="307">
        <v>0</v>
      </c>
      <c r="N43" s="307">
        <f t="shared" ca="1" si="26"/>
        <v>125455.36858954668</v>
      </c>
      <c r="O43" s="1494">
        <f t="shared" ca="1" si="27"/>
        <v>660163.06791837653</v>
      </c>
      <c r="P43" s="306">
        <f t="shared" si="28"/>
        <v>0</v>
      </c>
      <c r="Q43" s="306">
        <v>0</v>
      </c>
      <c r="R43" s="306">
        <f t="shared" ca="1" si="29"/>
        <v>660163.06791837653</v>
      </c>
      <c r="S43" s="818">
        <f t="shared" ca="1" si="30"/>
        <v>201394.79212176395</v>
      </c>
      <c r="T43" s="818">
        <f t="shared" si="31"/>
        <v>0</v>
      </c>
      <c r="U43" s="818">
        <v>0</v>
      </c>
      <c r="V43" s="818">
        <f t="shared" ca="1" si="32"/>
        <v>201394.79212176395</v>
      </c>
      <c r="W43" s="306">
        <f t="shared" si="1"/>
        <v>0</v>
      </c>
      <c r="X43" s="306">
        <f t="shared" ca="1" si="2"/>
        <v>-15475.872903654525</v>
      </c>
      <c r="Y43" s="306">
        <v>0</v>
      </c>
      <c r="Z43" s="306">
        <v>0</v>
      </c>
      <c r="AA43" s="308">
        <f ca="1">-SUM(W43,X43/OFFSET(GridFootprintbyYear,$A43-$A$19,0)*EF_PurchElec_MTperMWh,Z43)*OFFSET(ExposureCalculations!Price_GHG_Allowance_2010,A43-$A$19,0)*ExposureCalculations!D40</f>
        <v>897801.48089181597</v>
      </c>
      <c r="AB43" s="308">
        <f t="shared" ca="1" si="3"/>
        <v>1002073.4512286327</v>
      </c>
      <c r="AC43" s="308">
        <v>0</v>
      </c>
      <c r="AD43" s="819">
        <f t="shared" ca="1" si="4"/>
        <v>803837.99708638771</v>
      </c>
      <c r="AE43" s="308">
        <v>0</v>
      </c>
      <c r="AF43" s="819">
        <f t="shared" ca="1" si="5"/>
        <v>179059.36699344666</v>
      </c>
      <c r="AG43" s="308">
        <v>0</v>
      </c>
      <c r="AH43" s="308">
        <v>0</v>
      </c>
      <c r="AI43" s="308">
        <v>0</v>
      </c>
      <c r="AJ43" s="308">
        <f t="shared" ca="1" si="6"/>
        <v>1984970.815308467</v>
      </c>
      <c r="AK43" s="309">
        <v>0</v>
      </c>
      <c r="AL43" s="309">
        <f t="shared" si="68"/>
        <v>-440231.70731706114</v>
      </c>
      <c r="AM43" s="309">
        <f t="shared" si="33"/>
        <v>-440231.70731706114</v>
      </c>
      <c r="AN43" s="310">
        <v>0</v>
      </c>
      <c r="AO43" s="310">
        <v>0</v>
      </c>
      <c r="AP43" s="310">
        <f t="shared" si="34"/>
        <v>0</v>
      </c>
      <c r="AQ43" s="309">
        <v>0</v>
      </c>
      <c r="AR43" s="311">
        <f t="shared" ca="1" si="7"/>
        <v>2442540.5888832216</v>
      </c>
      <c r="AS43" s="870">
        <f t="shared" ca="1" si="35"/>
        <v>22778913.132252064</v>
      </c>
      <c r="AT43" s="822"/>
      <c r="AU43" s="1215">
        <f>$AU$24*(1-$AY$30)</f>
        <v>18.73516009284609</v>
      </c>
      <c r="AV43" s="827" t="s">
        <v>974</v>
      </c>
      <c r="AW43" s="879"/>
      <c r="AX43" s="35"/>
      <c r="AY43" s="880"/>
      <c r="BA43" s="123">
        <f>SpacePlanning!BB43-CampusArea!$G$11</f>
        <v>463.90243902438942</v>
      </c>
      <c r="BB43" s="123">
        <f t="shared" si="8"/>
        <v>8938.4791162884794</v>
      </c>
      <c r="BC43" s="123">
        <f>BA43*UtilityDemand!F36</f>
        <v>47546.761347002917</v>
      </c>
      <c r="BD43" s="123">
        <f>BA43*UtilityDemand!H36</f>
        <v>13536.832979768458</v>
      </c>
      <c r="BF43" s="123">
        <f t="shared" si="9"/>
        <v>6256.935381401936</v>
      </c>
      <c r="BG43" s="123">
        <f t="shared" si="10"/>
        <v>0</v>
      </c>
      <c r="BH43" s="123">
        <f t="shared" si="11"/>
        <v>0</v>
      </c>
      <c r="BI43" s="123">
        <f t="shared" si="36"/>
        <v>6256.935381401936</v>
      </c>
      <c r="BJ43" s="123">
        <f t="shared" si="37"/>
        <v>7279.8975983665223</v>
      </c>
      <c r="BL43" s="123">
        <f t="shared" si="38"/>
        <v>0</v>
      </c>
      <c r="BM43" s="123">
        <f t="shared" si="39"/>
        <v>0</v>
      </c>
      <c r="BN43" s="123">
        <f t="shared" si="40"/>
        <v>0</v>
      </c>
      <c r="BO43" s="123">
        <f t="shared" si="41"/>
        <v>0</v>
      </c>
      <c r="BP43" s="123">
        <f t="shared" si="42"/>
        <v>47546.761347002917</v>
      </c>
      <c r="BR43" s="123">
        <f t="shared" si="12"/>
        <v>8691.2864625837083</v>
      </c>
      <c r="BS43" s="123">
        <f t="shared" si="13"/>
        <v>0</v>
      </c>
      <c r="BT43" s="123">
        <f t="shared" si="14"/>
        <v>0</v>
      </c>
      <c r="BU43" s="123">
        <f t="shared" si="43"/>
        <v>8691.2864625837083</v>
      </c>
      <c r="BV43" s="123">
        <f t="shared" si="44"/>
        <v>4845.54651718475</v>
      </c>
      <c r="BX43" s="968">
        <f t="shared" si="45"/>
        <v>170731.70731706114</v>
      </c>
      <c r="BY43" s="968">
        <f t="shared" si="46"/>
        <v>0</v>
      </c>
      <c r="BZ43" s="968">
        <f t="shared" si="47"/>
        <v>0</v>
      </c>
      <c r="CA43" s="968">
        <f t="shared" si="48"/>
        <v>170731.70731706114</v>
      </c>
      <c r="CB43" s="123"/>
      <c r="CC43" s="123">
        <f>SpacePlanning!$AU$49*(A43-2009)</f>
        <v>550</v>
      </c>
      <c r="CD43" s="123">
        <f t="shared" si="49"/>
        <v>10597.408205694301</v>
      </c>
      <c r="CE43" s="123">
        <f t="shared" si="50"/>
        <v>56371.160272077694</v>
      </c>
      <c r="CF43" s="123">
        <f t="shared" si="51"/>
        <v>14720.482930093358</v>
      </c>
      <c r="CH43" s="123">
        <f t="shared" si="15"/>
        <v>7418.1857439860096</v>
      </c>
      <c r="CI43" s="123">
        <f t="shared" si="16"/>
        <v>0</v>
      </c>
      <c r="CJ43" s="123">
        <f t="shared" si="17"/>
        <v>0</v>
      </c>
      <c r="CK43" s="123">
        <f t="shared" si="52"/>
        <v>7418.1857439860096</v>
      </c>
      <c r="CL43" s="123">
        <f t="shared" si="53"/>
        <v>3179.2224617082911</v>
      </c>
      <c r="CN43" s="123">
        <f t="shared" si="18"/>
        <v>39459.812190454388</v>
      </c>
      <c r="CO43" s="123">
        <f t="shared" si="19"/>
        <v>0</v>
      </c>
      <c r="CP43" s="123">
        <f t="shared" si="20"/>
        <v>0</v>
      </c>
      <c r="CQ43" s="123">
        <f t="shared" si="54"/>
        <v>39459.812190454388</v>
      </c>
      <c r="CR43" s="123">
        <f t="shared" si="55"/>
        <v>16911.348081623306</v>
      </c>
      <c r="CT43" s="123">
        <f t="shared" si="21"/>
        <v>10304.33805106535</v>
      </c>
      <c r="CU43" s="123">
        <f t="shared" si="22"/>
        <v>0</v>
      </c>
      <c r="CV43" s="123">
        <f t="shared" si="23"/>
        <v>0</v>
      </c>
      <c r="CW43" s="123">
        <f t="shared" si="56"/>
        <v>10304.33805106535</v>
      </c>
      <c r="CX43" s="123">
        <f t="shared" si="57"/>
        <v>4416.1448790280083</v>
      </c>
      <c r="CZ43" s="968">
        <f t="shared" si="58"/>
        <v>269500</v>
      </c>
      <c r="DA43" s="968">
        <f t="shared" si="59"/>
        <v>0</v>
      </c>
      <c r="DB43" s="968">
        <f t="shared" si="60"/>
        <v>0</v>
      </c>
      <c r="DC43" s="968">
        <f t="shared" si="61"/>
        <v>269500</v>
      </c>
    </row>
    <row r="44" spans="1:107">
      <c r="A44" s="303">
        <v>2035</v>
      </c>
      <c r="B44" s="304">
        <f ca="1">IF($D$3="BAU",UtilityDemand!C37,INDIRECT($D$3&amp;"!B"&amp;ROW(A44))+INDIRECT($D$3&amp;"!D"&amp;ROW(A44)))</f>
        <v>136102.46928298191</v>
      </c>
      <c r="C44" s="305">
        <f t="shared" ca="1" si="62"/>
        <v>7.9169716879304436E-2</v>
      </c>
      <c r="D44" s="306">
        <f t="shared" si="63"/>
        <v>-10775.193959707907</v>
      </c>
      <c r="E44" s="304">
        <f ca="1">IF($D$3="BAU",UtilityDemand!E37,INDIRECT($D$3&amp;"!E"&amp;ROW(D44))+INDIRECT($D$3&amp;"!G"&amp;ROW(D44)))</f>
        <v>725621.10923652968</v>
      </c>
      <c r="F44" s="305">
        <f t="shared" ca="1" si="64"/>
        <v>9.1141911942173401E-2</v>
      </c>
      <c r="G44" s="306">
        <f t="shared" si="65"/>
        <v>-66134.495241417972</v>
      </c>
      <c r="H44" s="304">
        <f ca="1">IF($D$3="BAU",UtilityDemand!G37,INDIRECT($D$3&amp;"!H"&amp;ROW(G44))+INDIRECT($D$3&amp;"!J"&amp;ROW(G44)))</f>
        <v>211792.10073181428</v>
      </c>
      <c r="I44" s="305">
        <f t="shared" ca="1" si="66"/>
        <v>4.5214370852907748E-2</v>
      </c>
      <c r="J44" s="306">
        <f t="shared" si="67"/>
        <v>-9576.0465862046458</v>
      </c>
      <c r="K44" s="307">
        <f t="shared" ca="1" si="24"/>
        <v>125327.27532327401</v>
      </c>
      <c r="L44" s="307">
        <f t="shared" si="25"/>
        <v>0</v>
      </c>
      <c r="M44" s="307">
        <v>0</v>
      </c>
      <c r="N44" s="307">
        <f t="shared" ca="1" si="26"/>
        <v>125327.27532327401</v>
      </c>
      <c r="O44" s="1494">
        <f t="shared" ca="1" si="27"/>
        <v>659486.61399511166</v>
      </c>
      <c r="P44" s="306">
        <f t="shared" si="28"/>
        <v>0</v>
      </c>
      <c r="Q44" s="306">
        <v>0</v>
      </c>
      <c r="R44" s="306">
        <f t="shared" ca="1" si="29"/>
        <v>659486.61399511166</v>
      </c>
      <c r="S44" s="818">
        <f t="shared" ca="1" si="30"/>
        <v>202216.05414560964</v>
      </c>
      <c r="T44" s="818">
        <f t="shared" si="31"/>
        <v>0</v>
      </c>
      <c r="U44" s="818">
        <v>0</v>
      </c>
      <c r="V44" s="818">
        <f t="shared" ca="1" si="32"/>
        <v>202216.05414560964</v>
      </c>
      <c r="W44" s="306">
        <f t="shared" si="1"/>
        <v>0</v>
      </c>
      <c r="X44" s="306">
        <f t="shared" ca="1" si="2"/>
        <v>-15918.381967598942</v>
      </c>
      <c r="Y44" s="306">
        <v>0</v>
      </c>
      <c r="Z44" s="306">
        <v>0</v>
      </c>
      <c r="AA44" s="308">
        <f ca="1">-SUM(W44,X44/OFFSET(GridFootprintbyYear,$A44-$A$19,0)*EF_PurchElec_MTperMWh,Z44)*OFFSET(ExposureCalculations!Price_GHG_Allowance_2010,A44-$A$19,0)*ExposureCalculations!D41</f>
        <v>969689.35155097651</v>
      </c>
      <c r="AB44" s="308">
        <f t="shared" ca="1" si="3"/>
        <v>1037517.8232516731</v>
      </c>
      <c r="AC44" s="308">
        <v>0</v>
      </c>
      <c r="AD44" s="819">
        <f t="shared" ca="1" si="4"/>
        <v>828867.42673248821</v>
      </c>
      <c r="AE44" s="308">
        <v>0</v>
      </c>
      <c r="AF44" s="819">
        <f t="shared" ca="1" si="5"/>
        <v>185136.90066662314</v>
      </c>
      <c r="AG44" s="308">
        <v>0</v>
      </c>
      <c r="AH44" s="308">
        <v>0</v>
      </c>
      <c r="AI44" s="308">
        <v>0</v>
      </c>
      <c r="AJ44" s="308">
        <f t="shared" ca="1" si="6"/>
        <v>2051522.1506507846</v>
      </c>
      <c r="AK44" s="309">
        <v>0</v>
      </c>
      <c r="AL44" s="309">
        <f t="shared" si="68"/>
        <v>-440231.70731706114</v>
      </c>
      <c r="AM44" s="309">
        <f t="shared" si="33"/>
        <v>-440231.70731706114</v>
      </c>
      <c r="AN44" s="310">
        <v>0</v>
      </c>
      <c r="AO44" s="310">
        <v>0</v>
      </c>
      <c r="AP44" s="310">
        <f t="shared" si="34"/>
        <v>0</v>
      </c>
      <c r="AQ44" s="309">
        <v>0</v>
      </c>
      <c r="AR44" s="311">
        <f t="shared" ca="1" si="7"/>
        <v>2580979.7948846999</v>
      </c>
      <c r="AS44" s="870">
        <f t="shared" ca="1" si="35"/>
        <v>25359892.927136764</v>
      </c>
      <c r="AT44" s="822"/>
      <c r="AU44" s="1215">
        <f>$AU$24*(1-$AY$30)</f>
        <v>18.73516009284609</v>
      </c>
      <c r="AV44" s="827" t="s">
        <v>975</v>
      </c>
      <c r="AW44" s="879"/>
      <c r="AX44" s="35"/>
      <c r="AY44" s="880"/>
      <c r="BA44" s="123">
        <f>SpacePlanning!BB44-CampusArea!$G$11</f>
        <v>473.65853658536435</v>
      </c>
      <c r="BB44" s="123">
        <f t="shared" si="8"/>
        <v>9126.4597496488987</v>
      </c>
      <c r="BC44" s="123">
        <f>BA44*UtilityDemand!F37</f>
        <v>48546.693236529725</v>
      </c>
      <c r="BD44" s="123">
        <f>BA44*UtilityDemand!H37</f>
        <v>13857.324424285516</v>
      </c>
      <c r="BF44" s="123">
        <f t="shared" si="9"/>
        <v>6388.521824754228</v>
      </c>
      <c r="BG44" s="123">
        <f t="shared" si="10"/>
        <v>0</v>
      </c>
      <c r="BH44" s="123">
        <f t="shared" si="11"/>
        <v>0</v>
      </c>
      <c r="BI44" s="123">
        <f t="shared" si="36"/>
        <v>6388.521824754228</v>
      </c>
      <c r="BJ44" s="123">
        <f t="shared" si="37"/>
        <v>7468.8025995312883</v>
      </c>
      <c r="BL44" s="123">
        <f t="shared" si="38"/>
        <v>0</v>
      </c>
      <c r="BM44" s="123">
        <f t="shared" si="39"/>
        <v>0</v>
      </c>
      <c r="BN44" s="123">
        <f t="shared" si="40"/>
        <v>0</v>
      </c>
      <c r="BO44" s="123">
        <f t="shared" si="41"/>
        <v>0</v>
      </c>
      <c r="BP44" s="123">
        <f t="shared" si="42"/>
        <v>48546.693236529725</v>
      </c>
      <c r="BR44" s="123">
        <f t="shared" si="12"/>
        <v>8874.0685122699979</v>
      </c>
      <c r="BS44" s="123">
        <f t="shared" si="13"/>
        <v>0</v>
      </c>
      <c r="BT44" s="123">
        <f t="shared" si="14"/>
        <v>0</v>
      </c>
      <c r="BU44" s="123">
        <f t="shared" si="43"/>
        <v>8874.0685122699979</v>
      </c>
      <c r="BV44" s="123">
        <f t="shared" si="44"/>
        <v>4983.2559120155183</v>
      </c>
      <c r="BX44" s="968">
        <f t="shared" si="45"/>
        <v>170731.70731706114</v>
      </c>
      <c r="BY44" s="968">
        <f t="shared" si="46"/>
        <v>0</v>
      </c>
      <c r="BZ44" s="968">
        <f t="shared" si="47"/>
        <v>0</v>
      </c>
      <c r="CA44" s="968">
        <f t="shared" si="48"/>
        <v>170731.70731706114</v>
      </c>
      <c r="CB44" s="123"/>
      <c r="CC44" s="123">
        <f>SpacePlanning!$AU$49*(A44-2009)</f>
        <v>572</v>
      </c>
      <c r="CD44" s="123">
        <f t="shared" si="49"/>
        <v>11021.30453392207</v>
      </c>
      <c r="CE44" s="123">
        <f t="shared" si="50"/>
        <v>58626.006682960804</v>
      </c>
      <c r="CF44" s="123">
        <f t="shared" si="51"/>
        <v>15309.302247297092</v>
      </c>
      <c r="CH44" s="123">
        <f t="shared" si="15"/>
        <v>7714.91317374545</v>
      </c>
      <c r="CI44" s="123">
        <f t="shared" si="16"/>
        <v>0</v>
      </c>
      <c r="CJ44" s="123">
        <f t="shared" si="17"/>
        <v>0</v>
      </c>
      <c r="CK44" s="123">
        <f t="shared" si="52"/>
        <v>7714.91317374545</v>
      </c>
      <c r="CL44" s="123">
        <f t="shared" si="53"/>
        <v>3306.3913601766199</v>
      </c>
      <c r="CN44" s="123">
        <f t="shared" si="18"/>
        <v>41038.204678072558</v>
      </c>
      <c r="CO44" s="123">
        <f t="shared" si="19"/>
        <v>0</v>
      </c>
      <c r="CP44" s="123">
        <f t="shared" si="20"/>
        <v>0</v>
      </c>
      <c r="CQ44" s="123">
        <f t="shared" si="54"/>
        <v>41038.204678072558</v>
      </c>
      <c r="CR44" s="123">
        <f t="shared" si="55"/>
        <v>17587.802004888246</v>
      </c>
      <c r="CT44" s="123">
        <f t="shared" si="21"/>
        <v>10716.511573107964</v>
      </c>
      <c r="CU44" s="123">
        <f t="shared" si="22"/>
        <v>0</v>
      </c>
      <c r="CV44" s="123">
        <f t="shared" si="23"/>
        <v>0</v>
      </c>
      <c r="CW44" s="123">
        <f t="shared" si="56"/>
        <v>10716.511573107964</v>
      </c>
      <c r="CX44" s="123">
        <f t="shared" si="57"/>
        <v>4592.7906741891275</v>
      </c>
      <c r="CZ44" s="968">
        <f t="shared" si="58"/>
        <v>269500</v>
      </c>
      <c r="DA44" s="968">
        <f t="shared" si="59"/>
        <v>0</v>
      </c>
      <c r="DB44" s="968">
        <f t="shared" si="60"/>
        <v>0</v>
      </c>
      <c r="DC44" s="968">
        <f t="shared" si="61"/>
        <v>269500</v>
      </c>
    </row>
    <row r="45" spans="1:107">
      <c r="A45" s="303">
        <v>2036</v>
      </c>
      <c r="B45" s="304">
        <f ca="1">IF($D$3="BAU",UtilityDemand!C38,INDIRECT($D$3&amp;"!B"&amp;ROW(A45))+INDIRECT($D$3&amp;"!D"&amp;ROW(A45)))</f>
        <v>136290.44991634239</v>
      </c>
      <c r="C45" s="305">
        <f t="shared" ca="1" si="62"/>
        <v>8.1385606778954303E-2</v>
      </c>
      <c r="D45" s="306">
        <f t="shared" si="63"/>
        <v>-11092.080964618208</v>
      </c>
      <c r="E45" s="304">
        <f ca="1">IF($D$3="BAU",UtilityDemand!E38,INDIRECT($D$3&amp;"!E"&amp;ROW(D45))+INDIRECT($D$3&amp;"!G"&amp;ROW(D45)))</f>
        <v>726621.04112605681</v>
      </c>
      <c r="F45" s="305">
        <f t="shared" ca="1" si="64"/>
        <v>9.3323585770544643E-2</v>
      </c>
      <c r="G45" s="306">
        <f t="shared" si="65"/>
        <v>-67810.881054210011</v>
      </c>
      <c r="H45" s="304">
        <f ca="1">IF($D$3="BAU",UtilityDemand!G38,INDIRECT($D$3&amp;"!H"&amp;ROW(G45))+INDIRECT($D$3&amp;"!J"&amp;ROW(G45)))</f>
        <v>212927.71794565191</v>
      </c>
      <c r="I45" s="305">
        <f t="shared" ca="1" si="66"/>
        <v>4.6453392620299322E-2</v>
      </c>
      <c r="J45" s="306">
        <f t="shared" si="67"/>
        <v>-9891.2148814737211</v>
      </c>
      <c r="K45" s="307">
        <f t="shared" ca="1" si="24"/>
        <v>125198.36895172419</v>
      </c>
      <c r="L45" s="307">
        <f t="shared" si="25"/>
        <v>0</v>
      </c>
      <c r="M45" s="307">
        <v>0</v>
      </c>
      <c r="N45" s="307">
        <f t="shared" ca="1" si="26"/>
        <v>125198.36895172419</v>
      </c>
      <c r="O45" s="1494">
        <f t="shared" ca="1" si="27"/>
        <v>658810.1600718468</v>
      </c>
      <c r="P45" s="306">
        <f t="shared" si="28"/>
        <v>0</v>
      </c>
      <c r="Q45" s="306">
        <v>0</v>
      </c>
      <c r="R45" s="306">
        <f t="shared" ca="1" si="29"/>
        <v>658810.1600718468</v>
      </c>
      <c r="S45" s="818">
        <f t="shared" ca="1" si="30"/>
        <v>203036.50306417819</v>
      </c>
      <c r="T45" s="818">
        <f t="shared" si="31"/>
        <v>0</v>
      </c>
      <c r="U45" s="818">
        <v>0</v>
      </c>
      <c r="V45" s="818">
        <f t="shared" ca="1" si="32"/>
        <v>203036.50306417819</v>
      </c>
      <c r="W45" s="306">
        <f t="shared" si="1"/>
        <v>0</v>
      </c>
      <c r="X45" s="306">
        <f t="shared" ca="1" si="2"/>
        <v>-16361.565129233688</v>
      </c>
      <c r="Y45" s="306">
        <v>0</v>
      </c>
      <c r="Z45" s="306">
        <v>0</v>
      </c>
      <c r="AA45" s="308">
        <f ca="1">-SUM(W45,X45/OFFSET(GridFootprintbyYear,$A45-$A$19,0)*EF_PurchElec_MTperMWh,Z45)*OFFSET(ExposureCalculations!Price_GHG_Allowance_2010,A45-$A$19,0)*ExposureCalculations!D42</f>
        <v>1052263.9779986974</v>
      </c>
      <c r="AB45" s="308">
        <f t="shared" ca="1" si="3"/>
        <v>1073370.2705936474</v>
      </c>
      <c r="AC45" s="308">
        <v>0</v>
      </c>
      <c r="AD45" s="819">
        <f t="shared" ca="1" si="4"/>
        <v>854127.05472512625</v>
      </c>
      <c r="AE45" s="308">
        <v>0</v>
      </c>
      <c r="AF45" s="819">
        <f t="shared" ca="1" si="5"/>
        <v>191230.1543751586</v>
      </c>
      <c r="AG45" s="308">
        <v>0</v>
      </c>
      <c r="AH45" s="308">
        <v>0</v>
      </c>
      <c r="AI45" s="308">
        <v>0</v>
      </c>
      <c r="AJ45" s="308">
        <f t="shared" ca="1" si="6"/>
        <v>2118727.4796939325</v>
      </c>
      <c r="AK45" s="309">
        <v>0</v>
      </c>
      <c r="AL45" s="309">
        <f t="shared" si="68"/>
        <v>-440231.70731710887</v>
      </c>
      <c r="AM45" s="309">
        <f t="shared" si="33"/>
        <v>-440231.70731710887</v>
      </c>
      <c r="AN45" s="310">
        <v>0</v>
      </c>
      <c r="AO45" s="310">
        <v>0</v>
      </c>
      <c r="AP45" s="310">
        <f t="shared" si="34"/>
        <v>0</v>
      </c>
      <c r="AQ45" s="309">
        <v>0</v>
      </c>
      <c r="AR45" s="311">
        <f t="shared" ca="1" si="7"/>
        <v>2730759.7503755209</v>
      </c>
      <c r="AS45" s="870">
        <f t="shared" ca="1" si="35"/>
        <v>28090652.677512284</v>
      </c>
      <c r="AT45" s="822"/>
      <c r="AU45" s="1212">
        <f>SUMPRODUCT(AU27:AU29,AU42:AU44)</f>
        <v>18.73516009284609</v>
      </c>
      <c r="AV45" s="827" t="s">
        <v>1360</v>
      </c>
      <c r="AW45" s="879"/>
      <c r="AX45" s="35"/>
      <c r="AY45" s="880"/>
      <c r="BA45" s="123">
        <f>SpacePlanning!BB45-CampusArea!$G$11</f>
        <v>483.414634146342</v>
      </c>
      <c r="BB45" s="123">
        <f t="shared" si="8"/>
        <v>9314.4403830093688</v>
      </c>
      <c r="BC45" s="123">
        <f>BA45*UtilityDemand!F38</f>
        <v>49546.625126056824</v>
      </c>
      <c r="BD45" s="123">
        <f>BA45*UtilityDemand!H38</f>
        <v>14178.628974079813</v>
      </c>
      <c r="BF45" s="123">
        <f t="shared" si="9"/>
        <v>6520.1082681065573</v>
      </c>
      <c r="BG45" s="123">
        <f t="shared" si="10"/>
        <v>0</v>
      </c>
      <c r="BH45" s="123">
        <f t="shared" si="11"/>
        <v>0</v>
      </c>
      <c r="BI45" s="123">
        <f t="shared" si="36"/>
        <v>6520.1082681065573</v>
      </c>
      <c r="BJ45" s="123">
        <f t="shared" si="37"/>
        <v>7658.5207059732556</v>
      </c>
      <c r="BL45" s="123">
        <f t="shared" si="38"/>
        <v>0</v>
      </c>
      <c r="BM45" s="123">
        <f t="shared" si="39"/>
        <v>0</v>
      </c>
      <c r="BN45" s="123">
        <f t="shared" si="40"/>
        <v>0</v>
      </c>
      <c r="BO45" s="123">
        <f t="shared" si="41"/>
        <v>0</v>
      </c>
      <c r="BP45" s="123">
        <f t="shared" si="42"/>
        <v>49546.625126056824</v>
      </c>
      <c r="BR45" s="123">
        <f t="shared" si="12"/>
        <v>9056.8505619563402</v>
      </c>
      <c r="BS45" s="123">
        <f t="shared" si="13"/>
        <v>0</v>
      </c>
      <c r="BT45" s="123">
        <f t="shared" si="14"/>
        <v>0</v>
      </c>
      <c r="BU45" s="123">
        <f t="shared" si="43"/>
        <v>9056.8505619563402</v>
      </c>
      <c r="BV45" s="123">
        <f t="shared" si="44"/>
        <v>5121.7784121234727</v>
      </c>
      <c r="BX45" s="968">
        <f t="shared" si="45"/>
        <v>170731.70731710887</v>
      </c>
      <c r="BY45" s="968">
        <f t="shared" si="46"/>
        <v>0</v>
      </c>
      <c r="BZ45" s="968">
        <f t="shared" si="47"/>
        <v>0</v>
      </c>
      <c r="CA45" s="968">
        <f t="shared" si="48"/>
        <v>170731.70731710887</v>
      </c>
      <c r="CB45" s="123"/>
      <c r="CC45" s="123">
        <f>SpacePlanning!$AU$49*(A45-2009)</f>
        <v>594</v>
      </c>
      <c r="CD45" s="123">
        <f t="shared" si="49"/>
        <v>11445.200862149843</v>
      </c>
      <c r="CE45" s="123">
        <f t="shared" si="50"/>
        <v>60880.853093843914</v>
      </c>
      <c r="CF45" s="123">
        <f t="shared" si="51"/>
        <v>15898.121564500827</v>
      </c>
      <c r="CH45" s="123">
        <f t="shared" si="15"/>
        <v>8011.6406035048904</v>
      </c>
      <c r="CI45" s="123">
        <f t="shared" si="16"/>
        <v>0</v>
      </c>
      <c r="CJ45" s="123">
        <f t="shared" si="17"/>
        <v>0</v>
      </c>
      <c r="CK45" s="123">
        <f t="shared" si="52"/>
        <v>8011.6406035048904</v>
      </c>
      <c r="CL45" s="123">
        <f t="shared" si="53"/>
        <v>3433.5602586449522</v>
      </c>
      <c r="CN45" s="123">
        <f t="shared" si="18"/>
        <v>42616.597165690735</v>
      </c>
      <c r="CO45" s="123">
        <f t="shared" si="19"/>
        <v>0</v>
      </c>
      <c r="CP45" s="123">
        <f t="shared" si="20"/>
        <v>0</v>
      </c>
      <c r="CQ45" s="123">
        <f t="shared" si="54"/>
        <v>42616.597165690735</v>
      </c>
      <c r="CR45" s="123">
        <f t="shared" si="55"/>
        <v>18264.255928153179</v>
      </c>
      <c r="CT45" s="123">
        <f t="shared" si="21"/>
        <v>11128.685095150578</v>
      </c>
      <c r="CU45" s="123">
        <f t="shared" si="22"/>
        <v>0</v>
      </c>
      <c r="CV45" s="123">
        <f t="shared" si="23"/>
        <v>0</v>
      </c>
      <c r="CW45" s="123">
        <f t="shared" si="56"/>
        <v>11128.685095150578</v>
      </c>
      <c r="CX45" s="123">
        <f t="shared" si="57"/>
        <v>4769.4364693502484</v>
      </c>
      <c r="CZ45" s="968">
        <f t="shared" si="58"/>
        <v>269500</v>
      </c>
      <c r="DA45" s="968">
        <f t="shared" si="59"/>
        <v>0</v>
      </c>
      <c r="DB45" s="968">
        <f t="shared" si="60"/>
        <v>0</v>
      </c>
      <c r="DC45" s="968">
        <f t="shared" si="61"/>
        <v>269500</v>
      </c>
    </row>
    <row r="46" spans="1:107">
      <c r="A46" s="303">
        <v>2037</v>
      </c>
      <c r="B46" s="304">
        <f ca="1">IF($D$3="BAU",UtilityDemand!C39,INDIRECT($D$3&amp;"!B"&amp;ROW(A46))+INDIRECT($D$3&amp;"!D"&amp;ROW(A46)))</f>
        <v>136478.43054970281</v>
      </c>
      <c r="C46" s="305">
        <f t="shared" ca="1" si="62"/>
        <v>8.3601189844939319E-2</v>
      </c>
      <c r="D46" s="306">
        <f t="shared" si="63"/>
        <v>-11409.759182125072</v>
      </c>
      <c r="E46" s="304">
        <f ca="1">IF($D$3="BAU",UtilityDemand!E39,INDIRECT($D$3&amp;"!E"&amp;ROW(D46))+INDIRECT($D$3&amp;"!G"&amp;ROW(D46)))</f>
        <v>727620.9730155837</v>
      </c>
      <c r="F46" s="305">
        <f t="shared" ca="1" si="64"/>
        <v>9.5499263275790156E-2</v>
      </c>
      <c r="G46" s="306">
        <f t="shared" si="65"/>
        <v>-69487.266867001832</v>
      </c>
      <c r="H46" s="304">
        <f ca="1">IF($D$3="BAU",UtilityDemand!G39,INDIRECT($D$3&amp;"!H"&amp;ROW(G46))+INDIRECT($D$3&amp;"!J"&amp;ROW(G46)))</f>
        <v>214063.33515948951</v>
      </c>
      <c r="I46" s="305">
        <f t="shared" ca="1" si="66"/>
        <v>4.7682964398057436E-2</v>
      </c>
      <c r="J46" s="306">
        <f t="shared" si="67"/>
        <v>-10207.174389339374</v>
      </c>
      <c r="K46" s="307">
        <f t="shared" ca="1" si="24"/>
        <v>125068.67136757774</v>
      </c>
      <c r="L46" s="307">
        <f t="shared" si="25"/>
        <v>0</v>
      </c>
      <c r="M46" s="307">
        <v>0</v>
      </c>
      <c r="N46" s="307">
        <f t="shared" ca="1" si="26"/>
        <v>125068.67136757774</v>
      </c>
      <c r="O46" s="1494">
        <f t="shared" ca="1" si="27"/>
        <v>658133.70614858181</v>
      </c>
      <c r="P46" s="306">
        <f t="shared" si="28"/>
        <v>0</v>
      </c>
      <c r="Q46" s="306">
        <v>0</v>
      </c>
      <c r="R46" s="306">
        <f t="shared" ca="1" si="29"/>
        <v>658133.70614858181</v>
      </c>
      <c r="S46" s="818">
        <f t="shared" ca="1" si="30"/>
        <v>203856.16077015013</v>
      </c>
      <c r="T46" s="818">
        <f t="shared" si="31"/>
        <v>0</v>
      </c>
      <c r="U46" s="818">
        <v>0</v>
      </c>
      <c r="V46" s="818">
        <f t="shared" ca="1" si="32"/>
        <v>203856.16077015013</v>
      </c>
      <c r="W46" s="306">
        <f t="shared" si="1"/>
        <v>0</v>
      </c>
      <c r="X46" s="306">
        <f t="shared" ca="1" si="2"/>
        <v>-16805.404238626754</v>
      </c>
      <c r="Y46" s="306">
        <v>0</v>
      </c>
      <c r="Z46" s="306">
        <v>0</v>
      </c>
      <c r="AA46" s="308">
        <f ca="1">-SUM(W46,X46/OFFSET(GridFootprintbyYear,$A46-$A$19,0)*EF_PurchElec_MTperMWh,Z46)*OFFSET(ExposureCalculations!Price_GHG_Allowance_2010,A46-$A$19,0)*ExposureCalculations!D43</f>
        <v>1137645.7230835902</v>
      </c>
      <c r="AB46" s="308">
        <f t="shared" ca="1" si="3"/>
        <v>1109632.2521887773</v>
      </c>
      <c r="AC46" s="308">
        <v>0</v>
      </c>
      <c r="AD46" s="819">
        <f t="shared" ca="1" si="4"/>
        <v>879618.55731201963</v>
      </c>
      <c r="AE46" s="308">
        <v>0</v>
      </c>
      <c r="AF46" s="819">
        <f t="shared" ca="1" si="5"/>
        <v>197338.70486056121</v>
      </c>
      <c r="AG46" s="308">
        <v>0</v>
      </c>
      <c r="AH46" s="308">
        <v>0</v>
      </c>
      <c r="AI46" s="308">
        <v>0</v>
      </c>
      <c r="AJ46" s="308">
        <f t="shared" ca="1" si="6"/>
        <v>2186589.5143613582</v>
      </c>
      <c r="AK46" s="309">
        <v>0</v>
      </c>
      <c r="AL46" s="309">
        <f t="shared" si="68"/>
        <v>-440231.70731707709</v>
      </c>
      <c r="AM46" s="309">
        <f t="shared" si="33"/>
        <v>-440231.70731707709</v>
      </c>
      <c r="AN46" s="310">
        <v>0</v>
      </c>
      <c r="AO46" s="310">
        <v>0</v>
      </c>
      <c r="AP46" s="310">
        <f t="shared" si="34"/>
        <v>0</v>
      </c>
      <c r="AQ46" s="309">
        <v>0</v>
      </c>
      <c r="AR46" s="311">
        <f t="shared" ca="1" si="7"/>
        <v>2884003.5301278713</v>
      </c>
      <c r="AS46" s="870">
        <f t="shared" ca="1" si="35"/>
        <v>30974656.207640156</v>
      </c>
      <c r="AT46" s="822"/>
      <c r="AU46" s="878"/>
      <c r="AV46" s="35"/>
      <c r="AW46" s="879"/>
      <c r="AX46" s="35"/>
      <c r="AY46" s="880"/>
      <c r="BA46" s="123">
        <f>SpacePlanning!BB46-CampusArea!$G$11</f>
        <v>493.17073170731783</v>
      </c>
      <c r="BB46" s="123">
        <f t="shared" si="8"/>
        <v>9502.4210163698026</v>
      </c>
      <c r="BC46" s="123">
        <f>BA46*UtilityDemand!F39</f>
        <v>50546.557015583719</v>
      </c>
      <c r="BD46" s="123">
        <f>BA46*UtilityDemand!H39</f>
        <v>14500.724736470649</v>
      </c>
      <c r="BF46" s="123">
        <f t="shared" si="9"/>
        <v>6651.6947114588629</v>
      </c>
      <c r="BG46" s="123">
        <f t="shared" si="10"/>
        <v>0</v>
      </c>
      <c r="BH46" s="123">
        <f t="shared" si="11"/>
        <v>0</v>
      </c>
      <c r="BI46" s="123">
        <f t="shared" si="36"/>
        <v>6651.6947114588629</v>
      </c>
      <c r="BJ46" s="123">
        <f t="shared" si="37"/>
        <v>7849.0300250117862</v>
      </c>
      <c r="BL46" s="123">
        <f t="shared" si="38"/>
        <v>0</v>
      </c>
      <c r="BM46" s="123">
        <f t="shared" si="39"/>
        <v>0</v>
      </c>
      <c r="BN46" s="123">
        <f t="shared" si="40"/>
        <v>0</v>
      </c>
      <c r="BO46" s="123">
        <f t="shared" si="41"/>
        <v>0</v>
      </c>
      <c r="BP46" s="123">
        <f t="shared" si="42"/>
        <v>50546.557015583719</v>
      </c>
      <c r="BR46" s="123">
        <f t="shared" si="12"/>
        <v>9239.6326116426462</v>
      </c>
      <c r="BS46" s="123">
        <f t="shared" si="13"/>
        <v>0</v>
      </c>
      <c r="BT46" s="123">
        <f t="shared" si="14"/>
        <v>0</v>
      </c>
      <c r="BU46" s="123">
        <f t="shared" si="43"/>
        <v>9239.6326116426462</v>
      </c>
      <c r="BV46" s="123">
        <f t="shared" si="44"/>
        <v>5261.0921248280029</v>
      </c>
      <c r="BX46" s="968">
        <f t="shared" si="45"/>
        <v>170731.70731707706</v>
      </c>
      <c r="BY46" s="968">
        <f t="shared" si="46"/>
        <v>0</v>
      </c>
      <c r="BZ46" s="968">
        <f t="shared" si="47"/>
        <v>0</v>
      </c>
      <c r="CA46" s="968">
        <f t="shared" si="48"/>
        <v>170731.70731707706</v>
      </c>
      <c r="CB46" s="123"/>
      <c r="CC46" s="123">
        <f>SpacePlanning!$AU$49*(A46-2009)</f>
        <v>616</v>
      </c>
      <c r="CD46" s="123">
        <f t="shared" si="49"/>
        <v>11869.097190377614</v>
      </c>
      <c r="CE46" s="123">
        <f t="shared" si="50"/>
        <v>63135.699504727017</v>
      </c>
      <c r="CF46" s="123">
        <f t="shared" si="51"/>
        <v>16486.940881704562</v>
      </c>
      <c r="CH46" s="123">
        <f t="shared" si="15"/>
        <v>8308.3680332643289</v>
      </c>
      <c r="CI46" s="123">
        <f t="shared" si="16"/>
        <v>0</v>
      </c>
      <c r="CJ46" s="123">
        <f t="shared" si="17"/>
        <v>0</v>
      </c>
      <c r="CK46" s="123">
        <f t="shared" si="52"/>
        <v>8308.3680332643289</v>
      </c>
      <c r="CL46" s="123">
        <f t="shared" si="53"/>
        <v>3560.7291571132846</v>
      </c>
      <c r="CN46" s="123">
        <f t="shared" si="18"/>
        <v>44194.989653308912</v>
      </c>
      <c r="CO46" s="123">
        <f t="shared" si="19"/>
        <v>0</v>
      </c>
      <c r="CP46" s="123">
        <f t="shared" si="20"/>
        <v>0</v>
      </c>
      <c r="CQ46" s="123">
        <f t="shared" si="54"/>
        <v>44194.989653308912</v>
      </c>
      <c r="CR46" s="123">
        <f t="shared" si="55"/>
        <v>18940.709851418105</v>
      </c>
      <c r="CT46" s="123">
        <f t="shared" si="21"/>
        <v>11540.858617193191</v>
      </c>
      <c r="CU46" s="123">
        <f t="shared" si="22"/>
        <v>0</v>
      </c>
      <c r="CV46" s="123">
        <f t="shared" si="23"/>
        <v>0</v>
      </c>
      <c r="CW46" s="123">
        <f t="shared" si="56"/>
        <v>11540.858617193191</v>
      </c>
      <c r="CX46" s="123">
        <f t="shared" si="57"/>
        <v>4946.0822645113712</v>
      </c>
      <c r="CZ46" s="968">
        <f t="shared" si="58"/>
        <v>269500</v>
      </c>
      <c r="DA46" s="968">
        <f t="shared" si="59"/>
        <v>0</v>
      </c>
      <c r="DB46" s="968">
        <f t="shared" si="60"/>
        <v>0</v>
      </c>
      <c r="DC46" s="968">
        <f t="shared" si="61"/>
        <v>269500</v>
      </c>
    </row>
    <row r="47" spans="1:107">
      <c r="A47" s="303">
        <v>2038</v>
      </c>
      <c r="B47" s="304">
        <f ca="1">IF($D$3="BAU",UtilityDemand!C40,INDIRECT($D$3&amp;"!B"&amp;ROW(A47))+INDIRECT($D$3&amp;"!D"&amp;ROW(A47)))</f>
        <v>136666.41118306326</v>
      </c>
      <c r="C47" s="305">
        <f t="shared" ca="1" si="62"/>
        <v>8.5816312852379853E-2</v>
      </c>
      <c r="D47" s="306">
        <f t="shared" si="63"/>
        <v>-11728.207498497741</v>
      </c>
      <c r="E47" s="304">
        <f ca="1">IF($D$3="BAU",UtilityDemand!E40,INDIRECT($D$3&amp;"!E"&amp;ROW(D47))+INDIRECT($D$3&amp;"!G"&amp;ROW(D47)))</f>
        <v>728620.90490511048</v>
      </c>
      <c r="F47" s="305">
        <f t="shared" ca="1" si="64"/>
        <v>9.7668969145294188E-2</v>
      </c>
      <c r="G47" s="306">
        <f t="shared" si="65"/>
        <v>-71163.652679793566</v>
      </c>
      <c r="H47" s="304">
        <f ca="1">IF($D$3="BAU",UtilityDemand!G40,INDIRECT($D$3&amp;"!H"&amp;ROW(G47))+INDIRECT($D$3&amp;"!J"&amp;ROW(G47)))</f>
        <v>215198.95237332705</v>
      </c>
      <c r="I47" s="305">
        <f t="shared" ca="1" si="66"/>
        <v>4.8903137677984446E-2</v>
      </c>
      <c r="J47" s="306">
        <f t="shared" si="67"/>
        <v>-10523.903996070831</v>
      </c>
      <c r="K47" s="307">
        <f t="shared" ca="1" si="24"/>
        <v>124938.20368456552</v>
      </c>
      <c r="L47" s="307">
        <f t="shared" si="25"/>
        <v>0</v>
      </c>
      <c r="M47" s="307">
        <v>0</v>
      </c>
      <c r="N47" s="307">
        <f t="shared" ca="1" si="26"/>
        <v>124938.20368456552</v>
      </c>
      <c r="O47" s="1494">
        <f t="shared" ca="1" si="27"/>
        <v>657457.25222531694</v>
      </c>
      <c r="P47" s="306">
        <f t="shared" si="28"/>
        <v>0</v>
      </c>
      <c r="Q47" s="306">
        <v>0</v>
      </c>
      <c r="R47" s="306">
        <f t="shared" ca="1" si="29"/>
        <v>657457.25222531694</v>
      </c>
      <c r="S47" s="818">
        <f t="shared" ca="1" si="30"/>
        <v>204675.04837725623</v>
      </c>
      <c r="T47" s="818">
        <f t="shared" si="31"/>
        <v>0</v>
      </c>
      <c r="U47" s="818">
        <v>0</v>
      </c>
      <c r="V47" s="818">
        <f t="shared" ca="1" si="32"/>
        <v>204675.04837725623</v>
      </c>
      <c r="W47" s="306">
        <f t="shared" si="1"/>
        <v>0</v>
      </c>
      <c r="X47" s="306">
        <f t="shared" ca="1" si="2"/>
        <v>-17249.881791627668</v>
      </c>
      <c r="Y47" s="306">
        <v>0</v>
      </c>
      <c r="Z47" s="306">
        <v>0</v>
      </c>
      <c r="AA47" s="308">
        <f ca="1">-SUM(W47,X47/OFFSET(GridFootprintbyYear,$A47-$A$19,0)*EF_PurchElec_MTperMWh,Z47)*OFFSET(ExposureCalculations!Price_GHG_Allowance_2010,A47-$A$19,0)*ExposureCalculations!D44</f>
        <v>1225665.7271711442</v>
      </c>
      <c r="AB47" s="308">
        <f t="shared" ca="1" si="3"/>
        <v>1146305.288168479</v>
      </c>
      <c r="AC47" s="308">
        <v>0</v>
      </c>
      <c r="AD47" s="819">
        <f t="shared" ca="1" si="4"/>
        <v>905343.62174841249</v>
      </c>
      <c r="AE47" s="308">
        <v>0</v>
      </c>
      <c r="AF47" s="819">
        <f t="shared" ca="1" si="5"/>
        <v>203462.14392403603</v>
      </c>
      <c r="AG47" s="308">
        <v>0</v>
      </c>
      <c r="AH47" s="308">
        <v>0</v>
      </c>
      <c r="AI47" s="308">
        <v>0</v>
      </c>
      <c r="AJ47" s="308">
        <f t="shared" ca="1" si="6"/>
        <v>2255111.0538409273</v>
      </c>
      <c r="AK47" s="309">
        <v>0</v>
      </c>
      <c r="AL47" s="309">
        <f t="shared" si="68"/>
        <v>-440231.70731706114</v>
      </c>
      <c r="AM47" s="309">
        <f t="shared" si="33"/>
        <v>-440231.70731706114</v>
      </c>
      <c r="AN47" s="310">
        <v>0</v>
      </c>
      <c r="AO47" s="310">
        <v>0</v>
      </c>
      <c r="AP47" s="310">
        <f t="shared" si="34"/>
        <v>0</v>
      </c>
      <c r="AQ47" s="309">
        <v>0</v>
      </c>
      <c r="AR47" s="311">
        <f t="shared" ca="1" si="7"/>
        <v>3040545.07369501</v>
      </c>
      <c r="AS47" s="870">
        <f t="shared" ca="1" si="35"/>
        <v>34015201.281335168</v>
      </c>
      <c r="AT47" s="822"/>
      <c r="AU47" s="964" t="s">
        <v>1361</v>
      </c>
      <c r="AV47" s="35"/>
      <c r="AW47" s="879"/>
      <c r="AX47" s="35"/>
      <c r="AY47" s="880"/>
      <c r="BA47" s="123">
        <f>SpacePlanning!BB47-CampusArea!$G$11</f>
        <v>502.92682926829275</v>
      </c>
      <c r="BB47" s="123">
        <f t="shared" si="8"/>
        <v>9690.40164973022</v>
      </c>
      <c r="BC47" s="123">
        <f>BA47*UtilityDemand!F40</f>
        <v>51546.48890511052</v>
      </c>
      <c r="BD47" s="123">
        <f>BA47*UtilityDemand!H40</f>
        <v>14823.59059772728</v>
      </c>
      <c r="BF47" s="123">
        <f t="shared" si="9"/>
        <v>6783.2811548111549</v>
      </c>
      <c r="BG47" s="123">
        <f t="shared" si="10"/>
        <v>0</v>
      </c>
      <c r="BH47" s="123">
        <f t="shared" si="11"/>
        <v>0</v>
      </c>
      <c r="BI47" s="123">
        <f t="shared" si="36"/>
        <v>6783.2811548111549</v>
      </c>
      <c r="BJ47" s="123">
        <f t="shared" si="37"/>
        <v>8040.3094429161247</v>
      </c>
      <c r="BL47" s="123">
        <f t="shared" si="38"/>
        <v>0</v>
      </c>
      <c r="BM47" s="123">
        <f t="shared" si="39"/>
        <v>0</v>
      </c>
      <c r="BN47" s="123">
        <f t="shared" si="40"/>
        <v>0</v>
      </c>
      <c r="BO47" s="123">
        <f t="shared" si="41"/>
        <v>0</v>
      </c>
      <c r="BP47" s="123">
        <f t="shared" si="42"/>
        <v>51546.48890511052</v>
      </c>
      <c r="BR47" s="123">
        <f t="shared" si="12"/>
        <v>9422.4146613289377</v>
      </c>
      <c r="BS47" s="123">
        <f t="shared" si="13"/>
        <v>0</v>
      </c>
      <c r="BT47" s="123">
        <f t="shared" si="14"/>
        <v>0</v>
      </c>
      <c r="BU47" s="123">
        <f t="shared" si="43"/>
        <v>9422.4146613289377</v>
      </c>
      <c r="BV47" s="123">
        <f t="shared" si="44"/>
        <v>5401.1759363983419</v>
      </c>
      <c r="BX47" s="968">
        <f t="shared" si="45"/>
        <v>170731.70731706114</v>
      </c>
      <c r="BY47" s="968">
        <f t="shared" si="46"/>
        <v>0</v>
      </c>
      <c r="BZ47" s="968">
        <f t="shared" si="47"/>
        <v>0</v>
      </c>
      <c r="CA47" s="968">
        <f t="shared" si="48"/>
        <v>170731.70731706114</v>
      </c>
      <c r="CB47" s="123"/>
      <c r="CC47" s="123">
        <f>SpacePlanning!$AU$49*(A47-2009)</f>
        <v>638</v>
      </c>
      <c r="CD47" s="123">
        <f t="shared" si="49"/>
        <v>12292.993518605386</v>
      </c>
      <c r="CE47" s="123">
        <f t="shared" si="50"/>
        <v>65390.545915610128</v>
      </c>
      <c r="CF47" s="123">
        <f t="shared" si="51"/>
        <v>17075.760198908294</v>
      </c>
      <c r="CH47" s="123">
        <f t="shared" si="15"/>
        <v>8605.0954630237702</v>
      </c>
      <c r="CI47" s="123">
        <f t="shared" si="16"/>
        <v>0</v>
      </c>
      <c r="CJ47" s="123">
        <f t="shared" si="17"/>
        <v>0</v>
      </c>
      <c r="CK47" s="123">
        <f t="shared" si="52"/>
        <v>8605.0954630237702</v>
      </c>
      <c r="CL47" s="123">
        <f t="shared" si="53"/>
        <v>3687.8980555816161</v>
      </c>
      <c r="CN47" s="123">
        <f t="shared" si="18"/>
        <v>45773.382140927089</v>
      </c>
      <c r="CO47" s="123">
        <f t="shared" si="19"/>
        <v>0</v>
      </c>
      <c r="CP47" s="123">
        <f t="shared" si="20"/>
        <v>0</v>
      </c>
      <c r="CQ47" s="123">
        <f t="shared" si="54"/>
        <v>45773.382140927089</v>
      </c>
      <c r="CR47" s="123">
        <f t="shared" si="55"/>
        <v>19617.163774683038</v>
      </c>
      <c r="CT47" s="123">
        <f t="shared" si="21"/>
        <v>11953.032139235806</v>
      </c>
      <c r="CU47" s="123">
        <f t="shared" si="22"/>
        <v>0</v>
      </c>
      <c r="CV47" s="123">
        <f t="shared" si="23"/>
        <v>0</v>
      </c>
      <c r="CW47" s="123">
        <f t="shared" si="56"/>
        <v>11953.032139235806</v>
      </c>
      <c r="CX47" s="123">
        <f t="shared" si="57"/>
        <v>5122.7280596724886</v>
      </c>
      <c r="CZ47" s="968">
        <f t="shared" si="58"/>
        <v>269500</v>
      </c>
      <c r="DA47" s="968">
        <f t="shared" si="59"/>
        <v>0</v>
      </c>
      <c r="DB47" s="968">
        <f t="shared" si="60"/>
        <v>0</v>
      </c>
      <c r="DC47" s="968">
        <f t="shared" si="61"/>
        <v>269500</v>
      </c>
    </row>
    <row r="48" spans="1:107">
      <c r="A48" s="303">
        <v>2039</v>
      </c>
      <c r="B48" s="304">
        <f ca="1">IF($D$3="BAU",UtilityDemand!C41,INDIRECT($D$3&amp;"!B"&amp;ROW(A48))+INDIRECT($D$3&amp;"!D"&amp;ROW(A48)))</f>
        <v>136854.39181642365</v>
      </c>
      <c r="C48" s="305">
        <f t="shared" ca="1" si="62"/>
        <v>8.8030828859163787E-2</v>
      </c>
      <c r="D48" s="306">
        <f t="shared" si="63"/>
        <v>-12047.405544616535</v>
      </c>
      <c r="E48" s="304">
        <f ca="1">IF($D$3="BAU",UtilityDemand!E41,INDIRECT($D$3&amp;"!E"&amp;ROW(D48))+INDIRECT($D$3&amp;"!G"&amp;ROW(D48)))</f>
        <v>729620.83679463738</v>
      </c>
      <c r="F48" s="305">
        <f t="shared" ca="1" si="64"/>
        <v>9.9832727931106535E-2</v>
      </c>
      <c r="G48" s="306">
        <f t="shared" si="65"/>
        <v>-72840.038492585314</v>
      </c>
      <c r="H48" s="304">
        <f ca="1">IF($D$3="BAU",UtilityDemand!G41,INDIRECT($D$3&amp;"!H"&amp;ROW(G48))+INDIRECT($D$3&amp;"!J"&amp;ROW(G48)))</f>
        <v>216334.56958716462</v>
      </c>
      <c r="I48" s="305">
        <f t="shared" ca="1" si="66"/>
        <v>5.0113966312629703E-2</v>
      </c>
      <c r="J48" s="306">
        <f t="shared" si="67"/>
        <v>-10841.383332548414</v>
      </c>
      <c r="K48" s="307">
        <f t="shared" ca="1" si="24"/>
        <v>124806.98627180712</v>
      </c>
      <c r="L48" s="307">
        <f t="shared" si="25"/>
        <v>0</v>
      </c>
      <c r="M48" s="307">
        <v>0</v>
      </c>
      <c r="N48" s="307">
        <f t="shared" ca="1" si="26"/>
        <v>124806.98627180712</v>
      </c>
      <c r="O48" s="1494">
        <f t="shared" ca="1" si="27"/>
        <v>656780.79830205208</v>
      </c>
      <c r="P48" s="306">
        <f t="shared" si="28"/>
        <v>0</v>
      </c>
      <c r="Q48" s="306">
        <v>0</v>
      </c>
      <c r="R48" s="306">
        <f t="shared" ca="1" si="29"/>
        <v>656780.79830205208</v>
      </c>
      <c r="S48" s="818">
        <f t="shared" ca="1" si="30"/>
        <v>205493.18625461622</v>
      </c>
      <c r="T48" s="818">
        <f t="shared" si="31"/>
        <v>0</v>
      </c>
      <c r="U48" s="818">
        <v>0</v>
      </c>
      <c r="V48" s="818">
        <f t="shared" ca="1" si="32"/>
        <v>205493.18625461622</v>
      </c>
      <c r="W48" s="306">
        <f t="shared" si="1"/>
        <v>0</v>
      </c>
      <c r="X48" s="306">
        <f t="shared" ca="1" si="2"/>
        <v>-17694.980901399122</v>
      </c>
      <c r="Y48" s="306">
        <v>0</v>
      </c>
      <c r="Z48" s="306">
        <v>0</v>
      </c>
      <c r="AA48" s="308">
        <f ca="1">-SUM(W48,X48/OFFSET(GridFootprintbyYear,$A48-$A$19,0)*EF_PurchElec_MTperMWh,Z48)*OFFSET(ExposureCalculations!Price_GHG_Allowance_2010,A48-$A$19,0)*ExposureCalculations!D45</f>
        <v>1316168.2700211494</v>
      </c>
      <c r="AB48" s="308">
        <f t="shared" ca="1" si="3"/>
        <v>1183390.9580559917</v>
      </c>
      <c r="AC48" s="308">
        <v>0</v>
      </c>
      <c r="AD48" s="819">
        <f t="shared" ca="1" si="4"/>
        <v>931303.94636523689</v>
      </c>
      <c r="AE48" s="308">
        <v>0</v>
      </c>
      <c r="AF48" s="819">
        <f t="shared" ca="1" si="5"/>
        <v>209600.07776260265</v>
      </c>
      <c r="AG48" s="308">
        <v>0</v>
      </c>
      <c r="AH48" s="308">
        <v>0</v>
      </c>
      <c r="AI48" s="308">
        <v>0</v>
      </c>
      <c r="AJ48" s="308">
        <f t="shared" ca="1" si="6"/>
        <v>2324294.9821838313</v>
      </c>
      <c r="AK48" s="309">
        <v>0</v>
      </c>
      <c r="AL48" s="309">
        <f t="shared" si="68"/>
        <v>-440231.70731706114</v>
      </c>
      <c r="AM48" s="309">
        <f t="shared" si="33"/>
        <v>-440231.70731706114</v>
      </c>
      <c r="AN48" s="310">
        <v>0</v>
      </c>
      <c r="AO48" s="310">
        <v>0</v>
      </c>
      <c r="AP48" s="310">
        <f t="shared" si="34"/>
        <v>0</v>
      </c>
      <c r="AQ48" s="309">
        <v>0</v>
      </c>
      <c r="AR48" s="311">
        <f t="shared" ca="1" si="7"/>
        <v>3200231.5448879194</v>
      </c>
      <c r="AS48" s="870">
        <f t="shared" ca="1" si="35"/>
        <v>37215432.82622309</v>
      </c>
      <c r="AT48" s="822"/>
      <c r="AU48" s="1213">
        <f>SpacePlanning!$AU$27*$AX$48</f>
        <v>17.5</v>
      </c>
      <c r="AV48" s="827" t="s">
        <v>973</v>
      </c>
      <c r="AW48" s="879"/>
      <c r="AX48" s="1210">
        <v>0.05</v>
      </c>
      <c r="AY48" s="880" t="s">
        <v>1523</v>
      </c>
      <c r="BA48" s="123">
        <f>SpacePlanning!BB48-CampusArea!$G$11</f>
        <v>512.68292682926767</v>
      </c>
      <c r="BB48" s="123">
        <f t="shared" si="8"/>
        <v>9878.3822830906392</v>
      </c>
      <c r="BC48" s="123">
        <f>BA48*UtilityDemand!F41</f>
        <v>52546.420794637335</v>
      </c>
      <c r="BD48" s="123">
        <f>BA48*UtilityDemand!H41</f>
        <v>15147.206188730031</v>
      </c>
      <c r="BF48" s="123">
        <f t="shared" si="9"/>
        <v>6914.8675981634469</v>
      </c>
      <c r="BG48" s="123">
        <f t="shared" si="10"/>
        <v>0</v>
      </c>
      <c r="BH48" s="123">
        <f t="shared" si="11"/>
        <v>0</v>
      </c>
      <c r="BI48" s="123">
        <f t="shared" si="36"/>
        <v>6914.8675981634469</v>
      </c>
      <c r="BJ48" s="123">
        <f t="shared" si="37"/>
        <v>8232.3385905665855</v>
      </c>
      <c r="BL48" s="123">
        <f t="shared" si="38"/>
        <v>0</v>
      </c>
      <c r="BM48" s="123">
        <f t="shared" si="39"/>
        <v>0</v>
      </c>
      <c r="BN48" s="123">
        <f t="shared" si="40"/>
        <v>0</v>
      </c>
      <c r="BO48" s="123">
        <f t="shared" si="41"/>
        <v>0</v>
      </c>
      <c r="BP48" s="123">
        <f t="shared" si="42"/>
        <v>52546.420794637335</v>
      </c>
      <c r="BR48" s="123">
        <f t="shared" si="12"/>
        <v>9605.1967110152273</v>
      </c>
      <c r="BS48" s="123">
        <f t="shared" si="13"/>
        <v>0</v>
      </c>
      <c r="BT48" s="123">
        <f t="shared" si="14"/>
        <v>0</v>
      </c>
      <c r="BU48" s="123">
        <f t="shared" si="43"/>
        <v>9605.1967110152273</v>
      </c>
      <c r="BV48" s="123">
        <f t="shared" si="44"/>
        <v>5542.0094777148042</v>
      </c>
      <c r="BX48" s="968">
        <f t="shared" si="45"/>
        <v>170731.70731706114</v>
      </c>
      <c r="BY48" s="968">
        <f t="shared" si="46"/>
        <v>0</v>
      </c>
      <c r="BZ48" s="968">
        <f t="shared" si="47"/>
        <v>0</v>
      </c>
      <c r="CA48" s="968">
        <f t="shared" si="48"/>
        <v>170731.70731706114</v>
      </c>
      <c r="CB48" s="123"/>
      <c r="CC48" s="123">
        <f>SpacePlanning!$AU$49*(A48-2009)</f>
        <v>660</v>
      </c>
      <c r="CD48" s="123">
        <f t="shared" si="49"/>
        <v>12716.889846833159</v>
      </c>
      <c r="CE48" s="123">
        <f t="shared" si="50"/>
        <v>67645.392326493238</v>
      </c>
      <c r="CF48" s="123">
        <f t="shared" si="51"/>
        <v>17664.57951611203</v>
      </c>
      <c r="CH48" s="123">
        <f t="shared" si="15"/>
        <v>8901.8228927832097</v>
      </c>
      <c r="CI48" s="123">
        <f t="shared" si="16"/>
        <v>0</v>
      </c>
      <c r="CJ48" s="123">
        <f t="shared" si="17"/>
        <v>0</v>
      </c>
      <c r="CK48" s="123">
        <f t="shared" si="52"/>
        <v>8901.8228927832097</v>
      </c>
      <c r="CL48" s="123">
        <f t="shared" si="53"/>
        <v>3815.0669540499493</v>
      </c>
      <c r="CN48" s="123">
        <f t="shared" si="18"/>
        <v>47351.774628545259</v>
      </c>
      <c r="CO48" s="123">
        <f t="shared" si="19"/>
        <v>0</v>
      </c>
      <c r="CP48" s="123">
        <f t="shared" si="20"/>
        <v>0</v>
      </c>
      <c r="CQ48" s="123">
        <f t="shared" si="54"/>
        <v>47351.774628545259</v>
      </c>
      <c r="CR48" s="123">
        <f t="shared" si="55"/>
        <v>20293.617697947979</v>
      </c>
      <c r="CT48" s="123">
        <f t="shared" si="21"/>
        <v>12365.20566127842</v>
      </c>
      <c r="CU48" s="123">
        <f t="shared" si="22"/>
        <v>0</v>
      </c>
      <c r="CV48" s="123">
        <f t="shared" si="23"/>
        <v>0</v>
      </c>
      <c r="CW48" s="123">
        <f t="shared" si="56"/>
        <v>12365.20566127842</v>
      </c>
      <c r="CX48" s="123">
        <f t="shared" si="57"/>
        <v>5299.3738548336096</v>
      </c>
      <c r="CZ48" s="968">
        <f t="shared" si="58"/>
        <v>269500</v>
      </c>
      <c r="DA48" s="968">
        <f t="shared" si="59"/>
        <v>0</v>
      </c>
      <c r="DB48" s="968">
        <f t="shared" si="60"/>
        <v>0</v>
      </c>
      <c r="DC48" s="968">
        <f t="shared" si="61"/>
        <v>269500</v>
      </c>
    </row>
    <row r="49" spans="1:107">
      <c r="A49" s="303">
        <v>2040</v>
      </c>
      <c r="B49" s="304">
        <f ca="1">IF($D$3="BAU",UtilityDemand!C42,INDIRECT($D$3&amp;"!B"&amp;ROW(A49))+INDIRECT($D$3&amp;"!D"&amp;ROW(A49)))</f>
        <v>137042.37244978407</v>
      </c>
      <c r="C49" s="305">
        <f t="shared" ca="1" si="62"/>
        <v>9.0244596925425316E-2</v>
      </c>
      <c r="D49" s="306">
        <f t="shared" si="63"/>
        <v>-12367.333663434774</v>
      </c>
      <c r="E49" s="304">
        <f ca="1">IF($D$3="BAU",UtilityDemand!E42,INDIRECT($D$3&amp;"!E"&amp;ROW(D49))+INDIRECT($D$3&amp;"!G"&amp;ROW(D49)))</f>
        <v>730620.76868416416</v>
      </c>
      <c r="F49" s="305">
        <f t="shared" ca="1" si="64"/>
        <v>0.10199056405086868</v>
      </c>
      <c r="G49" s="306">
        <f t="shared" si="65"/>
        <v>-74516.42430537715</v>
      </c>
      <c r="H49" s="304">
        <f ca="1">IF($D$3="BAU",UtilityDemand!G42,INDIRECT($D$3&amp;"!H"&amp;ROW(G49))+INDIRECT($D$3&amp;"!J"&amp;ROW(G49)))</f>
        <v>217470.18680100222</v>
      </c>
      <c r="I49" s="305">
        <f t="shared" ca="1" si="66"/>
        <v>5.1315506304030138E-2</v>
      </c>
      <c r="J49" s="306">
        <f t="shared" si="67"/>
        <v>-11159.592741725441</v>
      </c>
      <c r="K49" s="307">
        <f t="shared" ca="1" si="24"/>
        <v>124675.03878634929</v>
      </c>
      <c r="L49" s="307">
        <f t="shared" si="25"/>
        <v>0</v>
      </c>
      <c r="M49" s="307">
        <v>0</v>
      </c>
      <c r="N49" s="307">
        <f t="shared" ca="1" si="26"/>
        <v>124675.03878634929</v>
      </c>
      <c r="O49" s="1494">
        <f t="shared" ca="1" si="27"/>
        <v>656104.34437878698</v>
      </c>
      <c r="P49" s="306">
        <f t="shared" si="28"/>
        <v>0</v>
      </c>
      <c r="Q49" s="306">
        <v>0</v>
      </c>
      <c r="R49" s="306">
        <f t="shared" ca="1" si="29"/>
        <v>656104.34437878698</v>
      </c>
      <c r="S49" s="818">
        <f t="shared" ca="1" si="30"/>
        <v>206310.59405927677</v>
      </c>
      <c r="T49" s="818">
        <f t="shared" si="31"/>
        <v>0</v>
      </c>
      <c r="U49" s="818">
        <v>0</v>
      </c>
      <c r="V49" s="818">
        <f t="shared" ca="1" si="32"/>
        <v>206310.59405927677</v>
      </c>
      <c r="W49" s="306">
        <f t="shared" si="1"/>
        <v>0</v>
      </c>
      <c r="X49" s="306">
        <f t="shared" ca="1" si="2"/>
        <v>-18140.685271441605</v>
      </c>
      <c r="Y49" s="306">
        <v>0</v>
      </c>
      <c r="Z49" s="306">
        <v>0</v>
      </c>
      <c r="AA49" s="308">
        <f ca="1">-SUM(W49,X49/OFFSET(GridFootprintbyYear,$A49-$A$19,0)*EF_PurchElec_MTperMWh,Z49)*OFFSET(ExposureCalculations!Price_GHG_Allowance_2010,A49-$A$19,0)*ExposureCalculations!D46</f>
        <v>1412623.1423385399</v>
      </c>
      <c r="AB49" s="308">
        <f t="shared" ca="1" si="3"/>
        <v>1220890.8990621362</v>
      </c>
      <c r="AC49" s="308">
        <v>0</v>
      </c>
      <c r="AD49" s="819">
        <f t="shared" ca="1" si="4"/>
        <v>957501.24063768692</v>
      </c>
      <c r="AE49" s="308">
        <v>0</v>
      </c>
      <c r="AF49" s="819">
        <f t="shared" ca="1" si="5"/>
        <v>215752.12634002516</v>
      </c>
      <c r="AG49" s="308">
        <v>0</v>
      </c>
      <c r="AH49" s="308">
        <v>0</v>
      </c>
      <c r="AI49" s="308">
        <v>0</v>
      </c>
      <c r="AJ49" s="308">
        <f t="shared" ca="1" si="6"/>
        <v>2394144.2660398483</v>
      </c>
      <c r="AK49" s="309">
        <v>0</v>
      </c>
      <c r="AL49" s="309">
        <f t="shared" si="68"/>
        <v>-440231.70731707709</v>
      </c>
      <c r="AM49" s="309">
        <f t="shared" si="33"/>
        <v>-440231.70731707709</v>
      </c>
      <c r="AN49" s="310">
        <v>0</v>
      </c>
      <c r="AO49" s="310">
        <v>0</v>
      </c>
      <c r="AP49" s="310">
        <f t="shared" si="34"/>
        <v>0</v>
      </c>
      <c r="AQ49" s="309">
        <v>0</v>
      </c>
      <c r="AR49" s="311">
        <f t="shared" ca="1" si="7"/>
        <v>3366535.7010613112</v>
      </c>
      <c r="AS49" s="870">
        <f t="shared" ca="1" si="35"/>
        <v>40581968.527284399</v>
      </c>
      <c r="AT49" s="822"/>
      <c r="AU49" s="1213">
        <f>SpacePlanning!$AU$27*$AX$48</f>
        <v>17.5</v>
      </c>
      <c r="AV49" s="827" t="s">
        <v>974</v>
      </c>
      <c r="AW49" s="879"/>
      <c r="AX49" s="35"/>
      <c r="AY49" s="880"/>
      <c r="BA49" s="123">
        <f>SpacePlanning!BB49-CampusArea!$G$11</f>
        <v>522.4390243902435</v>
      </c>
      <c r="BB49" s="123">
        <f t="shared" si="8"/>
        <v>10066.362916451075</v>
      </c>
      <c r="BC49" s="123">
        <f>BA49*UtilityDemand!F42</f>
        <v>53546.352684164231</v>
      </c>
      <c r="BD49" s="123">
        <f>BA49*UtilityDemand!H42</f>
        <v>15471.551852432245</v>
      </c>
      <c r="BF49" s="123">
        <f t="shared" si="9"/>
        <v>7046.4540415157517</v>
      </c>
      <c r="BG49" s="123">
        <f t="shared" si="10"/>
        <v>0</v>
      </c>
      <c r="BH49" s="123">
        <f t="shared" si="11"/>
        <v>0</v>
      </c>
      <c r="BI49" s="123">
        <f t="shared" si="36"/>
        <v>7046.4540415157517</v>
      </c>
      <c r="BJ49" s="123">
        <f t="shared" si="37"/>
        <v>8425.0978109164935</v>
      </c>
      <c r="BL49" s="123">
        <f t="shared" si="38"/>
        <v>0</v>
      </c>
      <c r="BM49" s="123">
        <f t="shared" si="39"/>
        <v>0</v>
      </c>
      <c r="BN49" s="123">
        <f t="shared" si="40"/>
        <v>0</v>
      </c>
      <c r="BO49" s="123">
        <f t="shared" si="41"/>
        <v>0</v>
      </c>
      <c r="BP49" s="123">
        <f t="shared" si="42"/>
        <v>53546.352684164231</v>
      </c>
      <c r="BR49" s="123">
        <f t="shared" si="12"/>
        <v>9787.9787607015351</v>
      </c>
      <c r="BS49" s="123">
        <f t="shared" si="13"/>
        <v>0</v>
      </c>
      <c r="BT49" s="123">
        <f t="shared" si="14"/>
        <v>0</v>
      </c>
      <c r="BU49" s="123">
        <f t="shared" si="43"/>
        <v>9787.9787607015351</v>
      </c>
      <c r="BV49" s="123">
        <f t="shared" si="44"/>
        <v>5683.5730917307101</v>
      </c>
      <c r="BX49" s="968">
        <f t="shared" si="45"/>
        <v>170731.70731707706</v>
      </c>
      <c r="BY49" s="968">
        <f t="shared" si="46"/>
        <v>0</v>
      </c>
      <c r="BZ49" s="968">
        <f t="shared" si="47"/>
        <v>0</v>
      </c>
      <c r="CA49" s="968">
        <f t="shared" si="48"/>
        <v>170731.70731707706</v>
      </c>
      <c r="CB49" s="123"/>
      <c r="CC49" s="123">
        <f>SpacePlanning!$AU$49*(A49-2009)</f>
        <v>682</v>
      </c>
      <c r="CD49" s="123">
        <f t="shared" si="49"/>
        <v>13140.786175060932</v>
      </c>
      <c r="CE49" s="123">
        <f t="shared" si="50"/>
        <v>69900.238737376349</v>
      </c>
      <c r="CF49" s="123">
        <f t="shared" si="51"/>
        <v>18253.398833315765</v>
      </c>
      <c r="CH49" s="123">
        <f t="shared" si="15"/>
        <v>9198.550322542651</v>
      </c>
      <c r="CI49" s="123">
        <f t="shared" si="16"/>
        <v>0</v>
      </c>
      <c r="CJ49" s="123">
        <f t="shared" si="17"/>
        <v>0</v>
      </c>
      <c r="CK49" s="123">
        <f t="shared" si="52"/>
        <v>9198.550322542651</v>
      </c>
      <c r="CL49" s="123">
        <f t="shared" si="53"/>
        <v>3942.2358525182808</v>
      </c>
      <c r="CN49" s="123">
        <f t="shared" si="18"/>
        <v>48930.167116163437</v>
      </c>
      <c r="CO49" s="123">
        <f t="shared" si="19"/>
        <v>0</v>
      </c>
      <c r="CP49" s="123">
        <f t="shared" si="20"/>
        <v>0</v>
      </c>
      <c r="CQ49" s="123">
        <f t="shared" si="54"/>
        <v>48930.167116163437</v>
      </c>
      <c r="CR49" s="123">
        <f t="shared" si="55"/>
        <v>20970.071621212912</v>
      </c>
      <c r="CT49" s="123">
        <f t="shared" si="21"/>
        <v>12777.379183321034</v>
      </c>
      <c r="CU49" s="123">
        <f t="shared" si="22"/>
        <v>0</v>
      </c>
      <c r="CV49" s="123">
        <f t="shared" si="23"/>
        <v>0</v>
      </c>
      <c r="CW49" s="123">
        <f t="shared" si="56"/>
        <v>12777.379183321034</v>
      </c>
      <c r="CX49" s="123">
        <f t="shared" si="57"/>
        <v>5476.0196499947306</v>
      </c>
      <c r="CZ49" s="968">
        <f t="shared" si="58"/>
        <v>269500</v>
      </c>
      <c r="DA49" s="968">
        <f t="shared" si="59"/>
        <v>0</v>
      </c>
      <c r="DB49" s="968">
        <f t="shared" si="60"/>
        <v>0</v>
      </c>
      <c r="DC49" s="968">
        <f t="shared" si="61"/>
        <v>269500</v>
      </c>
    </row>
    <row r="50" spans="1:107">
      <c r="A50" s="303">
        <v>2041</v>
      </c>
      <c r="B50" s="304">
        <f ca="1">IF($D$3="BAU",UtilityDemand!C43,INDIRECT($D$3&amp;"!B"&amp;ROW(A50))+INDIRECT($D$3&amp;"!D"&amp;ROW(A50)))</f>
        <v>137230.35308314452</v>
      </c>
      <c r="C50" s="305">
        <f t="shared" ca="1" si="62"/>
        <v>9.2457481847655218E-2</v>
      </c>
      <c r="D50" s="306">
        <f t="shared" si="63"/>
        <v>-12687.97287913215</v>
      </c>
      <c r="E50" s="304">
        <f ca="1">IF($D$3="BAU",UtilityDemand!E43,INDIRECT($D$3&amp;"!E"&amp;ROW(D50))+INDIRECT($D$3&amp;"!G"&amp;ROW(D50)))</f>
        <v>731620.70057369117</v>
      </c>
      <c r="F50" s="305">
        <f t="shared" ca="1" si="64"/>
        <v>0.10414250178873209</v>
      </c>
      <c r="G50" s="306">
        <f t="shared" si="65"/>
        <v>-76192.810118169058</v>
      </c>
      <c r="H50" s="304">
        <f ca="1">IF($D$3="BAU",UtilityDemand!G43,INDIRECT($D$3&amp;"!H"&amp;ROW(G50))+INDIRECT($D$3&amp;"!J"&amp;ROW(G50)))</f>
        <v>218605.80401483978</v>
      </c>
      <c r="I50" s="305">
        <f t="shared" ca="1" si="66"/>
        <v>5.2507815606773159E-2</v>
      </c>
      <c r="J50" s="306">
        <f t="shared" si="67"/>
        <v>-11478.513247781599</v>
      </c>
      <c r="K50" s="307">
        <f t="shared" ca="1" si="24"/>
        <v>124542.38020401237</v>
      </c>
      <c r="L50" s="307">
        <f t="shared" si="25"/>
        <v>0</v>
      </c>
      <c r="M50" s="307">
        <v>0</v>
      </c>
      <c r="N50" s="307">
        <f t="shared" ca="1" si="26"/>
        <v>124542.38020401237</v>
      </c>
      <c r="O50" s="1494">
        <f t="shared" ca="1" si="27"/>
        <v>655427.89045552211</v>
      </c>
      <c r="P50" s="306">
        <f t="shared" si="28"/>
        <v>0</v>
      </c>
      <c r="Q50" s="306">
        <v>0</v>
      </c>
      <c r="R50" s="306">
        <f t="shared" ca="1" si="29"/>
        <v>655427.89045552211</v>
      </c>
      <c r="S50" s="818">
        <f t="shared" ca="1" si="30"/>
        <v>207127.29076705818</v>
      </c>
      <c r="T50" s="818">
        <f t="shared" si="31"/>
        <v>0</v>
      </c>
      <c r="U50" s="818">
        <v>0</v>
      </c>
      <c r="V50" s="818">
        <f t="shared" ca="1" si="32"/>
        <v>207127.29076705818</v>
      </c>
      <c r="W50" s="306">
        <f t="shared" si="1"/>
        <v>0</v>
      </c>
      <c r="X50" s="306">
        <f t="shared" ca="1" si="2"/>
        <v>-18586.97917002024</v>
      </c>
      <c r="Y50" s="306">
        <v>0</v>
      </c>
      <c r="Z50" s="306">
        <v>0</v>
      </c>
      <c r="AA50" s="308">
        <f ca="1">-SUM(W50,X50/OFFSET(GridFootprintbyYear,$A50-$A$19,0)*EF_PurchElec_MTperMWh,Z50)*OFFSET(ExposureCalculations!Price_GHG_Allowance_2010,A50-$A$19,0)*ExposureCalculations!D47</f>
        <v>1510209.914541946</v>
      </c>
      <c r="AB50" s="308">
        <f t="shared" ca="1" si="3"/>
        <v>1258806.8044761012</v>
      </c>
      <c r="AC50" s="308">
        <v>0</v>
      </c>
      <c r="AD50" s="819">
        <f t="shared" ca="1" si="4"/>
        <v>983937.22525420308</v>
      </c>
      <c r="AE50" s="308">
        <v>0</v>
      </c>
      <c r="AF50" s="819">
        <f t="shared" ca="1" si="5"/>
        <v>221917.92279044422</v>
      </c>
      <c r="AG50" s="308">
        <v>0</v>
      </c>
      <c r="AH50" s="308">
        <v>0</v>
      </c>
      <c r="AI50" s="308">
        <v>0</v>
      </c>
      <c r="AJ50" s="308">
        <f t="shared" ca="1" si="6"/>
        <v>2464661.9525207486</v>
      </c>
      <c r="AK50" s="309">
        <v>0</v>
      </c>
      <c r="AL50" s="309">
        <f t="shared" si="68"/>
        <v>-440231.70731709298</v>
      </c>
      <c r="AM50" s="309">
        <f t="shared" si="33"/>
        <v>-440231.70731709298</v>
      </c>
      <c r="AN50" s="310">
        <v>0</v>
      </c>
      <c r="AO50" s="310">
        <v>0</v>
      </c>
      <c r="AP50" s="310">
        <f t="shared" si="34"/>
        <v>0</v>
      </c>
      <c r="AQ50" s="309">
        <v>0</v>
      </c>
      <c r="AR50" s="311">
        <f t="shared" ca="1" si="7"/>
        <v>3534640.1597456015</v>
      </c>
      <c r="AS50" s="870">
        <f t="shared" ca="1" si="35"/>
        <v>44116608.687030002</v>
      </c>
      <c r="AT50" s="822"/>
      <c r="AU50" s="1213">
        <f>SpacePlanning!$AU$27*$AX$48</f>
        <v>17.5</v>
      </c>
      <c r="AV50" s="827" t="s">
        <v>975</v>
      </c>
      <c r="AW50" s="879"/>
      <c r="AX50" s="35"/>
      <c r="AY50" s="880"/>
      <c r="BA50" s="123">
        <f>SpacePlanning!BB50-CampusArea!$G$11</f>
        <v>532.19512195122024</v>
      </c>
      <c r="BB50" s="123">
        <f t="shared" si="8"/>
        <v>10254.343549811527</v>
      </c>
      <c r="BC50" s="123">
        <f>BA50*UtilityDemand!F43</f>
        <v>54546.28457369122</v>
      </c>
      <c r="BD50" s="123">
        <f>BA50*UtilityDemand!H43</f>
        <v>15796.608613013608</v>
      </c>
      <c r="BF50" s="123">
        <f t="shared" si="9"/>
        <v>7178.0404848680691</v>
      </c>
      <c r="BG50" s="123">
        <f t="shared" si="10"/>
        <v>0</v>
      </c>
      <c r="BH50" s="123">
        <f t="shared" si="11"/>
        <v>0</v>
      </c>
      <c r="BI50" s="123">
        <f t="shared" si="36"/>
        <v>7178.0404848680691</v>
      </c>
      <c r="BJ50" s="123">
        <f t="shared" si="37"/>
        <v>8618.56812814554</v>
      </c>
      <c r="BL50" s="123">
        <f t="shared" si="38"/>
        <v>0</v>
      </c>
      <c r="BM50" s="123">
        <f t="shared" si="39"/>
        <v>0</v>
      </c>
      <c r="BN50" s="123">
        <f t="shared" si="40"/>
        <v>0</v>
      </c>
      <c r="BO50" s="123">
        <f t="shared" si="41"/>
        <v>0</v>
      </c>
      <c r="BP50" s="123">
        <f t="shared" si="42"/>
        <v>54546.28457369122</v>
      </c>
      <c r="BR50" s="123">
        <f t="shared" si="12"/>
        <v>9970.7608103878592</v>
      </c>
      <c r="BS50" s="123">
        <f t="shared" si="13"/>
        <v>0</v>
      </c>
      <c r="BT50" s="123">
        <f t="shared" si="14"/>
        <v>0</v>
      </c>
      <c r="BU50" s="123">
        <f t="shared" si="43"/>
        <v>9970.7608103878592</v>
      </c>
      <c r="BV50" s="123">
        <f t="shared" si="44"/>
        <v>5825.847802625749</v>
      </c>
      <c r="BX50" s="968">
        <f t="shared" si="45"/>
        <v>170731.70731709298</v>
      </c>
      <c r="BY50" s="968">
        <f t="shared" si="46"/>
        <v>0</v>
      </c>
      <c r="BZ50" s="968">
        <f t="shared" si="47"/>
        <v>0</v>
      </c>
      <c r="CA50" s="968">
        <f t="shared" si="48"/>
        <v>170731.70731709298</v>
      </c>
      <c r="CB50" s="123"/>
      <c r="CC50" s="123">
        <f>SpacePlanning!$AU$49*(A50-2009)</f>
        <v>704</v>
      </c>
      <c r="CD50" s="123">
        <f t="shared" si="49"/>
        <v>13564.682503288703</v>
      </c>
      <c r="CE50" s="123">
        <f t="shared" si="50"/>
        <v>72155.085148259444</v>
      </c>
      <c r="CF50" s="123">
        <f t="shared" si="51"/>
        <v>18842.218150519497</v>
      </c>
      <c r="CH50" s="123">
        <f t="shared" si="15"/>
        <v>9495.2777523020923</v>
      </c>
      <c r="CI50" s="123">
        <f t="shared" si="16"/>
        <v>0</v>
      </c>
      <c r="CJ50" s="123">
        <f t="shared" si="17"/>
        <v>0</v>
      </c>
      <c r="CK50" s="123">
        <f t="shared" si="52"/>
        <v>9495.2777523020923</v>
      </c>
      <c r="CL50" s="123">
        <f t="shared" si="53"/>
        <v>4069.4047509866105</v>
      </c>
      <c r="CN50" s="123">
        <f t="shared" si="18"/>
        <v>50508.559603781614</v>
      </c>
      <c r="CO50" s="123">
        <f t="shared" si="19"/>
        <v>0</v>
      </c>
      <c r="CP50" s="123">
        <f t="shared" si="20"/>
        <v>0</v>
      </c>
      <c r="CQ50" s="123">
        <f t="shared" si="54"/>
        <v>50508.559603781614</v>
      </c>
      <c r="CR50" s="123">
        <f t="shared" si="55"/>
        <v>21646.52554447783</v>
      </c>
      <c r="CT50" s="123">
        <f t="shared" si="21"/>
        <v>13189.552705363647</v>
      </c>
      <c r="CU50" s="123">
        <f t="shared" si="22"/>
        <v>0</v>
      </c>
      <c r="CV50" s="123">
        <f t="shared" si="23"/>
        <v>0</v>
      </c>
      <c r="CW50" s="123">
        <f t="shared" si="56"/>
        <v>13189.552705363647</v>
      </c>
      <c r="CX50" s="123">
        <f t="shared" si="57"/>
        <v>5652.6654451558497</v>
      </c>
      <c r="CZ50" s="968">
        <f t="shared" si="58"/>
        <v>269500</v>
      </c>
      <c r="DA50" s="968">
        <f t="shared" si="59"/>
        <v>0</v>
      </c>
      <c r="DB50" s="968">
        <f t="shared" si="60"/>
        <v>0</v>
      </c>
      <c r="DC50" s="968">
        <f t="shared" si="61"/>
        <v>269500</v>
      </c>
    </row>
    <row r="51" spans="1:107">
      <c r="A51" s="303">
        <v>2042</v>
      </c>
      <c r="B51" s="304">
        <f ca="1">IF($D$3="BAU",UtilityDemand!C44,INDIRECT($D$3&amp;"!B"&amp;ROW(A51))+INDIRECT($D$3&amp;"!D"&amp;ROW(A51)))</f>
        <v>137418.33371650497</v>
      </c>
      <c r="C51" s="305">
        <f t="shared" ca="1" si="62"/>
        <v>9.4669353906561615E-2</v>
      </c>
      <c r="D51" s="306">
        <f t="shared" si="63"/>
        <v>-13009.304867857798</v>
      </c>
      <c r="E51" s="304">
        <f ca="1">IF($D$3="BAU",UtilityDemand!E44,INDIRECT($D$3&amp;"!E"&amp;ROW(D51))+INDIRECT($D$3&amp;"!G"&amp;ROW(D51)))</f>
        <v>732620.63246321783</v>
      </c>
      <c r="F51" s="305">
        <f t="shared" ca="1" si="64"/>
        <v>0.10628856529626923</v>
      </c>
      <c r="G51" s="306">
        <f t="shared" si="65"/>
        <v>-77869.195930960792</v>
      </c>
      <c r="H51" s="304">
        <f ca="1">IF($D$3="BAU",UtilityDemand!G44,INDIRECT($D$3&amp;"!H"&amp;ROW(G51))+INDIRECT($D$3&amp;"!J"&amp;ROW(G51)))</f>
        <v>219741.42122867733</v>
      </c>
      <c r="I51" s="305">
        <f t="shared" ca="1" si="66"/>
        <v>5.3690953944400564E-2</v>
      </c>
      <c r="J51" s="306">
        <f t="shared" si="67"/>
        <v>-11798.126526866039</v>
      </c>
      <c r="K51" s="307">
        <f t="shared" ca="1" si="24"/>
        <v>124409.02884864717</v>
      </c>
      <c r="L51" s="307">
        <f t="shared" si="25"/>
        <v>0</v>
      </c>
      <c r="M51" s="307">
        <v>0</v>
      </c>
      <c r="N51" s="307">
        <f t="shared" ca="1" si="26"/>
        <v>124409.02884864717</v>
      </c>
      <c r="O51" s="1494">
        <f t="shared" ca="1" si="27"/>
        <v>654751.43653225701</v>
      </c>
      <c r="P51" s="306">
        <f t="shared" si="28"/>
        <v>0</v>
      </c>
      <c r="Q51" s="306">
        <v>0</v>
      </c>
      <c r="R51" s="306">
        <f t="shared" ca="1" si="29"/>
        <v>654751.43653225701</v>
      </c>
      <c r="S51" s="818">
        <f t="shared" ca="1" si="30"/>
        <v>207943.29470181128</v>
      </c>
      <c r="T51" s="818">
        <f t="shared" si="31"/>
        <v>0</v>
      </c>
      <c r="U51" s="818">
        <v>0</v>
      </c>
      <c r="V51" s="818">
        <f t="shared" ca="1" si="32"/>
        <v>207943.29470181128</v>
      </c>
      <c r="W51" s="306">
        <f t="shared" si="1"/>
        <v>0</v>
      </c>
      <c r="X51" s="306">
        <f t="shared" ca="1" si="2"/>
        <v>-19033.847405909608</v>
      </c>
      <c r="Y51" s="306">
        <v>0</v>
      </c>
      <c r="Z51" s="306">
        <v>0</v>
      </c>
      <c r="AA51" s="308">
        <f ca="1">-SUM(W51,X51/OFFSET(GridFootprintbyYear,$A51-$A$19,0)*EF_PurchElec_MTperMWh,Z51)*OFFSET(ExposureCalculations!Price_GHG_Allowance_2010,A51-$A$19,0)*ExposureCalculations!D48</f>
        <v>1608355.4034412066</v>
      </c>
      <c r="AB51" s="308">
        <f t="shared" ca="1" si="3"/>
        <v>1297140.4221455904</v>
      </c>
      <c r="AC51" s="308">
        <v>0</v>
      </c>
      <c r="AD51" s="819">
        <f t="shared" ca="1" si="4"/>
        <v>1010613.6321858662</v>
      </c>
      <c r="AE51" s="308">
        <v>0</v>
      </c>
      <c r="AF51" s="819">
        <f t="shared" ca="1" si="5"/>
        <v>228097.11285274342</v>
      </c>
      <c r="AG51" s="308">
        <v>0</v>
      </c>
      <c r="AH51" s="308">
        <v>0</v>
      </c>
      <c r="AI51" s="308">
        <v>0</v>
      </c>
      <c r="AJ51" s="308">
        <f t="shared" ca="1" si="6"/>
        <v>2535851.1671842001</v>
      </c>
      <c r="AK51" s="309">
        <v>0</v>
      </c>
      <c r="AL51" s="309">
        <f t="shared" si="68"/>
        <v>-440231.70731706114</v>
      </c>
      <c r="AM51" s="309">
        <f t="shared" si="33"/>
        <v>-440231.70731706114</v>
      </c>
      <c r="AN51" s="310">
        <v>0</v>
      </c>
      <c r="AO51" s="310">
        <v>0</v>
      </c>
      <c r="AP51" s="310">
        <f t="shared" si="34"/>
        <v>0</v>
      </c>
      <c r="AQ51" s="309">
        <v>0</v>
      </c>
      <c r="AR51" s="311">
        <f t="shared" ca="1" si="7"/>
        <v>3703974.8633083454</v>
      </c>
      <c r="AS51" s="870">
        <f t="shared" ca="1" si="35"/>
        <v>47820583.55033835</v>
      </c>
      <c r="AT51" s="822"/>
      <c r="AU51" s="878"/>
      <c r="AV51" s="35"/>
      <c r="AW51" s="879"/>
      <c r="AX51" s="35"/>
      <c r="AY51" s="880"/>
      <c r="BA51" s="123">
        <f>SpacePlanning!BB51-CampusArea!$G$11</f>
        <v>541.95121951219517</v>
      </c>
      <c r="BB51" s="123">
        <f t="shared" si="8"/>
        <v>10442.324183171944</v>
      </c>
      <c r="BC51" s="123">
        <f>BA51*UtilityDemand!F44</f>
        <v>55546.216463218021</v>
      </c>
      <c r="BD51" s="123">
        <f>BA51*UtilityDemand!H44</f>
        <v>16122.358146623219</v>
      </c>
      <c r="BF51" s="123">
        <f t="shared" si="9"/>
        <v>7309.6269282203621</v>
      </c>
      <c r="BG51" s="123">
        <f t="shared" si="10"/>
        <v>0</v>
      </c>
      <c r="BH51" s="123">
        <f t="shared" si="11"/>
        <v>0</v>
      </c>
      <c r="BI51" s="123">
        <f t="shared" si="36"/>
        <v>7309.6269282203621</v>
      </c>
      <c r="BJ51" s="123">
        <f t="shared" si="37"/>
        <v>8812.731218402856</v>
      </c>
      <c r="BL51" s="123">
        <f t="shared" si="38"/>
        <v>0</v>
      </c>
      <c r="BM51" s="123">
        <f t="shared" si="39"/>
        <v>0</v>
      </c>
      <c r="BN51" s="123">
        <f t="shared" si="40"/>
        <v>0</v>
      </c>
      <c r="BO51" s="123">
        <f t="shared" si="41"/>
        <v>0</v>
      </c>
      <c r="BP51" s="123">
        <f t="shared" si="42"/>
        <v>55546.216463218021</v>
      </c>
      <c r="BR51" s="123">
        <f t="shared" si="12"/>
        <v>10153.542860074151</v>
      </c>
      <c r="BS51" s="123">
        <f t="shared" si="13"/>
        <v>0</v>
      </c>
      <c r="BT51" s="123">
        <f t="shared" si="14"/>
        <v>0</v>
      </c>
      <c r="BU51" s="123">
        <f t="shared" si="43"/>
        <v>10153.542860074151</v>
      </c>
      <c r="BV51" s="123">
        <f t="shared" si="44"/>
        <v>5968.8152865490683</v>
      </c>
      <c r="BX51" s="968">
        <f t="shared" si="45"/>
        <v>170731.70731706114</v>
      </c>
      <c r="BY51" s="968">
        <f t="shared" si="46"/>
        <v>0</v>
      </c>
      <c r="BZ51" s="968">
        <f t="shared" si="47"/>
        <v>0</v>
      </c>
      <c r="CA51" s="968">
        <f t="shared" si="48"/>
        <v>170731.70731706114</v>
      </c>
      <c r="CB51" s="123"/>
      <c r="CC51" s="123">
        <f>SpacePlanning!$AU$49*(A51-2009)</f>
        <v>726</v>
      </c>
      <c r="CD51" s="123">
        <f t="shared" si="49"/>
        <v>13988.578831516475</v>
      </c>
      <c r="CE51" s="123">
        <f t="shared" si="50"/>
        <v>74409.931559142555</v>
      </c>
      <c r="CF51" s="123">
        <f t="shared" si="51"/>
        <v>19431.037467723232</v>
      </c>
      <c r="CH51" s="123">
        <f t="shared" si="15"/>
        <v>9792.0051820615336</v>
      </c>
      <c r="CI51" s="123">
        <f t="shared" si="16"/>
        <v>0</v>
      </c>
      <c r="CJ51" s="123">
        <f t="shared" si="17"/>
        <v>0</v>
      </c>
      <c r="CK51" s="123">
        <f t="shared" si="52"/>
        <v>9792.0051820615336</v>
      </c>
      <c r="CL51" s="123">
        <f t="shared" si="53"/>
        <v>4196.5736494549419</v>
      </c>
      <c r="CN51" s="123">
        <f t="shared" si="18"/>
        <v>52086.952091399784</v>
      </c>
      <c r="CO51" s="123">
        <f t="shared" si="19"/>
        <v>0</v>
      </c>
      <c r="CP51" s="123">
        <f t="shared" si="20"/>
        <v>0</v>
      </c>
      <c r="CQ51" s="123">
        <f t="shared" si="54"/>
        <v>52086.952091399784</v>
      </c>
      <c r="CR51" s="123">
        <f t="shared" si="55"/>
        <v>22322.979467742771</v>
      </c>
      <c r="CT51" s="123">
        <f t="shared" si="21"/>
        <v>13601.726227406261</v>
      </c>
      <c r="CU51" s="123">
        <f t="shared" si="22"/>
        <v>0</v>
      </c>
      <c r="CV51" s="123">
        <f t="shared" si="23"/>
        <v>0</v>
      </c>
      <c r="CW51" s="123">
        <f t="shared" si="56"/>
        <v>13601.726227406261</v>
      </c>
      <c r="CX51" s="123">
        <f t="shared" si="57"/>
        <v>5829.3112403169707</v>
      </c>
      <c r="CZ51" s="968">
        <f t="shared" si="58"/>
        <v>269500</v>
      </c>
      <c r="DA51" s="968">
        <f t="shared" si="59"/>
        <v>0</v>
      </c>
      <c r="DB51" s="968">
        <f t="shared" si="60"/>
        <v>0</v>
      </c>
      <c r="DC51" s="968">
        <f t="shared" si="61"/>
        <v>269500</v>
      </c>
    </row>
    <row r="52" spans="1:107">
      <c r="A52" s="303">
        <v>2043</v>
      </c>
      <c r="B52" s="304">
        <f ca="1">IF($D$3="BAU",UtilityDemand!C45,INDIRECT($D$3&amp;"!B"&amp;ROW(A52))+INDIRECT($D$3&amp;"!D"&amp;ROW(A52)))</f>
        <v>137606.3143498654</v>
      </c>
      <c r="C52" s="305">
        <f t="shared" ca="1" si="62"/>
        <v>9.6880088627862807E-2</v>
      </c>
      <c r="D52" s="306">
        <f t="shared" si="63"/>
        <v>-13331.31192996851</v>
      </c>
      <c r="E52" s="304">
        <f ca="1">IF($D$3="BAU",UtilityDemand!E45,INDIRECT($D$3&amp;"!E"&amp;ROW(D52))+INDIRECT($D$3&amp;"!G"&amp;ROW(D52)))</f>
        <v>733620.56435274484</v>
      </c>
      <c r="F52" s="305">
        <f t="shared" ca="1" si="64"/>
        <v>0.10842877859337781</v>
      </c>
      <c r="G52" s="306">
        <f t="shared" si="65"/>
        <v>-79545.581743752642</v>
      </c>
      <c r="H52" s="304">
        <f ca="1">IF($D$3="BAU",UtilityDemand!G45,INDIRECT($D$3&amp;"!H"&amp;ROW(G52))+INDIRECT($D$3&amp;"!J"&amp;ROW(G52)))</f>
        <v>220877.03844251492</v>
      </c>
      <c r="I52" s="305">
        <f t="shared" ca="1" si="66"/>
        <v>5.4864982638244901E-2</v>
      </c>
      <c r="J52" s="306">
        <f t="shared" si="67"/>
        <v>-12118.414879335533</v>
      </c>
      <c r="K52" s="307">
        <f t="shared" ca="1" si="24"/>
        <v>124275.00241989689</v>
      </c>
      <c r="L52" s="307">
        <f t="shared" si="25"/>
        <v>0</v>
      </c>
      <c r="M52" s="307">
        <v>0</v>
      </c>
      <c r="N52" s="307">
        <f t="shared" ca="1" si="26"/>
        <v>124275.00241989689</v>
      </c>
      <c r="O52" s="1494">
        <f t="shared" ca="1" si="27"/>
        <v>654074.98260899214</v>
      </c>
      <c r="P52" s="306">
        <f t="shared" si="28"/>
        <v>0</v>
      </c>
      <c r="Q52" s="306">
        <v>0</v>
      </c>
      <c r="R52" s="306">
        <f t="shared" ca="1" si="29"/>
        <v>654074.98260899214</v>
      </c>
      <c r="S52" s="818">
        <f t="shared" ca="1" si="30"/>
        <v>208758.6235631794</v>
      </c>
      <c r="T52" s="818">
        <f t="shared" si="31"/>
        <v>0</v>
      </c>
      <c r="U52" s="818">
        <v>0</v>
      </c>
      <c r="V52" s="818">
        <f t="shared" ca="1" si="32"/>
        <v>208758.6235631794</v>
      </c>
      <c r="W52" s="306">
        <f t="shared" si="1"/>
        <v>0</v>
      </c>
      <c r="X52" s="306">
        <f t="shared" ca="1" si="2"/>
        <v>-19481.275305378116</v>
      </c>
      <c r="Y52" s="306">
        <v>0</v>
      </c>
      <c r="Z52" s="306">
        <v>0</v>
      </c>
      <c r="AA52" s="308">
        <f ca="1">-SUM(W52,X52/OFFSET(GridFootprintbyYear,$A52-$A$19,0)*EF_PurchElec_MTperMWh,Z52)*OFFSET(ExposureCalculations!Price_GHG_Allowance_2010,A52-$A$19,0)*ExposureCalculations!D49</f>
        <v>1717349.5514637427</v>
      </c>
      <c r="AB52" s="308">
        <f t="shared" ca="1" si="3"/>
        <v>1335893.5530410565</v>
      </c>
      <c r="AC52" s="308">
        <v>0</v>
      </c>
      <c r="AD52" s="819">
        <f t="shared" ca="1" si="4"/>
        <v>1037532.2047562165</v>
      </c>
      <c r="AE52" s="308">
        <v>0</v>
      </c>
      <c r="AF52" s="819">
        <f t="shared" ca="1" si="5"/>
        <v>234289.35433382029</v>
      </c>
      <c r="AG52" s="308">
        <v>0</v>
      </c>
      <c r="AH52" s="308">
        <v>0</v>
      </c>
      <c r="AI52" s="308">
        <v>0</v>
      </c>
      <c r="AJ52" s="308">
        <f t="shared" ca="1" si="6"/>
        <v>2607715.1121310932</v>
      </c>
      <c r="AK52" s="309">
        <v>0</v>
      </c>
      <c r="AL52" s="309">
        <f t="shared" si="68"/>
        <v>-440231.70731707709</v>
      </c>
      <c r="AM52" s="309">
        <f t="shared" si="33"/>
        <v>-440231.70731707709</v>
      </c>
      <c r="AN52" s="310">
        <v>0</v>
      </c>
      <c r="AO52" s="310">
        <v>0</v>
      </c>
      <c r="AP52" s="310">
        <f t="shared" si="34"/>
        <v>0</v>
      </c>
      <c r="AQ52" s="309">
        <v>0</v>
      </c>
      <c r="AR52" s="311">
        <f t="shared" ca="1" si="7"/>
        <v>3884832.9562777593</v>
      </c>
      <c r="AS52" s="870">
        <f t="shared" ca="1" si="35"/>
        <v>51705416.506616108</v>
      </c>
      <c r="AT52" s="822"/>
      <c r="AU52" s="964" t="s">
        <v>1362</v>
      </c>
      <c r="AW52" s="879"/>
      <c r="AX52" s="35"/>
      <c r="AY52" s="880"/>
      <c r="BA52" s="123">
        <f>SpacePlanning!BB52-CampusArea!$G$11</f>
        <v>551.707317073171</v>
      </c>
      <c r="BB52" s="123">
        <f t="shared" si="8"/>
        <v>10630.30481653238</v>
      </c>
      <c r="BC52" s="123">
        <f>BA52*UtilityDemand!F45</f>
        <v>56546.148352744931</v>
      </c>
      <c r="BD52" s="123">
        <f>BA52*UtilityDemand!H45</f>
        <v>16448.782753617899</v>
      </c>
      <c r="BF52" s="123">
        <f t="shared" si="9"/>
        <v>7441.213371572665</v>
      </c>
      <c r="BG52" s="123">
        <f t="shared" si="10"/>
        <v>0</v>
      </c>
      <c r="BH52" s="123">
        <f t="shared" si="11"/>
        <v>0</v>
      </c>
      <c r="BI52" s="123">
        <f t="shared" si="36"/>
        <v>7441.213371572665</v>
      </c>
      <c r="BJ52" s="123">
        <f t="shared" si="37"/>
        <v>9007.5693820452343</v>
      </c>
      <c r="BL52" s="123">
        <f t="shared" si="38"/>
        <v>0</v>
      </c>
      <c r="BM52" s="123">
        <f t="shared" si="39"/>
        <v>0</v>
      </c>
      <c r="BN52" s="123">
        <f t="shared" si="40"/>
        <v>0</v>
      </c>
      <c r="BO52" s="123">
        <f t="shared" si="41"/>
        <v>0</v>
      </c>
      <c r="BP52" s="123">
        <f t="shared" si="42"/>
        <v>56546.148352744931</v>
      </c>
      <c r="BR52" s="123">
        <f t="shared" si="12"/>
        <v>10336.324909760458</v>
      </c>
      <c r="BS52" s="123">
        <f t="shared" si="13"/>
        <v>0</v>
      </c>
      <c r="BT52" s="123">
        <f t="shared" si="14"/>
        <v>0</v>
      </c>
      <c r="BU52" s="123">
        <f t="shared" si="43"/>
        <v>10336.324909760458</v>
      </c>
      <c r="BV52" s="123">
        <f t="shared" si="44"/>
        <v>6112.4578438574408</v>
      </c>
      <c r="BX52" s="968">
        <f t="shared" si="45"/>
        <v>170731.70731707706</v>
      </c>
      <c r="BY52" s="968">
        <f t="shared" si="46"/>
        <v>0</v>
      </c>
      <c r="BZ52" s="968">
        <f t="shared" si="47"/>
        <v>0</v>
      </c>
      <c r="CA52" s="968">
        <f t="shared" si="48"/>
        <v>170731.70731707706</v>
      </c>
      <c r="CB52" s="123"/>
      <c r="CC52" s="123">
        <f>SpacePlanning!$AU$49*(A52-2009)</f>
        <v>748</v>
      </c>
      <c r="CD52" s="123">
        <f t="shared" si="49"/>
        <v>14412.475159744248</v>
      </c>
      <c r="CE52" s="123">
        <f t="shared" si="50"/>
        <v>76664.777970025665</v>
      </c>
      <c r="CF52" s="123">
        <f t="shared" si="51"/>
        <v>20019.856784926968</v>
      </c>
      <c r="CH52" s="123">
        <f t="shared" si="15"/>
        <v>10088.732611820973</v>
      </c>
      <c r="CI52" s="123">
        <f t="shared" si="16"/>
        <v>0</v>
      </c>
      <c r="CJ52" s="123">
        <f t="shared" si="17"/>
        <v>0</v>
      </c>
      <c r="CK52" s="123">
        <f t="shared" si="52"/>
        <v>10088.732611820973</v>
      </c>
      <c r="CL52" s="123">
        <f t="shared" si="53"/>
        <v>4323.7425479232752</v>
      </c>
      <c r="CN52" s="123">
        <f t="shared" si="18"/>
        <v>53665.344579017961</v>
      </c>
      <c r="CO52" s="123">
        <f t="shared" si="19"/>
        <v>0</v>
      </c>
      <c r="CP52" s="123">
        <f t="shared" si="20"/>
        <v>0</v>
      </c>
      <c r="CQ52" s="123">
        <f t="shared" si="54"/>
        <v>53665.344579017961</v>
      </c>
      <c r="CR52" s="123">
        <f t="shared" si="55"/>
        <v>22999.433391007704</v>
      </c>
      <c r="CT52" s="123">
        <f t="shared" si="21"/>
        <v>14013.899749448876</v>
      </c>
      <c r="CU52" s="123">
        <f t="shared" si="22"/>
        <v>0</v>
      </c>
      <c r="CV52" s="123">
        <f t="shared" si="23"/>
        <v>0</v>
      </c>
      <c r="CW52" s="123">
        <f t="shared" si="56"/>
        <v>14013.899749448876</v>
      </c>
      <c r="CX52" s="123">
        <f t="shared" si="57"/>
        <v>6005.9570354780917</v>
      </c>
      <c r="CZ52" s="968">
        <f t="shared" si="58"/>
        <v>269500</v>
      </c>
      <c r="DA52" s="968">
        <f t="shared" si="59"/>
        <v>0</v>
      </c>
      <c r="DB52" s="968">
        <f t="shared" si="60"/>
        <v>0</v>
      </c>
      <c r="DC52" s="968">
        <f t="shared" si="61"/>
        <v>269500</v>
      </c>
    </row>
    <row r="53" spans="1:107">
      <c r="A53" s="303">
        <v>2044</v>
      </c>
      <c r="B53" s="304">
        <f ca="1">IF($D$3="BAU",UtilityDemand!C46,INDIRECT($D$3&amp;"!B"&amp;ROW(A53))+INDIRECT($D$3&amp;"!D"&amp;ROW(A53)))</f>
        <v>137794.29498322582</v>
      </c>
      <c r="C53" s="305">
        <f t="shared" ca="1" si="62"/>
        <v>9.908956655524355E-2</v>
      </c>
      <c r="D53" s="306">
        <f t="shared" si="63"/>
        <v>-13653.976963673216</v>
      </c>
      <c r="E53" s="304">
        <f ca="1">IF($D$3="BAU",UtilityDemand!E46,INDIRECT($D$3&amp;"!E"&amp;ROW(D53))+INDIRECT($D$3&amp;"!G"&amp;ROW(D53)))</f>
        <v>734620.49624227174</v>
      </c>
      <c r="F53" s="305">
        <f t="shared" ca="1" si="64"/>
        <v>0.11056316556917579</v>
      </c>
      <c r="G53" s="306">
        <f t="shared" si="65"/>
        <v>-81221.967556544376</v>
      </c>
      <c r="H53" s="304">
        <f ca="1">IF($D$3="BAU",UtilityDemand!G46,INDIRECT($D$3&amp;"!H"&amp;ROW(G53))+INDIRECT($D$3&amp;"!J"&amp;ROW(G53)))</f>
        <v>222012.65565635246</v>
      </c>
      <c r="I53" s="305">
        <f t="shared" ca="1" si="66"/>
        <v>5.602996444785377E-2</v>
      </c>
      <c r="J53" s="306">
        <f t="shared" si="67"/>
        <v>-12439.36120339903</v>
      </c>
      <c r="K53" s="307">
        <f t="shared" ca="1" si="24"/>
        <v>124140.31801955259</v>
      </c>
      <c r="L53" s="307">
        <f t="shared" si="25"/>
        <v>0</v>
      </c>
      <c r="M53" s="307">
        <v>0</v>
      </c>
      <c r="N53" s="307">
        <f t="shared" ca="1" si="26"/>
        <v>124140.31801955259</v>
      </c>
      <c r="O53" s="1494">
        <f t="shared" ca="1" si="27"/>
        <v>653398.52868572739</v>
      </c>
      <c r="P53" s="306">
        <f t="shared" si="28"/>
        <v>0</v>
      </c>
      <c r="Q53" s="306">
        <v>0</v>
      </c>
      <c r="R53" s="306">
        <f t="shared" ca="1" si="29"/>
        <v>653398.52868572739</v>
      </c>
      <c r="S53" s="818">
        <f t="shared" ca="1" si="30"/>
        <v>209573.29445295344</v>
      </c>
      <c r="T53" s="818">
        <f t="shared" si="31"/>
        <v>0</v>
      </c>
      <c r="U53" s="818">
        <v>0</v>
      </c>
      <c r="V53" s="818">
        <f t="shared" ca="1" si="32"/>
        <v>209573.29445295344</v>
      </c>
      <c r="W53" s="306">
        <f t="shared" si="1"/>
        <v>0</v>
      </c>
      <c r="X53" s="306">
        <f t="shared" ca="1" si="2"/>
        <v>-19929.24869033814</v>
      </c>
      <c r="Y53" s="306">
        <v>0</v>
      </c>
      <c r="Z53" s="306">
        <v>0</v>
      </c>
      <c r="AA53" s="308">
        <f ca="1">-SUM(W53,X53/OFFSET(GridFootprintbyYear,$A53-$A$19,0)*EF_PurchElec_MTperMWh,Z53)*OFFSET(ExposureCalculations!Price_GHG_Allowance_2010,A53-$A$19,0)*ExposureCalculations!D50</f>
        <v>1839387.1682524015</v>
      </c>
      <c r="AB53" s="308">
        <f t="shared" ca="1" si="3"/>
        <v>1375068.0498990589</v>
      </c>
      <c r="AC53" s="308">
        <v>0</v>
      </c>
      <c r="AD53" s="819">
        <f t="shared" ca="1" si="4"/>
        <v>1064694.6977114638</v>
      </c>
      <c r="AE53" s="308">
        <v>0</v>
      </c>
      <c r="AF53" s="819">
        <f t="shared" ca="1" si="5"/>
        <v>240494.31659904792</v>
      </c>
      <c r="AG53" s="308">
        <v>0</v>
      </c>
      <c r="AH53" s="308">
        <v>0</v>
      </c>
      <c r="AI53" s="308">
        <v>0</v>
      </c>
      <c r="AJ53" s="308">
        <f t="shared" ca="1" si="6"/>
        <v>2680257.0642095702</v>
      </c>
      <c r="AK53" s="309">
        <v>0</v>
      </c>
      <c r="AL53" s="309">
        <f t="shared" si="68"/>
        <v>-440231.70731706114</v>
      </c>
      <c r="AM53" s="309">
        <f t="shared" si="33"/>
        <v>-440231.70731706114</v>
      </c>
      <c r="AN53" s="310">
        <v>0</v>
      </c>
      <c r="AO53" s="310">
        <v>0</v>
      </c>
      <c r="AP53" s="310">
        <f t="shared" si="34"/>
        <v>0</v>
      </c>
      <c r="AQ53" s="309">
        <v>0</v>
      </c>
      <c r="AR53" s="311">
        <f t="shared" ca="1" si="7"/>
        <v>4079412.5251449109</v>
      </c>
      <c r="AS53" s="870">
        <f t="shared" ca="1" si="35"/>
        <v>55784829.03176102</v>
      </c>
      <c r="AT53" s="822"/>
      <c r="AU53" s="1210">
        <f t="shared" ref="AU53:AV55" si="69">AU27</f>
        <v>1</v>
      </c>
      <c r="AV53" t="str">
        <f t="shared" si="69"/>
        <v>Generic</v>
      </c>
      <c r="AW53" s="879"/>
      <c r="AX53" s="35"/>
      <c r="AY53" s="880"/>
      <c r="BA53" s="123">
        <f>SpacePlanning!BB53-CampusArea!$G$11</f>
        <v>561.46341463414592</v>
      </c>
      <c r="BB53" s="123">
        <f t="shared" si="8"/>
        <v>10818.285449892797</v>
      </c>
      <c r="BC53" s="123">
        <f>BA53*UtilityDemand!F46</f>
        <v>57546.080242271732</v>
      </c>
      <c r="BD53" s="123">
        <f>BA53*UtilityDemand!H46</f>
        <v>16775.865332206569</v>
      </c>
      <c r="BF53" s="123">
        <f t="shared" si="9"/>
        <v>7572.7998149249579</v>
      </c>
      <c r="BG53" s="123">
        <f t="shared" si="10"/>
        <v>0</v>
      </c>
      <c r="BH53" s="123">
        <f t="shared" si="11"/>
        <v>0</v>
      </c>
      <c r="BI53" s="123">
        <f t="shared" si="36"/>
        <v>7572.7998149249579</v>
      </c>
      <c r="BJ53" s="123">
        <f t="shared" si="37"/>
        <v>9203.0655172816114</v>
      </c>
      <c r="BL53" s="123">
        <f t="shared" si="38"/>
        <v>0</v>
      </c>
      <c r="BM53" s="123">
        <f t="shared" si="39"/>
        <v>0</v>
      </c>
      <c r="BN53" s="123">
        <f t="shared" si="40"/>
        <v>0</v>
      </c>
      <c r="BO53" s="123">
        <f t="shared" si="41"/>
        <v>0</v>
      </c>
      <c r="BP53" s="123">
        <f t="shared" si="42"/>
        <v>57546.080242271732</v>
      </c>
      <c r="BR53" s="123">
        <f t="shared" si="12"/>
        <v>10519.106959446748</v>
      </c>
      <c r="BS53" s="123">
        <f t="shared" si="13"/>
        <v>0</v>
      </c>
      <c r="BT53" s="123">
        <f t="shared" si="14"/>
        <v>0</v>
      </c>
      <c r="BU53" s="123">
        <f t="shared" si="43"/>
        <v>10519.106959446748</v>
      </c>
      <c r="BV53" s="123">
        <f t="shared" si="44"/>
        <v>6256.7583727598212</v>
      </c>
      <c r="BX53" s="968">
        <f t="shared" si="45"/>
        <v>170731.70731706114</v>
      </c>
      <c r="BY53" s="968">
        <f t="shared" si="46"/>
        <v>0</v>
      </c>
      <c r="BZ53" s="968">
        <f t="shared" si="47"/>
        <v>0</v>
      </c>
      <c r="CA53" s="968">
        <f t="shared" si="48"/>
        <v>170731.70731706114</v>
      </c>
      <c r="CB53" s="123"/>
      <c r="CC53" s="123">
        <f>SpacePlanning!$AU$49*(A53-2009)</f>
        <v>770</v>
      </c>
      <c r="CD53" s="123">
        <f t="shared" si="49"/>
        <v>14836.371487972019</v>
      </c>
      <c r="CE53" s="123">
        <f t="shared" si="50"/>
        <v>78919.624380908775</v>
      </c>
      <c r="CF53" s="123">
        <f t="shared" si="51"/>
        <v>20608.676102130699</v>
      </c>
      <c r="CH53" s="123">
        <f t="shared" si="15"/>
        <v>10385.460041580414</v>
      </c>
      <c r="CI53" s="123">
        <f t="shared" si="16"/>
        <v>0</v>
      </c>
      <c r="CJ53" s="123">
        <f t="shared" si="17"/>
        <v>0</v>
      </c>
      <c r="CK53" s="123">
        <f t="shared" si="52"/>
        <v>10385.460041580414</v>
      </c>
      <c r="CL53" s="123">
        <f t="shared" si="53"/>
        <v>4450.9114463916048</v>
      </c>
      <c r="CN53" s="123">
        <f t="shared" si="18"/>
        <v>55243.737066636138</v>
      </c>
      <c r="CO53" s="123">
        <f t="shared" si="19"/>
        <v>0</v>
      </c>
      <c r="CP53" s="123">
        <f t="shared" si="20"/>
        <v>0</v>
      </c>
      <c r="CQ53" s="123">
        <f t="shared" si="54"/>
        <v>55243.737066636138</v>
      </c>
      <c r="CR53" s="123">
        <f t="shared" si="55"/>
        <v>23675.887314272637</v>
      </c>
      <c r="CT53" s="123">
        <f t="shared" si="21"/>
        <v>14426.07327149149</v>
      </c>
      <c r="CU53" s="123">
        <f t="shared" si="22"/>
        <v>0</v>
      </c>
      <c r="CV53" s="123">
        <f t="shared" si="23"/>
        <v>0</v>
      </c>
      <c r="CW53" s="123">
        <f t="shared" si="56"/>
        <v>14426.07327149149</v>
      </c>
      <c r="CX53" s="123">
        <f t="shared" si="57"/>
        <v>6182.6028306392091</v>
      </c>
      <c r="CZ53" s="968">
        <f t="shared" si="58"/>
        <v>269500</v>
      </c>
      <c r="DA53" s="968">
        <f t="shared" si="59"/>
        <v>0</v>
      </c>
      <c r="DB53" s="968">
        <f t="shared" si="60"/>
        <v>0</v>
      </c>
      <c r="DC53" s="968">
        <f t="shared" si="61"/>
        <v>269500</v>
      </c>
    </row>
    <row r="54" spans="1:107">
      <c r="A54" s="303">
        <v>2045</v>
      </c>
      <c r="B54" s="304">
        <f ca="1">IF($D$3="BAU",UtilityDemand!C47,INDIRECT($D$3&amp;"!B"&amp;ROW(A54))+INDIRECT($D$3&amp;"!D"&amp;ROW(A54)))</f>
        <v>137982.27561658621</v>
      </c>
      <c r="C54" s="305">
        <f t="shared" ca="1" si="62"/>
        <v>0.1012976730347665</v>
      </c>
      <c r="D54" s="306">
        <f t="shared" si="63"/>
        <v>-13977.283440001984</v>
      </c>
      <c r="E54" s="304">
        <f ca="1">IF($D$3="BAU",UtilityDemand!E47,INDIRECT($D$3&amp;"!E"&amp;ROW(D54))+INDIRECT($D$3&amp;"!G"&amp;ROW(D54)))</f>
        <v>735620.42813179852</v>
      </c>
      <c r="F54" s="305">
        <f t="shared" ca="1" si="64"/>
        <v>0.11269174998289132</v>
      </c>
      <c r="G54" s="306">
        <f t="shared" si="65"/>
        <v>-82898.35336933611</v>
      </c>
      <c r="H54" s="304">
        <f ca="1">IF($D$3="BAU",UtilityDemand!G47,INDIRECT($D$3&amp;"!H"&amp;ROW(G54))+INDIRECT($D$3&amp;"!J"&amp;ROW(G54)))</f>
        <v>223148.27287019003</v>
      </c>
      <c r="I54" s="305">
        <f t="shared" ca="1" si="66"/>
        <v>5.7185963422221486E-2</v>
      </c>
      <c r="J54" s="306">
        <f t="shared" si="67"/>
        <v>-12760.948970086587</v>
      </c>
      <c r="K54" s="307">
        <f t="shared" ca="1" si="24"/>
        <v>124004.99217658423</v>
      </c>
      <c r="L54" s="307">
        <f t="shared" si="25"/>
        <v>0</v>
      </c>
      <c r="M54" s="307">
        <v>0</v>
      </c>
      <c r="N54" s="307">
        <f t="shared" ca="1" si="26"/>
        <v>124004.99217658423</v>
      </c>
      <c r="O54" s="1494">
        <f t="shared" ca="1" si="27"/>
        <v>652722.07476246241</v>
      </c>
      <c r="P54" s="306">
        <f t="shared" si="28"/>
        <v>0</v>
      </c>
      <c r="Q54" s="306">
        <v>0</v>
      </c>
      <c r="R54" s="306">
        <f t="shared" ca="1" si="29"/>
        <v>652722.07476246241</v>
      </c>
      <c r="S54" s="818">
        <f t="shared" ca="1" si="30"/>
        <v>210387.32390010345</v>
      </c>
      <c r="T54" s="818">
        <f t="shared" si="31"/>
        <v>0</v>
      </c>
      <c r="U54" s="818">
        <v>0</v>
      </c>
      <c r="V54" s="818">
        <f t="shared" ca="1" si="32"/>
        <v>210387.32390010345</v>
      </c>
      <c r="W54" s="306">
        <f t="shared" si="1"/>
        <v>0</v>
      </c>
      <c r="X54" s="306">
        <f t="shared" ca="1" si="2"/>
        <v>-20377.753857594329</v>
      </c>
      <c r="Y54" s="306">
        <v>0</v>
      </c>
      <c r="Z54" s="306">
        <v>0</v>
      </c>
      <c r="AA54" s="308">
        <f ca="1">-SUM(W54,X54/OFFSET(GridFootprintbyYear,$A54-$A$19,0)*EF_PurchElec_MTperMWh,Z54)*OFFSET(ExposureCalculations!Price_GHG_Allowance_2010,A54-$A$19,0)*ExposureCalculations!D51</f>
        <v>1977540.7428852944</v>
      </c>
      <c r="AB54" s="308">
        <f t="shared" ca="1" si="3"/>
        <v>1414665.8159402087</v>
      </c>
      <c r="AC54" s="308">
        <v>0</v>
      </c>
      <c r="AD54" s="819">
        <f t="shared" ca="1" si="4"/>
        <v>1092102.8772911448</v>
      </c>
      <c r="AE54" s="308">
        <v>0</v>
      </c>
      <c r="AF54" s="819">
        <f t="shared" ca="1" si="5"/>
        <v>246711.68008834065</v>
      </c>
      <c r="AG54" s="308">
        <v>0</v>
      </c>
      <c r="AH54" s="308">
        <v>0</v>
      </c>
      <c r="AI54" s="308">
        <v>0</v>
      </c>
      <c r="AJ54" s="308">
        <f t="shared" ca="1" si="6"/>
        <v>2753480.3733196943</v>
      </c>
      <c r="AK54" s="309">
        <v>0</v>
      </c>
      <c r="AL54" s="309">
        <f t="shared" si="68"/>
        <v>-440231.70731706114</v>
      </c>
      <c r="AM54" s="309">
        <f t="shared" si="33"/>
        <v>-440231.70731706114</v>
      </c>
      <c r="AN54" s="310">
        <v>0</v>
      </c>
      <c r="AO54" s="310">
        <v>0</v>
      </c>
      <c r="AP54" s="310">
        <f t="shared" si="34"/>
        <v>0</v>
      </c>
      <c r="AQ54" s="309">
        <v>0</v>
      </c>
      <c r="AR54" s="311">
        <f t="shared" ca="1" si="7"/>
        <v>4290789.4088879274</v>
      </c>
      <c r="AS54" s="870">
        <f t="shared" ca="1" si="35"/>
        <v>60075618.440648951</v>
      </c>
      <c r="AT54" s="822"/>
      <c r="AU54" s="1210">
        <f t="shared" si="69"/>
        <v>0</v>
      </c>
      <c r="AV54">
        <f t="shared" si="69"/>
        <v>0</v>
      </c>
      <c r="AW54" s="879"/>
      <c r="AX54" s="35"/>
      <c r="AY54" s="880"/>
      <c r="BA54" s="123">
        <f>SpacePlanning!BB54-CampusArea!$G$11</f>
        <v>571.21951219512084</v>
      </c>
      <c r="BB54" s="123">
        <f t="shared" si="8"/>
        <v>11006.266083253216</v>
      </c>
      <c r="BC54" s="123">
        <f>BA54*UtilityDemand!F47</f>
        <v>58546.012131798547</v>
      </c>
      <c r="BD54" s="123">
        <f>BA54*UtilityDemand!H47</f>
        <v>17103.589353419295</v>
      </c>
      <c r="BF54" s="123">
        <f t="shared" si="9"/>
        <v>7704.3862582772508</v>
      </c>
      <c r="BG54" s="123">
        <f t="shared" si="10"/>
        <v>0</v>
      </c>
      <c r="BH54" s="123">
        <f t="shared" si="11"/>
        <v>0</v>
      </c>
      <c r="BI54" s="123">
        <f t="shared" si="36"/>
        <v>7704.3862582772508</v>
      </c>
      <c r="BJ54" s="123">
        <f t="shared" si="37"/>
        <v>9399.2030951420438</v>
      </c>
      <c r="BL54" s="123">
        <f t="shared" si="38"/>
        <v>0</v>
      </c>
      <c r="BM54" s="123">
        <f t="shared" si="39"/>
        <v>0</v>
      </c>
      <c r="BN54" s="123">
        <f t="shared" si="40"/>
        <v>0</v>
      </c>
      <c r="BO54" s="123">
        <f t="shared" si="41"/>
        <v>0</v>
      </c>
      <c r="BP54" s="123">
        <f t="shared" si="42"/>
        <v>58546.012131798547</v>
      </c>
      <c r="BR54" s="123">
        <f t="shared" si="12"/>
        <v>10701.88900913304</v>
      </c>
      <c r="BS54" s="123">
        <f t="shared" si="13"/>
        <v>0</v>
      </c>
      <c r="BT54" s="123">
        <f t="shared" si="14"/>
        <v>0</v>
      </c>
      <c r="BU54" s="123">
        <f t="shared" si="43"/>
        <v>10701.88900913304</v>
      </c>
      <c r="BV54" s="123">
        <f t="shared" si="44"/>
        <v>6401.7003442862551</v>
      </c>
      <c r="BX54" s="968">
        <f t="shared" si="45"/>
        <v>170731.70731706114</v>
      </c>
      <c r="BY54" s="968">
        <f t="shared" si="46"/>
        <v>0</v>
      </c>
      <c r="BZ54" s="968">
        <f t="shared" si="47"/>
        <v>0</v>
      </c>
      <c r="CA54" s="968">
        <f t="shared" si="48"/>
        <v>170731.70731706114</v>
      </c>
      <c r="CB54" s="123"/>
      <c r="CC54" s="123">
        <f>SpacePlanning!$AU$49*(A54-2009)</f>
        <v>792</v>
      </c>
      <c r="CD54" s="123">
        <f t="shared" si="49"/>
        <v>15260.267816199794</v>
      </c>
      <c r="CE54" s="123">
        <f t="shared" si="50"/>
        <v>81174.470791791886</v>
      </c>
      <c r="CF54" s="123">
        <f t="shared" si="51"/>
        <v>21197.495419334435</v>
      </c>
      <c r="CH54" s="123">
        <f t="shared" si="15"/>
        <v>10682.187471339854</v>
      </c>
      <c r="CI54" s="123">
        <f t="shared" si="16"/>
        <v>0</v>
      </c>
      <c r="CJ54" s="123">
        <f t="shared" si="17"/>
        <v>0</v>
      </c>
      <c r="CK54" s="123">
        <f t="shared" si="52"/>
        <v>10682.187471339854</v>
      </c>
      <c r="CL54" s="123">
        <f t="shared" si="53"/>
        <v>4578.0803448599399</v>
      </c>
      <c r="CN54" s="123">
        <f t="shared" si="18"/>
        <v>56822.129554254316</v>
      </c>
      <c r="CO54" s="123">
        <f t="shared" si="19"/>
        <v>0</v>
      </c>
      <c r="CP54" s="123">
        <f t="shared" si="20"/>
        <v>0</v>
      </c>
      <c r="CQ54" s="123">
        <f t="shared" si="54"/>
        <v>56822.129554254316</v>
      </c>
      <c r="CR54" s="123">
        <f t="shared" si="55"/>
        <v>24352.34123753757</v>
      </c>
      <c r="CT54" s="123">
        <f t="shared" si="21"/>
        <v>14838.246793534103</v>
      </c>
      <c r="CU54" s="123">
        <f t="shared" si="22"/>
        <v>0</v>
      </c>
      <c r="CV54" s="123">
        <f t="shared" si="23"/>
        <v>0</v>
      </c>
      <c r="CW54" s="123">
        <f t="shared" si="56"/>
        <v>14838.246793534103</v>
      </c>
      <c r="CX54" s="123">
        <f t="shared" si="57"/>
        <v>6359.2486258003319</v>
      </c>
      <c r="CZ54" s="968">
        <f t="shared" si="58"/>
        <v>269500</v>
      </c>
      <c r="DA54" s="968">
        <f t="shared" si="59"/>
        <v>0</v>
      </c>
      <c r="DB54" s="968">
        <f t="shared" si="60"/>
        <v>0</v>
      </c>
      <c r="DC54" s="968">
        <f t="shared" si="61"/>
        <v>269500</v>
      </c>
    </row>
    <row r="55" spans="1:107">
      <c r="A55" s="303">
        <v>2046</v>
      </c>
      <c r="B55" s="304">
        <f ca="1">IF($D$3="BAU",UtilityDemand!C48,INDIRECT($D$3&amp;"!B"&amp;ROW(A55))+INDIRECT($D$3&amp;"!D"&amp;ROW(A55)))</f>
        <v>138170.25624994669</v>
      </c>
      <c r="C55" s="305">
        <f t="shared" ca="1" si="62"/>
        <v>0.10350429801006783</v>
      </c>
      <c r="D55" s="306">
        <f t="shared" si="63"/>
        <v>-14301.21537902192</v>
      </c>
      <c r="E55" s="304">
        <f ca="1">IF($D$3="BAU",UtilityDemand!E48,INDIRECT($D$3&amp;"!E"&amp;ROW(D55))+INDIRECT($D$3&amp;"!G"&amp;ROW(D55)))</f>
        <v>736620.36002132529</v>
      </c>
      <c r="F55" s="305">
        <f t="shared" ca="1" si="64"/>
        <v>0.11481455546474374</v>
      </c>
      <c r="G55" s="306">
        <f t="shared" si="65"/>
        <v>-84574.73918212796</v>
      </c>
      <c r="H55" s="304">
        <f ca="1">IF($D$3="BAU",UtilityDemand!G48,INDIRECT($D$3&amp;"!H"&amp;ROW(G55))+INDIRECT($D$3&amp;"!J"&amp;ROW(G55)))</f>
        <v>224283.89008402763</v>
      </c>
      <c r="I55" s="305">
        <f t="shared" ca="1" si="66"/>
        <v>5.8333044761100433E-2</v>
      </c>
      <c r="J55" s="306">
        <f t="shared" si="67"/>
        <v>-13083.162199465314</v>
      </c>
      <c r="K55" s="307">
        <f t="shared" ca="1" si="24"/>
        <v>123869.04087092477</v>
      </c>
      <c r="L55" s="307">
        <f t="shared" si="25"/>
        <v>0</v>
      </c>
      <c r="M55" s="307">
        <v>0</v>
      </c>
      <c r="N55" s="307">
        <f t="shared" ca="1" si="26"/>
        <v>123869.04087092477</v>
      </c>
      <c r="O55" s="1494">
        <f t="shared" ca="1" si="27"/>
        <v>652045.62083919731</v>
      </c>
      <c r="P55" s="306">
        <f t="shared" si="28"/>
        <v>0</v>
      </c>
      <c r="Q55" s="306">
        <v>0</v>
      </c>
      <c r="R55" s="306">
        <f t="shared" ca="1" si="29"/>
        <v>652045.62083919731</v>
      </c>
      <c r="S55" s="818">
        <f t="shared" ca="1" si="30"/>
        <v>211200.72788456231</v>
      </c>
      <c r="T55" s="818">
        <f t="shared" si="31"/>
        <v>0</v>
      </c>
      <c r="U55" s="818">
        <v>0</v>
      </c>
      <c r="V55" s="818">
        <f t="shared" ca="1" si="32"/>
        <v>211200.72788456231</v>
      </c>
      <c r="W55" s="306">
        <f t="shared" si="1"/>
        <v>0</v>
      </c>
      <c r="X55" s="306">
        <f t="shared" ca="1" si="2"/>
        <v>-20826.777559125614</v>
      </c>
      <c r="Y55" s="306">
        <v>0</v>
      </c>
      <c r="Z55" s="306">
        <v>0</v>
      </c>
      <c r="AA55" s="308">
        <f ca="1">-SUM(W55,X55/OFFSET(GridFootprintbyYear,$A55-$A$19,0)*EF_PurchElec_MTperMWh,Z55)*OFFSET(ExposureCalculations!Price_GHG_Allowance_2010,A55-$A$19,0)*ExposureCalculations!D52</f>
        <v>2126646.4081364316</v>
      </c>
      <c r="AB55" s="308">
        <f t="shared" ca="1" si="3"/>
        <v>1454688.803657352</v>
      </c>
      <c r="AC55" s="308">
        <v>0</v>
      </c>
      <c r="AD55" s="819">
        <f t="shared" ca="1" si="4"/>
        <v>1119758.5212991808</v>
      </c>
      <c r="AE55" s="308">
        <v>0</v>
      </c>
      <c r="AF55" s="819">
        <f t="shared" ca="1" si="5"/>
        <v>252941.13585632941</v>
      </c>
      <c r="AG55" s="308">
        <v>0</v>
      </c>
      <c r="AH55" s="308">
        <v>0</v>
      </c>
      <c r="AI55" s="308">
        <v>0</v>
      </c>
      <c r="AJ55" s="308">
        <f t="shared" ca="1" si="6"/>
        <v>2827388.460812862</v>
      </c>
      <c r="AK55" s="309">
        <v>0</v>
      </c>
      <c r="AL55" s="309">
        <f t="shared" si="68"/>
        <v>-440231.70731707709</v>
      </c>
      <c r="AM55" s="309">
        <f t="shared" si="33"/>
        <v>-440231.70731707709</v>
      </c>
      <c r="AN55" s="310">
        <v>0</v>
      </c>
      <c r="AO55" s="310">
        <v>0</v>
      </c>
      <c r="AP55" s="310">
        <f t="shared" si="34"/>
        <v>0</v>
      </c>
      <c r="AQ55" s="309">
        <v>0</v>
      </c>
      <c r="AR55" s="311">
        <f t="shared" ca="1" si="7"/>
        <v>4513803.1616322175</v>
      </c>
      <c r="AS55" s="870">
        <f t="shared" ca="1" si="35"/>
        <v>64589421.602281168</v>
      </c>
      <c r="AT55" s="822"/>
      <c r="AU55" s="1210">
        <f t="shared" si="69"/>
        <v>0</v>
      </c>
      <c r="AV55">
        <f t="shared" si="69"/>
        <v>0</v>
      </c>
      <c r="AW55" s="879"/>
      <c r="AX55" s="35"/>
      <c r="AY55" s="880"/>
      <c r="BA55" s="123">
        <f>SpacePlanning!BB55-CampusArea!$G$11</f>
        <v>580.97560975609667</v>
      </c>
      <c r="BB55" s="123">
        <f t="shared" si="8"/>
        <v>11194.24671661365</v>
      </c>
      <c r="BC55" s="123">
        <f>BA55*UtilityDemand!F48</f>
        <v>59545.944021325442</v>
      </c>
      <c r="BD55" s="123">
        <f>BA55*UtilityDemand!H48</f>
        <v>17431.938837323207</v>
      </c>
      <c r="BF55" s="123">
        <f t="shared" si="9"/>
        <v>7835.9727016295556</v>
      </c>
      <c r="BG55" s="123">
        <f t="shared" si="10"/>
        <v>0</v>
      </c>
      <c r="BH55" s="123">
        <f t="shared" si="11"/>
        <v>0</v>
      </c>
      <c r="BI55" s="123">
        <f t="shared" si="36"/>
        <v>7835.9727016295556</v>
      </c>
      <c r="BJ55" s="123">
        <f t="shared" si="37"/>
        <v>9595.9661356936522</v>
      </c>
      <c r="BL55" s="123">
        <f t="shared" si="38"/>
        <v>0</v>
      </c>
      <c r="BM55" s="123">
        <f t="shared" si="39"/>
        <v>0</v>
      </c>
      <c r="BN55" s="123">
        <f t="shared" si="40"/>
        <v>0</v>
      </c>
      <c r="BO55" s="123">
        <f t="shared" si="41"/>
        <v>0</v>
      </c>
      <c r="BP55" s="123">
        <f t="shared" si="42"/>
        <v>59545.944021325442</v>
      </c>
      <c r="BR55" s="123">
        <f t="shared" si="12"/>
        <v>10884.671058819345</v>
      </c>
      <c r="BS55" s="123">
        <f t="shared" si="13"/>
        <v>0</v>
      </c>
      <c r="BT55" s="123">
        <f t="shared" si="14"/>
        <v>0</v>
      </c>
      <c r="BU55" s="123">
        <f t="shared" si="43"/>
        <v>10884.671058819345</v>
      </c>
      <c r="BV55" s="123">
        <f t="shared" si="44"/>
        <v>6547.2677785038613</v>
      </c>
      <c r="BX55" s="968">
        <f t="shared" si="45"/>
        <v>170731.70731707706</v>
      </c>
      <c r="BY55" s="968">
        <f t="shared" si="46"/>
        <v>0</v>
      </c>
      <c r="BZ55" s="968">
        <f t="shared" si="47"/>
        <v>0</v>
      </c>
      <c r="CA55" s="968">
        <f t="shared" si="48"/>
        <v>170731.70731707706</v>
      </c>
      <c r="CB55" s="123"/>
      <c r="CC55" s="123">
        <f>SpacePlanning!$AU$49*(A55-2009)</f>
        <v>814</v>
      </c>
      <c r="CD55" s="123">
        <f t="shared" si="49"/>
        <v>15684.164144427563</v>
      </c>
      <c r="CE55" s="123">
        <f t="shared" si="50"/>
        <v>83429.317202674996</v>
      </c>
      <c r="CF55" s="123">
        <f t="shared" si="51"/>
        <v>21786.31473653817</v>
      </c>
      <c r="CH55" s="123">
        <f t="shared" si="15"/>
        <v>10978.914901099295</v>
      </c>
      <c r="CI55" s="123">
        <f t="shared" si="16"/>
        <v>0</v>
      </c>
      <c r="CJ55" s="123">
        <f t="shared" si="17"/>
        <v>0</v>
      </c>
      <c r="CK55" s="123">
        <f t="shared" si="52"/>
        <v>10978.914901099295</v>
      </c>
      <c r="CL55" s="123">
        <f t="shared" si="53"/>
        <v>4705.2492433282678</v>
      </c>
      <c r="CN55" s="123">
        <f t="shared" si="18"/>
        <v>58400.522041872486</v>
      </c>
      <c r="CO55" s="123">
        <f t="shared" si="19"/>
        <v>0</v>
      </c>
      <c r="CP55" s="123">
        <f t="shared" si="20"/>
        <v>0</v>
      </c>
      <c r="CQ55" s="123">
        <f t="shared" si="54"/>
        <v>58400.522041872486</v>
      </c>
      <c r="CR55" s="123">
        <f t="shared" si="55"/>
        <v>25028.795160802511</v>
      </c>
      <c r="CT55" s="123">
        <f t="shared" si="21"/>
        <v>15250.420315576717</v>
      </c>
      <c r="CU55" s="123">
        <f t="shared" si="22"/>
        <v>0</v>
      </c>
      <c r="CV55" s="123">
        <f t="shared" si="23"/>
        <v>0</v>
      </c>
      <c r="CW55" s="123">
        <f t="shared" si="56"/>
        <v>15250.420315576717</v>
      </c>
      <c r="CX55" s="123">
        <f t="shared" si="57"/>
        <v>6535.8944209614529</v>
      </c>
      <c r="CZ55" s="968">
        <f t="shared" si="58"/>
        <v>269500</v>
      </c>
      <c r="DA55" s="968">
        <f t="shared" si="59"/>
        <v>0</v>
      </c>
      <c r="DB55" s="968">
        <f t="shared" si="60"/>
        <v>0</v>
      </c>
      <c r="DC55" s="968">
        <f t="shared" si="61"/>
        <v>269500</v>
      </c>
    </row>
    <row r="56" spans="1:107">
      <c r="A56" s="303">
        <v>2047</v>
      </c>
      <c r="B56" s="304">
        <f ca="1">IF($D$3="BAU",UtilityDemand!C49,INDIRECT($D$3&amp;"!B"&amp;ROW(A56))+INDIRECT($D$3&amp;"!D"&amp;ROW(A56)))</f>
        <v>138358.23688330711</v>
      </c>
      <c r="C56" s="305">
        <f t="shared" ca="1" si="62"/>
        <v>0.10570933582771792</v>
      </c>
      <c r="D56" s="306">
        <f t="shared" si="63"/>
        <v>-14625.757327228459</v>
      </c>
      <c r="E56" s="304">
        <f ca="1">IF($D$3="BAU",UtilityDemand!E49,INDIRECT($D$3&amp;"!E"&amp;ROW(D56))+INDIRECT($D$3&amp;"!G"&amp;ROW(D56)))</f>
        <v>737620.29191085219</v>
      </c>
      <c r="F56" s="305">
        <f t="shared" ca="1" si="64"/>
        <v>0.11693160551681779</v>
      </c>
      <c r="G56" s="306">
        <f t="shared" si="65"/>
        <v>-86251.124994919752</v>
      </c>
      <c r="H56" s="304">
        <f ca="1">IF($D$3="BAU",UtilityDemand!G49,INDIRECT($D$3&amp;"!H"&amp;ROW(G56))+INDIRECT($D$3&amp;"!J"&amp;ROW(G56)))</f>
        <v>225419.50729786523</v>
      </c>
      <c r="I56" s="305">
        <f t="shared" ca="1" si="66"/>
        <v>5.9471274685718362E-2</v>
      </c>
      <c r="J56" s="306">
        <f t="shared" si="67"/>
        <v>-13405.985438030639</v>
      </c>
      <c r="K56" s="307">
        <f t="shared" ca="1" si="24"/>
        <v>123732.47955607864</v>
      </c>
      <c r="L56" s="307">
        <f t="shared" si="25"/>
        <v>0</v>
      </c>
      <c r="M56" s="307">
        <v>0</v>
      </c>
      <c r="N56" s="307">
        <f t="shared" ca="1" si="26"/>
        <v>123732.47955607864</v>
      </c>
      <c r="O56" s="1494">
        <f t="shared" ca="1" si="27"/>
        <v>651369.16691593244</v>
      </c>
      <c r="P56" s="306">
        <f t="shared" si="28"/>
        <v>0</v>
      </c>
      <c r="Q56" s="306">
        <v>0</v>
      </c>
      <c r="R56" s="306">
        <f t="shared" ca="1" si="29"/>
        <v>651369.16691593244</v>
      </c>
      <c r="S56" s="818">
        <f t="shared" ca="1" si="30"/>
        <v>212013.52185983458</v>
      </c>
      <c r="T56" s="818">
        <f t="shared" si="31"/>
        <v>0</v>
      </c>
      <c r="U56" s="818">
        <v>0</v>
      </c>
      <c r="V56" s="818">
        <f t="shared" ca="1" si="32"/>
        <v>212013.52185983458</v>
      </c>
      <c r="W56" s="306">
        <f t="shared" si="1"/>
        <v>0</v>
      </c>
      <c r="X56" s="306">
        <f t="shared" ca="1" si="2"/>
        <v>-21276.306983341619</v>
      </c>
      <c r="Y56" s="306">
        <v>0</v>
      </c>
      <c r="Z56" s="306">
        <v>0</v>
      </c>
      <c r="AA56" s="308">
        <f ca="1">-SUM(W56,X56/OFFSET(GridFootprintbyYear,$A56-$A$19,0)*EF_PurchElec_MTperMWh,Z56)*OFFSET(ExposureCalculations!Price_GHG_Allowance_2010,A56-$A$19,0)*ExposureCalculations!D53</f>
        <v>2287989.1012910986</v>
      </c>
      <c r="AB56" s="308">
        <f t="shared" ca="1" si="3"/>
        <v>1495139.01367002</v>
      </c>
      <c r="AC56" s="308">
        <v>0</v>
      </c>
      <c r="AD56" s="819">
        <f t="shared" ca="1" si="4"/>
        <v>1147663.4191753645</v>
      </c>
      <c r="AE56" s="308">
        <v>0</v>
      </c>
      <c r="AF56" s="819">
        <f t="shared" ca="1" si="5"/>
        <v>259182.38513525901</v>
      </c>
      <c r="AG56" s="308">
        <v>0</v>
      </c>
      <c r="AH56" s="308">
        <v>0</v>
      </c>
      <c r="AI56" s="308">
        <v>0</v>
      </c>
      <c r="AJ56" s="308">
        <f t="shared" ca="1" si="6"/>
        <v>2901984.8179806438</v>
      </c>
      <c r="AK56" s="309">
        <v>0</v>
      </c>
      <c r="AL56" s="309">
        <f t="shared" si="68"/>
        <v>-440231.70731707709</v>
      </c>
      <c r="AM56" s="309">
        <f t="shared" si="33"/>
        <v>-440231.70731707709</v>
      </c>
      <c r="AN56" s="310">
        <v>0</v>
      </c>
      <c r="AO56" s="310">
        <v>0</v>
      </c>
      <c r="AP56" s="310">
        <f t="shared" si="34"/>
        <v>0</v>
      </c>
      <c r="AQ56" s="309">
        <v>0</v>
      </c>
      <c r="AR56" s="311">
        <f t="shared" ca="1" si="7"/>
        <v>4749742.2119546663</v>
      </c>
      <c r="AS56" s="870">
        <f t="shared" ca="1" si="35"/>
        <v>69339163.814235836</v>
      </c>
      <c r="AT56" s="822"/>
      <c r="AU56" s="878"/>
      <c r="AV56" s="35"/>
      <c r="AW56" s="879"/>
      <c r="AX56" s="35"/>
      <c r="AY56" s="880"/>
      <c r="BA56" s="123">
        <f>SpacePlanning!BB56-CampusArea!$G$11</f>
        <v>590.73170731707251</v>
      </c>
      <c r="BB56" s="123">
        <f t="shared" si="8"/>
        <v>11382.227349974086</v>
      </c>
      <c r="BC56" s="123">
        <f>BA56*UtilityDemand!F49</f>
        <v>60545.87591085233</v>
      </c>
      <c r="BD56" s="123">
        <f>BA56*UtilityDemand!H49</f>
        <v>17760.898330413718</v>
      </c>
      <c r="BF56" s="123">
        <f t="shared" si="9"/>
        <v>7967.5591449818603</v>
      </c>
      <c r="BG56" s="123">
        <f t="shared" si="10"/>
        <v>0</v>
      </c>
      <c r="BH56" s="123">
        <f t="shared" si="11"/>
        <v>0</v>
      </c>
      <c r="BI56" s="123">
        <f t="shared" si="36"/>
        <v>7967.5591449818603</v>
      </c>
      <c r="BJ56" s="123">
        <f t="shared" si="37"/>
        <v>9793.3391854318579</v>
      </c>
      <c r="BL56" s="123">
        <f t="shared" si="38"/>
        <v>0</v>
      </c>
      <c r="BM56" s="123">
        <f t="shared" si="39"/>
        <v>0</v>
      </c>
      <c r="BN56" s="123">
        <f t="shared" si="40"/>
        <v>0</v>
      </c>
      <c r="BO56" s="123">
        <f t="shared" si="41"/>
        <v>0</v>
      </c>
      <c r="BP56" s="123">
        <f t="shared" si="42"/>
        <v>60545.87591085233</v>
      </c>
      <c r="BR56" s="123">
        <f t="shared" si="12"/>
        <v>11067.453108505653</v>
      </c>
      <c r="BS56" s="123">
        <f t="shared" si="13"/>
        <v>0</v>
      </c>
      <c r="BT56" s="123">
        <f t="shared" si="14"/>
        <v>0</v>
      </c>
      <c r="BU56" s="123">
        <f t="shared" si="43"/>
        <v>11067.453108505653</v>
      </c>
      <c r="BV56" s="123">
        <f t="shared" si="44"/>
        <v>6693.4452219080649</v>
      </c>
      <c r="BX56" s="968">
        <f t="shared" si="45"/>
        <v>170731.70731707706</v>
      </c>
      <c r="BY56" s="968">
        <f t="shared" si="46"/>
        <v>0</v>
      </c>
      <c r="BZ56" s="968">
        <f t="shared" si="47"/>
        <v>0</v>
      </c>
      <c r="CA56" s="968">
        <f t="shared" si="48"/>
        <v>170731.70731707706</v>
      </c>
      <c r="CB56" s="123"/>
      <c r="CC56" s="123">
        <f>SpacePlanning!$AU$49*(A56-2009)</f>
        <v>836</v>
      </c>
      <c r="CD56" s="123">
        <f t="shared" si="49"/>
        <v>16108.060472655336</v>
      </c>
      <c r="CE56" s="123">
        <f t="shared" si="50"/>
        <v>85684.163613558092</v>
      </c>
      <c r="CF56" s="123">
        <f t="shared" si="51"/>
        <v>22375.134053741906</v>
      </c>
      <c r="CH56" s="123">
        <f t="shared" si="15"/>
        <v>11275.642330858735</v>
      </c>
      <c r="CI56" s="123">
        <f t="shared" si="16"/>
        <v>0</v>
      </c>
      <c r="CJ56" s="123">
        <f t="shared" si="17"/>
        <v>0</v>
      </c>
      <c r="CK56" s="123">
        <f t="shared" si="52"/>
        <v>11275.642330858735</v>
      </c>
      <c r="CL56" s="123">
        <f t="shared" si="53"/>
        <v>4832.418141796601</v>
      </c>
      <c r="CN56" s="123">
        <f t="shared" si="18"/>
        <v>59978.914529490663</v>
      </c>
      <c r="CO56" s="123">
        <f t="shared" si="19"/>
        <v>0</v>
      </c>
      <c r="CP56" s="123">
        <f t="shared" si="20"/>
        <v>0</v>
      </c>
      <c r="CQ56" s="123">
        <f t="shared" si="54"/>
        <v>59978.914529490663</v>
      </c>
      <c r="CR56" s="123">
        <f t="shared" si="55"/>
        <v>25705.249084067429</v>
      </c>
      <c r="CT56" s="123">
        <f t="shared" si="21"/>
        <v>15662.593837619332</v>
      </c>
      <c r="CU56" s="123">
        <f t="shared" si="22"/>
        <v>0</v>
      </c>
      <c r="CV56" s="123">
        <f t="shared" si="23"/>
        <v>0</v>
      </c>
      <c r="CW56" s="123">
        <f t="shared" si="56"/>
        <v>15662.593837619332</v>
      </c>
      <c r="CX56" s="123">
        <f t="shared" si="57"/>
        <v>6712.5402161225738</v>
      </c>
      <c r="CZ56" s="968">
        <f t="shared" si="58"/>
        <v>269500</v>
      </c>
      <c r="DA56" s="968">
        <f t="shared" si="59"/>
        <v>0</v>
      </c>
      <c r="DB56" s="968">
        <f t="shared" si="60"/>
        <v>0</v>
      </c>
      <c r="DC56" s="968">
        <f t="shared" si="61"/>
        <v>269500</v>
      </c>
    </row>
    <row r="57" spans="1:107">
      <c r="A57" s="303">
        <v>2048</v>
      </c>
      <c r="B57" s="304">
        <f ca="1">IF($D$3="BAU",UtilityDemand!C50,INDIRECT($D$3&amp;"!B"&amp;ROW(A57))+INDIRECT($D$3&amp;"!D"&amp;ROW(A57)))</f>
        <v>138546.21751666756</v>
      </c>
      <c r="C57" s="305">
        <f t="shared" ca="1" si="62"/>
        <v>0.10791268505216399</v>
      </c>
      <c r="D57" s="306">
        <f t="shared" si="63"/>
        <v>-14950.894336044752</v>
      </c>
      <c r="E57" s="304">
        <f ca="1">IF($D$3="BAU",UtilityDemand!E50,INDIRECT($D$3&amp;"!E"&amp;ROW(D57))+INDIRECT($D$3&amp;"!G"&amp;ROW(D57)))</f>
        <v>738620.2238003792</v>
      </c>
      <c r="F57" s="305">
        <f t="shared" ca="1" si="64"/>
        <v>0.11904292351393174</v>
      </c>
      <c r="G57" s="306">
        <f t="shared" si="65"/>
        <v>-87927.510807711689</v>
      </c>
      <c r="H57" s="304">
        <f ca="1">IF($D$3="BAU",UtilityDemand!G50,INDIRECT($D$3&amp;"!H"&amp;ROW(G57))+INDIRECT($D$3&amp;"!J"&amp;ROW(G57)))</f>
        <v>226555.1245117028</v>
      </c>
      <c r="I57" s="305">
        <f t="shared" ca="1" si="66"/>
        <v>6.0600720318275167E-2</v>
      </c>
      <c r="J57" s="306">
        <f t="shared" si="67"/>
        <v>-13729.403737205708</v>
      </c>
      <c r="K57" s="307">
        <f t="shared" ca="1" si="24"/>
        <v>123595.3231806228</v>
      </c>
      <c r="L57" s="307">
        <f t="shared" si="25"/>
        <v>0</v>
      </c>
      <c r="M57" s="307">
        <v>0</v>
      </c>
      <c r="N57" s="307">
        <f t="shared" ca="1" si="26"/>
        <v>123595.3231806228</v>
      </c>
      <c r="O57" s="1494">
        <f t="shared" ca="1" si="27"/>
        <v>650692.71299266745</v>
      </c>
      <c r="P57" s="306">
        <f t="shared" si="28"/>
        <v>0</v>
      </c>
      <c r="Q57" s="306">
        <v>0</v>
      </c>
      <c r="R57" s="306">
        <f t="shared" ca="1" si="29"/>
        <v>650692.71299266745</v>
      </c>
      <c r="S57" s="818">
        <f t="shared" ca="1" si="30"/>
        <v>212825.72077449708</v>
      </c>
      <c r="T57" s="818">
        <f t="shared" si="31"/>
        <v>0</v>
      </c>
      <c r="U57" s="818">
        <v>0</v>
      </c>
      <c r="V57" s="818">
        <f t="shared" ca="1" si="32"/>
        <v>212825.72077449708</v>
      </c>
      <c r="W57" s="306">
        <f t="shared" si="1"/>
        <v>0</v>
      </c>
      <c r="X57" s="306">
        <f t="shared" ca="1" si="2"/>
        <v>-21726.329737257827</v>
      </c>
      <c r="Y57" s="306">
        <v>0</v>
      </c>
      <c r="Z57" s="306">
        <v>0</v>
      </c>
      <c r="AA57" s="308">
        <f ca="1">-SUM(W57,X57/OFFSET(GridFootprintbyYear,$A57-$A$19,0)*EF_PurchElec_MTperMWh,Z57)*OFFSET(ExposureCalculations!Price_GHG_Allowance_2010,A57-$A$19,0)*ExposureCalculations!D54</f>
        <v>2462999.2039601761</v>
      </c>
      <c r="AB57" s="308">
        <f t="shared" ca="1" si="3"/>
        <v>1536018.4936413935</v>
      </c>
      <c r="AC57" s="308">
        <v>0</v>
      </c>
      <c r="AD57" s="819">
        <f t="shared" ca="1" si="4"/>
        <v>1175819.3720672799</v>
      </c>
      <c r="AE57" s="308">
        <v>0</v>
      </c>
      <c r="AF57" s="819">
        <f t="shared" ca="1" si="5"/>
        <v>265435.13891931035</v>
      </c>
      <c r="AG57" s="308">
        <v>0</v>
      </c>
      <c r="AH57" s="308">
        <v>0</v>
      </c>
      <c r="AI57" s="308">
        <v>0</v>
      </c>
      <c r="AJ57" s="308">
        <f t="shared" ca="1" si="6"/>
        <v>2977273.0046279836</v>
      </c>
      <c r="AK57" s="309">
        <v>0</v>
      </c>
      <c r="AL57" s="309">
        <f t="shared" si="68"/>
        <v>-440231.70731709298</v>
      </c>
      <c r="AM57" s="309">
        <f t="shared" si="33"/>
        <v>-440231.70731709298</v>
      </c>
      <c r="AN57" s="310">
        <v>0</v>
      </c>
      <c r="AO57" s="310">
        <v>0</v>
      </c>
      <c r="AP57" s="310">
        <f t="shared" si="34"/>
        <v>0</v>
      </c>
      <c r="AQ57" s="309">
        <v>0</v>
      </c>
      <c r="AR57" s="311">
        <f t="shared" ca="1" si="7"/>
        <v>5000040.5012710663</v>
      </c>
      <c r="AS57" s="870">
        <f t="shared" ca="1" si="35"/>
        <v>74339204.315506905</v>
      </c>
      <c r="AT57" s="822"/>
      <c r="AU57" s="964" t="s">
        <v>1363</v>
      </c>
      <c r="AV57" s="35"/>
      <c r="AW57" s="879"/>
      <c r="AX57" s="35"/>
      <c r="AY57" s="880"/>
      <c r="BA57" s="123">
        <f>SpacePlanning!BB57-CampusArea!$G$11</f>
        <v>600.48780487804925</v>
      </c>
      <c r="BB57" s="123">
        <f t="shared" si="8"/>
        <v>11570.20798333454</v>
      </c>
      <c r="BC57" s="123">
        <f>BA57*UtilityDemand!F50</f>
        <v>61545.807800379327</v>
      </c>
      <c r="BD57" s="123">
        <f>BA57*UtilityDemand!H50</f>
        <v>18090.452884113995</v>
      </c>
      <c r="BF57" s="123">
        <f t="shared" si="9"/>
        <v>8099.145588334176</v>
      </c>
      <c r="BG57" s="123">
        <f t="shared" si="10"/>
        <v>0</v>
      </c>
      <c r="BH57" s="123">
        <f t="shared" si="11"/>
        <v>0</v>
      </c>
      <c r="BI57" s="123">
        <f t="shared" si="36"/>
        <v>8099.145588334176</v>
      </c>
      <c r="BJ57" s="123">
        <f t="shared" si="37"/>
        <v>9991.3072957798177</v>
      </c>
      <c r="BL57" s="123">
        <f t="shared" si="38"/>
        <v>0</v>
      </c>
      <c r="BM57" s="123">
        <f t="shared" si="39"/>
        <v>0</v>
      </c>
      <c r="BN57" s="123">
        <f t="shared" si="40"/>
        <v>0</v>
      </c>
      <c r="BO57" s="123">
        <f t="shared" si="41"/>
        <v>0</v>
      </c>
      <c r="BP57" s="123">
        <f t="shared" si="42"/>
        <v>61545.807800379327</v>
      </c>
      <c r="BR57" s="123">
        <f t="shared" si="12"/>
        <v>11250.235158191977</v>
      </c>
      <c r="BS57" s="123">
        <f t="shared" si="13"/>
        <v>0</v>
      </c>
      <c r="BT57" s="123">
        <f t="shared" si="14"/>
        <v>0</v>
      </c>
      <c r="BU57" s="123">
        <f t="shared" si="43"/>
        <v>11250.235158191977</v>
      </c>
      <c r="BV57" s="123">
        <f t="shared" si="44"/>
        <v>6840.2177259220171</v>
      </c>
      <c r="BX57" s="968">
        <f t="shared" si="45"/>
        <v>170731.70731709298</v>
      </c>
      <c r="BY57" s="968">
        <f t="shared" si="46"/>
        <v>0</v>
      </c>
      <c r="BZ57" s="968">
        <f t="shared" si="47"/>
        <v>0</v>
      </c>
      <c r="CA57" s="968">
        <f t="shared" si="48"/>
        <v>170731.70731709298</v>
      </c>
      <c r="CB57" s="123"/>
      <c r="CC57" s="123">
        <f>SpacePlanning!$AU$49*(A57-2009)</f>
        <v>858</v>
      </c>
      <c r="CD57" s="123">
        <f t="shared" si="49"/>
        <v>16531.956800883108</v>
      </c>
      <c r="CE57" s="123">
        <f t="shared" si="50"/>
        <v>87939.010024441202</v>
      </c>
      <c r="CF57" s="123">
        <f t="shared" si="51"/>
        <v>22963.953370945637</v>
      </c>
      <c r="CH57" s="123">
        <f t="shared" si="15"/>
        <v>11572.369760618174</v>
      </c>
      <c r="CI57" s="123">
        <f t="shared" si="16"/>
        <v>0</v>
      </c>
      <c r="CJ57" s="123">
        <f t="shared" si="17"/>
        <v>0</v>
      </c>
      <c r="CK57" s="123">
        <f t="shared" si="52"/>
        <v>11572.369760618174</v>
      </c>
      <c r="CL57" s="123">
        <f t="shared" si="53"/>
        <v>4959.5870402649343</v>
      </c>
      <c r="CN57" s="123">
        <f t="shared" si="18"/>
        <v>61557.30701710884</v>
      </c>
      <c r="CO57" s="123">
        <f t="shared" si="19"/>
        <v>0</v>
      </c>
      <c r="CP57" s="123">
        <f t="shared" si="20"/>
        <v>0</v>
      </c>
      <c r="CQ57" s="123">
        <f t="shared" si="54"/>
        <v>61557.30701710884</v>
      </c>
      <c r="CR57" s="123">
        <f t="shared" si="55"/>
        <v>26381.703007332362</v>
      </c>
      <c r="CT57" s="123">
        <f t="shared" si="21"/>
        <v>16074.767359661946</v>
      </c>
      <c r="CU57" s="123">
        <f t="shared" si="22"/>
        <v>0</v>
      </c>
      <c r="CV57" s="123">
        <f t="shared" si="23"/>
        <v>0</v>
      </c>
      <c r="CW57" s="123">
        <f t="shared" si="56"/>
        <v>16074.767359661946</v>
      </c>
      <c r="CX57" s="123">
        <f t="shared" si="57"/>
        <v>6889.1860112836912</v>
      </c>
      <c r="CZ57" s="968">
        <f t="shared" si="58"/>
        <v>269500</v>
      </c>
      <c r="DA57" s="968">
        <f t="shared" si="59"/>
        <v>0</v>
      </c>
      <c r="DB57" s="968">
        <f t="shared" si="60"/>
        <v>0</v>
      </c>
      <c r="DC57" s="968">
        <f t="shared" si="61"/>
        <v>269500</v>
      </c>
    </row>
    <row r="58" spans="1:107">
      <c r="A58" s="303">
        <v>2049</v>
      </c>
      <c r="B58" s="304">
        <f ca="1">IF($D$3="BAU",UtilityDemand!C51,INDIRECT($D$3&amp;"!B"&amp;ROW(A58))+INDIRECT($D$3&amp;"!D"&amp;ROW(A58)))</f>
        <v>138734.19815002795</v>
      </c>
      <c r="C58" s="305">
        <f t="shared" ca="1" si="62"/>
        <v>0.11011424828971132</v>
      </c>
      <c r="D58" s="306">
        <f t="shared" si="63"/>
        <v>-15276.611941366187</v>
      </c>
      <c r="E58" s="304">
        <f ca="1">IF($D$3="BAU",UtilityDemand!E51,INDIRECT($D$3&amp;"!E"&amp;ROW(D58))+INDIRECT($D$3&amp;"!G"&amp;ROW(D58)))</f>
        <v>739620.1556899061</v>
      </c>
      <c r="F58" s="305">
        <f t="shared" ca="1" si="64"/>
        <v>0.12114853270449658</v>
      </c>
      <c r="G58" s="306">
        <f t="shared" si="65"/>
        <v>-89603.896620503438</v>
      </c>
      <c r="H58" s="304">
        <f ca="1">IF($D$3="BAU",UtilityDemand!G51,INDIRECT($D$3&amp;"!H"&amp;ROW(G58))+INDIRECT($D$3&amp;"!J"&amp;ROW(G58)))</f>
        <v>227690.74172554034</v>
      </c>
      <c r="I58" s="305">
        <f t="shared" ca="1" si="66"/>
        <v>6.1721449569635919E-2</v>
      </c>
      <c r="J58" s="306">
        <f t="shared" si="67"/>
        <v>-14053.402632885935</v>
      </c>
      <c r="K58" s="307">
        <f t="shared" ca="1" si="24"/>
        <v>123457.58620866176</v>
      </c>
      <c r="L58" s="307">
        <f t="shared" si="25"/>
        <v>0</v>
      </c>
      <c r="M58" s="307">
        <v>0</v>
      </c>
      <c r="N58" s="307">
        <f t="shared" ca="1" si="26"/>
        <v>123457.58620866176</v>
      </c>
      <c r="O58" s="1494">
        <f t="shared" ca="1" si="27"/>
        <v>650016.2590694027</v>
      </c>
      <c r="P58" s="306">
        <f t="shared" si="28"/>
        <v>0</v>
      </c>
      <c r="Q58" s="306">
        <v>0</v>
      </c>
      <c r="R58" s="306">
        <f t="shared" ca="1" si="29"/>
        <v>650016.2590694027</v>
      </c>
      <c r="S58" s="818">
        <f t="shared" ca="1" si="30"/>
        <v>213637.33909265441</v>
      </c>
      <c r="T58" s="818">
        <f t="shared" si="31"/>
        <v>0</v>
      </c>
      <c r="U58" s="818">
        <v>0</v>
      </c>
      <c r="V58" s="818">
        <f t="shared" ca="1" si="32"/>
        <v>213637.33909265441</v>
      </c>
      <c r="W58" s="306">
        <f t="shared" si="1"/>
        <v>0</v>
      </c>
      <c r="X58" s="306">
        <f t="shared" ca="1" si="2"/>
        <v>-22176.83382953706</v>
      </c>
      <c r="Y58" s="306">
        <v>0</v>
      </c>
      <c r="Z58" s="306">
        <v>0</v>
      </c>
      <c r="AA58" s="308">
        <f ca="1">-SUM(W58,X58/OFFSET(GridFootprintbyYear,$A58-$A$19,0)*EF_PurchElec_MTperMWh,Z58)*OFFSET(ExposureCalculations!Price_GHG_Allowance_2010,A58-$A$19,0)*ExposureCalculations!D55</f>
        <v>2653252.4562896597</v>
      </c>
      <c r="AB58" s="308">
        <f t="shared" ca="1" si="3"/>
        <v>1577329.3372542653</v>
      </c>
      <c r="AC58" s="308">
        <v>0</v>
      </c>
      <c r="AD58" s="819">
        <f t="shared" ca="1" si="4"/>
        <v>1204228.1929026323</v>
      </c>
      <c r="AE58" s="308">
        <v>0</v>
      </c>
      <c r="AF58" s="819">
        <f t="shared" ca="1" si="5"/>
        <v>271699.11756912805</v>
      </c>
      <c r="AG58" s="308">
        <v>0</v>
      </c>
      <c r="AH58" s="308">
        <v>0</v>
      </c>
      <c r="AI58" s="308">
        <v>0</v>
      </c>
      <c r="AJ58" s="308">
        <f t="shared" ca="1" si="6"/>
        <v>3053256.6477260254</v>
      </c>
      <c r="AK58" s="309">
        <v>0</v>
      </c>
      <c r="AL58" s="309">
        <f t="shared" si="68"/>
        <v>-440231.70731706114</v>
      </c>
      <c r="AM58" s="309">
        <f t="shared" si="33"/>
        <v>-440231.70731706114</v>
      </c>
      <c r="AN58" s="310">
        <v>0</v>
      </c>
      <c r="AO58" s="310">
        <v>0</v>
      </c>
      <c r="AP58" s="310">
        <f t="shared" si="34"/>
        <v>0</v>
      </c>
      <c r="AQ58" s="309">
        <v>0</v>
      </c>
      <c r="AR58" s="311">
        <f t="shared" ca="1" si="7"/>
        <v>5266277.3966986248</v>
      </c>
      <c r="AS58" s="870">
        <f t="shared" ca="1" si="35"/>
        <v>79605481.712205529</v>
      </c>
      <c r="AT58" s="822"/>
      <c r="AU58" s="1214">
        <v>0.7</v>
      </c>
      <c r="AV58" s="35"/>
      <c r="AW58" s="879"/>
      <c r="AX58" s="35"/>
      <c r="AY58" s="880"/>
      <c r="BA58" s="123">
        <f>SpacePlanning!BB58-CampusArea!$G$11</f>
        <v>610.24390243902417</v>
      </c>
      <c r="BB58" s="123">
        <f t="shared" si="8"/>
        <v>11758.188616694957</v>
      </c>
      <c r="BC58" s="123">
        <f>BA58*UtilityDemand!F51</f>
        <v>62545.739689906142</v>
      </c>
      <c r="BD58" s="123">
        <f>BA58*UtilityDemand!H51</f>
        <v>18420.588034319389</v>
      </c>
      <c r="BF58" s="123">
        <f t="shared" si="9"/>
        <v>8230.7320316864698</v>
      </c>
      <c r="BG58" s="123">
        <f t="shared" si="10"/>
        <v>0</v>
      </c>
      <c r="BH58" s="123">
        <f t="shared" si="11"/>
        <v>0</v>
      </c>
      <c r="BI58" s="123">
        <f t="shared" si="36"/>
        <v>8230.7320316864698</v>
      </c>
      <c r="BJ58" s="123">
        <f t="shared" si="37"/>
        <v>10189.85600263292</v>
      </c>
      <c r="BL58" s="123">
        <f t="shared" si="38"/>
        <v>0</v>
      </c>
      <c r="BM58" s="123">
        <f t="shared" si="39"/>
        <v>0</v>
      </c>
      <c r="BN58" s="123">
        <f t="shared" si="40"/>
        <v>0</v>
      </c>
      <c r="BO58" s="123">
        <f t="shared" si="41"/>
        <v>0</v>
      </c>
      <c r="BP58" s="123">
        <f t="shared" si="42"/>
        <v>62545.739689906142</v>
      </c>
      <c r="BR58" s="123">
        <f t="shared" si="12"/>
        <v>11433.017207878269</v>
      </c>
      <c r="BS58" s="123">
        <f t="shared" si="13"/>
        <v>0</v>
      </c>
      <c r="BT58" s="123">
        <f t="shared" si="14"/>
        <v>0</v>
      </c>
      <c r="BU58" s="123">
        <f t="shared" si="43"/>
        <v>11433.017207878269</v>
      </c>
      <c r="BV58" s="123">
        <f t="shared" si="44"/>
        <v>6987.5708264411205</v>
      </c>
      <c r="BX58" s="968">
        <f t="shared" si="45"/>
        <v>170731.70731706114</v>
      </c>
      <c r="BY58" s="968">
        <f t="shared" si="46"/>
        <v>0</v>
      </c>
      <c r="BZ58" s="968">
        <f t="shared" si="47"/>
        <v>0</v>
      </c>
      <c r="CA58" s="968">
        <f t="shared" si="48"/>
        <v>170731.70731706114</v>
      </c>
      <c r="CB58" s="123"/>
      <c r="CC58" s="123">
        <f>SpacePlanning!$AU$49*(A58-2009)</f>
        <v>880</v>
      </c>
      <c r="CD58" s="123">
        <f t="shared" si="49"/>
        <v>16955.853129110881</v>
      </c>
      <c r="CE58" s="123">
        <f t="shared" si="50"/>
        <v>90193.856435324313</v>
      </c>
      <c r="CF58" s="123">
        <f t="shared" si="51"/>
        <v>23552.772688149373</v>
      </c>
      <c r="CH58" s="123">
        <f t="shared" si="15"/>
        <v>11869.097190377614</v>
      </c>
      <c r="CI58" s="123">
        <f t="shared" si="16"/>
        <v>0</v>
      </c>
      <c r="CJ58" s="123">
        <f t="shared" si="17"/>
        <v>0</v>
      </c>
      <c r="CK58" s="123">
        <f t="shared" si="52"/>
        <v>11869.097190377614</v>
      </c>
      <c r="CL58" s="123">
        <f t="shared" si="53"/>
        <v>5086.7559387332676</v>
      </c>
      <c r="CN58" s="123">
        <f t="shared" si="18"/>
        <v>63135.699504727017</v>
      </c>
      <c r="CO58" s="123">
        <f t="shared" si="19"/>
        <v>0</v>
      </c>
      <c r="CP58" s="123">
        <f t="shared" si="20"/>
        <v>0</v>
      </c>
      <c r="CQ58" s="123">
        <f t="shared" si="54"/>
        <v>63135.699504727017</v>
      </c>
      <c r="CR58" s="123">
        <f t="shared" si="55"/>
        <v>27058.156930597295</v>
      </c>
      <c r="CT58" s="123">
        <f t="shared" si="21"/>
        <v>16486.940881704559</v>
      </c>
      <c r="CU58" s="123">
        <f t="shared" si="22"/>
        <v>0</v>
      </c>
      <c r="CV58" s="123">
        <f t="shared" si="23"/>
        <v>0</v>
      </c>
      <c r="CW58" s="123">
        <f t="shared" si="56"/>
        <v>16486.940881704559</v>
      </c>
      <c r="CX58" s="123">
        <f t="shared" si="57"/>
        <v>7065.831806444814</v>
      </c>
      <c r="CZ58" s="968">
        <f t="shared" si="58"/>
        <v>269500</v>
      </c>
      <c r="DA58" s="968">
        <f t="shared" si="59"/>
        <v>0</v>
      </c>
      <c r="DB58" s="968">
        <f t="shared" si="60"/>
        <v>0</v>
      </c>
      <c r="DC58" s="968">
        <f t="shared" si="61"/>
        <v>269500</v>
      </c>
    </row>
    <row r="59" spans="1:107">
      <c r="A59" s="303">
        <v>2050</v>
      </c>
      <c r="B59" s="304">
        <f ca="1">IF($D$3="BAU",UtilityDemand!C52,INDIRECT($D$3&amp;"!B"&amp;ROW(A59))+INDIRECT($D$3&amp;"!D"&amp;ROW(A59)))</f>
        <v>138922.1787833884</v>
      </c>
      <c r="C59" s="305">
        <f t="shared" ca="1" si="62"/>
        <v>0.11231393202103471</v>
      </c>
      <c r="D59" s="306">
        <f t="shared" si="63"/>
        <v>-15602.896144091515</v>
      </c>
      <c r="E59" s="304">
        <f ca="1">IF($D$3="BAU",UtilityDemand!E52,INDIRECT($D$3&amp;"!E"&amp;ROW(D59))+INDIRECT($D$3&amp;"!G"&amp;ROW(D59)))</f>
        <v>740620.08757943311</v>
      </c>
      <c r="F59" s="305">
        <f t="shared" ca="1" si="64"/>
        <v>0.12324845621137069</v>
      </c>
      <c r="G59" s="306">
        <f t="shared" si="65"/>
        <v>-91280.282433295288</v>
      </c>
      <c r="H59" s="304">
        <f ca="1">IF($D$3="BAU",UtilityDemand!G52,INDIRECT($D$3&amp;"!H"&amp;ROW(G59))+INDIRECT($D$3&amp;"!J"&amp;ROW(G59)))</f>
        <v>228826.35893937794</v>
      </c>
      <c r="I59" s="305">
        <f t="shared" ca="1" si="66"/>
        <v>6.283353103467923E-2</v>
      </c>
      <c r="J59" s="306">
        <f t="shared" si="67"/>
        <v>-14377.968125970052</v>
      </c>
      <c r="K59" s="307">
        <f t="shared" ca="1" si="24"/>
        <v>123319.28263929689</v>
      </c>
      <c r="L59" s="307">
        <f t="shared" si="25"/>
        <v>0</v>
      </c>
      <c r="M59" s="307">
        <v>0</v>
      </c>
      <c r="N59" s="307">
        <f t="shared" ca="1" si="26"/>
        <v>123319.28263929689</v>
      </c>
      <c r="O59" s="1494">
        <f t="shared" ca="1" si="27"/>
        <v>649339.80514613783</v>
      </c>
      <c r="P59" s="306">
        <f t="shared" si="28"/>
        <v>0</v>
      </c>
      <c r="Q59" s="306">
        <v>0</v>
      </c>
      <c r="R59" s="306">
        <f t="shared" ca="1" si="29"/>
        <v>649339.80514613783</v>
      </c>
      <c r="S59" s="818">
        <f t="shared" ca="1" si="30"/>
        <v>214448.3908134079</v>
      </c>
      <c r="T59" s="818">
        <f t="shared" si="31"/>
        <v>0</v>
      </c>
      <c r="U59" s="818">
        <v>0</v>
      </c>
      <c r="V59" s="818">
        <f t="shared" ca="1" si="32"/>
        <v>214448.3908134079</v>
      </c>
      <c r="W59" s="306">
        <f t="shared" si="1"/>
        <v>0</v>
      </c>
      <c r="X59" s="306">
        <f t="shared" ca="1" si="2"/>
        <v>-22627.807654349104</v>
      </c>
      <c r="Y59" s="306">
        <v>0</v>
      </c>
      <c r="Z59" s="306">
        <v>0</v>
      </c>
      <c r="AA59" s="308">
        <f ca="1">-SUM(W59,X59/OFFSET(GridFootprintbyYear,$A59-$A$19,0)*EF_PurchElec_MTperMWh,Z59)*OFFSET(ExposureCalculations!Price_GHG_Allowance_2010,A59-$A$19,0)*ExposureCalculations!D56</f>
        <v>2860469.0500126695</v>
      </c>
      <c r="AB59" s="308">
        <f t="shared" ca="1" si="3"/>
        <v>1619073.6832427571</v>
      </c>
      <c r="AC59" s="308">
        <v>0</v>
      </c>
      <c r="AD59" s="819">
        <f t="shared" ca="1" si="4"/>
        <v>1232891.706462038</v>
      </c>
      <c r="AE59" s="308">
        <v>0</v>
      </c>
      <c r="AF59" s="819">
        <f t="shared" ca="1" si="5"/>
        <v>277974.050435421</v>
      </c>
      <c r="AG59" s="308">
        <v>0</v>
      </c>
      <c r="AH59" s="308">
        <v>0</v>
      </c>
      <c r="AI59" s="308">
        <v>0</v>
      </c>
      <c r="AJ59" s="308">
        <f t="shared" ca="1" si="6"/>
        <v>3129939.4401402161</v>
      </c>
      <c r="AK59" s="309">
        <v>0</v>
      </c>
      <c r="AL59" s="309">
        <f t="shared" si="68"/>
        <v>-440231.70731707709</v>
      </c>
      <c r="AM59" s="309">
        <f t="shared" si="33"/>
        <v>-440231.70731707709</v>
      </c>
      <c r="AN59" s="310">
        <v>0</v>
      </c>
      <c r="AO59" s="310">
        <v>0</v>
      </c>
      <c r="AP59" s="310">
        <f t="shared" si="34"/>
        <v>0</v>
      </c>
      <c r="AQ59" s="309">
        <v>0</v>
      </c>
      <c r="AR59" s="311">
        <f t="shared" ca="1" si="7"/>
        <v>5550176.7828358095</v>
      </c>
      <c r="AS59" s="870">
        <f t="shared" ca="1" si="35"/>
        <v>85155658.495041341</v>
      </c>
      <c r="AT59" s="823"/>
      <c r="AU59" s="878"/>
      <c r="AV59" s="35"/>
      <c r="AW59" s="879"/>
      <c r="AX59" s="35"/>
      <c r="AY59" s="880"/>
      <c r="BA59" s="123">
        <f>SpacePlanning!BB59-CampusArea!$G$11</f>
        <v>620</v>
      </c>
      <c r="BB59" s="123">
        <f t="shared" si="8"/>
        <v>11946.169250055393</v>
      </c>
      <c r="BC59" s="123">
        <f>BA59*UtilityDemand!F52</f>
        <v>63545.671579433052</v>
      </c>
      <c r="BD59" s="123">
        <f>BA59*UtilityDemand!H52</f>
        <v>18751.289781928695</v>
      </c>
      <c r="BF59" s="123">
        <f t="shared" si="9"/>
        <v>8362.3184750387754</v>
      </c>
      <c r="BG59" s="123">
        <f t="shared" si="10"/>
        <v>0</v>
      </c>
      <c r="BH59" s="123">
        <f t="shared" si="11"/>
        <v>0</v>
      </c>
      <c r="BI59" s="123">
        <f t="shared" si="36"/>
        <v>8362.3184750387754</v>
      </c>
      <c r="BJ59" s="123">
        <f t="shared" si="37"/>
        <v>10388.97130688992</v>
      </c>
      <c r="BL59" s="123">
        <f t="shared" si="38"/>
        <v>0</v>
      </c>
      <c r="BM59" s="123">
        <f t="shared" si="39"/>
        <v>0</v>
      </c>
      <c r="BN59" s="123">
        <f t="shared" si="40"/>
        <v>0</v>
      </c>
      <c r="BO59" s="123">
        <f t="shared" si="41"/>
        <v>0</v>
      </c>
      <c r="BP59" s="123">
        <f t="shared" si="42"/>
        <v>63545.671579433052</v>
      </c>
      <c r="BR59" s="123">
        <f t="shared" si="12"/>
        <v>11615.799257564577</v>
      </c>
      <c r="BS59" s="123">
        <f t="shared" si="13"/>
        <v>0</v>
      </c>
      <c r="BT59" s="123">
        <f t="shared" si="14"/>
        <v>0</v>
      </c>
      <c r="BU59" s="123">
        <f t="shared" si="43"/>
        <v>11615.799257564577</v>
      </c>
      <c r="BV59" s="123">
        <f t="shared" si="44"/>
        <v>7135.4905243641188</v>
      </c>
      <c r="BX59" s="968">
        <f t="shared" si="45"/>
        <v>170731.70731707706</v>
      </c>
      <c r="BY59" s="968">
        <f t="shared" si="46"/>
        <v>0</v>
      </c>
      <c r="BZ59" s="968">
        <f t="shared" si="47"/>
        <v>0</v>
      </c>
      <c r="CA59" s="968">
        <f t="shared" si="48"/>
        <v>170731.70731707706</v>
      </c>
      <c r="CB59" s="123"/>
      <c r="CC59" s="123">
        <f>SpacePlanning!$AU$49*(A59-2009)</f>
        <v>902</v>
      </c>
      <c r="CD59" s="123">
        <f t="shared" si="49"/>
        <v>17379.74945733865</v>
      </c>
      <c r="CE59" s="123">
        <f t="shared" si="50"/>
        <v>92448.702846207423</v>
      </c>
      <c r="CF59" s="123">
        <f t="shared" si="51"/>
        <v>24141.592005353108</v>
      </c>
      <c r="CH59" s="123">
        <f t="shared" si="15"/>
        <v>12165.824620137055</v>
      </c>
      <c r="CI59" s="123">
        <f t="shared" si="16"/>
        <v>0</v>
      </c>
      <c r="CJ59" s="123">
        <f t="shared" si="17"/>
        <v>0</v>
      </c>
      <c r="CK59" s="123">
        <f t="shared" si="52"/>
        <v>12165.824620137055</v>
      </c>
      <c r="CL59" s="123">
        <f t="shared" si="53"/>
        <v>5213.9248372015954</v>
      </c>
      <c r="CN59" s="123">
        <f t="shared" si="18"/>
        <v>64714.091992345187</v>
      </c>
      <c r="CO59" s="123">
        <f t="shared" si="19"/>
        <v>0</v>
      </c>
      <c r="CP59" s="123">
        <f t="shared" si="20"/>
        <v>0</v>
      </c>
      <c r="CQ59" s="123">
        <f t="shared" si="54"/>
        <v>64714.091992345187</v>
      </c>
      <c r="CR59" s="123">
        <f t="shared" si="55"/>
        <v>27734.610853862236</v>
      </c>
      <c r="CT59" s="123">
        <f t="shared" si="21"/>
        <v>16899.114403747175</v>
      </c>
      <c r="CU59" s="123">
        <f t="shared" si="22"/>
        <v>0</v>
      </c>
      <c r="CV59" s="123">
        <f t="shared" si="23"/>
        <v>0</v>
      </c>
      <c r="CW59" s="123">
        <f t="shared" si="56"/>
        <v>16899.114403747175</v>
      </c>
      <c r="CX59" s="123">
        <f t="shared" si="57"/>
        <v>7242.4776016059332</v>
      </c>
      <c r="CZ59" s="968">
        <f t="shared" si="58"/>
        <v>269500</v>
      </c>
      <c r="DA59" s="968">
        <f t="shared" si="59"/>
        <v>0</v>
      </c>
      <c r="DB59" s="968">
        <f t="shared" si="60"/>
        <v>0</v>
      </c>
      <c r="DC59" s="968">
        <f t="shared" si="61"/>
        <v>269500</v>
      </c>
    </row>
    <row r="60" spans="1:107">
      <c r="AJ60" s="264"/>
      <c r="AU60" s="964" t="s">
        <v>1428</v>
      </c>
      <c r="AV60" s="35"/>
      <c r="AW60" s="879"/>
      <c r="AX60" s="35"/>
      <c r="AY60" s="880"/>
    </row>
    <row r="61" spans="1:107">
      <c r="AJ61" s="264"/>
      <c r="AU61" s="1257">
        <f>SpacePlanning!AU56</f>
        <v>0</v>
      </c>
      <c r="AV61" s="35" t="s">
        <v>1426</v>
      </c>
      <c r="AY61" s="880"/>
      <c r="BP61" s="886"/>
    </row>
    <row r="62" spans="1:107">
      <c r="AJ62" s="264"/>
      <c r="AU62" s="1257">
        <f>SpacePlanning!AU57</f>
        <v>0</v>
      </c>
      <c r="AV62" s="35" t="s">
        <v>1399</v>
      </c>
      <c r="AW62" s="1217"/>
      <c r="AX62" s="1217"/>
      <c r="AY62" s="1218"/>
    </row>
    <row r="63" spans="1:107">
      <c r="AJ63" s="264"/>
      <c r="AU63" s="1257">
        <f>SpacePlanning!AU58</f>
        <v>39.75</v>
      </c>
      <c r="AV63" s="35" t="s">
        <v>1427</v>
      </c>
    </row>
    <row r="64" spans="1:107">
      <c r="AJ64" s="264"/>
      <c r="AU64" s="1257">
        <f>SpacePlanning!AU59</f>
        <v>39.75</v>
      </c>
      <c r="AV64" s="35" t="s">
        <v>66</v>
      </c>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9">
    <mergeCell ref="AB16:AJ16"/>
    <mergeCell ref="AK16:AP16"/>
    <mergeCell ref="AR16:AS16"/>
    <mergeCell ref="AU17:AY17"/>
    <mergeCell ref="D3:F3"/>
    <mergeCell ref="B16:J16"/>
    <mergeCell ref="K16:N16"/>
    <mergeCell ref="O16:R16"/>
    <mergeCell ref="S16:V16"/>
    <mergeCell ref="W16:AA16"/>
    <mergeCell ref="CZ16:DC16"/>
    <mergeCell ref="BX16:CA16"/>
    <mergeCell ref="BF16:BJ16"/>
    <mergeCell ref="BL16:BP16"/>
    <mergeCell ref="BR16:BV16"/>
    <mergeCell ref="CT16:CX16"/>
    <mergeCell ref="CN16:CR16"/>
    <mergeCell ref="CH16:CL16"/>
    <mergeCell ref="CC16:CF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Sheet28">
    <tabColor rgb="FFA9DA74"/>
  </sheetPr>
  <dimension ref="A1:AY84"/>
  <sheetViews>
    <sheetView workbookViewId="0">
      <pane xSplit="1" topLeftCell="B1" activePane="topRight" state="frozen"/>
      <selection activeCell="B1" sqref="B1"/>
      <selection pane="topRight" activeCell="O3" sqref="O3:O7"/>
    </sheetView>
  </sheetViews>
  <sheetFormatPr defaultRowHeight="15"/>
  <cols>
    <col min="11" max="11" width="12" customWidth="1"/>
    <col min="12" max="12" width="12.85546875" customWidth="1"/>
    <col min="13" max="13" width="12.42578125" customWidth="1"/>
    <col min="15" max="15" width="11.85546875" style="37" bestFit="1" customWidth="1"/>
    <col min="35" max="36" width="13" customWidth="1"/>
    <col min="38" max="39" width="11.42578125" customWidth="1"/>
    <col min="40" max="40" width="12.42578125" customWidth="1"/>
    <col min="44" max="44" width="10.85546875" customWidth="1"/>
    <col min="45" max="45" width="11.85546875" bestFit="1" customWidth="1"/>
    <col min="46" max="46" width="1.7109375" customWidth="1"/>
    <col min="47" max="47" width="10.5703125" customWidth="1"/>
    <col min="51" max="51" width="10.5703125" customWidth="1"/>
  </cols>
  <sheetData>
    <row r="1" spans="1:50" ht="60">
      <c r="C1" s="257" t="s">
        <v>226</v>
      </c>
      <c r="D1" s="258" t="s">
        <v>952</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2010</v>
      </c>
      <c r="E2" s="266"/>
      <c r="J2" s="267" t="s">
        <v>231</v>
      </c>
      <c r="K2" s="268">
        <f ca="1">NPV(DiscountRate,AA19:AA59)</f>
        <v>2705424.3081593332</v>
      </c>
      <c r="L2" s="269">
        <f ca="1">-SUM(OFFSET(W19,0,0,M2-2010+1,4))</f>
        <v>222125.6882165219</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1394</v>
      </c>
      <c r="E3" s="1635"/>
      <c r="F3" s="1635"/>
      <c r="G3" s="273"/>
      <c r="H3" s="273"/>
      <c r="I3" s="273"/>
      <c r="J3" s="275" t="s">
        <v>234</v>
      </c>
      <c r="K3" s="276">
        <f ca="1">NPV(DiscountRate,AJ19:AJ59)</f>
        <v>10001436.662598452</v>
      </c>
      <c r="L3" s="277" t="s">
        <v>235</v>
      </c>
      <c r="M3" s="278">
        <f ca="1">-SUM(OFFSET(W19,M2-2010,0,1,4))</f>
        <v>5845.4128478032089</v>
      </c>
      <c r="N3" s="272"/>
      <c r="O3" s="1496">
        <f ca="1">AVERAGE(OFFSET(AJ19,0,0,$M$2-2010+1,1))</f>
        <v>722804.63149441546</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5417.6997125980952</v>
      </c>
      <c r="M4" s="281">
        <f ca="1">-SUM(OFFSET(W19,M2-2010,0,1,4))/SUM(OFFSET(ExposureCalculations!G16,M2-2010,0,1,3))</f>
        <v>5.3464244871928232E-3</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940</v>
      </c>
      <c r="E5" s="273"/>
      <c r="F5" s="272"/>
      <c r="G5" s="272"/>
      <c r="H5" s="272"/>
      <c r="I5" s="273"/>
      <c r="J5" s="275" t="s">
        <v>238</v>
      </c>
      <c r="K5" s="276">
        <f>NPV(DiscountRate,AL19:AL59)</f>
        <v>-22523.170148873429</v>
      </c>
      <c r="L5" s="277"/>
      <c r="M5" s="272"/>
      <c r="N5" s="272"/>
      <c r="O5" s="1496">
        <f ca="1">AVERAGE(OFFSET(AL19,0,0,$M$2-2010+1,1))</f>
        <v>-682.92682926829264</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-277803.98813917971</v>
      </c>
      <c r="L7" s="272"/>
      <c r="M7" s="272"/>
      <c r="N7" s="272"/>
      <c r="O7" s="1496">
        <f ca="1">AVERAGE(OFFSET(AO19,0,0,$M$2-2010+1,1))</f>
        <v>-19463.414634146342</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12406533.812469739</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551.83426224928166</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2</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9701109.5043104067</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-125.45472871432995</v>
      </c>
      <c r="L13" s="915" t="str">
        <f ca="1">IF(K13&gt;99998,"(Values $99,999 and above indicate net carbon increase)","")</f>
        <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34.986541744166139</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9" t="s">
        <v>1454</v>
      </c>
      <c r="AW18" s="875"/>
      <c r="AX18" s="876"/>
      <c r="AY18" s="877"/>
    </row>
    <row r="19" spans="1:51">
      <c r="A19" s="303">
        <v>2010</v>
      </c>
      <c r="B19" s="304">
        <f ca="1">IF($D$3="BAU",UtilityDemand!C12,INDIRECT($D$3&amp;"!B"&amp;ROW(A19))+INDIRECT($D$3&amp;"!D"&amp;ROW(A19)))</f>
        <v>127163.99016669342</v>
      </c>
      <c r="C19" s="305">
        <v>0</v>
      </c>
      <c r="D19" s="306">
        <f ca="1">-B19*C19</f>
        <v>0</v>
      </c>
      <c r="E19" s="304">
        <f ca="1">IF($D$3="BAU",UtilityDemand!E12,INDIRECT($D$3&amp;"!E"&amp;ROW(D19))+INDIRECT($D$3&amp;"!G"&amp;ROW(D19)))</f>
        <v>678074.34788952675</v>
      </c>
      <c r="F19" s="305">
        <v>0</v>
      </c>
      <c r="G19" s="306">
        <f ca="1">-E19*F19</f>
        <v>0</v>
      </c>
      <c r="H19" s="304">
        <f ca="1">IF($D$3="BAU",UtilityDemand!G12,INDIRECT($D$3&amp;"!H"&amp;ROW(G19))+INDIRECT($D$3&amp;"!J"&amp;ROW(G19)))</f>
        <v>177513.47721383756</v>
      </c>
      <c r="I19" s="305">
        <v>0</v>
      </c>
      <c r="J19" s="306">
        <f ca="1">-H19*I19</f>
        <v>0</v>
      </c>
      <c r="K19" s="307">
        <f ca="1">IF($D$3="BAU",B19+D19,INDIRECT($D$3&amp;"!B"&amp;ROW(A19))+INDIRECT($D$3&amp;"!D"&amp;ROW(A19))+INDIRECT($D$3&amp;"!L"&amp;ROW(A19))+D19)</f>
        <v>127163.99016669342</v>
      </c>
      <c r="L19" s="307">
        <f>-M19</f>
        <v>0</v>
      </c>
      <c r="M19" s="307">
        <v>0</v>
      </c>
      <c r="N19" s="307">
        <f ca="1">K19+L19</f>
        <v>127163.99016669342</v>
      </c>
      <c r="O19" s="1494">
        <f ca="1">IF($D$3="BAU",E19+G19,INDIRECT($D$3&amp;"!E"&amp;ROW(A19))+INDIRECT($D$3&amp;"!G"&amp;ROW(A19))+INDIRECT($D$3&amp;"!P"&amp;ROW(A19))+G19)</f>
        <v>678074.34788952675</v>
      </c>
      <c r="P19" s="306">
        <f>-Q19</f>
        <v>0</v>
      </c>
      <c r="Q19" s="306">
        <v>0</v>
      </c>
      <c r="R19" s="306">
        <f ca="1">O19+P19</f>
        <v>678074.34788952675</v>
      </c>
      <c r="S19" s="818">
        <f ca="1">IF($D$3="BAU",H19+J19,INDIRECT($D$3&amp;"!H"&amp;ROW(A19))+INDIRECT($D$3&amp;"!J"&amp;ROW(A19))+INDIRECT($D$3&amp;"!T"&amp;ROW(A19))+J19)</f>
        <v>177513.47721383756</v>
      </c>
      <c r="T19" s="818">
        <f>-U19</f>
        <v>0</v>
      </c>
      <c r="U19" s="818">
        <v>0</v>
      </c>
      <c r="V19" s="818">
        <f ca="1">S19+T19</f>
        <v>177513.47721383756</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918">
        <f>SUM(AU28:AU29)</f>
        <v>8230</v>
      </c>
      <c r="AV19" s="879" t="s">
        <v>1457</v>
      </c>
      <c r="AW19" s="879"/>
      <c r="AX19" s="35"/>
      <c r="AY19" s="880"/>
    </row>
    <row r="20" spans="1:51">
      <c r="A20" s="303">
        <v>2011</v>
      </c>
      <c r="B20" s="304">
        <f ca="1">IF($D$3="BAU",UtilityDemand!C13,INDIRECT($D$3&amp;"!B"&amp;ROW(A20))+INDIRECT($D$3&amp;"!D"&amp;ROW(A20)))</f>
        <v>125518.36963995529</v>
      </c>
      <c r="C20" s="305">
        <f ca="1">D20/B20</f>
        <v>0</v>
      </c>
      <c r="D20" s="306">
        <f ca="1">IF(AND(A20&gt;=$AU$22,A20&lt;$AU$22+$AU$23),-$AU$19/$AU$23+D19,D19)</f>
        <v>0</v>
      </c>
      <c r="E20" s="304">
        <f ca="1">IF($D$3="BAU",UtilityDemand!E13,INDIRECT($D$3&amp;"!E"&amp;ROW(D20))+INDIRECT($D$3&amp;"!G"&amp;ROW(D20)))</f>
        <v>662488.42315347027</v>
      </c>
      <c r="F20" s="305">
        <f ca="1">G20/E20</f>
        <v>0</v>
      </c>
      <c r="G20" s="306">
        <f t="shared" ref="G20:G59" ca="1" si="8">IF(AND($A20&gt;=$AU$22,$A20&lt;$AU$22+$AU$23),(-$AU$20/$AU$23)*1000*Btu_per_lb/1000000+G19,G19)</f>
        <v>0</v>
      </c>
      <c r="H20" s="304">
        <f ca="1">IF($D$3="BAU",UtilityDemand!G13,INDIRECT($D$3&amp;"!H"&amp;ROW(G20))+INDIRECT($D$3&amp;"!J"&amp;ROW(G20)))</f>
        <v>174929.27148685895</v>
      </c>
      <c r="I20" s="305">
        <f ca="1">J20/H20</f>
        <v>0</v>
      </c>
      <c r="J20" s="306">
        <f t="shared" ref="J20:J59" ca="1" si="9">IF(AND($A20&gt;=$AU$22,$A20&lt;$AU$22+$AU$23),(-$AU$21/$AU$23)*btu_tonhr/1000000+J19,J19)</f>
        <v>0</v>
      </c>
      <c r="K20" s="307">
        <f t="shared" ref="K20:K59" ca="1" si="10">IF($D$3="BAU",B20+D20,INDIRECT($D$3&amp;"!B"&amp;ROW(A20))+INDIRECT($D$3&amp;"!D"&amp;ROW(A20))+INDIRECT($D$3&amp;"!L"&amp;ROW(A20))+D20)</f>
        <v>125518.36963995529</v>
      </c>
      <c r="L20" s="307">
        <f t="shared" ref="L20:L59" si="11">-M20</f>
        <v>0</v>
      </c>
      <c r="M20" s="307">
        <v>0</v>
      </c>
      <c r="N20" s="307">
        <f t="shared" ref="N20:N59" ca="1" si="12">K20+L20</f>
        <v>125518.36963995529</v>
      </c>
      <c r="O20" s="1494">
        <f t="shared" ref="O20:O59" ca="1" si="13">IF($D$3="BAU",E20+G20,INDIRECT($D$3&amp;"!E"&amp;ROW(A20))+INDIRECT($D$3&amp;"!G"&amp;ROW(A20))+INDIRECT($D$3&amp;"!P"&amp;ROW(A20))+G20)</f>
        <v>662488.42315347027</v>
      </c>
      <c r="P20" s="306">
        <f t="shared" ref="P20:P59" si="14">-Q20</f>
        <v>0</v>
      </c>
      <c r="Q20" s="306">
        <v>0</v>
      </c>
      <c r="R20" s="306">
        <f t="shared" ref="R20:R59" ca="1" si="15">O20+P20</f>
        <v>662488.42315347027</v>
      </c>
      <c r="S20" s="818">
        <f t="shared" ref="S20:S59" ca="1" si="16">IF($D$3="BAU",H20+J20,INDIRECT($D$3&amp;"!H"&amp;ROW(A20))+INDIRECT($D$3&amp;"!J"&amp;ROW(A20))+INDIRECT($D$3&amp;"!T"&amp;ROW(A20))+J20)</f>
        <v>174929.27148685895</v>
      </c>
      <c r="T20" s="818">
        <f t="shared" ref="T20:T59" si="17">-U20</f>
        <v>0</v>
      </c>
      <c r="U20" s="818">
        <v>0</v>
      </c>
      <c r="V20" s="818">
        <f t="shared" ref="V20:V59" ca="1" si="18">S20+T20</f>
        <v>174929.27148685895</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f>IF(AND($A20&gt;=$AU$22,$A20&lt;$AU$22+$AU$23),-$AU$24/$AU$23,0)</f>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918"/>
      <c r="AV20" t="s">
        <v>1458</v>
      </c>
      <c r="AW20" s="879"/>
      <c r="AX20" s="35"/>
      <c r="AY20" s="880"/>
    </row>
    <row r="21" spans="1:51">
      <c r="A21" s="303">
        <v>2012</v>
      </c>
      <c r="B21" s="304">
        <f ca="1">IF($D$3="BAU",UtilityDemand!C14,INDIRECT($D$3&amp;"!B"&amp;ROW(A21))+INDIRECT($D$3&amp;"!D"&amp;ROW(A21)))</f>
        <v>124128.43115739228</v>
      </c>
      <c r="C21" s="305">
        <f t="shared" ref="C21:C59" ca="1" si="22">D21/B21</f>
        <v>-2.210076537465332E-2</v>
      </c>
      <c r="D21" s="306">
        <f t="shared" ref="D21:D59" ca="1" si="23">IF(AND(A21&gt;=$AU$22,A21&lt;$AU$22+$AU$23),-$AU$19/$AU$23+D20,D20)</f>
        <v>-2743.3333333333335</v>
      </c>
      <c r="E21" s="304">
        <f ca="1">IF($D$3="BAU",UtilityDemand!E14,INDIRECT($D$3&amp;"!E"&amp;ROW(D21))+INDIRECT($D$3&amp;"!G"&amp;ROW(D21)))</f>
        <v>648578.88423020509</v>
      </c>
      <c r="F21" s="305">
        <f t="shared" ref="F21:F59" ca="1" si="24">G21/E21</f>
        <v>0</v>
      </c>
      <c r="G21" s="306">
        <f t="shared" ca="1" si="8"/>
        <v>0</v>
      </c>
      <c r="H21" s="304">
        <f ca="1">IF($D$3="BAU",UtilityDemand!G14,INDIRECT($D$3&amp;"!H"&amp;ROW(G21))+INDIRECT($D$3&amp;"!J"&amp;ROW(G21)))</f>
        <v>174624.63546129991</v>
      </c>
      <c r="I21" s="305">
        <f t="shared" ref="I21:I59" ca="1" si="25">J21/H21</f>
        <v>0</v>
      </c>
      <c r="J21" s="306">
        <f t="shared" ca="1" si="9"/>
        <v>0</v>
      </c>
      <c r="K21" s="307">
        <f t="shared" ca="1" si="10"/>
        <v>121385.09782405895</v>
      </c>
      <c r="L21" s="307">
        <f t="shared" si="11"/>
        <v>0</v>
      </c>
      <c r="M21" s="307">
        <v>0</v>
      </c>
      <c r="N21" s="307">
        <f t="shared" ca="1" si="12"/>
        <v>121385.09782405895</v>
      </c>
      <c r="O21" s="1494">
        <f t="shared" ca="1" si="13"/>
        <v>648578.88423020509</v>
      </c>
      <c r="P21" s="306">
        <f t="shared" si="14"/>
        <v>0</v>
      </c>
      <c r="Q21" s="306">
        <v>0</v>
      </c>
      <c r="R21" s="306">
        <f t="shared" ca="1" si="15"/>
        <v>648578.88423020509</v>
      </c>
      <c r="S21" s="818">
        <f t="shared" ca="1" si="16"/>
        <v>174624.63546129991</v>
      </c>
      <c r="T21" s="818">
        <f t="shared" si="17"/>
        <v>0</v>
      </c>
      <c r="U21" s="818">
        <v>0</v>
      </c>
      <c r="V21" s="818">
        <f t="shared" ca="1" si="18"/>
        <v>174624.63546129991</v>
      </c>
      <c r="W21" s="306">
        <f t="shared" si="1"/>
        <v>0</v>
      </c>
      <c r="X21" s="306">
        <f t="shared" ca="1" si="2"/>
        <v>-1948.4709492677364</v>
      </c>
      <c r="Y21" s="306">
        <v>0</v>
      </c>
      <c r="Z21" s="306">
        <v>0</v>
      </c>
      <c r="AA21" s="308">
        <f ca="1">-SUM(W21,X21/OFFSET(GridFootprintbyYear,$A21-$A$19,0)*EF_PurchElec_MTperMWh,Z21)*OFFSET(ExposureCalculations!Price_GHG_Allowance_2010,A21-$A$19,0)*ExposureCalculations!D18</f>
        <v>0</v>
      </c>
      <c r="AB21" s="308">
        <f t="shared" ca="1" si="3"/>
        <v>235520.99624999994</v>
      </c>
      <c r="AC21" s="308">
        <v>0</v>
      </c>
      <c r="AD21" s="819">
        <f t="shared" ca="1" si="4"/>
        <v>0</v>
      </c>
      <c r="AE21" s="308">
        <v>0</v>
      </c>
      <c r="AF21" s="819">
        <f t="shared" ca="1" si="5"/>
        <v>0</v>
      </c>
      <c r="AG21" s="308">
        <v>0</v>
      </c>
      <c r="AH21" s="308">
        <v>0</v>
      </c>
      <c r="AI21" s="308">
        <v>0</v>
      </c>
      <c r="AJ21" s="308">
        <f ca="1">SUM(AB21:AI21)</f>
        <v>235520.99624999994</v>
      </c>
      <c r="AK21" s="309">
        <v>0</v>
      </c>
      <c r="AL21" s="309">
        <f t="shared" ref="AL21:AL59" si="26">IF(AND($A21&gt;=$AU$22,$A21&lt;$AU$22+$AU$23),-$AU$24/$AU$23,0)</f>
        <v>-9333.3333333333339</v>
      </c>
      <c r="AM21" s="309">
        <f t="shared" si="19"/>
        <v>-9333.3333333333339</v>
      </c>
      <c r="AN21" s="310">
        <v>0</v>
      </c>
      <c r="AO21" s="310">
        <f>IF(AND($A21&gt;=$AU$22,$A21&lt;$AU$22+$AU$23),-($AU$31*$AU$32)/$AU$23+AO20,AO20)</f>
        <v>-7000</v>
      </c>
      <c r="AP21" s="310">
        <f t="shared" si="20"/>
        <v>-7000</v>
      </c>
      <c r="AQ21" s="309">
        <v>0</v>
      </c>
      <c r="AR21" s="311">
        <f t="shared" ca="1" si="7"/>
        <v>219187.6629166666</v>
      </c>
      <c r="AS21" s="870">
        <f t="shared" ca="1" si="21"/>
        <v>219187.6629166666</v>
      </c>
      <c r="AT21" s="822"/>
      <c r="AU21" s="918"/>
      <c r="AV21" t="s">
        <v>1459</v>
      </c>
      <c r="AW21" s="879"/>
      <c r="AX21" s="35"/>
      <c r="AY21" s="880"/>
    </row>
    <row r="22" spans="1:51">
      <c r="A22" s="303">
        <v>2013</v>
      </c>
      <c r="B22" s="304">
        <f ca="1">IF($D$3="BAU",UtilityDemand!C15,INDIRECT($D$3&amp;"!B"&amp;ROW(A22))+INDIRECT($D$3&amp;"!D"&amp;ROW(A22)))</f>
        <v>122277.90764146087</v>
      </c>
      <c r="C22" s="305">
        <f t="shared" ca="1" si="22"/>
        <v>-4.4870465748845526E-2</v>
      </c>
      <c r="D22" s="306">
        <f t="shared" ca="1" si="23"/>
        <v>-5486.666666666667</v>
      </c>
      <c r="E22" s="304">
        <f ca="1">IF($D$3="BAU",UtilityDemand!E15,INDIRECT($D$3&amp;"!E"&amp;ROW(D22))+INDIRECT($D$3&amp;"!G"&amp;ROW(D22)))</f>
        <v>634669.34530694014</v>
      </c>
      <c r="F22" s="305">
        <f t="shared" ca="1" si="24"/>
        <v>0</v>
      </c>
      <c r="G22" s="306">
        <f t="shared" ca="1" si="8"/>
        <v>0</v>
      </c>
      <c r="H22" s="304">
        <f ca="1">IF($D$3="BAU",UtilityDemand!G15,INDIRECT($D$3&amp;"!H"&amp;ROW(G22))+INDIRECT($D$3&amp;"!J"&amp;ROW(G22)))</f>
        <v>172827.49892955803</v>
      </c>
      <c r="I22" s="305">
        <f t="shared" ca="1" si="25"/>
        <v>0</v>
      </c>
      <c r="J22" s="306">
        <f t="shared" ca="1" si="9"/>
        <v>0</v>
      </c>
      <c r="K22" s="307">
        <f t="shared" ca="1" si="10"/>
        <v>116791.2409747942</v>
      </c>
      <c r="L22" s="307">
        <f t="shared" si="11"/>
        <v>0</v>
      </c>
      <c r="M22" s="307">
        <v>0</v>
      </c>
      <c r="N22" s="307">
        <f t="shared" ca="1" si="12"/>
        <v>116791.2409747942</v>
      </c>
      <c r="O22" s="1494">
        <f t="shared" ca="1" si="13"/>
        <v>634669.34530694014</v>
      </c>
      <c r="P22" s="306">
        <f t="shared" si="14"/>
        <v>0</v>
      </c>
      <c r="Q22" s="306">
        <v>0</v>
      </c>
      <c r="R22" s="306">
        <f t="shared" ca="1" si="15"/>
        <v>634669.34530694014</v>
      </c>
      <c r="S22" s="818">
        <f t="shared" ca="1" si="16"/>
        <v>172827.49892955803</v>
      </c>
      <c r="T22" s="818">
        <f t="shared" si="17"/>
        <v>0</v>
      </c>
      <c r="U22" s="818">
        <v>0</v>
      </c>
      <c r="V22" s="818">
        <f t="shared" ca="1" si="18"/>
        <v>172827.49892955803</v>
      </c>
      <c r="W22" s="306">
        <f t="shared" si="1"/>
        <v>0</v>
      </c>
      <c r="X22" s="306">
        <f t="shared" ca="1" si="2"/>
        <v>-3896.9418985354728</v>
      </c>
      <c r="Y22" s="306">
        <v>0</v>
      </c>
      <c r="Z22" s="306">
        <v>0</v>
      </c>
      <c r="AA22" s="308">
        <f ca="1">-SUM(W22,X22/OFFSET(GridFootprintbyYear,$A22-$A$19,0)*EF_PurchElec_MTperMWh,Z22)*OFFSET(ExposureCalculations!Price_GHG_Allowance_2010,A22-$A$19,0)*ExposureCalculations!D19</f>
        <v>0</v>
      </c>
      <c r="AB22" s="308">
        <f t="shared" ca="1" si="3"/>
        <v>473397.20246249984</v>
      </c>
      <c r="AC22" s="308">
        <v>0</v>
      </c>
      <c r="AD22" s="819">
        <f t="shared" ca="1" si="4"/>
        <v>0</v>
      </c>
      <c r="AE22" s="308">
        <v>0</v>
      </c>
      <c r="AF22" s="819">
        <f t="shared" ca="1" si="5"/>
        <v>0</v>
      </c>
      <c r="AG22" s="308">
        <v>0</v>
      </c>
      <c r="AH22" s="308">
        <v>0</v>
      </c>
      <c r="AI22" s="308">
        <v>0</v>
      </c>
      <c r="AJ22" s="308">
        <f t="shared" ca="1" si="6"/>
        <v>473397.20246249984</v>
      </c>
      <c r="AK22" s="309">
        <v>0</v>
      </c>
      <c r="AL22" s="309">
        <f t="shared" si="26"/>
        <v>-9333.3333333333339</v>
      </c>
      <c r="AM22" s="309">
        <f t="shared" si="19"/>
        <v>-9333.3333333333339</v>
      </c>
      <c r="AN22" s="310">
        <v>0</v>
      </c>
      <c r="AO22" s="310">
        <f t="shared" ref="AO22:AO59" si="27">IF(AND($A22&gt;=$AU$22,$A22&lt;$AU$22+$AU$23),-($AU$31*$AU$32)/$AU$23+AO21,AO21)</f>
        <v>-14000</v>
      </c>
      <c r="AP22" s="310">
        <f t="shared" si="20"/>
        <v>-14000</v>
      </c>
      <c r="AQ22" s="309">
        <v>0</v>
      </c>
      <c r="AR22" s="311">
        <f t="shared" ca="1" si="7"/>
        <v>450063.86912916653</v>
      </c>
      <c r="AS22" s="870">
        <f t="shared" ca="1" si="21"/>
        <v>669251.53204583307</v>
      </c>
      <c r="AT22" s="822"/>
      <c r="AU22" s="878">
        <v>2012</v>
      </c>
      <c r="AV22" t="s">
        <v>1460</v>
      </c>
      <c r="AW22" s="879"/>
      <c r="AX22" s="35"/>
      <c r="AY22" s="880"/>
    </row>
    <row r="23" spans="1:51">
      <c r="A23" s="303">
        <v>2014</v>
      </c>
      <c r="B23" s="304">
        <f ca="1">IF($D$3="BAU",UtilityDemand!C16,INDIRECT($D$3&amp;"!B"&amp;ROW(A23))+INDIRECT($D$3&amp;"!D"&amp;ROW(A23)))</f>
        <v>120270.02788713729</v>
      </c>
      <c r="C23" s="305">
        <f t="shared" ca="1" si="22"/>
        <v>-6.8429351390216039E-2</v>
      </c>
      <c r="D23" s="306">
        <f t="shared" ca="1" si="23"/>
        <v>-8230</v>
      </c>
      <c r="E23" s="304">
        <f ca="1">IF($D$3="BAU",UtilityDemand!E16,INDIRECT($D$3&amp;"!E"&amp;ROW(D23))+INDIRECT($D$3&amp;"!G"&amp;ROW(D23)))</f>
        <v>620759.8063836752</v>
      </c>
      <c r="F23" s="305">
        <f t="shared" ca="1" si="24"/>
        <v>0</v>
      </c>
      <c r="G23" s="306">
        <f t="shared" ca="1" si="8"/>
        <v>0</v>
      </c>
      <c r="H23" s="304">
        <f ca="1">IF($D$3="BAU",UtilityDemand!G16,INDIRECT($D$3&amp;"!H"&amp;ROW(G23))+INDIRECT($D$3&amp;"!J"&amp;ROW(G23)))</f>
        <v>170475.70815245277</v>
      </c>
      <c r="I23" s="305">
        <f t="shared" ca="1" si="25"/>
        <v>0</v>
      </c>
      <c r="J23" s="306">
        <f t="shared" ca="1" si="9"/>
        <v>0</v>
      </c>
      <c r="K23" s="307">
        <f t="shared" ca="1" si="10"/>
        <v>112040.02788713729</v>
      </c>
      <c r="L23" s="307">
        <f t="shared" si="11"/>
        <v>0</v>
      </c>
      <c r="M23" s="307">
        <v>0</v>
      </c>
      <c r="N23" s="307">
        <f t="shared" ca="1" si="12"/>
        <v>112040.02788713729</v>
      </c>
      <c r="O23" s="1494">
        <f t="shared" ca="1" si="13"/>
        <v>620759.8063836752</v>
      </c>
      <c r="P23" s="306">
        <f t="shared" si="14"/>
        <v>0</v>
      </c>
      <c r="Q23" s="306">
        <v>0</v>
      </c>
      <c r="R23" s="306">
        <f t="shared" ca="1" si="15"/>
        <v>620759.8063836752</v>
      </c>
      <c r="S23" s="818">
        <f t="shared" ca="1" si="16"/>
        <v>170475.70815245277</v>
      </c>
      <c r="T23" s="818">
        <f t="shared" si="17"/>
        <v>0</v>
      </c>
      <c r="U23" s="818">
        <v>0</v>
      </c>
      <c r="V23" s="818">
        <f t="shared" ca="1" si="18"/>
        <v>170475.70815245277</v>
      </c>
      <c r="W23" s="306">
        <f t="shared" si="1"/>
        <v>0</v>
      </c>
      <c r="X23" s="306">
        <f t="shared" ca="1" si="2"/>
        <v>-5845.4128478032089</v>
      </c>
      <c r="Y23" s="306">
        <v>0</v>
      </c>
      <c r="Z23" s="306">
        <v>0</v>
      </c>
      <c r="AA23" s="308">
        <f ca="1">-SUM(W23,X23/OFFSET(GridFootprintbyYear,$A23-$A$19,0)*EF_PurchElec_MTperMWh,Z23)*OFFSET(ExposureCalculations!Price_GHG_Allowance_2010,A23-$A$19,0)*ExposureCalculations!D20</f>
        <v>0</v>
      </c>
      <c r="AB23" s="308">
        <f t="shared" ca="1" si="3"/>
        <v>713646.28271221824</v>
      </c>
      <c r="AC23" s="308">
        <v>0</v>
      </c>
      <c r="AD23" s="819">
        <f t="shared" ca="1" si="4"/>
        <v>0</v>
      </c>
      <c r="AE23" s="308">
        <v>0</v>
      </c>
      <c r="AF23" s="819">
        <f t="shared" ca="1" si="5"/>
        <v>0</v>
      </c>
      <c r="AG23" s="308">
        <v>0</v>
      </c>
      <c r="AH23" s="308">
        <v>0</v>
      </c>
      <c r="AI23" s="308">
        <v>0</v>
      </c>
      <c r="AJ23" s="308">
        <f t="shared" ca="1" si="6"/>
        <v>713646.28271221824</v>
      </c>
      <c r="AK23" s="309">
        <v>0</v>
      </c>
      <c r="AL23" s="309">
        <f t="shared" si="26"/>
        <v>-9333.3333333333339</v>
      </c>
      <c r="AM23" s="309">
        <f t="shared" si="19"/>
        <v>-9333.3333333333339</v>
      </c>
      <c r="AN23" s="310">
        <v>0</v>
      </c>
      <c r="AO23" s="310">
        <f t="shared" si="27"/>
        <v>-21000</v>
      </c>
      <c r="AP23" s="310">
        <f t="shared" si="20"/>
        <v>-21000</v>
      </c>
      <c r="AQ23" s="309">
        <v>0</v>
      </c>
      <c r="AR23" s="311">
        <f t="shared" ca="1" si="7"/>
        <v>683312.94937888486</v>
      </c>
      <c r="AS23" s="870">
        <f t="shared" ca="1" si="21"/>
        <v>1352564.4814247179</v>
      </c>
      <c r="AT23" s="822"/>
      <c r="AU23" s="878">
        <v>3</v>
      </c>
      <c r="AV23" s="35" t="s">
        <v>1455</v>
      </c>
      <c r="AW23" s="879"/>
      <c r="AX23" s="35"/>
      <c r="AY23" s="880"/>
    </row>
    <row r="24" spans="1:51">
      <c r="A24" s="303">
        <v>2015</v>
      </c>
      <c r="B24" s="304">
        <f ca="1">IF($D$3="BAU",UtilityDemand!C17,INDIRECT($D$3&amp;"!B"&amp;ROW(A24))+INDIRECT($D$3&amp;"!D"&amp;ROW(A24)))</f>
        <v>118694.0423874462</v>
      </c>
      <c r="C24" s="305">
        <f t="shared" ca="1" si="22"/>
        <v>-6.9337936719142818E-2</v>
      </c>
      <c r="D24" s="306">
        <f t="shared" ca="1" si="23"/>
        <v>-8230</v>
      </c>
      <c r="E24" s="304">
        <f ca="1">IF($D$3="BAU",UtilityDemand!E17,INDIRECT($D$3&amp;"!E"&amp;ROW(D24))+INDIRECT($D$3&amp;"!G"&amp;ROW(D24)))</f>
        <v>606850.26746041025</v>
      </c>
      <c r="F24" s="305">
        <f t="shared" ca="1" si="24"/>
        <v>0</v>
      </c>
      <c r="G24" s="306">
        <f t="shared" ca="1" si="8"/>
        <v>0</v>
      </c>
      <c r="H24" s="304">
        <f ca="1">IF($D$3="BAU",UtilityDemand!G17,INDIRECT($D$3&amp;"!H"&amp;ROW(G24))+INDIRECT($D$3&amp;"!J"&amp;ROW(G24)))</f>
        <v>169569.74680307685</v>
      </c>
      <c r="I24" s="305">
        <f t="shared" ca="1" si="25"/>
        <v>0</v>
      </c>
      <c r="J24" s="306">
        <f t="shared" ca="1" si="9"/>
        <v>0</v>
      </c>
      <c r="K24" s="307">
        <f t="shared" ca="1" si="10"/>
        <v>110464.0423874462</v>
      </c>
      <c r="L24" s="307">
        <f t="shared" si="11"/>
        <v>0</v>
      </c>
      <c r="M24" s="307">
        <v>0</v>
      </c>
      <c r="N24" s="307">
        <f t="shared" ca="1" si="12"/>
        <v>110464.0423874462</v>
      </c>
      <c r="O24" s="1494">
        <f t="shared" ca="1" si="13"/>
        <v>606850.26746041025</v>
      </c>
      <c r="P24" s="306">
        <f t="shared" si="14"/>
        <v>0</v>
      </c>
      <c r="Q24" s="306">
        <v>0</v>
      </c>
      <c r="R24" s="306">
        <f t="shared" ca="1" si="15"/>
        <v>606850.26746041025</v>
      </c>
      <c r="S24" s="818">
        <f t="shared" ca="1" si="16"/>
        <v>169569.74680307685</v>
      </c>
      <c r="T24" s="818">
        <f t="shared" si="17"/>
        <v>0</v>
      </c>
      <c r="U24" s="818">
        <v>0</v>
      </c>
      <c r="V24" s="818">
        <f t="shared" ca="1" si="18"/>
        <v>169569.74680307685</v>
      </c>
      <c r="W24" s="306">
        <f t="shared" si="1"/>
        <v>0</v>
      </c>
      <c r="X24" s="306">
        <f t="shared" ca="1" si="2"/>
        <v>-5845.4128478032089</v>
      </c>
      <c r="Y24" s="306">
        <v>0</v>
      </c>
      <c r="Z24" s="306">
        <v>0</v>
      </c>
      <c r="AA24" s="308">
        <f ca="1">-SUM(W24,X24/OFFSET(GridFootprintbyYear,$A24-$A$19,0)*EF_PurchElec_MTperMWh,Z24)*OFFSET(ExposureCalculations!Price_GHG_Allowance_2010,A24-$A$19,0)*ExposureCalculations!D21</f>
        <v>59443.971815770929</v>
      </c>
      <c r="AB24" s="308">
        <f t="shared" ca="1" si="3"/>
        <v>717214.51412577927</v>
      </c>
      <c r="AC24" s="308">
        <v>0</v>
      </c>
      <c r="AD24" s="819">
        <f t="shared" ca="1" si="4"/>
        <v>0</v>
      </c>
      <c r="AE24" s="308">
        <v>0</v>
      </c>
      <c r="AF24" s="819">
        <f t="shared" ca="1" si="5"/>
        <v>0</v>
      </c>
      <c r="AG24" s="308">
        <v>0</v>
      </c>
      <c r="AH24" s="308">
        <v>0</v>
      </c>
      <c r="AI24" s="308">
        <v>0</v>
      </c>
      <c r="AJ24" s="308">
        <f t="shared" ca="1" si="6"/>
        <v>717214.51412577927</v>
      </c>
      <c r="AK24" s="309">
        <v>0</v>
      </c>
      <c r="AL24" s="309">
        <f t="shared" si="26"/>
        <v>0</v>
      </c>
      <c r="AM24" s="309">
        <f t="shared" si="19"/>
        <v>0</v>
      </c>
      <c r="AN24" s="310">
        <v>0</v>
      </c>
      <c r="AO24" s="310">
        <f t="shared" si="27"/>
        <v>-21000</v>
      </c>
      <c r="AP24" s="310">
        <f t="shared" si="20"/>
        <v>-21000</v>
      </c>
      <c r="AQ24" s="309">
        <v>0</v>
      </c>
      <c r="AR24" s="311">
        <f t="shared" ca="1" si="7"/>
        <v>755658.48594155023</v>
      </c>
      <c r="AS24" s="870">
        <f t="shared" ca="1" si="21"/>
        <v>2108222.9673662679</v>
      </c>
      <c r="AT24" s="822"/>
      <c r="AU24" s="1261">
        <f>AU33</f>
        <v>28000</v>
      </c>
      <c r="AV24" s="35" t="s">
        <v>1456</v>
      </c>
      <c r="AW24" s="879"/>
      <c r="AX24" s="35"/>
      <c r="AY24" s="880"/>
    </row>
    <row r="25" spans="1:51">
      <c r="A25" s="303">
        <v>2016</v>
      </c>
      <c r="B25" s="304">
        <f ca="1">IF($D$3="BAU",UtilityDemand!C18,INDIRECT($D$3&amp;"!B"&amp;ROW(A25))+INDIRECT($D$3&amp;"!D"&amp;ROW(A25)))</f>
        <v>116969.89923329427</v>
      </c>
      <c r="C25" s="305">
        <f t="shared" ca="1" si="22"/>
        <v>-7.0359981960704435E-2</v>
      </c>
      <c r="D25" s="306">
        <f t="shared" ca="1" si="23"/>
        <v>-8230</v>
      </c>
      <c r="E25" s="304">
        <f ca="1">IF($D$3="BAU",UtilityDemand!E18,INDIRECT($D$3&amp;"!E"&amp;ROW(D25))+INDIRECT($D$3&amp;"!G"&amp;ROW(D25)))</f>
        <v>598657.19166214555</v>
      </c>
      <c r="F25" s="305">
        <f t="shared" ca="1" si="24"/>
        <v>0</v>
      </c>
      <c r="G25" s="306">
        <f t="shared" ca="1" si="8"/>
        <v>0</v>
      </c>
      <c r="H25" s="304">
        <f ca="1">IF($D$3="BAU",UtilityDemand!G18,INDIRECT($D$3&amp;"!H"&amp;ROW(G25))+INDIRECT($D$3&amp;"!J"&amp;ROW(G25)))</f>
        <v>169546.35872885017</v>
      </c>
      <c r="I25" s="305">
        <f t="shared" ca="1" si="25"/>
        <v>0</v>
      </c>
      <c r="J25" s="306">
        <f t="shared" ca="1" si="9"/>
        <v>0</v>
      </c>
      <c r="K25" s="307">
        <f t="shared" ca="1" si="10"/>
        <v>108739.89923329427</v>
      </c>
      <c r="L25" s="307">
        <f t="shared" si="11"/>
        <v>0</v>
      </c>
      <c r="M25" s="307">
        <v>0</v>
      </c>
      <c r="N25" s="307">
        <f t="shared" ca="1" si="12"/>
        <v>108739.89923329427</v>
      </c>
      <c r="O25" s="1494">
        <f t="shared" ca="1" si="13"/>
        <v>598657.19166214555</v>
      </c>
      <c r="P25" s="306">
        <f t="shared" si="14"/>
        <v>0</v>
      </c>
      <c r="Q25" s="306">
        <v>0</v>
      </c>
      <c r="R25" s="306">
        <f t="shared" ca="1" si="15"/>
        <v>598657.19166214555</v>
      </c>
      <c r="S25" s="818">
        <f t="shared" ca="1" si="16"/>
        <v>169546.35872885017</v>
      </c>
      <c r="T25" s="818">
        <f t="shared" si="17"/>
        <v>0</v>
      </c>
      <c r="U25" s="818">
        <v>0</v>
      </c>
      <c r="V25" s="818">
        <f t="shared" ca="1" si="18"/>
        <v>169546.35872885017</v>
      </c>
      <c r="W25" s="306">
        <f t="shared" si="1"/>
        <v>0</v>
      </c>
      <c r="X25" s="306">
        <f t="shared" ca="1" si="2"/>
        <v>-5845.4128478032089</v>
      </c>
      <c r="Y25" s="306">
        <v>0</v>
      </c>
      <c r="Z25" s="306">
        <v>0</v>
      </c>
      <c r="AA25" s="308">
        <f ca="1">-SUM(W25,X25/OFFSET(GridFootprintbyYear,$A25-$A$19,0)*EF_PurchElec_MTperMWh,Z25)*OFFSET(ExposureCalculations!Price_GHG_Allowance_2010,A25-$A$19,0)*ExposureCalculations!D22</f>
        <v>68616.414574111914</v>
      </c>
      <c r="AB25" s="308">
        <f t="shared" ca="1" si="3"/>
        <v>720800.58669640811</v>
      </c>
      <c r="AC25" s="308">
        <v>0</v>
      </c>
      <c r="AD25" s="819">
        <f t="shared" ca="1" si="4"/>
        <v>0</v>
      </c>
      <c r="AE25" s="308">
        <v>0</v>
      </c>
      <c r="AF25" s="819">
        <f t="shared" ca="1" si="5"/>
        <v>0</v>
      </c>
      <c r="AG25" s="308">
        <v>0</v>
      </c>
      <c r="AH25" s="308">
        <v>0</v>
      </c>
      <c r="AI25" s="308">
        <v>0</v>
      </c>
      <c r="AJ25" s="308">
        <f t="shared" ca="1" si="6"/>
        <v>720800.58669640811</v>
      </c>
      <c r="AK25" s="309">
        <v>0</v>
      </c>
      <c r="AL25" s="309">
        <f t="shared" si="26"/>
        <v>0</v>
      </c>
      <c r="AM25" s="309">
        <f t="shared" si="19"/>
        <v>0</v>
      </c>
      <c r="AN25" s="310">
        <v>0</v>
      </c>
      <c r="AO25" s="310">
        <f t="shared" si="27"/>
        <v>-21000</v>
      </c>
      <c r="AP25" s="310">
        <f t="shared" si="20"/>
        <v>-21000</v>
      </c>
      <c r="AQ25" s="309">
        <v>0</v>
      </c>
      <c r="AR25" s="311">
        <f t="shared" ca="1" si="7"/>
        <v>768417.00127052004</v>
      </c>
      <c r="AS25" s="870">
        <f t="shared" ca="1" si="21"/>
        <v>2876639.968636788</v>
      </c>
      <c r="AT25" s="822"/>
      <c r="AU25" s="878"/>
      <c r="AV25" s="35"/>
      <c r="AW25" s="879"/>
      <c r="AX25" s="35"/>
      <c r="AY25" s="880"/>
    </row>
    <row r="26" spans="1:51">
      <c r="A26" s="303">
        <v>2017</v>
      </c>
      <c r="B26" s="304">
        <f ca="1">IF($D$3="BAU",UtilityDemand!C19,INDIRECT($D$3&amp;"!B"&amp;ROW(A26))+INDIRECT($D$3&amp;"!D"&amp;ROW(A26)))</f>
        <v>115255.83075706524</v>
      </c>
      <c r="C26" s="305">
        <f t="shared" ca="1" si="22"/>
        <v>-7.1406365699164392E-2</v>
      </c>
      <c r="D26" s="306">
        <f t="shared" ca="1" si="23"/>
        <v>-8230</v>
      </c>
      <c r="E26" s="304">
        <f ca="1">IF($D$3="BAU",UtilityDemand!E19,INDIRECT($D$3&amp;"!E"&amp;ROW(D26))+INDIRECT($D$3&amp;"!G"&amp;ROW(D26)))</f>
        <v>590464.11586388049</v>
      </c>
      <c r="F26" s="305">
        <f t="shared" ca="1" si="24"/>
        <v>0</v>
      </c>
      <c r="G26" s="306">
        <f t="shared" ca="1" si="8"/>
        <v>0</v>
      </c>
      <c r="H26" s="304">
        <f ca="1">IF($D$3="BAU",UtilityDemand!G19,INDIRECT($D$3&amp;"!H"&amp;ROW(G26))+INDIRECT($D$3&amp;"!J"&amp;ROW(G26)))</f>
        <v>169521.52967965385</v>
      </c>
      <c r="I26" s="305">
        <f t="shared" ca="1" si="25"/>
        <v>0</v>
      </c>
      <c r="J26" s="306">
        <f t="shared" ca="1" si="9"/>
        <v>0</v>
      </c>
      <c r="K26" s="307">
        <f t="shared" ca="1" si="10"/>
        <v>107025.83075706524</v>
      </c>
      <c r="L26" s="307">
        <f t="shared" si="11"/>
        <v>0</v>
      </c>
      <c r="M26" s="307">
        <v>0</v>
      </c>
      <c r="N26" s="307">
        <f t="shared" ca="1" si="12"/>
        <v>107025.83075706524</v>
      </c>
      <c r="O26" s="1494">
        <f t="shared" ca="1" si="13"/>
        <v>590464.11586388049</v>
      </c>
      <c r="P26" s="306">
        <f t="shared" si="14"/>
        <v>0</v>
      </c>
      <c r="Q26" s="306">
        <v>0</v>
      </c>
      <c r="R26" s="306">
        <f t="shared" ca="1" si="15"/>
        <v>590464.11586388049</v>
      </c>
      <c r="S26" s="818">
        <f t="shared" ca="1" si="16"/>
        <v>169521.52967965385</v>
      </c>
      <c r="T26" s="818">
        <f t="shared" si="17"/>
        <v>0</v>
      </c>
      <c r="U26" s="818">
        <v>0</v>
      </c>
      <c r="V26" s="818">
        <f t="shared" ca="1" si="18"/>
        <v>169521.52967965385</v>
      </c>
      <c r="W26" s="306">
        <f t="shared" si="1"/>
        <v>0</v>
      </c>
      <c r="X26" s="306">
        <f t="shared" ca="1" si="2"/>
        <v>-5845.4128478032089</v>
      </c>
      <c r="Y26" s="306">
        <v>0</v>
      </c>
      <c r="Z26" s="306">
        <v>0</v>
      </c>
      <c r="AA26" s="308">
        <f ca="1">-SUM(W26,X26/OFFSET(GridFootprintbyYear,$A26-$A$19,0)*EF_PurchElec_MTperMWh,Z26)*OFFSET(ExposureCalculations!Price_GHG_Allowance_2010,A26-$A$19,0)*ExposureCalculations!D23</f>
        <v>78216.637322067254</v>
      </c>
      <c r="AB26" s="308">
        <f t="shared" ca="1" si="3"/>
        <v>724404.58962989005</v>
      </c>
      <c r="AC26" s="308">
        <v>0</v>
      </c>
      <c r="AD26" s="819">
        <f t="shared" ca="1" si="4"/>
        <v>0</v>
      </c>
      <c r="AE26" s="308">
        <v>0</v>
      </c>
      <c r="AF26" s="819">
        <f t="shared" ca="1" si="5"/>
        <v>0</v>
      </c>
      <c r="AG26" s="308">
        <v>0</v>
      </c>
      <c r="AH26" s="308">
        <v>0</v>
      </c>
      <c r="AI26" s="308">
        <v>0</v>
      </c>
      <c r="AJ26" s="308">
        <f t="shared" ca="1" si="6"/>
        <v>724404.58962989005</v>
      </c>
      <c r="AK26" s="309">
        <v>0</v>
      </c>
      <c r="AL26" s="309">
        <f t="shared" si="26"/>
        <v>0</v>
      </c>
      <c r="AM26" s="309">
        <f t="shared" si="19"/>
        <v>0</v>
      </c>
      <c r="AN26" s="310">
        <v>0</v>
      </c>
      <c r="AO26" s="310">
        <f t="shared" si="27"/>
        <v>-21000</v>
      </c>
      <c r="AP26" s="310">
        <f t="shared" si="20"/>
        <v>-21000</v>
      </c>
      <c r="AQ26" s="309">
        <v>0</v>
      </c>
      <c r="AR26" s="311">
        <f t="shared" ca="1" si="7"/>
        <v>781621.22695195733</v>
      </c>
      <c r="AS26" s="870">
        <f t="shared" ca="1" si="21"/>
        <v>3658261.1955887452</v>
      </c>
      <c r="AT26" s="822"/>
      <c r="AU26" s="878" t="s">
        <v>1466</v>
      </c>
      <c r="AV26" s="35"/>
      <c r="AW26" s="879"/>
      <c r="AX26" s="35"/>
      <c r="AY26" s="880"/>
    </row>
    <row r="27" spans="1:51">
      <c r="A27" s="303">
        <v>2018</v>
      </c>
      <c r="B27" s="304">
        <f ca="1">IF($D$3="BAU",UtilityDemand!C20,INDIRECT($D$3&amp;"!B"&amp;ROW(A27))+INDIRECT($D$3&amp;"!D"&amp;ROW(A27)))</f>
        <v>113669.57407683862</v>
      </c>
      <c r="C27" s="305">
        <f t="shared" ca="1" si="22"/>
        <v>-7.240284013413005E-2</v>
      </c>
      <c r="D27" s="306">
        <f t="shared" ca="1" si="23"/>
        <v>-8230</v>
      </c>
      <c r="E27" s="304">
        <f ca="1">IF($D$3="BAU",UtilityDemand!E20,INDIRECT($D$3&amp;"!E"&amp;ROW(D27))+INDIRECT($D$3&amp;"!G"&amp;ROW(D27)))</f>
        <v>582271.04006561555</v>
      </c>
      <c r="F27" s="305">
        <f t="shared" ca="1" si="24"/>
        <v>0</v>
      </c>
      <c r="G27" s="306">
        <f t="shared" ca="1" si="8"/>
        <v>0</v>
      </c>
      <c r="H27" s="304">
        <f ca="1">IF($D$3="BAU",UtilityDemand!G20,INDIRECT($D$3&amp;"!H"&amp;ROW(G27))+INDIRECT($D$3&amp;"!J"&amp;ROW(G27)))</f>
        <v>169495.30642949394</v>
      </c>
      <c r="I27" s="305">
        <f t="shared" ca="1" si="25"/>
        <v>0</v>
      </c>
      <c r="J27" s="306">
        <f t="shared" ca="1" si="9"/>
        <v>0</v>
      </c>
      <c r="K27" s="307">
        <f t="shared" ca="1" si="10"/>
        <v>105439.57407683862</v>
      </c>
      <c r="L27" s="307">
        <f t="shared" si="11"/>
        <v>0</v>
      </c>
      <c r="M27" s="307">
        <v>0</v>
      </c>
      <c r="N27" s="307">
        <f t="shared" ca="1" si="12"/>
        <v>105439.57407683862</v>
      </c>
      <c r="O27" s="1494">
        <f t="shared" ca="1" si="13"/>
        <v>582271.04006561555</v>
      </c>
      <c r="P27" s="306">
        <f t="shared" si="14"/>
        <v>0</v>
      </c>
      <c r="Q27" s="306">
        <v>0</v>
      </c>
      <c r="R27" s="306">
        <f t="shared" ca="1" si="15"/>
        <v>582271.04006561555</v>
      </c>
      <c r="S27" s="818">
        <f t="shared" ca="1" si="16"/>
        <v>169495.30642949394</v>
      </c>
      <c r="T27" s="818">
        <f t="shared" si="17"/>
        <v>0</v>
      </c>
      <c r="U27" s="818">
        <v>0</v>
      </c>
      <c r="V27" s="818">
        <f t="shared" ca="1" si="18"/>
        <v>169495.30642949394</v>
      </c>
      <c r="W27" s="306">
        <f t="shared" si="1"/>
        <v>0</v>
      </c>
      <c r="X27" s="306">
        <f t="shared" ca="1" si="2"/>
        <v>-5845.4128478032089</v>
      </c>
      <c r="Y27" s="306">
        <v>0</v>
      </c>
      <c r="Z27" s="306">
        <v>0</v>
      </c>
      <c r="AA27" s="308">
        <f ca="1">-SUM(W27,X27/OFFSET(GridFootprintbyYear,$A27-$A$19,0)*EF_PurchElec_MTperMWh,Z27)*OFFSET(ExposureCalculations!Price_GHG_Allowance_2010,A27-$A$19,0)*ExposureCalculations!D24</f>
        <v>88231.382680736991</v>
      </c>
      <c r="AB27" s="308">
        <f t="shared" ca="1" si="3"/>
        <v>728026.61257803941</v>
      </c>
      <c r="AC27" s="308">
        <v>0</v>
      </c>
      <c r="AD27" s="819">
        <f t="shared" ca="1" si="4"/>
        <v>0</v>
      </c>
      <c r="AE27" s="308">
        <v>0</v>
      </c>
      <c r="AF27" s="819">
        <f t="shared" ca="1" si="5"/>
        <v>0</v>
      </c>
      <c r="AG27" s="308">
        <v>0</v>
      </c>
      <c r="AH27" s="308">
        <v>0</v>
      </c>
      <c r="AI27" s="308">
        <v>0</v>
      </c>
      <c r="AJ27" s="308">
        <f t="shared" ca="1" si="6"/>
        <v>728026.61257803941</v>
      </c>
      <c r="AK27" s="309">
        <v>0</v>
      </c>
      <c r="AL27" s="309">
        <f t="shared" si="26"/>
        <v>0</v>
      </c>
      <c r="AM27" s="309">
        <f t="shared" si="19"/>
        <v>0</v>
      </c>
      <c r="AN27" s="310">
        <v>0</v>
      </c>
      <c r="AO27" s="310">
        <f t="shared" si="27"/>
        <v>-21000</v>
      </c>
      <c r="AP27" s="310">
        <f t="shared" si="20"/>
        <v>-21000</v>
      </c>
      <c r="AQ27" s="309">
        <v>0</v>
      </c>
      <c r="AR27" s="311">
        <f t="shared" ca="1" si="7"/>
        <v>795257.99525877635</v>
      </c>
      <c r="AS27" s="870">
        <f t="shared" ca="1" si="21"/>
        <v>4453519.1908475216</v>
      </c>
      <c r="AT27" s="822"/>
      <c r="AU27" s="878"/>
      <c r="AV27" s="35"/>
      <c r="AW27" s="879"/>
      <c r="AX27" s="35"/>
      <c r="AY27" s="880"/>
    </row>
    <row r="28" spans="1:51">
      <c r="A28" s="303">
        <v>2019</v>
      </c>
      <c r="B28" s="304">
        <f ca="1">IF($D$3="BAU",UtilityDemand!C21,INDIRECT($D$3&amp;"!B"&amp;ROW(A28))+INDIRECT($D$3&amp;"!D"&amp;ROW(A28)))</f>
        <v>112091.21986559582</v>
      </c>
      <c r="C28" s="305">
        <f t="shared" ca="1" si="22"/>
        <v>-7.3422343069049212E-2</v>
      </c>
      <c r="D28" s="306">
        <f t="shared" ca="1" si="23"/>
        <v>-8230</v>
      </c>
      <c r="E28" s="304">
        <f ca="1">IF($D$3="BAU",UtilityDemand!E21,INDIRECT($D$3&amp;"!E"&amp;ROW(D28))+INDIRECT($D$3&amp;"!G"&amp;ROW(D28)))</f>
        <v>574077.9642673505</v>
      </c>
      <c r="F28" s="305">
        <f t="shared" ca="1" si="24"/>
        <v>0</v>
      </c>
      <c r="G28" s="306">
        <f t="shared" ca="1" si="8"/>
        <v>0</v>
      </c>
      <c r="H28" s="304">
        <f ca="1">IF($D$3="BAU",UtilityDemand!G21,INDIRECT($D$3&amp;"!H"&amp;ROW(G28))+INDIRECT($D$3&amp;"!J"&amp;ROW(G28)))</f>
        <v>169467.73374966838</v>
      </c>
      <c r="I28" s="305">
        <f t="shared" ca="1" si="25"/>
        <v>0</v>
      </c>
      <c r="J28" s="306">
        <f t="shared" ca="1" si="9"/>
        <v>0</v>
      </c>
      <c r="K28" s="307">
        <f t="shared" ca="1" si="10"/>
        <v>103861.21986559582</v>
      </c>
      <c r="L28" s="307">
        <f t="shared" si="11"/>
        <v>0</v>
      </c>
      <c r="M28" s="307">
        <v>0</v>
      </c>
      <c r="N28" s="307">
        <f t="shared" ca="1" si="12"/>
        <v>103861.21986559582</v>
      </c>
      <c r="O28" s="1494">
        <f t="shared" ca="1" si="13"/>
        <v>574077.9642673505</v>
      </c>
      <c r="P28" s="306">
        <f t="shared" si="14"/>
        <v>0</v>
      </c>
      <c r="Q28" s="306">
        <v>0</v>
      </c>
      <c r="R28" s="306">
        <f t="shared" ca="1" si="15"/>
        <v>574077.9642673505</v>
      </c>
      <c r="S28" s="818">
        <f t="shared" ca="1" si="16"/>
        <v>169467.73374966838</v>
      </c>
      <c r="T28" s="818">
        <f t="shared" si="17"/>
        <v>0</v>
      </c>
      <c r="U28" s="818">
        <v>0</v>
      </c>
      <c r="V28" s="818">
        <f t="shared" ca="1" si="18"/>
        <v>169467.73374966838</v>
      </c>
      <c r="W28" s="306">
        <f t="shared" si="1"/>
        <v>0</v>
      </c>
      <c r="X28" s="306">
        <f t="shared" ca="1" si="2"/>
        <v>-5845.4128478032089</v>
      </c>
      <c r="Y28" s="306">
        <v>0</v>
      </c>
      <c r="Z28" s="306">
        <v>0</v>
      </c>
      <c r="AA28" s="308">
        <f ca="1">-SUM(W28,X28/OFFSET(GridFootprintbyYear,$A28-$A$19,0)*EF_PurchElec_MTperMWh,Z28)*OFFSET(ExposureCalculations!Price_GHG_Allowance_2010,A28-$A$19,0)*ExposureCalculations!D25</f>
        <v>98647.531462172759</v>
      </c>
      <c r="AB28" s="308">
        <f t="shared" ca="1" si="3"/>
        <v>731666.74564092956</v>
      </c>
      <c r="AC28" s="308">
        <v>0</v>
      </c>
      <c r="AD28" s="819">
        <f t="shared" ca="1" si="4"/>
        <v>0</v>
      </c>
      <c r="AE28" s="308">
        <v>0</v>
      </c>
      <c r="AF28" s="819">
        <f t="shared" ca="1" si="5"/>
        <v>0</v>
      </c>
      <c r="AG28" s="308">
        <v>0</v>
      </c>
      <c r="AH28" s="308">
        <v>0</v>
      </c>
      <c r="AI28" s="308">
        <v>0</v>
      </c>
      <c r="AJ28" s="308">
        <f t="shared" ca="1" si="6"/>
        <v>731666.74564092956</v>
      </c>
      <c r="AK28" s="309">
        <v>0</v>
      </c>
      <c r="AL28" s="309">
        <f t="shared" si="26"/>
        <v>0</v>
      </c>
      <c r="AM28" s="309">
        <f t="shared" si="19"/>
        <v>0</v>
      </c>
      <c r="AN28" s="310">
        <v>0</v>
      </c>
      <c r="AO28" s="310">
        <f t="shared" si="27"/>
        <v>-21000</v>
      </c>
      <c r="AP28" s="310">
        <f t="shared" si="20"/>
        <v>-21000</v>
      </c>
      <c r="AQ28" s="309">
        <v>0</v>
      </c>
      <c r="AR28" s="311">
        <f t="shared" ca="1" si="7"/>
        <v>809314.2771031023</v>
      </c>
      <c r="AS28" s="870">
        <f t="shared" ca="1" si="21"/>
        <v>5262833.4679506235</v>
      </c>
      <c r="AT28" s="822"/>
      <c r="AU28" s="918">
        <v>6480</v>
      </c>
      <c r="AV28" s="35" t="s">
        <v>60</v>
      </c>
      <c r="AW28" s="879" t="s">
        <v>1467</v>
      </c>
      <c r="AX28" s="35"/>
      <c r="AY28" s="880"/>
    </row>
    <row r="29" spans="1:51">
      <c r="A29" s="303">
        <v>2020</v>
      </c>
      <c r="B29" s="304">
        <f ca="1">IF($D$3="BAU",UtilityDemand!C22,INDIRECT($D$3&amp;"!B"&amp;ROW(A29))+INDIRECT($D$3&amp;"!D"&amp;ROW(A29)))</f>
        <v>110520.82539039959</v>
      </c>
      <c r="C29" s="305">
        <f t="shared" ca="1" si="22"/>
        <v>-7.4465603843697853E-2</v>
      </c>
      <c r="D29" s="306">
        <f t="shared" ca="1" si="23"/>
        <v>-8230</v>
      </c>
      <c r="E29" s="304">
        <f ca="1">IF($D$3="BAU",UtilityDemand!E22,INDIRECT($D$3&amp;"!E"&amp;ROW(D29))+INDIRECT($D$3&amp;"!G"&amp;ROW(D29)))</f>
        <v>565884.88846908556</v>
      </c>
      <c r="F29" s="305">
        <f t="shared" ca="1" si="24"/>
        <v>0</v>
      </c>
      <c r="G29" s="306">
        <f t="shared" ca="1" si="8"/>
        <v>0</v>
      </c>
      <c r="H29" s="304">
        <f ca="1">IF($D$3="BAU",UtilityDemand!G22,INDIRECT($D$3&amp;"!H"&amp;ROW(G29))+INDIRECT($D$3&amp;"!J"&amp;ROW(G29)))</f>
        <v>169438.85451481873</v>
      </c>
      <c r="I29" s="305">
        <f t="shared" ca="1" si="25"/>
        <v>0</v>
      </c>
      <c r="J29" s="306">
        <f t="shared" ca="1" si="9"/>
        <v>0</v>
      </c>
      <c r="K29" s="307">
        <f t="shared" ca="1" si="10"/>
        <v>102290.82539039959</v>
      </c>
      <c r="L29" s="307">
        <f t="shared" si="11"/>
        <v>0</v>
      </c>
      <c r="M29" s="307">
        <v>0</v>
      </c>
      <c r="N29" s="307">
        <f t="shared" ca="1" si="12"/>
        <v>102290.82539039959</v>
      </c>
      <c r="O29" s="1494">
        <f t="shared" ca="1" si="13"/>
        <v>565884.88846908556</v>
      </c>
      <c r="P29" s="306">
        <f t="shared" si="14"/>
        <v>0</v>
      </c>
      <c r="Q29" s="306">
        <v>0</v>
      </c>
      <c r="R29" s="306">
        <f t="shared" ca="1" si="15"/>
        <v>565884.88846908556</v>
      </c>
      <c r="S29" s="818">
        <f t="shared" ca="1" si="16"/>
        <v>169438.85451481873</v>
      </c>
      <c r="T29" s="818">
        <f t="shared" si="17"/>
        <v>0</v>
      </c>
      <c r="U29" s="818">
        <v>0</v>
      </c>
      <c r="V29" s="818">
        <f t="shared" ca="1" si="18"/>
        <v>169438.85451481873</v>
      </c>
      <c r="W29" s="306">
        <f t="shared" si="1"/>
        <v>0</v>
      </c>
      <c r="X29" s="306">
        <f t="shared" ca="1" si="2"/>
        <v>-5845.4128478032089</v>
      </c>
      <c r="Y29" s="306">
        <v>0</v>
      </c>
      <c r="Z29" s="306">
        <v>0</v>
      </c>
      <c r="AA29" s="308">
        <f ca="1">-SUM(W29,X29/OFFSET(GridFootprintbyYear,$A29-$A$19,0)*EF_PurchElec_MTperMWh,Z29)*OFFSET(ExposureCalculations!Price_GHG_Allowance_2010,A29-$A$19,0)*ExposureCalculations!D26</f>
        <v>109452.10580422032</v>
      </c>
      <c r="AB29" s="308">
        <f t="shared" ca="1" si="3"/>
        <v>735325.07936913404</v>
      </c>
      <c r="AC29" s="308">
        <v>0</v>
      </c>
      <c r="AD29" s="819">
        <f t="shared" ca="1" si="4"/>
        <v>0</v>
      </c>
      <c r="AE29" s="308">
        <v>0</v>
      </c>
      <c r="AF29" s="819">
        <f t="shared" ca="1" si="5"/>
        <v>0</v>
      </c>
      <c r="AG29" s="308">
        <v>0</v>
      </c>
      <c r="AH29" s="308">
        <v>0</v>
      </c>
      <c r="AI29" s="308">
        <v>0</v>
      </c>
      <c r="AJ29" s="308">
        <f t="shared" ca="1" si="6"/>
        <v>735325.07936913404</v>
      </c>
      <c r="AK29" s="309">
        <v>0</v>
      </c>
      <c r="AL29" s="309">
        <f t="shared" si="26"/>
        <v>0</v>
      </c>
      <c r="AM29" s="309">
        <f t="shared" si="19"/>
        <v>0</v>
      </c>
      <c r="AN29" s="310">
        <v>0</v>
      </c>
      <c r="AO29" s="310">
        <f t="shared" si="27"/>
        <v>-21000</v>
      </c>
      <c r="AP29" s="310">
        <f t="shared" si="20"/>
        <v>-21000</v>
      </c>
      <c r="AQ29" s="309">
        <v>0</v>
      </c>
      <c r="AR29" s="311">
        <f t="shared" ca="1" si="7"/>
        <v>823777.18517335434</v>
      </c>
      <c r="AS29" s="870">
        <f t="shared" ca="1" si="21"/>
        <v>6086610.6531239776</v>
      </c>
      <c r="AT29" s="822"/>
      <c r="AU29" s="918">
        <v>1750</v>
      </c>
      <c r="AV29" s="35" t="s">
        <v>60</v>
      </c>
      <c r="AW29" s="879" t="s">
        <v>1468</v>
      </c>
      <c r="AX29" s="35"/>
      <c r="AY29" s="880"/>
    </row>
    <row r="30" spans="1:51">
      <c r="A30" s="303">
        <v>2021</v>
      </c>
      <c r="B30" s="304">
        <f ca="1">IF($D$3="BAU",UtilityDemand!C23,INDIRECT($D$3&amp;"!B"&amp;ROW(A30))+INDIRECT($D$3&amp;"!D"&amp;ROW(A30)))</f>
        <v>108958.4455177194</v>
      </c>
      <c r="C30" s="305">
        <f t="shared" ca="1" si="22"/>
        <v>-7.5533383033273852E-2</v>
      </c>
      <c r="D30" s="306">
        <f t="shared" ca="1" si="23"/>
        <v>-8230</v>
      </c>
      <c r="E30" s="304">
        <f ca="1">IF($D$3="BAU",UtilityDemand!E23,INDIRECT($D$3&amp;"!E"&amp;ROW(D30))+INDIRECT($D$3&amp;"!G"&amp;ROW(D30)))</f>
        <v>557691.81267082086</v>
      </c>
      <c r="F30" s="305">
        <f t="shared" ca="1" si="24"/>
        <v>0</v>
      </c>
      <c r="G30" s="306">
        <f t="shared" ca="1" si="8"/>
        <v>0</v>
      </c>
      <c r="H30" s="304">
        <f ca="1">IF($D$3="BAU",UtilityDemand!G23,INDIRECT($D$3&amp;"!H"&amp;ROW(G30))+INDIRECT($D$3&amp;"!J"&amp;ROW(G30)))</f>
        <v>169408.70980231324</v>
      </c>
      <c r="I30" s="305">
        <f t="shared" ca="1" si="25"/>
        <v>0</v>
      </c>
      <c r="J30" s="306">
        <f t="shared" ca="1" si="9"/>
        <v>0</v>
      </c>
      <c r="K30" s="307">
        <f t="shared" ca="1" si="10"/>
        <v>100728.4455177194</v>
      </c>
      <c r="L30" s="307">
        <f t="shared" si="11"/>
        <v>0</v>
      </c>
      <c r="M30" s="307">
        <v>0</v>
      </c>
      <c r="N30" s="307">
        <f t="shared" ca="1" si="12"/>
        <v>100728.4455177194</v>
      </c>
      <c r="O30" s="1494">
        <f t="shared" ca="1" si="13"/>
        <v>557691.81267082086</v>
      </c>
      <c r="P30" s="306">
        <f t="shared" si="14"/>
        <v>0</v>
      </c>
      <c r="Q30" s="306">
        <v>0</v>
      </c>
      <c r="R30" s="306">
        <f t="shared" ca="1" si="15"/>
        <v>557691.81267082086</v>
      </c>
      <c r="S30" s="818">
        <f t="shared" ca="1" si="16"/>
        <v>169408.70980231324</v>
      </c>
      <c r="T30" s="818">
        <f t="shared" si="17"/>
        <v>0</v>
      </c>
      <c r="U30" s="818">
        <v>0</v>
      </c>
      <c r="V30" s="818">
        <f t="shared" ca="1" si="18"/>
        <v>169408.70980231324</v>
      </c>
      <c r="W30" s="306">
        <f t="shared" si="1"/>
        <v>0</v>
      </c>
      <c r="X30" s="306">
        <f t="shared" ca="1" si="2"/>
        <v>-5845.4128478032089</v>
      </c>
      <c r="Y30" s="306">
        <v>0</v>
      </c>
      <c r="Z30" s="306">
        <v>0</v>
      </c>
      <c r="AA30" s="308">
        <f ca="1">-SUM(W30,X30/OFFSET(GridFootprintbyYear,$A30-$A$19,0)*EF_PurchElec_MTperMWh,Z30)*OFFSET(ExposureCalculations!Price_GHG_Allowance_2010,A30-$A$19,0)*ExposureCalculations!D27</f>
        <v>121917.72560723824</v>
      </c>
      <c r="AB30" s="308">
        <f t="shared" ca="1" si="3"/>
        <v>739001.70476597967</v>
      </c>
      <c r="AC30" s="308">
        <v>0</v>
      </c>
      <c r="AD30" s="819">
        <f t="shared" ca="1" si="4"/>
        <v>0</v>
      </c>
      <c r="AE30" s="308">
        <v>0</v>
      </c>
      <c r="AF30" s="819">
        <f t="shared" ca="1" si="5"/>
        <v>0</v>
      </c>
      <c r="AG30" s="308">
        <v>0</v>
      </c>
      <c r="AH30" s="308">
        <v>0</v>
      </c>
      <c r="AI30" s="308">
        <v>0</v>
      </c>
      <c r="AJ30" s="308">
        <f t="shared" ca="1" si="6"/>
        <v>739001.70476597967</v>
      </c>
      <c r="AK30" s="309">
        <v>0</v>
      </c>
      <c r="AL30" s="309">
        <f t="shared" si="26"/>
        <v>0</v>
      </c>
      <c r="AM30" s="309">
        <f t="shared" si="19"/>
        <v>0</v>
      </c>
      <c r="AN30" s="310">
        <v>0</v>
      </c>
      <c r="AO30" s="310">
        <f t="shared" si="27"/>
        <v>-21000</v>
      </c>
      <c r="AP30" s="310">
        <f t="shared" si="20"/>
        <v>-21000</v>
      </c>
      <c r="AQ30" s="309">
        <v>0</v>
      </c>
      <c r="AR30" s="311">
        <f t="shared" ca="1" si="7"/>
        <v>839919.43037321791</v>
      </c>
      <c r="AS30" s="870">
        <f t="shared" ca="1" si="21"/>
        <v>6926530.0834971955</v>
      </c>
      <c r="AT30" s="822"/>
      <c r="AU30" s="878"/>
      <c r="AV30" s="35"/>
      <c r="AW30" s="879"/>
      <c r="AX30" s="35"/>
      <c r="AY30" s="880"/>
    </row>
    <row r="31" spans="1:51">
      <c r="A31" s="303">
        <v>2022</v>
      </c>
      <c r="B31" s="304">
        <f ca="1">IF($D$3="BAU",UtilityDemand!C24,INDIRECT($D$3&amp;"!B"&amp;ROW(A31))+INDIRECT($D$3&amp;"!D"&amp;ROW(A31)))</f>
        <v>107404.13283791601</v>
      </c>
      <c r="C31" s="305">
        <f t="shared" ca="1" si="22"/>
        <v>-7.6626474070787612E-2</v>
      </c>
      <c r="D31" s="306">
        <f t="shared" ca="1" si="23"/>
        <v>-8230</v>
      </c>
      <c r="E31" s="304">
        <f ca="1">IF($D$3="BAU",UtilityDemand!E24,INDIRECT($D$3&amp;"!E"&amp;ROW(D31))+INDIRECT($D$3&amp;"!G"&amp;ROW(D31)))</f>
        <v>549498.7368725558</v>
      </c>
      <c r="F31" s="305">
        <f t="shared" ca="1" si="24"/>
        <v>0</v>
      </c>
      <c r="G31" s="306">
        <f t="shared" ca="1" si="8"/>
        <v>0</v>
      </c>
      <c r="H31" s="304">
        <f ca="1">IF($D$3="BAU",UtilityDemand!G24,INDIRECT($D$3&amp;"!H"&amp;ROW(G31))+INDIRECT($D$3&amp;"!J"&amp;ROW(G31)))</f>
        <v>169377.33898544539</v>
      </c>
      <c r="I31" s="305">
        <f t="shared" ca="1" si="25"/>
        <v>0</v>
      </c>
      <c r="J31" s="306">
        <f t="shared" ca="1" si="9"/>
        <v>0</v>
      </c>
      <c r="K31" s="307">
        <f t="shared" ca="1" si="10"/>
        <v>99174.132837916011</v>
      </c>
      <c r="L31" s="307">
        <f t="shared" si="11"/>
        <v>0</v>
      </c>
      <c r="M31" s="307">
        <v>0</v>
      </c>
      <c r="N31" s="307">
        <f t="shared" ca="1" si="12"/>
        <v>99174.132837916011</v>
      </c>
      <c r="O31" s="1494">
        <f t="shared" ca="1" si="13"/>
        <v>549498.7368725558</v>
      </c>
      <c r="P31" s="306">
        <f t="shared" si="14"/>
        <v>0</v>
      </c>
      <c r="Q31" s="306">
        <v>0</v>
      </c>
      <c r="R31" s="306">
        <f t="shared" ca="1" si="15"/>
        <v>549498.7368725558</v>
      </c>
      <c r="S31" s="818">
        <f t="shared" ca="1" si="16"/>
        <v>169377.33898544539</v>
      </c>
      <c r="T31" s="818">
        <f t="shared" si="17"/>
        <v>0</v>
      </c>
      <c r="U31" s="818">
        <v>0</v>
      </c>
      <c r="V31" s="818">
        <f t="shared" ca="1" si="18"/>
        <v>169377.33898544539</v>
      </c>
      <c r="W31" s="306">
        <f t="shared" si="1"/>
        <v>0</v>
      </c>
      <c r="X31" s="306">
        <f t="shared" ca="1" si="2"/>
        <v>-5845.4128478032089</v>
      </c>
      <c r="Y31" s="306">
        <v>0</v>
      </c>
      <c r="Z31" s="306">
        <v>0</v>
      </c>
      <c r="AA31" s="308">
        <f ca="1">-SUM(W31,X31/OFFSET(GridFootprintbyYear,$A31-$A$19,0)*EF_PurchElec_MTperMWh,Z31)*OFFSET(ExposureCalculations!Price_GHG_Allowance_2010,A31-$A$19,0)*ExposureCalculations!D28</f>
        <v>134864.40163516917</v>
      </c>
      <c r="AB31" s="308">
        <f t="shared" ca="1" si="3"/>
        <v>742696.7132898093</v>
      </c>
      <c r="AC31" s="308">
        <v>0</v>
      </c>
      <c r="AD31" s="819">
        <f t="shared" ca="1" si="4"/>
        <v>0</v>
      </c>
      <c r="AE31" s="308">
        <v>0</v>
      </c>
      <c r="AF31" s="819">
        <f t="shared" ca="1" si="5"/>
        <v>0</v>
      </c>
      <c r="AG31" s="308">
        <v>0</v>
      </c>
      <c r="AH31" s="308">
        <v>0</v>
      </c>
      <c r="AI31" s="308">
        <v>0</v>
      </c>
      <c r="AJ31" s="308">
        <f t="shared" ca="1" si="6"/>
        <v>742696.7132898093</v>
      </c>
      <c r="AK31" s="309">
        <v>0</v>
      </c>
      <c r="AL31" s="309">
        <f t="shared" si="26"/>
        <v>0</v>
      </c>
      <c r="AM31" s="309">
        <f t="shared" si="19"/>
        <v>0</v>
      </c>
      <c r="AN31" s="310">
        <v>0</v>
      </c>
      <c r="AO31" s="310">
        <f t="shared" si="27"/>
        <v>-21000</v>
      </c>
      <c r="AP31" s="310">
        <f t="shared" si="20"/>
        <v>-21000</v>
      </c>
      <c r="AQ31" s="309">
        <v>0</v>
      </c>
      <c r="AR31" s="311">
        <f t="shared" ca="1" si="7"/>
        <v>856561.11492497846</v>
      </c>
      <c r="AS31" s="870">
        <f t="shared" ca="1" si="21"/>
        <v>7783091.198422174</v>
      </c>
      <c r="AT31" s="822"/>
      <c r="AU31" s="1260">
        <v>1.5</v>
      </c>
      <c r="AV31" s="35" t="s">
        <v>1469</v>
      </c>
      <c r="AW31" s="879"/>
      <c r="AX31" s="35"/>
      <c r="AY31" s="880"/>
    </row>
    <row r="32" spans="1:51">
      <c r="A32" s="303">
        <v>2023</v>
      </c>
      <c r="B32" s="304">
        <f ca="1">IF($D$3="BAU",UtilityDemand!C25,INDIRECT($D$3&amp;"!B"&amp;ROW(A32))+INDIRECT($D$3&amp;"!D"&amp;ROW(A32)))</f>
        <v>106305.54005597887</v>
      </c>
      <c r="C32" s="305">
        <f t="shared" ca="1" si="22"/>
        <v>-7.7418354637643613E-2</v>
      </c>
      <c r="D32" s="306">
        <f t="shared" ca="1" si="23"/>
        <v>-8230</v>
      </c>
      <c r="E32" s="304">
        <f ca="1">IF($D$3="BAU",UtilityDemand!E25,INDIRECT($D$3&amp;"!E"&amp;ROW(D32))+INDIRECT($D$3&amp;"!G"&amp;ROW(D32)))</f>
        <v>541305.66107429087</v>
      </c>
      <c r="F32" s="305">
        <f t="shared" ca="1" si="24"/>
        <v>0</v>
      </c>
      <c r="G32" s="306">
        <f t="shared" ca="1" si="8"/>
        <v>0</v>
      </c>
      <c r="H32" s="304">
        <f ca="1">IF($D$3="BAU",UtilityDemand!G25,INDIRECT($D$3&amp;"!H"&amp;ROW(G32))+INDIRECT($D$3&amp;"!J"&amp;ROW(G32)))</f>
        <v>169344.77982089305</v>
      </c>
      <c r="I32" s="305">
        <f t="shared" ca="1" si="25"/>
        <v>0</v>
      </c>
      <c r="J32" s="306">
        <f t="shared" ca="1" si="9"/>
        <v>0</v>
      </c>
      <c r="K32" s="307">
        <f t="shared" ca="1" si="10"/>
        <v>98075.540055978869</v>
      </c>
      <c r="L32" s="307">
        <f t="shared" si="11"/>
        <v>0</v>
      </c>
      <c r="M32" s="307">
        <v>0</v>
      </c>
      <c r="N32" s="307">
        <f t="shared" ca="1" si="12"/>
        <v>98075.540055978869</v>
      </c>
      <c r="O32" s="1494">
        <f t="shared" ca="1" si="13"/>
        <v>541305.66107429087</v>
      </c>
      <c r="P32" s="306">
        <f t="shared" si="14"/>
        <v>0</v>
      </c>
      <c r="Q32" s="306">
        <v>0</v>
      </c>
      <c r="R32" s="306">
        <f t="shared" ca="1" si="15"/>
        <v>541305.66107429087</v>
      </c>
      <c r="S32" s="818">
        <f t="shared" ca="1" si="16"/>
        <v>169344.77982089305</v>
      </c>
      <c r="T32" s="818">
        <f t="shared" si="17"/>
        <v>0</v>
      </c>
      <c r="U32" s="818">
        <v>0</v>
      </c>
      <c r="V32" s="818">
        <f t="shared" ca="1" si="18"/>
        <v>169344.77982089305</v>
      </c>
      <c r="W32" s="306">
        <f t="shared" si="1"/>
        <v>0</v>
      </c>
      <c r="X32" s="306">
        <f t="shared" ca="1" si="2"/>
        <v>-5845.4128478032089</v>
      </c>
      <c r="Y32" s="306">
        <v>0</v>
      </c>
      <c r="Z32" s="306">
        <v>0</v>
      </c>
      <c r="AA32" s="308">
        <f ca="1">-SUM(W32,X32/OFFSET(GridFootprintbyYear,$A32-$A$19,0)*EF_PurchElec_MTperMWh,Z32)*OFFSET(ExposureCalculations!Price_GHG_Allowance_2010,A32-$A$19,0)*ExposureCalculations!D29</f>
        <v>148272.73607029844</v>
      </c>
      <c r="AB32" s="308">
        <f t="shared" ca="1" si="3"/>
        <v>746410.19685625832</v>
      </c>
      <c r="AC32" s="308">
        <v>0</v>
      </c>
      <c r="AD32" s="819">
        <f t="shared" ca="1" si="4"/>
        <v>0</v>
      </c>
      <c r="AE32" s="308">
        <v>0</v>
      </c>
      <c r="AF32" s="819">
        <f t="shared" ca="1" si="5"/>
        <v>0</v>
      </c>
      <c r="AG32" s="308">
        <v>0</v>
      </c>
      <c r="AH32" s="308">
        <v>0</v>
      </c>
      <c r="AI32" s="308">
        <v>0</v>
      </c>
      <c r="AJ32" s="308">
        <f t="shared" ca="1" si="6"/>
        <v>746410.19685625832</v>
      </c>
      <c r="AK32" s="309">
        <v>0</v>
      </c>
      <c r="AL32" s="309">
        <f t="shared" si="26"/>
        <v>0</v>
      </c>
      <c r="AM32" s="309">
        <f t="shared" si="19"/>
        <v>0</v>
      </c>
      <c r="AN32" s="310">
        <v>0</v>
      </c>
      <c r="AO32" s="310">
        <f t="shared" si="27"/>
        <v>-21000</v>
      </c>
      <c r="AP32" s="310">
        <f t="shared" si="20"/>
        <v>-21000</v>
      </c>
      <c r="AQ32" s="309">
        <v>0</v>
      </c>
      <c r="AR32" s="311">
        <f t="shared" ca="1" si="7"/>
        <v>873682.93292655679</v>
      </c>
      <c r="AS32" s="870">
        <f t="shared" ca="1" si="21"/>
        <v>8656774.131348731</v>
      </c>
      <c r="AT32" s="822"/>
      <c r="AU32" s="918">
        <v>14000</v>
      </c>
      <c r="AV32" s="827" t="s">
        <v>1470</v>
      </c>
      <c r="AW32" s="879"/>
      <c r="AX32" s="35"/>
      <c r="AY32" s="880"/>
    </row>
    <row r="33" spans="1:51">
      <c r="A33" s="303">
        <v>2024</v>
      </c>
      <c r="B33" s="304">
        <f ca="1">IF($D$3="BAU",UtilityDemand!C26,INDIRECT($D$3&amp;"!B"&amp;ROW(A33))+INDIRECT($D$3&amp;"!D"&amp;ROW(A33)))</f>
        <v>105940.89150482102</v>
      </c>
      <c r="C33" s="305">
        <f t="shared" ca="1" si="22"/>
        <v>-7.7684828616205098E-2</v>
      </c>
      <c r="D33" s="306">
        <f t="shared" ca="1" si="23"/>
        <v>-8230</v>
      </c>
      <c r="E33" s="304">
        <f ca="1">IF($D$3="BAU",UtilityDemand!E26,INDIRECT($D$3&amp;"!E"&amp;ROW(D33))+INDIRECT($D$3&amp;"!G"&amp;ROW(D33)))</f>
        <v>534900.72965102608</v>
      </c>
      <c r="F33" s="305">
        <f t="shared" ca="1" si="24"/>
        <v>0</v>
      </c>
      <c r="G33" s="306">
        <f t="shared" ca="1" si="8"/>
        <v>0</v>
      </c>
      <c r="H33" s="304">
        <f ca="1">IF($D$3="BAU",UtilityDemand!G26,INDIRECT($D$3&amp;"!H"&amp;ROW(G33))+INDIRECT($D$3&amp;"!J"&amp;ROW(G33)))</f>
        <v>168479.36173084524</v>
      </c>
      <c r="I33" s="305">
        <f t="shared" ca="1" si="25"/>
        <v>0</v>
      </c>
      <c r="J33" s="306">
        <f t="shared" ca="1" si="9"/>
        <v>0</v>
      </c>
      <c r="K33" s="307">
        <f t="shared" ca="1" si="10"/>
        <v>97710.891504821018</v>
      </c>
      <c r="L33" s="307">
        <f t="shared" si="11"/>
        <v>0</v>
      </c>
      <c r="M33" s="307">
        <v>0</v>
      </c>
      <c r="N33" s="307">
        <f t="shared" ca="1" si="12"/>
        <v>97710.891504821018</v>
      </c>
      <c r="O33" s="1494">
        <f t="shared" ca="1" si="13"/>
        <v>534900.72965102608</v>
      </c>
      <c r="P33" s="306">
        <f t="shared" si="14"/>
        <v>0</v>
      </c>
      <c r="Q33" s="306">
        <v>0</v>
      </c>
      <c r="R33" s="306">
        <f t="shared" ca="1" si="15"/>
        <v>534900.72965102608</v>
      </c>
      <c r="S33" s="818">
        <f t="shared" ca="1" si="16"/>
        <v>168479.36173084524</v>
      </c>
      <c r="T33" s="818">
        <f t="shared" si="17"/>
        <v>0</v>
      </c>
      <c r="U33" s="818">
        <v>0</v>
      </c>
      <c r="V33" s="818">
        <f t="shared" ca="1" si="18"/>
        <v>168479.36173084524</v>
      </c>
      <c r="W33" s="306">
        <f t="shared" si="1"/>
        <v>0</v>
      </c>
      <c r="X33" s="306">
        <f t="shared" ca="1" si="2"/>
        <v>-5845.4128478032089</v>
      </c>
      <c r="Y33" s="306">
        <v>0</v>
      </c>
      <c r="Z33" s="306">
        <v>0</v>
      </c>
      <c r="AA33" s="308">
        <f ca="1">-SUM(W33,X33/OFFSET(GridFootprintbyYear,$A33-$A$19,0)*EF_PurchElec_MTperMWh,Z33)*OFFSET(ExposureCalculations!Price_GHG_Allowance_2010,A33-$A$19,0)*ExposureCalculations!D30</f>
        <v>162123.46493287844</v>
      </c>
      <c r="AB33" s="308">
        <f t="shared" ca="1" si="3"/>
        <v>750142.24784053955</v>
      </c>
      <c r="AC33" s="308">
        <v>0</v>
      </c>
      <c r="AD33" s="819">
        <f t="shared" ca="1" si="4"/>
        <v>0</v>
      </c>
      <c r="AE33" s="308">
        <v>0</v>
      </c>
      <c r="AF33" s="819">
        <f t="shared" ca="1" si="5"/>
        <v>0</v>
      </c>
      <c r="AG33" s="308">
        <v>0</v>
      </c>
      <c r="AH33" s="308">
        <v>0</v>
      </c>
      <c r="AI33" s="308">
        <v>0</v>
      </c>
      <c r="AJ33" s="308">
        <f t="shared" ca="1" si="6"/>
        <v>750142.24784053955</v>
      </c>
      <c r="AK33" s="309">
        <v>0</v>
      </c>
      <c r="AL33" s="309">
        <f t="shared" si="26"/>
        <v>0</v>
      </c>
      <c r="AM33" s="309">
        <f t="shared" si="19"/>
        <v>0</v>
      </c>
      <c r="AN33" s="310">
        <v>0</v>
      </c>
      <c r="AO33" s="310">
        <f t="shared" si="27"/>
        <v>-21000</v>
      </c>
      <c r="AP33" s="310">
        <f t="shared" si="20"/>
        <v>-21000</v>
      </c>
      <c r="AQ33" s="309">
        <v>0</v>
      </c>
      <c r="AR33" s="311">
        <f t="shared" ca="1" si="7"/>
        <v>891265.71277341805</v>
      </c>
      <c r="AS33" s="870">
        <f t="shared" ca="1" si="21"/>
        <v>9548039.8441221491</v>
      </c>
      <c r="AT33" s="822"/>
      <c r="AU33" s="1261">
        <v>28000</v>
      </c>
      <c r="AV33" s="879" t="s">
        <v>1467</v>
      </c>
      <c r="AW33" s="879"/>
      <c r="AX33" s="35"/>
      <c r="AY33" s="880"/>
    </row>
    <row r="34" spans="1:51">
      <c r="A34" s="303">
        <v>2025</v>
      </c>
      <c r="B34" s="304">
        <f ca="1">IF($D$3="BAU",UtilityDemand!C27,INDIRECT($D$3&amp;"!B"&amp;ROW(A34))+INDIRECT($D$3&amp;"!D"&amp;ROW(A34)))</f>
        <v>105575.18146107029</v>
      </c>
      <c r="C34" s="305">
        <f t="shared" ca="1" si="22"/>
        <v>-7.7953927107714455E-2</v>
      </c>
      <c r="D34" s="306">
        <f t="shared" ca="1" si="23"/>
        <v>-8230</v>
      </c>
      <c r="E34" s="304">
        <f ca="1">IF($D$3="BAU",UtilityDemand!E27,INDIRECT($D$3&amp;"!E"&amp;ROW(D34))+INDIRECT($D$3&amp;"!G"&amp;ROW(D34)))</f>
        <v>528495.79822776117</v>
      </c>
      <c r="F34" s="305">
        <f t="shared" ca="1" si="24"/>
        <v>0</v>
      </c>
      <c r="G34" s="306">
        <f t="shared" ca="1" si="8"/>
        <v>0</v>
      </c>
      <c r="H34" s="304">
        <f ca="1">IF($D$3="BAU",UtilityDemand!G27,INDIRECT($D$3&amp;"!H"&amp;ROW(G34))+INDIRECT($D$3&amp;"!J"&amp;ROW(G34)))</f>
        <v>167612.82628017341</v>
      </c>
      <c r="I34" s="305">
        <f t="shared" ca="1" si="25"/>
        <v>0</v>
      </c>
      <c r="J34" s="306">
        <f t="shared" ca="1" si="9"/>
        <v>0</v>
      </c>
      <c r="K34" s="307">
        <f t="shared" ca="1" si="10"/>
        <v>97345.181461070286</v>
      </c>
      <c r="L34" s="307">
        <f t="shared" si="11"/>
        <v>0</v>
      </c>
      <c r="M34" s="307">
        <v>0</v>
      </c>
      <c r="N34" s="307">
        <f t="shared" ca="1" si="12"/>
        <v>97345.181461070286</v>
      </c>
      <c r="O34" s="1494">
        <f t="shared" ca="1" si="13"/>
        <v>528495.79822776117</v>
      </c>
      <c r="P34" s="306">
        <f t="shared" si="14"/>
        <v>0</v>
      </c>
      <c r="Q34" s="306">
        <v>0</v>
      </c>
      <c r="R34" s="306">
        <f t="shared" ca="1" si="15"/>
        <v>528495.79822776117</v>
      </c>
      <c r="S34" s="818">
        <f t="shared" ca="1" si="16"/>
        <v>167612.82628017341</v>
      </c>
      <c r="T34" s="818">
        <f t="shared" si="17"/>
        <v>0</v>
      </c>
      <c r="U34" s="818">
        <v>0</v>
      </c>
      <c r="V34" s="818">
        <f t="shared" ca="1" si="18"/>
        <v>167612.82628017341</v>
      </c>
      <c r="W34" s="306">
        <f t="shared" si="1"/>
        <v>0</v>
      </c>
      <c r="X34" s="306">
        <f t="shared" ca="1" si="2"/>
        <v>-5845.4128478032089</v>
      </c>
      <c r="Y34" s="306">
        <v>0</v>
      </c>
      <c r="Z34" s="306">
        <v>0</v>
      </c>
      <c r="AA34" s="308">
        <f ca="1">-SUM(W34,X34/OFFSET(GridFootprintbyYear,$A34-$A$19,0)*EF_PurchElec_MTperMWh,Z34)*OFFSET(ExposureCalculations!Price_GHG_Allowance_2010,A34-$A$19,0)*ExposureCalculations!D31</f>
        <v>176397.45840378583</v>
      </c>
      <c r="AB34" s="308">
        <f t="shared" ca="1" si="3"/>
        <v>753892.95907974197</v>
      </c>
      <c r="AC34" s="308">
        <v>0</v>
      </c>
      <c r="AD34" s="819">
        <f t="shared" ca="1" si="4"/>
        <v>0</v>
      </c>
      <c r="AE34" s="308">
        <v>0</v>
      </c>
      <c r="AF34" s="819">
        <f t="shared" ca="1" si="5"/>
        <v>0</v>
      </c>
      <c r="AG34" s="308">
        <v>0</v>
      </c>
      <c r="AH34" s="308">
        <v>0</v>
      </c>
      <c r="AI34" s="308">
        <v>0</v>
      </c>
      <c r="AJ34" s="308">
        <f t="shared" ca="1" si="6"/>
        <v>753892.95907974197</v>
      </c>
      <c r="AK34" s="309">
        <v>0</v>
      </c>
      <c r="AL34" s="309">
        <f t="shared" si="26"/>
        <v>0</v>
      </c>
      <c r="AM34" s="309">
        <f t="shared" si="19"/>
        <v>0</v>
      </c>
      <c r="AN34" s="310">
        <v>0</v>
      </c>
      <c r="AO34" s="310">
        <f t="shared" si="27"/>
        <v>-21000</v>
      </c>
      <c r="AP34" s="310">
        <f t="shared" si="20"/>
        <v>-21000</v>
      </c>
      <c r="AQ34" s="309">
        <v>0</v>
      </c>
      <c r="AR34" s="311">
        <f t="shared" ca="1" si="7"/>
        <v>909290.4174835278</v>
      </c>
      <c r="AS34" s="870">
        <f t="shared" ca="1" si="21"/>
        <v>10457330.261605676</v>
      </c>
      <c r="AT34" s="822"/>
      <c r="AU34" s="878"/>
      <c r="AV34" s="35"/>
      <c r="AW34" s="879"/>
      <c r="AX34" s="35"/>
      <c r="AY34" s="880"/>
    </row>
    <row r="35" spans="1:51">
      <c r="A35" s="303">
        <v>2026</v>
      </c>
      <c r="B35" s="304">
        <f ca="1">IF($D$3="BAU",UtilityDemand!C28,INDIRECT($D$3&amp;"!B"&amp;ROW(A35))+INDIRECT($D$3&amp;"!D"&amp;ROW(A35)))</f>
        <v>105208.44163583458</v>
      </c>
      <c r="C35" s="305">
        <f t="shared" ca="1" si="22"/>
        <v>-7.8225662047985478E-2</v>
      </c>
      <c r="D35" s="306">
        <f t="shared" ca="1" si="23"/>
        <v>-8230</v>
      </c>
      <c r="E35" s="304">
        <f ca="1">IF($D$3="BAU",UtilityDemand!E28,INDIRECT($D$3&amp;"!E"&amp;ROW(D35))+INDIRECT($D$3&amp;"!G"&amp;ROW(D35)))</f>
        <v>522090.86680449592</v>
      </c>
      <c r="F35" s="305">
        <f t="shared" ca="1" si="24"/>
        <v>0</v>
      </c>
      <c r="G35" s="306">
        <f t="shared" ca="1" si="8"/>
        <v>0</v>
      </c>
      <c r="H35" s="304">
        <f ca="1">IF($D$3="BAU",UtilityDemand!G28,INDIRECT($D$3&amp;"!H"&amp;ROW(G35))+INDIRECT($D$3&amp;"!J"&amp;ROW(G35)))</f>
        <v>166745.20684899099</v>
      </c>
      <c r="I35" s="305">
        <f t="shared" ca="1" si="25"/>
        <v>0</v>
      </c>
      <c r="J35" s="306">
        <f t="shared" ca="1" si="9"/>
        <v>0</v>
      </c>
      <c r="K35" s="307">
        <f t="shared" ca="1" si="10"/>
        <v>96978.441635834577</v>
      </c>
      <c r="L35" s="307">
        <f t="shared" si="11"/>
        <v>0</v>
      </c>
      <c r="M35" s="307">
        <v>0</v>
      </c>
      <c r="N35" s="307">
        <f t="shared" ca="1" si="12"/>
        <v>96978.441635834577</v>
      </c>
      <c r="O35" s="1494">
        <f t="shared" ca="1" si="13"/>
        <v>522090.86680449592</v>
      </c>
      <c r="P35" s="306">
        <f t="shared" si="14"/>
        <v>0</v>
      </c>
      <c r="Q35" s="306">
        <v>0</v>
      </c>
      <c r="R35" s="306">
        <f t="shared" ca="1" si="15"/>
        <v>522090.86680449592</v>
      </c>
      <c r="S35" s="818">
        <f t="shared" ca="1" si="16"/>
        <v>166745.20684899099</v>
      </c>
      <c r="T35" s="818">
        <f t="shared" si="17"/>
        <v>0</v>
      </c>
      <c r="U35" s="818">
        <v>0</v>
      </c>
      <c r="V35" s="818">
        <f t="shared" ca="1" si="18"/>
        <v>166745.20684899099</v>
      </c>
      <c r="W35" s="306">
        <f t="shared" si="1"/>
        <v>0</v>
      </c>
      <c r="X35" s="306">
        <f t="shared" ca="1" si="2"/>
        <v>-5845.4128478032089</v>
      </c>
      <c r="Y35" s="306">
        <v>0</v>
      </c>
      <c r="Z35" s="306">
        <v>0</v>
      </c>
      <c r="AA35" s="308">
        <f ca="1">-SUM(W35,X35/OFFSET(GridFootprintbyYear,$A35-$A$19,0)*EF_PurchElec_MTperMWh,Z35)*OFFSET(ExposureCalculations!Price_GHG_Allowance_2010,A35-$A$19,0)*ExposureCalculations!D32</f>
        <v>192533.09162478268</v>
      </c>
      <c r="AB35" s="308">
        <f t="shared" ca="1" si="3"/>
        <v>757662.42387514061</v>
      </c>
      <c r="AC35" s="308">
        <v>0</v>
      </c>
      <c r="AD35" s="819">
        <f t="shared" ca="1" si="4"/>
        <v>0</v>
      </c>
      <c r="AE35" s="308">
        <v>0</v>
      </c>
      <c r="AF35" s="819">
        <f t="shared" ca="1" si="5"/>
        <v>0</v>
      </c>
      <c r="AG35" s="308">
        <v>0</v>
      </c>
      <c r="AH35" s="308">
        <v>0</v>
      </c>
      <c r="AI35" s="308">
        <v>0</v>
      </c>
      <c r="AJ35" s="308">
        <f t="shared" ca="1" si="6"/>
        <v>757662.42387514061</v>
      </c>
      <c r="AK35" s="309">
        <v>0</v>
      </c>
      <c r="AL35" s="309">
        <f t="shared" si="26"/>
        <v>0</v>
      </c>
      <c r="AM35" s="309">
        <f t="shared" si="19"/>
        <v>0</v>
      </c>
      <c r="AN35" s="310">
        <v>0</v>
      </c>
      <c r="AO35" s="310">
        <f t="shared" si="27"/>
        <v>-21000</v>
      </c>
      <c r="AP35" s="310">
        <f t="shared" si="20"/>
        <v>-21000</v>
      </c>
      <c r="AQ35" s="309">
        <v>0</v>
      </c>
      <c r="AR35" s="311">
        <f t="shared" ca="1" si="7"/>
        <v>929195.51549992326</v>
      </c>
      <c r="AS35" s="870">
        <f t="shared" ca="1" si="21"/>
        <v>11386525.7771056</v>
      </c>
      <c r="AT35" s="822"/>
      <c r="AU35" s="878"/>
      <c r="AV35" s="35"/>
      <c r="AW35" s="879"/>
      <c r="AX35" s="35"/>
      <c r="AY35" s="880"/>
    </row>
    <row r="36" spans="1:51">
      <c r="A36" s="303">
        <v>2027</v>
      </c>
      <c r="B36" s="304">
        <f ca="1">IF($D$3="BAU",UtilityDemand!C29,INDIRECT($D$3&amp;"!B"&amp;ROW(A36))+INDIRECT($D$3&amp;"!D"&amp;ROW(A36)))</f>
        <v>104840.70248955581</v>
      </c>
      <c r="C36" s="305">
        <f t="shared" ca="1" si="22"/>
        <v>-7.8500046304247811E-2</v>
      </c>
      <c r="D36" s="306">
        <f t="shared" ca="1" si="23"/>
        <v>-8230</v>
      </c>
      <c r="E36" s="304">
        <f ca="1">IF($D$3="BAU",UtilityDemand!E29,INDIRECT($D$3&amp;"!E"&amp;ROW(D36))+INDIRECT($D$3&amp;"!G"&amp;ROW(D36)))</f>
        <v>515685.93538123119</v>
      </c>
      <c r="F36" s="305">
        <f t="shared" ca="1" si="24"/>
        <v>0</v>
      </c>
      <c r="G36" s="306">
        <f t="shared" ca="1" si="8"/>
        <v>0</v>
      </c>
      <c r="H36" s="304">
        <f ca="1">IF($D$3="BAU",UtilityDemand!G29,INDIRECT($D$3&amp;"!H"&amp;ROW(G36))+INDIRECT($D$3&amp;"!J"&amp;ROW(G36)))</f>
        <v>165876.53550092125</v>
      </c>
      <c r="I36" s="305">
        <f t="shared" ca="1" si="25"/>
        <v>0</v>
      </c>
      <c r="J36" s="306">
        <f t="shared" ca="1" si="9"/>
        <v>0</v>
      </c>
      <c r="K36" s="307">
        <f t="shared" ca="1" si="10"/>
        <v>96610.702489555813</v>
      </c>
      <c r="L36" s="307">
        <f t="shared" si="11"/>
        <v>0</v>
      </c>
      <c r="M36" s="307">
        <v>0</v>
      </c>
      <c r="N36" s="307">
        <f t="shared" ca="1" si="12"/>
        <v>96610.702489555813</v>
      </c>
      <c r="O36" s="1494">
        <f t="shared" ca="1" si="13"/>
        <v>515685.93538123119</v>
      </c>
      <c r="P36" s="306">
        <f t="shared" si="14"/>
        <v>0</v>
      </c>
      <c r="Q36" s="306">
        <v>0</v>
      </c>
      <c r="R36" s="306">
        <f t="shared" ca="1" si="15"/>
        <v>515685.93538123119</v>
      </c>
      <c r="S36" s="818">
        <f t="shared" ca="1" si="16"/>
        <v>165876.53550092125</v>
      </c>
      <c r="T36" s="818">
        <f t="shared" si="17"/>
        <v>0</v>
      </c>
      <c r="U36" s="818">
        <v>0</v>
      </c>
      <c r="V36" s="818">
        <f t="shared" ca="1" si="18"/>
        <v>165876.53550092125</v>
      </c>
      <c r="W36" s="306">
        <f t="shared" si="1"/>
        <v>0</v>
      </c>
      <c r="X36" s="306">
        <f t="shared" ca="1" si="2"/>
        <v>-5845.4128478032089</v>
      </c>
      <c r="Y36" s="306">
        <v>0</v>
      </c>
      <c r="Z36" s="306">
        <v>0</v>
      </c>
      <c r="AA36" s="308">
        <f ca="1">-SUM(W36,X36/OFFSET(GridFootprintbyYear,$A36-$A$19,0)*EF_PurchElec_MTperMWh,Z36)*OFFSET(ExposureCalculations!Price_GHG_Allowance_2010,A36-$A$19,0)*ExposureCalculations!D33</f>
        <v>209169.67734506761</v>
      </c>
      <c r="AB36" s="308">
        <f t="shared" ca="1" si="3"/>
        <v>761450.73599451629</v>
      </c>
      <c r="AC36" s="308">
        <v>0</v>
      </c>
      <c r="AD36" s="819">
        <f t="shared" ca="1" si="4"/>
        <v>0</v>
      </c>
      <c r="AE36" s="308">
        <v>0</v>
      </c>
      <c r="AF36" s="819">
        <f t="shared" ca="1" si="5"/>
        <v>0</v>
      </c>
      <c r="AG36" s="308">
        <v>0</v>
      </c>
      <c r="AH36" s="308">
        <v>0</v>
      </c>
      <c r="AI36" s="308">
        <v>0</v>
      </c>
      <c r="AJ36" s="308">
        <f t="shared" ca="1" si="6"/>
        <v>761450.73599451629</v>
      </c>
      <c r="AK36" s="309">
        <v>0</v>
      </c>
      <c r="AL36" s="309">
        <f t="shared" si="26"/>
        <v>0</v>
      </c>
      <c r="AM36" s="309">
        <f t="shared" si="19"/>
        <v>0</v>
      </c>
      <c r="AN36" s="310">
        <v>0</v>
      </c>
      <c r="AO36" s="310">
        <f t="shared" si="27"/>
        <v>-21000</v>
      </c>
      <c r="AP36" s="310">
        <f t="shared" si="20"/>
        <v>-21000</v>
      </c>
      <c r="AQ36" s="309">
        <v>0</v>
      </c>
      <c r="AR36" s="311">
        <f t="shared" ca="1" si="7"/>
        <v>949620.4133395839</v>
      </c>
      <c r="AS36" s="870">
        <f t="shared" ca="1" si="21"/>
        <v>12336146.190445183</v>
      </c>
      <c r="AT36" s="822"/>
      <c r="AU36" s="878"/>
      <c r="AV36" s="35"/>
      <c r="AW36" s="879"/>
      <c r="AX36" s="35"/>
      <c r="AY36" s="880"/>
    </row>
    <row r="37" spans="1:51">
      <c r="A37" s="303">
        <v>2028</v>
      </c>
      <c r="B37" s="304">
        <f ca="1">IF($D$3="BAU",UtilityDemand!C30,INDIRECT($D$3&amp;"!B"&amp;ROW(A37))+INDIRECT($D$3&amp;"!D"&amp;ROW(A37)))</f>
        <v>104471.99329306532</v>
      </c>
      <c r="C37" s="305">
        <f t="shared" ca="1" si="22"/>
        <v>-7.8777093655264779E-2</v>
      </c>
      <c r="D37" s="306">
        <f t="shared" ca="1" si="23"/>
        <v>-8230</v>
      </c>
      <c r="E37" s="304">
        <f ca="1">IF($D$3="BAU",UtilityDemand!E30,INDIRECT($D$3&amp;"!E"&amp;ROW(D37))+INDIRECT($D$3&amp;"!G"&amp;ROW(D37)))</f>
        <v>509281.00395796617</v>
      </c>
      <c r="F37" s="305">
        <f t="shared" ca="1" si="24"/>
        <v>0</v>
      </c>
      <c r="G37" s="306">
        <f t="shared" ca="1" si="8"/>
        <v>0</v>
      </c>
      <c r="H37" s="304">
        <f ca="1">IF($D$3="BAU",UtilityDemand!G30,INDIRECT($D$3&amp;"!H"&amp;ROW(G37))+INDIRECT($D$3&amp;"!J"&amp;ROW(G37)))</f>
        <v>165006.84304736534</v>
      </c>
      <c r="I37" s="305">
        <f t="shared" ca="1" si="25"/>
        <v>0</v>
      </c>
      <c r="J37" s="306">
        <f t="shared" ca="1" si="9"/>
        <v>0</v>
      </c>
      <c r="K37" s="307">
        <f t="shared" ca="1" si="10"/>
        <v>96241.993293065316</v>
      </c>
      <c r="L37" s="307">
        <f t="shared" si="11"/>
        <v>0</v>
      </c>
      <c r="M37" s="307">
        <v>0</v>
      </c>
      <c r="N37" s="307">
        <f t="shared" ca="1" si="12"/>
        <v>96241.993293065316</v>
      </c>
      <c r="O37" s="1494">
        <f t="shared" ca="1" si="13"/>
        <v>509281.00395796617</v>
      </c>
      <c r="P37" s="306">
        <f t="shared" si="14"/>
        <v>0</v>
      </c>
      <c r="Q37" s="306">
        <v>0</v>
      </c>
      <c r="R37" s="306">
        <f t="shared" ca="1" si="15"/>
        <v>509281.00395796617</v>
      </c>
      <c r="S37" s="818">
        <f t="shared" ca="1" si="16"/>
        <v>165006.84304736534</v>
      </c>
      <c r="T37" s="818">
        <f t="shared" si="17"/>
        <v>0</v>
      </c>
      <c r="U37" s="818">
        <v>0</v>
      </c>
      <c r="V37" s="818">
        <f t="shared" ca="1" si="18"/>
        <v>165006.84304736534</v>
      </c>
      <c r="W37" s="306">
        <f t="shared" si="1"/>
        <v>0</v>
      </c>
      <c r="X37" s="306">
        <f t="shared" ca="1" si="2"/>
        <v>-5845.4128478032089</v>
      </c>
      <c r="Y37" s="306">
        <v>0</v>
      </c>
      <c r="Z37" s="306">
        <v>0</v>
      </c>
      <c r="AA37" s="308">
        <f ca="1">-SUM(W37,X37/OFFSET(GridFootprintbyYear,$A37-$A$19,0)*EF_PurchElec_MTperMWh,Z37)*OFFSET(ExposureCalculations!Price_GHG_Allowance_2010,A37-$A$19,0)*ExposureCalculations!D34</f>
        <v>226282.89451367946</v>
      </c>
      <c r="AB37" s="308">
        <f t="shared" ca="1" si="3"/>
        <v>765257.98967448866</v>
      </c>
      <c r="AC37" s="308">
        <v>0</v>
      </c>
      <c r="AD37" s="819">
        <f t="shared" ca="1" si="4"/>
        <v>0</v>
      </c>
      <c r="AE37" s="308">
        <v>0</v>
      </c>
      <c r="AF37" s="819">
        <f t="shared" ca="1" si="5"/>
        <v>0</v>
      </c>
      <c r="AG37" s="308">
        <v>0</v>
      </c>
      <c r="AH37" s="308">
        <v>0</v>
      </c>
      <c r="AI37" s="308">
        <v>0</v>
      </c>
      <c r="AJ37" s="308">
        <f t="shared" ca="1" si="6"/>
        <v>765257.98967448866</v>
      </c>
      <c r="AK37" s="309">
        <v>0</v>
      </c>
      <c r="AL37" s="309">
        <f t="shared" si="26"/>
        <v>0</v>
      </c>
      <c r="AM37" s="309">
        <f t="shared" si="19"/>
        <v>0</v>
      </c>
      <c r="AN37" s="310">
        <v>0</v>
      </c>
      <c r="AO37" s="310">
        <f t="shared" si="27"/>
        <v>-21000</v>
      </c>
      <c r="AP37" s="310">
        <f t="shared" si="20"/>
        <v>-21000</v>
      </c>
      <c r="AQ37" s="309">
        <v>0</v>
      </c>
      <c r="AR37" s="311">
        <f t="shared" ca="1" si="7"/>
        <v>970540.8841881681</v>
      </c>
      <c r="AS37" s="870">
        <f t="shared" ca="1" si="21"/>
        <v>13306687.074633351</v>
      </c>
      <c r="AT37" s="822"/>
      <c r="AU37" s="878"/>
      <c r="AV37" s="35"/>
      <c r="AW37" s="879"/>
      <c r="AX37" s="35"/>
      <c r="AY37" s="880"/>
    </row>
    <row r="38" spans="1:51">
      <c r="A38" s="303">
        <v>2029</v>
      </c>
      <c r="B38" s="304">
        <f ca="1">IF($D$3="BAU",UtilityDemand!C31,INDIRECT($D$3&amp;"!B"&amp;ROW(A38))+INDIRECT($D$3&amp;"!D"&amp;ROW(A38)))</f>
        <v>104102.34218509577</v>
      </c>
      <c r="C38" s="305">
        <f t="shared" ca="1" si="22"/>
        <v>-7.9056818773269463E-2</v>
      </c>
      <c r="D38" s="306">
        <f t="shared" ca="1" si="23"/>
        <v>-8230</v>
      </c>
      <c r="E38" s="304">
        <f ca="1">IF($D$3="BAU",UtilityDemand!E31,INDIRECT($D$3&amp;"!E"&amp;ROW(D38))+INDIRECT($D$3&amp;"!G"&amp;ROW(D38)))</f>
        <v>502876.07253470144</v>
      </c>
      <c r="F38" s="305">
        <f t="shared" ca="1" si="24"/>
        <v>0</v>
      </c>
      <c r="G38" s="306">
        <f t="shared" ca="1" si="8"/>
        <v>0</v>
      </c>
      <c r="H38" s="304">
        <f ca="1">IF($D$3="BAU",UtilityDemand!G31,INDIRECT($D$3&amp;"!H"&amp;ROW(G38))+INDIRECT($D$3&amp;"!J"&amp;ROW(G38)))</f>
        <v>164136.15910804211</v>
      </c>
      <c r="I38" s="305">
        <f t="shared" ca="1" si="25"/>
        <v>0</v>
      </c>
      <c r="J38" s="306">
        <f t="shared" ca="1" si="9"/>
        <v>0</v>
      </c>
      <c r="K38" s="307">
        <f t="shared" ca="1" si="10"/>
        <v>95872.342185095767</v>
      </c>
      <c r="L38" s="307">
        <f t="shared" si="11"/>
        <v>0</v>
      </c>
      <c r="M38" s="307">
        <v>0</v>
      </c>
      <c r="N38" s="307">
        <f t="shared" ca="1" si="12"/>
        <v>95872.342185095767</v>
      </c>
      <c r="O38" s="1494">
        <f t="shared" ca="1" si="13"/>
        <v>502876.07253470144</v>
      </c>
      <c r="P38" s="306">
        <f t="shared" si="14"/>
        <v>0</v>
      </c>
      <c r="Q38" s="306">
        <v>0</v>
      </c>
      <c r="R38" s="306">
        <f t="shared" ca="1" si="15"/>
        <v>502876.07253470144</v>
      </c>
      <c r="S38" s="818">
        <f t="shared" ca="1" si="16"/>
        <v>164136.15910804211</v>
      </c>
      <c r="T38" s="818">
        <f t="shared" si="17"/>
        <v>0</v>
      </c>
      <c r="U38" s="818">
        <v>0</v>
      </c>
      <c r="V38" s="818">
        <f t="shared" ca="1" si="18"/>
        <v>164136.15910804211</v>
      </c>
      <c r="W38" s="306">
        <f t="shared" si="1"/>
        <v>0</v>
      </c>
      <c r="X38" s="306">
        <f t="shared" ca="1" si="2"/>
        <v>-5845.4128478032089</v>
      </c>
      <c r="Y38" s="306">
        <v>0</v>
      </c>
      <c r="Z38" s="306">
        <v>0</v>
      </c>
      <c r="AA38" s="308">
        <f ca="1">-SUM(W38,X38/OFFSET(GridFootprintbyYear,$A38-$A$19,0)*EF_PurchElec_MTperMWh,Z38)*OFFSET(ExposureCalculations!Price_GHG_Allowance_2010,A38-$A$19,0)*ExposureCalculations!D35</f>
        <v>243848.55253811897</v>
      </c>
      <c r="AB38" s="308">
        <f t="shared" ca="1" si="3"/>
        <v>769084.27962286095</v>
      </c>
      <c r="AC38" s="308">
        <v>0</v>
      </c>
      <c r="AD38" s="819">
        <f t="shared" ca="1" si="4"/>
        <v>0</v>
      </c>
      <c r="AE38" s="308">
        <v>0</v>
      </c>
      <c r="AF38" s="819">
        <f t="shared" ca="1" si="5"/>
        <v>0</v>
      </c>
      <c r="AG38" s="308">
        <v>0</v>
      </c>
      <c r="AH38" s="308">
        <v>0</v>
      </c>
      <c r="AI38" s="308">
        <v>0</v>
      </c>
      <c r="AJ38" s="308">
        <f t="shared" ca="1" si="6"/>
        <v>769084.27962286095</v>
      </c>
      <c r="AK38" s="309">
        <v>0</v>
      </c>
      <c r="AL38" s="309">
        <f t="shared" si="26"/>
        <v>0</v>
      </c>
      <c r="AM38" s="309">
        <f t="shared" si="19"/>
        <v>0</v>
      </c>
      <c r="AN38" s="310">
        <v>0</v>
      </c>
      <c r="AO38" s="310">
        <f t="shared" si="27"/>
        <v>-21000</v>
      </c>
      <c r="AP38" s="310">
        <f t="shared" si="20"/>
        <v>-21000</v>
      </c>
      <c r="AQ38" s="309">
        <v>0</v>
      </c>
      <c r="AR38" s="311">
        <f t="shared" ca="1" si="7"/>
        <v>991932.83216097998</v>
      </c>
      <c r="AS38" s="870">
        <f t="shared" ca="1" si="21"/>
        <v>14298619.90679433</v>
      </c>
      <c r="AT38" s="822"/>
      <c r="AU38" s="878"/>
      <c r="AV38" s="35"/>
      <c r="AW38" s="879"/>
      <c r="AX38" s="35"/>
      <c r="AY38" s="880"/>
    </row>
    <row r="39" spans="1:51">
      <c r="A39" s="303">
        <v>2030</v>
      </c>
      <c r="B39" s="304">
        <f ca="1">IF($D$3="BAU",UtilityDemand!C32,INDIRECT($D$3&amp;"!B"&amp;ROW(A39))+INDIRECT($D$3&amp;"!D"&amp;ROW(A39)))</f>
        <v>103731.77622649001</v>
      </c>
      <c r="C39" s="305">
        <f t="shared" ca="1" si="22"/>
        <v>-7.9339237207607965E-2</v>
      </c>
      <c r="D39" s="306">
        <f t="shared" ca="1" si="23"/>
        <v>-8230</v>
      </c>
      <c r="E39" s="304">
        <f ca="1">IF($D$3="BAU",UtilityDemand!E32,INDIRECT($D$3&amp;"!E"&amp;ROW(D39))+INDIRECT($D$3&amp;"!G"&amp;ROW(D39)))</f>
        <v>496471.14111143642</v>
      </c>
      <c r="F39" s="305">
        <f t="shared" ca="1" si="24"/>
        <v>0</v>
      </c>
      <c r="G39" s="306">
        <f t="shared" ca="1" si="8"/>
        <v>0</v>
      </c>
      <c r="H39" s="304">
        <f ca="1">IF($D$3="BAU",UtilityDemand!G32,INDIRECT($D$3&amp;"!H"&amp;ROW(G39))+INDIRECT($D$3&amp;"!J"&amp;ROW(G39)))</f>
        <v>163264.51216804914</v>
      </c>
      <c r="I39" s="305">
        <f t="shared" ca="1" si="25"/>
        <v>0</v>
      </c>
      <c r="J39" s="306">
        <f t="shared" ca="1" si="9"/>
        <v>0</v>
      </c>
      <c r="K39" s="307">
        <f t="shared" ca="1" si="10"/>
        <v>95501.776226490008</v>
      </c>
      <c r="L39" s="307">
        <f t="shared" si="11"/>
        <v>0</v>
      </c>
      <c r="M39" s="307">
        <v>0</v>
      </c>
      <c r="N39" s="307">
        <f t="shared" ca="1" si="12"/>
        <v>95501.776226490008</v>
      </c>
      <c r="O39" s="1494">
        <f t="shared" ca="1" si="13"/>
        <v>496471.14111143642</v>
      </c>
      <c r="P39" s="306">
        <f t="shared" si="14"/>
        <v>0</v>
      </c>
      <c r="Q39" s="306">
        <v>0</v>
      </c>
      <c r="R39" s="306">
        <f t="shared" ca="1" si="15"/>
        <v>496471.14111143642</v>
      </c>
      <c r="S39" s="818">
        <f t="shared" ca="1" si="16"/>
        <v>163264.51216804914</v>
      </c>
      <c r="T39" s="818">
        <f t="shared" si="17"/>
        <v>0</v>
      </c>
      <c r="U39" s="818">
        <v>0</v>
      </c>
      <c r="V39" s="818">
        <f t="shared" ca="1" si="18"/>
        <v>163264.51216804914</v>
      </c>
      <c r="W39" s="306">
        <f t="shared" si="1"/>
        <v>0</v>
      </c>
      <c r="X39" s="306">
        <f t="shared" ca="1" si="2"/>
        <v>-5845.4128478032089</v>
      </c>
      <c r="Y39" s="306">
        <v>0</v>
      </c>
      <c r="Z39" s="306">
        <v>0</v>
      </c>
      <c r="AA39" s="308">
        <f ca="1">-SUM(W39,X39/OFFSET(GridFootprintbyYear,$A39-$A$19,0)*EF_PurchElec_MTperMWh,Z39)*OFFSET(ExposureCalculations!Price_GHG_Allowance_2010,A39-$A$19,0)*ExposureCalculations!D36</f>
        <v>261842.58881354373</v>
      </c>
      <c r="AB39" s="308">
        <f t="shared" ca="1" si="3"/>
        <v>772929.70102097525</v>
      </c>
      <c r="AC39" s="308">
        <v>0</v>
      </c>
      <c r="AD39" s="819">
        <f t="shared" ca="1" si="4"/>
        <v>0</v>
      </c>
      <c r="AE39" s="308">
        <v>0</v>
      </c>
      <c r="AF39" s="819">
        <f t="shared" ca="1" si="5"/>
        <v>0</v>
      </c>
      <c r="AG39" s="308">
        <v>0</v>
      </c>
      <c r="AH39" s="308">
        <v>0</v>
      </c>
      <c r="AI39" s="308">
        <v>0</v>
      </c>
      <c r="AJ39" s="308">
        <f t="shared" ca="1" si="6"/>
        <v>772929.70102097525</v>
      </c>
      <c r="AK39" s="309">
        <v>0</v>
      </c>
      <c r="AL39" s="309">
        <f t="shared" si="26"/>
        <v>0</v>
      </c>
      <c r="AM39" s="309">
        <f t="shared" si="19"/>
        <v>0</v>
      </c>
      <c r="AN39" s="310">
        <v>0</v>
      </c>
      <c r="AO39" s="310">
        <f t="shared" si="27"/>
        <v>-21000</v>
      </c>
      <c r="AP39" s="310">
        <f t="shared" si="20"/>
        <v>-21000</v>
      </c>
      <c r="AQ39" s="309">
        <v>0</v>
      </c>
      <c r="AR39" s="311">
        <f t="shared" ca="1" si="7"/>
        <v>1013772.2898345189</v>
      </c>
      <c r="AS39" s="870">
        <f t="shared" ca="1" si="21"/>
        <v>15312392.19662885</v>
      </c>
      <c r="AT39" s="822"/>
      <c r="AU39" s="878"/>
      <c r="AV39" s="35"/>
      <c r="AW39" s="879"/>
      <c r="AX39" s="35"/>
      <c r="AY39" s="880"/>
    </row>
    <row r="40" spans="1:51">
      <c r="A40" s="303">
        <v>2031</v>
      </c>
      <c r="B40" s="304">
        <f ca="1">IF($D$3="BAU",UtilityDemand!C33,INDIRECT($D$3&amp;"!B"&amp;ROW(A40))+INDIRECT($D$3&amp;"!D"&amp;ROW(A40)))</f>
        <v>103360.32145132343</v>
      </c>
      <c r="C40" s="305">
        <f t="shared" ca="1" si="22"/>
        <v>-7.9624365369992012E-2</v>
      </c>
      <c r="D40" s="306">
        <f t="shared" ca="1" si="23"/>
        <v>-8230</v>
      </c>
      <c r="E40" s="304">
        <f ca="1">IF($D$3="BAU",UtilityDemand!E33,INDIRECT($D$3&amp;"!E"&amp;ROW(D40))+INDIRECT($D$3&amp;"!G"&amp;ROW(D40)))</f>
        <v>490066.20968817145</v>
      </c>
      <c r="F40" s="305">
        <f t="shared" ca="1" si="24"/>
        <v>0</v>
      </c>
      <c r="G40" s="306">
        <f t="shared" ca="1" si="8"/>
        <v>0</v>
      </c>
      <c r="H40" s="304">
        <f ca="1">IF($D$3="BAU",UtilityDemand!G33,INDIRECT($D$3&amp;"!H"&amp;ROW(G40))+INDIRECT($D$3&amp;"!J"&amp;ROW(G40)))</f>
        <v>162391.92963167635</v>
      </c>
      <c r="I40" s="305">
        <f t="shared" ca="1" si="25"/>
        <v>0</v>
      </c>
      <c r="J40" s="306">
        <f t="shared" ca="1" si="9"/>
        <v>0</v>
      </c>
      <c r="K40" s="307">
        <f t="shared" ca="1" si="10"/>
        <v>95130.321451323427</v>
      </c>
      <c r="L40" s="307">
        <f t="shared" si="11"/>
        <v>0</v>
      </c>
      <c r="M40" s="307">
        <v>0</v>
      </c>
      <c r="N40" s="307">
        <f t="shared" ca="1" si="12"/>
        <v>95130.321451323427</v>
      </c>
      <c r="O40" s="1494">
        <f t="shared" ca="1" si="13"/>
        <v>490066.20968817145</v>
      </c>
      <c r="P40" s="306">
        <f t="shared" si="14"/>
        <v>0</v>
      </c>
      <c r="Q40" s="306">
        <v>0</v>
      </c>
      <c r="R40" s="306">
        <f t="shared" ca="1" si="15"/>
        <v>490066.20968817145</v>
      </c>
      <c r="S40" s="818">
        <f t="shared" ca="1" si="16"/>
        <v>162391.92963167635</v>
      </c>
      <c r="T40" s="818">
        <f t="shared" si="17"/>
        <v>0</v>
      </c>
      <c r="U40" s="818">
        <v>0</v>
      </c>
      <c r="V40" s="818">
        <f t="shared" ca="1" si="18"/>
        <v>162391.92963167635</v>
      </c>
      <c r="W40" s="306">
        <f t="shared" si="1"/>
        <v>0</v>
      </c>
      <c r="X40" s="306">
        <f t="shared" ca="1" si="2"/>
        <v>-5845.4128478032089</v>
      </c>
      <c r="Y40" s="306">
        <v>0</v>
      </c>
      <c r="Z40" s="306">
        <v>0</v>
      </c>
      <c r="AA40" s="308">
        <f ca="1">-SUM(W40,X40/OFFSET(GridFootprintbyYear,$A40-$A$19,0)*EF_PurchElec_MTperMWh,Z40)*OFFSET(ExposureCalculations!Price_GHG_Allowance_2010,A40-$A$19,0)*ExposureCalculations!D37</f>
        <v>282447.49023198965</v>
      </c>
      <c r="AB40" s="308">
        <f t="shared" ca="1" si="3"/>
        <v>776794.34952607984</v>
      </c>
      <c r="AC40" s="308">
        <v>0</v>
      </c>
      <c r="AD40" s="819">
        <f t="shared" ca="1" si="4"/>
        <v>0</v>
      </c>
      <c r="AE40" s="308">
        <v>0</v>
      </c>
      <c r="AF40" s="819">
        <f t="shared" ca="1" si="5"/>
        <v>0</v>
      </c>
      <c r="AG40" s="308">
        <v>0</v>
      </c>
      <c r="AH40" s="308">
        <v>0</v>
      </c>
      <c r="AI40" s="308">
        <v>0</v>
      </c>
      <c r="AJ40" s="308">
        <f t="shared" ca="1" si="6"/>
        <v>776794.34952607984</v>
      </c>
      <c r="AK40" s="309">
        <v>0</v>
      </c>
      <c r="AL40" s="309">
        <f t="shared" si="26"/>
        <v>0</v>
      </c>
      <c r="AM40" s="309">
        <f t="shared" si="19"/>
        <v>0</v>
      </c>
      <c r="AN40" s="310">
        <v>0</v>
      </c>
      <c r="AO40" s="310">
        <f t="shared" si="27"/>
        <v>-21000</v>
      </c>
      <c r="AP40" s="310">
        <f t="shared" si="20"/>
        <v>-21000</v>
      </c>
      <c r="AQ40" s="309">
        <v>0</v>
      </c>
      <c r="AR40" s="311">
        <f t="shared" ca="1" si="7"/>
        <v>1038241.8397580695</v>
      </c>
      <c r="AS40" s="870">
        <f t="shared" ca="1" si="21"/>
        <v>16350634.03638692</v>
      </c>
      <c r="AT40" s="822"/>
      <c r="AU40" s="878"/>
      <c r="AV40" s="35"/>
      <c r="AW40" s="879"/>
      <c r="AX40" s="35"/>
      <c r="AY40" s="880"/>
    </row>
    <row r="41" spans="1:51">
      <c r="A41" s="303">
        <v>2032</v>
      </c>
      <c r="B41" s="304">
        <f ca="1">IF($D$3="BAU",UtilityDemand!C34,INDIRECT($D$3&amp;"!B"&amp;ROW(A41))+INDIRECT($D$3&amp;"!D"&amp;ROW(A41)))</f>
        <v>102988.00291514484</v>
      </c>
      <c r="C41" s="305">
        <f t="shared" ca="1" si="22"/>
        <v>-7.9912220521267549E-2</v>
      </c>
      <c r="D41" s="306">
        <f t="shared" ca="1" si="23"/>
        <v>-8230</v>
      </c>
      <c r="E41" s="304">
        <f ca="1">IF($D$3="BAU",UtilityDemand!E34,INDIRECT($D$3&amp;"!E"&amp;ROW(D41))+INDIRECT($D$3&amp;"!G"&amp;ROW(D41)))</f>
        <v>483661.27826490649</v>
      </c>
      <c r="F41" s="305">
        <f t="shared" ca="1" si="24"/>
        <v>0</v>
      </c>
      <c r="G41" s="306">
        <f t="shared" ca="1" si="8"/>
        <v>0</v>
      </c>
      <c r="H41" s="304">
        <f ca="1">IF($D$3="BAU",UtilityDemand!G34,INDIRECT($D$3&amp;"!H"&amp;ROW(G41))+INDIRECT($D$3&amp;"!J"&amp;ROW(G41)))</f>
        <v>161518.43787318564</v>
      </c>
      <c r="I41" s="305">
        <f t="shared" ca="1" si="25"/>
        <v>0</v>
      </c>
      <c r="J41" s="306">
        <f t="shared" ca="1" si="9"/>
        <v>0</v>
      </c>
      <c r="K41" s="307">
        <f t="shared" ca="1" si="10"/>
        <v>94758.00291514484</v>
      </c>
      <c r="L41" s="307">
        <f t="shared" si="11"/>
        <v>0</v>
      </c>
      <c r="M41" s="307">
        <v>0</v>
      </c>
      <c r="N41" s="307">
        <f t="shared" ca="1" si="12"/>
        <v>94758.00291514484</v>
      </c>
      <c r="O41" s="1494">
        <f t="shared" ca="1" si="13"/>
        <v>483661.27826490649</v>
      </c>
      <c r="P41" s="306">
        <f t="shared" si="14"/>
        <v>0</v>
      </c>
      <c r="Q41" s="306">
        <v>0</v>
      </c>
      <c r="R41" s="306">
        <f t="shared" ca="1" si="15"/>
        <v>483661.27826490649</v>
      </c>
      <c r="S41" s="818">
        <f t="shared" ca="1" si="16"/>
        <v>161518.43787318564</v>
      </c>
      <c r="T41" s="818">
        <f t="shared" si="17"/>
        <v>0</v>
      </c>
      <c r="U41" s="818">
        <v>0</v>
      </c>
      <c r="V41" s="818">
        <f t="shared" ca="1" si="18"/>
        <v>161518.43787318564</v>
      </c>
      <c r="W41" s="306">
        <f t="shared" si="1"/>
        <v>0</v>
      </c>
      <c r="X41" s="306">
        <f t="shared" ca="1" si="2"/>
        <v>-5845.4128478032089</v>
      </c>
      <c r="Y41" s="306">
        <v>0</v>
      </c>
      <c r="Z41" s="306">
        <v>0</v>
      </c>
      <c r="AA41" s="308">
        <f ca="1">-SUM(W41,X41/OFFSET(GridFootprintbyYear,$A41-$A$19,0)*EF_PurchElec_MTperMWh,Z41)*OFFSET(ExposureCalculations!Price_GHG_Allowance_2010,A41-$A$19,0)*ExposureCalculations!D38</f>
        <v>303556.78415974206</v>
      </c>
      <c r="AB41" s="308">
        <f t="shared" ca="1" si="3"/>
        <v>780678.32127371023</v>
      </c>
      <c r="AC41" s="308">
        <v>0</v>
      </c>
      <c r="AD41" s="819">
        <f t="shared" ca="1" si="4"/>
        <v>0</v>
      </c>
      <c r="AE41" s="308">
        <v>0</v>
      </c>
      <c r="AF41" s="819">
        <f t="shared" ca="1" si="5"/>
        <v>0</v>
      </c>
      <c r="AG41" s="308">
        <v>0</v>
      </c>
      <c r="AH41" s="308">
        <v>0</v>
      </c>
      <c r="AI41" s="308">
        <v>0</v>
      </c>
      <c r="AJ41" s="308">
        <f t="shared" ca="1" si="6"/>
        <v>780678.32127371023</v>
      </c>
      <c r="AK41" s="309">
        <v>0</v>
      </c>
      <c r="AL41" s="309">
        <f t="shared" si="26"/>
        <v>0</v>
      </c>
      <c r="AM41" s="309">
        <f t="shared" si="19"/>
        <v>0</v>
      </c>
      <c r="AN41" s="310">
        <v>0</v>
      </c>
      <c r="AO41" s="310">
        <f t="shared" si="27"/>
        <v>-21000</v>
      </c>
      <c r="AP41" s="310">
        <f t="shared" si="20"/>
        <v>-21000</v>
      </c>
      <c r="AQ41" s="309">
        <v>0</v>
      </c>
      <c r="AR41" s="311">
        <f t="shared" ca="1" si="7"/>
        <v>1063235.1054334524</v>
      </c>
      <c r="AS41" s="870">
        <f t="shared" ca="1" si="21"/>
        <v>17413869.141820371</v>
      </c>
      <c r="AT41" s="822"/>
      <c r="AU41" s="878"/>
      <c r="AV41" s="35"/>
      <c r="AW41" s="879"/>
      <c r="AX41" s="35"/>
      <c r="AY41" s="880"/>
    </row>
    <row r="42" spans="1:51">
      <c r="A42" s="303">
        <v>2033</v>
      </c>
      <c r="B42" s="304">
        <f ca="1">IF($D$3="BAU",UtilityDemand!C35,INDIRECT($D$3&amp;"!B"&amp;ROW(A42))+INDIRECT($D$3&amp;"!D"&amp;ROW(A42)))</f>
        <v>102614.8447405224</v>
      </c>
      <c r="C42" s="305">
        <f t="shared" ca="1" si="22"/>
        <v>-8.0202820759616558E-2</v>
      </c>
      <c r="D42" s="306">
        <f t="shared" ca="1" si="23"/>
        <v>-8230</v>
      </c>
      <c r="E42" s="304">
        <f ca="1">IF($D$3="BAU",UtilityDemand!E35,INDIRECT($D$3&amp;"!E"&amp;ROW(D42))+INDIRECT($D$3&amp;"!G"&amp;ROW(D42)))</f>
        <v>477256.3468416417</v>
      </c>
      <c r="F42" s="305">
        <f t="shared" ca="1" si="24"/>
        <v>0</v>
      </c>
      <c r="G42" s="306">
        <f t="shared" ca="1" si="8"/>
        <v>0</v>
      </c>
      <c r="H42" s="304">
        <f ca="1">IF($D$3="BAU",UtilityDemand!G35,INDIRECT($D$3&amp;"!H"&amp;ROW(G42))+INDIRECT($D$3&amp;"!J"&amp;ROW(G42)))</f>
        <v>160644.06228475407</v>
      </c>
      <c r="I42" s="305">
        <f t="shared" ca="1" si="25"/>
        <v>0</v>
      </c>
      <c r="J42" s="306">
        <f t="shared" ca="1" si="9"/>
        <v>0</v>
      </c>
      <c r="K42" s="307">
        <f t="shared" ca="1" si="10"/>
        <v>94384.8447405224</v>
      </c>
      <c r="L42" s="307">
        <f t="shared" si="11"/>
        <v>0</v>
      </c>
      <c r="M42" s="307">
        <v>0</v>
      </c>
      <c r="N42" s="307">
        <f t="shared" ca="1" si="12"/>
        <v>94384.8447405224</v>
      </c>
      <c r="O42" s="1494">
        <f t="shared" ca="1" si="13"/>
        <v>477256.3468416417</v>
      </c>
      <c r="P42" s="306">
        <f t="shared" si="14"/>
        <v>0</v>
      </c>
      <c r="Q42" s="306">
        <v>0</v>
      </c>
      <c r="R42" s="306">
        <f t="shared" ca="1" si="15"/>
        <v>477256.3468416417</v>
      </c>
      <c r="S42" s="818">
        <f t="shared" ca="1" si="16"/>
        <v>160644.06228475407</v>
      </c>
      <c r="T42" s="818">
        <f t="shared" si="17"/>
        <v>0</v>
      </c>
      <c r="U42" s="818">
        <v>0</v>
      </c>
      <c r="V42" s="818">
        <f t="shared" ca="1" si="18"/>
        <v>160644.06228475407</v>
      </c>
      <c r="W42" s="306">
        <f t="shared" si="1"/>
        <v>0</v>
      </c>
      <c r="X42" s="306">
        <f t="shared" ca="1" si="2"/>
        <v>-5845.4128478032089</v>
      </c>
      <c r="Y42" s="306">
        <v>0</v>
      </c>
      <c r="Z42" s="306">
        <v>0</v>
      </c>
      <c r="AA42" s="308">
        <f ca="1">-SUM(W42,X42/OFFSET(GridFootprintbyYear,$A42-$A$19,0)*EF_PurchElec_MTperMWh,Z42)*OFFSET(ExposureCalculations!Price_GHG_Allowance_2010,A42-$A$19,0)*ExposureCalculations!D39</f>
        <v>322479.99978612375</v>
      </c>
      <c r="AB42" s="308">
        <f t="shared" ca="1" si="3"/>
        <v>784581.71288007859</v>
      </c>
      <c r="AC42" s="308">
        <v>0</v>
      </c>
      <c r="AD42" s="819">
        <f t="shared" ca="1" si="4"/>
        <v>0</v>
      </c>
      <c r="AE42" s="308">
        <v>0</v>
      </c>
      <c r="AF42" s="819">
        <f t="shared" ca="1" si="5"/>
        <v>0</v>
      </c>
      <c r="AG42" s="308">
        <v>0</v>
      </c>
      <c r="AH42" s="308">
        <v>0</v>
      </c>
      <c r="AI42" s="308">
        <v>0</v>
      </c>
      <c r="AJ42" s="308">
        <f t="shared" ca="1" si="6"/>
        <v>784581.71288007859</v>
      </c>
      <c r="AK42" s="309">
        <v>0</v>
      </c>
      <c r="AL42" s="309">
        <f t="shared" si="26"/>
        <v>0</v>
      </c>
      <c r="AM42" s="309">
        <f t="shared" si="19"/>
        <v>0</v>
      </c>
      <c r="AN42" s="310">
        <v>0</v>
      </c>
      <c r="AO42" s="310">
        <f t="shared" si="27"/>
        <v>-21000</v>
      </c>
      <c r="AP42" s="310">
        <f t="shared" si="20"/>
        <v>-21000</v>
      </c>
      <c r="AQ42" s="309">
        <v>0</v>
      </c>
      <c r="AR42" s="311">
        <f t="shared" ca="1" si="7"/>
        <v>1086061.7126662023</v>
      </c>
      <c r="AS42" s="870">
        <f t="shared" ca="1" si="21"/>
        <v>18499930.854486573</v>
      </c>
      <c r="AT42" s="822"/>
      <c r="AU42" s="878"/>
      <c r="AV42" s="35"/>
      <c r="AW42" s="879"/>
      <c r="AX42" s="35"/>
      <c r="AY42" s="880"/>
    </row>
    <row r="43" spans="1:51">
      <c r="A43" s="303">
        <v>2034</v>
      </c>
      <c r="B43" s="304">
        <f ca="1">IF($D$3="BAU",UtilityDemand!C36,INDIRECT($D$3&amp;"!B"&amp;ROW(A43))+INDIRECT($D$3&amp;"!D"&amp;ROW(A43)))</f>
        <v>102493.95016006935</v>
      </c>
      <c r="C43" s="305">
        <f t="shared" ca="1" si="22"/>
        <v>-8.0297422307822497E-2</v>
      </c>
      <c r="D43" s="306">
        <f t="shared" ca="1" si="23"/>
        <v>-8230</v>
      </c>
      <c r="E43" s="304">
        <f ca="1">IF($D$3="BAU",UtilityDemand!E36,INDIRECT($D$3&amp;"!E"&amp;ROW(D43))+INDIRECT($D$3&amp;"!G"&amp;ROW(D43)))</f>
        <v>476579.89291837648</v>
      </c>
      <c r="F43" s="305">
        <f t="shared" ca="1" si="24"/>
        <v>0</v>
      </c>
      <c r="G43" s="306">
        <f t="shared" ca="1" si="8"/>
        <v>0</v>
      </c>
      <c r="H43" s="304">
        <f ca="1">IF($D$3="BAU",UtilityDemand!G36,INDIRECT($D$3&amp;"!H"&amp;ROW(G43))+INDIRECT($D$3&amp;"!J"&amp;ROW(G43)))</f>
        <v>161466.16012176394</v>
      </c>
      <c r="I43" s="305">
        <f t="shared" ca="1" si="25"/>
        <v>0</v>
      </c>
      <c r="J43" s="306">
        <f t="shared" ca="1" si="9"/>
        <v>0</v>
      </c>
      <c r="K43" s="307">
        <f t="shared" ca="1" si="10"/>
        <v>94263.950160069347</v>
      </c>
      <c r="L43" s="307">
        <f t="shared" si="11"/>
        <v>0</v>
      </c>
      <c r="M43" s="307">
        <v>0</v>
      </c>
      <c r="N43" s="307">
        <f t="shared" ca="1" si="12"/>
        <v>94263.950160069347</v>
      </c>
      <c r="O43" s="1494">
        <f t="shared" ca="1" si="13"/>
        <v>476579.89291837648</v>
      </c>
      <c r="P43" s="306">
        <f t="shared" si="14"/>
        <v>0</v>
      </c>
      <c r="Q43" s="306">
        <v>0</v>
      </c>
      <c r="R43" s="306">
        <f t="shared" ca="1" si="15"/>
        <v>476579.89291837648</v>
      </c>
      <c r="S43" s="818">
        <f t="shared" ca="1" si="16"/>
        <v>161466.16012176394</v>
      </c>
      <c r="T43" s="818">
        <f t="shared" si="17"/>
        <v>0</v>
      </c>
      <c r="U43" s="818">
        <v>0</v>
      </c>
      <c r="V43" s="818">
        <f t="shared" ca="1" si="18"/>
        <v>161466.16012176394</v>
      </c>
      <c r="W43" s="306">
        <f t="shared" si="1"/>
        <v>0</v>
      </c>
      <c r="X43" s="306">
        <f t="shared" ca="1" si="2"/>
        <v>-5845.4128478032089</v>
      </c>
      <c r="Y43" s="306">
        <v>0</v>
      </c>
      <c r="Z43" s="306">
        <v>0</v>
      </c>
      <c r="AA43" s="308">
        <f ca="1">-SUM(W43,X43/OFFSET(GridFootprintbyYear,$A43-$A$19,0)*EF_PurchElec_MTperMWh,Z43)*OFFSET(ExposureCalculations!Price_GHG_Allowance_2010,A43-$A$19,0)*ExposureCalculations!D40</f>
        <v>339109.8094339146</v>
      </c>
      <c r="AB43" s="308">
        <f t="shared" ca="1" si="3"/>
        <v>788504.6214444791</v>
      </c>
      <c r="AC43" s="308">
        <v>0</v>
      </c>
      <c r="AD43" s="819">
        <f t="shared" ca="1" si="4"/>
        <v>0</v>
      </c>
      <c r="AE43" s="308">
        <v>0</v>
      </c>
      <c r="AF43" s="819">
        <f t="shared" ca="1" si="5"/>
        <v>0</v>
      </c>
      <c r="AG43" s="308">
        <v>0</v>
      </c>
      <c r="AH43" s="308">
        <v>0</v>
      </c>
      <c r="AI43" s="308">
        <v>0</v>
      </c>
      <c r="AJ43" s="308">
        <f t="shared" ca="1" si="6"/>
        <v>788504.6214444791</v>
      </c>
      <c r="AK43" s="309">
        <v>0</v>
      </c>
      <c r="AL43" s="309">
        <f t="shared" si="26"/>
        <v>0</v>
      </c>
      <c r="AM43" s="309">
        <f t="shared" si="19"/>
        <v>0</v>
      </c>
      <c r="AN43" s="310">
        <v>0</v>
      </c>
      <c r="AO43" s="310">
        <f t="shared" si="27"/>
        <v>-21000</v>
      </c>
      <c r="AP43" s="310">
        <f t="shared" si="20"/>
        <v>-21000</v>
      </c>
      <c r="AQ43" s="309">
        <v>0</v>
      </c>
      <c r="AR43" s="311">
        <f t="shared" ca="1" si="7"/>
        <v>1106614.4308783938</v>
      </c>
      <c r="AS43" s="870">
        <f t="shared" ca="1" si="21"/>
        <v>19606545.285364967</v>
      </c>
      <c r="AT43" s="822"/>
      <c r="AU43" s="878"/>
      <c r="AV43" s="35"/>
      <c r="AW43" s="879"/>
      <c r="AX43" s="35"/>
      <c r="AY43" s="880"/>
    </row>
    <row r="44" spans="1:51">
      <c r="A44" s="303">
        <v>2035</v>
      </c>
      <c r="B44" s="304">
        <f ca="1">IF($D$3="BAU",UtilityDemand!C37,INDIRECT($D$3&amp;"!B"&amp;ROW(A44))+INDIRECT($D$3&amp;"!D"&amp;ROW(A44)))</f>
        <v>102372.26155711031</v>
      </c>
      <c r="C44" s="305">
        <f t="shared" ca="1" si="22"/>
        <v>-8.0392870830627669E-2</v>
      </c>
      <c r="D44" s="306">
        <f t="shared" ca="1" si="23"/>
        <v>-8230</v>
      </c>
      <c r="E44" s="304">
        <f ca="1">IF($D$3="BAU",UtilityDemand!E37,INDIRECT($D$3&amp;"!E"&amp;ROW(D44))+INDIRECT($D$3&amp;"!G"&amp;ROW(D44)))</f>
        <v>475903.43899511173</v>
      </c>
      <c r="F44" s="305">
        <f t="shared" ca="1" si="24"/>
        <v>0</v>
      </c>
      <c r="G44" s="306">
        <f t="shared" ca="1" si="8"/>
        <v>0</v>
      </c>
      <c r="H44" s="304">
        <f ca="1">IF($D$3="BAU",UtilityDemand!G37,INDIRECT($D$3&amp;"!H"&amp;ROW(G44))+INDIRECT($D$3&amp;"!J"&amp;ROW(G44)))</f>
        <v>162287.42214560963</v>
      </c>
      <c r="I44" s="305">
        <f t="shared" ca="1" si="25"/>
        <v>0</v>
      </c>
      <c r="J44" s="306">
        <f t="shared" ca="1" si="9"/>
        <v>0</v>
      </c>
      <c r="K44" s="307">
        <f t="shared" ca="1" si="10"/>
        <v>94142.261557110309</v>
      </c>
      <c r="L44" s="307">
        <f t="shared" si="11"/>
        <v>0</v>
      </c>
      <c r="M44" s="307">
        <v>0</v>
      </c>
      <c r="N44" s="307">
        <f t="shared" ca="1" si="12"/>
        <v>94142.261557110309</v>
      </c>
      <c r="O44" s="1494">
        <f t="shared" ca="1" si="13"/>
        <v>475903.43899511173</v>
      </c>
      <c r="P44" s="306">
        <f t="shared" si="14"/>
        <v>0</v>
      </c>
      <c r="Q44" s="306">
        <v>0</v>
      </c>
      <c r="R44" s="306">
        <f t="shared" ca="1" si="15"/>
        <v>475903.43899511173</v>
      </c>
      <c r="S44" s="818">
        <f t="shared" ca="1" si="16"/>
        <v>162287.42214560963</v>
      </c>
      <c r="T44" s="818">
        <f t="shared" si="17"/>
        <v>0</v>
      </c>
      <c r="U44" s="818">
        <v>0</v>
      </c>
      <c r="V44" s="818">
        <f t="shared" ca="1" si="18"/>
        <v>162287.42214560963</v>
      </c>
      <c r="W44" s="306">
        <f t="shared" si="1"/>
        <v>0</v>
      </c>
      <c r="X44" s="306">
        <f t="shared" ca="1" si="2"/>
        <v>-5845.4128478032089</v>
      </c>
      <c r="Y44" s="306">
        <v>0</v>
      </c>
      <c r="Z44" s="306">
        <v>0</v>
      </c>
      <c r="AA44" s="308">
        <f ca="1">-SUM(W44,X44/OFFSET(GridFootprintbyYear,$A44-$A$19,0)*EF_PurchElec_MTperMWh,Z44)*OFFSET(ExposureCalculations!Price_GHG_Allowance_2010,A44-$A$19,0)*ExposureCalculations!D41</f>
        <v>356081.0769254968</v>
      </c>
      <c r="AB44" s="308">
        <f t="shared" ca="1" si="3"/>
        <v>792447.14455170126</v>
      </c>
      <c r="AC44" s="308">
        <v>0</v>
      </c>
      <c r="AD44" s="819">
        <f t="shared" ca="1" si="4"/>
        <v>0</v>
      </c>
      <c r="AE44" s="308">
        <v>0</v>
      </c>
      <c r="AF44" s="819">
        <f t="shared" ca="1" si="5"/>
        <v>0</v>
      </c>
      <c r="AG44" s="308">
        <v>0</v>
      </c>
      <c r="AH44" s="308">
        <v>0</v>
      </c>
      <c r="AI44" s="308">
        <v>0</v>
      </c>
      <c r="AJ44" s="308">
        <f t="shared" ca="1" si="6"/>
        <v>792447.14455170126</v>
      </c>
      <c r="AK44" s="309">
        <v>0</v>
      </c>
      <c r="AL44" s="309">
        <f t="shared" si="26"/>
        <v>0</v>
      </c>
      <c r="AM44" s="309">
        <f t="shared" si="19"/>
        <v>0</v>
      </c>
      <c r="AN44" s="310">
        <v>0</v>
      </c>
      <c r="AO44" s="310">
        <f t="shared" si="27"/>
        <v>-21000</v>
      </c>
      <c r="AP44" s="310">
        <f t="shared" si="20"/>
        <v>-21000</v>
      </c>
      <c r="AQ44" s="309">
        <v>0</v>
      </c>
      <c r="AR44" s="311">
        <f t="shared" ca="1" si="7"/>
        <v>1127528.2214771979</v>
      </c>
      <c r="AS44" s="870">
        <f t="shared" ca="1" si="21"/>
        <v>20734073.506842166</v>
      </c>
      <c r="AT44" s="822"/>
      <c r="AU44" s="878"/>
      <c r="AV44" s="35"/>
      <c r="AW44" s="879"/>
      <c r="AX44" s="35"/>
      <c r="AY44" s="880"/>
    </row>
    <row r="45" spans="1:51">
      <c r="A45" s="303">
        <v>2036</v>
      </c>
      <c r="B45" s="304">
        <f ca="1">IF($D$3="BAU",UtilityDemand!C38,INDIRECT($D$3&amp;"!B"&amp;ROW(A45))+INDIRECT($D$3&amp;"!D"&amp;ROW(A45)))</f>
        <v>102249.80050413798</v>
      </c>
      <c r="C45" s="305">
        <f t="shared" ca="1" si="22"/>
        <v>-8.04891545941641E-2</v>
      </c>
      <c r="D45" s="306">
        <f t="shared" ca="1" si="23"/>
        <v>-8230</v>
      </c>
      <c r="E45" s="304">
        <f ca="1">IF($D$3="BAU",UtilityDemand!E38,INDIRECT($D$3&amp;"!E"&amp;ROW(D45))+INDIRECT($D$3&amp;"!G"&amp;ROW(D45)))</f>
        <v>475226.98507184675</v>
      </c>
      <c r="F45" s="305">
        <f t="shared" ca="1" si="24"/>
        <v>0</v>
      </c>
      <c r="G45" s="306">
        <f t="shared" ca="1" si="8"/>
        <v>0</v>
      </c>
      <c r="H45" s="304">
        <f ca="1">IF($D$3="BAU",UtilityDemand!G38,INDIRECT($D$3&amp;"!H"&amp;ROW(G45))+INDIRECT($D$3&amp;"!J"&amp;ROW(G45)))</f>
        <v>163107.87106417818</v>
      </c>
      <c r="I45" s="305">
        <f t="shared" ca="1" si="25"/>
        <v>0</v>
      </c>
      <c r="J45" s="306">
        <f t="shared" ca="1" si="9"/>
        <v>0</v>
      </c>
      <c r="K45" s="307">
        <f t="shared" ca="1" si="10"/>
        <v>94019.80050413798</v>
      </c>
      <c r="L45" s="307">
        <f t="shared" si="11"/>
        <v>0</v>
      </c>
      <c r="M45" s="307">
        <v>0</v>
      </c>
      <c r="N45" s="307">
        <f t="shared" ca="1" si="12"/>
        <v>94019.80050413798</v>
      </c>
      <c r="O45" s="1494">
        <f t="shared" ca="1" si="13"/>
        <v>475226.98507184675</v>
      </c>
      <c r="P45" s="306">
        <f t="shared" si="14"/>
        <v>0</v>
      </c>
      <c r="Q45" s="306">
        <v>0</v>
      </c>
      <c r="R45" s="306">
        <f t="shared" ca="1" si="15"/>
        <v>475226.98507184675</v>
      </c>
      <c r="S45" s="818">
        <f t="shared" ca="1" si="16"/>
        <v>163107.87106417818</v>
      </c>
      <c r="T45" s="818">
        <f t="shared" si="17"/>
        <v>0</v>
      </c>
      <c r="U45" s="818">
        <v>0</v>
      </c>
      <c r="V45" s="818">
        <f t="shared" ca="1" si="18"/>
        <v>163107.87106417818</v>
      </c>
      <c r="W45" s="306">
        <f t="shared" si="1"/>
        <v>0</v>
      </c>
      <c r="X45" s="306">
        <f t="shared" ca="1" si="2"/>
        <v>-5845.4128478032089</v>
      </c>
      <c r="Y45" s="306">
        <v>0</v>
      </c>
      <c r="Z45" s="306">
        <v>0</v>
      </c>
      <c r="AA45" s="308">
        <f ca="1">-SUM(W45,X45/OFFSET(GridFootprintbyYear,$A45-$A$19,0)*EF_PurchElec_MTperMWh,Z45)*OFFSET(ExposureCalculations!Price_GHG_Allowance_2010,A45-$A$19,0)*ExposureCalculations!D42</f>
        <v>375936.97960374673</v>
      </c>
      <c r="AB45" s="308">
        <f t="shared" ca="1" si="3"/>
        <v>796409.38027445972</v>
      </c>
      <c r="AC45" s="308">
        <v>0</v>
      </c>
      <c r="AD45" s="819">
        <f t="shared" ca="1" si="4"/>
        <v>0</v>
      </c>
      <c r="AE45" s="308">
        <v>0</v>
      </c>
      <c r="AF45" s="819">
        <f t="shared" ca="1" si="5"/>
        <v>0</v>
      </c>
      <c r="AG45" s="308">
        <v>0</v>
      </c>
      <c r="AH45" s="308">
        <v>0</v>
      </c>
      <c r="AI45" s="308">
        <v>0</v>
      </c>
      <c r="AJ45" s="308">
        <f t="shared" ca="1" si="6"/>
        <v>796409.38027445972</v>
      </c>
      <c r="AK45" s="309">
        <v>0</v>
      </c>
      <c r="AL45" s="309">
        <f t="shared" si="26"/>
        <v>0</v>
      </c>
      <c r="AM45" s="309">
        <f t="shared" si="19"/>
        <v>0</v>
      </c>
      <c r="AN45" s="310">
        <v>0</v>
      </c>
      <c r="AO45" s="310">
        <f t="shared" si="27"/>
        <v>-21000</v>
      </c>
      <c r="AP45" s="310">
        <f t="shared" si="20"/>
        <v>-21000</v>
      </c>
      <c r="AQ45" s="309">
        <v>0</v>
      </c>
      <c r="AR45" s="311">
        <f t="shared" ca="1" si="7"/>
        <v>1151346.3598782064</v>
      </c>
      <c r="AS45" s="870">
        <f t="shared" ca="1" si="21"/>
        <v>21885419.866720371</v>
      </c>
      <c r="AT45" s="822"/>
      <c r="AU45" s="878"/>
      <c r="AV45" s="35"/>
      <c r="AW45" s="879"/>
      <c r="AX45" s="35"/>
      <c r="AY45" s="880"/>
    </row>
    <row r="46" spans="1:51">
      <c r="A46" s="303">
        <v>2037</v>
      </c>
      <c r="B46" s="304">
        <f ca="1">IF($D$3="BAU",UtilityDemand!C39,INDIRECT($D$3&amp;"!B"&amp;ROW(A46))+INDIRECT($D$3&amp;"!D"&amp;ROW(A46)))</f>
        <v>102126.58779919885</v>
      </c>
      <c r="C46" s="305">
        <f t="shared" ca="1" si="22"/>
        <v>-8.0586262376471582E-2</v>
      </c>
      <c r="D46" s="306">
        <f t="shared" ca="1" si="23"/>
        <v>-8230</v>
      </c>
      <c r="E46" s="304">
        <f ca="1">IF($D$3="BAU",UtilityDemand!E39,INDIRECT($D$3&amp;"!E"&amp;ROW(D46))+INDIRECT($D$3&amp;"!G"&amp;ROW(D46)))</f>
        <v>474550.53114858177</v>
      </c>
      <c r="F46" s="305">
        <f t="shared" ca="1" si="24"/>
        <v>0</v>
      </c>
      <c r="G46" s="306">
        <f t="shared" ca="1" si="8"/>
        <v>0</v>
      </c>
      <c r="H46" s="304">
        <f ca="1">IF($D$3="BAU",UtilityDemand!G39,INDIRECT($D$3&amp;"!H"&amp;ROW(G46))+INDIRECT($D$3&amp;"!J"&amp;ROW(G46)))</f>
        <v>163927.52877015012</v>
      </c>
      <c r="I46" s="305">
        <f t="shared" ca="1" si="25"/>
        <v>0</v>
      </c>
      <c r="J46" s="306">
        <f t="shared" ca="1" si="9"/>
        <v>0</v>
      </c>
      <c r="K46" s="307">
        <f t="shared" ca="1" si="10"/>
        <v>93896.587799198853</v>
      </c>
      <c r="L46" s="307">
        <f t="shared" si="11"/>
        <v>0</v>
      </c>
      <c r="M46" s="307">
        <v>0</v>
      </c>
      <c r="N46" s="307">
        <f t="shared" ca="1" si="12"/>
        <v>93896.587799198853</v>
      </c>
      <c r="O46" s="1494">
        <f t="shared" ca="1" si="13"/>
        <v>474550.53114858177</v>
      </c>
      <c r="P46" s="306">
        <f t="shared" si="14"/>
        <v>0</v>
      </c>
      <c r="Q46" s="306">
        <v>0</v>
      </c>
      <c r="R46" s="306">
        <f t="shared" ca="1" si="15"/>
        <v>474550.53114858177</v>
      </c>
      <c r="S46" s="818">
        <f t="shared" ca="1" si="16"/>
        <v>163927.52877015012</v>
      </c>
      <c r="T46" s="818">
        <f t="shared" si="17"/>
        <v>0</v>
      </c>
      <c r="U46" s="818">
        <v>0</v>
      </c>
      <c r="V46" s="818">
        <f t="shared" ca="1" si="18"/>
        <v>163927.52877015012</v>
      </c>
      <c r="W46" s="306">
        <f t="shared" si="1"/>
        <v>0</v>
      </c>
      <c r="X46" s="306">
        <f t="shared" ca="1" si="2"/>
        <v>-5845.4128478032089</v>
      </c>
      <c r="Y46" s="306">
        <v>0</v>
      </c>
      <c r="Z46" s="306">
        <v>0</v>
      </c>
      <c r="AA46" s="308">
        <f ca="1">-SUM(W46,X46/OFFSET(GridFootprintbyYear,$A46-$A$19,0)*EF_PurchElec_MTperMWh,Z46)*OFFSET(ExposureCalculations!Price_GHG_Allowance_2010,A46-$A$19,0)*ExposureCalculations!D43</f>
        <v>395706.5734054959</v>
      </c>
      <c r="AB46" s="308">
        <f t="shared" ca="1" si="3"/>
        <v>800391.42717583175</v>
      </c>
      <c r="AC46" s="308">
        <v>0</v>
      </c>
      <c r="AD46" s="819">
        <f t="shared" ca="1" si="4"/>
        <v>0</v>
      </c>
      <c r="AE46" s="308">
        <v>0</v>
      </c>
      <c r="AF46" s="819">
        <f t="shared" ca="1" si="5"/>
        <v>0</v>
      </c>
      <c r="AG46" s="308">
        <v>0</v>
      </c>
      <c r="AH46" s="308">
        <v>0</v>
      </c>
      <c r="AI46" s="308">
        <v>0</v>
      </c>
      <c r="AJ46" s="308">
        <f t="shared" ca="1" si="6"/>
        <v>800391.42717583175</v>
      </c>
      <c r="AK46" s="309">
        <v>0</v>
      </c>
      <c r="AL46" s="309">
        <f t="shared" si="26"/>
        <v>0</v>
      </c>
      <c r="AM46" s="309">
        <f t="shared" si="19"/>
        <v>0</v>
      </c>
      <c r="AN46" s="310">
        <v>0</v>
      </c>
      <c r="AO46" s="310">
        <f t="shared" si="27"/>
        <v>-21000</v>
      </c>
      <c r="AP46" s="310">
        <f t="shared" si="20"/>
        <v>-21000</v>
      </c>
      <c r="AQ46" s="309">
        <v>0</v>
      </c>
      <c r="AR46" s="311">
        <f t="shared" ca="1" si="7"/>
        <v>1175098.0005813276</v>
      </c>
      <c r="AS46" s="870">
        <f t="shared" ca="1" si="21"/>
        <v>23060517.867301699</v>
      </c>
      <c r="AT46" s="822"/>
      <c r="AU46" s="878"/>
      <c r="AV46" s="35"/>
      <c r="AW46" s="879"/>
      <c r="AX46" s="35"/>
      <c r="AY46" s="880"/>
    </row>
    <row r="47" spans="1:51">
      <c r="A47" s="303">
        <v>2038</v>
      </c>
      <c r="B47" s="304">
        <f ca="1">IF($D$3="BAU",UtilityDemand!C40,INDIRECT($D$3&amp;"!B"&amp;ROW(A47))+INDIRECT($D$3&amp;"!D"&amp;ROW(A47)))</f>
        <v>102002.64350033725</v>
      </c>
      <c r="C47" s="305">
        <f t="shared" ca="1" si="22"/>
        <v>-8.0684183444449553E-2</v>
      </c>
      <c r="D47" s="306">
        <f t="shared" ca="1" si="23"/>
        <v>-8230</v>
      </c>
      <c r="E47" s="304">
        <f ca="1">IF($D$3="BAU",UtilityDemand!E40,INDIRECT($D$3&amp;"!E"&amp;ROW(D47))+INDIRECT($D$3&amp;"!G"&amp;ROW(D47)))</f>
        <v>473874.07722531701</v>
      </c>
      <c r="F47" s="305">
        <f t="shared" ca="1" si="24"/>
        <v>0</v>
      </c>
      <c r="G47" s="306">
        <f t="shared" ca="1" si="8"/>
        <v>0</v>
      </c>
      <c r="H47" s="304">
        <f ca="1">IF($D$3="BAU",UtilityDemand!G40,INDIRECT($D$3&amp;"!H"&amp;ROW(G47))+INDIRECT($D$3&amp;"!J"&amp;ROW(G47)))</f>
        <v>164746.41637725622</v>
      </c>
      <c r="I47" s="305">
        <f t="shared" ca="1" si="25"/>
        <v>0</v>
      </c>
      <c r="J47" s="306">
        <f t="shared" ca="1" si="9"/>
        <v>0</v>
      </c>
      <c r="K47" s="307">
        <f t="shared" ca="1" si="10"/>
        <v>93772.643500337246</v>
      </c>
      <c r="L47" s="307">
        <f t="shared" si="11"/>
        <v>0</v>
      </c>
      <c r="M47" s="307">
        <v>0</v>
      </c>
      <c r="N47" s="307">
        <f t="shared" ca="1" si="12"/>
        <v>93772.643500337246</v>
      </c>
      <c r="O47" s="1494">
        <f t="shared" ca="1" si="13"/>
        <v>473874.07722531701</v>
      </c>
      <c r="P47" s="306">
        <f t="shared" si="14"/>
        <v>0</v>
      </c>
      <c r="Q47" s="306">
        <v>0</v>
      </c>
      <c r="R47" s="306">
        <f t="shared" ca="1" si="15"/>
        <v>473874.07722531701</v>
      </c>
      <c r="S47" s="818">
        <f t="shared" ca="1" si="16"/>
        <v>164746.41637725622</v>
      </c>
      <c r="T47" s="818">
        <f t="shared" si="17"/>
        <v>0</v>
      </c>
      <c r="U47" s="818">
        <v>0</v>
      </c>
      <c r="V47" s="818">
        <f t="shared" ca="1" si="18"/>
        <v>164746.41637725622</v>
      </c>
      <c r="W47" s="306">
        <f t="shared" si="1"/>
        <v>0</v>
      </c>
      <c r="X47" s="306">
        <f t="shared" ca="1" si="2"/>
        <v>-5845.4128478032089</v>
      </c>
      <c r="Y47" s="306">
        <v>0</v>
      </c>
      <c r="Z47" s="306">
        <v>0</v>
      </c>
      <c r="AA47" s="308">
        <f ca="1">-SUM(W47,X47/OFFSET(GridFootprintbyYear,$A47-$A$19,0)*EF_PurchElec_MTperMWh,Z47)*OFFSET(ExposureCalculations!Price_GHG_Allowance_2010,A47-$A$19,0)*ExposureCalculations!D44</f>
        <v>415337.46580197511</v>
      </c>
      <c r="AB47" s="308">
        <f t="shared" ca="1" si="3"/>
        <v>804393.38431171083</v>
      </c>
      <c r="AC47" s="308">
        <v>0</v>
      </c>
      <c r="AD47" s="819">
        <f t="shared" ca="1" si="4"/>
        <v>0</v>
      </c>
      <c r="AE47" s="308">
        <v>0</v>
      </c>
      <c r="AF47" s="819">
        <f t="shared" ca="1" si="5"/>
        <v>0</v>
      </c>
      <c r="AG47" s="308">
        <v>0</v>
      </c>
      <c r="AH47" s="308">
        <v>0</v>
      </c>
      <c r="AI47" s="308">
        <v>0</v>
      </c>
      <c r="AJ47" s="308">
        <f t="shared" ca="1" si="6"/>
        <v>804393.38431171083</v>
      </c>
      <c r="AK47" s="309">
        <v>0</v>
      </c>
      <c r="AL47" s="309">
        <f t="shared" si="26"/>
        <v>0</v>
      </c>
      <c r="AM47" s="309">
        <f t="shared" si="19"/>
        <v>0</v>
      </c>
      <c r="AN47" s="310">
        <v>0</v>
      </c>
      <c r="AO47" s="310">
        <f t="shared" si="27"/>
        <v>-21000</v>
      </c>
      <c r="AP47" s="310">
        <f t="shared" si="20"/>
        <v>-21000</v>
      </c>
      <c r="AQ47" s="309">
        <v>0</v>
      </c>
      <c r="AR47" s="311">
        <f t="shared" ca="1" si="7"/>
        <v>1198730.8501136859</v>
      </c>
      <c r="AS47" s="870">
        <f t="shared" ca="1" si="21"/>
        <v>24259248.717415385</v>
      </c>
      <c r="AT47" s="822"/>
      <c r="AU47" s="878"/>
      <c r="AV47" s="35"/>
      <c r="AW47" s="879"/>
      <c r="AX47" s="35"/>
      <c r="AY47" s="880"/>
    </row>
    <row r="48" spans="1:51">
      <c r="A48" s="303">
        <v>2039</v>
      </c>
      <c r="B48" s="304">
        <f ca="1">IF($D$3="BAU",UtilityDemand!C41,INDIRECT($D$3&amp;"!B"&amp;ROW(A48))+INDIRECT($D$3&amp;"!D"&amp;ROW(A48)))</f>
        <v>101877.98695821676</v>
      </c>
      <c r="C48" s="305">
        <f t="shared" ca="1" si="22"/>
        <v>-8.0782907532079243E-2</v>
      </c>
      <c r="D48" s="306">
        <f t="shared" ca="1" si="23"/>
        <v>-8230</v>
      </c>
      <c r="E48" s="304">
        <f ca="1">IF($D$3="BAU",UtilityDemand!E41,INDIRECT($D$3&amp;"!E"&amp;ROW(D48))+INDIRECT($D$3&amp;"!G"&amp;ROW(D48)))</f>
        <v>473197.62330205203</v>
      </c>
      <c r="F48" s="305">
        <f t="shared" ca="1" si="24"/>
        <v>0</v>
      </c>
      <c r="G48" s="306">
        <f t="shared" ca="1" si="8"/>
        <v>0</v>
      </c>
      <c r="H48" s="304">
        <f ca="1">IF($D$3="BAU",UtilityDemand!G41,INDIRECT($D$3&amp;"!H"&amp;ROW(G48))+INDIRECT($D$3&amp;"!J"&amp;ROW(G48)))</f>
        <v>165564.5542546162</v>
      </c>
      <c r="I48" s="305">
        <f t="shared" ca="1" si="25"/>
        <v>0</v>
      </c>
      <c r="J48" s="306">
        <f t="shared" ca="1" si="9"/>
        <v>0</v>
      </c>
      <c r="K48" s="307">
        <f t="shared" ca="1" si="10"/>
        <v>93647.986958216759</v>
      </c>
      <c r="L48" s="307">
        <f t="shared" si="11"/>
        <v>0</v>
      </c>
      <c r="M48" s="307">
        <v>0</v>
      </c>
      <c r="N48" s="307">
        <f t="shared" ca="1" si="12"/>
        <v>93647.986958216759</v>
      </c>
      <c r="O48" s="1494">
        <f t="shared" ca="1" si="13"/>
        <v>473197.62330205203</v>
      </c>
      <c r="P48" s="306">
        <f t="shared" si="14"/>
        <v>0</v>
      </c>
      <c r="Q48" s="306">
        <v>0</v>
      </c>
      <c r="R48" s="306">
        <f t="shared" ca="1" si="15"/>
        <v>473197.62330205203</v>
      </c>
      <c r="S48" s="818">
        <f t="shared" ca="1" si="16"/>
        <v>165564.5542546162</v>
      </c>
      <c r="T48" s="818">
        <f t="shared" si="17"/>
        <v>0</v>
      </c>
      <c r="U48" s="818">
        <v>0</v>
      </c>
      <c r="V48" s="818">
        <f t="shared" ca="1" si="18"/>
        <v>165564.5542546162</v>
      </c>
      <c r="W48" s="306">
        <f t="shared" si="1"/>
        <v>0</v>
      </c>
      <c r="X48" s="306">
        <f t="shared" ca="1" si="2"/>
        <v>-5845.4128478032089</v>
      </c>
      <c r="Y48" s="306">
        <v>0</v>
      </c>
      <c r="Z48" s="306">
        <v>0</v>
      </c>
      <c r="AA48" s="308">
        <f ca="1">-SUM(W48,X48/OFFSET(GridFootprintbyYear,$A48-$A$19,0)*EF_PurchElec_MTperMWh,Z48)*OFFSET(ExposureCalculations!Price_GHG_Allowance_2010,A48-$A$19,0)*ExposureCalculations!D45</f>
        <v>434786.95785674633</v>
      </c>
      <c r="AB48" s="308">
        <f t="shared" ca="1" si="3"/>
        <v>808415.35123326932</v>
      </c>
      <c r="AC48" s="308">
        <v>0</v>
      </c>
      <c r="AD48" s="819">
        <f t="shared" ca="1" si="4"/>
        <v>0</v>
      </c>
      <c r="AE48" s="308">
        <v>0</v>
      </c>
      <c r="AF48" s="819">
        <f t="shared" ca="1" si="5"/>
        <v>0</v>
      </c>
      <c r="AG48" s="308">
        <v>0</v>
      </c>
      <c r="AH48" s="308">
        <v>0</v>
      </c>
      <c r="AI48" s="308">
        <v>0</v>
      </c>
      <c r="AJ48" s="308">
        <f t="shared" ca="1" si="6"/>
        <v>808415.35123326932</v>
      </c>
      <c r="AK48" s="309">
        <v>0</v>
      </c>
      <c r="AL48" s="309">
        <f t="shared" si="26"/>
        <v>0</v>
      </c>
      <c r="AM48" s="309">
        <f t="shared" si="19"/>
        <v>0</v>
      </c>
      <c r="AN48" s="310">
        <v>0</v>
      </c>
      <c r="AO48" s="310">
        <f t="shared" si="27"/>
        <v>-21000</v>
      </c>
      <c r="AP48" s="310">
        <f t="shared" si="20"/>
        <v>-21000</v>
      </c>
      <c r="AQ48" s="309">
        <v>0</v>
      </c>
      <c r="AR48" s="311">
        <f t="shared" ca="1" si="7"/>
        <v>1222202.3090900157</v>
      </c>
      <c r="AS48" s="870">
        <f t="shared" ca="1" si="21"/>
        <v>25481451.026505399</v>
      </c>
      <c r="AT48" s="822"/>
      <c r="AU48" s="878"/>
      <c r="AV48" s="35"/>
      <c r="AW48" s="879"/>
      <c r="AX48" s="35"/>
      <c r="AY48" s="880"/>
    </row>
    <row r="49" spans="1:51">
      <c r="A49" s="303">
        <v>2040</v>
      </c>
      <c r="B49" s="304">
        <f ca="1">IF($D$3="BAU",UtilityDemand!C42,INDIRECT($D$3&amp;"!B"&amp;ROW(A49))+INDIRECT($D$3&amp;"!D"&amp;ROW(A49)))</f>
        <v>101752.63684703183</v>
      </c>
      <c r="C49" s="305">
        <f t="shared" ca="1" si="22"/>
        <v>-8.0882424819834764E-2</v>
      </c>
      <c r="D49" s="306">
        <f t="shared" ca="1" si="23"/>
        <v>-8230</v>
      </c>
      <c r="E49" s="304">
        <f ca="1">IF($D$3="BAU",UtilityDemand!E42,INDIRECT($D$3&amp;"!E"&amp;ROW(D49))+INDIRECT($D$3&amp;"!G"&amp;ROW(D49)))</f>
        <v>472521.16937878705</v>
      </c>
      <c r="F49" s="305">
        <f t="shared" ca="1" si="24"/>
        <v>0</v>
      </c>
      <c r="G49" s="306">
        <f t="shared" ca="1" si="8"/>
        <v>0</v>
      </c>
      <c r="H49" s="304">
        <f ca="1">IF($D$3="BAU",UtilityDemand!G42,INDIRECT($D$3&amp;"!H"&amp;ROW(G49))+INDIRECT($D$3&amp;"!J"&amp;ROW(G49)))</f>
        <v>166381.96205927676</v>
      </c>
      <c r="I49" s="305">
        <f t="shared" ca="1" si="25"/>
        <v>0</v>
      </c>
      <c r="J49" s="306">
        <f t="shared" ca="1" si="9"/>
        <v>0</v>
      </c>
      <c r="K49" s="307">
        <f t="shared" ca="1" si="10"/>
        <v>93522.636847031827</v>
      </c>
      <c r="L49" s="307">
        <f t="shared" si="11"/>
        <v>0</v>
      </c>
      <c r="M49" s="307">
        <v>0</v>
      </c>
      <c r="N49" s="307">
        <f t="shared" ca="1" si="12"/>
        <v>93522.636847031827</v>
      </c>
      <c r="O49" s="1494">
        <f t="shared" ca="1" si="13"/>
        <v>472521.16937878705</v>
      </c>
      <c r="P49" s="306">
        <f t="shared" si="14"/>
        <v>0</v>
      </c>
      <c r="Q49" s="306">
        <v>0</v>
      </c>
      <c r="R49" s="306">
        <f t="shared" ca="1" si="15"/>
        <v>472521.16937878705</v>
      </c>
      <c r="S49" s="818">
        <f t="shared" ca="1" si="16"/>
        <v>166381.96205927676</v>
      </c>
      <c r="T49" s="818">
        <f t="shared" si="17"/>
        <v>0</v>
      </c>
      <c r="U49" s="818">
        <v>0</v>
      </c>
      <c r="V49" s="818">
        <f t="shared" ca="1" si="18"/>
        <v>166381.96205927676</v>
      </c>
      <c r="W49" s="306">
        <f t="shared" si="1"/>
        <v>0</v>
      </c>
      <c r="X49" s="306">
        <f t="shared" ca="1" si="2"/>
        <v>-5845.4128478032089</v>
      </c>
      <c r="Y49" s="306">
        <v>0</v>
      </c>
      <c r="Z49" s="306">
        <v>0</v>
      </c>
      <c r="AA49" s="308">
        <f ca="1">-SUM(W49,X49/OFFSET(GridFootprintbyYear,$A49-$A$19,0)*EF_PurchElec_MTperMWh,Z49)*OFFSET(ExposureCalculations!Price_GHG_Allowance_2010,A49-$A$19,0)*ExposureCalculations!D46</f>
        <v>455184.86990837066</v>
      </c>
      <c r="AB49" s="308">
        <f t="shared" ca="1" si="3"/>
        <v>812457.4279894355</v>
      </c>
      <c r="AC49" s="308">
        <v>0</v>
      </c>
      <c r="AD49" s="819">
        <f t="shared" ca="1" si="4"/>
        <v>0</v>
      </c>
      <c r="AE49" s="308">
        <v>0</v>
      </c>
      <c r="AF49" s="819">
        <f t="shared" ca="1" si="5"/>
        <v>0</v>
      </c>
      <c r="AG49" s="308">
        <v>0</v>
      </c>
      <c r="AH49" s="308">
        <v>0</v>
      </c>
      <c r="AI49" s="308">
        <v>0</v>
      </c>
      <c r="AJ49" s="308">
        <f t="shared" ca="1" si="6"/>
        <v>812457.4279894355</v>
      </c>
      <c r="AK49" s="309">
        <v>0</v>
      </c>
      <c r="AL49" s="309">
        <f t="shared" si="26"/>
        <v>0</v>
      </c>
      <c r="AM49" s="309">
        <f t="shared" si="19"/>
        <v>0</v>
      </c>
      <c r="AN49" s="310">
        <v>0</v>
      </c>
      <c r="AO49" s="310">
        <f t="shared" si="27"/>
        <v>-21000</v>
      </c>
      <c r="AP49" s="310">
        <f t="shared" si="20"/>
        <v>-21000</v>
      </c>
      <c r="AQ49" s="309">
        <v>0</v>
      </c>
      <c r="AR49" s="311">
        <f t="shared" ca="1" si="7"/>
        <v>1246642.2978978062</v>
      </c>
      <c r="AS49" s="870">
        <f t="shared" ca="1" si="21"/>
        <v>26728093.324403204</v>
      </c>
      <c r="AT49" s="822"/>
      <c r="AU49" s="878"/>
      <c r="AV49" s="35"/>
      <c r="AW49" s="879"/>
      <c r="AX49" s="35"/>
      <c r="AY49" s="880"/>
    </row>
    <row r="50" spans="1:51">
      <c r="A50" s="303">
        <v>2041</v>
      </c>
      <c r="B50" s="304">
        <f ca="1">IF($D$3="BAU",UtilityDemand!C43,INDIRECT($D$3&amp;"!B"&amp;ROW(A50))+INDIRECT($D$3&amp;"!D"&amp;ROW(A50)))</f>
        <v>101626.61119381175</v>
      </c>
      <c r="C50" s="305">
        <f t="shared" ca="1" si="22"/>
        <v>-8.0982725915209317E-2</v>
      </c>
      <c r="D50" s="306">
        <f t="shared" ca="1" si="23"/>
        <v>-8230</v>
      </c>
      <c r="E50" s="304">
        <f ca="1">IF($D$3="BAU",UtilityDemand!E43,INDIRECT($D$3&amp;"!E"&amp;ROW(D50))+INDIRECT($D$3&amp;"!G"&amp;ROW(D50)))</f>
        <v>471844.71545552206</v>
      </c>
      <c r="F50" s="305">
        <f t="shared" ca="1" si="24"/>
        <v>0</v>
      </c>
      <c r="G50" s="306">
        <f t="shared" ca="1" si="8"/>
        <v>0</v>
      </c>
      <c r="H50" s="304">
        <f ca="1">IF($D$3="BAU",UtilityDemand!G43,INDIRECT($D$3&amp;"!H"&amp;ROW(G50))+INDIRECT($D$3&amp;"!J"&amp;ROW(G50)))</f>
        <v>167198.65876705816</v>
      </c>
      <c r="I50" s="305">
        <f t="shared" ca="1" si="25"/>
        <v>0</v>
      </c>
      <c r="J50" s="306">
        <f t="shared" ca="1" si="9"/>
        <v>0</v>
      </c>
      <c r="K50" s="307">
        <f t="shared" ca="1" si="10"/>
        <v>93396.611193811754</v>
      </c>
      <c r="L50" s="307">
        <f t="shared" si="11"/>
        <v>0</v>
      </c>
      <c r="M50" s="307">
        <v>0</v>
      </c>
      <c r="N50" s="307">
        <f t="shared" ca="1" si="12"/>
        <v>93396.611193811754</v>
      </c>
      <c r="O50" s="1494">
        <f t="shared" ca="1" si="13"/>
        <v>471844.71545552206</v>
      </c>
      <c r="P50" s="306">
        <f t="shared" si="14"/>
        <v>0</v>
      </c>
      <c r="Q50" s="306">
        <v>0</v>
      </c>
      <c r="R50" s="306">
        <f t="shared" ca="1" si="15"/>
        <v>471844.71545552206</v>
      </c>
      <c r="S50" s="818">
        <f t="shared" ca="1" si="16"/>
        <v>167198.65876705816</v>
      </c>
      <c r="T50" s="818">
        <f t="shared" si="17"/>
        <v>0</v>
      </c>
      <c r="U50" s="818">
        <v>0</v>
      </c>
      <c r="V50" s="818">
        <f t="shared" ca="1" si="18"/>
        <v>167198.65876705816</v>
      </c>
      <c r="W50" s="306">
        <f t="shared" si="1"/>
        <v>0</v>
      </c>
      <c r="X50" s="306">
        <f t="shared" ca="1" si="2"/>
        <v>-5845.4128478032089</v>
      </c>
      <c r="Y50" s="306">
        <v>0</v>
      </c>
      <c r="Z50" s="306">
        <v>0</v>
      </c>
      <c r="AA50" s="308">
        <f ca="1">-SUM(W50,X50/OFFSET(GridFootprintbyYear,$A50-$A$19,0)*EF_PurchElec_MTperMWh,Z50)*OFFSET(ExposureCalculations!Price_GHG_Allowance_2010,A50-$A$19,0)*ExposureCalculations!D47</f>
        <v>474945.40971897286</v>
      </c>
      <c r="AB50" s="308">
        <f t="shared" ca="1" si="3"/>
        <v>816519.71512938244</v>
      </c>
      <c r="AC50" s="308">
        <v>0</v>
      </c>
      <c r="AD50" s="819">
        <f t="shared" ca="1" si="4"/>
        <v>0</v>
      </c>
      <c r="AE50" s="308">
        <v>0</v>
      </c>
      <c r="AF50" s="819">
        <f t="shared" ca="1" si="5"/>
        <v>0</v>
      </c>
      <c r="AG50" s="308">
        <v>0</v>
      </c>
      <c r="AH50" s="308">
        <v>0</v>
      </c>
      <c r="AI50" s="308">
        <v>0</v>
      </c>
      <c r="AJ50" s="308">
        <f t="shared" ca="1" si="6"/>
        <v>816519.71512938244</v>
      </c>
      <c r="AK50" s="309">
        <v>0</v>
      </c>
      <c r="AL50" s="309">
        <f t="shared" si="26"/>
        <v>0</v>
      </c>
      <c r="AM50" s="309">
        <f t="shared" si="19"/>
        <v>0</v>
      </c>
      <c r="AN50" s="310">
        <v>0</v>
      </c>
      <c r="AO50" s="310">
        <f t="shared" si="27"/>
        <v>-21000</v>
      </c>
      <c r="AP50" s="310">
        <f t="shared" si="20"/>
        <v>-21000</v>
      </c>
      <c r="AQ50" s="309">
        <v>0</v>
      </c>
      <c r="AR50" s="311">
        <f t="shared" ca="1" si="7"/>
        <v>1270465.1248483553</v>
      </c>
      <c r="AS50" s="870">
        <f t="shared" ca="1" si="21"/>
        <v>27998558.449251559</v>
      </c>
      <c r="AT50" s="822"/>
      <c r="AU50" s="878"/>
      <c r="AV50" s="35"/>
      <c r="AW50" s="879"/>
      <c r="AX50" s="35"/>
      <c r="AY50" s="880"/>
    </row>
    <row r="51" spans="1:51">
      <c r="A51" s="303">
        <v>2042</v>
      </c>
      <c r="B51" s="304">
        <f ca="1">IF($D$3="BAU",UtilityDemand!C44,INDIRECT($D$3&amp;"!B"&amp;ROW(A51))+INDIRECT($D$3&amp;"!D"&amp;ROW(A51)))</f>
        <v>101499.92740621482</v>
      </c>
      <c r="C51" s="305">
        <f t="shared" ca="1" si="22"/>
        <v>-8.1083801834286623E-2</v>
      </c>
      <c r="D51" s="306">
        <f t="shared" ca="1" si="23"/>
        <v>-8230</v>
      </c>
      <c r="E51" s="304">
        <f ca="1">IF($D$3="BAU",UtilityDemand!E44,INDIRECT($D$3&amp;"!E"&amp;ROW(D51))+INDIRECT($D$3&amp;"!G"&amp;ROW(D51)))</f>
        <v>471168.26153225708</v>
      </c>
      <c r="F51" s="305">
        <f t="shared" ca="1" si="24"/>
        <v>0</v>
      </c>
      <c r="G51" s="306">
        <f t="shared" ca="1" si="8"/>
        <v>0</v>
      </c>
      <c r="H51" s="304">
        <f ca="1">IF($D$3="BAU",UtilityDemand!G44,INDIRECT($D$3&amp;"!H"&amp;ROW(G51))+INDIRECT($D$3&amp;"!J"&amp;ROW(G51)))</f>
        <v>168014.66270181126</v>
      </c>
      <c r="I51" s="305">
        <f t="shared" ca="1" si="25"/>
        <v>0</v>
      </c>
      <c r="J51" s="306">
        <f t="shared" ca="1" si="9"/>
        <v>0</v>
      </c>
      <c r="K51" s="307">
        <f t="shared" ca="1" si="10"/>
        <v>93269.927406214818</v>
      </c>
      <c r="L51" s="307">
        <f t="shared" si="11"/>
        <v>0</v>
      </c>
      <c r="M51" s="307">
        <v>0</v>
      </c>
      <c r="N51" s="307">
        <f t="shared" ca="1" si="12"/>
        <v>93269.927406214818</v>
      </c>
      <c r="O51" s="1494">
        <f t="shared" ca="1" si="13"/>
        <v>471168.26153225708</v>
      </c>
      <c r="P51" s="306">
        <f t="shared" si="14"/>
        <v>0</v>
      </c>
      <c r="Q51" s="306">
        <v>0</v>
      </c>
      <c r="R51" s="306">
        <f t="shared" ca="1" si="15"/>
        <v>471168.26153225708</v>
      </c>
      <c r="S51" s="818">
        <f t="shared" ca="1" si="16"/>
        <v>168014.66270181126</v>
      </c>
      <c r="T51" s="818">
        <f t="shared" si="17"/>
        <v>0</v>
      </c>
      <c r="U51" s="818">
        <v>0</v>
      </c>
      <c r="V51" s="818">
        <f t="shared" ca="1" si="18"/>
        <v>168014.66270181126</v>
      </c>
      <c r="W51" s="306">
        <f t="shared" si="1"/>
        <v>0</v>
      </c>
      <c r="X51" s="306">
        <f t="shared" ca="1" si="2"/>
        <v>-5845.4128478032089</v>
      </c>
      <c r="Y51" s="306">
        <v>0</v>
      </c>
      <c r="Z51" s="306">
        <v>0</v>
      </c>
      <c r="AA51" s="308">
        <f ca="1">-SUM(W51,X51/OFFSET(GridFootprintbyYear,$A51-$A$19,0)*EF_PurchElec_MTperMWh,Z51)*OFFSET(ExposureCalculations!Price_GHG_Allowance_2010,A51-$A$19,0)*ExposureCalculations!D48</f>
        <v>493935.94151595299</v>
      </c>
      <c r="AB51" s="308">
        <f t="shared" ca="1" si="3"/>
        <v>820602.3137050292</v>
      </c>
      <c r="AC51" s="308">
        <v>0</v>
      </c>
      <c r="AD51" s="819">
        <f t="shared" ca="1" si="4"/>
        <v>0</v>
      </c>
      <c r="AE51" s="308">
        <v>0</v>
      </c>
      <c r="AF51" s="819">
        <f t="shared" ca="1" si="5"/>
        <v>0</v>
      </c>
      <c r="AG51" s="308">
        <v>0</v>
      </c>
      <c r="AH51" s="308">
        <v>0</v>
      </c>
      <c r="AI51" s="308">
        <v>0</v>
      </c>
      <c r="AJ51" s="308">
        <f t="shared" ca="1" si="6"/>
        <v>820602.3137050292</v>
      </c>
      <c r="AK51" s="309">
        <v>0</v>
      </c>
      <c r="AL51" s="309">
        <f t="shared" si="26"/>
        <v>0</v>
      </c>
      <c r="AM51" s="309">
        <f t="shared" si="19"/>
        <v>0</v>
      </c>
      <c r="AN51" s="310">
        <v>0</v>
      </c>
      <c r="AO51" s="310">
        <f t="shared" si="27"/>
        <v>-21000</v>
      </c>
      <c r="AP51" s="310">
        <f t="shared" si="20"/>
        <v>-21000</v>
      </c>
      <c r="AQ51" s="309">
        <v>0</v>
      </c>
      <c r="AR51" s="311">
        <f t="shared" ca="1" si="7"/>
        <v>1293538.2552209822</v>
      </c>
      <c r="AS51" s="870">
        <f t="shared" ca="1" si="21"/>
        <v>29292096.704472542</v>
      </c>
      <c r="AT51" s="822"/>
      <c r="AU51" s="878"/>
      <c r="AV51" s="35"/>
      <c r="AW51" s="879"/>
      <c r="AX51" s="35"/>
      <c r="AY51" s="880"/>
    </row>
    <row r="52" spans="1:51">
      <c r="A52" s="303">
        <v>2043</v>
      </c>
      <c r="B52" s="304">
        <f ca="1">IF($D$3="BAU",UtilityDemand!C45,INDIRECT($D$3&amp;"!B"&amp;ROW(A52))+INDIRECT($D$3&amp;"!D"&amp;ROW(A52)))</f>
        <v>101372.60229890204</v>
      </c>
      <c r="C52" s="305">
        <f t="shared" ca="1" si="22"/>
        <v>-8.1185643984293163E-2</v>
      </c>
      <c r="D52" s="306">
        <f t="shared" ca="1" si="23"/>
        <v>-8230</v>
      </c>
      <c r="E52" s="304">
        <f ca="1">IF($D$3="BAU",UtilityDemand!E45,INDIRECT($D$3&amp;"!E"&amp;ROW(D52))+INDIRECT($D$3&amp;"!G"&amp;ROW(D52)))</f>
        <v>470491.80760899209</v>
      </c>
      <c r="F52" s="305">
        <f t="shared" ca="1" si="24"/>
        <v>0</v>
      </c>
      <c r="G52" s="306">
        <f t="shared" ca="1" si="8"/>
        <v>0</v>
      </c>
      <c r="H52" s="304">
        <f ca="1">IF($D$3="BAU",UtilityDemand!G45,INDIRECT($D$3&amp;"!H"&amp;ROW(G52))+INDIRECT($D$3&amp;"!J"&amp;ROW(G52)))</f>
        <v>168829.99156317938</v>
      </c>
      <c r="I52" s="305">
        <f t="shared" ca="1" si="25"/>
        <v>0</v>
      </c>
      <c r="J52" s="306">
        <f t="shared" ca="1" si="9"/>
        <v>0</v>
      </c>
      <c r="K52" s="307">
        <f t="shared" ca="1" si="10"/>
        <v>93142.602298902042</v>
      </c>
      <c r="L52" s="307">
        <f t="shared" si="11"/>
        <v>0</v>
      </c>
      <c r="M52" s="307">
        <v>0</v>
      </c>
      <c r="N52" s="307">
        <f t="shared" ca="1" si="12"/>
        <v>93142.602298902042</v>
      </c>
      <c r="O52" s="1494">
        <f t="shared" ca="1" si="13"/>
        <v>470491.80760899209</v>
      </c>
      <c r="P52" s="306">
        <f t="shared" si="14"/>
        <v>0</v>
      </c>
      <c r="Q52" s="306">
        <v>0</v>
      </c>
      <c r="R52" s="306">
        <f t="shared" ca="1" si="15"/>
        <v>470491.80760899209</v>
      </c>
      <c r="S52" s="818">
        <f t="shared" ca="1" si="16"/>
        <v>168829.99156317938</v>
      </c>
      <c r="T52" s="818">
        <f t="shared" si="17"/>
        <v>0</v>
      </c>
      <c r="U52" s="818">
        <v>0</v>
      </c>
      <c r="V52" s="818">
        <f t="shared" ca="1" si="18"/>
        <v>168829.99156317938</v>
      </c>
      <c r="W52" s="306">
        <f t="shared" si="1"/>
        <v>0</v>
      </c>
      <c r="X52" s="306">
        <f t="shared" ca="1" si="2"/>
        <v>-5845.4128478032089</v>
      </c>
      <c r="Y52" s="306">
        <v>0</v>
      </c>
      <c r="Z52" s="306">
        <v>0</v>
      </c>
      <c r="AA52" s="308">
        <f ca="1">-SUM(W52,X52/OFFSET(GridFootprintbyYear,$A52-$A$19,0)*EF_PurchElec_MTperMWh,Z52)*OFFSET(ExposureCalculations!Price_GHG_Allowance_2010,A52-$A$19,0)*ExposureCalculations!D49</f>
        <v>515295.68649563316</v>
      </c>
      <c r="AB52" s="308">
        <f t="shared" ca="1" si="3"/>
        <v>824705.32527355431</v>
      </c>
      <c r="AC52" s="308">
        <v>0</v>
      </c>
      <c r="AD52" s="819">
        <f t="shared" ca="1" si="4"/>
        <v>0</v>
      </c>
      <c r="AE52" s="308">
        <v>0</v>
      </c>
      <c r="AF52" s="819">
        <f t="shared" ca="1" si="5"/>
        <v>0</v>
      </c>
      <c r="AG52" s="308">
        <v>0</v>
      </c>
      <c r="AH52" s="308">
        <v>0</v>
      </c>
      <c r="AI52" s="308">
        <v>0</v>
      </c>
      <c r="AJ52" s="308">
        <f t="shared" ca="1" si="6"/>
        <v>824705.32527355431</v>
      </c>
      <c r="AK52" s="309">
        <v>0</v>
      </c>
      <c r="AL52" s="309">
        <f t="shared" si="26"/>
        <v>0</v>
      </c>
      <c r="AM52" s="309">
        <f t="shared" si="19"/>
        <v>0</v>
      </c>
      <c r="AN52" s="310">
        <v>0</v>
      </c>
      <c r="AO52" s="310">
        <f t="shared" si="27"/>
        <v>-21000</v>
      </c>
      <c r="AP52" s="310">
        <f t="shared" si="20"/>
        <v>-21000</v>
      </c>
      <c r="AQ52" s="309">
        <v>0</v>
      </c>
      <c r="AR52" s="311">
        <f t="shared" ca="1" si="7"/>
        <v>1319001.0117691874</v>
      </c>
      <c r="AS52" s="870">
        <f t="shared" ca="1" si="21"/>
        <v>30611097.716241729</v>
      </c>
      <c r="AT52" s="822"/>
      <c r="AU52" s="878"/>
      <c r="AV52" s="35"/>
      <c r="AW52" s="879"/>
      <c r="AX52" s="35"/>
      <c r="AY52" s="880"/>
    </row>
    <row r="53" spans="1:51">
      <c r="A53" s="303">
        <v>2044</v>
      </c>
      <c r="B53" s="304">
        <f ca="1">IF($D$3="BAU",UtilityDemand!C46,INDIRECT($D$3&amp;"!B"&amp;ROW(A53))+INDIRECT($D$3&amp;"!D"&amp;ROW(A53)))</f>
        <v>101244.65211857496</v>
      </c>
      <c r="C53" s="305">
        <f t="shared" ca="1" si="22"/>
        <v>-8.1288244147071101E-2</v>
      </c>
      <c r="D53" s="306">
        <f t="shared" ca="1" si="23"/>
        <v>-8230</v>
      </c>
      <c r="E53" s="304">
        <f ca="1">IF($D$3="BAU",UtilityDemand!E46,INDIRECT($D$3&amp;"!E"&amp;ROW(D53))+INDIRECT($D$3&amp;"!G"&amp;ROW(D53)))</f>
        <v>469815.35368572734</v>
      </c>
      <c r="F53" s="305">
        <f t="shared" ca="1" si="24"/>
        <v>0</v>
      </c>
      <c r="G53" s="306">
        <f t="shared" ca="1" si="8"/>
        <v>0</v>
      </c>
      <c r="H53" s="304">
        <f ca="1">IF($D$3="BAU",UtilityDemand!G46,INDIRECT($D$3&amp;"!H"&amp;ROW(G53))+INDIRECT($D$3&amp;"!J"&amp;ROW(G53)))</f>
        <v>169644.66245295343</v>
      </c>
      <c r="I53" s="305">
        <f t="shared" ca="1" si="25"/>
        <v>0</v>
      </c>
      <c r="J53" s="306">
        <f t="shared" ca="1" si="9"/>
        <v>0</v>
      </c>
      <c r="K53" s="307">
        <f t="shared" ca="1" si="10"/>
        <v>93014.652118574959</v>
      </c>
      <c r="L53" s="307">
        <f t="shared" si="11"/>
        <v>0</v>
      </c>
      <c r="M53" s="307">
        <v>0</v>
      </c>
      <c r="N53" s="307">
        <f t="shared" ca="1" si="12"/>
        <v>93014.652118574959</v>
      </c>
      <c r="O53" s="1494">
        <f t="shared" ca="1" si="13"/>
        <v>469815.35368572734</v>
      </c>
      <c r="P53" s="306">
        <f t="shared" si="14"/>
        <v>0</v>
      </c>
      <c r="Q53" s="306">
        <v>0</v>
      </c>
      <c r="R53" s="306">
        <f t="shared" ca="1" si="15"/>
        <v>469815.35368572734</v>
      </c>
      <c r="S53" s="818">
        <f t="shared" ca="1" si="16"/>
        <v>169644.66245295343</v>
      </c>
      <c r="T53" s="818">
        <f t="shared" si="17"/>
        <v>0</v>
      </c>
      <c r="U53" s="818">
        <v>0</v>
      </c>
      <c r="V53" s="818">
        <f t="shared" ca="1" si="18"/>
        <v>169644.66245295343</v>
      </c>
      <c r="W53" s="306">
        <f t="shared" si="1"/>
        <v>0</v>
      </c>
      <c r="X53" s="306">
        <f t="shared" ca="1" si="2"/>
        <v>-5845.4128478032089</v>
      </c>
      <c r="Y53" s="306">
        <v>0</v>
      </c>
      <c r="Z53" s="306">
        <v>0</v>
      </c>
      <c r="AA53" s="308">
        <f ca="1">-SUM(W53,X53/OFFSET(GridFootprintbyYear,$A53-$A$19,0)*EF_PurchElec_MTperMWh,Z53)*OFFSET(ExposureCalculations!Price_GHG_Allowance_2010,A53-$A$19,0)*ExposureCalculations!D50</f>
        <v>539507.41206815268</v>
      </c>
      <c r="AB53" s="308">
        <f t="shared" ca="1" si="3"/>
        <v>828828.85189992201</v>
      </c>
      <c r="AC53" s="308">
        <v>0</v>
      </c>
      <c r="AD53" s="819">
        <f t="shared" ca="1" si="4"/>
        <v>0</v>
      </c>
      <c r="AE53" s="308">
        <v>0</v>
      </c>
      <c r="AF53" s="819">
        <f t="shared" ca="1" si="5"/>
        <v>0</v>
      </c>
      <c r="AG53" s="308">
        <v>0</v>
      </c>
      <c r="AH53" s="308">
        <v>0</v>
      </c>
      <c r="AI53" s="308">
        <v>0</v>
      </c>
      <c r="AJ53" s="308">
        <f t="shared" ca="1" si="6"/>
        <v>828828.85189992201</v>
      </c>
      <c r="AK53" s="309">
        <v>0</v>
      </c>
      <c r="AL53" s="309">
        <f t="shared" si="26"/>
        <v>0</v>
      </c>
      <c r="AM53" s="309">
        <f t="shared" si="19"/>
        <v>0</v>
      </c>
      <c r="AN53" s="310">
        <v>0</v>
      </c>
      <c r="AO53" s="310">
        <f t="shared" si="27"/>
        <v>-21000</v>
      </c>
      <c r="AP53" s="310">
        <f t="shared" si="20"/>
        <v>-21000</v>
      </c>
      <c r="AQ53" s="309">
        <v>0</v>
      </c>
      <c r="AR53" s="311">
        <f t="shared" ca="1" si="7"/>
        <v>1347336.2639680747</v>
      </c>
      <c r="AS53" s="870">
        <f t="shared" ca="1" si="21"/>
        <v>31958433.980209805</v>
      </c>
      <c r="AT53" s="822"/>
      <c r="AU53" s="878"/>
      <c r="AV53" s="35"/>
      <c r="AW53" s="879"/>
      <c r="AX53" s="35"/>
      <c r="AY53" s="880"/>
    </row>
    <row r="54" spans="1:51">
      <c r="A54" s="303">
        <v>2045</v>
      </c>
      <c r="B54" s="304">
        <f ca="1">IF($D$3="BAU",UtilityDemand!C47,INDIRECT($D$3&amp;"!B"&amp;ROW(A54))+INDIRECT($D$3&amp;"!D"&amp;ROW(A54)))</f>
        <v>101116.09256775503</v>
      </c>
      <c r="C54" s="305">
        <f t="shared" ca="1" si="22"/>
        <v>-8.1391594463416497E-2</v>
      </c>
      <c r="D54" s="306">
        <f t="shared" ca="1" si="23"/>
        <v>-8230</v>
      </c>
      <c r="E54" s="304">
        <f ca="1">IF($D$3="BAU",UtilityDemand!E47,INDIRECT($D$3&amp;"!E"&amp;ROW(D54))+INDIRECT($D$3&amp;"!G"&amp;ROW(D54)))</f>
        <v>469138.89976246236</v>
      </c>
      <c r="F54" s="305">
        <f t="shared" ca="1" si="24"/>
        <v>0</v>
      </c>
      <c r="G54" s="306">
        <f t="shared" ca="1" si="8"/>
        <v>0</v>
      </c>
      <c r="H54" s="304">
        <f ca="1">IF($D$3="BAU",UtilityDemand!G47,INDIRECT($D$3&amp;"!H"&amp;ROW(G54))+INDIRECT($D$3&amp;"!J"&amp;ROW(G54)))</f>
        <v>170458.69190010344</v>
      </c>
      <c r="I54" s="305">
        <f t="shared" ca="1" si="25"/>
        <v>0</v>
      </c>
      <c r="J54" s="306">
        <f t="shared" ca="1" si="9"/>
        <v>0</v>
      </c>
      <c r="K54" s="307">
        <f t="shared" ca="1" si="10"/>
        <v>92886.092567755026</v>
      </c>
      <c r="L54" s="307">
        <f t="shared" si="11"/>
        <v>0</v>
      </c>
      <c r="M54" s="307">
        <v>0</v>
      </c>
      <c r="N54" s="307">
        <f t="shared" ca="1" si="12"/>
        <v>92886.092567755026</v>
      </c>
      <c r="O54" s="1494">
        <f t="shared" ca="1" si="13"/>
        <v>469138.89976246236</v>
      </c>
      <c r="P54" s="306">
        <f t="shared" si="14"/>
        <v>0</v>
      </c>
      <c r="Q54" s="306">
        <v>0</v>
      </c>
      <c r="R54" s="306">
        <f t="shared" ca="1" si="15"/>
        <v>469138.89976246236</v>
      </c>
      <c r="S54" s="818">
        <f t="shared" ca="1" si="16"/>
        <v>170458.69190010344</v>
      </c>
      <c r="T54" s="818">
        <f t="shared" si="17"/>
        <v>0</v>
      </c>
      <c r="U54" s="818">
        <v>0</v>
      </c>
      <c r="V54" s="818">
        <f t="shared" ca="1" si="18"/>
        <v>170458.69190010344</v>
      </c>
      <c r="W54" s="306">
        <f t="shared" si="1"/>
        <v>0</v>
      </c>
      <c r="X54" s="306">
        <f t="shared" ca="1" si="2"/>
        <v>-5845.4128478032089</v>
      </c>
      <c r="Y54" s="306">
        <v>0</v>
      </c>
      <c r="Z54" s="306">
        <v>0</v>
      </c>
      <c r="AA54" s="308">
        <f ca="1">-SUM(W54,X54/OFFSET(GridFootprintbyYear,$A54-$A$19,0)*EF_PurchElec_MTperMWh,Z54)*OFFSET(ExposureCalculations!Price_GHG_Allowance_2010,A54-$A$19,0)*ExposureCalculations!D51</f>
        <v>567262.81739869097</v>
      </c>
      <c r="AB54" s="308">
        <f t="shared" ca="1" si="3"/>
        <v>832972.99615942151</v>
      </c>
      <c r="AC54" s="308">
        <v>0</v>
      </c>
      <c r="AD54" s="819">
        <f t="shared" ca="1" si="4"/>
        <v>0</v>
      </c>
      <c r="AE54" s="308">
        <v>0</v>
      </c>
      <c r="AF54" s="819">
        <f t="shared" ca="1" si="5"/>
        <v>0</v>
      </c>
      <c r="AG54" s="308">
        <v>0</v>
      </c>
      <c r="AH54" s="308">
        <v>0</v>
      </c>
      <c r="AI54" s="308">
        <v>0</v>
      </c>
      <c r="AJ54" s="308">
        <f t="shared" ca="1" si="6"/>
        <v>832972.99615942151</v>
      </c>
      <c r="AK54" s="309">
        <v>0</v>
      </c>
      <c r="AL54" s="309">
        <f t="shared" si="26"/>
        <v>0</v>
      </c>
      <c r="AM54" s="309">
        <f t="shared" si="19"/>
        <v>0</v>
      </c>
      <c r="AN54" s="310">
        <v>0</v>
      </c>
      <c r="AO54" s="310">
        <f t="shared" si="27"/>
        <v>-21000</v>
      </c>
      <c r="AP54" s="310">
        <f t="shared" si="20"/>
        <v>-21000</v>
      </c>
      <c r="AQ54" s="309">
        <v>0</v>
      </c>
      <c r="AR54" s="311">
        <f t="shared" ca="1" si="7"/>
        <v>1379235.8135581124</v>
      </c>
      <c r="AS54" s="870">
        <f t="shared" ca="1" si="21"/>
        <v>33337669.793767918</v>
      </c>
      <c r="AT54" s="822"/>
      <c r="AU54" s="878"/>
      <c r="AV54" s="35"/>
      <c r="AW54" s="879"/>
      <c r="AX54" s="35"/>
      <c r="AY54" s="880"/>
    </row>
    <row r="55" spans="1:51">
      <c r="A55" s="303">
        <v>2046</v>
      </c>
      <c r="B55" s="304">
        <f ca="1">IF($D$3="BAU",UtilityDemand!C48,INDIRECT($D$3&amp;"!B"&amp;ROW(A55))+INDIRECT($D$3&amp;"!D"&amp;ROW(A55)))</f>
        <v>100986.93882737853</v>
      </c>
      <c r="C55" s="305">
        <f t="shared" ca="1" si="22"/>
        <v>-8.1495687418230447E-2</v>
      </c>
      <c r="D55" s="306">
        <f t="shared" ca="1" si="23"/>
        <v>-8230</v>
      </c>
      <c r="E55" s="304">
        <f ca="1">IF($D$3="BAU",UtilityDemand!E48,INDIRECT($D$3&amp;"!E"&amp;ROW(D55))+INDIRECT($D$3&amp;"!G"&amp;ROW(D55)))</f>
        <v>468462.44583919737</v>
      </c>
      <c r="F55" s="305">
        <f t="shared" ca="1" si="24"/>
        <v>0</v>
      </c>
      <c r="G55" s="306">
        <f t="shared" ca="1" si="8"/>
        <v>0</v>
      </c>
      <c r="H55" s="304">
        <f ca="1">IF($D$3="BAU",UtilityDemand!G48,INDIRECT($D$3&amp;"!H"&amp;ROW(G55))+INDIRECT($D$3&amp;"!J"&amp;ROW(G55)))</f>
        <v>171272.0958845623</v>
      </c>
      <c r="I55" s="305">
        <f t="shared" ca="1" si="25"/>
        <v>0</v>
      </c>
      <c r="J55" s="306">
        <f t="shared" ca="1" si="9"/>
        <v>0</v>
      </c>
      <c r="K55" s="307">
        <f t="shared" ca="1" si="10"/>
        <v>92756.93882737853</v>
      </c>
      <c r="L55" s="307">
        <f t="shared" si="11"/>
        <v>0</v>
      </c>
      <c r="M55" s="307">
        <v>0</v>
      </c>
      <c r="N55" s="307">
        <f t="shared" ca="1" si="12"/>
        <v>92756.93882737853</v>
      </c>
      <c r="O55" s="1494">
        <f t="shared" ca="1" si="13"/>
        <v>468462.44583919737</v>
      </c>
      <c r="P55" s="306">
        <f t="shared" si="14"/>
        <v>0</v>
      </c>
      <c r="Q55" s="306">
        <v>0</v>
      </c>
      <c r="R55" s="306">
        <f t="shared" ca="1" si="15"/>
        <v>468462.44583919737</v>
      </c>
      <c r="S55" s="818">
        <f t="shared" ca="1" si="16"/>
        <v>171272.0958845623</v>
      </c>
      <c r="T55" s="818">
        <f t="shared" si="17"/>
        <v>0</v>
      </c>
      <c r="U55" s="818">
        <v>0</v>
      </c>
      <c r="V55" s="818">
        <f t="shared" ca="1" si="18"/>
        <v>171272.0958845623</v>
      </c>
      <c r="W55" s="306">
        <f t="shared" si="1"/>
        <v>0</v>
      </c>
      <c r="X55" s="306">
        <f t="shared" ca="1" si="2"/>
        <v>-5845.4128478032089</v>
      </c>
      <c r="Y55" s="306">
        <v>0</v>
      </c>
      <c r="Z55" s="306">
        <v>0</v>
      </c>
      <c r="AA55" s="308">
        <f ca="1">-SUM(W55,X55/OFFSET(GridFootprintbyYear,$A55-$A$19,0)*EF_PurchElec_MTperMWh,Z55)*OFFSET(ExposureCalculations!Price_GHG_Allowance_2010,A55-$A$19,0)*ExposureCalculations!D52</f>
        <v>596881.88446648733</v>
      </c>
      <c r="AB55" s="308">
        <f t="shared" ca="1" si="3"/>
        <v>837137.86114021833</v>
      </c>
      <c r="AC55" s="308">
        <v>0</v>
      </c>
      <c r="AD55" s="819">
        <f t="shared" ca="1" si="4"/>
        <v>0</v>
      </c>
      <c r="AE55" s="308">
        <v>0</v>
      </c>
      <c r="AF55" s="819">
        <f t="shared" ca="1" si="5"/>
        <v>0</v>
      </c>
      <c r="AG55" s="308">
        <v>0</v>
      </c>
      <c r="AH55" s="308">
        <v>0</v>
      </c>
      <c r="AI55" s="308">
        <v>0</v>
      </c>
      <c r="AJ55" s="308">
        <f t="shared" ca="1" si="6"/>
        <v>837137.86114021833</v>
      </c>
      <c r="AK55" s="309">
        <v>0</v>
      </c>
      <c r="AL55" s="309">
        <f t="shared" si="26"/>
        <v>0</v>
      </c>
      <c r="AM55" s="309">
        <f t="shared" si="19"/>
        <v>0</v>
      </c>
      <c r="AN55" s="310">
        <v>0</v>
      </c>
      <c r="AO55" s="310">
        <f t="shared" si="27"/>
        <v>-21000</v>
      </c>
      <c r="AP55" s="310">
        <f t="shared" si="20"/>
        <v>-21000</v>
      </c>
      <c r="AQ55" s="309">
        <v>0</v>
      </c>
      <c r="AR55" s="311">
        <f t="shared" ca="1" si="7"/>
        <v>1413019.7456067055</v>
      </c>
      <c r="AS55" s="870">
        <f t="shared" ca="1" si="21"/>
        <v>34750689.53937462</v>
      </c>
      <c r="AT55" s="822"/>
      <c r="AU55" s="878"/>
      <c r="AV55" s="35"/>
      <c r="AW55" s="879"/>
      <c r="AX55" s="35"/>
      <c r="AY55" s="880"/>
    </row>
    <row r="56" spans="1:51">
      <c r="A56" s="303">
        <v>2047</v>
      </c>
      <c r="B56" s="304">
        <f ca="1">IF($D$3="BAU",UtilityDemand!C49,INDIRECT($D$3&amp;"!B"&amp;ROW(A56))+INDIRECT($D$3&amp;"!D"&amp;ROW(A56)))</f>
        <v>100857.2055782747</v>
      </c>
      <c r="C56" s="305">
        <f t="shared" ca="1" si="22"/>
        <v>-8.1600515826434863E-2</v>
      </c>
      <c r="D56" s="306">
        <f t="shared" ca="1" si="23"/>
        <v>-8230</v>
      </c>
      <c r="E56" s="304">
        <f ca="1">IF($D$3="BAU",UtilityDemand!E49,INDIRECT($D$3&amp;"!E"&amp;ROW(D56))+INDIRECT($D$3&amp;"!G"&amp;ROW(D56)))</f>
        <v>467785.99191593239</v>
      </c>
      <c r="F56" s="305">
        <f t="shared" ca="1" si="24"/>
        <v>0</v>
      </c>
      <c r="G56" s="306">
        <f t="shared" ca="1" si="8"/>
        <v>0</v>
      </c>
      <c r="H56" s="304">
        <f ca="1">IF($D$3="BAU",UtilityDemand!G49,INDIRECT($D$3&amp;"!H"&amp;ROW(G56))+INDIRECT($D$3&amp;"!J"&amp;ROW(G56)))</f>
        <v>172084.88985983457</v>
      </c>
      <c r="I56" s="305">
        <f t="shared" ca="1" si="25"/>
        <v>0</v>
      </c>
      <c r="J56" s="306">
        <f t="shared" ca="1" si="9"/>
        <v>0</v>
      </c>
      <c r="K56" s="307">
        <f t="shared" ca="1" si="10"/>
        <v>92627.205578274705</v>
      </c>
      <c r="L56" s="307">
        <f t="shared" si="11"/>
        <v>0</v>
      </c>
      <c r="M56" s="307">
        <v>0</v>
      </c>
      <c r="N56" s="307">
        <f t="shared" ca="1" si="12"/>
        <v>92627.205578274705</v>
      </c>
      <c r="O56" s="1494">
        <f t="shared" ca="1" si="13"/>
        <v>467785.99191593239</v>
      </c>
      <c r="P56" s="306">
        <f t="shared" si="14"/>
        <v>0</v>
      </c>
      <c r="Q56" s="306">
        <v>0</v>
      </c>
      <c r="R56" s="306">
        <f t="shared" ca="1" si="15"/>
        <v>467785.99191593239</v>
      </c>
      <c r="S56" s="818">
        <f t="shared" ca="1" si="16"/>
        <v>172084.88985983457</v>
      </c>
      <c r="T56" s="818">
        <f t="shared" si="17"/>
        <v>0</v>
      </c>
      <c r="U56" s="818">
        <v>0</v>
      </c>
      <c r="V56" s="818">
        <f t="shared" ca="1" si="18"/>
        <v>172084.88985983457</v>
      </c>
      <c r="W56" s="306">
        <f t="shared" si="1"/>
        <v>0</v>
      </c>
      <c r="X56" s="306">
        <f t="shared" ca="1" si="2"/>
        <v>-5845.4128478032089</v>
      </c>
      <c r="Y56" s="306">
        <v>0</v>
      </c>
      <c r="Z56" s="306">
        <v>0</v>
      </c>
      <c r="AA56" s="308">
        <f ca="1">-SUM(W56,X56/OFFSET(GridFootprintbyYear,$A56-$A$19,0)*EF_PurchElec_MTperMWh,Z56)*OFFSET(ExposureCalculations!Price_GHG_Allowance_2010,A56-$A$19,0)*ExposureCalculations!D53</f>
        <v>628597.85294469225</v>
      </c>
      <c r="AB56" s="308">
        <f t="shared" ca="1" si="3"/>
        <v>841323.55044591927</v>
      </c>
      <c r="AC56" s="308">
        <v>0</v>
      </c>
      <c r="AD56" s="819">
        <f t="shared" ca="1" si="4"/>
        <v>0</v>
      </c>
      <c r="AE56" s="308">
        <v>0</v>
      </c>
      <c r="AF56" s="819">
        <f t="shared" ca="1" si="5"/>
        <v>0</v>
      </c>
      <c r="AG56" s="308">
        <v>0</v>
      </c>
      <c r="AH56" s="308">
        <v>0</v>
      </c>
      <c r="AI56" s="308">
        <v>0</v>
      </c>
      <c r="AJ56" s="308">
        <f t="shared" ca="1" si="6"/>
        <v>841323.55044591927</v>
      </c>
      <c r="AK56" s="309">
        <v>0</v>
      </c>
      <c r="AL56" s="309">
        <f t="shared" si="26"/>
        <v>0</v>
      </c>
      <c r="AM56" s="309">
        <f t="shared" si="19"/>
        <v>0</v>
      </c>
      <c r="AN56" s="310">
        <v>0</v>
      </c>
      <c r="AO56" s="310">
        <f t="shared" si="27"/>
        <v>-21000</v>
      </c>
      <c r="AP56" s="310">
        <f t="shared" si="20"/>
        <v>-21000</v>
      </c>
      <c r="AQ56" s="309">
        <v>0</v>
      </c>
      <c r="AR56" s="311">
        <f t="shared" ca="1" si="7"/>
        <v>1448921.4033906115</v>
      </c>
      <c r="AS56" s="870">
        <f t="shared" ca="1" si="21"/>
        <v>36199610.942765228</v>
      </c>
      <c r="AT56" s="822"/>
      <c r="AU56" s="878"/>
      <c r="AV56" s="35"/>
      <c r="AW56" s="879"/>
      <c r="AX56" s="35"/>
      <c r="AY56" s="880"/>
    </row>
    <row r="57" spans="1:51">
      <c r="A57" s="303">
        <v>2048</v>
      </c>
      <c r="B57" s="304">
        <f ca="1">IF($D$3="BAU",UtilityDemand!C50,INDIRECT($D$3&amp;"!B"&amp;ROW(A57))+INDIRECT($D$3&amp;"!D"&amp;ROW(A57)))</f>
        <v>100726.90702159166</v>
      </c>
      <c r="C57" s="305">
        <f t="shared" ca="1" si="22"/>
        <v>-8.1706072819607484E-2</v>
      </c>
      <c r="D57" s="306">
        <f t="shared" ca="1" si="23"/>
        <v>-8230</v>
      </c>
      <c r="E57" s="304">
        <f ca="1">IF($D$3="BAU",UtilityDemand!E50,INDIRECT($D$3&amp;"!E"&amp;ROW(D57))+INDIRECT($D$3&amp;"!G"&amp;ROW(D57)))</f>
        <v>467109.53799266741</v>
      </c>
      <c r="F57" s="305">
        <f t="shared" ca="1" si="24"/>
        <v>0</v>
      </c>
      <c r="G57" s="306">
        <f t="shared" ca="1" si="8"/>
        <v>0</v>
      </c>
      <c r="H57" s="304">
        <f ca="1">IF($D$3="BAU",UtilityDemand!G50,INDIRECT($D$3&amp;"!H"&amp;ROW(G57))+INDIRECT($D$3&amp;"!J"&amp;ROW(G57)))</f>
        <v>172897.08877449707</v>
      </c>
      <c r="I57" s="305">
        <f t="shared" ca="1" si="25"/>
        <v>0</v>
      </c>
      <c r="J57" s="306">
        <f t="shared" ca="1" si="9"/>
        <v>0</v>
      </c>
      <c r="K57" s="307">
        <f t="shared" ca="1" si="10"/>
        <v>92496.907021591658</v>
      </c>
      <c r="L57" s="307">
        <f t="shared" si="11"/>
        <v>0</v>
      </c>
      <c r="M57" s="307">
        <v>0</v>
      </c>
      <c r="N57" s="307">
        <f t="shared" ca="1" si="12"/>
        <v>92496.907021591658</v>
      </c>
      <c r="O57" s="1494">
        <f t="shared" ca="1" si="13"/>
        <v>467109.53799266741</v>
      </c>
      <c r="P57" s="306">
        <f t="shared" si="14"/>
        <v>0</v>
      </c>
      <c r="Q57" s="306">
        <v>0</v>
      </c>
      <c r="R57" s="306">
        <f t="shared" ca="1" si="15"/>
        <v>467109.53799266741</v>
      </c>
      <c r="S57" s="818">
        <f t="shared" ca="1" si="16"/>
        <v>172897.08877449707</v>
      </c>
      <c r="T57" s="818">
        <f t="shared" si="17"/>
        <v>0</v>
      </c>
      <c r="U57" s="818">
        <v>0</v>
      </c>
      <c r="V57" s="818">
        <f t="shared" ca="1" si="18"/>
        <v>172897.08877449707</v>
      </c>
      <c r="W57" s="306">
        <f t="shared" si="1"/>
        <v>0</v>
      </c>
      <c r="X57" s="306">
        <f t="shared" ca="1" si="2"/>
        <v>-5845.4128478032089</v>
      </c>
      <c r="Y57" s="306">
        <v>0</v>
      </c>
      <c r="Z57" s="306">
        <v>0</v>
      </c>
      <c r="AA57" s="308">
        <f ca="1">-SUM(W57,X57/OFFSET(GridFootprintbyYear,$A57-$A$19,0)*EF_PurchElec_MTperMWh,Z57)*OFFSET(ExposureCalculations!Price_GHG_Allowance_2010,A57-$A$19,0)*ExposureCalculations!D54</f>
        <v>662663.56835542654</v>
      </c>
      <c r="AB57" s="308">
        <f t="shared" ca="1" si="3"/>
        <v>845530.16819814884</v>
      </c>
      <c r="AC57" s="308">
        <v>0</v>
      </c>
      <c r="AD57" s="819">
        <f t="shared" ca="1" si="4"/>
        <v>0</v>
      </c>
      <c r="AE57" s="308">
        <v>0</v>
      </c>
      <c r="AF57" s="819">
        <f t="shared" ca="1" si="5"/>
        <v>0</v>
      </c>
      <c r="AG57" s="308">
        <v>0</v>
      </c>
      <c r="AH57" s="308">
        <v>0</v>
      </c>
      <c r="AI57" s="308">
        <v>0</v>
      </c>
      <c r="AJ57" s="308">
        <f t="shared" ca="1" si="6"/>
        <v>845530.16819814884</v>
      </c>
      <c r="AK57" s="309">
        <v>0</v>
      </c>
      <c r="AL57" s="309">
        <f t="shared" si="26"/>
        <v>0</v>
      </c>
      <c r="AM57" s="309">
        <f t="shared" si="19"/>
        <v>0</v>
      </c>
      <c r="AN57" s="310">
        <v>0</v>
      </c>
      <c r="AO57" s="310">
        <f t="shared" si="27"/>
        <v>-21000</v>
      </c>
      <c r="AP57" s="310">
        <f t="shared" si="20"/>
        <v>-21000</v>
      </c>
      <c r="AQ57" s="309">
        <v>0</v>
      </c>
      <c r="AR57" s="311">
        <f t="shared" ca="1" si="7"/>
        <v>1487193.7365535754</v>
      </c>
      <c r="AS57" s="870">
        <f t="shared" ca="1" si="21"/>
        <v>37686804.679318801</v>
      </c>
      <c r="AT57" s="822"/>
      <c r="AU57" s="878"/>
      <c r="AV57" s="35"/>
      <c r="AW57" s="879"/>
      <c r="AX57" s="35"/>
      <c r="AY57" s="880"/>
    </row>
    <row r="58" spans="1:51">
      <c r="A58" s="303">
        <v>2049</v>
      </c>
      <c r="B58" s="304">
        <f ca="1">IF($D$3="BAU",UtilityDemand!C51,INDIRECT($D$3&amp;"!B"&amp;ROW(A58))+INDIRECT($D$3&amp;"!D"&amp;ROW(A58)))</f>
        <v>100596.05689822866</v>
      </c>
      <c r="C58" s="305">
        <f t="shared" ca="1" si="22"/>
        <v>-8.181235183329455E-2</v>
      </c>
      <c r="D58" s="306">
        <f t="shared" ca="1" si="23"/>
        <v>-8230</v>
      </c>
      <c r="E58" s="304">
        <f ca="1">IF($D$3="BAU",UtilityDemand!E51,INDIRECT($D$3&amp;"!E"&amp;ROW(D58))+INDIRECT($D$3&amp;"!G"&amp;ROW(D58)))</f>
        <v>466433.08406940266</v>
      </c>
      <c r="F58" s="305">
        <f t="shared" ca="1" si="24"/>
        <v>0</v>
      </c>
      <c r="G58" s="306">
        <f t="shared" ca="1" si="8"/>
        <v>0</v>
      </c>
      <c r="H58" s="304">
        <f ca="1">IF($D$3="BAU",UtilityDemand!G51,INDIRECT($D$3&amp;"!H"&amp;ROW(G58))+INDIRECT($D$3&amp;"!J"&amp;ROW(G58)))</f>
        <v>173708.7070926544</v>
      </c>
      <c r="I58" s="305">
        <f t="shared" ca="1" si="25"/>
        <v>0</v>
      </c>
      <c r="J58" s="306">
        <f t="shared" ca="1" si="9"/>
        <v>0</v>
      </c>
      <c r="K58" s="307">
        <f t="shared" ca="1" si="10"/>
        <v>92366.056898228664</v>
      </c>
      <c r="L58" s="307">
        <f t="shared" si="11"/>
        <v>0</v>
      </c>
      <c r="M58" s="307">
        <v>0</v>
      </c>
      <c r="N58" s="307">
        <f t="shared" ca="1" si="12"/>
        <v>92366.056898228664</v>
      </c>
      <c r="O58" s="1494">
        <f t="shared" ca="1" si="13"/>
        <v>466433.08406940266</v>
      </c>
      <c r="P58" s="306">
        <f t="shared" si="14"/>
        <v>0</v>
      </c>
      <c r="Q58" s="306">
        <v>0</v>
      </c>
      <c r="R58" s="306">
        <f t="shared" ca="1" si="15"/>
        <v>466433.08406940266</v>
      </c>
      <c r="S58" s="818">
        <f t="shared" ca="1" si="16"/>
        <v>173708.7070926544</v>
      </c>
      <c r="T58" s="818">
        <f t="shared" si="17"/>
        <v>0</v>
      </c>
      <c r="U58" s="818">
        <v>0</v>
      </c>
      <c r="V58" s="818">
        <f t="shared" ca="1" si="18"/>
        <v>173708.7070926544</v>
      </c>
      <c r="W58" s="306">
        <f t="shared" si="1"/>
        <v>0</v>
      </c>
      <c r="X58" s="306">
        <f t="shared" ca="1" si="2"/>
        <v>-5845.4128478032089</v>
      </c>
      <c r="Y58" s="306">
        <v>0</v>
      </c>
      <c r="Z58" s="306">
        <v>0</v>
      </c>
      <c r="AA58" s="308">
        <f ca="1">-SUM(W58,X58/OFFSET(GridFootprintbyYear,$A58-$A$19,0)*EF_PurchElec_MTperMWh,Z58)*OFFSET(ExposureCalculations!Price_GHG_Allowance_2010,A58-$A$19,0)*ExposureCalculations!D55</f>
        <v>699349.42542628758</v>
      </c>
      <c r="AB58" s="308">
        <f t="shared" ca="1" si="3"/>
        <v>849757.81903913943</v>
      </c>
      <c r="AC58" s="308">
        <v>0</v>
      </c>
      <c r="AD58" s="819">
        <f t="shared" ca="1" si="4"/>
        <v>0</v>
      </c>
      <c r="AE58" s="308">
        <v>0</v>
      </c>
      <c r="AF58" s="819">
        <f t="shared" ca="1" si="5"/>
        <v>0</v>
      </c>
      <c r="AG58" s="308">
        <v>0</v>
      </c>
      <c r="AH58" s="308">
        <v>0</v>
      </c>
      <c r="AI58" s="308">
        <v>0</v>
      </c>
      <c r="AJ58" s="308">
        <f t="shared" ca="1" si="6"/>
        <v>849757.81903913943</v>
      </c>
      <c r="AK58" s="309">
        <v>0</v>
      </c>
      <c r="AL58" s="309">
        <f t="shared" si="26"/>
        <v>0</v>
      </c>
      <c r="AM58" s="309">
        <f t="shared" si="19"/>
        <v>0</v>
      </c>
      <c r="AN58" s="310">
        <v>0</v>
      </c>
      <c r="AO58" s="310">
        <f t="shared" si="27"/>
        <v>-21000</v>
      </c>
      <c r="AP58" s="310">
        <f t="shared" si="20"/>
        <v>-21000</v>
      </c>
      <c r="AQ58" s="309">
        <v>0</v>
      </c>
      <c r="AR58" s="311">
        <f t="shared" ca="1" si="7"/>
        <v>1528107.244465427</v>
      </c>
      <c r="AS58" s="870">
        <f t="shared" ca="1" si="21"/>
        <v>39214911.923784226</v>
      </c>
      <c r="AT58" s="822"/>
      <c r="AU58" s="878"/>
      <c r="AV58" s="35"/>
      <c r="AW58" s="879"/>
      <c r="AX58" s="35"/>
      <c r="AY58" s="880"/>
    </row>
    <row r="59" spans="1:51">
      <c r="A59" s="303">
        <v>2050</v>
      </c>
      <c r="B59" s="304">
        <f ca="1">IF($D$3="BAU",UtilityDemand!C52,INDIRECT($D$3&amp;"!B"&amp;ROW(A59))+INDIRECT($D$3&amp;"!D"&amp;ROW(A59)))</f>
        <v>100464.66850733204</v>
      </c>
      <c r="C59" s="305">
        <f t="shared" ca="1" si="22"/>
        <v>-8.1919346594961029E-2</v>
      </c>
      <c r="D59" s="306">
        <f t="shared" ca="1" si="23"/>
        <v>-8230</v>
      </c>
      <c r="E59" s="304">
        <f ca="1">IF($D$3="BAU",UtilityDemand!E52,INDIRECT($D$3&amp;"!E"&amp;ROW(D59))+INDIRECT($D$3&amp;"!G"&amp;ROW(D59)))</f>
        <v>465756.6301461379</v>
      </c>
      <c r="F59" s="305">
        <f t="shared" ca="1" si="24"/>
        <v>0</v>
      </c>
      <c r="G59" s="306">
        <f t="shared" ca="1" si="8"/>
        <v>0</v>
      </c>
      <c r="H59" s="304">
        <f ca="1">IF($D$3="BAU",UtilityDemand!G52,INDIRECT($D$3&amp;"!H"&amp;ROW(G59))+INDIRECT($D$3&amp;"!J"&amp;ROW(G59)))</f>
        <v>174519.75881340788</v>
      </c>
      <c r="I59" s="305">
        <f t="shared" ca="1" si="25"/>
        <v>0</v>
      </c>
      <c r="J59" s="306">
        <f t="shared" ca="1" si="9"/>
        <v>0</v>
      </c>
      <c r="K59" s="307">
        <f t="shared" ca="1" si="10"/>
        <v>92234.66850733204</v>
      </c>
      <c r="L59" s="307">
        <f t="shared" si="11"/>
        <v>0</v>
      </c>
      <c r="M59" s="307">
        <v>0</v>
      </c>
      <c r="N59" s="307">
        <f t="shared" ca="1" si="12"/>
        <v>92234.66850733204</v>
      </c>
      <c r="O59" s="1494">
        <f t="shared" ca="1" si="13"/>
        <v>465756.6301461379</v>
      </c>
      <c r="P59" s="306">
        <f t="shared" si="14"/>
        <v>0</v>
      </c>
      <c r="Q59" s="306">
        <v>0</v>
      </c>
      <c r="R59" s="306">
        <f t="shared" ca="1" si="15"/>
        <v>465756.6301461379</v>
      </c>
      <c r="S59" s="818">
        <f t="shared" ca="1" si="16"/>
        <v>174519.75881340788</v>
      </c>
      <c r="T59" s="818">
        <f t="shared" si="17"/>
        <v>0</v>
      </c>
      <c r="U59" s="818">
        <v>0</v>
      </c>
      <c r="V59" s="818">
        <f t="shared" ca="1" si="18"/>
        <v>174519.75881340788</v>
      </c>
      <c r="W59" s="306">
        <f t="shared" si="1"/>
        <v>0</v>
      </c>
      <c r="X59" s="306">
        <f t="shared" ca="1" si="2"/>
        <v>-5845.4128478032089</v>
      </c>
      <c r="Y59" s="306">
        <v>0</v>
      </c>
      <c r="Z59" s="306">
        <v>0</v>
      </c>
      <c r="AA59" s="308">
        <f ca="1">-SUM(W59,X59/OFFSET(GridFootprintbyYear,$A59-$A$19,0)*EF_PurchElec_MTperMWh,Z59)*OFFSET(ExposureCalculations!Price_GHG_Allowance_2010,A59-$A$19,0)*ExposureCalculations!D56</f>
        <v>738941.34116319322</v>
      </c>
      <c r="AB59" s="308">
        <f t="shared" ca="1" si="3"/>
        <v>854006.60813433502</v>
      </c>
      <c r="AC59" s="308">
        <v>0</v>
      </c>
      <c r="AD59" s="819">
        <f t="shared" ca="1" si="4"/>
        <v>0</v>
      </c>
      <c r="AE59" s="308">
        <v>0</v>
      </c>
      <c r="AF59" s="819">
        <f t="shared" ca="1" si="5"/>
        <v>0</v>
      </c>
      <c r="AG59" s="308">
        <v>0</v>
      </c>
      <c r="AH59" s="308">
        <v>0</v>
      </c>
      <c r="AI59" s="308">
        <v>0</v>
      </c>
      <c r="AJ59" s="308">
        <f t="shared" ca="1" si="6"/>
        <v>854006.60813433502</v>
      </c>
      <c r="AK59" s="309">
        <v>0</v>
      </c>
      <c r="AL59" s="309">
        <f t="shared" si="26"/>
        <v>0</v>
      </c>
      <c r="AM59" s="309">
        <f t="shared" si="19"/>
        <v>0</v>
      </c>
      <c r="AN59" s="310">
        <v>0</v>
      </c>
      <c r="AO59" s="310">
        <f t="shared" si="27"/>
        <v>-21000</v>
      </c>
      <c r="AP59" s="310">
        <f t="shared" si="20"/>
        <v>-21000</v>
      </c>
      <c r="AQ59" s="309">
        <v>0</v>
      </c>
      <c r="AR59" s="311">
        <f t="shared" ca="1" si="7"/>
        <v>1571947.9492975282</v>
      </c>
      <c r="AS59" s="870">
        <f t="shared" ca="1" si="21"/>
        <v>40786859.873081751</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sheetPr codeName="Sheet29">
    <tabColor rgb="FFA9DA74"/>
  </sheetPr>
  <dimension ref="A1:DY84"/>
  <sheetViews>
    <sheetView workbookViewId="0">
      <pane xSplit="1" topLeftCell="B1" activePane="topRight" state="frozen"/>
      <selection activeCell="B1" sqref="B1"/>
      <selection pane="topRight" activeCell="O3" sqref="O3:O7"/>
    </sheetView>
  </sheetViews>
  <sheetFormatPr defaultRowHeight="15"/>
  <cols>
    <col min="4" max="4" width="10.85546875" bestFit="1" customWidth="1"/>
    <col min="11" max="11" width="12.5703125" bestFit="1" customWidth="1"/>
    <col min="12" max="12" width="12.85546875" customWidth="1"/>
    <col min="13" max="13" width="12.42578125" customWidth="1"/>
    <col min="15" max="15" width="13.5703125" style="37" bestFit="1" customWidth="1"/>
    <col min="27" max="28" width="10.85546875" bestFit="1" customWidth="1"/>
    <col min="32" max="33" width="11.5703125" bestFit="1" customWidth="1"/>
    <col min="35" max="36" width="13" customWidth="1"/>
    <col min="38" max="39" width="11.5703125" bestFit="1" customWidth="1"/>
    <col min="40" max="40" width="12.42578125" customWidth="1"/>
    <col min="44" max="44" width="11.5703125" bestFit="1" customWidth="1"/>
    <col min="45" max="45" width="13.7109375" bestFit="1" customWidth="1"/>
    <col min="46" max="46" width="1.7109375" customWidth="1"/>
    <col min="47" max="47" width="14.5703125" bestFit="1" customWidth="1"/>
    <col min="50" max="50" width="9.28515625" bestFit="1" customWidth="1"/>
    <col min="51" max="51" width="10.5703125" customWidth="1"/>
    <col min="55" max="55" width="12.5703125" bestFit="1" customWidth="1"/>
    <col min="62" max="63" width="13.5703125" bestFit="1" customWidth="1"/>
    <col min="64" max="64" width="14.5703125" bestFit="1" customWidth="1"/>
    <col min="67" max="71" width="11" customWidth="1"/>
    <col min="72" max="72" width="2" customWidth="1"/>
    <col min="73" max="73" width="11" customWidth="1"/>
    <col min="74" max="74" width="1.85546875" customWidth="1"/>
    <col min="77" max="77" width="2" customWidth="1"/>
    <col min="80" max="80" width="11.85546875" bestFit="1" customWidth="1"/>
    <col min="83" max="83" width="12" customWidth="1"/>
  </cols>
  <sheetData>
    <row r="1" spans="1:87" ht="60">
      <c r="C1" s="257" t="s">
        <v>226</v>
      </c>
      <c r="D1" s="258" t="s">
        <v>962</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87">
      <c r="C2" s="257" t="s">
        <v>230</v>
      </c>
      <c r="D2" s="265">
        <v>2011</v>
      </c>
      <c r="E2" s="266"/>
      <c r="J2" s="267" t="s">
        <v>231</v>
      </c>
      <c r="K2" s="268">
        <f ca="1">NPV(DiscountRate,AA19:AA59)</f>
        <v>2444291.9060823512</v>
      </c>
      <c r="L2" s="269">
        <f ca="1">-SUM(OFFSET(W19,0,0,M2-2010+1,4))</f>
        <v>196886.40581716737</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87">
      <c r="A3" s="272"/>
      <c r="B3" s="273"/>
      <c r="C3" s="274" t="s">
        <v>232</v>
      </c>
      <c r="D3" s="1635" t="s">
        <v>233</v>
      </c>
      <c r="E3" s="1635"/>
      <c r="F3" s="1635"/>
      <c r="G3" s="273"/>
      <c r="H3" s="273"/>
      <c r="I3" s="273"/>
      <c r="J3" s="275" t="s">
        <v>234</v>
      </c>
      <c r="K3" s="276">
        <f ca="1">NPV(DiscountRate,AJ19:AJ59)</f>
        <v>12190621.728423417</v>
      </c>
      <c r="L3" s="277" t="s">
        <v>235</v>
      </c>
      <c r="M3" s="278">
        <f ca="1">-SUM(OFFSET(W19,M2-2010,0,1,4))</f>
        <v>5421.6452753228559</v>
      </c>
      <c r="N3" s="272"/>
      <c r="O3" s="1496">
        <f ca="1">AVERAGE(OFFSET(AJ19,0,0,$M$2-2010+1,1))</f>
        <v>1122325.0171582999</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87">
      <c r="A4" s="272"/>
      <c r="B4" s="273"/>
      <c r="C4" s="273"/>
      <c r="D4" s="280" t="s">
        <v>236</v>
      </c>
      <c r="E4" s="273"/>
      <c r="F4" s="272"/>
      <c r="G4" s="272"/>
      <c r="H4" s="272"/>
      <c r="I4" s="273"/>
      <c r="J4" s="275" t="s">
        <v>237</v>
      </c>
      <c r="K4" s="276">
        <f>NPV(DiscountRate,AK19:AK59)</f>
        <v>5230250.9951090943</v>
      </c>
      <c r="L4" s="278">
        <f ca="1">L2/(2050-D2+1)</f>
        <v>4922.160145429184</v>
      </c>
      <c r="M4" s="281">
        <f ca="1">-SUM(OFFSET(W19,M2-2010,0,1,4))/SUM(OFFSET(ExposureCalculations!G16,M2-2010,0,1,3))</f>
        <v>4.9588314487920065E-3</v>
      </c>
      <c r="N4" s="272"/>
      <c r="O4" s="1496">
        <f ca="1">AVERAGE(OFFSET(AK19,0,0,$M$2-2010+1,1))</f>
        <v>268292.68292682926</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87">
      <c r="A5" s="272"/>
      <c r="B5" s="273"/>
      <c r="C5" s="814" t="s">
        <v>649</v>
      </c>
      <c r="D5" s="885" t="s">
        <v>939</v>
      </c>
      <c r="E5" s="273"/>
      <c r="F5" s="272"/>
      <c r="G5" s="272"/>
      <c r="H5" s="272"/>
      <c r="I5" s="273"/>
      <c r="J5" s="275" t="s">
        <v>238</v>
      </c>
      <c r="K5" s="276">
        <f>NPV(DiscountRate,AL19:AL59)</f>
        <v>-1690546.9278276965</v>
      </c>
      <c r="L5" s="277"/>
      <c r="M5" s="272"/>
      <c r="N5" s="272"/>
      <c r="O5" s="1496">
        <f ca="1">AVERAGE(OFFSET(AL19,0,0,$M$2-2010+1,1))</f>
        <v>-50894.289146207397</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87">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87">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87">
      <c r="A8" s="272"/>
      <c r="B8" s="282"/>
      <c r="C8" s="282"/>
      <c r="D8" s="282"/>
      <c r="E8" s="282"/>
      <c r="F8" s="272"/>
      <c r="G8" s="272"/>
      <c r="H8" s="272"/>
      <c r="I8" s="273"/>
      <c r="J8" s="283" t="s">
        <v>241</v>
      </c>
      <c r="K8" s="276">
        <f ca="1">NPV(DiscountRate,AR19:AR59)</f>
        <v>18174617.701787163</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87">
      <c r="A9" s="272"/>
      <c r="B9" s="282"/>
      <c r="C9" s="282"/>
      <c r="D9" s="282"/>
      <c r="E9" s="282"/>
      <c r="F9" s="272"/>
      <c r="G9" s="272"/>
      <c r="H9" s="272"/>
      <c r="I9" s="273"/>
      <c r="J9" s="283" t="s">
        <v>242</v>
      </c>
      <c r="K9" s="286">
        <f ca="1">IFERROR((K8-K5)/-K5,"No Capital")</f>
        <v>11.750732442039345</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87">
      <c r="A10" s="272"/>
      <c r="B10" s="282"/>
      <c r="C10" s="282"/>
      <c r="D10" s="282"/>
      <c r="E10" s="282"/>
      <c r="F10" s="272"/>
      <c r="G10" s="272"/>
      <c r="H10" s="272"/>
      <c r="I10" s="273"/>
      <c r="J10" s="283" t="s">
        <v>243</v>
      </c>
      <c r="K10" s="287">
        <f ca="1">IFERROR(IF(K8&lt;0,"",IRR(AR19:AR59)),"")</f>
        <v>0.8176506747636697</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87">
      <c r="A11" s="272"/>
      <c r="B11" s="282"/>
      <c r="C11" s="282"/>
      <c r="D11" s="282"/>
      <c r="E11" s="282"/>
      <c r="F11" s="272"/>
      <c r="G11" s="272"/>
      <c r="H11" s="272"/>
      <c r="I11" s="273"/>
      <c r="J11" s="283" t="s">
        <v>244</v>
      </c>
      <c r="K11" s="288">
        <f ca="1">IFERROR(COUNTIF(AS19:AS59,"&lt;=0")+1-INDEX(AS19:AS59,COUNTIF(AS19:AS59,"&lt;=0")+1)/INDEX(AR19:AR59,COUNTIF(AS19:AS59,"&lt;=0")+1)-(D2-2010),"Check Calc")</f>
        <v>3.3703663085172817</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87">
      <c r="A12" s="272"/>
      <c r="B12" s="317"/>
      <c r="C12" s="282"/>
      <c r="D12" s="282"/>
      <c r="E12" s="282"/>
      <c r="F12" s="272"/>
      <c r="G12" s="272"/>
      <c r="H12" s="272"/>
      <c r="I12" s="273"/>
      <c r="J12" s="283" t="s">
        <v>245</v>
      </c>
      <c r="K12" s="276">
        <f ca="1">K8-K2</f>
        <v>15730325.795704812</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87">
      <c r="A13" s="272"/>
      <c r="B13" s="282"/>
      <c r="C13" s="282"/>
      <c r="D13" s="282"/>
      <c r="E13" s="282"/>
      <c r="F13" s="272"/>
      <c r="G13" s="272"/>
      <c r="H13" s="272"/>
      <c r="I13" s="273"/>
      <c r="J13" s="275" t="s">
        <v>246</v>
      </c>
      <c r="K13" s="276">
        <f ca="1">IFERROR(IF(L2&lt;0,99999.4,K12/SUM(NPV(DiscountRate,W19:W59),NPV(DiscountRate,X19:X59),NPV(DiscountRate,Y19:Y59),NPV(DiscountRate,Z19:Z59))),"")</f>
        <v>-238.57707316254573</v>
      </c>
      <c r="L13" s="915" t="str">
        <f ca="1">IF(K13&gt;99998,"(Values $99,999 and above indicate net carbon increase)","")</f>
        <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87">
      <c r="A14" s="272"/>
      <c r="B14" s="282"/>
      <c r="C14" s="282"/>
      <c r="D14" s="282"/>
      <c r="E14" s="282"/>
      <c r="F14" s="272"/>
      <c r="G14" s="272"/>
      <c r="H14" s="272"/>
      <c r="I14" s="273"/>
      <c r="J14" s="275" t="s">
        <v>247</v>
      </c>
      <c r="K14" s="276">
        <f ca="1">IFERROR(IF(L2&lt;0,"",-K2/SUM(NPV(DiscountRate,W19:W59),NPV(DiscountRate,X19:X59),NPV(DiscountRate,Y19:Y59),NPV(DiscountRate,Z19:Z59))),"")</f>
        <v>37.071832871208422</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87">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87"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c r="BO16" t="s">
        <v>1539</v>
      </c>
      <c r="CI16" t="s">
        <v>1555</v>
      </c>
    </row>
    <row r="17" spans="1:129"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1550</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O17" s="1209" t="s">
        <v>1443</v>
      </c>
      <c r="BP17" s="1209" t="s">
        <v>1444</v>
      </c>
      <c r="BQ17" s="1209" t="s">
        <v>1446</v>
      </c>
      <c r="BR17" s="1209" t="s">
        <v>1447</v>
      </c>
      <c r="BS17" s="1209" t="s">
        <v>1452</v>
      </c>
      <c r="BT17" s="264"/>
      <c r="BU17" s="966" t="s">
        <v>1377</v>
      </c>
      <c r="BV17" s="264"/>
      <c r="BW17" s="264" t="s">
        <v>1540</v>
      </c>
      <c r="BX17" s="264" t="s">
        <v>1541</v>
      </c>
      <c r="BY17" s="264"/>
      <c r="BZ17" s="264" t="s">
        <v>1380</v>
      </c>
      <c r="CA17" s="264" t="s">
        <v>1381</v>
      </c>
      <c r="CB17" s="264" t="s">
        <v>1448</v>
      </c>
      <c r="CC17" s="264" t="s">
        <v>1449</v>
      </c>
      <c r="CD17" s="264" t="s">
        <v>1450</v>
      </c>
      <c r="CE17" s="264" t="s">
        <v>1451</v>
      </c>
      <c r="CF17" s="264"/>
      <c r="CG17" s="264"/>
      <c r="CH17" s="264"/>
      <c r="CI17" s="264" t="s">
        <v>1556</v>
      </c>
      <c r="CJ17" s="264"/>
      <c r="CK17" s="264"/>
      <c r="CL17" s="264"/>
      <c r="CM17" s="264"/>
    </row>
    <row r="18" spans="1:129">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J18" s="322" t="s">
        <v>1544</v>
      </c>
      <c r="BK18" s="923">
        <v>0.05</v>
      </c>
      <c r="BN18" s="271" t="str">
        <f>A18</f>
        <v>FYE</v>
      </c>
      <c r="BO18" t="s">
        <v>735</v>
      </c>
      <c r="BP18" t="s">
        <v>735</v>
      </c>
      <c r="BQ18" t="s">
        <v>1382</v>
      </c>
      <c r="BR18" t="s">
        <v>1382</v>
      </c>
      <c r="BS18" t="s">
        <v>1382</v>
      </c>
      <c r="BU18" t="s">
        <v>735</v>
      </c>
      <c r="BW18" t="s">
        <v>60</v>
      </c>
      <c r="BX18" t="s">
        <v>60</v>
      </c>
      <c r="BZ18" t="s">
        <v>735</v>
      </c>
      <c r="CA18" t="s">
        <v>735</v>
      </c>
      <c r="CB18" t="s">
        <v>1197</v>
      </c>
      <c r="CC18" t="s">
        <v>735</v>
      </c>
      <c r="CD18" t="s">
        <v>735</v>
      </c>
      <c r="CE18" t="s">
        <v>1197</v>
      </c>
      <c r="CI18" s="816"/>
      <c r="CJ18" s="816" t="s">
        <v>1557</v>
      </c>
      <c r="CK18" s="816">
        <f ca="1">OFFSET($CI$19,COLUMN(CJ18)-COLUMN($CJ$18),0)</f>
        <v>2010</v>
      </c>
      <c r="CL18" s="816">
        <f t="shared" ref="CL18:DX18" ca="1" si="1">OFFSET($CI$19,COLUMN(CK18)-COLUMN($CJ$18),0)</f>
        <v>2011</v>
      </c>
      <c r="CM18" s="816">
        <f t="shared" ca="1" si="1"/>
        <v>2012</v>
      </c>
      <c r="CN18" s="816">
        <f t="shared" ca="1" si="1"/>
        <v>2013</v>
      </c>
      <c r="CO18" s="816">
        <f t="shared" ca="1" si="1"/>
        <v>2014</v>
      </c>
      <c r="CP18" s="816">
        <f t="shared" ca="1" si="1"/>
        <v>2015</v>
      </c>
      <c r="CQ18" s="816">
        <f t="shared" ca="1" si="1"/>
        <v>2016</v>
      </c>
      <c r="CR18" s="816">
        <f t="shared" ca="1" si="1"/>
        <v>2017</v>
      </c>
      <c r="CS18" s="816">
        <f t="shared" ca="1" si="1"/>
        <v>2018</v>
      </c>
      <c r="CT18" s="816">
        <f t="shared" ca="1" si="1"/>
        <v>2019</v>
      </c>
      <c r="CU18" s="816">
        <f t="shared" ca="1" si="1"/>
        <v>2020</v>
      </c>
      <c r="CV18" s="816">
        <f t="shared" ca="1" si="1"/>
        <v>2021</v>
      </c>
      <c r="CW18" s="816">
        <f t="shared" ca="1" si="1"/>
        <v>2022</v>
      </c>
      <c r="CX18" s="816">
        <f t="shared" ca="1" si="1"/>
        <v>2023</v>
      </c>
      <c r="CY18" s="816">
        <f t="shared" ca="1" si="1"/>
        <v>2024</v>
      </c>
      <c r="CZ18" s="816">
        <f t="shared" ca="1" si="1"/>
        <v>2025</v>
      </c>
      <c r="DA18" s="816">
        <f t="shared" ca="1" si="1"/>
        <v>2026</v>
      </c>
      <c r="DB18" s="816">
        <f t="shared" ca="1" si="1"/>
        <v>2027</v>
      </c>
      <c r="DC18" s="816">
        <f t="shared" ca="1" si="1"/>
        <v>2028</v>
      </c>
      <c r="DD18" s="816">
        <f t="shared" ca="1" si="1"/>
        <v>2029</v>
      </c>
      <c r="DE18" s="816">
        <f t="shared" ca="1" si="1"/>
        <v>2030</v>
      </c>
      <c r="DF18" s="816">
        <f t="shared" ca="1" si="1"/>
        <v>2031</v>
      </c>
      <c r="DG18" s="816">
        <f t="shared" ca="1" si="1"/>
        <v>2032</v>
      </c>
      <c r="DH18" s="816">
        <f t="shared" ca="1" si="1"/>
        <v>2033</v>
      </c>
      <c r="DI18" s="816">
        <f t="shared" ca="1" si="1"/>
        <v>2034</v>
      </c>
      <c r="DJ18" s="816">
        <f t="shared" ca="1" si="1"/>
        <v>2035</v>
      </c>
      <c r="DK18" s="816">
        <f t="shared" ca="1" si="1"/>
        <v>2036</v>
      </c>
      <c r="DL18" s="816">
        <f t="shared" ca="1" si="1"/>
        <v>2037</v>
      </c>
      <c r="DM18" s="816">
        <f t="shared" ca="1" si="1"/>
        <v>2038</v>
      </c>
      <c r="DN18" s="816">
        <f t="shared" ca="1" si="1"/>
        <v>2039</v>
      </c>
      <c r="DO18" s="816">
        <f t="shared" ca="1" si="1"/>
        <v>2040</v>
      </c>
      <c r="DP18" s="816">
        <f t="shared" ca="1" si="1"/>
        <v>2041</v>
      </c>
      <c r="DQ18" s="816">
        <f t="shared" ca="1" si="1"/>
        <v>2042</v>
      </c>
      <c r="DR18" s="816">
        <f t="shared" ca="1" si="1"/>
        <v>2043</v>
      </c>
      <c r="DS18" s="816">
        <f t="shared" ca="1" si="1"/>
        <v>2044</v>
      </c>
      <c r="DT18" s="816">
        <f t="shared" ca="1" si="1"/>
        <v>2045</v>
      </c>
      <c r="DU18" s="816">
        <f t="shared" ca="1" si="1"/>
        <v>2046</v>
      </c>
      <c r="DV18" s="816">
        <f t="shared" ca="1" si="1"/>
        <v>2047</v>
      </c>
      <c r="DW18" s="816">
        <f t="shared" ca="1" si="1"/>
        <v>2048</v>
      </c>
      <c r="DX18" s="816">
        <f t="shared" ca="1" si="1"/>
        <v>2049</v>
      </c>
      <c r="DY18" s="816">
        <f ca="1">OFFSET($CI$19,COLUMN(DX18)-COLUMN($CJ$18),0)</f>
        <v>2050</v>
      </c>
    </row>
    <row r="19" spans="1:129">
      <c r="A19" s="303">
        <v>2010</v>
      </c>
      <c r="B19" s="304">
        <f ca="1">IF($D$3="BAU",UtilityDemand!C12,INDIRECT($D$3&amp;"!B"&amp;ROW(A19))+INDIRECT($D$3&amp;"!D"&amp;ROW(A19)))</f>
        <v>128552.63513418502</v>
      </c>
      <c r="C19" s="305">
        <f ca="1">D19/B19</f>
        <v>0</v>
      </c>
      <c r="D19" s="306">
        <f>-BW19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f ca="1">J19/H19</f>
        <v>0</v>
      </c>
      <c r="J19" s="306">
        <f t="shared" ref="J19:J59" si="2">BS19*btu_tonhr/Btu_per_MMBtu</f>
        <v>0</v>
      </c>
      <c r="K19" s="307">
        <f ca="1">IF($D$3="BAU",B19+D19,INDIRECT($D$3&amp;"!B"&amp;ROW(A19))+INDIRECT($D$3&amp;"!D"&amp;ROW(A19))+INDIRECT($D$3&amp;"!L"&amp;ROW(A19))+D19)</f>
        <v>128552.63513418502</v>
      </c>
      <c r="L19" s="307">
        <f>-M19</f>
        <v>0</v>
      </c>
      <c r="M19" s="307">
        <v>0</v>
      </c>
      <c r="N19" s="307">
        <f ca="1">K19+L19</f>
        <v>128552.63513418502</v>
      </c>
      <c r="O19" s="1494">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v>0</v>
      </c>
      <c r="U19" s="818">
        <v>0</v>
      </c>
      <c r="V19" s="818">
        <f ca="1">S19+T19</f>
        <v>179442.39456260367</v>
      </c>
      <c r="W19" s="306">
        <f t="shared" ref="W19:W59" si="3">0*Emission_Factor_NG</f>
        <v>0</v>
      </c>
      <c r="X19" s="306">
        <f t="shared" ref="X19:X59" ca="1" si="4">(BX19-BW19)*EF_PurchElec_MTperMWh</f>
        <v>0</v>
      </c>
      <c r="Y19" s="306">
        <v>0</v>
      </c>
      <c r="Z19" s="306">
        <v>0</v>
      </c>
      <c r="AA19" s="308">
        <f ca="1">-SUM(W19,X19/OFFSET(GridFootprintbyYear,$A19-$A$19,0)*EF_PurchElec_MTperMWh,Z19)*OFFSET(ExposureCalculations!Price_GHG_Allowance_2010,A19-$A$19,0)*ExposureCalculations!D16</f>
        <v>0</v>
      </c>
      <c r="AB19" s="308">
        <f t="shared" ref="AB19:AB59" ca="1" si="5">-SUM(D19,L19)*OFFSET(Price_PE_MWh,A19-$A$19+3,0)</f>
        <v>0</v>
      </c>
      <c r="AC19" s="308">
        <v>0</v>
      </c>
      <c r="AD19" s="819">
        <f t="shared" ref="AD19:AD59" ca="1" si="6">-SUM(G19,P19)*OFFSET(Price_PS_mmbtu,A19-$A$19+3,0)</f>
        <v>0</v>
      </c>
      <c r="AE19" s="308">
        <v>0</v>
      </c>
      <c r="AF19" s="819">
        <v>0</v>
      </c>
      <c r="AG19" s="308">
        <f ca="1">OFFSET($CK$60,0,A19-$A$19)*1000000</f>
        <v>0</v>
      </c>
      <c r="AH19" s="308">
        <v>0</v>
      </c>
      <c r="AI19" s="308">
        <v>0</v>
      </c>
      <c r="AJ19" s="308">
        <f t="shared" ref="AJ19:AJ59" ca="1" si="7">SUM(AB19:AI19)</f>
        <v>0</v>
      </c>
      <c r="AK19" s="309">
        <f>CB19</f>
        <v>0</v>
      </c>
      <c r="AL19" s="309">
        <f>-SUMIF($AV$45:$AV$47,A19+1,$AW$45:$AW$47)*1000000</f>
        <v>0</v>
      </c>
      <c r="AM19" s="309">
        <f>SUM(AK19:AL19)</f>
        <v>0</v>
      </c>
      <c r="AN19" s="310">
        <v>0</v>
      </c>
      <c r="AO19" s="310">
        <v>0</v>
      </c>
      <c r="AP19" s="310">
        <f>SUM(AN19:AO19)</f>
        <v>0</v>
      </c>
      <c r="AQ19" s="309">
        <v>0</v>
      </c>
      <c r="AR19" s="311">
        <f t="shared" ref="AR19:AR59" ca="1" si="8">SUM(AA19,AJ19,AM19,AP19,AQ19)</f>
        <v>0</v>
      </c>
      <c r="AS19" s="870">
        <f ca="1">AR19</f>
        <v>0</v>
      </c>
      <c r="AT19" s="822"/>
      <c r="AU19" s="878"/>
      <c r="AV19" s="879"/>
      <c r="AW19" s="879"/>
      <c r="AX19" s="35"/>
      <c r="AY19" s="880"/>
      <c r="BJ19" s="322" t="s">
        <v>1543</v>
      </c>
      <c r="BK19">
        <v>40</v>
      </c>
      <c r="BN19" s="271">
        <f>A19</f>
        <v>2010</v>
      </c>
      <c r="BO19" s="123">
        <f>SUMIF($AV$58:$AV$60,"&lt;="&amp;A19,$AW$58:$AW$60)</f>
        <v>0</v>
      </c>
      <c r="BP19" s="123"/>
      <c r="BQ19" s="123">
        <f>BO19*$AU$30</f>
        <v>0</v>
      </c>
      <c r="BR19" s="123">
        <f>BP19*$AU$30</f>
        <v>0</v>
      </c>
      <c r="BS19" s="123">
        <f>SUM(BQ19:BR19)</f>
        <v>0</v>
      </c>
      <c r="BT19" s="123"/>
      <c r="BU19" s="123">
        <f t="shared" ref="BU19:BU42" si="9">SUM(BO19:BP19)*$AU$27</f>
        <v>0</v>
      </c>
      <c r="BV19" s="123"/>
      <c r="BW19" s="123">
        <f>(BR19*$AU$36+BQ19*$AU$35)/1000</f>
        <v>0</v>
      </c>
      <c r="BX19" s="123">
        <f>BS19*$AU$37/1000</f>
        <v>0</v>
      </c>
      <c r="BY19" s="123"/>
      <c r="BZ19" s="123">
        <f>$AU$21-CA19</f>
        <v>4400</v>
      </c>
      <c r="CA19" s="123">
        <v>0</v>
      </c>
      <c r="CB19" s="312">
        <f>CA19*$AU$25</f>
        <v>0</v>
      </c>
      <c r="CC19" s="123">
        <f>AU41</f>
        <v>4300</v>
      </c>
      <c r="CD19" s="123">
        <f>IF(BU19&gt;$AU$41,2500,0)</f>
        <v>0</v>
      </c>
      <c r="CE19" s="312">
        <v>0</v>
      </c>
      <c r="CF19" s="123"/>
      <c r="CG19" s="123"/>
      <c r="CH19" s="123"/>
      <c r="CI19" s="1305">
        <f>A19</f>
        <v>2010</v>
      </c>
      <c r="CJ19" s="1266">
        <f>SUMIF($AV$45:$AV$48,CI19+1,$AX$45:$AX$48)</f>
        <v>0</v>
      </c>
      <c r="CK19" s="1266" t="str">
        <f t="shared" ref="CK19:CK35" ca="1" si="10">IF(OR(CK$18&lt;=$CI19,CK$18&gt;$CI19+$AW$53),"",PMT($AW$54,$AW$53,$CJ19))</f>
        <v/>
      </c>
      <c r="CL19" s="1266">
        <f t="shared" ref="CL19:DA34" ca="1" si="11">IF(OR(CL$18&lt;=$CI19,CL$18&gt;$CI19+$AW$53),"",PMT($AW$54,$AW$53,$CJ19))</f>
        <v>0</v>
      </c>
      <c r="CM19" s="1266">
        <f t="shared" ca="1" si="11"/>
        <v>0</v>
      </c>
      <c r="CN19" s="1266">
        <f t="shared" ca="1" si="11"/>
        <v>0</v>
      </c>
      <c r="CO19" s="1266">
        <f t="shared" ca="1" si="11"/>
        <v>0</v>
      </c>
      <c r="CP19" s="1266">
        <f t="shared" ca="1" si="11"/>
        <v>0</v>
      </c>
      <c r="CQ19" s="1266">
        <f t="shared" ca="1" si="11"/>
        <v>0</v>
      </c>
      <c r="CR19" s="1266">
        <f t="shared" ca="1" si="11"/>
        <v>0</v>
      </c>
      <c r="CS19" s="1266">
        <f t="shared" ca="1" si="11"/>
        <v>0</v>
      </c>
      <c r="CT19" s="1266">
        <f t="shared" ca="1" si="11"/>
        <v>0</v>
      </c>
      <c r="CU19" s="1266">
        <f t="shared" ca="1" si="11"/>
        <v>0</v>
      </c>
      <c r="CV19" s="1266">
        <f t="shared" ca="1" si="11"/>
        <v>0</v>
      </c>
      <c r="CW19" s="1266">
        <f t="shared" ca="1" si="11"/>
        <v>0</v>
      </c>
      <c r="CX19" s="1266">
        <f t="shared" ca="1" si="11"/>
        <v>0</v>
      </c>
      <c r="CY19" s="1266">
        <f t="shared" ca="1" si="11"/>
        <v>0</v>
      </c>
      <c r="CZ19" s="1266">
        <f t="shared" ca="1" si="11"/>
        <v>0</v>
      </c>
      <c r="DA19" s="1266">
        <f t="shared" ca="1" si="11"/>
        <v>0</v>
      </c>
      <c r="DB19" s="1266">
        <f t="shared" ref="DB19:DQ34" ca="1" si="12">IF(OR(DB$18&lt;=$CI19,DB$18&gt;$CI19+$AW$53),"",PMT($AW$54,$AW$53,$CJ19))</f>
        <v>0</v>
      </c>
      <c r="DC19" s="1266">
        <f t="shared" ca="1" si="12"/>
        <v>0</v>
      </c>
      <c r="DD19" s="1266">
        <f t="shared" ca="1" si="12"/>
        <v>0</v>
      </c>
      <c r="DE19" s="1266">
        <f t="shared" ca="1" si="12"/>
        <v>0</v>
      </c>
      <c r="DF19" s="1266" t="str">
        <f t="shared" ca="1" si="12"/>
        <v/>
      </c>
      <c r="DG19" s="1266" t="str">
        <f t="shared" ca="1" si="12"/>
        <v/>
      </c>
      <c r="DH19" s="1266" t="str">
        <f t="shared" ca="1" si="12"/>
        <v/>
      </c>
      <c r="DI19" s="1266" t="str">
        <f t="shared" ca="1" si="12"/>
        <v/>
      </c>
      <c r="DJ19" s="1266" t="str">
        <f t="shared" ca="1" si="12"/>
        <v/>
      </c>
      <c r="DK19" s="1266" t="str">
        <f t="shared" ca="1" si="12"/>
        <v/>
      </c>
      <c r="DL19" s="1266" t="str">
        <f t="shared" ca="1" si="12"/>
        <v/>
      </c>
      <c r="DM19" s="1266" t="str">
        <f t="shared" ca="1" si="12"/>
        <v/>
      </c>
      <c r="DN19" s="1266" t="str">
        <f t="shared" ca="1" si="12"/>
        <v/>
      </c>
      <c r="DO19" s="1266" t="str">
        <f t="shared" ca="1" si="12"/>
        <v/>
      </c>
      <c r="DP19" s="1266" t="str">
        <f t="shared" ca="1" si="12"/>
        <v/>
      </c>
      <c r="DQ19" s="1266" t="str">
        <f t="shared" ca="1" si="12"/>
        <v/>
      </c>
      <c r="DR19" s="1266" t="str">
        <f t="shared" ref="DR19:DY34" ca="1" si="13">IF(OR(DR$18&lt;=$CI19,DR$18&gt;$CI19+$AW$53),"",PMT($AW$54,$AW$53,$CJ19))</f>
        <v/>
      </c>
      <c r="DS19" s="1266" t="str">
        <f t="shared" ca="1" si="13"/>
        <v/>
      </c>
      <c r="DT19" s="1266" t="str">
        <f t="shared" ca="1" si="13"/>
        <v/>
      </c>
      <c r="DU19" s="1266" t="str">
        <f t="shared" ca="1" si="13"/>
        <v/>
      </c>
      <c r="DV19" s="1266" t="str">
        <f t="shared" ca="1" si="13"/>
        <v/>
      </c>
      <c r="DW19" s="1266" t="str">
        <f t="shared" ca="1" si="13"/>
        <v/>
      </c>
      <c r="DX19" s="1266" t="str">
        <f t="shared" ca="1" si="13"/>
        <v/>
      </c>
      <c r="DY19" s="1266" t="str">
        <f t="shared" ca="1" si="13"/>
        <v/>
      </c>
    </row>
    <row r="20" spans="1:129">
      <c r="A20" s="303">
        <v>2011</v>
      </c>
      <c r="B20" s="304">
        <f ca="1">IF($D$3="BAU",UtilityDemand!C13,INDIRECT($D$3&amp;"!B"&amp;ROW(A20))+INDIRECT($D$3&amp;"!D"&amp;ROW(A20)))</f>
        <v>130129.26073503707</v>
      </c>
      <c r="C20" s="305">
        <f t="shared" ref="C20:C59" ca="1" si="14">D20/B20</f>
        <v>0</v>
      </c>
      <c r="D20" s="306">
        <f t="shared" ref="D20:D59" si="15">-BW20</f>
        <v>0</v>
      </c>
      <c r="E20" s="304">
        <f ca="1">IF($D$3="BAU",UtilityDemand!E13,INDIRECT($D$3&amp;"!E"&amp;ROW(D20))+INDIRECT($D$3&amp;"!G"&amp;ROW(D20)))</f>
        <v>693847.61425935081</v>
      </c>
      <c r="F20" s="305">
        <v>0</v>
      </c>
      <c r="G20" s="306">
        <f t="shared" ref="G20:G59" ca="1" si="16">-E20*F20</f>
        <v>0</v>
      </c>
      <c r="H20" s="304">
        <f ca="1">IF($D$3="BAU",UtilityDemand!G13,INDIRECT($D$3&amp;"!H"&amp;ROW(G20))+INDIRECT($D$3&amp;"!J"&amp;ROW(G20)))</f>
        <v>182506.92912520736</v>
      </c>
      <c r="I20" s="305">
        <f t="shared" ref="I20:I59" ca="1" si="17">J20/H20</f>
        <v>0</v>
      </c>
      <c r="J20" s="306">
        <f t="shared" si="2"/>
        <v>0</v>
      </c>
      <c r="K20" s="307">
        <f t="shared" ref="K20:K59" ca="1" si="18">IF($D$3="BAU",B20+D20,INDIRECT($D$3&amp;"!B"&amp;ROW(A20))+INDIRECT($D$3&amp;"!D"&amp;ROW(A20))+INDIRECT($D$3&amp;"!L"&amp;ROW(A20))+D20)</f>
        <v>130129.26073503707</v>
      </c>
      <c r="L20" s="307">
        <f t="shared" ref="L20:L59" si="19">-M20</f>
        <v>0</v>
      </c>
      <c r="M20" s="307">
        <v>0</v>
      </c>
      <c r="N20" s="307">
        <f t="shared" ref="N20:N59" ca="1" si="20">K20+L20</f>
        <v>130129.26073503707</v>
      </c>
      <c r="O20" s="1494">
        <f t="shared" ref="O20:O59" ca="1" si="21">IF($D$3="BAU",E20+G20,INDIRECT($D$3&amp;"!E"&amp;ROW(A20))+INDIRECT($D$3&amp;"!G"&amp;ROW(A20))+INDIRECT($D$3&amp;"!P"&amp;ROW(A20))+G20)</f>
        <v>693847.61425935081</v>
      </c>
      <c r="P20" s="306">
        <f t="shared" ref="P20:P59" si="22">-Q20</f>
        <v>0</v>
      </c>
      <c r="Q20" s="306">
        <v>0</v>
      </c>
      <c r="R20" s="306">
        <f t="shared" ref="R20:R59" ca="1" si="23">O20+P20</f>
        <v>693847.61425935081</v>
      </c>
      <c r="S20" s="818">
        <f t="shared" ref="S20:S59" ca="1" si="24">IF($D$3="BAU",H20+J20,INDIRECT($D$3&amp;"!H"&amp;ROW(A20))+INDIRECT($D$3&amp;"!J"&amp;ROW(A20))+INDIRECT($D$3&amp;"!T"&amp;ROW(A20))+J20)</f>
        <v>182506.92912520736</v>
      </c>
      <c r="T20" s="818">
        <v>0</v>
      </c>
      <c r="U20" s="818">
        <v>0</v>
      </c>
      <c r="V20" s="818">
        <f t="shared" ref="V20:V59" ca="1" si="25">S20+T20</f>
        <v>182506.92912520736</v>
      </c>
      <c r="W20" s="306">
        <f t="shared" si="3"/>
        <v>0</v>
      </c>
      <c r="X20" s="306">
        <f t="shared" ca="1" si="4"/>
        <v>0</v>
      </c>
      <c r="Y20" s="306">
        <v>0</v>
      </c>
      <c r="Z20" s="306">
        <v>0</v>
      </c>
      <c r="AA20" s="308">
        <f ca="1">-SUM(W20,X20/OFFSET(GridFootprintbyYear,$A20-$A$19,0)*EF_PurchElec_MTperMWh,Z20)*OFFSET(ExposureCalculations!Price_GHG_Allowance_2010,A20-$A$19,0)*ExposureCalculations!D17</f>
        <v>0</v>
      </c>
      <c r="AB20" s="308">
        <f t="shared" ca="1" si="5"/>
        <v>0</v>
      </c>
      <c r="AC20" s="308">
        <v>0</v>
      </c>
      <c r="AD20" s="819">
        <f t="shared" ca="1" si="6"/>
        <v>0</v>
      </c>
      <c r="AE20" s="308">
        <v>0</v>
      </c>
      <c r="AF20" s="819">
        <v>0</v>
      </c>
      <c r="AG20" s="308">
        <f t="shared" ref="AG20:AG59" ca="1" si="26">OFFSET($CK$60,0,A20-$A$19)*1000000</f>
        <v>0</v>
      </c>
      <c r="AH20" s="308">
        <v>0</v>
      </c>
      <c r="AI20" s="308">
        <v>0</v>
      </c>
      <c r="AJ20" s="308">
        <f t="shared" ca="1" si="7"/>
        <v>0</v>
      </c>
      <c r="AK20" s="309">
        <f t="shared" ref="AK20:AK59" si="27">CB20</f>
        <v>0</v>
      </c>
      <c r="AL20" s="309">
        <f t="shared" ref="AL20:AL59" si="28">-SUMIF($AV$45:$AV$47,A20+1,$AW$45:$AW$47)*1000000</f>
        <v>-600000</v>
      </c>
      <c r="AM20" s="309">
        <f t="shared" ref="AM20:AM59" si="29">SUM(AK20:AL20)</f>
        <v>-600000</v>
      </c>
      <c r="AN20" s="310">
        <v>0</v>
      </c>
      <c r="AO20" s="310">
        <v>0</v>
      </c>
      <c r="AP20" s="310">
        <f t="shared" ref="AP20:AP59" si="30">SUM(AN20:AO20)</f>
        <v>0</v>
      </c>
      <c r="AQ20" s="309">
        <v>0</v>
      </c>
      <c r="AR20" s="311">
        <f t="shared" ca="1" si="8"/>
        <v>-600000</v>
      </c>
      <c r="AS20" s="870">
        <f t="shared" ref="AS20:AS59" ca="1" si="31">AR20+AS19</f>
        <v>-600000</v>
      </c>
      <c r="AT20" s="822"/>
      <c r="AU20" s="878"/>
      <c r="AV20" s="35"/>
      <c r="AW20" s="879"/>
      <c r="AX20" s="35"/>
      <c r="AY20" s="880"/>
      <c r="BK20" s="912">
        <f ca="1">NPV($BK$18,OFFSET(BK21,0,0,$BK$19,1))</f>
        <v>0</v>
      </c>
      <c r="BL20" s="912" t="e">
        <f ca="1">NPV($BK$18,OFFSET(BL21,0,0,$BK$19,1))</f>
        <v>#N/A</v>
      </c>
      <c r="BN20" s="271">
        <f t="shared" ref="BN20:BN59" si="32">A20</f>
        <v>2011</v>
      </c>
      <c r="BO20" s="123">
        <f t="shared" ref="BO20:BO59" si="33">SUMIF($AV$58:$AV$60,"&lt;="&amp;A20,$AW$58:$AW$60)</f>
        <v>0</v>
      </c>
      <c r="BP20" s="123"/>
      <c r="BQ20" s="123">
        <f t="shared" ref="BQ20:BQ42" si="34">BO20*$AU$30</f>
        <v>0</v>
      </c>
      <c r="BR20" s="123">
        <f t="shared" ref="BR20:BR42" si="35">BP20*$AU$30</f>
        <v>0</v>
      </c>
      <c r="BS20" s="123">
        <f t="shared" ref="BS20:BS59" si="36">SUM(BQ20:BR20)</f>
        <v>0</v>
      </c>
      <c r="BT20" s="123"/>
      <c r="BU20" s="123">
        <f t="shared" si="9"/>
        <v>0</v>
      </c>
      <c r="BV20" s="123"/>
      <c r="BW20" s="123">
        <f t="shared" ref="BW20:BW59" si="37">(BR20*$AU$36+BQ20*$AU$35)/1000</f>
        <v>0</v>
      </c>
      <c r="BX20" s="123">
        <f t="shared" ref="BX20:BX59" si="38">BS20*$AU$37/1000</f>
        <v>0</v>
      </c>
      <c r="BY20" s="123"/>
      <c r="BZ20" s="123">
        <f t="shared" ref="BZ20:BZ59" si="39">$AU$21-CA20</f>
        <v>4400</v>
      </c>
      <c r="CA20" s="123">
        <v>0</v>
      </c>
      <c r="CB20" s="312">
        <f>(CA20-CA19)*$AU$25</f>
        <v>0</v>
      </c>
      <c r="CC20" s="123">
        <f>CC19</f>
        <v>4300</v>
      </c>
      <c r="CD20" s="123">
        <f t="shared" ref="CD20:CD59" si="40">IF(BU20&gt;$AU$41,2500,0)</f>
        <v>0</v>
      </c>
      <c r="CE20" s="312">
        <f>IF(AND(CD19=0,CD20&gt;0),$AU$40,0)</f>
        <v>0</v>
      </c>
      <c r="CF20" s="123"/>
      <c r="CG20" s="123"/>
      <c r="CH20" s="123"/>
      <c r="CI20" s="1305">
        <f t="shared" ref="CI20:CI59" si="41">A20</f>
        <v>2011</v>
      </c>
      <c r="CJ20" s="1266">
        <f t="shared" ref="CJ20:CJ60" si="42">SUMIF($AV$45:$AV$48,CI20+1,$AX$45:$AX$48)</f>
        <v>2.0009999999999999</v>
      </c>
      <c r="CK20" s="1266" t="str">
        <f t="shared" ca="1" si="10"/>
        <v/>
      </c>
      <c r="CL20" s="1266" t="str">
        <f t="shared" ca="1" si="11"/>
        <v/>
      </c>
      <c r="CM20" s="1266">
        <f t="shared" ca="1" si="11"/>
        <v>-0.14723708240758629</v>
      </c>
      <c r="CN20" s="1266">
        <f t="shared" ca="1" si="11"/>
        <v>-0.14723708240758629</v>
      </c>
      <c r="CO20" s="1266">
        <f t="shared" ca="1" si="11"/>
        <v>-0.14723708240758629</v>
      </c>
      <c r="CP20" s="1266">
        <f t="shared" ca="1" si="11"/>
        <v>-0.14723708240758629</v>
      </c>
      <c r="CQ20" s="1266">
        <f t="shared" ca="1" si="11"/>
        <v>-0.14723708240758629</v>
      </c>
      <c r="CR20" s="1266">
        <f t="shared" ca="1" si="11"/>
        <v>-0.14723708240758629</v>
      </c>
      <c r="CS20" s="1266">
        <f t="shared" ca="1" si="11"/>
        <v>-0.14723708240758629</v>
      </c>
      <c r="CT20" s="1266">
        <f t="shared" ca="1" si="11"/>
        <v>-0.14723708240758629</v>
      </c>
      <c r="CU20" s="1266">
        <f t="shared" ca="1" si="11"/>
        <v>-0.14723708240758629</v>
      </c>
      <c r="CV20" s="1266">
        <f t="shared" ca="1" si="11"/>
        <v>-0.14723708240758629</v>
      </c>
      <c r="CW20" s="1266">
        <f t="shared" ca="1" si="11"/>
        <v>-0.14723708240758629</v>
      </c>
      <c r="CX20" s="1266">
        <f t="shared" ca="1" si="11"/>
        <v>-0.14723708240758629</v>
      </c>
      <c r="CY20" s="1266">
        <f t="shared" ca="1" si="11"/>
        <v>-0.14723708240758629</v>
      </c>
      <c r="CZ20" s="1266">
        <f t="shared" ca="1" si="11"/>
        <v>-0.14723708240758629</v>
      </c>
      <c r="DA20" s="1266">
        <f t="shared" ca="1" si="11"/>
        <v>-0.14723708240758629</v>
      </c>
      <c r="DB20" s="1266">
        <f t="shared" ca="1" si="12"/>
        <v>-0.14723708240758629</v>
      </c>
      <c r="DC20" s="1266">
        <f t="shared" ca="1" si="12"/>
        <v>-0.14723708240758629</v>
      </c>
      <c r="DD20" s="1266">
        <f t="shared" ca="1" si="12"/>
        <v>-0.14723708240758629</v>
      </c>
      <c r="DE20" s="1266">
        <f t="shared" ca="1" si="12"/>
        <v>-0.14723708240758629</v>
      </c>
      <c r="DF20" s="1266">
        <f t="shared" ca="1" si="12"/>
        <v>-0.14723708240758629</v>
      </c>
      <c r="DG20" s="1266" t="str">
        <f t="shared" ca="1" si="12"/>
        <v/>
      </c>
      <c r="DH20" s="1266" t="str">
        <f t="shared" ca="1" si="12"/>
        <v/>
      </c>
      <c r="DI20" s="1266" t="str">
        <f t="shared" ca="1" si="12"/>
        <v/>
      </c>
      <c r="DJ20" s="1266" t="str">
        <f t="shared" ca="1" si="12"/>
        <v/>
      </c>
      <c r="DK20" s="1266" t="str">
        <f t="shared" ca="1" si="12"/>
        <v/>
      </c>
      <c r="DL20" s="1266" t="str">
        <f t="shared" ca="1" si="12"/>
        <v/>
      </c>
      <c r="DM20" s="1266" t="str">
        <f t="shared" ca="1" si="12"/>
        <v/>
      </c>
      <c r="DN20" s="1266" t="str">
        <f t="shared" ca="1" si="12"/>
        <v/>
      </c>
      <c r="DO20" s="1266" t="str">
        <f t="shared" ca="1" si="12"/>
        <v/>
      </c>
      <c r="DP20" s="1266" t="str">
        <f t="shared" ca="1" si="12"/>
        <v/>
      </c>
      <c r="DQ20" s="1266" t="str">
        <f t="shared" ca="1" si="12"/>
        <v/>
      </c>
      <c r="DR20" s="1266" t="str">
        <f t="shared" ca="1" si="13"/>
        <v/>
      </c>
      <c r="DS20" s="1266" t="str">
        <f t="shared" ca="1" si="13"/>
        <v/>
      </c>
      <c r="DT20" s="1266" t="str">
        <f t="shared" ca="1" si="13"/>
        <v/>
      </c>
      <c r="DU20" s="1266" t="str">
        <f t="shared" ca="1" si="13"/>
        <v/>
      </c>
      <c r="DV20" s="1266" t="str">
        <f t="shared" ca="1" si="13"/>
        <v/>
      </c>
      <c r="DW20" s="1266" t="str">
        <f t="shared" ca="1" si="13"/>
        <v/>
      </c>
      <c r="DX20" s="1266" t="str">
        <f t="shared" ca="1" si="13"/>
        <v/>
      </c>
      <c r="DY20" s="1266" t="str">
        <f t="shared" ca="1" si="13"/>
        <v/>
      </c>
    </row>
    <row r="21" spans="1:129">
      <c r="A21" s="303">
        <v>2012</v>
      </c>
      <c r="B21" s="304">
        <f ca="1">IF($D$3="BAU",UtilityDemand!C14,INDIRECT($D$3&amp;"!B"&amp;ROW(A21))+INDIRECT($D$3&amp;"!D"&amp;ROW(A21)))</f>
        <v>133825.36797702796</v>
      </c>
      <c r="C21" s="305">
        <f t="shared" ca="1" si="14"/>
        <v>-5.7554827731332317E-2</v>
      </c>
      <c r="D21" s="306">
        <f t="shared" si="15"/>
        <v>-7702.2960000000003</v>
      </c>
      <c r="E21" s="304">
        <f ca="1">IF($D$3="BAU",UtilityDemand!E14,INDIRECT($D$3&amp;"!E"&amp;ROW(D21))+INDIRECT($D$3&amp;"!G"&amp;ROW(D21)))</f>
        <v>713508.44544344163</v>
      </c>
      <c r="F21" s="305">
        <v>0</v>
      </c>
      <c r="G21" s="306">
        <f t="shared" ca="1" si="16"/>
        <v>0</v>
      </c>
      <c r="H21" s="304">
        <f ca="1">IF($D$3="BAU",UtilityDemand!G14,INDIRECT($D$3&amp;"!H"&amp;ROW(G21))+INDIRECT($D$3&amp;"!J"&amp;ROW(G21)))</f>
        <v>188515.56027382973</v>
      </c>
      <c r="I21" s="305">
        <f t="shared" ca="1" si="17"/>
        <v>0.49331779225499967</v>
      </c>
      <c r="J21" s="306">
        <f t="shared" si="2"/>
        <v>92998.080000000002</v>
      </c>
      <c r="K21" s="307">
        <f t="shared" ca="1" si="18"/>
        <v>126123.07197702795</v>
      </c>
      <c r="L21" s="307">
        <f t="shared" si="19"/>
        <v>0</v>
      </c>
      <c r="M21" s="307">
        <v>0</v>
      </c>
      <c r="N21" s="307">
        <f t="shared" ca="1" si="20"/>
        <v>126123.07197702795</v>
      </c>
      <c r="O21" s="1494">
        <f t="shared" ca="1" si="21"/>
        <v>713508.44544344163</v>
      </c>
      <c r="P21" s="306">
        <f t="shared" si="22"/>
        <v>0</v>
      </c>
      <c r="Q21" s="306">
        <v>0</v>
      </c>
      <c r="R21" s="306">
        <f t="shared" ca="1" si="23"/>
        <v>713508.44544344163</v>
      </c>
      <c r="S21" s="818">
        <f t="shared" ca="1" si="24"/>
        <v>281513.64027382975</v>
      </c>
      <c r="T21" s="818">
        <v>0</v>
      </c>
      <c r="U21" s="818">
        <v>0</v>
      </c>
      <c r="V21" s="818">
        <f t="shared" ca="1" si="25"/>
        <v>281513.64027382975</v>
      </c>
      <c r="W21" s="306">
        <f t="shared" si="3"/>
        <v>0</v>
      </c>
      <c r="X21" s="306">
        <f t="shared" ca="1" si="4"/>
        <v>-2167.9819457268204</v>
      </c>
      <c r="Y21" s="306">
        <v>0</v>
      </c>
      <c r="Z21" s="306">
        <v>0</v>
      </c>
      <c r="AA21" s="308">
        <f ca="1">-SUM(W21,X21/OFFSET(GridFootprintbyYear,$A21-$A$19,0)*EF_PurchElec_MTperMWh,Z21)*OFFSET(ExposureCalculations!Price_GHG_Allowance_2010,A21-$A$19,0)*ExposureCalculations!D18</f>
        <v>0</v>
      </c>
      <c r="AB21" s="308">
        <f t="shared" ca="1" si="5"/>
        <v>661258.47897899977</v>
      </c>
      <c r="AC21" s="308">
        <v>0</v>
      </c>
      <c r="AD21" s="819">
        <f t="shared" ca="1" si="6"/>
        <v>0</v>
      </c>
      <c r="AE21" s="308">
        <v>0</v>
      </c>
      <c r="AF21" s="819">
        <v>0</v>
      </c>
      <c r="AG21" s="308">
        <f t="shared" ca="1" si="26"/>
        <v>-147237.08240758628</v>
      </c>
      <c r="AH21" s="308">
        <v>0</v>
      </c>
      <c r="AI21" s="308">
        <v>0</v>
      </c>
      <c r="AJ21" s="308">
        <f ca="1">SUM(AB21:AI21)</f>
        <v>514021.3965714135</v>
      </c>
      <c r="AK21" s="309">
        <f t="shared" si="27"/>
        <v>0</v>
      </c>
      <c r="AL21" s="309">
        <f t="shared" si="28"/>
        <v>0</v>
      </c>
      <c r="AM21" s="309">
        <f t="shared" si="29"/>
        <v>0</v>
      </c>
      <c r="AN21" s="310">
        <v>0</v>
      </c>
      <c r="AO21" s="310">
        <v>0</v>
      </c>
      <c r="AP21" s="310">
        <f t="shared" si="30"/>
        <v>0</v>
      </c>
      <c r="AQ21" s="309">
        <v>0</v>
      </c>
      <c r="AR21" s="311">
        <f t="shared" ca="1" si="8"/>
        <v>514021.3965714135</v>
      </c>
      <c r="AS21" s="870">
        <f t="shared" ca="1" si="31"/>
        <v>-85978.603428586503</v>
      </c>
      <c r="AT21" s="822"/>
      <c r="AU21" s="918">
        <v>4400</v>
      </c>
      <c r="AV21" s="35" t="s">
        <v>1375</v>
      </c>
      <c r="AW21" s="879"/>
      <c r="AX21" s="35"/>
      <c r="AY21" s="880"/>
      <c r="BK21" s="312">
        <f t="shared" ref="BK21:BK59" ca="1" si="43">(H21*Btu_per_MMBtu/btu_tonhr+BS21)*$AX$52</f>
        <v>0</v>
      </c>
      <c r="BL21" s="312" t="e">
        <f>BS21*VLOOKUP(A21,$AV$52:$AW$55,2)</f>
        <v>#N/A</v>
      </c>
      <c r="BN21" s="271">
        <f t="shared" si="32"/>
        <v>2012</v>
      </c>
      <c r="BO21" s="123">
        <f t="shared" si="33"/>
        <v>2598</v>
      </c>
      <c r="BP21" s="123">
        <f>$AU$23/($A$39-$A$19)*2</f>
        <v>169.8</v>
      </c>
      <c r="BQ21" s="123">
        <f t="shared" si="34"/>
        <v>7274400</v>
      </c>
      <c r="BR21" s="123">
        <f t="shared" si="35"/>
        <v>475440.00000000006</v>
      </c>
      <c r="BS21" s="123">
        <f t="shared" si="36"/>
        <v>7749840</v>
      </c>
      <c r="BT21" s="123"/>
      <c r="BU21" s="123">
        <f t="shared" si="9"/>
        <v>1937.46</v>
      </c>
      <c r="BV21" s="123"/>
      <c r="BW21" s="123">
        <f t="shared" si="37"/>
        <v>7702.2960000000003</v>
      </c>
      <c r="BX21" s="123">
        <f t="shared" si="38"/>
        <v>4649.9040000000005</v>
      </c>
      <c r="BY21" s="123"/>
      <c r="BZ21" s="123">
        <f t="shared" si="39"/>
        <v>4400</v>
      </c>
      <c r="CA21" s="123">
        <v>0</v>
      </c>
      <c r="CB21" s="312">
        <f t="shared" ref="CB21:CB59" si="44">(CA21-CA20)*$AU$25</f>
        <v>0</v>
      </c>
      <c r="CC21" s="123">
        <f t="shared" ref="CC21:CC59" si="45">CC20</f>
        <v>4300</v>
      </c>
      <c r="CD21" s="123">
        <f t="shared" si="40"/>
        <v>0</v>
      </c>
      <c r="CE21" s="312">
        <f t="shared" ref="CE21:CE59" si="46">IF(AND(CD20=0,CD21&gt;0),$AU$40,0)</f>
        <v>0</v>
      </c>
      <c r="CF21" s="123"/>
      <c r="CG21" s="123"/>
      <c r="CH21" s="123"/>
      <c r="CI21" s="1305">
        <f t="shared" si="41"/>
        <v>2012</v>
      </c>
      <c r="CJ21" s="1266">
        <f t="shared" si="42"/>
        <v>0</v>
      </c>
      <c r="CK21" s="1266" t="str">
        <f t="shared" ca="1" si="10"/>
        <v/>
      </c>
      <c r="CL21" s="1266" t="str">
        <f t="shared" ca="1" si="11"/>
        <v/>
      </c>
      <c r="CM21" s="1266" t="str">
        <f t="shared" ca="1" si="11"/>
        <v/>
      </c>
      <c r="CN21" s="1266">
        <f t="shared" ca="1" si="11"/>
        <v>0</v>
      </c>
      <c r="CO21" s="1266">
        <f t="shared" ca="1" si="11"/>
        <v>0</v>
      </c>
      <c r="CP21" s="1266">
        <f t="shared" ca="1" si="11"/>
        <v>0</v>
      </c>
      <c r="CQ21" s="1266">
        <f t="shared" ca="1" si="11"/>
        <v>0</v>
      </c>
      <c r="CR21" s="1266">
        <f t="shared" ca="1" si="11"/>
        <v>0</v>
      </c>
      <c r="CS21" s="1266">
        <f t="shared" ca="1" si="11"/>
        <v>0</v>
      </c>
      <c r="CT21" s="1266">
        <f t="shared" ca="1" si="11"/>
        <v>0</v>
      </c>
      <c r="CU21" s="1266">
        <f t="shared" ca="1" si="11"/>
        <v>0</v>
      </c>
      <c r="CV21" s="1266">
        <f t="shared" ca="1" si="11"/>
        <v>0</v>
      </c>
      <c r="CW21" s="1266">
        <f t="shared" ca="1" si="11"/>
        <v>0</v>
      </c>
      <c r="CX21" s="1266">
        <f t="shared" ca="1" si="11"/>
        <v>0</v>
      </c>
      <c r="CY21" s="1266">
        <f t="shared" ca="1" si="11"/>
        <v>0</v>
      </c>
      <c r="CZ21" s="1266">
        <f t="shared" ca="1" si="11"/>
        <v>0</v>
      </c>
      <c r="DA21" s="1266">
        <f t="shared" ca="1" si="11"/>
        <v>0</v>
      </c>
      <c r="DB21" s="1266">
        <f t="shared" ca="1" si="12"/>
        <v>0</v>
      </c>
      <c r="DC21" s="1266">
        <f t="shared" ca="1" si="12"/>
        <v>0</v>
      </c>
      <c r="DD21" s="1266">
        <f t="shared" ca="1" si="12"/>
        <v>0</v>
      </c>
      <c r="DE21" s="1266">
        <f t="shared" ca="1" si="12"/>
        <v>0</v>
      </c>
      <c r="DF21" s="1266">
        <f t="shared" ca="1" si="12"/>
        <v>0</v>
      </c>
      <c r="DG21" s="1266">
        <f t="shared" ca="1" si="12"/>
        <v>0</v>
      </c>
      <c r="DH21" s="1266" t="str">
        <f t="shared" ca="1" si="12"/>
        <v/>
      </c>
      <c r="DI21" s="1266" t="str">
        <f t="shared" ca="1" si="12"/>
        <v/>
      </c>
      <c r="DJ21" s="1266" t="str">
        <f t="shared" ca="1" si="12"/>
        <v/>
      </c>
      <c r="DK21" s="1266" t="str">
        <f t="shared" ca="1" si="12"/>
        <v/>
      </c>
      <c r="DL21" s="1266" t="str">
        <f t="shared" ca="1" si="12"/>
        <v/>
      </c>
      <c r="DM21" s="1266" t="str">
        <f t="shared" ca="1" si="12"/>
        <v/>
      </c>
      <c r="DN21" s="1266" t="str">
        <f t="shared" ca="1" si="12"/>
        <v/>
      </c>
      <c r="DO21" s="1266" t="str">
        <f t="shared" ca="1" si="12"/>
        <v/>
      </c>
      <c r="DP21" s="1266" t="str">
        <f t="shared" ca="1" si="12"/>
        <v/>
      </c>
      <c r="DQ21" s="1266" t="str">
        <f t="shared" ca="1" si="12"/>
        <v/>
      </c>
      <c r="DR21" s="1266" t="str">
        <f t="shared" ca="1" si="13"/>
        <v/>
      </c>
      <c r="DS21" s="1266" t="str">
        <f t="shared" ca="1" si="13"/>
        <v/>
      </c>
      <c r="DT21" s="1266" t="str">
        <f t="shared" ca="1" si="13"/>
        <v/>
      </c>
      <c r="DU21" s="1266" t="str">
        <f t="shared" ca="1" si="13"/>
        <v/>
      </c>
      <c r="DV21" s="1266" t="str">
        <f t="shared" ca="1" si="13"/>
        <v/>
      </c>
      <c r="DW21" s="1266" t="str">
        <f t="shared" ca="1" si="13"/>
        <v/>
      </c>
      <c r="DX21" s="1266" t="str">
        <f t="shared" ca="1" si="13"/>
        <v/>
      </c>
      <c r="DY21" s="1266" t="str">
        <f t="shared" ca="1" si="13"/>
        <v/>
      </c>
    </row>
    <row r="22" spans="1:129">
      <c r="A22" s="303">
        <v>2013</v>
      </c>
      <c r="B22" s="304">
        <f ca="1">IF($D$3="BAU",UtilityDemand!C15,INDIRECT($D$3&amp;"!B"&amp;ROW(A22))+INDIRECT($D$3&amp;"!D"&amp;ROW(A22)))</f>
        <v>135980.03402546333</v>
      </c>
      <c r="C22" s="305">
        <f t="shared" ca="1" si="14"/>
        <v>-5.8216223114914215E-2</v>
      </c>
      <c r="D22" s="306">
        <f t="shared" si="15"/>
        <v>-7916.2439999999997</v>
      </c>
      <c r="E22" s="304">
        <f ca="1">IF($D$3="BAU",UtilityDemand!E15,INDIRECT($D$3&amp;"!E"&amp;ROW(D22))+INDIRECT($D$3&amp;"!G"&amp;ROW(D22)))</f>
        <v>724969.83513341204</v>
      </c>
      <c r="F22" s="305">
        <v>0</v>
      </c>
      <c r="G22" s="306">
        <f t="shared" ca="1" si="16"/>
        <v>0</v>
      </c>
      <c r="H22" s="304">
        <f ca="1">IF($D$3="BAU",UtilityDemand!G15,INDIRECT($D$3&amp;"!H"&amp;ROW(G22))+INDIRECT($D$3&amp;"!J"&amp;ROW(G22)))</f>
        <v>192383.03026898397</v>
      </c>
      <c r="I22" s="305">
        <f t="shared" ca="1" si="17"/>
        <v>0.49822855927565185</v>
      </c>
      <c r="J22" s="306">
        <f t="shared" si="2"/>
        <v>95850.72</v>
      </c>
      <c r="K22" s="307">
        <f t="shared" ca="1" si="18"/>
        <v>128063.79002546333</v>
      </c>
      <c r="L22" s="307">
        <f t="shared" si="19"/>
        <v>0</v>
      </c>
      <c r="M22" s="307">
        <v>0</v>
      </c>
      <c r="N22" s="307">
        <f t="shared" ca="1" si="20"/>
        <v>128063.79002546333</v>
      </c>
      <c r="O22" s="1494">
        <f t="shared" ca="1" si="21"/>
        <v>724969.83513341204</v>
      </c>
      <c r="P22" s="306">
        <f t="shared" si="22"/>
        <v>0</v>
      </c>
      <c r="Q22" s="306">
        <v>0</v>
      </c>
      <c r="R22" s="306">
        <f t="shared" ca="1" si="23"/>
        <v>724969.83513341204</v>
      </c>
      <c r="S22" s="818">
        <f t="shared" ca="1" si="24"/>
        <v>288233.750268984</v>
      </c>
      <c r="T22" s="818">
        <v>0</v>
      </c>
      <c r="U22" s="818">
        <v>0</v>
      </c>
      <c r="V22" s="818">
        <f t="shared" ca="1" si="25"/>
        <v>288233.750268984</v>
      </c>
      <c r="W22" s="306">
        <f t="shared" si="3"/>
        <v>0</v>
      </c>
      <c r="X22" s="306">
        <f t="shared" ca="1" si="4"/>
        <v>-2218.6346143360465</v>
      </c>
      <c r="Y22" s="306">
        <v>0</v>
      </c>
      <c r="Z22" s="306">
        <v>0</v>
      </c>
      <c r="AA22" s="308">
        <f ca="1">-SUM(W22,X22/OFFSET(GridFootprintbyYear,$A22-$A$19,0)*EF_PurchElec_MTperMWh,Z22)*OFFSET(ExposureCalculations!Price_GHG_Allowance_2010,A22-$A$19,0)*ExposureCalculations!D19</f>
        <v>0</v>
      </c>
      <c r="AB22" s="308">
        <f t="shared" ca="1" si="5"/>
        <v>683024.50126559229</v>
      </c>
      <c r="AC22" s="308">
        <v>0</v>
      </c>
      <c r="AD22" s="819">
        <f t="shared" ca="1" si="6"/>
        <v>0</v>
      </c>
      <c r="AE22" s="308">
        <v>0</v>
      </c>
      <c r="AF22" s="819">
        <v>0</v>
      </c>
      <c r="AG22" s="308">
        <f t="shared" ca="1" si="26"/>
        <v>-147237.08240758628</v>
      </c>
      <c r="AH22" s="308">
        <v>0</v>
      </c>
      <c r="AI22" s="308">
        <v>0</v>
      </c>
      <c r="AJ22" s="308">
        <f t="shared" ca="1" si="7"/>
        <v>535787.41885800601</v>
      </c>
      <c r="AK22" s="309">
        <f t="shared" si="27"/>
        <v>0</v>
      </c>
      <c r="AL22" s="309">
        <f t="shared" si="28"/>
        <v>-982035.34068419575</v>
      </c>
      <c r="AM22" s="309">
        <f t="shared" si="29"/>
        <v>-982035.34068419575</v>
      </c>
      <c r="AN22" s="310">
        <v>0</v>
      </c>
      <c r="AO22" s="310">
        <v>0</v>
      </c>
      <c r="AP22" s="310">
        <f t="shared" si="30"/>
        <v>0</v>
      </c>
      <c r="AQ22" s="309">
        <v>0</v>
      </c>
      <c r="AR22" s="311">
        <f t="shared" ca="1" si="8"/>
        <v>-446247.92182618973</v>
      </c>
      <c r="AS22" s="870">
        <f t="shared" ca="1" si="31"/>
        <v>-532226.52525477624</v>
      </c>
      <c r="AT22" s="822"/>
      <c r="AU22" s="918"/>
      <c r="AV22" s="35"/>
      <c r="AW22" s="879"/>
      <c r="AX22" s="35"/>
      <c r="AY22" s="880"/>
      <c r="BK22" s="312">
        <f t="shared" ca="1" si="43"/>
        <v>0</v>
      </c>
      <c r="BL22" s="312" t="e">
        <f t="shared" ref="BL22:BL59" si="47">BS22*VLOOKUP(A22,$AV$52:$AW$55,2)</f>
        <v>#N/A</v>
      </c>
      <c r="BN22" s="271">
        <f t="shared" si="32"/>
        <v>2013</v>
      </c>
      <c r="BO22" s="123">
        <f t="shared" si="33"/>
        <v>2598</v>
      </c>
      <c r="BP22" s="123">
        <f t="shared" ref="BP22:BP39" si="48">$AU$23/($A$39-$A$19)+BP21</f>
        <v>254.70000000000002</v>
      </c>
      <c r="BQ22" s="123">
        <f t="shared" si="34"/>
        <v>7274400</v>
      </c>
      <c r="BR22" s="123">
        <f t="shared" si="35"/>
        <v>713160</v>
      </c>
      <c r="BS22" s="123">
        <f t="shared" si="36"/>
        <v>7987560</v>
      </c>
      <c r="BT22" s="123"/>
      <c r="BU22" s="123">
        <f t="shared" si="9"/>
        <v>1996.8899999999996</v>
      </c>
      <c r="BV22" s="123"/>
      <c r="BW22" s="123">
        <f t="shared" si="37"/>
        <v>7916.2439999999997</v>
      </c>
      <c r="BX22" s="123">
        <f t="shared" si="38"/>
        <v>4792.5360000000001</v>
      </c>
      <c r="BY22" s="123"/>
      <c r="BZ22" s="123">
        <f t="shared" si="39"/>
        <v>4400</v>
      </c>
      <c r="CA22" s="123">
        <v>0</v>
      </c>
      <c r="CB22" s="312">
        <f t="shared" si="44"/>
        <v>0</v>
      </c>
      <c r="CC22" s="123">
        <f t="shared" si="45"/>
        <v>4300</v>
      </c>
      <c r="CD22" s="123">
        <f t="shared" si="40"/>
        <v>0</v>
      </c>
      <c r="CE22" s="312">
        <f t="shared" si="46"/>
        <v>0</v>
      </c>
      <c r="CF22" s="123"/>
      <c r="CG22" s="123"/>
      <c r="CH22" s="123"/>
      <c r="CI22" s="1305">
        <f t="shared" si="41"/>
        <v>2013</v>
      </c>
      <c r="CJ22" s="1266">
        <f t="shared" si="42"/>
        <v>2.7249646593158046</v>
      </c>
      <c r="CK22" s="1266" t="str">
        <f t="shared" ca="1" si="10"/>
        <v/>
      </c>
      <c r="CL22" s="1266" t="str">
        <f t="shared" ca="1" si="11"/>
        <v/>
      </c>
      <c r="CM22" s="1266" t="str">
        <f t="shared" ca="1" si="11"/>
        <v/>
      </c>
      <c r="CN22" s="1266" t="str">
        <f t="shared" ca="1" si="11"/>
        <v/>
      </c>
      <c r="CO22" s="1266">
        <f t="shared" ca="1" si="11"/>
        <v>-0.20050766921611266</v>
      </c>
      <c r="CP22" s="1266">
        <f t="shared" ca="1" si="11"/>
        <v>-0.20050766921611266</v>
      </c>
      <c r="CQ22" s="1266">
        <f t="shared" ca="1" si="11"/>
        <v>-0.20050766921611266</v>
      </c>
      <c r="CR22" s="1266">
        <f t="shared" ca="1" si="11"/>
        <v>-0.20050766921611266</v>
      </c>
      <c r="CS22" s="1266">
        <f t="shared" ca="1" si="11"/>
        <v>-0.20050766921611266</v>
      </c>
      <c r="CT22" s="1266">
        <f t="shared" ca="1" si="11"/>
        <v>-0.20050766921611266</v>
      </c>
      <c r="CU22" s="1266">
        <f t="shared" ca="1" si="11"/>
        <v>-0.20050766921611266</v>
      </c>
      <c r="CV22" s="1266">
        <f t="shared" ca="1" si="11"/>
        <v>-0.20050766921611266</v>
      </c>
      <c r="CW22" s="1266">
        <f t="shared" ca="1" si="11"/>
        <v>-0.20050766921611266</v>
      </c>
      <c r="CX22" s="1266">
        <f t="shared" ca="1" si="11"/>
        <v>-0.20050766921611266</v>
      </c>
      <c r="CY22" s="1266">
        <f t="shared" ca="1" si="11"/>
        <v>-0.20050766921611266</v>
      </c>
      <c r="CZ22" s="1266">
        <f t="shared" ca="1" si="11"/>
        <v>-0.20050766921611266</v>
      </c>
      <c r="DA22" s="1266">
        <f t="shared" ca="1" si="11"/>
        <v>-0.20050766921611266</v>
      </c>
      <c r="DB22" s="1266">
        <f t="shared" ca="1" si="12"/>
        <v>-0.20050766921611266</v>
      </c>
      <c r="DC22" s="1266">
        <f t="shared" ca="1" si="12"/>
        <v>-0.20050766921611266</v>
      </c>
      <c r="DD22" s="1266">
        <f t="shared" ca="1" si="12"/>
        <v>-0.20050766921611266</v>
      </c>
      <c r="DE22" s="1266">
        <f t="shared" ca="1" si="12"/>
        <v>-0.20050766921611266</v>
      </c>
      <c r="DF22" s="1266">
        <f t="shared" ca="1" si="12"/>
        <v>-0.20050766921611266</v>
      </c>
      <c r="DG22" s="1266">
        <f t="shared" ca="1" si="12"/>
        <v>-0.20050766921611266</v>
      </c>
      <c r="DH22" s="1266">
        <f t="shared" ca="1" si="12"/>
        <v>-0.20050766921611266</v>
      </c>
      <c r="DI22" s="1266" t="str">
        <f t="shared" ca="1" si="12"/>
        <v/>
      </c>
      <c r="DJ22" s="1266" t="str">
        <f t="shared" ca="1" si="12"/>
        <v/>
      </c>
      <c r="DK22" s="1266" t="str">
        <f t="shared" ca="1" si="12"/>
        <v/>
      </c>
      <c r="DL22" s="1266" t="str">
        <f t="shared" ca="1" si="12"/>
        <v/>
      </c>
      <c r="DM22" s="1266" t="str">
        <f t="shared" ca="1" si="12"/>
        <v/>
      </c>
      <c r="DN22" s="1266" t="str">
        <f t="shared" ca="1" si="12"/>
        <v/>
      </c>
      <c r="DO22" s="1266" t="str">
        <f t="shared" ca="1" si="12"/>
        <v/>
      </c>
      <c r="DP22" s="1266" t="str">
        <f t="shared" ca="1" si="12"/>
        <v/>
      </c>
      <c r="DQ22" s="1266" t="str">
        <f t="shared" ca="1" si="12"/>
        <v/>
      </c>
      <c r="DR22" s="1266" t="str">
        <f t="shared" ca="1" si="13"/>
        <v/>
      </c>
      <c r="DS22" s="1266" t="str">
        <f t="shared" ca="1" si="13"/>
        <v/>
      </c>
      <c r="DT22" s="1266" t="str">
        <f t="shared" ca="1" si="13"/>
        <v/>
      </c>
      <c r="DU22" s="1266" t="str">
        <f t="shared" ca="1" si="13"/>
        <v/>
      </c>
      <c r="DV22" s="1266" t="str">
        <f t="shared" ca="1" si="13"/>
        <v/>
      </c>
      <c r="DW22" s="1266" t="str">
        <f t="shared" ca="1" si="13"/>
        <v/>
      </c>
      <c r="DX22" s="1266" t="str">
        <f t="shared" ca="1" si="13"/>
        <v/>
      </c>
      <c r="DY22" s="1266" t="str">
        <f t="shared" ca="1" si="13"/>
        <v/>
      </c>
    </row>
    <row r="23" spans="1:129">
      <c r="A23" s="303">
        <v>2014</v>
      </c>
      <c r="B23" s="304">
        <f ca="1">IF($D$3="BAU",UtilityDemand!C16,INDIRECT($D$3&amp;"!B"&amp;ROW(A23))+INDIRECT($D$3&amp;"!D"&amp;ROW(A23)))</f>
        <v>137556.65962631535</v>
      </c>
      <c r="C23" s="305">
        <f t="shared" ca="1" si="14"/>
        <v>-0.10351946636886673</v>
      </c>
      <c r="D23" s="306">
        <f t="shared" si="15"/>
        <v>-14239.791999999999</v>
      </c>
      <c r="E23" s="304">
        <f ca="1">IF($D$3="BAU",UtilityDemand!E16,INDIRECT($D$3&amp;"!E"&amp;ROW(D23))+INDIRECT($D$3&amp;"!G"&amp;ROW(D23)))</f>
        <v>733356.43426308746</v>
      </c>
      <c r="F23" s="305">
        <v>0</v>
      </c>
      <c r="G23" s="306">
        <f t="shared" ca="1" si="16"/>
        <v>0</v>
      </c>
      <c r="H23" s="304">
        <f ca="1">IF($D$3="BAU",UtilityDemand!G16,INDIRECT($D$3&amp;"!H"&amp;ROW(G23))+INDIRECT($D$3&amp;"!J"&amp;ROW(G23)))</f>
        <v>195447.56483158763</v>
      </c>
      <c r="I23" s="305">
        <f t="shared" ca="1" si="17"/>
        <v>0.88012639169090778</v>
      </c>
      <c r="J23" s="306">
        <f t="shared" si="2"/>
        <v>172018.56</v>
      </c>
      <c r="K23" s="307">
        <f t="shared" ca="1" si="18"/>
        <v>123316.86762631535</v>
      </c>
      <c r="L23" s="307">
        <f t="shared" si="19"/>
        <v>0</v>
      </c>
      <c r="M23" s="307">
        <v>0</v>
      </c>
      <c r="N23" s="307">
        <f t="shared" ca="1" si="20"/>
        <v>123316.86762631535</v>
      </c>
      <c r="O23" s="1494">
        <f t="shared" ca="1" si="21"/>
        <v>733356.43426308746</v>
      </c>
      <c r="P23" s="306">
        <f t="shared" si="22"/>
        <v>0</v>
      </c>
      <c r="Q23" s="306">
        <v>0</v>
      </c>
      <c r="R23" s="306">
        <f t="shared" ca="1" si="23"/>
        <v>733356.43426308746</v>
      </c>
      <c r="S23" s="818">
        <f t="shared" ca="1" si="24"/>
        <v>367466.12483158766</v>
      </c>
      <c r="T23" s="818">
        <v>0</v>
      </c>
      <c r="U23" s="818">
        <v>0</v>
      </c>
      <c r="V23" s="818">
        <f t="shared" ca="1" si="25"/>
        <v>367466.12483158766</v>
      </c>
      <c r="W23" s="306">
        <f t="shared" si="3"/>
        <v>0</v>
      </c>
      <c r="X23" s="306">
        <f t="shared" ca="1" si="4"/>
        <v>-4005.0410780820157</v>
      </c>
      <c r="Y23" s="306">
        <v>0</v>
      </c>
      <c r="Z23" s="306">
        <v>0</v>
      </c>
      <c r="AA23" s="308">
        <f ca="1">-SUM(W23,X23/OFFSET(GridFootprintbyYear,$A23-$A$19,0)*EF_PurchElec_MTperMWh,Z23)*OFFSET(ExposureCalculations!Price_GHG_Allowance_2010,A23-$A$19,0)*ExposureCalculations!D20</f>
        <v>0</v>
      </c>
      <c r="AB23" s="308">
        <f t="shared" ca="1" si="5"/>
        <v>1234772.1296956481</v>
      </c>
      <c r="AC23" s="308">
        <v>0</v>
      </c>
      <c r="AD23" s="819">
        <f t="shared" ca="1" si="6"/>
        <v>0</v>
      </c>
      <c r="AE23" s="308">
        <v>0</v>
      </c>
      <c r="AF23" s="819">
        <v>0</v>
      </c>
      <c r="AG23" s="308">
        <f t="shared" ca="1" si="26"/>
        <v>-347744.75162369892</v>
      </c>
      <c r="AH23" s="308">
        <v>0</v>
      </c>
      <c r="AI23" s="308">
        <v>0</v>
      </c>
      <c r="AJ23" s="308">
        <f t="shared" ca="1" si="7"/>
        <v>887027.37807194912</v>
      </c>
      <c r="AK23" s="309">
        <f t="shared" si="27"/>
        <v>550000</v>
      </c>
      <c r="AL23" s="309">
        <f t="shared" si="28"/>
        <v>0</v>
      </c>
      <c r="AM23" s="309">
        <f t="shared" si="29"/>
        <v>550000</v>
      </c>
      <c r="AN23" s="310">
        <v>0</v>
      </c>
      <c r="AO23" s="310">
        <v>0</v>
      </c>
      <c r="AP23" s="310">
        <f t="shared" si="30"/>
        <v>0</v>
      </c>
      <c r="AQ23" s="309">
        <v>0</v>
      </c>
      <c r="AR23" s="311">
        <f t="shared" ca="1" si="8"/>
        <v>1437027.3780719491</v>
      </c>
      <c r="AS23" s="870">
        <f t="shared" ca="1" si="31"/>
        <v>904800.85281717288</v>
      </c>
      <c r="AT23" s="822"/>
      <c r="AU23" s="918">
        <v>1698</v>
      </c>
      <c r="AV23" s="35" t="s">
        <v>1376</v>
      </c>
      <c r="AW23" s="879"/>
      <c r="AX23" s="35"/>
      <c r="AY23" s="880"/>
      <c r="BK23" s="312">
        <f t="shared" ca="1" si="43"/>
        <v>0</v>
      </c>
      <c r="BL23" s="312" t="e">
        <f t="shared" si="47"/>
        <v>#N/A</v>
      </c>
      <c r="BN23" s="271">
        <f t="shared" si="32"/>
        <v>2014</v>
      </c>
      <c r="BO23" s="123">
        <f t="shared" si="33"/>
        <v>4780</v>
      </c>
      <c r="BP23" s="123">
        <f t="shared" si="48"/>
        <v>339.6</v>
      </c>
      <c r="BQ23" s="123">
        <f t="shared" si="34"/>
        <v>13384000</v>
      </c>
      <c r="BR23" s="123">
        <f t="shared" si="35"/>
        <v>950880.00000000012</v>
      </c>
      <c r="BS23" s="123">
        <f t="shared" si="36"/>
        <v>14334880</v>
      </c>
      <c r="BT23" s="123"/>
      <c r="BU23" s="123">
        <f t="shared" si="9"/>
        <v>3583.7200000000003</v>
      </c>
      <c r="BV23" s="123"/>
      <c r="BW23" s="123">
        <f t="shared" si="37"/>
        <v>14239.791999999999</v>
      </c>
      <c r="BX23" s="123">
        <f t="shared" si="38"/>
        <v>8600.9279999999999</v>
      </c>
      <c r="BY23" s="123"/>
      <c r="BZ23" s="123">
        <f t="shared" si="39"/>
        <v>4180</v>
      </c>
      <c r="CA23" s="123">
        <f>$AU$21/20</f>
        <v>220</v>
      </c>
      <c r="CB23" s="312">
        <f t="shared" si="44"/>
        <v>550000</v>
      </c>
      <c r="CC23" s="123">
        <f t="shared" si="45"/>
        <v>4300</v>
      </c>
      <c r="CD23" s="123">
        <f t="shared" si="40"/>
        <v>0</v>
      </c>
      <c r="CE23" s="312">
        <f t="shared" si="46"/>
        <v>0</v>
      </c>
      <c r="CF23" s="123"/>
      <c r="CG23" s="123"/>
      <c r="CH23" s="123"/>
      <c r="CI23" s="1305">
        <f t="shared" si="41"/>
        <v>2014</v>
      </c>
      <c r="CJ23" s="1266">
        <f t="shared" si="42"/>
        <v>0</v>
      </c>
      <c r="CK23" s="1266" t="str">
        <f t="shared" ca="1" si="10"/>
        <v/>
      </c>
      <c r="CL23" s="1266" t="str">
        <f t="shared" ca="1" si="11"/>
        <v/>
      </c>
      <c r="CM23" s="1266" t="str">
        <f t="shared" ca="1" si="11"/>
        <v/>
      </c>
      <c r="CN23" s="1266" t="str">
        <f t="shared" ca="1" si="11"/>
        <v/>
      </c>
      <c r="CO23" s="1266" t="str">
        <f t="shared" ca="1" si="11"/>
        <v/>
      </c>
      <c r="CP23" s="1266">
        <f t="shared" ca="1" si="11"/>
        <v>0</v>
      </c>
      <c r="CQ23" s="1266">
        <f t="shared" ca="1" si="11"/>
        <v>0</v>
      </c>
      <c r="CR23" s="1266">
        <f t="shared" ca="1" si="11"/>
        <v>0</v>
      </c>
      <c r="CS23" s="1266">
        <f t="shared" ca="1" si="11"/>
        <v>0</v>
      </c>
      <c r="CT23" s="1266">
        <f t="shared" ca="1" si="11"/>
        <v>0</v>
      </c>
      <c r="CU23" s="1266">
        <f t="shared" ca="1" si="11"/>
        <v>0</v>
      </c>
      <c r="CV23" s="1266">
        <f t="shared" ca="1" si="11"/>
        <v>0</v>
      </c>
      <c r="CW23" s="1266">
        <f t="shared" ca="1" si="11"/>
        <v>0</v>
      </c>
      <c r="CX23" s="1266">
        <f t="shared" ca="1" si="11"/>
        <v>0</v>
      </c>
      <c r="CY23" s="1266">
        <f t="shared" ca="1" si="11"/>
        <v>0</v>
      </c>
      <c r="CZ23" s="1266">
        <f t="shared" ca="1" si="11"/>
        <v>0</v>
      </c>
      <c r="DA23" s="1266">
        <f t="shared" ca="1" si="11"/>
        <v>0</v>
      </c>
      <c r="DB23" s="1266">
        <f t="shared" ca="1" si="12"/>
        <v>0</v>
      </c>
      <c r="DC23" s="1266">
        <f t="shared" ca="1" si="12"/>
        <v>0</v>
      </c>
      <c r="DD23" s="1266">
        <f t="shared" ca="1" si="12"/>
        <v>0</v>
      </c>
      <c r="DE23" s="1266">
        <f t="shared" ca="1" si="12"/>
        <v>0</v>
      </c>
      <c r="DF23" s="1266">
        <f t="shared" ca="1" si="12"/>
        <v>0</v>
      </c>
      <c r="DG23" s="1266">
        <f t="shared" ca="1" si="12"/>
        <v>0</v>
      </c>
      <c r="DH23" s="1266">
        <f t="shared" ca="1" si="12"/>
        <v>0</v>
      </c>
      <c r="DI23" s="1266">
        <f t="shared" ca="1" si="12"/>
        <v>0</v>
      </c>
      <c r="DJ23" s="1266" t="str">
        <f t="shared" ca="1" si="12"/>
        <v/>
      </c>
      <c r="DK23" s="1266" t="str">
        <f t="shared" ca="1" si="12"/>
        <v/>
      </c>
      <c r="DL23" s="1266" t="str">
        <f t="shared" ca="1" si="12"/>
        <v/>
      </c>
      <c r="DM23" s="1266" t="str">
        <f t="shared" ca="1" si="12"/>
        <v/>
      </c>
      <c r="DN23" s="1266" t="str">
        <f t="shared" ca="1" si="12"/>
        <v/>
      </c>
      <c r="DO23" s="1266" t="str">
        <f t="shared" ca="1" si="12"/>
        <v/>
      </c>
      <c r="DP23" s="1266" t="str">
        <f t="shared" ca="1" si="12"/>
        <v/>
      </c>
      <c r="DQ23" s="1266" t="str">
        <f t="shared" ca="1" si="12"/>
        <v/>
      </c>
      <c r="DR23" s="1266" t="str">
        <f t="shared" ca="1" si="13"/>
        <v/>
      </c>
      <c r="DS23" s="1266" t="str">
        <f t="shared" ca="1" si="13"/>
        <v/>
      </c>
      <c r="DT23" s="1266" t="str">
        <f t="shared" ca="1" si="13"/>
        <v/>
      </c>
      <c r="DU23" s="1266" t="str">
        <f t="shared" ca="1" si="13"/>
        <v/>
      </c>
      <c r="DV23" s="1266" t="str">
        <f t="shared" ca="1" si="13"/>
        <v/>
      </c>
      <c r="DW23" s="1266" t="str">
        <f t="shared" ca="1" si="13"/>
        <v/>
      </c>
      <c r="DX23" s="1266" t="str">
        <f t="shared" ca="1" si="13"/>
        <v/>
      </c>
      <c r="DY23" s="1266" t="str">
        <f t="shared" ca="1" si="13"/>
        <v/>
      </c>
    </row>
    <row r="24" spans="1:129">
      <c r="A24" s="303">
        <v>2015</v>
      </c>
      <c r="B24" s="304">
        <f ca="1">IF($D$3="BAU",UtilityDemand!C17,INDIRECT($D$3&amp;"!B"&amp;ROW(A24))+INDIRECT($D$3&amp;"!D"&amp;ROW(A24)))</f>
        <v>140674.7264207229</v>
      </c>
      <c r="C24" s="305">
        <f t="shared" ca="1" si="14"/>
        <v>-0.10274581915142654</v>
      </c>
      <c r="D24" s="306">
        <f t="shared" si="15"/>
        <v>-14453.74</v>
      </c>
      <c r="E24" s="304">
        <f ca="1">IF($D$3="BAU",UtilityDemand!E17,INDIRECT($D$3&amp;"!E"&amp;ROW(D24))+INDIRECT($D$3&amp;"!G"&amp;ROW(D24)))</f>
        <v>749942.47488688328</v>
      </c>
      <c r="F24" s="305">
        <v>0</v>
      </c>
      <c r="G24" s="306">
        <f t="shared" ca="1" si="16"/>
        <v>0</v>
      </c>
      <c r="H24" s="304">
        <f ca="1">IF($D$3="BAU",UtilityDemand!G17,INDIRECT($D$3&amp;"!H"&amp;ROW(G24))+INDIRECT($D$3&amp;"!J"&amp;ROW(G24)))</f>
        <v>200653.26054765948</v>
      </c>
      <c r="I24" s="305">
        <f t="shared" ca="1" si="17"/>
        <v>0.87150938650440879</v>
      </c>
      <c r="J24" s="306">
        <f t="shared" si="2"/>
        <v>174871.2</v>
      </c>
      <c r="K24" s="307">
        <f t="shared" ca="1" si="18"/>
        <v>126220.9864207229</v>
      </c>
      <c r="L24" s="307">
        <f t="shared" si="19"/>
        <v>0</v>
      </c>
      <c r="M24" s="307">
        <v>0</v>
      </c>
      <c r="N24" s="307">
        <f t="shared" ca="1" si="20"/>
        <v>126220.9864207229</v>
      </c>
      <c r="O24" s="1494">
        <f t="shared" ca="1" si="21"/>
        <v>749942.47488688328</v>
      </c>
      <c r="P24" s="306">
        <f t="shared" si="22"/>
        <v>0</v>
      </c>
      <c r="Q24" s="306">
        <v>0</v>
      </c>
      <c r="R24" s="306">
        <f t="shared" ca="1" si="23"/>
        <v>749942.47488688328</v>
      </c>
      <c r="S24" s="818">
        <f t="shared" ca="1" si="24"/>
        <v>375524.46054765949</v>
      </c>
      <c r="T24" s="818">
        <v>0</v>
      </c>
      <c r="U24" s="818">
        <v>0</v>
      </c>
      <c r="V24" s="818">
        <f t="shared" ca="1" si="25"/>
        <v>375524.46054765949</v>
      </c>
      <c r="W24" s="306">
        <f t="shared" si="3"/>
        <v>0</v>
      </c>
      <c r="X24" s="306">
        <f t="shared" ca="1" si="4"/>
        <v>-4055.6937466912427</v>
      </c>
      <c r="Y24" s="306">
        <v>0</v>
      </c>
      <c r="Z24" s="306">
        <v>0</v>
      </c>
      <c r="AA24" s="308">
        <f ca="1">-SUM(W24,X24/OFFSET(GridFootprintbyYear,$A24-$A$19,0)*EF_PurchElec_MTperMWh,Z24)*OFFSET(ExposureCalculations!Price_GHG_Allowance_2010,A24-$A$19,0)*ExposureCalculations!D21</f>
        <v>41243.715550787223</v>
      </c>
      <c r="AB24" s="308">
        <f t="shared" ca="1" si="5"/>
        <v>1259590.779027988</v>
      </c>
      <c r="AC24" s="308">
        <v>0</v>
      </c>
      <c r="AD24" s="819">
        <f t="shared" ca="1" si="6"/>
        <v>0</v>
      </c>
      <c r="AE24" s="308">
        <v>0</v>
      </c>
      <c r="AF24" s="819">
        <v>0</v>
      </c>
      <c r="AG24" s="308">
        <f t="shared" ca="1" si="26"/>
        <v>-347744.75162369892</v>
      </c>
      <c r="AH24" s="308">
        <v>0</v>
      </c>
      <c r="AI24" s="308">
        <v>0</v>
      </c>
      <c r="AJ24" s="308">
        <f t="shared" ca="1" si="7"/>
        <v>911846.02740428899</v>
      </c>
      <c r="AK24" s="309">
        <f t="shared" si="27"/>
        <v>550000</v>
      </c>
      <c r="AL24" s="309">
        <f t="shared" si="28"/>
        <v>-504630.51431030768</v>
      </c>
      <c r="AM24" s="309">
        <f t="shared" si="29"/>
        <v>45369.485689692316</v>
      </c>
      <c r="AN24" s="310">
        <v>0</v>
      </c>
      <c r="AO24" s="310">
        <v>0</v>
      </c>
      <c r="AP24" s="310">
        <f t="shared" si="30"/>
        <v>0</v>
      </c>
      <c r="AQ24" s="309">
        <v>0</v>
      </c>
      <c r="AR24" s="311">
        <f t="shared" ca="1" si="8"/>
        <v>998459.22864476859</v>
      </c>
      <c r="AS24" s="870">
        <f t="shared" ca="1" si="31"/>
        <v>1903260.0814619414</v>
      </c>
      <c r="AT24" s="822"/>
      <c r="AU24" s="878"/>
      <c r="AV24" s="35"/>
      <c r="AW24" s="879"/>
      <c r="AX24" s="35"/>
      <c r="AY24" s="880"/>
      <c r="BK24" s="312">
        <f t="shared" ca="1" si="43"/>
        <v>0</v>
      </c>
      <c r="BL24" s="312" t="e">
        <f t="shared" si="47"/>
        <v>#N/A</v>
      </c>
      <c r="BN24" s="271">
        <f t="shared" si="32"/>
        <v>2015</v>
      </c>
      <c r="BO24" s="123">
        <f t="shared" si="33"/>
        <v>4780</v>
      </c>
      <c r="BP24" s="123">
        <f t="shared" si="48"/>
        <v>424.5</v>
      </c>
      <c r="BQ24" s="123">
        <f t="shared" si="34"/>
        <v>13384000</v>
      </c>
      <c r="BR24" s="123">
        <f t="shared" si="35"/>
        <v>1188600</v>
      </c>
      <c r="BS24" s="123">
        <f t="shared" si="36"/>
        <v>14572600</v>
      </c>
      <c r="BT24" s="123"/>
      <c r="BU24" s="123">
        <f t="shared" si="9"/>
        <v>3643.1499999999996</v>
      </c>
      <c r="BV24" s="123"/>
      <c r="BW24" s="123">
        <f t="shared" si="37"/>
        <v>14453.74</v>
      </c>
      <c r="BX24" s="123">
        <f t="shared" si="38"/>
        <v>8743.56</v>
      </c>
      <c r="BY24" s="123"/>
      <c r="BZ24" s="123">
        <f t="shared" si="39"/>
        <v>3960</v>
      </c>
      <c r="CA24" s="123">
        <f>$AU$21/20+CA23</f>
        <v>440</v>
      </c>
      <c r="CB24" s="312">
        <f t="shared" si="44"/>
        <v>550000</v>
      </c>
      <c r="CC24" s="123">
        <f t="shared" si="45"/>
        <v>4300</v>
      </c>
      <c r="CD24" s="123">
        <f t="shared" si="40"/>
        <v>0</v>
      </c>
      <c r="CE24" s="312">
        <f t="shared" si="46"/>
        <v>0</v>
      </c>
      <c r="CF24" s="123"/>
      <c r="CG24" s="123"/>
      <c r="CH24" s="123"/>
      <c r="CI24" s="1305">
        <f t="shared" si="41"/>
        <v>2015</v>
      </c>
      <c r="CJ24" s="1266">
        <f t="shared" si="42"/>
        <v>8.9893694856896929</v>
      </c>
      <c r="CK24" s="1266" t="str">
        <f t="shared" ca="1" si="10"/>
        <v/>
      </c>
      <c r="CL24" s="1266" t="str">
        <f t="shared" ca="1" si="11"/>
        <v/>
      </c>
      <c r="CM24" s="1266" t="str">
        <f t="shared" ca="1" si="11"/>
        <v/>
      </c>
      <c r="CN24" s="1266" t="str">
        <f t="shared" ca="1" si="11"/>
        <v/>
      </c>
      <c r="CO24" s="1266" t="str">
        <f t="shared" ca="1" si="11"/>
        <v/>
      </c>
      <c r="CP24" s="1266" t="str">
        <f t="shared" ca="1" si="11"/>
        <v/>
      </c>
      <c r="CQ24" s="1266">
        <f t="shared" ca="1" si="11"/>
        <v>-0.66145354110781351</v>
      </c>
      <c r="CR24" s="1266">
        <f t="shared" ca="1" si="11"/>
        <v>-0.66145354110781351</v>
      </c>
      <c r="CS24" s="1266">
        <f t="shared" ca="1" si="11"/>
        <v>-0.66145354110781351</v>
      </c>
      <c r="CT24" s="1266">
        <f t="shared" ca="1" si="11"/>
        <v>-0.66145354110781351</v>
      </c>
      <c r="CU24" s="1266">
        <f t="shared" ca="1" si="11"/>
        <v>-0.66145354110781351</v>
      </c>
      <c r="CV24" s="1266">
        <f t="shared" ca="1" si="11"/>
        <v>-0.66145354110781351</v>
      </c>
      <c r="CW24" s="1266">
        <f t="shared" ca="1" si="11"/>
        <v>-0.66145354110781351</v>
      </c>
      <c r="CX24" s="1266">
        <f t="shared" ca="1" si="11"/>
        <v>-0.66145354110781351</v>
      </c>
      <c r="CY24" s="1266">
        <f t="shared" ca="1" si="11"/>
        <v>-0.66145354110781351</v>
      </c>
      <c r="CZ24" s="1266">
        <f t="shared" ca="1" si="11"/>
        <v>-0.66145354110781351</v>
      </c>
      <c r="DA24" s="1266">
        <f t="shared" ca="1" si="11"/>
        <v>-0.66145354110781351</v>
      </c>
      <c r="DB24" s="1266">
        <f t="shared" ca="1" si="12"/>
        <v>-0.66145354110781351</v>
      </c>
      <c r="DC24" s="1266">
        <f t="shared" ca="1" si="12"/>
        <v>-0.66145354110781351</v>
      </c>
      <c r="DD24" s="1266">
        <f t="shared" ca="1" si="12"/>
        <v>-0.66145354110781351</v>
      </c>
      <c r="DE24" s="1266">
        <f t="shared" ca="1" si="12"/>
        <v>-0.66145354110781351</v>
      </c>
      <c r="DF24" s="1266">
        <f t="shared" ca="1" si="12"/>
        <v>-0.66145354110781351</v>
      </c>
      <c r="DG24" s="1266">
        <f t="shared" ca="1" si="12"/>
        <v>-0.66145354110781351</v>
      </c>
      <c r="DH24" s="1266">
        <f t="shared" ca="1" si="12"/>
        <v>-0.66145354110781351</v>
      </c>
      <c r="DI24" s="1266">
        <f t="shared" ca="1" si="12"/>
        <v>-0.66145354110781351</v>
      </c>
      <c r="DJ24" s="1266">
        <f t="shared" ca="1" si="12"/>
        <v>-0.66145354110781351</v>
      </c>
      <c r="DK24" s="1266" t="str">
        <f t="shared" ca="1" si="12"/>
        <v/>
      </c>
      <c r="DL24" s="1266" t="str">
        <f t="shared" ca="1" si="12"/>
        <v/>
      </c>
      <c r="DM24" s="1266" t="str">
        <f t="shared" ca="1" si="12"/>
        <v/>
      </c>
      <c r="DN24" s="1266" t="str">
        <f t="shared" ca="1" si="12"/>
        <v/>
      </c>
      <c r="DO24" s="1266" t="str">
        <f t="shared" ca="1" si="12"/>
        <v/>
      </c>
      <c r="DP24" s="1266" t="str">
        <f t="shared" ca="1" si="12"/>
        <v/>
      </c>
      <c r="DQ24" s="1266" t="str">
        <f t="shared" ca="1" si="12"/>
        <v/>
      </c>
      <c r="DR24" s="1266" t="str">
        <f t="shared" ca="1" si="13"/>
        <v/>
      </c>
      <c r="DS24" s="1266" t="str">
        <f t="shared" ca="1" si="13"/>
        <v/>
      </c>
      <c r="DT24" s="1266" t="str">
        <f t="shared" ca="1" si="13"/>
        <v/>
      </c>
      <c r="DU24" s="1266" t="str">
        <f t="shared" ca="1" si="13"/>
        <v/>
      </c>
      <c r="DV24" s="1266" t="str">
        <f t="shared" ca="1" si="13"/>
        <v/>
      </c>
      <c r="DW24" s="1266" t="str">
        <f t="shared" ca="1" si="13"/>
        <v/>
      </c>
      <c r="DX24" s="1266" t="str">
        <f t="shared" ca="1" si="13"/>
        <v/>
      </c>
      <c r="DY24" s="1266" t="str">
        <f t="shared" ca="1" si="13"/>
        <v/>
      </c>
    </row>
    <row r="25" spans="1:129">
      <c r="A25" s="303">
        <v>2016</v>
      </c>
      <c r="B25" s="304">
        <f ca="1">IF($D$3="BAU",UtilityDemand!C18,INDIRECT($D$3&amp;"!B"&amp;ROW(A25))+INDIRECT($D$3&amp;"!D"&amp;ROW(A25)))</f>
        <v>142251.35202157494</v>
      </c>
      <c r="C25" s="305">
        <f t="shared" ca="1" si="14"/>
        <v>-0.11810986511714691</v>
      </c>
      <c r="D25" s="306">
        <f t="shared" si="15"/>
        <v>-16801.288</v>
      </c>
      <c r="E25" s="304">
        <f ca="1">IF($D$3="BAU",UtilityDemand!E18,INDIRECT($D$3&amp;"!E"&amp;ROW(D25))+INDIRECT($D$3&amp;"!G"&amp;ROW(D25)))</f>
        <v>758329.0740165587</v>
      </c>
      <c r="F25" s="305">
        <v>0</v>
      </c>
      <c r="G25" s="306">
        <f t="shared" ca="1" si="16"/>
        <v>0</v>
      </c>
      <c r="H25" s="304">
        <f ca="1">IF($D$3="BAU",UtilityDemand!G18,INDIRECT($D$3&amp;"!H"&amp;ROW(G25))+INDIRECT($D$3&amp;"!J"&amp;ROW(G25)))</f>
        <v>203717.79511026316</v>
      </c>
      <c r="I25" s="305">
        <f t="shared" ca="1" si="17"/>
        <v>0.99808188032836476</v>
      </c>
      <c r="J25" s="306">
        <f t="shared" si="2"/>
        <v>203327.04</v>
      </c>
      <c r="K25" s="307">
        <f t="shared" ca="1" si="18"/>
        <v>125450.06402157494</v>
      </c>
      <c r="L25" s="307">
        <f t="shared" si="19"/>
        <v>0</v>
      </c>
      <c r="M25" s="307">
        <v>0</v>
      </c>
      <c r="N25" s="307">
        <f t="shared" ca="1" si="20"/>
        <v>125450.06402157494</v>
      </c>
      <c r="O25" s="1494">
        <f t="shared" ca="1" si="21"/>
        <v>758329.0740165587</v>
      </c>
      <c r="P25" s="306">
        <f t="shared" si="22"/>
        <v>0</v>
      </c>
      <c r="Q25" s="306">
        <v>0</v>
      </c>
      <c r="R25" s="306">
        <f t="shared" ca="1" si="23"/>
        <v>758329.0740165587</v>
      </c>
      <c r="S25" s="818">
        <f t="shared" ca="1" si="24"/>
        <v>407044.8351102632</v>
      </c>
      <c r="T25" s="818">
        <v>0</v>
      </c>
      <c r="U25" s="818">
        <v>0</v>
      </c>
      <c r="V25" s="818">
        <f t="shared" ca="1" si="25"/>
        <v>407044.8351102632</v>
      </c>
      <c r="W25" s="306">
        <f t="shared" si="3"/>
        <v>0</v>
      </c>
      <c r="X25" s="306">
        <f t="shared" ca="1" si="4"/>
        <v>-4712.5079147936849</v>
      </c>
      <c r="Y25" s="306">
        <v>0</v>
      </c>
      <c r="Z25" s="306">
        <v>0</v>
      </c>
      <c r="AA25" s="308">
        <f ca="1">-SUM(W25,X25/OFFSET(GridFootprintbyYear,$A25-$A$19,0)*EF_PurchElec_MTperMWh,Z25)*OFFSET(ExposureCalculations!Price_GHG_Allowance_2010,A25-$A$19,0)*ExposureCalculations!D22</f>
        <v>55317.803067885754</v>
      </c>
      <c r="AB25" s="308">
        <f t="shared" ca="1" si="5"/>
        <v>1471491.8891440243</v>
      </c>
      <c r="AC25" s="308">
        <v>0</v>
      </c>
      <c r="AD25" s="819">
        <f t="shared" ca="1" si="6"/>
        <v>0</v>
      </c>
      <c r="AE25" s="308">
        <v>0</v>
      </c>
      <c r="AF25" s="819">
        <v>0</v>
      </c>
      <c r="AG25" s="308">
        <f t="shared" ca="1" si="26"/>
        <v>-1009198.2927315125</v>
      </c>
      <c r="AH25" s="308">
        <v>0</v>
      </c>
      <c r="AI25" s="308">
        <v>0</v>
      </c>
      <c r="AJ25" s="308">
        <f t="shared" ca="1" si="7"/>
        <v>462293.59641251189</v>
      </c>
      <c r="AK25" s="309">
        <f t="shared" si="27"/>
        <v>550000</v>
      </c>
      <c r="AL25" s="309">
        <f t="shared" si="28"/>
        <v>0</v>
      </c>
      <c r="AM25" s="309">
        <f t="shared" si="29"/>
        <v>550000</v>
      </c>
      <c r="AN25" s="310">
        <v>0</v>
      </c>
      <c r="AO25" s="310">
        <v>0</v>
      </c>
      <c r="AP25" s="310">
        <f t="shared" si="30"/>
        <v>0</v>
      </c>
      <c r="AQ25" s="309">
        <v>0</v>
      </c>
      <c r="AR25" s="311">
        <f t="shared" ca="1" si="8"/>
        <v>1067611.3994803976</v>
      </c>
      <c r="AS25" s="870">
        <f t="shared" ca="1" si="31"/>
        <v>2970871.4809423387</v>
      </c>
      <c r="AT25" s="822"/>
      <c r="AU25" s="1261">
        <v>2500</v>
      </c>
      <c r="AV25" t="s">
        <v>1441</v>
      </c>
      <c r="AW25" s="879"/>
      <c r="AX25" s="35"/>
      <c r="AY25" s="880"/>
      <c r="BK25" s="312">
        <f t="shared" ca="1" si="43"/>
        <v>0</v>
      </c>
      <c r="BL25" s="312" t="e">
        <f t="shared" si="47"/>
        <v>#N/A</v>
      </c>
      <c r="BN25" s="271">
        <f t="shared" si="32"/>
        <v>2016</v>
      </c>
      <c r="BO25" s="123">
        <f t="shared" si="33"/>
        <v>5542</v>
      </c>
      <c r="BP25" s="123">
        <f t="shared" si="48"/>
        <v>509.4</v>
      </c>
      <c r="BQ25" s="123">
        <f t="shared" si="34"/>
        <v>15517600</v>
      </c>
      <c r="BR25" s="123">
        <f t="shared" si="35"/>
        <v>1426320</v>
      </c>
      <c r="BS25" s="123">
        <f t="shared" si="36"/>
        <v>16943920</v>
      </c>
      <c r="BT25" s="123"/>
      <c r="BU25" s="123">
        <f t="shared" si="9"/>
        <v>4235.9799999999996</v>
      </c>
      <c r="BV25" s="123"/>
      <c r="BW25" s="123">
        <f t="shared" si="37"/>
        <v>16801.288</v>
      </c>
      <c r="BX25" s="123">
        <f t="shared" si="38"/>
        <v>10166.352000000001</v>
      </c>
      <c r="BY25" s="123"/>
      <c r="BZ25" s="123">
        <f t="shared" si="39"/>
        <v>3740</v>
      </c>
      <c r="CA25" s="123">
        <f t="shared" ref="CA25:CA42" si="49">$AU$21/20+CA24</f>
        <v>660</v>
      </c>
      <c r="CB25" s="312">
        <f t="shared" si="44"/>
        <v>550000</v>
      </c>
      <c r="CC25" s="123">
        <f t="shared" si="45"/>
        <v>4300</v>
      </c>
      <c r="CD25" s="123">
        <f t="shared" si="40"/>
        <v>0</v>
      </c>
      <c r="CE25" s="312">
        <f t="shared" si="46"/>
        <v>0</v>
      </c>
      <c r="CF25" s="123"/>
      <c r="CG25" s="123"/>
      <c r="CH25" s="123"/>
      <c r="CI25" s="1305">
        <f t="shared" si="41"/>
        <v>2016</v>
      </c>
      <c r="CJ25" s="1266">
        <f t="shared" si="42"/>
        <v>0</v>
      </c>
      <c r="CK25" s="1266" t="str">
        <f t="shared" ca="1" si="10"/>
        <v/>
      </c>
      <c r="CL25" s="1266" t="str">
        <f t="shared" ca="1" si="11"/>
        <v/>
      </c>
      <c r="CM25" s="1266" t="str">
        <f t="shared" ca="1" si="11"/>
        <v/>
      </c>
      <c r="CN25" s="1266" t="str">
        <f t="shared" ca="1" si="11"/>
        <v/>
      </c>
      <c r="CO25" s="1266" t="str">
        <f t="shared" ca="1" si="11"/>
        <v/>
      </c>
      <c r="CP25" s="1266" t="str">
        <f t="shared" ca="1" si="11"/>
        <v/>
      </c>
      <c r="CQ25" s="1266" t="str">
        <f t="shared" ca="1" si="11"/>
        <v/>
      </c>
      <c r="CR25" s="1266">
        <f t="shared" ca="1" si="11"/>
        <v>0</v>
      </c>
      <c r="CS25" s="1266">
        <f t="shared" ca="1" si="11"/>
        <v>0</v>
      </c>
      <c r="CT25" s="1266">
        <f t="shared" ca="1" si="11"/>
        <v>0</v>
      </c>
      <c r="CU25" s="1266">
        <f t="shared" ca="1" si="11"/>
        <v>0</v>
      </c>
      <c r="CV25" s="1266">
        <f t="shared" ca="1" si="11"/>
        <v>0</v>
      </c>
      <c r="CW25" s="1266">
        <f t="shared" ca="1" si="11"/>
        <v>0</v>
      </c>
      <c r="CX25" s="1266">
        <f t="shared" ca="1" si="11"/>
        <v>0</v>
      </c>
      <c r="CY25" s="1266">
        <f t="shared" ca="1" si="11"/>
        <v>0</v>
      </c>
      <c r="CZ25" s="1266">
        <f t="shared" ca="1" si="11"/>
        <v>0</v>
      </c>
      <c r="DA25" s="1266">
        <f t="shared" ca="1" si="11"/>
        <v>0</v>
      </c>
      <c r="DB25" s="1266">
        <f t="shared" ca="1" si="12"/>
        <v>0</v>
      </c>
      <c r="DC25" s="1266">
        <f t="shared" ca="1" si="12"/>
        <v>0</v>
      </c>
      <c r="DD25" s="1266">
        <f t="shared" ca="1" si="12"/>
        <v>0</v>
      </c>
      <c r="DE25" s="1266">
        <f t="shared" ca="1" si="12"/>
        <v>0</v>
      </c>
      <c r="DF25" s="1266">
        <f t="shared" ca="1" si="12"/>
        <v>0</v>
      </c>
      <c r="DG25" s="1266">
        <f t="shared" ca="1" si="12"/>
        <v>0</v>
      </c>
      <c r="DH25" s="1266">
        <f t="shared" ca="1" si="12"/>
        <v>0</v>
      </c>
      <c r="DI25" s="1266">
        <f t="shared" ca="1" si="12"/>
        <v>0</v>
      </c>
      <c r="DJ25" s="1266">
        <f t="shared" ca="1" si="12"/>
        <v>0</v>
      </c>
      <c r="DK25" s="1266">
        <f t="shared" ca="1" si="12"/>
        <v>0</v>
      </c>
      <c r="DL25" s="1266" t="str">
        <f t="shared" ca="1" si="12"/>
        <v/>
      </c>
      <c r="DM25" s="1266" t="str">
        <f t="shared" ca="1" si="12"/>
        <v/>
      </c>
      <c r="DN25" s="1266" t="str">
        <f t="shared" ca="1" si="12"/>
        <v/>
      </c>
      <c r="DO25" s="1266" t="str">
        <f t="shared" ca="1" si="12"/>
        <v/>
      </c>
      <c r="DP25" s="1266" t="str">
        <f t="shared" ca="1" si="12"/>
        <v/>
      </c>
      <c r="DQ25" s="1266" t="str">
        <f t="shared" ca="1" si="12"/>
        <v/>
      </c>
      <c r="DR25" s="1266" t="str">
        <f t="shared" ca="1" si="13"/>
        <v/>
      </c>
      <c r="DS25" s="1266" t="str">
        <f t="shared" ca="1" si="13"/>
        <v/>
      </c>
      <c r="DT25" s="1266" t="str">
        <f t="shared" ca="1" si="13"/>
        <v/>
      </c>
      <c r="DU25" s="1266" t="str">
        <f t="shared" ca="1" si="13"/>
        <v/>
      </c>
      <c r="DV25" s="1266" t="str">
        <f t="shared" ca="1" si="13"/>
        <v/>
      </c>
      <c r="DW25" s="1266" t="str">
        <f t="shared" ca="1" si="13"/>
        <v/>
      </c>
      <c r="DX25" s="1266" t="str">
        <f t="shared" ca="1" si="13"/>
        <v/>
      </c>
      <c r="DY25" s="1266" t="str">
        <f t="shared" ca="1" si="13"/>
        <v/>
      </c>
    </row>
    <row r="26" spans="1:129">
      <c r="A26" s="303">
        <v>2017</v>
      </c>
      <c r="B26" s="304">
        <f ca="1">IF($D$3="BAU",UtilityDemand!C19,INDIRECT($D$3&amp;"!B"&amp;ROW(A26))+INDIRECT($D$3&amp;"!D"&amp;ROW(A26)))</f>
        <v>143827.97762242699</v>
      </c>
      <c r="C26" s="305">
        <f t="shared" ca="1" si="14"/>
        <v>-0.11830268548076162</v>
      </c>
      <c r="D26" s="306">
        <f t="shared" si="15"/>
        <v>-17015.236000000001</v>
      </c>
      <c r="E26" s="304">
        <f ca="1">IF($D$3="BAU",UtilityDemand!E19,INDIRECT($D$3&amp;"!E"&amp;ROW(D26))+INDIRECT($D$3&amp;"!G"&amp;ROW(D26)))</f>
        <v>766715.67314623413</v>
      </c>
      <c r="F26" s="305">
        <v>0</v>
      </c>
      <c r="G26" s="306">
        <f t="shared" ca="1" si="16"/>
        <v>0</v>
      </c>
      <c r="H26" s="304">
        <f ca="1">IF($D$3="BAU",UtilityDemand!G19,INDIRECT($D$3&amp;"!H"&amp;ROW(G26))+INDIRECT($D$3&amp;"!J"&amp;ROW(G26)))</f>
        <v>206782.32967286685</v>
      </c>
      <c r="I26" s="305">
        <f t="shared" ca="1" si="17"/>
        <v>0.99708558427685645</v>
      </c>
      <c r="J26" s="306">
        <f t="shared" si="2"/>
        <v>206179.68</v>
      </c>
      <c r="K26" s="307">
        <f t="shared" ca="1" si="18"/>
        <v>126812.74162242698</v>
      </c>
      <c r="L26" s="307">
        <f t="shared" si="19"/>
        <v>0</v>
      </c>
      <c r="M26" s="307">
        <v>0</v>
      </c>
      <c r="N26" s="307">
        <f t="shared" ca="1" si="20"/>
        <v>126812.74162242698</v>
      </c>
      <c r="O26" s="1494">
        <f t="shared" ca="1" si="21"/>
        <v>766715.67314623413</v>
      </c>
      <c r="P26" s="306">
        <f t="shared" si="22"/>
        <v>0</v>
      </c>
      <c r="Q26" s="306">
        <v>0</v>
      </c>
      <c r="R26" s="306">
        <f t="shared" ca="1" si="23"/>
        <v>766715.67314623413</v>
      </c>
      <c r="S26" s="818">
        <f t="shared" ca="1" si="24"/>
        <v>412962.00967286684</v>
      </c>
      <c r="T26" s="818">
        <v>0</v>
      </c>
      <c r="U26" s="818">
        <v>0</v>
      </c>
      <c r="V26" s="818">
        <f t="shared" ca="1" si="25"/>
        <v>412962.00967286684</v>
      </c>
      <c r="W26" s="306">
        <f t="shared" si="3"/>
        <v>0</v>
      </c>
      <c r="X26" s="306">
        <f t="shared" ca="1" si="4"/>
        <v>-4763.1605834029124</v>
      </c>
      <c r="Y26" s="306">
        <v>0</v>
      </c>
      <c r="Z26" s="306">
        <v>0</v>
      </c>
      <c r="AA26" s="308">
        <f ca="1">-SUM(W26,X26/OFFSET(GridFootprintbyYear,$A26-$A$19,0)*EF_PurchElec_MTperMWh,Z26)*OFFSET(ExposureCalculations!Price_GHG_Allowance_2010,A26-$A$19,0)*ExposureCalculations!D23</f>
        <v>63735.173812197834</v>
      </c>
      <c r="AB26" s="308">
        <f t="shared" ca="1" si="5"/>
        <v>1497681.0512801618</v>
      </c>
      <c r="AC26" s="308">
        <v>0</v>
      </c>
      <c r="AD26" s="819">
        <f t="shared" ca="1" si="6"/>
        <v>0</v>
      </c>
      <c r="AE26" s="308">
        <v>0</v>
      </c>
      <c r="AF26" s="819">
        <v>0</v>
      </c>
      <c r="AG26" s="308">
        <f t="shared" ca="1" si="26"/>
        <v>-1009198.2927315125</v>
      </c>
      <c r="AH26" s="308">
        <v>0</v>
      </c>
      <c r="AI26" s="308">
        <v>0</v>
      </c>
      <c r="AJ26" s="308">
        <f t="shared" ca="1" si="7"/>
        <v>488482.75854864938</v>
      </c>
      <c r="AK26" s="309">
        <f t="shared" si="27"/>
        <v>550000</v>
      </c>
      <c r="AL26" s="309">
        <f t="shared" si="28"/>
        <v>0</v>
      </c>
      <c r="AM26" s="309">
        <f t="shared" si="29"/>
        <v>550000</v>
      </c>
      <c r="AN26" s="310">
        <v>0</v>
      </c>
      <c r="AO26" s="310">
        <v>0</v>
      </c>
      <c r="AP26" s="310">
        <f t="shared" si="30"/>
        <v>0</v>
      </c>
      <c r="AQ26" s="309">
        <v>0</v>
      </c>
      <c r="AR26" s="311">
        <f t="shared" ca="1" si="8"/>
        <v>1102217.9323608472</v>
      </c>
      <c r="AS26" s="870">
        <f t="shared" ca="1" si="31"/>
        <v>4073089.4133031862</v>
      </c>
      <c r="AT26" s="822"/>
      <c r="AU26" s="878"/>
      <c r="AV26" s="35"/>
      <c r="AW26" s="879"/>
      <c r="AX26" s="35"/>
      <c r="AY26" s="880"/>
      <c r="BK26" s="312">
        <f t="shared" ca="1" si="43"/>
        <v>0</v>
      </c>
      <c r="BL26" s="312" t="e">
        <f t="shared" si="47"/>
        <v>#N/A</v>
      </c>
      <c r="BN26" s="271">
        <f t="shared" si="32"/>
        <v>2017</v>
      </c>
      <c r="BO26" s="123">
        <f t="shared" si="33"/>
        <v>5542</v>
      </c>
      <c r="BP26" s="123">
        <f t="shared" si="48"/>
        <v>594.29999999999995</v>
      </c>
      <c r="BQ26" s="123">
        <f t="shared" si="34"/>
        <v>15517600</v>
      </c>
      <c r="BR26" s="123">
        <f t="shared" si="35"/>
        <v>1664039.9999999998</v>
      </c>
      <c r="BS26" s="123">
        <f t="shared" si="36"/>
        <v>17181640</v>
      </c>
      <c r="BT26" s="123"/>
      <c r="BU26" s="123">
        <f t="shared" si="9"/>
        <v>4295.41</v>
      </c>
      <c r="BV26" s="123"/>
      <c r="BW26" s="123">
        <f t="shared" si="37"/>
        <v>17015.236000000001</v>
      </c>
      <c r="BX26" s="123">
        <f t="shared" si="38"/>
        <v>10308.984</v>
      </c>
      <c r="BY26" s="123"/>
      <c r="BZ26" s="123">
        <f t="shared" si="39"/>
        <v>3520</v>
      </c>
      <c r="CA26" s="123">
        <f t="shared" si="49"/>
        <v>880</v>
      </c>
      <c r="CB26" s="312">
        <f t="shared" si="44"/>
        <v>550000</v>
      </c>
      <c r="CC26" s="123">
        <f t="shared" si="45"/>
        <v>4300</v>
      </c>
      <c r="CD26" s="123">
        <f t="shared" si="40"/>
        <v>0</v>
      </c>
      <c r="CE26" s="312">
        <f t="shared" si="46"/>
        <v>0</v>
      </c>
      <c r="CF26" s="123"/>
      <c r="CG26" s="123"/>
      <c r="CH26" s="123"/>
      <c r="CI26" s="1305">
        <f t="shared" si="41"/>
        <v>2017</v>
      </c>
      <c r="CJ26" s="1266">
        <f t="shared" si="42"/>
        <v>1.2</v>
      </c>
      <c r="CK26" s="1266" t="str">
        <f t="shared" ca="1" si="10"/>
        <v/>
      </c>
      <c r="CL26" s="1266" t="str">
        <f t="shared" ca="1" si="11"/>
        <v/>
      </c>
      <c r="CM26" s="1266" t="str">
        <f t="shared" ca="1" si="11"/>
        <v/>
      </c>
      <c r="CN26" s="1266" t="str">
        <f t="shared" ca="1" si="11"/>
        <v/>
      </c>
      <c r="CO26" s="1266" t="str">
        <f t="shared" ca="1" si="11"/>
        <v/>
      </c>
      <c r="CP26" s="1266" t="str">
        <f t="shared" ca="1" si="11"/>
        <v/>
      </c>
      <c r="CQ26" s="1266" t="str">
        <f t="shared" ca="1" si="11"/>
        <v/>
      </c>
      <c r="CR26" s="1266" t="str">
        <f t="shared" ca="1" si="11"/>
        <v/>
      </c>
      <c r="CS26" s="1266">
        <f t="shared" ca="1" si="11"/>
        <v>-8.8298100394354595E-2</v>
      </c>
      <c r="CT26" s="1266">
        <f t="shared" ca="1" si="11"/>
        <v>-8.8298100394354595E-2</v>
      </c>
      <c r="CU26" s="1266">
        <f t="shared" ca="1" si="11"/>
        <v>-8.8298100394354595E-2</v>
      </c>
      <c r="CV26" s="1266">
        <f t="shared" ca="1" si="11"/>
        <v>-8.8298100394354595E-2</v>
      </c>
      <c r="CW26" s="1266">
        <f t="shared" ca="1" si="11"/>
        <v>-8.8298100394354595E-2</v>
      </c>
      <c r="CX26" s="1266">
        <f t="shared" ca="1" si="11"/>
        <v>-8.8298100394354595E-2</v>
      </c>
      <c r="CY26" s="1266">
        <f t="shared" ca="1" si="11"/>
        <v>-8.8298100394354595E-2</v>
      </c>
      <c r="CZ26" s="1266">
        <f t="shared" ca="1" si="11"/>
        <v>-8.8298100394354595E-2</v>
      </c>
      <c r="DA26" s="1266">
        <f t="shared" ca="1" si="11"/>
        <v>-8.8298100394354595E-2</v>
      </c>
      <c r="DB26" s="1266">
        <f t="shared" ca="1" si="12"/>
        <v>-8.8298100394354595E-2</v>
      </c>
      <c r="DC26" s="1266">
        <f t="shared" ca="1" si="12"/>
        <v>-8.8298100394354595E-2</v>
      </c>
      <c r="DD26" s="1266">
        <f t="shared" ca="1" si="12"/>
        <v>-8.8298100394354595E-2</v>
      </c>
      <c r="DE26" s="1266">
        <f t="shared" ca="1" si="12"/>
        <v>-8.8298100394354595E-2</v>
      </c>
      <c r="DF26" s="1266">
        <f t="shared" ca="1" si="12"/>
        <v>-8.8298100394354595E-2</v>
      </c>
      <c r="DG26" s="1266">
        <f t="shared" ca="1" si="12"/>
        <v>-8.8298100394354595E-2</v>
      </c>
      <c r="DH26" s="1266">
        <f t="shared" ca="1" si="12"/>
        <v>-8.8298100394354595E-2</v>
      </c>
      <c r="DI26" s="1266">
        <f t="shared" ca="1" si="12"/>
        <v>-8.8298100394354595E-2</v>
      </c>
      <c r="DJ26" s="1266">
        <f t="shared" ca="1" si="12"/>
        <v>-8.8298100394354595E-2</v>
      </c>
      <c r="DK26" s="1266">
        <f t="shared" ca="1" si="12"/>
        <v>-8.8298100394354595E-2</v>
      </c>
      <c r="DL26" s="1266">
        <f t="shared" ca="1" si="12"/>
        <v>-8.8298100394354595E-2</v>
      </c>
      <c r="DM26" s="1266" t="str">
        <f t="shared" ca="1" si="12"/>
        <v/>
      </c>
      <c r="DN26" s="1266" t="str">
        <f t="shared" ca="1" si="12"/>
        <v/>
      </c>
      <c r="DO26" s="1266" t="str">
        <f t="shared" ca="1" si="12"/>
        <v/>
      </c>
      <c r="DP26" s="1266" t="str">
        <f t="shared" ca="1" si="12"/>
        <v/>
      </c>
      <c r="DQ26" s="1266" t="str">
        <f t="shared" ca="1" si="12"/>
        <v/>
      </c>
      <c r="DR26" s="1266" t="str">
        <f t="shared" ca="1" si="13"/>
        <v/>
      </c>
      <c r="DS26" s="1266" t="str">
        <f t="shared" ca="1" si="13"/>
        <v/>
      </c>
      <c r="DT26" s="1266" t="str">
        <f t="shared" ca="1" si="13"/>
        <v/>
      </c>
      <c r="DU26" s="1266" t="str">
        <f t="shared" ca="1" si="13"/>
        <v/>
      </c>
      <c r="DV26" s="1266" t="str">
        <f t="shared" ca="1" si="13"/>
        <v/>
      </c>
      <c r="DW26" s="1266" t="str">
        <f t="shared" ca="1" si="13"/>
        <v/>
      </c>
      <c r="DX26" s="1266" t="str">
        <f t="shared" ca="1" si="13"/>
        <v/>
      </c>
      <c r="DY26" s="1266" t="str">
        <f t="shared" ca="1" si="13"/>
        <v/>
      </c>
    </row>
    <row r="27" spans="1:129">
      <c r="A27" s="303">
        <v>2018</v>
      </c>
      <c r="B27" s="304">
        <f ca="1">IF($D$3="BAU",UtilityDemand!C20,INDIRECT($D$3&amp;"!B"&amp;ROW(A27))+INDIRECT($D$3&amp;"!D"&amp;ROW(A27)))</f>
        <v>145404.603223279</v>
      </c>
      <c r="C27" s="305">
        <f t="shared" ca="1" si="14"/>
        <v>-0.1184913243327199</v>
      </c>
      <c r="D27" s="306">
        <f t="shared" si="15"/>
        <v>-17229.184000000001</v>
      </c>
      <c r="E27" s="304">
        <f ca="1">IF($D$3="BAU",UtilityDemand!E20,INDIRECT($D$3&amp;"!E"&amp;ROW(D27))+INDIRECT($D$3&amp;"!G"&amp;ROW(D27)))</f>
        <v>775102.27227590943</v>
      </c>
      <c r="F27" s="305">
        <v>0</v>
      </c>
      <c r="G27" s="306">
        <f t="shared" ca="1" si="16"/>
        <v>0</v>
      </c>
      <c r="H27" s="304">
        <f ca="1">IF($D$3="BAU",UtilityDemand!G20,INDIRECT($D$3&amp;"!H"&amp;ROW(G27))+INDIRECT($D$3&amp;"!J"&amp;ROW(G27)))</f>
        <v>209846.86423547054</v>
      </c>
      <c r="I27" s="305">
        <f t="shared" ca="1" si="17"/>
        <v>0.99611838738482872</v>
      </c>
      <c r="J27" s="306">
        <f t="shared" si="2"/>
        <v>209032.32000000001</v>
      </c>
      <c r="K27" s="307">
        <f t="shared" ca="1" si="18"/>
        <v>128175.41922327899</v>
      </c>
      <c r="L27" s="307">
        <f t="shared" si="19"/>
        <v>0</v>
      </c>
      <c r="M27" s="307">
        <v>0</v>
      </c>
      <c r="N27" s="307">
        <f t="shared" ca="1" si="20"/>
        <v>128175.41922327899</v>
      </c>
      <c r="O27" s="1494">
        <f t="shared" ca="1" si="21"/>
        <v>775102.27227590943</v>
      </c>
      <c r="P27" s="306">
        <f t="shared" si="22"/>
        <v>0</v>
      </c>
      <c r="Q27" s="306">
        <v>0</v>
      </c>
      <c r="R27" s="306">
        <f t="shared" ca="1" si="23"/>
        <v>775102.27227590943</v>
      </c>
      <c r="S27" s="818">
        <f t="shared" ca="1" si="24"/>
        <v>418879.18423547054</v>
      </c>
      <c r="T27" s="818">
        <v>0</v>
      </c>
      <c r="U27" s="818">
        <v>0</v>
      </c>
      <c r="V27" s="818">
        <f t="shared" ca="1" si="25"/>
        <v>418879.18423547054</v>
      </c>
      <c r="W27" s="306">
        <f t="shared" si="3"/>
        <v>0</v>
      </c>
      <c r="X27" s="306">
        <f t="shared" ca="1" si="4"/>
        <v>-4813.8132520121389</v>
      </c>
      <c r="Y27" s="306">
        <v>0</v>
      </c>
      <c r="Z27" s="306">
        <v>0</v>
      </c>
      <c r="AA27" s="308">
        <f ca="1">-SUM(W27,X27/OFFSET(GridFootprintbyYear,$A27-$A$19,0)*EF_PurchElec_MTperMWh,Z27)*OFFSET(ExposureCalculations!Price_GHG_Allowance_2010,A27-$A$19,0)*ExposureCalculations!D24</f>
        <v>72660.29111211632</v>
      </c>
      <c r="AB27" s="308">
        <f t="shared" ca="1" si="5"/>
        <v>1524095.317740432</v>
      </c>
      <c r="AC27" s="308">
        <v>0</v>
      </c>
      <c r="AD27" s="819">
        <f t="shared" ca="1" si="6"/>
        <v>0</v>
      </c>
      <c r="AE27" s="308">
        <v>0</v>
      </c>
      <c r="AF27" s="819">
        <v>0</v>
      </c>
      <c r="AG27" s="308">
        <f t="shared" ca="1" si="26"/>
        <v>-1097496.393125867</v>
      </c>
      <c r="AH27" s="308">
        <v>0</v>
      </c>
      <c r="AI27" s="308">
        <v>0</v>
      </c>
      <c r="AJ27" s="308">
        <f t="shared" ca="1" si="7"/>
        <v>426598.92461456498</v>
      </c>
      <c r="AK27" s="309">
        <f t="shared" si="27"/>
        <v>550000</v>
      </c>
      <c r="AL27" s="309">
        <f t="shared" si="28"/>
        <v>0</v>
      </c>
      <c r="AM27" s="309">
        <f t="shared" si="29"/>
        <v>550000</v>
      </c>
      <c r="AN27" s="310">
        <v>0</v>
      </c>
      <c r="AO27" s="310">
        <v>0</v>
      </c>
      <c r="AP27" s="310">
        <f t="shared" si="30"/>
        <v>0</v>
      </c>
      <c r="AQ27" s="309">
        <v>0</v>
      </c>
      <c r="AR27" s="311">
        <f t="shared" ca="1" si="8"/>
        <v>1049259.2157266813</v>
      </c>
      <c r="AS27" s="870">
        <f t="shared" ca="1" si="31"/>
        <v>5122348.6290298672</v>
      </c>
      <c r="AT27" s="822"/>
      <c r="AU27" s="919">
        <v>0.7</v>
      </c>
      <c r="AV27" s="35" t="s">
        <v>1378</v>
      </c>
      <c r="AW27" s="879"/>
      <c r="AX27" s="35"/>
      <c r="AY27" s="880"/>
      <c r="BK27" s="312">
        <f t="shared" ca="1" si="43"/>
        <v>0</v>
      </c>
      <c r="BL27" s="312" t="e">
        <f t="shared" si="47"/>
        <v>#N/A</v>
      </c>
      <c r="BN27" s="271">
        <f t="shared" si="32"/>
        <v>2018</v>
      </c>
      <c r="BO27" s="123">
        <f t="shared" si="33"/>
        <v>5542</v>
      </c>
      <c r="BP27" s="123">
        <f t="shared" si="48"/>
        <v>679.19999999999993</v>
      </c>
      <c r="BQ27" s="123">
        <f t="shared" si="34"/>
        <v>15517600</v>
      </c>
      <c r="BR27" s="123">
        <f t="shared" si="35"/>
        <v>1901759.9999999998</v>
      </c>
      <c r="BS27" s="123">
        <f t="shared" si="36"/>
        <v>17419360</v>
      </c>
      <c r="BT27" s="123"/>
      <c r="BU27" s="123">
        <f t="shared" si="9"/>
        <v>4354.8399999999992</v>
      </c>
      <c r="BV27" s="123"/>
      <c r="BW27" s="123">
        <f t="shared" si="37"/>
        <v>17229.184000000001</v>
      </c>
      <c r="BX27" s="123">
        <f t="shared" si="38"/>
        <v>10451.616</v>
      </c>
      <c r="BY27" s="123"/>
      <c r="BZ27" s="123">
        <f t="shared" si="39"/>
        <v>3300</v>
      </c>
      <c r="CA27" s="123">
        <f t="shared" si="49"/>
        <v>1100</v>
      </c>
      <c r="CB27" s="312">
        <f t="shared" si="44"/>
        <v>550000</v>
      </c>
      <c r="CC27" s="123">
        <f t="shared" si="45"/>
        <v>4300</v>
      </c>
      <c r="CD27" s="123">
        <f t="shared" si="40"/>
        <v>2500</v>
      </c>
      <c r="CE27" s="312">
        <f t="shared" si="46"/>
        <v>1200000</v>
      </c>
      <c r="CF27" s="123"/>
      <c r="CG27" s="123"/>
      <c r="CH27" s="123"/>
      <c r="CI27" s="1305">
        <f t="shared" si="41"/>
        <v>2018</v>
      </c>
      <c r="CJ27" s="1266">
        <f t="shared" si="42"/>
        <v>0</v>
      </c>
      <c r="CK27" s="1266" t="str">
        <f t="shared" ca="1" si="10"/>
        <v/>
      </c>
      <c r="CL27" s="1266" t="str">
        <f t="shared" ca="1" si="11"/>
        <v/>
      </c>
      <c r="CM27" s="1266" t="str">
        <f t="shared" ca="1" si="11"/>
        <v/>
      </c>
      <c r="CN27" s="1266" t="str">
        <f t="shared" ca="1" si="11"/>
        <v/>
      </c>
      <c r="CO27" s="1266" t="str">
        <f t="shared" ca="1" si="11"/>
        <v/>
      </c>
      <c r="CP27" s="1266" t="str">
        <f t="shared" ca="1" si="11"/>
        <v/>
      </c>
      <c r="CQ27" s="1266" t="str">
        <f t="shared" ca="1" si="11"/>
        <v/>
      </c>
      <c r="CR27" s="1266" t="str">
        <f t="shared" ca="1" si="11"/>
        <v/>
      </c>
      <c r="CS27" s="1266" t="str">
        <f t="shared" ca="1" si="11"/>
        <v/>
      </c>
      <c r="CT27" s="1266">
        <f t="shared" ca="1" si="11"/>
        <v>0</v>
      </c>
      <c r="CU27" s="1266">
        <f t="shared" ca="1" si="11"/>
        <v>0</v>
      </c>
      <c r="CV27" s="1266">
        <f t="shared" ca="1" si="11"/>
        <v>0</v>
      </c>
      <c r="CW27" s="1266">
        <f t="shared" ca="1" si="11"/>
        <v>0</v>
      </c>
      <c r="CX27" s="1266">
        <f t="shared" ca="1" si="11"/>
        <v>0</v>
      </c>
      <c r="CY27" s="1266">
        <f t="shared" ca="1" si="11"/>
        <v>0</v>
      </c>
      <c r="CZ27" s="1266">
        <f t="shared" ca="1" si="11"/>
        <v>0</v>
      </c>
      <c r="DA27" s="1266">
        <f t="shared" ca="1" si="11"/>
        <v>0</v>
      </c>
      <c r="DB27" s="1266">
        <f t="shared" ca="1" si="12"/>
        <v>0</v>
      </c>
      <c r="DC27" s="1266">
        <f t="shared" ca="1" si="12"/>
        <v>0</v>
      </c>
      <c r="DD27" s="1266">
        <f t="shared" ca="1" si="12"/>
        <v>0</v>
      </c>
      <c r="DE27" s="1266">
        <f t="shared" ca="1" si="12"/>
        <v>0</v>
      </c>
      <c r="DF27" s="1266">
        <f t="shared" ca="1" si="12"/>
        <v>0</v>
      </c>
      <c r="DG27" s="1266">
        <f t="shared" ca="1" si="12"/>
        <v>0</v>
      </c>
      <c r="DH27" s="1266">
        <f t="shared" ca="1" si="12"/>
        <v>0</v>
      </c>
      <c r="DI27" s="1266">
        <f t="shared" ca="1" si="12"/>
        <v>0</v>
      </c>
      <c r="DJ27" s="1266">
        <f t="shared" ca="1" si="12"/>
        <v>0</v>
      </c>
      <c r="DK27" s="1266">
        <f t="shared" ca="1" si="12"/>
        <v>0</v>
      </c>
      <c r="DL27" s="1266">
        <f t="shared" ca="1" si="12"/>
        <v>0</v>
      </c>
      <c r="DM27" s="1266">
        <f t="shared" ca="1" si="12"/>
        <v>0</v>
      </c>
      <c r="DN27" s="1266" t="str">
        <f t="shared" ca="1" si="12"/>
        <v/>
      </c>
      <c r="DO27" s="1266" t="str">
        <f t="shared" ca="1" si="12"/>
        <v/>
      </c>
      <c r="DP27" s="1266" t="str">
        <f t="shared" ca="1" si="12"/>
        <v/>
      </c>
      <c r="DQ27" s="1266" t="str">
        <f t="shared" ca="1" si="12"/>
        <v/>
      </c>
      <c r="DR27" s="1266" t="str">
        <f t="shared" ca="1" si="13"/>
        <v/>
      </c>
      <c r="DS27" s="1266" t="str">
        <f t="shared" ca="1" si="13"/>
        <v/>
      </c>
      <c r="DT27" s="1266" t="str">
        <f t="shared" ca="1" si="13"/>
        <v/>
      </c>
      <c r="DU27" s="1266" t="str">
        <f t="shared" ca="1" si="13"/>
        <v/>
      </c>
      <c r="DV27" s="1266" t="str">
        <f t="shared" ca="1" si="13"/>
        <v/>
      </c>
      <c r="DW27" s="1266" t="str">
        <f t="shared" ca="1" si="13"/>
        <v/>
      </c>
      <c r="DX27" s="1266" t="str">
        <f t="shared" ca="1" si="13"/>
        <v/>
      </c>
      <c r="DY27" s="1266" t="str">
        <f t="shared" ca="1" si="13"/>
        <v/>
      </c>
    </row>
    <row r="28" spans="1:129">
      <c r="A28" s="303">
        <v>2019</v>
      </c>
      <c r="B28" s="304">
        <f ca="1">IF($D$3="BAU",UtilityDemand!C21,INDIRECT($D$3&amp;"!B"&amp;ROW(A28))+INDIRECT($D$3&amp;"!D"&amp;ROW(A28)))</f>
        <v>146981.22882413102</v>
      </c>
      <c r="C28" s="305">
        <f t="shared" ca="1" si="14"/>
        <v>-0.11867591623466024</v>
      </c>
      <c r="D28" s="306">
        <f t="shared" si="15"/>
        <v>-17443.132000000001</v>
      </c>
      <c r="E28" s="304">
        <f ca="1">IF($D$3="BAU",UtilityDemand!E21,INDIRECT($D$3&amp;"!E"&amp;ROW(D28))+INDIRECT($D$3&amp;"!G"&amp;ROW(D28)))</f>
        <v>783488.87140558485</v>
      </c>
      <c r="F28" s="305">
        <v>0</v>
      </c>
      <c r="G28" s="306">
        <f t="shared" ca="1" si="16"/>
        <v>0</v>
      </c>
      <c r="H28" s="304">
        <f ca="1">IF($D$3="BAU",UtilityDemand!G21,INDIRECT($D$3&amp;"!H"&amp;ROW(G28))+INDIRECT($D$3&amp;"!J"&amp;ROW(G28)))</f>
        <v>212911.39879807425</v>
      </c>
      <c r="I28" s="305">
        <f t="shared" ca="1" si="17"/>
        <v>0.99517903313834433</v>
      </c>
      <c r="J28" s="306">
        <f t="shared" si="2"/>
        <v>211884.96</v>
      </c>
      <c r="K28" s="307">
        <f t="shared" ca="1" si="18"/>
        <v>129538.09682413102</v>
      </c>
      <c r="L28" s="307">
        <f t="shared" si="19"/>
        <v>0</v>
      </c>
      <c r="M28" s="307">
        <v>0</v>
      </c>
      <c r="N28" s="307">
        <f t="shared" ca="1" si="20"/>
        <v>129538.09682413102</v>
      </c>
      <c r="O28" s="1494">
        <f t="shared" ca="1" si="21"/>
        <v>783488.87140558485</v>
      </c>
      <c r="P28" s="306">
        <f t="shared" si="22"/>
        <v>0</v>
      </c>
      <c r="Q28" s="306">
        <v>0</v>
      </c>
      <c r="R28" s="306">
        <f t="shared" ca="1" si="23"/>
        <v>783488.87140558485</v>
      </c>
      <c r="S28" s="818">
        <f t="shared" ca="1" si="24"/>
        <v>424796.35879807424</v>
      </c>
      <c r="T28" s="818">
        <v>0</v>
      </c>
      <c r="U28" s="818">
        <v>0</v>
      </c>
      <c r="V28" s="818">
        <f t="shared" ca="1" si="25"/>
        <v>424796.35879807424</v>
      </c>
      <c r="W28" s="306">
        <f t="shared" si="3"/>
        <v>0</v>
      </c>
      <c r="X28" s="306">
        <f t="shared" ca="1" si="4"/>
        <v>-4864.4659206213655</v>
      </c>
      <c r="Y28" s="306">
        <v>0</v>
      </c>
      <c r="Z28" s="306">
        <v>0</v>
      </c>
      <c r="AA28" s="308">
        <f ca="1">-SUM(W28,X28/OFFSET(GridFootprintbyYear,$A28-$A$19,0)*EF_PurchElec_MTperMWh,Z28)*OFFSET(ExposureCalculations!Price_GHG_Allowance_2010,A28-$A$19,0)*ExposureCalculations!D25</f>
        <v>82093.013350032998</v>
      </c>
      <c r="AB28" s="308">
        <f t="shared" ca="1" si="5"/>
        <v>1550736.2848390231</v>
      </c>
      <c r="AC28" s="308">
        <v>0</v>
      </c>
      <c r="AD28" s="819">
        <f t="shared" ca="1" si="6"/>
        <v>0</v>
      </c>
      <c r="AE28" s="308">
        <v>0</v>
      </c>
      <c r="AF28" s="819">
        <v>0</v>
      </c>
      <c r="AG28" s="308">
        <f t="shared" ca="1" si="26"/>
        <v>-1097496.393125867</v>
      </c>
      <c r="AH28" s="308">
        <v>0</v>
      </c>
      <c r="AI28" s="308">
        <v>0</v>
      </c>
      <c r="AJ28" s="308">
        <f t="shared" ca="1" si="7"/>
        <v>453239.89171315613</v>
      </c>
      <c r="AK28" s="309">
        <f t="shared" si="27"/>
        <v>550000</v>
      </c>
      <c r="AL28" s="309">
        <f t="shared" si="28"/>
        <v>0</v>
      </c>
      <c r="AM28" s="309">
        <f t="shared" si="29"/>
        <v>550000</v>
      </c>
      <c r="AN28" s="310">
        <v>0</v>
      </c>
      <c r="AO28" s="310">
        <v>0</v>
      </c>
      <c r="AP28" s="310">
        <f t="shared" si="30"/>
        <v>0</v>
      </c>
      <c r="AQ28" s="309">
        <v>0</v>
      </c>
      <c r="AR28" s="311">
        <f t="shared" ca="1" si="8"/>
        <v>1085332.9050631891</v>
      </c>
      <c r="AS28" s="870">
        <f t="shared" ca="1" si="31"/>
        <v>6207681.5340930559</v>
      </c>
      <c r="AT28" s="822"/>
      <c r="AU28" s="878"/>
      <c r="AV28" s="35"/>
      <c r="AW28" s="879"/>
      <c r="AX28" s="35"/>
      <c r="AY28" s="880"/>
      <c r="BK28" s="312">
        <f t="shared" ca="1" si="43"/>
        <v>0</v>
      </c>
      <c r="BL28" s="312" t="e">
        <f t="shared" si="47"/>
        <v>#N/A</v>
      </c>
      <c r="BN28" s="271">
        <f t="shared" si="32"/>
        <v>2019</v>
      </c>
      <c r="BO28" s="123">
        <f t="shared" si="33"/>
        <v>5542</v>
      </c>
      <c r="BP28" s="123">
        <f t="shared" si="48"/>
        <v>764.09999999999991</v>
      </c>
      <c r="BQ28" s="123">
        <f t="shared" si="34"/>
        <v>15517600</v>
      </c>
      <c r="BR28" s="123">
        <f t="shared" si="35"/>
        <v>2139479.9999999995</v>
      </c>
      <c r="BS28" s="123">
        <f t="shared" si="36"/>
        <v>17657080</v>
      </c>
      <c r="BT28" s="123"/>
      <c r="BU28" s="123">
        <f t="shared" si="9"/>
        <v>4414.2699999999995</v>
      </c>
      <c r="BV28" s="123"/>
      <c r="BW28" s="123">
        <f t="shared" si="37"/>
        <v>17443.132000000001</v>
      </c>
      <c r="BX28" s="123">
        <f t="shared" si="38"/>
        <v>10594.248</v>
      </c>
      <c r="BY28" s="123"/>
      <c r="BZ28" s="123">
        <f t="shared" si="39"/>
        <v>3080</v>
      </c>
      <c r="CA28" s="123">
        <f t="shared" si="49"/>
        <v>1320</v>
      </c>
      <c r="CB28" s="312">
        <f t="shared" si="44"/>
        <v>550000</v>
      </c>
      <c r="CC28" s="123">
        <f t="shared" si="45"/>
        <v>4300</v>
      </c>
      <c r="CD28" s="123">
        <f t="shared" si="40"/>
        <v>2500</v>
      </c>
      <c r="CE28" s="312">
        <f t="shared" si="46"/>
        <v>0</v>
      </c>
      <c r="CF28" s="123"/>
      <c r="CG28" s="123"/>
      <c r="CH28" s="123"/>
      <c r="CI28" s="1305">
        <f t="shared" si="41"/>
        <v>2019</v>
      </c>
      <c r="CJ28" s="1266">
        <f t="shared" si="42"/>
        <v>0</v>
      </c>
      <c r="CK28" s="1266" t="str">
        <f t="shared" ca="1" si="10"/>
        <v/>
      </c>
      <c r="CL28" s="1266" t="str">
        <f t="shared" ca="1" si="11"/>
        <v/>
      </c>
      <c r="CM28" s="1266" t="str">
        <f t="shared" ca="1" si="11"/>
        <v/>
      </c>
      <c r="CN28" s="1266" t="str">
        <f t="shared" ca="1" si="11"/>
        <v/>
      </c>
      <c r="CO28" s="1266" t="str">
        <f t="shared" ca="1" si="11"/>
        <v/>
      </c>
      <c r="CP28" s="1266" t="str">
        <f t="shared" ca="1" si="11"/>
        <v/>
      </c>
      <c r="CQ28" s="1266" t="str">
        <f t="shared" ca="1" si="11"/>
        <v/>
      </c>
      <c r="CR28" s="1266" t="str">
        <f t="shared" ca="1" si="11"/>
        <v/>
      </c>
      <c r="CS28" s="1266" t="str">
        <f t="shared" ca="1" si="11"/>
        <v/>
      </c>
      <c r="CT28" s="1266" t="str">
        <f t="shared" ca="1" si="11"/>
        <v/>
      </c>
      <c r="CU28" s="1266">
        <f t="shared" ca="1" si="11"/>
        <v>0</v>
      </c>
      <c r="CV28" s="1266">
        <f t="shared" ca="1" si="11"/>
        <v>0</v>
      </c>
      <c r="CW28" s="1266">
        <f t="shared" ca="1" si="11"/>
        <v>0</v>
      </c>
      <c r="CX28" s="1266">
        <f t="shared" ca="1" si="11"/>
        <v>0</v>
      </c>
      <c r="CY28" s="1266">
        <f t="shared" ca="1" si="11"/>
        <v>0</v>
      </c>
      <c r="CZ28" s="1266">
        <f t="shared" ca="1" si="11"/>
        <v>0</v>
      </c>
      <c r="DA28" s="1266">
        <f t="shared" ca="1" si="11"/>
        <v>0</v>
      </c>
      <c r="DB28" s="1266">
        <f t="shared" ca="1" si="12"/>
        <v>0</v>
      </c>
      <c r="DC28" s="1266">
        <f t="shared" ca="1" si="12"/>
        <v>0</v>
      </c>
      <c r="DD28" s="1266">
        <f t="shared" ca="1" si="12"/>
        <v>0</v>
      </c>
      <c r="DE28" s="1266">
        <f t="shared" ca="1" si="12"/>
        <v>0</v>
      </c>
      <c r="DF28" s="1266">
        <f t="shared" ca="1" si="12"/>
        <v>0</v>
      </c>
      <c r="DG28" s="1266">
        <f t="shared" ca="1" si="12"/>
        <v>0</v>
      </c>
      <c r="DH28" s="1266">
        <f t="shared" ca="1" si="12"/>
        <v>0</v>
      </c>
      <c r="DI28" s="1266">
        <f t="shared" ca="1" si="12"/>
        <v>0</v>
      </c>
      <c r="DJ28" s="1266">
        <f t="shared" ca="1" si="12"/>
        <v>0</v>
      </c>
      <c r="DK28" s="1266">
        <f t="shared" ca="1" si="12"/>
        <v>0</v>
      </c>
      <c r="DL28" s="1266">
        <f t="shared" ca="1" si="12"/>
        <v>0</v>
      </c>
      <c r="DM28" s="1266">
        <f t="shared" ca="1" si="12"/>
        <v>0</v>
      </c>
      <c r="DN28" s="1266">
        <f t="shared" ca="1" si="12"/>
        <v>0</v>
      </c>
      <c r="DO28" s="1266" t="str">
        <f t="shared" ca="1" si="12"/>
        <v/>
      </c>
      <c r="DP28" s="1266" t="str">
        <f t="shared" ca="1" si="12"/>
        <v/>
      </c>
      <c r="DQ28" s="1266" t="str">
        <f t="shared" ca="1" si="12"/>
        <v/>
      </c>
      <c r="DR28" s="1266" t="str">
        <f t="shared" ca="1" si="13"/>
        <v/>
      </c>
      <c r="DS28" s="1266" t="str">
        <f t="shared" ca="1" si="13"/>
        <v/>
      </c>
      <c r="DT28" s="1266" t="str">
        <f t="shared" ca="1" si="13"/>
        <v/>
      </c>
      <c r="DU28" s="1266" t="str">
        <f t="shared" ca="1" si="13"/>
        <v/>
      </c>
      <c r="DV28" s="1266" t="str">
        <f t="shared" ca="1" si="13"/>
        <v/>
      </c>
      <c r="DW28" s="1266" t="str">
        <f t="shared" ca="1" si="13"/>
        <v/>
      </c>
      <c r="DX28" s="1266" t="str">
        <f t="shared" ca="1" si="13"/>
        <v/>
      </c>
      <c r="DY28" s="1266" t="str">
        <f t="shared" ca="1" si="13"/>
        <v/>
      </c>
    </row>
    <row r="29" spans="1:129">
      <c r="A29" s="303">
        <v>2020</v>
      </c>
      <c r="B29" s="304">
        <f ca="1">IF($D$3="BAU",UtilityDemand!C22,INDIRECT($D$3&amp;"!B"&amp;ROW(A29))+INDIRECT($D$3&amp;"!D"&amp;ROW(A29)))</f>
        <v>148557.85442498306</v>
      </c>
      <c r="C29" s="305">
        <f t="shared" ca="1" si="14"/>
        <v>-0.11885659003587898</v>
      </c>
      <c r="D29" s="306">
        <f t="shared" si="15"/>
        <v>-17657.080000000002</v>
      </c>
      <c r="E29" s="304">
        <f ca="1">IF($D$3="BAU",UtilityDemand!E22,INDIRECT($D$3&amp;"!E"&amp;ROW(D29))+INDIRECT($D$3&amp;"!G"&amp;ROW(D29)))</f>
        <v>791875.47053526016</v>
      </c>
      <c r="F29" s="305">
        <v>0</v>
      </c>
      <c r="G29" s="306">
        <f t="shared" ca="1" si="16"/>
        <v>0</v>
      </c>
      <c r="H29" s="304">
        <f ca="1">IF($D$3="BAU",UtilityDemand!G22,INDIRECT($D$3&amp;"!H"&amp;ROW(G29))+INDIRECT($D$3&amp;"!J"&amp;ROW(G29)))</f>
        <v>215975.93336067794</v>
      </c>
      <c r="I29" s="305">
        <f t="shared" ca="1" si="17"/>
        <v>0.99426633633938311</v>
      </c>
      <c r="J29" s="306">
        <f t="shared" si="2"/>
        <v>214737.6</v>
      </c>
      <c r="K29" s="307">
        <f t="shared" ca="1" si="18"/>
        <v>130900.77442498306</v>
      </c>
      <c r="L29" s="307">
        <f t="shared" si="19"/>
        <v>0</v>
      </c>
      <c r="M29" s="307">
        <v>0</v>
      </c>
      <c r="N29" s="307">
        <f t="shared" ca="1" si="20"/>
        <v>130900.77442498306</v>
      </c>
      <c r="O29" s="1494">
        <f t="shared" ca="1" si="21"/>
        <v>791875.47053526016</v>
      </c>
      <c r="P29" s="306">
        <f t="shared" si="22"/>
        <v>0</v>
      </c>
      <c r="Q29" s="306">
        <v>0</v>
      </c>
      <c r="R29" s="306">
        <f t="shared" ca="1" si="23"/>
        <v>791875.47053526016</v>
      </c>
      <c r="S29" s="818">
        <f t="shared" ca="1" si="24"/>
        <v>430713.53336067795</v>
      </c>
      <c r="T29" s="818">
        <v>0</v>
      </c>
      <c r="U29" s="818">
        <v>0</v>
      </c>
      <c r="V29" s="818">
        <f t="shared" ca="1" si="25"/>
        <v>430713.53336067795</v>
      </c>
      <c r="W29" s="306">
        <f t="shared" si="3"/>
        <v>0</v>
      </c>
      <c r="X29" s="306">
        <f t="shared" ca="1" si="4"/>
        <v>-4915.118589230593</v>
      </c>
      <c r="Y29" s="306">
        <v>0</v>
      </c>
      <c r="Z29" s="306">
        <v>0</v>
      </c>
      <c r="AA29" s="308">
        <f ca="1">-SUM(W29,X29/OFFSET(GridFootprintbyYear,$A29-$A$19,0)*EF_PurchElec_MTperMWh,Z29)*OFFSET(ExposureCalculations!Price_GHG_Allowance_2010,A29-$A$19,0)*ExposureCalculations!D26</f>
        <v>92032.86301170908</v>
      </c>
      <c r="AB29" s="308">
        <f t="shared" ca="1" si="5"/>
        <v>1577605.5592256561</v>
      </c>
      <c r="AC29" s="308">
        <v>0</v>
      </c>
      <c r="AD29" s="819">
        <f t="shared" ca="1" si="6"/>
        <v>0</v>
      </c>
      <c r="AE29" s="308">
        <v>0</v>
      </c>
      <c r="AF29" s="819">
        <v>0</v>
      </c>
      <c r="AG29" s="308">
        <f t="shared" ca="1" si="26"/>
        <v>-1097496.393125867</v>
      </c>
      <c r="AH29" s="308">
        <v>0</v>
      </c>
      <c r="AI29" s="308">
        <v>0</v>
      </c>
      <c r="AJ29" s="308">
        <f t="shared" ca="1" si="7"/>
        <v>480109.16609978909</v>
      </c>
      <c r="AK29" s="309">
        <f t="shared" si="27"/>
        <v>550000</v>
      </c>
      <c r="AL29" s="309">
        <f t="shared" si="28"/>
        <v>0</v>
      </c>
      <c r="AM29" s="309">
        <f t="shared" si="29"/>
        <v>550000</v>
      </c>
      <c r="AN29" s="310">
        <v>0</v>
      </c>
      <c r="AO29" s="310">
        <v>0</v>
      </c>
      <c r="AP29" s="310">
        <f t="shared" si="30"/>
        <v>0</v>
      </c>
      <c r="AQ29" s="309">
        <v>0</v>
      </c>
      <c r="AR29" s="311">
        <f t="shared" ca="1" si="8"/>
        <v>1122142.029111498</v>
      </c>
      <c r="AS29" s="870">
        <f t="shared" ca="1" si="31"/>
        <v>7329823.5632045539</v>
      </c>
      <c r="AT29" s="822"/>
      <c r="AU29" s="878"/>
      <c r="AV29" s="35"/>
      <c r="AW29" s="879"/>
      <c r="AX29" s="35"/>
      <c r="AY29" s="880"/>
      <c r="BK29" s="312">
        <f t="shared" ca="1" si="43"/>
        <v>0</v>
      </c>
      <c r="BL29" s="312" t="e">
        <f t="shared" si="47"/>
        <v>#N/A</v>
      </c>
      <c r="BN29" s="271">
        <f t="shared" si="32"/>
        <v>2020</v>
      </c>
      <c r="BO29" s="123">
        <f t="shared" si="33"/>
        <v>5542</v>
      </c>
      <c r="BP29" s="123">
        <f t="shared" si="48"/>
        <v>848.99999999999989</v>
      </c>
      <c r="BQ29" s="123">
        <f t="shared" si="34"/>
        <v>15517600</v>
      </c>
      <c r="BR29" s="123">
        <f t="shared" si="35"/>
        <v>2377199.9999999995</v>
      </c>
      <c r="BS29" s="123">
        <f t="shared" si="36"/>
        <v>17894800</v>
      </c>
      <c r="BT29" s="123"/>
      <c r="BU29" s="123">
        <f t="shared" si="9"/>
        <v>4473.7</v>
      </c>
      <c r="BV29" s="123"/>
      <c r="BW29" s="123">
        <f t="shared" si="37"/>
        <v>17657.080000000002</v>
      </c>
      <c r="BX29" s="123">
        <f t="shared" si="38"/>
        <v>10736.88</v>
      </c>
      <c r="BY29" s="123"/>
      <c r="BZ29" s="123">
        <f t="shared" si="39"/>
        <v>2860</v>
      </c>
      <c r="CA29" s="123">
        <f t="shared" si="49"/>
        <v>1540</v>
      </c>
      <c r="CB29" s="312">
        <f t="shared" si="44"/>
        <v>550000</v>
      </c>
      <c r="CC29" s="123">
        <f t="shared" si="45"/>
        <v>4300</v>
      </c>
      <c r="CD29" s="123">
        <f t="shared" si="40"/>
        <v>2500</v>
      </c>
      <c r="CE29" s="312">
        <f t="shared" si="46"/>
        <v>0</v>
      </c>
      <c r="CF29" s="123"/>
      <c r="CG29" s="123"/>
      <c r="CH29" s="123"/>
      <c r="CI29" s="1305">
        <f t="shared" si="41"/>
        <v>2020</v>
      </c>
      <c r="CJ29" s="1266">
        <f t="shared" si="42"/>
        <v>0</v>
      </c>
      <c r="CK29" s="1266" t="str">
        <f t="shared" ca="1" si="10"/>
        <v/>
      </c>
      <c r="CL29" s="1266" t="str">
        <f t="shared" ca="1" si="11"/>
        <v/>
      </c>
      <c r="CM29" s="1266" t="str">
        <f t="shared" ca="1" si="11"/>
        <v/>
      </c>
      <c r="CN29" s="1266" t="str">
        <f t="shared" ca="1" si="11"/>
        <v/>
      </c>
      <c r="CO29" s="1266" t="str">
        <f t="shared" ca="1" si="11"/>
        <v/>
      </c>
      <c r="CP29" s="1266" t="str">
        <f t="shared" ca="1" si="11"/>
        <v/>
      </c>
      <c r="CQ29" s="1266" t="str">
        <f t="shared" ca="1" si="11"/>
        <v/>
      </c>
      <c r="CR29" s="1266" t="str">
        <f t="shared" ca="1" si="11"/>
        <v/>
      </c>
      <c r="CS29" s="1266" t="str">
        <f t="shared" ca="1" si="11"/>
        <v/>
      </c>
      <c r="CT29" s="1266" t="str">
        <f t="shared" ca="1" si="11"/>
        <v/>
      </c>
      <c r="CU29" s="1266" t="str">
        <f t="shared" ca="1" si="11"/>
        <v/>
      </c>
      <c r="CV29" s="1266">
        <f t="shared" ca="1" si="11"/>
        <v>0</v>
      </c>
      <c r="CW29" s="1266">
        <f t="shared" ca="1" si="11"/>
        <v>0</v>
      </c>
      <c r="CX29" s="1266">
        <f t="shared" ca="1" si="11"/>
        <v>0</v>
      </c>
      <c r="CY29" s="1266">
        <f t="shared" ca="1" si="11"/>
        <v>0</v>
      </c>
      <c r="CZ29" s="1266">
        <f t="shared" ca="1" si="11"/>
        <v>0</v>
      </c>
      <c r="DA29" s="1266">
        <f t="shared" ca="1" si="11"/>
        <v>0</v>
      </c>
      <c r="DB29" s="1266">
        <f t="shared" ca="1" si="12"/>
        <v>0</v>
      </c>
      <c r="DC29" s="1266">
        <f t="shared" ca="1" si="12"/>
        <v>0</v>
      </c>
      <c r="DD29" s="1266">
        <f t="shared" ca="1" si="12"/>
        <v>0</v>
      </c>
      <c r="DE29" s="1266">
        <f t="shared" ca="1" si="12"/>
        <v>0</v>
      </c>
      <c r="DF29" s="1266">
        <f t="shared" ca="1" si="12"/>
        <v>0</v>
      </c>
      <c r="DG29" s="1266">
        <f t="shared" ca="1" si="12"/>
        <v>0</v>
      </c>
      <c r="DH29" s="1266">
        <f t="shared" ca="1" si="12"/>
        <v>0</v>
      </c>
      <c r="DI29" s="1266">
        <f t="shared" ca="1" si="12"/>
        <v>0</v>
      </c>
      <c r="DJ29" s="1266">
        <f t="shared" ca="1" si="12"/>
        <v>0</v>
      </c>
      <c r="DK29" s="1266">
        <f t="shared" ca="1" si="12"/>
        <v>0</v>
      </c>
      <c r="DL29" s="1266">
        <f t="shared" ca="1" si="12"/>
        <v>0</v>
      </c>
      <c r="DM29" s="1266">
        <f t="shared" ca="1" si="12"/>
        <v>0</v>
      </c>
      <c r="DN29" s="1266">
        <f t="shared" ca="1" si="12"/>
        <v>0</v>
      </c>
      <c r="DO29" s="1266">
        <f t="shared" ca="1" si="12"/>
        <v>0</v>
      </c>
      <c r="DP29" s="1266" t="str">
        <f t="shared" ca="1" si="12"/>
        <v/>
      </c>
      <c r="DQ29" s="1266" t="str">
        <f t="shared" ca="1" si="12"/>
        <v/>
      </c>
      <c r="DR29" s="1266" t="str">
        <f t="shared" ca="1" si="13"/>
        <v/>
      </c>
      <c r="DS29" s="1266" t="str">
        <f t="shared" ca="1" si="13"/>
        <v/>
      </c>
      <c r="DT29" s="1266" t="str">
        <f t="shared" ca="1" si="13"/>
        <v/>
      </c>
      <c r="DU29" s="1266" t="str">
        <f t="shared" ca="1" si="13"/>
        <v/>
      </c>
      <c r="DV29" s="1266" t="str">
        <f t="shared" ca="1" si="13"/>
        <v/>
      </c>
      <c r="DW29" s="1266" t="str">
        <f t="shared" ca="1" si="13"/>
        <v/>
      </c>
      <c r="DX29" s="1266" t="str">
        <f t="shared" ca="1" si="13"/>
        <v/>
      </c>
      <c r="DY29" s="1266" t="str">
        <f t="shared" ca="1" si="13"/>
        <v/>
      </c>
    </row>
    <row r="30" spans="1:129">
      <c r="A30" s="303">
        <v>2021</v>
      </c>
      <c r="B30" s="304">
        <f ca="1">IF($D$3="BAU",UtilityDemand!C23,INDIRECT($D$3&amp;"!B"&amp;ROW(A30))+INDIRECT($D$3&amp;"!D"&amp;ROW(A30)))</f>
        <v>150134.48002583507</v>
      </c>
      <c r="C30" s="305">
        <f t="shared" ca="1" si="14"/>
        <v>-0.11903346917326893</v>
      </c>
      <c r="D30" s="306">
        <f t="shared" si="15"/>
        <v>-17871.027999999998</v>
      </c>
      <c r="E30" s="304">
        <f ca="1">IF($D$3="BAU",UtilityDemand!E23,INDIRECT($D$3&amp;"!E"&amp;ROW(D30))+INDIRECT($D$3&amp;"!G"&amp;ROW(D30)))</f>
        <v>800262.06966493546</v>
      </c>
      <c r="F30" s="305">
        <v>0</v>
      </c>
      <c r="G30" s="306">
        <f t="shared" ca="1" si="16"/>
        <v>0</v>
      </c>
      <c r="H30" s="304">
        <f ca="1">IF($D$3="BAU",UtilityDemand!G23,INDIRECT($D$3&amp;"!H"&amp;ROW(G30))+INDIRECT($D$3&amp;"!J"&amp;ROW(G30)))</f>
        <v>219040.46792328163</v>
      </c>
      <c r="I30" s="305">
        <f t="shared" ca="1" si="17"/>
        <v>0.99337917811703369</v>
      </c>
      <c r="J30" s="306">
        <f t="shared" si="2"/>
        <v>217590.24</v>
      </c>
      <c r="K30" s="307">
        <f t="shared" ca="1" si="18"/>
        <v>132263.45202583508</v>
      </c>
      <c r="L30" s="307">
        <f t="shared" si="19"/>
        <v>0</v>
      </c>
      <c r="M30" s="307">
        <v>0</v>
      </c>
      <c r="N30" s="307">
        <f t="shared" ca="1" si="20"/>
        <v>132263.45202583508</v>
      </c>
      <c r="O30" s="1494">
        <f t="shared" ca="1" si="21"/>
        <v>800262.06966493546</v>
      </c>
      <c r="P30" s="306">
        <f t="shared" si="22"/>
        <v>0</v>
      </c>
      <c r="Q30" s="306">
        <v>0</v>
      </c>
      <c r="R30" s="306">
        <f t="shared" ca="1" si="23"/>
        <v>800262.06966493546</v>
      </c>
      <c r="S30" s="818">
        <f t="shared" ca="1" si="24"/>
        <v>436630.70792328159</v>
      </c>
      <c r="T30" s="818">
        <v>0</v>
      </c>
      <c r="U30" s="818">
        <v>0</v>
      </c>
      <c r="V30" s="818">
        <f t="shared" ca="1" si="25"/>
        <v>436630.70792328159</v>
      </c>
      <c r="W30" s="306">
        <f t="shared" si="3"/>
        <v>0</v>
      </c>
      <c r="X30" s="306">
        <f t="shared" ca="1" si="4"/>
        <v>-4965.7712578398159</v>
      </c>
      <c r="Y30" s="306">
        <v>0</v>
      </c>
      <c r="Z30" s="306">
        <v>0</v>
      </c>
      <c r="AA30" s="308">
        <f ca="1">-SUM(W30,X30/OFFSET(GridFootprintbyYear,$A30-$A$19,0)*EF_PurchElec_MTperMWh,Z30)*OFFSET(ExposureCalculations!Price_GHG_Allowance_2010,A30-$A$19,0)*ExposureCalculations!D27</f>
        <v>103571.04851356204</v>
      </c>
      <c r="AB30" s="308">
        <f t="shared" ca="1" si="5"/>
        <v>1604704.7579490347</v>
      </c>
      <c r="AC30" s="308">
        <v>0</v>
      </c>
      <c r="AD30" s="819">
        <f t="shared" ca="1" si="6"/>
        <v>0</v>
      </c>
      <c r="AE30" s="308">
        <v>0</v>
      </c>
      <c r="AF30" s="819">
        <v>0</v>
      </c>
      <c r="AG30" s="308">
        <f t="shared" ca="1" si="26"/>
        <v>-1097496.393125867</v>
      </c>
      <c r="AH30" s="308">
        <v>0</v>
      </c>
      <c r="AI30" s="308">
        <v>0</v>
      </c>
      <c r="AJ30" s="308">
        <f t="shared" ca="1" si="7"/>
        <v>507208.36482316768</v>
      </c>
      <c r="AK30" s="309">
        <f t="shared" si="27"/>
        <v>550000</v>
      </c>
      <c r="AL30" s="309">
        <f t="shared" si="28"/>
        <v>0</v>
      </c>
      <c r="AM30" s="309">
        <f t="shared" si="29"/>
        <v>550000</v>
      </c>
      <c r="AN30" s="310">
        <v>0</v>
      </c>
      <c r="AO30" s="310">
        <v>0</v>
      </c>
      <c r="AP30" s="310">
        <f t="shared" si="30"/>
        <v>0</v>
      </c>
      <c r="AQ30" s="309">
        <v>0</v>
      </c>
      <c r="AR30" s="311">
        <f t="shared" ca="1" si="8"/>
        <v>1160779.4133367296</v>
      </c>
      <c r="AS30" s="870">
        <f t="shared" ca="1" si="31"/>
        <v>8490602.9765412845</v>
      </c>
      <c r="AT30" s="822"/>
      <c r="AU30" s="918">
        <v>2800</v>
      </c>
      <c r="AV30" s="35" t="s">
        <v>1379</v>
      </c>
      <c r="AW30" s="879"/>
      <c r="AX30" s="35"/>
      <c r="AY30" s="880"/>
      <c r="BK30" s="312">
        <f t="shared" ca="1" si="43"/>
        <v>0</v>
      </c>
      <c r="BL30" s="312" t="e">
        <f t="shared" si="47"/>
        <v>#N/A</v>
      </c>
      <c r="BN30" s="271">
        <f t="shared" si="32"/>
        <v>2021</v>
      </c>
      <c r="BO30" s="123">
        <f t="shared" si="33"/>
        <v>5542</v>
      </c>
      <c r="BP30" s="123">
        <f t="shared" si="48"/>
        <v>933.89999999999986</v>
      </c>
      <c r="BQ30" s="123">
        <f t="shared" si="34"/>
        <v>15517600</v>
      </c>
      <c r="BR30" s="123">
        <f t="shared" si="35"/>
        <v>2614919.9999999995</v>
      </c>
      <c r="BS30" s="123">
        <f t="shared" si="36"/>
        <v>18132520</v>
      </c>
      <c r="BT30" s="123"/>
      <c r="BU30" s="123">
        <f t="shared" si="9"/>
        <v>4533.1299999999992</v>
      </c>
      <c r="BV30" s="123"/>
      <c r="BW30" s="123">
        <f t="shared" si="37"/>
        <v>17871.027999999998</v>
      </c>
      <c r="BX30" s="123">
        <f t="shared" si="38"/>
        <v>10879.512000000001</v>
      </c>
      <c r="BY30" s="123"/>
      <c r="BZ30" s="123">
        <f t="shared" si="39"/>
        <v>2640</v>
      </c>
      <c r="CA30" s="123">
        <f t="shared" si="49"/>
        <v>1760</v>
      </c>
      <c r="CB30" s="312">
        <f t="shared" si="44"/>
        <v>550000</v>
      </c>
      <c r="CC30" s="123">
        <f t="shared" si="45"/>
        <v>4300</v>
      </c>
      <c r="CD30" s="123">
        <f t="shared" si="40"/>
        <v>2500</v>
      </c>
      <c r="CE30" s="312">
        <f t="shared" si="46"/>
        <v>0</v>
      </c>
      <c r="CF30" s="123"/>
      <c r="CG30" s="123"/>
      <c r="CH30" s="123"/>
      <c r="CI30" s="1305">
        <f t="shared" si="41"/>
        <v>2021</v>
      </c>
      <c r="CJ30" s="1266">
        <f t="shared" si="42"/>
        <v>0</v>
      </c>
      <c r="CK30" s="1266" t="str">
        <f t="shared" ca="1" si="10"/>
        <v/>
      </c>
      <c r="CL30" s="1266" t="str">
        <f t="shared" ca="1" si="11"/>
        <v/>
      </c>
      <c r="CM30" s="1266" t="str">
        <f t="shared" ca="1" si="11"/>
        <v/>
      </c>
      <c r="CN30" s="1266" t="str">
        <f t="shared" ca="1" si="11"/>
        <v/>
      </c>
      <c r="CO30" s="1266" t="str">
        <f t="shared" ca="1" si="11"/>
        <v/>
      </c>
      <c r="CP30" s="1266" t="str">
        <f t="shared" ca="1" si="11"/>
        <v/>
      </c>
      <c r="CQ30" s="1266" t="str">
        <f t="shared" ca="1" si="11"/>
        <v/>
      </c>
      <c r="CR30" s="1266" t="str">
        <f t="shared" ca="1" si="11"/>
        <v/>
      </c>
      <c r="CS30" s="1266" t="str">
        <f t="shared" ca="1" si="11"/>
        <v/>
      </c>
      <c r="CT30" s="1266" t="str">
        <f t="shared" ca="1" si="11"/>
        <v/>
      </c>
      <c r="CU30" s="1266" t="str">
        <f t="shared" ca="1" si="11"/>
        <v/>
      </c>
      <c r="CV30" s="1266" t="str">
        <f t="shared" ca="1" si="11"/>
        <v/>
      </c>
      <c r="CW30" s="1266">
        <f t="shared" ca="1" si="11"/>
        <v>0</v>
      </c>
      <c r="CX30" s="1266">
        <f t="shared" ca="1" si="11"/>
        <v>0</v>
      </c>
      <c r="CY30" s="1266">
        <f t="shared" ca="1" si="11"/>
        <v>0</v>
      </c>
      <c r="CZ30" s="1266">
        <f t="shared" ca="1" si="11"/>
        <v>0</v>
      </c>
      <c r="DA30" s="1266">
        <f t="shared" ca="1" si="11"/>
        <v>0</v>
      </c>
      <c r="DB30" s="1266">
        <f t="shared" ca="1" si="12"/>
        <v>0</v>
      </c>
      <c r="DC30" s="1266">
        <f t="shared" ca="1" si="12"/>
        <v>0</v>
      </c>
      <c r="DD30" s="1266">
        <f t="shared" ca="1" si="12"/>
        <v>0</v>
      </c>
      <c r="DE30" s="1266">
        <f t="shared" ca="1" si="12"/>
        <v>0</v>
      </c>
      <c r="DF30" s="1266">
        <f t="shared" ca="1" si="12"/>
        <v>0</v>
      </c>
      <c r="DG30" s="1266">
        <f t="shared" ca="1" si="12"/>
        <v>0</v>
      </c>
      <c r="DH30" s="1266">
        <f t="shared" ca="1" si="12"/>
        <v>0</v>
      </c>
      <c r="DI30" s="1266">
        <f t="shared" ca="1" si="12"/>
        <v>0</v>
      </c>
      <c r="DJ30" s="1266">
        <f t="shared" ca="1" si="12"/>
        <v>0</v>
      </c>
      <c r="DK30" s="1266">
        <f t="shared" ca="1" si="12"/>
        <v>0</v>
      </c>
      <c r="DL30" s="1266">
        <f t="shared" ca="1" si="12"/>
        <v>0</v>
      </c>
      <c r="DM30" s="1266">
        <f t="shared" ca="1" si="12"/>
        <v>0</v>
      </c>
      <c r="DN30" s="1266">
        <f t="shared" ca="1" si="12"/>
        <v>0</v>
      </c>
      <c r="DO30" s="1266">
        <f t="shared" ca="1" si="12"/>
        <v>0</v>
      </c>
      <c r="DP30" s="1266">
        <f t="shared" ca="1" si="12"/>
        <v>0</v>
      </c>
      <c r="DQ30" s="1266" t="str">
        <f t="shared" ca="1" si="12"/>
        <v/>
      </c>
      <c r="DR30" s="1266" t="str">
        <f t="shared" ca="1" si="13"/>
        <v/>
      </c>
      <c r="DS30" s="1266" t="str">
        <f t="shared" ca="1" si="13"/>
        <v/>
      </c>
      <c r="DT30" s="1266" t="str">
        <f t="shared" ca="1" si="13"/>
        <v/>
      </c>
      <c r="DU30" s="1266" t="str">
        <f t="shared" ca="1" si="13"/>
        <v/>
      </c>
      <c r="DV30" s="1266" t="str">
        <f t="shared" ca="1" si="13"/>
        <v/>
      </c>
      <c r="DW30" s="1266" t="str">
        <f t="shared" ca="1" si="13"/>
        <v/>
      </c>
      <c r="DX30" s="1266" t="str">
        <f t="shared" ca="1" si="13"/>
        <v/>
      </c>
      <c r="DY30" s="1266" t="str">
        <f t="shared" ca="1" si="13"/>
        <v/>
      </c>
    </row>
    <row r="31" spans="1:129">
      <c r="A31" s="303">
        <v>2022</v>
      </c>
      <c r="B31" s="304">
        <f ca="1">IF($D$3="BAU",UtilityDemand!C24,INDIRECT($D$3&amp;"!B"&amp;ROW(A31))+INDIRECT($D$3&amp;"!D"&amp;ROW(A31)))</f>
        <v>151711.10562668712</v>
      </c>
      <c r="C31" s="305">
        <f t="shared" ca="1" si="14"/>
        <v>-0.11920667195255558</v>
      </c>
      <c r="D31" s="306">
        <f t="shared" si="15"/>
        <v>-18084.975999999999</v>
      </c>
      <c r="E31" s="304">
        <f ca="1">IF($D$3="BAU",UtilityDemand!E24,INDIRECT($D$3&amp;"!E"&amp;ROW(D31))+INDIRECT($D$3&amp;"!G"&amp;ROW(D31)))</f>
        <v>808648.668794611</v>
      </c>
      <c r="F31" s="305">
        <v>0</v>
      </c>
      <c r="G31" s="306">
        <f t="shared" ca="1" si="16"/>
        <v>0</v>
      </c>
      <c r="H31" s="304">
        <f ca="1">IF($D$3="BAU",UtilityDemand!G24,INDIRECT($D$3&amp;"!H"&amp;ROW(G31))+INDIRECT($D$3&amp;"!J"&amp;ROW(G31)))</f>
        <v>222105.00248588528</v>
      </c>
      <c r="I31" s="305">
        <f t="shared" ca="1" si="17"/>
        <v>0.99251650135169334</v>
      </c>
      <c r="J31" s="306">
        <f t="shared" si="2"/>
        <v>220442.88</v>
      </c>
      <c r="K31" s="307">
        <f t="shared" ca="1" si="18"/>
        <v>133626.12962668712</v>
      </c>
      <c r="L31" s="307">
        <f t="shared" si="19"/>
        <v>0</v>
      </c>
      <c r="M31" s="307">
        <v>0</v>
      </c>
      <c r="N31" s="307">
        <f t="shared" ca="1" si="20"/>
        <v>133626.12962668712</v>
      </c>
      <c r="O31" s="1494">
        <f t="shared" ca="1" si="21"/>
        <v>808648.668794611</v>
      </c>
      <c r="P31" s="306">
        <f t="shared" si="22"/>
        <v>0</v>
      </c>
      <c r="Q31" s="306">
        <v>0</v>
      </c>
      <c r="R31" s="306">
        <f t="shared" ca="1" si="23"/>
        <v>808648.668794611</v>
      </c>
      <c r="S31" s="818">
        <f t="shared" ca="1" si="24"/>
        <v>442547.88248588529</v>
      </c>
      <c r="T31" s="818">
        <v>0</v>
      </c>
      <c r="U31" s="818">
        <v>0</v>
      </c>
      <c r="V31" s="818">
        <f t="shared" ca="1" si="25"/>
        <v>442547.88248588529</v>
      </c>
      <c r="W31" s="306">
        <f t="shared" si="3"/>
        <v>0</v>
      </c>
      <c r="X31" s="306">
        <f t="shared" ca="1" si="4"/>
        <v>-5016.4239264490425</v>
      </c>
      <c r="Y31" s="306">
        <v>0</v>
      </c>
      <c r="Z31" s="306">
        <v>0</v>
      </c>
      <c r="AA31" s="308">
        <f ca="1">-SUM(W31,X31/OFFSET(GridFootprintbyYear,$A31-$A$19,0)*EF_PurchElec_MTperMWh,Z31)*OFFSET(ExposureCalculations!Price_GHG_Allowance_2010,A31-$A$19,0)*ExposureCalculations!D28</f>
        <v>115738.1058966859</v>
      </c>
      <c r="AB31" s="308">
        <f t="shared" ca="1" si="5"/>
        <v>1632035.508520666</v>
      </c>
      <c r="AC31" s="308">
        <v>0</v>
      </c>
      <c r="AD31" s="819">
        <f t="shared" ca="1" si="6"/>
        <v>0</v>
      </c>
      <c r="AE31" s="308">
        <v>0</v>
      </c>
      <c r="AF31" s="819">
        <v>0</v>
      </c>
      <c r="AG31" s="308">
        <f t="shared" ca="1" si="26"/>
        <v>-1097496.393125867</v>
      </c>
      <c r="AH31" s="308">
        <v>0</v>
      </c>
      <c r="AI31" s="308">
        <v>0</v>
      </c>
      <c r="AJ31" s="308">
        <f t="shared" ca="1" si="7"/>
        <v>534539.11539479904</v>
      </c>
      <c r="AK31" s="309">
        <f t="shared" si="27"/>
        <v>550000</v>
      </c>
      <c r="AL31" s="309">
        <f t="shared" si="28"/>
        <v>0</v>
      </c>
      <c r="AM31" s="309">
        <f t="shared" si="29"/>
        <v>550000</v>
      </c>
      <c r="AN31" s="310">
        <v>0</v>
      </c>
      <c r="AO31" s="310">
        <v>0</v>
      </c>
      <c r="AP31" s="310">
        <f t="shared" si="30"/>
        <v>0</v>
      </c>
      <c r="AQ31" s="309">
        <v>0</v>
      </c>
      <c r="AR31" s="311">
        <f t="shared" ca="1" si="8"/>
        <v>1200277.2212914848</v>
      </c>
      <c r="AS31" s="870">
        <f t="shared" ca="1" si="31"/>
        <v>9690880.1978327688</v>
      </c>
      <c r="AT31" s="822"/>
      <c r="AU31" s="918"/>
      <c r="AV31" s="35"/>
      <c r="AW31" s="879"/>
      <c r="AX31" s="35"/>
      <c r="AY31" s="880"/>
      <c r="BK31" s="312">
        <f t="shared" ca="1" si="43"/>
        <v>0</v>
      </c>
      <c r="BL31" s="312" t="e">
        <f t="shared" si="47"/>
        <v>#N/A</v>
      </c>
      <c r="BN31" s="271">
        <f t="shared" si="32"/>
        <v>2022</v>
      </c>
      <c r="BO31" s="123">
        <f t="shared" si="33"/>
        <v>5542</v>
      </c>
      <c r="BP31" s="123">
        <f t="shared" si="48"/>
        <v>1018.7999999999998</v>
      </c>
      <c r="BQ31" s="123">
        <f t="shared" si="34"/>
        <v>15517600</v>
      </c>
      <c r="BR31" s="123">
        <f t="shared" si="35"/>
        <v>2852639.9999999995</v>
      </c>
      <c r="BS31" s="123">
        <f t="shared" si="36"/>
        <v>18370240</v>
      </c>
      <c r="BT31" s="123"/>
      <c r="BU31" s="123">
        <f t="shared" si="9"/>
        <v>4592.5599999999995</v>
      </c>
      <c r="BV31" s="123"/>
      <c r="BW31" s="123">
        <f t="shared" si="37"/>
        <v>18084.975999999999</v>
      </c>
      <c r="BX31" s="123">
        <f t="shared" si="38"/>
        <v>11022.144</v>
      </c>
      <c r="BY31" s="123"/>
      <c r="BZ31" s="123">
        <f t="shared" si="39"/>
        <v>2420</v>
      </c>
      <c r="CA31" s="123">
        <f t="shared" si="49"/>
        <v>1980</v>
      </c>
      <c r="CB31" s="312">
        <f t="shared" si="44"/>
        <v>550000</v>
      </c>
      <c r="CC31" s="123">
        <f t="shared" si="45"/>
        <v>4300</v>
      </c>
      <c r="CD31" s="123">
        <f t="shared" si="40"/>
        <v>2500</v>
      </c>
      <c r="CE31" s="312">
        <f t="shared" si="46"/>
        <v>0</v>
      </c>
      <c r="CF31" s="123"/>
      <c r="CG31" s="123"/>
      <c r="CH31" s="123"/>
      <c r="CI31" s="1305">
        <f t="shared" si="41"/>
        <v>2022</v>
      </c>
      <c r="CJ31" s="1266">
        <f t="shared" si="42"/>
        <v>0</v>
      </c>
      <c r="CK31" s="1266" t="str">
        <f t="shared" ca="1" si="10"/>
        <v/>
      </c>
      <c r="CL31" s="1266" t="str">
        <f t="shared" ca="1" si="11"/>
        <v/>
      </c>
      <c r="CM31" s="1266" t="str">
        <f t="shared" ca="1" si="11"/>
        <v/>
      </c>
      <c r="CN31" s="1266" t="str">
        <f t="shared" ca="1" si="11"/>
        <v/>
      </c>
      <c r="CO31" s="1266" t="str">
        <f t="shared" ca="1" si="11"/>
        <v/>
      </c>
      <c r="CP31" s="1266" t="str">
        <f t="shared" ca="1" si="11"/>
        <v/>
      </c>
      <c r="CQ31" s="1266" t="str">
        <f t="shared" ca="1" si="11"/>
        <v/>
      </c>
      <c r="CR31" s="1266" t="str">
        <f t="shared" ca="1" si="11"/>
        <v/>
      </c>
      <c r="CS31" s="1266" t="str">
        <f t="shared" ca="1" si="11"/>
        <v/>
      </c>
      <c r="CT31" s="1266" t="str">
        <f t="shared" ca="1" si="11"/>
        <v/>
      </c>
      <c r="CU31" s="1266" t="str">
        <f t="shared" ca="1" si="11"/>
        <v/>
      </c>
      <c r="CV31" s="1266" t="str">
        <f t="shared" ca="1" si="11"/>
        <v/>
      </c>
      <c r="CW31" s="1266" t="str">
        <f t="shared" ca="1" si="11"/>
        <v/>
      </c>
      <c r="CX31" s="1266">
        <f t="shared" ca="1" si="11"/>
        <v>0</v>
      </c>
      <c r="CY31" s="1266">
        <f t="shared" ca="1" si="11"/>
        <v>0</v>
      </c>
      <c r="CZ31" s="1266">
        <f t="shared" ca="1" si="11"/>
        <v>0</v>
      </c>
      <c r="DA31" s="1266">
        <f t="shared" ca="1" si="11"/>
        <v>0</v>
      </c>
      <c r="DB31" s="1266">
        <f t="shared" ca="1" si="12"/>
        <v>0</v>
      </c>
      <c r="DC31" s="1266">
        <f t="shared" ca="1" si="12"/>
        <v>0</v>
      </c>
      <c r="DD31" s="1266">
        <f t="shared" ca="1" si="12"/>
        <v>0</v>
      </c>
      <c r="DE31" s="1266">
        <f t="shared" ca="1" si="12"/>
        <v>0</v>
      </c>
      <c r="DF31" s="1266">
        <f t="shared" ca="1" si="12"/>
        <v>0</v>
      </c>
      <c r="DG31" s="1266">
        <f t="shared" ca="1" si="12"/>
        <v>0</v>
      </c>
      <c r="DH31" s="1266">
        <f t="shared" ca="1" si="12"/>
        <v>0</v>
      </c>
      <c r="DI31" s="1266">
        <f t="shared" ca="1" si="12"/>
        <v>0</v>
      </c>
      <c r="DJ31" s="1266">
        <f t="shared" ca="1" si="12"/>
        <v>0</v>
      </c>
      <c r="DK31" s="1266">
        <f t="shared" ca="1" si="12"/>
        <v>0</v>
      </c>
      <c r="DL31" s="1266">
        <f t="shared" ca="1" si="12"/>
        <v>0</v>
      </c>
      <c r="DM31" s="1266">
        <f t="shared" ca="1" si="12"/>
        <v>0</v>
      </c>
      <c r="DN31" s="1266">
        <f t="shared" ca="1" si="12"/>
        <v>0</v>
      </c>
      <c r="DO31" s="1266">
        <f t="shared" ca="1" si="12"/>
        <v>0</v>
      </c>
      <c r="DP31" s="1266">
        <f t="shared" ca="1" si="12"/>
        <v>0</v>
      </c>
      <c r="DQ31" s="1266">
        <f t="shared" ca="1" si="12"/>
        <v>0</v>
      </c>
      <c r="DR31" s="1266" t="str">
        <f t="shared" ca="1" si="13"/>
        <v/>
      </c>
      <c r="DS31" s="1266" t="str">
        <f t="shared" ca="1" si="13"/>
        <v/>
      </c>
      <c r="DT31" s="1266" t="str">
        <f t="shared" ca="1" si="13"/>
        <v/>
      </c>
      <c r="DU31" s="1266" t="str">
        <f t="shared" ca="1" si="13"/>
        <v/>
      </c>
      <c r="DV31" s="1266" t="str">
        <f t="shared" ca="1" si="13"/>
        <v/>
      </c>
      <c r="DW31" s="1266" t="str">
        <f t="shared" ca="1" si="13"/>
        <v/>
      </c>
      <c r="DX31" s="1266" t="str">
        <f t="shared" ca="1" si="13"/>
        <v/>
      </c>
      <c r="DY31" s="1266" t="str">
        <f t="shared" ca="1" si="13"/>
        <v/>
      </c>
    </row>
    <row r="32" spans="1:129">
      <c r="A32" s="303">
        <v>2023</v>
      </c>
      <c r="B32" s="304">
        <f ca="1">IF($D$3="BAU",UtilityDemand!C25,INDIRECT($D$3&amp;"!B"&amp;ROW(A32))+INDIRECT($D$3&amp;"!D"&amp;ROW(A32)))</f>
        <v>153287.73122753916</v>
      </c>
      <c r="C32" s="305">
        <f t="shared" ca="1" si="14"/>
        <v>-0.11937631181217767</v>
      </c>
      <c r="D32" s="306">
        <f t="shared" si="15"/>
        <v>-18298.923999999999</v>
      </c>
      <c r="E32" s="304">
        <f ca="1">IF($D$3="BAU",UtilityDemand!E25,INDIRECT($D$3&amp;"!E"&amp;ROW(D32))+INDIRECT($D$3&amp;"!G"&amp;ROW(D32)))</f>
        <v>817035.26792428643</v>
      </c>
      <c r="F32" s="305">
        <v>0</v>
      </c>
      <c r="G32" s="306">
        <f t="shared" ca="1" si="16"/>
        <v>0</v>
      </c>
      <c r="H32" s="304">
        <f ca="1">IF($D$3="BAU",UtilityDemand!G25,INDIRECT($D$3&amp;"!H"&amp;ROW(G32))+INDIRECT($D$3&amp;"!J"&amp;ROW(G32)))</f>
        <v>225169.537048489</v>
      </c>
      <c r="I32" s="305">
        <f t="shared" ca="1" si="17"/>
        <v>0.99167730647292018</v>
      </c>
      <c r="J32" s="306">
        <f t="shared" si="2"/>
        <v>223295.52</v>
      </c>
      <c r="K32" s="307">
        <f t="shared" ca="1" si="18"/>
        <v>134988.80722753916</v>
      </c>
      <c r="L32" s="307">
        <f t="shared" si="19"/>
        <v>0</v>
      </c>
      <c r="M32" s="307">
        <v>0</v>
      </c>
      <c r="N32" s="307">
        <f t="shared" ca="1" si="20"/>
        <v>134988.80722753916</v>
      </c>
      <c r="O32" s="1494">
        <f t="shared" ca="1" si="21"/>
        <v>817035.26792428643</v>
      </c>
      <c r="P32" s="306">
        <f t="shared" si="22"/>
        <v>0</v>
      </c>
      <c r="Q32" s="306">
        <v>0</v>
      </c>
      <c r="R32" s="306">
        <f t="shared" ca="1" si="23"/>
        <v>817035.26792428643</v>
      </c>
      <c r="S32" s="818">
        <f t="shared" ca="1" si="24"/>
        <v>448465.05704848899</v>
      </c>
      <c r="T32" s="818">
        <v>0</v>
      </c>
      <c r="U32" s="818">
        <v>0</v>
      </c>
      <c r="V32" s="818">
        <f t="shared" ca="1" si="25"/>
        <v>448465.05704848899</v>
      </c>
      <c r="W32" s="306">
        <f t="shared" si="3"/>
        <v>0</v>
      </c>
      <c r="X32" s="306">
        <f t="shared" ca="1" si="4"/>
        <v>-5067.07659505827</v>
      </c>
      <c r="Y32" s="306">
        <v>0</v>
      </c>
      <c r="Z32" s="306">
        <v>0</v>
      </c>
      <c r="AA32" s="308">
        <f ca="1">-SUM(W32,X32/OFFSET(GridFootprintbyYear,$A32-$A$19,0)*EF_PurchElec_MTperMWh,Z32)*OFFSET(ExposureCalculations!Price_GHG_Allowance_2010,A32-$A$19,0)*ExposureCalculations!D29</f>
        <v>128529.72581900941</v>
      </c>
      <c r="AB32" s="308">
        <f t="shared" ca="1" si="5"/>
        <v>1659599.4489790655</v>
      </c>
      <c r="AC32" s="308">
        <v>0</v>
      </c>
      <c r="AD32" s="819">
        <f t="shared" ca="1" si="6"/>
        <v>0</v>
      </c>
      <c r="AE32" s="308">
        <v>0</v>
      </c>
      <c r="AF32" s="819">
        <v>0</v>
      </c>
      <c r="AG32" s="308">
        <f t="shared" ca="1" si="26"/>
        <v>-1097496.393125867</v>
      </c>
      <c r="AH32" s="308">
        <v>0</v>
      </c>
      <c r="AI32" s="308">
        <v>0</v>
      </c>
      <c r="AJ32" s="308">
        <f t="shared" ca="1" si="7"/>
        <v>562103.05585319852</v>
      </c>
      <c r="AK32" s="309">
        <f t="shared" si="27"/>
        <v>550000</v>
      </c>
      <c r="AL32" s="309">
        <f t="shared" si="28"/>
        <v>0</v>
      </c>
      <c r="AM32" s="309">
        <f t="shared" si="29"/>
        <v>550000</v>
      </c>
      <c r="AN32" s="310">
        <v>0</v>
      </c>
      <c r="AO32" s="310">
        <v>0</v>
      </c>
      <c r="AP32" s="310">
        <f t="shared" si="30"/>
        <v>0</v>
      </c>
      <c r="AQ32" s="309">
        <v>0</v>
      </c>
      <c r="AR32" s="311">
        <f t="shared" ca="1" si="8"/>
        <v>1240632.7816722079</v>
      </c>
      <c r="AS32" s="870">
        <f t="shared" ca="1" si="31"/>
        <v>10931512.979504976</v>
      </c>
      <c r="AT32" s="822"/>
      <c r="AU32" s="918">
        <v>2000</v>
      </c>
      <c r="AV32" s="35" t="s">
        <v>1442</v>
      </c>
      <c r="AW32" s="879"/>
      <c r="AX32" s="35"/>
      <c r="AY32" s="880"/>
      <c r="BK32" s="312">
        <f t="shared" ca="1" si="43"/>
        <v>0</v>
      </c>
      <c r="BL32" s="312" t="e">
        <f t="shared" si="47"/>
        <v>#N/A</v>
      </c>
      <c r="BN32" s="271">
        <f t="shared" si="32"/>
        <v>2023</v>
      </c>
      <c r="BO32" s="123">
        <f t="shared" si="33"/>
        <v>5542</v>
      </c>
      <c r="BP32" s="123">
        <f t="shared" si="48"/>
        <v>1103.6999999999998</v>
      </c>
      <c r="BQ32" s="123">
        <f t="shared" si="34"/>
        <v>15517600</v>
      </c>
      <c r="BR32" s="123">
        <f t="shared" si="35"/>
        <v>3090359.9999999995</v>
      </c>
      <c r="BS32" s="123">
        <f t="shared" si="36"/>
        <v>18607960</v>
      </c>
      <c r="BT32" s="123"/>
      <c r="BU32" s="123">
        <f t="shared" si="9"/>
        <v>4651.99</v>
      </c>
      <c r="BV32" s="123"/>
      <c r="BW32" s="123">
        <f t="shared" si="37"/>
        <v>18298.923999999999</v>
      </c>
      <c r="BX32" s="123">
        <f t="shared" si="38"/>
        <v>11164.776</v>
      </c>
      <c r="BY32" s="123"/>
      <c r="BZ32" s="123">
        <f t="shared" si="39"/>
        <v>2200</v>
      </c>
      <c r="CA32" s="123">
        <f t="shared" si="49"/>
        <v>2200</v>
      </c>
      <c r="CB32" s="312">
        <f t="shared" si="44"/>
        <v>550000</v>
      </c>
      <c r="CC32" s="123">
        <f t="shared" si="45"/>
        <v>4300</v>
      </c>
      <c r="CD32" s="123">
        <f t="shared" si="40"/>
        <v>2500</v>
      </c>
      <c r="CE32" s="312">
        <f t="shared" si="46"/>
        <v>0</v>
      </c>
      <c r="CF32" s="123"/>
      <c r="CG32" s="123"/>
      <c r="CH32" s="123"/>
      <c r="CI32" s="1305">
        <f t="shared" si="41"/>
        <v>2023</v>
      </c>
      <c r="CJ32" s="1266">
        <f t="shared" si="42"/>
        <v>0</v>
      </c>
      <c r="CK32" s="1266" t="str">
        <f t="shared" ca="1" si="10"/>
        <v/>
      </c>
      <c r="CL32" s="1266" t="str">
        <f t="shared" ca="1" si="11"/>
        <v/>
      </c>
      <c r="CM32" s="1266" t="str">
        <f t="shared" ca="1" si="11"/>
        <v/>
      </c>
      <c r="CN32" s="1266" t="str">
        <f t="shared" ca="1" si="11"/>
        <v/>
      </c>
      <c r="CO32" s="1266" t="str">
        <f t="shared" ca="1" si="11"/>
        <v/>
      </c>
      <c r="CP32" s="1266" t="str">
        <f t="shared" ca="1" si="11"/>
        <v/>
      </c>
      <c r="CQ32" s="1266" t="str">
        <f t="shared" ca="1" si="11"/>
        <v/>
      </c>
      <c r="CR32" s="1266" t="str">
        <f t="shared" ca="1" si="11"/>
        <v/>
      </c>
      <c r="CS32" s="1266" t="str">
        <f t="shared" ca="1" si="11"/>
        <v/>
      </c>
      <c r="CT32" s="1266" t="str">
        <f t="shared" ca="1" si="11"/>
        <v/>
      </c>
      <c r="CU32" s="1266" t="str">
        <f t="shared" ca="1" si="11"/>
        <v/>
      </c>
      <c r="CV32" s="1266" t="str">
        <f t="shared" ca="1" si="11"/>
        <v/>
      </c>
      <c r="CW32" s="1266" t="str">
        <f t="shared" ca="1" si="11"/>
        <v/>
      </c>
      <c r="CX32" s="1266" t="str">
        <f t="shared" ca="1" si="11"/>
        <v/>
      </c>
      <c r="CY32" s="1266">
        <f t="shared" ca="1" si="11"/>
        <v>0</v>
      </c>
      <c r="CZ32" s="1266">
        <f t="shared" ca="1" si="11"/>
        <v>0</v>
      </c>
      <c r="DA32" s="1266">
        <f t="shared" ca="1" si="11"/>
        <v>0</v>
      </c>
      <c r="DB32" s="1266">
        <f t="shared" ca="1" si="12"/>
        <v>0</v>
      </c>
      <c r="DC32" s="1266">
        <f t="shared" ca="1" si="12"/>
        <v>0</v>
      </c>
      <c r="DD32" s="1266">
        <f t="shared" ca="1" si="12"/>
        <v>0</v>
      </c>
      <c r="DE32" s="1266">
        <f t="shared" ca="1" si="12"/>
        <v>0</v>
      </c>
      <c r="DF32" s="1266">
        <f t="shared" ca="1" si="12"/>
        <v>0</v>
      </c>
      <c r="DG32" s="1266">
        <f t="shared" ca="1" si="12"/>
        <v>0</v>
      </c>
      <c r="DH32" s="1266">
        <f t="shared" ca="1" si="12"/>
        <v>0</v>
      </c>
      <c r="DI32" s="1266">
        <f t="shared" ca="1" si="12"/>
        <v>0</v>
      </c>
      <c r="DJ32" s="1266">
        <f t="shared" ca="1" si="12"/>
        <v>0</v>
      </c>
      <c r="DK32" s="1266">
        <f t="shared" ca="1" si="12"/>
        <v>0</v>
      </c>
      <c r="DL32" s="1266">
        <f t="shared" ca="1" si="12"/>
        <v>0</v>
      </c>
      <c r="DM32" s="1266">
        <f t="shared" ca="1" si="12"/>
        <v>0</v>
      </c>
      <c r="DN32" s="1266">
        <f t="shared" ca="1" si="12"/>
        <v>0</v>
      </c>
      <c r="DO32" s="1266">
        <f t="shared" ca="1" si="12"/>
        <v>0</v>
      </c>
      <c r="DP32" s="1266">
        <f t="shared" ca="1" si="12"/>
        <v>0</v>
      </c>
      <c r="DQ32" s="1266">
        <f t="shared" ca="1" si="12"/>
        <v>0</v>
      </c>
      <c r="DR32" s="1266">
        <f t="shared" ca="1" si="13"/>
        <v>0</v>
      </c>
      <c r="DS32" s="1266" t="str">
        <f t="shared" ca="1" si="13"/>
        <v/>
      </c>
      <c r="DT32" s="1266" t="str">
        <f t="shared" ca="1" si="13"/>
        <v/>
      </c>
      <c r="DU32" s="1266" t="str">
        <f t="shared" ca="1" si="13"/>
        <v/>
      </c>
      <c r="DV32" s="1266" t="str">
        <f t="shared" ca="1" si="13"/>
        <v/>
      </c>
      <c r="DW32" s="1266" t="str">
        <f t="shared" ca="1" si="13"/>
        <v/>
      </c>
      <c r="DX32" s="1266" t="str">
        <f t="shared" ca="1" si="13"/>
        <v/>
      </c>
      <c r="DY32" s="1266" t="str">
        <f t="shared" ca="1" si="13"/>
        <v/>
      </c>
    </row>
    <row r="33" spans="1:129">
      <c r="A33" s="303">
        <v>2024</v>
      </c>
      <c r="B33" s="304">
        <f ca="1">IF($D$3="BAU",UtilityDemand!C26,INDIRECT($D$3&amp;"!B"&amp;ROW(A33))+INDIRECT($D$3&amp;"!D"&amp;ROW(A33)))</f>
        <v>154864.35682839117</v>
      </c>
      <c r="C33" s="305">
        <f t="shared" ca="1" si="14"/>
        <v>-0.11954249757104889</v>
      </c>
      <c r="D33" s="306">
        <f t="shared" si="15"/>
        <v>-18512.871999999999</v>
      </c>
      <c r="E33" s="304">
        <f ca="1">IF($D$3="BAU",UtilityDemand!E26,INDIRECT($D$3&amp;"!E"&amp;ROW(D33))+INDIRECT($D$3&amp;"!G"&amp;ROW(D33)))</f>
        <v>825421.86705396173</v>
      </c>
      <c r="F33" s="305">
        <v>0</v>
      </c>
      <c r="G33" s="306">
        <f t="shared" ca="1" si="16"/>
        <v>0</v>
      </c>
      <c r="H33" s="304">
        <f ca="1">IF($D$3="BAU",UtilityDemand!G26,INDIRECT($D$3&amp;"!H"&amp;ROW(G33))+INDIRECT($D$3&amp;"!J"&amp;ROW(G33)))</f>
        <v>228234.07161109266</v>
      </c>
      <c r="I33" s="305">
        <f t="shared" ca="1" si="17"/>
        <v>0.9908606475958287</v>
      </c>
      <c r="J33" s="306">
        <f t="shared" si="2"/>
        <v>226148.16</v>
      </c>
      <c r="K33" s="307">
        <f t="shared" ca="1" si="18"/>
        <v>136351.48482839117</v>
      </c>
      <c r="L33" s="307">
        <f t="shared" si="19"/>
        <v>0</v>
      </c>
      <c r="M33" s="307">
        <v>0</v>
      </c>
      <c r="N33" s="307">
        <f t="shared" ca="1" si="20"/>
        <v>136351.48482839117</v>
      </c>
      <c r="O33" s="1494">
        <f t="shared" ca="1" si="21"/>
        <v>825421.86705396173</v>
      </c>
      <c r="P33" s="306">
        <f t="shared" si="22"/>
        <v>0</v>
      </c>
      <c r="Q33" s="306">
        <v>0</v>
      </c>
      <c r="R33" s="306">
        <f t="shared" ca="1" si="23"/>
        <v>825421.86705396173</v>
      </c>
      <c r="S33" s="818">
        <f t="shared" ca="1" si="24"/>
        <v>454382.23161109269</v>
      </c>
      <c r="T33" s="818">
        <v>0</v>
      </c>
      <c r="U33" s="818">
        <v>0</v>
      </c>
      <c r="V33" s="818">
        <f t="shared" ca="1" si="25"/>
        <v>454382.23161109269</v>
      </c>
      <c r="W33" s="306">
        <f t="shared" si="3"/>
        <v>0</v>
      </c>
      <c r="X33" s="306">
        <f t="shared" ca="1" si="4"/>
        <v>-5117.7292636674965</v>
      </c>
      <c r="Y33" s="306">
        <v>0</v>
      </c>
      <c r="Z33" s="306">
        <v>0</v>
      </c>
      <c r="AA33" s="308">
        <f ca="1">-SUM(W33,X33/OFFSET(GridFootprintbyYear,$A33-$A$19,0)*EF_PurchElec_MTperMWh,Z33)*OFFSET(ExposureCalculations!Price_GHG_Allowance_2010,A33-$A$19,0)*ExposureCalculations!D30</f>
        <v>141941.04375809454</v>
      </c>
      <c r="AB33" s="308">
        <f t="shared" ca="1" si="5"/>
        <v>1687398.2279543357</v>
      </c>
      <c r="AC33" s="308">
        <v>0</v>
      </c>
      <c r="AD33" s="819">
        <f t="shared" ca="1" si="6"/>
        <v>0</v>
      </c>
      <c r="AE33" s="308">
        <v>0</v>
      </c>
      <c r="AF33" s="819">
        <v>0</v>
      </c>
      <c r="AG33" s="308">
        <f t="shared" ca="1" si="26"/>
        <v>-1097496.393125867</v>
      </c>
      <c r="AH33" s="308">
        <v>0</v>
      </c>
      <c r="AI33" s="308">
        <v>0</v>
      </c>
      <c r="AJ33" s="308">
        <f t="shared" ca="1" si="7"/>
        <v>589901.83482846874</v>
      </c>
      <c r="AK33" s="309">
        <f t="shared" si="27"/>
        <v>550000</v>
      </c>
      <c r="AL33" s="309">
        <f t="shared" si="28"/>
        <v>0</v>
      </c>
      <c r="AM33" s="309">
        <f t="shared" si="29"/>
        <v>550000</v>
      </c>
      <c r="AN33" s="310">
        <v>0</v>
      </c>
      <c r="AO33" s="310">
        <v>0</v>
      </c>
      <c r="AP33" s="310">
        <f t="shared" si="30"/>
        <v>0</v>
      </c>
      <c r="AQ33" s="309">
        <v>0</v>
      </c>
      <c r="AR33" s="311">
        <f t="shared" ca="1" si="8"/>
        <v>1281842.8785865633</v>
      </c>
      <c r="AS33" s="870">
        <f t="shared" ca="1" si="31"/>
        <v>12213355.858091541</v>
      </c>
      <c r="AT33" s="822"/>
      <c r="AU33" s="878"/>
      <c r="AV33" s="35"/>
      <c r="AW33" s="879"/>
      <c r="AX33" s="35"/>
      <c r="AY33" s="880"/>
      <c r="BK33" s="312">
        <f t="shared" ca="1" si="43"/>
        <v>0</v>
      </c>
      <c r="BL33" s="312" t="e">
        <f t="shared" si="47"/>
        <v>#N/A</v>
      </c>
      <c r="BN33" s="271">
        <f t="shared" si="32"/>
        <v>2024</v>
      </c>
      <c r="BO33" s="123">
        <f t="shared" si="33"/>
        <v>5542</v>
      </c>
      <c r="BP33" s="123">
        <f t="shared" si="48"/>
        <v>1188.5999999999999</v>
      </c>
      <c r="BQ33" s="123">
        <f t="shared" si="34"/>
        <v>15517600</v>
      </c>
      <c r="BR33" s="123">
        <f t="shared" si="35"/>
        <v>3328079.9999999995</v>
      </c>
      <c r="BS33" s="123">
        <f t="shared" si="36"/>
        <v>18845680</v>
      </c>
      <c r="BT33" s="123"/>
      <c r="BU33" s="123">
        <f t="shared" si="9"/>
        <v>4711.42</v>
      </c>
      <c r="BV33" s="123"/>
      <c r="BW33" s="123">
        <f t="shared" si="37"/>
        <v>18512.871999999999</v>
      </c>
      <c r="BX33" s="123">
        <f t="shared" si="38"/>
        <v>11307.407999999999</v>
      </c>
      <c r="BY33" s="123"/>
      <c r="BZ33" s="123">
        <f t="shared" si="39"/>
        <v>1980</v>
      </c>
      <c r="CA33" s="123">
        <f t="shared" si="49"/>
        <v>2420</v>
      </c>
      <c r="CB33" s="312">
        <f t="shared" si="44"/>
        <v>550000</v>
      </c>
      <c r="CC33" s="123">
        <f t="shared" si="45"/>
        <v>4300</v>
      </c>
      <c r="CD33" s="123">
        <f t="shared" si="40"/>
        <v>2500</v>
      </c>
      <c r="CE33" s="312">
        <f t="shared" si="46"/>
        <v>0</v>
      </c>
      <c r="CF33" s="123"/>
      <c r="CG33" s="123"/>
      <c r="CH33" s="123"/>
      <c r="CI33" s="1305">
        <f t="shared" si="41"/>
        <v>2024</v>
      </c>
      <c r="CJ33" s="1266">
        <f t="shared" si="42"/>
        <v>0</v>
      </c>
      <c r="CK33" s="1266" t="str">
        <f t="shared" ca="1" si="10"/>
        <v/>
      </c>
      <c r="CL33" s="1266" t="str">
        <f t="shared" ca="1" si="11"/>
        <v/>
      </c>
      <c r="CM33" s="1266" t="str">
        <f t="shared" ca="1" si="11"/>
        <v/>
      </c>
      <c r="CN33" s="1266" t="str">
        <f t="shared" ca="1" si="11"/>
        <v/>
      </c>
      <c r="CO33" s="1266" t="str">
        <f t="shared" ca="1" si="11"/>
        <v/>
      </c>
      <c r="CP33" s="1266" t="str">
        <f t="shared" ca="1" si="11"/>
        <v/>
      </c>
      <c r="CQ33" s="1266" t="str">
        <f t="shared" ca="1" si="11"/>
        <v/>
      </c>
      <c r="CR33" s="1266" t="str">
        <f t="shared" ca="1" si="11"/>
        <v/>
      </c>
      <c r="CS33" s="1266" t="str">
        <f t="shared" ca="1" si="11"/>
        <v/>
      </c>
      <c r="CT33" s="1266" t="str">
        <f t="shared" ca="1" si="11"/>
        <v/>
      </c>
      <c r="CU33" s="1266" t="str">
        <f t="shared" ca="1" si="11"/>
        <v/>
      </c>
      <c r="CV33" s="1266" t="str">
        <f t="shared" ca="1" si="11"/>
        <v/>
      </c>
      <c r="CW33" s="1266" t="str">
        <f t="shared" ca="1" si="11"/>
        <v/>
      </c>
      <c r="CX33" s="1266" t="str">
        <f t="shared" ca="1" si="11"/>
        <v/>
      </c>
      <c r="CY33" s="1266" t="str">
        <f t="shared" ca="1" si="11"/>
        <v/>
      </c>
      <c r="CZ33" s="1266">
        <f t="shared" ca="1" si="11"/>
        <v>0</v>
      </c>
      <c r="DA33" s="1266">
        <f t="shared" ca="1" si="11"/>
        <v>0</v>
      </c>
      <c r="DB33" s="1266">
        <f t="shared" ca="1" si="12"/>
        <v>0</v>
      </c>
      <c r="DC33" s="1266">
        <f t="shared" ca="1" si="12"/>
        <v>0</v>
      </c>
      <c r="DD33" s="1266">
        <f t="shared" ca="1" si="12"/>
        <v>0</v>
      </c>
      <c r="DE33" s="1266">
        <f t="shared" ca="1" si="12"/>
        <v>0</v>
      </c>
      <c r="DF33" s="1266">
        <f t="shared" ca="1" si="12"/>
        <v>0</v>
      </c>
      <c r="DG33" s="1266">
        <f t="shared" ca="1" si="12"/>
        <v>0</v>
      </c>
      <c r="DH33" s="1266">
        <f t="shared" ca="1" si="12"/>
        <v>0</v>
      </c>
      <c r="DI33" s="1266">
        <f t="shared" ca="1" si="12"/>
        <v>0</v>
      </c>
      <c r="DJ33" s="1266">
        <f t="shared" ca="1" si="12"/>
        <v>0</v>
      </c>
      <c r="DK33" s="1266">
        <f t="shared" ca="1" si="12"/>
        <v>0</v>
      </c>
      <c r="DL33" s="1266">
        <f t="shared" ca="1" si="12"/>
        <v>0</v>
      </c>
      <c r="DM33" s="1266">
        <f t="shared" ca="1" si="12"/>
        <v>0</v>
      </c>
      <c r="DN33" s="1266">
        <f t="shared" ca="1" si="12"/>
        <v>0</v>
      </c>
      <c r="DO33" s="1266">
        <f t="shared" ca="1" si="12"/>
        <v>0</v>
      </c>
      <c r="DP33" s="1266">
        <f t="shared" ca="1" si="12"/>
        <v>0</v>
      </c>
      <c r="DQ33" s="1266">
        <f t="shared" ca="1" si="12"/>
        <v>0</v>
      </c>
      <c r="DR33" s="1266">
        <f t="shared" ca="1" si="13"/>
        <v>0</v>
      </c>
      <c r="DS33" s="1266">
        <f t="shared" ca="1" si="13"/>
        <v>0</v>
      </c>
      <c r="DT33" s="1266" t="str">
        <f t="shared" ca="1" si="13"/>
        <v/>
      </c>
      <c r="DU33" s="1266" t="str">
        <f t="shared" ca="1" si="13"/>
        <v/>
      </c>
      <c r="DV33" s="1266" t="str">
        <f t="shared" ca="1" si="13"/>
        <v/>
      </c>
      <c r="DW33" s="1266" t="str">
        <f t="shared" ca="1" si="13"/>
        <v/>
      </c>
      <c r="DX33" s="1266" t="str">
        <f t="shared" ca="1" si="13"/>
        <v/>
      </c>
      <c r="DY33" s="1266" t="str">
        <f t="shared" ca="1" si="13"/>
        <v/>
      </c>
    </row>
    <row r="34" spans="1:129">
      <c r="A34" s="303">
        <v>2025</v>
      </c>
      <c r="B34" s="304">
        <f ca="1">IF($D$3="BAU",UtilityDemand!C27,INDIRECT($D$3&amp;"!B"&amp;ROW(A34))+INDIRECT($D$3&amp;"!D"&amp;ROW(A34)))</f>
        <v>156440.98242924322</v>
      </c>
      <c r="C34" s="305">
        <f t="shared" ca="1" si="14"/>
        <v>-0.11970533366133752</v>
      </c>
      <c r="D34" s="306">
        <f t="shared" si="15"/>
        <v>-18726.82</v>
      </c>
      <c r="E34" s="304">
        <f ca="1">IF($D$3="BAU",UtilityDemand!E27,INDIRECT($D$3&amp;"!E"&amp;ROW(D34))+INDIRECT($D$3&amp;"!G"&amp;ROW(D34)))</f>
        <v>833808.46618363715</v>
      </c>
      <c r="F34" s="305">
        <v>0</v>
      </c>
      <c r="G34" s="306">
        <f t="shared" ca="1" si="16"/>
        <v>0</v>
      </c>
      <c r="H34" s="304">
        <f ca="1">IF($D$3="BAU",UtilityDemand!G27,INDIRECT($D$3&amp;"!H"&amp;ROW(G34))+INDIRECT($D$3&amp;"!J"&amp;ROW(G34)))</f>
        <v>231298.6061736964</v>
      </c>
      <c r="I34" s="305">
        <f t="shared" ca="1" si="17"/>
        <v>0.99006562896461703</v>
      </c>
      <c r="J34" s="306">
        <f t="shared" si="2"/>
        <v>229000.8</v>
      </c>
      <c r="K34" s="307">
        <f t="shared" ca="1" si="18"/>
        <v>137714.16242924321</v>
      </c>
      <c r="L34" s="307">
        <f t="shared" si="19"/>
        <v>0</v>
      </c>
      <c r="M34" s="307">
        <v>0</v>
      </c>
      <c r="N34" s="307">
        <f t="shared" ca="1" si="20"/>
        <v>137714.16242924321</v>
      </c>
      <c r="O34" s="1494">
        <f t="shared" ca="1" si="21"/>
        <v>833808.46618363715</v>
      </c>
      <c r="P34" s="306">
        <f t="shared" si="22"/>
        <v>0</v>
      </c>
      <c r="Q34" s="306">
        <v>0</v>
      </c>
      <c r="R34" s="306">
        <f t="shared" ca="1" si="23"/>
        <v>833808.46618363715</v>
      </c>
      <c r="S34" s="818">
        <f t="shared" ca="1" si="24"/>
        <v>460299.40617369639</v>
      </c>
      <c r="T34" s="818">
        <v>0</v>
      </c>
      <c r="U34" s="818">
        <v>0</v>
      </c>
      <c r="V34" s="818">
        <f t="shared" ca="1" si="25"/>
        <v>460299.40617369639</v>
      </c>
      <c r="W34" s="306">
        <f t="shared" si="3"/>
        <v>0</v>
      </c>
      <c r="X34" s="306">
        <f t="shared" ca="1" si="4"/>
        <v>-5168.3819322767222</v>
      </c>
      <c r="Y34" s="306">
        <v>0</v>
      </c>
      <c r="Z34" s="306">
        <v>0</v>
      </c>
      <c r="AA34" s="308">
        <f ca="1">-SUM(W34,X34/OFFSET(GridFootprintbyYear,$A34-$A$19,0)*EF_PurchElec_MTperMWh,Z34)*OFFSET(ExposureCalculations!Price_GHG_Allowance_2010,A34-$A$19,0)*ExposureCalculations!D31</f>
        <v>155966.64609520053</v>
      </c>
      <c r="AB34" s="308">
        <f t="shared" ca="1" si="5"/>
        <v>1715433.5047331341</v>
      </c>
      <c r="AC34" s="308">
        <v>0</v>
      </c>
      <c r="AD34" s="819">
        <f t="shared" ca="1" si="6"/>
        <v>0</v>
      </c>
      <c r="AE34" s="308">
        <v>0</v>
      </c>
      <c r="AF34" s="819">
        <v>0</v>
      </c>
      <c r="AG34" s="308">
        <f t="shared" ca="1" si="26"/>
        <v>-1097496.393125867</v>
      </c>
      <c r="AH34" s="308">
        <v>0</v>
      </c>
      <c r="AI34" s="308">
        <v>0</v>
      </c>
      <c r="AJ34" s="308">
        <f t="shared" ca="1" si="7"/>
        <v>617937.11160726706</v>
      </c>
      <c r="AK34" s="309">
        <f t="shared" si="27"/>
        <v>550000</v>
      </c>
      <c r="AL34" s="309">
        <f t="shared" si="28"/>
        <v>0</v>
      </c>
      <c r="AM34" s="309">
        <f t="shared" si="29"/>
        <v>550000</v>
      </c>
      <c r="AN34" s="310">
        <v>0</v>
      </c>
      <c r="AO34" s="310">
        <v>0</v>
      </c>
      <c r="AP34" s="310">
        <f t="shared" si="30"/>
        <v>0</v>
      </c>
      <c r="AQ34" s="309">
        <v>0</v>
      </c>
      <c r="AR34" s="311">
        <f t="shared" ca="1" si="8"/>
        <v>1323903.7577024675</v>
      </c>
      <c r="AS34" s="870">
        <f t="shared" ca="1" si="31"/>
        <v>13537259.615794009</v>
      </c>
      <c r="AT34" s="822"/>
      <c r="AU34" s="878" t="s">
        <v>1439</v>
      </c>
      <c r="AV34" s="35"/>
      <c r="AW34" s="879"/>
      <c r="AX34" s="35"/>
      <c r="AY34" s="880"/>
      <c r="BK34" s="312">
        <f t="shared" ca="1" si="43"/>
        <v>0</v>
      </c>
      <c r="BL34" s="312" t="e">
        <f t="shared" si="47"/>
        <v>#N/A</v>
      </c>
      <c r="BN34" s="271">
        <f t="shared" si="32"/>
        <v>2025</v>
      </c>
      <c r="BO34" s="123">
        <f t="shared" si="33"/>
        <v>5542</v>
      </c>
      <c r="BP34" s="123">
        <f t="shared" si="48"/>
        <v>1273.5</v>
      </c>
      <c r="BQ34" s="123">
        <f t="shared" si="34"/>
        <v>15517600</v>
      </c>
      <c r="BR34" s="123">
        <f t="shared" si="35"/>
        <v>3565800</v>
      </c>
      <c r="BS34" s="123">
        <f t="shared" si="36"/>
        <v>19083400</v>
      </c>
      <c r="BT34" s="123"/>
      <c r="BU34" s="123">
        <f t="shared" si="9"/>
        <v>4770.8499999999995</v>
      </c>
      <c r="BV34" s="123"/>
      <c r="BW34" s="123">
        <f t="shared" si="37"/>
        <v>18726.82</v>
      </c>
      <c r="BX34" s="123">
        <f t="shared" si="38"/>
        <v>11450.04</v>
      </c>
      <c r="BY34" s="123"/>
      <c r="BZ34" s="123">
        <f t="shared" si="39"/>
        <v>1760</v>
      </c>
      <c r="CA34" s="123">
        <f t="shared" si="49"/>
        <v>2640</v>
      </c>
      <c r="CB34" s="312">
        <f t="shared" si="44"/>
        <v>550000</v>
      </c>
      <c r="CC34" s="123">
        <f t="shared" si="45"/>
        <v>4300</v>
      </c>
      <c r="CD34" s="123">
        <f t="shared" si="40"/>
        <v>2500</v>
      </c>
      <c r="CE34" s="312">
        <f t="shared" si="46"/>
        <v>0</v>
      </c>
      <c r="CF34" s="123"/>
      <c r="CG34" s="123"/>
      <c r="CH34" s="123"/>
      <c r="CI34" s="1305">
        <f t="shared" si="41"/>
        <v>2025</v>
      </c>
      <c r="CJ34" s="1266">
        <f t="shared" si="42"/>
        <v>0</v>
      </c>
      <c r="CK34" s="1266" t="str">
        <f t="shared" ca="1" si="10"/>
        <v/>
      </c>
      <c r="CL34" s="1266" t="str">
        <f t="shared" ca="1" si="11"/>
        <v/>
      </c>
      <c r="CM34" s="1266" t="str">
        <f t="shared" ca="1" si="11"/>
        <v/>
      </c>
      <c r="CN34" s="1266" t="str">
        <f t="shared" ca="1" si="11"/>
        <v/>
      </c>
      <c r="CO34" s="1266" t="str">
        <f t="shared" ca="1" si="11"/>
        <v/>
      </c>
      <c r="CP34" s="1266" t="str">
        <f t="shared" ca="1" si="11"/>
        <v/>
      </c>
      <c r="CQ34" s="1266" t="str">
        <f t="shared" ca="1" si="11"/>
        <v/>
      </c>
      <c r="CR34" s="1266" t="str">
        <f t="shared" ca="1" si="11"/>
        <v/>
      </c>
      <c r="CS34" s="1266" t="str">
        <f t="shared" ca="1" si="11"/>
        <v/>
      </c>
      <c r="CT34" s="1266" t="str">
        <f t="shared" ca="1" si="11"/>
        <v/>
      </c>
      <c r="CU34" s="1266" t="str">
        <f t="shared" ca="1" si="11"/>
        <v/>
      </c>
      <c r="CV34" s="1266" t="str">
        <f t="shared" ca="1" si="11"/>
        <v/>
      </c>
      <c r="CW34" s="1266" t="str">
        <f t="shared" ca="1" si="11"/>
        <v/>
      </c>
      <c r="CX34" s="1266" t="str">
        <f t="shared" ca="1" si="11"/>
        <v/>
      </c>
      <c r="CY34" s="1266" t="str">
        <f t="shared" ca="1" si="11"/>
        <v/>
      </c>
      <c r="CZ34" s="1266" t="str">
        <f t="shared" ca="1" si="11"/>
        <v/>
      </c>
      <c r="DA34" s="1266">
        <f t="shared" ref="DA34:DP49" ca="1" si="50">IF(OR(DA$18&lt;=$CI34,DA$18&gt;$CI34+$AW$53),"",PMT($AW$54,$AW$53,$CJ34))</f>
        <v>0</v>
      </c>
      <c r="DB34" s="1266">
        <f t="shared" ca="1" si="12"/>
        <v>0</v>
      </c>
      <c r="DC34" s="1266">
        <f t="shared" ca="1" si="12"/>
        <v>0</v>
      </c>
      <c r="DD34" s="1266">
        <f t="shared" ca="1" si="12"/>
        <v>0</v>
      </c>
      <c r="DE34" s="1266">
        <f t="shared" ca="1" si="12"/>
        <v>0</v>
      </c>
      <c r="DF34" s="1266">
        <f t="shared" ca="1" si="12"/>
        <v>0</v>
      </c>
      <c r="DG34" s="1266">
        <f t="shared" ca="1" si="12"/>
        <v>0</v>
      </c>
      <c r="DH34" s="1266">
        <f t="shared" ca="1" si="12"/>
        <v>0</v>
      </c>
      <c r="DI34" s="1266">
        <f t="shared" ca="1" si="12"/>
        <v>0</v>
      </c>
      <c r="DJ34" s="1266">
        <f t="shared" ca="1" si="12"/>
        <v>0</v>
      </c>
      <c r="DK34" s="1266">
        <f t="shared" ca="1" si="12"/>
        <v>0</v>
      </c>
      <c r="DL34" s="1266">
        <f t="shared" ca="1" si="12"/>
        <v>0</v>
      </c>
      <c r="DM34" s="1266">
        <f t="shared" ca="1" si="12"/>
        <v>0</v>
      </c>
      <c r="DN34" s="1266">
        <f t="shared" ca="1" si="12"/>
        <v>0</v>
      </c>
      <c r="DO34" s="1266">
        <f t="shared" ca="1" si="12"/>
        <v>0</v>
      </c>
      <c r="DP34" s="1266">
        <f t="shared" ca="1" si="12"/>
        <v>0</v>
      </c>
      <c r="DQ34" s="1266">
        <f t="shared" ref="DQ34:DY49" ca="1" si="51">IF(OR(DQ$18&lt;=$CI34,DQ$18&gt;$CI34+$AW$53),"",PMT($AW$54,$AW$53,$CJ34))</f>
        <v>0</v>
      </c>
      <c r="DR34" s="1266">
        <f t="shared" ca="1" si="13"/>
        <v>0</v>
      </c>
      <c r="DS34" s="1266">
        <f t="shared" ca="1" si="13"/>
        <v>0</v>
      </c>
      <c r="DT34" s="1266">
        <f t="shared" ca="1" si="13"/>
        <v>0</v>
      </c>
      <c r="DU34" s="1266" t="str">
        <f t="shared" ca="1" si="13"/>
        <v/>
      </c>
      <c r="DV34" s="1266" t="str">
        <f t="shared" ca="1" si="13"/>
        <v/>
      </c>
      <c r="DW34" s="1266" t="str">
        <f t="shared" ca="1" si="13"/>
        <v/>
      </c>
      <c r="DX34" s="1266" t="str">
        <f t="shared" ca="1" si="13"/>
        <v/>
      </c>
      <c r="DY34" s="1266" t="str">
        <f t="shared" ca="1" si="13"/>
        <v/>
      </c>
    </row>
    <row r="35" spans="1:129">
      <c r="A35" s="303">
        <v>2026</v>
      </c>
      <c r="B35" s="304">
        <f ca="1">IF($D$3="BAU",UtilityDemand!C28,INDIRECT($D$3&amp;"!B"&amp;ROW(A35))+INDIRECT($D$3&amp;"!D"&amp;ROW(A35)))</f>
        <v>158017.60803009526</v>
      </c>
      <c r="C35" s="305">
        <f t="shared" ca="1" si="14"/>
        <v>-0.11986492034731112</v>
      </c>
      <c r="D35" s="306">
        <f t="shared" si="15"/>
        <v>-18940.768</v>
      </c>
      <c r="E35" s="304">
        <f ca="1">IF($D$3="BAU",UtilityDemand!E28,INDIRECT($D$3&amp;"!E"&amp;ROW(D35))+INDIRECT($D$3&amp;"!G"&amp;ROW(D35)))</f>
        <v>842195.06531331246</v>
      </c>
      <c r="F35" s="305">
        <v>0</v>
      </c>
      <c r="G35" s="306">
        <f t="shared" ca="1" si="16"/>
        <v>0</v>
      </c>
      <c r="H35" s="304">
        <f ca="1">IF($D$3="BAU",UtilityDemand!G28,INDIRECT($D$3&amp;"!H"&amp;ROW(G35))+INDIRECT($D$3&amp;"!J"&amp;ROW(G35)))</f>
        <v>234363.14073630009</v>
      </c>
      <c r="I35" s="305">
        <f t="shared" ca="1" si="17"/>
        <v>0.98929140167512963</v>
      </c>
      <c r="J35" s="306">
        <f t="shared" si="2"/>
        <v>231853.44</v>
      </c>
      <c r="K35" s="307">
        <f t="shared" ca="1" si="18"/>
        <v>139076.84003009525</v>
      </c>
      <c r="L35" s="307">
        <f t="shared" si="19"/>
        <v>0</v>
      </c>
      <c r="M35" s="307">
        <v>0</v>
      </c>
      <c r="N35" s="307">
        <f t="shared" ca="1" si="20"/>
        <v>139076.84003009525</v>
      </c>
      <c r="O35" s="1494">
        <f t="shared" ca="1" si="21"/>
        <v>842195.06531331246</v>
      </c>
      <c r="P35" s="306">
        <f t="shared" si="22"/>
        <v>0</v>
      </c>
      <c r="Q35" s="306">
        <v>0</v>
      </c>
      <c r="R35" s="306">
        <f t="shared" ca="1" si="23"/>
        <v>842195.06531331246</v>
      </c>
      <c r="S35" s="818">
        <f t="shared" ca="1" si="24"/>
        <v>466216.58073630009</v>
      </c>
      <c r="T35" s="818">
        <v>0</v>
      </c>
      <c r="U35" s="818">
        <v>0</v>
      </c>
      <c r="V35" s="818">
        <f t="shared" ca="1" si="25"/>
        <v>466216.58073630009</v>
      </c>
      <c r="W35" s="306">
        <f t="shared" si="3"/>
        <v>0</v>
      </c>
      <c r="X35" s="306">
        <f t="shared" ca="1" si="4"/>
        <v>-5219.0346008859497</v>
      </c>
      <c r="Y35" s="306">
        <v>0</v>
      </c>
      <c r="Z35" s="306">
        <v>0</v>
      </c>
      <c r="AA35" s="308">
        <f ca="1">-SUM(W35,X35/OFFSET(GridFootprintbyYear,$A35-$A$19,0)*EF_PurchElec_MTperMWh,Z35)*OFFSET(ExposureCalculations!Price_GHG_Allowance_2010,A35-$A$19,0)*ExposureCalculations!D32</f>
        <v>171901.7789107775</v>
      </c>
      <c r="AB35" s="308">
        <f t="shared" ca="1" si="5"/>
        <v>1743706.9493240218</v>
      </c>
      <c r="AC35" s="308">
        <v>0</v>
      </c>
      <c r="AD35" s="819">
        <f t="shared" ca="1" si="6"/>
        <v>0</v>
      </c>
      <c r="AE35" s="308">
        <v>0</v>
      </c>
      <c r="AF35" s="819">
        <v>0</v>
      </c>
      <c r="AG35" s="308">
        <f t="shared" ca="1" si="26"/>
        <v>-1097496.393125867</v>
      </c>
      <c r="AH35" s="308">
        <v>0</v>
      </c>
      <c r="AI35" s="308">
        <v>0</v>
      </c>
      <c r="AJ35" s="308">
        <f t="shared" ca="1" si="7"/>
        <v>646210.55619815481</v>
      </c>
      <c r="AK35" s="309">
        <f t="shared" si="27"/>
        <v>550000</v>
      </c>
      <c r="AL35" s="309">
        <f t="shared" si="28"/>
        <v>0</v>
      </c>
      <c r="AM35" s="309">
        <f t="shared" si="29"/>
        <v>550000</v>
      </c>
      <c r="AN35" s="310">
        <v>0</v>
      </c>
      <c r="AO35" s="310">
        <v>0</v>
      </c>
      <c r="AP35" s="310">
        <f t="shared" si="30"/>
        <v>0</v>
      </c>
      <c r="AQ35" s="309">
        <v>0</v>
      </c>
      <c r="AR35" s="311">
        <f t="shared" ca="1" si="8"/>
        <v>1368112.3351089323</v>
      </c>
      <c r="AS35" s="870">
        <f t="shared" ca="1" si="31"/>
        <v>14905371.950902941</v>
      </c>
      <c r="AT35" s="822"/>
      <c r="AU35" s="878">
        <v>1</v>
      </c>
      <c r="AV35" s="35" t="s">
        <v>1436</v>
      </c>
      <c r="AW35" s="879"/>
      <c r="AX35" s="35"/>
      <c r="AY35" s="880"/>
      <c r="BK35" s="312">
        <f t="shared" ca="1" si="43"/>
        <v>0</v>
      </c>
      <c r="BL35" s="312" t="e">
        <f t="shared" si="47"/>
        <v>#N/A</v>
      </c>
      <c r="BN35" s="271">
        <f t="shared" si="32"/>
        <v>2026</v>
      </c>
      <c r="BO35" s="123">
        <f t="shared" si="33"/>
        <v>5542</v>
      </c>
      <c r="BP35" s="123">
        <f t="shared" si="48"/>
        <v>1358.4</v>
      </c>
      <c r="BQ35" s="123">
        <f t="shared" si="34"/>
        <v>15517600</v>
      </c>
      <c r="BR35" s="123">
        <f t="shared" si="35"/>
        <v>3803520.0000000005</v>
      </c>
      <c r="BS35" s="123">
        <f t="shared" si="36"/>
        <v>19321120</v>
      </c>
      <c r="BT35" s="123"/>
      <c r="BU35" s="123">
        <f t="shared" si="9"/>
        <v>4830.28</v>
      </c>
      <c r="BV35" s="123"/>
      <c r="BW35" s="123">
        <f t="shared" si="37"/>
        <v>18940.768</v>
      </c>
      <c r="BX35" s="123">
        <f t="shared" si="38"/>
        <v>11592.672</v>
      </c>
      <c r="BY35" s="123"/>
      <c r="BZ35" s="123">
        <f t="shared" si="39"/>
        <v>1540</v>
      </c>
      <c r="CA35" s="123">
        <f t="shared" si="49"/>
        <v>2860</v>
      </c>
      <c r="CB35" s="312">
        <f t="shared" si="44"/>
        <v>550000</v>
      </c>
      <c r="CC35" s="123">
        <f t="shared" si="45"/>
        <v>4300</v>
      </c>
      <c r="CD35" s="123">
        <f t="shared" si="40"/>
        <v>2500</v>
      </c>
      <c r="CE35" s="312">
        <f t="shared" si="46"/>
        <v>0</v>
      </c>
      <c r="CF35" s="123"/>
      <c r="CG35" s="123"/>
      <c r="CH35" s="123"/>
      <c r="CI35" s="1305">
        <f t="shared" si="41"/>
        <v>2026</v>
      </c>
      <c r="CJ35" s="1266">
        <f t="shared" si="42"/>
        <v>0</v>
      </c>
      <c r="CK35" s="1266" t="str">
        <f t="shared" ca="1" si="10"/>
        <v/>
      </c>
      <c r="CL35" s="1266" t="str">
        <f t="shared" ref="CL35:CZ35" ca="1" si="52">IF(OR(CL$18&lt;=$CI35,CL$18&gt;$CI35+$AW$53),"",PMT($AW$54,$AW$53,$CJ35))</f>
        <v/>
      </c>
      <c r="CM35" s="1266" t="str">
        <f t="shared" ca="1" si="52"/>
        <v/>
      </c>
      <c r="CN35" s="1266" t="str">
        <f t="shared" ca="1" si="52"/>
        <v/>
      </c>
      <c r="CO35" s="1266" t="str">
        <f t="shared" ca="1" si="52"/>
        <v/>
      </c>
      <c r="CP35" s="1266" t="str">
        <f t="shared" ca="1" si="52"/>
        <v/>
      </c>
      <c r="CQ35" s="1266" t="str">
        <f t="shared" ca="1" si="52"/>
        <v/>
      </c>
      <c r="CR35" s="1266" t="str">
        <f t="shared" ca="1" si="52"/>
        <v/>
      </c>
      <c r="CS35" s="1266" t="str">
        <f t="shared" ca="1" si="52"/>
        <v/>
      </c>
      <c r="CT35" s="1266" t="str">
        <f t="shared" ca="1" si="52"/>
        <v/>
      </c>
      <c r="CU35" s="1266" t="str">
        <f t="shared" ca="1" si="52"/>
        <v/>
      </c>
      <c r="CV35" s="1266" t="str">
        <f t="shared" ca="1" si="52"/>
        <v/>
      </c>
      <c r="CW35" s="1266" t="str">
        <f t="shared" ca="1" si="52"/>
        <v/>
      </c>
      <c r="CX35" s="1266" t="str">
        <f t="shared" ca="1" si="52"/>
        <v/>
      </c>
      <c r="CY35" s="1266" t="str">
        <f t="shared" ca="1" si="52"/>
        <v/>
      </c>
      <c r="CZ35" s="1266" t="str">
        <f t="shared" ca="1" si="52"/>
        <v/>
      </c>
      <c r="DA35" s="1266" t="str">
        <f t="shared" ca="1" si="50"/>
        <v/>
      </c>
      <c r="DB35" s="1266">
        <f t="shared" ca="1" si="50"/>
        <v>0</v>
      </c>
      <c r="DC35" s="1266">
        <f t="shared" ca="1" si="50"/>
        <v>0</v>
      </c>
      <c r="DD35" s="1266">
        <f t="shared" ca="1" si="50"/>
        <v>0</v>
      </c>
      <c r="DE35" s="1266">
        <f t="shared" ca="1" si="50"/>
        <v>0</v>
      </c>
      <c r="DF35" s="1266">
        <f t="shared" ca="1" si="50"/>
        <v>0</v>
      </c>
      <c r="DG35" s="1266">
        <f t="shared" ca="1" si="50"/>
        <v>0</v>
      </c>
      <c r="DH35" s="1266">
        <f t="shared" ca="1" si="50"/>
        <v>0</v>
      </c>
      <c r="DI35" s="1266">
        <f t="shared" ca="1" si="50"/>
        <v>0</v>
      </c>
      <c r="DJ35" s="1266">
        <f t="shared" ca="1" si="50"/>
        <v>0</v>
      </c>
      <c r="DK35" s="1266">
        <f t="shared" ca="1" si="50"/>
        <v>0</v>
      </c>
      <c r="DL35" s="1266">
        <f t="shared" ca="1" si="50"/>
        <v>0</v>
      </c>
      <c r="DM35" s="1266">
        <f t="shared" ca="1" si="50"/>
        <v>0</v>
      </c>
      <c r="DN35" s="1266">
        <f t="shared" ca="1" si="50"/>
        <v>0</v>
      </c>
      <c r="DO35" s="1266">
        <f t="shared" ca="1" si="50"/>
        <v>0</v>
      </c>
      <c r="DP35" s="1266">
        <f t="shared" ca="1" si="50"/>
        <v>0</v>
      </c>
      <c r="DQ35" s="1266">
        <f t="shared" ca="1" si="51"/>
        <v>0</v>
      </c>
      <c r="DR35" s="1266">
        <f t="shared" ca="1" si="51"/>
        <v>0</v>
      </c>
      <c r="DS35" s="1266">
        <f t="shared" ca="1" si="51"/>
        <v>0</v>
      </c>
      <c r="DT35" s="1266">
        <f t="shared" ca="1" si="51"/>
        <v>0</v>
      </c>
      <c r="DU35" s="1266">
        <f t="shared" ca="1" si="51"/>
        <v>0</v>
      </c>
      <c r="DV35" s="1266" t="str">
        <f t="shared" ca="1" si="51"/>
        <v/>
      </c>
      <c r="DW35" s="1266" t="str">
        <f t="shared" ca="1" si="51"/>
        <v/>
      </c>
      <c r="DX35" s="1266" t="str">
        <f t="shared" ca="1" si="51"/>
        <v/>
      </c>
      <c r="DY35" s="1266" t="str">
        <f t="shared" ca="1" si="51"/>
        <v/>
      </c>
    </row>
    <row r="36" spans="1:129">
      <c r="A36" s="303">
        <v>2027</v>
      </c>
      <c r="B36" s="304">
        <f ca="1">IF($D$3="BAU",UtilityDemand!C29,INDIRECT($D$3&amp;"!B"&amp;ROW(A36))+INDIRECT($D$3&amp;"!D"&amp;ROW(A36)))</f>
        <v>159594.23363094722</v>
      </c>
      <c r="C36" s="305">
        <f t="shared" ca="1" si="14"/>
        <v>-0.12002135393120916</v>
      </c>
      <c r="D36" s="306">
        <f t="shared" si="15"/>
        <v>-19154.716</v>
      </c>
      <c r="E36" s="304">
        <f ca="1">IF($D$3="BAU",UtilityDemand!E29,INDIRECT($D$3&amp;"!E"&amp;ROW(D36))+INDIRECT($D$3&amp;"!G"&amp;ROW(D36)))</f>
        <v>850581.66444298776</v>
      </c>
      <c r="F36" s="305">
        <v>0</v>
      </c>
      <c r="G36" s="306">
        <f t="shared" ca="1" si="16"/>
        <v>0</v>
      </c>
      <c r="H36" s="304">
        <f ca="1">IF($D$3="BAU",UtilityDemand!G29,INDIRECT($D$3&amp;"!H"&amp;ROW(G36))+INDIRECT($D$3&amp;"!J"&amp;ROW(G36)))</f>
        <v>237427.67529890378</v>
      </c>
      <c r="I36" s="305">
        <f t="shared" ca="1" si="17"/>
        <v>0.98853716065122776</v>
      </c>
      <c r="J36" s="306">
        <f t="shared" si="2"/>
        <v>234706.08</v>
      </c>
      <c r="K36" s="307">
        <f t="shared" ca="1" si="18"/>
        <v>140439.51763094723</v>
      </c>
      <c r="L36" s="307">
        <f t="shared" si="19"/>
        <v>0</v>
      </c>
      <c r="M36" s="307">
        <v>0</v>
      </c>
      <c r="N36" s="307">
        <f t="shared" ca="1" si="20"/>
        <v>140439.51763094723</v>
      </c>
      <c r="O36" s="1494">
        <f t="shared" ca="1" si="21"/>
        <v>850581.66444298776</v>
      </c>
      <c r="P36" s="306">
        <f t="shared" si="22"/>
        <v>0</v>
      </c>
      <c r="Q36" s="306">
        <v>0</v>
      </c>
      <c r="R36" s="306">
        <f t="shared" ca="1" si="23"/>
        <v>850581.66444298776</v>
      </c>
      <c r="S36" s="818">
        <f t="shared" ca="1" si="24"/>
        <v>472133.75529890379</v>
      </c>
      <c r="T36" s="818">
        <v>0</v>
      </c>
      <c r="U36" s="818">
        <v>0</v>
      </c>
      <c r="V36" s="818">
        <f t="shared" ca="1" si="25"/>
        <v>472133.75529890379</v>
      </c>
      <c r="W36" s="306">
        <f t="shared" si="3"/>
        <v>0</v>
      </c>
      <c r="X36" s="306">
        <f t="shared" ca="1" si="4"/>
        <v>-5269.6872694951762</v>
      </c>
      <c r="Y36" s="306">
        <v>0</v>
      </c>
      <c r="Z36" s="306">
        <v>0</v>
      </c>
      <c r="AA36" s="308">
        <f ca="1">-SUM(W36,X36/OFFSET(GridFootprintbyYear,$A36-$A$19,0)*EF_PurchElec_MTperMWh,Z36)*OFFSET(ExposureCalculations!Price_GHG_Allowance_2010,A36-$A$19,0)*ExposureCalculations!D33</f>
        <v>188568.16696599306</v>
      </c>
      <c r="AB36" s="308">
        <f t="shared" ca="1" si="5"/>
        <v>1772220.2425232001</v>
      </c>
      <c r="AC36" s="308">
        <v>0</v>
      </c>
      <c r="AD36" s="819">
        <f t="shared" ca="1" si="6"/>
        <v>0</v>
      </c>
      <c r="AE36" s="308">
        <v>0</v>
      </c>
      <c r="AF36" s="819">
        <v>0</v>
      </c>
      <c r="AG36" s="308">
        <f t="shared" ca="1" si="26"/>
        <v>-1097496.393125867</v>
      </c>
      <c r="AH36" s="308">
        <v>0</v>
      </c>
      <c r="AI36" s="308">
        <v>0</v>
      </c>
      <c r="AJ36" s="308">
        <f t="shared" ca="1" si="7"/>
        <v>674723.84939733311</v>
      </c>
      <c r="AK36" s="309">
        <f t="shared" si="27"/>
        <v>550000</v>
      </c>
      <c r="AL36" s="309">
        <f t="shared" si="28"/>
        <v>0</v>
      </c>
      <c r="AM36" s="309">
        <f t="shared" si="29"/>
        <v>550000</v>
      </c>
      <c r="AN36" s="310">
        <v>0</v>
      </c>
      <c r="AO36" s="310">
        <v>0</v>
      </c>
      <c r="AP36" s="310">
        <f t="shared" si="30"/>
        <v>0</v>
      </c>
      <c r="AQ36" s="309">
        <v>0</v>
      </c>
      <c r="AR36" s="311">
        <f t="shared" ca="1" si="8"/>
        <v>1413292.0163633262</v>
      </c>
      <c r="AS36" s="870">
        <f t="shared" ca="1" si="31"/>
        <v>16318663.967266267</v>
      </c>
      <c r="AT36" s="822"/>
      <c r="AU36" s="878">
        <v>0.9</v>
      </c>
      <c r="AV36" s="35" t="s">
        <v>1437</v>
      </c>
      <c r="AW36" s="879"/>
      <c r="AX36" s="35"/>
      <c r="AY36" s="880"/>
      <c r="BK36" s="312">
        <f t="shared" ca="1" si="43"/>
        <v>0</v>
      </c>
      <c r="BL36" s="312" t="e">
        <f t="shared" si="47"/>
        <v>#N/A</v>
      </c>
      <c r="BN36" s="271">
        <f t="shared" si="32"/>
        <v>2027</v>
      </c>
      <c r="BO36" s="123">
        <f t="shared" si="33"/>
        <v>5542</v>
      </c>
      <c r="BP36" s="123">
        <f t="shared" si="48"/>
        <v>1443.3000000000002</v>
      </c>
      <c r="BQ36" s="123">
        <f t="shared" si="34"/>
        <v>15517600</v>
      </c>
      <c r="BR36" s="123">
        <f t="shared" si="35"/>
        <v>4041240.0000000005</v>
      </c>
      <c r="BS36" s="123">
        <f t="shared" si="36"/>
        <v>19558840</v>
      </c>
      <c r="BT36" s="123"/>
      <c r="BU36" s="123">
        <f t="shared" si="9"/>
        <v>4889.71</v>
      </c>
      <c r="BV36" s="123"/>
      <c r="BW36" s="123">
        <f t="shared" si="37"/>
        <v>19154.716</v>
      </c>
      <c r="BX36" s="123">
        <f t="shared" si="38"/>
        <v>11735.304</v>
      </c>
      <c r="BY36" s="123"/>
      <c r="BZ36" s="123">
        <f t="shared" si="39"/>
        <v>1320</v>
      </c>
      <c r="CA36" s="123">
        <f t="shared" si="49"/>
        <v>3080</v>
      </c>
      <c r="CB36" s="312">
        <f t="shared" si="44"/>
        <v>550000</v>
      </c>
      <c r="CC36" s="123">
        <f t="shared" si="45"/>
        <v>4300</v>
      </c>
      <c r="CD36" s="123">
        <f t="shared" si="40"/>
        <v>2500</v>
      </c>
      <c r="CE36" s="312">
        <f t="shared" si="46"/>
        <v>0</v>
      </c>
      <c r="CF36" s="123"/>
      <c r="CG36" s="123"/>
      <c r="CH36" s="123"/>
      <c r="CI36" s="1305">
        <f t="shared" si="41"/>
        <v>2027</v>
      </c>
      <c r="CJ36" s="1266">
        <f t="shared" si="42"/>
        <v>0</v>
      </c>
      <c r="CK36" s="1266" t="str">
        <f t="shared" ref="CK36:CZ51" ca="1" si="53">IF(OR(CK$18&lt;=$CI36,CK$18&gt;$CI36+$AW$53),"",PMT($AW$54,$AW$53,$CJ36))</f>
        <v/>
      </c>
      <c r="CL36" s="1266" t="str">
        <f t="shared" ca="1" si="53"/>
        <v/>
      </c>
      <c r="CM36" s="1266" t="str">
        <f t="shared" ca="1" si="53"/>
        <v/>
      </c>
      <c r="CN36" s="1266" t="str">
        <f t="shared" ca="1" si="53"/>
        <v/>
      </c>
      <c r="CO36" s="1266" t="str">
        <f t="shared" ca="1" si="53"/>
        <v/>
      </c>
      <c r="CP36" s="1266" t="str">
        <f t="shared" ca="1" si="53"/>
        <v/>
      </c>
      <c r="CQ36" s="1266" t="str">
        <f t="shared" ca="1" si="53"/>
        <v/>
      </c>
      <c r="CR36" s="1266" t="str">
        <f t="shared" ca="1" si="53"/>
        <v/>
      </c>
      <c r="CS36" s="1266" t="str">
        <f t="shared" ca="1" si="53"/>
        <v/>
      </c>
      <c r="CT36" s="1266" t="str">
        <f t="shared" ca="1" si="53"/>
        <v/>
      </c>
      <c r="CU36" s="1266" t="str">
        <f t="shared" ca="1" si="53"/>
        <v/>
      </c>
      <c r="CV36" s="1266" t="str">
        <f t="shared" ca="1" si="53"/>
        <v/>
      </c>
      <c r="CW36" s="1266" t="str">
        <f t="shared" ca="1" si="53"/>
        <v/>
      </c>
      <c r="CX36" s="1266" t="str">
        <f t="shared" ca="1" si="53"/>
        <v/>
      </c>
      <c r="CY36" s="1266" t="str">
        <f t="shared" ca="1" si="53"/>
        <v/>
      </c>
      <c r="CZ36" s="1266" t="str">
        <f t="shared" ca="1" si="53"/>
        <v/>
      </c>
      <c r="DA36" s="1266" t="str">
        <f t="shared" ca="1" si="50"/>
        <v/>
      </c>
      <c r="DB36" s="1266" t="str">
        <f t="shared" ca="1" si="50"/>
        <v/>
      </c>
      <c r="DC36" s="1266">
        <f t="shared" ca="1" si="50"/>
        <v>0</v>
      </c>
      <c r="DD36" s="1266">
        <f t="shared" ca="1" si="50"/>
        <v>0</v>
      </c>
      <c r="DE36" s="1266">
        <f t="shared" ca="1" si="50"/>
        <v>0</v>
      </c>
      <c r="DF36" s="1266">
        <f t="shared" ca="1" si="50"/>
        <v>0</v>
      </c>
      <c r="DG36" s="1266">
        <f t="shared" ca="1" si="50"/>
        <v>0</v>
      </c>
      <c r="DH36" s="1266">
        <f t="shared" ca="1" si="50"/>
        <v>0</v>
      </c>
      <c r="DI36" s="1266">
        <f t="shared" ca="1" si="50"/>
        <v>0</v>
      </c>
      <c r="DJ36" s="1266">
        <f t="shared" ca="1" si="50"/>
        <v>0</v>
      </c>
      <c r="DK36" s="1266">
        <f t="shared" ca="1" si="50"/>
        <v>0</v>
      </c>
      <c r="DL36" s="1266">
        <f t="shared" ca="1" si="50"/>
        <v>0</v>
      </c>
      <c r="DM36" s="1266">
        <f t="shared" ca="1" si="50"/>
        <v>0</v>
      </c>
      <c r="DN36" s="1266">
        <f t="shared" ca="1" si="50"/>
        <v>0</v>
      </c>
      <c r="DO36" s="1266">
        <f t="shared" ca="1" si="50"/>
        <v>0</v>
      </c>
      <c r="DP36" s="1266">
        <f t="shared" ca="1" si="50"/>
        <v>0</v>
      </c>
      <c r="DQ36" s="1266">
        <f t="shared" ca="1" si="51"/>
        <v>0</v>
      </c>
      <c r="DR36" s="1266">
        <f t="shared" ca="1" si="51"/>
        <v>0</v>
      </c>
      <c r="DS36" s="1266">
        <f t="shared" ca="1" si="51"/>
        <v>0</v>
      </c>
      <c r="DT36" s="1266">
        <f t="shared" ca="1" si="51"/>
        <v>0</v>
      </c>
      <c r="DU36" s="1266">
        <f t="shared" ca="1" si="51"/>
        <v>0</v>
      </c>
      <c r="DV36" s="1266">
        <f t="shared" ca="1" si="51"/>
        <v>0</v>
      </c>
      <c r="DW36" s="1266" t="str">
        <f t="shared" ca="1" si="51"/>
        <v/>
      </c>
      <c r="DX36" s="1266" t="str">
        <f t="shared" ca="1" si="51"/>
        <v/>
      </c>
      <c r="DY36" s="1266" t="str">
        <f t="shared" ca="1" si="51"/>
        <v/>
      </c>
    </row>
    <row r="37" spans="1:129">
      <c r="A37" s="303">
        <v>2028</v>
      </c>
      <c r="B37" s="304">
        <f ca="1">IF($D$3="BAU",UtilityDemand!C30,INDIRECT($D$3&amp;"!B"&amp;ROW(A37))+INDIRECT($D$3&amp;"!D"&amp;ROW(A37)))</f>
        <v>161170.85923179929</v>
      </c>
      <c r="C37" s="305">
        <f t="shared" ca="1" si="14"/>
        <v>-0.12017472694703193</v>
      </c>
      <c r="D37" s="306">
        <f t="shared" si="15"/>
        <v>-19368.664000000001</v>
      </c>
      <c r="E37" s="304">
        <f ca="1">IF($D$3="BAU",UtilityDemand!E30,INDIRECT($D$3&amp;"!E"&amp;ROW(D37))+INDIRECT($D$3&amp;"!G"&amp;ROW(D37)))</f>
        <v>858968.26357266307</v>
      </c>
      <c r="F37" s="305">
        <v>0</v>
      </c>
      <c r="G37" s="306">
        <f t="shared" ca="1" si="16"/>
        <v>0</v>
      </c>
      <c r="H37" s="304">
        <f ca="1">IF($D$3="BAU",UtilityDemand!G30,INDIRECT($D$3&amp;"!H"&amp;ROW(G37))+INDIRECT($D$3&amp;"!J"&amp;ROW(G37)))</f>
        <v>240492.20986150744</v>
      </c>
      <c r="I37" s="305">
        <f t="shared" ca="1" si="17"/>
        <v>0.98780214185234216</v>
      </c>
      <c r="J37" s="306">
        <f t="shared" si="2"/>
        <v>237558.72</v>
      </c>
      <c r="K37" s="307">
        <f t="shared" ca="1" si="18"/>
        <v>141802.1952317993</v>
      </c>
      <c r="L37" s="307">
        <f t="shared" si="19"/>
        <v>0</v>
      </c>
      <c r="M37" s="307">
        <v>0</v>
      </c>
      <c r="N37" s="307">
        <f t="shared" ca="1" si="20"/>
        <v>141802.1952317993</v>
      </c>
      <c r="O37" s="1494">
        <f t="shared" ca="1" si="21"/>
        <v>858968.26357266307</v>
      </c>
      <c r="P37" s="306">
        <f t="shared" si="22"/>
        <v>0</v>
      </c>
      <c r="Q37" s="306">
        <v>0</v>
      </c>
      <c r="R37" s="306">
        <f t="shared" ca="1" si="23"/>
        <v>858968.26357266307</v>
      </c>
      <c r="S37" s="818">
        <f t="shared" ca="1" si="24"/>
        <v>478050.92986150744</v>
      </c>
      <c r="T37" s="818">
        <v>0</v>
      </c>
      <c r="U37" s="818">
        <v>0</v>
      </c>
      <c r="V37" s="818">
        <f t="shared" ca="1" si="25"/>
        <v>478050.92986150744</v>
      </c>
      <c r="W37" s="306">
        <f t="shared" si="3"/>
        <v>0</v>
      </c>
      <c r="X37" s="306">
        <f t="shared" ca="1" si="4"/>
        <v>-5320.3399381044037</v>
      </c>
      <c r="Y37" s="306">
        <v>0</v>
      </c>
      <c r="Z37" s="306">
        <v>0</v>
      </c>
      <c r="AA37" s="308">
        <f ca="1">-SUM(W37,X37/OFFSET(GridFootprintbyYear,$A37-$A$19,0)*EF_PurchElec_MTperMWh,Z37)*OFFSET(ExposureCalculations!Price_GHG_Allowance_2010,A37-$A$19,0)*ExposureCalculations!D34</f>
        <v>205956.69670166046</v>
      </c>
      <c r="AB37" s="308">
        <f t="shared" ca="1" si="5"/>
        <v>1800975.0759806368</v>
      </c>
      <c r="AC37" s="308">
        <v>0</v>
      </c>
      <c r="AD37" s="819">
        <f t="shared" ca="1" si="6"/>
        <v>0</v>
      </c>
      <c r="AE37" s="308">
        <v>0</v>
      </c>
      <c r="AF37" s="819">
        <v>0</v>
      </c>
      <c r="AG37" s="308">
        <f t="shared" ca="1" si="26"/>
        <v>-1097496.393125867</v>
      </c>
      <c r="AH37" s="308">
        <v>0</v>
      </c>
      <c r="AI37" s="308">
        <v>0</v>
      </c>
      <c r="AJ37" s="308">
        <f t="shared" ca="1" si="7"/>
        <v>703478.68285476975</v>
      </c>
      <c r="AK37" s="309">
        <f t="shared" si="27"/>
        <v>550000</v>
      </c>
      <c r="AL37" s="309">
        <f t="shared" si="28"/>
        <v>0</v>
      </c>
      <c r="AM37" s="309">
        <f t="shared" si="29"/>
        <v>550000</v>
      </c>
      <c r="AN37" s="310">
        <v>0</v>
      </c>
      <c r="AO37" s="310">
        <v>0</v>
      </c>
      <c r="AP37" s="310">
        <f t="shared" si="30"/>
        <v>0</v>
      </c>
      <c r="AQ37" s="309">
        <v>0</v>
      </c>
      <c r="AR37" s="311">
        <f t="shared" ca="1" si="8"/>
        <v>1459435.3795564303</v>
      </c>
      <c r="AS37" s="870">
        <f t="shared" ca="1" si="31"/>
        <v>17778099.346822698</v>
      </c>
      <c r="AT37" s="822"/>
      <c r="AU37" s="878">
        <v>0.6</v>
      </c>
      <c r="AV37" s="827" t="s">
        <v>1438</v>
      </c>
      <c r="AW37" s="879"/>
      <c r="AX37" s="35"/>
      <c r="AY37" s="880"/>
      <c r="BK37" s="312">
        <f t="shared" ca="1" si="43"/>
        <v>0</v>
      </c>
      <c r="BL37" s="312" t="e">
        <f t="shared" si="47"/>
        <v>#N/A</v>
      </c>
      <c r="BN37" s="271">
        <f t="shared" si="32"/>
        <v>2028</v>
      </c>
      <c r="BO37" s="123">
        <f t="shared" si="33"/>
        <v>5542</v>
      </c>
      <c r="BP37" s="123">
        <f t="shared" si="48"/>
        <v>1528.2000000000003</v>
      </c>
      <c r="BQ37" s="123">
        <f t="shared" si="34"/>
        <v>15517600</v>
      </c>
      <c r="BR37" s="123">
        <f t="shared" si="35"/>
        <v>4278960.0000000009</v>
      </c>
      <c r="BS37" s="123">
        <f t="shared" si="36"/>
        <v>19796560</v>
      </c>
      <c r="BT37" s="123"/>
      <c r="BU37" s="123">
        <f t="shared" si="9"/>
        <v>4949.1400000000003</v>
      </c>
      <c r="BV37" s="123"/>
      <c r="BW37" s="123">
        <f t="shared" si="37"/>
        <v>19368.664000000001</v>
      </c>
      <c r="BX37" s="123">
        <f t="shared" si="38"/>
        <v>11877.936</v>
      </c>
      <c r="BY37" s="123"/>
      <c r="BZ37" s="123">
        <f t="shared" si="39"/>
        <v>1100</v>
      </c>
      <c r="CA37" s="123">
        <f t="shared" si="49"/>
        <v>3300</v>
      </c>
      <c r="CB37" s="312">
        <f t="shared" si="44"/>
        <v>550000</v>
      </c>
      <c r="CC37" s="123">
        <f t="shared" si="45"/>
        <v>4300</v>
      </c>
      <c r="CD37" s="123">
        <f t="shared" si="40"/>
        <v>2500</v>
      </c>
      <c r="CE37" s="312">
        <f t="shared" si="46"/>
        <v>0</v>
      </c>
      <c r="CF37" s="123"/>
      <c r="CG37" s="123"/>
      <c r="CH37" s="123"/>
      <c r="CI37" s="1305">
        <f t="shared" si="41"/>
        <v>2028</v>
      </c>
      <c r="CJ37" s="1266">
        <f t="shared" si="42"/>
        <v>0</v>
      </c>
      <c r="CK37" s="1266" t="str">
        <f t="shared" ca="1" si="53"/>
        <v/>
      </c>
      <c r="CL37" s="1266" t="str">
        <f t="shared" ca="1" si="53"/>
        <v/>
      </c>
      <c r="CM37" s="1266" t="str">
        <f t="shared" ca="1" si="53"/>
        <v/>
      </c>
      <c r="CN37" s="1266" t="str">
        <f t="shared" ca="1" si="53"/>
        <v/>
      </c>
      <c r="CO37" s="1266" t="str">
        <f t="shared" ca="1" si="53"/>
        <v/>
      </c>
      <c r="CP37" s="1266" t="str">
        <f t="shared" ca="1" si="53"/>
        <v/>
      </c>
      <c r="CQ37" s="1266" t="str">
        <f t="shared" ca="1" si="53"/>
        <v/>
      </c>
      <c r="CR37" s="1266" t="str">
        <f t="shared" ca="1" si="53"/>
        <v/>
      </c>
      <c r="CS37" s="1266" t="str">
        <f t="shared" ca="1" si="53"/>
        <v/>
      </c>
      <c r="CT37" s="1266" t="str">
        <f t="shared" ca="1" si="53"/>
        <v/>
      </c>
      <c r="CU37" s="1266" t="str">
        <f t="shared" ca="1" si="53"/>
        <v/>
      </c>
      <c r="CV37" s="1266" t="str">
        <f t="shared" ca="1" si="53"/>
        <v/>
      </c>
      <c r="CW37" s="1266" t="str">
        <f t="shared" ca="1" si="53"/>
        <v/>
      </c>
      <c r="CX37" s="1266" t="str">
        <f t="shared" ca="1" si="53"/>
        <v/>
      </c>
      <c r="CY37" s="1266" t="str">
        <f t="shared" ca="1" si="53"/>
        <v/>
      </c>
      <c r="CZ37" s="1266" t="str">
        <f t="shared" ca="1" si="53"/>
        <v/>
      </c>
      <c r="DA37" s="1266" t="str">
        <f t="shared" ca="1" si="50"/>
        <v/>
      </c>
      <c r="DB37" s="1266" t="str">
        <f t="shared" ca="1" si="50"/>
        <v/>
      </c>
      <c r="DC37" s="1266" t="str">
        <f t="shared" ca="1" si="50"/>
        <v/>
      </c>
      <c r="DD37" s="1266">
        <f t="shared" ca="1" si="50"/>
        <v>0</v>
      </c>
      <c r="DE37" s="1266">
        <f t="shared" ca="1" si="50"/>
        <v>0</v>
      </c>
      <c r="DF37" s="1266">
        <f t="shared" ca="1" si="50"/>
        <v>0</v>
      </c>
      <c r="DG37" s="1266">
        <f t="shared" ca="1" si="50"/>
        <v>0</v>
      </c>
      <c r="DH37" s="1266">
        <f t="shared" ca="1" si="50"/>
        <v>0</v>
      </c>
      <c r="DI37" s="1266">
        <f t="shared" ca="1" si="50"/>
        <v>0</v>
      </c>
      <c r="DJ37" s="1266">
        <f t="shared" ca="1" si="50"/>
        <v>0</v>
      </c>
      <c r="DK37" s="1266">
        <f t="shared" ca="1" si="50"/>
        <v>0</v>
      </c>
      <c r="DL37" s="1266">
        <f t="shared" ca="1" si="50"/>
        <v>0</v>
      </c>
      <c r="DM37" s="1266">
        <f t="shared" ca="1" si="50"/>
        <v>0</v>
      </c>
      <c r="DN37" s="1266">
        <f t="shared" ca="1" si="50"/>
        <v>0</v>
      </c>
      <c r="DO37" s="1266">
        <f t="shared" ca="1" si="50"/>
        <v>0</v>
      </c>
      <c r="DP37" s="1266">
        <f t="shared" ca="1" si="50"/>
        <v>0</v>
      </c>
      <c r="DQ37" s="1266">
        <f t="shared" ca="1" si="51"/>
        <v>0</v>
      </c>
      <c r="DR37" s="1266">
        <f t="shared" ca="1" si="51"/>
        <v>0</v>
      </c>
      <c r="DS37" s="1266">
        <f t="shared" ca="1" si="51"/>
        <v>0</v>
      </c>
      <c r="DT37" s="1266">
        <f t="shared" ca="1" si="51"/>
        <v>0</v>
      </c>
      <c r="DU37" s="1266">
        <f t="shared" ca="1" si="51"/>
        <v>0</v>
      </c>
      <c r="DV37" s="1266">
        <f t="shared" ca="1" si="51"/>
        <v>0</v>
      </c>
      <c r="DW37" s="1266">
        <f t="shared" ca="1" si="51"/>
        <v>0</v>
      </c>
      <c r="DX37" s="1266" t="str">
        <f t="shared" ca="1" si="51"/>
        <v/>
      </c>
      <c r="DY37" s="1266" t="str">
        <f t="shared" ca="1" si="51"/>
        <v/>
      </c>
    </row>
    <row r="38" spans="1:129">
      <c r="A38" s="303">
        <v>2029</v>
      </c>
      <c r="B38" s="304">
        <f ca="1">IF($D$3="BAU",UtilityDemand!C31,INDIRECT($D$3&amp;"!B"&amp;ROW(A38))+INDIRECT($D$3&amp;"!D"&amp;ROW(A38)))</f>
        <v>162747.48483265133</v>
      </c>
      <c r="C38" s="305">
        <f t="shared" ca="1" si="14"/>
        <v>-0.12032512834306626</v>
      </c>
      <c r="D38" s="306">
        <f t="shared" si="15"/>
        <v>-19582.612000000001</v>
      </c>
      <c r="E38" s="304">
        <f ca="1">IF($D$3="BAU",UtilityDemand!E31,INDIRECT($D$3&amp;"!E"&amp;ROW(D38))+INDIRECT($D$3&amp;"!G"&amp;ROW(D38)))</f>
        <v>867354.86270233872</v>
      </c>
      <c r="F38" s="305">
        <v>0</v>
      </c>
      <c r="G38" s="306">
        <f t="shared" ca="1" si="16"/>
        <v>0</v>
      </c>
      <c r="H38" s="304">
        <f ca="1">IF($D$3="BAU",UtilityDemand!G31,INDIRECT($D$3&amp;"!H"&amp;ROW(G38))+INDIRECT($D$3&amp;"!J"&amp;ROW(G38)))</f>
        <v>243556.74442411118</v>
      </c>
      <c r="I38" s="305">
        <f t="shared" ca="1" si="17"/>
        <v>0.98708561969183628</v>
      </c>
      <c r="J38" s="306">
        <f t="shared" si="2"/>
        <v>240411.36</v>
      </c>
      <c r="K38" s="307">
        <f t="shared" ca="1" si="18"/>
        <v>143164.87283265134</v>
      </c>
      <c r="L38" s="307">
        <f t="shared" si="19"/>
        <v>0</v>
      </c>
      <c r="M38" s="307">
        <v>0</v>
      </c>
      <c r="N38" s="307">
        <f t="shared" ca="1" si="20"/>
        <v>143164.87283265134</v>
      </c>
      <c r="O38" s="1494">
        <f t="shared" ca="1" si="21"/>
        <v>867354.86270233872</v>
      </c>
      <c r="P38" s="306">
        <f t="shared" si="22"/>
        <v>0</v>
      </c>
      <c r="Q38" s="306">
        <v>0</v>
      </c>
      <c r="R38" s="306">
        <f t="shared" ca="1" si="23"/>
        <v>867354.86270233872</v>
      </c>
      <c r="S38" s="818">
        <f t="shared" ca="1" si="24"/>
        <v>483968.1044241112</v>
      </c>
      <c r="T38" s="818">
        <v>0</v>
      </c>
      <c r="U38" s="818">
        <v>0</v>
      </c>
      <c r="V38" s="818">
        <f t="shared" ca="1" si="25"/>
        <v>483968.1044241112</v>
      </c>
      <c r="W38" s="306">
        <f t="shared" si="3"/>
        <v>0</v>
      </c>
      <c r="X38" s="306">
        <f t="shared" ca="1" si="4"/>
        <v>-5370.9926067136303</v>
      </c>
      <c r="Y38" s="306">
        <v>0</v>
      </c>
      <c r="Z38" s="306">
        <v>0</v>
      </c>
      <c r="AA38" s="308">
        <f ca="1">-SUM(W38,X38/OFFSET(GridFootprintbyYear,$A38-$A$19,0)*EF_PurchElec_MTperMWh,Z38)*OFFSET(ExposureCalculations!Price_GHG_Allowance_2010,A38-$A$19,0)*ExposureCalculations!D35</f>
        <v>224057.53142522086</v>
      </c>
      <c r="AB38" s="308">
        <f t="shared" ca="1" si="5"/>
        <v>1829973.1522665848</v>
      </c>
      <c r="AC38" s="308">
        <v>0</v>
      </c>
      <c r="AD38" s="819">
        <f t="shared" ca="1" si="6"/>
        <v>0</v>
      </c>
      <c r="AE38" s="308">
        <v>0</v>
      </c>
      <c r="AF38" s="819">
        <v>0</v>
      </c>
      <c r="AG38" s="308">
        <f t="shared" ca="1" si="26"/>
        <v>-1097496.393125867</v>
      </c>
      <c r="AH38" s="308">
        <v>0</v>
      </c>
      <c r="AI38" s="308">
        <v>0</v>
      </c>
      <c r="AJ38" s="308">
        <f t="shared" ca="1" si="7"/>
        <v>732476.7591407178</v>
      </c>
      <c r="AK38" s="309">
        <f t="shared" si="27"/>
        <v>550000</v>
      </c>
      <c r="AL38" s="309">
        <f t="shared" si="28"/>
        <v>0</v>
      </c>
      <c r="AM38" s="309">
        <f t="shared" si="29"/>
        <v>550000</v>
      </c>
      <c r="AN38" s="310">
        <v>0</v>
      </c>
      <c r="AO38" s="310">
        <v>0</v>
      </c>
      <c r="AP38" s="310">
        <f t="shared" si="30"/>
        <v>0</v>
      </c>
      <c r="AQ38" s="309">
        <v>0</v>
      </c>
      <c r="AR38" s="311">
        <f t="shared" ca="1" si="8"/>
        <v>1506534.2905659387</v>
      </c>
      <c r="AS38" s="870">
        <f t="shared" ca="1" si="31"/>
        <v>19284633.637388635</v>
      </c>
      <c r="AT38" s="822"/>
      <c r="AU38" s="878"/>
      <c r="AV38" s="35"/>
      <c r="AW38" s="879"/>
      <c r="AX38" s="35"/>
      <c r="AY38" s="880"/>
      <c r="BK38" s="312">
        <f t="shared" ca="1" si="43"/>
        <v>0</v>
      </c>
      <c r="BL38" s="312" t="e">
        <f t="shared" si="47"/>
        <v>#N/A</v>
      </c>
      <c r="BN38" s="271">
        <f t="shared" si="32"/>
        <v>2029</v>
      </c>
      <c r="BO38" s="123">
        <f t="shared" si="33"/>
        <v>5542</v>
      </c>
      <c r="BP38" s="123">
        <f t="shared" si="48"/>
        <v>1613.1000000000004</v>
      </c>
      <c r="BQ38" s="123">
        <f t="shared" si="34"/>
        <v>15517600</v>
      </c>
      <c r="BR38" s="123">
        <f t="shared" si="35"/>
        <v>4516680.0000000009</v>
      </c>
      <c r="BS38" s="123">
        <f t="shared" si="36"/>
        <v>20034280</v>
      </c>
      <c r="BT38" s="123"/>
      <c r="BU38" s="123">
        <f t="shared" si="9"/>
        <v>5008.57</v>
      </c>
      <c r="BV38" s="123"/>
      <c r="BW38" s="123">
        <f t="shared" si="37"/>
        <v>19582.612000000001</v>
      </c>
      <c r="BX38" s="123">
        <f t="shared" si="38"/>
        <v>12020.567999999999</v>
      </c>
      <c r="BY38" s="123"/>
      <c r="BZ38" s="123">
        <f t="shared" si="39"/>
        <v>880</v>
      </c>
      <c r="CA38" s="123">
        <f t="shared" si="49"/>
        <v>3520</v>
      </c>
      <c r="CB38" s="312">
        <f t="shared" si="44"/>
        <v>550000</v>
      </c>
      <c r="CC38" s="123">
        <f t="shared" si="45"/>
        <v>4300</v>
      </c>
      <c r="CD38" s="123">
        <f t="shared" si="40"/>
        <v>2500</v>
      </c>
      <c r="CE38" s="312">
        <f t="shared" si="46"/>
        <v>0</v>
      </c>
      <c r="CF38" s="123"/>
      <c r="CG38" s="123"/>
      <c r="CH38" s="123"/>
      <c r="CI38" s="1305">
        <f t="shared" si="41"/>
        <v>2029</v>
      </c>
      <c r="CJ38" s="1266">
        <f t="shared" si="42"/>
        <v>0</v>
      </c>
      <c r="CK38" s="1266" t="str">
        <f t="shared" ca="1" si="53"/>
        <v/>
      </c>
      <c r="CL38" s="1266" t="str">
        <f t="shared" ca="1" si="53"/>
        <v/>
      </c>
      <c r="CM38" s="1266" t="str">
        <f t="shared" ca="1" si="53"/>
        <v/>
      </c>
      <c r="CN38" s="1266" t="str">
        <f t="shared" ca="1" si="53"/>
        <v/>
      </c>
      <c r="CO38" s="1266" t="str">
        <f t="shared" ca="1" si="53"/>
        <v/>
      </c>
      <c r="CP38" s="1266" t="str">
        <f t="shared" ca="1" si="53"/>
        <v/>
      </c>
      <c r="CQ38" s="1266" t="str">
        <f t="shared" ca="1" si="53"/>
        <v/>
      </c>
      <c r="CR38" s="1266" t="str">
        <f t="shared" ca="1" si="53"/>
        <v/>
      </c>
      <c r="CS38" s="1266" t="str">
        <f t="shared" ca="1" si="53"/>
        <v/>
      </c>
      <c r="CT38" s="1266" t="str">
        <f t="shared" ca="1" si="53"/>
        <v/>
      </c>
      <c r="CU38" s="1266" t="str">
        <f t="shared" ca="1" si="53"/>
        <v/>
      </c>
      <c r="CV38" s="1266" t="str">
        <f t="shared" ca="1" si="53"/>
        <v/>
      </c>
      <c r="CW38" s="1266" t="str">
        <f t="shared" ca="1" si="53"/>
        <v/>
      </c>
      <c r="CX38" s="1266" t="str">
        <f t="shared" ca="1" si="53"/>
        <v/>
      </c>
      <c r="CY38" s="1266" t="str">
        <f t="shared" ca="1" si="53"/>
        <v/>
      </c>
      <c r="CZ38" s="1266" t="str">
        <f t="shared" ca="1" si="53"/>
        <v/>
      </c>
      <c r="DA38" s="1266" t="str">
        <f t="shared" ca="1" si="50"/>
        <v/>
      </c>
      <c r="DB38" s="1266" t="str">
        <f t="shared" ca="1" si="50"/>
        <v/>
      </c>
      <c r="DC38" s="1266" t="str">
        <f t="shared" ca="1" si="50"/>
        <v/>
      </c>
      <c r="DD38" s="1266" t="str">
        <f t="shared" ca="1" si="50"/>
        <v/>
      </c>
      <c r="DE38" s="1266">
        <f t="shared" ca="1" si="50"/>
        <v>0</v>
      </c>
      <c r="DF38" s="1266">
        <f t="shared" ca="1" si="50"/>
        <v>0</v>
      </c>
      <c r="DG38" s="1266">
        <f t="shared" ca="1" si="50"/>
        <v>0</v>
      </c>
      <c r="DH38" s="1266">
        <f t="shared" ca="1" si="50"/>
        <v>0</v>
      </c>
      <c r="DI38" s="1266">
        <f t="shared" ca="1" si="50"/>
        <v>0</v>
      </c>
      <c r="DJ38" s="1266">
        <f t="shared" ca="1" si="50"/>
        <v>0</v>
      </c>
      <c r="DK38" s="1266">
        <f t="shared" ca="1" si="50"/>
        <v>0</v>
      </c>
      <c r="DL38" s="1266">
        <f t="shared" ca="1" si="50"/>
        <v>0</v>
      </c>
      <c r="DM38" s="1266">
        <f t="shared" ca="1" si="50"/>
        <v>0</v>
      </c>
      <c r="DN38" s="1266">
        <f t="shared" ca="1" si="50"/>
        <v>0</v>
      </c>
      <c r="DO38" s="1266">
        <f t="shared" ca="1" si="50"/>
        <v>0</v>
      </c>
      <c r="DP38" s="1266">
        <f t="shared" ca="1" si="50"/>
        <v>0</v>
      </c>
      <c r="DQ38" s="1266">
        <f t="shared" ca="1" si="51"/>
        <v>0</v>
      </c>
      <c r="DR38" s="1266">
        <f t="shared" ca="1" si="51"/>
        <v>0</v>
      </c>
      <c r="DS38" s="1266">
        <f t="shared" ca="1" si="51"/>
        <v>0</v>
      </c>
      <c r="DT38" s="1266">
        <f t="shared" ca="1" si="51"/>
        <v>0</v>
      </c>
      <c r="DU38" s="1266">
        <f t="shared" ca="1" si="51"/>
        <v>0</v>
      </c>
      <c r="DV38" s="1266">
        <f t="shared" ca="1" si="51"/>
        <v>0</v>
      </c>
      <c r="DW38" s="1266">
        <f t="shared" ca="1" si="51"/>
        <v>0</v>
      </c>
      <c r="DX38" s="1266">
        <f t="shared" ca="1" si="51"/>
        <v>0</v>
      </c>
      <c r="DY38" s="1266" t="str">
        <f t="shared" ca="1" si="51"/>
        <v/>
      </c>
    </row>
    <row r="39" spans="1:129">
      <c r="A39" s="303">
        <v>2030</v>
      </c>
      <c r="B39" s="304">
        <f ca="1">IF($D$3="BAU",UtilityDemand!C32,INDIRECT($D$3&amp;"!B"&amp;ROW(A39))+INDIRECT($D$3&amp;"!D"&amp;ROW(A39)))</f>
        <v>164324.11043350337</v>
      </c>
      <c r="C39" s="305">
        <f t="shared" ca="1" si="14"/>
        <v>-0.12047264365390267</v>
      </c>
      <c r="D39" s="306">
        <f t="shared" si="15"/>
        <v>-19796.560000000001</v>
      </c>
      <c r="E39" s="304">
        <f ca="1">IF($D$3="BAU",UtilityDemand!E32,INDIRECT($D$3&amp;"!E"&amp;ROW(D39))+INDIRECT($D$3&amp;"!G"&amp;ROW(D39)))</f>
        <v>875741.46183201415</v>
      </c>
      <c r="F39" s="305">
        <v>0</v>
      </c>
      <c r="G39" s="306">
        <f t="shared" ca="1" si="16"/>
        <v>0</v>
      </c>
      <c r="H39" s="304">
        <f ca="1">IF($D$3="BAU",UtilityDemand!G32,INDIRECT($D$3&amp;"!H"&amp;ROW(G39))+INDIRECT($D$3&amp;"!J"&amp;ROW(G39)))</f>
        <v>246621.27898671487</v>
      </c>
      <c r="I39" s="305">
        <f t="shared" ca="1" si="17"/>
        <v>0.98638690464785195</v>
      </c>
      <c r="J39" s="306">
        <f t="shared" si="2"/>
        <v>243264</v>
      </c>
      <c r="K39" s="307">
        <f t="shared" ca="1" si="18"/>
        <v>144527.55043350338</v>
      </c>
      <c r="L39" s="307">
        <f t="shared" si="19"/>
        <v>0</v>
      </c>
      <c r="M39" s="307">
        <v>0</v>
      </c>
      <c r="N39" s="307">
        <f t="shared" ca="1" si="20"/>
        <v>144527.55043350338</v>
      </c>
      <c r="O39" s="1494">
        <f t="shared" ca="1" si="21"/>
        <v>875741.46183201415</v>
      </c>
      <c r="P39" s="306">
        <f t="shared" si="22"/>
        <v>0</v>
      </c>
      <c r="Q39" s="306">
        <v>0</v>
      </c>
      <c r="R39" s="306">
        <f t="shared" ca="1" si="23"/>
        <v>875741.46183201415</v>
      </c>
      <c r="S39" s="818">
        <f t="shared" ca="1" si="24"/>
        <v>489885.2789867149</v>
      </c>
      <c r="T39" s="818">
        <v>0</v>
      </c>
      <c r="U39" s="818">
        <v>0</v>
      </c>
      <c r="V39" s="818">
        <f t="shared" ca="1" si="25"/>
        <v>489885.2789867149</v>
      </c>
      <c r="W39" s="306">
        <f t="shared" si="3"/>
        <v>0</v>
      </c>
      <c r="X39" s="306">
        <f t="shared" ca="1" si="4"/>
        <v>-5421.6452753228559</v>
      </c>
      <c r="Y39" s="306">
        <v>0</v>
      </c>
      <c r="Z39" s="306">
        <v>0</v>
      </c>
      <c r="AA39" s="308">
        <f ca="1">-SUM(W39,X39/OFFSET(GridFootprintbyYear,$A39-$A$19,0)*EF_PurchElec_MTperMWh,Z39)*OFFSET(ExposureCalculations!Price_GHG_Allowance_2010,A39-$A$19,0)*ExposureCalculations!D36</f>
        <v>242860.11467141582</v>
      </c>
      <c r="AB39" s="308">
        <f t="shared" ca="1" si="5"/>
        <v>1859216.1849384932</v>
      </c>
      <c r="AC39" s="308">
        <v>0</v>
      </c>
      <c r="AD39" s="819">
        <f t="shared" ca="1" si="6"/>
        <v>0</v>
      </c>
      <c r="AE39" s="308">
        <v>0</v>
      </c>
      <c r="AF39" s="819">
        <v>0</v>
      </c>
      <c r="AG39" s="308">
        <f t="shared" ca="1" si="26"/>
        <v>-1097496.393125867</v>
      </c>
      <c r="AH39" s="308">
        <v>0</v>
      </c>
      <c r="AI39" s="308">
        <v>0</v>
      </c>
      <c r="AJ39" s="308">
        <f t="shared" ca="1" si="7"/>
        <v>761719.79181262618</v>
      </c>
      <c r="AK39" s="309">
        <f t="shared" si="27"/>
        <v>550000</v>
      </c>
      <c r="AL39" s="309">
        <f t="shared" si="28"/>
        <v>0</v>
      </c>
      <c r="AM39" s="309">
        <f t="shared" si="29"/>
        <v>550000</v>
      </c>
      <c r="AN39" s="310">
        <v>0</v>
      </c>
      <c r="AO39" s="310">
        <v>0</v>
      </c>
      <c r="AP39" s="310">
        <f t="shared" si="30"/>
        <v>0</v>
      </c>
      <c r="AQ39" s="309">
        <v>0</v>
      </c>
      <c r="AR39" s="311">
        <f t="shared" ca="1" si="8"/>
        <v>1554579.9064840421</v>
      </c>
      <c r="AS39" s="870">
        <f t="shared" ca="1" si="31"/>
        <v>20839213.543872677</v>
      </c>
      <c r="AT39" s="822"/>
      <c r="AU39" s="878" t="s">
        <v>1440</v>
      </c>
      <c r="AV39" s="35"/>
      <c r="AW39" s="879"/>
      <c r="AX39" s="35"/>
      <c r="AY39" s="880"/>
      <c r="BK39" s="312">
        <f t="shared" ca="1" si="43"/>
        <v>0</v>
      </c>
      <c r="BL39" s="312" t="e">
        <f t="shared" si="47"/>
        <v>#N/A</v>
      </c>
      <c r="BN39" s="271">
        <f t="shared" si="32"/>
        <v>2030</v>
      </c>
      <c r="BO39" s="123">
        <f t="shared" si="33"/>
        <v>5542</v>
      </c>
      <c r="BP39" s="123">
        <f t="shared" si="48"/>
        <v>1698.0000000000005</v>
      </c>
      <c r="BQ39" s="123">
        <f t="shared" si="34"/>
        <v>15517600</v>
      </c>
      <c r="BR39" s="123">
        <f t="shared" si="35"/>
        <v>4754400.0000000009</v>
      </c>
      <c r="BS39" s="123">
        <f t="shared" si="36"/>
        <v>20272000</v>
      </c>
      <c r="BT39" s="123"/>
      <c r="BU39" s="123">
        <f t="shared" si="9"/>
        <v>5068</v>
      </c>
      <c r="BV39" s="123"/>
      <c r="BW39" s="123">
        <f t="shared" si="37"/>
        <v>19796.560000000001</v>
      </c>
      <c r="BX39" s="123">
        <f t="shared" si="38"/>
        <v>12163.2</v>
      </c>
      <c r="BY39" s="123"/>
      <c r="BZ39" s="123">
        <f t="shared" si="39"/>
        <v>660</v>
      </c>
      <c r="CA39" s="123">
        <f t="shared" si="49"/>
        <v>3740</v>
      </c>
      <c r="CB39" s="312">
        <f t="shared" si="44"/>
        <v>550000</v>
      </c>
      <c r="CC39" s="123">
        <f t="shared" si="45"/>
        <v>4300</v>
      </c>
      <c r="CD39" s="123">
        <f t="shared" si="40"/>
        <v>2500</v>
      </c>
      <c r="CE39" s="312">
        <f t="shared" si="46"/>
        <v>0</v>
      </c>
      <c r="CF39" s="123"/>
      <c r="CG39" s="123"/>
      <c r="CH39" s="123"/>
      <c r="CI39" s="1305">
        <f t="shared" si="41"/>
        <v>2030</v>
      </c>
      <c r="CJ39" s="1266">
        <f t="shared" si="42"/>
        <v>0</v>
      </c>
      <c r="CK39" s="1266" t="str">
        <f t="shared" ca="1" si="53"/>
        <v/>
      </c>
      <c r="CL39" s="1266" t="str">
        <f t="shared" ca="1" si="53"/>
        <v/>
      </c>
      <c r="CM39" s="1266" t="str">
        <f t="shared" ca="1" si="53"/>
        <v/>
      </c>
      <c r="CN39" s="1266" t="str">
        <f t="shared" ca="1" si="53"/>
        <v/>
      </c>
      <c r="CO39" s="1266" t="str">
        <f t="shared" ca="1" si="53"/>
        <v/>
      </c>
      <c r="CP39" s="1266" t="str">
        <f t="shared" ca="1" si="53"/>
        <v/>
      </c>
      <c r="CQ39" s="1266" t="str">
        <f t="shared" ca="1" si="53"/>
        <v/>
      </c>
      <c r="CR39" s="1266" t="str">
        <f t="shared" ca="1" si="53"/>
        <v/>
      </c>
      <c r="CS39" s="1266" t="str">
        <f t="shared" ca="1" si="53"/>
        <v/>
      </c>
      <c r="CT39" s="1266" t="str">
        <f t="shared" ca="1" si="53"/>
        <v/>
      </c>
      <c r="CU39" s="1266" t="str">
        <f t="shared" ca="1" si="53"/>
        <v/>
      </c>
      <c r="CV39" s="1266" t="str">
        <f t="shared" ca="1" si="53"/>
        <v/>
      </c>
      <c r="CW39" s="1266" t="str">
        <f t="shared" ca="1" si="53"/>
        <v/>
      </c>
      <c r="CX39" s="1266" t="str">
        <f t="shared" ca="1" si="53"/>
        <v/>
      </c>
      <c r="CY39" s="1266" t="str">
        <f t="shared" ca="1" si="53"/>
        <v/>
      </c>
      <c r="CZ39" s="1266" t="str">
        <f t="shared" ca="1" si="53"/>
        <v/>
      </c>
      <c r="DA39" s="1266" t="str">
        <f t="shared" ca="1" si="50"/>
        <v/>
      </c>
      <c r="DB39" s="1266" t="str">
        <f t="shared" ca="1" si="50"/>
        <v/>
      </c>
      <c r="DC39" s="1266" t="str">
        <f t="shared" ca="1" si="50"/>
        <v/>
      </c>
      <c r="DD39" s="1266" t="str">
        <f t="shared" ca="1" si="50"/>
        <v/>
      </c>
      <c r="DE39" s="1266" t="str">
        <f t="shared" ca="1" si="50"/>
        <v/>
      </c>
      <c r="DF39" s="1266">
        <f t="shared" ca="1" si="50"/>
        <v>0</v>
      </c>
      <c r="DG39" s="1266">
        <f t="shared" ca="1" si="50"/>
        <v>0</v>
      </c>
      <c r="DH39" s="1266">
        <f t="shared" ca="1" si="50"/>
        <v>0</v>
      </c>
      <c r="DI39" s="1266">
        <f t="shared" ca="1" si="50"/>
        <v>0</v>
      </c>
      <c r="DJ39" s="1266">
        <f t="shared" ca="1" si="50"/>
        <v>0</v>
      </c>
      <c r="DK39" s="1266">
        <f t="shared" ca="1" si="50"/>
        <v>0</v>
      </c>
      <c r="DL39" s="1266">
        <f t="shared" ca="1" si="50"/>
        <v>0</v>
      </c>
      <c r="DM39" s="1266">
        <f t="shared" ca="1" si="50"/>
        <v>0</v>
      </c>
      <c r="DN39" s="1266">
        <f t="shared" ca="1" si="50"/>
        <v>0</v>
      </c>
      <c r="DO39" s="1266">
        <f t="shared" ca="1" si="50"/>
        <v>0</v>
      </c>
      <c r="DP39" s="1266">
        <f t="shared" ca="1" si="50"/>
        <v>0</v>
      </c>
      <c r="DQ39" s="1266">
        <f t="shared" ca="1" si="51"/>
        <v>0</v>
      </c>
      <c r="DR39" s="1266">
        <f t="shared" ca="1" si="51"/>
        <v>0</v>
      </c>
      <c r="DS39" s="1266">
        <f t="shared" ca="1" si="51"/>
        <v>0</v>
      </c>
      <c r="DT39" s="1266">
        <f t="shared" ca="1" si="51"/>
        <v>0</v>
      </c>
      <c r="DU39" s="1266">
        <f t="shared" ca="1" si="51"/>
        <v>0</v>
      </c>
      <c r="DV39" s="1266">
        <f t="shared" ca="1" si="51"/>
        <v>0</v>
      </c>
      <c r="DW39" s="1266">
        <f t="shared" ca="1" si="51"/>
        <v>0</v>
      </c>
      <c r="DX39" s="1266">
        <f t="shared" ca="1" si="51"/>
        <v>0</v>
      </c>
      <c r="DY39" s="1266">
        <f t="shared" ca="1" si="51"/>
        <v>0</v>
      </c>
    </row>
    <row r="40" spans="1:129">
      <c r="A40" s="303">
        <v>2031</v>
      </c>
      <c r="B40" s="304">
        <f ca="1">IF($D$3="BAU",UtilityDemand!C33,INDIRECT($D$3&amp;"!B"&amp;ROW(A40))+INDIRECT($D$3&amp;"!D"&amp;ROW(A40)))</f>
        <v>165900.73603435536</v>
      </c>
      <c r="C40" s="305">
        <f t="shared" ca="1" si="14"/>
        <v>-0.11932774063100271</v>
      </c>
      <c r="D40" s="306">
        <f t="shared" si="15"/>
        <v>-19796.560000000001</v>
      </c>
      <c r="E40" s="304">
        <f ca="1">IF($D$3="BAU",UtilityDemand!E33,INDIRECT($D$3&amp;"!E"&amp;ROW(D40))+INDIRECT($D$3&amp;"!G"&amp;ROW(D40)))</f>
        <v>884128.06096168945</v>
      </c>
      <c r="F40" s="305">
        <v>0</v>
      </c>
      <c r="G40" s="306">
        <f t="shared" ca="1" si="16"/>
        <v>0</v>
      </c>
      <c r="H40" s="304">
        <f ca="1">IF($D$3="BAU",UtilityDemand!G33,INDIRECT($D$3&amp;"!H"&amp;ROW(G40))+INDIRECT($D$3&amp;"!J"&amp;ROW(G40)))</f>
        <v>249685.81354931853</v>
      </c>
      <c r="I40" s="305">
        <f t="shared" ca="1" si="17"/>
        <v>0.97428042283207217</v>
      </c>
      <c r="J40" s="306">
        <f t="shared" si="2"/>
        <v>243264</v>
      </c>
      <c r="K40" s="307">
        <f t="shared" ca="1" si="18"/>
        <v>146104.17603435536</v>
      </c>
      <c r="L40" s="307">
        <f t="shared" si="19"/>
        <v>0</v>
      </c>
      <c r="M40" s="307">
        <v>0</v>
      </c>
      <c r="N40" s="307">
        <f t="shared" ca="1" si="20"/>
        <v>146104.17603435536</v>
      </c>
      <c r="O40" s="1494">
        <f t="shared" ca="1" si="21"/>
        <v>884128.06096168945</v>
      </c>
      <c r="P40" s="306">
        <f t="shared" si="22"/>
        <v>0</v>
      </c>
      <c r="Q40" s="306">
        <v>0</v>
      </c>
      <c r="R40" s="306">
        <f t="shared" ca="1" si="23"/>
        <v>884128.06096168945</v>
      </c>
      <c r="S40" s="818">
        <f t="shared" ca="1" si="24"/>
        <v>492949.81354931853</v>
      </c>
      <c r="T40" s="818">
        <v>0</v>
      </c>
      <c r="U40" s="818">
        <v>0</v>
      </c>
      <c r="V40" s="818">
        <f t="shared" ca="1" si="25"/>
        <v>492949.81354931853</v>
      </c>
      <c r="W40" s="306">
        <f t="shared" si="3"/>
        <v>0</v>
      </c>
      <c r="X40" s="306">
        <f t="shared" ca="1" si="4"/>
        <v>-5421.6452753228559</v>
      </c>
      <c r="Y40" s="306">
        <v>0</v>
      </c>
      <c r="Z40" s="306">
        <v>0</v>
      </c>
      <c r="AA40" s="308">
        <f ca="1">-SUM(W40,X40/OFFSET(GridFootprintbyYear,$A40-$A$19,0)*EF_PurchElec_MTperMWh,Z40)*OFFSET(ExposureCalculations!Price_GHG_Allowance_2010,A40-$A$19,0)*ExposureCalculations!D37</f>
        <v>261971.24836418717</v>
      </c>
      <c r="AB40" s="308">
        <f t="shared" ca="1" si="5"/>
        <v>1868512.265863185</v>
      </c>
      <c r="AC40" s="308">
        <v>0</v>
      </c>
      <c r="AD40" s="819">
        <f t="shared" ca="1" si="6"/>
        <v>0</v>
      </c>
      <c r="AE40" s="308">
        <v>0</v>
      </c>
      <c r="AF40" s="819">
        <v>0</v>
      </c>
      <c r="AG40" s="308">
        <f t="shared" ca="1" si="26"/>
        <v>-1097496.393125867</v>
      </c>
      <c r="AH40" s="308">
        <v>0</v>
      </c>
      <c r="AI40" s="308">
        <v>0</v>
      </c>
      <c r="AJ40" s="308">
        <f t="shared" ca="1" si="7"/>
        <v>771015.87273731804</v>
      </c>
      <c r="AK40" s="309">
        <f t="shared" si="27"/>
        <v>550000</v>
      </c>
      <c r="AL40" s="309">
        <f t="shared" si="28"/>
        <v>0</v>
      </c>
      <c r="AM40" s="309">
        <f t="shared" si="29"/>
        <v>550000</v>
      </c>
      <c r="AN40" s="310">
        <v>0</v>
      </c>
      <c r="AO40" s="310">
        <v>0</v>
      </c>
      <c r="AP40" s="310">
        <f t="shared" si="30"/>
        <v>0</v>
      </c>
      <c r="AQ40" s="309">
        <v>0</v>
      </c>
      <c r="AR40" s="311">
        <f t="shared" ca="1" si="8"/>
        <v>1582987.1211015051</v>
      </c>
      <c r="AS40" s="870">
        <f t="shared" ca="1" si="31"/>
        <v>22422200.664974183</v>
      </c>
      <c r="AT40" s="822"/>
      <c r="AU40" s="1261">
        <v>1200000</v>
      </c>
      <c r="AV40" s="35"/>
      <c r="AW40" s="879"/>
      <c r="AX40" s="35"/>
      <c r="AY40" s="880"/>
      <c r="BK40" s="312">
        <f t="shared" ca="1" si="43"/>
        <v>0</v>
      </c>
      <c r="BL40" s="312" t="e">
        <f t="shared" si="47"/>
        <v>#N/A</v>
      </c>
      <c r="BN40" s="271">
        <f t="shared" si="32"/>
        <v>2031</v>
      </c>
      <c r="BO40" s="123">
        <f t="shared" si="33"/>
        <v>5542</v>
      </c>
      <c r="BP40" s="123">
        <f>BP39</f>
        <v>1698.0000000000005</v>
      </c>
      <c r="BQ40" s="123">
        <f t="shared" si="34"/>
        <v>15517600</v>
      </c>
      <c r="BR40" s="123">
        <f t="shared" si="35"/>
        <v>4754400.0000000009</v>
      </c>
      <c r="BS40" s="123">
        <f t="shared" si="36"/>
        <v>20272000</v>
      </c>
      <c r="BT40" s="123"/>
      <c r="BU40" s="123">
        <f t="shared" si="9"/>
        <v>5068</v>
      </c>
      <c r="BV40" s="123"/>
      <c r="BW40" s="123">
        <f t="shared" si="37"/>
        <v>19796.560000000001</v>
      </c>
      <c r="BX40" s="123">
        <f t="shared" si="38"/>
        <v>12163.2</v>
      </c>
      <c r="BY40" s="123"/>
      <c r="BZ40" s="123">
        <f t="shared" si="39"/>
        <v>440</v>
      </c>
      <c r="CA40" s="123">
        <f t="shared" si="49"/>
        <v>3960</v>
      </c>
      <c r="CB40" s="312">
        <f t="shared" si="44"/>
        <v>550000</v>
      </c>
      <c r="CC40" s="123">
        <f t="shared" si="45"/>
        <v>4300</v>
      </c>
      <c r="CD40" s="123">
        <f t="shared" si="40"/>
        <v>2500</v>
      </c>
      <c r="CE40" s="312">
        <f t="shared" si="46"/>
        <v>0</v>
      </c>
      <c r="CF40" s="123"/>
      <c r="CG40" s="123"/>
      <c r="CH40" s="123"/>
      <c r="CI40" s="1305">
        <f t="shared" si="41"/>
        <v>2031</v>
      </c>
      <c r="CJ40" s="1266">
        <f t="shared" si="42"/>
        <v>0</v>
      </c>
      <c r="CK40" s="1266" t="str">
        <f t="shared" ca="1" si="53"/>
        <v/>
      </c>
      <c r="CL40" s="1266" t="str">
        <f t="shared" ca="1" si="53"/>
        <v/>
      </c>
      <c r="CM40" s="1266" t="str">
        <f t="shared" ca="1" si="53"/>
        <v/>
      </c>
      <c r="CN40" s="1266" t="str">
        <f t="shared" ca="1" si="53"/>
        <v/>
      </c>
      <c r="CO40" s="1266" t="str">
        <f t="shared" ca="1" si="53"/>
        <v/>
      </c>
      <c r="CP40" s="1266" t="str">
        <f t="shared" ca="1" si="53"/>
        <v/>
      </c>
      <c r="CQ40" s="1266" t="str">
        <f t="shared" ca="1" si="53"/>
        <v/>
      </c>
      <c r="CR40" s="1266" t="str">
        <f t="shared" ca="1" si="53"/>
        <v/>
      </c>
      <c r="CS40" s="1266" t="str">
        <f t="shared" ca="1" si="53"/>
        <v/>
      </c>
      <c r="CT40" s="1266" t="str">
        <f t="shared" ca="1" si="53"/>
        <v/>
      </c>
      <c r="CU40" s="1266" t="str">
        <f t="shared" ca="1" si="53"/>
        <v/>
      </c>
      <c r="CV40" s="1266" t="str">
        <f t="shared" ca="1" si="53"/>
        <v/>
      </c>
      <c r="CW40" s="1266" t="str">
        <f t="shared" ca="1" si="53"/>
        <v/>
      </c>
      <c r="CX40" s="1266" t="str">
        <f t="shared" ca="1" si="53"/>
        <v/>
      </c>
      <c r="CY40" s="1266" t="str">
        <f t="shared" ca="1" si="53"/>
        <v/>
      </c>
      <c r="CZ40" s="1266" t="str">
        <f t="shared" ca="1" si="53"/>
        <v/>
      </c>
      <c r="DA40" s="1266" t="str">
        <f t="shared" ca="1" si="50"/>
        <v/>
      </c>
      <c r="DB40" s="1266" t="str">
        <f t="shared" ca="1" si="50"/>
        <v/>
      </c>
      <c r="DC40" s="1266" t="str">
        <f t="shared" ca="1" si="50"/>
        <v/>
      </c>
      <c r="DD40" s="1266" t="str">
        <f t="shared" ca="1" si="50"/>
        <v/>
      </c>
      <c r="DE40" s="1266" t="str">
        <f t="shared" ca="1" si="50"/>
        <v/>
      </c>
      <c r="DF40" s="1266" t="str">
        <f t="shared" ca="1" si="50"/>
        <v/>
      </c>
      <c r="DG40" s="1266">
        <f t="shared" ca="1" si="50"/>
        <v>0</v>
      </c>
      <c r="DH40" s="1266">
        <f t="shared" ca="1" si="50"/>
        <v>0</v>
      </c>
      <c r="DI40" s="1266">
        <f t="shared" ca="1" si="50"/>
        <v>0</v>
      </c>
      <c r="DJ40" s="1266">
        <f t="shared" ca="1" si="50"/>
        <v>0</v>
      </c>
      <c r="DK40" s="1266">
        <f t="shared" ca="1" si="50"/>
        <v>0</v>
      </c>
      <c r="DL40" s="1266">
        <f t="shared" ca="1" si="50"/>
        <v>0</v>
      </c>
      <c r="DM40" s="1266">
        <f t="shared" ca="1" si="50"/>
        <v>0</v>
      </c>
      <c r="DN40" s="1266">
        <f t="shared" ca="1" si="50"/>
        <v>0</v>
      </c>
      <c r="DO40" s="1266">
        <f t="shared" ca="1" si="50"/>
        <v>0</v>
      </c>
      <c r="DP40" s="1266">
        <f t="shared" ca="1" si="50"/>
        <v>0</v>
      </c>
      <c r="DQ40" s="1266">
        <f t="shared" ca="1" si="51"/>
        <v>0</v>
      </c>
      <c r="DR40" s="1266">
        <f t="shared" ca="1" si="51"/>
        <v>0</v>
      </c>
      <c r="DS40" s="1266">
        <f t="shared" ca="1" si="51"/>
        <v>0</v>
      </c>
      <c r="DT40" s="1266">
        <f t="shared" ca="1" si="51"/>
        <v>0</v>
      </c>
      <c r="DU40" s="1266">
        <f t="shared" ca="1" si="51"/>
        <v>0</v>
      </c>
      <c r="DV40" s="1266">
        <f t="shared" ca="1" si="51"/>
        <v>0</v>
      </c>
      <c r="DW40" s="1266">
        <f t="shared" ca="1" si="51"/>
        <v>0</v>
      </c>
      <c r="DX40" s="1266">
        <f t="shared" ca="1" si="51"/>
        <v>0</v>
      </c>
      <c r="DY40" s="1266">
        <f t="shared" ca="1" si="51"/>
        <v>0</v>
      </c>
    </row>
    <row r="41" spans="1:129">
      <c r="A41" s="303">
        <v>2032</v>
      </c>
      <c r="B41" s="304">
        <f ca="1">IF($D$3="BAU",UtilityDemand!C34,INDIRECT($D$3&amp;"!B"&amp;ROW(A41))+INDIRECT($D$3&amp;"!D"&amp;ROW(A41)))</f>
        <v>167477.3616352074</v>
      </c>
      <c r="C41" s="305">
        <f t="shared" ca="1" si="14"/>
        <v>-0.118204393756334</v>
      </c>
      <c r="D41" s="306">
        <f t="shared" si="15"/>
        <v>-19796.560000000001</v>
      </c>
      <c r="E41" s="304">
        <f ca="1">IF($D$3="BAU",UtilityDemand!E34,INDIRECT($D$3&amp;"!E"&amp;ROW(D41))+INDIRECT($D$3&amp;"!G"&amp;ROW(D41)))</f>
        <v>892514.66009136476</v>
      </c>
      <c r="F41" s="305">
        <v>0</v>
      </c>
      <c r="G41" s="306">
        <f t="shared" ca="1" si="16"/>
        <v>0</v>
      </c>
      <c r="H41" s="304">
        <f ca="1">IF($D$3="BAU",UtilityDemand!G34,INDIRECT($D$3&amp;"!H"&amp;ROW(G41))+INDIRECT($D$3&amp;"!J"&amp;ROW(G41)))</f>
        <v>252750.34811192221</v>
      </c>
      <c r="I41" s="305">
        <f t="shared" ca="1" si="17"/>
        <v>0.9624675171259448</v>
      </c>
      <c r="J41" s="306">
        <f t="shared" si="2"/>
        <v>243264</v>
      </c>
      <c r="K41" s="307">
        <f t="shared" ca="1" si="18"/>
        <v>147680.8016352074</v>
      </c>
      <c r="L41" s="307">
        <f t="shared" si="19"/>
        <v>0</v>
      </c>
      <c r="M41" s="307">
        <v>0</v>
      </c>
      <c r="N41" s="307">
        <f t="shared" ca="1" si="20"/>
        <v>147680.8016352074</v>
      </c>
      <c r="O41" s="1494">
        <f t="shared" ca="1" si="21"/>
        <v>892514.66009136476</v>
      </c>
      <c r="P41" s="306">
        <f t="shared" si="22"/>
        <v>0</v>
      </c>
      <c r="Q41" s="306">
        <v>0</v>
      </c>
      <c r="R41" s="306">
        <f t="shared" ca="1" si="23"/>
        <v>892514.66009136476</v>
      </c>
      <c r="S41" s="818">
        <f t="shared" ca="1" si="24"/>
        <v>496014.34811192221</v>
      </c>
      <c r="T41" s="818">
        <v>0</v>
      </c>
      <c r="U41" s="818">
        <v>0</v>
      </c>
      <c r="V41" s="818">
        <f t="shared" ca="1" si="25"/>
        <v>496014.34811192221</v>
      </c>
      <c r="W41" s="306">
        <f t="shared" si="3"/>
        <v>0</v>
      </c>
      <c r="X41" s="306">
        <f t="shared" ca="1" si="4"/>
        <v>-5421.6452753228559</v>
      </c>
      <c r="Y41" s="306">
        <v>0</v>
      </c>
      <c r="Z41" s="306">
        <v>0</v>
      </c>
      <c r="AA41" s="308">
        <f ca="1">-SUM(W41,X41/OFFSET(GridFootprintbyYear,$A41-$A$19,0)*EF_PurchElec_MTperMWh,Z41)*OFFSET(ExposureCalculations!Price_GHG_Allowance_2010,A41-$A$19,0)*ExposureCalculations!D38</f>
        <v>281550.20825438743</v>
      </c>
      <c r="AB41" s="308">
        <f t="shared" ca="1" si="5"/>
        <v>1877854.8271925009</v>
      </c>
      <c r="AC41" s="308">
        <v>0</v>
      </c>
      <c r="AD41" s="819">
        <f t="shared" ca="1" si="6"/>
        <v>0</v>
      </c>
      <c r="AE41" s="308">
        <v>0</v>
      </c>
      <c r="AF41" s="819">
        <v>0</v>
      </c>
      <c r="AG41" s="308">
        <f t="shared" ca="1" si="26"/>
        <v>-950259.31071828073</v>
      </c>
      <c r="AH41" s="308">
        <v>0</v>
      </c>
      <c r="AI41" s="308">
        <v>0</v>
      </c>
      <c r="AJ41" s="308">
        <f t="shared" ca="1" si="7"/>
        <v>927595.5164742202</v>
      </c>
      <c r="AK41" s="309">
        <f t="shared" si="27"/>
        <v>550000</v>
      </c>
      <c r="AL41" s="309">
        <f t="shared" si="28"/>
        <v>0</v>
      </c>
      <c r="AM41" s="309">
        <f t="shared" si="29"/>
        <v>550000</v>
      </c>
      <c r="AN41" s="310">
        <v>0</v>
      </c>
      <c r="AO41" s="310">
        <v>0</v>
      </c>
      <c r="AP41" s="310">
        <f t="shared" si="30"/>
        <v>0</v>
      </c>
      <c r="AQ41" s="309">
        <v>0</v>
      </c>
      <c r="AR41" s="311">
        <f t="shared" ca="1" si="8"/>
        <v>1759145.7247286076</v>
      </c>
      <c r="AS41" s="870">
        <f t="shared" ca="1" si="31"/>
        <v>24181346.389702789</v>
      </c>
      <c r="AT41" s="822"/>
      <c r="AU41" s="878">
        <v>4300</v>
      </c>
      <c r="AV41" s="35" t="s">
        <v>1445</v>
      </c>
      <c r="AW41" s="879"/>
      <c r="AX41" s="35"/>
      <c r="AY41" s="880"/>
      <c r="BK41" s="312">
        <f t="shared" ca="1" si="43"/>
        <v>0</v>
      </c>
      <c r="BL41" s="312" t="e">
        <f t="shared" si="47"/>
        <v>#N/A</v>
      </c>
      <c r="BN41" s="271">
        <f t="shared" si="32"/>
        <v>2032</v>
      </c>
      <c r="BO41" s="123">
        <f t="shared" si="33"/>
        <v>5542</v>
      </c>
      <c r="BP41" s="123">
        <f t="shared" ref="BP41:BP59" si="54">BP40</f>
        <v>1698.0000000000005</v>
      </c>
      <c r="BQ41" s="123">
        <f t="shared" si="34"/>
        <v>15517600</v>
      </c>
      <c r="BR41" s="123">
        <f t="shared" si="35"/>
        <v>4754400.0000000009</v>
      </c>
      <c r="BS41" s="123">
        <f t="shared" si="36"/>
        <v>20272000</v>
      </c>
      <c r="BT41" s="123"/>
      <c r="BU41" s="123">
        <f t="shared" si="9"/>
        <v>5068</v>
      </c>
      <c r="BV41" s="123"/>
      <c r="BW41" s="123">
        <f t="shared" si="37"/>
        <v>19796.560000000001</v>
      </c>
      <c r="BX41" s="123">
        <f t="shared" si="38"/>
        <v>12163.2</v>
      </c>
      <c r="BY41" s="123"/>
      <c r="BZ41" s="123">
        <f t="shared" si="39"/>
        <v>220</v>
      </c>
      <c r="CA41" s="123">
        <f t="shared" si="49"/>
        <v>4180</v>
      </c>
      <c r="CB41" s="312">
        <f t="shared" si="44"/>
        <v>550000</v>
      </c>
      <c r="CC41" s="123">
        <f t="shared" si="45"/>
        <v>4300</v>
      </c>
      <c r="CD41" s="123">
        <f t="shared" si="40"/>
        <v>2500</v>
      </c>
      <c r="CE41" s="312">
        <f t="shared" si="46"/>
        <v>0</v>
      </c>
      <c r="CF41" s="123"/>
      <c r="CG41" s="123"/>
      <c r="CH41" s="123"/>
      <c r="CI41" s="1305">
        <f t="shared" si="41"/>
        <v>2032</v>
      </c>
      <c r="CJ41" s="1266">
        <f t="shared" si="42"/>
        <v>0</v>
      </c>
      <c r="CK41" s="1266" t="str">
        <f t="shared" ca="1" si="53"/>
        <v/>
      </c>
      <c r="CL41" s="1266" t="str">
        <f t="shared" ca="1" si="53"/>
        <v/>
      </c>
      <c r="CM41" s="1266" t="str">
        <f t="shared" ca="1" si="53"/>
        <v/>
      </c>
      <c r="CN41" s="1266" t="str">
        <f t="shared" ca="1" si="53"/>
        <v/>
      </c>
      <c r="CO41" s="1266" t="str">
        <f t="shared" ca="1" si="53"/>
        <v/>
      </c>
      <c r="CP41" s="1266" t="str">
        <f t="shared" ca="1" si="53"/>
        <v/>
      </c>
      <c r="CQ41" s="1266" t="str">
        <f t="shared" ca="1" si="53"/>
        <v/>
      </c>
      <c r="CR41" s="1266" t="str">
        <f t="shared" ca="1" si="53"/>
        <v/>
      </c>
      <c r="CS41" s="1266" t="str">
        <f t="shared" ca="1" si="53"/>
        <v/>
      </c>
      <c r="CT41" s="1266" t="str">
        <f t="shared" ca="1" si="53"/>
        <v/>
      </c>
      <c r="CU41" s="1266" t="str">
        <f t="shared" ca="1" si="53"/>
        <v/>
      </c>
      <c r="CV41" s="1266" t="str">
        <f t="shared" ca="1" si="53"/>
        <v/>
      </c>
      <c r="CW41" s="1266" t="str">
        <f t="shared" ca="1" si="53"/>
        <v/>
      </c>
      <c r="CX41" s="1266" t="str">
        <f t="shared" ca="1" si="53"/>
        <v/>
      </c>
      <c r="CY41" s="1266" t="str">
        <f t="shared" ca="1" si="53"/>
        <v/>
      </c>
      <c r="CZ41" s="1266" t="str">
        <f t="shared" ca="1" si="53"/>
        <v/>
      </c>
      <c r="DA41" s="1266" t="str">
        <f t="shared" ca="1" si="50"/>
        <v/>
      </c>
      <c r="DB41" s="1266" t="str">
        <f t="shared" ca="1" si="50"/>
        <v/>
      </c>
      <c r="DC41" s="1266" t="str">
        <f t="shared" ca="1" si="50"/>
        <v/>
      </c>
      <c r="DD41" s="1266" t="str">
        <f t="shared" ca="1" si="50"/>
        <v/>
      </c>
      <c r="DE41" s="1266" t="str">
        <f t="shared" ca="1" si="50"/>
        <v/>
      </c>
      <c r="DF41" s="1266" t="str">
        <f t="shared" ca="1" si="50"/>
        <v/>
      </c>
      <c r="DG41" s="1266" t="str">
        <f t="shared" ca="1" si="50"/>
        <v/>
      </c>
      <c r="DH41" s="1266">
        <f t="shared" ca="1" si="50"/>
        <v>0</v>
      </c>
      <c r="DI41" s="1266">
        <f t="shared" ca="1" si="50"/>
        <v>0</v>
      </c>
      <c r="DJ41" s="1266">
        <f t="shared" ca="1" si="50"/>
        <v>0</v>
      </c>
      <c r="DK41" s="1266">
        <f t="shared" ca="1" si="50"/>
        <v>0</v>
      </c>
      <c r="DL41" s="1266">
        <f t="shared" ca="1" si="50"/>
        <v>0</v>
      </c>
      <c r="DM41" s="1266">
        <f t="shared" ca="1" si="50"/>
        <v>0</v>
      </c>
      <c r="DN41" s="1266">
        <f t="shared" ca="1" si="50"/>
        <v>0</v>
      </c>
      <c r="DO41" s="1266">
        <f t="shared" ca="1" si="50"/>
        <v>0</v>
      </c>
      <c r="DP41" s="1266">
        <f t="shared" ca="1" si="50"/>
        <v>0</v>
      </c>
      <c r="DQ41" s="1266">
        <f t="shared" ca="1" si="51"/>
        <v>0</v>
      </c>
      <c r="DR41" s="1266">
        <f t="shared" ca="1" si="51"/>
        <v>0</v>
      </c>
      <c r="DS41" s="1266">
        <f t="shared" ca="1" si="51"/>
        <v>0</v>
      </c>
      <c r="DT41" s="1266">
        <f t="shared" ca="1" si="51"/>
        <v>0</v>
      </c>
      <c r="DU41" s="1266">
        <f t="shared" ca="1" si="51"/>
        <v>0</v>
      </c>
      <c r="DV41" s="1266">
        <f t="shared" ca="1" si="51"/>
        <v>0</v>
      </c>
      <c r="DW41" s="1266">
        <f t="shared" ca="1" si="51"/>
        <v>0</v>
      </c>
      <c r="DX41" s="1266">
        <f t="shared" ca="1" si="51"/>
        <v>0</v>
      </c>
      <c r="DY41" s="1266">
        <f t="shared" ca="1" si="51"/>
        <v>0</v>
      </c>
    </row>
    <row r="42" spans="1:129">
      <c r="A42" s="303">
        <v>2033</v>
      </c>
      <c r="B42" s="304">
        <f ca="1">IF($D$3="BAU",UtilityDemand!C35,INDIRECT($D$3&amp;"!B"&amp;ROW(A42))+INDIRECT($D$3&amp;"!D"&amp;ROW(A42)))</f>
        <v>169053.98723605942</v>
      </c>
      <c r="C42" s="305">
        <f t="shared" ca="1" si="14"/>
        <v>-0.11710199992122618</v>
      </c>
      <c r="D42" s="306">
        <f t="shared" si="15"/>
        <v>-19796.560000000001</v>
      </c>
      <c r="E42" s="304">
        <f ca="1">IF($D$3="BAU",UtilityDemand!E35,INDIRECT($D$3&amp;"!E"&amp;ROW(D42))+INDIRECT($D$3&amp;"!G"&amp;ROW(D42)))</f>
        <v>900901.25922104018</v>
      </c>
      <c r="F42" s="305">
        <v>0</v>
      </c>
      <c r="G42" s="306">
        <f t="shared" ca="1" si="16"/>
        <v>0</v>
      </c>
      <c r="H42" s="304">
        <f ca="1">IF($D$3="BAU",UtilityDemand!G35,INDIRECT($D$3&amp;"!H"&amp;ROW(G42))+INDIRECT($D$3&amp;"!J"&amp;ROW(G42)))</f>
        <v>255814.8826745259</v>
      </c>
      <c r="I42" s="305">
        <f t="shared" ca="1" si="17"/>
        <v>0.95093763684384847</v>
      </c>
      <c r="J42" s="306">
        <f t="shared" si="2"/>
        <v>243264</v>
      </c>
      <c r="K42" s="307">
        <f t="shared" ca="1" si="18"/>
        <v>149257.42723605942</v>
      </c>
      <c r="L42" s="307">
        <f t="shared" si="19"/>
        <v>0</v>
      </c>
      <c r="M42" s="307">
        <v>0</v>
      </c>
      <c r="N42" s="307">
        <f t="shared" ca="1" si="20"/>
        <v>149257.42723605942</v>
      </c>
      <c r="O42" s="1494">
        <f t="shared" ca="1" si="21"/>
        <v>900901.25922104018</v>
      </c>
      <c r="P42" s="306">
        <f t="shared" si="22"/>
        <v>0</v>
      </c>
      <c r="Q42" s="306">
        <v>0</v>
      </c>
      <c r="R42" s="306">
        <f t="shared" ca="1" si="23"/>
        <v>900901.25922104018</v>
      </c>
      <c r="S42" s="818">
        <f t="shared" ca="1" si="24"/>
        <v>499078.8826745259</v>
      </c>
      <c r="T42" s="818">
        <v>0</v>
      </c>
      <c r="U42" s="818">
        <v>0</v>
      </c>
      <c r="V42" s="818">
        <f t="shared" ca="1" si="25"/>
        <v>499078.8826745259</v>
      </c>
      <c r="W42" s="306">
        <f t="shared" si="3"/>
        <v>0</v>
      </c>
      <c r="X42" s="306">
        <f t="shared" ca="1" si="4"/>
        <v>-5421.6452753228559</v>
      </c>
      <c r="Y42" s="306">
        <v>0</v>
      </c>
      <c r="Z42" s="306">
        <v>0</v>
      </c>
      <c r="AA42" s="308">
        <f ca="1">-SUM(W42,X42/OFFSET(GridFootprintbyYear,$A42-$A$19,0)*EF_PurchElec_MTperMWh,Z42)*OFFSET(ExposureCalculations!Price_GHG_Allowance_2010,A42-$A$19,0)*ExposureCalculations!D39</f>
        <v>299101.57122325705</v>
      </c>
      <c r="AB42" s="308">
        <f t="shared" ca="1" si="5"/>
        <v>1887244.1013284628</v>
      </c>
      <c r="AC42" s="308">
        <v>0</v>
      </c>
      <c r="AD42" s="819">
        <f t="shared" ca="1" si="6"/>
        <v>0</v>
      </c>
      <c r="AE42" s="308">
        <v>0</v>
      </c>
      <c r="AF42" s="819">
        <v>0</v>
      </c>
      <c r="AG42" s="308">
        <f t="shared" ca="1" si="26"/>
        <v>-950259.31071828073</v>
      </c>
      <c r="AH42" s="308">
        <v>0</v>
      </c>
      <c r="AI42" s="308">
        <v>0</v>
      </c>
      <c r="AJ42" s="308">
        <f t="shared" ca="1" si="7"/>
        <v>936984.7906101821</v>
      </c>
      <c r="AK42" s="309">
        <f t="shared" si="27"/>
        <v>550000</v>
      </c>
      <c r="AL42" s="309">
        <f t="shared" si="28"/>
        <v>0</v>
      </c>
      <c r="AM42" s="309">
        <f t="shared" si="29"/>
        <v>550000</v>
      </c>
      <c r="AN42" s="310">
        <v>0</v>
      </c>
      <c r="AO42" s="310">
        <v>0</v>
      </c>
      <c r="AP42" s="310">
        <f t="shared" si="30"/>
        <v>0</v>
      </c>
      <c r="AQ42" s="309">
        <v>0</v>
      </c>
      <c r="AR42" s="311">
        <f t="shared" ca="1" si="8"/>
        <v>1786086.3618334392</v>
      </c>
      <c r="AS42" s="870">
        <f t="shared" ca="1" si="31"/>
        <v>25967432.751536228</v>
      </c>
      <c r="AT42" s="822"/>
      <c r="AU42" s="878" t="s">
        <v>1453</v>
      </c>
      <c r="AV42" s="35"/>
      <c r="AW42" s="879"/>
      <c r="AX42" s="35"/>
      <c r="AY42" s="880"/>
      <c r="BK42" s="312">
        <f t="shared" ca="1" si="43"/>
        <v>0</v>
      </c>
      <c r="BL42" s="312" t="e">
        <f t="shared" si="47"/>
        <v>#N/A</v>
      </c>
      <c r="BN42" s="271">
        <f t="shared" si="32"/>
        <v>2033</v>
      </c>
      <c r="BO42" s="123">
        <f t="shared" si="33"/>
        <v>5542</v>
      </c>
      <c r="BP42" s="123">
        <f t="shared" si="54"/>
        <v>1698.0000000000005</v>
      </c>
      <c r="BQ42" s="123">
        <f t="shared" si="34"/>
        <v>15517600</v>
      </c>
      <c r="BR42" s="123">
        <f t="shared" si="35"/>
        <v>4754400.0000000009</v>
      </c>
      <c r="BS42" s="123">
        <f t="shared" si="36"/>
        <v>20272000</v>
      </c>
      <c r="BT42" s="123"/>
      <c r="BU42" s="123">
        <f t="shared" si="9"/>
        <v>5068</v>
      </c>
      <c r="BV42" s="123"/>
      <c r="BW42" s="123">
        <f t="shared" si="37"/>
        <v>19796.560000000001</v>
      </c>
      <c r="BX42" s="123">
        <f t="shared" si="38"/>
        <v>12163.2</v>
      </c>
      <c r="BY42" s="123"/>
      <c r="BZ42" s="123">
        <f t="shared" si="39"/>
        <v>0</v>
      </c>
      <c r="CA42" s="123">
        <f t="shared" si="49"/>
        <v>4400</v>
      </c>
      <c r="CB42" s="312">
        <f t="shared" si="44"/>
        <v>550000</v>
      </c>
      <c r="CC42" s="123">
        <f t="shared" si="45"/>
        <v>4300</v>
      </c>
      <c r="CD42" s="123">
        <f t="shared" si="40"/>
        <v>2500</v>
      </c>
      <c r="CE42" s="312">
        <f t="shared" si="46"/>
        <v>0</v>
      </c>
      <c r="CF42" s="123"/>
      <c r="CG42" s="123"/>
      <c r="CH42" s="123"/>
      <c r="CI42" s="1305">
        <f t="shared" si="41"/>
        <v>2033</v>
      </c>
      <c r="CJ42" s="1266">
        <f t="shared" si="42"/>
        <v>0</v>
      </c>
      <c r="CK42" s="1266" t="str">
        <f t="shared" ca="1" si="53"/>
        <v/>
      </c>
      <c r="CL42" s="1266" t="str">
        <f t="shared" ca="1" si="53"/>
        <v/>
      </c>
      <c r="CM42" s="1266" t="str">
        <f t="shared" ca="1" si="53"/>
        <v/>
      </c>
      <c r="CN42" s="1266" t="str">
        <f t="shared" ca="1" si="53"/>
        <v/>
      </c>
      <c r="CO42" s="1266" t="str">
        <f t="shared" ca="1" si="53"/>
        <v/>
      </c>
      <c r="CP42" s="1266" t="str">
        <f t="shared" ca="1" si="53"/>
        <v/>
      </c>
      <c r="CQ42" s="1266" t="str">
        <f t="shared" ca="1" si="53"/>
        <v/>
      </c>
      <c r="CR42" s="1266" t="str">
        <f t="shared" ca="1" si="53"/>
        <v/>
      </c>
      <c r="CS42" s="1266" t="str">
        <f t="shared" ca="1" si="53"/>
        <v/>
      </c>
      <c r="CT42" s="1266" t="str">
        <f t="shared" ca="1" si="53"/>
        <v/>
      </c>
      <c r="CU42" s="1266" t="str">
        <f t="shared" ca="1" si="53"/>
        <v/>
      </c>
      <c r="CV42" s="1266" t="str">
        <f t="shared" ca="1" si="53"/>
        <v/>
      </c>
      <c r="CW42" s="1266" t="str">
        <f t="shared" ca="1" si="53"/>
        <v/>
      </c>
      <c r="CX42" s="1266" t="str">
        <f t="shared" ca="1" si="53"/>
        <v/>
      </c>
      <c r="CY42" s="1266" t="str">
        <f t="shared" ca="1" si="53"/>
        <v/>
      </c>
      <c r="CZ42" s="1266" t="str">
        <f t="shared" ca="1" si="53"/>
        <v/>
      </c>
      <c r="DA42" s="1266" t="str">
        <f t="shared" ca="1" si="50"/>
        <v/>
      </c>
      <c r="DB42" s="1266" t="str">
        <f t="shared" ca="1" si="50"/>
        <v/>
      </c>
      <c r="DC42" s="1266" t="str">
        <f t="shared" ca="1" si="50"/>
        <v/>
      </c>
      <c r="DD42" s="1266" t="str">
        <f t="shared" ca="1" si="50"/>
        <v/>
      </c>
      <c r="DE42" s="1266" t="str">
        <f t="shared" ca="1" si="50"/>
        <v/>
      </c>
      <c r="DF42" s="1266" t="str">
        <f t="shared" ca="1" si="50"/>
        <v/>
      </c>
      <c r="DG42" s="1266" t="str">
        <f t="shared" ca="1" si="50"/>
        <v/>
      </c>
      <c r="DH42" s="1266" t="str">
        <f t="shared" ca="1" si="50"/>
        <v/>
      </c>
      <c r="DI42" s="1266">
        <f t="shared" ca="1" si="50"/>
        <v>0</v>
      </c>
      <c r="DJ42" s="1266">
        <f t="shared" ca="1" si="50"/>
        <v>0</v>
      </c>
      <c r="DK42" s="1266">
        <f t="shared" ca="1" si="50"/>
        <v>0</v>
      </c>
      <c r="DL42" s="1266">
        <f t="shared" ca="1" si="50"/>
        <v>0</v>
      </c>
      <c r="DM42" s="1266">
        <f t="shared" ca="1" si="50"/>
        <v>0</v>
      </c>
      <c r="DN42" s="1266">
        <f t="shared" ca="1" si="50"/>
        <v>0</v>
      </c>
      <c r="DO42" s="1266">
        <f t="shared" ca="1" si="50"/>
        <v>0</v>
      </c>
      <c r="DP42" s="1266">
        <f t="shared" ca="1" si="50"/>
        <v>0</v>
      </c>
      <c r="DQ42" s="1266">
        <f t="shared" ca="1" si="51"/>
        <v>0</v>
      </c>
      <c r="DR42" s="1266">
        <f t="shared" ca="1" si="51"/>
        <v>0</v>
      </c>
      <c r="DS42" s="1266">
        <f t="shared" ca="1" si="51"/>
        <v>0</v>
      </c>
      <c r="DT42" s="1266">
        <f t="shared" ca="1" si="51"/>
        <v>0</v>
      </c>
      <c r="DU42" s="1266">
        <f t="shared" ca="1" si="51"/>
        <v>0</v>
      </c>
      <c r="DV42" s="1266">
        <f t="shared" ca="1" si="51"/>
        <v>0</v>
      </c>
      <c r="DW42" s="1266">
        <f t="shared" ca="1" si="51"/>
        <v>0</v>
      </c>
      <c r="DX42" s="1266">
        <f t="shared" ca="1" si="51"/>
        <v>0</v>
      </c>
      <c r="DY42" s="1266">
        <f t="shared" ca="1" si="51"/>
        <v>0</v>
      </c>
    </row>
    <row r="43" spans="1:129">
      <c r="A43" s="303">
        <v>2034</v>
      </c>
      <c r="B43" s="304">
        <f ca="1">IF($D$3="BAU",UtilityDemand!C36,INDIRECT($D$3&amp;"!B"&amp;ROW(A43))+INDIRECT($D$3&amp;"!D"&amp;ROW(A43)))</f>
        <v>170630.61283691146</v>
      </c>
      <c r="C43" s="305">
        <f t="shared" ca="1" si="14"/>
        <v>-0.11601997830788741</v>
      </c>
      <c r="D43" s="306">
        <f t="shared" si="15"/>
        <v>-19796.560000000001</v>
      </c>
      <c r="E43" s="304">
        <f ca="1">IF($D$3="BAU",UtilityDemand!E36,INDIRECT($D$3&amp;"!E"&amp;ROW(D43))+INDIRECT($D$3&amp;"!G"&amp;ROW(D43)))</f>
        <v>909287.85835071537</v>
      </c>
      <c r="F43" s="305">
        <v>0</v>
      </c>
      <c r="G43" s="306">
        <f t="shared" ca="1" si="16"/>
        <v>0</v>
      </c>
      <c r="H43" s="304">
        <f ca="1">IF($D$3="BAU",UtilityDemand!G36,INDIRECT($D$3&amp;"!H"&amp;ROW(G43))+INDIRECT($D$3&amp;"!J"&amp;ROW(G43)))</f>
        <v>258879.41723712959</v>
      </c>
      <c r="I43" s="305">
        <f t="shared" ca="1" si="17"/>
        <v>0.93968073088318915</v>
      </c>
      <c r="J43" s="306">
        <f t="shared" si="2"/>
        <v>243264</v>
      </c>
      <c r="K43" s="307">
        <f t="shared" ca="1" si="18"/>
        <v>150834.05283691146</v>
      </c>
      <c r="L43" s="307">
        <f t="shared" si="19"/>
        <v>0</v>
      </c>
      <c r="M43" s="307">
        <v>0</v>
      </c>
      <c r="N43" s="307">
        <f t="shared" ca="1" si="20"/>
        <v>150834.05283691146</v>
      </c>
      <c r="O43" s="1494">
        <f t="shared" ca="1" si="21"/>
        <v>909287.85835071537</v>
      </c>
      <c r="P43" s="306">
        <f t="shared" si="22"/>
        <v>0</v>
      </c>
      <c r="Q43" s="306">
        <v>0</v>
      </c>
      <c r="R43" s="306">
        <f t="shared" ca="1" si="23"/>
        <v>909287.85835071537</v>
      </c>
      <c r="S43" s="818">
        <f t="shared" ca="1" si="24"/>
        <v>502143.41723712959</v>
      </c>
      <c r="T43" s="818">
        <v>0</v>
      </c>
      <c r="U43" s="818">
        <v>0</v>
      </c>
      <c r="V43" s="818">
        <f t="shared" ca="1" si="25"/>
        <v>502143.41723712959</v>
      </c>
      <c r="W43" s="306">
        <f t="shared" si="3"/>
        <v>0</v>
      </c>
      <c r="X43" s="306">
        <f t="shared" ca="1" si="4"/>
        <v>-5421.6452753228559</v>
      </c>
      <c r="Y43" s="306">
        <v>0</v>
      </c>
      <c r="Z43" s="306">
        <v>0</v>
      </c>
      <c r="AA43" s="308">
        <f ca="1">-SUM(W43,X43/OFFSET(GridFootprintbyYear,$A43-$A$19,0)*EF_PurchElec_MTperMWh,Z43)*OFFSET(ExposureCalculations!Price_GHG_Allowance_2010,A43-$A$19,0)*ExposureCalculations!D40</f>
        <v>314525.79039373831</v>
      </c>
      <c r="AB43" s="308">
        <f t="shared" ca="1" si="5"/>
        <v>1896680.3218351053</v>
      </c>
      <c r="AC43" s="308">
        <v>0</v>
      </c>
      <c r="AD43" s="819">
        <f t="shared" ca="1" si="6"/>
        <v>0</v>
      </c>
      <c r="AE43" s="308">
        <v>0</v>
      </c>
      <c r="AF43" s="819">
        <v>0</v>
      </c>
      <c r="AG43" s="308">
        <f t="shared" ca="1" si="26"/>
        <v>-749751.64150216815</v>
      </c>
      <c r="AH43" s="308">
        <v>0</v>
      </c>
      <c r="AI43" s="308">
        <v>0</v>
      </c>
      <c r="AJ43" s="308">
        <f t="shared" ca="1" si="7"/>
        <v>1146928.6803329373</v>
      </c>
      <c r="AK43" s="309">
        <f t="shared" si="27"/>
        <v>0</v>
      </c>
      <c r="AL43" s="309">
        <f t="shared" si="28"/>
        <v>0</v>
      </c>
      <c r="AM43" s="309">
        <f t="shared" si="29"/>
        <v>0</v>
      </c>
      <c r="AN43" s="310">
        <v>0</v>
      </c>
      <c r="AO43" s="310">
        <v>0</v>
      </c>
      <c r="AP43" s="310">
        <f t="shared" si="30"/>
        <v>0</v>
      </c>
      <c r="AQ43" s="309">
        <v>0</v>
      </c>
      <c r="AR43" s="311">
        <f t="shared" ca="1" si="8"/>
        <v>1461454.4707266756</v>
      </c>
      <c r="AS43" s="870">
        <f t="shared" ca="1" si="31"/>
        <v>27428887.222262904</v>
      </c>
      <c r="AT43" s="822"/>
      <c r="AU43" s="878"/>
      <c r="AV43" s="35"/>
      <c r="AW43" s="1288" t="s">
        <v>1078</v>
      </c>
      <c r="AX43" s="1288"/>
      <c r="AY43" s="1291"/>
      <c r="BK43" s="312">
        <f t="shared" ca="1" si="43"/>
        <v>0</v>
      </c>
      <c r="BL43" s="312" t="e">
        <f t="shared" si="47"/>
        <v>#N/A</v>
      </c>
      <c r="BN43" s="271">
        <f t="shared" si="32"/>
        <v>2034</v>
      </c>
      <c r="BO43" s="123">
        <f t="shared" si="33"/>
        <v>5542</v>
      </c>
      <c r="BP43" s="123">
        <f t="shared" si="54"/>
        <v>1698.0000000000005</v>
      </c>
      <c r="BQ43" s="123">
        <f t="shared" ref="BQ43:BQ59" si="55">BO43*$AU$30</f>
        <v>15517600</v>
      </c>
      <c r="BR43" s="123">
        <f t="shared" ref="BR43:BR59" si="56">BP43*$AU$30</f>
        <v>4754400.0000000009</v>
      </c>
      <c r="BS43" s="123">
        <f t="shared" si="36"/>
        <v>20272000</v>
      </c>
      <c r="BT43" s="123"/>
      <c r="BU43" s="123">
        <f t="shared" ref="BU43:BU59" si="57">SUM(BO43:BP43)*$AU$27</f>
        <v>5068</v>
      </c>
      <c r="BV43" s="123"/>
      <c r="BW43" s="123">
        <f t="shared" si="37"/>
        <v>19796.560000000001</v>
      </c>
      <c r="BX43" s="123">
        <f t="shared" si="38"/>
        <v>12163.2</v>
      </c>
      <c r="BY43" s="123"/>
      <c r="BZ43" s="123">
        <f t="shared" si="39"/>
        <v>0</v>
      </c>
      <c r="CA43" s="123">
        <f>CA42</f>
        <v>4400</v>
      </c>
      <c r="CB43" s="312">
        <f t="shared" si="44"/>
        <v>0</v>
      </c>
      <c r="CC43" s="123">
        <f t="shared" si="45"/>
        <v>4300</v>
      </c>
      <c r="CD43" s="123">
        <f t="shared" si="40"/>
        <v>2500</v>
      </c>
      <c r="CE43" s="312">
        <f t="shared" si="46"/>
        <v>0</v>
      </c>
      <c r="CF43" s="123"/>
      <c r="CG43" s="123"/>
      <c r="CH43" s="123"/>
      <c r="CI43" s="1305">
        <f t="shared" si="41"/>
        <v>2034</v>
      </c>
      <c r="CJ43" s="1266">
        <f t="shared" si="42"/>
        <v>0</v>
      </c>
      <c r="CK43" s="1266" t="str">
        <f t="shared" ca="1" si="53"/>
        <v/>
      </c>
      <c r="CL43" s="1266" t="str">
        <f t="shared" ca="1" si="53"/>
        <v/>
      </c>
      <c r="CM43" s="1266" t="str">
        <f t="shared" ca="1" si="53"/>
        <v/>
      </c>
      <c r="CN43" s="1266" t="str">
        <f t="shared" ca="1" si="53"/>
        <v/>
      </c>
      <c r="CO43" s="1266" t="str">
        <f t="shared" ca="1" si="53"/>
        <v/>
      </c>
      <c r="CP43" s="1266" t="str">
        <f t="shared" ca="1" si="53"/>
        <v/>
      </c>
      <c r="CQ43" s="1266" t="str">
        <f t="shared" ca="1" si="53"/>
        <v/>
      </c>
      <c r="CR43" s="1266" t="str">
        <f t="shared" ca="1" si="53"/>
        <v/>
      </c>
      <c r="CS43" s="1266" t="str">
        <f t="shared" ca="1" si="53"/>
        <v/>
      </c>
      <c r="CT43" s="1266" t="str">
        <f t="shared" ca="1" si="53"/>
        <v/>
      </c>
      <c r="CU43" s="1266" t="str">
        <f t="shared" ca="1" si="53"/>
        <v/>
      </c>
      <c r="CV43" s="1266" t="str">
        <f t="shared" ca="1" si="53"/>
        <v/>
      </c>
      <c r="CW43" s="1266" t="str">
        <f t="shared" ca="1" si="53"/>
        <v/>
      </c>
      <c r="CX43" s="1266" t="str">
        <f t="shared" ca="1" si="53"/>
        <v/>
      </c>
      <c r="CY43" s="1266" t="str">
        <f t="shared" ca="1" si="53"/>
        <v/>
      </c>
      <c r="CZ43" s="1266" t="str">
        <f t="shared" ca="1" si="53"/>
        <v/>
      </c>
      <c r="DA43" s="1266" t="str">
        <f t="shared" ca="1" si="50"/>
        <v/>
      </c>
      <c r="DB43" s="1266" t="str">
        <f t="shared" ca="1" si="50"/>
        <v/>
      </c>
      <c r="DC43" s="1266" t="str">
        <f t="shared" ca="1" si="50"/>
        <v/>
      </c>
      <c r="DD43" s="1266" t="str">
        <f t="shared" ca="1" si="50"/>
        <v/>
      </c>
      <c r="DE43" s="1266" t="str">
        <f t="shared" ca="1" si="50"/>
        <v/>
      </c>
      <c r="DF43" s="1266" t="str">
        <f t="shared" ca="1" si="50"/>
        <v/>
      </c>
      <c r="DG43" s="1266" t="str">
        <f t="shared" ca="1" si="50"/>
        <v/>
      </c>
      <c r="DH43" s="1266" t="str">
        <f t="shared" ca="1" si="50"/>
        <v/>
      </c>
      <c r="DI43" s="1266" t="str">
        <f t="shared" ca="1" si="50"/>
        <v/>
      </c>
      <c r="DJ43" s="1266">
        <f t="shared" ca="1" si="50"/>
        <v>0</v>
      </c>
      <c r="DK43" s="1266">
        <f t="shared" ca="1" si="50"/>
        <v>0</v>
      </c>
      <c r="DL43" s="1266">
        <f t="shared" ca="1" si="50"/>
        <v>0</v>
      </c>
      <c r="DM43" s="1266">
        <f t="shared" ca="1" si="50"/>
        <v>0</v>
      </c>
      <c r="DN43" s="1266">
        <f t="shared" ca="1" si="50"/>
        <v>0</v>
      </c>
      <c r="DO43" s="1266">
        <f t="shared" ca="1" si="50"/>
        <v>0</v>
      </c>
      <c r="DP43" s="1266">
        <f t="shared" ca="1" si="50"/>
        <v>0</v>
      </c>
      <c r="DQ43" s="1266">
        <f t="shared" ca="1" si="51"/>
        <v>0</v>
      </c>
      <c r="DR43" s="1266">
        <f t="shared" ca="1" si="51"/>
        <v>0</v>
      </c>
      <c r="DS43" s="1266">
        <f t="shared" ca="1" si="51"/>
        <v>0</v>
      </c>
      <c r="DT43" s="1266">
        <f t="shared" ca="1" si="51"/>
        <v>0</v>
      </c>
      <c r="DU43" s="1266">
        <f t="shared" ca="1" si="51"/>
        <v>0</v>
      </c>
      <c r="DV43" s="1266">
        <f t="shared" ca="1" si="51"/>
        <v>0</v>
      </c>
      <c r="DW43" s="1266">
        <f t="shared" ca="1" si="51"/>
        <v>0</v>
      </c>
      <c r="DX43" s="1266">
        <f t="shared" ca="1" si="51"/>
        <v>0</v>
      </c>
      <c r="DY43" s="1266">
        <f t="shared" ca="1" si="51"/>
        <v>0</v>
      </c>
    </row>
    <row r="44" spans="1:129">
      <c r="A44" s="303">
        <v>2035</v>
      </c>
      <c r="B44" s="304">
        <f ca="1">IF($D$3="BAU",UtilityDemand!C37,INDIRECT($D$3&amp;"!B"&amp;ROW(A44))+INDIRECT($D$3&amp;"!D"&amp;ROW(A44)))</f>
        <v>172207.23843776347</v>
      </c>
      <c r="C44" s="305">
        <f t="shared" ca="1" si="14"/>
        <v>-0.11495776936899534</v>
      </c>
      <c r="D44" s="306">
        <f t="shared" si="15"/>
        <v>-19796.560000000001</v>
      </c>
      <c r="E44" s="304">
        <f ca="1">IF($D$3="BAU",UtilityDemand!E37,INDIRECT($D$3&amp;"!E"&amp;ROW(D44))+INDIRECT($D$3&amp;"!G"&amp;ROW(D44)))</f>
        <v>917674.45748039079</v>
      </c>
      <c r="F44" s="305">
        <v>0</v>
      </c>
      <c r="G44" s="306">
        <f t="shared" ca="1" si="16"/>
        <v>0</v>
      </c>
      <c r="H44" s="304">
        <f ca="1">IF($D$3="BAU",UtilityDemand!G37,INDIRECT($D$3&amp;"!H"&amp;ROW(G44))+INDIRECT($D$3&amp;"!J"&amp;ROW(G44)))</f>
        <v>261943.95179973327</v>
      </c>
      <c r="I44" s="305">
        <f t="shared" ca="1" si="17"/>
        <v>0.92868721850079272</v>
      </c>
      <c r="J44" s="306">
        <f t="shared" si="2"/>
        <v>243264</v>
      </c>
      <c r="K44" s="307">
        <f t="shared" ca="1" si="18"/>
        <v>152410.67843776348</v>
      </c>
      <c r="L44" s="307">
        <f t="shared" si="19"/>
        <v>0</v>
      </c>
      <c r="M44" s="307">
        <v>0</v>
      </c>
      <c r="N44" s="307">
        <f t="shared" ca="1" si="20"/>
        <v>152410.67843776348</v>
      </c>
      <c r="O44" s="1494">
        <f t="shared" ca="1" si="21"/>
        <v>917674.45748039079</v>
      </c>
      <c r="P44" s="306">
        <f t="shared" si="22"/>
        <v>0</v>
      </c>
      <c r="Q44" s="306">
        <v>0</v>
      </c>
      <c r="R44" s="306">
        <f t="shared" ca="1" si="23"/>
        <v>917674.45748039079</v>
      </c>
      <c r="S44" s="818">
        <f t="shared" ca="1" si="24"/>
        <v>505207.95179973327</v>
      </c>
      <c r="T44" s="818">
        <v>0</v>
      </c>
      <c r="U44" s="818">
        <v>0</v>
      </c>
      <c r="V44" s="818">
        <f t="shared" ca="1" si="25"/>
        <v>505207.95179973327</v>
      </c>
      <c r="W44" s="306">
        <f t="shared" si="3"/>
        <v>0</v>
      </c>
      <c r="X44" s="306">
        <f t="shared" ca="1" si="4"/>
        <v>-5421.6452753228559</v>
      </c>
      <c r="Y44" s="306">
        <v>0</v>
      </c>
      <c r="Z44" s="306">
        <v>0</v>
      </c>
      <c r="AA44" s="308">
        <f ca="1">-SUM(W44,X44/OFFSET(GridFootprintbyYear,$A44-$A$19,0)*EF_PurchElec_MTperMWh,Z44)*OFFSET(ExposureCalculations!Price_GHG_Allowance_2010,A44-$A$19,0)*ExposureCalculations!D41</f>
        <v>330266.71316646546</v>
      </c>
      <c r="AB44" s="308">
        <f t="shared" ca="1" si="5"/>
        <v>1906163.7234442804</v>
      </c>
      <c r="AC44" s="308">
        <v>0</v>
      </c>
      <c r="AD44" s="819">
        <f t="shared" ca="1" si="6"/>
        <v>0</v>
      </c>
      <c r="AE44" s="308">
        <v>0</v>
      </c>
      <c r="AF44" s="819">
        <v>0</v>
      </c>
      <c r="AG44" s="308">
        <f t="shared" ca="1" si="26"/>
        <v>-749751.64150216815</v>
      </c>
      <c r="AH44" s="308">
        <v>0</v>
      </c>
      <c r="AI44" s="308">
        <v>0</v>
      </c>
      <c r="AJ44" s="308">
        <f t="shared" ca="1" si="7"/>
        <v>1156412.0819421122</v>
      </c>
      <c r="AK44" s="309">
        <f t="shared" si="27"/>
        <v>0</v>
      </c>
      <c r="AL44" s="309">
        <f t="shared" si="28"/>
        <v>0</v>
      </c>
      <c r="AM44" s="309">
        <f t="shared" si="29"/>
        <v>0</v>
      </c>
      <c r="AN44" s="310">
        <v>0</v>
      </c>
      <c r="AO44" s="310">
        <v>0</v>
      </c>
      <c r="AP44" s="310">
        <f t="shared" si="30"/>
        <v>0</v>
      </c>
      <c r="AQ44" s="309">
        <v>0</v>
      </c>
      <c r="AR44" s="311">
        <f t="shared" ca="1" si="8"/>
        <v>1486678.7951085777</v>
      </c>
      <c r="AS44" s="870">
        <f t="shared" ca="1" si="31"/>
        <v>28915566.017371483</v>
      </c>
      <c r="AT44" s="822"/>
      <c r="AU44" s="878"/>
      <c r="AV44" s="967" t="s">
        <v>1531</v>
      </c>
      <c r="AW44" s="967" t="s">
        <v>1528</v>
      </c>
      <c r="AX44" s="1289" t="s">
        <v>1529</v>
      </c>
      <c r="AY44" s="1290" t="s">
        <v>7</v>
      </c>
      <c r="BK44" s="312">
        <f t="shared" ca="1" si="43"/>
        <v>0</v>
      </c>
      <c r="BL44" s="312" t="e">
        <f t="shared" si="47"/>
        <v>#N/A</v>
      </c>
      <c r="BN44" s="271">
        <f t="shared" si="32"/>
        <v>2035</v>
      </c>
      <c r="BO44" s="123">
        <f t="shared" si="33"/>
        <v>5542</v>
      </c>
      <c r="BP44" s="123">
        <f t="shared" si="54"/>
        <v>1698.0000000000005</v>
      </c>
      <c r="BQ44" s="123">
        <f t="shared" si="55"/>
        <v>15517600</v>
      </c>
      <c r="BR44" s="123">
        <f t="shared" si="56"/>
        <v>4754400.0000000009</v>
      </c>
      <c r="BS44" s="123">
        <f t="shared" si="36"/>
        <v>20272000</v>
      </c>
      <c r="BT44" s="123"/>
      <c r="BU44" s="123">
        <f t="shared" si="57"/>
        <v>5068</v>
      </c>
      <c r="BV44" s="123"/>
      <c r="BW44" s="123">
        <f t="shared" si="37"/>
        <v>19796.560000000001</v>
      </c>
      <c r="BX44" s="123">
        <f t="shared" si="38"/>
        <v>12163.2</v>
      </c>
      <c r="BY44" s="123"/>
      <c r="BZ44" s="123">
        <f t="shared" si="39"/>
        <v>0</v>
      </c>
      <c r="CA44" s="123">
        <f t="shared" ref="CA44:CA59" si="58">CA43</f>
        <v>4400</v>
      </c>
      <c r="CB44" s="312">
        <f t="shared" si="44"/>
        <v>0</v>
      </c>
      <c r="CC44" s="123">
        <f t="shared" si="45"/>
        <v>4300</v>
      </c>
      <c r="CD44" s="123">
        <f t="shared" si="40"/>
        <v>2500</v>
      </c>
      <c r="CE44" s="312">
        <f t="shared" si="46"/>
        <v>0</v>
      </c>
      <c r="CF44" s="123"/>
      <c r="CG44" s="123"/>
      <c r="CH44" s="123"/>
      <c r="CI44" s="1305">
        <f t="shared" si="41"/>
        <v>2035</v>
      </c>
      <c r="CJ44" s="1266">
        <f t="shared" si="42"/>
        <v>0</v>
      </c>
      <c r="CK44" s="1266" t="str">
        <f t="shared" ca="1" si="53"/>
        <v/>
      </c>
      <c r="CL44" s="1266" t="str">
        <f t="shared" ca="1" si="53"/>
        <v/>
      </c>
      <c r="CM44" s="1266" t="str">
        <f t="shared" ca="1" si="53"/>
        <v/>
      </c>
      <c r="CN44" s="1266" t="str">
        <f t="shared" ca="1" si="53"/>
        <v/>
      </c>
      <c r="CO44" s="1266" t="str">
        <f t="shared" ca="1" si="53"/>
        <v/>
      </c>
      <c r="CP44" s="1266" t="str">
        <f t="shared" ca="1" si="53"/>
        <v/>
      </c>
      <c r="CQ44" s="1266" t="str">
        <f t="shared" ca="1" si="53"/>
        <v/>
      </c>
      <c r="CR44" s="1266" t="str">
        <f t="shared" ca="1" si="53"/>
        <v/>
      </c>
      <c r="CS44" s="1266" t="str">
        <f t="shared" ca="1" si="53"/>
        <v/>
      </c>
      <c r="CT44" s="1266" t="str">
        <f t="shared" ca="1" si="53"/>
        <v/>
      </c>
      <c r="CU44" s="1266" t="str">
        <f t="shared" ca="1" si="53"/>
        <v/>
      </c>
      <c r="CV44" s="1266" t="str">
        <f t="shared" ca="1" si="53"/>
        <v/>
      </c>
      <c r="CW44" s="1266" t="str">
        <f t="shared" ca="1" si="53"/>
        <v/>
      </c>
      <c r="CX44" s="1266" t="str">
        <f t="shared" ca="1" si="53"/>
        <v/>
      </c>
      <c r="CY44" s="1266" t="str">
        <f t="shared" ca="1" si="53"/>
        <v/>
      </c>
      <c r="CZ44" s="1266" t="str">
        <f t="shared" ca="1" si="53"/>
        <v/>
      </c>
      <c r="DA44" s="1266" t="str">
        <f t="shared" ca="1" si="50"/>
        <v/>
      </c>
      <c r="DB44" s="1266" t="str">
        <f t="shared" ca="1" si="50"/>
        <v/>
      </c>
      <c r="DC44" s="1266" t="str">
        <f t="shared" ca="1" si="50"/>
        <v/>
      </c>
      <c r="DD44" s="1266" t="str">
        <f t="shared" ca="1" si="50"/>
        <v/>
      </c>
      <c r="DE44" s="1266" t="str">
        <f t="shared" ca="1" si="50"/>
        <v/>
      </c>
      <c r="DF44" s="1266" t="str">
        <f t="shared" ca="1" si="50"/>
        <v/>
      </c>
      <c r="DG44" s="1266" t="str">
        <f t="shared" ca="1" si="50"/>
        <v/>
      </c>
      <c r="DH44" s="1266" t="str">
        <f t="shared" ca="1" si="50"/>
        <v/>
      </c>
      <c r="DI44" s="1266" t="str">
        <f t="shared" ca="1" si="50"/>
        <v/>
      </c>
      <c r="DJ44" s="1266" t="str">
        <f t="shared" ca="1" si="50"/>
        <v/>
      </c>
      <c r="DK44" s="1266">
        <f t="shared" ca="1" si="50"/>
        <v>0</v>
      </c>
      <c r="DL44" s="1266">
        <f t="shared" ca="1" si="50"/>
        <v>0</v>
      </c>
      <c r="DM44" s="1266">
        <f t="shared" ca="1" si="50"/>
        <v>0</v>
      </c>
      <c r="DN44" s="1266">
        <f t="shared" ca="1" si="50"/>
        <v>0</v>
      </c>
      <c r="DO44" s="1266">
        <f t="shared" ca="1" si="50"/>
        <v>0</v>
      </c>
      <c r="DP44" s="1266">
        <f t="shared" ca="1" si="50"/>
        <v>0</v>
      </c>
      <c r="DQ44" s="1266">
        <f t="shared" ca="1" si="51"/>
        <v>0</v>
      </c>
      <c r="DR44" s="1266">
        <f t="shared" ca="1" si="51"/>
        <v>0</v>
      </c>
      <c r="DS44" s="1266">
        <f t="shared" ca="1" si="51"/>
        <v>0</v>
      </c>
      <c r="DT44" s="1266">
        <f t="shared" ca="1" si="51"/>
        <v>0</v>
      </c>
      <c r="DU44" s="1266">
        <f t="shared" ca="1" si="51"/>
        <v>0</v>
      </c>
      <c r="DV44" s="1266">
        <f t="shared" ca="1" si="51"/>
        <v>0</v>
      </c>
      <c r="DW44" s="1266">
        <f t="shared" ca="1" si="51"/>
        <v>0</v>
      </c>
      <c r="DX44" s="1266">
        <f t="shared" ca="1" si="51"/>
        <v>0</v>
      </c>
      <c r="DY44" s="1266">
        <f t="shared" ca="1" si="51"/>
        <v>0</v>
      </c>
    </row>
    <row r="45" spans="1:129">
      <c r="A45" s="303">
        <v>2036</v>
      </c>
      <c r="B45" s="304">
        <f ca="1">IF($D$3="BAU",UtilityDemand!C38,INDIRECT($D$3&amp;"!B"&amp;ROW(A45))+INDIRECT($D$3&amp;"!D"&amp;ROW(A45)))</f>
        <v>173783.86403861555</v>
      </c>
      <c r="C45" s="305">
        <f t="shared" ca="1" si="14"/>
        <v>-0.11391483386283273</v>
      </c>
      <c r="D45" s="306">
        <f t="shared" si="15"/>
        <v>-19796.560000000001</v>
      </c>
      <c r="E45" s="304">
        <f ca="1">IF($D$3="BAU",UtilityDemand!E38,INDIRECT($D$3&amp;"!E"&amp;ROW(D45))+INDIRECT($D$3&amp;"!G"&amp;ROW(D45)))</f>
        <v>926061.05661006644</v>
      </c>
      <c r="F45" s="305">
        <v>0</v>
      </c>
      <c r="G45" s="306">
        <f t="shared" ca="1" si="16"/>
        <v>0</v>
      </c>
      <c r="H45" s="304">
        <f ca="1">IF($D$3="BAU",UtilityDemand!G38,INDIRECT($D$3&amp;"!H"&amp;ROW(G45))+INDIRECT($D$3&amp;"!J"&amp;ROW(G45)))</f>
        <v>265008.48636233702</v>
      </c>
      <c r="I45" s="305">
        <f t="shared" ca="1" si="17"/>
        <v>0.91794796211693186</v>
      </c>
      <c r="J45" s="306">
        <f t="shared" si="2"/>
        <v>243264</v>
      </c>
      <c r="K45" s="307">
        <f t="shared" ca="1" si="18"/>
        <v>153987.30403861555</v>
      </c>
      <c r="L45" s="307">
        <f t="shared" si="19"/>
        <v>0</v>
      </c>
      <c r="M45" s="307">
        <v>0</v>
      </c>
      <c r="N45" s="307">
        <f t="shared" ca="1" si="20"/>
        <v>153987.30403861555</v>
      </c>
      <c r="O45" s="1494">
        <f t="shared" ca="1" si="21"/>
        <v>926061.05661006644</v>
      </c>
      <c r="P45" s="306">
        <f t="shared" si="22"/>
        <v>0</v>
      </c>
      <c r="Q45" s="306">
        <v>0</v>
      </c>
      <c r="R45" s="306">
        <f t="shared" ca="1" si="23"/>
        <v>926061.05661006644</v>
      </c>
      <c r="S45" s="818">
        <f t="shared" ca="1" si="24"/>
        <v>508272.48636233702</v>
      </c>
      <c r="T45" s="818">
        <v>0</v>
      </c>
      <c r="U45" s="818">
        <v>0</v>
      </c>
      <c r="V45" s="818">
        <f t="shared" ca="1" si="25"/>
        <v>508272.48636233702</v>
      </c>
      <c r="W45" s="306">
        <f t="shared" si="3"/>
        <v>0</v>
      </c>
      <c r="X45" s="306">
        <f t="shared" ca="1" si="4"/>
        <v>-5421.6452753228559</v>
      </c>
      <c r="Y45" s="306">
        <v>0</v>
      </c>
      <c r="Z45" s="306">
        <v>0</v>
      </c>
      <c r="AA45" s="308">
        <f ca="1">-SUM(W45,X45/OFFSET(GridFootprintbyYear,$A45-$A$19,0)*EF_PurchElec_MTperMWh,Z45)*OFFSET(ExposureCalculations!Price_GHG_Allowance_2010,A45-$A$19,0)*ExposureCalculations!D42</f>
        <v>348683.14734241267</v>
      </c>
      <c r="AB45" s="308">
        <f t="shared" ca="1" si="5"/>
        <v>1915694.5420615016</v>
      </c>
      <c r="AC45" s="308">
        <v>0</v>
      </c>
      <c r="AD45" s="819">
        <f t="shared" ca="1" si="6"/>
        <v>0</v>
      </c>
      <c r="AE45" s="308">
        <v>0</v>
      </c>
      <c r="AF45" s="819">
        <v>0</v>
      </c>
      <c r="AG45" s="308">
        <f t="shared" ca="1" si="26"/>
        <v>-88298.100394354595</v>
      </c>
      <c r="AH45" s="308">
        <v>0</v>
      </c>
      <c r="AI45" s="308">
        <v>0</v>
      </c>
      <c r="AJ45" s="308">
        <f t="shared" ca="1" si="7"/>
        <v>1827396.441667147</v>
      </c>
      <c r="AK45" s="309">
        <f t="shared" si="27"/>
        <v>0</v>
      </c>
      <c r="AL45" s="309">
        <f t="shared" si="28"/>
        <v>0</v>
      </c>
      <c r="AM45" s="309">
        <f t="shared" si="29"/>
        <v>0</v>
      </c>
      <c r="AN45" s="310">
        <v>0</v>
      </c>
      <c r="AO45" s="310">
        <v>0</v>
      </c>
      <c r="AP45" s="310">
        <f t="shared" si="30"/>
        <v>0</v>
      </c>
      <c r="AQ45" s="309">
        <v>0</v>
      </c>
      <c r="AR45" s="311">
        <f t="shared" ca="1" si="8"/>
        <v>2176079.5890095597</v>
      </c>
      <c r="AS45" s="870">
        <f t="shared" ca="1" si="31"/>
        <v>31091645.606381044</v>
      </c>
      <c r="AT45" s="822"/>
      <c r="AU45" s="878" t="s">
        <v>1542</v>
      </c>
      <c r="AV45" s="1285">
        <v>2012</v>
      </c>
      <c r="AW45" s="1286">
        <v>0.6</v>
      </c>
      <c r="AX45" s="1286">
        <f>AY45-AW45</f>
        <v>2.0009999999999999</v>
      </c>
      <c r="AY45" s="1287">
        <f>1.403+1.198</f>
        <v>2.601</v>
      </c>
      <c r="BK45" s="312">
        <f t="shared" ca="1" si="43"/>
        <v>0</v>
      </c>
      <c r="BL45" s="312" t="e">
        <f t="shared" si="47"/>
        <v>#N/A</v>
      </c>
      <c r="BN45" s="271">
        <f t="shared" si="32"/>
        <v>2036</v>
      </c>
      <c r="BO45" s="123">
        <f t="shared" si="33"/>
        <v>5542</v>
      </c>
      <c r="BP45" s="123">
        <f t="shared" si="54"/>
        <v>1698.0000000000005</v>
      </c>
      <c r="BQ45" s="123">
        <f t="shared" si="55"/>
        <v>15517600</v>
      </c>
      <c r="BR45" s="123">
        <f t="shared" si="56"/>
        <v>4754400.0000000009</v>
      </c>
      <c r="BS45" s="123">
        <f t="shared" si="36"/>
        <v>20272000</v>
      </c>
      <c r="BT45" s="123"/>
      <c r="BU45" s="123">
        <f t="shared" si="57"/>
        <v>5068</v>
      </c>
      <c r="BV45" s="123"/>
      <c r="BW45" s="123">
        <f t="shared" si="37"/>
        <v>19796.560000000001</v>
      </c>
      <c r="BX45" s="123">
        <f t="shared" si="38"/>
        <v>12163.2</v>
      </c>
      <c r="BY45" s="123"/>
      <c r="BZ45" s="123">
        <f t="shared" si="39"/>
        <v>0</v>
      </c>
      <c r="CA45" s="123">
        <f t="shared" si="58"/>
        <v>4400</v>
      </c>
      <c r="CB45" s="312">
        <f t="shared" si="44"/>
        <v>0</v>
      </c>
      <c r="CC45" s="123">
        <f t="shared" si="45"/>
        <v>4300</v>
      </c>
      <c r="CD45" s="123">
        <f t="shared" si="40"/>
        <v>2500</v>
      </c>
      <c r="CE45" s="312">
        <f t="shared" si="46"/>
        <v>0</v>
      </c>
      <c r="CF45" s="123"/>
      <c r="CG45" s="123"/>
      <c r="CH45" s="123"/>
      <c r="CI45" s="1305">
        <f t="shared" si="41"/>
        <v>2036</v>
      </c>
      <c r="CJ45" s="1266">
        <f t="shared" si="42"/>
        <v>0</v>
      </c>
      <c r="CK45" s="1266" t="str">
        <f t="shared" ca="1" si="53"/>
        <v/>
      </c>
      <c r="CL45" s="1266" t="str">
        <f t="shared" ca="1" si="53"/>
        <v/>
      </c>
      <c r="CM45" s="1266" t="str">
        <f t="shared" ca="1" si="53"/>
        <v/>
      </c>
      <c r="CN45" s="1266" t="str">
        <f t="shared" ca="1" si="53"/>
        <v/>
      </c>
      <c r="CO45" s="1266" t="str">
        <f t="shared" ca="1" si="53"/>
        <v/>
      </c>
      <c r="CP45" s="1266" t="str">
        <f t="shared" ca="1" si="53"/>
        <v/>
      </c>
      <c r="CQ45" s="1266" t="str">
        <f t="shared" ca="1" si="53"/>
        <v/>
      </c>
      <c r="CR45" s="1266" t="str">
        <f t="shared" ca="1" si="53"/>
        <v/>
      </c>
      <c r="CS45" s="1266" t="str">
        <f t="shared" ca="1" si="53"/>
        <v/>
      </c>
      <c r="CT45" s="1266" t="str">
        <f t="shared" ca="1" si="53"/>
        <v/>
      </c>
      <c r="CU45" s="1266" t="str">
        <f t="shared" ca="1" si="53"/>
        <v/>
      </c>
      <c r="CV45" s="1266" t="str">
        <f t="shared" ca="1" si="53"/>
        <v/>
      </c>
      <c r="CW45" s="1266" t="str">
        <f t="shared" ca="1" si="53"/>
        <v/>
      </c>
      <c r="CX45" s="1266" t="str">
        <f t="shared" ca="1" si="53"/>
        <v/>
      </c>
      <c r="CY45" s="1266" t="str">
        <f t="shared" ca="1" si="53"/>
        <v/>
      </c>
      <c r="CZ45" s="1266" t="str">
        <f t="shared" ca="1" si="53"/>
        <v/>
      </c>
      <c r="DA45" s="1266" t="str">
        <f t="shared" ca="1" si="50"/>
        <v/>
      </c>
      <c r="DB45" s="1266" t="str">
        <f t="shared" ca="1" si="50"/>
        <v/>
      </c>
      <c r="DC45" s="1266" t="str">
        <f t="shared" ca="1" si="50"/>
        <v/>
      </c>
      <c r="DD45" s="1266" t="str">
        <f t="shared" ca="1" si="50"/>
        <v/>
      </c>
      <c r="DE45" s="1266" t="str">
        <f t="shared" ca="1" si="50"/>
        <v/>
      </c>
      <c r="DF45" s="1266" t="str">
        <f t="shared" ca="1" si="50"/>
        <v/>
      </c>
      <c r="DG45" s="1266" t="str">
        <f t="shared" ca="1" si="50"/>
        <v/>
      </c>
      <c r="DH45" s="1266" t="str">
        <f t="shared" ca="1" si="50"/>
        <v/>
      </c>
      <c r="DI45" s="1266" t="str">
        <f t="shared" ca="1" si="50"/>
        <v/>
      </c>
      <c r="DJ45" s="1266" t="str">
        <f t="shared" ca="1" si="50"/>
        <v/>
      </c>
      <c r="DK45" s="1266" t="str">
        <f t="shared" ca="1" si="50"/>
        <v/>
      </c>
      <c r="DL45" s="1266">
        <f t="shared" ca="1" si="50"/>
        <v>0</v>
      </c>
      <c r="DM45" s="1266">
        <f t="shared" ca="1" si="50"/>
        <v>0</v>
      </c>
      <c r="DN45" s="1266">
        <f t="shared" ca="1" si="50"/>
        <v>0</v>
      </c>
      <c r="DO45" s="1266">
        <f t="shared" ca="1" si="50"/>
        <v>0</v>
      </c>
      <c r="DP45" s="1266">
        <f t="shared" ca="1" si="50"/>
        <v>0</v>
      </c>
      <c r="DQ45" s="1266">
        <f t="shared" ca="1" si="51"/>
        <v>0</v>
      </c>
      <c r="DR45" s="1266">
        <f t="shared" ca="1" si="51"/>
        <v>0</v>
      </c>
      <c r="DS45" s="1266">
        <f t="shared" ca="1" si="51"/>
        <v>0</v>
      </c>
      <c r="DT45" s="1266">
        <f t="shared" ca="1" si="51"/>
        <v>0</v>
      </c>
      <c r="DU45" s="1266">
        <f t="shared" ca="1" si="51"/>
        <v>0</v>
      </c>
      <c r="DV45" s="1266">
        <f t="shared" ca="1" si="51"/>
        <v>0</v>
      </c>
      <c r="DW45" s="1266">
        <f t="shared" ca="1" si="51"/>
        <v>0</v>
      </c>
      <c r="DX45" s="1266">
        <f t="shared" ca="1" si="51"/>
        <v>0</v>
      </c>
      <c r="DY45" s="1266">
        <f t="shared" ca="1" si="51"/>
        <v>0</v>
      </c>
    </row>
    <row r="46" spans="1:129">
      <c r="A46" s="303">
        <v>2037</v>
      </c>
      <c r="B46" s="304">
        <f ca="1">IF($D$3="BAU",UtilityDemand!C39,INDIRECT($D$3&amp;"!B"&amp;ROW(A46))+INDIRECT($D$3&amp;"!D"&amp;ROW(A46)))</f>
        <v>175360.48963946756</v>
      </c>
      <c r="C46" s="305">
        <f t="shared" ca="1" si="14"/>
        <v>-0.11289065194047269</v>
      </c>
      <c r="D46" s="306">
        <f t="shared" si="15"/>
        <v>-19796.560000000001</v>
      </c>
      <c r="E46" s="304">
        <f ca="1">IF($D$3="BAU",UtilityDemand!E39,INDIRECT($D$3&amp;"!E"&amp;ROW(D46))+INDIRECT($D$3&amp;"!G"&amp;ROW(D46)))</f>
        <v>934447.65573974175</v>
      </c>
      <c r="F46" s="305">
        <v>0</v>
      </c>
      <c r="G46" s="306">
        <f t="shared" ca="1" si="16"/>
        <v>0</v>
      </c>
      <c r="H46" s="304">
        <f ca="1">IF($D$3="BAU",UtilityDemand!G39,INDIRECT($D$3&amp;"!H"&amp;ROW(G46))+INDIRECT($D$3&amp;"!J"&amp;ROW(G46)))</f>
        <v>268073.02092494071</v>
      </c>
      <c r="I46" s="305">
        <f t="shared" ca="1" si="17"/>
        <v>0.90745424198473468</v>
      </c>
      <c r="J46" s="306">
        <f t="shared" si="2"/>
        <v>243264</v>
      </c>
      <c r="K46" s="307">
        <f t="shared" ca="1" si="18"/>
        <v>155563.92963946756</v>
      </c>
      <c r="L46" s="307">
        <f t="shared" si="19"/>
        <v>0</v>
      </c>
      <c r="M46" s="307">
        <v>0</v>
      </c>
      <c r="N46" s="307">
        <f t="shared" ca="1" si="20"/>
        <v>155563.92963946756</v>
      </c>
      <c r="O46" s="1494">
        <f t="shared" ca="1" si="21"/>
        <v>934447.65573974175</v>
      </c>
      <c r="P46" s="306">
        <f t="shared" si="22"/>
        <v>0</v>
      </c>
      <c r="Q46" s="306">
        <v>0</v>
      </c>
      <c r="R46" s="306">
        <f t="shared" ca="1" si="23"/>
        <v>934447.65573974175</v>
      </c>
      <c r="S46" s="818">
        <f t="shared" ca="1" si="24"/>
        <v>511337.02092494071</v>
      </c>
      <c r="T46" s="818">
        <v>0</v>
      </c>
      <c r="U46" s="818">
        <v>0</v>
      </c>
      <c r="V46" s="818">
        <f t="shared" ca="1" si="25"/>
        <v>511337.02092494071</v>
      </c>
      <c r="W46" s="306">
        <f t="shared" si="3"/>
        <v>0</v>
      </c>
      <c r="X46" s="306">
        <f t="shared" ca="1" si="4"/>
        <v>-5421.6452753228559</v>
      </c>
      <c r="Y46" s="306">
        <v>0</v>
      </c>
      <c r="Z46" s="306">
        <v>0</v>
      </c>
      <c r="AA46" s="308">
        <f ca="1">-SUM(W46,X46/OFFSET(GridFootprintbyYear,$A46-$A$19,0)*EF_PurchElec_MTperMWh,Z46)*OFFSET(ExposureCalculations!Price_GHG_Allowance_2010,A46-$A$19,0)*ExposureCalculations!D43</f>
        <v>367019.52966835676</v>
      </c>
      <c r="AB46" s="308">
        <f t="shared" ca="1" si="5"/>
        <v>1925273.0147718086</v>
      </c>
      <c r="AC46" s="308">
        <v>0</v>
      </c>
      <c r="AD46" s="819">
        <f t="shared" ca="1" si="6"/>
        <v>0</v>
      </c>
      <c r="AE46" s="308">
        <v>0</v>
      </c>
      <c r="AF46" s="819">
        <v>0</v>
      </c>
      <c r="AG46" s="308">
        <f t="shared" ca="1" si="26"/>
        <v>-88298.100394354595</v>
      </c>
      <c r="AH46" s="308">
        <v>0</v>
      </c>
      <c r="AI46" s="308">
        <v>0</v>
      </c>
      <c r="AJ46" s="308">
        <f t="shared" ca="1" si="7"/>
        <v>1836974.914377454</v>
      </c>
      <c r="AK46" s="309">
        <f t="shared" si="27"/>
        <v>0</v>
      </c>
      <c r="AL46" s="309">
        <f t="shared" si="28"/>
        <v>0</v>
      </c>
      <c r="AM46" s="309">
        <f t="shared" si="29"/>
        <v>0</v>
      </c>
      <c r="AN46" s="310">
        <v>0</v>
      </c>
      <c r="AO46" s="310">
        <v>0</v>
      </c>
      <c r="AP46" s="310">
        <f t="shared" si="30"/>
        <v>0</v>
      </c>
      <c r="AQ46" s="309">
        <v>0</v>
      </c>
      <c r="AR46" s="311">
        <f t="shared" ca="1" si="8"/>
        <v>2203994.444045811</v>
      </c>
      <c r="AS46" s="870">
        <f t="shared" ca="1" si="31"/>
        <v>33295640.050426856</v>
      </c>
      <c r="AT46" s="822"/>
      <c r="AU46" s="878" t="s">
        <v>1530</v>
      </c>
      <c r="AV46" s="1285">
        <v>2014</v>
      </c>
      <c r="AW46" s="1286">
        <f>0.937+0.17*(0.937/3.537)</f>
        <v>0.98203534068419573</v>
      </c>
      <c r="AX46" s="1286">
        <f>2.6+0.17*(2.6/3.537)</f>
        <v>2.7249646593158046</v>
      </c>
      <c r="AY46" s="1287">
        <v>3.7069999999999999</v>
      </c>
      <c r="AZ46" s="1292"/>
      <c r="BA46" s="1292"/>
      <c r="BK46" s="312">
        <f t="shared" ca="1" si="43"/>
        <v>0</v>
      </c>
      <c r="BL46" s="312" t="e">
        <f t="shared" si="47"/>
        <v>#N/A</v>
      </c>
      <c r="BN46" s="271">
        <f t="shared" si="32"/>
        <v>2037</v>
      </c>
      <c r="BO46" s="123">
        <f t="shared" si="33"/>
        <v>5542</v>
      </c>
      <c r="BP46" s="123">
        <f t="shared" si="54"/>
        <v>1698.0000000000005</v>
      </c>
      <c r="BQ46" s="123">
        <f t="shared" si="55"/>
        <v>15517600</v>
      </c>
      <c r="BR46" s="123">
        <f t="shared" si="56"/>
        <v>4754400.0000000009</v>
      </c>
      <c r="BS46" s="123">
        <f t="shared" si="36"/>
        <v>20272000</v>
      </c>
      <c r="BT46" s="123"/>
      <c r="BU46" s="123">
        <f t="shared" si="57"/>
        <v>5068</v>
      </c>
      <c r="BV46" s="123"/>
      <c r="BW46" s="123">
        <f t="shared" si="37"/>
        <v>19796.560000000001</v>
      </c>
      <c r="BX46" s="123">
        <f t="shared" si="38"/>
        <v>12163.2</v>
      </c>
      <c r="BY46" s="123"/>
      <c r="BZ46" s="123">
        <f t="shared" si="39"/>
        <v>0</v>
      </c>
      <c r="CA46" s="123">
        <f t="shared" si="58"/>
        <v>4400</v>
      </c>
      <c r="CB46" s="312">
        <f t="shared" si="44"/>
        <v>0</v>
      </c>
      <c r="CC46" s="123">
        <f t="shared" si="45"/>
        <v>4300</v>
      </c>
      <c r="CD46" s="123">
        <f t="shared" si="40"/>
        <v>2500</v>
      </c>
      <c r="CE46" s="312">
        <f t="shared" si="46"/>
        <v>0</v>
      </c>
      <c r="CF46" s="123"/>
      <c r="CG46" s="123"/>
      <c r="CH46" s="123"/>
      <c r="CI46" s="1305">
        <f t="shared" si="41"/>
        <v>2037</v>
      </c>
      <c r="CJ46" s="1266">
        <f t="shared" si="42"/>
        <v>0</v>
      </c>
      <c r="CK46" s="1266" t="str">
        <f t="shared" ca="1" si="53"/>
        <v/>
      </c>
      <c r="CL46" s="1266" t="str">
        <f t="shared" ca="1" si="53"/>
        <v/>
      </c>
      <c r="CM46" s="1266" t="str">
        <f t="shared" ca="1" si="53"/>
        <v/>
      </c>
      <c r="CN46" s="1266" t="str">
        <f t="shared" ca="1" si="53"/>
        <v/>
      </c>
      <c r="CO46" s="1266" t="str">
        <f t="shared" ca="1" si="53"/>
        <v/>
      </c>
      <c r="CP46" s="1266" t="str">
        <f t="shared" ca="1" si="53"/>
        <v/>
      </c>
      <c r="CQ46" s="1266" t="str">
        <f t="shared" ca="1" si="53"/>
        <v/>
      </c>
      <c r="CR46" s="1266" t="str">
        <f t="shared" ca="1" si="53"/>
        <v/>
      </c>
      <c r="CS46" s="1266" t="str">
        <f t="shared" ca="1" si="53"/>
        <v/>
      </c>
      <c r="CT46" s="1266" t="str">
        <f t="shared" ca="1" si="53"/>
        <v/>
      </c>
      <c r="CU46" s="1266" t="str">
        <f t="shared" ca="1" si="53"/>
        <v/>
      </c>
      <c r="CV46" s="1266" t="str">
        <f t="shared" ca="1" si="53"/>
        <v/>
      </c>
      <c r="CW46" s="1266" t="str">
        <f t="shared" ca="1" si="53"/>
        <v/>
      </c>
      <c r="CX46" s="1266" t="str">
        <f t="shared" ca="1" si="53"/>
        <v/>
      </c>
      <c r="CY46" s="1266" t="str">
        <f t="shared" ca="1" si="53"/>
        <v/>
      </c>
      <c r="CZ46" s="1266" t="str">
        <f t="shared" ca="1" si="53"/>
        <v/>
      </c>
      <c r="DA46" s="1266" t="str">
        <f t="shared" ca="1" si="50"/>
        <v/>
      </c>
      <c r="DB46" s="1266" t="str">
        <f t="shared" ca="1" si="50"/>
        <v/>
      </c>
      <c r="DC46" s="1266" t="str">
        <f t="shared" ca="1" si="50"/>
        <v/>
      </c>
      <c r="DD46" s="1266" t="str">
        <f t="shared" ca="1" si="50"/>
        <v/>
      </c>
      <c r="DE46" s="1266" t="str">
        <f t="shared" ca="1" si="50"/>
        <v/>
      </c>
      <c r="DF46" s="1266" t="str">
        <f t="shared" ca="1" si="50"/>
        <v/>
      </c>
      <c r="DG46" s="1266" t="str">
        <f t="shared" ca="1" si="50"/>
        <v/>
      </c>
      <c r="DH46" s="1266" t="str">
        <f t="shared" ca="1" si="50"/>
        <v/>
      </c>
      <c r="DI46" s="1266" t="str">
        <f t="shared" ca="1" si="50"/>
        <v/>
      </c>
      <c r="DJ46" s="1266" t="str">
        <f t="shared" ca="1" si="50"/>
        <v/>
      </c>
      <c r="DK46" s="1266" t="str">
        <f t="shared" ca="1" si="50"/>
        <v/>
      </c>
      <c r="DL46" s="1266" t="str">
        <f t="shared" ca="1" si="50"/>
        <v/>
      </c>
      <c r="DM46" s="1266">
        <f t="shared" ca="1" si="50"/>
        <v>0</v>
      </c>
      <c r="DN46" s="1266">
        <f t="shared" ca="1" si="50"/>
        <v>0</v>
      </c>
      <c r="DO46" s="1266">
        <f t="shared" ca="1" si="50"/>
        <v>0</v>
      </c>
      <c r="DP46" s="1266">
        <f t="shared" ca="1" si="50"/>
        <v>0</v>
      </c>
      <c r="DQ46" s="1266">
        <f t="shared" ca="1" si="51"/>
        <v>0</v>
      </c>
      <c r="DR46" s="1266">
        <f t="shared" ca="1" si="51"/>
        <v>0</v>
      </c>
      <c r="DS46" s="1266">
        <f t="shared" ca="1" si="51"/>
        <v>0</v>
      </c>
      <c r="DT46" s="1266">
        <f t="shared" ca="1" si="51"/>
        <v>0</v>
      </c>
      <c r="DU46" s="1266">
        <f t="shared" ca="1" si="51"/>
        <v>0</v>
      </c>
      <c r="DV46" s="1266">
        <f t="shared" ca="1" si="51"/>
        <v>0</v>
      </c>
      <c r="DW46" s="1266">
        <f t="shared" ca="1" si="51"/>
        <v>0</v>
      </c>
      <c r="DX46" s="1266">
        <f t="shared" ca="1" si="51"/>
        <v>0</v>
      </c>
      <c r="DY46" s="1266">
        <f t="shared" ca="1" si="51"/>
        <v>0</v>
      </c>
    </row>
    <row r="47" spans="1:129">
      <c r="A47" s="303">
        <v>2038</v>
      </c>
      <c r="B47" s="304">
        <f ca="1">IF($D$3="BAU",UtilityDemand!C40,INDIRECT($D$3&amp;"!B"&amp;ROW(A47))+INDIRECT($D$3&amp;"!D"&amp;ROW(A47)))</f>
        <v>176937.1152403196</v>
      </c>
      <c r="C47" s="305">
        <f t="shared" ca="1" si="14"/>
        <v>-0.11188472228176609</v>
      </c>
      <c r="D47" s="306">
        <f t="shared" si="15"/>
        <v>-19796.560000000001</v>
      </c>
      <c r="E47" s="304">
        <f ca="1">IF($D$3="BAU",UtilityDemand!E40,INDIRECT($D$3&amp;"!E"&amp;ROW(D47))+INDIRECT($D$3&amp;"!G"&amp;ROW(D47)))</f>
        <v>942834.25486941705</v>
      </c>
      <c r="F47" s="305">
        <v>0</v>
      </c>
      <c r="G47" s="306">
        <f t="shared" ca="1" si="16"/>
        <v>0</v>
      </c>
      <c r="H47" s="304">
        <f ca="1">IF($D$3="BAU",UtilityDemand!G40,INDIRECT($D$3&amp;"!H"&amp;ROW(G47))+INDIRECT($D$3&amp;"!J"&amp;ROW(G47)))</f>
        <v>271137.55548754439</v>
      </c>
      <c r="I47" s="305">
        <f t="shared" ca="1" si="17"/>
        <v>0.897197732577386</v>
      </c>
      <c r="J47" s="306">
        <f t="shared" si="2"/>
        <v>243264</v>
      </c>
      <c r="K47" s="307">
        <f t="shared" ca="1" si="18"/>
        <v>157140.55524031961</v>
      </c>
      <c r="L47" s="307">
        <f t="shared" si="19"/>
        <v>0</v>
      </c>
      <c r="M47" s="307">
        <v>0</v>
      </c>
      <c r="N47" s="307">
        <f t="shared" ca="1" si="20"/>
        <v>157140.55524031961</v>
      </c>
      <c r="O47" s="1494">
        <f t="shared" ca="1" si="21"/>
        <v>942834.25486941705</v>
      </c>
      <c r="P47" s="306">
        <f t="shared" si="22"/>
        <v>0</v>
      </c>
      <c r="Q47" s="306">
        <v>0</v>
      </c>
      <c r="R47" s="306">
        <f t="shared" ca="1" si="23"/>
        <v>942834.25486941705</v>
      </c>
      <c r="S47" s="818">
        <f t="shared" ca="1" si="24"/>
        <v>514401.55548754439</v>
      </c>
      <c r="T47" s="818">
        <v>0</v>
      </c>
      <c r="U47" s="818">
        <v>0</v>
      </c>
      <c r="V47" s="818">
        <f t="shared" ca="1" si="25"/>
        <v>514401.55548754439</v>
      </c>
      <c r="W47" s="306">
        <f t="shared" si="3"/>
        <v>0</v>
      </c>
      <c r="X47" s="306">
        <f t="shared" ca="1" si="4"/>
        <v>-5421.6452753228559</v>
      </c>
      <c r="Y47" s="306">
        <v>0</v>
      </c>
      <c r="Z47" s="306">
        <v>0</v>
      </c>
      <c r="AA47" s="308">
        <f ca="1">-SUM(W47,X47/OFFSET(GridFootprintbyYear,$A47-$A$19,0)*EF_PurchElec_MTperMWh,Z47)*OFFSET(ExposureCalculations!Price_GHG_Allowance_2010,A47-$A$19,0)*ExposureCalculations!D44</f>
        <v>385227.26585105283</v>
      </c>
      <c r="AB47" s="308">
        <f t="shared" ca="1" si="5"/>
        <v>1934899.3798456674</v>
      </c>
      <c r="AC47" s="308">
        <v>0</v>
      </c>
      <c r="AD47" s="819">
        <f t="shared" ca="1" si="6"/>
        <v>0</v>
      </c>
      <c r="AE47" s="308">
        <v>0</v>
      </c>
      <c r="AF47" s="819">
        <v>0</v>
      </c>
      <c r="AG47" s="308">
        <f t="shared" ca="1" si="26"/>
        <v>0</v>
      </c>
      <c r="AH47" s="308">
        <v>0</v>
      </c>
      <c r="AI47" s="308">
        <v>0</v>
      </c>
      <c r="AJ47" s="308">
        <f t="shared" ca="1" si="7"/>
        <v>1934899.3798456674</v>
      </c>
      <c r="AK47" s="309">
        <f t="shared" si="27"/>
        <v>0</v>
      </c>
      <c r="AL47" s="309">
        <f t="shared" si="28"/>
        <v>0</v>
      </c>
      <c r="AM47" s="309">
        <f t="shared" si="29"/>
        <v>0</v>
      </c>
      <c r="AN47" s="310">
        <v>0</v>
      </c>
      <c r="AO47" s="310">
        <v>0</v>
      </c>
      <c r="AP47" s="310">
        <f t="shared" si="30"/>
        <v>0</v>
      </c>
      <c r="AQ47" s="309">
        <v>0</v>
      </c>
      <c r="AR47" s="311">
        <f t="shared" ca="1" si="8"/>
        <v>2320126.6456967201</v>
      </c>
      <c r="AS47" s="870">
        <f t="shared" ca="1" si="31"/>
        <v>35615766.696123578</v>
      </c>
      <c r="AT47" s="822"/>
      <c r="AU47" s="878" t="s">
        <v>1537</v>
      </c>
      <c r="AV47" s="1285">
        <v>2016</v>
      </c>
      <c r="AW47" s="1286">
        <f>0.494+0.2*(0.494/9.294)</f>
        <v>0.5046305143103077</v>
      </c>
      <c r="AX47" s="1286">
        <f>8.8+0.2*(8.8/9.294)</f>
        <v>8.9893694856896929</v>
      </c>
      <c r="AY47" s="1287">
        <v>9.4939999999999998</v>
      </c>
      <c r="BK47" s="312">
        <f t="shared" ca="1" si="43"/>
        <v>0</v>
      </c>
      <c r="BL47" s="312" t="e">
        <f t="shared" si="47"/>
        <v>#N/A</v>
      </c>
      <c r="BN47" s="271">
        <f t="shared" si="32"/>
        <v>2038</v>
      </c>
      <c r="BO47" s="123">
        <f t="shared" si="33"/>
        <v>5542</v>
      </c>
      <c r="BP47" s="123">
        <f t="shared" si="54"/>
        <v>1698.0000000000005</v>
      </c>
      <c r="BQ47" s="123">
        <f t="shared" si="55"/>
        <v>15517600</v>
      </c>
      <c r="BR47" s="123">
        <f t="shared" si="56"/>
        <v>4754400.0000000009</v>
      </c>
      <c r="BS47" s="123">
        <f t="shared" si="36"/>
        <v>20272000</v>
      </c>
      <c r="BT47" s="123"/>
      <c r="BU47" s="123">
        <f t="shared" si="57"/>
        <v>5068</v>
      </c>
      <c r="BV47" s="123"/>
      <c r="BW47" s="123">
        <f t="shared" si="37"/>
        <v>19796.560000000001</v>
      </c>
      <c r="BX47" s="123">
        <f t="shared" si="38"/>
        <v>12163.2</v>
      </c>
      <c r="BY47" s="123"/>
      <c r="BZ47" s="123">
        <f t="shared" si="39"/>
        <v>0</v>
      </c>
      <c r="CA47" s="123">
        <f t="shared" si="58"/>
        <v>4400</v>
      </c>
      <c r="CB47" s="312">
        <f t="shared" si="44"/>
        <v>0</v>
      </c>
      <c r="CC47" s="123">
        <f t="shared" si="45"/>
        <v>4300</v>
      </c>
      <c r="CD47" s="123">
        <f t="shared" si="40"/>
        <v>2500</v>
      </c>
      <c r="CE47" s="312">
        <f t="shared" si="46"/>
        <v>0</v>
      </c>
      <c r="CF47" s="123"/>
      <c r="CG47" s="123"/>
      <c r="CH47" s="123"/>
      <c r="CI47" s="1305">
        <f t="shared" si="41"/>
        <v>2038</v>
      </c>
      <c r="CJ47" s="1266">
        <f t="shared" si="42"/>
        <v>0</v>
      </c>
      <c r="CK47" s="1266" t="str">
        <f t="shared" ca="1" si="53"/>
        <v/>
      </c>
      <c r="CL47" s="1266" t="str">
        <f t="shared" ca="1" si="53"/>
        <v/>
      </c>
      <c r="CM47" s="1266" t="str">
        <f t="shared" ca="1" si="53"/>
        <v/>
      </c>
      <c r="CN47" s="1266" t="str">
        <f t="shared" ca="1" si="53"/>
        <v/>
      </c>
      <c r="CO47" s="1266" t="str">
        <f t="shared" ca="1" si="53"/>
        <v/>
      </c>
      <c r="CP47" s="1266" t="str">
        <f t="shared" ca="1" si="53"/>
        <v/>
      </c>
      <c r="CQ47" s="1266" t="str">
        <f t="shared" ca="1" si="53"/>
        <v/>
      </c>
      <c r="CR47" s="1266" t="str">
        <f t="shared" ca="1" si="53"/>
        <v/>
      </c>
      <c r="CS47" s="1266" t="str">
        <f t="shared" ca="1" si="53"/>
        <v/>
      </c>
      <c r="CT47" s="1266" t="str">
        <f t="shared" ca="1" si="53"/>
        <v/>
      </c>
      <c r="CU47" s="1266" t="str">
        <f t="shared" ca="1" si="53"/>
        <v/>
      </c>
      <c r="CV47" s="1266" t="str">
        <f t="shared" ca="1" si="53"/>
        <v/>
      </c>
      <c r="CW47" s="1266" t="str">
        <f t="shared" ca="1" si="53"/>
        <v/>
      </c>
      <c r="CX47" s="1266" t="str">
        <f t="shared" ca="1" si="53"/>
        <v/>
      </c>
      <c r="CY47" s="1266" t="str">
        <f t="shared" ca="1" si="53"/>
        <v/>
      </c>
      <c r="CZ47" s="1266" t="str">
        <f t="shared" ca="1" si="53"/>
        <v/>
      </c>
      <c r="DA47" s="1266" t="str">
        <f t="shared" ca="1" si="50"/>
        <v/>
      </c>
      <c r="DB47" s="1266" t="str">
        <f t="shared" ca="1" si="50"/>
        <v/>
      </c>
      <c r="DC47" s="1266" t="str">
        <f t="shared" ca="1" si="50"/>
        <v/>
      </c>
      <c r="DD47" s="1266" t="str">
        <f t="shared" ca="1" si="50"/>
        <v/>
      </c>
      <c r="DE47" s="1266" t="str">
        <f t="shared" ca="1" si="50"/>
        <v/>
      </c>
      <c r="DF47" s="1266" t="str">
        <f t="shared" ca="1" si="50"/>
        <v/>
      </c>
      <c r="DG47" s="1266" t="str">
        <f t="shared" ca="1" si="50"/>
        <v/>
      </c>
      <c r="DH47" s="1266" t="str">
        <f t="shared" ca="1" si="50"/>
        <v/>
      </c>
      <c r="DI47" s="1266" t="str">
        <f t="shared" ca="1" si="50"/>
        <v/>
      </c>
      <c r="DJ47" s="1266" t="str">
        <f t="shared" ca="1" si="50"/>
        <v/>
      </c>
      <c r="DK47" s="1266" t="str">
        <f t="shared" ca="1" si="50"/>
        <v/>
      </c>
      <c r="DL47" s="1266" t="str">
        <f t="shared" ca="1" si="50"/>
        <v/>
      </c>
      <c r="DM47" s="1266" t="str">
        <f t="shared" ca="1" si="50"/>
        <v/>
      </c>
      <c r="DN47" s="1266">
        <f t="shared" ca="1" si="50"/>
        <v>0</v>
      </c>
      <c r="DO47" s="1266">
        <f t="shared" ca="1" si="50"/>
        <v>0</v>
      </c>
      <c r="DP47" s="1266">
        <f t="shared" ca="1" si="50"/>
        <v>0</v>
      </c>
      <c r="DQ47" s="1266">
        <f t="shared" ca="1" si="51"/>
        <v>0</v>
      </c>
      <c r="DR47" s="1266">
        <f t="shared" ca="1" si="51"/>
        <v>0</v>
      </c>
      <c r="DS47" s="1266">
        <f t="shared" ca="1" si="51"/>
        <v>0</v>
      </c>
      <c r="DT47" s="1266">
        <f t="shared" ca="1" si="51"/>
        <v>0</v>
      </c>
      <c r="DU47" s="1266">
        <f t="shared" ca="1" si="51"/>
        <v>0</v>
      </c>
      <c r="DV47" s="1266">
        <f t="shared" ca="1" si="51"/>
        <v>0</v>
      </c>
      <c r="DW47" s="1266">
        <f t="shared" ca="1" si="51"/>
        <v>0</v>
      </c>
      <c r="DX47" s="1266">
        <f t="shared" ca="1" si="51"/>
        <v>0</v>
      </c>
      <c r="DY47" s="1266">
        <f t="shared" ca="1" si="51"/>
        <v>0</v>
      </c>
    </row>
    <row r="48" spans="1:129">
      <c r="A48" s="303">
        <v>2039</v>
      </c>
      <c r="B48" s="304">
        <f ca="1">IF($D$3="BAU",UtilityDemand!C41,INDIRECT($D$3&amp;"!B"&amp;ROW(A48))+INDIRECT($D$3&amp;"!D"&amp;ROW(A48)))</f>
        <v>178513.74084117162</v>
      </c>
      <c r="C48" s="305">
        <f t="shared" ca="1" si="14"/>
        <v>-0.11089656127711492</v>
      </c>
      <c r="D48" s="306">
        <f t="shared" si="15"/>
        <v>-19796.560000000001</v>
      </c>
      <c r="E48" s="304">
        <f ca="1">IF($D$3="BAU",UtilityDemand!E41,INDIRECT($D$3&amp;"!E"&amp;ROW(D48))+INDIRECT($D$3&amp;"!G"&amp;ROW(D48)))</f>
        <v>951220.85399909248</v>
      </c>
      <c r="F48" s="305">
        <v>0</v>
      </c>
      <c r="G48" s="306">
        <f t="shared" ca="1" si="16"/>
        <v>0</v>
      </c>
      <c r="H48" s="304">
        <f ca="1">IF($D$3="BAU",UtilityDemand!G41,INDIRECT($D$3&amp;"!H"&amp;ROW(G48))+INDIRECT($D$3&amp;"!J"&amp;ROW(G48)))</f>
        <v>274202.09005014808</v>
      </c>
      <c r="I48" s="305">
        <f t="shared" ca="1" si="17"/>
        <v>0.88717048055873715</v>
      </c>
      <c r="J48" s="306">
        <f t="shared" si="2"/>
        <v>243264</v>
      </c>
      <c r="K48" s="307">
        <f t="shared" ca="1" si="18"/>
        <v>158717.18084117162</v>
      </c>
      <c r="L48" s="307">
        <f t="shared" si="19"/>
        <v>0</v>
      </c>
      <c r="M48" s="307">
        <v>0</v>
      </c>
      <c r="N48" s="307">
        <f t="shared" ca="1" si="20"/>
        <v>158717.18084117162</v>
      </c>
      <c r="O48" s="1494">
        <f t="shared" ca="1" si="21"/>
        <v>951220.85399909248</v>
      </c>
      <c r="P48" s="306">
        <f t="shared" si="22"/>
        <v>0</v>
      </c>
      <c r="Q48" s="306">
        <v>0</v>
      </c>
      <c r="R48" s="306">
        <f t="shared" ca="1" si="23"/>
        <v>951220.85399909248</v>
      </c>
      <c r="S48" s="818">
        <f t="shared" ca="1" si="24"/>
        <v>517466.09005014808</v>
      </c>
      <c r="T48" s="818">
        <v>0</v>
      </c>
      <c r="U48" s="818">
        <v>0</v>
      </c>
      <c r="V48" s="818">
        <f t="shared" ca="1" si="25"/>
        <v>517466.09005014808</v>
      </c>
      <c r="W48" s="306">
        <f t="shared" si="3"/>
        <v>0</v>
      </c>
      <c r="X48" s="306">
        <f t="shared" ca="1" si="4"/>
        <v>-5421.6452753228559</v>
      </c>
      <c r="Y48" s="306">
        <v>0</v>
      </c>
      <c r="Z48" s="306">
        <v>0</v>
      </c>
      <c r="AA48" s="308">
        <f ca="1">-SUM(W48,X48/OFFSET(GridFootprintbyYear,$A48-$A$19,0)*EF_PurchElec_MTperMWh,Z48)*OFFSET(ExposureCalculations!Price_GHG_Allowance_2010,A48-$A$19,0)*ExposureCalculations!D45</f>
        <v>403266.75244536728</v>
      </c>
      <c r="AB48" s="308">
        <f t="shared" ca="1" si="5"/>
        <v>1944573.8767448955</v>
      </c>
      <c r="AC48" s="308">
        <v>0</v>
      </c>
      <c r="AD48" s="819">
        <f t="shared" ca="1" si="6"/>
        <v>0</v>
      </c>
      <c r="AE48" s="308">
        <v>0</v>
      </c>
      <c r="AF48" s="819">
        <v>0</v>
      </c>
      <c r="AG48" s="308">
        <f t="shared" ca="1" si="26"/>
        <v>0</v>
      </c>
      <c r="AH48" s="308">
        <v>0</v>
      </c>
      <c r="AI48" s="308">
        <v>0</v>
      </c>
      <c r="AJ48" s="308">
        <f t="shared" ca="1" si="7"/>
        <v>1944573.8767448955</v>
      </c>
      <c r="AK48" s="309">
        <f t="shared" si="27"/>
        <v>0</v>
      </c>
      <c r="AL48" s="309">
        <f t="shared" si="28"/>
        <v>0</v>
      </c>
      <c r="AM48" s="309">
        <f t="shared" si="29"/>
        <v>0</v>
      </c>
      <c r="AN48" s="310">
        <v>0</v>
      </c>
      <c r="AO48" s="310">
        <v>0</v>
      </c>
      <c r="AP48" s="310">
        <f t="shared" si="30"/>
        <v>0</v>
      </c>
      <c r="AQ48" s="309">
        <v>0</v>
      </c>
      <c r="AR48" s="311">
        <f t="shared" ca="1" si="8"/>
        <v>2347840.6291902629</v>
      </c>
      <c r="AS48" s="870">
        <f t="shared" ca="1" si="31"/>
        <v>37963607.325313844</v>
      </c>
      <c r="AT48" s="822"/>
      <c r="AU48" s="1261" t="s">
        <v>1536</v>
      </c>
      <c r="AV48" s="1248">
        <f>INDEX(A19:A59,MATCH(AU40,CE19:CE59,0))</f>
        <v>2018</v>
      </c>
      <c r="AW48" s="879"/>
      <c r="AX48" s="1286">
        <f>AU40/1000000-AW48</f>
        <v>1.2</v>
      </c>
      <c r="AY48" s="1287">
        <f>SUM(AW48:AX48)</f>
        <v>1.2</v>
      </c>
      <c r="BK48" s="312">
        <f t="shared" ca="1" si="43"/>
        <v>0</v>
      </c>
      <c r="BL48" s="312" t="e">
        <f t="shared" si="47"/>
        <v>#N/A</v>
      </c>
      <c r="BN48" s="271">
        <f t="shared" si="32"/>
        <v>2039</v>
      </c>
      <c r="BO48" s="123">
        <f t="shared" si="33"/>
        <v>5542</v>
      </c>
      <c r="BP48" s="123">
        <f t="shared" si="54"/>
        <v>1698.0000000000005</v>
      </c>
      <c r="BQ48" s="123">
        <f t="shared" si="55"/>
        <v>15517600</v>
      </c>
      <c r="BR48" s="123">
        <f t="shared" si="56"/>
        <v>4754400.0000000009</v>
      </c>
      <c r="BS48" s="123">
        <f t="shared" si="36"/>
        <v>20272000</v>
      </c>
      <c r="BT48" s="123"/>
      <c r="BU48" s="123">
        <f t="shared" si="57"/>
        <v>5068</v>
      </c>
      <c r="BV48" s="123"/>
      <c r="BW48" s="123">
        <f t="shared" si="37"/>
        <v>19796.560000000001</v>
      </c>
      <c r="BX48" s="123">
        <f t="shared" si="38"/>
        <v>12163.2</v>
      </c>
      <c r="BY48" s="123"/>
      <c r="BZ48" s="123">
        <f t="shared" si="39"/>
        <v>0</v>
      </c>
      <c r="CA48" s="123">
        <f t="shared" si="58"/>
        <v>4400</v>
      </c>
      <c r="CB48" s="312">
        <f t="shared" si="44"/>
        <v>0</v>
      </c>
      <c r="CC48" s="123">
        <f t="shared" si="45"/>
        <v>4300</v>
      </c>
      <c r="CD48" s="123">
        <f t="shared" si="40"/>
        <v>2500</v>
      </c>
      <c r="CE48" s="312">
        <f t="shared" si="46"/>
        <v>0</v>
      </c>
      <c r="CF48" s="123"/>
      <c r="CG48" s="123"/>
      <c r="CH48" s="123"/>
      <c r="CI48" s="1305">
        <f t="shared" si="41"/>
        <v>2039</v>
      </c>
      <c r="CJ48" s="1266">
        <f t="shared" si="42"/>
        <v>0</v>
      </c>
      <c r="CK48" s="1266" t="str">
        <f t="shared" ca="1" si="53"/>
        <v/>
      </c>
      <c r="CL48" s="1266" t="str">
        <f t="shared" ca="1" si="53"/>
        <v/>
      </c>
      <c r="CM48" s="1266" t="str">
        <f t="shared" ca="1" si="53"/>
        <v/>
      </c>
      <c r="CN48" s="1266" t="str">
        <f t="shared" ca="1" si="53"/>
        <v/>
      </c>
      <c r="CO48" s="1266" t="str">
        <f t="shared" ca="1" si="53"/>
        <v/>
      </c>
      <c r="CP48" s="1266" t="str">
        <f t="shared" ca="1" si="53"/>
        <v/>
      </c>
      <c r="CQ48" s="1266" t="str">
        <f t="shared" ca="1" si="53"/>
        <v/>
      </c>
      <c r="CR48" s="1266" t="str">
        <f t="shared" ca="1" si="53"/>
        <v/>
      </c>
      <c r="CS48" s="1266" t="str">
        <f t="shared" ca="1" si="53"/>
        <v/>
      </c>
      <c r="CT48" s="1266" t="str">
        <f t="shared" ca="1" si="53"/>
        <v/>
      </c>
      <c r="CU48" s="1266" t="str">
        <f t="shared" ca="1" si="53"/>
        <v/>
      </c>
      <c r="CV48" s="1266" t="str">
        <f t="shared" ca="1" si="53"/>
        <v/>
      </c>
      <c r="CW48" s="1266" t="str">
        <f t="shared" ca="1" si="53"/>
        <v/>
      </c>
      <c r="CX48" s="1266" t="str">
        <f t="shared" ca="1" si="53"/>
        <v/>
      </c>
      <c r="CY48" s="1266" t="str">
        <f t="shared" ca="1" si="53"/>
        <v/>
      </c>
      <c r="CZ48" s="1266" t="str">
        <f t="shared" ca="1" si="53"/>
        <v/>
      </c>
      <c r="DA48" s="1266" t="str">
        <f t="shared" ca="1" si="50"/>
        <v/>
      </c>
      <c r="DB48" s="1266" t="str">
        <f t="shared" ca="1" si="50"/>
        <v/>
      </c>
      <c r="DC48" s="1266" t="str">
        <f t="shared" ca="1" si="50"/>
        <v/>
      </c>
      <c r="DD48" s="1266" t="str">
        <f t="shared" ca="1" si="50"/>
        <v/>
      </c>
      <c r="DE48" s="1266" t="str">
        <f t="shared" ca="1" si="50"/>
        <v/>
      </c>
      <c r="DF48" s="1266" t="str">
        <f t="shared" ca="1" si="50"/>
        <v/>
      </c>
      <c r="DG48" s="1266" t="str">
        <f t="shared" ca="1" si="50"/>
        <v/>
      </c>
      <c r="DH48" s="1266" t="str">
        <f t="shared" ca="1" si="50"/>
        <v/>
      </c>
      <c r="DI48" s="1266" t="str">
        <f t="shared" ca="1" si="50"/>
        <v/>
      </c>
      <c r="DJ48" s="1266" t="str">
        <f t="shared" ca="1" si="50"/>
        <v/>
      </c>
      <c r="DK48" s="1266" t="str">
        <f t="shared" ca="1" si="50"/>
        <v/>
      </c>
      <c r="DL48" s="1266" t="str">
        <f t="shared" ca="1" si="50"/>
        <v/>
      </c>
      <c r="DM48" s="1266" t="str">
        <f t="shared" ca="1" si="50"/>
        <v/>
      </c>
      <c r="DN48" s="1266" t="str">
        <f t="shared" ca="1" si="50"/>
        <v/>
      </c>
      <c r="DO48" s="1266">
        <f t="shared" ca="1" si="50"/>
        <v>0</v>
      </c>
      <c r="DP48" s="1266">
        <f t="shared" ca="1" si="50"/>
        <v>0</v>
      </c>
      <c r="DQ48" s="1266">
        <f t="shared" ca="1" si="51"/>
        <v>0</v>
      </c>
      <c r="DR48" s="1266">
        <f t="shared" ca="1" si="51"/>
        <v>0</v>
      </c>
      <c r="DS48" s="1266">
        <f t="shared" ca="1" si="51"/>
        <v>0</v>
      </c>
      <c r="DT48" s="1266">
        <f t="shared" ca="1" si="51"/>
        <v>0</v>
      </c>
      <c r="DU48" s="1266">
        <f t="shared" ca="1" si="51"/>
        <v>0</v>
      </c>
      <c r="DV48" s="1266">
        <f t="shared" ca="1" si="51"/>
        <v>0</v>
      </c>
      <c r="DW48" s="1266">
        <f t="shared" ca="1" si="51"/>
        <v>0</v>
      </c>
      <c r="DX48" s="1266">
        <f t="shared" ca="1" si="51"/>
        <v>0</v>
      </c>
      <c r="DY48" s="1266">
        <f t="shared" ca="1" si="51"/>
        <v>0</v>
      </c>
    </row>
    <row r="49" spans="1:129">
      <c r="A49" s="303">
        <v>2040</v>
      </c>
      <c r="B49" s="304">
        <f ca="1">IF($D$3="BAU",UtilityDemand!C42,INDIRECT($D$3&amp;"!B"&amp;ROW(A49))+INDIRECT($D$3&amp;"!D"&amp;ROW(A49)))</f>
        <v>180090.36644202363</v>
      </c>
      <c r="C49" s="305">
        <f t="shared" ca="1" si="14"/>
        <v>-0.1099257022522251</v>
      </c>
      <c r="D49" s="306">
        <f t="shared" si="15"/>
        <v>-19796.560000000001</v>
      </c>
      <c r="E49" s="304">
        <f ca="1">IF($D$3="BAU",UtilityDemand!E42,INDIRECT($D$3&amp;"!E"&amp;ROW(D49))+INDIRECT($D$3&amp;"!G"&amp;ROW(D49)))</f>
        <v>959607.45312876778</v>
      </c>
      <c r="F49" s="305">
        <v>0</v>
      </c>
      <c r="G49" s="306">
        <f t="shared" ca="1" si="16"/>
        <v>0</v>
      </c>
      <c r="H49" s="304">
        <f ca="1">IF($D$3="BAU",UtilityDemand!G42,INDIRECT($D$3&amp;"!H"&amp;ROW(G49))+INDIRECT($D$3&amp;"!J"&amp;ROW(G49)))</f>
        <v>277266.62461275177</v>
      </c>
      <c r="I49" s="305">
        <f t="shared" ca="1" si="17"/>
        <v>0.87736488421481673</v>
      </c>
      <c r="J49" s="306">
        <f t="shared" si="2"/>
        <v>243264</v>
      </c>
      <c r="K49" s="307">
        <f t="shared" ca="1" si="18"/>
        <v>160293.80644202363</v>
      </c>
      <c r="L49" s="307">
        <f t="shared" si="19"/>
        <v>0</v>
      </c>
      <c r="M49" s="307">
        <v>0</v>
      </c>
      <c r="N49" s="307">
        <f t="shared" ca="1" si="20"/>
        <v>160293.80644202363</v>
      </c>
      <c r="O49" s="1494">
        <f t="shared" ca="1" si="21"/>
        <v>959607.45312876778</v>
      </c>
      <c r="P49" s="306">
        <f t="shared" si="22"/>
        <v>0</v>
      </c>
      <c r="Q49" s="306">
        <v>0</v>
      </c>
      <c r="R49" s="306">
        <f t="shared" ca="1" si="23"/>
        <v>959607.45312876778</v>
      </c>
      <c r="S49" s="818">
        <f t="shared" ca="1" si="24"/>
        <v>520530.62461275177</v>
      </c>
      <c r="T49" s="818">
        <v>0</v>
      </c>
      <c r="U49" s="818">
        <v>0</v>
      </c>
      <c r="V49" s="818">
        <f t="shared" ca="1" si="25"/>
        <v>520530.62461275177</v>
      </c>
      <c r="W49" s="306">
        <f t="shared" si="3"/>
        <v>0</v>
      </c>
      <c r="X49" s="306">
        <f t="shared" ca="1" si="4"/>
        <v>-5421.6452753228559</v>
      </c>
      <c r="Y49" s="306">
        <v>0</v>
      </c>
      <c r="Z49" s="306">
        <v>0</v>
      </c>
      <c r="AA49" s="308">
        <f ca="1">-SUM(W49,X49/OFFSET(GridFootprintbyYear,$A49-$A$19,0)*EF_PurchElec_MTperMWh,Z49)*OFFSET(ExposureCalculations!Price_GHG_Allowance_2010,A49-$A$19,0)*ExposureCalculations!D46</f>
        <v>422185.90262014099</v>
      </c>
      <c r="AB49" s="308">
        <f t="shared" ca="1" si="5"/>
        <v>1954296.7461286199</v>
      </c>
      <c r="AC49" s="308">
        <v>0</v>
      </c>
      <c r="AD49" s="819">
        <f t="shared" ca="1" si="6"/>
        <v>0</v>
      </c>
      <c r="AE49" s="308">
        <v>0</v>
      </c>
      <c r="AF49" s="819">
        <v>0</v>
      </c>
      <c r="AG49" s="308">
        <f t="shared" ca="1" si="26"/>
        <v>0</v>
      </c>
      <c r="AH49" s="308">
        <v>0</v>
      </c>
      <c r="AI49" s="308">
        <v>0</v>
      </c>
      <c r="AJ49" s="308">
        <f t="shared" ca="1" si="7"/>
        <v>1954296.7461286199</v>
      </c>
      <c r="AK49" s="309">
        <f t="shared" si="27"/>
        <v>0</v>
      </c>
      <c r="AL49" s="309">
        <f t="shared" si="28"/>
        <v>0</v>
      </c>
      <c r="AM49" s="309">
        <f t="shared" si="29"/>
        <v>0</v>
      </c>
      <c r="AN49" s="310">
        <v>0</v>
      </c>
      <c r="AO49" s="310">
        <v>0</v>
      </c>
      <c r="AP49" s="310">
        <f t="shared" si="30"/>
        <v>0</v>
      </c>
      <c r="AQ49" s="309">
        <v>0</v>
      </c>
      <c r="AR49" s="311">
        <f t="shared" ca="1" si="8"/>
        <v>2376482.648748761</v>
      </c>
      <c r="AS49" s="870">
        <f t="shared" ca="1" si="31"/>
        <v>40340089.974062607</v>
      </c>
      <c r="AT49" s="822"/>
      <c r="AU49" s="878"/>
      <c r="AY49" s="880"/>
      <c r="BK49" s="312">
        <f t="shared" ca="1" si="43"/>
        <v>0</v>
      </c>
      <c r="BL49" s="312" t="e">
        <f t="shared" si="47"/>
        <v>#N/A</v>
      </c>
      <c r="BN49" s="271">
        <f t="shared" si="32"/>
        <v>2040</v>
      </c>
      <c r="BO49" s="123">
        <f t="shared" si="33"/>
        <v>5542</v>
      </c>
      <c r="BP49" s="123">
        <f t="shared" si="54"/>
        <v>1698.0000000000005</v>
      </c>
      <c r="BQ49" s="123">
        <f t="shared" si="55"/>
        <v>15517600</v>
      </c>
      <c r="BR49" s="123">
        <f t="shared" si="56"/>
        <v>4754400.0000000009</v>
      </c>
      <c r="BS49" s="123">
        <f t="shared" si="36"/>
        <v>20272000</v>
      </c>
      <c r="BT49" s="123"/>
      <c r="BU49" s="123">
        <f t="shared" si="57"/>
        <v>5068</v>
      </c>
      <c r="BV49" s="123"/>
      <c r="BW49" s="123">
        <f t="shared" si="37"/>
        <v>19796.560000000001</v>
      </c>
      <c r="BX49" s="123">
        <f t="shared" si="38"/>
        <v>12163.2</v>
      </c>
      <c r="BY49" s="123"/>
      <c r="BZ49" s="123">
        <f t="shared" si="39"/>
        <v>0</v>
      </c>
      <c r="CA49" s="123">
        <f t="shared" si="58"/>
        <v>4400</v>
      </c>
      <c r="CB49" s="312">
        <f t="shared" si="44"/>
        <v>0</v>
      </c>
      <c r="CC49" s="123">
        <f t="shared" si="45"/>
        <v>4300</v>
      </c>
      <c r="CD49" s="123">
        <f t="shared" si="40"/>
        <v>2500</v>
      </c>
      <c r="CE49" s="312">
        <f t="shared" si="46"/>
        <v>0</v>
      </c>
      <c r="CF49" s="123"/>
      <c r="CG49" s="123"/>
      <c r="CH49" s="123"/>
      <c r="CI49" s="1305">
        <f t="shared" si="41"/>
        <v>2040</v>
      </c>
      <c r="CJ49" s="1266">
        <f t="shared" si="42"/>
        <v>0</v>
      </c>
      <c r="CK49" s="1266" t="str">
        <f t="shared" ca="1" si="53"/>
        <v/>
      </c>
      <c r="CL49" s="1266" t="str">
        <f t="shared" ca="1" si="53"/>
        <v/>
      </c>
      <c r="CM49" s="1266" t="str">
        <f t="shared" ca="1" si="53"/>
        <v/>
      </c>
      <c r="CN49" s="1266" t="str">
        <f t="shared" ca="1" si="53"/>
        <v/>
      </c>
      <c r="CO49" s="1266" t="str">
        <f t="shared" ca="1" si="53"/>
        <v/>
      </c>
      <c r="CP49" s="1266" t="str">
        <f t="shared" ca="1" si="53"/>
        <v/>
      </c>
      <c r="CQ49" s="1266" t="str">
        <f t="shared" ca="1" si="53"/>
        <v/>
      </c>
      <c r="CR49" s="1266" t="str">
        <f t="shared" ca="1" si="53"/>
        <v/>
      </c>
      <c r="CS49" s="1266" t="str">
        <f t="shared" ca="1" si="53"/>
        <v/>
      </c>
      <c r="CT49" s="1266" t="str">
        <f t="shared" ca="1" si="53"/>
        <v/>
      </c>
      <c r="CU49" s="1266" t="str">
        <f t="shared" ca="1" si="53"/>
        <v/>
      </c>
      <c r="CV49" s="1266" t="str">
        <f t="shared" ca="1" si="53"/>
        <v/>
      </c>
      <c r="CW49" s="1266" t="str">
        <f t="shared" ca="1" si="53"/>
        <v/>
      </c>
      <c r="CX49" s="1266" t="str">
        <f t="shared" ca="1" si="53"/>
        <v/>
      </c>
      <c r="CY49" s="1266" t="str">
        <f t="shared" ca="1" si="53"/>
        <v/>
      </c>
      <c r="CZ49" s="1266" t="str">
        <f t="shared" ca="1" si="53"/>
        <v/>
      </c>
      <c r="DA49" s="1266" t="str">
        <f t="shared" ca="1" si="50"/>
        <v/>
      </c>
      <c r="DB49" s="1266" t="str">
        <f t="shared" ca="1" si="50"/>
        <v/>
      </c>
      <c r="DC49" s="1266" t="str">
        <f t="shared" ca="1" si="50"/>
        <v/>
      </c>
      <c r="DD49" s="1266" t="str">
        <f t="shared" ca="1" si="50"/>
        <v/>
      </c>
      <c r="DE49" s="1266" t="str">
        <f t="shared" ca="1" si="50"/>
        <v/>
      </c>
      <c r="DF49" s="1266" t="str">
        <f t="shared" ca="1" si="50"/>
        <v/>
      </c>
      <c r="DG49" s="1266" t="str">
        <f t="shared" ca="1" si="50"/>
        <v/>
      </c>
      <c r="DH49" s="1266" t="str">
        <f t="shared" ca="1" si="50"/>
        <v/>
      </c>
      <c r="DI49" s="1266" t="str">
        <f t="shared" ca="1" si="50"/>
        <v/>
      </c>
      <c r="DJ49" s="1266" t="str">
        <f t="shared" ca="1" si="50"/>
        <v/>
      </c>
      <c r="DK49" s="1266" t="str">
        <f t="shared" ca="1" si="50"/>
        <v/>
      </c>
      <c r="DL49" s="1266" t="str">
        <f t="shared" ca="1" si="50"/>
        <v/>
      </c>
      <c r="DM49" s="1266" t="str">
        <f t="shared" ca="1" si="50"/>
        <v/>
      </c>
      <c r="DN49" s="1266" t="str">
        <f t="shared" ca="1" si="50"/>
        <v/>
      </c>
      <c r="DO49" s="1266" t="str">
        <f t="shared" ca="1" si="50"/>
        <v/>
      </c>
      <c r="DP49" s="1266">
        <f t="shared" ca="1" si="50"/>
        <v>0</v>
      </c>
      <c r="DQ49" s="1266">
        <f t="shared" ca="1" si="51"/>
        <v>0</v>
      </c>
      <c r="DR49" s="1266">
        <f t="shared" ca="1" si="51"/>
        <v>0</v>
      </c>
      <c r="DS49" s="1266">
        <f t="shared" ca="1" si="51"/>
        <v>0</v>
      </c>
      <c r="DT49" s="1266">
        <f t="shared" ca="1" si="51"/>
        <v>0</v>
      </c>
      <c r="DU49" s="1266">
        <f t="shared" ca="1" si="51"/>
        <v>0</v>
      </c>
      <c r="DV49" s="1266">
        <f t="shared" ca="1" si="51"/>
        <v>0</v>
      </c>
      <c r="DW49" s="1266">
        <f t="shared" ca="1" si="51"/>
        <v>0</v>
      </c>
      <c r="DX49" s="1266">
        <f t="shared" ca="1" si="51"/>
        <v>0</v>
      </c>
      <c r="DY49" s="1266">
        <f t="shared" ca="1" si="51"/>
        <v>0</v>
      </c>
    </row>
    <row r="50" spans="1:129">
      <c r="A50" s="303">
        <v>2041</v>
      </c>
      <c r="B50" s="304">
        <f ca="1">IF($D$3="BAU",UtilityDemand!C43,INDIRECT($D$3&amp;"!B"&amp;ROW(A50))+INDIRECT($D$3&amp;"!D"&amp;ROW(A50)))</f>
        <v>181666.99204287567</v>
      </c>
      <c r="C50" s="305">
        <f t="shared" ca="1" si="14"/>
        <v>-0.10897169473322796</v>
      </c>
      <c r="D50" s="306">
        <f t="shared" si="15"/>
        <v>-19796.560000000001</v>
      </c>
      <c r="E50" s="304">
        <f ca="1">IF($D$3="BAU",UtilityDemand!E43,INDIRECT($D$3&amp;"!E"&amp;ROW(D50))+INDIRECT($D$3&amp;"!G"&amp;ROW(D50)))</f>
        <v>967994.0522584432</v>
      </c>
      <c r="F50" s="305">
        <v>0</v>
      </c>
      <c r="G50" s="306">
        <f t="shared" ca="1" si="16"/>
        <v>0</v>
      </c>
      <c r="H50" s="304">
        <f ca="1">IF($D$3="BAU",UtilityDemand!G43,INDIRECT($D$3&amp;"!H"&amp;ROW(G50))+INDIRECT($D$3&amp;"!J"&amp;ROW(G50)))</f>
        <v>280331.15917535545</v>
      </c>
      <c r="I50" s="305">
        <f t="shared" ca="1" si="17"/>
        <v>0.86777367423444762</v>
      </c>
      <c r="J50" s="306">
        <f t="shared" si="2"/>
        <v>243264</v>
      </c>
      <c r="K50" s="307">
        <f t="shared" ca="1" si="18"/>
        <v>161870.43204287568</v>
      </c>
      <c r="L50" s="307">
        <f t="shared" si="19"/>
        <v>0</v>
      </c>
      <c r="M50" s="307">
        <v>0</v>
      </c>
      <c r="N50" s="307">
        <f t="shared" ca="1" si="20"/>
        <v>161870.43204287568</v>
      </c>
      <c r="O50" s="1494">
        <f t="shared" ca="1" si="21"/>
        <v>967994.0522584432</v>
      </c>
      <c r="P50" s="306">
        <f t="shared" si="22"/>
        <v>0</v>
      </c>
      <c r="Q50" s="306">
        <v>0</v>
      </c>
      <c r="R50" s="306">
        <f t="shared" ca="1" si="23"/>
        <v>967994.0522584432</v>
      </c>
      <c r="S50" s="818">
        <f t="shared" ca="1" si="24"/>
        <v>523595.15917535545</v>
      </c>
      <c r="T50" s="818">
        <v>0</v>
      </c>
      <c r="U50" s="818">
        <v>0</v>
      </c>
      <c r="V50" s="818">
        <f t="shared" ca="1" si="25"/>
        <v>523595.15917535545</v>
      </c>
      <c r="W50" s="306">
        <f t="shared" si="3"/>
        <v>0</v>
      </c>
      <c r="X50" s="306">
        <f t="shared" ca="1" si="4"/>
        <v>-5421.6452753228559</v>
      </c>
      <c r="Y50" s="306">
        <v>0</v>
      </c>
      <c r="Z50" s="306">
        <v>0</v>
      </c>
      <c r="AA50" s="308">
        <f ca="1">-SUM(W50,X50/OFFSET(GridFootprintbyYear,$A50-$A$19,0)*EF_PurchElec_MTperMWh,Z50)*OFFSET(ExposureCalculations!Price_GHG_Allowance_2010,A50-$A$19,0)*ExposureCalculations!D47</f>
        <v>440513.88733079209</v>
      </c>
      <c r="AB50" s="308">
        <f t="shared" ca="1" si="5"/>
        <v>1964068.2298592622</v>
      </c>
      <c r="AC50" s="308">
        <v>0</v>
      </c>
      <c r="AD50" s="819">
        <f t="shared" ca="1" si="6"/>
        <v>0</v>
      </c>
      <c r="AE50" s="308">
        <v>0</v>
      </c>
      <c r="AF50" s="819">
        <v>0</v>
      </c>
      <c r="AG50" s="308">
        <f t="shared" ca="1" si="26"/>
        <v>0</v>
      </c>
      <c r="AH50" s="308">
        <v>0</v>
      </c>
      <c r="AI50" s="308">
        <v>0</v>
      </c>
      <c r="AJ50" s="308">
        <f t="shared" ca="1" si="7"/>
        <v>1964068.2298592622</v>
      </c>
      <c r="AK50" s="309">
        <f t="shared" si="27"/>
        <v>0</v>
      </c>
      <c r="AL50" s="309">
        <f t="shared" si="28"/>
        <v>0</v>
      </c>
      <c r="AM50" s="309">
        <f t="shared" si="29"/>
        <v>0</v>
      </c>
      <c r="AN50" s="310">
        <v>0</v>
      </c>
      <c r="AO50" s="310">
        <v>0</v>
      </c>
      <c r="AP50" s="310">
        <f t="shared" si="30"/>
        <v>0</v>
      </c>
      <c r="AQ50" s="309">
        <v>0</v>
      </c>
      <c r="AR50" s="311">
        <f t="shared" ca="1" si="8"/>
        <v>2404582.1171900542</v>
      </c>
      <c r="AS50" s="870">
        <f t="shared" ca="1" si="31"/>
        <v>42744672.091252662</v>
      </c>
      <c r="AT50" s="822"/>
      <c r="AU50" s="878" t="s">
        <v>1535</v>
      </c>
      <c r="AV50" s="35"/>
      <c r="AW50" s="879" t="s">
        <v>1533</v>
      </c>
      <c r="AX50" s="35" t="s">
        <v>1534</v>
      </c>
      <c r="AY50" s="880"/>
      <c r="BB50" s="322"/>
      <c r="BK50" s="312">
        <f t="shared" ca="1" si="43"/>
        <v>0</v>
      </c>
      <c r="BL50" s="312" t="e">
        <f t="shared" si="47"/>
        <v>#N/A</v>
      </c>
      <c r="BN50" s="271">
        <f t="shared" si="32"/>
        <v>2041</v>
      </c>
      <c r="BO50" s="123">
        <f t="shared" si="33"/>
        <v>5542</v>
      </c>
      <c r="BP50" s="123">
        <f t="shared" si="54"/>
        <v>1698.0000000000005</v>
      </c>
      <c r="BQ50" s="123">
        <f t="shared" si="55"/>
        <v>15517600</v>
      </c>
      <c r="BR50" s="123">
        <f t="shared" si="56"/>
        <v>4754400.0000000009</v>
      </c>
      <c r="BS50" s="123">
        <f t="shared" si="36"/>
        <v>20272000</v>
      </c>
      <c r="BT50" s="123"/>
      <c r="BU50" s="123">
        <f t="shared" si="57"/>
        <v>5068</v>
      </c>
      <c r="BV50" s="123"/>
      <c r="BW50" s="123">
        <f t="shared" si="37"/>
        <v>19796.560000000001</v>
      </c>
      <c r="BX50" s="123">
        <f t="shared" si="38"/>
        <v>12163.2</v>
      </c>
      <c r="BY50" s="123"/>
      <c r="BZ50" s="123">
        <f t="shared" si="39"/>
        <v>0</v>
      </c>
      <c r="CA50" s="123">
        <f t="shared" si="58"/>
        <v>4400</v>
      </c>
      <c r="CB50" s="312">
        <f t="shared" si="44"/>
        <v>0</v>
      </c>
      <c r="CC50" s="123">
        <f t="shared" si="45"/>
        <v>4300</v>
      </c>
      <c r="CD50" s="123">
        <f t="shared" si="40"/>
        <v>2500</v>
      </c>
      <c r="CE50" s="312">
        <f t="shared" si="46"/>
        <v>0</v>
      </c>
      <c r="CF50" s="123"/>
      <c r="CG50" s="123"/>
      <c r="CH50" s="123"/>
      <c r="CI50" s="1305">
        <f t="shared" si="41"/>
        <v>2041</v>
      </c>
      <c r="CJ50" s="1266">
        <f t="shared" si="42"/>
        <v>0</v>
      </c>
      <c r="CK50" s="1266" t="str">
        <f t="shared" ca="1" si="53"/>
        <v/>
      </c>
      <c r="CL50" s="1266" t="str">
        <f t="shared" ca="1" si="53"/>
        <v/>
      </c>
      <c r="CM50" s="1266" t="str">
        <f t="shared" ca="1" si="53"/>
        <v/>
      </c>
      <c r="CN50" s="1266" t="str">
        <f t="shared" ca="1" si="53"/>
        <v/>
      </c>
      <c r="CO50" s="1266" t="str">
        <f t="shared" ca="1" si="53"/>
        <v/>
      </c>
      <c r="CP50" s="1266" t="str">
        <f t="shared" ca="1" si="53"/>
        <v/>
      </c>
      <c r="CQ50" s="1266" t="str">
        <f t="shared" ca="1" si="53"/>
        <v/>
      </c>
      <c r="CR50" s="1266" t="str">
        <f t="shared" ca="1" si="53"/>
        <v/>
      </c>
      <c r="CS50" s="1266" t="str">
        <f t="shared" ca="1" si="53"/>
        <v/>
      </c>
      <c r="CT50" s="1266" t="str">
        <f t="shared" ca="1" si="53"/>
        <v/>
      </c>
      <c r="CU50" s="1266" t="str">
        <f t="shared" ca="1" si="53"/>
        <v/>
      </c>
      <c r="CV50" s="1266" t="str">
        <f t="shared" ca="1" si="53"/>
        <v/>
      </c>
      <c r="CW50" s="1266" t="str">
        <f t="shared" ca="1" si="53"/>
        <v/>
      </c>
      <c r="CX50" s="1266" t="str">
        <f t="shared" ca="1" si="53"/>
        <v/>
      </c>
      <c r="CY50" s="1266" t="str">
        <f t="shared" ca="1" si="53"/>
        <v/>
      </c>
      <c r="CZ50" s="1266" t="str">
        <f t="shared" ca="1" si="53"/>
        <v/>
      </c>
      <c r="DA50" s="1266" t="str">
        <f t="shared" ref="DA50:DP59" ca="1" si="59">IF(OR(DA$18&lt;=$CI50,DA$18&gt;$CI50+$AW$53),"",PMT($AW$54,$AW$53,$CJ50))</f>
        <v/>
      </c>
      <c r="DB50" s="1266" t="str">
        <f t="shared" ca="1" si="59"/>
        <v/>
      </c>
      <c r="DC50" s="1266" t="str">
        <f t="shared" ca="1" si="59"/>
        <v/>
      </c>
      <c r="DD50" s="1266" t="str">
        <f t="shared" ca="1" si="59"/>
        <v/>
      </c>
      <c r="DE50" s="1266" t="str">
        <f t="shared" ca="1" si="59"/>
        <v/>
      </c>
      <c r="DF50" s="1266" t="str">
        <f t="shared" ca="1" si="59"/>
        <v/>
      </c>
      <c r="DG50" s="1266" t="str">
        <f t="shared" ca="1" si="59"/>
        <v/>
      </c>
      <c r="DH50" s="1266" t="str">
        <f t="shared" ca="1" si="59"/>
        <v/>
      </c>
      <c r="DI50" s="1266" t="str">
        <f t="shared" ca="1" si="59"/>
        <v/>
      </c>
      <c r="DJ50" s="1266" t="str">
        <f t="shared" ca="1" si="59"/>
        <v/>
      </c>
      <c r="DK50" s="1266" t="str">
        <f t="shared" ca="1" si="59"/>
        <v/>
      </c>
      <c r="DL50" s="1266" t="str">
        <f t="shared" ca="1" si="59"/>
        <v/>
      </c>
      <c r="DM50" s="1266" t="str">
        <f t="shared" ca="1" si="59"/>
        <v/>
      </c>
      <c r="DN50" s="1266" t="str">
        <f t="shared" ca="1" si="59"/>
        <v/>
      </c>
      <c r="DO50" s="1266" t="str">
        <f t="shared" ca="1" si="59"/>
        <v/>
      </c>
      <c r="DP50" s="1266" t="str">
        <f t="shared" ca="1" si="59"/>
        <v/>
      </c>
      <c r="DQ50" s="1266">
        <f t="shared" ref="DQ50:DY59" ca="1" si="60">IF(OR(DQ$18&lt;=$CI50,DQ$18&gt;$CI50+$AW$53),"",PMT($AW$54,$AW$53,$CJ50))</f>
        <v>0</v>
      </c>
      <c r="DR50" s="1266">
        <f t="shared" ca="1" si="60"/>
        <v>0</v>
      </c>
      <c r="DS50" s="1266">
        <f t="shared" ca="1" si="60"/>
        <v>0</v>
      </c>
      <c r="DT50" s="1266">
        <f t="shared" ca="1" si="60"/>
        <v>0</v>
      </c>
      <c r="DU50" s="1266">
        <f t="shared" ca="1" si="60"/>
        <v>0</v>
      </c>
      <c r="DV50" s="1266">
        <f t="shared" ca="1" si="60"/>
        <v>0</v>
      </c>
      <c r="DW50" s="1266">
        <f t="shared" ca="1" si="60"/>
        <v>0</v>
      </c>
      <c r="DX50" s="1266">
        <f t="shared" ca="1" si="60"/>
        <v>0</v>
      </c>
      <c r="DY50" s="1266">
        <f t="shared" ca="1" si="60"/>
        <v>0</v>
      </c>
    </row>
    <row r="51" spans="1:129">
      <c r="A51" s="303">
        <v>2042</v>
      </c>
      <c r="B51" s="304">
        <f ca="1">IF($D$3="BAU",UtilityDemand!C44,INDIRECT($D$3&amp;"!B"&amp;ROW(A51))+INDIRECT($D$3&amp;"!D"&amp;ROW(A51)))</f>
        <v>183243.61764372772</v>
      </c>
      <c r="C51" s="305">
        <f t="shared" ca="1" si="14"/>
        <v>-0.1080341037497391</v>
      </c>
      <c r="D51" s="306">
        <f t="shared" si="15"/>
        <v>-19796.560000000001</v>
      </c>
      <c r="E51" s="304">
        <f ca="1">IF($D$3="BAU",UtilityDemand!E44,INDIRECT($D$3&amp;"!E"&amp;ROW(D51))+INDIRECT($D$3&amp;"!G"&amp;ROW(D51)))</f>
        <v>976380.65138811851</v>
      </c>
      <c r="F51" s="305">
        <v>0</v>
      </c>
      <c r="G51" s="306">
        <f t="shared" ca="1" si="16"/>
        <v>0</v>
      </c>
      <c r="H51" s="304">
        <f ca="1">IF($D$3="BAU",UtilityDemand!G44,INDIRECT($D$3&amp;"!H"&amp;ROW(G51))+INDIRECT($D$3&amp;"!J"&amp;ROW(G51)))</f>
        <v>283395.69373795914</v>
      </c>
      <c r="I51" s="305">
        <f t="shared" ca="1" si="17"/>
        <v>0.85838989573685343</v>
      </c>
      <c r="J51" s="306">
        <f t="shared" si="2"/>
        <v>243264</v>
      </c>
      <c r="K51" s="307">
        <f t="shared" ca="1" si="18"/>
        <v>163447.05764372772</v>
      </c>
      <c r="L51" s="307">
        <f t="shared" si="19"/>
        <v>0</v>
      </c>
      <c r="M51" s="307">
        <v>0</v>
      </c>
      <c r="N51" s="307">
        <f t="shared" ca="1" si="20"/>
        <v>163447.05764372772</v>
      </c>
      <c r="O51" s="1494">
        <f t="shared" ca="1" si="21"/>
        <v>976380.65138811851</v>
      </c>
      <c r="P51" s="306">
        <f t="shared" si="22"/>
        <v>0</v>
      </c>
      <c r="Q51" s="306">
        <v>0</v>
      </c>
      <c r="R51" s="306">
        <f t="shared" ca="1" si="23"/>
        <v>976380.65138811851</v>
      </c>
      <c r="S51" s="818">
        <f t="shared" ca="1" si="24"/>
        <v>526659.69373795914</v>
      </c>
      <c r="T51" s="818">
        <v>0</v>
      </c>
      <c r="U51" s="818">
        <v>0</v>
      </c>
      <c r="V51" s="818">
        <f t="shared" ca="1" si="25"/>
        <v>526659.69373795914</v>
      </c>
      <c r="W51" s="306">
        <f t="shared" si="3"/>
        <v>0</v>
      </c>
      <c r="X51" s="306">
        <f t="shared" ca="1" si="4"/>
        <v>-5421.6452753228559</v>
      </c>
      <c r="Y51" s="306">
        <v>0</v>
      </c>
      <c r="Z51" s="306">
        <v>0</v>
      </c>
      <c r="AA51" s="308">
        <f ca="1">-SUM(W51,X51/OFFSET(GridFootprintbyYear,$A51-$A$19,0)*EF_PurchElec_MTperMWh,Z51)*OFFSET(ExposureCalculations!Price_GHG_Allowance_2010,A51-$A$19,0)*ExposureCalculations!D48</f>
        <v>458127.68633416953</v>
      </c>
      <c r="AB51" s="308">
        <f t="shared" ca="1" si="5"/>
        <v>1973888.5710085582</v>
      </c>
      <c r="AC51" s="308">
        <v>0</v>
      </c>
      <c r="AD51" s="819">
        <f t="shared" ca="1" si="6"/>
        <v>0</v>
      </c>
      <c r="AE51" s="308">
        <v>0</v>
      </c>
      <c r="AF51" s="819">
        <v>0</v>
      </c>
      <c r="AG51" s="308">
        <f t="shared" ca="1" si="26"/>
        <v>0</v>
      </c>
      <c r="AH51" s="308">
        <v>0</v>
      </c>
      <c r="AI51" s="308">
        <v>0</v>
      </c>
      <c r="AJ51" s="308">
        <f t="shared" ca="1" si="7"/>
        <v>1973888.5710085582</v>
      </c>
      <c r="AK51" s="309">
        <f t="shared" si="27"/>
        <v>0</v>
      </c>
      <c r="AL51" s="309">
        <f t="shared" si="28"/>
        <v>0</v>
      </c>
      <c r="AM51" s="309">
        <f t="shared" si="29"/>
        <v>0</v>
      </c>
      <c r="AN51" s="310">
        <v>0</v>
      </c>
      <c r="AO51" s="310">
        <v>0</v>
      </c>
      <c r="AP51" s="310">
        <f t="shared" si="30"/>
        <v>0</v>
      </c>
      <c r="AQ51" s="309">
        <v>0</v>
      </c>
      <c r="AR51" s="311">
        <f t="shared" ca="1" si="8"/>
        <v>2432016.2573427279</v>
      </c>
      <c r="AS51" s="870">
        <f t="shared" ca="1" si="31"/>
        <v>45176688.348595388</v>
      </c>
      <c r="AT51" s="822"/>
      <c r="AU51" s="947" t="s">
        <v>1532</v>
      </c>
      <c r="AV51" s="1293">
        <v>2011</v>
      </c>
      <c r="AW51" s="1294">
        <v>0.23200000000000001</v>
      </c>
      <c r="AX51" s="1294"/>
      <c r="AY51" s="880"/>
      <c r="BB51" s="322"/>
      <c r="BC51" s="923"/>
      <c r="BK51" s="312">
        <f t="shared" ca="1" si="43"/>
        <v>0</v>
      </c>
      <c r="BL51" s="312" t="e">
        <f t="shared" si="47"/>
        <v>#N/A</v>
      </c>
      <c r="BN51" s="271">
        <f t="shared" si="32"/>
        <v>2042</v>
      </c>
      <c r="BO51" s="123">
        <f t="shared" si="33"/>
        <v>5542</v>
      </c>
      <c r="BP51" s="123">
        <f t="shared" si="54"/>
        <v>1698.0000000000005</v>
      </c>
      <c r="BQ51" s="123">
        <f t="shared" si="55"/>
        <v>15517600</v>
      </c>
      <c r="BR51" s="123">
        <f t="shared" si="56"/>
        <v>4754400.0000000009</v>
      </c>
      <c r="BS51" s="123">
        <f t="shared" si="36"/>
        <v>20272000</v>
      </c>
      <c r="BT51" s="123"/>
      <c r="BU51" s="123">
        <f t="shared" si="57"/>
        <v>5068</v>
      </c>
      <c r="BV51" s="123"/>
      <c r="BW51" s="123">
        <f t="shared" si="37"/>
        <v>19796.560000000001</v>
      </c>
      <c r="BX51" s="123">
        <f t="shared" si="38"/>
        <v>12163.2</v>
      </c>
      <c r="BY51" s="123"/>
      <c r="BZ51" s="123">
        <f t="shared" si="39"/>
        <v>0</v>
      </c>
      <c r="CA51" s="123">
        <f t="shared" si="58"/>
        <v>4400</v>
      </c>
      <c r="CB51" s="312">
        <f t="shared" si="44"/>
        <v>0</v>
      </c>
      <c r="CC51" s="123">
        <f t="shared" si="45"/>
        <v>4300</v>
      </c>
      <c r="CD51" s="123">
        <f t="shared" si="40"/>
        <v>2500</v>
      </c>
      <c r="CE51" s="312">
        <f t="shared" si="46"/>
        <v>0</v>
      </c>
      <c r="CF51" s="123"/>
      <c r="CG51" s="123"/>
      <c r="CH51" s="123"/>
      <c r="CI51" s="1305">
        <f t="shared" si="41"/>
        <v>2042</v>
      </c>
      <c r="CJ51" s="1266">
        <f t="shared" si="42"/>
        <v>0</v>
      </c>
      <c r="CK51" s="1266" t="str">
        <f t="shared" ca="1" si="53"/>
        <v/>
      </c>
      <c r="CL51" s="1266" t="str">
        <f t="shared" ca="1" si="53"/>
        <v/>
      </c>
      <c r="CM51" s="1266" t="str">
        <f t="shared" ca="1" si="53"/>
        <v/>
      </c>
      <c r="CN51" s="1266" t="str">
        <f t="shared" ca="1" si="53"/>
        <v/>
      </c>
      <c r="CO51" s="1266" t="str">
        <f t="shared" ca="1" si="53"/>
        <v/>
      </c>
      <c r="CP51" s="1266" t="str">
        <f t="shared" ca="1" si="53"/>
        <v/>
      </c>
      <c r="CQ51" s="1266" t="str">
        <f t="shared" ca="1" si="53"/>
        <v/>
      </c>
      <c r="CR51" s="1266" t="str">
        <f t="shared" ca="1" si="53"/>
        <v/>
      </c>
      <c r="CS51" s="1266" t="str">
        <f t="shared" ca="1" si="53"/>
        <v/>
      </c>
      <c r="CT51" s="1266" t="str">
        <f t="shared" ca="1" si="53"/>
        <v/>
      </c>
      <c r="CU51" s="1266" t="str">
        <f t="shared" ca="1" si="53"/>
        <v/>
      </c>
      <c r="CV51" s="1266" t="str">
        <f t="shared" ca="1" si="53"/>
        <v/>
      </c>
      <c r="CW51" s="1266" t="str">
        <f t="shared" ca="1" si="53"/>
        <v/>
      </c>
      <c r="CX51" s="1266" t="str">
        <f t="shared" ca="1" si="53"/>
        <v/>
      </c>
      <c r="CY51" s="1266" t="str">
        <f t="shared" ca="1" si="53"/>
        <v/>
      </c>
      <c r="CZ51" s="1266" t="str">
        <f t="shared" ref="CZ51:CZ59" ca="1" si="61">IF(OR(CZ$18&lt;=$CI51,CZ$18&gt;$CI51+$AW$53),"",PMT($AW$54,$AW$53,$CJ51))</f>
        <v/>
      </c>
      <c r="DA51" s="1266" t="str">
        <f t="shared" ca="1" si="59"/>
        <v/>
      </c>
      <c r="DB51" s="1266" t="str">
        <f t="shared" ca="1" si="59"/>
        <v/>
      </c>
      <c r="DC51" s="1266" t="str">
        <f t="shared" ca="1" si="59"/>
        <v/>
      </c>
      <c r="DD51" s="1266" t="str">
        <f t="shared" ca="1" si="59"/>
        <v/>
      </c>
      <c r="DE51" s="1266" t="str">
        <f t="shared" ca="1" si="59"/>
        <v/>
      </c>
      <c r="DF51" s="1266" t="str">
        <f t="shared" ca="1" si="59"/>
        <v/>
      </c>
      <c r="DG51" s="1266" t="str">
        <f t="shared" ca="1" si="59"/>
        <v/>
      </c>
      <c r="DH51" s="1266" t="str">
        <f t="shared" ca="1" si="59"/>
        <v/>
      </c>
      <c r="DI51" s="1266" t="str">
        <f t="shared" ca="1" si="59"/>
        <v/>
      </c>
      <c r="DJ51" s="1266" t="str">
        <f t="shared" ca="1" si="59"/>
        <v/>
      </c>
      <c r="DK51" s="1266" t="str">
        <f t="shared" ca="1" si="59"/>
        <v/>
      </c>
      <c r="DL51" s="1266" t="str">
        <f t="shared" ca="1" si="59"/>
        <v/>
      </c>
      <c r="DM51" s="1266" t="str">
        <f t="shared" ca="1" si="59"/>
        <v/>
      </c>
      <c r="DN51" s="1266" t="str">
        <f t="shared" ca="1" si="59"/>
        <v/>
      </c>
      <c r="DO51" s="1266" t="str">
        <f t="shared" ca="1" si="59"/>
        <v/>
      </c>
      <c r="DP51" s="1266" t="str">
        <f t="shared" ca="1" si="59"/>
        <v/>
      </c>
      <c r="DQ51" s="1266" t="str">
        <f t="shared" ca="1" si="60"/>
        <v/>
      </c>
      <c r="DR51" s="1266">
        <f t="shared" ca="1" si="60"/>
        <v>0</v>
      </c>
      <c r="DS51" s="1266">
        <f t="shared" ca="1" si="60"/>
        <v>0</v>
      </c>
      <c r="DT51" s="1266">
        <f t="shared" ca="1" si="60"/>
        <v>0</v>
      </c>
      <c r="DU51" s="1266">
        <f t="shared" ca="1" si="60"/>
        <v>0</v>
      </c>
      <c r="DV51" s="1266">
        <f t="shared" ca="1" si="60"/>
        <v>0</v>
      </c>
      <c r="DW51" s="1266">
        <f t="shared" ca="1" si="60"/>
        <v>0</v>
      </c>
      <c r="DX51" s="1266">
        <f t="shared" ca="1" si="60"/>
        <v>0</v>
      </c>
      <c r="DY51" s="1266">
        <f t="shared" ca="1" si="60"/>
        <v>0</v>
      </c>
    </row>
    <row r="52" spans="1:129">
      <c r="A52" s="303">
        <v>2043</v>
      </c>
      <c r="B52" s="304">
        <f ca="1">IF($D$3="BAU",UtilityDemand!C45,INDIRECT($D$3&amp;"!B"&amp;ROW(A52))+INDIRECT($D$3&amp;"!D"&amp;ROW(A52)))</f>
        <v>184820.24324457973</v>
      </c>
      <c r="C52" s="305">
        <f t="shared" ca="1" si="14"/>
        <v>-0.10711250917358903</v>
      </c>
      <c r="D52" s="306">
        <f t="shared" si="15"/>
        <v>-19796.560000000001</v>
      </c>
      <c r="E52" s="304">
        <f ca="1">IF($D$3="BAU",UtilityDemand!E45,INDIRECT($D$3&amp;"!E"&amp;ROW(D52))+INDIRECT($D$3&amp;"!G"&amp;ROW(D52)))</f>
        <v>984767.25051779393</v>
      </c>
      <c r="F52" s="305">
        <v>0</v>
      </c>
      <c r="G52" s="306">
        <f t="shared" ca="1" si="16"/>
        <v>0</v>
      </c>
      <c r="H52" s="304">
        <f ca="1">IF($D$3="BAU",UtilityDemand!G45,INDIRECT($D$3&amp;"!H"&amp;ROW(G52))+INDIRECT($D$3&amp;"!J"&amp;ROW(G52)))</f>
        <v>286460.22830056283</v>
      </c>
      <c r="I52" s="305">
        <f t="shared" ca="1" si="17"/>
        <v>0.84920689145286854</v>
      </c>
      <c r="J52" s="306">
        <f t="shared" si="2"/>
        <v>243264</v>
      </c>
      <c r="K52" s="307">
        <f t="shared" ca="1" si="18"/>
        <v>165023.68324457973</v>
      </c>
      <c r="L52" s="307">
        <f t="shared" si="19"/>
        <v>0</v>
      </c>
      <c r="M52" s="307">
        <v>0</v>
      </c>
      <c r="N52" s="307">
        <f t="shared" ca="1" si="20"/>
        <v>165023.68324457973</v>
      </c>
      <c r="O52" s="1494">
        <f t="shared" ca="1" si="21"/>
        <v>984767.25051779393</v>
      </c>
      <c r="P52" s="306">
        <f t="shared" si="22"/>
        <v>0</v>
      </c>
      <c r="Q52" s="306">
        <v>0</v>
      </c>
      <c r="R52" s="306">
        <f t="shared" ca="1" si="23"/>
        <v>984767.25051779393</v>
      </c>
      <c r="S52" s="818">
        <f t="shared" ca="1" si="24"/>
        <v>529724.22830056283</v>
      </c>
      <c r="T52" s="818">
        <v>0</v>
      </c>
      <c r="U52" s="818">
        <v>0</v>
      </c>
      <c r="V52" s="818">
        <f t="shared" ca="1" si="25"/>
        <v>529724.22830056283</v>
      </c>
      <c r="W52" s="306">
        <f t="shared" si="3"/>
        <v>0</v>
      </c>
      <c r="X52" s="306">
        <f t="shared" ca="1" si="4"/>
        <v>-5421.6452753228559</v>
      </c>
      <c r="Y52" s="306">
        <v>0</v>
      </c>
      <c r="Z52" s="306">
        <v>0</v>
      </c>
      <c r="AA52" s="308">
        <f ca="1">-SUM(W52,X52/OFFSET(GridFootprintbyYear,$A52-$A$19,0)*EF_PurchElec_MTperMWh,Z52)*OFFSET(ExposureCalculations!Price_GHG_Allowance_2010,A52-$A$19,0)*ExposureCalculations!D49</f>
        <v>477938.94064013439</v>
      </c>
      <c r="AB52" s="308">
        <f t="shared" ca="1" si="5"/>
        <v>1983758.0138636008</v>
      </c>
      <c r="AC52" s="308">
        <v>0</v>
      </c>
      <c r="AD52" s="819">
        <f t="shared" ca="1" si="6"/>
        <v>0</v>
      </c>
      <c r="AE52" s="308">
        <v>0</v>
      </c>
      <c r="AF52" s="819">
        <v>0</v>
      </c>
      <c r="AG52" s="308">
        <f t="shared" ca="1" si="26"/>
        <v>0</v>
      </c>
      <c r="AH52" s="308">
        <v>0</v>
      </c>
      <c r="AI52" s="308">
        <v>0</v>
      </c>
      <c r="AJ52" s="308">
        <f t="shared" ca="1" si="7"/>
        <v>1983758.0138636008</v>
      </c>
      <c r="AK52" s="309">
        <f t="shared" si="27"/>
        <v>0</v>
      </c>
      <c r="AL52" s="309">
        <f t="shared" si="28"/>
        <v>0</v>
      </c>
      <c r="AM52" s="309">
        <f t="shared" si="29"/>
        <v>0</v>
      </c>
      <c r="AN52" s="310">
        <v>0</v>
      </c>
      <c r="AO52" s="310">
        <v>0</v>
      </c>
      <c r="AP52" s="310">
        <f t="shared" si="30"/>
        <v>0</v>
      </c>
      <c r="AQ52" s="309">
        <v>0</v>
      </c>
      <c r="AR52" s="311">
        <f t="shared" ca="1" si="8"/>
        <v>2461696.9545037351</v>
      </c>
      <c r="AS52" s="870">
        <f t="shared" ca="1" si="31"/>
        <v>47638385.303099126</v>
      </c>
      <c r="AT52" s="822"/>
      <c r="AU52" s="878"/>
      <c r="AV52" s="1285"/>
      <c r="AW52" s="1294"/>
      <c r="AX52" s="1296"/>
      <c r="AY52" s="880"/>
      <c r="BB52" s="322"/>
      <c r="BC52" s="123"/>
      <c r="BK52" s="312">
        <f t="shared" ca="1" si="43"/>
        <v>0</v>
      </c>
      <c r="BL52" s="312" t="e">
        <f t="shared" si="47"/>
        <v>#N/A</v>
      </c>
      <c r="BN52" s="271">
        <f t="shared" si="32"/>
        <v>2043</v>
      </c>
      <c r="BO52" s="123">
        <f t="shared" si="33"/>
        <v>5542</v>
      </c>
      <c r="BP52" s="123">
        <f t="shared" si="54"/>
        <v>1698.0000000000005</v>
      </c>
      <c r="BQ52" s="123">
        <f t="shared" si="55"/>
        <v>15517600</v>
      </c>
      <c r="BR52" s="123">
        <f t="shared" si="56"/>
        <v>4754400.0000000009</v>
      </c>
      <c r="BS52" s="123">
        <f t="shared" si="36"/>
        <v>20272000</v>
      </c>
      <c r="BT52" s="123"/>
      <c r="BU52" s="123">
        <f t="shared" si="57"/>
        <v>5068</v>
      </c>
      <c r="BV52" s="123"/>
      <c r="BW52" s="123">
        <f t="shared" si="37"/>
        <v>19796.560000000001</v>
      </c>
      <c r="BX52" s="123">
        <f t="shared" si="38"/>
        <v>12163.2</v>
      </c>
      <c r="BY52" s="123"/>
      <c r="BZ52" s="123">
        <f t="shared" si="39"/>
        <v>0</v>
      </c>
      <c r="CA52" s="123">
        <f t="shared" si="58"/>
        <v>4400</v>
      </c>
      <c r="CB52" s="312">
        <f t="shared" si="44"/>
        <v>0</v>
      </c>
      <c r="CC52" s="123">
        <f t="shared" si="45"/>
        <v>4300</v>
      </c>
      <c r="CD52" s="123">
        <f t="shared" si="40"/>
        <v>2500</v>
      </c>
      <c r="CE52" s="312">
        <f t="shared" si="46"/>
        <v>0</v>
      </c>
      <c r="CF52" s="123"/>
      <c r="CG52" s="123"/>
      <c r="CH52" s="123"/>
      <c r="CI52" s="1305">
        <f t="shared" si="41"/>
        <v>2043</v>
      </c>
      <c r="CJ52" s="1266">
        <f t="shared" si="42"/>
        <v>0</v>
      </c>
      <c r="CK52" s="1266" t="str">
        <f t="shared" ref="CK52:CY59" ca="1" si="62">IF(OR(CK$18&lt;=$CI52,CK$18&gt;$CI52+$AW$53),"",PMT($AW$54,$AW$53,$CJ52))</f>
        <v/>
      </c>
      <c r="CL52" s="1266" t="str">
        <f t="shared" ca="1" si="62"/>
        <v/>
      </c>
      <c r="CM52" s="1266" t="str">
        <f t="shared" ca="1" si="62"/>
        <v/>
      </c>
      <c r="CN52" s="1266" t="str">
        <f t="shared" ca="1" si="62"/>
        <v/>
      </c>
      <c r="CO52" s="1266" t="str">
        <f t="shared" ca="1" si="62"/>
        <v/>
      </c>
      <c r="CP52" s="1266" t="str">
        <f t="shared" ca="1" si="62"/>
        <v/>
      </c>
      <c r="CQ52" s="1266" t="str">
        <f t="shared" ca="1" si="62"/>
        <v/>
      </c>
      <c r="CR52" s="1266" t="str">
        <f t="shared" ca="1" si="62"/>
        <v/>
      </c>
      <c r="CS52" s="1266" t="str">
        <f t="shared" ca="1" si="62"/>
        <v/>
      </c>
      <c r="CT52" s="1266" t="str">
        <f t="shared" ca="1" si="62"/>
        <v/>
      </c>
      <c r="CU52" s="1266" t="str">
        <f t="shared" ca="1" si="62"/>
        <v/>
      </c>
      <c r="CV52" s="1266" t="str">
        <f t="shared" ca="1" si="62"/>
        <v/>
      </c>
      <c r="CW52" s="1266" t="str">
        <f t="shared" ca="1" si="62"/>
        <v/>
      </c>
      <c r="CX52" s="1266" t="str">
        <f t="shared" ca="1" si="62"/>
        <v/>
      </c>
      <c r="CY52" s="1266" t="str">
        <f t="shared" ca="1" si="62"/>
        <v/>
      </c>
      <c r="CZ52" s="1266" t="str">
        <f t="shared" ca="1" si="61"/>
        <v/>
      </c>
      <c r="DA52" s="1266" t="str">
        <f t="shared" ca="1" si="59"/>
        <v/>
      </c>
      <c r="DB52" s="1266" t="str">
        <f t="shared" ca="1" si="59"/>
        <v/>
      </c>
      <c r="DC52" s="1266" t="str">
        <f t="shared" ca="1" si="59"/>
        <v/>
      </c>
      <c r="DD52" s="1266" t="str">
        <f t="shared" ca="1" si="59"/>
        <v/>
      </c>
      <c r="DE52" s="1266" t="str">
        <f t="shared" ca="1" si="59"/>
        <v/>
      </c>
      <c r="DF52" s="1266" t="str">
        <f t="shared" ca="1" si="59"/>
        <v/>
      </c>
      <c r="DG52" s="1266" t="str">
        <f t="shared" ca="1" si="59"/>
        <v/>
      </c>
      <c r="DH52" s="1266" t="str">
        <f t="shared" ca="1" si="59"/>
        <v/>
      </c>
      <c r="DI52" s="1266" t="str">
        <f t="shared" ca="1" si="59"/>
        <v/>
      </c>
      <c r="DJ52" s="1266" t="str">
        <f t="shared" ca="1" si="59"/>
        <v/>
      </c>
      <c r="DK52" s="1266" t="str">
        <f t="shared" ca="1" si="59"/>
        <v/>
      </c>
      <c r="DL52" s="1266" t="str">
        <f t="shared" ca="1" si="59"/>
        <v/>
      </c>
      <c r="DM52" s="1266" t="str">
        <f t="shared" ca="1" si="59"/>
        <v/>
      </c>
      <c r="DN52" s="1266" t="str">
        <f t="shared" ca="1" si="59"/>
        <v/>
      </c>
      <c r="DO52" s="1266" t="str">
        <f t="shared" ca="1" si="59"/>
        <v/>
      </c>
      <c r="DP52" s="1266" t="str">
        <f t="shared" ca="1" si="59"/>
        <v/>
      </c>
      <c r="DQ52" s="1266" t="str">
        <f t="shared" ca="1" si="60"/>
        <v/>
      </c>
      <c r="DR52" s="1266" t="str">
        <f t="shared" ca="1" si="60"/>
        <v/>
      </c>
      <c r="DS52" s="1266">
        <f t="shared" ca="1" si="60"/>
        <v>0</v>
      </c>
      <c r="DT52" s="1266">
        <f t="shared" ca="1" si="60"/>
        <v>0</v>
      </c>
      <c r="DU52" s="1266">
        <f t="shared" ca="1" si="60"/>
        <v>0</v>
      </c>
      <c r="DV52" s="1266">
        <f t="shared" ca="1" si="60"/>
        <v>0</v>
      </c>
      <c r="DW52" s="1266">
        <f t="shared" ca="1" si="60"/>
        <v>0</v>
      </c>
      <c r="DX52" s="1266">
        <f t="shared" ca="1" si="60"/>
        <v>0</v>
      </c>
      <c r="DY52" s="1266">
        <f t="shared" ca="1" si="60"/>
        <v>0</v>
      </c>
    </row>
    <row r="53" spans="1:129">
      <c r="A53" s="303">
        <v>2044</v>
      </c>
      <c r="B53" s="304">
        <f ca="1">IF($D$3="BAU",UtilityDemand!C46,INDIRECT($D$3&amp;"!B"&amp;ROW(A53))+INDIRECT($D$3&amp;"!D"&amp;ROW(A53)))</f>
        <v>186396.86884543177</v>
      </c>
      <c r="C53" s="305">
        <f t="shared" ca="1" si="14"/>
        <v>-0.10620650509111369</v>
      </c>
      <c r="D53" s="306">
        <f t="shared" si="15"/>
        <v>-19796.560000000001</v>
      </c>
      <c r="E53" s="304">
        <f ca="1">IF($D$3="BAU",UtilityDemand!E46,INDIRECT($D$3&amp;"!E"&amp;ROW(D53))+INDIRECT($D$3&amp;"!G"&amp;ROW(D53)))</f>
        <v>993153.84964746935</v>
      </c>
      <c r="F53" s="305">
        <v>0</v>
      </c>
      <c r="G53" s="306">
        <f t="shared" ca="1" si="16"/>
        <v>0</v>
      </c>
      <c r="H53" s="304">
        <f ca="1">IF($D$3="BAU",UtilityDemand!G46,INDIRECT($D$3&amp;"!H"&amp;ROW(G53))+INDIRECT($D$3&amp;"!J"&amp;ROW(G53)))</f>
        <v>289524.76286316651</v>
      </c>
      <c r="I53" s="305">
        <f t="shared" ca="1" si="17"/>
        <v>0.84021828597428128</v>
      </c>
      <c r="J53" s="306">
        <f t="shared" si="2"/>
        <v>243264</v>
      </c>
      <c r="K53" s="307">
        <f t="shared" ca="1" si="18"/>
        <v>166600.30884543178</v>
      </c>
      <c r="L53" s="307">
        <f t="shared" si="19"/>
        <v>0</v>
      </c>
      <c r="M53" s="307">
        <v>0</v>
      </c>
      <c r="N53" s="307">
        <f t="shared" ca="1" si="20"/>
        <v>166600.30884543178</v>
      </c>
      <c r="O53" s="1494">
        <f t="shared" ca="1" si="21"/>
        <v>993153.84964746935</v>
      </c>
      <c r="P53" s="306">
        <f t="shared" si="22"/>
        <v>0</v>
      </c>
      <c r="Q53" s="306">
        <v>0</v>
      </c>
      <c r="R53" s="306">
        <f t="shared" ca="1" si="23"/>
        <v>993153.84964746935</v>
      </c>
      <c r="S53" s="818">
        <f t="shared" ca="1" si="24"/>
        <v>532788.76286316651</v>
      </c>
      <c r="T53" s="818">
        <v>0</v>
      </c>
      <c r="U53" s="818">
        <v>0</v>
      </c>
      <c r="V53" s="818">
        <f t="shared" ca="1" si="25"/>
        <v>532788.76286316651</v>
      </c>
      <c r="W53" s="306">
        <f t="shared" si="3"/>
        <v>0</v>
      </c>
      <c r="X53" s="306">
        <f t="shared" ca="1" si="4"/>
        <v>-5421.6452753228559</v>
      </c>
      <c r="Y53" s="306">
        <v>0</v>
      </c>
      <c r="Z53" s="306">
        <v>0</v>
      </c>
      <c r="AA53" s="308">
        <f ca="1">-SUM(W53,X53/OFFSET(GridFootprintbyYear,$A53-$A$19,0)*EF_PurchElec_MTperMWh,Z53)*OFFSET(ExposureCalculations!Price_GHG_Allowance_2010,A53-$A$19,0)*ExposureCalculations!D50</f>
        <v>500395.41907467245</v>
      </c>
      <c r="AB53" s="308">
        <f t="shared" ca="1" si="5"/>
        <v>1993676.8039329187</v>
      </c>
      <c r="AC53" s="308">
        <v>0</v>
      </c>
      <c r="AD53" s="819">
        <f t="shared" ca="1" si="6"/>
        <v>0</v>
      </c>
      <c r="AE53" s="308">
        <v>0</v>
      </c>
      <c r="AF53" s="819">
        <v>0</v>
      </c>
      <c r="AG53" s="308">
        <f t="shared" ca="1" si="26"/>
        <v>0</v>
      </c>
      <c r="AH53" s="308">
        <v>0</v>
      </c>
      <c r="AI53" s="308">
        <v>0</v>
      </c>
      <c r="AJ53" s="308">
        <f t="shared" ca="1" si="7"/>
        <v>1993676.8039329187</v>
      </c>
      <c r="AK53" s="309">
        <f t="shared" si="27"/>
        <v>0</v>
      </c>
      <c r="AL53" s="309">
        <f t="shared" si="28"/>
        <v>0</v>
      </c>
      <c r="AM53" s="309">
        <f t="shared" si="29"/>
        <v>0</v>
      </c>
      <c r="AN53" s="310">
        <v>0</v>
      </c>
      <c r="AO53" s="310">
        <v>0</v>
      </c>
      <c r="AP53" s="310">
        <f t="shared" si="30"/>
        <v>0</v>
      </c>
      <c r="AQ53" s="309">
        <v>0</v>
      </c>
      <c r="AR53" s="311">
        <f t="shared" ca="1" si="8"/>
        <v>2494072.223007591</v>
      </c>
      <c r="AS53" s="870">
        <f t="shared" ca="1" si="31"/>
        <v>50132457.526106715</v>
      </c>
      <c r="AT53" s="822"/>
      <c r="AU53" s="878" t="s">
        <v>1551</v>
      </c>
      <c r="AV53" s="1285"/>
      <c r="AW53" s="1285">
        <v>20</v>
      </c>
      <c r="AX53" s="1296" t="s">
        <v>713</v>
      </c>
      <c r="AY53" s="880"/>
      <c r="BB53" s="322"/>
      <c r="BC53" s="1295"/>
      <c r="BK53" s="312">
        <f t="shared" ca="1" si="43"/>
        <v>0</v>
      </c>
      <c r="BL53" s="312" t="e">
        <f t="shared" si="47"/>
        <v>#N/A</v>
      </c>
      <c r="BN53" s="271">
        <f t="shared" si="32"/>
        <v>2044</v>
      </c>
      <c r="BO53" s="123">
        <f t="shared" si="33"/>
        <v>5542</v>
      </c>
      <c r="BP53" s="123">
        <f t="shared" si="54"/>
        <v>1698.0000000000005</v>
      </c>
      <c r="BQ53" s="123">
        <f t="shared" si="55"/>
        <v>15517600</v>
      </c>
      <c r="BR53" s="123">
        <f t="shared" si="56"/>
        <v>4754400.0000000009</v>
      </c>
      <c r="BS53" s="123">
        <f t="shared" si="36"/>
        <v>20272000</v>
      </c>
      <c r="BT53" s="123"/>
      <c r="BU53" s="123">
        <f t="shared" si="57"/>
        <v>5068</v>
      </c>
      <c r="BV53" s="123"/>
      <c r="BW53" s="123">
        <f t="shared" si="37"/>
        <v>19796.560000000001</v>
      </c>
      <c r="BX53" s="123">
        <f t="shared" si="38"/>
        <v>12163.2</v>
      </c>
      <c r="BY53" s="123"/>
      <c r="BZ53" s="123">
        <f t="shared" si="39"/>
        <v>0</v>
      </c>
      <c r="CA53" s="123">
        <f t="shared" si="58"/>
        <v>4400</v>
      </c>
      <c r="CB53" s="312">
        <f t="shared" si="44"/>
        <v>0</v>
      </c>
      <c r="CC53" s="123">
        <f t="shared" si="45"/>
        <v>4300</v>
      </c>
      <c r="CD53" s="123">
        <f t="shared" si="40"/>
        <v>2500</v>
      </c>
      <c r="CE53" s="312">
        <f t="shared" si="46"/>
        <v>0</v>
      </c>
      <c r="CF53" s="123"/>
      <c r="CG53" s="123"/>
      <c r="CH53" s="123"/>
      <c r="CI53" s="1305">
        <f t="shared" si="41"/>
        <v>2044</v>
      </c>
      <c r="CJ53" s="1266">
        <f t="shared" si="42"/>
        <v>0</v>
      </c>
      <c r="CK53" s="1266" t="str">
        <f t="shared" ca="1" si="62"/>
        <v/>
      </c>
      <c r="CL53" s="1266" t="str">
        <f t="shared" ca="1" si="62"/>
        <v/>
      </c>
      <c r="CM53" s="1266" t="str">
        <f t="shared" ca="1" si="62"/>
        <v/>
      </c>
      <c r="CN53" s="1266" t="str">
        <f t="shared" ca="1" si="62"/>
        <v/>
      </c>
      <c r="CO53" s="1266" t="str">
        <f t="shared" ca="1" si="62"/>
        <v/>
      </c>
      <c r="CP53" s="1266" t="str">
        <f t="shared" ca="1" si="62"/>
        <v/>
      </c>
      <c r="CQ53" s="1266" t="str">
        <f t="shared" ca="1" si="62"/>
        <v/>
      </c>
      <c r="CR53" s="1266" t="str">
        <f t="shared" ca="1" si="62"/>
        <v/>
      </c>
      <c r="CS53" s="1266" t="str">
        <f t="shared" ca="1" si="62"/>
        <v/>
      </c>
      <c r="CT53" s="1266" t="str">
        <f t="shared" ca="1" si="62"/>
        <v/>
      </c>
      <c r="CU53" s="1266" t="str">
        <f t="shared" ca="1" si="62"/>
        <v/>
      </c>
      <c r="CV53" s="1266" t="str">
        <f t="shared" ca="1" si="62"/>
        <v/>
      </c>
      <c r="CW53" s="1266" t="str">
        <f t="shared" ca="1" si="62"/>
        <v/>
      </c>
      <c r="CX53" s="1266" t="str">
        <f t="shared" ca="1" si="62"/>
        <v/>
      </c>
      <c r="CY53" s="1266" t="str">
        <f t="shared" ca="1" si="62"/>
        <v/>
      </c>
      <c r="CZ53" s="1266" t="str">
        <f t="shared" ca="1" si="61"/>
        <v/>
      </c>
      <c r="DA53" s="1266" t="str">
        <f t="shared" ca="1" si="59"/>
        <v/>
      </c>
      <c r="DB53" s="1266" t="str">
        <f t="shared" ca="1" si="59"/>
        <v/>
      </c>
      <c r="DC53" s="1266" t="str">
        <f t="shared" ca="1" si="59"/>
        <v/>
      </c>
      <c r="DD53" s="1266" t="str">
        <f t="shared" ca="1" si="59"/>
        <v/>
      </c>
      <c r="DE53" s="1266" t="str">
        <f t="shared" ca="1" si="59"/>
        <v/>
      </c>
      <c r="DF53" s="1266" t="str">
        <f t="shared" ca="1" si="59"/>
        <v/>
      </c>
      <c r="DG53" s="1266" t="str">
        <f t="shared" ca="1" si="59"/>
        <v/>
      </c>
      <c r="DH53" s="1266" t="str">
        <f t="shared" ca="1" si="59"/>
        <v/>
      </c>
      <c r="DI53" s="1266" t="str">
        <f t="shared" ca="1" si="59"/>
        <v/>
      </c>
      <c r="DJ53" s="1266" t="str">
        <f t="shared" ca="1" si="59"/>
        <v/>
      </c>
      <c r="DK53" s="1266" t="str">
        <f t="shared" ca="1" si="59"/>
        <v/>
      </c>
      <c r="DL53" s="1266" t="str">
        <f t="shared" ca="1" si="59"/>
        <v/>
      </c>
      <c r="DM53" s="1266" t="str">
        <f t="shared" ca="1" si="59"/>
        <v/>
      </c>
      <c r="DN53" s="1266" t="str">
        <f t="shared" ca="1" si="59"/>
        <v/>
      </c>
      <c r="DO53" s="1266" t="str">
        <f t="shared" ca="1" si="59"/>
        <v/>
      </c>
      <c r="DP53" s="1266" t="str">
        <f t="shared" ca="1" si="59"/>
        <v/>
      </c>
      <c r="DQ53" s="1266" t="str">
        <f t="shared" ca="1" si="60"/>
        <v/>
      </c>
      <c r="DR53" s="1266" t="str">
        <f t="shared" ca="1" si="60"/>
        <v/>
      </c>
      <c r="DS53" s="1266" t="str">
        <f t="shared" ca="1" si="60"/>
        <v/>
      </c>
      <c r="DT53" s="1266">
        <f t="shared" ca="1" si="60"/>
        <v>0</v>
      </c>
      <c r="DU53" s="1266">
        <f t="shared" ca="1" si="60"/>
        <v>0</v>
      </c>
      <c r="DV53" s="1266">
        <f t="shared" ca="1" si="60"/>
        <v>0</v>
      </c>
      <c r="DW53" s="1266">
        <f t="shared" ca="1" si="60"/>
        <v>0</v>
      </c>
      <c r="DX53" s="1266">
        <f t="shared" ca="1" si="60"/>
        <v>0</v>
      </c>
      <c r="DY53" s="1266">
        <f t="shared" ca="1" si="60"/>
        <v>0</v>
      </c>
    </row>
    <row r="54" spans="1:129">
      <c r="A54" s="303">
        <v>2045</v>
      </c>
      <c r="B54" s="304">
        <f ca="1">IF($D$3="BAU",UtilityDemand!C47,INDIRECT($D$3&amp;"!B"&amp;ROW(A54))+INDIRECT($D$3&amp;"!D"&amp;ROW(A54)))</f>
        <v>187973.49444628376</v>
      </c>
      <c r="C54" s="305">
        <f t="shared" ca="1" si="14"/>
        <v>-0.10531569920703455</v>
      </c>
      <c r="D54" s="306">
        <f t="shared" si="15"/>
        <v>-19796.560000000001</v>
      </c>
      <c r="E54" s="304">
        <f ca="1">IF($D$3="BAU",UtilityDemand!E47,INDIRECT($D$3&amp;"!E"&amp;ROW(D54))+INDIRECT($D$3&amp;"!G"&amp;ROW(D54)))</f>
        <v>1001540.4487771448</v>
      </c>
      <c r="F54" s="305">
        <v>0</v>
      </c>
      <c r="G54" s="306">
        <f t="shared" ca="1" si="16"/>
        <v>0</v>
      </c>
      <c r="H54" s="304">
        <f ca="1">IF($D$3="BAU",UtilityDemand!G47,INDIRECT($D$3&amp;"!H"&amp;ROW(G54))+INDIRECT($D$3&amp;"!J"&amp;ROW(G54)))</f>
        <v>292589.2974257702</v>
      </c>
      <c r="I54" s="305">
        <f t="shared" ca="1" si="17"/>
        <v>0.83141797099299575</v>
      </c>
      <c r="J54" s="306">
        <f t="shared" si="2"/>
        <v>243264</v>
      </c>
      <c r="K54" s="307">
        <f t="shared" ca="1" si="18"/>
        <v>168176.93444628376</v>
      </c>
      <c r="L54" s="307">
        <f t="shared" si="19"/>
        <v>0</v>
      </c>
      <c r="M54" s="307">
        <v>0</v>
      </c>
      <c r="N54" s="307">
        <f t="shared" ca="1" si="20"/>
        <v>168176.93444628376</v>
      </c>
      <c r="O54" s="1494">
        <f t="shared" ca="1" si="21"/>
        <v>1001540.4487771448</v>
      </c>
      <c r="P54" s="306">
        <f t="shared" si="22"/>
        <v>0</v>
      </c>
      <c r="Q54" s="306">
        <v>0</v>
      </c>
      <c r="R54" s="306">
        <f t="shared" ca="1" si="23"/>
        <v>1001540.4487771448</v>
      </c>
      <c r="S54" s="818">
        <f t="shared" ca="1" si="24"/>
        <v>535853.2974257702</v>
      </c>
      <c r="T54" s="818">
        <v>0</v>
      </c>
      <c r="U54" s="818">
        <v>0</v>
      </c>
      <c r="V54" s="818">
        <f t="shared" ca="1" si="25"/>
        <v>535853.2974257702</v>
      </c>
      <c r="W54" s="306">
        <f t="shared" si="3"/>
        <v>0</v>
      </c>
      <c r="X54" s="306">
        <f t="shared" ca="1" si="4"/>
        <v>-5421.6452753228559</v>
      </c>
      <c r="Y54" s="306">
        <v>0</v>
      </c>
      <c r="Z54" s="306">
        <v>0</v>
      </c>
      <c r="AA54" s="308">
        <f ca="1">-SUM(W54,X54/OFFSET(GridFootprintbyYear,$A54-$A$19,0)*EF_PurchElec_MTperMWh,Z54)*OFFSET(ExposureCalculations!Price_GHG_Allowance_2010,A54-$A$19,0)*ExposureCalculations!D51</f>
        <v>526138.67555509985</v>
      </c>
      <c r="AB54" s="308">
        <f t="shared" ca="1" si="5"/>
        <v>2003645.187952583</v>
      </c>
      <c r="AC54" s="308">
        <v>0</v>
      </c>
      <c r="AD54" s="819">
        <f t="shared" ca="1" si="6"/>
        <v>0</v>
      </c>
      <c r="AE54" s="308">
        <v>0</v>
      </c>
      <c r="AF54" s="819">
        <v>0</v>
      </c>
      <c r="AG54" s="308">
        <f t="shared" ca="1" si="26"/>
        <v>0</v>
      </c>
      <c r="AH54" s="308">
        <v>0</v>
      </c>
      <c r="AI54" s="308">
        <v>0</v>
      </c>
      <c r="AJ54" s="308">
        <f t="shared" ca="1" si="7"/>
        <v>2003645.187952583</v>
      </c>
      <c r="AK54" s="309">
        <f t="shared" si="27"/>
        <v>0</v>
      </c>
      <c r="AL54" s="309">
        <f t="shared" si="28"/>
        <v>0</v>
      </c>
      <c r="AM54" s="309">
        <f t="shared" si="29"/>
        <v>0</v>
      </c>
      <c r="AN54" s="310">
        <v>0</v>
      </c>
      <c r="AO54" s="310">
        <v>0</v>
      </c>
      <c r="AP54" s="310">
        <f t="shared" si="30"/>
        <v>0</v>
      </c>
      <c r="AQ54" s="309">
        <v>0</v>
      </c>
      <c r="AR54" s="311">
        <f t="shared" ca="1" si="8"/>
        <v>2529783.8635076829</v>
      </c>
      <c r="AS54" s="870">
        <f t="shared" ca="1" si="31"/>
        <v>52662241.389614396</v>
      </c>
      <c r="AT54" s="822"/>
      <c r="AU54" s="878" t="s">
        <v>1552</v>
      </c>
      <c r="AV54" s="1285"/>
      <c r="AW54" s="1304">
        <v>0.04</v>
      </c>
      <c r="AX54" s="1296"/>
      <c r="AY54" s="880"/>
      <c r="BC54" s="1295"/>
      <c r="BK54" s="312">
        <f t="shared" ca="1" si="43"/>
        <v>0</v>
      </c>
      <c r="BL54" s="312" t="e">
        <f t="shared" si="47"/>
        <v>#N/A</v>
      </c>
      <c r="BN54" s="271">
        <f t="shared" si="32"/>
        <v>2045</v>
      </c>
      <c r="BO54" s="123">
        <f t="shared" si="33"/>
        <v>5542</v>
      </c>
      <c r="BP54" s="123">
        <f t="shared" si="54"/>
        <v>1698.0000000000005</v>
      </c>
      <c r="BQ54" s="123">
        <f t="shared" si="55"/>
        <v>15517600</v>
      </c>
      <c r="BR54" s="123">
        <f t="shared" si="56"/>
        <v>4754400.0000000009</v>
      </c>
      <c r="BS54" s="123">
        <f t="shared" si="36"/>
        <v>20272000</v>
      </c>
      <c r="BT54" s="123"/>
      <c r="BU54" s="123">
        <f t="shared" si="57"/>
        <v>5068</v>
      </c>
      <c r="BV54" s="123"/>
      <c r="BW54" s="123">
        <f t="shared" si="37"/>
        <v>19796.560000000001</v>
      </c>
      <c r="BX54" s="123">
        <f t="shared" si="38"/>
        <v>12163.2</v>
      </c>
      <c r="BY54" s="123"/>
      <c r="BZ54" s="123">
        <f t="shared" si="39"/>
        <v>0</v>
      </c>
      <c r="CA54" s="123">
        <f t="shared" si="58"/>
        <v>4400</v>
      </c>
      <c r="CB54" s="312">
        <f t="shared" si="44"/>
        <v>0</v>
      </c>
      <c r="CC54" s="123">
        <f t="shared" si="45"/>
        <v>4300</v>
      </c>
      <c r="CD54" s="123">
        <f t="shared" si="40"/>
        <v>2500</v>
      </c>
      <c r="CE54" s="312">
        <f t="shared" si="46"/>
        <v>0</v>
      </c>
      <c r="CF54" s="123"/>
      <c r="CG54" s="123"/>
      <c r="CH54" s="123"/>
      <c r="CI54" s="1305">
        <f t="shared" si="41"/>
        <v>2045</v>
      </c>
      <c r="CJ54" s="1266">
        <f t="shared" si="42"/>
        <v>0</v>
      </c>
      <c r="CK54" s="1266" t="str">
        <f t="shared" ca="1" si="62"/>
        <v/>
      </c>
      <c r="CL54" s="1266" t="str">
        <f t="shared" ca="1" si="62"/>
        <v/>
      </c>
      <c r="CM54" s="1266" t="str">
        <f t="shared" ca="1" si="62"/>
        <v/>
      </c>
      <c r="CN54" s="1266" t="str">
        <f t="shared" ca="1" si="62"/>
        <v/>
      </c>
      <c r="CO54" s="1266" t="str">
        <f t="shared" ca="1" si="62"/>
        <v/>
      </c>
      <c r="CP54" s="1266" t="str">
        <f t="shared" ca="1" si="62"/>
        <v/>
      </c>
      <c r="CQ54" s="1266" t="str">
        <f t="shared" ca="1" si="62"/>
        <v/>
      </c>
      <c r="CR54" s="1266" t="str">
        <f t="shared" ca="1" si="62"/>
        <v/>
      </c>
      <c r="CS54" s="1266" t="str">
        <f t="shared" ca="1" si="62"/>
        <v/>
      </c>
      <c r="CT54" s="1266" t="str">
        <f t="shared" ca="1" si="62"/>
        <v/>
      </c>
      <c r="CU54" s="1266" t="str">
        <f t="shared" ca="1" si="62"/>
        <v/>
      </c>
      <c r="CV54" s="1266" t="str">
        <f t="shared" ca="1" si="62"/>
        <v/>
      </c>
      <c r="CW54" s="1266" t="str">
        <f t="shared" ca="1" si="62"/>
        <v/>
      </c>
      <c r="CX54" s="1266" t="str">
        <f t="shared" ca="1" si="62"/>
        <v/>
      </c>
      <c r="CY54" s="1266" t="str">
        <f t="shared" ca="1" si="62"/>
        <v/>
      </c>
      <c r="CZ54" s="1266" t="str">
        <f t="shared" ca="1" si="61"/>
        <v/>
      </c>
      <c r="DA54" s="1266" t="str">
        <f t="shared" ca="1" si="59"/>
        <v/>
      </c>
      <c r="DB54" s="1266" t="str">
        <f t="shared" ca="1" si="59"/>
        <v/>
      </c>
      <c r="DC54" s="1266" t="str">
        <f t="shared" ca="1" si="59"/>
        <v/>
      </c>
      <c r="DD54" s="1266" t="str">
        <f t="shared" ca="1" si="59"/>
        <v/>
      </c>
      <c r="DE54" s="1266" t="str">
        <f t="shared" ca="1" si="59"/>
        <v/>
      </c>
      <c r="DF54" s="1266" t="str">
        <f t="shared" ca="1" si="59"/>
        <v/>
      </c>
      <c r="DG54" s="1266" t="str">
        <f t="shared" ca="1" si="59"/>
        <v/>
      </c>
      <c r="DH54" s="1266" t="str">
        <f t="shared" ca="1" si="59"/>
        <v/>
      </c>
      <c r="DI54" s="1266" t="str">
        <f t="shared" ca="1" si="59"/>
        <v/>
      </c>
      <c r="DJ54" s="1266" t="str">
        <f t="shared" ca="1" si="59"/>
        <v/>
      </c>
      <c r="DK54" s="1266" t="str">
        <f t="shared" ca="1" si="59"/>
        <v/>
      </c>
      <c r="DL54" s="1266" t="str">
        <f t="shared" ca="1" si="59"/>
        <v/>
      </c>
      <c r="DM54" s="1266" t="str">
        <f t="shared" ca="1" si="59"/>
        <v/>
      </c>
      <c r="DN54" s="1266" t="str">
        <f t="shared" ca="1" si="59"/>
        <v/>
      </c>
      <c r="DO54" s="1266" t="str">
        <f t="shared" ca="1" si="59"/>
        <v/>
      </c>
      <c r="DP54" s="1266" t="str">
        <f t="shared" ca="1" si="59"/>
        <v/>
      </c>
      <c r="DQ54" s="1266" t="str">
        <f t="shared" ca="1" si="60"/>
        <v/>
      </c>
      <c r="DR54" s="1266" t="str">
        <f t="shared" ca="1" si="60"/>
        <v/>
      </c>
      <c r="DS54" s="1266" t="str">
        <f t="shared" ca="1" si="60"/>
        <v/>
      </c>
      <c r="DT54" s="1266" t="str">
        <f t="shared" ca="1" si="60"/>
        <v/>
      </c>
      <c r="DU54" s="1266">
        <f t="shared" ca="1" si="60"/>
        <v>0</v>
      </c>
      <c r="DV54" s="1266">
        <f t="shared" ca="1" si="60"/>
        <v>0</v>
      </c>
      <c r="DW54" s="1266">
        <f t="shared" ca="1" si="60"/>
        <v>0</v>
      </c>
      <c r="DX54" s="1266">
        <f t="shared" ca="1" si="60"/>
        <v>0</v>
      </c>
      <c r="DY54" s="1266">
        <f t="shared" ca="1" si="60"/>
        <v>0</v>
      </c>
    </row>
    <row r="55" spans="1:129">
      <c r="A55" s="303">
        <v>2046</v>
      </c>
      <c r="B55" s="304">
        <f ca="1">IF($D$3="BAU",UtilityDemand!C48,INDIRECT($D$3&amp;"!B"&amp;ROW(A55))+INDIRECT($D$3&amp;"!D"&amp;ROW(A55)))</f>
        <v>189550.12004713583</v>
      </c>
      <c r="C55" s="305">
        <f t="shared" ca="1" si="14"/>
        <v>-0.1044397122780885</v>
      </c>
      <c r="D55" s="306">
        <f t="shared" si="15"/>
        <v>-19796.560000000001</v>
      </c>
      <c r="E55" s="304">
        <f ca="1">IF($D$3="BAU",UtilityDemand!E48,INDIRECT($D$3&amp;"!E"&amp;ROW(D55))+INDIRECT($D$3&amp;"!G"&amp;ROW(D55)))</f>
        <v>1009927.04790682</v>
      </c>
      <c r="F55" s="305">
        <v>0</v>
      </c>
      <c r="G55" s="306">
        <f t="shared" ca="1" si="16"/>
        <v>0</v>
      </c>
      <c r="H55" s="304">
        <f ca="1">IF($D$3="BAU",UtilityDemand!G48,INDIRECT($D$3&amp;"!H"&amp;ROW(G55))+INDIRECT($D$3&amp;"!J"&amp;ROW(G55)))</f>
        <v>295653.83198837389</v>
      </c>
      <c r="I55" s="305">
        <f t="shared" ca="1" si="17"/>
        <v>0.82280009145819555</v>
      </c>
      <c r="J55" s="306">
        <f t="shared" si="2"/>
        <v>243264</v>
      </c>
      <c r="K55" s="307">
        <f t="shared" ca="1" si="18"/>
        <v>169753.56004713583</v>
      </c>
      <c r="L55" s="307">
        <f t="shared" si="19"/>
        <v>0</v>
      </c>
      <c r="M55" s="307">
        <v>0</v>
      </c>
      <c r="N55" s="307">
        <f t="shared" ca="1" si="20"/>
        <v>169753.56004713583</v>
      </c>
      <c r="O55" s="1494">
        <f t="shared" ca="1" si="21"/>
        <v>1009927.04790682</v>
      </c>
      <c r="P55" s="306">
        <f t="shared" si="22"/>
        <v>0</v>
      </c>
      <c r="Q55" s="306">
        <v>0</v>
      </c>
      <c r="R55" s="306">
        <f t="shared" ca="1" si="23"/>
        <v>1009927.04790682</v>
      </c>
      <c r="S55" s="818">
        <f t="shared" ca="1" si="24"/>
        <v>538917.83198837389</v>
      </c>
      <c r="T55" s="818">
        <v>0</v>
      </c>
      <c r="U55" s="818">
        <v>0</v>
      </c>
      <c r="V55" s="818">
        <f t="shared" ca="1" si="25"/>
        <v>538917.83198837389</v>
      </c>
      <c r="W55" s="306">
        <f t="shared" si="3"/>
        <v>0</v>
      </c>
      <c r="X55" s="306">
        <f t="shared" ca="1" si="4"/>
        <v>-5421.6452753228559</v>
      </c>
      <c r="Y55" s="306">
        <v>0</v>
      </c>
      <c r="Z55" s="306">
        <v>0</v>
      </c>
      <c r="AA55" s="308">
        <f ca="1">-SUM(W55,X55/OFFSET(GridFootprintbyYear,$A55-$A$19,0)*EF_PurchElec_MTperMWh,Z55)*OFFSET(ExposureCalculations!Price_GHG_Allowance_2010,A55-$A$19,0)*ExposureCalculations!D52</f>
        <v>553610.4862224916</v>
      </c>
      <c r="AB55" s="308">
        <f t="shared" ca="1" si="5"/>
        <v>2013663.4138923453</v>
      </c>
      <c r="AC55" s="308">
        <v>0</v>
      </c>
      <c r="AD55" s="819">
        <f t="shared" ca="1" si="6"/>
        <v>0</v>
      </c>
      <c r="AE55" s="308">
        <v>0</v>
      </c>
      <c r="AF55" s="819">
        <v>0</v>
      </c>
      <c r="AG55" s="308">
        <f t="shared" ca="1" si="26"/>
        <v>0</v>
      </c>
      <c r="AH55" s="308">
        <v>0</v>
      </c>
      <c r="AI55" s="308">
        <v>0</v>
      </c>
      <c r="AJ55" s="308">
        <f t="shared" ca="1" si="7"/>
        <v>2013663.4138923453</v>
      </c>
      <c r="AK55" s="309">
        <f t="shared" si="27"/>
        <v>0</v>
      </c>
      <c r="AL55" s="309">
        <f t="shared" si="28"/>
        <v>0</v>
      </c>
      <c r="AM55" s="309">
        <f t="shared" si="29"/>
        <v>0</v>
      </c>
      <c r="AN55" s="310">
        <v>0</v>
      </c>
      <c r="AO55" s="310">
        <v>0</v>
      </c>
      <c r="AP55" s="310">
        <f t="shared" si="30"/>
        <v>0</v>
      </c>
      <c r="AQ55" s="309">
        <v>0</v>
      </c>
      <c r="AR55" s="311">
        <f t="shared" ca="1" si="8"/>
        <v>2567273.9001148371</v>
      </c>
      <c r="AS55" s="870">
        <f t="shared" ca="1" si="31"/>
        <v>55229515.28972923</v>
      </c>
      <c r="AT55" s="822"/>
      <c r="AU55" s="878"/>
      <c r="AV55" s="1285"/>
      <c r="AW55" s="1294"/>
      <c r="AX55" s="1296"/>
      <c r="AY55" s="880"/>
      <c r="BK55" s="312">
        <f t="shared" ca="1" si="43"/>
        <v>0</v>
      </c>
      <c r="BL55" s="312" t="e">
        <f t="shared" si="47"/>
        <v>#N/A</v>
      </c>
      <c r="BN55" s="271">
        <f t="shared" si="32"/>
        <v>2046</v>
      </c>
      <c r="BO55" s="123">
        <f t="shared" si="33"/>
        <v>5542</v>
      </c>
      <c r="BP55" s="123">
        <f t="shared" si="54"/>
        <v>1698.0000000000005</v>
      </c>
      <c r="BQ55" s="123">
        <f t="shared" si="55"/>
        <v>15517600</v>
      </c>
      <c r="BR55" s="123">
        <f t="shared" si="56"/>
        <v>4754400.0000000009</v>
      </c>
      <c r="BS55" s="123">
        <f t="shared" si="36"/>
        <v>20272000</v>
      </c>
      <c r="BT55" s="123"/>
      <c r="BU55" s="123">
        <f t="shared" si="57"/>
        <v>5068</v>
      </c>
      <c r="BV55" s="123"/>
      <c r="BW55" s="123">
        <f t="shared" si="37"/>
        <v>19796.560000000001</v>
      </c>
      <c r="BX55" s="123">
        <f t="shared" si="38"/>
        <v>12163.2</v>
      </c>
      <c r="BY55" s="123"/>
      <c r="BZ55" s="123">
        <f t="shared" si="39"/>
        <v>0</v>
      </c>
      <c r="CA55" s="123">
        <f t="shared" si="58"/>
        <v>4400</v>
      </c>
      <c r="CB55" s="312">
        <f t="shared" si="44"/>
        <v>0</v>
      </c>
      <c r="CC55" s="123">
        <f t="shared" si="45"/>
        <v>4300</v>
      </c>
      <c r="CD55" s="123">
        <f t="shared" si="40"/>
        <v>2500</v>
      </c>
      <c r="CE55" s="312">
        <f t="shared" si="46"/>
        <v>0</v>
      </c>
      <c r="CF55" s="123"/>
      <c r="CG55" s="123"/>
      <c r="CH55" s="123"/>
      <c r="CI55" s="1305">
        <f t="shared" si="41"/>
        <v>2046</v>
      </c>
      <c r="CJ55" s="1266">
        <f t="shared" si="42"/>
        <v>0</v>
      </c>
      <c r="CK55" s="1266" t="str">
        <f t="shared" ca="1" si="62"/>
        <v/>
      </c>
      <c r="CL55" s="1266" t="str">
        <f t="shared" ca="1" si="62"/>
        <v/>
      </c>
      <c r="CM55" s="1266" t="str">
        <f t="shared" ca="1" si="62"/>
        <v/>
      </c>
      <c r="CN55" s="1266" t="str">
        <f t="shared" ca="1" si="62"/>
        <v/>
      </c>
      <c r="CO55" s="1266" t="str">
        <f t="shared" ca="1" si="62"/>
        <v/>
      </c>
      <c r="CP55" s="1266" t="str">
        <f t="shared" ca="1" si="62"/>
        <v/>
      </c>
      <c r="CQ55" s="1266" t="str">
        <f t="shared" ca="1" si="62"/>
        <v/>
      </c>
      <c r="CR55" s="1266" t="str">
        <f t="shared" ca="1" si="62"/>
        <v/>
      </c>
      <c r="CS55" s="1266" t="str">
        <f t="shared" ca="1" si="62"/>
        <v/>
      </c>
      <c r="CT55" s="1266" t="str">
        <f t="shared" ca="1" si="62"/>
        <v/>
      </c>
      <c r="CU55" s="1266" t="str">
        <f t="shared" ca="1" si="62"/>
        <v/>
      </c>
      <c r="CV55" s="1266" t="str">
        <f t="shared" ca="1" si="62"/>
        <v/>
      </c>
      <c r="CW55" s="1266" t="str">
        <f t="shared" ca="1" si="62"/>
        <v/>
      </c>
      <c r="CX55" s="1266" t="str">
        <f t="shared" ca="1" si="62"/>
        <v/>
      </c>
      <c r="CY55" s="1266" t="str">
        <f t="shared" ca="1" si="62"/>
        <v/>
      </c>
      <c r="CZ55" s="1266" t="str">
        <f t="shared" ca="1" si="61"/>
        <v/>
      </c>
      <c r="DA55" s="1266" t="str">
        <f t="shared" ca="1" si="59"/>
        <v/>
      </c>
      <c r="DB55" s="1266" t="str">
        <f t="shared" ca="1" si="59"/>
        <v/>
      </c>
      <c r="DC55" s="1266" t="str">
        <f t="shared" ca="1" si="59"/>
        <v/>
      </c>
      <c r="DD55" s="1266" t="str">
        <f t="shared" ca="1" si="59"/>
        <v/>
      </c>
      <c r="DE55" s="1266" t="str">
        <f t="shared" ca="1" si="59"/>
        <v/>
      </c>
      <c r="DF55" s="1266" t="str">
        <f t="shared" ca="1" si="59"/>
        <v/>
      </c>
      <c r="DG55" s="1266" t="str">
        <f t="shared" ca="1" si="59"/>
        <v/>
      </c>
      <c r="DH55" s="1266" t="str">
        <f t="shared" ca="1" si="59"/>
        <v/>
      </c>
      <c r="DI55" s="1266" t="str">
        <f t="shared" ca="1" si="59"/>
        <v/>
      </c>
      <c r="DJ55" s="1266" t="str">
        <f t="shared" ca="1" si="59"/>
        <v/>
      </c>
      <c r="DK55" s="1266" t="str">
        <f t="shared" ca="1" si="59"/>
        <v/>
      </c>
      <c r="DL55" s="1266" t="str">
        <f t="shared" ca="1" si="59"/>
        <v/>
      </c>
      <c r="DM55" s="1266" t="str">
        <f t="shared" ca="1" si="59"/>
        <v/>
      </c>
      <c r="DN55" s="1266" t="str">
        <f t="shared" ca="1" si="59"/>
        <v/>
      </c>
      <c r="DO55" s="1266" t="str">
        <f t="shared" ca="1" si="59"/>
        <v/>
      </c>
      <c r="DP55" s="1266" t="str">
        <f t="shared" ca="1" si="59"/>
        <v/>
      </c>
      <c r="DQ55" s="1266" t="str">
        <f t="shared" ca="1" si="60"/>
        <v/>
      </c>
      <c r="DR55" s="1266" t="str">
        <f t="shared" ca="1" si="60"/>
        <v/>
      </c>
      <c r="DS55" s="1266" t="str">
        <f t="shared" ca="1" si="60"/>
        <v/>
      </c>
      <c r="DT55" s="1266" t="str">
        <f t="shared" ca="1" si="60"/>
        <v/>
      </c>
      <c r="DU55" s="1266" t="str">
        <f t="shared" ca="1" si="60"/>
        <v/>
      </c>
      <c r="DV55" s="1266">
        <f t="shared" ca="1" si="60"/>
        <v>0</v>
      </c>
      <c r="DW55" s="1266">
        <f t="shared" ca="1" si="60"/>
        <v>0</v>
      </c>
      <c r="DX55" s="1266">
        <f t="shared" ca="1" si="60"/>
        <v>0</v>
      </c>
      <c r="DY55" s="1266">
        <f t="shared" ca="1" si="60"/>
        <v>0</v>
      </c>
    </row>
    <row r="56" spans="1:129">
      <c r="A56" s="303">
        <v>2047</v>
      </c>
      <c r="B56" s="304">
        <f ca="1">IF($D$3="BAU",UtilityDemand!C49,INDIRECT($D$3&amp;"!B"&amp;ROW(A56))+INDIRECT($D$3&amp;"!D"&amp;ROW(A56)))</f>
        <v>191126.74564798782</v>
      </c>
      <c r="C56" s="305">
        <f t="shared" ca="1" si="14"/>
        <v>-0.10357817757469058</v>
      </c>
      <c r="D56" s="306">
        <f t="shared" si="15"/>
        <v>-19796.560000000001</v>
      </c>
      <c r="E56" s="304">
        <f ca="1">IF($D$3="BAU",UtilityDemand!E49,INDIRECT($D$3&amp;"!E"&amp;ROW(D56))+INDIRECT($D$3&amp;"!G"&amp;ROW(D56)))</f>
        <v>1018313.6470364953</v>
      </c>
      <c r="F56" s="305">
        <v>0</v>
      </c>
      <c r="G56" s="306">
        <f t="shared" ca="1" si="16"/>
        <v>0</v>
      </c>
      <c r="H56" s="304">
        <f ca="1">IF($D$3="BAU",UtilityDemand!G49,INDIRECT($D$3&amp;"!H"&amp;ROW(G56))+INDIRECT($D$3&amp;"!J"&amp;ROW(G56)))</f>
        <v>298718.36655097757</v>
      </c>
      <c r="I56" s="305">
        <f t="shared" ca="1" si="17"/>
        <v>0.81435903258558406</v>
      </c>
      <c r="J56" s="306">
        <f t="shared" si="2"/>
        <v>243264</v>
      </c>
      <c r="K56" s="307">
        <f t="shared" ca="1" si="18"/>
        <v>171330.18564798782</v>
      </c>
      <c r="L56" s="307">
        <f t="shared" si="19"/>
        <v>0</v>
      </c>
      <c r="M56" s="307">
        <v>0</v>
      </c>
      <c r="N56" s="307">
        <f t="shared" ca="1" si="20"/>
        <v>171330.18564798782</v>
      </c>
      <c r="O56" s="1494">
        <f t="shared" ca="1" si="21"/>
        <v>1018313.6470364953</v>
      </c>
      <c r="P56" s="306">
        <f t="shared" si="22"/>
        <v>0</v>
      </c>
      <c r="Q56" s="306">
        <v>0</v>
      </c>
      <c r="R56" s="306">
        <f t="shared" ca="1" si="23"/>
        <v>1018313.6470364953</v>
      </c>
      <c r="S56" s="818">
        <f t="shared" ca="1" si="24"/>
        <v>541982.36655097757</v>
      </c>
      <c r="T56" s="818">
        <v>0</v>
      </c>
      <c r="U56" s="818">
        <v>0</v>
      </c>
      <c r="V56" s="818">
        <f t="shared" ca="1" si="25"/>
        <v>541982.36655097757</v>
      </c>
      <c r="W56" s="306">
        <f t="shared" si="3"/>
        <v>0</v>
      </c>
      <c r="X56" s="306">
        <f t="shared" ca="1" si="4"/>
        <v>-5421.6452753228559</v>
      </c>
      <c r="Y56" s="306">
        <v>0</v>
      </c>
      <c r="Z56" s="306">
        <v>0</v>
      </c>
      <c r="AA56" s="308">
        <f ca="1">-SUM(W56,X56/OFFSET(GridFootprintbyYear,$A56-$A$19,0)*EF_PurchElec_MTperMWh,Z56)*OFFSET(ExposureCalculations!Price_GHG_Allowance_2010,A56-$A$19,0)*ExposureCalculations!D53</f>
        <v>583027.18186560099</v>
      </c>
      <c r="AB56" s="308">
        <f t="shared" ca="1" si="5"/>
        <v>2023731.7309618066</v>
      </c>
      <c r="AC56" s="308">
        <v>0</v>
      </c>
      <c r="AD56" s="819">
        <f t="shared" ca="1" si="6"/>
        <v>0</v>
      </c>
      <c r="AE56" s="308">
        <v>0</v>
      </c>
      <c r="AF56" s="819">
        <v>0</v>
      </c>
      <c r="AG56" s="308">
        <f t="shared" ca="1" si="26"/>
        <v>0</v>
      </c>
      <c r="AH56" s="308">
        <v>0</v>
      </c>
      <c r="AI56" s="308">
        <v>0</v>
      </c>
      <c r="AJ56" s="308">
        <f t="shared" ca="1" si="7"/>
        <v>2023731.7309618066</v>
      </c>
      <c r="AK56" s="309">
        <f t="shared" si="27"/>
        <v>0</v>
      </c>
      <c r="AL56" s="309">
        <f t="shared" si="28"/>
        <v>0</v>
      </c>
      <c r="AM56" s="309">
        <f t="shared" si="29"/>
        <v>0</v>
      </c>
      <c r="AN56" s="310">
        <v>0</v>
      </c>
      <c r="AO56" s="310">
        <v>0</v>
      </c>
      <c r="AP56" s="310">
        <f t="shared" si="30"/>
        <v>0</v>
      </c>
      <c r="AQ56" s="309">
        <v>0</v>
      </c>
      <c r="AR56" s="311">
        <f t="shared" ca="1" si="8"/>
        <v>2606758.9128274075</v>
      </c>
      <c r="AS56" s="870">
        <f t="shared" ca="1" si="31"/>
        <v>57836274.20255664</v>
      </c>
      <c r="AT56" s="822"/>
      <c r="AU56" s="878"/>
      <c r="AV56" s="35"/>
      <c r="AW56" s="879"/>
      <c r="AX56" s="35"/>
      <c r="AY56" s="880"/>
      <c r="BK56" s="312">
        <f t="shared" ca="1" si="43"/>
        <v>0</v>
      </c>
      <c r="BL56" s="312" t="e">
        <f t="shared" si="47"/>
        <v>#N/A</v>
      </c>
      <c r="BN56" s="271">
        <f t="shared" si="32"/>
        <v>2047</v>
      </c>
      <c r="BO56" s="123">
        <f t="shared" si="33"/>
        <v>5542</v>
      </c>
      <c r="BP56" s="123">
        <f t="shared" si="54"/>
        <v>1698.0000000000005</v>
      </c>
      <c r="BQ56" s="123">
        <f t="shared" si="55"/>
        <v>15517600</v>
      </c>
      <c r="BR56" s="123">
        <f t="shared" si="56"/>
        <v>4754400.0000000009</v>
      </c>
      <c r="BS56" s="123">
        <f t="shared" si="36"/>
        <v>20272000</v>
      </c>
      <c r="BT56" s="123"/>
      <c r="BU56" s="123">
        <f t="shared" si="57"/>
        <v>5068</v>
      </c>
      <c r="BV56" s="123"/>
      <c r="BW56" s="123">
        <f t="shared" si="37"/>
        <v>19796.560000000001</v>
      </c>
      <c r="BX56" s="123">
        <f t="shared" si="38"/>
        <v>12163.2</v>
      </c>
      <c r="BY56" s="123"/>
      <c r="BZ56" s="123">
        <f t="shared" si="39"/>
        <v>0</v>
      </c>
      <c r="CA56" s="123">
        <f t="shared" si="58"/>
        <v>4400</v>
      </c>
      <c r="CB56" s="312">
        <f t="shared" si="44"/>
        <v>0</v>
      </c>
      <c r="CC56" s="123">
        <f t="shared" si="45"/>
        <v>4300</v>
      </c>
      <c r="CD56" s="123">
        <f t="shared" si="40"/>
        <v>2500</v>
      </c>
      <c r="CE56" s="312">
        <f t="shared" si="46"/>
        <v>0</v>
      </c>
      <c r="CF56" s="123"/>
      <c r="CG56" s="123"/>
      <c r="CH56" s="123"/>
      <c r="CI56" s="1305">
        <f t="shared" si="41"/>
        <v>2047</v>
      </c>
      <c r="CJ56" s="1266">
        <f t="shared" si="42"/>
        <v>0</v>
      </c>
      <c r="CK56" s="1266" t="str">
        <f t="shared" ca="1" si="62"/>
        <v/>
      </c>
      <c r="CL56" s="1266" t="str">
        <f t="shared" ca="1" si="62"/>
        <v/>
      </c>
      <c r="CM56" s="1266" t="str">
        <f t="shared" ca="1" si="62"/>
        <v/>
      </c>
      <c r="CN56" s="1266" t="str">
        <f t="shared" ca="1" si="62"/>
        <v/>
      </c>
      <c r="CO56" s="1266" t="str">
        <f t="shared" ca="1" si="62"/>
        <v/>
      </c>
      <c r="CP56" s="1266" t="str">
        <f t="shared" ca="1" si="62"/>
        <v/>
      </c>
      <c r="CQ56" s="1266" t="str">
        <f t="shared" ca="1" si="62"/>
        <v/>
      </c>
      <c r="CR56" s="1266" t="str">
        <f t="shared" ca="1" si="62"/>
        <v/>
      </c>
      <c r="CS56" s="1266" t="str">
        <f t="shared" ca="1" si="62"/>
        <v/>
      </c>
      <c r="CT56" s="1266" t="str">
        <f t="shared" ca="1" si="62"/>
        <v/>
      </c>
      <c r="CU56" s="1266" t="str">
        <f t="shared" ca="1" si="62"/>
        <v/>
      </c>
      <c r="CV56" s="1266" t="str">
        <f t="shared" ca="1" si="62"/>
        <v/>
      </c>
      <c r="CW56" s="1266" t="str">
        <f t="shared" ca="1" si="62"/>
        <v/>
      </c>
      <c r="CX56" s="1266" t="str">
        <f t="shared" ca="1" si="62"/>
        <v/>
      </c>
      <c r="CY56" s="1266" t="str">
        <f t="shared" ca="1" si="62"/>
        <v/>
      </c>
      <c r="CZ56" s="1266" t="str">
        <f t="shared" ca="1" si="61"/>
        <v/>
      </c>
      <c r="DA56" s="1266" t="str">
        <f t="shared" ca="1" si="59"/>
        <v/>
      </c>
      <c r="DB56" s="1266" t="str">
        <f t="shared" ca="1" si="59"/>
        <v/>
      </c>
      <c r="DC56" s="1266" t="str">
        <f t="shared" ca="1" si="59"/>
        <v/>
      </c>
      <c r="DD56" s="1266" t="str">
        <f t="shared" ca="1" si="59"/>
        <v/>
      </c>
      <c r="DE56" s="1266" t="str">
        <f t="shared" ca="1" si="59"/>
        <v/>
      </c>
      <c r="DF56" s="1266" t="str">
        <f t="shared" ca="1" si="59"/>
        <v/>
      </c>
      <c r="DG56" s="1266" t="str">
        <f t="shared" ca="1" si="59"/>
        <v/>
      </c>
      <c r="DH56" s="1266" t="str">
        <f t="shared" ca="1" si="59"/>
        <v/>
      </c>
      <c r="DI56" s="1266" t="str">
        <f t="shared" ca="1" si="59"/>
        <v/>
      </c>
      <c r="DJ56" s="1266" t="str">
        <f t="shared" ca="1" si="59"/>
        <v/>
      </c>
      <c r="DK56" s="1266" t="str">
        <f t="shared" ca="1" si="59"/>
        <v/>
      </c>
      <c r="DL56" s="1266" t="str">
        <f t="shared" ca="1" si="59"/>
        <v/>
      </c>
      <c r="DM56" s="1266" t="str">
        <f t="shared" ca="1" si="59"/>
        <v/>
      </c>
      <c r="DN56" s="1266" t="str">
        <f t="shared" ca="1" si="59"/>
        <v/>
      </c>
      <c r="DO56" s="1266" t="str">
        <f t="shared" ca="1" si="59"/>
        <v/>
      </c>
      <c r="DP56" s="1266" t="str">
        <f t="shared" ca="1" si="59"/>
        <v/>
      </c>
      <c r="DQ56" s="1266" t="str">
        <f t="shared" ca="1" si="60"/>
        <v/>
      </c>
      <c r="DR56" s="1266" t="str">
        <f t="shared" ca="1" si="60"/>
        <v/>
      </c>
      <c r="DS56" s="1266" t="str">
        <f t="shared" ca="1" si="60"/>
        <v/>
      </c>
      <c r="DT56" s="1266" t="str">
        <f t="shared" ca="1" si="60"/>
        <v/>
      </c>
      <c r="DU56" s="1266" t="str">
        <f t="shared" ca="1" si="60"/>
        <v/>
      </c>
      <c r="DV56" s="1266" t="str">
        <f t="shared" ca="1" si="60"/>
        <v/>
      </c>
      <c r="DW56" s="1266">
        <f t="shared" ca="1" si="60"/>
        <v>0</v>
      </c>
      <c r="DX56" s="1266">
        <f t="shared" ca="1" si="60"/>
        <v>0</v>
      </c>
      <c r="DY56" s="1266">
        <f t="shared" ca="1" si="60"/>
        <v>0</v>
      </c>
    </row>
    <row r="57" spans="1:129">
      <c r="A57" s="303">
        <v>2048</v>
      </c>
      <c r="B57" s="304">
        <f ca="1">IF($D$3="BAU",UtilityDemand!C50,INDIRECT($D$3&amp;"!B"&amp;ROW(A57))+INDIRECT($D$3&amp;"!D"&amp;ROW(A57)))</f>
        <v>192703.37124883989</v>
      </c>
      <c r="C57" s="305">
        <f t="shared" ca="1" si="14"/>
        <v>-0.1027307403690229</v>
      </c>
      <c r="D57" s="306">
        <f t="shared" si="15"/>
        <v>-19796.560000000001</v>
      </c>
      <c r="E57" s="304">
        <f ca="1">IF($D$3="BAU",UtilityDemand!E50,INDIRECT($D$3&amp;"!E"&amp;ROW(D57))+INDIRECT($D$3&amp;"!G"&amp;ROW(D57)))</f>
        <v>1026700.2461661708</v>
      </c>
      <c r="F57" s="305">
        <v>0</v>
      </c>
      <c r="G57" s="306">
        <f t="shared" ca="1" si="16"/>
        <v>0</v>
      </c>
      <c r="H57" s="304">
        <f ca="1">IF($D$3="BAU",UtilityDemand!G50,INDIRECT($D$3&amp;"!H"&amp;ROW(G57))+INDIRECT($D$3&amp;"!J"&amp;ROW(G57)))</f>
        <v>301782.90111358126</v>
      </c>
      <c r="I57" s="305">
        <f t="shared" ca="1" si="17"/>
        <v>0.80608940765813419</v>
      </c>
      <c r="J57" s="306">
        <f t="shared" si="2"/>
        <v>243264</v>
      </c>
      <c r="K57" s="307">
        <f t="shared" ca="1" si="18"/>
        <v>172906.81124883989</v>
      </c>
      <c r="L57" s="307">
        <f t="shared" si="19"/>
        <v>0</v>
      </c>
      <c r="M57" s="307">
        <v>0</v>
      </c>
      <c r="N57" s="307">
        <f t="shared" ca="1" si="20"/>
        <v>172906.81124883989</v>
      </c>
      <c r="O57" s="1494">
        <f t="shared" ca="1" si="21"/>
        <v>1026700.2461661708</v>
      </c>
      <c r="P57" s="306">
        <f t="shared" si="22"/>
        <v>0</v>
      </c>
      <c r="Q57" s="306">
        <v>0</v>
      </c>
      <c r="R57" s="306">
        <f t="shared" ca="1" si="23"/>
        <v>1026700.2461661708</v>
      </c>
      <c r="S57" s="818">
        <f t="shared" ca="1" si="24"/>
        <v>545046.90111358126</v>
      </c>
      <c r="T57" s="818">
        <v>0</v>
      </c>
      <c r="U57" s="818">
        <v>0</v>
      </c>
      <c r="V57" s="818">
        <f t="shared" ca="1" si="25"/>
        <v>545046.90111358126</v>
      </c>
      <c r="W57" s="306">
        <f t="shared" si="3"/>
        <v>0</v>
      </c>
      <c r="X57" s="306">
        <f t="shared" ca="1" si="4"/>
        <v>-5421.6452753228559</v>
      </c>
      <c r="Y57" s="306">
        <v>0</v>
      </c>
      <c r="Z57" s="306">
        <v>0</v>
      </c>
      <c r="AA57" s="308">
        <f ca="1">-SUM(W57,X57/OFFSET(GridFootprintbyYear,$A57-$A$19,0)*EF_PurchElec_MTperMWh,Z57)*OFFSET(ExposureCalculations!Price_GHG_Allowance_2010,A57-$A$19,0)*ExposureCalculations!D54</f>
        <v>614623.27778147988</v>
      </c>
      <c r="AB57" s="308">
        <f t="shared" ca="1" si="5"/>
        <v>2033850.3896166154</v>
      </c>
      <c r="AC57" s="308">
        <v>0</v>
      </c>
      <c r="AD57" s="819">
        <f t="shared" ca="1" si="6"/>
        <v>0</v>
      </c>
      <c r="AE57" s="308">
        <v>0</v>
      </c>
      <c r="AF57" s="819">
        <v>0</v>
      </c>
      <c r="AG57" s="308">
        <f t="shared" ca="1" si="26"/>
        <v>0</v>
      </c>
      <c r="AH57" s="308">
        <v>0</v>
      </c>
      <c r="AI57" s="308">
        <v>0</v>
      </c>
      <c r="AJ57" s="308">
        <f t="shared" ca="1" si="7"/>
        <v>2033850.3896166154</v>
      </c>
      <c r="AK57" s="309">
        <f t="shared" si="27"/>
        <v>0</v>
      </c>
      <c r="AL57" s="309">
        <f t="shared" si="28"/>
        <v>0</v>
      </c>
      <c r="AM57" s="309">
        <f t="shared" si="29"/>
        <v>0</v>
      </c>
      <c r="AN57" s="310">
        <v>0</v>
      </c>
      <c r="AO57" s="310">
        <v>0</v>
      </c>
      <c r="AP57" s="310">
        <f t="shared" si="30"/>
        <v>0</v>
      </c>
      <c r="AQ57" s="309">
        <v>0</v>
      </c>
      <c r="AR57" s="311">
        <f t="shared" ca="1" si="8"/>
        <v>2648473.6673980951</v>
      </c>
      <c r="AS57" s="870">
        <f t="shared" ca="1" si="31"/>
        <v>60484747.869954735</v>
      </c>
      <c r="AT57" s="822"/>
      <c r="AU57" s="878" t="s">
        <v>1538</v>
      </c>
      <c r="AV57" s="35"/>
      <c r="AW57" s="879"/>
      <c r="AX57" s="35"/>
      <c r="AY57" s="880"/>
      <c r="BK57" s="312">
        <f t="shared" ca="1" si="43"/>
        <v>0</v>
      </c>
      <c r="BL57" s="312" t="e">
        <f t="shared" si="47"/>
        <v>#N/A</v>
      </c>
      <c r="BN57" s="271">
        <f t="shared" si="32"/>
        <v>2048</v>
      </c>
      <c r="BO57" s="123">
        <f t="shared" si="33"/>
        <v>5542</v>
      </c>
      <c r="BP57" s="123">
        <f t="shared" si="54"/>
        <v>1698.0000000000005</v>
      </c>
      <c r="BQ57" s="123">
        <f t="shared" si="55"/>
        <v>15517600</v>
      </c>
      <c r="BR57" s="123">
        <f t="shared" si="56"/>
        <v>4754400.0000000009</v>
      </c>
      <c r="BS57" s="123">
        <f t="shared" si="36"/>
        <v>20272000</v>
      </c>
      <c r="BT57" s="123"/>
      <c r="BU57" s="123">
        <f t="shared" si="57"/>
        <v>5068</v>
      </c>
      <c r="BV57" s="123"/>
      <c r="BW57" s="123">
        <f t="shared" si="37"/>
        <v>19796.560000000001</v>
      </c>
      <c r="BX57" s="123">
        <f t="shared" si="38"/>
        <v>12163.2</v>
      </c>
      <c r="BY57" s="123"/>
      <c r="BZ57" s="123">
        <f t="shared" si="39"/>
        <v>0</v>
      </c>
      <c r="CA57" s="123">
        <f t="shared" si="58"/>
        <v>4400</v>
      </c>
      <c r="CB57" s="312">
        <f t="shared" si="44"/>
        <v>0</v>
      </c>
      <c r="CC57" s="123">
        <f t="shared" si="45"/>
        <v>4300</v>
      </c>
      <c r="CD57" s="123">
        <f t="shared" si="40"/>
        <v>2500</v>
      </c>
      <c r="CE57" s="312">
        <f t="shared" si="46"/>
        <v>0</v>
      </c>
      <c r="CF57" s="123"/>
      <c r="CG57" s="123"/>
      <c r="CH57" s="123"/>
      <c r="CI57" s="1305">
        <f t="shared" si="41"/>
        <v>2048</v>
      </c>
      <c r="CJ57" s="1266">
        <f t="shared" si="42"/>
        <v>0</v>
      </c>
      <c r="CK57" s="1266" t="str">
        <f t="shared" ca="1" si="62"/>
        <v/>
      </c>
      <c r="CL57" s="1266" t="str">
        <f t="shared" ca="1" si="62"/>
        <v/>
      </c>
      <c r="CM57" s="1266" t="str">
        <f t="shared" ca="1" si="62"/>
        <v/>
      </c>
      <c r="CN57" s="1266" t="str">
        <f t="shared" ca="1" si="62"/>
        <v/>
      </c>
      <c r="CO57" s="1266" t="str">
        <f t="shared" ca="1" si="62"/>
        <v/>
      </c>
      <c r="CP57" s="1266" t="str">
        <f t="shared" ca="1" si="62"/>
        <v/>
      </c>
      <c r="CQ57" s="1266" t="str">
        <f t="shared" ca="1" si="62"/>
        <v/>
      </c>
      <c r="CR57" s="1266" t="str">
        <f t="shared" ca="1" si="62"/>
        <v/>
      </c>
      <c r="CS57" s="1266" t="str">
        <f t="shared" ca="1" si="62"/>
        <v/>
      </c>
      <c r="CT57" s="1266" t="str">
        <f t="shared" ca="1" si="62"/>
        <v/>
      </c>
      <c r="CU57" s="1266" t="str">
        <f t="shared" ca="1" si="62"/>
        <v/>
      </c>
      <c r="CV57" s="1266" t="str">
        <f t="shared" ca="1" si="62"/>
        <v/>
      </c>
      <c r="CW57" s="1266" t="str">
        <f t="shared" ca="1" si="62"/>
        <v/>
      </c>
      <c r="CX57" s="1266" t="str">
        <f t="shared" ca="1" si="62"/>
        <v/>
      </c>
      <c r="CY57" s="1266" t="str">
        <f t="shared" ca="1" si="62"/>
        <v/>
      </c>
      <c r="CZ57" s="1266" t="str">
        <f t="shared" ca="1" si="61"/>
        <v/>
      </c>
      <c r="DA57" s="1266" t="str">
        <f t="shared" ca="1" si="59"/>
        <v/>
      </c>
      <c r="DB57" s="1266" t="str">
        <f t="shared" ca="1" si="59"/>
        <v/>
      </c>
      <c r="DC57" s="1266" t="str">
        <f t="shared" ca="1" si="59"/>
        <v/>
      </c>
      <c r="DD57" s="1266" t="str">
        <f t="shared" ca="1" si="59"/>
        <v/>
      </c>
      <c r="DE57" s="1266" t="str">
        <f t="shared" ca="1" si="59"/>
        <v/>
      </c>
      <c r="DF57" s="1266" t="str">
        <f t="shared" ca="1" si="59"/>
        <v/>
      </c>
      <c r="DG57" s="1266" t="str">
        <f t="shared" ca="1" si="59"/>
        <v/>
      </c>
      <c r="DH57" s="1266" t="str">
        <f t="shared" ca="1" si="59"/>
        <v/>
      </c>
      <c r="DI57" s="1266" t="str">
        <f t="shared" ca="1" si="59"/>
        <v/>
      </c>
      <c r="DJ57" s="1266" t="str">
        <f t="shared" ca="1" si="59"/>
        <v/>
      </c>
      <c r="DK57" s="1266" t="str">
        <f t="shared" ca="1" si="59"/>
        <v/>
      </c>
      <c r="DL57" s="1266" t="str">
        <f t="shared" ca="1" si="59"/>
        <v/>
      </c>
      <c r="DM57" s="1266" t="str">
        <f t="shared" ca="1" si="59"/>
        <v/>
      </c>
      <c r="DN57" s="1266" t="str">
        <f t="shared" ca="1" si="59"/>
        <v/>
      </c>
      <c r="DO57" s="1266" t="str">
        <f t="shared" ca="1" si="59"/>
        <v/>
      </c>
      <c r="DP57" s="1266" t="str">
        <f t="shared" ca="1" si="59"/>
        <v/>
      </c>
      <c r="DQ57" s="1266" t="str">
        <f t="shared" ca="1" si="60"/>
        <v/>
      </c>
      <c r="DR57" s="1266" t="str">
        <f t="shared" ca="1" si="60"/>
        <v/>
      </c>
      <c r="DS57" s="1266" t="str">
        <f t="shared" ca="1" si="60"/>
        <v/>
      </c>
      <c r="DT57" s="1266" t="str">
        <f t="shared" ca="1" si="60"/>
        <v/>
      </c>
      <c r="DU57" s="1266" t="str">
        <f t="shared" ca="1" si="60"/>
        <v/>
      </c>
      <c r="DV57" s="1266" t="str">
        <f t="shared" ca="1" si="60"/>
        <v/>
      </c>
      <c r="DW57" s="1266" t="str">
        <f t="shared" ca="1" si="60"/>
        <v/>
      </c>
      <c r="DX57" s="1266">
        <f t="shared" ca="1" si="60"/>
        <v>0</v>
      </c>
      <c r="DY57" s="1266">
        <f t="shared" ca="1" si="60"/>
        <v>0</v>
      </c>
    </row>
    <row r="58" spans="1:129">
      <c r="A58" s="303">
        <v>2049</v>
      </c>
      <c r="B58" s="304">
        <f ca="1">IF($D$3="BAU",UtilityDemand!C51,INDIRECT($D$3&amp;"!B"&amp;ROW(A58))+INDIRECT($D$3&amp;"!D"&amp;ROW(A58)))</f>
        <v>194279.99684969187</v>
      </c>
      <c r="C58" s="305">
        <f t="shared" ca="1" si="14"/>
        <v>-0.10189705744804987</v>
      </c>
      <c r="D58" s="306">
        <f t="shared" si="15"/>
        <v>-19796.560000000001</v>
      </c>
      <c r="E58" s="304">
        <f ca="1">IF($D$3="BAU",UtilityDemand!E51,INDIRECT($D$3&amp;"!E"&amp;ROW(D58))+INDIRECT($D$3&amp;"!G"&amp;ROW(D58)))</f>
        <v>1035086.8452958462</v>
      </c>
      <c r="F58" s="305">
        <v>0</v>
      </c>
      <c r="G58" s="306">
        <f t="shared" ca="1" si="16"/>
        <v>0</v>
      </c>
      <c r="H58" s="304">
        <f ca="1">IF($D$3="BAU",UtilityDemand!G51,INDIRECT($D$3&amp;"!H"&amp;ROW(G58))+INDIRECT($D$3&amp;"!J"&amp;ROW(G58)))</f>
        <v>304847.43567618495</v>
      </c>
      <c r="I58" s="305">
        <f t="shared" ca="1" si="17"/>
        <v>0.79798604656264815</v>
      </c>
      <c r="J58" s="306">
        <f t="shared" si="2"/>
        <v>243264</v>
      </c>
      <c r="K58" s="307">
        <f t="shared" ca="1" si="18"/>
        <v>174483.43684969188</v>
      </c>
      <c r="L58" s="307">
        <f t="shared" si="19"/>
        <v>0</v>
      </c>
      <c r="M58" s="307">
        <v>0</v>
      </c>
      <c r="N58" s="307">
        <f t="shared" ca="1" si="20"/>
        <v>174483.43684969188</v>
      </c>
      <c r="O58" s="1494">
        <f t="shared" ca="1" si="21"/>
        <v>1035086.8452958462</v>
      </c>
      <c r="P58" s="306">
        <f t="shared" si="22"/>
        <v>0</v>
      </c>
      <c r="Q58" s="306">
        <v>0</v>
      </c>
      <c r="R58" s="306">
        <f t="shared" ca="1" si="23"/>
        <v>1035086.8452958462</v>
      </c>
      <c r="S58" s="818">
        <f t="shared" ca="1" si="24"/>
        <v>548111.43567618495</v>
      </c>
      <c r="T58" s="818">
        <v>0</v>
      </c>
      <c r="U58" s="818">
        <v>0</v>
      </c>
      <c r="V58" s="818">
        <f t="shared" ca="1" si="25"/>
        <v>548111.43567618495</v>
      </c>
      <c r="W58" s="306">
        <f t="shared" si="3"/>
        <v>0</v>
      </c>
      <c r="X58" s="306">
        <f t="shared" ca="1" si="4"/>
        <v>-5421.6452753228559</v>
      </c>
      <c r="Y58" s="306">
        <v>0</v>
      </c>
      <c r="Z58" s="306">
        <v>0</v>
      </c>
      <c r="AA58" s="308">
        <f ca="1">-SUM(W58,X58/OFFSET(GridFootprintbyYear,$A58-$A$19,0)*EF_PurchElec_MTperMWh,Z58)*OFFSET(ExposureCalculations!Price_GHG_Allowance_2010,A58-$A$19,0)*ExposureCalculations!D55</f>
        <v>648649.56622989138</v>
      </c>
      <c r="AB58" s="308">
        <f t="shared" ca="1" si="5"/>
        <v>2044019.6415646982</v>
      </c>
      <c r="AC58" s="308">
        <v>0</v>
      </c>
      <c r="AD58" s="819">
        <f t="shared" ca="1" si="6"/>
        <v>0</v>
      </c>
      <c r="AE58" s="308">
        <v>0</v>
      </c>
      <c r="AF58" s="819">
        <v>0</v>
      </c>
      <c r="AG58" s="308">
        <f t="shared" ca="1" si="26"/>
        <v>0</v>
      </c>
      <c r="AH58" s="308">
        <v>0</v>
      </c>
      <c r="AI58" s="308">
        <v>0</v>
      </c>
      <c r="AJ58" s="308">
        <f t="shared" ca="1" si="7"/>
        <v>2044019.6415646982</v>
      </c>
      <c r="AK58" s="309">
        <f t="shared" si="27"/>
        <v>0</v>
      </c>
      <c r="AL58" s="309">
        <f t="shared" si="28"/>
        <v>0</v>
      </c>
      <c r="AM58" s="309">
        <f t="shared" si="29"/>
        <v>0</v>
      </c>
      <c r="AN58" s="310">
        <v>0</v>
      </c>
      <c r="AO58" s="310">
        <v>0</v>
      </c>
      <c r="AP58" s="310">
        <f t="shared" si="30"/>
        <v>0</v>
      </c>
      <c r="AQ58" s="309">
        <v>0</v>
      </c>
      <c r="AR58" s="311">
        <f t="shared" ca="1" si="8"/>
        <v>2692669.2077945895</v>
      </c>
      <c r="AS58" s="870">
        <f t="shared" ca="1" si="31"/>
        <v>63177417.077749327</v>
      </c>
      <c r="AT58" s="822"/>
      <c r="AU58" s="878" t="str">
        <f t="shared" ref="AU58:AV60" si="63">AU45</f>
        <v>Phase 1 &amp; 2</v>
      </c>
      <c r="AV58" s="1248">
        <f t="shared" si="63"/>
        <v>2012</v>
      </c>
      <c r="AW58" s="1250">
        <v>2598</v>
      </c>
      <c r="AX58" s="35"/>
      <c r="AY58" s="880"/>
      <c r="BK58" s="312">
        <f t="shared" ca="1" si="43"/>
        <v>0</v>
      </c>
      <c r="BL58" s="312" t="e">
        <f t="shared" si="47"/>
        <v>#N/A</v>
      </c>
      <c r="BN58" s="271">
        <f t="shared" si="32"/>
        <v>2049</v>
      </c>
      <c r="BO58" s="123">
        <f t="shared" si="33"/>
        <v>5542</v>
      </c>
      <c r="BP58" s="123">
        <f t="shared" si="54"/>
        <v>1698.0000000000005</v>
      </c>
      <c r="BQ58" s="123">
        <f t="shared" si="55"/>
        <v>15517600</v>
      </c>
      <c r="BR58" s="123">
        <f t="shared" si="56"/>
        <v>4754400.0000000009</v>
      </c>
      <c r="BS58" s="123">
        <f t="shared" si="36"/>
        <v>20272000</v>
      </c>
      <c r="BT58" s="123"/>
      <c r="BU58" s="123">
        <f t="shared" si="57"/>
        <v>5068</v>
      </c>
      <c r="BV58" s="123"/>
      <c r="BW58" s="123">
        <f t="shared" si="37"/>
        <v>19796.560000000001</v>
      </c>
      <c r="BX58" s="123">
        <f t="shared" si="38"/>
        <v>12163.2</v>
      </c>
      <c r="BY58" s="123"/>
      <c r="BZ58" s="123">
        <f t="shared" si="39"/>
        <v>0</v>
      </c>
      <c r="CA58" s="123">
        <f t="shared" si="58"/>
        <v>4400</v>
      </c>
      <c r="CB58" s="312">
        <f t="shared" si="44"/>
        <v>0</v>
      </c>
      <c r="CC58" s="123">
        <f t="shared" si="45"/>
        <v>4300</v>
      </c>
      <c r="CD58" s="123">
        <f t="shared" si="40"/>
        <v>2500</v>
      </c>
      <c r="CE58" s="312">
        <f t="shared" si="46"/>
        <v>0</v>
      </c>
      <c r="CF58" s="123"/>
      <c r="CG58" s="123"/>
      <c r="CH58" s="123"/>
      <c r="CI58" s="1305">
        <f t="shared" si="41"/>
        <v>2049</v>
      </c>
      <c r="CJ58" s="1266">
        <f t="shared" si="42"/>
        <v>0</v>
      </c>
      <c r="CK58" s="1266" t="str">
        <f t="shared" ca="1" si="62"/>
        <v/>
      </c>
      <c r="CL58" s="1266" t="str">
        <f t="shared" ca="1" si="62"/>
        <v/>
      </c>
      <c r="CM58" s="1266" t="str">
        <f t="shared" ca="1" si="62"/>
        <v/>
      </c>
      <c r="CN58" s="1266" t="str">
        <f t="shared" ca="1" si="62"/>
        <v/>
      </c>
      <c r="CO58" s="1266" t="str">
        <f t="shared" ca="1" si="62"/>
        <v/>
      </c>
      <c r="CP58" s="1266" t="str">
        <f t="shared" ca="1" si="62"/>
        <v/>
      </c>
      <c r="CQ58" s="1266" t="str">
        <f t="shared" ca="1" si="62"/>
        <v/>
      </c>
      <c r="CR58" s="1266" t="str">
        <f t="shared" ca="1" si="62"/>
        <v/>
      </c>
      <c r="CS58" s="1266" t="str">
        <f t="shared" ca="1" si="62"/>
        <v/>
      </c>
      <c r="CT58" s="1266" t="str">
        <f t="shared" ca="1" si="62"/>
        <v/>
      </c>
      <c r="CU58" s="1266" t="str">
        <f t="shared" ca="1" si="62"/>
        <v/>
      </c>
      <c r="CV58" s="1266" t="str">
        <f t="shared" ca="1" si="62"/>
        <v/>
      </c>
      <c r="CW58" s="1266" t="str">
        <f t="shared" ca="1" si="62"/>
        <v/>
      </c>
      <c r="CX58" s="1266" t="str">
        <f t="shared" ca="1" si="62"/>
        <v/>
      </c>
      <c r="CY58" s="1266" t="str">
        <f t="shared" ca="1" si="62"/>
        <v/>
      </c>
      <c r="CZ58" s="1266" t="str">
        <f t="shared" ca="1" si="61"/>
        <v/>
      </c>
      <c r="DA58" s="1266" t="str">
        <f t="shared" ca="1" si="59"/>
        <v/>
      </c>
      <c r="DB58" s="1266" t="str">
        <f t="shared" ca="1" si="59"/>
        <v/>
      </c>
      <c r="DC58" s="1266" t="str">
        <f t="shared" ca="1" si="59"/>
        <v/>
      </c>
      <c r="DD58" s="1266" t="str">
        <f t="shared" ca="1" si="59"/>
        <v/>
      </c>
      <c r="DE58" s="1266" t="str">
        <f t="shared" ca="1" si="59"/>
        <v/>
      </c>
      <c r="DF58" s="1266" t="str">
        <f t="shared" ca="1" si="59"/>
        <v/>
      </c>
      <c r="DG58" s="1266" t="str">
        <f t="shared" ca="1" si="59"/>
        <v/>
      </c>
      <c r="DH58" s="1266" t="str">
        <f t="shared" ca="1" si="59"/>
        <v/>
      </c>
      <c r="DI58" s="1266" t="str">
        <f t="shared" ca="1" si="59"/>
        <v/>
      </c>
      <c r="DJ58" s="1266" t="str">
        <f t="shared" ca="1" si="59"/>
        <v/>
      </c>
      <c r="DK58" s="1266" t="str">
        <f t="shared" ca="1" si="59"/>
        <v/>
      </c>
      <c r="DL58" s="1266" t="str">
        <f t="shared" ca="1" si="59"/>
        <v/>
      </c>
      <c r="DM58" s="1266" t="str">
        <f t="shared" ca="1" si="59"/>
        <v/>
      </c>
      <c r="DN58" s="1266" t="str">
        <f t="shared" ca="1" si="59"/>
        <v/>
      </c>
      <c r="DO58" s="1266" t="str">
        <f t="shared" ca="1" si="59"/>
        <v/>
      </c>
      <c r="DP58" s="1266" t="str">
        <f t="shared" ca="1" si="59"/>
        <v/>
      </c>
      <c r="DQ58" s="1266" t="str">
        <f t="shared" ca="1" si="60"/>
        <v/>
      </c>
      <c r="DR58" s="1266" t="str">
        <f t="shared" ca="1" si="60"/>
        <v/>
      </c>
      <c r="DS58" s="1266" t="str">
        <f t="shared" ca="1" si="60"/>
        <v/>
      </c>
      <c r="DT58" s="1266" t="str">
        <f t="shared" ca="1" si="60"/>
        <v/>
      </c>
      <c r="DU58" s="1266" t="str">
        <f t="shared" ca="1" si="60"/>
        <v/>
      </c>
      <c r="DV58" s="1266" t="str">
        <f t="shared" ca="1" si="60"/>
        <v/>
      </c>
      <c r="DW58" s="1266" t="str">
        <f t="shared" ca="1" si="60"/>
        <v/>
      </c>
      <c r="DX58" s="1266" t="str">
        <f t="shared" ca="1" si="60"/>
        <v/>
      </c>
      <c r="DY58" s="1266">
        <f t="shared" ca="1" si="60"/>
        <v>0</v>
      </c>
    </row>
    <row r="59" spans="1:129">
      <c r="A59" s="303">
        <v>2050</v>
      </c>
      <c r="B59" s="304">
        <f ca="1">IF($D$3="BAU",UtilityDemand!C52,INDIRECT($D$3&amp;"!B"&amp;ROW(A59))+INDIRECT($D$3&amp;"!D"&amp;ROW(A59)))</f>
        <v>195856.62245054395</v>
      </c>
      <c r="C59" s="305">
        <f t="shared" ca="1" si="14"/>
        <v>-0.10107679665005384</v>
      </c>
      <c r="D59" s="306">
        <f t="shared" si="15"/>
        <v>-19796.560000000001</v>
      </c>
      <c r="E59" s="304">
        <f ca="1">IF($D$3="BAU",UtilityDemand!E52,INDIRECT($D$3&amp;"!E"&amp;ROW(D59))+INDIRECT($D$3&amp;"!G"&amp;ROW(D59)))</f>
        <v>1043473.4444255217</v>
      </c>
      <c r="F59" s="305">
        <v>0</v>
      </c>
      <c r="G59" s="306">
        <f t="shared" ca="1" si="16"/>
        <v>0</v>
      </c>
      <c r="H59" s="304">
        <f ca="1">IF($D$3="BAU",UtilityDemand!G52,INDIRECT($D$3&amp;"!H"&amp;ROW(G59))+INDIRECT($D$3&amp;"!J"&amp;ROW(G59)))</f>
        <v>307911.97023878864</v>
      </c>
      <c r="I59" s="305">
        <f t="shared" ca="1" si="17"/>
        <v>0.79004398501086681</v>
      </c>
      <c r="J59" s="306">
        <f t="shared" si="2"/>
        <v>243264</v>
      </c>
      <c r="K59" s="307">
        <f t="shared" ca="1" si="18"/>
        <v>176060.06245054395</v>
      </c>
      <c r="L59" s="307">
        <f t="shared" si="19"/>
        <v>0</v>
      </c>
      <c r="M59" s="307">
        <v>0</v>
      </c>
      <c r="N59" s="307">
        <f t="shared" ca="1" si="20"/>
        <v>176060.06245054395</v>
      </c>
      <c r="O59" s="1494">
        <f t="shared" ca="1" si="21"/>
        <v>1043473.4444255217</v>
      </c>
      <c r="P59" s="306">
        <f t="shared" si="22"/>
        <v>0</v>
      </c>
      <c r="Q59" s="306">
        <v>0</v>
      </c>
      <c r="R59" s="306">
        <f t="shared" ca="1" si="23"/>
        <v>1043473.4444255217</v>
      </c>
      <c r="S59" s="818">
        <f t="shared" ca="1" si="24"/>
        <v>551175.97023878864</v>
      </c>
      <c r="T59" s="818">
        <v>0</v>
      </c>
      <c r="U59" s="818">
        <v>0</v>
      </c>
      <c r="V59" s="818">
        <f t="shared" ca="1" si="25"/>
        <v>551175.97023878864</v>
      </c>
      <c r="W59" s="306">
        <f t="shared" si="3"/>
        <v>0</v>
      </c>
      <c r="X59" s="306">
        <f t="shared" ca="1" si="4"/>
        <v>-5421.6452753228559</v>
      </c>
      <c r="Y59" s="306">
        <v>0</v>
      </c>
      <c r="Z59" s="306">
        <v>0</v>
      </c>
      <c r="AA59" s="308">
        <f ca="1">-SUM(W59,X59/OFFSET(GridFootprintbyYear,$A59-$A$19,0)*EF_PurchElec_MTperMWh,Z59)*OFFSET(ExposureCalculations!Price_GHG_Allowance_2010,A59-$A$19,0)*ExposureCalculations!D56</f>
        <v>685371.23644975375</v>
      </c>
      <c r="AB59" s="308">
        <f t="shared" ca="1" si="5"/>
        <v>2054239.7397725217</v>
      </c>
      <c r="AC59" s="308">
        <v>0</v>
      </c>
      <c r="AD59" s="819">
        <f t="shared" ca="1" si="6"/>
        <v>0</v>
      </c>
      <c r="AE59" s="308">
        <v>0</v>
      </c>
      <c r="AF59" s="819">
        <v>0</v>
      </c>
      <c r="AG59" s="308">
        <f t="shared" ca="1" si="26"/>
        <v>0</v>
      </c>
      <c r="AH59" s="308">
        <v>0</v>
      </c>
      <c r="AI59" s="308">
        <v>0</v>
      </c>
      <c r="AJ59" s="308">
        <f t="shared" ca="1" si="7"/>
        <v>2054239.7397725217</v>
      </c>
      <c r="AK59" s="309">
        <f t="shared" si="27"/>
        <v>0</v>
      </c>
      <c r="AL59" s="309">
        <f t="shared" si="28"/>
        <v>0</v>
      </c>
      <c r="AM59" s="309">
        <f t="shared" si="29"/>
        <v>0</v>
      </c>
      <c r="AN59" s="310">
        <v>0</v>
      </c>
      <c r="AO59" s="310">
        <v>0</v>
      </c>
      <c r="AP59" s="310">
        <f t="shared" si="30"/>
        <v>0</v>
      </c>
      <c r="AQ59" s="309">
        <v>0</v>
      </c>
      <c r="AR59" s="311">
        <f t="shared" ca="1" si="8"/>
        <v>2739610.9762222753</v>
      </c>
      <c r="AS59" s="870">
        <f t="shared" ca="1" si="31"/>
        <v>65917028.053971604</v>
      </c>
      <c r="AT59" s="823"/>
      <c r="AU59" s="878" t="str">
        <f t="shared" si="63"/>
        <v>Phase 3</v>
      </c>
      <c r="AV59" s="1248">
        <f t="shared" si="63"/>
        <v>2014</v>
      </c>
      <c r="AW59" s="1250">
        <v>2182</v>
      </c>
      <c r="AX59" s="35"/>
      <c r="AY59" s="1249"/>
      <c r="BK59" s="312">
        <f t="shared" ca="1" si="43"/>
        <v>0</v>
      </c>
      <c r="BL59" s="312" t="e">
        <f t="shared" si="47"/>
        <v>#N/A</v>
      </c>
      <c r="BN59" s="271">
        <f t="shared" si="32"/>
        <v>2050</v>
      </c>
      <c r="BO59" s="123">
        <f t="shared" si="33"/>
        <v>5542</v>
      </c>
      <c r="BP59" s="123">
        <f t="shared" si="54"/>
        <v>1698.0000000000005</v>
      </c>
      <c r="BQ59" s="123">
        <f t="shared" si="55"/>
        <v>15517600</v>
      </c>
      <c r="BR59" s="123">
        <f t="shared" si="56"/>
        <v>4754400.0000000009</v>
      </c>
      <c r="BS59" s="123">
        <f t="shared" si="36"/>
        <v>20272000</v>
      </c>
      <c r="BT59" s="123"/>
      <c r="BU59" s="123">
        <f t="shared" si="57"/>
        <v>5068</v>
      </c>
      <c r="BV59" s="123"/>
      <c r="BW59" s="123">
        <f t="shared" si="37"/>
        <v>19796.560000000001</v>
      </c>
      <c r="BX59" s="123">
        <f t="shared" si="38"/>
        <v>12163.2</v>
      </c>
      <c r="BY59" s="123"/>
      <c r="BZ59" s="123">
        <f t="shared" si="39"/>
        <v>0</v>
      </c>
      <c r="CA59" s="123">
        <f t="shared" si="58"/>
        <v>4400</v>
      </c>
      <c r="CB59" s="312">
        <f t="shared" si="44"/>
        <v>0</v>
      </c>
      <c r="CC59" s="123">
        <f t="shared" si="45"/>
        <v>4300</v>
      </c>
      <c r="CD59" s="123">
        <f t="shared" si="40"/>
        <v>2500</v>
      </c>
      <c r="CE59" s="312">
        <f t="shared" si="46"/>
        <v>0</v>
      </c>
      <c r="CF59" s="123"/>
      <c r="CG59" s="123"/>
      <c r="CH59" s="123"/>
      <c r="CI59" s="1305">
        <f t="shared" si="41"/>
        <v>2050</v>
      </c>
      <c r="CJ59" s="1266">
        <f t="shared" si="42"/>
        <v>0</v>
      </c>
      <c r="CK59" s="1266" t="str">
        <f t="shared" ca="1" si="62"/>
        <v/>
      </c>
      <c r="CL59" s="1266" t="str">
        <f t="shared" ca="1" si="62"/>
        <v/>
      </c>
      <c r="CM59" s="1266" t="str">
        <f t="shared" ca="1" si="62"/>
        <v/>
      </c>
      <c r="CN59" s="1266" t="str">
        <f t="shared" ca="1" si="62"/>
        <v/>
      </c>
      <c r="CO59" s="1266" t="str">
        <f t="shared" ca="1" si="62"/>
        <v/>
      </c>
      <c r="CP59" s="1266" t="str">
        <f t="shared" ca="1" si="62"/>
        <v/>
      </c>
      <c r="CQ59" s="1266" t="str">
        <f t="shared" ca="1" si="62"/>
        <v/>
      </c>
      <c r="CR59" s="1266" t="str">
        <f t="shared" ca="1" si="62"/>
        <v/>
      </c>
      <c r="CS59" s="1266" t="str">
        <f t="shared" ca="1" si="62"/>
        <v/>
      </c>
      <c r="CT59" s="1266" t="str">
        <f t="shared" ca="1" si="62"/>
        <v/>
      </c>
      <c r="CU59" s="1266" t="str">
        <f t="shared" ca="1" si="62"/>
        <v/>
      </c>
      <c r="CV59" s="1266" t="str">
        <f t="shared" ca="1" si="62"/>
        <v/>
      </c>
      <c r="CW59" s="1266" t="str">
        <f t="shared" ca="1" si="62"/>
        <v/>
      </c>
      <c r="CX59" s="1266" t="str">
        <f t="shared" ca="1" si="62"/>
        <v/>
      </c>
      <c r="CY59" s="1266" t="str">
        <f t="shared" ca="1" si="62"/>
        <v/>
      </c>
      <c r="CZ59" s="1266" t="str">
        <f t="shared" ca="1" si="61"/>
        <v/>
      </c>
      <c r="DA59" s="1266" t="str">
        <f t="shared" ca="1" si="59"/>
        <v/>
      </c>
      <c r="DB59" s="1266" t="str">
        <f t="shared" ca="1" si="59"/>
        <v/>
      </c>
      <c r="DC59" s="1266" t="str">
        <f t="shared" ca="1" si="59"/>
        <v/>
      </c>
      <c r="DD59" s="1266" t="str">
        <f t="shared" ca="1" si="59"/>
        <v/>
      </c>
      <c r="DE59" s="1266" t="str">
        <f t="shared" ca="1" si="59"/>
        <v/>
      </c>
      <c r="DF59" s="1266" t="str">
        <f t="shared" ca="1" si="59"/>
        <v/>
      </c>
      <c r="DG59" s="1266" t="str">
        <f t="shared" ca="1" si="59"/>
        <v/>
      </c>
      <c r="DH59" s="1266" t="str">
        <f t="shared" ca="1" si="59"/>
        <v/>
      </c>
      <c r="DI59" s="1266" t="str">
        <f t="shared" ca="1" si="59"/>
        <v/>
      </c>
      <c r="DJ59" s="1266" t="str">
        <f t="shared" ca="1" si="59"/>
        <v/>
      </c>
      <c r="DK59" s="1266" t="str">
        <f t="shared" ca="1" si="59"/>
        <v/>
      </c>
      <c r="DL59" s="1266" t="str">
        <f t="shared" ca="1" si="59"/>
        <v/>
      </c>
      <c r="DM59" s="1266" t="str">
        <f t="shared" ca="1" si="59"/>
        <v/>
      </c>
      <c r="DN59" s="1266" t="str">
        <f t="shared" ca="1" si="59"/>
        <v/>
      </c>
      <c r="DO59" s="1266" t="str">
        <f t="shared" ca="1" si="59"/>
        <v/>
      </c>
      <c r="DP59" s="1266" t="str">
        <f t="shared" ca="1" si="59"/>
        <v/>
      </c>
      <c r="DQ59" s="1266" t="str">
        <f t="shared" ca="1" si="60"/>
        <v/>
      </c>
      <c r="DR59" s="1266" t="str">
        <f t="shared" ca="1" si="60"/>
        <v/>
      </c>
      <c r="DS59" s="1266" t="str">
        <f t="shared" ca="1" si="60"/>
        <v/>
      </c>
      <c r="DT59" s="1266" t="str">
        <f t="shared" ca="1" si="60"/>
        <v/>
      </c>
      <c r="DU59" s="1266" t="str">
        <f t="shared" ca="1" si="60"/>
        <v/>
      </c>
      <c r="DV59" s="1266" t="str">
        <f t="shared" ca="1" si="60"/>
        <v/>
      </c>
      <c r="DW59" s="1266" t="str">
        <f t="shared" ca="1" si="60"/>
        <v/>
      </c>
      <c r="DX59" s="1266" t="str">
        <f t="shared" ca="1" si="60"/>
        <v/>
      </c>
      <c r="DY59" s="1266" t="str">
        <f t="shared" ca="1" si="60"/>
        <v/>
      </c>
    </row>
    <row r="60" spans="1:129">
      <c r="AJ60" s="264"/>
      <c r="AU60" s="878" t="str">
        <f t="shared" si="63"/>
        <v>Phase 4 + Bingham</v>
      </c>
      <c r="AV60" s="1248">
        <f t="shared" si="63"/>
        <v>2016</v>
      </c>
      <c r="AW60" s="1250">
        <f>462+300</f>
        <v>762</v>
      </c>
      <c r="AX60" s="35"/>
      <c r="AY60" s="880"/>
      <c r="CJ60" s="1266">
        <f t="shared" si="42"/>
        <v>0</v>
      </c>
      <c r="CK60" s="912">
        <f ca="1">SUM(CK19:CK59)</f>
        <v>0</v>
      </c>
      <c r="CL60" s="912">
        <f t="shared" ref="CL60:DY60" ca="1" si="64">SUM(CL19:CL59)</f>
        <v>0</v>
      </c>
      <c r="CM60" s="912">
        <f t="shared" ca="1" si="64"/>
        <v>-0.14723708240758629</v>
      </c>
      <c r="CN60" s="912">
        <f t="shared" ca="1" si="64"/>
        <v>-0.14723708240758629</v>
      </c>
      <c r="CO60" s="912">
        <f t="shared" ca="1" si="64"/>
        <v>-0.34774475162369894</v>
      </c>
      <c r="CP60" s="912">
        <f t="shared" ca="1" si="64"/>
        <v>-0.34774475162369894</v>
      </c>
      <c r="CQ60" s="912">
        <f t="shared" ca="1" si="64"/>
        <v>-1.0091982927315124</v>
      </c>
      <c r="CR60" s="912">
        <f t="shared" ca="1" si="64"/>
        <v>-1.0091982927315124</v>
      </c>
      <c r="CS60" s="912">
        <f t="shared" ca="1" si="64"/>
        <v>-1.097496393125867</v>
      </c>
      <c r="CT60" s="912">
        <f t="shared" ca="1" si="64"/>
        <v>-1.097496393125867</v>
      </c>
      <c r="CU60" s="912">
        <f t="shared" ca="1" si="64"/>
        <v>-1.097496393125867</v>
      </c>
      <c r="CV60" s="912">
        <f t="shared" ca="1" si="64"/>
        <v>-1.097496393125867</v>
      </c>
      <c r="CW60" s="912">
        <f t="shared" ca="1" si="64"/>
        <v>-1.097496393125867</v>
      </c>
      <c r="CX60" s="912">
        <f t="shared" ca="1" si="64"/>
        <v>-1.097496393125867</v>
      </c>
      <c r="CY60" s="912">
        <f t="shared" ca="1" si="64"/>
        <v>-1.097496393125867</v>
      </c>
      <c r="CZ60" s="912">
        <f t="shared" ca="1" si="64"/>
        <v>-1.097496393125867</v>
      </c>
      <c r="DA60" s="912">
        <f t="shared" ca="1" si="64"/>
        <v>-1.097496393125867</v>
      </c>
      <c r="DB60" s="912">
        <f t="shared" ca="1" si="64"/>
        <v>-1.097496393125867</v>
      </c>
      <c r="DC60" s="912">
        <f t="shared" ca="1" si="64"/>
        <v>-1.097496393125867</v>
      </c>
      <c r="DD60" s="912">
        <f t="shared" ca="1" si="64"/>
        <v>-1.097496393125867</v>
      </c>
      <c r="DE60" s="912">
        <f t="shared" ca="1" si="64"/>
        <v>-1.097496393125867</v>
      </c>
      <c r="DF60" s="912">
        <f t="shared" ca="1" si="64"/>
        <v>-1.097496393125867</v>
      </c>
      <c r="DG60" s="912">
        <f t="shared" ca="1" si="64"/>
        <v>-0.95025931071828074</v>
      </c>
      <c r="DH60" s="912">
        <f t="shared" ca="1" si="64"/>
        <v>-0.95025931071828074</v>
      </c>
      <c r="DI60" s="912">
        <f t="shared" ca="1" si="64"/>
        <v>-0.74975164150216811</v>
      </c>
      <c r="DJ60" s="912">
        <f t="shared" ca="1" si="64"/>
        <v>-0.74975164150216811</v>
      </c>
      <c r="DK60" s="912">
        <f t="shared" ca="1" si="64"/>
        <v>-8.8298100394354595E-2</v>
      </c>
      <c r="DL60" s="912">
        <f t="shared" ca="1" si="64"/>
        <v>-8.8298100394354595E-2</v>
      </c>
      <c r="DM60" s="912">
        <f t="shared" ca="1" si="64"/>
        <v>0</v>
      </c>
      <c r="DN60" s="912">
        <f t="shared" ca="1" si="64"/>
        <v>0</v>
      </c>
      <c r="DO60" s="912">
        <f t="shared" ca="1" si="64"/>
        <v>0</v>
      </c>
      <c r="DP60" s="912">
        <f t="shared" ca="1" si="64"/>
        <v>0</v>
      </c>
      <c r="DQ60" s="912">
        <f t="shared" ca="1" si="64"/>
        <v>0</v>
      </c>
      <c r="DR60" s="912">
        <f t="shared" ca="1" si="64"/>
        <v>0</v>
      </c>
      <c r="DS60" s="912">
        <f t="shared" ca="1" si="64"/>
        <v>0</v>
      </c>
      <c r="DT60" s="912">
        <f t="shared" ca="1" si="64"/>
        <v>0</v>
      </c>
      <c r="DU60" s="912">
        <f t="shared" ca="1" si="64"/>
        <v>0</v>
      </c>
      <c r="DV60" s="912">
        <f t="shared" ca="1" si="64"/>
        <v>0</v>
      </c>
      <c r="DW60" s="912">
        <f t="shared" ca="1" si="64"/>
        <v>0</v>
      </c>
      <c r="DX60" s="912">
        <f t="shared" ca="1" si="64"/>
        <v>0</v>
      </c>
      <c r="DY60" s="912">
        <f t="shared" ca="1" si="64"/>
        <v>0</v>
      </c>
    </row>
    <row r="61" spans="1:129">
      <c r="AJ61" s="264"/>
      <c r="AU61" s="881"/>
      <c r="AV61" s="1297"/>
      <c r="AW61" s="1298"/>
      <c r="AX61" s="882"/>
      <c r="AY61" s="884"/>
    </row>
    <row r="62" spans="1:129">
      <c r="AJ62" s="264"/>
    </row>
    <row r="63" spans="1:129">
      <c r="AJ63" s="264"/>
    </row>
    <row r="64" spans="1:129">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legacyDrawing r:id="rId3"/>
</worksheet>
</file>

<file path=xl/worksheets/sheet37.xml><?xml version="1.0" encoding="utf-8"?>
<worksheet xmlns="http://schemas.openxmlformats.org/spreadsheetml/2006/main" xmlns:r="http://schemas.openxmlformats.org/officeDocument/2006/relationships">
  <sheetPr codeName="Sheet30">
    <tabColor rgb="FFA9DA74"/>
  </sheetPr>
  <dimension ref="A1:BM84"/>
  <sheetViews>
    <sheetView workbookViewId="0">
      <pane xSplit="1" topLeftCell="B1" activePane="topRight" state="frozen"/>
      <selection activeCell="O1" sqref="O1:O7"/>
      <selection pane="topRight" activeCell="B1" sqref="B1"/>
    </sheetView>
  </sheetViews>
  <sheetFormatPr defaultRowHeight="15"/>
  <cols>
    <col min="11" max="11" width="13" customWidth="1"/>
    <col min="12" max="12" width="12.85546875" customWidth="1"/>
    <col min="13" max="13" width="12.42578125" customWidth="1"/>
    <col min="15" max="15" width="13.5703125" style="37" bestFit="1" customWidth="1"/>
    <col min="27" max="27" width="10.85546875" bestFit="1" customWidth="1"/>
    <col min="28" max="28" width="10.5703125" customWidth="1"/>
    <col min="30" max="30" width="11" customWidth="1"/>
    <col min="34" max="34" width="13.140625" customWidth="1"/>
    <col min="35" max="36" width="13" customWidth="1"/>
    <col min="38" max="38" width="13.28515625" customWidth="1"/>
    <col min="39" max="39" width="12.7109375" customWidth="1"/>
    <col min="40" max="40" width="12.42578125" customWidth="1"/>
    <col min="41" max="42" width="11.5703125" bestFit="1" customWidth="1"/>
    <col min="44" max="44" width="14.5703125" customWidth="1"/>
    <col min="45" max="45" width="12.85546875" bestFit="1" customWidth="1"/>
    <col min="46" max="46" width="1.7109375" customWidth="1"/>
    <col min="48" max="48" width="9.85546875" customWidth="1"/>
    <col min="51" max="51" width="10.5703125" customWidth="1"/>
    <col min="54" max="55" width="10.5703125" bestFit="1" customWidth="1"/>
  </cols>
  <sheetData>
    <row r="1" spans="1:50" ht="60">
      <c r="C1" s="257" t="s">
        <v>226</v>
      </c>
      <c r="D1" s="258" t="s">
        <v>958</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2013</v>
      </c>
      <c r="E2" s="266"/>
      <c r="J2" s="267" t="s">
        <v>231</v>
      </c>
      <c r="K2" s="268">
        <f ca="1">NPV(DiscountRate,AA19:AA59)</f>
        <v>31509594.011131804</v>
      </c>
      <c r="L2" s="269">
        <f ca="1">-SUM(OFFSET(W19,0,0,M2-2010+1,4))</f>
        <v>2421139.0240921448</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963</v>
      </c>
      <c r="E3" s="1635"/>
      <c r="F3" s="1635"/>
      <c r="G3" s="273"/>
      <c r="H3" s="273"/>
      <c r="I3" s="273"/>
      <c r="J3" s="275" t="s">
        <v>234</v>
      </c>
      <c r="K3" s="276">
        <f ca="1">NPV(DiscountRate,AJ19:AJ59)</f>
        <v>42797948.800216503</v>
      </c>
      <c r="L3" s="277" t="s">
        <v>235</v>
      </c>
      <c r="M3" s="278">
        <f ca="1">-SUM(OFFSET(W19,M2-2010,0,1,4))</f>
        <v>69175.400688347028</v>
      </c>
      <c r="N3" s="272"/>
      <c r="O3" s="1496">
        <f ca="1">AVERAGE(OFFSET(AJ19,0,0,$M$2-2010+1,1))</f>
        <v>3562900.7011358361</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63714.184844530129</v>
      </c>
      <c r="M4" s="281">
        <f ca="1">-SUM(OFFSET(W19,M2-2010,0,1,4))/SUM(OFFSET(ExposureCalculations!G16,M2-2010,0,1,3))</f>
        <v>6.3270305414021441E-2</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939</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 ca="1">NPV(DiscountRate,AN19:AN59)</f>
        <v>15728732.983519958</v>
      </c>
      <c r="L6" s="277"/>
      <c r="M6" s="272"/>
      <c r="N6" s="272"/>
      <c r="O6" s="1496">
        <f ca="1">AVERAGE(OFFSET(AN19,0,0,$M$2-2010+1,1))</f>
        <v>1228575.7344512199</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 ca="1">NPV(DiscountRate,AO19:AO59)</f>
        <v>-34479536.387853771</v>
      </c>
      <c r="L7" s="272"/>
      <c r="M7" s="272"/>
      <c r="N7" s="272"/>
      <c r="O7" s="1496">
        <f ca="1">AVERAGE(OFFSET(AO19,0,0,$M$2-2010+1,1))</f>
        <v>-2486680.7781930096</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55556739.407014482</v>
      </c>
      <c r="L8" s="284"/>
      <c r="M8" s="285"/>
      <c r="N8" s="272"/>
      <c r="O8" s="1497"/>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t="str">
        <f ca="1">IFERROR((K8-K5)/-K5,"No Capital")</f>
        <v>No Capital</v>
      </c>
      <c r="L9" s="272"/>
      <c r="M9" s="284"/>
      <c r="N9" s="272"/>
      <c r="O9" s="1497"/>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1497"/>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3</v>
      </c>
      <c r="L11" s="272"/>
      <c r="M11" s="272"/>
      <c r="N11" s="272"/>
      <c r="O11" s="1497"/>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24047145.395882677</v>
      </c>
      <c r="L12" s="283"/>
      <c r="M12" s="272"/>
      <c r="N12" s="272"/>
      <c r="O12" s="1497"/>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-31.807962579838971</v>
      </c>
      <c r="L13" s="915" t="str">
        <f ca="1">IF(K13&gt;99998,"(Values $99,999 and above indicate net carbon increase)","")</f>
        <v/>
      </c>
      <c r="M13" s="272"/>
      <c r="N13" s="272"/>
      <c r="O13" s="1497"/>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41.678792667989754</v>
      </c>
      <c r="L14" s="289"/>
      <c r="M14" s="272"/>
      <c r="N14" s="272"/>
      <c r="O14" s="1497"/>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1497"/>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65"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6" t="s">
        <v>1462</v>
      </c>
      <c r="AI17" s="296" t="s">
        <v>269</v>
      </c>
      <c r="AJ17" s="296" t="s">
        <v>251</v>
      </c>
      <c r="AK17" s="296" t="s">
        <v>270</v>
      </c>
      <c r="AL17" s="296" t="s">
        <v>271</v>
      </c>
      <c r="AM17" s="296" t="s">
        <v>272</v>
      </c>
      <c r="AN17" s="296" t="s">
        <v>273</v>
      </c>
      <c r="AO17" s="296" t="s">
        <v>2925</v>
      </c>
      <c r="AP17" s="296" t="s">
        <v>275</v>
      </c>
      <c r="AQ17" s="296" t="s">
        <v>350</v>
      </c>
      <c r="AR17" s="871" t="s">
        <v>276</v>
      </c>
      <c r="AS17" s="872" t="s">
        <v>277</v>
      </c>
      <c r="AT17" s="820"/>
      <c r="AU17" s="1634" t="s">
        <v>721</v>
      </c>
      <c r="AV17" s="1634"/>
      <c r="AW17" s="1634"/>
      <c r="AX17" s="1634"/>
      <c r="AY17" s="1634"/>
      <c r="BB17" s="966" t="s">
        <v>1393</v>
      </c>
      <c r="BC17" s="966"/>
      <c r="BD17" s="966"/>
      <c r="BE17" s="966"/>
      <c r="BF17" s="966"/>
      <c r="BG17" s="966"/>
      <c r="BH17" s="966"/>
      <c r="BI17" s="966"/>
      <c r="BJ17" s="966"/>
      <c r="BK17" s="966"/>
      <c r="BL17" s="966"/>
      <c r="BM17" s="966"/>
    </row>
    <row r="18" spans="1:65">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1493"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65">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 ca="1">-M19</f>
        <v>0</v>
      </c>
      <c r="M19" s="307">
        <f ca="1">IF($A19&gt;=$AU$23,OFFSET('CHP_NG_Baseload_With DB'!$Q$31,$A19-$AU$23,0),0)</f>
        <v>0</v>
      </c>
      <c r="N19" s="307">
        <f ca="1">K19+L19</f>
        <v>128552.63513418502</v>
      </c>
      <c r="O19" s="1494">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ca="1">SUM(D19,L19)*OFFSET(GridFootprintbyYear,$A19-$A$19,0)+SUM(G19,P19)*Emissions_factor_PurchSteam+SUM(J19,T19)*Emissions_factor_PurchCooling+IF($A19&gt;=$AU$23,OFFSET('CHP_NG_Baseload_With DB'!$AG$31,$A19-$AU$23,0),0)*Emission_Factor_NG+IF($A19&gt;=$AU$23,OFFSET('CHP_NG_Baseload_With DB'!$AA$31,$A19-$AU$23,0),0)*Emission_factor_coal</f>
        <v>0</v>
      </c>
      <c r="Y19" s="306">
        <v>0</v>
      </c>
      <c r="Z19" s="306">
        <v>0</v>
      </c>
      <c r="AA19" s="308">
        <f ca="1">-SUM(W19,X19/OFFSET(GridFootprintbyYear,$A19-$A$19,0)*EF_PurchElec_MTperMWh,Z19)*OFFSET(ExposureCalculations!Price_GHG_Allowance_2010,A19-$A$19,0)*ExposureCalculations!D16</f>
        <v>0</v>
      </c>
      <c r="AB19" s="308">
        <f t="shared" ref="AB19:AB59" ca="1" si="2">-SUM(D19,L19)*OFFSET(Price_PE_MWh,A19-$A$19+3,0)</f>
        <v>0</v>
      </c>
      <c r="AC19" s="308">
        <v>0</v>
      </c>
      <c r="AD19" s="819">
        <f t="shared" ref="AD19:AD59" ca="1" si="3">-SUM(G19,P19)*OFFSET(Price_PS_mmbtu,A19-$A$19+3,0)</f>
        <v>0</v>
      </c>
      <c r="AE19" s="308">
        <v>0</v>
      </c>
      <c r="AF19" s="819">
        <f t="shared" ref="AF19:AF59" ca="1" si="4">-SUM(J19,T19)*OFFSET(Price_PCW_mmbtu,A19-$A$19+3,0)</f>
        <v>0</v>
      </c>
      <c r="AG19" s="308">
        <v>0</v>
      </c>
      <c r="AH19" s="308">
        <f ca="1">IF($A19&gt;=$AU$23,OFFSET('CHP_NG_Baseload_With DB'!$AL$31,$A19-$AU$23,0)+OFFSET('CHP_NG_Baseload_With DB'!$AN$31,$A19-$AU$23,0),0)</f>
        <v>0</v>
      </c>
      <c r="AI19" s="308">
        <v>0</v>
      </c>
      <c r="AJ19" s="308">
        <f t="shared" ref="AJ19:AJ59" ca="1" si="5">SUM(AB19:AI19)</f>
        <v>0</v>
      </c>
      <c r="AK19" s="309">
        <v>0</v>
      </c>
      <c r="AL19" s="309">
        <v>0</v>
      </c>
      <c r="AM19" s="309">
        <f>SUM(AK19:AL19)</f>
        <v>0</v>
      </c>
      <c r="AN19" s="310">
        <f ca="1">IF($A19&gt;=$AU$23,OFFSET('CHP_NG_Baseload_With DB'!$AW$31,$A19-$AU$23,0),0)</f>
        <v>0</v>
      </c>
      <c r="AO19" s="310">
        <f ca="1">IF($A19&gt;=$AU$23,OFFSET('CHP_NG_Baseload_With DB'!$AX$31,$A19-$AU$23,0),0)+IF($A19&gt;=$AU$23,OFFSET('CHP_NG_Baseload_With DB'!$BU$31,$A19-$AU$23,0),0)</f>
        <v>0</v>
      </c>
      <c r="AP19" s="310">
        <f ca="1">SUM(AN19:AO19)</f>
        <v>0</v>
      </c>
      <c r="AQ19" s="309">
        <v>0</v>
      </c>
      <c r="AR19" s="311">
        <f t="shared" ref="AR19:AR59" ca="1" si="6">SUM(AA19,AJ19,AM19,AP19,AQ19)</f>
        <v>0</v>
      </c>
      <c r="AS19" s="870">
        <f ca="1">AR19</f>
        <v>0</v>
      </c>
      <c r="AT19" s="822"/>
      <c r="AU19" s="878"/>
      <c r="AV19" s="879"/>
      <c r="AW19" s="879"/>
      <c r="AX19" s="35"/>
      <c r="AY19" s="880"/>
    </row>
    <row r="20" spans="1:65">
      <c r="A20" s="303">
        <v>2011</v>
      </c>
      <c r="B20" s="304">
        <f ca="1">IF($D$3="BAU",UtilityDemand!C13,INDIRECT($D$3&amp;"!B"&amp;ROW(A20))+INDIRECT($D$3&amp;"!D"&amp;ROW(A20)))</f>
        <v>130129.26073503707</v>
      </c>
      <c r="C20" s="305">
        <v>0</v>
      </c>
      <c r="D20" s="306">
        <f t="shared" ref="D20:D59" ca="1" si="7">-B20*C20</f>
        <v>0</v>
      </c>
      <c r="E20" s="304">
        <f ca="1">IF($D$3="BAU",UtilityDemand!E13,INDIRECT($D$3&amp;"!E"&amp;ROW(D20))+INDIRECT($D$3&amp;"!G"&amp;ROW(D20)))</f>
        <v>693847.61425935081</v>
      </c>
      <c r="F20" s="305">
        <v>0</v>
      </c>
      <c r="G20" s="306">
        <f t="shared" ref="G20:G59" ca="1" si="8">-E20*F20</f>
        <v>0</v>
      </c>
      <c r="H20" s="304">
        <f ca="1">IF($D$3="BAU",UtilityDemand!G13,INDIRECT($D$3&amp;"!H"&amp;ROW(G20))+INDIRECT($D$3&amp;"!J"&amp;ROW(G20)))</f>
        <v>182506.92912520736</v>
      </c>
      <c r="I20" s="305">
        <v>0</v>
      </c>
      <c r="J20" s="306">
        <f ca="1">-H20*I20</f>
        <v>0</v>
      </c>
      <c r="K20" s="307">
        <f t="shared" ref="K20:K59" ca="1" si="9">IF($D$3="BAU",B20+D20,INDIRECT($D$3&amp;"!B"&amp;ROW(A20))+INDIRECT($D$3&amp;"!D"&amp;ROW(A20))+INDIRECT($D$3&amp;"!L"&amp;ROW(A20))+D20)</f>
        <v>130129.26073503707</v>
      </c>
      <c r="L20" s="307">
        <f t="shared" ref="L20:L59" ca="1" si="10">-M20</f>
        <v>0</v>
      </c>
      <c r="M20" s="307">
        <f ca="1">IF($A20&gt;=$AU$23,OFFSET('CHP_NG_Baseload_With DB'!$Q$31,$A20-$AU$23,0),0)</f>
        <v>0</v>
      </c>
      <c r="N20" s="307">
        <f t="shared" ref="N20:N59" ca="1" si="11">K20+L20</f>
        <v>130129.26073503707</v>
      </c>
      <c r="O20" s="1494">
        <f t="shared" ref="O20:O59" ca="1" si="12">IF($D$3="BAU",E20+G20,INDIRECT($D$3&amp;"!E"&amp;ROW(A20))+INDIRECT($D$3&amp;"!G"&amp;ROW(A20))+INDIRECT($D$3&amp;"!P"&amp;ROW(A20))+G20)</f>
        <v>693847.61425935081</v>
      </c>
      <c r="P20" s="306">
        <f t="shared" ref="P20:P59" si="13">-Q20</f>
        <v>0</v>
      </c>
      <c r="Q20" s="306">
        <v>0</v>
      </c>
      <c r="R20" s="306">
        <f t="shared" ref="R20:R59" ca="1" si="14">O20+P20</f>
        <v>693847.61425935081</v>
      </c>
      <c r="S20" s="818">
        <f t="shared" ref="S20:S59" ca="1" si="15">IF($D$3="BAU",H20+J20,INDIRECT($D$3&amp;"!H"&amp;ROW(A20))+INDIRECT($D$3&amp;"!J"&amp;ROW(A20))+INDIRECT($D$3&amp;"!T"&amp;ROW(A20))+J20)</f>
        <v>182506.92912520736</v>
      </c>
      <c r="T20" s="818">
        <f t="shared" ref="T20:T59" si="16">-U20</f>
        <v>0</v>
      </c>
      <c r="U20" s="818">
        <v>0</v>
      </c>
      <c r="V20" s="818">
        <f t="shared" ref="V20:V59" ca="1" si="17">S20+T20</f>
        <v>182506.92912520736</v>
      </c>
      <c r="W20" s="306">
        <f t="shared" si="1"/>
        <v>0</v>
      </c>
      <c r="X20" s="306">
        <f ca="1">SUM(D20,L20)*OFFSET(GridFootprintbyYear,$A20-$A$19,0)+SUM(G20,P20)*Emissions_factor_PurchSteam+SUM(J20,T20)*Emissions_factor_PurchCooling+IF($A20&gt;=$AU$23,OFFSET('CHP_NG_Baseload_With DB'!$AG$31,$A20-$AU$23,0),0)*Emission_Factor_NG+IF($A20&gt;=$AU$23,OFFSET('CHP_NG_Baseload_With DB'!$AA$31,$A20-$AU$23,0),0)*Emission_factor_coal</f>
        <v>0</v>
      </c>
      <c r="Y20" s="306">
        <v>0</v>
      </c>
      <c r="Z20" s="306">
        <v>0</v>
      </c>
      <c r="AA20" s="308">
        <f ca="1">-SUM(W20,X20/OFFSET(GridFootprintbyYear,$A20-$A$19,0)*EF_PurchElec_MTperMWh,Z20)*OFFSET(ExposureCalculations!Price_GHG_Allowance_2010,A20-$A$19,0)*ExposureCalculations!D17</f>
        <v>0</v>
      </c>
      <c r="AB20" s="308">
        <f t="shared" ca="1" si="2"/>
        <v>0</v>
      </c>
      <c r="AC20" s="308">
        <v>0</v>
      </c>
      <c r="AD20" s="819">
        <f t="shared" ca="1" si="3"/>
        <v>0</v>
      </c>
      <c r="AE20" s="308">
        <v>0</v>
      </c>
      <c r="AF20" s="819">
        <f t="shared" ca="1" si="4"/>
        <v>0</v>
      </c>
      <c r="AG20" s="308">
        <v>0</v>
      </c>
      <c r="AH20" s="308">
        <f ca="1">IF($A20&gt;=$AU$23,OFFSET('CHP_NG_Baseload_With DB'!$AL$31,$A20-$AU$23,0)+OFFSET('CHP_NG_Baseload_With DB'!$AN$31,$A20-$AU$23,0),0)</f>
        <v>0</v>
      </c>
      <c r="AI20" s="308">
        <v>0</v>
      </c>
      <c r="AJ20" s="308">
        <f t="shared" ca="1" si="5"/>
        <v>0</v>
      </c>
      <c r="AK20" s="309">
        <v>0</v>
      </c>
      <c r="AL20" s="309">
        <v>0</v>
      </c>
      <c r="AM20" s="309">
        <f t="shared" ref="AM20:AM59" si="18">SUM(AK20:AL20)</f>
        <v>0</v>
      </c>
      <c r="AN20" s="310">
        <f ca="1">IF($A20&gt;=$AU$23,OFFSET('CHP_NG_Baseload_With DB'!$AW$31,$A20-$AU$23,0),0)</f>
        <v>0</v>
      </c>
      <c r="AO20" s="310">
        <f ca="1">IF($A20&gt;=$AU$23,OFFSET('CHP_NG_Baseload_With DB'!$AX$31,$A20-$AU$23,0),0)+IF($A20&gt;=$AU$23,OFFSET('CHP_NG_Baseload_With DB'!$BU$31,$A20-$AU$23,0),0)</f>
        <v>0</v>
      </c>
      <c r="AP20" s="310">
        <f t="shared" ref="AP20:AP59" ca="1" si="19">SUM(AN20:AO20)</f>
        <v>0</v>
      </c>
      <c r="AQ20" s="309">
        <v>0</v>
      </c>
      <c r="AR20" s="311">
        <f t="shared" ca="1" si="6"/>
        <v>0</v>
      </c>
      <c r="AS20" s="870">
        <f t="shared" ref="AS20:AS59" ca="1" si="20">AR20+AS19</f>
        <v>0</v>
      </c>
      <c r="AT20" s="822"/>
      <c r="AU20" s="878" t="s">
        <v>1356</v>
      </c>
      <c r="AV20" s="35"/>
      <c r="AW20" s="879"/>
      <c r="AX20" s="35"/>
      <c r="AY20" s="880"/>
    </row>
    <row r="21" spans="1:65">
      <c r="A21" s="303">
        <v>2012</v>
      </c>
      <c r="B21" s="304">
        <f ca="1">IF($D$3="BAU",UtilityDemand!C14,INDIRECT($D$3&amp;"!B"&amp;ROW(A21))+INDIRECT($D$3&amp;"!D"&amp;ROW(A21)))</f>
        <v>126123.07197702795</v>
      </c>
      <c r="C21" s="305">
        <v>0</v>
      </c>
      <c r="D21" s="306">
        <f t="shared" ca="1" si="7"/>
        <v>0</v>
      </c>
      <c r="E21" s="304">
        <f ca="1">IF($D$3="BAU",UtilityDemand!E14,INDIRECT($D$3&amp;"!E"&amp;ROW(D21))+INDIRECT($D$3&amp;"!G"&amp;ROW(D21)))</f>
        <v>713508.44544344163</v>
      </c>
      <c r="F21" s="305">
        <v>0</v>
      </c>
      <c r="G21" s="306">
        <f t="shared" ca="1" si="8"/>
        <v>0</v>
      </c>
      <c r="H21" s="304">
        <f ca="1">IF($D$3="BAU",UtilityDemand!G14,INDIRECT($D$3&amp;"!H"&amp;ROW(G21))+INDIRECT($D$3&amp;"!J"&amp;ROW(G21)))</f>
        <v>281513.64027382975</v>
      </c>
      <c r="I21" s="305">
        <v>0</v>
      </c>
      <c r="J21" s="306">
        <f t="shared" ref="J21:J59" ca="1" si="21">-H21*I21</f>
        <v>0</v>
      </c>
      <c r="K21" s="307">
        <f t="shared" ca="1" si="9"/>
        <v>126123.07197702795</v>
      </c>
      <c r="L21" s="307">
        <f t="shared" ca="1" si="10"/>
        <v>0</v>
      </c>
      <c r="M21" s="307">
        <f ca="1">IF($A21&gt;=$AU$23,OFFSET('CHP_NG_Baseload_With DB'!$Q$31,$A21-$AU$23,0),0)</f>
        <v>0</v>
      </c>
      <c r="N21" s="307">
        <f t="shared" ca="1" si="11"/>
        <v>126123.07197702795</v>
      </c>
      <c r="O21" s="1494">
        <f t="shared" ca="1" si="12"/>
        <v>713508.44544344163</v>
      </c>
      <c r="P21" s="306">
        <f t="shared" si="13"/>
        <v>0</v>
      </c>
      <c r="Q21" s="306">
        <v>0</v>
      </c>
      <c r="R21" s="306">
        <f t="shared" ca="1" si="14"/>
        <v>713508.44544344163</v>
      </c>
      <c r="S21" s="818">
        <f t="shared" ca="1" si="15"/>
        <v>281513.64027382975</v>
      </c>
      <c r="T21" s="818">
        <f t="shared" si="16"/>
        <v>0</v>
      </c>
      <c r="U21" s="818">
        <v>0</v>
      </c>
      <c r="V21" s="818">
        <f t="shared" ca="1" si="17"/>
        <v>281513.64027382975</v>
      </c>
      <c r="W21" s="306">
        <f t="shared" si="1"/>
        <v>0</v>
      </c>
      <c r="X21" s="306">
        <f ca="1">SUM(D21,L21)*OFFSET(GridFootprintbyYear,$A21-$A$19,0)+SUM(G21,P21)*Emissions_factor_PurchSteam+SUM(J21,T21)*Emissions_factor_PurchCooling+IF($A21&gt;=$AU$23,OFFSET('CHP_NG_Baseload_With DB'!$AG$31,$A21-$AU$23,0),0)*Emission_Factor_NG+IF($A21&gt;=$AU$23,OFFSET('CHP_NG_Baseload_With DB'!$AA$31,$A21-$AU$23,0),0)*Emission_factor_coal</f>
        <v>0</v>
      </c>
      <c r="Y21" s="306">
        <v>0</v>
      </c>
      <c r="Z21" s="306">
        <v>0</v>
      </c>
      <c r="AA21" s="308">
        <f ca="1">-SUM(W21,X21/OFFSET(GridFootprintbyYear,$A21-$A$19,0)*EF_PurchElec_MTperMWh,Z21)*OFFSET(ExposureCalculations!Price_GHG_Allowance_2010,A21-$A$19,0)*ExposureCalculations!D18</f>
        <v>0</v>
      </c>
      <c r="AB21" s="308">
        <f t="shared" ca="1" si="2"/>
        <v>0</v>
      </c>
      <c r="AC21" s="308">
        <v>0</v>
      </c>
      <c r="AD21" s="819">
        <f t="shared" ca="1" si="3"/>
        <v>0</v>
      </c>
      <c r="AE21" s="308">
        <v>0</v>
      </c>
      <c r="AF21" s="819">
        <f t="shared" ca="1" si="4"/>
        <v>0</v>
      </c>
      <c r="AG21" s="308">
        <v>0</v>
      </c>
      <c r="AH21" s="308">
        <f ca="1">IF($A21&gt;=$AU$23,OFFSET('CHP_NG_Baseload_With DB'!$AL$31,$A21-$AU$23,0)+OFFSET('CHP_NG_Baseload_With DB'!$AN$31,$A21-$AU$23,0),0)</f>
        <v>0</v>
      </c>
      <c r="AI21" s="308">
        <v>0</v>
      </c>
      <c r="AJ21" s="308">
        <f ca="1">SUM(AB21:AI21)</f>
        <v>0</v>
      </c>
      <c r="AK21" s="309">
        <v>0</v>
      </c>
      <c r="AL21" s="309">
        <v>0</v>
      </c>
      <c r="AM21" s="309">
        <f t="shared" si="18"/>
        <v>0</v>
      </c>
      <c r="AN21" s="310">
        <f ca="1">IF($A21&gt;=$AU$23,OFFSET('CHP_NG_Baseload_With DB'!$AW$31,$A21-$AU$23,0),0)</f>
        <v>0</v>
      </c>
      <c r="AO21" s="310">
        <f ca="1">IF($A21&gt;=$AU$23,OFFSET('CHP_NG_Baseload_With DB'!$AX$31,$A21-$AU$23,0),0)+IF($A21&gt;=$AU$23,OFFSET('CHP_NG_Baseload_With DB'!$BU$31,$A21-$AU$23,0),0)</f>
        <v>0</v>
      </c>
      <c r="AP21" s="310">
        <f t="shared" ca="1" si="19"/>
        <v>0</v>
      </c>
      <c r="AQ21" s="309">
        <v>0</v>
      </c>
      <c r="AR21" s="311">
        <f t="shared" ca="1" si="6"/>
        <v>0</v>
      </c>
      <c r="AS21" s="870">
        <f t="shared" ca="1" si="20"/>
        <v>0</v>
      </c>
      <c r="AT21" s="822"/>
      <c r="AU21" s="878"/>
      <c r="AV21" s="35"/>
      <c r="AW21" s="879"/>
      <c r="AX21" s="35"/>
      <c r="AY21" s="880"/>
    </row>
    <row r="22" spans="1:65">
      <c r="A22" s="303">
        <v>2013</v>
      </c>
      <c r="B22" s="304">
        <f ca="1">IF($D$3="BAU",UtilityDemand!C15,INDIRECT($D$3&amp;"!B"&amp;ROW(A22))+INDIRECT($D$3&amp;"!D"&amp;ROW(A22)))</f>
        <v>128063.79002546333</v>
      </c>
      <c r="C22" s="305">
        <v>0</v>
      </c>
      <c r="D22" s="306">
        <f t="shared" ca="1" si="7"/>
        <v>0</v>
      </c>
      <c r="E22" s="304">
        <f ca="1">IF($D$3="BAU",UtilityDemand!E15,INDIRECT($D$3&amp;"!E"&amp;ROW(D22))+INDIRECT($D$3&amp;"!G"&amp;ROW(D22)))</f>
        <v>724969.83513341204</v>
      </c>
      <c r="F22" s="305">
        <v>0</v>
      </c>
      <c r="G22" s="306">
        <f t="shared" ca="1" si="8"/>
        <v>0</v>
      </c>
      <c r="H22" s="304">
        <f ca="1">IF($D$3="BAU",UtilityDemand!G15,INDIRECT($D$3&amp;"!H"&amp;ROW(G22))+INDIRECT($D$3&amp;"!J"&amp;ROW(G22)))</f>
        <v>288233.750268984</v>
      </c>
      <c r="I22" s="305">
        <v>0</v>
      </c>
      <c r="J22" s="306">
        <f t="shared" ca="1" si="21"/>
        <v>0</v>
      </c>
      <c r="K22" s="307">
        <f t="shared" ca="1" si="9"/>
        <v>128063.79002546333</v>
      </c>
      <c r="L22" s="307">
        <f t="shared" ca="1" si="10"/>
        <v>0</v>
      </c>
      <c r="M22" s="307">
        <f ca="1">IF($A22&gt;=$AU$23,OFFSET('CHP_NG_Baseload_With DB'!$Q$31,$A22-$AU$23,0),0)</f>
        <v>0</v>
      </c>
      <c r="N22" s="307">
        <f t="shared" ca="1" si="11"/>
        <v>128063.79002546333</v>
      </c>
      <c r="O22" s="1494">
        <f t="shared" ca="1" si="12"/>
        <v>724969.83513341204</v>
      </c>
      <c r="P22" s="306">
        <f t="shared" si="13"/>
        <v>0</v>
      </c>
      <c r="Q22" s="306">
        <v>0</v>
      </c>
      <c r="R22" s="306">
        <f t="shared" ca="1" si="14"/>
        <v>724969.83513341204</v>
      </c>
      <c r="S22" s="818">
        <f t="shared" ca="1" si="15"/>
        <v>288233.750268984</v>
      </c>
      <c r="T22" s="818">
        <f t="shared" si="16"/>
        <v>0</v>
      </c>
      <c r="U22" s="818">
        <v>0</v>
      </c>
      <c r="V22" s="818">
        <f t="shared" ca="1" si="17"/>
        <v>288233.750268984</v>
      </c>
      <c r="W22" s="306">
        <f t="shared" si="1"/>
        <v>0</v>
      </c>
      <c r="X22" s="306">
        <f ca="1">SUM(D22,L22)*OFFSET(GridFootprintbyYear,$A22-$A$19,0)+SUM(G22,P22)*Emissions_factor_PurchSteam+SUM(J22,T22)*Emissions_factor_PurchCooling+IF($A22&gt;=$AU$23,OFFSET('CHP_NG_Baseload_With DB'!$AG$31,$A22-$AU$23,0),0)*Emission_Factor_NG+IF($A22&gt;=$AU$23,OFFSET('CHP_NG_Baseload_With DB'!$AA$31,$A22-$AU$23,0),0)*Emission_factor_coal</f>
        <v>0</v>
      </c>
      <c r="Y22" s="306">
        <v>0</v>
      </c>
      <c r="Z22" s="306">
        <v>0</v>
      </c>
      <c r="AA22" s="308">
        <f ca="1">-SUM(W22,X22/OFFSET(GridFootprintbyYear,$A22-$A$19,0)*EF_PurchElec_MTperMWh,Z22)*OFFSET(ExposureCalculations!Price_GHG_Allowance_2010,A22-$A$19,0)*ExposureCalculations!D19</f>
        <v>0</v>
      </c>
      <c r="AB22" s="308">
        <f t="shared" ca="1" si="2"/>
        <v>0</v>
      </c>
      <c r="AC22" s="308">
        <v>0</v>
      </c>
      <c r="AD22" s="819">
        <f ca="1">-SUM(G22,P22)*OFFSET(Price_PS_mmbtu,A22-$A$19+3,0)</f>
        <v>0</v>
      </c>
      <c r="AE22" s="308">
        <v>0</v>
      </c>
      <c r="AF22" s="819">
        <f t="shared" ca="1" si="4"/>
        <v>0</v>
      </c>
      <c r="AG22" s="308">
        <v>0</v>
      </c>
      <c r="AH22" s="308">
        <f ca="1">IF($A22&gt;=$AU$23,OFFSET('CHP_NG_Baseload_With DB'!$AL$31,$A22-$AU$23,0)+OFFSET('CHP_NG_Baseload_With DB'!$AN$31,$A22-$AU$23,0),0)</f>
        <v>0</v>
      </c>
      <c r="AI22" s="308">
        <v>0</v>
      </c>
      <c r="AJ22" s="308">
        <f t="shared" ca="1" si="5"/>
        <v>0</v>
      </c>
      <c r="AK22" s="309">
        <v>0</v>
      </c>
      <c r="AL22" s="309">
        <v>0</v>
      </c>
      <c r="AM22" s="309">
        <f t="shared" si="18"/>
        <v>0</v>
      </c>
      <c r="AN22" s="310">
        <f ca="1">IF($A22&gt;=$AU$23,OFFSET('CHP_NG_Baseload_With DB'!$AW$31,$A22-$AU$23,0),0)</f>
        <v>0</v>
      </c>
      <c r="AO22" s="310">
        <f ca="1">IF($A22&gt;=$AU$23,OFFSET('CHP_NG_Baseload_With DB'!$AX$31,$A22-$AU$23,0),0)+IF($A22&gt;=$AU$23,OFFSET('CHP_NG_Baseload_With DB'!$BU$31,$A22-$AU$23,0),0)</f>
        <v>0</v>
      </c>
      <c r="AP22" s="310">
        <f t="shared" ca="1" si="19"/>
        <v>0</v>
      </c>
      <c r="AQ22" s="309">
        <v>0</v>
      </c>
      <c r="AR22" s="311">
        <f t="shared" ca="1" si="6"/>
        <v>0</v>
      </c>
      <c r="AS22" s="870">
        <f t="shared" ca="1" si="20"/>
        <v>0</v>
      </c>
      <c r="AT22" s="822"/>
      <c r="AU22" s="878" t="s">
        <v>1500</v>
      </c>
      <c r="AV22" s="35"/>
      <c r="AW22" s="879"/>
      <c r="AX22" s="35"/>
      <c r="AY22" s="880"/>
      <c r="BB22" s="985">
        <f>-'CHP_NG_Baseload_With DB'!AA34*Emission_factor_coal</f>
        <v>62416.20370864412</v>
      </c>
      <c r="BC22" s="985">
        <f>'CHP_NG_Baseload_With DB'!AG34*Emission_Factor_NG</f>
        <v>66716.234504251552</v>
      </c>
    </row>
    <row r="23" spans="1:65">
      <c r="A23" s="303">
        <v>2014</v>
      </c>
      <c r="B23" s="304">
        <f ca="1">IF($D$3="BAU",UtilityDemand!C16,INDIRECT($D$3&amp;"!B"&amp;ROW(A23))+INDIRECT($D$3&amp;"!D"&amp;ROW(A23)))</f>
        <v>123316.86762631535</v>
      </c>
      <c r="C23" s="305">
        <v>0</v>
      </c>
      <c r="D23" s="306">
        <f t="shared" ca="1" si="7"/>
        <v>0</v>
      </c>
      <c r="E23" s="304">
        <f ca="1">IF($D$3="BAU",UtilityDemand!E16,INDIRECT($D$3&amp;"!E"&amp;ROW(D23))+INDIRECT($D$3&amp;"!G"&amp;ROW(D23)))</f>
        <v>733356.43426308746</v>
      </c>
      <c r="F23" s="305">
        <v>0</v>
      </c>
      <c r="G23" s="306">
        <f t="shared" ca="1" si="8"/>
        <v>0</v>
      </c>
      <c r="H23" s="304">
        <f ca="1">IF($D$3="BAU",UtilityDemand!G16,INDIRECT($D$3&amp;"!H"&amp;ROW(G23))+INDIRECT($D$3&amp;"!J"&amp;ROW(G23)))</f>
        <v>367466.12483158766</v>
      </c>
      <c r="I23" s="305">
        <v>0</v>
      </c>
      <c r="J23" s="306">
        <f t="shared" ca="1" si="21"/>
        <v>0</v>
      </c>
      <c r="K23" s="307">
        <f t="shared" ca="1" si="9"/>
        <v>123316.86762631535</v>
      </c>
      <c r="L23" s="307">
        <f t="shared" ca="1" si="10"/>
        <v>0</v>
      </c>
      <c r="M23" s="307">
        <f ca="1">IF($A23&gt;=$AU$23,OFFSET('CHP_NG_Baseload_With DB'!$Q$31,$A23-$AU$23,0),0)</f>
        <v>0</v>
      </c>
      <c r="N23" s="307">
        <f t="shared" ca="1" si="11"/>
        <v>123316.86762631535</v>
      </c>
      <c r="O23" s="1494">
        <f t="shared" ca="1" si="12"/>
        <v>733356.43426308746</v>
      </c>
      <c r="P23" s="306">
        <f t="shared" si="13"/>
        <v>0</v>
      </c>
      <c r="Q23" s="306">
        <v>0</v>
      </c>
      <c r="R23" s="306">
        <f t="shared" ca="1" si="14"/>
        <v>733356.43426308746</v>
      </c>
      <c r="S23" s="818">
        <f t="shared" ca="1" si="15"/>
        <v>367466.12483158766</v>
      </c>
      <c r="T23" s="818">
        <f t="shared" si="16"/>
        <v>0</v>
      </c>
      <c r="U23" s="818">
        <v>0</v>
      </c>
      <c r="V23" s="818">
        <f t="shared" ca="1" si="17"/>
        <v>367466.12483158766</v>
      </c>
      <c r="W23" s="306">
        <f t="shared" si="1"/>
        <v>0</v>
      </c>
      <c r="X23" s="306">
        <f ca="1">SUM(D23,L23)*OFFSET(GridFootprintbyYear,$A23-$A$19,0)+SUM(G23,P23)*Emissions_factor_PurchSteam+SUM(J23,T23)*Emissions_factor_PurchCooling+IF($A23&gt;=$AU$23,OFFSET('CHP_NG_Baseload_With DB'!$AG$31,$A23-$AU$23,0),0)*Emission_Factor_NG+IF($A23&gt;=$AU$23,OFFSET('CHP_NG_Baseload_With DB'!$AA$31,$A23-$AU$23,0),0)*Emission_factor_coal</f>
        <v>0</v>
      </c>
      <c r="Y23" s="306">
        <v>0</v>
      </c>
      <c r="Z23" s="306">
        <v>0</v>
      </c>
      <c r="AA23" s="308">
        <f ca="1">-SUM(W23,X23/OFFSET(GridFootprintbyYear,$A23-$A$19,0)*EF_PurchElec_MTperMWh,Z23)*OFFSET(ExposureCalculations!Price_GHG_Allowance_2010,A23-$A$19,0)*ExposureCalculations!D20</f>
        <v>0</v>
      </c>
      <c r="AB23" s="308">
        <f t="shared" ca="1" si="2"/>
        <v>0</v>
      </c>
      <c r="AC23" s="308">
        <v>0</v>
      </c>
      <c r="AD23" s="819">
        <f t="shared" ca="1" si="3"/>
        <v>0</v>
      </c>
      <c r="AE23" s="308">
        <v>0</v>
      </c>
      <c r="AF23" s="819">
        <f t="shared" ca="1" si="4"/>
        <v>0</v>
      </c>
      <c r="AG23" s="308">
        <v>0</v>
      </c>
      <c r="AH23" s="308">
        <f ca="1">IF($A23&gt;=$AU$23,OFFSET('CHP_NG_Baseload_With DB'!$AL$31,$A23-$AU$23,0)+OFFSET('CHP_NG_Baseload_With DB'!$AN$31,$A23-$AU$23,0),0)</f>
        <v>0</v>
      </c>
      <c r="AI23" s="308">
        <v>0</v>
      </c>
      <c r="AJ23" s="308">
        <f t="shared" ca="1" si="5"/>
        <v>0</v>
      </c>
      <c r="AK23" s="309">
        <v>0</v>
      </c>
      <c r="AL23" s="309">
        <v>0</v>
      </c>
      <c r="AM23" s="309">
        <f t="shared" si="18"/>
        <v>0</v>
      </c>
      <c r="AN23" s="310">
        <f ca="1">IF($A23&gt;=$AU$23,OFFSET('CHP_NG_Baseload_With DB'!$AW$31,$A23-$AU$23,0),0)</f>
        <v>0</v>
      </c>
      <c r="AO23" s="310">
        <f ca="1">IF($A23&gt;=$AU$23,OFFSET('CHP_NG_Baseload_With DB'!$AX$31,$A23-$AU$23,0),0)+IF($A23&gt;=$AU$23,OFFSET('CHP_NG_Baseload_With DB'!$BU$31,$A23-$AU$23,0),0)</f>
        <v>0</v>
      </c>
      <c r="AP23" s="310">
        <f t="shared" ca="1" si="19"/>
        <v>0</v>
      </c>
      <c r="AQ23" s="309">
        <v>0</v>
      </c>
      <c r="AR23" s="311">
        <f t="shared" ca="1" si="6"/>
        <v>0</v>
      </c>
      <c r="AS23" s="870">
        <f t="shared" ca="1" si="20"/>
        <v>0</v>
      </c>
      <c r="AT23" s="822"/>
      <c r="AU23" s="878">
        <v>2013</v>
      </c>
      <c r="AV23" s="35"/>
      <c r="AW23" s="879"/>
      <c r="AX23" s="35"/>
      <c r="AY23" s="880"/>
    </row>
    <row r="24" spans="1:65">
      <c r="A24" s="303">
        <v>2015</v>
      </c>
      <c r="B24" s="304">
        <f ca="1">IF($D$3="BAU",UtilityDemand!C17,INDIRECT($D$3&amp;"!B"&amp;ROW(A24))+INDIRECT($D$3&amp;"!D"&amp;ROW(A24)))</f>
        <v>126220.9864207229</v>
      </c>
      <c r="C24" s="305">
        <v>0</v>
      </c>
      <c r="D24" s="306">
        <f t="shared" ca="1" si="7"/>
        <v>0</v>
      </c>
      <c r="E24" s="304">
        <f ca="1">IF($D$3="BAU",UtilityDemand!E17,INDIRECT($D$3&amp;"!E"&amp;ROW(D24))+INDIRECT($D$3&amp;"!G"&amp;ROW(D24)))</f>
        <v>749942.47488688328</v>
      </c>
      <c r="F24" s="305">
        <v>0</v>
      </c>
      <c r="G24" s="306">
        <f t="shared" ca="1" si="8"/>
        <v>0</v>
      </c>
      <c r="H24" s="304">
        <f ca="1">IF($D$3="BAU",UtilityDemand!G17,INDIRECT($D$3&amp;"!H"&amp;ROW(G24))+INDIRECT($D$3&amp;"!J"&amp;ROW(G24)))</f>
        <v>375524.46054765949</v>
      </c>
      <c r="I24" s="305">
        <v>0</v>
      </c>
      <c r="J24" s="306">
        <f t="shared" ca="1" si="21"/>
        <v>0</v>
      </c>
      <c r="K24" s="307">
        <f t="shared" ca="1" si="9"/>
        <v>126220.9864207229</v>
      </c>
      <c r="L24" s="307">
        <f t="shared" ca="1" si="10"/>
        <v>0</v>
      </c>
      <c r="M24" s="307">
        <f ca="1">IF($A24&gt;=$AU$23,OFFSET('CHP_NG_Baseload_With DB'!$Q$31,$A24-$AU$23,0),0)</f>
        <v>0</v>
      </c>
      <c r="N24" s="307">
        <f t="shared" ca="1" si="11"/>
        <v>126220.9864207229</v>
      </c>
      <c r="O24" s="1494">
        <f t="shared" ca="1" si="12"/>
        <v>749942.47488688328</v>
      </c>
      <c r="P24" s="306">
        <f t="shared" si="13"/>
        <v>0</v>
      </c>
      <c r="Q24" s="306">
        <v>0</v>
      </c>
      <c r="R24" s="306">
        <f t="shared" ca="1" si="14"/>
        <v>749942.47488688328</v>
      </c>
      <c r="S24" s="818">
        <f t="shared" ca="1" si="15"/>
        <v>375524.46054765949</v>
      </c>
      <c r="T24" s="818">
        <f t="shared" si="16"/>
        <v>0</v>
      </c>
      <c r="U24" s="818">
        <v>0</v>
      </c>
      <c r="V24" s="818">
        <f t="shared" ca="1" si="17"/>
        <v>375524.46054765949</v>
      </c>
      <c r="W24" s="306">
        <f t="shared" si="1"/>
        <v>0</v>
      </c>
      <c r="X24" s="306">
        <f ca="1">SUM(D24,L24)*OFFSET(GridFootprintbyYear,$A24-$A$19,0)+SUM(G24,P24)*Emissions_factor_PurchSteam+SUM(J24,T24)*Emissions_factor_PurchCooling+IF($A24&gt;=$AU$23,OFFSET('CHP_NG_Baseload_With DB'!$AG$31,$A24-$AU$23,0),0)*Emission_Factor_NG+IF($A24&gt;=$AU$23,OFFSET('CHP_NG_Baseload_With DB'!$AA$31,$A24-$AU$23,0),0)*Emission_factor_coal</f>
        <v>0</v>
      </c>
      <c r="Y24" s="306">
        <v>0</v>
      </c>
      <c r="Z24" s="306">
        <v>0</v>
      </c>
      <c r="AA24" s="308">
        <f ca="1">-SUM(W24,X24/OFFSET(GridFootprintbyYear,$A24-$A$19,0)*EF_PurchElec_MTperMWh,Z24)*OFFSET(ExposureCalculations!Price_GHG_Allowance_2010,A24-$A$19,0)*ExposureCalculations!D21</f>
        <v>0</v>
      </c>
      <c r="AB24" s="308">
        <f t="shared" ca="1" si="2"/>
        <v>0</v>
      </c>
      <c r="AC24" s="308">
        <v>0</v>
      </c>
      <c r="AD24" s="819">
        <f t="shared" ca="1" si="3"/>
        <v>0</v>
      </c>
      <c r="AE24" s="308">
        <v>0</v>
      </c>
      <c r="AF24" s="819">
        <f t="shared" ca="1" si="4"/>
        <v>0</v>
      </c>
      <c r="AG24" s="308">
        <v>0</v>
      </c>
      <c r="AH24" s="308">
        <f ca="1">IF($A24&gt;=$AU$23,OFFSET('CHP_NG_Baseload_With DB'!$AL$31,$A24-$AU$23,0)+OFFSET('CHP_NG_Baseload_With DB'!$AN$31,$A24-$AU$23,0),0)</f>
        <v>0</v>
      </c>
      <c r="AI24" s="308">
        <v>0</v>
      </c>
      <c r="AJ24" s="308">
        <f t="shared" ca="1" si="5"/>
        <v>0</v>
      </c>
      <c r="AK24" s="309">
        <v>0</v>
      </c>
      <c r="AL24" s="309">
        <v>0</v>
      </c>
      <c r="AM24" s="309">
        <f t="shared" si="18"/>
        <v>0</v>
      </c>
      <c r="AN24" s="310">
        <f ca="1">IF($A24&gt;=$AU$23,OFFSET('CHP_NG_Baseload_With DB'!$AW$31,$A24-$AU$23,0),0)</f>
        <v>0</v>
      </c>
      <c r="AO24" s="310">
        <f ca="1">IF($A24&gt;=$AU$23,OFFSET('CHP_NG_Baseload_With DB'!$AX$31,$A24-$AU$23,0),0)+IF($A24&gt;=$AU$23,OFFSET('CHP_NG_Baseload_With DB'!$BU$31,$A24-$AU$23,0),0)</f>
        <v>0</v>
      </c>
      <c r="AP24" s="310">
        <f t="shared" ca="1" si="19"/>
        <v>0</v>
      </c>
      <c r="AQ24" s="309">
        <v>0</v>
      </c>
      <c r="AR24" s="311">
        <f t="shared" ca="1" si="6"/>
        <v>0</v>
      </c>
      <c r="AS24" s="870">
        <f t="shared" ca="1" si="20"/>
        <v>0</v>
      </c>
      <c r="AT24" s="822"/>
      <c r="AU24" s="878"/>
      <c r="AV24" s="35"/>
      <c r="AW24" s="879"/>
      <c r="AX24" s="35"/>
      <c r="AY24" s="880"/>
    </row>
    <row r="25" spans="1:65">
      <c r="A25" s="303">
        <v>2016</v>
      </c>
      <c r="B25" s="304">
        <f ca="1">IF($D$3="BAU",UtilityDemand!C18,INDIRECT($D$3&amp;"!B"&amp;ROW(A25))+INDIRECT($D$3&amp;"!D"&amp;ROW(A25)))</f>
        <v>125450.06402157494</v>
      </c>
      <c r="C25" s="305">
        <v>0</v>
      </c>
      <c r="D25" s="306">
        <f t="shared" ca="1" si="7"/>
        <v>0</v>
      </c>
      <c r="E25" s="304">
        <f ca="1">IF($D$3="BAU",UtilityDemand!E18,INDIRECT($D$3&amp;"!E"&amp;ROW(D25))+INDIRECT($D$3&amp;"!G"&amp;ROW(D25)))</f>
        <v>758329.0740165587</v>
      </c>
      <c r="F25" s="305">
        <v>0</v>
      </c>
      <c r="G25" s="306">
        <f t="shared" ca="1" si="8"/>
        <v>0</v>
      </c>
      <c r="H25" s="304">
        <f ca="1">IF($D$3="BAU",UtilityDemand!G18,INDIRECT($D$3&amp;"!H"&amp;ROW(G25))+INDIRECT($D$3&amp;"!J"&amp;ROW(G25)))</f>
        <v>407044.8351102632</v>
      </c>
      <c r="I25" s="305">
        <v>0</v>
      </c>
      <c r="J25" s="306">
        <f t="shared" ca="1" si="21"/>
        <v>0</v>
      </c>
      <c r="K25" s="307">
        <f t="shared" ca="1" si="9"/>
        <v>125450.06402157494</v>
      </c>
      <c r="L25" s="307">
        <f t="shared" ca="1" si="10"/>
        <v>-103449.11760000001</v>
      </c>
      <c r="M25" s="307">
        <f ca="1">IF($A25&gt;=$AU$23,OFFSET('CHP_NG_Baseload_With DB'!$Q$31,$A25-$AU$23,0),0)</f>
        <v>103449.11760000001</v>
      </c>
      <c r="N25" s="307">
        <f t="shared" ca="1" si="11"/>
        <v>22000.946421574932</v>
      </c>
      <c r="O25" s="1494">
        <f t="shared" ca="1" si="12"/>
        <v>758329.0740165587</v>
      </c>
      <c r="P25" s="306">
        <f t="shared" si="13"/>
        <v>0</v>
      </c>
      <c r="Q25" s="306">
        <v>0</v>
      </c>
      <c r="R25" s="306">
        <f t="shared" ca="1" si="14"/>
        <v>758329.0740165587</v>
      </c>
      <c r="S25" s="818">
        <f t="shared" ca="1" si="15"/>
        <v>407044.8351102632</v>
      </c>
      <c r="T25" s="818">
        <f t="shared" si="16"/>
        <v>0</v>
      </c>
      <c r="U25" s="818">
        <v>0</v>
      </c>
      <c r="V25" s="818">
        <f t="shared" ca="1" si="17"/>
        <v>407044.8351102632</v>
      </c>
      <c r="W25" s="306">
        <f t="shared" si="1"/>
        <v>0</v>
      </c>
      <c r="X25" s="306">
        <f ca="1">SUM(D25,L25)*OFFSET(GridFootprintbyYear,$A25-$A$19,0)+SUM(G25,P25)*Emissions_factor_PurchSteam+SUM(J25,T25)*Emissions_factor_PurchCooling+IF($A25&gt;=$AU$23,OFFSET('CHP_NG_Baseload_With DB'!$AG$31,$A25-$AU$23,0),0)*Emission_Factor_NG+IF($A25&gt;=$AU$23,OFFSET('CHP_NG_Baseload_With DB'!$AA$31,$A25-$AU$23,0),0)*Emission_factor_coal</f>
        <v>-69175.400688347028</v>
      </c>
      <c r="Y25" s="306">
        <v>0</v>
      </c>
      <c r="Z25" s="306">
        <v>0</v>
      </c>
      <c r="AA25" s="308">
        <f ca="1">-SUM(W25,X25/OFFSET(GridFootprintbyYear,$A25-$A$19,0)*EF_PurchElec_MTperMWh,Z25)*OFFSET(ExposureCalculations!Price_GHG_Allowance_2010,A25-$A$19,0)*ExposureCalculations!D22</f>
        <v>812015.86535427626</v>
      </c>
      <c r="AB25" s="308">
        <f t="shared" ca="1" si="2"/>
        <v>9060289.7520420086</v>
      </c>
      <c r="AC25" s="308">
        <v>0</v>
      </c>
      <c r="AD25" s="819">
        <f t="shared" ca="1" si="3"/>
        <v>0</v>
      </c>
      <c r="AE25" s="308">
        <v>0</v>
      </c>
      <c r="AF25" s="819">
        <f t="shared" ca="1" si="4"/>
        <v>0</v>
      </c>
      <c r="AG25" s="308">
        <v>0</v>
      </c>
      <c r="AH25" s="308">
        <f ca="1">IF($A25&gt;=$AU$23,OFFSET('CHP_NG_Baseload_With DB'!$AL$31,$A25-$AU$23,0)+OFFSET('CHP_NG_Baseload_With DB'!$AN$31,$A25-$AU$23,0),0)</f>
        <v>-5700835.6945111286</v>
      </c>
      <c r="AI25" s="308">
        <v>0</v>
      </c>
      <c r="AJ25" s="308">
        <f t="shared" ca="1" si="5"/>
        <v>3359454.05753088</v>
      </c>
      <c r="AK25" s="309">
        <v>0</v>
      </c>
      <c r="AL25" s="309">
        <v>0</v>
      </c>
      <c r="AM25" s="309">
        <f t="shared" si="18"/>
        <v>0</v>
      </c>
      <c r="AN25" s="310">
        <f ca="1">IF($A25&gt;=$AU$23,OFFSET('CHP_NG_Baseload_With DB'!$AW$31,$A25-$AU$23,0),0)</f>
        <v>1439188.7175</v>
      </c>
      <c r="AO25" s="310">
        <f ca="1">IF($A25&gt;=$AU$23,OFFSET('CHP_NG_Baseload_With DB'!$AX$31,$A25-$AU$23,0),0)+IF($A25&gt;=$AU$23,OFFSET('CHP_NG_Baseload_With DB'!$BU$31,$A25-$AU$23,0),0)</f>
        <v>-3410047.518542307</v>
      </c>
      <c r="AP25" s="310">
        <f t="shared" ca="1" si="19"/>
        <v>-1970858.8010423069</v>
      </c>
      <c r="AQ25" s="309">
        <v>0</v>
      </c>
      <c r="AR25" s="311">
        <f t="shared" ca="1" si="6"/>
        <v>2200611.1218428491</v>
      </c>
      <c r="AS25" s="870">
        <f t="shared" ca="1" si="20"/>
        <v>2200611.1218428491</v>
      </c>
      <c r="AT25" s="822"/>
      <c r="AU25" s="878"/>
      <c r="AV25" s="35"/>
      <c r="AW25" s="879"/>
      <c r="AX25" s="35"/>
      <c r="AY25" s="880"/>
    </row>
    <row r="26" spans="1:65">
      <c r="A26" s="303">
        <v>2017</v>
      </c>
      <c r="B26" s="304">
        <f ca="1">IF($D$3="BAU",UtilityDemand!C19,INDIRECT($D$3&amp;"!B"&amp;ROW(A26))+INDIRECT($D$3&amp;"!D"&amp;ROW(A26)))</f>
        <v>126812.74162242698</v>
      </c>
      <c r="C26" s="305">
        <v>0</v>
      </c>
      <c r="D26" s="306">
        <f t="shared" ca="1" si="7"/>
        <v>0</v>
      </c>
      <c r="E26" s="304">
        <f ca="1">IF($D$3="BAU",UtilityDemand!E19,INDIRECT($D$3&amp;"!E"&amp;ROW(D26))+INDIRECT($D$3&amp;"!G"&amp;ROW(D26)))</f>
        <v>766715.67314623413</v>
      </c>
      <c r="F26" s="305">
        <v>0</v>
      </c>
      <c r="G26" s="306">
        <f t="shared" ca="1" si="8"/>
        <v>0</v>
      </c>
      <c r="H26" s="304">
        <f ca="1">IF($D$3="BAU",UtilityDemand!G19,INDIRECT($D$3&amp;"!H"&amp;ROW(G26))+INDIRECT($D$3&amp;"!J"&amp;ROW(G26)))</f>
        <v>412962.00967286684</v>
      </c>
      <c r="I26" s="305">
        <v>0</v>
      </c>
      <c r="J26" s="306">
        <f t="shared" ca="1" si="21"/>
        <v>0</v>
      </c>
      <c r="K26" s="307">
        <f t="shared" ca="1" si="9"/>
        <v>126812.74162242698</v>
      </c>
      <c r="L26" s="307">
        <f t="shared" ca="1" si="10"/>
        <v>-103449.11760000001</v>
      </c>
      <c r="M26" s="307">
        <f ca="1">IF($A26&gt;=$AU$23,OFFSET('CHP_NG_Baseload_With DB'!$Q$31,$A26-$AU$23,0),0)</f>
        <v>103449.11760000001</v>
      </c>
      <c r="N26" s="307">
        <f t="shared" ca="1" si="11"/>
        <v>23363.624022426971</v>
      </c>
      <c r="O26" s="1494">
        <f t="shared" ca="1" si="12"/>
        <v>766715.67314623413</v>
      </c>
      <c r="P26" s="306">
        <f t="shared" si="13"/>
        <v>0</v>
      </c>
      <c r="Q26" s="306">
        <v>0</v>
      </c>
      <c r="R26" s="306">
        <f t="shared" ca="1" si="14"/>
        <v>766715.67314623413</v>
      </c>
      <c r="S26" s="818">
        <f t="shared" ca="1" si="15"/>
        <v>412962.00967286684</v>
      </c>
      <c r="T26" s="818">
        <f t="shared" si="16"/>
        <v>0</v>
      </c>
      <c r="U26" s="818">
        <v>0</v>
      </c>
      <c r="V26" s="818">
        <f t="shared" ca="1" si="17"/>
        <v>412962.00967286684</v>
      </c>
      <c r="W26" s="306">
        <f t="shared" si="1"/>
        <v>0</v>
      </c>
      <c r="X26" s="306">
        <f ca="1">SUM(D26,L26)*OFFSET(GridFootprintbyYear,$A26-$A$19,0)+SUM(G26,P26)*Emissions_factor_PurchSteam+SUM(J26,T26)*Emissions_factor_PurchCooling+IF($A26&gt;=$AU$23,OFFSET('CHP_NG_Baseload_With DB'!$AG$31,$A26-$AU$23,0),0)*Emission_Factor_NG+IF($A26&gt;=$AU$23,OFFSET('CHP_NG_Baseload_With DB'!$AA$31,$A26-$AU$23,0),0)*Emission_factor_coal</f>
        <v>-69175.400688347028</v>
      </c>
      <c r="Y26" s="306">
        <v>0</v>
      </c>
      <c r="Z26" s="306">
        <v>0</v>
      </c>
      <c r="AA26" s="308">
        <f ca="1">-SUM(W26,X26/OFFSET(GridFootprintbyYear,$A26-$A$19,0)*EF_PurchElec_MTperMWh,Z26)*OFFSET(ExposureCalculations!Price_GHG_Allowance_2010,A26-$A$19,0)*ExposureCalculations!D23</f>
        <v>925626.19067745202</v>
      </c>
      <c r="AB26" s="308">
        <f t="shared" ca="1" si="2"/>
        <v>9105591.2008022163</v>
      </c>
      <c r="AC26" s="308">
        <v>0</v>
      </c>
      <c r="AD26" s="819">
        <f t="shared" ca="1" si="3"/>
        <v>0</v>
      </c>
      <c r="AE26" s="308">
        <v>0</v>
      </c>
      <c r="AF26" s="819">
        <f t="shared" ca="1" si="4"/>
        <v>0</v>
      </c>
      <c r="AG26" s="308">
        <v>0</v>
      </c>
      <c r="AH26" s="308">
        <f ca="1">IF($A26&gt;=$AU$23,OFFSET('CHP_NG_Baseload_With DB'!$AL$31,$A26-$AU$23,0)+OFFSET('CHP_NG_Baseload_With DB'!$AN$31,$A26-$AU$23,0),0)</f>
        <v>-5700835.6945111286</v>
      </c>
      <c r="AI26" s="308">
        <v>0</v>
      </c>
      <c r="AJ26" s="308">
        <f t="shared" ca="1" si="5"/>
        <v>3404755.5062910877</v>
      </c>
      <c r="AK26" s="309">
        <v>0</v>
      </c>
      <c r="AL26" s="309">
        <v>0</v>
      </c>
      <c r="AM26" s="309">
        <f t="shared" si="18"/>
        <v>0</v>
      </c>
      <c r="AN26" s="310">
        <f ca="1">IF($A26&gt;=$AU$23,OFFSET('CHP_NG_Baseload_With DB'!$AW$31,$A26-$AU$23,0),0)</f>
        <v>1439188.7175</v>
      </c>
      <c r="AO26" s="310">
        <f ca="1">IF($A26&gt;=$AU$23,OFFSET('CHP_NG_Baseload_With DB'!$AX$31,$A26-$AU$23,0),0)+IF($A26&gt;=$AU$23,OFFSET('CHP_NG_Baseload_With DB'!$BU$31,$A26-$AU$23,0),0)</f>
        <v>-3410047.518542307</v>
      </c>
      <c r="AP26" s="310">
        <f t="shared" ca="1" si="19"/>
        <v>-1970858.8010423069</v>
      </c>
      <c r="AQ26" s="309">
        <v>0</v>
      </c>
      <c r="AR26" s="311">
        <f t="shared" ca="1" si="6"/>
        <v>2359522.8959262324</v>
      </c>
      <c r="AS26" s="870">
        <f t="shared" ca="1" si="20"/>
        <v>4560134.0177690815</v>
      </c>
      <c r="AT26" s="822"/>
      <c r="AU26" s="878"/>
      <c r="AV26" s="35"/>
      <c r="AW26" s="879"/>
      <c r="AX26" s="35"/>
      <c r="AY26" s="880"/>
    </row>
    <row r="27" spans="1:65">
      <c r="A27" s="303">
        <v>2018</v>
      </c>
      <c r="B27" s="304">
        <f ca="1">IF($D$3="BAU",UtilityDemand!C20,INDIRECT($D$3&amp;"!B"&amp;ROW(A27))+INDIRECT($D$3&amp;"!D"&amp;ROW(A27)))</f>
        <v>128175.41922327899</v>
      </c>
      <c r="C27" s="305">
        <v>0</v>
      </c>
      <c r="D27" s="306">
        <f t="shared" ca="1" si="7"/>
        <v>0</v>
      </c>
      <c r="E27" s="304">
        <f ca="1">IF($D$3="BAU",UtilityDemand!E20,INDIRECT($D$3&amp;"!E"&amp;ROW(D27))+INDIRECT($D$3&amp;"!G"&amp;ROW(D27)))</f>
        <v>775102.27227590943</v>
      </c>
      <c r="F27" s="305">
        <v>0</v>
      </c>
      <c r="G27" s="306">
        <f t="shared" ca="1" si="8"/>
        <v>0</v>
      </c>
      <c r="H27" s="304">
        <f ca="1">IF($D$3="BAU",UtilityDemand!G20,INDIRECT($D$3&amp;"!H"&amp;ROW(G27))+INDIRECT($D$3&amp;"!J"&amp;ROW(G27)))</f>
        <v>418879.18423547054</v>
      </c>
      <c r="I27" s="305">
        <v>0</v>
      </c>
      <c r="J27" s="306">
        <f t="shared" ca="1" si="21"/>
        <v>0</v>
      </c>
      <c r="K27" s="307">
        <f t="shared" ca="1" si="9"/>
        <v>128175.41922327899</v>
      </c>
      <c r="L27" s="307">
        <f t="shared" ca="1" si="10"/>
        <v>-103449.11760000001</v>
      </c>
      <c r="M27" s="307">
        <f ca="1">IF($A27&gt;=$AU$23,OFFSET('CHP_NG_Baseload_With DB'!$Q$31,$A27-$AU$23,0),0)</f>
        <v>103449.11760000001</v>
      </c>
      <c r="N27" s="307">
        <f t="shared" ca="1" si="11"/>
        <v>24726.301623278981</v>
      </c>
      <c r="O27" s="1494">
        <f t="shared" ca="1" si="12"/>
        <v>775102.27227590943</v>
      </c>
      <c r="P27" s="306">
        <f t="shared" si="13"/>
        <v>0</v>
      </c>
      <c r="Q27" s="306">
        <v>0</v>
      </c>
      <c r="R27" s="306">
        <f t="shared" ca="1" si="14"/>
        <v>775102.27227590943</v>
      </c>
      <c r="S27" s="818">
        <f t="shared" ca="1" si="15"/>
        <v>418879.18423547054</v>
      </c>
      <c r="T27" s="818">
        <f t="shared" si="16"/>
        <v>0</v>
      </c>
      <c r="U27" s="818">
        <v>0</v>
      </c>
      <c r="V27" s="818">
        <f t="shared" ca="1" si="17"/>
        <v>418879.18423547054</v>
      </c>
      <c r="W27" s="306">
        <f t="shared" si="1"/>
        <v>0</v>
      </c>
      <c r="X27" s="306">
        <f ca="1">SUM(D27,L27)*OFFSET(GridFootprintbyYear,$A27-$A$19,0)+SUM(G27,P27)*Emissions_factor_PurchSteam+SUM(J27,T27)*Emissions_factor_PurchCooling+IF($A27&gt;=$AU$23,OFFSET('CHP_NG_Baseload_With DB'!$AG$31,$A27-$AU$23,0),0)*Emission_Factor_NG+IF($A27&gt;=$AU$23,OFFSET('CHP_NG_Baseload_With DB'!$AA$31,$A27-$AU$23,0),0)*Emission_factor_coal</f>
        <v>-69175.400688347028</v>
      </c>
      <c r="Y27" s="306">
        <v>0</v>
      </c>
      <c r="Z27" s="306">
        <v>0</v>
      </c>
      <c r="AA27" s="308">
        <f ca="1">-SUM(W27,X27/OFFSET(GridFootprintbyYear,$A27-$A$19,0)*EF_PurchElec_MTperMWh,Z27)*OFFSET(ExposureCalculations!Price_GHG_Allowance_2010,A27-$A$19,0)*ExposureCalculations!D24</f>
        <v>1044142.0322468113</v>
      </c>
      <c r="AB27" s="308">
        <f t="shared" ca="1" si="2"/>
        <v>9151119.1568062268</v>
      </c>
      <c r="AC27" s="308">
        <v>0</v>
      </c>
      <c r="AD27" s="819">
        <f t="shared" ca="1" si="3"/>
        <v>0</v>
      </c>
      <c r="AE27" s="308">
        <v>0</v>
      </c>
      <c r="AF27" s="819">
        <f t="shared" ca="1" si="4"/>
        <v>0</v>
      </c>
      <c r="AG27" s="308">
        <v>0</v>
      </c>
      <c r="AH27" s="308">
        <f ca="1">IF($A27&gt;=$AU$23,OFFSET('CHP_NG_Baseload_With DB'!$AL$31,$A27-$AU$23,0)+OFFSET('CHP_NG_Baseload_With DB'!$AN$31,$A27-$AU$23,0),0)</f>
        <v>-5700835.6945111286</v>
      </c>
      <c r="AI27" s="308">
        <v>0</v>
      </c>
      <c r="AJ27" s="308">
        <f t="shared" ca="1" si="5"/>
        <v>3450283.4622950982</v>
      </c>
      <c r="AK27" s="309">
        <v>0</v>
      </c>
      <c r="AL27" s="309">
        <v>0</v>
      </c>
      <c r="AM27" s="309">
        <f t="shared" si="18"/>
        <v>0</v>
      </c>
      <c r="AN27" s="310">
        <f ca="1">IF($A27&gt;=$AU$23,OFFSET('CHP_NG_Baseload_With DB'!$AW$31,$A27-$AU$23,0),0)</f>
        <v>1439188.7175</v>
      </c>
      <c r="AO27" s="310">
        <f ca="1">IF($A27&gt;=$AU$23,OFFSET('CHP_NG_Baseload_With DB'!$AX$31,$A27-$AU$23,0),0)+IF($A27&gt;=$AU$23,OFFSET('CHP_NG_Baseload_With DB'!$BU$31,$A27-$AU$23,0),0)</f>
        <v>-3410047.518542307</v>
      </c>
      <c r="AP27" s="310">
        <f t="shared" ca="1" si="19"/>
        <v>-1970858.8010423069</v>
      </c>
      <c r="AQ27" s="309">
        <v>0</v>
      </c>
      <c r="AR27" s="311">
        <f t="shared" ca="1" si="6"/>
        <v>2523566.6934996024</v>
      </c>
      <c r="AS27" s="870">
        <f t="shared" ca="1" si="20"/>
        <v>7083700.7112686839</v>
      </c>
      <c r="AT27" s="822"/>
      <c r="AU27" s="878"/>
      <c r="AV27" s="35"/>
      <c r="AW27" s="879"/>
      <c r="AX27" s="35"/>
      <c r="AY27" s="880"/>
    </row>
    <row r="28" spans="1:65">
      <c r="A28" s="303">
        <v>2019</v>
      </c>
      <c r="B28" s="304">
        <f ca="1">IF($D$3="BAU",UtilityDemand!C21,INDIRECT($D$3&amp;"!B"&amp;ROW(A28))+INDIRECT($D$3&amp;"!D"&amp;ROW(A28)))</f>
        <v>129538.09682413102</v>
      </c>
      <c r="C28" s="305">
        <v>0</v>
      </c>
      <c r="D28" s="306">
        <f t="shared" ca="1" si="7"/>
        <v>0</v>
      </c>
      <c r="E28" s="304">
        <f ca="1">IF($D$3="BAU",UtilityDemand!E21,INDIRECT($D$3&amp;"!E"&amp;ROW(D28))+INDIRECT($D$3&amp;"!G"&amp;ROW(D28)))</f>
        <v>783488.87140558485</v>
      </c>
      <c r="F28" s="305">
        <v>0</v>
      </c>
      <c r="G28" s="306">
        <f t="shared" ca="1" si="8"/>
        <v>0</v>
      </c>
      <c r="H28" s="304">
        <f ca="1">IF($D$3="BAU",UtilityDemand!G21,INDIRECT($D$3&amp;"!H"&amp;ROW(G28))+INDIRECT($D$3&amp;"!J"&amp;ROW(G28)))</f>
        <v>424796.35879807424</v>
      </c>
      <c r="I28" s="305">
        <v>0</v>
      </c>
      <c r="J28" s="306">
        <f t="shared" ca="1" si="21"/>
        <v>0</v>
      </c>
      <c r="K28" s="307">
        <f t="shared" ca="1" si="9"/>
        <v>129538.09682413102</v>
      </c>
      <c r="L28" s="307">
        <f t="shared" ca="1" si="10"/>
        <v>-103449.11760000001</v>
      </c>
      <c r="M28" s="307">
        <f ca="1">IF($A28&gt;=$AU$23,OFFSET('CHP_NG_Baseload_With DB'!$Q$31,$A28-$AU$23,0),0)</f>
        <v>103449.11760000001</v>
      </c>
      <c r="N28" s="307">
        <f t="shared" ca="1" si="11"/>
        <v>26088.979224131006</v>
      </c>
      <c r="O28" s="1494">
        <f t="shared" ca="1" si="12"/>
        <v>783488.87140558485</v>
      </c>
      <c r="P28" s="306">
        <f t="shared" si="13"/>
        <v>0</v>
      </c>
      <c r="Q28" s="306">
        <v>0</v>
      </c>
      <c r="R28" s="306">
        <f t="shared" ca="1" si="14"/>
        <v>783488.87140558485</v>
      </c>
      <c r="S28" s="818">
        <f t="shared" ca="1" si="15"/>
        <v>424796.35879807424</v>
      </c>
      <c r="T28" s="818">
        <f t="shared" si="16"/>
        <v>0</v>
      </c>
      <c r="U28" s="818">
        <v>0</v>
      </c>
      <c r="V28" s="818">
        <f t="shared" ca="1" si="17"/>
        <v>424796.35879807424</v>
      </c>
      <c r="W28" s="306">
        <f t="shared" si="1"/>
        <v>0</v>
      </c>
      <c r="X28" s="306">
        <f ca="1">SUM(D28,L28)*OFFSET(GridFootprintbyYear,$A28-$A$19,0)+SUM(G28,P28)*Emissions_factor_PurchSteam+SUM(J28,T28)*Emissions_factor_PurchCooling+IF($A28&gt;=$AU$23,OFFSET('CHP_NG_Baseload_With DB'!$AG$31,$A28-$AU$23,0),0)*Emission_Factor_NG+IF($A28&gt;=$AU$23,OFFSET('CHP_NG_Baseload_With DB'!$AA$31,$A28-$AU$23,0),0)*Emission_factor_coal</f>
        <v>-69175.400688347028</v>
      </c>
      <c r="Y28" s="306">
        <v>0</v>
      </c>
      <c r="Z28" s="306">
        <v>0</v>
      </c>
      <c r="AA28" s="308">
        <f ca="1">-SUM(W28,X28/OFFSET(GridFootprintbyYear,$A28-$A$19,0)*EF_PurchElec_MTperMWh,Z28)*OFFSET(ExposureCalculations!Price_GHG_Allowance_2010,A28-$A$19,0)*ExposureCalculations!D25</f>
        <v>1167408.1358302471</v>
      </c>
      <c r="AB28" s="308">
        <f t="shared" ca="1" si="2"/>
        <v>9196874.7525902577</v>
      </c>
      <c r="AC28" s="308">
        <v>0</v>
      </c>
      <c r="AD28" s="819">
        <f t="shared" ca="1" si="3"/>
        <v>0</v>
      </c>
      <c r="AE28" s="308">
        <v>0</v>
      </c>
      <c r="AF28" s="819">
        <f t="shared" ca="1" si="4"/>
        <v>0</v>
      </c>
      <c r="AG28" s="308">
        <v>0</v>
      </c>
      <c r="AH28" s="308">
        <f ca="1">IF($A28&gt;=$AU$23,OFFSET('CHP_NG_Baseload_With DB'!$AL$31,$A28-$AU$23,0)+OFFSET('CHP_NG_Baseload_With DB'!$AN$31,$A28-$AU$23,0),0)</f>
        <v>-5700835.6945111286</v>
      </c>
      <c r="AI28" s="308">
        <v>0</v>
      </c>
      <c r="AJ28" s="308">
        <f t="shared" ca="1" si="5"/>
        <v>3496039.0580791291</v>
      </c>
      <c r="AK28" s="309">
        <v>0</v>
      </c>
      <c r="AL28" s="309">
        <v>0</v>
      </c>
      <c r="AM28" s="309">
        <f t="shared" si="18"/>
        <v>0</v>
      </c>
      <c r="AN28" s="310">
        <f ca="1">IF($A28&gt;=$AU$23,OFFSET('CHP_NG_Baseload_With DB'!$AW$31,$A28-$AU$23,0),0)</f>
        <v>1439188.7175</v>
      </c>
      <c r="AO28" s="310">
        <f ca="1">IF($A28&gt;=$AU$23,OFFSET('CHP_NG_Baseload_With DB'!$AX$31,$A28-$AU$23,0),0)+IF($A28&gt;=$AU$23,OFFSET('CHP_NG_Baseload_With DB'!$BU$31,$A28-$AU$23,0),0)</f>
        <v>-3410047.518542307</v>
      </c>
      <c r="AP28" s="310">
        <f t="shared" ca="1" si="19"/>
        <v>-1970858.8010423069</v>
      </c>
      <c r="AQ28" s="309">
        <v>0</v>
      </c>
      <c r="AR28" s="311">
        <f t="shared" ca="1" si="6"/>
        <v>2692588.3928670688</v>
      </c>
      <c r="AS28" s="870">
        <f t="shared" ca="1" si="20"/>
        <v>9776289.1041357517</v>
      </c>
      <c r="AT28" s="822"/>
      <c r="AU28" s="878"/>
      <c r="AV28" s="35"/>
      <c r="AW28" s="879"/>
      <c r="AX28" s="35"/>
      <c r="AY28" s="880"/>
    </row>
    <row r="29" spans="1:65">
      <c r="A29" s="303">
        <v>2020</v>
      </c>
      <c r="B29" s="304">
        <f ca="1">IF($D$3="BAU",UtilityDemand!C22,INDIRECT($D$3&amp;"!B"&amp;ROW(A29))+INDIRECT($D$3&amp;"!D"&amp;ROW(A29)))</f>
        <v>130900.77442498306</v>
      </c>
      <c r="C29" s="305">
        <v>0</v>
      </c>
      <c r="D29" s="306">
        <f t="shared" ca="1" si="7"/>
        <v>0</v>
      </c>
      <c r="E29" s="304">
        <f ca="1">IF($D$3="BAU",UtilityDemand!E22,INDIRECT($D$3&amp;"!E"&amp;ROW(D29))+INDIRECT($D$3&amp;"!G"&amp;ROW(D29)))</f>
        <v>791875.47053526016</v>
      </c>
      <c r="F29" s="305">
        <v>0</v>
      </c>
      <c r="G29" s="306">
        <f t="shared" ca="1" si="8"/>
        <v>0</v>
      </c>
      <c r="H29" s="304">
        <f ca="1">IF($D$3="BAU",UtilityDemand!G22,INDIRECT($D$3&amp;"!H"&amp;ROW(G29))+INDIRECT($D$3&amp;"!J"&amp;ROW(G29)))</f>
        <v>430713.53336067795</v>
      </c>
      <c r="I29" s="305">
        <v>0</v>
      </c>
      <c r="J29" s="306">
        <f t="shared" ca="1" si="21"/>
        <v>0</v>
      </c>
      <c r="K29" s="307">
        <f t="shared" ca="1" si="9"/>
        <v>130900.77442498306</v>
      </c>
      <c r="L29" s="307">
        <f t="shared" ca="1" si="10"/>
        <v>-103449.11760000001</v>
      </c>
      <c r="M29" s="307">
        <f ca="1">IF($A29&gt;=$AU$23,OFFSET('CHP_NG_Baseload_With DB'!$Q$31,$A29-$AU$23,0),0)</f>
        <v>103449.11760000001</v>
      </c>
      <c r="N29" s="307">
        <f t="shared" ca="1" si="11"/>
        <v>27451.656824983045</v>
      </c>
      <c r="O29" s="1494">
        <f t="shared" ca="1" si="12"/>
        <v>791875.47053526016</v>
      </c>
      <c r="P29" s="306">
        <f t="shared" si="13"/>
        <v>0</v>
      </c>
      <c r="Q29" s="306">
        <v>0</v>
      </c>
      <c r="R29" s="306">
        <f t="shared" ca="1" si="14"/>
        <v>791875.47053526016</v>
      </c>
      <c r="S29" s="818">
        <f t="shared" ca="1" si="15"/>
        <v>430713.53336067795</v>
      </c>
      <c r="T29" s="818">
        <f t="shared" si="16"/>
        <v>0</v>
      </c>
      <c r="U29" s="818">
        <v>0</v>
      </c>
      <c r="V29" s="818">
        <f t="shared" ca="1" si="17"/>
        <v>430713.53336067795</v>
      </c>
      <c r="W29" s="306">
        <f t="shared" si="1"/>
        <v>0</v>
      </c>
      <c r="X29" s="306">
        <f ca="1">SUM(D29,L29)*OFFSET(GridFootprintbyYear,$A29-$A$19,0)+SUM(G29,P29)*Emissions_factor_PurchSteam+SUM(J29,T29)*Emissions_factor_PurchCooling+IF($A29&gt;=$AU$23,OFFSET('CHP_NG_Baseload_With DB'!$AG$31,$A29-$AU$23,0),0)*Emission_Factor_NG+IF($A29&gt;=$AU$23,OFFSET('CHP_NG_Baseload_With DB'!$AA$31,$A29-$AU$23,0),0)*Emission_factor_coal</f>
        <v>-69175.400688347028</v>
      </c>
      <c r="Y29" s="306">
        <v>0</v>
      </c>
      <c r="Z29" s="306">
        <v>0</v>
      </c>
      <c r="AA29" s="308">
        <f ca="1">-SUM(W29,X29/OFFSET(GridFootprintbyYear,$A29-$A$19,0)*EF_PurchElec_MTperMWh,Z29)*OFFSET(ExposureCalculations!Price_GHG_Allowance_2010,A29-$A$19,0)*ExposureCalculations!D26</f>
        <v>1295270.9196640805</v>
      </c>
      <c r="AB29" s="308">
        <f t="shared" ca="1" si="2"/>
        <v>9242859.1263532061</v>
      </c>
      <c r="AC29" s="308">
        <v>0</v>
      </c>
      <c r="AD29" s="819">
        <f t="shared" ca="1" si="3"/>
        <v>0</v>
      </c>
      <c r="AE29" s="308">
        <v>0</v>
      </c>
      <c r="AF29" s="819">
        <f t="shared" ca="1" si="4"/>
        <v>0</v>
      </c>
      <c r="AG29" s="308">
        <v>0</v>
      </c>
      <c r="AH29" s="308">
        <f ca="1">IF($A29&gt;=$AU$23,OFFSET('CHP_NG_Baseload_With DB'!$AL$31,$A29-$AU$23,0)+OFFSET('CHP_NG_Baseload_With DB'!$AN$31,$A29-$AU$23,0),0)</f>
        <v>-5700835.6945111286</v>
      </c>
      <c r="AI29" s="308">
        <v>0</v>
      </c>
      <c r="AJ29" s="308">
        <f t="shared" ca="1" si="5"/>
        <v>3542023.4318420775</v>
      </c>
      <c r="AK29" s="309">
        <v>0</v>
      </c>
      <c r="AL29" s="309">
        <v>0</v>
      </c>
      <c r="AM29" s="309">
        <f t="shared" si="18"/>
        <v>0</v>
      </c>
      <c r="AN29" s="310">
        <f ca="1">IF($A29&gt;=$AU$23,OFFSET('CHP_NG_Baseload_With DB'!$AW$31,$A29-$AU$23,0),0)</f>
        <v>1439188.7175</v>
      </c>
      <c r="AO29" s="310">
        <f ca="1">IF($A29&gt;=$AU$23,OFFSET('CHP_NG_Baseload_With DB'!$AX$31,$A29-$AU$23,0),0)+IF($A29&gt;=$AU$23,OFFSET('CHP_NG_Baseload_With DB'!$BU$31,$A29-$AU$23,0),0)</f>
        <v>-3410047.518542307</v>
      </c>
      <c r="AP29" s="310">
        <f t="shared" ca="1" si="19"/>
        <v>-1970858.8010423069</v>
      </c>
      <c r="AQ29" s="309">
        <v>0</v>
      </c>
      <c r="AR29" s="311">
        <f t="shared" ca="1" si="6"/>
        <v>2866435.5504638506</v>
      </c>
      <c r="AS29" s="870">
        <f t="shared" ca="1" si="20"/>
        <v>12642724.654599603</v>
      </c>
      <c r="AT29" s="822"/>
      <c r="AU29" s="878"/>
      <c r="AV29" s="35"/>
      <c r="AW29" s="879"/>
      <c r="AX29" s="35"/>
      <c r="AY29" s="880"/>
    </row>
    <row r="30" spans="1:65">
      <c r="A30" s="303">
        <v>2021</v>
      </c>
      <c r="B30" s="304">
        <f ca="1">IF($D$3="BAU",UtilityDemand!C23,INDIRECT($D$3&amp;"!B"&amp;ROW(A30))+INDIRECT($D$3&amp;"!D"&amp;ROW(A30)))</f>
        <v>132263.45202583508</v>
      </c>
      <c r="C30" s="305">
        <v>0</v>
      </c>
      <c r="D30" s="306">
        <f t="shared" ca="1" si="7"/>
        <v>0</v>
      </c>
      <c r="E30" s="304">
        <f ca="1">IF($D$3="BAU",UtilityDemand!E23,INDIRECT($D$3&amp;"!E"&amp;ROW(D30))+INDIRECT($D$3&amp;"!G"&amp;ROW(D30)))</f>
        <v>800262.06966493546</v>
      </c>
      <c r="F30" s="305">
        <v>0</v>
      </c>
      <c r="G30" s="306">
        <f t="shared" ca="1" si="8"/>
        <v>0</v>
      </c>
      <c r="H30" s="304">
        <f ca="1">IF($D$3="BAU",UtilityDemand!G23,INDIRECT($D$3&amp;"!H"&amp;ROW(G30))+INDIRECT($D$3&amp;"!J"&amp;ROW(G30)))</f>
        <v>436630.70792328159</v>
      </c>
      <c r="I30" s="305">
        <v>0</v>
      </c>
      <c r="J30" s="306">
        <f t="shared" ca="1" si="21"/>
        <v>0</v>
      </c>
      <c r="K30" s="307">
        <f t="shared" ca="1" si="9"/>
        <v>132263.45202583508</v>
      </c>
      <c r="L30" s="307">
        <f t="shared" ca="1" si="10"/>
        <v>-103449.11760000001</v>
      </c>
      <c r="M30" s="307">
        <f ca="1">IF($A30&gt;=$AU$23,OFFSET('CHP_NG_Baseload_With DB'!$Q$31,$A30-$AU$23,0),0)</f>
        <v>103449.11760000001</v>
      </c>
      <c r="N30" s="307">
        <f t="shared" ca="1" si="11"/>
        <v>28814.33442583507</v>
      </c>
      <c r="O30" s="1494">
        <f t="shared" ca="1" si="12"/>
        <v>800262.06966493546</v>
      </c>
      <c r="P30" s="306">
        <f t="shared" si="13"/>
        <v>0</v>
      </c>
      <c r="Q30" s="306">
        <v>0</v>
      </c>
      <c r="R30" s="306">
        <f t="shared" ca="1" si="14"/>
        <v>800262.06966493546</v>
      </c>
      <c r="S30" s="818">
        <f t="shared" ca="1" si="15"/>
        <v>436630.70792328159</v>
      </c>
      <c r="T30" s="818">
        <f t="shared" si="16"/>
        <v>0</v>
      </c>
      <c r="U30" s="818">
        <v>0</v>
      </c>
      <c r="V30" s="818">
        <f t="shared" ca="1" si="17"/>
        <v>436630.70792328159</v>
      </c>
      <c r="W30" s="306">
        <f t="shared" si="1"/>
        <v>0</v>
      </c>
      <c r="X30" s="306">
        <f ca="1">SUM(D30,L30)*OFFSET(GridFootprintbyYear,$A30-$A$19,0)+SUM(G30,P30)*Emissions_factor_PurchSteam+SUM(J30,T30)*Emissions_factor_PurchCooling+IF($A30&gt;=$AU$23,OFFSET('CHP_NG_Baseload_With DB'!$AG$31,$A30-$AU$23,0),0)*Emission_Factor_NG+IF($A30&gt;=$AU$23,OFFSET('CHP_NG_Baseload_With DB'!$AA$31,$A30-$AU$23,0),0)*Emission_factor_coal</f>
        <v>-69175.400688347028</v>
      </c>
      <c r="Y30" s="306">
        <v>0</v>
      </c>
      <c r="Z30" s="306">
        <v>0</v>
      </c>
      <c r="AA30" s="308">
        <f ca="1">-SUM(W30,X30/OFFSET(GridFootprintbyYear,$A30-$A$19,0)*EF_PurchElec_MTperMWh,Z30)*OFFSET(ExposureCalculations!Price_GHG_Allowance_2010,A30-$A$19,0)*ExposureCalculations!D27</f>
        <v>1442790.7385638573</v>
      </c>
      <c r="AB30" s="308">
        <f t="shared" ca="1" si="2"/>
        <v>9289073.4219849724</v>
      </c>
      <c r="AC30" s="308">
        <v>0</v>
      </c>
      <c r="AD30" s="819">
        <f t="shared" ca="1" si="3"/>
        <v>0</v>
      </c>
      <c r="AE30" s="308">
        <v>0</v>
      </c>
      <c r="AF30" s="819">
        <f t="shared" ca="1" si="4"/>
        <v>0</v>
      </c>
      <c r="AG30" s="308">
        <v>0</v>
      </c>
      <c r="AH30" s="308">
        <f ca="1">IF($A30&gt;=$AU$23,OFFSET('CHP_NG_Baseload_With DB'!$AL$31,$A30-$AU$23,0)+OFFSET('CHP_NG_Baseload_With DB'!$AN$31,$A30-$AU$23,0),0)</f>
        <v>-5700835.6945111286</v>
      </c>
      <c r="AI30" s="308">
        <v>0</v>
      </c>
      <c r="AJ30" s="308">
        <f t="shared" ca="1" si="5"/>
        <v>3588237.7274738438</v>
      </c>
      <c r="AK30" s="309">
        <v>0</v>
      </c>
      <c r="AL30" s="309">
        <v>0</v>
      </c>
      <c r="AM30" s="309">
        <f t="shared" si="18"/>
        <v>0</v>
      </c>
      <c r="AN30" s="310">
        <f ca="1">IF($A30&gt;=$AU$23,OFFSET('CHP_NG_Baseload_With DB'!$AW$31,$A30-$AU$23,0),0)</f>
        <v>1439188.7175</v>
      </c>
      <c r="AO30" s="310">
        <f ca="1">IF($A30&gt;=$AU$23,OFFSET('CHP_NG_Baseload_With DB'!$AX$31,$A30-$AU$23,0),0)+IF($A30&gt;=$AU$23,OFFSET('CHP_NG_Baseload_With DB'!$BU$31,$A30-$AU$23,0),0)</f>
        <v>-3410047.518542307</v>
      </c>
      <c r="AP30" s="310">
        <f t="shared" ca="1" si="19"/>
        <v>-1970858.8010423069</v>
      </c>
      <c r="AQ30" s="309">
        <v>0</v>
      </c>
      <c r="AR30" s="311">
        <f t="shared" ca="1" si="6"/>
        <v>3060169.6649953937</v>
      </c>
      <c r="AS30" s="870">
        <f t="shared" ca="1" si="20"/>
        <v>15702894.319594998</v>
      </c>
      <c r="AT30" s="822"/>
      <c r="AU30" s="878"/>
      <c r="AV30" s="35"/>
      <c r="AW30" s="879"/>
      <c r="AX30" s="35"/>
      <c r="AY30" s="880"/>
    </row>
    <row r="31" spans="1:65">
      <c r="A31" s="303">
        <v>2022</v>
      </c>
      <c r="B31" s="304">
        <f ca="1">IF($D$3="BAU",UtilityDemand!C24,INDIRECT($D$3&amp;"!B"&amp;ROW(A31))+INDIRECT($D$3&amp;"!D"&amp;ROW(A31)))</f>
        <v>133626.12962668712</v>
      </c>
      <c r="C31" s="305">
        <v>0</v>
      </c>
      <c r="D31" s="306">
        <f t="shared" ca="1" si="7"/>
        <v>0</v>
      </c>
      <c r="E31" s="304">
        <f ca="1">IF($D$3="BAU",UtilityDemand!E24,INDIRECT($D$3&amp;"!E"&amp;ROW(D31))+INDIRECT($D$3&amp;"!G"&amp;ROW(D31)))</f>
        <v>808648.668794611</v>
      </c>
      <c r="F31" s="305">
        <v>0</v>
      </c>
      <c r="G31" s="306">
        <f t="shared" ca="1" si="8"/>
        <v>0</v>
      </c>
      <c r="H31" s="304">
        <f ca="1">IF($D$3="BAU",UtilityDemand!G24,INDIRECT($D$3&amp;"!H"&amp;ROW(G31))+INDIRECT($D$3&amp;"!J"&amp;ROW(G31)))</f>
        <v>442547.88248588529</v>
      </c>
      <c r="I31" s="305">
        <v>0</v>
      </c>
      <c r="J31" s="306">
        <f t="shared" ca="1" si="21"/>
        <v>0</v>
      </c>
      <c r="K31" s="307">
        <f t="shared" ca="1" si="9"/>
        <v>133626.12962668712</v>
      </c>
      <c r="L31" s="307">
        <f t="shared" ca="1" si="10"/>
        <v>-103449.11760000001</v>
      </c>
      <c r="M31" s="307">
        <f ca="1">IF($A31&gt;=$AU$23,OFFSET('CHP_NG_Baseload_With DB'!$Q$31,$A31-$AU$23,0),0)</f>
        <v>103449.11760000001</v>
      </c>
      <c r="N31" s="307">
        <f t="shared" ca="1" si="11"/>
        <v>30177.012026687109</v>
      </c>
      <c r="O31" s="1494">
        <f t="shared" ca="1" si="12"/>
        <v>808648.668794611</v>
      </c>
      <c r="P31" s="306">
        <f t="shared" si="13"/>
        <v>0</v>
      </c>
      <c r="Q31" s="306">
        <v>0</v>
      </c>
      <c r="R31" s="306">
        <f t="shared" ca="1" si="14"/>
        <v>808648.668794611</v>
      </c>
      <c r="S31" s="818">
        <f t="shared" ca="1" si="15"/>
        <v>442547.88248588529</v>
      </c>
      <c r="T31" s="818">
        <f t="shared" si="16"/>
        <v>0</v>
      </c>
      <c r="U31" s="818">
        <v>0</v>
      </c>
      <c r="V31" s="818">
        <f t="shared" ca="1" si="17"/>
        <v>442547.88248588529</v>
      </c>
      <c r="W31" s="306">
        <f t="shared" si="1"/>
        <v>0</v>
      </c>
      <c r="X31" s="306">
        <f ca="1">SUM(D31,L31)*OFFSET(GridFootprintbyYear,$A31-$A$19,0)+SUM(G31,P31)*Emissions_factor_PurchSteam+SUM(J31,T31)*Emissions_factor_PurchCooling+IF($A31&gt;=$AU$23,OFFSET('CHP_NG_Baseload_With DB'!$AG$31,$A31-$AU$23,0),0)*Emission_Factor_NG+IF($A31&gt;=$AU$23,OFFSET('CHP_NG_Baseload_With DB'!$AA$31,$A31-$AU$23,0),0)*Emission_factor_coal</f>
        <v>-69175.400688347028</v>
      </c>
      <c r="Y31" s="306">
        <v>0</v>
      </c>
      <c r="Z31" s="306">
        <v>0</v>
      </c>
      <c r="AA31" s="308">
        <f ca="1">-SUM(W31,X31/OFFSET(GridFootprintbyYear,$A31-$A$19,0)*EF_PurchElec_MTperMWh,Z31)*OFFSET(ExposureCalculations!Price_GHG_Allowance_2010,A31-$A$19,0)*ExposureCalculations!D28</f>
        <v>1596003.4414358051</v>
      </c>
      <c r="AB31" s="308">
        <f t="shared" ca="1" si="2"/>
        <v>9335518.7890948933</v>
      </c>
      <c r="AC31" s="308">
        <v>0</v>
      </c>
      <c r="AD31" s="819">
        <f t="shared" ca="1" si="3"/>
        <v>0</v>
      </c>
      <c r="AE31" s="308">
        <v>0</v>
      </c>
      <c r="AF31" s="819">
        <f t="shared" ca="1" si="4"/>
        <v>0</v>
      </c>
      <c r="AG31" s="308">
        <v>0</v>
      </c>
      <c r="AH31" s="308">
        <f ca="1">IF($A31&gt;=$AU$23,OFFSET('CHP_NG_Baseload_With DB'!$AL$31,$A31-$AU$23,0)+OFFSET('CHP_NG_Baseload_With DB'!$AN$31,$A31-$AU$23,0),0)</f>
        <v>-5700835.6945111286</v>
      </c>
      <c r="AI31" s="308">
        <v>0</v>
      </c>
      <c r="AJ31" s="308">
        <f t="shared" ca="1" si="5"/>
        <v>3634683.0945837647</v>
      </c>
      <c r="AK31" s="309">
        <v>0</v>
      </c>
      <c r="AL31" s="309">
        <v>0</v>
      </c>
      <c r="AM31" s="309">
        <f t="shared" si="18"/>
        <v>0</v>
      </c>
      <c r="AN31" s="310">
        <f ca="1">IF($A31&gt;=$AU$23,OFFSET('CHP_NG_Baseload_With DB'!$AW$31,$A31-$AU$23,0),0)</f>
        <v>1439188.7175</v>
      </c>
      <c r="AO31" s="310">
        <f ca="1">IF($A31&gt;=$AU$23,OFFSET('CHP_NG_Baseload_With DB'!$AX$31,$A31-$AU$23,0),0)+IF($A31&gt;=$AU$23,OFFSET('CHP_NG_Baseload_With DB'!$BU$31,$A31-$AU$23,0),0)</f>
        <v>-3410047.518542307</v>
      </c>
      <c r="AP31" s="310">
        <f t="shared" ca="1" si="19"/>
        <v>-1970858.8010423069</v>
      </c>
      <c r="AQ31" s="309">
        <v>0</v>
      </c>
      <c r="AR31" s="311">
        <f t="shared" ca="1" si="6"/>
        <v>3259827.7349772621</v>
      </c>
      <c r="AS31" s="870">
        <f t="shared" ca="1" si="20"/>
        <v>18962722.054572262</v>
      </c>
      <c r="AT31" s="822"/>
      <c r="AU31" s="878"/>
      <c r="AV31" s="35"/>
      <c r="AW31" s="879"/>
      <c r="AX31" s="35"/>
      <c r="AY31" s="880"/>
    </row>
    <row r="32" spans="1:65">
      <c r="A32" s="303">
        <v>2023</v>
      </c>
      <c r="B32" s="304">
        <f ca="1">IF($D$3="BAU",UtilityDemand!C25,INDIRECT($D$3&amp;"!B"&amp;ROW(A32))+INDIRECT($D$3&amp;"!D"&amp;ROW(A32)))</f>
        <v>134988.80722753916</v>
      </c>
      <c r="C32" s="305">
        <v>0</v>
      </c>
      <c r="D32" s="306">
        <f t="shared" ca="1" si="7"/>
        <v>0</v>
      </c>
      <c r="E32" s="304">
        <f ca="1">IF($D$3="BAU",UtilityDemand!E25,INDIRECT($D$3&amp;"!E"&amp;ROW(D32))+INDIRECT($D$3&amp;"!G"&amp;ROW(D32)))</f>
        <v>817035.26792428643</v>
      </c>
      <c r="F32" s="305">
        <v>0</v>
      </c>
      <c r="G32" s="306">
        <f t="shared" ca="1" si="8"/>
        <v>0</v>
      </c>
      <c r="H32" s="304">
        <f ca="1">IF($D$3="BAU",UtilityDemand!G25,INDIRECT($D$3&amp;"!H"&amp;ROW(G32))+INDIRECT($D$3&amp;"!J"&amp;ROW(G32)))</f>
        <v>448465.05704848899</v>
      </c>
      <c r="I32" s="305">
        <v>0</v>
      </c>
      <c r="J32" s="306">
        <f t="shared" ca="1" si="21"/>
        <v>0</v>
      </c>
      <c r="K32" s="307">
        <f t="shared" ca="1" si="9"/>
        <v>134988.80722753916</v>
      </c>
      <c r="L32" s="307">
        <f t="shared" ca="1" si="10"/>
        <v>-103449.11760000001</v>
      </c>
      <c r="M32" s="307">
        <f ca="1">IF($A32&gt;=$AU$23,OFFSET('CHP_NG_Baseload_With DB'!$Q$31,$A32-$AU$23,0),0)</f>
        <v>103449.11760000001</v>
      </c>
      <c r="N32" s="307">
        <f t="shared" ca="1" si="11"/>
        <v>31539.689627539148</v>
      </c>
      <c r="O32" s="1494">
        <f t="shared" ca="1" si="12"/>
        <v>817035.26792428643</v>
      </c>
      <c r="P32" s="306">
        <f t="shared" si="13"/>
        <v>0</v>
      </c>
      <c r="Q32" s="306">
        <v>0</v>
      </c>
      <c r="R32" s="306">
        <f t="shared" ca="1" si="14"/>
        <v>817035.26792428643</v>
      </c>
      <c r="S32" s="818">
        <f t="shared" ca="1" si="15"/>
        <v>448465.05704848899</v>
      </c>
      <c r="T32" s="818">
        <f t="shared" si="16"/>
        <v>0</v>
      </c>
      <c r="U32" s="818">
        <v>0</v>
      </c>
      <c r="V32" s="818">
        <f t="shared" ca="1" si="17"/>
        <v>448465.05704848899</v>
      </c>
      <c r="W32" s="306">
        <f t="shared" si="1"/>
        <v>0</v>
      </c>
      <c r="X32" s="306">
        <f ca="1">SUM(D32,L32)*OFFSET(GridFootprintbyYear,$A32-$A$19,0)+SUM(G32,P32)*Emissions_factor_PurchSteam+SUM(J32,T32)*Emissions_factor_PurchCooling+IF($A32&gt;=$AU$23,OFFSET('CHP_NG_Baseload_With DB'!$AG$31,$A32-$AU$23,0),0)*Emission_Factor_NG+IF($A32&gt;=$AU$23,OFFSET('CHP_NG_Baseload_With DB'!$AA$31,$A32-$AU$23,0),0)*Emission_factor_coal</f>
        <v>-69175.400688347028</v>
      </c>
      <c r="Y32" s="306">
        <v>0</v>
      </c>
      <c r="Z32" s="306">
        <v>0</v>
      </c>
      <c r="AA32" s="308">
        <f ca="1">-SUM(W32,X32/OFFSET(GridFootprintbyYear,$A32-$A$19,0)*EF_PurchElec_MTperMWh,Z32)*OFFSET(ExposureCalculations!Price_GHG_Allowance_2010,A32-$A$19,0)*ExposureCalculations!D29</f>
        <v>1754679.4718999334</v>
      </c>
      <c r="AB32" s="308">
        <f t="shared" ca="1" si="2"/>
        <v>9382196.3830403686</v>
      </c>
      <c r="AC32" s="308">
        <v>0</v>
      </c>
      <c r="AD32" s="819">
        <f t="shared" ca="1" si="3"/>
        <v>0</v>
      </c>
      <c r="AE32" s="308">
        <v>0</v>
      </c>
      <c r="AF32" s="819">
        <f t="shared" ca="1" si="4"/>
        <v>0</v>
      </c>
      <c r="AG32" s="308">
        <v>0</v>
      </c>
      <c r="AH32" s="308">
        <f ca="1">IF($A32&gt;=$AU$23,OFFSET('CHP_NG_Baseload_With DB'!$AL$31,$A32-$AU$23,0)+OFFSET('CHP_NG_Baseload_With DB'!$AN$31,$A32-$AU$23,0),0)</f>
        <v>-5700835.6945111286</v>
      </c>
      <c r="AI32" s="308">
        <v>0</v>
      </c>
      <c r="AJ32" s="308">
        <f t="shared" ca="1" si="5"/>
        <v>3681360.68852924</v>
      </c>
      <c r="AK32" s="309">
        <v>0</v>
      </c>
      <c r="AL32" s="309">
        <v>0</v>
      </c>
      <c r="AM32" s="309">
        <f t="shared" si="18"/>
        <v>0</v>
      </c>
      <c r="AN32" s="310">
        <f ca="1">IF($A32&gt;=$AU$23,OFFSET('CHP_NG_Baseload_With DB'!$AW$31,$A32-$AU$23,0),0)</f>
        <v>1439188.7175</v>
      </c>
      <c r="AO32" s="310">
        <f ca="1">IF($A32&gt;=$AU$23,OFFSET('CHP_NG_Baseload_With DB'!$AX$31,$A32-$AU$23,0),0)+IF($A32&gt;=$AU$23,OFFSET('CHP_NG_Baseload_With DB'!$BU$31,$A32-$AU$23,0),0)</f>
        <v>-3410047.518542307</v>
      </c>
      <c r="AP32" s="310">
        <f t="shared" ca="1" si="19"/>
        <v>-1970858.8010423069</v>
      </c>
      <c r="AQ32" s="309">
        <v>0</v>
      </c>
      <c r="AR32" s="311">
        <f t="shared" ca="1" si="6"/>
        <v>3465181.359386866</v>
      </c>
      <c r="AS32" s="870">
        <f t="shared" ca="1" si="20"/>
        <v>22427903.413959127</v>
      </c>
      <c r="AT32" s="822"/>
      <c r="AU32" s="878"/>
      <c r="AV32" s="35"/>
      <c r="AW32" s="879"/>
      <c r="AX32" s="35"/>
      <c r="AY32" s="880"/>
    </row>
    <row r="33" spans="1:51">
      <c r="A33" s="303">
        <v>2024</v>
      </c>
      <c r="B33" s="304">
        <f ca="1">IF($D$3="BAU",UtilityDemand!C26,INDIRECT($D$3&amp;"!B"&amp;ROW(A33))+INDIRECT($D$3&amp;"!D"&amp;ROW(A33)))</f>
        <v>136351.48482839117</v>
      </c>
      <c r="C33" s="305">
        <v>0</v>
      </c>
      <c r="D33" s="306">
        <f t="shared" ca="1" si="7"/>
        <v>0</v>
      </c>
      <c r="E33" s="304">
        <f ca="1">IF($D$3="BAU",UtilityDemand!E26,INDIRECT($D$3&amp;"!E"&amp;ROW(D33))+INDIRECT($D$3&amp;"!G"&amp;ROW(D33)))</f>
        <v>825421.86705396173</v>
      </c>
      <c r="F33" s="305">
        <v>0</v>
      </c>
      <c r="G33" s="306">
        <f t="shared" ca="1" si="8"/>
        <v>0</v>
      </c>
      <c r="H33" s="304">
        <f ca="1">IF($D$3="BAU",UtilityDemand!G26,INDIRECT($D$3&amp;"!H"&amp;ROW(G33))+INDIRECT($D$3&amp;"!J"&amp;ROW(G33)))</f>
        <v>454382.23161109269</v>
      </c>
      <c r="I33" s="305">
        <v>0</v>
      </c>
      <c r="J33" s="306">
        <f t="shared" ca="1" si="21"/>
        <v>0</v>
      </c>
      <c r="K33" s="307">
        <f t="shared" ca="1" si="9"/>
        <v>136351.48482839117</v>
      </c>
      <c r="L33" s="307">
        <f t="shared" ca="1" si="10"/>
        <v>-103449.11760000001</v>
      </c>
      <c r="M33" s="307">
        <f ca="1">IF($A33&gt;=$AU$23,OFFSET('CHP_NG_Baseload_With DB'!$Q$31,$A33-$AU$23,0),0)</f>
        <v>103449.11760000001</v>
      </c>
      <c r="N33" s="307">
        <f t="shared" ca="1" si="11"/>
        <v>32902.367228391158</v>
      </c>
      <c r="O33" s="1494">
        <f t="shared" ca="1" si="12"/>
        <v>825421.86705396173</v>
      </c>
      <c r="P33" s="306">
        <f t="shared" si="13"/>
        <v>0</v>
      </c>
      <c r="Q33" s="306">
        <v>0</v>
      </c>
      <c r="R33" s="306">
        <f t="shared" ca="1" si="14"/>
        <v>825421.86705396173</v>
      </c>
      <c r="S33" s="818">
        <f t="shared" ca="1" si="15"/>
        <v>454382.23161109269</v>
      </c>
      <c r="T33" s="818">
        <f t="shared" si="16"/>
        <v>0</v>
      </c>
      <c r="U33" s="818">
        <v>0</v>
      </c>
      <c r="V33" s="818">
        <f t="shared" ca="1" si="17"/>
        <v>454382.23161109269</v>
      </c>
      <c r="W33" s="306">
        <f t="shared" si="1"/>
        <v>0</v>
      </c>
      <c r="X33" s="306">
        <f ca="1">SUM(D33,L33)*OFFSET(GridFootprintbyYear,$A33-$A$19,0)+SUM(G33,P33)*Emissions_factor_PurchSteam+SUM(J33,T33)*Emissions_factor_PurchCooling+IF($A33&gt;=$AU$23,OFFSET('CHP_NG_Baseload_With DB'!$AG$31,$A33-$AU$23,0),0)*Emission_Factor_NG+IF($A33&gt;=$AU$23,OFFSET('CHP_NG_Baseload_With DB'!$AA$31,$A33-$AU$23,0),0)*Emission_factor_coal</f>
        <v>-69175.400688347028</v>
      </c>
      <c r="Y33" s="306">
        <v>0</v>
      </c>
      <c r="Z33" s="306">
        <v>0</v>
      </c>
      <c r="AA33" s="308">
        <f ca="1">-SUM(W33,X33/OFFSET(GridFootprintbyYear,$A33-$A$19,0)*EF_PurchElec_MTperMWh,Z33)*OFFSET(ExposureCalculations!Price_GHG_Allowance_2010,A33-$A$19,0)*ExposureCalculations!D30</f>
        <v>1918590.8574327286</v>
      </c>
      <c r="AB33" s="308">
        <f t="shared" ca="1" si="2"/>
        <v>9429107.3649555687</v>
      </c>
      <c r="AC33" s="308">
        <v>0</v>
      </c>
      <c r="AD33" s="819">
        <f t="shared" ca="1" si="3"/>
        <v>0</v>
      </c>
      <c r="AE33" s="308">
        <v>0</v>
      </c>
      <c r="AF33" s="819">
        <f t="shared" ca="1" si="4"/>
        <v>0</v>
      </c>
      <c r="AG33" s="308">
        <v>0</v>
      </c>
      <c r="AH33" s="308">
        <f ca="1">IF($A33&gt;=$AU$23,OFFSET('CHP_NG_Baseload_With DB'!$AL$31,$A33-$AU$23,0)+OFFSET('CHP_NG_Baseload_With DB'!$AN$31,$A33-$AU$23,0),0)</f>
        <v>-5700835.6945111286</v>
      </c>
      <c r="AI33" s="308">
        <v>0</v>
      </c>
      <c r="AJ33" s="308">
        <f t="shared" ca="1" si="5"/>
        <v>3728271.6704444401</v>
      </c>
      <c r="AK33" s="309">
        <v>0</v>
      </c>
      <c r="AL33" s="309">
        <v>0</v>
      </c>
      <c r="AM33" s="309">
        <f t="shared" si="18"/>
        <v>0</v>
      </c>
      <c r="AN33" s="310">
        <f ca="1">IF($A33&gt;=$AU$23,OFFSET('CHP_NG_Baseload_With DB'!$AW$31,$A33-$AU$23,0),0)</f>
        <v>1439188.7175</v>
      </c>
      <c r="AO33" s="310">
        <f ca="1">IF($A33&gt;=$AU$23,OFFSET('CHP_NG_Baseload_With DB'!$AX$31,$A33-$AU$23,0),0)+IF($A33&gt;=$AU$23,OFFSET('CHP_NG_Baseload_With DB'!$BU$31,$A33-$AU$23,0),0)</f>
        <v>-3410047.518542307</v>
      </c>
      <c r="AP33" s="310">
        <f t="shared" ca="1" si="19"/>
        <v>-1970858.8010423069</v>
      </c>
      <c r="AQ33" s="309">
        <v>0</v>
      </c>
      <c r="AR33" s="311">
        <f t="shared" ca="1" si="6"/>
        <v>3676003.7268348616</v>
      </c>
      <c r="AS33" s="870">
        <f t="shared" ca="1" si="20"/>
        <v>26103907.140793987</v>
      </c>
      <c r="AT33" s="822"/>
      <c r="AU33" s="878"/>
      <c r="AV33" s="35"/>
      <c r="AW33" s="879"/>
      <c r="AX33" s="35"/>
      <c r="AY33" s="880"/>
    </row>
    <row r="34" spans="1:51">
      <c r="A34" s="303">
        <v>2025</v>
      </c>
      <c r="B34" s="304">
        <f ca="1">IF($D$3="BAU",UtilityDemand!C27,INDIRECT($D$3&amp;"!B"&amp;ROW(A34))+INDIRECT($D$3&amp;"!D"&amp;ROW(A34)))</f>
        <v>137714.16242924321</v>
      </c>
      <c r="C34" s="305">
        <v>0</v>
      </c>
      <c r="D34" s="306">
        <f t="shared" ca="1" si="7"/>
        <v>0</v>
      </c>
      <c r="E34" s="304">
        <f ca="1">IF($D$3="BAU",UtilityDemand!E27,INDIRECT($D$3&amp;"!E"&amp;ROW(D34))+INDIRECT($D$3&amp;"!G"&amp;ROW(D34)))</f>
        <v>833808.46618363715</v>
      </c>
      <c r="F34" s="305">
        <v>0</v>
      </c>
      <c r="G34" s="306">
        <f t="shared" ca="1" si="8"/>
        <v>0</v>
      </c>
      <c r="H34" s="304">
        <f ca="1">IF($D$3="BAU",UtilityDemand!G27,INDIRECT($D$3&amp;"!H"&amp;ROW(G34))+INDIRECT($D$3&amp;"!J"&amp;ROW(G34)))</f>
        <v>460299.40617369639</v>
      </c>
      <c r="I34" s="305">
        <v>0</v>
      </c>
      <c r="J34" s="306">
        <f t="shared" ca="1" si="21"/>
        <v>0</v>
      </c>
      <c r="K34" s="307">
        <f t="shared" ca="1" si="9"/>
        <v>137714.16242924321</v>
      </c>
      <c r="L34" s="307">
        <f t="shared" ca="1" si="10"/>
        <v>-103449.11760000001</v>
      </c>
      <c r="M34" s="307">
        <f ca="1">IF($A34&gt;=$AU$23,OFFSET('CHP_NG_Baseload_With DB'!$Q$31,$A34-$AU$23,0),0)</f>
        <v>103449.11760000001</v>
      </c>
      <c r="N34" s="307">
        <f t="shared" ca="1" si="11"/>
        <v>34265.044829243197</v>
      </c>
      <c r="O34" s="1494">
        <f t="shared" ca="1" si="12"/>
        <v>833808.46618363715</v>
      </c>
      <c r="P34" s="306">
        <f t="shared" si="13"/>
        <v>0</v>
      </c>
      <c r="Q34" s="306">
        <v>0</v>
      </c>
      <c r="R34" s="306">
        <f t="shared" ca="1" si="14"/>
        <v>833808.46618363715</v>
      </c>
      <c r="S34" s="818">
        <f t="shared" ca="1" si="15"/>
        <v>460299.40617369639</v>
      </c>
      <c r="T34" s="818">
        <f t="shared" si="16"/>
        <v>0</v>
      </c>
      <c r="U34" s="818">
        <v>0</v>
      </c>
      <c r="V34" s="818">
        <f t="shared" ca="1" si="17"/>
        <v>460299.40617369639</v>
      </c>
      <c r="W34" s="306">
        <f t="shared" si="1"/>
        <v>0</v>
      </c>
      <c r="X34" s="306">
        <f ca="1">SUM(D34,L34)*OFFSET(GridFootprintbyYear,$A34-$A$19,0)+SUM(G34,P34)*Emissions_factor_PurchSteam+SUM(J34,T34)*Emissions_factor_PurchCooling+IF($A34&gt;=$AU$23,OFFSET('CHP_NG_Baseload_With DB'!$AG$31,$A34-$AU$23,0),0)*Emission_Factor_NG+IF($A34&gt;=$AU$23,OFFSET('CHP_NG_Baseload_With DB'!$AA$31,$A34-$AU$23,0),0)*Emission_factor_coal</f>
        <v>-69175.400688347028</v>
      </c>
      <c r="Y34" s="306">
        <v>0</v>
      </c>
      <c r="Z34" s="306">
        <v>0</v>
      </c>
      <c r="AA34" s="308">
        <f ca="1">-SUM(W34,X34/OFFSET(GridFootprintbyYear,$A34-$A$19,0)*EF_PurchElec_MTperMWh,Z34)*OFFSET(ExposureCalculations!Price_GHG_Allowance_2010,A34-$A$19,0)*ExposureCalculations!D31</f>
        <v>2087511.2131855218</v>
      </c>
      <c r="AB34" s="308">
        <f t="shared" ca="1" si="2"/>
        <v>9476252.9017803445</v>
      </c>
      <c r="AC34" s="308">
        <v>0</v>
      </c>
      <c r="AD34" s="819">
        <f t="shared" ca="1" si="3"/>
        <v>0</v>
      </c>
      <c r="AE34" s="308">
        <v>0</v>
      </c>
      <c r="AF34" s="819">
        <f t="shared" ca="1" si="4"/>
        <v>0</v>
      </c>
      <c r="AG34" s="308">
        <v>0</v>
      </c>
      <c r="AH34" s="308">
        <f ca="1">IF($A34&gt;=$AU$23,OFFSET('CHP_NG_Baseload_With DB'!$AL$31,$A34-$AU$23,0)+OFFSET('CHP_NG_Baseload_With DB'!$AN$31,$A34-$AU$23,0),0)</f>
        <v>-5700835.6945111286</v>
      </c>
      <c r="AI34" s="308">
        <v>0</v>
      </c>
      <c r="AJ34" s="308">
        <f t="shared" ca="1" si="5"/>
        <v>3775417.207269216</v>
      </c>
      <c r="AK34" s="309">
        <v>0</v>
      </c>
      <c r="AL34" s="309">
        <v>0</v>
      </c>
      <c r="AM34" s="309">
        <f t="shared" si="18"/>
        <v>0</v>
      </c>
      <c r="AN34" s="310">
        <f ca="1">IF($A34&gt;=$AU$23,OFFSET('CHP_NG_Baseload_With DB'!$AW$31,$A34-$AU$23,0),0)</f>
        <v>1439188.7175</v>
      </c>
      <c r="AO34" s="310">
        <f ca="1">IF($A34&gt;=$AU$23,OFFSET('CHP_NG_Baseload_With DB'!$AX$31,$A34-$AU$23,0),0)+IF($A34&gt;=$AU$23,OFFSET('CHP_NG_Baseload_With DB'!$BU$31,$A34-$AU$23,0),0)</f>
        <v>-3410047.518542307</v>
      </c>
      <c r="AP34" s="310">
        <f t="shared" ca="1" si="19"/>
        <v>-1970858.8010423069</v>
      </c>
      <c r="AQ34" s="309">
        <v>0</v>
      </c>
      <c r="AR34" s="311">
        <f t="shared" ca="1" si="6"/>
        <v>3892069.6194124306</v>
      </c>
      <c r="AS34" s="870">
        <f t="shared" ca="1" si="20"/>
        <v>29995976.760206416</v>
      </c>
      <c r="AT34" s="822"/>
      <c r="AU34" s="878"/>
      <c r="AV34" s="35"/>
      <c r="AW34" s="879"/>
      <c r="AX34" s="35"/>
      <c r="AY34" s="880"/>
    </row>
    <row r="35" spans="1:51">
      <c r="A35" s="303">
        <v>2026</v>
      </c>
      <c r="B35" s="304">
        <f ca="1">IF($D$3="BAU",UtilityDemand!C28,INDIRECT($D$3&amp;"!B"&amp;ROW(A35))+INDIRECT($D$3&amp;"!D"&amp;ROW(A35)))</f>
        <v>139076.84003009525</v>
      </c>
      <c r="C35" s="305">
        <v>0</v>
      </c>
      <c r="D35" s="306">
        <f t="shared" ca="1" si="7"/>
        <v>0</v>
      </c>
      <c r="E35" s="304">
        <f ca="1">IF($D$3="BAU",UtilityDemand!E28,INDIRECT($D$3&amp;"!E"&amp;ROW(D35))+INDIRECT($D$3&amp;"!G"&amp;ROW(D35)))</f>
        <v>842195.06531331246</v>
      </c>
      <c r="F35" s="305">
        <v>0</v>
      </c>
      <c r="G35" s="306">
        <f t="shared" ca="1" si="8"/>
        <v>0</v>
      </c>
      <c r="H35" s="304">
        <f ca="1">IF($D$3="BAU",UtilityDemand!G28,INDIRECT($D$3&amp;"!H"&amp;ROW(G35))+INDIRECT($D$3&amp;"!J"&amp;ROW(G35)))</f>
        <v>466216.58073630009</v>
      </c>
      <c r="I35" s="305">
        <v>0</v>
      </c>
      <c r="J35" s="306">
        <f t="shared" ca="1" si="21"/>
        <v>0</v>
      </c>
      <c r="K35" s="307">
        <f t="shared" ca="1" si="9"/>
        <v>139076.84003009525</v>
      </c>
      <c r="L35" s="307">
        <f t="shared" ca="1" si="10"/>
        <v>-103449.11760000001</v>
      </c>
      <c r="M35" s="307">
        <f ca="1">IF($A35&gt;=$AU$23,OFFSET('CHP_NG_Baseload_With DB'!$Q$31,$A35-$AU$23,0),0)</f>
        <v>103449.11760000001</v>
      </c>
      <c r="N35" s="307">
        <f t="shared" ca="1" si="11"/>
        <v>35627.722430095237</v>
      </c>
      <c r="O35" s="1494">
        <f t="shared" ca="1" si="12"/>
        <v>842195.06531331246</v>
      </c>
      <c r="P35" s="306">
        <f t="shared" si="13"/>
        <v>0</v>
      </c>
      <c r="Q35" s="306">
        <v>0</v>
      </c>
      <c r="R35" s="306">
        <f t="shared" ca="1" si="14"/>
        <v>842195.06531331246</v>
      </c>
      <c r="S35" s="818">
        <f t="shared" ca="1" si="15"/>
        <v>466216.58073630009</v>
      </c>
      <c r="T35" s="818">
        <f t="shared" si="16"/>
        <v>0</v>
      </c>
      <c r="U35" s="818">
        <v>0</v>
      </c>
      <c r="V35" s="818">
        <f t="shared" ca="1" si="17"/>
        <v>466216.58073630009</v>
      </c>
      <c r="W35" s="306">
        <f t="shared" si="1"/>
        <v>0</v>
      </c>
      <c r="X35" s="306">
        <f ca="1">SUM(D35,L35)*OFFSET(GridFootprintbyYear,$A35-$A$19,0)+SUM(G35,P35)*Emissions_factor_PurchSteam+SUM(J35,T35)*Emissions_factor_PurchCooling+IF($A35&gt;=$AU$23,OFFSET('CHP_NG_Baseload_With DB'!$AG$31,$A35-$AU$23,0),0)*Emission_Factor_NG+IF($A35&gt;=$AU$23,OFFSET('CHP_NG_Baseload_With DB'!$AA$31,$A35-$AU$23,0),0)*Emission_factor_coal</f>
        <v>-69175.400688347028</v>
      </c>
      <c r="Y35" s="306">
        <v>0</v>
      </c>
      <c r="Z35" s="306">
        <v>0</v>
      </c>
      <c r="AA35" s="308">
        <f ca="1">-SUM(W35,X35/OFFSET(GridFootprintbyYear,$A35-$A$19,0)*EF_PurchElec_MTperMWh,Z35)*OFFSET(ExposureCalculations!Price_GHG_Allowance_2010,A35-$A$19,0)*ExposureCalculations!D32</f>
        <v>2278462.463761799</v>
      </c>
      <c r="AB35" s="308">
        <f t="shared" ca="1" si="2"/>
        <v>9523634.1662892438</v>
      </c>
      <c r="AC35" s="308">
        <v>0</v>
      </c>
      <c r="AD35" s="819">
        <f t="shared" ca="1" si="3"/>
        <v>0</v>
      </c>
      <c r="AE35" s="308">
        <v>0</v>
      </c>
      <c r="AF35" s="819">
        <f t="shared" ca="1" si="4"/>
        <v>0</v>
      </c>
      <c r="AG35" s="308">
        <v>0</v>
      </c>
      <c r="AH35" s="308">
        <f ca="1">IF($A35&gt;=$AU$23,OFFSET('CHP_NG_Baseload_With DB'!$AL$31,$A35-$AU$23,0)+OFFSET('CHP_NG_Baseload_With DB'!$AN$31,$A35-$AU$23,0),0)</f>
        <v>-5700835.6945111286</v>
      </c>
      <c r="AI35" s="308">
        <v>0</v>
      </c>
      <c r="AJ35" s="308">
        <f t="shared" ca="1" si="5"/>
        <v>3822798.4717781153</v>
      </c>
      <c r="AK35" s="309">
        <v>0</v>
      </c>
      <c r="AL35" s="309">
        <v>0</v>
      </c>
      <c r="AM35" s="309">
        <f t="shared" si="18"/>
        <v>0</v>
      </c>
      <c r="AN35" s="310">
        <f ca="1">IF($A35&gt;=$AU$23,OFFSET('CHP_NG_Baseload_With DB'!$AW$31,$A35-$AU$23,0),0)</f>
        <v>1439188.7175</v>
      </c>
      <c r="AO35" s="310">
        <f ca="1">IF($A35&gt;=$AU$23,OFFSET('CHP_NG_Baseload_With DB'!$AX$31,$A35-$AU$23,0),0)+IF($A35&gt;=$AU$23,OFFSET('CHP_NG_Baseload_With DB'!$BU$31,$A35-$AU$23,0),0)</f>
        <v>-3410047.518542307</v>
      </c>
      <c r="AP35" s="310">
        <f t="shared" ca="1" si="19"/>
        <v>-1970858.8010423069</v>
      </c>
      <c r="AQ35" s="309">
        <v>0</v>
      </c>
      <c r="AR35" s="311">
        <f t="shared" ca="1" si="6"/>
        <v>4130402.1344976071</v>
      </c>
      <c r="AS35" s="870">
        <f t="shared" ca="1" si="20"/>
        <v>34126378.894704022</v>
      </c>
      <c r="AT35" s="822"/>
      <c r="AU35" s="878"/>
      <c r="AV35" s="35"/>
      <c r="AW35" s="879"/>
      <c r="AX35" s="35"/>
      <c r="AY35" s="880"/>
    </row>
    <row r="36" spans="1:51">
      <c r="A36" s="303">
        <v>2027</v>
      </c>
      <c r="B36" s="304">
        <f ca="1">IF($D$3="BAU",UtilityDemand!C29,INDIRECT($D$3&amp;"!B"&amp;ROW(A36))+INDIRECT($D$3&amp;"!D"&amp;ROW(A36)))</f>
        <v>140439.51763094723</v>
      </c>
      <c r="C36" s="305">
        <v>0</v>
      </c>
      <c r="D36" s="306">
        <f t="shared" ca="1" si="7"/>
        <v>0</v>
      </c>
      <c r="E36" s="304">
        <f ca="1">IF($D$3="BAU",UtilityDemand!E29,INDIRECT($D$3&amp;"!E"&amp;ROW(D36))+INDIRECT($D$3&amp;"!G"&amp;ROW(D36)))</f>
        <v>850581.66444298776</v>
      </c>
      <c r="F36" s="305">
        <v>0</v>
      </c>
      <c r="G36" s="306">
        <f t="shared" ca="1" si="8"/>
        <v>0</v>
      </c>
      <c r="H36" s="304">
        <f ca="1">IF($D$3="BAU",UtilityDemand!G29,INDIRECT($D$3&amp;"!H"&amp;ROW(G36))+INDIRECT($D$3&amp;"!J"&amp;ROW(G36)))</f>
        <v>472133.75529890379</v>
      </c>
      <c r="I36" s="305">
        <v>0</v>
      </c>
      <c r="J36" s="306">
        <f t="shared" ca="1" si="21"/>
        <v>0</v>
      </c>
      <c r="K36" s="307">
        <f t="shared" ca="1" si="9"/>
        <v>140439.51763094723</v>
      </c>
      <c r="L36" s="307">
        <f t="shared" ca="1" si="10"/>
        <v>-103449.11760000001</v>
      </c>
      <c r="M36" s="307">
        <f ca="1">IF($A36&gt;=$AU$23,OFFSET('CHP_NG_Baseload_With DB'!$Q$31,$A36-$AU$23,0),0)</f>
        <v>103449.11760000001</v>
      </c>
      <c r="N36" s="307">
        <f t="shared" ca="1" si="11"/>
        <v>36990.400030947218</v>
      </c>
      <c r="O36" s="1494">
        <f t="shared" ca="1" si="12"/>
        <v>850581.66444298776</v>
      </c>
      <c r="P36" s="306">
        <f t="shared" si="13"/>
        <v>0</v>
      </c>
      <c r="Q36" s="306">
        <v>0</v>
      </c>
      <c r="R36" s="306">
        <f t="shared" ca="1" si="14"/>
        <v>850581.66444298776</v>
      </c>
      <c r="S36" s="818">
        <f t="shared" ca="1" si="15"/>
        <v>472133.75529890379</v>
      </c>
      <c r="T36" s="818">
        <f t="shared" si="16"/>
        <v>0</v>
      </c>
      <c r="U36" s="818">
        <v>0</v>
      </c>
      <c r="V36" s="818">
        <f t="shared" ca="1" si="17"/>
        <v>472133.75529890379</v>
      </c>
      <c r="W36" s="306">
        <f t="shared" si="1"/>
        <v>0</v>
      </c>
      <c r="X36" s="306">
        <f ca="1">SUM(D36,L36)*OFFSET(GridFootprintbyYear,$A36-$A$19,0)+SUM(G36,P36)*Emissions_factor_PurchSteam+SUM(J36,T36)*Emissions_factor_PurchCooling+IF($A36&gt;=$AU$23,OFFSET('CHP_NG_Baseload_With DB'!$AG$31,$A36-$AU$23,0),0)*Emission_Factor_NG+IF($A36&gt;=$AU$23,OFFSET('CHP_NG_Baseload_With DB'!$AA$31,$A36-$AU$23,0),0)*Emission_factor_coal</f>
        <v>-69175.400688347028</v>
      </c>
      <c r="Y36" s="306">
        <v>0</v>
      </c>
      <c r="Z36" s="306">
        <v>0</v>
      </c>
      <c r="AA36" s="308">
        <f ca="1">-SUM(W36,X36/OFFSET(GridFootprintbyYear,$A36-$A$19,0)*EF_PurchElec_MTperMWh,Z36)*OFFSET(ExposureCalculations!Price_GHG_Allowance_2010,A36-$A$19,0)*ExposureCalculations!D33</f>
        <v>2475342.0534933005</v>
      </c>
      <c r="AB36" s="308">
        <f t="shared" ca="1" si="2"/>
        <v>9571252.3371206895</v>
      </c>
      <c r="AC36" s="308">
        <v>0</v>
      </c>
      <c r="AD36" s="819">
        <f t="shared" ca="1" si="3"/>
        <v>0</v>
      </c>
      <c r="AE36" s="308">
        <v>0</v>
      </c>
      <c r="AF36" s="819">
        <f t="shared" ca="1" si="4"/>
        <v>0</v>
      </c>
      <c r="AG36" s="308">
        <v>0</v>
      </c>
      <c r="AH36" s="308">
        <f ca="1">IF($A36&gt;=$AU$23,OFFSET('CHP_NG_Baseload_With DB'!$AL$31,$A36-$AU$23,0)+OFFSET('CHP_NG_Baseload_With DB'!$AN$31,$A36-$AU$23,0),0)</f>
        <v>-5700835.6945111286</v>
      </c>
      <c r="AI36" s="308">
        <v>0</v>
      </c>
      <c r="AJ36" s="308">
        <f t="shared" ca="1" si="5"/>
        <v>3870416.6426095609</v>
      </c>
      <c r="AK36" s="309">
        <v>0</v>
      </c>
      <c r="AL36" s="309">
        <v>0</v>
      </c>
      <c r="AM36" s="309">
        <f t="shared" si="18"/>
        <v>0</v>
      </c>
      <c r="AN36" s="310">
        <f ca="1">IF($A36&gt;=$AU$23,OFFSET('CHP_NG_Baseload_With DB'!$AW$31,$A36-$AU$23,0),0)</f>
        <v>1439188.7175</v>
      </c>
      <c r="AO36" s="310">
        <f ca="1">IF($A36&gt;=$AU$23,OFFSET('CHP_NG_Baseload_With DB'!$AX$31,$A36-$AU$23,0),0)+IF($A36&gt;=$AU$23,OFFSET('CHP_NG_Baseload_With DB'!$BU$31,$A36-$AU$23,0),0)</f>
        <v>-3410047.518542307</v>
      </c>
      <c r="AP36" s="310">
        <f t="shared" ca="1" si="19"/>
        <v>-1970858.8010423069</v>
      </c>
      <c r="AQ36" s="309">
        <v>0</v>
      </c>
      <c r="AR36" s="311">
        <f t="shared" ca="1" si="6"/>
        <v>4374899.8950605541</v>
      </c>
      <c r="AS36" s="870">
        <f t="shared" ca="1" si="20"/>
        <v>38501278.789764576</v>
      </c>
      <c r="AT36" s="822"/>
      <c r="AU36" s="878"/>
      <c r="AV36" s="35"/>
      <c r="AW36" s="879"/>
      <c r="AX36" s="35"/>
      <c r="AY36" s="880"/>
    </row>
    <row r="37" spans="1:51">
      <c r="A37" s="303">
        <v>2028</v>
      </c>
      <c r="B37" s="304">
        <f ca="1">IF($D$3="BAU",UtilityDemand!C30,INDIRECT($D$3&amp;"!B"&amp;ROW(A37))+INDIRECT($D$3&amp;"!D"&amp;ROW(A37)))</f>
        <v>141802.1952317993</v>
      </c>
      <c r="C37" s="305">
        <v>0</v>
      </c>
      <c r="D37" s="306">
        <f t="shared" ca="1" si="7"/>
        <v>0</v>
      </c>
      <c r="E37" s="304">
        <f ca="1">IF($D$3="BAU",UtilityDemand!E30,INDIRECT($D$3&amp;"!E"&amp;ROW(D37))+INDIRECT($D$3&amp;"!G"&amp;ROW(D37)))</f>
        <v>858968.26357266307</v>
      </c>
      <c r="F37" s="305">
        <v>0</v>
      </c>
      <c r="G37" s="306">
        <f t="shared" ca="1" si="8"/>
        <v>0</v>
      </c>
      <c r="H37" s="304">
        <f ca="1">IF($D$3="BAU",UtilityDemand!G30,INDIRECT($D$3&amp;"!H"&amp;ROW(G37))+INDIRECT($D$3&amp;"!J"&amp;ROW(G37)))</f>
        <v>478050.92986150744</v>
      </c>
      <c r="I37" s="305">
        <v>0</v>
      </c>
      <c r="J37" s="306">
        <f t="shared" ca="1" si="21"/>
        <v>0</v>
      </c>
      <c r="K37" s="307">
        <f t="shared" ca="1" si="9"/>
        <v>141802.1952317993</v>
      </c>
      <c r="L37" s="307">
        <f t="shared" ca="1" si="10"/>
        <v>-103449.11760000001</v>
      </c>
      <c r="M37" s="307">
        <f ca="1">IF($A37&gt;=$AU$23,OFFSET('CHP_NG_Baseload_With DB'!$Q$31,$A37-$AU$23,0),0)</f>
        <v>103449.11760000001</v>
      </c>
      <c r="N37" s="307">
        <f t="shared" ca="1" si="11"/>
        <v>38353.077631799286</v>
      </c>
      <c r="O37" s="1494">
        <f t="shared" ca="1" si="12"/>
        <v>858968.26357266307</v>
      </c>
      <c r="P37" s="306">
        <f t="shared" si="13"/>
        <v>0</v>
      </c>
      <c r="Q37" s="306">
        <v>0</v>
      </c>
      <c r="R37" s="306">
        <f t="shared" ca="1" si="14"/>
        <v>858968.26357266307</v>
      </c>
      <c r="S37" s="818">
        <f t="shared" ca="1" si="15"/>
        <v>478050.92986150744</v>
      </c>
      <c r="T37" s="818">
        <f t="shared" si="16"/>
        <v>0</v>
      </c>
      <c r="U37" s="818">
        <v>0</v>
      </c>
      <c r="V37" s="818">
        <f t="shared" ca="1" si="17"/>
        <v>478050.92986150744</v>
      </c>
      <c r="W37" s="306">
        <f t="shared" si="1"/>
        <v>0</v>
      </c>
      <c r="X37" s="306">
        <f ca="1">SUM(D37,L37)*OFFSET(GridFootprintbyYear,$A37-$A$19,0)+SUM(G37,P37)*Emissions_factor_PurchSteam+SUM(J37,T37)*Emissions_factor_PurchCooling+IF($A37&gt;=$AU$23,OFFSET('CHP_NG_Baseload_With DB'!$AG$31,$A37-$AU$23,0),0)*Emission_Factor_NG+IF($A37&gt;=$AU$23,OFFSET('CHP_NG_Baseload_With DB'!$AA$31,$A37-$AU$23,0),0)*Emission_factor_coal</f>
        <v>-69175.400688347028</v>
      </c>
      <c r="Y37" s="306">
        <v>0</v>
      </c>
      <c r="Z37" s="306">
        <v>0</v>
      </c>
      <c r="AA37" s="308">
        <f ca="1">-SUM(W37,X37/OFFSET(GridFootprintbyYear,$A37-$A$19,0)*EF_PurchElec_MTperMWh,Z37)*OFFSET(ExposureCalculations!Price_GHG_Allowance_2010,A37-$A$19,0)*ExposureCalculations!D34</f>
        <v>2677862.163796599</v>
      </c>
      <c r="AB37" s="308">
        <f t="shared" ca="1" si="2"/>
        <v>9619108.59880629</v>
      </c>
      <c r="AC37" s="308">
        <v>0</v>
      </c>
      <c r="AD37" s="819">
        <f t="shared" ca="1" si="3"/>
        <v>0</v>
      </c>
      <c r="AE37" s="308">
        <v>0</v>
      </c>
      <c r="AF37" s="819">
        <f t="shared" ca="1" si="4"/>
        <v>0</v>
      </c>
      <c r="AG37" s="308">
        <v>0</v>
      </c>
      <c r="AH37" s="308">
        <f ca="1">IF($A37&gt;=$AU$23,OFFSET('CHP_NG_Baseload_With DB'!$AL$31,$A37-$AU$23,0)+OFFSET('CHP_NG_Baseload_With DB'!$AN$31,$A37-$AU$23,0),0)</f>
        <v>-5700835.6945111286</v>
      </c>
      <c r="AI37" s="308">
        <v>0</v>
      </c>
      <c r="AJ37" s="308">
        <f t="shared" ca="1" si="5"/>
        <v>3918272.9042951614</v>
      </c>
      <c r="AK37" s="309">
        <v>0</v>
      </c>
      <c r="AL37" s="309">
        <v>0</v>
      </c>
      <c r="AM37" s="309">
        <f t="shared" si="18"/>
        <v>0</v>
      </c>
      <c r="AN37" s="310">
        <f ca="1">IF($A37&gt;=$AU$23,OFFSET('CHP_NG_Baseload_With DB'!$AW$31,$A37-$AU$23,0),0)</f>
        <v>1439188.7175</v>
      </c>
      <c r="AO37" s="310">
        <f ca="1">IF($A37&gt;=$AU$23,OFFSET('CHP_NG_Baseload_With DB'!$AX$31,$A37-$AU$23,0),0)+IF($A37&gt;=$AU$23,OFFSET('CHP_NG_Baseload_With DB'!$BU$31,$A37-$AU$23,0),0)</f>
        <v>-3410047.518542307</v>
      </c>
      <c r="AP37" s="310">
        <f t="shared" ca="1" si="19"/>
        <v>-1970858.8010423069</v>
      </c>
      <c r="AQ37" s="309">
        <v>0</v>
      </c>
      <c r="AR37" s="311">
        <f t="shared" ca="1" si="6"/>
        <v>4625276.2670494532</v>
      </c>
      <c r="AS37" s="870">
        <f t="shared" ca="1" si="20"/>
        <v>43126555.05681403</v>
      </c>
      <c r="AT37" s="822"/>
      <c r="AU37" s="878"/>
      <c r="AV37" s="35"/>
      <c r="AW37" s="879"/>
      <c r="AX37" s="35"/>
      <c r="AY37" s="880"/>
    </row>
    <row r="38" spans="1:51">
      <c r="A38" s="303">
        <v>2029</v>
      </c>
      <c r="B38" s="304">
        <f ca="1">IF($D$3="BAU",UtilityDemand!C31,INDIRECT($D$3&amp;"!B"&amp;ROW(A38))+INDIRECT($D$3&amp;"!D"&amp;ROW(A38)))</f>
        <v>143164.87283265134</v>
      </c>
      <c r="C38" s="305">
        <v>0</v>
      </c>
      <c r="D38" s="306">
        <f t="shared" ca="1" si="7"/>
        <v>0</v>
      </c>
      <c r="E38" s="304">
        <f ca="1">IF($D$3="BAU",UtilityDemand!E31,INDIRECT($D$3&amp;"!E"&amp;ROW(D38))+INDIRECT($D$3&amp;"!G"&amp;ROW(D38)))</f>
        <v>867354.86270233872</v>
      </c>
      <c r="F38" s="305">
        <v>0</v>
      </c>
      <c r="G38" s="306">
        <f t="shared" ca="1" si="8"/>
        <v>0</v>
      </c>
      <c r="H38" s="304">
        <f ca="1">IF($D$3="BAU",UtilityDemand!G31,INDIRECT($D$3&amp;"!H"&amp;ROW(G38))+INDIRECT($D$3&amp;"!J"&amp;ROW(G38)))</f>
        <v>483968.1044241112</v>
      </c>
      <c r="I38" s="305">
        <v>0</v>
      </c>
      <c r="J38" s="306">
        <f t="shared" ca="1" si="21"/>
        <v>0</v>
      </c>
      <c r="K38" s="307">
        <f t="shared" ca="1" si="9"/>
        <v>143164.87283265134</v>
      </c>
      <c r="L38" s="307">
        <f t="shared" ca="1" si="10"/>
        <v>-103449.11760000001</v>
      </c>
      <c r="M38" s="307">
        <f ca="1">IF($A38&gt;=$AU$23,OFFSET('CHP_NG_Baseload_With DB'!$Q$31,$A38-$AU$23,0),0)</f>
        <v>103449.11760000001</v>
      </c>
      <c r="N38" s="307">
        <f t="shared" ca="1" si="11"/>
        <v>39715.755232651325</v>
      </c>
      <c r="O38" s="1494">
        <f t="shared" ca="1" si="12"/>
        <v>867354.86270233872</v>
      </c>
      <c r="P38" s="306">
        <f t="shared" si="13"/>
        <v>0</v>
      </c>
      <c r="Q38" s="306">
        <v>0</v>
      </c>
      <c r="R38" s="306">
        <f t="shared" ca="1" si="14"/>
        <v>867354.86270233872</v>
      </c>
      <c r="S38" s="818">
        <f t="shared" ca="1" si="15"/>
        <v>483968.1044241112</v>
      </c>
      <c r="T38" s="818">
        <f t="shared" si="16"/>
        <v>0</v>
      </c>
      <c r="U38" s="818">
        <v>0</v>
      </c>
      <c r="V38" s="818">
        <f t="shared" ca="1" si="17"/>
        <v>483968.1044241112</v>
      </c>
      <c r="W38" s="306">
        <f t="shared" si="1"/>
        <v>0</v>
      </c>
      <c r="X38" s="306">
        <f ca="1">SUM(D38,L38)*OFFSET(GridFootprintbyYear,$A38-$A$19,0)+SUM(G38,P38)*Emissions_factor_PurchSteam+SUM(J38,T38)*Emissions_factor_PurchCooling+IF($A38&gt;=$AU$23,OFFSET('CHP_NG_Baseload_With DB'!$AG$31,$A38-$AU$23,0),0)*Emission_Factor_NG+IF($A38&gt;=$AU$23,OFFSET('CHP_NG_Baseload_With DB'!$AA$31,$A38-$AU$23,0),0)*Emission_factor_coal</f>
        <v>-69175.400688347028</v>
      </c>
      <c r="Y38" s="306">
        <v>0</v>
      </c>
      <c r="Z38" s="306">
        <v>0</v>
      </c>
      <c r="AA38" s="308">
        <f ca="1">-SUM(W38,X38/OFFSET(GridFootprintbyYear,$A38-$A$19,0)*EF_PurchElec_MTperMWh,Z38)*OFFSET(ExposureCalculations!Price_GHG_Allowance_2010,A38-$A$19,0)*ExposureCalculations!D35</f>
        <v>2885736.5199512267</v>
      </c>
      <c r="AB38" s="308">
        <f t="shared" ca="1" si="2"/>
        <v>9667204.1418003216</v>
      </c>
      <c r="AC38" s="308">
        <v>0</v>
      </c>
      <c r="AD38" s="819">
        <f t="shared" ca="1" si="3"/>
        <v>0</v>
      </c>
      <c r="AE38" s="308">
        <v>0</v>
      </c>
      <c r="AF38" s="819">
        <f t="shared" ca="1" si="4"/>
        <v>0</v>
      </c>
      <c r="AG38" s="308">
        <v>0</v>
      </c>
      <c r="AH38" s="308">
        <f ca="1">IF($A38&gt;=$AU$23,OFFSET('CHP_NG_Baseload_With DB'!$AL$31,$A38-$AU$23,0)+OFFSET('CHP_NG_Baseload_With DB'!$AN$31,$A38-$AU$23,0),0)</f>
        <v>-5700835.6945111286</v>
      </c>
      <c r="AI38" s="308">
        <v>0</v>
      </c>
      <c r="AJ38" s="308">
        <f t="shared" ca="1" si="5"/>
        <v>3966368.447289193</v>
      </c>
      <c r="AK38" s="309">
        <v>0</v>
      </c>
      <c r="AL38" s="309">
        <v>0</v>
      </c>
      <c r="AM38" s="309">
        <f t="shared" si="18"/>
        <v>0</v>
      </c>
      <c r="AN38" s="310">
        <f ca="1">IF($A38&gt;=$AU$23,OFFSET('CHP_NG_Baseload_With DB'!$AW$31,$A38-$AU$23,0),0)</f>
        <v>1439188.7175</v>
      </c>
      <c r="AO38" s="310">
        <f ca="1">IF($A38&gt;=$AU$23,OFFSET('CHP_NG_Baseload_With DB'!$AX$31,$A38-$AU$23,0),0)+IF($A38&gt;=$AU$23,OFFSET('CHP_NG_Baseload_With DB'!$BU$31,$A38-$AU$23,0),0)</f>
        <v>-3410047.518542307</v>
      </c>
      <c r="AP38" s="310">
        <f t="shared" ca="1" si="19"/>
        <v>-1970858.8010423069</v>
      </c>
      <c r="AQ38" s="309">
        <v>0</v>
      </c>
      <c r="AR38" s="311">
        <f t="shared" ca="1" si="6"/>
        <v>4881246.1661981121</v>
      </c>
      <c r="AS38" s="870">
        <f t="shared" ca="1" si="20"/>
        <v>48007801.223012142</v>
      </c>
      <c r="AT38" s="822"/>
      <c r="AU38" s="878"/>
      <c r="AV38" s="35"/>
      <c r="AW38" s="879"/>
      <c r="AX38" s="35"/>
      <c r="AY38" s="880"/>
    </row>
    <row r="39" spans="1:51">
      <c r="A39" s="303">
        <v>2030</v>
      </c>
      <c r="B39" s="304">
        <f ca="1">IF($D$3="BAU",UtilityDemand!C32,INDIRECT($D$3&amp;"!B"&amp;ROW(A39))+INDIRECT($D$3&amp;"!D"&amp;ROW(A39)))</f>
        <v>144527.55043350338</v>
      </c>
      <c r="C39" s="305">
        <v>0</v>
      </c>
      <c r="D39" s="306">
        <f t="shared" ca="1" si="7"/>
        <v>0</v>
      </c>
      <c r="E39" s="304">
        <f ca="1">IF($D$3="BAU",UtilityDemand!E32,INDIRECT($D$3&amp;"!E"&amp;ROW(D39))+INDIRECT($D$3&amp;"!G"&amp;ROW(D39)))</f>
        <v>875741.46183201415</v>
      </c>
      <c r="F39" s="305">
        <v>0</v>
      </c>
      <c r="G39" s="306">
        <f t="shared" ca="1" si="8"/>
        <v>0</v>
      </c>
      <c r="H39" s="304">
        <f ca="1">IF($D$3="BAU",UtilityDemand!G32,INDIRECT($D$3&amp;"!H"&amp;ROW(G39))+INDIRECT($D$3&amp;"!J"&amp;ROW(G39)))</f>
        <v>489885.2789867149</v>
      </c>
      <c r="I39" s="305">
        <v>0</v>
      </c>
      <c r="J39" s="306">
        <f t="shared" ca="1" si="21"/>
        <v>0</v>
      </c>
      <c r="K39" s="307">
        <f t="shared" ca="1" si="9"/>
        <v>144527.55043350338</v>
      </c>
      <c r="L39" s="307">
        <f t="shared" ca="1" si="10"/>
        <v>-103449.11760000001</v>
      </c>
      <c r="M39" s="307">
        <f ca="1">IF($A39&gt;=$AU$23,OFFSET('CHP_NG_Baseload_With DB'!$Q$31,$A39-$AU$23,0),0)</f>
        <v>103449.11760000001</v>
      </c>
      <c r="N39" s="307">
        <f t="shared" ca="1" si="11"/>
        <v>41078.432833503364</v>
      </c>
      <c r="O39" s="1494">
        <f t="shared" ca="1" si="12"/>
        <v>875741.46183201415</v>
      </c>
      <c r="P39" s="306">
        <f t="shared" si="13"/>
        <v>0</v>
      </c>
      <c r="Q39" s="306">
        <v>0</v>
      </c>
      <c r="R39" s="306">
        <f t="shared" ca="1" si="14"/>
        <v>875741.46183201415</v>
      </c>
      <c r="S39" s="818">
        <f t="shared" ca="1" si="15"/>
        <v>489885.2789867149</v>
      </c>
      <c r="T39" s="818">
        <f t="shared" si="16"/>
        <v>0</v>
      </c>
      <c r="U39" s="818">
        <v>0</v>
      </c>
      <c r="V39" s="818">
        <f t="shared" ca="1" si="17"/>
        <v>489885.2789867149</v>
      </c>
      <c r="W39" s="306">
        <f t="shared" si="1"/>
        <v>0</v>
      </c>
      <c r="X39" s="306">
        <f ca="1">SUM(D39,L39)*OFFSET(GridFootprintbyYear,$A39-$A$19,0)+SUM(G39,P39)*Emissions_factor_PurchSteam+SUM(J39,T39)*Emissions_factor_PurchCooling+IF($A39&gt;=$AU$23,OFFSET('CHP_NG_Baseload_With DB'!$AG$31,$A39-$AU$23,0),0)*Emission_Factor_NG+IF($A39&gt;=$AU$23,OFFSET('CHP_NG_Baseload_With DB'!$AA$31,$A39-$AU$23,0),0)*Emission_factor_coal</f>
        <v>-69175.400688347028</v>
      </c>
      <c r="Y39" s="306">
        <v>0</v>
      </c>
      <c r="Z39" s="306">
        <v>0</v>
      </c>
      <c r="AA39" s="308">
        <f ca="1">-SUM(W39,X39/OFFSET(GridFootprintbyYear,$A39-$A$19,0)*EF_PurchElec_MTperMWh,Z39)*OFFSET(ExposureCalculations!Price_GHG_Allowance_2010,A39-$A$19,0)*ExposureCalculations!D36</f>
        <v>3098680.3618598357</v>
      </c>
      <c r="AB39" s="308">
        <f t="shared" ca="1" si="2"/>
        <v>9715540.1625093222</v>
      </c>
      <c r="AC39" s="308">
        <v>0</v>
      </c>
      <c r="AD39" s="819">
        <f t="shared" ca="1" si="3"/>
        <v>0</v>
      </c>
      <c r="AE39" s="308">
        <v>0</v>
      </c>
      <c r="AF39" s="819">
        <f t="shared" ca="1" si="4"/>
        <v>0</v>
      </c>
      <c r="AG39" s="308">
        <v>0</v>
      </c>
      <c r="AH39" s="308">
        <f ca="1">IF($A39&gt;=$AU$23,OFFSET('CHP_NG_Baseload_With DB'!$AL$31,$A39-$AU$23,0)+OFFSET('CHP_NG_Baseload_With DB'!$AN$31,$A39-$AU$23,0),0)</f>
        <v>-5700835.6945111286</v>
      </c>
      <c r="AI39" s="308">
        <v>0</v>
      </c>
      <c r="AJ39" s="308">
        <f t="shared" ca="1" si="5"/>
        <v>4014704.4679981936</v>
      </c>
      <c r="AK39" s="309">
        <v>0</v>
      </c>
      <c r="AL39" s="309">
        <v>0</v>
      </c>
      <c r="AM39" s="309">
        <f t="shared" si="18"/>
        <v>0</v>
      </c>
      <c r="AN39" s="310">
        <f ca="1">IF($A39&gt;=$AU$23,OFFSET('CHP_NG_Baseload_With DB'!$AW$31,$A39-$AU$23,0),0)</f>
        <v>1439188.7175</v>
      </c>
      <c r="AO39" s="310">
        <f ca="1">IF($A39&gt;=$AU$23,OFFSET('CHP_NG_Baseload_With DB'!$AX$31,$A39-$AU$23,0),0)+IF($A39&gt;=$AU$23,OFFSET('CHP_NG_Baseload_With DB'!$BU$31,$A39-$AU$23,0),0)</f>
        <v>-3410047.518542307</v>
      </c>
      <c r="AP39" s="310">
        <f t="shared" ca="1" si="19"/>
        <v>-1970858.8010423069</v>
      </c>
      <c r="AQ39" s="309">
        <v>0</v>
      </c>
      <c r="AR39" s="311">
        <f t="shared" ca="1" si="6"/>
        <v>5142526.0288157221</v>
      </c>
      <c r="AS39" s="870">
        <f t="shared" ca="1" si="20"/>
        <v>53150327.251827866</v>
      </c>
      <c r="AT39" s="822"/>
      <c r="AU39" s="878"/>
      <c r="AV39" s="35"/>
      <c r="AW39" s="879"/>
      <c r="AX39" s="35"/>
      <c r="AY39" s="880"/>
    </row>
    <row r="40" spans="1:51">
      <c r="A40" s="303">
        <v>2031</v>
      </c>
      <c r="B40" s="304">
        <f ca="1">IF($D$3="BAU",UtilityDemand!C33,INDIRECT($D$3&amp;"!B"&amp;ROW(A40))+INDIRECT($D$3&amp;"!D"&amp;ROW(A40)))</f>
        <v>146104.17603435536</v>
      </c>
      <c r="C40" s="305">
        <v>0</v>
      </c>
      <c r="D40" s="306">
        <f t="shared" ca="1" si="7"/>
        <v>0</v>
      </c>
      <c r="E40" s="304">
        <f ca="1">IF($D$3="BAU",UtilityDemand!E33,INDIRECT($D$3&amp;"!E"&amp;ROW(D40))+INDIRECT($D$3&amp;"!G"&amp;ROW(D40)))</f>
        <v>884128.06096168945</v>
      </c>
      <c r="F40" s="305">
        <v>0</v>
      </c>
      <c r="G40" s="306">
        <f t="shared" ca="1" si="8"/>
        <v>0</v>
      </c>
      <c r="H40" s="304">
        <f ca="1">IF($D$3="BAU",UtilityDemand!G33,INDIRECT($D$3&amp;"!H"&amp;ROW(G40))+INDIRECT($D$3&amp;"!J"&amp;ROW(G40)))</f>
        <v>492949.81354931853</v>
      </c>
      <c r="I40" s="305">
        <v>0</v>
      </c>
      <c r="J40" s="306">
        <f t="shared" ca="1" si="21"/>
        <v>0</v>
      </c>
      <c r="K40" s="307">
        <f t="shared" ca="1" si="9"/>
        <v>146104.17603435536</v>
      </c>
      <c r="L40" s="307">
        <f t="shared" ca="1" si="10"/>
        <v>-103449.11760000001</v>
      </c>
      <c r="M40" s="307">
        <f ca="1">IF($A40&gt;=$AU$23,OFFSET('CHP_NG_Baseload_With DB'!$Q$31,$A40-$AU$23,0),0)</f>
        <v>103449.11760000001</v>
      </c>
      <c r="N40" s="307">
        <f t="shared" ca="1" si="11"/>
        <v>42655.058434355349</v>
      </c>
      <c r="O40" s="1494">
        <f t="shared" ca="1" si="12"/>
        <v>884128.06096168945</v>
      </c>
      <c r="P40" s="306">
        <f t="shared" si="13"/>
        <v>0</v>
      </c>
      <c r="Q40" s="306">
        <v>0</v>
      </c>
      <c r="R40" s="306">
        <f t="shared" ca="1" si="14"/>
        <v>884128.06096168945</v>
      </c>
      <c r="S40" s="818">
        <f t="shared" ca="1" si="15"/>
        <v>492949.81354931853</v>
      </c>
      <c r="T40" s="818">
        <f t="shared" si="16"/>
        <v>0</v>
      </c>
      <c r="U40" s="818">
        <v>0</v>
      </c>
      <c r="V40" s="818">
        <f t="shared" ca="1" si="17"/>
        <v>492949.81354931853</v>
      </c>
      <c r="W40" s="306">
        <f t="shared" si="1"/>
        <v>0</v>
      </c>
      <c r="X40" s="306">
        <f ca="1">SUM(D40,L40)*OFFSET(GridFootprintbyYear,$A40-$A$19,0)+SUM(G40,P40)*Emissions_factor_PurchSteam+SUM(J40,T40)*Emissions_factor_PurchCooling+IF($A40&gt;=$AU$23,OFFSET('CHP_NG_Baseload_With DB'!$AG$31,$A40-$AU$23,0),0)*Emission_Factor_NG+IF($A40&gt;=$AU$23,OFFSET('CHP_NG_Baseload_With DB'!$AA$31,$A40-$AU$23,0),0)*Emission_factor_coal</f>
        <v>-69175.400688347028</v>
      </c>
      <c r="Y40" s="306">
        <v>0</v>
      </c>
      <c r="Z40" s="306">
        <v>0</v>
      </c>
      <c r="AA40" s="308">
        <f ca="1">-SUM(W40,X40/OFFSET(GridFootprintbyYear,$A40-$A$19,0)*EF_PurchElec_MTperMWh,Z40)*OFFSET(ExposureCalculations!Price_GHG_Allowance_2010,A40-$A$19,0)*ExposureCalculations!D37</f>
        <v>3342521.5325139421</v>
      </c>
      <c r="AB40" s="308">
        <f t="shared" ca="1" si="2"/>
        <v>9764117.863321865</v>
      </c>
      <c r="AC40" s="308">
        <v>0</v>
      </c>
      <c r="AD40" s="819">
        <f t="shared" ca="1" si="3"/>
        <v>0</v>
      </c>
      <c r="AE40" s="308">
        <v>0</v>
      </c>
      <c r="AF40" s="819">
        <f t="shared" ca="1" si="4"/>
        <v>0</v>
      </c>
      <c r="AG40" s="308">
        <v>0</v>
      </c>
      <c r="AH40" s="308">
        <f ca="1">IF($A40&gt;=$AU$23,OFFSET('CHP_NG_Baseload_With DB'!$AL$31,$A40-$AU$23,0)+OFFSET('CHP_NG_Baseload_With DB'!$AN$31,$A40-$AU$23,0),0)</f>
        <v>-5700835.6945111286</v>
      </c>
      <c r="AI40" s="308">
        <v>0</v>
      </c>
      <c r="AJ40" s="308">
        <f t="shared" ca="1" si="5"/>
        <v>4063282.1688107364</v>
      </c>
      <c r="AK40" s="309">
        <v>0</v>
      </c>
      <c r="AL40" s="309">
        <v>0</v>
      </c>
      <c r="AM40" s="309">
        <f t="shared" si="18"/>
        <v>0</v>
      </c>
      <c r="AN40" s="310">
        <f ca="1">IF($A40&gt;=$AU$23,OFFSET('CHP_NG_Baseload_With DB'!$AW$31,$A40-$AU$23,0),0)</f>
        <v>1439188.7175</v>
      </c>
      <c r="AO40" s="310">
        <f ca="1">IF($A40&gt;=$AU$23,OFFSET('CHP_NG_Baseload_With DB'!$AX$31,$A40-$AU$23,0),0)+IF($A40&gt;=$AU$23,OFFSET('CHP_NG_Baseload_With DB'!$BU$31,$A40-$AU$23,0),0)</f>
        <v>-3410047.518542307</v>
      </c>
      <c r="AP40" s="310">
        <f t="shared" ca="1" si="19"/>
        <v>-1970858.8010423069</v>
      </c>
      <c r="AQ40" s="309">
        <v>0</v>
      </c>
      <c r="AR40" s="311">
        <f t="shared" ca="1" si="6"/>
        <v>5434944.9002823718</v>
      </c>
      <c r="AS40" s="870">
        <f t="shared" ca="1" si="20"/>
        <v>58585272.152110234</v>
      </c>
      <c r="AT40" s="822"/>
      <c r="AU40" s="878"/>
      <c r="AV40" s="35"/>
      <c r="AW40" s="879"/>
      <c r="AX40" s="35"/>
      <c r="AY40" s="880"/>
    </row>
    <row r="41" spans="1:51">
      <c r="A41" s="303">
        <v>2032</v>
      </c>
      <c r="B41" s="304">
        <f ca="1">IF($D$3="BAU",UtilityDemand!C34,INDIRECT($D$3&amp;"!B"&amp;ROW(A41))+INDIRECT($D$3&amp;"!D"&amp;ROW(A41)))</f>
        <v>147680.8016352074</v>
      </c>
      <c r="C41" s="305">
        <v>0</v>
      </c>
      <c r="D41" s="306">
        <f t="shared" ca="1" si="7"/>
        <v>0</v>
      </c>
      <c r="E41" s="304">
        <f ca="1">IF($D$3="BAU",UtilityDemand!E34,INDIRECT($D$3&amp;"!E"&amp;ROW(D41))+INDIRECT($D$3&amp;"!G"&amp;ROW(D41)))</f>
        <v>892514.66009136476</v>
      </c>
      <c r="F41" s="305">
        <v>0</v>
      </c>
      <c r="G41" s="306">
        <f t="shared" ca="1" si="8"/>
        <v>0</v>
      </c>
      <c r="H41" s="304">
        <f ca="1">IF($D$3="BAU",UtilityDemand!G34,INDIRECT($D$3&amp;"!H"&amp;ROW(G41))+INDIRECT($D$3&amp;"!J"&amp;ROW(G41)))</f>
        <v>496014.34811192221</v>
      </c>
      <c r="I41" s="305">
        <v>0</v>
      </c>
      <c r="J41" s="306">
        <f t="shared" ca="1" si="21"/>
        <v>0</v>
      </c>
      <c r="K41" s="307">
        <f t="shared" ca="1" si="9"/>
        <v>147680.8016352074</v>
      </c>
      <c r="L41" s="307">
        <f t="shared" ca="1" si="10"/>
        <v>-103449.11760000001</v>
      </c>
      <c r="M41" s="307">
        <f ca="1">IF($A41&gt;=$AU$23,OFFSET('CHP_NG_Baseload_With DB'!$Q$31,$A41-$AU$23,0),0)</f>
        <v>103449.11760000001</v>
      </c>
      <c r="N41" s="307">
        <f t="shared" ca="1" si="11"/>
        <v>44231.684035207392</v>
      </c>
      <c r="O41" s="1494">
        <f t="shared" ca="1" si="12"/>
        <v>892514.66009136476</v>
      </c>
      <c r="P41" s="306">
        <f t="shared" si="13"/>
        <v>0</v>
      </c>
      <c r="Q41" s="306">
        <v>0</v>
      </c>
      <c r="R41" s="306">
        <f t="shared" ca="1" si="14"/>
        <v>892514.66009136476</v>
      </c>
      <c r="S41" s="818">
        <f t="shared" ca="1" si="15"/>
        <v>496014.34811192221</v>
      </c>
      <c r="T41" s="818">
        <f t="shared" si="16"/>
        <v>0</v>
      </c>
      <c r="U41" s="818">
        <v>0</v>
      </c>
      <c r="V41" s="818">
        <f t="shared" ca="1" si="17"/>
        <v>496014.34811192221</v>
      </c>
      <c r="W41" s="306">
        <f t="shared" si="1"/>
        <v>0</v>
      </c>
      <c r="X41" s="306">
        <f ca="1">SUM(D41,L41)*OFFSET(GridFootprintbyYear,$A41-$A$19,0)+SUM(G41,P41)*Emissions_factor_PurchSteam+SUM(J41,T41)*Emissions_factor_PurchCooling+IF($A41&gt;=$AU$23,OFFSET('CHP_NG_Baseload_With DB'!$AG$31,$A41-$AU$23,0),0)*Emission_Factor_NG+IF($A41&gt;=$AU$23,OFFSET('CHP_NG_Baseload_With DB'!$AA$31,$A41-$AU$23,0),0)*Emission_factor_coal</f>
        <v>-69175.400688347028</v>
      </c>
      <c r="Y41" s="306">
        <v>0</v>
      </c>
      <c r="Z41" s="306">
        <v>0</v>
      </c>
      <c r="AA41" s="308">
        <f ca="1">-SUM(W41,X41/OFFSET(GridFootprintbyYear,$A41-$A$19,0)*EF_PurchElec_MTperMWh,Z41)*OFFSET(ExposureCalculations!Price_GHG_Allowance_2010,A41-$A$19,0)*ExposureCalculations!D38</f>
        <v>3592331.7518638284</v>
      </c>
      <c r="AB41" s="308">
        <f t="shared" ca="1" si="2"/>
        <v>9812938.4526384734</v>
      </c>
      <c r="AC41" s="308">
        <v>0</v>
      </c>
      <c r="AD41" s="819">
        <f t="shared" ca="1" si="3"/>
        <v>0</v>
      </c>
      <c r="AE41" s="308">
        <v>0</v>
      </c>
      <c r="AF41" s="819">
        <f t="shared" ca="1" si="4"/>
        <v>0</v>
      </c>
      <c r="AG41" s="308">
        <v>0</v>
      </c>
      <c r="AH41" s="308">
        <f ca="1">IF($A41&gt;=$AU$23,OFFSET('CHP_NG_Baseload_With DB'!$AL$31,$A41-$AU$23,0)+OFFSET('CHP_NG_Baseload_With DB'!$AN$31,$A41-$AU$23,0),0)</f>
        <v>-5700835.6945111286</v>
      </c>
      <c r="AI41" s="308">
        <v>0</v>
      </c>
      <c r="AJ41" s="308">
        <f t="shared" ca="1" si="5"/>
        <v>4112102.7581273448</v>
      </c>
      <c r="AK41" s="309">
        <v>0</v>
      </c>
      <c r="AL41" s="309">
        <v>0</v>
      </c>
      <c r="AM41" s="309">
        <f t="shared" si="18"/>
        <v>0</v>
      </c>
      <c r="AN41" s="310">
        <f ca="1">IF($A41&gt;=$AU$23,OFFSET('CHP_NG_Baseload_With DB'!$AW$31,$A41-$AU$23,0),0)</f>
        <v>1439188.7175</v>
      </c>
      <c r="AO41" s="310">
        <f ca="1">IF($A41&gt;=$AU$23,OFFSET('CHP_NG_Baseload_With DB'!$AX$31,$A41-$AU$23,0),0)+IF($A41&gt;=$AU$23,OFFSET('CHP_NG_Baseload_With DB'!$BU$31,$A41-$AU$23,0),0)</f>
        <v>-3410047.518542307</v>
      </c>
      <c r="AP41" s="310">
        <f t="shared" ca="1" si="19"/>
        <v>-1970858.8010423069</v>
      </c>
      <c r="AQ41" s="309">
        <v>0</v>
      </c>
      <c r="AR41" s="311">
        <f t="shared" ca="1" si="6"/>
        <v>5733575.7089488655</v>
      </c>
      <c r="AS41" s="870">
        <f t="shared" ca="1" si="20"/>
        <v>64318847.861059099</v>
      </c>
      <c r="AT41" s="822"/>
      <c r="AU41" s="878"/>
      <c r="AV41" s="35"/>
      <c r="AW41" s="879"/>
      <c r="AX41" s="35"/>
      <c r="AY41" s="880"/>
    </row>
    <row r="42" spans="1:51">
      <c r="A42" s="303">
        <v>2033</v>
      </c>
      <c r="B42" s="304">
        <f ca="1">IF($D$3="BAU",UtilityDemand!C35,INDIRECT($D$3&amp;"!B"&amp;ROW(A42))+INDIRECT($D$3&amp;"!D"&amp;ROW(A42)))</f>
        <v>149257.42723605942</v>
      </c>
      <c r="C42" s="305">
        <v>0</v>
      </c>
      <c r="D42" s="306">
        <f t="shared" ca="1" si="7"/>
        <v>0</v>
      </c>
      <c r="E42" s="304">
        <f ca="1">IF($D$3="BAU",UtilityDemand!E35,INDIRECT($D$3&amp;"!E"&amp;ROW(D42))+INDIRECT($D$3&amp;"!G"&amp;ROW(D42)))</f>
        <v>900901.25922104018</v>
      </c>
      <c r="F42" s="305">
        <v>0</v>
      </c>
      <c r="G42" s="306">
        <f t="shared" ca="1" si="8"/>
        <v>0</v>
      </c>
      <c r="H42" s="304">
        <f ca="1">IF($D$3="BAU",UtilityDemand!G35,INDIRECT($D$3&amp;"!H"&amp;ROW(G42))+INDIRECT($D$3&amp;"!J"&amp;ROW(G42)))</f>
        <v>499078.8826745259</v>
      </c>
      <c r="I42" s="305">
        <v>0</v>
      </c>
      <c r="J42" s="306">
        <f t="shared" ca="1" si="21"/>
        <v>0</v>
      </c>
      <c r="K42" s="307">
        <f t="shared" ca="1" si="9"/>
        <v>149257.42723605942</v>
      </c>
      <c r="L42" s="307">
        <f t="shared" ca="1" si="10"/>
        <v>-103449.11760000001</v>
      </c>
      <c r="M42" s="307">
        <f ca="1">IF($A42&gt;=$AU$23,OFFSET('CHP_NG_Baseload_With DB'!$Q$31,$A42-$AU$23,0),0)</f>
        <v>103449.11760000001</v>
      </c>
      <c r="N42" s="307">
        <f t="shared" ca="1" si="11"/>
        <v>45808.309636059406</v>
      </c>
      <c r="O42" s="1494">
        <f t="shared" ca="1" si="12"/>
        <v>900901.25922104018</v>
      </c>
      <c r="P42" s="306">
        <f t="shared" si="13"/>
        <v>0</v>
      </c>
      <c r="Q42" s="306">
        <v>0</v>
      </c>
      <c r="R42" s="306">
        <f t="shared" ca="1" si="14"/>
        <v>900901.25922104018</v>
      </c>
      <c r="S42" s="818">
        <f t="shared" ca="1" si="15"/>
        <v>499078.8826745259</v>
      </c>
      <c r="T42" s="818">
        <f t="shared" si="16"/>
        <v>0</v>
      </c>
      <c r="U42" s="818">
        <v>0</v>
      </c>
      <c r="V42" s="818">
        <f t="shared" ca="1" si="17"/>
        <v>499078.8826745259</v>
      </c>
      <c r="W42" s="306">
        <f t="shared" si="1"/>
        <v>0</v>
      </c>
      <c r="X42" s="306">
        <f ca="1">SUM(D42,L42)*OFFSET(GridFootprintbyYear,$A42-$A$19,0)+SUM(G42,P42)*Emissions_factor_PurchSteam+SUM(J42,T42)*Emissions_factor_PurchCooling+IF($A42&gt;=$AU$23,OFFSET('CHP_NG_Baseload_With DB'!$AG$31,$A42-$AU$23,0),0)*Emission_Factor_NG+IF($A42&gt;=$AU$23,OFFSET('CHP_NG_Baseload_With DB'!$AA$31,$A42-$AU$23,0),0)*Emission_factor_coal</f>
        <v>-69175.400688347028</v>
      </c>
      <c r="Y42" s="306">
        <v>0</v>
      </c>
      <c r="Z42" s="306">
        <v>0</v>
      </c>
      <c r="AA42" s="308">
        <f ca="1">-SUM(W42,X42/OFFSET(GridFootprintbyYear,$A42-$A$19,0)*EF_PurchElec_MTperMWh,Z42)*OFFSET(ExposureCalculations!Price_GHG_Allowance_2010,A42-$A$19,0)*ExposureCalculations!D39</f>
        <v>3816271.6270017996</v>
      </c>
      <c r="AB42" s="308">
        <f t="shared" ca="1" si="2"/>
        <v>9862003.1449016631</v>
      </c>
      <c r="AC42" s="308">
        <v>0</v>
      </c>
      <c r="AD42" s="819">
        <f t="shared" ca="1" si="3"/>
        <v>0</v>
      </c>
      <c r="AE42" s="308">
        <v>0</v>
      </c>
      <c r="AF42" s="819">
        <f t="shared" ca="1" si="4"/>
        <v>0</v>
      </c>
      <c r="AG42" s="308">
        <v>0</v>
      </c>
      <c r="AH42" s="308">
        <f ca="1">IF($A42&gt;=$AU$23,OFFSET('CHP_NG_Baseload_With DB'!$AL$31,$A42-$AU$23,0)+OFFSET('CHP_NG_Baseload_With DB'!$AN$31,$A42-$AU$23,0),0)</f>
        <v>-5700835.6945111286</v>
      </c>
      <c r="AI42" s="308">
        <v>0</v>
      </c>
      <c r="AJ42" s="308">
        <f t="shared" ca="1" si="5"/>
        <v>4161167.4503905345</v>
      </c>
      <c r="AK42" s="309">
        <v>0</v>
      </c>
      <c r="AL42" s="309">
        <v>0</v>
      </c>
      <c r="AM42" s="309">
        <f t="shared" si="18"/>
        <v>0</v>
      </c>
      <c r="AN42" s="310">
        <f ca="1">IF($A42&gt;=$AU$23,OFFSET('CHP_NG_Baseload_With DB'!$AW$31,$A42-$AU$23,0),0)</f>
        <v>1439188.7175</v>
      </c>
      <c r="AO42" s="310">
        <f ca="1">IF($A42&gt;=$AU$23,OFFSET('CHP_NG_Baseload_With DB'!$AX$31,$A42-$AU$23,0),0)+IF($A42&gt;=$AU$23,OFFSET('CHP_NG_Baseload_With DB'!$BU$31,$A42-$AU$23,0),0)</f>
        <v>-3410047.518542307</v>
      </c>
      <c r="AP42" s="310">
        <f t="shared" ca="1" si="19"/>
        <v>-1970858.8010423069</v>
      </c>
      <c r="AQ42" s="309">
        <v>0</v>
      </c>
      <c r="AR42" s="311">
        <f t="shared" ca="1" si="6"/>
        <v>6006580.276350027</v>
      </c>
      <c r="AS42" s="870">
        <f t="shared" ca="1" si="20"/>
        <v>70325428.137409121</v>
      </c>
      <c r="AT42" s="822"/>
      <c r="AU42" s="878"/>
      <c r="AV42" s="35"/>
      <c r="AW42" s="879"/>
      <c r="AX42" s="35"/>
      <c r="AY42" s="880"/>
    </row>
    <row r="43" spans="1:51">
      <c r="A43" s="303">
        <v>2034</v>
      </c>
      <c r="B43" s="304">
        <f ca="1">IF($D$3="BAU",UtilityDemand!C36,INDIRECT($D$3&amp;"!B"&amp;ROW(A43))+INDIRECT($D$3&amp;"!D"&amp;ROW(A43)))</f>
        <v>150834.05283691146</v>
      </c>
      <c r="C43" s="305">
        <v>0</v>
      </c>
      <c r="D43" s="306">
        <f t="shared" ca="1" si="7"/>
        <v>0</v>
      </c>
      <c r="E43" s="304">
        <f ca="1">IF($D$3="BAU",UtilityDemand!E36,INDIRECT($D$3&amp;"!E"&amp;ROW(D43))+INDIRECT($D$3&amp;"!G"&amp;ROW(D43)))</f>
        <v>909287.85835071537</v>
      </c>
      <c r="F43" s="305">
        <v>0</v>
      </c>
      <c r="G43" s="306">
        <f t="shared" ca="1" si="8"/>
        <v>0</v>
      </c>
      <c r="H43" s="304">
        <f ca="1">IF($D$3="BAU",UtilityDemand!G36,INDIRECT($D$3&amp;"!H"&amp;ROW(G43))+INDIRECT($D$3&amp;"!J"&amp;ROW(G43)))</f>
        <v>502143.41723712959</v>
      </c>
      <c r="I43" s="305">
        <v>0</v>
      </c>
      <c r="J43" s="306">
        <f t="shared" ca="1" si="21"/>
        <v>0</v>
      </c>
      <c r="K43" s="307">
        <f t="shared" ca="1" si="9"/>
        <v>150834.05283691146</v>
      </c>
      <c r="L43" s="307">
        <f t="shared" ca="1" si="10"/>
        <v>-103449.11760000001</v>
      </c>
      <c r="M43" s="307">
        <f ca="1">IF($A43&gt;=$AU$23,OFFSET('CHP_NG_Baseload_With DB'!$Q$31,$A43-$AU$23,0),0)</f>
        <v>103449.11760000001</v>
      </c>
      <c r="N43" s="307">
        <f t="shared" ca="1" si="11"/>
        <v>47384.935236911449</v>
      </c>
      <c r="O43" s="1494">
        <f t="shared" ca="1" si="12"/>
        <v>909287.85835071537</v>
      </c>
      <c r="P43" s="306">
        <f t="shared" si="13"/>
        <v>0</v>
      </c>
      <c r="Q43" s="306">
        <v>0</v>
      </c>
      <c r="R43" s="306">
        <f t="shared" ca="1" si="14"/>
        <v>909287.85835071537</v>
      </c>
      <c r="S43" s="818">
        <f t="shared" ca="1" si="15"/>
        <v>502143.41723712959</v>
      </c>
      <c r="T43" s="818">
        <f t="shared" si="16"/>
        <v>0</v>
      </c>
      <c r="U43" s="818">
        <v>0</v>
      </c>
      <c r="V43" s="818">
        <f t="shared" ca="1" si="17"/>
        <v>502143.41723712959</v>
      </c>
      <c r="W43" s="306">
        <f t="shared" si="1"/>
        <v>0</v>
      </c>
      <c r="X43" s="306">
        <f ca="1">SUM(D43,L43)*OFFSET(GridFootprintbyYear,$A43-$A$19,0)+SUM(G43,P43)*Emissions_factor_PurchSteam+SUM(J43,T43)*Emissions_factor_PurchCooling+IF($A43&gt;=$AU$23,OFFSET('CHP_NG_Baseload_With DB'!$AG$31,$A43-$AU$23,0),0)*Emission_Factor_NG+IF($A43&gt;=$AU$23,OFFSET('CHP_NG_Baseload_With DB'!$AA$31,$A43-$AU$23,0),0)*Emission_factor_coal</f>
        <v>-69175.400688347028</v>
      </c>
      <c r="Y43" s="306">
        <v>0</v>
      </c>
      <c r="Z43" s="306">
        <v>0</v>
      </c>
      <c r="AA43" s="308">
        <f ca="1">-SUM(W43,X43/OFFSET(GridFootprintbyYear,$A43-$A$19,0)*EF_PurchElec_MTperMWh,Z43)*OFFSET(ExposureCalculations!Price_GHG_Allowance_2010,A43-$A$19,0)*ExposureCalculations!D40</f>
        <v>4013071.0277813696</v>
      </c>
      <c r="AB43" s="308">
        <f t="shared" ca="1" si="2"/>
        <v>9911313.160626173</v>
      </c>
      <c r="AC43" s="308">
        <v>0</v>
      </c>
      <c r="AD43" s="819">
        <f t="shared" ca="1" si="3"/>
        <v>0</v>
      </c>
      <c r="AE43" s="308">
        <v>0</v>
      </c>
      <c r="AF43" s="819">
        <f t="shared" ca="1" si="4"/>
        <v>0</v>
      </c>
      <c r="AG43" s="308">
        <v>0</v>
      </c>
      <c r="AH43" s="308">
        <f ca="1">IF($A43&gt;=$AU$23,OFFSET('CHP_NG_Baseload_With DB'!$AL$31,$A43-$AU$23,0)+OFFSET('CHP_NG_Baseload_With DB'!$AN$31,$A43-$AU$23,0),0)</f>
        <v>-5700835.6945111286</v>
      </c>
      <c r="AI43" s="308">
        <v>0</v>
      </c>
      <c r="AJ43" s="308">
        <f t="shared" ca="1" si="5"/>
        <v>4210477.4661150444</v>
      </c>
      <c r="AK43" s="309">
        <v>0</v>
      </c>
      <c r="AL43" s="309">
        <v>0</v>
      </c>
      <c r="AM43" s="309">
        <f t="shared" si="18"/>
        <v>0</v>
      </c>
      <c r="AN43" s="310">
        <f ca="1">IF($A43&gt;=$AU$23,OFFSET('CHP_NG_Baseload_With DB'!$AW$31,$A43-$AU$23,0),0)</f>
        <v>1439188.7175</v>
      </c>
      <c r="AO43" s="310">
        <f ca="1">IF($A43&gt;=$AU$23,OFFSET('CHP_NG_Baseload_With DB'!$AX$31,$A43-$AU$23,0),0)+IF($A43&gt;=$AU$23,OFFSET('CHP_NG_Baseload_With DB'!$BU$31,$A43-$AU$23,0),0)</f>
        <v>-3410047.518542307</v>
      </c>
      <c r="AP43" s="310">
        <f t="shared" ca="1" si="19"/>
        <v>-1970858.8010423069</v>
      </c>
      <c r="AQ43" s="309">
        <v>0</v>
      </c>
      <c r="AR43" s="311">
        <f t="shared" ca="1" si="6"/>
        <v>6252689.6928541064</v>
      </c>
      <c r="AS43" s="870">
        <f t="shared" ca="1" si="20"/>
        <v>76578117.830263227</v>
      </c>
      <c r="AT43" s="822"/>
      <c r="AU43" s="878"/>
      <c r="AV43" s="35"/>
      <c r="AW43" s="879"/>
      <c r="AX43" s="35"/>
      <c r="AY43" s="880"/>
    </row>
    <row r="44" spans="1:51">
      <c r="A44" s="303">
        <v>2035</v>
      </c>
      <c r="B44" s="304">
        <f ca="1">IF($D$3="BAU",UtilityDemand!C37,INDIRECT($D$3&amp;"!B"&amp;ROW(A44))+INDIRECT($D$3&amp;"!D"&amp;ROW(A44)))</f>
        <v>152410.67843776348</v>
      </c>
      <c r="C44" s="305">
        <v>0</v>
      </c>
      <c r="D44" s="306">
        <f t="shared" ca="1" si="7"/>
        <v>0</v>
      </c>
      <c r="E44" s="304">
        <f ca="1">IF($D$3="BAU",UtilityDemand!E37,INDIRECT($D$3&amp;"!E"&amp;ROW(D44))+INDIRECT($D$3&amp;"!G"&amp;ROW(D44)))</f>
        <v>917674.45748039079</v>
      </c>
      <c r="F44" s="305">
        <v>0</v>
      </c>
      <c r="G44" s="306">
        <f t="shared" ca="1" si="8"/>
        <v>0</v>
      </c>
      <c r="H44" s="304">
        <f ca="1">IF($D$3="BAU",UtilityDemand!G37,INDIRECT($D$3&amp;"!H"&amp;ROW(G44))+INDIRECT($D$3&amp;"!J"&amp;ROW(G44)))</f>
        <v>505207.95179973327</v>
      </c>
      <c r="I44" s="305">
        <v>0</v>
      </c>
      <c r="J44" s="306">
        <f t="shared" ca="1" si="21"/>
        <v>0</v>
      </c>
      <c r="K44" s="307">
        <f t="shared" ca="1" si="9"/>
        <v>152410.67843776348</v>
      </c>
      <c r="L44" s="307">
        <f t="shared" ca="1" si="10"/>
        <v>-103449.11760000001</v>
      </c>
      <c r="M44" s="307">
        <f ca="1">IF($A44&gt;=$AU$23,OFFSET('CHP_NG_Baseload_With DB'!$Q$31,$A44-$AU$23,0),0)</f>
        <v>103449.11760000001</v>
      </c>
      <c r="N44" s="307">
        <f t="shared" ca="1" si="11"/>
        <v>48961.560837763463</v>
      </c>
      <c r="O44" s="1494">
        <f t="shared" ca="1" si="12"/>
        <v>917674.45748039079</v>
      </c>
      <c r="P44" s="306">
        <f t="shared" si="13"/>
        <v>0</v>
      </c>
      <c r="Q44" s="306">
        <v>0</v>
      </c>
      <c r="R44" s="306">
        <f t="shared" ca="1" si="14"/>
        <v>917674.45748039079</v>
      </c>
      <c r="S44" s="818">
        <f t="shared" ca="1" si="15"/>
        <v>505207.95179973327</v>
      </c>
      <c r="T44" s="818">
        <f t="shared" si="16"/>
        <v>0</v>
      </c>
      <c r="U44" s="818">
        <v>0</v>
      </c>
      <c r="V44" s="818">
        <f t="shared" ca="1" si="17"/>
        <v>505207.95179973327</v>
      </c>
      <c r="W44" s="306">
        <f t="shared" si="1"/>
        <v>0</v>
      </c>
      <c r="X44" s="306">
        <f ca="1">SUM(D44,L44)*OFFSET(GridFootprintbyYear,$A44-$A$19,0)+SUM(G44,P44)*Emissions_factor_PurchSteam+SUM(J44,T44)*Emissions_factor_PurchCooling+IF($A44&gt;=$AU$23,OFFSET('CHP_NG_Baseload_With DB'!$AG$31,$A44-$AU$23,0),0)*Emission_Factor_NG+IF($A44&gt;=$AU$23,OFFSET('CHP_NG_Baseload_With DB'!$AA$31,$A44-$AU$23,0),0)*Emission_factor_coal</f>
        <v>-69175.400688347028</v>
      </c>
      <c r="Y44" s="306">
        <v>0</v>
      </c>
      <c r="Z44" s="306">
        <v>0</v>
      </c>
      <c r="AA44" s="308">
        <f ca="1">-SUM(W44,X44/OFFSET(GridFootprintbyYear,$A44-$A$19,0)*EF_PurchElec_MTperMWh,Z44)*OFFSET(ExposureCalculations!Price_GHG_Allowance_2010,A44-$A$19,0)*ExposureCalculations!D41</f>
        <v>4213911.2865426522</v>
      </c>
      <c r="AB44" s="308">
        <f t="shared" ca="1" si="2"/>
        <v>9960869.7264293022</v>
      </c>
      <c r="AC44" s="308">
        <v>0</v>
      </c>
      <c r="AD44" s="819">
        <f t="shared" ca="1" si="3"/>
        <v>0</v>
      </c>
      <c r="AE44" s="308">
        <v>0</v>
      </c>
      <c r="AF44" s="819">
        <f t="shared" ca="1" si="4"/>
        <v>0</v>
      </c>
      <c r="AG44" s="308">
        <v>0</v>
      </c>
      <c r="AH44" s="308">
        <f ca="1">IF($A44&gt;=$AU$23,OFFSET('CHP_NG_Baseload_With DB'!$AL$31,$A44-$AU$23,0)+OFFSET('CHP_NG_Baseload_With DB'!$AN$31,$A44-$AU$23,0),0)</f>
        <v>-5700835.6945111286</v>
      </c>
      <c r="AI44" s="308">
        <v>0</v>
      </c>
      <c r="AJ44" s="308">
        <f t="shared" ca="1" si="5"/>
        <v>4260034.0319181737</v>
      </c>
      <c r="AK44" s="309">
        <v>0</v>
      </c>
      <c r="AL44" s="309">
        <v>0</v>
      </c>
      <c r="AM44" s="309">
        <f t="shared" si="18"/>
        <v>0</v>
      </c>
      <c r="AN44" s="310">
        <f ca="1">IF($A44&gt;=$AU$23,OFFSET('CHP_NG_Baseload_With DB'!$AW$31,$A44-$AU$23,0),0)</f>
        <v>1439188.7175</v>
      </c>
      <c r="AO44" s="310">
        <f ca="1">IF($A44&gt;=$AU$23,OFFSET('CHP_NG_Baseload_With DB'!$AX$31,$A44-$AU$23,0),0)+IF($A44&gt;=$AU$23,OFFSET('CHP_NG_Baseload_With DB'!$BU$31,$A44-$AU$23,0),0)</f>
        <v>-3410047.518542307</v>
      </c>
      <c r="AP44" s="310">
        <f t="shared" ca="1" si="19"/>
        <v>-1970858.8010423069</v>
      </c>
      <c r="AQ44" s="309">
        <v>0</v>
      </c>
      <c r="AR44" s="311">
        <f t="shared" ca="1" si="6"/>
        <v>6503086.5174185187</v>
      </c>
      <c r="AS44" s="870">
        <f t="shared" ca="1" si="20"/>
        <v>83081204.347681746</v>
      </c>
      <c r="AT44" s="822"/>
      <c r="AU44" s="878"/>
      <c r="AV44" s="35"/>
      <c r="AW44" s="879"/>
      <c r="AX44" s="35"/>
      <c r="AY44" s="880"/>
    </row>
    <row r="45" spans="1:51">
      <c r="A45" s="303">
        <v>2036</v>
      </c>
      <c r="B45" s="304">
        <f ca="1">IF($D$3="BAU",UtilityDemand!C38,INDIRECT($D$3&amp;"!B"&amp;ROW(A45))+INDIRECT($D$3&amp;"!D"&amp;ROW(A45)))</f>
        <v>153987.30403861555</v>
      </c>
      <c r="C45" s="305">
        <v>0</v>
      </c>
      <c r="D45" s="306">
        <f t="shared" ca="1" si="7"/>
        <v>0</v>
      </c>
      <c r="E45" s="304">
        <f ca="1">IF($D$3="BAU",UtilityDemand!E38,INDIRECT($D$3&amp;"!E"&amp;ROW(D45))+INDIRECT($D$3&amp;"!G"&amp;ROW(D45)))</f>
        <v>926061.05661006644</v>
      </c>
      <c r="F45" s="305">
        <v>0</v>
      </c>
      <c r="G45" s="306">
        <f t="shared" ca="1" si="8"/>
        <v>0</v>
      </c>
      <c r="H45" s="304">
        <f ca="1">IF($D$3="BAU",UtilityDemand!G38,INDIRECT($D$3&amp;"!H"&amp;ROW(G45))+INDIRECT($D$3&amp;"!J"&amp;ROW(G45)))</f>
        <v>508272.48636233702</v>
      </c>
      <c r="I45" s="305">
        <v>0</v>
      </c>
      <c r="J45" s="306">
        <f t="shared" ca="1" si="21"/>
        <v>0</v>
      </c>
      <c r="K45" s="307">
        <f t="shared" ca="1" si="9"/>
        <v>153987.30403861555</v>
      </c>
      <c r="L45" s="307">
        <f t="shared" ca="1" si="10"/>
        <v>-103449.11760000001</v>
      </c>
      <c r="M45" s="307">
        <f ca="1">IF($A45&gt;=$AU$23,OFFSET('CHP_NG_Baseload_With DB'!$Q$31,$A45-$AU$23,0),0)</f>
        <v>103449.11760000001</v>
      </c>
      <c r="N45" s="307">
        <f t="shared" ca="1" si="11"/>
        <v>50538.186438615536</v>
      </c>
      <c r="O45" s="1494">
        <f t="shared" ca="1" si="12"/>
        <v>926061.05661006644</v>
      </c>
      <c r="P45" s="306">
        <f t="shared" si="13"/>
        <v>0</v>
      </c>
      <c r="Q45" s="306">
        <v>0</v>
      </c>
      <c r="R45" s="306">
        <f t="shared" ca="1" si="14"/>
        <v>926061.05661006644</v>
      </c>
      <c r="S45" s="818">
        <f t="shared" ca="1" si="15"/>
        <v>508272.48636233702</v>
      </c>
      <c r="T45" s="818">
        <f t="shared" si="16"/>
        <v>0</v>
      </c>
      <c r="U45" s="818">
        <v>0</v>
      </c>
      <c r="V45" s="818">
        <f t="shared" ca="1" si="17"/>
        <v>508272.48636233702</v>
      </c>
      <c r="W45" s="306">
        <f t="shared" si="1"/>
        <v>0</v>
      </c>
      <c r="X45" s="306">
        <f ca="1">SUM(D45,L45)*OFFSET(GridFootprintbyYear,$A45-$A$19,0)+SUM(G45,P45)*Emissions_factor_PurchSteam+SUM(J45,T45)*Emissions_factor_PurchCooling+IF($A45&gt;=$AU$23,OFFSET('CHP_NG_Baseload_With DB'!$AG$31,$A45-$AU$23,0),0)*Emission_Factor_NG+IF($A45&gt;=$AU$23,OFFSET('CHP_NG_Baseload_With DB'!$AA$31,$A45-$AU$23,0),0)*Emission_factor_coal</f>
        <v>-69175.400688347028</v>
      </c>
      <c r="Y45" s="306">
        <v>0</v>
      </c>
      <c r="Z45" s="306">
        <v>0</v>
      </c>
      <c r="AA45" s="308">
        <f ca="1">-SUM(W45,X45/OFFSET(GridFootprintbyYear,$A45-$A$19,0)*EF_PurchElec_MTperMWh,Z45)*OFFSET(ExposureCalculations!Price_GHG_Allowance_2010,A45-$A$19,0)*ExposureCalculations!D42</f>
        <v>4448888.7055136589</v>
      </c>
      <c r="AB45" s="308">
        <f t="shared" ca="1" si="2"/>
        <v>10010674.075061448</v>
      </c>
      <c r="AC45" s="308">
        <v>0</v>
      </c>
      <c r="AD45" s="819">
        <f t="shared" ca="1" si="3"/>
        <v>0</v>
      </c>
      <c r="AE45" s="308">
        <v>0</v>
      </c>
      <c r="AF45" s="819">
        <f t="shared" ca="1" si="4"/>
        <v>0</v>
      </c>
      <c r="AG45" s="308">
        <v>0</v>
      </c>
      <c r="AH45" s="308">
        <f ca="1">IF($A45&gt;=$AU$23,OFFSET('CHP_NG_Baseload_With DB'!$AL$31,$A45-$AU$23,0)+OFFSET('CHP_NG_Baseload_With DB'!$AN$31,$A45-$AU$23,0),0)</f>
        <v>-5700835.6945111286</v>
      </c>
      <c r="AI45" s="308">
        <v>0</v>
      </c>
      <c r="AJ45" s="308">
        <f t="shared" ca="1" si="5"/>
        <v>4309838.3805503193</v>
      </c>
      <c r="AK45" s="309">
        <v>0</v>
      </c>
      <c r="AL45" s="309">
        <v>0</v>
      </c>
      <c r="AM45" s="309">
        <f t="shared" si="18"/>
        <v>0</v>
      </c>
      <c r="AN45" s="310">
        <f ca="1">IF($A45&gt;=$AU$23,OFFSET('CHP_NG_Baseload_With DB'!$AW$31,$A45-$AU$23,0),0)</f>
        <v>1439188.7175</v>
      </c>
      <c r="AO45" s="310">
        <f ca="1">IF($A45&gt;=$AU$23,OFFSET('CHP_NG_Baseload_With DB'!$AX$31,$A45-$AU$23,0),0)+IF($A45&gt;=$AU$23,OFFSET('CHP_NG_Baseload_With DB'!$BU$31,$A45-$AU$23,0),0)</f>
        <v>-2250197.4356711535</v>
      </c>
      <c r="AP45" s="310">
        <f t="shared" ca="1" si="19"/>
        <v>-811008.71817115345</v>
      </c>
      <c r="AQ45" s="309">
        <v>0</v>
      </c>
      <c r="AR45" s="311">
        <f t="shared" ca="1" si="6"/>
        <v>7947718.3678928241</v>
      </c>
      <c r="AS45" s="870">
        <f t="shared" ca="1" si="20"/>
        <v>91028922.715574563</v>
      </c>
      <c r="AT45" s="822"/>
      <c r="AU45" s="878"/>
      <c r="AV45" s="35"/>
      <c r="AW45" s="879"/>
      <c r="AX45" s="35"/>
      <c r="AY45" s="880"/>
    </row>
    <row r="46" spans="1:51">
      <c r="A46" s="303">
        <v>2037</v>
      </c>
      <c r="B46" s="304">
        <f ca="1">IF($D$3="BAU",UtilityDemand!C39,INDIRECT($D$3&amp;"!B"&amp;ROW(A46))+INDIRECT($D$3&amp;"!D"&amp;ROW(A46)))</f>
        <v>155563.92963946756</v>
      </c>
      <c r="C46" s="305">
        <v>0</v>
      </c>
      <c r="D46" s="306">
        <f t="shared" ca="1" si="7"/>
        <v>0</v>
      </c>
      <c r="E46" s="304">
        <f ca="1">IF($D$3="BAU",UtilityDemand!E39,INDIRECT($D$3&amp;"!E"&amp;ROW(D46))+INDIRECT($D$3&amp;"!G"&amp;ROW(D46)))</f>
        <v>934447.65573974175</v>
      </c>
      <c r="F46" s="305">
        <v>0</v>
      </c>
      <c r="G46" s="306">
        <f t="shared" ca="1" si="8"/>
        <v>0</v>
      </c>
      <c r="H46" s="304">
        <f ca="1">IF($D$3="BAU",UtilityDemand!G39,INDIRECT($D$3&amp;"!H"&amp;ROW(G46))+INDIRECT($D$3&amp;"!J"&amp;ROW(G46)))</f>
        <v>511337.02092494071</v>
      </c>
      <c r="I46" s="305">
        <v>0</v>
      </c>
      <c r="J46" s="306">
        <f t="shared" ca="1" si="21"/>
        <v>0</v>
      </c>
      <c r="K46" s="307">
        <f t="shared" ca="1" si="9"/>
        <v>155563.92963946756</v>
      </c>
      <c r="L46" s="307">
        <f t="shared" ca="1" si="10"/>
        <v>-103449.11760000001</v>
      </c>
      <c r="M46" s="307">
        <f ca="1">IF($A46&gt;=$AU$23,OFFSET('CHP_NG_Baseload_With DB'!$Q$31,$A46-$AU$23,0),0)</f>
        <v>103449.11760000001</v>
      </c>
      <c r="N46" s="307">
        <f t="shared" ca="1" si="11"/>
        <v>52114.81203946755</v>
      </c>
      <c r="O46" s="1494">
        <f t="shared" ca="1" si="12"/>
        <v>934447.65573974175</v>
      </c>
      <c r="P46" s="306">
        <f t="shared" si="13"/>
        <v>0</v>
      </c>
      <c r="Q46" s="306">
        <v>0</v>
      </c>
      <c r="R46" s="306">
        <f t="shared" ca="1" si="14"/>
        <v>934447.65573974175</v>
      </c>
      <c r="S46" s="818">
        <f t="shared" ca="1" si="15"/>
        <v>511337.02092494071</v>
      </c>
      <c r="T46" s="818">
        <f t="shared" si="16"/>
        <v>0</v>
      </c>
      <c r="U46" s="818">
        <v>0</v>
      </c>
      <c r="V46" s="818">
        <f t="shared" ca="1" si="17"/>
        <v>511337.02092494071</v>
      </c>
      <c r="W46" s="306">
        <f t="shared" si="1"/>
        <v>0</v>
      </c>
      <c r="X46" s="306">
        <f ca="1">SUM(D46,L46)*OFFSET(GridFootprintbyYear,$A46-$A$19,0)+SUM(G46,P46)*Emissions_factor_PurchSteam+SUM(J46,T46)*Emissions_factor_PurchCooling+IF($A46&gt;=$AU$23,OFFSET('CHP_NG_Baseload_With DB'!$AG$31,$A46-$AU$23,0),0)*Emission_Factor_NG+IF($A46&gt;=$AU$23,OFFSET('CHP_NG_Baseload_With DB'!$AA$31,$A46-$AU$23,0),0)*Emission_factor_coal</f>
        <v>-69175.400688347028</v>
      </c>
      <c r="Y46" s="306">
        <v>0</v>
      </c>
      <c r="Z46" s="306">
        <v>0</v>
      </c>
      <c r="AA46" s="308">
        <f ca="1">-SUM(W46,X46/OFFSET(GridFootprintbyYear,$A46-$A$19,0)*EF_PurchElec_MTperMWh,Z46)*OFFSET(ExposureCalculations!Price_GHG_Allowance_2010,A46-$A$19,0)*ExposureCalculations!D43</f>
        <v>4682844.7336487472</v>
      </c>
      <c r="AB46" s="308">
        <f t="shared" ca="1" si="2"/>
        <v>10060727.445436751</v>
      </c>
      <c r="AC46" s="308">
        <v>0</v>
      </c>
      <c r="AD46" s="819">
        <f t="shared" ca="1" si="3"/>
        <v>0</v>
      </c>
      <c r="AE46" s="308">
        <v>0</v>
      </c>
      <c r="AF46" s="819">
        <f t="shared" ca="1" si="4"/>
        <v>0</v>
      </c>
      <c r="AG46" s="308">
        <v>0</v>
      </c>
      <c r="AH46" s="308">
        <f ca="1">IF($A46&gt;=$AU$23,OFFSET('CHP_NG_Baseload_With DB'!$AL$31,$A46-$AU$23,0)+OFFSET('CHP_NG_Baseload_With DB'!$AN$31,$A46-$AU$23,0),0)</f>
        <v>-5700835.6945111286</v>
      </c>
      <c r="AI46" s="308">
        <v>0</v>
      </c>
      <c r="AJ46" s="308">
        <f t="shared" ca="1" si="5"/>
        <v>4359891.7509256229</v>
      </c>
      <c r="AK46" s="309">
        <v>0</v>
      </c>
      <c r="AL46" s="309">
        <v>0</v>
      </c>
      <c r="AM46" s="309">
        <f t="shared" si="18"/>
        <v>0</v>
      </c>
      <c r="AN46" s="310">
        <f ca="1">IF($A46&gt;=$AU$23,OFFSET('CHP_NG_Baseload_With DB'!$AW$31,$A46-$AU$23,0),0)</f>
        <v>1439188.7175</v>
      </c>
      <c r="AO46" s="310">
        <f ca="1">IF($A46&gt;=$AU$23,OFFSET('CHP_NG_Baseload_With DB'!$AX$31,$A46-$AU$23,0),0)+IF($A46&gt;=$AU$23,OFFSET('CHP_NG_Baseload_With DB'!$BU$31,$A46-$AU$23,0),0)</f>
        <v>-2250197.4356711535</v>
      </c>
      <c r="AP46" s="310">
        <f t="shared" ca="1" si="19"/>
        <v>-811008.71817115345</v>
      </c>
      <c r="AQ46" s="309">
        <v>0</v>
      </c>
      <c r="AR46" s="311">
        <f t="shared" ca="1" si="6"/>
        <v>8231727.7664032169</v>
      </c>
      <c r="AS46" s="870">
        <f t="shared" ca="1" si="20"/>
        <v>99260650.481977776</v>
      </c>
      <c r="AT46" s="822"/>
      <c r="AU46" s="878"/>
      <c r="AV46" s="35"/>
      <c r="AW46" s="879"/>
      <c r="AX46" s="35"/>
      <c r="AY46" s="880"/>
    </row>
    <row r="47" spans="1:51">
      <c r="A47" s="303">
        <v>2038</v>
      </c>
      <c r="B47" s="304">
        <f ca="1">IF($D$3="BAU",UtilityDemand!C40,INDIRECT($D$3&amp;"!B"&amp;ROW(A47))+INDIRECT($D$3&amp;"!D"&amp;ROW(A47)))</f>
        <v>157140.55524031961</v>
      </c>
      <c r="C47" s="305">
        <v>0</v>
      </c>
      <c r="D47" s="306">
        <f t="shared" ca="1" si="7"/>
        <v>0</v>
      </c>
      <c r="E47" s="304">
        <f ca="1">IF($D$3="BAU",UtilityDemand!E40,INDIRECT($D$3&amp;"!E"&amp;ROW(D47))+INDIRECT($D$3&amp;"!G"&amp;ROW(D47)))</f>
        <v>942834.25486941705</v>
      </c>
      <c r="F47" s="305">
        <v>0</v>
      </c>
      <c r="G47" s="306">
        <f t="shared" ca="1" si="8"/>
        <v>0</v>
      </c>
      <c r="H47" s="304">
        <f ca="1">IF($D$3="BAU",UtilityDemand!G40,INDIRECT($D$3&amp;"!H"&amp;ROW(G47))+INDIRECT($D$3&amp;"!J"&amp;ROW(G47)))</f>
        <v>514401.55548754439</v>
      </c>
      <c r="I47" s="305">
        <v>0</v>
      </c>
      <c r="J47" s="306">
        <f t="shared" ca="1" si="21"/>
        <v>0</v>
      </c>
      <c r="K47" s="307">
        <f t="shared" ca="1" si="9"/>
        <v>157140.55524031961</v>
      </c>
      <c r="L47" s="307">
        <f t="shared" ca="1" si="10"/>
        <v>-103449.11760000001</v>
      </c>
      <c r="M47" s="307">
        <f ca="1">IF($A47&gt;=$AU$23,OFFSET('CHP_NG_Baseload_With DB'!$Q$31,$A47-$AU$23,0),0)</f>
        <v>103449.11760000001</v>
      </c>
      <c r="N47" s="307">
        <f t="shared" ca="1" si="11"/>
        <v>53691.437640319593</v>
      </c>
      <c r="O47" s="1494">
        <f t="shared" ca="1" si="12"/>
        <v>942834.25486941705</v>
      </c>
      <c r="P47" s="306">
        <f t="shared" si="13"/>
        <v>0</v>
      </c>
      <c r="Q47" s="306">
        <v>0</v>
      </c>
      <c r="R47" s="306">
        <f t="shared" ca="1" si="14"/>
        <v>942834.25486941705</v>
      </c>
      <c r="S47" s="818">
        <f t="shared" ca="1" si="15"/>
        <v>514401.55548754439</v>
      </c>
      <c r="T47" s="818">
        <f t="shared" si="16"/>
        <v>0</v>
      </c>
      <c r="U47" s="818">
        <v>0</v>
      </c>
      <c r="V47" s="818">
        <f t="shared" ca="1" si="17"/>
        <v>514401.55548754439</v>
      </c>
      <c r="W47" s="306">
        <f t="shared" si="1"/>
        <v>0</v>
      </c>
      <c r="X47" s="306">
        <f ca="1">SUM(D47,L47)*OFFSET(GridFootprintbyYear,$A47-$A$19,0)+SUM(G47,P47)*Emissions_factor_PurchSteam+SUM(J47,T47)*Emissions_factor_PurchCooling+IF($A47&gt;=$AU$23,OFFSET('CHP_NG_Baseload_With DB'!$AG$31,$A47-$AU$23,0),0)*Emission_Factor_NG+IF($A47&gt;=$AU$23,OFFSET('CHP_NG_Baseload_With DB'!$AA$31,$A47-$AU$23,0),0)*Emission_factor_coal</f>
        <v>-69175.400688347028</v>
      </c>
      <c r="Y47" s="306">
        <v>0</v>
      </c>
      <c r="Z47" s="306">
        <v>0</v>
      </c>
      <c r="AA47" s="308">
        <f ca="1">-SUM(W47,X47/OFFSET(GridFootprintbyYear,$A47-$A$19,0)*EF_PurchElec_MTperMWh,Z47)*OFFSET(ExposureCalculations!Price_GHG_Allowance_2010,A47-$A$19,0)*ExposureCalculations!D44</f>
        <v>4915159.3507260717</v>
      </c>
      <c r="AB47" s="308">
        <f t="shared" ca="1" si="2"/>
        <v>10111031.082663933</v>
      </c>
      <c r="AC47" s="308">
        <v>0</v>
      </c>
      <c r="AD47" s="819">
        <f t="shared" ca="1" si="3"/>
        <v>0</v>
      </c>
      <c r="AE47" s="308">
        <v>0</v>
      </c>
      <c r="AF47" s="819">
        <f t="shared" ca="1" si="4"/>
        <v>0</v>
      </c>
      <c r="AG47" s="308">
        <v>0</v>
      </c>
      <c r="AH47" s="308">
        <f ca="1">IF($A47&gt;=$AU$23,OFFSET('CHP_NG_Baseload_With DB'!$AL$31,$A47-$AU$23,0)+OFFSET('CHP_NG_Baseload_With DB'!$AN$31,$A47-$AU$23,0),0)</f>
        <v>-5700835.6945111286</v>
      </c>
      <c r="AI47" s="308">
        <v>0</v>
      </c>
      <c r="AJ47" s="308">
        <f t="shared" ca="1" si="5"/>
        <v>4410195.3881528042</v>
      </c>
      <c r="AK47" s="309">
        <v>0</v>
      </c>
      <c r="AL47" s="309">
        <v>0</v>
      </c>
      <c r="AM47" s="309">
        <f t="shared" si="18"/>
        <v>0</v>
      </c>
      <c r="AN47" s="310">
        <f ca="1">IF($A47&gt;=$AU$23,OFFSET('CHP_NG_Baseload_With DB'!$AW$31,$A47-$AU$23,0),0)</f>
        <v>1439188.7175</v>
      </c>
      <c r="AO47" s="310">
        <f ca="1">IF($A47&gt;=$AU$23,OFFSET('CHP_NG_Baseload_With DB'!$AX$31,$A47-$AU$23,0),0)+IF($A47&gt;=$AU$23,OFFSET('CHP_NG_Baseload_With DB'!$BU$31,$A47-$AU$23,0),0)</f>
        <v>-2250197.4356711535</v>
      </c>
      <c r="AP47" s="310">
        <f t="shared" ca="1" si="19"/>
        <v>-811008.71817115345</v>
      </c>
      <c r="AQ47" s="309">
        <v>0</v>
      </c>
      <c r="AR47" s="311">
        <f t="shared" ca="1" si="6"/>
        <v>8514346.0207077228</v>
      </c>
      <c r="AS47" s="870">
        <f t="shared" ca="1" si="20"/>
        <v>107774996.5026855</v>
      </c>
      <c r="AT47" s="822"/>
      <c r="AU47" s="878"/>
      <c r="AV47" s="35"/>
      <c r="AW47" s="879"/>
      <c r="AX47" s="35"/>
      <c r="AY47" s="880"/>
    </row>
    <row r="48" spans="1:51">
      <c r="A48" s="303">
        <v>2039</v>
      </c>
      <c r="B48" s="304">
        <f ca="1">IF($D$3="BAU",UtilityDemand!C41,INDIRECT($D$3&amp;"!B"&amp;ROW(A48))+INDIRECT($D$3&amp;"!D"&amp;ROW(A48)))</f>
        <v>158717.18084117162</v>
      </c>
      <c r="C48" s="305">
        <v>0</v>
      </c>
      <c r="D48" s="306">
        <f t="shared" ca="1" si="7"/>
        <v>0</v>
      </c>
      <c r="E48" s="304">
        <f ca="1">IF($D$3="BAU",UtilityDemand!E41,INDIRECT($D$3&amp;"!E"&amp;ROW(D48))+INDIRECT($D$3&amp;"!G"&amp;ROW(D48)))</f>
        <v>951220.85399909248</v>
      </c>
      <c r="F48" s="305">
        <v>0</v>
      </c>
      <c r="G48" s="306">
        <f t="shared" ca="1" si="8"/>
        <v>0</v>
      </c>
      <c r="H48" s="304">
        <f ca="1">IF($D$3="BAU",UtilityDemand!G41,INDIRECT($D$3&amp;"!H"&amp;ROW(G48))+INDIRECT($D$3&amp;"!J"&amp;ROW(G48)))</f>
        <v>517466.09005014808</v>
      </c>
      <c r="I48" s="305">
        <v>0</v>
      </c>
      <c r="J48" s="306">
        <f t="shared" ca="1" si="21"/>
        <v>0</v>
      </c>
      <c r="K48" s="307">
        <f t="shared" ca="1" si="9"/>
        <v>158717.18084117162</v>
      </c>
      <c r="L48" s="307">
        <f t="shared" ca="1" si="10"/>
        <v>-103449.11760000001</v>
      </c>
      <c r="M48" s="307">
        <f ca="1">IF($A48&gt;=$AU$23,OFFSET('CHP_NG_Baseload_With DB'!$Q$31,$A48-$AU$23,0),0)</f>
        <v>103449.11760000001</v>
      </c>
      <c r="N48" s="307">
        <f t="shared" ca="1" si="11"/>
        <v>55268.063241171607</v>
      </c>
      <c r="O48" s="1494">
        <f t="shared" ca="1" si="12"/>
        <v>951220.85399909248</v>
      </c>
      <c r="P48" s="306">
        <f t="shared" si="13"/>
        <v>0</v>
      </c>
      <c r="Q48" s="306">
        <v>0</v>
      </c>
      <c r="R48" s="306">
        <f t="shared" ca="1" si="14"/>
        <v>951220.85399909248</v>
      </c>
      <c r="S48" s="818">
        <f t="shared" ca="1" si="15"/>
        <v>517466.09005014808</v>
      </c>
      <c r="T48" s="818">
        <f t="shared" si="16"/>
        <v>0</v>
      </c>
      <c r="U48" s="818">
        <v>0</v>
      </c>
      <c r="V48" s="818">
        <f t="shared" ca="1" si="17"/>
        <v>517466.09005014808</v>
      </c>
      <c r="W48" s="306">
        <f t="shared" si="1"/>
        <v>0</v>
      </c>
      <c r="X48" s="306">
        <f ca="1">SUM(D48,L48)*OFFSET(GridFootprintbyYear,$A48-$A$19,0)+SUM(G48,P48)*Emissions_factor_PurchSteam+SUM(J48,T48)*Emissions_factor_PurchCooling+IF($A48&gt;=$AU$23,OFFSET('CHP_NG_Baseload_With DB'!$AG$31,$A48-$AU$23,0),0)*Emission_Factor_NG+IF($A48&gt;=$AU$23,OFFSET('CHP_NG_Baseload_With DB'!$AA$31,$A48-$AU$23,0),0)*Emission_factor_coal</f>
        <v>-69175.400688347028</v>
      </c>
      <c r="Y48" s="306">
        <v>0</v>
      </c>
      <c r="Z48" s="306">
        <v>0</v>
      </c>
      <c r="AA48" s="308">
        <f ca="1">-SUM(W48,X48/OFFSET(GridFootprintbyYear,$A48-$A$19,0)*EF_PurchElec_MTperMWh,Z48)*OFFSET(ExposureCalculations!Price_GHG_Allowance_2010,A48-$A$19,0)*ExposureCalculations!D45</f>
        <v>5145327.2517972933</v>
      </c>
      <c r="AB48" s="308">
        <f t="shared" ca="1" si="2"/>
        <v>10161586.238077253</v>
      </c>
      <c r="AC48" s="308">
        <v>0</v>
      </c>
      <c r="AD48" s="819">
        <f t="shared" ca="1" si="3"/>
        <v>0</v>
      </c>
      <c r="AE48" s="308">
        <v>0</v>
      </c>
      <c r="AF48" s="819">
        <f t="shared" ca="1" si="4"/>
        <v>0</v>
      </c>
      <c r="AG48" s="308">
        <v>0</v>
      </c>
      <c r="AH48" s="308">
        <f ca="1">IF($A48&gt;=$AU$23,OFFSET('CHP_NG_Baseload_With DB'!$AL$31,$A48-$AU$23,0)+OFFSET('CHP_NG_Baseload_With DB'!$AN$31,$A48-$AU$23,0),0)</f>
        <v>-5700835.6945111286</v>
      </c>
      <c r="AI48" s="308">
        <v>0</v>
      </c>
      <c r="AJ48" s="308">
        <f t="shared" ca="1" si="5"/>
        <v>4460750.5435661245</v>
      </c>
      <c r="AK48" s="309">
        <v>0</v>
      </c>
      <c r="AL48" s="309">
        <v>0</v>
      </c>
      <c r="AM48" s="309">
        <f t="shared" si="18"/>
        <v>0</v>
      </c>
      <c r="AN48" s="310">
        <f ca="1">IF($A48&gt;=$AU$23,OFFSET('CHP_NG_Baseload_With DB'!$AW$31,$A48-$AU$23,0),0)</f>
        <v>1439188.7175</v>
      </c>
      <c r="AO48" s="310">
        <f ca="1">IF($A48&gt;=$AU$23,OFFSET('CHP_NG_Baseload_With DB'!$AX$31,$A48-$AU$23,0),0)+IF($A48&gt;=$AU$23,OFFSET('CHP_NG_Baseload_With DB'!$BU$31,$A48-$AU$23,0),0)</f>
        <v>-2250197.4356711535</v>
      </c>
      <c r="AP48" s="310">
        <f t="shared" ca="1" si="19"/>
        <v>-811008.71817115345</v>
      </c>
      <c r="AQ48" s="309">
        <v>0</v>
      </c>
      <c r="AR48" s="311">
        <f t="shared" ca="1" si="6"/>
        <v>8795069.0771922655</v>
      </c>
      <c r="AS48" s="870">
        <f t="shared" ca="1" si="20"/>
        <v>116570065.57987776</v>
      </c>
      <c r="AT48" s="822"/>
      <c r="AU48" s="878"/>
      <c r="AV48" s="35"/>
      <c r="AW48" s="879"/>
      <c r="AX48" s="35"/>
      <c r="AY48" s="880"/>
    </row>
    <row r="49" spans="1:51">
      <c r="A49" s="303">
        <v>2040</v>
      </c>
      <c r="B49" s="304">
        <f ca="1">IF($D$3="BAU",UtilityDemand!C42,INDIRECT($D$3&amp;"!B"&amp;ROW(A49))+INDIRECT($D$3&amp;"!D"&amp;ROW(A49)))</f>
        <v>160293.80644202363</v>
      </c>
      <c r="C49" s="305">
        <v>0</v>
      </c>
      <c r="D49" s="306">
        <f t="shared" ca="1" si="7"/>
        <v>0</v>
      </c>
      <c r="E49" s="304">
        <f ca="1">IF($D$3="BAU",UtilityDemand!E42,INDIRECT($D$3&amp;"!E"&amp;ROW(D49))+INDIRECT($D$3&amp;"!G"&amp;ROW(D49)))</f>
        <v>959607.45312876778</v>
      </c>
      <c r="F49" s="305">
        <v>0</v>
      </c>
      <c r="G49" s="306">
        <f t="shared" ca="1" si="8"/>
        <v>0</v>
      </c>
      <c r="H49" s="304">
        <f ca="1">IF($D$3="BAU",UtilityDemand!G42,INDIRECT($D$3&amp;"!H"&amp;ROW(G49))+INDIRECT($D$3&amp;"!J"&amp;ROW(G49)))</f>
        <v>520530.62461275177</v>
      </c>
      <c r="I49" s="305">
        <v>0</v>
      </c>
      <c r="J49" s="306">
        <f t="shared" ca="1" si="21"/>
        <v>0</v>
      </c>
      <c r="K49" s="307">
        <f t="shared" ca="1" si="9"/>
        <v>160293.80644202363</v>
      </c>
      <c r="L49" s="307">
        <f t="shared" ca="1" si="10"/>
        <v>-103449.11760000001</v>
      </c>
      <c r="M49" s="307">
        <f ca="1">IF($A49&gt;=$AU$23,OFFSET('CHP_NG_Baseload_With DB'!$Q$31,$A49-$AU$23,0),0)</f>
        <v>103449.11760000001</v>
      </c>
      <c r="N49" s="307">
        <f t="shared" ca="1" si="11"/>
        <v>56844.688842023621</v>
      </c>
      <c r="O49" s="1494">
        <f t="shared" ca="1" si="12"/>
        <v>959607.45312876778</v>
      </c>
      <c r="P49" s="306">
        <f t="shared" si="13"/>
        <v>0</v>
      </c>
      <c r="Q49" s="306">
        <v>0</v>
      </c>
      <c r="R49" s="306">
        <f t="shared" ca="1" si="14"/>
        <v>959607.45312876778</v>
      </c>
      <c r="S49" s="818">
        <f t="shared" ca="1" si="15"/>
        <v>520530.62461275177</v>
      </c>
      <c r="T49" s="818">
        <f t="shared" si="16"/>
        <v>0</v>
      </c>
      <c r="U49" s="818">
        <v>0</v>
      </c>
      <c r="V49" s="818">
        <f t="shared" ca="1" si="17"/>
        <v>520530.62461275177</v>
      </c>
      <c r="W49" s="306">
        <f t="shared" si="1"/>
        <v>0</v>
      </c>
      <c r="X49" s="306">
        <f ca="1">SUM(D49,L49)*OFFSET(GridFootprintbyYear,$A49-$A$19,0)+SUM(G49,P49)*Emissions_factor_PurchSteam+SUM(J49,T49)*Emissions_factor_PurchCooling+IF($A49&gt;=$AU$23,OFFSET('CHP_NG_Baseload_With DB'!$AG$31,$A49-$AU$23,0),0)*Emission_Factor_NG+IF($A49&gt;=$AU$23,OFFSET('CHP_NG_Baseload_With DB'!$AA$31,$A49-$AU$23,0),0)*Emission_factor_coal</f>
        <v>-69175.400688347028</v>
      </c>
      <c r="Y49" s="306">
        <v>0</v>
      </c>
      <c r="Z49" s="306">
        <v>0</v>
      </c>
      <c r="AA49" s="308">
        <f ca="1">-SUM(W49,X49/OFFSET(GridFootprintbyYear,$A49-$A$19,0)*EF_PurchElec_MTperMWh,Z49)*OFFSET(ExposureCalculations!Price_GHG_Allowance_2010,A49-$A$19,0)*ExposureCalculations!D46</f>
        <v>5386718.8824854605</v>
      </c>
      <c r="AB49" s="308">
        <f t="shared" ca="1" si="2"/>
        <v>10212394.169267638</v>
      </c>
      <c r="AC49" s="308">
        <v>0</v>
      </c>
      <c r="AD49" s="819">
        <f t="shared" ca="1" si="3"/>
        <v>0</v>
      </c>
      <c r="AE49" s="308">
        <v>0</v>
      </c>
      <c r="AF49" s="819">
        <f t="shared" ca="1" si="4"/>
        <v>0</v>
      </c>
      <c r="AG49" s="308">
        <v>0</v>
      </c>
      <c r="AH49" s="308">
        <f ca="1">IF($A49&gt;=$AU$23,OFFSET('CHP_NG_Baseload_With DB'!$AL$31,$A49-$AU$23,0)+OFFSET('CHP_NG_Baseload_With DB'!$AN$31,$A49-$AU$23,0),0)</f>
        <v>-5700835.6945111286</v>
      </c>
      <c r="AI49" s="308">
        <v>0</v>
      </c>
      <c r="AJ49" s="308">
        <f t="shared" ca="1" si="5"/>
        <v>4511558.4747565091</v>
      </c>
      <c r="AK49" s="309">
        <v>0</v>
      </c>
      <c r="AL49" s="309">
        <v>0</v>
      </c>
      <c r="AM49" s="309">
        <f t="shared" si="18"/>
        <v>0</v>
      </c>
      <c r="AN49" s="310">
        <f ca="1">IF($A49&gt;=$AU$23,OFFSET('CHP_NG_Baseload_With DB'!$AW$31,$A49-$AU$23,0),0)</f>
        <v>1439188.7175</v>
      </c>
      <c r="AO49" s="310">
        <f ca="1">IF($A49&gt;=$AU$23,OFFSET('CHP_NG_Baseload_With DB'!$AX$31,$A49-$AU$23,0),0)+IF($A49&gt;=$AU$23,OFFSET('CHP_NG_Baseload_With DB'!$BU$31,$A49-$AU$23,0),0)</f>
        <v>-2250197.4356711535</v>
      </c>
      <c r="AP49" s="310">
        <f t="shared" ca="1" si="19"/>
        <v>-811008.71817115345</v>
      </c>
      <c r="AQ49" s="309">
        <v>0</v>
      </c>
      <c r="AR49" s="311">
        <f t="shared" ca="1" si="6"/>
        <v>9087268.6390708163</v>
      </c>
      <c r="AS49" s="870">
        <f t="shared" ca="1" si="20"/>
        <v>125657334.21894857</v>
      </c>
      <c r="AT49" s="822"/>
      <c r="AU49" s="878"/>
      <c r="AV49" s="35"/>
      <c r="AW49" s="879"/>
      <c r="AX49" s="35"/>
      <c r="AY49" s="880"/>
    </row>
    <row r="50" spans="1:51">
      <c r="A50" s="303">
        <v>2041</v>
      </c>
      <c r="B50" s="304">
        <f ca="1">IF($D$3="BAU",UtilityDemand!C43,INDIRECT($D$3&amp;"!B"&amp;ROW(A50))+INDIRECT($D$3&amp;"!D"&amp;ROW(A50)))</f>
        <v>161870.43204287568</v>
      </c>
      <c r="C50" s="305">
        <v>0</v>
      </c>
      <c r="D50" s="306">
        <f t="shared" ca="1" si="7"/>
        <v>0</v>
      </c>
      <c r="E50" s="304">
        <f ca="1">IF($D$3="BAU",UtilityDemand!E43,INDIRECT($D$3&amp;"!E"&amp;ROW(D50))+INDIRECT($D$3&amp;"!G"&amp;ROW(D50)))</f>
        <v>967994.0522584432</v>
      </c>
      <c r="F50" s="305">
        <v>0</v>
      </c>
      <c r="G50" s="306">
        <f t="shared" ca="1" si="8"/>
        <v>0</v>
      </c>
      <c r="H50" s="304">
        <f ca="1">IF($D$3="BAU",UtilityDemand!G43,INDIRECT($D$3&amp;"!H"&amp;ROW(G50))+INDIRECT($D$3&amp;"!J"&amp;ROW(G50)))</f>
        <v>523595.15917535545</v>
      </c>
      <c r="I50" s="305">
        <v>0</v>
      </c>
      <c r="J50" s="306">
        <f t="shared" ca="1" si="21"/>
        <v>0</v>
      </c>
      <c r="K50" s="307">
        <f t="shared" ca="1" si="9"/>
        <v>161870.43204287568</v>
      </c>
      <c r="L50" s="307">
        <f t="shared" ca="1" si="10"/>
        <v>-103449.11760000001</v>
      </c>
      <c r="M50" s="307">
        <f ca="1">IF($A50&gt;=$AU$23,OFFSET('CHP_NG_Baseload_With DB'!$Q$31,$A50-$AU$23,0),0)</f>
        <v>103449.11760000001</v>
      </c>
      <c r="N50" s="307">
        <f t="shared" ca="1" si="11"/>
        <v>58421.314442875664</v>
      </c>
      <c r="O50" s="1494">
        <f t="shared" ca="1" si="12"/>
        <v>967994.0522584432</v>
      </c>
      <c r="P50" s="306">
        <f t="shared" si="13"/>
        <v>0</v>
      </c>
      <c r="Q50" s="306">
        <v>0</v>
      </c>
      <c r="R50" s="306">
        <f t="shared" ca="1" si="14"/>
        <v>967994.0522584432</v>
      </c>
      <c r="S50" s="818">
        <f t="shared" ca="1" si="15"/>
        <v>523595.15917535545</v>
      </c>
      <c r="T50" s="818">
        <f t="shared" si="16"/>
        <v>0</v>
      </c>
      <c r="U50" s="818">
        <v>0</v>
      </c>
      <c r="V50" s="818">
        <f t="shared" ca="1" si="17"/>
        <v>523595.15917535545</v>
      </c>
      <c r="W50" s="306">
        <f t="shared" si="1"/>
        <v>0</v>
      </c>
      <c r="X50" s="306">
        <f ca="1">SUM(D50,L50)*OFFSET(GridFootprintbyYear,$A50-$A$19,0)+SUM(G50,P50)*Emissions_factor_PurchSteam+SUM(J50,T50)*Emissions_factor_PurchCooling+IF($A50&gt;=$AU$23,OFFSET('CHP_NG_Baseload_With DB'!$AG$31,$A50-$AU$23,0),0)*Emission_Factor_NG+IF($A50&gt;=$AU$23,OFFSET('CHP_NG_Baseload_With DB'!$AA$31,$A50-$AU$23,0),0)*Emission_factor_coal</f>
        <v>-69175.400688347028</v>
      </c>
      <c r="Y50" s="306">
        <v>0</v>
      </c>
      <c r="Z50" s="306">
        <v>0</v>
      </c>
      <c r="AA50" s="308">
        <f ca="1">-SUM(W50,X50/OFFSET(GridFootprintbyYear,$A50-$A$19,0)*EF_PurchElec_MTperMWh,Z50)*OFFSET(ExposureCalculations!Price_GHG_Allowance_2010,A50-$A$19,0)*ExposureCalculations!D47</f>
        <v>5620567.7644733526</v>
      </c>
      <c r="AB50" s="308">
        <f t="shared" ca="1" si="2"/>
        <v>10263456.140113972</v>
      </c>
      <c r="AC50" s="308">
        <v>0</v>
      </c>
      <c r="AD50" s="819">
        <f t="shared" ca="1" si="3"/>
        <v>0</v>
      </c>
      <c r="AE50" s="308">
        <v>0</v>
      </c>
      <c r="AF50" s="819">
        <f t="shared" ca="1" si="4"/>
        <v>0</v>
      </c>
      <c r="AG50" s="308">
        <v>0</v>
      </c>
      <c r="AH50" s="308">
        <f ca="1">IF($A50&gt;=$AU$23,OFFSET('CHP_NG_Baseload_With DB'!$AL$31,$A50-$AU$23,0)+OFFSET('CHP_NG_Baseload_With DB'!$AN$31,$A50-$AU$23,0),0)</f>
        <v>-5700835.6945111286</v>
      </c>
      <c r="AI50" s="308">
        <v>0</v>
      </c>
      <c r="AJ50" s="308">
        <f t="shared" ca="1" si="5"/>
        <v>4562620.4456028435</v>
      </c>
      <c r="AK50" s="309">
        <v>0</v>
      </c>
      <c r="AL50" s="309">
        <v>0</v>
      </c>
      <c r="AM50" s="309">
        <f t="shared" si="18"/>
        <v>0</v>
      </c>
      <c r="AN50" s="310">
        <f ca="1">IF($A50&gt;=$AU$23,OFFSET('CHP_NG_Baseload_With DB'!$AW$31,$A50-$AU$23,0),0)</f>
        <v>1439188.7175</v>
      </c>
      <c r="AO50" s="310">
        <f ca="1">IF($A50&gt;=$AU$23,OFFSET('CHP_NG_Baseload_With DB'!$AX$31,$A50-$AU$23,0),0)+IF($A50&gt;=$AU$23,OFFSET('CHP_NG_Baseload_With DB'!$BU$31,$A50-$AU$23,0),0)</f>
        <v>-2250197.4356711535</v>
      </c>
      <c r="AP50" s="310">
        <f t="shared" ca="1" si="19"/>
        <v>-811008.71817115345</v>
      </c>
      <c r="AQ50" s="309">
        <v>0</v>
      </c>
      <c r="AR50" s="311">
        <f t="shared" ca="1" si="6"/>
        <v>9372179.4919050429</v>
      </c>
      <c r="AS50" s="870">
        <f t="shared" ca="1" si="20"/>
        <v>135029513.71085361</v>
      </c>
      <c r="AT50" s="822"/>
      <c r="AU50" s="878"/>
      <c r="AV50" s="35"/>
      <c r="AW50" s="879"/>
      <c r="AX50" s="35"/>
      <c r="AY50" s="880"/>
    </row>
    <row r="51" spans="1:51">
      <c r="A51" s="303">
        <v>2042</v>
      </c>
      <c r="B51" s="304">
        <f ca="1">IF($D$3="BAU",UtilityDemand!C44,INDIRECT($D$3&amp;"!B"&amp;ROW(A51))+INDIRECT($D$3&amp;"!D"&amp;ROW(A51)))</f>
        <v>163447.05764372772</v>
      </c>
      <c r="C51" s="305">
        <v>0</v>
      </c>
      <c r="D51" s="306">
        <f t="shared" ca="1" si="7"/>
        <v>0</v>
      </c>
      <c r="E51" s="304">
        <f ca="1">IF($D$3="BAU",UtilityDemand!E44,INDIRECT($D$3&amp;"!E"&amp;ROW(D51))+INDIRECT($D$3&amp;"!G"&amp;ROW(D51)))</f>
        <v>976380.65138811851</v>
      </c>
      <c r="F51" s="305">
        <v>0</v>
      </c>
      <c r="G51" s="306">
        <f t="shared" ca="1" si="8"/>
        <v>0</v>
      </c>
      <c r="H51" s="304">
        <f ca="1">IF($D$3="BAU",UtilityDemand!G44,INDIRECT($D$3&amp;"!H"&amp;ROW(G51))+INDIRECT($D$3&amp;"!J"&amp;ROW(G51)))</f>
        <v>526659.69373795914</v>
      </c>
      <c r="I51" s="305">
        <v>0</v>
      </c>
      <c r="J51" s="306">
        <f t="shared" ca="1" si="21"/>
        <v>0</v>
      </c>
      <c r="K51" s="307">
        <f t="shared" ca="1" si="9"/>
        <v>163447.05764372772</v>
      </c>
      <c r="L51" s="307">
        <f t="shared" ca="1" si="10"/>
        <v>-103449.11760000001</v>
      </c>
      <c r="M51" s="307">
        <f ca="1">IF($A51&gt;=$AU$23,OFFSET('CHP_NG_Baseload_With DB'!$Q$31,$A51-$AU$23,0),0)</f>
        <v>103449.11760000001</v>
      </c>
      <c r="N51" s="307">
        <f t="shared" ca="1" si="11"/>
        <v>59997.940043727707</v>
      </c>
      <c r="O51" s="1494">
        <f t="shared" ca="1" si="12"/>
        <v>976380.65138811851</v>
      </c>
      <c r="P51" s="306">
        <f t="shared" si="13"/>
        <v>0</v>
      </c>
      <c r="Q51" s="306">
        <v>0</v>
      </c>
      <c r="R51" s="306">
        <f t="shared" ca="1" si="14"/>
        <v>976380.65138811851</v>
      </c>
      <c r="S51" s="818">
        <f t="shared" ca="1" si="15"/>
        <v>526659.69373795914</v>
      </c>
      <c r="T51" s="818">
        <f t="shared" si="16"/>
        <v>0</v>
      </c>
      <c r="U51" s="818">
        <v>0</v>
      </c>
      <c r="V51" s="818">
        <f t="shared" ca="1" si="17"/>
        <v>526659.69373795914</v>
      </c>
      <c r="W51" s="306">
        <f t="shared" si="1"/>
        <v>0</v>
      </c>
      <c r="X51" s="306">
        <f ca="1">SUM(D51,L51)*OFFSET(GridFootprintbyYear,$A51-$A$19,0)+SUM(G51,P51)*Emissions_factor_PurchSteam+SUM(J51,T51)*Emissions_factor_PurchCooling+IF($A51&gt;=$AU$23,OFFSET('CHP_NG_Baseload_With DB'!$AG$31,$A51-$AU$23,0),0)*Emission_Factor_NG+IF($A51&gt;=$AU$23,OFFSET('CHP_NG_Baseload_With DB'!$AA$31,$A51-$AU$23,0),0)*Emission_factor_coal</f>
        <v>-69175.400688347028</v>
      </c>
      <c r="Y51" s="306">
        <v>0</v>
      </c>
      <c r="Z51" s="306">
        <v>0</v>
      </c>
      <c r="AA51" s="308">
        <f ca="1">-SUM(W51,X51/OFFSET(GridFootprintbyYear,$A51-$A$19,0)*EF_PurchElec_MTperMWh,Z51)*OFFSET(ExposureCalculations!Price_GHG_Allowance_2010,A51-$A$19,0)*ExposureCalculations!D48</f>
        <v>5845304.268214846</v>
      </c>
      <c r="AB51" s="308">
        <f t="shared" ca="1" si="2"/>
        <v>10314773.42081454</v>
      </c>
      <c r="AC51" s="308">
        <v>0</v>
      </c>
      <c r="AD51" s="819">
        <f t="shared" ca="1" si="3"/>
        <v>0</v>
      </c>
      <c r="AE51" s="308">
        <v>0</v>
      </c>
      <c r="AF51" s="819">
        <f t="shared" ca="1" si="4"/>
        <v>0</v>
      </c>
      <c r="AG51" s="308">
        <v>0</v>
      </c>
      <c r="AH51" s="308">
        <f ca="1">IF($A51&gt;=$AU$23,OFFSET('CHP_NG_Baseload_With DB'!$AL$31,$A51-$AU$23,0)+OFFSET('CHP_NG_Baseload_With DB'!$AN$31,$A51-$AU$23,0),0)</f>
        <v>-5700835.6945111286</v>
      </c>
      <c r="AI51" s="308">
        <v>0</v>
      </c>
      <c r="AJ51" s="308">
        <f t="shared" ca="1" si="5"/>
        <v>4613937.7263034116</v>
      </c>
      <c r="AK51" s="309">
        <v>0</v>
      </c>
      <c r="AL51" s="309">
        <v>0</v>
      </c>
      <c r="AM51" s="309">
        <f t="shared" si="18"/>
        <v>0</v>
      </c>
      <c r="AN51" s="310">
        <f ca="1">IF($A51&gt;=$AU$23,OFFSET('CHP_NG_Baseload_With DB'!$AW$31,$A51-$AU$23,0),0)</f>
        <v>1439188.7175</v>
      </c>
      <c r="AO51" s="310">
        <f ca="1">IF($A51&gt;=$AU$23,OFFSET('CHP_NG_Baseload_With DB'!$AX$31,$A51-$AU$23,0),0)+IF($A51&gt;=$AU$23,OFFSET('CHP_NG_Baseload_With DB'!$BU$31,$A51-$AU$23,0),0)</f>
        <v>-2250197.4356711535</v>
      </c>
      <c r="AP51" s="310">
        <f t="shared" ca="1" si="19"/>
        <v>-811008.71817115345</v>
      </c>
      <c r="AQ51" s="309">
        <v>0</v>
      </c>
      <c r="AR51" s="311">
        <f t="shared" ca="1" si="6"/>
        <v>9648233.2763471045</v>
      </c>
      <c r="AS51" s="870">
        <f t="shared" ca="1" si="20"/>
        <v>144677746.98720071</v>
      </c>
      <c r="AT51" s="822"/>
      <c r="AU51" s="878"/>
      <c r="AV51" s="35"/>
      <c r="AW51" s="879"/>
      <c r="AX51" s="35"/>
      <c r="AY51" s="880"/>
    </row>
    <row r="52" spans="1:51">
      <c r="A52" s="303">
        <v>2043</v>
      </c>
      <c r="B52" s="304">
        <f ca="1">IF($D$3="BAU",UtilityDemand!C45,INDIRECT($D$3&amp;"!B"&amp;ROW(A52))+INDIRECT($D$3&amp;"!D"&amp;ROW(A52)))</f>
        <v>165023.68324457973</v>
      </c>
      <c r="C52" s="305">
        <v>0</v>
      </c>
      <c r="D52" s="306">
        <f t="shared" ca="1" si="7"/>
        <v>0</v>
      </c>
      <c r="E52" s="304">
        <f ca="1">IF($D$3="BAU",UtilityDemand!E45,INDIRECT($D$3&amp;"!E"&amp;ROW(D52))+INDIRECT($D$3&amp;"!G"&amp;ROW(D52)))</f>
        <v>984767.25051779393</v>
      </c>
      <c r="F52" s="305">
        <v>0</v>
      </c>
      <c r="G52" s="306">
        <f t="shared" ca="1" si="8"/>
        <v>0</v>
      </c>
      <c r="H52" s="304">
        <f ca="1">IF($D$3="BAU",UtilityDemand!G45,INDIRECT($D$3&amp;"!H"&amp;ROW(G52))+INDIRECT($D$3&amp;"!J"&amp;ROW(G52)))</f>
        <v>529724.22830056283</v>
      </c>
      <c r="I52" s="305">
        <v>0</v>
      </c>
      <c r="J52" s="306">
        <f t="shared" ca="1" si="21"/>
        <v>0</v>
      </c>
      <c r="K52" s="307">
        <f t="shared" ca="1" si="9"/>
        <v>165023.68324457973</v>
      </c>
      <c r="L52" s="307">
        <f t="shared" ca="1" si="10"/>
        <v>-103449.11760000001</v>
      </c>
      <c r="M52" s="307">
        <f ca="1">IF($A52&gt;=$AU$23,OFFSET('CHP_NG_Baseload_With DB'!$Q$31,$A52-$AU$23,0),0)</f>
        <v>103449.11760000001</v>
      </c>
      <c r="N52" s="307">
        <f t="shared" ca="1" si="11"/>
        <v>61574.565644579721</v>
      </c>
      <c r="O52" s="1494">
        <f t="shared" ca="1" si="12"/>
        <v>984767.25051779393</v>
      </c>
      <c r="P52" s="306">
        <f t="shared" si="13"/>
        <v>0</v>
      </c>
      <c r="Q52" s="306">
        <v>0</v>
      </c>
      <c r="R52" s="306">
        <f t="shared" ca="1" si="14"/>
        <v>984767.25051779393</v>
      </c>
      <c r="S52" s="818">
        <f t="shared" ca="1" si="15"/>
        <v>529724.22830056283</v>
      </c>
      <c r="T52" s="818">
        <f t="shared" si="16"/>
        <v>0</v>
      </c>
      <c r="U52" s="818">
        <v>0</v>
      </c>
      <c r="V52" s="818">
        <f t="shared" ca="1" si="17"/>
        <v>529724.22830056283</v>
      </c>
      <c r="W52" s="306">
        <f t="shared" si="1"/>
        <v>0</v>
      </c>
      <c r="X52" s="306">
        <f ca="1">SUM(D52,L52)*OFFSET(GridFootprintbyYear,$A52-$A$19,0)+SUM(G52,P52)*Emissions_factor_PurchSteam+SUM(J52,T52)*Emissions_factor_PurchCooling+IF($A52&gt;=$AU$23,OFFSET('CHP_NG_Baseload_With DB'!$AG$31,$A52-$AU$23,0),0)*Emission_Factor_NG+IF($A52&gt;=$AU$23,OFFSET('CHP_NG_Baseload_With DB'!$AA$31,$A52-$AU$23,0),0)*Emission_factor_coal</f>
        <v>-69175.400688347028</v>
      </c>
      <c r="Y52" s="306">
        <v>0</v>
      </c>
      <c r="Z52" s="306">
        <v>0</v>
      </c>
      <c r="AA52" s="308">
        <f ca="1">-SUM(W52,X52/OFFSET(GridFootprintbyYear,$A52-$A$19,0)*EF_PurchElec_MTperMWh,Z52)*OFFSET(ExposureCalculations!Price_GHG_Allowance_2010,A52-$A$19,0)*ExposureCalculations!D49</f>
        <v>6098078.3589491844</v>
      </c>
      <c r="AB52" s="308">
        <f t="shared" ca="1" si="2"/>
        <v>10366347.287918612</v>
      </c>
      <c r="AC52" s="308">
        <v>0</v>
      </c>
      <c r="AD52" s="819">
        <f t="shared" ca="1" si="3"/>
        <v>0</v>
      </c>
      <c r="AE52" s="308">
        <v>0</v>
      </c>
      <c r="AF52" s="819">
        <f t="shared" ca="1" si="4"/>
        <v>0</v>
      </c>
      <c r="AG52" s="308">
        <v>0</v>
      </c>
      <c r="AH52" s="308">
        <f ca="1">IF($A52&gt;=$AU$23,OFFSET('CHP_NG_Baseload_With DB'!$AL$31,$A52-$AU$23,0)+OFFSET('CHP_NG_Baseload_With DB'!$AN$31,$A52-$AU$23,0),0)</f>
        <v>-5700835.6945111286</v>
      </c>
      <c r="AI52" s="308">
        <v>0</v>
      </c>
      <c r="AJ52" s="308">
        <f t="shared" ca="1" si="5"/>
        <v>4665511.5934074838</v>
      </c>
      <c r="AK52" s="309">
        <v>0</v>
      </c>
      <c r="AL52" s="309">
        <v>0</v>
      </c>
      <c r="AM52" s="309">
        <f t="shared" si="18"/>
        <v>0</v>
      </c>
      <c r="AN52" s="310">
        <f ca="1">IF($A52&gt;=$AU$23,OFFSET('CHP_NG_Baseload_With DB'!$AW$31,$A52-$AU$23,0),0)</f>
        <v>1439188.7175</v>
      </c>
      <c r="AO52" s="310">
        <f ca="1">IF($A52&gt;=$AU$23,OFFSET('CHP_NG_Baseload_With DB'!$AX$31,$A52-$AU$23,0),0)+IF($A52&gt;=$AU$23,OFFSET('CHP_NG_Baseload_With DB'!$BU$31,$A52-$AU$23,0),0)</f>
        <v>-2250197.4356711535</v>
      </c>
      <c r="AP52" s="310">
        <f t="shared" ca="1" si="19"/>
        <v>-811008.71817115345</v>
      </c>
      <c r="AQ52" s="309">
        <v>0</v>
      </c>
      <c r="AR52" s="311">
        <f t="shared" ca="1" si="6"/>
        <v>9952581.234185515</v>
      </c>
      <c r="AS52" s="870">
        <f t="shared" ca="1" si="20"/>
        <v>154630328.22138622</v>
      </c>
      <c r="AT52" s="822"/>
      <c r="AU52" s="878"/>
      <c r="AV52" s="35"/>
      <c r="AW52" s="879"/>
      <c r="AX52" s="35"/>
      <c r="AY52" s="880"/>
    </row>
    <row r="53" spans="1:51">
      <c r="A53" s="303">
        <v>2044</v>
      </c>
      <c r="B53" s="304">
        <f ca="1">IF($D$3="BAU",UtilityDemand!C46,INDIRECT($D$3&amp;"!B"&amp;ROW(A53))+INDIRECT($D$3&amp;"!D"&amp;ROW(A53)))</f>
        <v>166600.30884543178</v>
      </c>
      <c r="C53" s="305">
        <v>0</v>
      </c>
      <c r="D53" s="306">
        <f t="shared" ca="1" si="7"/>
        <v>0</v>
      </c>
      <c r="E53" s="304">
        <f ca="1">IF($D$3="BAU",UtilityDemand!E46,INDIRECT($D$3&amp;"!E"&amp;ROW(D53))+INDIRECT($D$3&amp;"!G"&amp;ROW(D53)))</f>
        <v>993153.84964746935</v>
      </c>
      <c r="F53" s="305">
        <v>0</v>
      </c>
      <c r="G53" s="306">
        <f t="shared" ca="1" si="8"/>
        <v>0</v>
      </c>
      <c r="H53" s="304">
        <f ca="1">IF($D$3="BAU",UtilityDemand!G46,INDIRECT($D$3&amp;"!H"&amp;ROW(G53))+INDIRECT($D$3&amp;"!J"&amp;ROW(G53)))</f>
        <v>532788.76286316651</v>
      </c>
      <c r="I53" s="305">
        <v>0</v>
      </c>
      <c r="J53" s="306">
        <f t="shared" ca="1" si="21"/>
        <v>0</v>
      </c>
      <c r="K53" s="307">
        <f t="shared" ca="1" si="9"/>
        <v>166600.30884543178</v>
      </c>
      <c r="L53" s="307">
        <f t="shared" ca="1" si="10"/>
        <v>-103449.11760000001</v>
      </c>
      <c r="M53" s="307">
        <f ca="1">IF($A53&gt;=$AU$23,OFFSET('CHP_NG_Baseload_With DB'!$Q$31,$A53-$AU$23,0),0)</f>
        <v>103449.11760000001</v>
      </c>
      <c r="N53" s="307">
        <f t="shared" ca="1" si="11"/>
        <v>63151.191245431764</v>
      </c>
      <c r="O53" s="1494">
        <f t="shared" ca="1" si="12"/>
        <v>993153.84964746935</v>
      </c>
      <c r="P53" s="306">
        <f t="shared" si="13"/>
        <v>0</v>
      </c>
      <c r="Q53" s="306">
        <v>0</v>
      </c>
      <c r="R53" s="306">
        <f t="shared" ca="1" si="14"/>
        <v>993153.84964746935</v>
      </c>
      <c r="S53" s="818">
        <f t="shared" ca="1" si="15"/>
        <v>532788.76286316651</v>
      </c>
      <c r="T53" s="818">
        <f t="shared" si="16"/>
        <v>0</v>
      </c>
      <c r="U53" s="818">
        <v>0</v>
      </c>
      <c r="V53" s="818">
        <f t="shared" ca="1" si="17"/>
        <v>532788.76286316651</v>
      </c>
      <c r="W53" s="306">
        <f t="shared" si="1"/>
        <v>0</v>
      </c>
      <c r="X53" s="306">
        <f ca="1">SUM(D53,L53)*OFFSET(GridFootprintbyYear,$A53-$A$19,0)+SUM(G53,P53)*Emissions_factor_PurchSteam+SUM(J53,T53)*Emissions_factor_PurchCooling+IF($A53&gt;=$AU$23,OFFSET('CHP_NG_Baseload_With DB'!$AG$31,$A53-$AU$23,0),0)*Emission_Factor_NG+IF($A53&gt;=$AU$23,OFFSET('CHP_NG_Baseload_With DB'!$AA$31,$A53-$AU$23,0),0)*Emission_factor_coal</f>
        <v>-69175.400688347028</v>
      </c>
      <c r="Y53" s="306">
        <v>0</v>
      </c>
      <c r="Z53" s="306">
        <v>0</v>
      </c>
      <c r="AA53" s="308">
        <f ca="1">-SUM(W53,X53/OFFSET(GridFootprintbyYear,$A53-$A$19,0)*EF_PurchElec_MTperMWh,Z53)*OFFSET(ExposureCalculations!Price_GHG_Allowance_2010,A53-$A$19,0)*ExposureCalculations!D50</f>
        <v>6384603.1710443255</v>
      </c>
      <c r="AB53" s="308">
        <f t="shared" ca="1" si="2"/>
        <v>10418179.024358204</v>
      </c>
      <c r="AC53" s="308">
        <v>0</v>
      </c>
      <c r="AD53" s="819">
        <f t="shared" ca="1" si="3"/>
        <v>0</v>
      </c>
      <c r="AE53" s="308">
        <v>0</v>
      </c>
      <c r="AF53" s="819">
        <f t="shared" ca="1" si="4"/>
        <v>0</v>
      </c>
      <c r="AG53" s="308">
        <v>0</v>
      </c>
      <c r="AH53" s="308">
        <f ca="1">IF($A53&gt;=$AU$23,OFFSET('CHP_NG_Baseload_With DB'!$AL$31,$A53-$AU$23,0)+OFFSET('CHP_NG_Baseload_With DB'!$AN$31,$A53-$AU$23,0),0)</f>
        <v>-5700835.6945111286</v>
      </c>
      <c r="AI53" s="308">
        <v>0</v>
      </c>
      <c r="AJ53" s="308">
        <f t="shared" ca="1" si="5"/>
        <v>4717343.329847075</v>
      </c>
      <c r="AK53" s="309">
        <v>0</v>
      </c>
      <c r="AL53" s="309">
        <v>0</v>
      </c>
      <c r="AM53" s="309">
        <f t="shared" si="18"/>
        <v>0</v>
      </c>
      <c r="AN53" s="310">
        <f ca="1">IF($A53&gt;=$AU$23,OFFSET('CHP_NG_Baseload_With DB'!$AW$31,$A53-$AU$23,0),0)</f>
        <v>1439188.7175</v>
      </c>
      <c r="AO53" s="310">
        <f ca="1">IF($A53&gt;=$AU$23,OFFSET('CHP_NG_Baseload_With DB'!$AX$31,$A53-$AU$23,0),0)+IF($A53&gt;=$AU$23,OFFSET('CHP_NG_Baseload_With DB'!$BU$31,$A53-$AU$23,0),0)</f>
        <v>-2250197.4356711535</v>
      </c>
      <c r="AP53" s="310">
        <f t="shared" ca="1" si="19"/>
        <v>-811008.71817115345</v>
      </c>
      <c r="AQ53" s="309">
        <v>0</v>
      </c>
      <c r="AR53" s="311">
        <f t="shared" ca="1" si="6"/>
        <v>10290937.782720247</v>
      </c>
      <c r="AS53" s="870">
        <f t="shared" ca="1" si="20"/>
        <v>164921266.00410646</v>
      </c>
      <c r="AT53" s="822"/>
      <c r="AU53" s="878"/>
      <c r="AV53" s="35"/>
      <c r="AW53" s="879"/>
      <c r="AX53" s="35"/>
      <c r="AY53" s="880"/>
    </row>
    <row r="54" spans="1:51">
      <c r="A54" s="303">
        <v>2045</v>
      </c>
      <c r="B54" s="304">
        <f ca="1">IF($D$3="BAU",UtilityDemand!C47,INDIRECT($D$3&amp;"!B"&amp;ROW(A54))+INDIRECT($D$3&amp;"!D"&amp;ROW(A54)))</f>
        <v>168176.93444628376</v>
      </c>
      <c r="C54" s="305">
        <v>0</v>
      </c>
      <c r="D54" s="306">
        <f t="shared" ca="1" si="7"/>
        <v>0</v>
      </c>
      <c r="E54" s="304">
        <f ca="1">IF($D$3="BAU",UtilityDemand!E47,INDIRECT($D$3&amp;"!E"&amp;ROW(D54))+INDIRECT($D$3&amp;"!G"&amp;ROW(D54)))</f>
        <v>1001540.4487771448</v>
      </c>
      <c r="F54" s="305">
        <v>0</v>
      </c>
      <c r="G54" s="306">
        <f t="shared" ca="1" si="8"/>
        <v>0</v>
      </c>
      <c r="H54" s="304">
        <f ca="1">IF($D$3="BAU",UtilityDemand!G47,INDIRECT($D$3&amp;"!H"&amp;ROW(G54))+INDIRECT($D$3&amp;"!J"&amp;ROW(G54)))</f>
        <v>535853.2974257702</v>
      </c>
      <c r="I54" s="305">
        <v>0</v>
      </c>
      <c r="J54" s="306">
        <f t="shared" ca="1" si="21"/>
        <v>0</v>
      </c>
      <c r="K54" s="307">
        <f t="shared" ca="1" si="9"/>
        <v>168176.93444628376</v>
      </c>
      <c r="L54" s="307">
        <f t="shared" ca="1" si="10"/>
        <v>-103449.11760000001</v>
      </c>
      <c r="M54" s="307">
        <f ca="1">IF($A54&gt;=$AU$23,OFFSET('CHP_NG_Baseload_With DB'!$Q$31,$A54-$AU$23,0),0)</f>
        <v>103449.11760000001</v>
      </c>
      <c r="N54" s="307">
        <f t="shared" ca="1" si="11"/>
        <v>64727.816846283749</v>
      </c>
      <c r="O54" s="1494">
        <f t="shared" ca="1" si="12"/>
        <v>1001540.4487771448</v>
      </c>
      <c r="P54" s="306">
        <f t="shared" si="13"/>
        <v>0</v>
      </c>
      <c r="Q54" s="306">
        <v>0</v>
      </c>
      <c r="R54" s="306">
        <f t="shared" ca="1" si="14"/>
        <v>1001540.4487771448</v>
      </c>
      <c r="S54" s="818">
        <f t="shared" ca="1" si="15"/>
        <v>535853.2974257702</v>
      </c>
      <c r="T54" s="818">
        <f t="shared" si="16"/>
        <v>0</v>
      </c>
      <c r="U54" s="818">
        <v>0</v>
      </c>
      <c r="V54" s="818">
        <f t="shared" ca="1" si="17"/>
        <v>535853.2974257702</v>
      </c>
      <c r="W54" s="306">
        <f t="shared" si="1"/>
        <v>0</v>
      </c>
      <c r="X54" s="306">
        <f ca="1">SUM(D54,L54)*OFFSET(GridFootprintbyYear,$A54-$A$19,0)+SUM(G54,P54)*Emissions_factor_PurchSteam+SUM(J54,T54)*Emissions_factor_PurchCooling+IF($A54&gt;=$AU$23,OFFSET('CHP_NG_Baseload_With DB'!$AG$31,$A54-$AU$23,0),0)*Emission_Factor_NG+IF($A54&gt;=$AU$23,OFFSET('CHP_NG_Baseload_With DB'!$AA$31,$A54-$AU$23,0),0)*Emission_factor_coal</f>
        <v>-69175.400688347028</v>
      </c>
      <c r="Y54" s="306">
        <v>0</v>
      </c>
      <c r="Z54" s="306">
        <v>0</v>
      </c>
      <c r="AA54" s="308">
        <f ca="1">-SUM(W54,X54/OFFSET(GridFootprintbyYear,$A54-$A$19,0)*EF_PurchElec_MTperMWh,Z54)*OFFSET(ExposureCalculations!Price_GHG_Allowance_2010,A54-$A$19,0)*ExposureCalculations!D51</f>
        <v>6713064.365317205</v>
      </c>
      <c r="AB54" s="308">
        <f t="shared" ca="1" si="2"/>
        <v>10470269.919479994</v>
      </c>
      <c r="AC54" s="308">
        <v>0</v>
      </c>
      <c r="AD54" s="819">
        <f t="shared" ca="1" si="3"/>
        <v>0</v>
      </c>
      <c r="AE54" s="308">
        <v>0</v>
      </c>
      <c r="AF54" s="819">
        <f t="shared" ca="1" si="4"/>
        <v>0</v>
      </c>
      <c r="AG54" s="308">
        <v>0</v>
      </c>
      <c r="AH54" s="308">
        <f ca="1">IF($A54&gt;=$AU$23,OFFSET('CHP_NG_Baseload_With DB'!$AL$31,$A54-$AU$23,0)+OFFSET('CHP_NG_Baseload_With DB'!$AN$31,$A54-$AU$23,0),0)</f>
        <v>-5700835.6945111286</v>
      </c>
      <c r="AI54" s="308">
        <v>0</v>
      </c>
      <c r="AJ54" s="308">
        <f t="shared" ca="1" si="5"/>
        <v>4769434.2249688655</v>
      </c>
      <c r="AK54" s="309">
        <v>0</v>
      </c>
      <c r="AL54" s="309">
        <v>0</v>
      </c>
      <c r="AM54" s="309">
        <f t="shared" si="18"/>
        <v>0</v>
      </c>
      <c r="AN54" s="310">
        <f ca="1">IF($A54&gt;=$AU$23,OFFSET('CHP_NG_Baseload_With DB'!$AW$31,$A54-$AU$23,0),0)</f>
        <v>1439188.7175</v>
      </c>
      <c r="AO54" s="310">
        <f ca="1">IF($A54&gt;=$AU$23,OFFSET('CHP_NG_Baseload_With DB'!$AX$31,$A54-$AU$23,0),0)+IF($A54&gt;=$AU$23,OFFSET('CHP_NG_Baseload_With DB'!$BU$31,$A54-$AU$23,0),0)</f>
        <v>-2250197.4356711535</v>
      </c>
      <c r="AP54" s="310">
        <f t="shared" ca="1" si="19"/>
        <v>-811008.71817115345</v>
      </c>
      <c r="AQ54" s="309">
        <v>0</v>
      </c>
      <c r="AR54" s="311">
        <f t="shared" ca="1" si="6"/>
        <v>10671489.872114917</v>
      </c>
      <c r="AS54" s="870">
        <f t="shared" ca="1" si="20"/>
        <v>175592755.87622139</v>
      </c>
      <c r="AT54" s="822"/>
      <c r="AU54" s="878"/>
      <c r="AV54" s="35"/>
      <c r="AW54" s="879"/>
      <c r="AX54" s="35"/>
      <c r="AY54" s="880"/>
    </row>
    <row r="55" spans="1:51">
      <c r="A55" s="303">
        <v>2046</v>
      </c>
      <c r="B55" s="304">
        <f ca="1">IF($D$3="BAU",UtilityDemand!C48,INDIRECT($D$3&amp;"!B"&amp;ROW(A55))+INDIRECT($D$3&amp;"!D"&amp;ROW(A55)))</f>
        <v>169753.56004713583</v>
      </c>
      <c r="C55" s="305">
        <v>0</v>
      </c>
      <c r="D55" s="306">
        <f t="shared" ca="1" si="7"/>
        <v>0</v>
      </c>
      <c r="E55" s="304">
        <f ca="1">IF($D$3="BAU",UtilityDemand!E48,INDIRECT($D$3&amp;"!E"&amp;ROW(D55))+INDIRECT($D$3&amp;"!G"&amp;ROW(D55)))</f>
        <v>1009927.04790682</v>
      </c>
      <c r="F55" s="305">
        <v>0</v>
      </c>
      <c r="G55" s="306">
        <f t="shared" ca="1" si="8"/>
        <v>0</v>
      </c>
      <c r="H55" s="304">
        <f ca="1">IF($D$3="BAU",UtilityDemand!G48,INDIRECT($D$3&amp;"!H"&amp;ROW(G55))+INDIRECT($D$3&amp;"!J"&amp;ROW(G55)))</f>
        <v>538917.83198837389</v>
      </c>
      <c r="I55" s="305">
        <v>0</v>
      </c>
      <c r="J55" s="306">
        <f t="shared" ca="1" si="21"/>
        <v>0</v>
      </c>
      <c r="K55" s="307">
        <f t="shared" ca="1" si="9"/>
        <v>169753.56004713583</v>
      </c>
      <c r="L55" s="307">
        <f t="shared" ca="1" si="10"/>
        <v>-103449.11760000001</v>
      </c>
      <c r="M55" s="307">
        <f ca="1">IF($A55&gt;=$AU$23,OFFSET('CHP_NG_Baseload_With DB'!$Q$31,$A55-$AU$23,0),0)</f>
        <v>103449.11760000001</v>
      </c>
      <c r="N55" s="307">
        <f t="shared" ca="1" si="11"/>
        <v>66304.442447135822</v>
      </c>
      <c r="O55" s="1494">
        <f t="shared" ca="1" si="12"/>
        <v>1009927.04790682</v>
      </c>
      <c r="P55" s="306">
        <f t="shared" si="13"/>
        <v>0</v>
      </c>
      <c r="Q55" s="306">
        <v>0</v>
      </c>
      <c r="R55" s="306">
        <f t="shared" ca="1" si="14"/>
        <v>1009927.04790682</v>
      </c>
      <c r="S55" s="818">
        <f t="shared" ca="1" si="15"/>
        <v>538917.83198837389</v>
      </c>
      <c r="T55" s="818">
        <f t="shared" si="16"/>
        <v>0</v>
      </c>
      <c r="U55" s="818">
        <v>0</v>
      </c>
      <c r="V55" s="818">
        <f t="shared" ca="1" si="17"/>
        <v>538917.83198837389</v>
      </c>
      <c r="W55" s="306">
        <f t="shared" si="1"/>
        <v>0</v>
      </c>
      <c r="X55" s="306">
        <f ca="1">SUM(D55,L55)*OFFSET(GridFootprintbyYear,$A55-$A$19,0)+SUM(G55,P55)*Emissions_factor_PurchSteam+SUM(J55,T55)*Emissions_factor_PurchCooling+IF($A55&gt;=$AU$23,OFFSET('CHP_NG_Baseload_With DB'!$AG$31,$A55-$AU$23,0),0)*Emission_Factor_NG+IF($A55&gt;=$AU$23,OFFSET('CHP_NG_Baseload_With DB'!$AA$31,$A55-$AU$23,0),0)*Emission_factor_coal</f>
        <v>-69175.400688347028</v>
      </c>
      <c r="Y55" s="306">
        <v>0</v>
      </c>
      <c r="Z55" s="306">
        <v>0</v>
      </c>
      <c r="AA55" s="308">
        <f ca="1">-SUM(W55,X55/OFFSET(GridFootprintbyYear,$A55-$A$19,0)*EF_PurchElec_MTperMWh,Z55)*OFFSET(ExposureCalculations!Price_GHG_Allowance_2010,A55-$A$19,0)*ExposureCalculations!D52</f>
        <v>7063580.3828812763</v>
      </c>
      <c r="AB55" s="308">
        <f t="shared" ca="1" si="2"/>
        <v>10522621.26907739</v>
      </c>
      <c r="AC55" s="308">
        <v>0</v>
      </c>
      <c r="AD55" s="819">
        <f t="shared" ca="1" si="3"/>
        <v>0</v>
      </c>
      <c r="AE55" s="308">
        <v>0</v>
      </c>
      <c r="AF55" s="819">
        <f t="shared" ca="1" si="4"/>
        <v>0</v>
      </c>
      <c r="AG55" s="308">
        <v>0</v>
      </c>
      <c r="AH55" s="308">
        <f ca="1">IF($A55&gt;=$AU$23,OFFSET('CHP_NG_Baseload_With DB'!$AL$31,$A55-$AU$23,0)+OFFSET('CHP_NG_Baseload_With DB'!$AN$31,$A55-$AU$23,0),0)</f>
        <v>-5700835.6945111286</v>
      </c>
      <c r="AI55" s="308">
        <v>0</v>
      </c>
      <c r="AJ55" s="308">
        <f t="shared" ca="1" si="5"/>
        <v>4821785.5745662618</v>
      </c>
      <c r="AK55" s="309">
        <v>0</v>
      </c>
      <c r="AL55" s="309">
        <v>0</v>
      </c>
      <c r="AM55" s="309">
        <f t="shared" si="18"/>
        <v>0</v>
      </c>
      <c r="AN55" s="310">
        <f ca="1">IF($A55&gt;=$AU$23,OFFSET('CHP_NG_Baseload_With DB'!$AW$31,$A55-$AU$23,0),0)</f>
        <v>1439188.7175</v>
      </c>
      <c r="AO55" s="310">
        <f ca="1">IF($A55&gt;=$AU$23,OFFSET('CHP_NG_Baseload_With DB'!$AX$31,$A55-$AU$23,0),0)+IF($A55&gt;=$AU$23,OFFSET('CHP_NG_Baseload_With DB'!$BU$31,$A55-$AU$23,0),0)</f>
        <v>-2250197.4356711535</v>
      </c>
      <c r="AP55" s="310">
        <f t="shared" ca="1" si="19"/>
        <v>-811008.71817115345</v>
      </c>
      <c r="AQ55" s="309">
        <v>0</v>
      </c>
      <c r="AR55" s="311">
        <f t="shared" ca="1" si="6"/>
        <v>11074357.239276385</v>
      </c>
      <c r="AS55" s="870">
        <f t="shared" ca="1" si="20"/>
        <v>186667113.11549777</v>
      </c>
      <c r="AT55" s="822"/>
      <c r="AU55" s="878"/>
      <c r="AV55" s="35"/>
      <c r="AW55" s="879"/>
      <c r="AX55" s="35"/>
      <c r="AY55" s="880"/>
    </row>
    <row r="56" spans="1:51">
      <c r="A56" s="303">
        <v>2047</v>
      </c>
      <c r="B56" s="304">
        <f ca="1">IF($D$3="BAU",UtilityDemand!C49,INDIRECT($D$3&amp;"!B"&amp;ROW(A56))+INDIRECT($D$3&amp;"!D"&amp;ROW(A56)))</f>
        <v>171330.18564798782</v>
      </c>
      <c r="C56" s="305">
        <v>0</v>
      </c>
      <c r="D56" s="306">
        <f t="shared" ca="1" si="7"/>
        <v>0</v>
      </c>
      <c r="E56" s="304">
        <f ca="1">IF($D$3="BAU",UtilityDemand!E49,INDIRECT($D$3&amp;"!E"&amp;ROW(D56))+INDIRECT($D$3&amp;"!G"&amp;ROW(D56)))</f>
        <v>1018313.6470364953</v>
      </c>
      <c r="F56" s="305">
        <v>0</v>
      </c>
      <c r="G56" s="306">
        <f t="shared" ca="1" si="8"/>
        <v>0</v>
      </c>
      <c r="H56" s="304">
        <f ca="1">IF($D$3="BAU",UtilityDemand!G49,INDIRECT($D$3&amp;"!H"&amp;ROW(G56))+INDIRECT($D$3&amp;"!J"&amp;ROW(G56)))</f>
        <v>541982.36655097757</v>
      </c>
      <c r="I56" s="305">
        <v>0</v>
      </c>
      <c r="J56" s="306">
        <f t="shared" ca="1" si="21"/>
        <v>0</v>
      </c>
      <c r="K56" s="307">
        <f t="shared" ca="1" si="9"/>
        <v>171330.18564798782</v>
      </c>
      <c r="L56" s="307">
        <f t="shared" ca="1" si="10"/>
        <v>-103449.11760000001</v>
      </c>
      <c r="M56" s="307">
        <f ca="1">IF($A56&gt;=$AU$23,OFFSET('CHP_NG_Baseload_With DB'!$Q$31,$A56-$AU$23,0),0)</f>
        <v>103449.11760000001</v>
      </c>
      <c r="N56" s="307">
        <f t="shared" ca="1" si="11"/>
        <v>67881.068047987806</v>
      </c>
      <c r="O56" s="1494">
        <f t="shared" ca="1" si="12"/>
        <v>1018313.6470364953</v>
      </c>
      <c r="P56" s="306">
        <f t="shared" si="13"/>
        <v>0</v>
      </c>
      <c r="Q56" s="306">
        <v>0</v>
      </c>
      <c r="R56" s="306">
        <f t="shared" ca="1" si="14"/>
        <v>1018313.6470364953</v>
      </c>
      <c r="S56" s="818">
        <f t="shared" ca="1" si="15"/>
        <v>541982.36655097757</v>
      </c>
      <c r="T56" s="818">
        <f t="shared" si="16"/>
        <v>0</v>
      </c>
      <c r="U56" s="818">
        <v>0</v>
      </c>
      <c r="V56" s="818">
        <f t="shared" ca="1" si="17"/>
        <v>541982.36655097757</v>
      </c>
      <c r="W56" s="306">
        <f t="shared" si="1"/>
        <v>0</v>
      </c>
      <c r="X56" s="306">
        <f ca="1">SUM(D56,L56)*OFFSET(GridFootprintbyYear,$A56-$A$19,0)+SUM(G56,P56)*Emissions_factor_PurchSteam+SUM(J56,T56)*Emissions_factor_PurchCooling+IF($A56&gt;=$AU$23,OFFSET('CHP_NG_Baseload_With DB'!$AG$31,$A56-$AU$23,0),0)*Emission_Factor_NG+IF($A56&gt;=$AU$23,OFFSET('CHP_NG_Baseload_With DB'!$AA$31,$A56-$AU$23,0),0)*Emission_factor_coal</f>
        <v>-69175.400688347028</v>
      </c>
      <c r="Y56" s="306">
        <v>0</v>
      </c>
      <c r="Z56" s="306">
        <v>0</v>
      </c>
      <c r="AA56" s="308">
        <f ca="1">-SUM(W56,X56/OFFSET(GridFootprintbyYear,$A56-$A$19,0)*EF_PurchElec_MTperMWh,Z56)*OFFSET(ExposureCalculations!Price_GHG_Allowance_2010,A56-$A$19,0)*ExposureCalculations!D53</f>
        <v>7438911.4133530287</v>
      </c>
      <c r="AB56" s="308">
        <f t="shared" ca="1" si="2"/>
        <v>10575234.375422776</v>
      </c>
      <c r="AC56" s="308">
        <v>0</v>
      </c>
      <c r="AD56" s="819">
        <f t="shared" ca="1" si="3"/>
        <v>0</v>
      </c>
      <c r="AE56" s="308">
        <v>0</v>
      </c>
      <c r="AF56" s="819">
        <f t="shared" ca="1" si="4"/>
        <v>0</v>
      </c>
      <c r="AG56" s="308">
        <v>0</v>
      </c>
      <c r="AH56" s="308">
        <f ca="1">IF($A56&gt;=$AU$23,OFFSET('CHP_NG_Baseload_With DB'!$AL$31,$A56-$AU$23,0)+OFFSET('CHP_NG_Baseload_With DB'!$AN$31,$A56-$AU$23,0),0)</f>
        <v>-5700835.6945111286</v>
      </c>
      <c r="AI56" s="308">
        <v>0</v>
      </c>
      <c r="AJ56" s="308">
        <f t="shared" ca="1" si="5"/>
        <v>4874398.6809116472</v>
      </c>
      <c r="AK56" s="309">
        <v>0</v>
      </c>
      <c r="AL56" s="309">
        <v>0</v>
      </c>
      <c r="AM56" s="309">
        <f t="shared" si="18"/>
        <v>0</v>
      </c>
      <c r="AN56" s="310">
        <f ca="1">IF($A56&gt;=$AU$23,OFFSET('CHP_NG_Baseload_With DB'!$AW$31,$A56-$AU$23,0),0)</f>
        <v>1439188.7175</v>
      </c>
      <c r="AO56" s="310">
        <f ca="1">IF($A56&gt;=$AU$23,OFFSET('CHP_NG_Baseload_With DB'!$AX$31,$A56-$AU$23,0),0)+IF($A56&gt;=$AU$23,OFFSET('CHP_NG_Baseload_With DB'!$BU$31,$A56-$AU$23,0),0)</f>
        <v>-2250197.4356711535</v>
      </c>
      <c r="AP56" s="310">
        <f t="shared" ca="1" si="19"/>
        <v>-811008.71817115345</v>
      </c>
      <c r="AQ56" s="309">
        <v>0</v>
      </c>
      <c r="AR56" s="311">
        <f t="shared" ca="1" si="6"/>
        <v>11502301.376093522</v>
      </c>
      <c r="AS56" s="870">
        <f t="shared" ca="1" si="20"/>
        <v>198169414.49159127</v>
      </c>
      <c r="AT56" s="822"/>
      <c r="AU56" s="878"/>
      <c r="AV56" s="35"/>
      <c r="AW56" s="879"/>
      <c r="AX56" s="35"/>
      <c r="AY56" s="880"/>
    </row>
    <row r="57" spans="1:51">
      <c r="A57" s="303">
        <v>2048</v>
      </c>
      <c r="B57" s="304">
        <f ca="1">IF($D$3="BAU",UtilityDemand!C50,INDIRECT($D$3&amp;"!B"&amp;ROW(A57))+INDIRECT($D$3&amp;"!D"&amp;ROW(A57)))</f>
        <v>172906.81124883989</v>
      </c>
      <c r="C57" s="305">
        <v>0</v>
      </c>
      <c r="D57" s="306">
        <f t="shared" ca="1" si="7"/>
        <v>0</v>
      </c>
      <c r="E57" s="304">
        <f ca="1">IF($D$3="BAU",UtilityDemand!E50,INDIRECT($D$3&amp;"!E"&amp;ROW(D57))+INDIRECT($D$3&amp;"!G"&amp;ROW(D57)))</f>
        <v>1026700.2461661708</v>
      </c>
      <c r="F57" s="305">
        <v>0</v>
      </c>
      <c r="G57" s="306">
        <f t="shared" ca="1" si="8"/>
        <v>0</v>
      </c>
      <c r="H57" s="304">
        <f ca="1">IF($D$3="BAU",UtilityDemand!G50,INDIRECT($D$3&amp;"!H"&amp;ROW(G57))+INDIRECT($D$3&amp;"!J"&amp;ROW(G57)))</f>
        <v>545046.90111358126</v>
      </c>
      <c r="I57" s="305">
        <v>0</v>
      </c>
      <c r="J57" s="306">
        <f t="shared" ca="1" si="21"/>
        <v>0</v>
      </c>
      <c r="K57" s="307">
        <f t="shared" ca="1" si="9"/>
        <v>172906.81124883989</v>
      </c>
      <c r="L57" s="307">
        <f t="shared" ca="1" si="10"/>
        <v>-103449.11760000001</v>
      </c>
      <c r="M57" s="307">
        <f ca="1">IF($A57&gt;=$AU$23,OFFSET('CHP_NG_Baseload_With DB'!$Q$31,$A57-$AU$23,0),0)</f>
        <v>103449.11760000001</v>
      </c>
      <c r="N57" s="307">
        <f t="shared" ca="1" si="11"/>
        <v>69457.693648839879</v>
      </c>
      <c r="O57" s="1494">
        <f t="shared" ca="1" si="12"/>
        <v>1026700.2461661708</v>
      </c>
      <c r="P57" s="306">
        <f t="shared" si="13"/>
        <v>0</v>
      </c>
      <c r="Q57" s="306">
        <v>0</v>
      </c>
      <c r="R57" s="306">
        <f t="shared" ca="1" si="14"/>
        <v>1026700.2461661708</v>
      </c>
      <c r="S57" s="818">
        <f t="shared" ca="1" si="15"/>
        <v>545046.90111358126</v>
      </c>
      <c r="T57" s="818">
        <f t="shared" si="16"/>
        <v>0</v>
      </c>
      <c r="U57" s="818">
        <v>0</v>
      </c>
      <c r="V57" s="818">
        <f t="shared" ca="1" si="17"/>
        <v>545046.90111358126</v>
      </c>
      <c r="W57" s="306">
        <f t="shared" si="1"/>
        <v>0</v>
      </c>
      <c r="X57" s="306">
        <f ca="1">SUM(D57,L57)*OFFSET(GridFootprintbyYear,$A57-$A$19,0)+SUM(G57,P57)*Emissions_factor_PurchSteam+SUM(J57,T57)*Emissions_factor_PurchCooling+IF($A57&gt;=$AU$23,OFFSET('CHP_NG_Baseload_With DB'!$AG$31,$A57-$AU$23,0),0)*Emission_Factor_NG+IF($A57&gt;=$AU$23,OFFSET('CHP_NG_Baseload_With DB'!$AA$31,$A57-$AU$23,0),0)*Emission_factor_coal</f>
        <v>-69175.400688347028</v>
      </c>
      <c r="Y57" s="306">
        <v>0</v>
      </c>
      <c r="Z57" s="306">
        <v>0</v>
      </c>
      <c r="AA57" s="308">
        <f ca="1">-SUM(W57,X57/OFFSET(GridFootprintbyYear,$A57-$A$19,0)*EF_PurchElec_MTperMWh,Z57)*OFFSET(ExposureCalculations!Price_GHG_Allowance_2010,A57-$A$19,0)*ExposureCalculations!D54</f>
        <v>7842049.6645987658</v>
      </c>
      <c r="AB57" s="308">
        <f t="shared" ca="1" si="2"/>
        <v>10628110.547299888</v>
      </c>
      <c r="AC57" s="308">
        <v>0</v>
      </c>
      <c r="AD57" s="819">
        <f t="shared" ca="1" si="3"/>
        <v>0</v>
      </c>
      <c r="AE57" s="308">
        <v>0</v>
      </c>
      <c r="AF57" s="819">
        <f t="shared" ca="1" si="4"/>
        <v>0</v>
      </c>
      <c r="AG57" s="308">
        <v>0</v>
      </c>
      <c r="AH57" s="308">
        <f ca="1">IF($A57&gt;=$AU$23,OFFSET('CHP_NG_Baseload_With DB'!$AL$31,$A57-$AU$23,0)+OFFSET('CHP_NG_Baseload_With DB'!$AN$31,$A57-$AU$23,0),0)</f>
        <v>-5700835.6945111286</v>
      </c>
      <c r="AI57" s="308">
        <v>0</v>
      </c>
      <c r="AJ57" s="308">
        <f t="shared" ca="1" si="5"/>
        <v>4927274.8527887594</v>
      </c>
      <c r="AK57" s="309">
        <v>0</v>
      </c>
      <c r="AL57" s="309">
        <v>0</v>
      </c>
      <c r="AM57" s="309">
        <f t="shared" si="18"/>
        <v>0</v>
      </c>
      <c r="AN57" s="310">
        <f ca="1">IF($A57&gt;=$AU$23,OFFSET('CHP_NG_Baseload_With DB'!$AW$31,$A57-$AU$23,0),0)</f>
        <v>1439188.7175</v>
      </c>
      <c r="AO57" s="310">
        <f ca="1">IF($A57&gt;=$AU$23,OFFSET('CHP_NG_Baseload_With DB'!$AX$31,$A57-$AU$23,0),0)+IF($A57&gt;=$AU$23,OFFSET('CHP_NG_Baseload_With DB'!$BU$31,$A57-$AU$23,0),0)</f>
        <v>-2250197.4356711535</v>
      </c>
      <c r="AP57" s="310">
        <f t="shared" ca="1" si="19"/>
        <v>-811008.71817115345</v>
      </c>
      <c r="AQ57" s="309">
        <v>0</v>
      </c>
      <c r="AR57" s="311">
        <f t="shared" ca="1" si="6"/>
        <v>11958315.799216371</v>
      </c>
      <c r="AS57" s="870">
        <f t="shared" ca="1" si="20"/>
        <v>210127730.29080763</v>
      </c>
      <c r="AT57" s="822"/>
      <c r="AU57" s="878"/>
      <c r="AV57" s="35"/>
      <c r="AW57" s="879"/>
      <c r="AX57" s="35"/>
      <c r="AY57" s="880"/>
    </row>
    <row r="58" spans="1:51">
      <c r="A58" s="303">
        <v>2049</v>
      </c>
      <c r="B58" s="304">
        <f ca="1">IF($D$3="BAU",UtilityDemand!C51,INDIRECT($D$3&amp;"!B"&amp;ROW(A58))+INDIRECT($D$3&amp;"!D"&amp;ROW(A58)))</f>
        <v>174483.43684969188</v>
      </c>
      <c r="C58" s="305">
        <v>0</v>
      </c>
      <c r="D58" s="306">
        <f t="shared" ca="1" si="7"/>
        <v>0</v>
      </c>
      <c r="E58" s="304">
        <f ca="1">IF($D$3="BAU",UtilityDemand!E51,INDIRECT($D$3&amp;"!E"&amp;ROW(D58))+INDIRECT($D$3&amp;"!G"&amp;ROW(D58)))</f>
        <v>1035086.8452958462</v>
      </c>
      <c r="F58" s="305">
        <v>0</v>
      </c>
      <c r="G58" s="306">
        <f t="shared" ca="1" si="8"/>
        <v>0</v>
      </c>
      <c r="H58" s="304">
        <f ca="1">IF($D$3="BAU",UtilityDemand!G51,INDIRECT($D$3&amp;"!H"&amp;ROW(G58))+INDIRECT($D$3&amp;"!J"&amp;ROW(G58)))</f>
        <v>548111.43567618495</v>
      </c>
      <c r="I58" s="305">
        <v>0</v>
      </c>
      <c r="J58" s="306">
        <f t="shared" ca="1" si="21"/>
        <v>0</v>
      </c>
      <c r="K58" s="307">
        <f t="shared" ca="1" si="9"/>
        <v>174483.43684969188</v>
      </c>
      <c r="L58" s="307">
        <f t="shared" ca="1" si="10"/>
        <v>-103449.11760000001</v>
      </c>
      <c r="M58" s="307">
        <f ca="1">IF($A58&gt;=$AU$23,OFFSET('CHP_NG_Baseload_With DB'!$Q$31,$A58-$AU$23,0),0)</f>
        <v>103449.11760000001</v>
      </c>
      <c r="N58" s="307">
        <f t="shared" ca="1" si="11"/>
        <v>71034.319249691864</v>
      </c>
      <c r="O58" s="1494">
        <f t="shared" ca="1" si="12"/>
        <v>1035086.8452958462</v>
      </c>
      <c r="P58" s="306">
        <f t="shared" si="13"/>
        <v>0</v>
      </c>
      <c r="Q58" s="306">
        <v>0</v>
      </c>
      <c r="R58" s="306">
        <f t="shared" ca="1" si="14"/>
        <v>1035086.8452958462</v>
      </c>
      <c r="S58" s="818">
        <f t="shared" ca="1" si="15"/>
        <v>548111.43567618495</v>
      </c>
      <c r="T58" s="818">
        <f t="shared" si="16"/>
        <v>0</v>
      </c>
      <c r="U58" s="818">
        <v>0</v>
      </c>
      <c r="V58" s="818">
        <f t="shared" ca="1" si="17"/>
        <v>548111.43567618495</v>
      </c>
      <c r="W58" s="306">
        <f t="shared" si="1"/>
        <v>0</v>
      </c>
      <c r="X58" s="306">
        <f ca="1">SUM(D58,L58)*OFFSET(GridFootprintbyYear,$A58-$A$19,0)+SUM(G58,P58)*Emissions_factor_PurchSteam+SUM(J58,T58)*Emissions_factor_PurchCooling+IF($A58&gt;=$AU$23,OFFSET('CHP_NG_Baseload_With DB'!$AG$31,$A58-$AU$23,0),0)*Emission_Factor_NG+IF($A58&gt;=$AU$23,OFFSET('CHP_NG_Baseload_With DB'!$AA$31,$A58-$AU$23,0),0)*Emission_factor_coal</f>
        <v>-69175.400688347028</v>
      </c>
      <c r="Y58" s="306">
        <v>0</v>
      </c>
      <c r="Z58" s="306">
        <v>0</v>
      </c>
      <c r="AA58" s="308">
        <f ca="1">-SUM(W58,X58/OFFSET(GridFootprintbyYear,$A58-$A$19,0)*EF_PurchElec_MTperMWh,Z58)*OFFSET(ExposureCalculations!Price_GHG_Allowance_2010,A58-$A$19,0)*ExposureCalculations!D55</f>
        <v>8276195.0241392748</v>
      </c>
      <c r="AB58" s="308">
        <f t="shared" ca="1" si="2"/>
        <v>10681251.100036386</v>
      </c>
      <c r="AC58" s="308">
        <v>0</v>
      </c>
      <c r="AD58" s="819">
        <f t="shared" ca="1" si="3"/>
        <v>0</v>
      </c>
      <c r="AE58" s="308">
        <v>0</v>
      </c>
      <c r="AF58" s="819">
        <f t="shared" ca="1" si="4"/>
        <v>0</v>
      </c>
      <c r="AG58" s="308">
        <v>0</v>
      </c>
      <c r="AH58" s="308">
        <f ca="1">IF($A58&gt;=$AU$23,OFFSET('CHP_NG_Baseload_With DB'!$AL$31,$A58-$AU$23,0)+OFFSET('CHP_NG_Baseload_With DB'!$AN$31,$A58-$AU$23,0),0)</f>
        <v>-5700835.6945111286</v>
      </c>
      <c r="AI58" s="308">
        <v>0</v>
      </c>
      <c r="AJ58" s="308">
        <f t="shared" ca="1" si="5"/>
        <v>4980415.4055252578</v>
      </c>
      <c r="AK58" s="309">
        <v>0</v>
      </c>
      <c r="AL58" s="309">
        <v>0</v>
      </c>
      <c r="AM58" s="309">
        <f t="shared" si="18"/>
        <v>0</v>
      </c>
      <c r="AN58" s="310">
        <f ca="1">IF($A58&gt;=$AU$23,OFFSET('CHP_NG_Baseload_With DB'!$AW$31,$A58-$AU$23,0),0)</f>
        <v>1439188.7175</v>
      </c>
      <c r="AO58" s="310">
        <f ca="1">IF($A58&gt;=$AU$23,OFFSET('CHP_NG_Baseload_With DB'!$AX$31,$A58-$AU$23,0),0)+IF($A58&gt;=$AU$23,OFFSET('CHP_NG_Baseload_With DB'!$BU$31,$A58-$AU$23,0),0)</f>
        <v>-2250197.4356711535</v>
      </c>
      <c r="AP58" s="310">
        <f t="shared" ca="1" si="19"/>
        <v>-811008.71817115345</v>
      </c>
      <c r="AQ58" s="309">
        <v>0</v>
      </c>
      <c r="AR58" s="311">
        <f t="shared" ca="1" si="6"/>
        <v>12445601.71149338</v>
      </c>
      <c r="AS58" s="870">
        <f t="shared" ca="1" si="20"/>
        <v>222573332.00230101</v>
      </c>
      <c r="AT58" s="822"/>
      <c r="AU58" s="878"/>
      <c r="AV58" s="35"/>
      <c r="AW58" s="879"/>
      <c r="AX58" s="35"/>
      <c r="AY58" s="880"/>
    </row>
    <row r="59" spans="1:51">
      <c r="A59" s="303">
        <v>2050</v>
      </c>
      <c r="B59" s="304">
        <f ca="1">IF($D$3="BAU",UtilityDemand!C52,INDIRECT($D$3&amp;"!B"&amp;ROW(A59))+INDIRECT($D$3&amp;"!D"&amp;ROW(A59)))</f>
        <v>176060.06245054395</v>
      </c>
      <c r="C59" s="305">
        <v>0</v>
      </c>
      <c r="D59" s="306">
        <f t="shared" ca="1" si="7"/>
        <v>0</v>
      </c>
      <c r="E59" s="304">
        <f ca="1">IF($D$3="BAU",UtilityDemand!E52,INDIRECT($D$3&amp;"!E"&amp;ROW(D59))+INDIRECT($D$3&amp;"!G"&amp;ROW(D59)))</f>
        <v>1043473.4444255217</v>
      </c>
      <c r="F59" s="305">
        <v>0</v>
      </c>
      <c r="G59" s="306">
        <f t="shared" ca="1" si="8"/>
        <v>0</v>
      </c>
      <c r="H59" s="304">
        <f ca="1">IF($D$3="BAU",UtilityDemand!G52,INDIRECT($D$3&amp;"!H"&amp;ROW(G59))+INDIRECT($D$3&amp;"!J"&amp;ROW(G59)))</f>
        <v>551175.97023878864</v>
      </c>
      <c r="I59" s="305">
        <v>0</v>
      </c>
      <c r="J59" s="306">
        <f t="shared" ca="1" si="21"/>
        <v>0</v>
      </c>
      <c r="K59" s="307">
        <f t="shared" ca="1" si="9"/>
        <v>176060.06245054395</v>
      </c>
      <c r="L59" s="307">
        <f t="shared" ca="1" si="10"/>
        <v>-103449.11760000001</v>
      </c>
      <c r="M59" s="307">
        <f ca="1">IF($A59&gt;=$AU$23,OFFSET('CHP_NG_Baseload_With DB'!$Q$31,$A59-$AU$23,0),0)</f>
        <v>103449.11760000001</v>
      </c>
      <c r="N59" s="307">
        <f t="shared" ca="1" si="11"/>
        <v>72610.944850543936</v>
      </c>
      <c r="O59" s="1494">
        <f t="shared" ca="1" si="12"/>
        <v>1043473.4444255217</v>
      </c>
      <c r="P59" s="306">
        <f t="shared" si="13"/>
        <v>0</v>
      </c>
      <c r="Q59" s="306">
        <v>0</v>
      </c>
      <c r="R59" s="306">
        <f t="shared" ca="1" si="14"/>
        <v>1043473.4444255217</v>
      </c>
      <c r="S59" s="818">
        <f t="shared" ca="1" si="15"/>
        <v>551175.97023878864</v>
      </c>
      <c r="T59" s="818">
        <f t="shared" si="16"/>
        <v>0</v>
      </c>
      <c r="U59" s="818">
        <v>0</v>
      </c>
      <c r="V59" s="818">
        <f t="shared" ca="1" si="17"/>
        <v>551175.97023878864</v>
      </c>
      <c r="W59" s="306">
        <f t="shared" si="1"/>
        <v>0</v>
      </c>
      <c r="X59" s="306">
        <f ca="1">SUM(D59,L59)*OFFSET(GridFootprintbyYear,$A59-$A$19,0)+SUM(G59,P59)*Emissions_factor_PurchSteam+SUM(J59,T59)*Emissions_factor_PurchCooling+IF($A59&gt;=$AU$23,OFFSET('CHP_NG_Baseload_With DB'!$AG$31,$A59-$AU$23,0),0)*Emission_Factor_NG+IF($A59&gt;=$AU$23,OFFSET('CHP_NG_Baseload_With DB'!$AA$31,$A59-$AU$23,0),0)*Emission_factor_coal</f>
        <v>-69175.400688347028</v>
      </c>
      <c r="Y59" s="306">
        <v>0</v>
      </c>
      <c r="Z59" s="306">
        <v>0</v>
      </c>
      <c r="AA59" s="308">
        <f ca="1">-SUM(W59,X59/OFFSET(GridFootprintbyYear,$A59-$A$19,0)*EF_PurchElec_MTperMWh,Z59)*OFFSET(ExposureCalculations!Price_GHG_Allowance_2010,A59-$A$19,0)*ExposureCalculations!D56</f>
        <v>8744731.0722216628</v>
      </c>
      <c r="AB59" s="308">
        <f t="shared" ca="1" si="2"/>
        <v>10734657.355536567</v>
      </c>
      <c r="AC59" s="308">
        <v>0</v>
      </c>
      <c r="AD59" s="819">
        <f t="shared" ca="1" si="3"/>
        <v>0</v>
      </c>
      <c r="AE59" s="308">
        <v>0</v>
      </c>
      <c r="AF59" s="819">
        <f t="shared" ca="1" si="4"/>
        <v>0</v>
      </c>
      <c r="AG59" s="308">
        <v>0</v>
      </c>
      <c r="AH59" s="308">
        <f ca="1">IF($A59&gt;=$AU$23,OFFSET('CHP_NG_Baseload_With DB'!$AL$31,$A59-$AU$23,0)+OFFSET('CHP_NG_Baseload_With DB'!$AN$31,$A59-$AU$23,0),0)</f>
        <v>-5700835.6945111286</v>
      </c>
      <c r="AI59" s="308">
        <v>0</v>
      </c>
      <c r="AJ59" s="308">
        <f t="shared" ca="1" si="5"/>
        <v>5033821.6610254385</v>
      </c>
      <c r="AK59" s="309">
        <v>0</v>
      </c>
      <c r="AL59" s="309">
        <v>0</v>
      </c>
      <c r="AM59" s="309">
        <f t="shared" si="18"/>
        <v>0</v>
      </c>
      <c r="AN59" s="310">
        <f ca="1">IF($A59&gt;=$AU$23,OFFSET('CHP_NG_Baseload_With DB'!$AW$31,$A59-$AU$23,0),0)</f>
        <v>1439188.7175</v>
      </c>
      <c r="AO59" s="310">
        <f ca="1">IF($A59&gt;=$AU$23,OFFSET('CHP_NG_Baseload_With DB'!$AX$31,$A59-$AU$23,0),0)+IF($A59&gt;=$AU$23,OFFSET('CHP_NG_Baseload_With DB'!$BU$31,$A59-$AU$23,0),0)</f>
        <v>-2250197.4356711535</v>
      </c>
      <c r="AP59" s="310">
        <f t="shared" ca="1" si="19"/>
        <v>-811008.71817115345</v>
      </c>
      <c r="AQ59" s="309">
        <v>0</v>
      </c>
      <c r="AR59" s="311">
        <f t="shared" ca="1" si="6"/>
        <v>12967544.015075948</v>
      </c>
      <c r="AS59" s="870">
        <f t="shared" ca="1" si="20"/>
        <v>235540876.01737696</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disablePrompts="1"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sheetPr codeName="Sheet31">
    <pageSetUpPr fitToPage="1"/>
  </sheetPr>
  <dimension ref="A1:CP162"/>
  <sheetViews>
    <sheetView topLeftCell="A19" zoomScaleNormal="100" workbookViewId="0">
      <pane xSplit="1" topLeftCell="AY1" activePane="topRight" state="frozen"/>
      <selection activeCell="K11" sqref="K11"/>
      <selection pane="topRight" activeCell="BB35" sqref="BB35"/>
    </sheetView>
  </sheetViews>
  <sheetFormatPr defaultRowHeight="15"/>
  <cols>
    <col min="1" max="1" width="6.7109375" style="969" customWidth="1"/>
    <col min="2" max="2" width="9.42578125" style="969" customWidth="1"/>
    <col min="3" max="19" width="12.140625" style="969" customWidth="1"/>
    <col min="20" max="20" width="11.7109375" style="969" customWidth="1"/>
    <col min="21" max="21" width="14.42578125" style="969" customWidth="1"/>
    <col min="22" max="22" width="11.7109375" style="969" customWidth="1"/>
    <col min="23" max="24" width="11.28515625" style="969" customWidth="1"/>
    <col min="25" max="28" width="11.7109375" style="969" customWidth="1"/>
    <col min="29" max="29" width="12.85546875" style="969" bestFit="1" customWidth="1"/>
    <col min="30" max="32" width="11.7109375" style="969" customWidth="1"/>
    <col min="33" max="34" width="14.5703125" style="969" customWidth="1"/>
    <col min="35" max="40" width="15.7109375" style="969" customWidth="1"/>
    <col min="41" max="41" width="16" style="969" customWidth="1"/>
    <col min="42" max="43" width="11.7109375" style="969" customWidth="1"/>
    <col min="44" max="44" width="12.140625" style="969" customWidth="1"/>
    <col min="45" max="48" width="11.7109375" style="969" customWidth="1"/>
    <col min="49" max="55" width="16" style="969" customWidth="1"/>
    <col min="56" max="56" width="16.7109375" style="969" customWidth="1"/>
    <col min="57" max="57" width="1.42578125" style="969" customWidth="1"/>
    <col min="58" max="58" width="48.7109375" style="972" customWidth="1"/>
    <col min="59" max="59" width="9.140625" style="969"/>
    <col min="60" max="60" width="23" style="969" customWidth="1"/>
    <col min="61" max="61" width="41.85546875" style="969" customWidth="1"/>
    <col min="62" max="62" width="12.7109375" style="969" bestFit="1" customWidth="1"/>
    <col min="63" max="63" width="12.7109375" style="969" customWidth="1"/>
    <col min="64" max="64" width="20.85546875" style="969" customWidth="1"/>
    <col min="65" max="65" width="14.42578125" style="969" customWidth="1"/>
    <col min="66" max="66" width="23" style="969" customWidth="1"/>
    <col min="67" max="67" width="41.85546875" style="969" customWidth="1"/>
    <col min="68" max="68" width="15.7109375" style="969" bestFit="1" customWidth="1"/>
    <col min="69" max="69" width="15.7109375" style="969" customWidth="1"/>
    <col min="70" max="70" width="20.85546875" style="969" customWidth="1"/>
    <col min="71" max="72" width="9.140625" style="969"/>
    <col min="73" max="75" width="14.5703125" style="969" customWidth="1"/>
    <col min="76" max="77" width="15" style="969" customWidth="1"/>
    <col min="78" max="78" width="10.28515625" style="969" customWidth="1"/>
    <col min="79" max="81" width="9.140625" style="969"/>
    <col min="82" max="83" width="12.28515625" style="969" customWidth="1"/>
    <col min="84" max="84" width="15.5703125" style="969" customWidth="1"/>
    <col min="85" max="85" width="15" style="969" customWidth="1"/>
    <col min="86" max="87" width="12.28515625" style="969" customWidth="1"/>
    <col min="88" max="88" width="15.5703125" style="969" customWidth="1"/>
    <col min="89" max="89" width="15" style="969" customWidth="1"/>
    <col min="90" max="91" width="12.28515625" style="969" customWidth="1"/>
    <col min="92" max="16384" width="9.140625" style="969"/>
  </cols>
  <sheetData>
    <row r="1" spans="1:62">
      <c r="C1" s="1731" t="s">
        <v>1073</v>
      </c>
      <c r="D1" s="1732"/>
      <c r="E1" s="1732"/>
      <c r="F1" s="1732"/>
      <c r="G1" s="1732"/>
      <c r="H1" s="1732"/>
      <c r="I1" s="1732"/>
      <c r="J1" s="1732"/>
      <c r="K1" s="1732"/>
      <c r="L1" s="1732"/>
      <c r="M1" s="1732"/>
      <c r="N1" s="1733"/>
      <c r="AP1" s="970"/>
      <c r="AQ1" s="970"/>
      <c r="AR1" s="970"/>
      <c r="AS1" s="970"/>
      <c r="AT1" s="970"/>
      <c r="AU1" s="970"/>
      <c r="AV1" s="970"/>
      <c r="AW1" s="970"/>
      <c r="AX1" s="970"/>
      <c r="AY1" s="970"/>
      <c r="AZ1" s="970"/>
      <c r="BF1" s="969"/>
      <c r="BH1" s="971"/>
      <c r="BJ1" s="972"/>
    </row>
    <row r="2" spans="1:62">
      <c r="A2" s="973"/>
      <c r="C2" s="1731" t="s">
        <v>1074</v>
      </c>
      <c r="D2" s="1732"/>
      <c r="E2" s="1732"/>
      <c r="F2" s="1733"/>
      <c r="G2" s="1731" t="s">
        <v>1075</v>
      </c>
      <c r="H2" s="1732"/>
      <c r="I2" s="1732"/>
      <c r="J2" s="1733"/>
      <c r="K2" s="1731" t="s">
        <v>1076</v>
      </c>
      <c r="L2" s="1732"/>
      <c r="M2" s="1732"/>
      <c r="N2" s="1733"/>
      <c r="AD2" s="974"/>
      <c r="AP2" s="975"/>
      <c r="AQ2" s="975"/>
      <c r="AR2" s="975"/>
      <c r="AS2" s="975"/>
      <c r="AT2" s="975"/>
      <c r="AU2" s="975"/>
      <c r="AV2" s="975"/>
      <c r="AW2" s="975"/>
      <c r="AX2" s="975"/>
      <c r="AY2" s="975"/>
      <c r="AZ2" s="975"/>
      <c r="BA2" s="975"/>
      <c r="BB2" s="975"/>
      <c r="BC2" s="975"/>
      <c r="BD2" s="975"/>
      <c r="BE2" s="975"/>
      <c r="BF2" s="976"/>
      <c r="BG2" s="976"/>
      <c r="BI2" s="972"/>
    </row>
    <row r="3" spans="1:62" s="977" customFormat="1">
      <c r="A3" s="973"/>
      <c r="C3" s="978"/>
      <c r="D3" s="979"/>
      <c r="E3" s="980" t="s">
        <v>1077</v>
      </c>
      <c r="F3" s="981" t="s">
        <v>1078</v>
      </c>
      <c r="G3" s="982"/>
      <c r="H3" s="983"/>
      <c r="I3" s="983" t="s">
        <v>1079</v>
      </c>
      <c r="J3" s="984" t="s">
        <v>1080</v>
      </c>
      <c r="K3" s="1731" t="s">
        <v>1081</v>
      </c>
      <c r="L3" s="1732"/>
      <c r="M3" s="1732"/>
      <c r="N3" s="1733"/>
      <c r="O3" s="969"/>
      <c r="AC3" s="985"/>
      <c r="AD3" s="969"/>
      <c r="AE3" s="969"/>
      <c r="AP3" s="973"/>
      <c r="AQ3" s="973"/>
      <c r="AR3" s="973"/>
      <c r="AS3" s="973"/>
      <c r="AT3" s="973"/>
      <c r="AU3" s="973"/>
      <c r="AV3" s="973"/>
      <c r="AW3" s="973"/>
      <c r="AX3" s="973"/>
      <c r="AY3" s="973"/>
      <c r="AZ3" s="973"/>
      <c r="BA3" s="973"/>
      <c r="BB3" s="973"/>
      <c r="BC3" s="973"/>
      <c r="BD3" s="973"/>
      <c r="BE3" s="973"/>
      <c r="BF3" s="976"/>
      <c r="BG3" s="976"/>
      <c r="BI3" s="986"/>
    </row>
    <row r="4" spans="1:62" s="977" customFormat="1">
      <c r="A4" s="973"/>
      <c r="C4" s="987"/>
      <c r="D4" s="988"/>
      <c r="E4" s="989" t="s">
        <v>1082</v>
      </c>
      <c r="F4" s="990">
        <f>SUM(BA31:BA71)/1000000</f>
        <v>-56.25</v>
      </c>
      <c r="G4" s="991"/>
      <c r="H4" s="992"/>
      <c r="I4" s="993" t="s">
        <v>1083</v>
      </c>
      <c r="J4" s="994" t="s">
        <v>39</v>
      </c>
      <c r="K4" s="995"/>
      <c r="L4" s="996"/>
      <c r="M4" s="996"/>
      <c r="N4" s="997"/>
      <c r="O4" s="969"/>
      <c r="AC4" s="985"/>
      <c r="AD4" s="969"/>
      <c r="AE4" s="969"/>
      <c r="AP4" s="973"/>
      <c r="AQ4" s="973"/>
      <c r="AR4" s="973"/>
      <c r="AS4" s="973"/>
      <c r="AT4" s="973"/>
      <c r="AU4" s="973"/>
      <c r="AV4" s="973"/>
      <c r="AW4" s="973"/>
      <c r="AX4" s="973"/>
      <c r="AY4" s="973"/>
      <c r="AZ4" s="973"/>
      <c r="BA4" s="973"/>
      <c r="BB4" s="973"/>
      <c r="BC4" s="973"/>
      <c r="BD4" s="973"/>
      <c r="BE4" s="973"/>
      <c r="BF4" s="976"/>
      <c r="BG4" s="976"/>
      <c r="BI4" s="986"/>
    </row>
    <row r="5" spans="1:62" s="977" customFormat="1">
      <c r="A5" s="973"/>
      <c r="C5" s="995"/>
      <c r="D5" s="996"/>
      <c r="E5" s="998" t="s">
        <v>1084</v>
      </c>
      <c r="F5" s="999">
        <f>SUM(AZ31:AZ71)/1000000</f>
        <v>0</v>
      </c>
      <c r="G5" s="1000"/>
      <c r="H5" s="989"/>
      <c r="I5" s="989" t="s">
        <v>1085</v>
      </c>
      <c r="J5" s="1001"/>
      <c r="K5" s="995" t="s">
        <v>1086</v>
      </c>
      <c r="L5" s="996"/>
      <c r="M5" s="996"/>
      <c r="N5" s="1002"/>
      <c r="O5" s="1003"/>
      <c r="AC5" s="1004"/>
      <c r="AE5" s="969"/>
      <c r="AP5" s="973"/>
      <c r="AQ5" s="973"/>
      <c r="AR5" s="973"/>
      <c r="AS5" s="973"/>
      <c r="AT5" s="973"/>
      <c r="AU5" s="973"/>
      <c r="AV5" s="973"/>
      <c r="AW5" s="973"/>
      <c r="AX5" s="973"/>
      <c r="AY5" s="973"/>
      <c r="AZ5" s="973"/>
      <c r="BA5" s="973"/>
      <c r="BB5" s="973"/>
      <c r="BC5" s="973"/>
      <c r="BD5" s="973"/>
      <c r="BE5" s="973"/>
      <c r="BF5" s="976"/>
      <c r="BG5" s="976"/>
      <c r="BI5" s="986"/>
    </row>
    <row r="6" spans="1:62" s="977" customFormat="1">
      <c r="A6" s="973"/>
      <c r="C6" s="995"/>
      <c r="D6" s="996"/>
      <c r="E6" s="998" t="s">
        <v>1087</v>
      </c>
      <c r="F6" s="990">
        <f>F4+F5</f>
        <v>-56.25</v>
      </c>
      <c r="G6" s="1005"/>
      <c r="H6" s="1006"/>
      <c r="I6" s="989" t="s">
        <v>1088</v>
      </c>
      <c r="J6" s="1007"/>
      <c r="K6" s="995" t="s">
        <v>1089</v>
      </c>
      <c r="L6" s="996"/>
      <c r="M6" s="996"/>
      <c r="N6" s="997"/>
      <c r="O6" s="1003"/>
      <c r="AC6" s="1008"/>
      <c r="AD6" s="969"/>
      <c r="AE6" s="969"/>
      <c r="AP6" s="973"/>
      <c r="AQ6" s="973"/>
      <c r="AR6" s="973"/>
      <c r="AS6" s="973"/>
      <c r="AT6" s="973"/>
      <c r="AU6" s="973"/>
      <c r="AV6" s="973"/>
      <c r="AW6" s="973"/>
      <c r="AX6" s="973"/>
      <c r="AY6" s="973"/>
      <c r="AZ6" s="973"/>
      <c r="BA6" s="973"/>
      <c r="BB6" s="973"/>
      <c r="BC6" s="973"/>
      <c r="BD6" s="973"/>
      <c r="BE6" s="973"/>
      <c r="BF6" s="976"/>
      <c r="BG6" s="976"/>
      <c r="BI6" s="986"/>
    </row>
    <row r="7" spans="1:62" s="977" customFormat="1">
      <c r="A7" s="973"/>
      <c r="B7" s="973"/>
      <c r="C7" s="995"/>
      <c r="D7" s="996"/>
      <c r="E7" s="998"/>
      <c r="F7" s="1009"/>
      <c r="G7" s="1010"/>
      <c r="H7" s="998"/>
      <c r="I7" s="989" t="s">
        <v>1090</v>
      </c>
      <c r="J7" s="1011"/>
      <c r="K7" s="995" t="s">
        <v>1091</v>
      </c>
      <c r="L7" s="996"/>
      <c r="M7" s="996"/>
      <c r="N7" s="997"/>
      <c r="O7" s="1003"/>
      <c r="R7" s="1012" t="s">
        <v>230</v>
      </c>
      <c r="S7" s="1013">
        <v>2013</v>
      </c>
      <c r="AC7" s="969"/>
      <c r="AD7" s="974"/>
      <c r="AE7" s="973"/>
      <c r="AP7" s="973"/>
      <c r="AQ7" s="973"/>
      <c r="AR7" s="973"/>
      <c r="AS7" s="973"/>
      <c r="AT7" s="973"/>
      <c r="AU7" s="973"/>
      <c r="AV7" s="973"/>
      <c r="AW7" s="973"/>
      <c r="AX7" s="973"/>
      <c r="AY7" s="973"/>
      <c r="AZ7" s="973"/>
      <c r="BA7" s="973"/>
      <c r="BB7" s="973"/>
      <c r="BC7" s="973"/>
      <c r="BD7" s="973"/>
      <c r="BE7" s="973"/>
      <c r="BF7" s="976"/>
      <c r="BG7" s="976"/>
      <c r="BI7" s="986"/>
    </row>
    <row r="8" spans="1:62" s="977" customFormat="1">
      <c r="A8" s="973"/>
      <c r="B8" s="973"/>
      <c r="C8" s="995"/>
      <c r="D8" s="996"/>
      <c r="E8" s="1014" t="s">
        <v>1092</v>
      </c>
      <c r="F8" s="1015" t="s">
        <v>1093</v>
      </c>
      <c r="G8" s="1010"/>
      <c r="H8" s="998"/>
      <c r="I8" s="989" t="s">
        <v>1094</v>
      </c>
      <c r="J8" s="1011"/>
      <c r="K8" s="995" t="s">
        <v>1095</v>
      </c>
      <c r="L8" s="996"/>
      <c r="M8" s="996"/>
      <c r="N8" s="997"/>
      <c r="O8" s="1003"/>
      <c r="R8" s="1012" t="s">
        <v>1096</v>
      </c>
      <c r="S8" s="1013">
        <v>2033</v>
      </c>
      <c r="AC8" s="985"/>
      <c r="AD8" s="969"/>
      <c r="AE8" s="1016"/>
      <c r="AP8" s="973"/>
      <c r="AQ8" s="973"/>
      <c r="AR8" s="973"/>
      <c r="AS8" s="973"/>
      <c r="AT8" s="973"/>
      <c r="AU8" s="973"/>
      <c r="AV8" s="973"/>
      <c r="AW8" s="973"/>
      <c r="AX8" s="973"/>
      <c r="AY8" s="973"/>
      <c r="AZ8" s="973"/>
      <c r="BA8" s="973"/>
      <c r="BB8" s="973"/>
      <c r="BC8" s="973"/>
      <c r="BD8" s="973"/>
      <c r="BE8" s="973"/>
      <c r="BF8" s="976"/>
      <c r="BG8" s="976"/>
      <c r="BI8" s="986"/>
    </row>
    <row r="9" spans="1:62" s="977" customFormat="1">
      <c r="A9" s="973"/>
      <c r="B9" s="973"/>
      <c r="C9" s="995"/>
      <c r="D9" s="996"/>
      <c r="E9" s="998" t="s">
        <v>1097</v>
      </c>
      <c r="F9" s="1017">
        <f>((SUM(BC$34:BC$53))/20)/1000000</f>
        <v>1.2532354233745575</v>
      </c>
      <c r="G9" s="1010"/>
      <c r="H9" s="998"/>
      <c r="I9" s="988"/>
      <c r="J9" s="1009"/>
      <c r="K9" s="995" t="s">
        <v>1098</v>
      </c>
      <c r="L9" s="996"/>
      <c r="M9" s="996"/>
      <c r="N9" s="1002"/>
      <c r="O9" s="1003"/>
      <c r="AC9" s="985"/>
      <c r="AD9" s="969"/>
      <c r="AE9" s="973"/>
      <c r="AP9" s="973"/>
      <c r="AQ9" s="973"/>
      <c r="AR9" s="973"/>
      <c r="AS9" s="973"/>
      <c r="AT9" s="973"/>
      <c r="AU9" s="973"/>
      <c r="AV9" s="973"/>
      <c r="AW9" s="973"/>
      <c r="AX9" s="973"/>
      <c r="AY9" s="973"/>
      <c r="AZ9" s="973"/>
      <c r="BA9" s="973"/>
      <c r="BB9" s="973"/>
      <c r="BC9" s="973"/>
      <c r="BD9" s="973"/>
      <c r="BE9" s="973"/>
      <c r="BF9" s="976"/>
      <c r="BG9" s="976"/>
      <c r="BI9" s="986"/>
    </row>
    <row r="10" spans="1:62" s="977" customFormat="1">
      <c r="A10" s="973"/>
      <c r="B10" s="973"/>
      <c r="C10" s="995"/>
      <c r="D10" s="996"/>
      <c r="E10" s="1006" t="s">
        <v>1099</v>
      </c>
      <c r="F10" s="1018">
        <f>SUM(AV$34:AV$55)/20/1000000</f>
        <v>4.0176656161812012</v>
      </c>
      <c r="G10" s="1010"/>
      <c r="H10" s="998"/>
      <c r="I10" s="993" t="s">
        <v>1100</v>
      </c>
      <c r="J10" s="1019" t="s">
        <v>39</v>
      </c>
      <c r="K10" s="995" t="s">
        <v>1101</v>
      </c>
      <c r="L10" s="996"/>
      <c r="M10" s="996"/>
      <c r="N10" s="997"/>
      <c r="O10" s="1003"/>
      <c r="AC10" s="1004"/>
      <c r="AE10" s="973"/>
      <c r="AP10" s="973"/>
      <c r="AQ10" s="973"/>
      <c r="AR10" s="973"/>
      <c r="AS10" s="973"/>
      <c r="AT10" s="973"/>
      <c r="AU10" s="973"/>
      <c r="AV10" s="973"/>
      <c r="AW10" s="973"/>
      <c r="AX10" s="973"/>
      <c r="AY10" s="973"/>
      <c r="AZ10" s="973"/>
      <c r="BA10" s="973"/>
      <c r="BB10" s="973"/>
      <c r="BC10" s="973"/>
      <c r="BD10" s="973"/>
      <c r="BE10" s="973"/>
      <c r="BF10" s="976"/>
      <c r="BG10" s="976"/>
      <c r="BI10" s="986"/>
    </row>
    <row r="11" spans="1:62" s="977" customFormat="1">
      <c r="A11" s="973"/>
      <c r="B11" s="973"/>
      <c r="C11" s="995"/>
      <c r="D11" s="996"/>
      <c r="E11" s="998" t="s">
        <v>7</v>
      </c>
      <c r="F11" s="1017">
        <f>F9+F10</f>
        <v>5.2709010395557589</v>
      </c>
      <c r="G11" s="1010"/>
      <c r="H11" s="998"/>
      <c r="I11" s="989" t="s">
        <v>1085</v>
      </c>
      <c r="J11" s="1020"/>
      <c r="K11" s="995" t="s">
        <v>1102</v>
      </c>
      <c r="L11" s="996"/>
      <c r="M11" s="996"/>
      <c r="N11" s="997"/>
      <c r="O11" s="1003"/>
      <c r="R11" s="1021"/>
      <c r="S11" s="1022"/>
      <c r="T11" s="1022"/>
      <c r="U11" s="1022"/>
      <c r="V11" s="1023" t="s">
        <v>1103</v>
      </c>
      <c r="W11" s="1024">
        <f>F17</f>
        <v>23.326848357571787</v>
      </c>
      <c r="X11" s="1025" t="s">
        <v>1104</v>
      </c>
      <c r="AD11" s="1008"/>
      <c r="AE11" s="969"/>
      <c r="AF11" s="973"/>
      <c r="AQ11" s="973"/>
      <c r="AR11" s="973"/>
      <c r="AS11" s="973"/>
      <c r="AT11" s="973"/>
      <c r="AU11" s="973"/>
      <c r="AV11" s="973"/>
      <c r="AW11" s="973"/>
      <c r="AX11" s="973"/>
      <c r="AY11" s="973"/>
      <c r="AZ11" s="973"/>
      <c r="BA11" s="973"/>
      <c r="BB11" s="973"/>
      <c r="BC11" s="973"/>
      <c r="BD11" s="973"/>
      <c r="BE11" s="973"/>
      <c r="BF11" s="973"/>
      <c r="BG11" s="976"/>
      <c r="BH11" s="976"/>
      <c r="BJ11" s="986"/>
    </row>
    <row r="12" spans="1:62" s="977" customFormat="1" ht="23.25">
      <c r="A12" s="973"/>
      <c r="B12" s="973"/>
      <c r="C12" s="995"/>
      <c r="D12" s="996"/>
      <c r="E12" s="998"/>
      <c r="F12" s="1009" t="s">
        <v>39</v>
      </c>
      <c r="G12" s="1010"/>
      <c r="H12" s="998"/>
      <c r="I12" s="989" t="s">
        <v>1088</v>
      </c>
      <c r="J12" s="1026"/>
      <c r="K12" s="995" t="s">
        <v>1105</v>
      </c>
      <c r="L12" s="996"/>
      <c r="M12" s="996"/>
      <c r="N12" s="1027"/>
      <c r="O12" s="1003"/>
      <c r="R12" s="1028"/>
      <c r="S12" s="1029"/>
      <c r="T12" s="1029"/>
      <c r="U12" s="1029"/>
      <c r="V12" s="998" t="s">
        <v>1106</v>
      </c>
      <c r="W12" s="1030">
        <f>-W11*1000000/NPV($H$26,$AT$31:$AT$53)</f>
        <v>-19.253476100495845</v>
      </c>
      <c r="X12" s="1031" t="s">
        <v>1107</v>
      </c>
      <c r="AD12" s="1008"/>
      <c r="AE12" s="969"/>
      <c r="AF12" s="973"/>
      <c r="AQ12" s="973"/>
      <c r="AR12" s="973"/>
      <c r="AS12" s="973"/>
      <c r="AT12" s="973"/>
      <c r="AU12" s="973"/>
      <c r="AV12" s="973"/>
      <c r="AW12" s="973"/>
      <c r="AX12" s="973"/>
      <c r="AY12" s="973"/>
      <c r="AZ12" s="973"/>
      <c r="BA12" s="973"/>
      <c r="BB12" s="973"/>
      <c r="BC12" s="973"/>
      <c r="BD12" s="973"/>
      <c r="BE12" s="973"/>
      <c r="BF12" s="973"/>
      <c r="BG12" s="976"/>
      <c r="BH12" s="976"/>
      <c r="BJ12" s="986"/>
    </row>
    <row r="13" spans="1:62" s="977" customFormat="1" ht="23.25">
      <c r="A13" s="973"/>
      <c r="B13" s="973"/>
      <c r="C13" s="995"/>
      <c r="D13" s="996"/>
      <c r="E13" s="1014" t="s">
        <v>1108</v>
      </c>
      <c r="F13" s="1015" t="s">
        <v>1109</v>
      </c>
      <c r="G13" s="1010"/>
      <c r="H13" s="998"/>
      <c r="I13" s="989" t="s">
        <v>1090</v>
      </c>
      <c r="J13" s="1032"/>
      <c r="K13" s="995"/>
      <c r="L13" s="996"/>
      <c r="M13" s="996"/>
      <c r="N13" s="997"/>
      <c r="O13" s="1003"/>
      <c r="R13" s="1028"/>
      <c r="S13" s="1029"/>
      <c r="T13" s="1029"/>
      <c r="U13" s="1029"/>
      <c r="V13" s="998" t="s">
        <v>1110</v>
      </c>
      <c r="W13" s="1030">
        <f>F18*1000000/NPV($H$26,$AT$31:$AT$53)</f>
        <v>89.33301873825144</v>
      </c>
      <c r="X13" s="1031" t="s">
        <v>1107</v>
      </c>
      <c r="AD13" s="1008"/>
      <c r="AE13" s="969"/>
      <c r="AF13" s="973"/>
      <c r="AQ13" s="973"/>
      <c r="AR13" s="973"/>
      <c r="AS13" s="973"/>
      <c r="AT13" s="973"/>
      <c r="AU13" s="973"/>
      <c r="AV13" s="973"/>
      <c r="AW13" s="973"/>
      <c r="AX13" s="973"/>
      <c r="AY13" s="973"/>
      <c r="AZ13" s="973"/>
      <c r="BA13" s="973"/>
      <c r="BB13" s="973"/>
      <c r="BC13" s="973"/>
      <c r="BD13" s="973"/>
      <c r="BE13" s="973"/>
      <c r="BF13" s="973"/>
      <c r="BG13" s="976"/>
      <c r="BH13" s="976"/>
      <c r="BJ13" s="986"/>
    </row>
    <row r="14" spans="1:62" s="977" customFormat="1">
      <c r="A14" s="973"/>
      <c r="B14" s="973"/>
      <c r="C14" s="995"/>
      <c r="D14" s="996"/>
      <c r="E14" s="998" t="s">
        <v>1111</v>
      </c>
      <c r="F14" s="990">
        <f>NPV(H$26,BB$31:BB$71)/1000000</f>
        <v>-45.641726171654405</v>
      </c>
      <c r="G14" s="1010"/>
      <c r="H14" s="998"/>
      <c r="I14" s="989" t="s">
        <v>1094</v>
      </c>
      <c r="J14" s="1032"/>
      <c r="K14" s="995"/>
      <c r="L14" s="996"/>
      <c r="M14" s="996"/>
      <c r="N14" s="997"/>
      <c r="O14" s="1003"/>
      <c r="R14" s="1028"/>
      <c r="S14" s="1029"/>
      <c r="T14" s="1029"/>
      <c r="U14" s="1029"/>
      <c r="V14" s="1033" t="s">
        <v>1112</v>
      </c>
      <c r="W14" s="1029"/>
      <c r="X14" s="1034"/>
      <c r="AD14" s="1008"/>
      <c r="AE14" s="969"/>
      <c r="AF14" s="973"/>
      <c r="AQ14" s="973"/>
      <c r="AR14" s="973"/>
      <c r="AS14" s="973"/>
      <c r="AT14" s="973"/>
      <c r="AU14" s="973"/>
      <c r="AV14" s="973"/>
      <c r="AW14" s="973"/>
      <c r="AX14" s="973"/>
      <c r="AY14" s="973"/>
      <c r="AZ14" s="973"/>
      <c r="BA14" s="973"/>
      <c r="BB14" s="973"/>
      <c r="BC14" s="973"/>
      <c r="BD14" s="973"/>
      <c r="BE14" s="973"/>
      <c r="BF14" s="973"/>
      <c r="BG14" s="976"/>
      <c r="BH14" s="976"/>
      <c r="BJ14" s="986"/>
    </row>
    <row r="15" spans="1:62" s="977" customFormat="1">
      <c r="A15" s="973"/>
      <c r="B15" s="973"/>
      <c r="C15" s="995"/>
      <c r="D15" s="996"/>
      <c r="E15" s="998" t="s">
        <v>1113</v>
      </c>
      <c r="F15" s="990">
        <f>NPV(H$26,AO$31:AO$71)/1000000</f>
        <v>61.257110029846046</v>
      </c>
      <c r="G15" s="1010"/>
      <c r="H15" s="998"/>
      <c r="I15" s="989"/>
      <c r="J15" s="1009"/>
      <c r="K15" s="1728" t="s">
        <v>1114</v>
      </c>
      <c r="L15" s="1729"/>
      <c r="M15" s="1729"/>
      <c r="N15" s="1730"/>
      <c r="O15" s="1003"/>
      <c r="R15" s="1028"/>
      <c r="S15" s="1029"/>
      <c r="T15" s="1029"/>
      <c r="U15" s="1029"/>
      <c r="V15" s="1035" t="s">
        <v>1115</v>
      </c>
      <c r="W15" s="1036">
        <f>SUM(AT30:AT70)</f>
        <v>3142354.2192728878</v>
      </c>
      <c r="X15" s="1031" t="s">
        <v>1116</v>
      </c>
      <c r="AD15" s="1008"/>
      <c r="AE15" s="969"/>
      <c r="AF15" s="973"/>
      <c r="AQ15" s="973"/>
      <c r="AR15" s="973"/>
      <c r="AS15" s="973"/>
      <c r="AT15" s="973"/>
      <c r="AU15" s="973"/>
      <c r="AV15" s="973"/>
      <c r="AW15" s="973"/>
      <c r="AX15" s="973"/>
      <c r="AY15" s="973"/>
      <c r="AZ15" s="973"/>
      <c r="BA15" s="973"/>
      <c r="BB15" s="973"/>
      <c r="BC15" s="973"/>
      <c r="BD15" s="973"/>
      <c r="BE15" s="973"/>
      <c r="BF15" s="973"/>
      <c r="BG15" s="976"/>
      <c r="BH15" s="976"/>
      <c r="BJ15" s="986"/>
    </row>
    <row r="16" spans="1:62" s="977" customFormat="1">
      <c r="A16" s="973"/>
      <c r="B16" s="973"/>
      <c r="C16" s="995"/>
      <c r="D16" s="996"/>
      <c r="E16" s="1006" t="s">
        <v>1117</v>
      </c>
      <c r="F16" s="999">
        <f>NPV(H$26,AY$31:AY$71)/1000000</f>
        <v>7.7114644993801464</v>
      </c>
      <c r="G16" s="1010"/>
      <c r="H16" s="998"/>
      <c r="I16" s="1014" t="s">
        <v>1118</v>
      </c>
      <c r="J16" s="1037" t="s">
        <v>1119</v>
      </c>
      <c r="K16" s="1038"/>
      <c r="L16" s="996" t="s">
        <v>1120</v>
      </c>
      <c r="M16" s="996"/>
      <c r="N16" s="997"/>
      <c r="O16" s="1003"/>
      <c r="R16" s="1039"/>
      <c r="S16" s="1040"/>
      <c r="T16" s="1040"/>
      <c r="U16" s="1040"/>
      <c r="V16" s="1041" t="s">
        <v>1121</v>
      </c>
      <c r="W16" s="1042">
        <f>W15/(S8-S7)</f>
        <v>157117.71096364438</v>
      </c>
      <c r="X16" s="1043" t="s">
        <v>1116</v>
      </c>
      <c r="Y16" s="1044"/>
      <c r="Z16" s="1044"/>
      <c r="AA16" s="1044"/>
      <c r="AB16" s="1044"/>
      <c r="AD16" s="1008"/>
      <c r="AE16" s="969"/>
      <c r="AF16" s="973"/>
      <c r="AQ16" s="973"/>
      <c r="AR16" s="973"/>
      <c r="AS16" s="973"/>
      <c r="AT16" s="973"/>
      <c r="AU16" s="973"/>
      <c r="AV16" s="973"/>
      <c r="AW16" s="973"/>
      <c r="AX16" s="973"/>
      <c r="AY16" s="973"/>
      <c r="AZ16" s="973"/>
      <c r="BA16" s="973"/>
      <c r="BB16" s="973"/>
      <c r="BC16" s="973"/>
      <c r="BD16" s="973"/>
      <c r="BE16" s="973"/>
      <c r="BF16" s="973"/>
      <c r="BG16" s="976"/>
      <c r="BH16" s="976"/>
      <c r="BJ16" s="986"/>
    </row>
    <row r="17" spans="1:94" s="977" customFormat="1">
      <c r="A17" s="973"/>
      <c r="B17" s="973"/>
      <c r="C17" s="995"/>
      <c r="D17" s="996"/>
      <c r="E17" s="998" t="s">
        <v>1122</v>
      </c>
      <c r="F17" s="990">
        <f>SUM(F14:F16)</f>
        <v>23.326848357571787</v>
      </c>
      <c r="G17" s="1010"/>
      <c r="H17" s="998"/>
      <c r="I17" s="989" t="s">
        <v>1123</v>
      </c>
      <c r="J17" s="1045">
        <f>AP34/1000</f>
        <v>-4.9498807278644597</v>
      </c>
      <c r="K17" s="1046"/>
      <c r="L17" s="996" t="s">
        <v>1124</v>
      </c>
      <c r="M17" s="996"/>
      <c r="N17" s="997"/>
      <c r="O17" s="1003"/>
      <c r="AC17" s="1008"/>
      <c r="AD17" s="969"/>
      <c r="AE17" s="973"/>
      <c r="AP17" s="973"/>
      <c r="AQ17" s="973"/>
      <c r="AR17" s="973"/>
      <c r="AS17" s="973"/>
      <c r="AT17" s="973"/>
      <c r="AU17" s="973"/>
      <c r="AV17" s="973"/>
      <c r="AW17" s="973"/>
      <c r="AX17" s="973"/>
      <c r="AY17" s="973"/>
      <c r="AZ17" s="973"/>
      <c r="BA17" s="973"/>
      <c r="BB17" s="973"/>
      <c r="BC17" s="973"/>
      <c r="BD17" s="973"/>
      <c r="BE17" s="973"/>
      <c r="BF17" s="976"/>
      <c r="BG17" s="976"/>
      <c r="BI17" s="986"/>
    </row>
    <row r="18" spans="1:94" s="977" customFormat="1">
      <c r="A18" s="973"/>
      <c r="B18" s="973"/>
      <c r="C18" s="995"/>
      <c r="D18" s="996"/>
      <c r="E18" s="1006" t="s">
        <v>1125</v>
      </c>
      <c r="F18" s="999">
        <f>NPV(H$26,AV$31:AV$71)/1000000</f>
        <v>108.23280796435733</v>
      </c>
      <c r="G18" s="1010"/>
      <c r="H18" s="998"/>
      <c r="I18" s="989" t="s">
        <v>1126</v>
      </c>
      <c r="J18" s="1045">
        <f>AQ34/1000</f>
        <v>83.58688702080002</v>
      </c>
      <c r="K18" s="1047"/>
      <c r="L18" s="996" t="s">
        <v>1127</v>
      </c>
      <c r="M18" s="996"/>
      <c r="N18" s="997"/>
      <c r="O18" s="1003"/>
      <c r="AC18" s="1008"/>
      <c r="AD18" s="969"/>
      <c r="AE18" s="973"/>
      <c r="AP18" s="973"/>
      <c r="AQ18" s="973"/>
      <c r="AR18" s="973"/>
      <c r="AS18" s="973"/>
      <c r="AT18" s="973"/>
      <c r="AU18" s="973"/>
      <c r="AV18" s="973"/>
      <c r="AW18" s="973"/>
      <c r="AX18" s="973"/>
      <c r="AY18" s="973"/>
      <c r="AZ18" s="973"/>
      <c r="BA18" s="973"/>
      <c r="BB18" s="973"/>
      <c r="BC18" s="973"/>
      <c r="BD18" s="973"/>
      <c r="BE18" s="973"/>
      <c r="BF18" s="976"/>
      <c r="BG18" s="976"/>
      <c r="BI18" s="986"/>
    </row>
    <row r="19" spans="1:94" s="977" customFormat="1">
      <c r="A19" s="973"/>
      <c r="B19" s="973"/>
      <c r="C19" s="995"/>
      <c r="D19" s="988"/>
      <c r="E19" s="998" t="s">
        <v>1128</v>
      </c>
      <c r="F19" s="990">
        <f>F17+F18</f>
        <v>131.55965632192911</v>
      </c>
      <c r="G19" s="1010"/>
      <c r="H19" s="998"/>
      <c r="I19" s="1048" t="s">
        <v>1129</v>
      </c>
      <c r="J19" s="1049">
        <f>AR34/1000</f>
        <v>6.2914861198451693</v>
      </c>
      <c r="K19" s="1704" t="s">
        <v>1130</v>
      </c>
      <c r="L19" s="1705"/>
      <c r="M19" s="1705"/>
      <c r="N19" s="1706"/>
      <c r="O19" s="1003"/>
      <c r="AC19" s="1008"/>
      <c r="AD19" s="969"/>
      <c r="AE19" s="973"/>
      <c r="AP19" s="973"/>
      <c r="AQ19" s="973"/>
      <c r="AR19" s="973"/>
      <c r="AS19" s="973"/>
      <c r="AT19" s="973"/>
      <c r="AU19" s="973"/>
      <c r="AV19" s="973"/>
      <c r="AW19" s="973"/>
      <c r="AX19" s="973"/>
      <c r="AY19" s="973"/>
      <c r="AZ19" s="973"/>
      <c r="BA19" s="973"/>
      <c r="BB19" s="973"/>
      <c r="BC19" s="973"/>
      <c r="BD19" s="973"/>
      <c r="BE19" s="973"/>
      <c r="BF19" s="976"/>
      <c r="BG19" s="976"/>
      <c r="BI19" s="986"/>
    </row>
    <row r="20" spans="1:94" s="977" customFormat="1">
      <c r="A20" s="973"/>
      <c r="B20" s="973"/>
      <c r="C20" s="995"/>
      <c r="D20" s="996"/>
      <c r="E20" s="1050"/>
      <c r="F20" s="1051"/>
      <c r="G20" s="1010"/>
      <c r="H20" s="998"/>
      <c r="I20" s="989" t="s">
        <v>7</v>
      </c>
      <c r="J20" s="1045">
        <f>AT34/1000</f>
        <v>84.928492412780713</v>
      </c>
      <c r="K20" s="1707"/>
      <c r="L20" s="1708"/>
      <c r="M20" s="1708"/>
      <c r="N20" s="1709"/>
      <c r="O20" s="1003"/>
      <c r="AC20" s="1008"/>
      <c r="AD20" s="969"/>
      <c r="AE20" s="973"/>
      <c r="AP20" s="973"/>
      <c r="AQ20" s="973"/>
      <c r="AR20" s="973"/>
      <c r="AS20" s="973"/>
      <c r="AT20" s="973"/>
      <c r="AU20" s="973"/>
      <c r="AV20" s="973"/>
      <c r="AW20" s="973"/>
      <c r="AX20" s="973"/>
      <c r="AY20" s="973"/>
      <c r="AZ20" s="973"/>
      <c r="BA20" s="973"/>
      <c r="BB20" s="973"/>
      <c r="BC20" s="973"/>
      <c r="BD20" s="973"/>
      <c r="BE20" s="973"/>
      <c r="BF20" s="976"/>
      <c r="BG20" s="976"/>
      <c r="BI20" s="986"/>
    </row>
    <row r="21" spans="1:94" s="977" customFormat="1">
      <c r="A21" s="973"/>
      <c r="B21" s="973"/>
      <c r="C21" s="995"/>
      <c r="D21" s="1014" t="s">
        <v>1131</v>
      </c>
      <c r="E21" s="1052" t="s">
        <v>1132</v>
      </c>
      <c r="F21" s="1053" t="s">
        <v>1133</v>
      </c>
      <c r="G21" s="1010"/>
      <c r="H21" s="998"/>
      <c r="I21" s="989" t="s">
        <v>1090</v>
      </c>
      <c r="J21" s="1011" t="s">
        <v>39</v>
      </c>
      <c r="K21" s="1707"/>
      <c r="L21" s="1708"/>
      <c r="M21" s="1708"/>
      <c r="N21" s="1709"/>
      <c r="O21" s="1003"/>
      <c r="AC21" s="1008"/>
      <c r="AD21" s="969"/>
      <c r="AE21" s="973"/>
      <c r="AP21" s="973"/>
      <c r="AQ21" s="973"/>
      <c r="AR21" s="973"/>
      <c r="AS21" s="973"/>
      <c r="AT21" s="973"/>
      <c r="AU21" s="973"/>
      <c r="AV21" s="973"/>
      <c r="AW21" s="973"/>
      <c r="AX21" s="973"/>
      <c r="AY21" s="973"/>
      <c r="AZ21" s="973"/>
      <c r="BA21" s="973"/>
      <c r="BB21" s="973"/>
      <c r="BC21" s="973"/>
      <c r="BD21" s="973"/>
      <c r="BE21" s="973"/>
      <c r="BF21" s="976"/>
      <c r="BG21" s="976"/>
      <c r="BI21" s="986"/>
    </row>
    <row r="22" spans="1:94" s="977" customFormat="1">
      <c r="A22" s="973"/>
      <c r="B22" s="973"/>
      <c r="C22" s="995"/>
      <c r="D22" s="998" t="s">
        <v>1134</v>
      </c>
      <c r="E22" s="1054">
        <f>IRR(BC31:BC71)</f>
        <v>5.0249111723984254E-2</v>
      </c>
      <c r="F22" s="1054">
        <f>IRR(BD31:BD71)</f>
        <v>0.11551828607781847</v>
      </c>
      <c r="G22" s="1010"/>
      <c r="H22" s="998"/>
      <c r="I22" s="989" t="s">
        <v>1094</v>
      </c>
      <c r="J22" s="1011" t="s">
        <v>39</v>
      </c>
      <c r="K22" s="1707"/>
      <c r="L22" s="1708"/>
      <c r="M22" s="1708"/>
      <c r="N22" s="1709"/>
      <c r="O22" s="1003"/>
      <c r="AC22" s="1008"/>
      <c r="AD22" s="969"/>
      <c r="AE22" s="973"/>
      <c r="AP22" s="973"/>
      <c r="AQ22" s="973"/>
      <c r="AR22" s="973"/>
      <c r="AS22" s="973"/>
      <c r="AT22" s="973"/>
      <c r="AU22" s="973"/>
      <c r="AV22" s="973"/>
      <c r="AW22" s="973"/>
      <c r="AX22" s="973"/>
      <c r="AY22" s="973"/>
      <c r="AZ22" s="973"/>
      <c r="BA22" s="973"/>
      <c r="BB22" s="973"/>
      <c r="BC22" s="973"/>
      <c r="BD22" s="973"/>
      <c r="BE22" s="973"/>
      <c r="BF22" s="976"/>
      <c r="BG22" s="976"/>
      <c r="BI22" s="986"/>
    </row>
    <row r="23" spans="1:94" s="977" customFormat="1">
      <c r="A23" s="973"/>
      <c r="B23" s="973"/>
      <c r="C23" s="995"/>
      <c r="D23" s="998" t="s">
        <v>1135</v>
      </c>
      <c r="E23" s="1055">
        <f>1+F17/-F14</f>
        <v>1.5110860240000918</v>
      </c>
      <c r="F23" s="1001">
        <f>1+F19/-F14</f>
        <v>3.8824426102366316</v>
      </c>
      <c r="G23" s="1713" t="s">
        <v>1136</v>
      </c>
      <c r="H23" s="1714"/>
      <c r="I23" s="1714"/>
      <c r="J23" s="1715"/>
      <c r="K23" s="1707"/>
      <c r="L23" s="1708"/>
      <c r="M23" s="1708"/>
      <c r="N23" s="1709"/>
      <c r="O23" s="1003"/>
      <c r="AC23" s="1003"/>
      <c r="AD23" s="1003"/>
      <c r="AE23" s="1003"/>
      <c r="AP23" s="973"/>
      <c r="AQ23" s="973"/>
      <c r="AR23" s="973"/>
      <c r="AS23" s="973"/>
      <c r="AT23" s="973"/>
      <c r="AU23" s="973"/>
      <c r="AV23" s="973"/>
      <c r="AW23" s="973"/>
      <c r="AX23" s="973"/>
      <c r="AY23" s="973"/>
      <c r="AZ23" s="973"/>
      <c r="BA23" s="973"/>
      <c r="BB23" s="973"/>
      <c r="BC23" s="973"/>
      <c r="BD23" s="973"/>
      <c r="BE23" s="973"/>
      <c r="BF23" s="976"/>
      <c r="BG23" s="976"/>
      <c r="BI23" s="986"/>
    </row>
    <row r="24" spans="1:94" s="977" customFormat="1">
      <c r="A24" s="973"/>
      <c r="B24" s="973"/>
      <c r="C24" s="1056"/>
      <c r="D24" s="1057" t="s">
        <v>1137</v>
      </c>
      <c r="E24" s="1058" t="s">
        <v>39</v>
      </c>
      <c r="F24" s="1059" t="s">
        <v>39</v>
      </c>
      <c r="G24" s="1060" t="s">
        <v>1138</v>
      </c>
      <c r="H24" s="1061">
        <f>CH34</f>
        <v>-1.7919724810821258</v>
      </c>
      <c r="I24" s="1060" t="s">
        <v>1139</v>
      </c>
      <c r="J24" s="1061">
        <f>CI34</f>
        <v>-4.7936814617983545</v>
      </c>
      <c r="K24" s="1710"/>
      <c r="L24" s="1711"/>
      <c r="M24" s="1711"/>
      <c r="N24" s="1712"/>
      <c r="O24" s="1003"/>
      <c r="AC24" s="1062"/>
      <c r="AD24" s="1062"/>
      <c r="AE24" s="1062"/>
      <c r="AP24" s="973"/>
      <c r="AQ24" s="973"/>
      <c r="AR24" s="973"/>
      <c r="AS24" s="973"/>
      <c r="AT24" s="973"/>
      <c r="AU24" s="973"/>
      <c r="AV24" s="973"/>
      <c r="AW24" s="973"/>
      <c r="AX24" s="973"/>
      <c r="AY24" s="973"/>
      <c r="AZ24" s="973"/>
      <c r="BA24" s="973"/>
      <c r="BB24" s="973"/>
      <c r="BC24" s="973"/>
      <c r="BD24" s="973"/>
      <c r="BE24" s="973"/>
      <c r="BF24" s="976"/>
      <c r="BG24" s="976"/>
      <c r="BI24" s="986"/>
    </row>
    <row r="25" spans="1:94" s="977" customFormat="1">
      <c r="A25" s="973"/>
      <c r="B25" s="973"/>
      <c r="D25" s="1063"/>
      <c r="E25" s="1064" t="s">
        <v>39</v>
      </c>
      <c r="F25" s="1065" t="s">
        <v>1140</v>
      </c>
      <c r="G25" s="1066" t="s">
        <v>107</v>
      </c>
      <c r="H25" s="1065" t="s">
        <v>1141</v>
      </c>
      <c r="K25" s="1003"/>
      <c r="L25" s="1003"/>
      <c r="W25" s="1067"/>
      <c r="X25" s="1067"/>
      <c r="Y25" s="1067"/>
      <c r="Z25" s="1067"/>
      <c r="AA25" s="1067"/>
      <c r="AB25" s="1067"/>
      <c r="AC25" s="973"/>
      <c r="AD25" s="973"/>
      <c r="AE25" s="973"/>
      <c r="AF25" s="973"/>
      <c r="AG25" s="973"/>
      <c r="AH25" s="973"/>
      <c r="AI25" s="973"/>
      <c r="AJ25" s="973"/>
      <c r="AK25" s="973"/>
      <c r="AL25" s="973"/>
      <c r="AM25" s="973"/>
      <c r="AN25" s="973"/>
      <c r="AO25" s="973"/>
      <c r="AP25" s="973" t="s">
        <v>39</v>
      </c>
      <c r="AQ25" s="973"/>
      <c r="AR25" s="973"/>
      <c r="AS25" s="973"/>
      <c r="AT25" s="973"/>
      <c r="AU25" s="973"/>
      <c r="AV25" s="973"/>
      <c r="AW25" s="973"/>
      <c r="AX25" s="973"/>
      <c r="AY25" s="973"/>
      <c r="AZ25" s="973"/>
      <c r="BA25" s="973"/>
      <c r="BB25" s="973"/>
      <c r="BC25" s="973"/>
      <c r="BD25" s="976"/>
      <c r="BF25" s="986"/>
    </row>
    <row r="26" spans="1:94" s="977" customFormat="1">
      <c r="A26" s="973"/>
      <c r="B26" s="973"/>
      <c r="C26" s="1068"/>
      <c r="D26" s="1069" t="s">
        <v>1142</v>
      </c>
      <c r="E26" s="1062"/>
      <c r="F26" s="1070">
        <v>4.4999999999999998E-2</v>
      </c>
      <c r="G26" s="1070">
        <f>Inflation</f>
        <v>1.8814390095546862E-2</v>
      </c>
      <c r="H26" s="1070">
        <f>F26-G26</f>
        <v>2.6185609904453136E-2</v>
      </c>
      <c r="K26" s="1003"/>
      <c r="L26" s="1003"/>
      <c r="W26" s="1062"/>
      <c r="X26" s="1062"/>
      <c r="Y26" s="1062"/>
      <c r="Z26" s="1062"/>
      <c r="AA26" s="1062"/>
      <c r="AB26" s="1062"/>
      <c r="AC26" s="973"/>
      <c r="AD26" s="973"/>
      <c r="AE26" s="973"/>
      <c r="AF26" s="973"/>
      <c r="AG26" s="973"/>
      <c r="AH26" s="973"/>
      <c r="AI26" s="973"/>
      <c r="AJ26" s="973"/>
      <c r="AK26" s="973"/>
      <c r="AL26" s="973"/>
      <c r="AM26" s="973"/>
      <c r="AN26" s="973"/>
      <c r="AO26" s="973"/>
      <c r="AP26" s="1071" t="s">
        <v>39</v>
      </c>
      <c r="AQ26" s="973"/>
      <c r="AR26" s="973"/>
      <c r="AS26" s="973"/>
      <c r="AT26" s="973"/>
      <c r="AU26" s="973"/>
      <c r="AV26" s="973"/>
      <c r="AW26" s="973"/>
      <c r="AX26" s="973"/>
      <c r="AY26" s="973"/>
      <c r="AZ26" s="973"/>
      <c r="BA26" s="973"/>
      <c r="BB26" s="973"/>
      <c r="BC26" s="973"/>
      <c r="BD26" s="976"/>
      <c r="BF26" s="986"/>
    </row>
    <row r="27" spans="1:94" s="1076" customFormat="1" ht="33.75" customHeight="1">
      <c r="A27" s="1072"/>
      <c r="B27" s="1073" t="s">
        <v>248</v>
      </c>
      <c r="C27" s="1074"/>
      <c r="D27" s="1074"/>
      <c r="E27" s="1074"/>
      <c r="F27" s="1074"/>
      <c r="G27" s="1074"/>
      <c r="H27" s="1074"/>
      <c r="I27" s="1074"/>
      <c r="J27" s="1074"/>
      <c r="K27" s="1074"/>
      <c r="L27" s="1074"/>
      <c r="M27" s="1075"/>
      <c r="N27" s="1695" t="s">
        <v>249</v>
      </c>
      <c r="O27" s="1696"/>
      <c r="P27" s="1696"/>
      <c r="Q27" s="1696"/>
      <c r="R27" s="1716"/>
      <c r="S27" s="1717"/>
      <c r="T27" s="1718" t="s">
        <v>657</v>
      </c>
      <c r="U27" s="1719"/>
      <c r="V27" s="1719"/>
      <c r="W27" s="1719"/>
      <c r="X27" s="1720"/>
      <c r="Y27" s="1721"/>
      <c r="Z27" s="1722" t="s">
        <v>1143</v>
      </c>
      <c r="AA27" s="1723"/>
      <c r="AB27" s="1724"/>
      <c r="AC27" s="1725" t="s">
        <v>1144</v>
      </c>
      <c r="AD27" s="1726"/>
      <c r="AE27" s="1726"/>
      <c r="AF27" s="1726"/>
      <c r="AG27" s="1726"/>
      <c r="AH27" s="1727"/>
      <c r="AI27" s="1692" t="s">
        <v>1145</v>
      </c>
      <c r="AJ27" s="1693"/>
      <c r="AK27" s="1693"/>
      <c r="AL27" s="1693"/>
      <c r="AM27" s="1693"/>
      <c r="AN27" s="1693"/>
      <c r="AO27" s="1694"/>
      <c r="AP27" s="1695" t="s">
        <v>1146</v>
      </c>
      <c r="AQ27" s="1696"/>
      <c r="AR27" s="1696"/>
      <c r="AS27" s="1696"/>
      <c r="AT27" s="1696"/>
      <c r="AU27" s="1696"/>
      <c r="AV27" s="1697"/>
      <c r="AW27" s="1698" t="s">
        <v>1147</v>
      </c>
      <c r="AX27" s="1699"/>
      <c r="AY27" s="1700"/>
      <c r="AZ27" s="1701" t="s">
        <v>802</v>
      </c>
      <c r="BA27" s="1702"/>
      <c r="BB27" s="1702"/>
      <c r="BC27" s="1703" t="s">
        <v>1148</v>
      </c>
      <c r="BD27" s="1703"/>
      <c r="BF27" s="1077"/>
      <c r="BG27" s="1078"/>
      <c r="BH27" s="1683" t="s">
        <v>1149</v>
      </c>
      <c r="BI27" s="1684"/>
      <c r="BJ27" s="1684"/>
      <c r="BK27" s="1684"/>
      <c r="BL27" s="1685"/>
      <c r="BM27" s="1078"/>
      <c r="BN27" s="1683" t="s">
        <v>1150</v>
      </c>
      <c r="BO27" s="1684"/>
      <c r="BP27" s="1684"/>
      <c r="BQ27" s="1684"/>
      <c r="BR27" s="1685"/>
      <c r="BS27" s="1078"/>
      <c r="BU27" s="1686" t="s">
        <v>1151</v>
      </c>
      <c r="BV27" s="1686"/>
      <c r="BW27" s="1686"/>
      <c r="BX27" s="1686"/>
      <c r="BY27" s="1686"/>
      <c r="BZ27" s="1686"/>
      <c r="CA27" s="1686"/>
      <c r="CB27" s="1686"/>
      <c r="CC27" s="1686"/>
      <c r="CD27" s="1686"/>
      <c r="CE27" s="1686"/>
      <c r="CF27" s="1686"/>
      <c r="CG27" s="1686"/>
      <c r="CH27" s="1686"/>
      <c r="CI27" s="1686"/>
      <c r="CJ27" s="1686"/>
      <c r="CK27" s="1686"/>
      <c r="CL27" s="1686"/>
      <c r="CM27" s="1686"/>
      <c r="CN27" s="1686"/>
      <c r="CO27" s="1686"/>
      <c r="CP27" s="1686"/>
    </row>
    <row r="28" spans="1:94" s="1078" customFormat="1" ht="51">
      <c r="A28" s="1079"/>
      <c r="B28" s="1080" t="s">
        <v>253</v>
      </c>
      <c r="C28" s="1081" t="s">
        <v>254</v>
      </c>
      <c r="D28" s="1081" t="s">
        <v>255</v>
      </c>
      <c r="E28" s="1081" t="s">
        <v>653</v>
      </c>
      <c r="F28" s="1082" t="s">
        <v>254</v>
      </c>
      <c r="G28" s="1082" t="s">
        <v>654</v>
      </c>
      <c r="H28" s="1081" t="s">
        <v>1152</v>
      </c>
      <c r="I28" s="1082" t="s">
        <v>254</v>
      </c>
      <c r="J28" s="1082" t="s">
        <v>1153</v>
      </c>
      <c r="K28" s="1082" t="s">
        <v>1154</v>
      </c>
      <c r="L28" s="1082" t="s">
        <v>254</v>
      </c>
      <c r="M28" s="1082" t="s">
        <v>1155</v>
      </c>
      <c r="N28" s="1082" t="s">
        <v>1156</v>
      </c>
      <c r="O28" s="1082" t="s">
        <v>1157</v>
      </c>
      <c r="P28" s="1082" t="s">
        <v>256</v>
      </c>
      <c r="Q28" s="1083" t="s">
        <v>1158</v>
      </c>
      <c r="R28" s="1083" t="s">
        <v>257</v>
      </c>
      <c r="S28" s="1082" t="s">
        <v>259</v>
      </c>
      <c r="T28" s="1082" t="s">
        <v>1159</v>
      </c>
      <c r="U28" s="1082" t="s">
        <v>1160</v>
      </c>
      <c r="V28" s="1082" t="s">
        <v>1161</v>
      </c>
      <c r="W28" s="1082" t="s">
        <v>1162</v>
      </c>
      <c r="X28" s="1083" t="s">
        <v>1163</v>
      </c>
      <c r="Y28" s="1082" t="s">
        <v>1164</v>
      </c>
      <c r="Z28" s="1082" t="s">
        <v>1165</v>
      </c>
      <c r="AA28" s="1082" t="s">
        <v>1166</v>
      </c>
      <c r="AB28" s="1082" t="s">
        <v>1167</v>
      </c>
      <c r="AC28" s="1082" t="s">
        <v>1168</v>
      </c>
      <c r="AD28" s="1083" t="s">
        <v>1169</v>
      </c>
      <c r="AE28" s="1083" t="s">
        <v>1170</v>
      </c>
      <c r="AF28" s="1083" t="s">
        <v>1171</v>
      </c>
      <c r="AG28" s="1083" t="s">
        <v>1172</v>
      </c>
      <c r="AH28" s="1082" t="s">
        <v>1173</v>
      </c>
      <c r="AI28" s="1687" t="s">
        <v>284</v>
      </c>
      <c r="AJ28" s="1688"/>
      <c r="AK28" s="1687" t="s">
        <v>77</v>
      </c>
      <c r="AL28" s="1688"/>
      <c r="AM28" s="1689" t="s">
        <v>85</v>
      </c>
      <c r="AN28" s="1690"/>
      <c r="AO28" s="1082" t="s">
        <v>1174</v>
      </c>
      <c r="AP28" s="1082" t="s">
        <v>1175</v>
      </c>
      <c r="AQ28" s="1082" t="s">
        <v>1176</v>
      </c>
      <c r="AR28" s="1082" t="s">
        <v>1177</v>
      </c>
      <c r="AS28" s="1082" t="s">
        <v>1178</v>
      </c>
      <c r="AT28" s="1082" t="s">
        <v>1179</v>
      </c>
      <c r="AU28" s="1082" t="s">
        <v>1180</v>
      </c>
      <c r="AV28" s="1082" t="s">
        <v>265</v>
      </c>
      <c r="AW28" s="1083" t="s">
        <v>1181</v>
      </c>
      <c r="AX28" s="1082" t="s">
        <v>1182</v>
      </c>
      <c r="AY28" s="1082" t="s">
        <v>1183</v>
      </c>
      <c r="AZ28" s="1083" t="s">
        <v>270</v>
      </c>
      <c r="BA28" s="1082" t="s">
        <v>271</v>
      </c>
      <c r="BB28" s="1082" t="s">
        <v>272</v>
      </c>
      <c r="BC28" s="1082" t="s">
        <v>1184</v>
      </c>
      <c r="BD28" s="1082" t="s">
        <v>1185</v>
      </c>
      <c r="BF28" s="1084"/>
      <c r="BG28" s="1085"/>
      <c r="BH28" s="1086"/>
      <c r="BI28" s="1087"/>
      <c r="BJ28" s="1088" t="s">
        <v>1186</v>
      </c>
      <c r="BK28" s="1088" t="s">
        <v>286</v>
      </c>
      <c r="BL28" s="1089" t="s">
        <v>1187</v>
      </c>
      <c r="BN28" s="1086"/>
      <c r="BO28" s="1087"/>
      <c r="BP28" s="1088" t="s">
        <v>1186</v>
      </c>
      <c r="BQ28" s="1088" t="s">
        <v>286</v>
      </c>
      <c r="BR28" s="1089" t="s">
        <v>1187</v>
      </c>
      <c r="BS28" s="1085"/>
      <c r="BU28" s="1691" t="s">
        <v>1188</v>
      </c>
      <c r="BV28" s="1691"/>
      <c r="BW28" s="1691"/>
      <c r="BX28" s="1691"/>
      <c r="BY28" s="1691"/>
      <c r="BZ28" s="1691" t="s">
        <v>1189</v>
      </c>
      <c r="CA28" s="1691"/>
      <c r="CB28" s="1691"/>
      <c r="CC28" s="1691"/>
      <c r="CD28" s="1691" t="s">
        <v>1190</v>
      </c>
      <c r="CE28" s="1691"/>
      <c r="CF28" s="1681" t="s">
        <v>1191</v>
      </c>
      <c r="CG28" s="1681"/>
      <c r="CH28" s="1681" t="s">
        <v>1192</v>
      </c>
      <c r="CI28" s="1681"/>
      <c r="CJ28" s="1681" t="s">
        <v>1191</v>
      </c>
      <c r="CK28" s="1681"/>
      <c r="CL28" s="1681" t="s">
        <v>1192</v>
      </c>
      <c r="CM28" s="1681"/>
      <c r="CN28" s="1090"/>
    </row>
    <row r="29" spans="1:94" s="1085" customFormat="1" ht="15.75">
      <c r="A29" s="1091" t="s">
        <v>3</v>
      </c>
      <c r="B29" s="1092" t="s">
        <v>60</v>
      </c>
      <c r="C29" s="1093"/>
      <c r="D29" s="1092" t="s">
        <v>60</v>
      </c>
      <c r="E29" s="1093" t="s">
        <v>1193</v>
      </c>
      <c r="F29" s="1093"/>
      <c r="G29" s="1094" t="s">
        <v>1370</v>
      </c>
      <c r="H29" s="1093" t="s">
        <v>1194</v>
      </c>
      <c r="I29" s="1093"/>
      <c r="J29" s="1094" t="s">
        <v>735</v>
      </c>
      <c r="K29" s="1093" t="s">
        <v>1195</v>
      </c>
      <c r="L29" s="1093"/>
      <c r="M29" s="1094" t="s">
        <v>278</v>
      </c>
      <c r="N29" s="1094" t="s">
        <v>60</v>
      </c>
      <c r="O29" s="1094" t="s">
        <v>60</v>
      </c>
      <c r="P29" s="1094" t="s">
        <v>60</v>
      </c>
      <c r="Q29" s="1094" t="s">
        <v>60</v>
      </c>
      <c r="R29" s="1094" t="s">
        <v>60</v>
      </c>
      <c r="S29" s="1094" t="s">
        <v>60</v>
      </c>
      <c r="T29" s="1093" t="s">
        <v>1370</v>
      </c>
      <c r="U29" s="1093" t="s">
        <v>1370</v>
      </c>
      <c r="V29" s="1093" t="s">
        <v>1370</v>
      </c>
      <c r="W29" s="1093" t="s">
        <v>1370</v>
      </c>
      <c r="X29" s="1093" t="s">
        <v>1370</v>
      </c>
      <c r="Y29" s="1093" t="s">
        <v>1370</v>
      </c>
      <c r="Z29" s="1094" t="s">
        <v>278</v>
      </c>
      <c r="AA29" s="1094" t="s">
        <v>278</v>
      </c>
      <c r="AB29" s="1094" t="s">
        <v>278</v>
      </c>
      <c r="AC29" s="1094" t="s">
        <v>278</v>
      </c>
      <c r="AD29" s="1094" t="s">
        <v>278</v>
      </c>
      <c r="AE29" s="1094" t="s">
        <v>278</v>
      </c>
      <c r="AF29" s="1094" t="s">
        <v>278</v>
      </c>
      <c r="AG29" s="1094" t="s">
        <v>278</v>
      </c>
      <c r="AH29" s="1094" t="s">
        <v>278</v>
      </c>
      <c r="AI29" s="1094" t="s">
        <v>1196</v>
      </c>
      <c r="AJ29" s="1094" t="s">
        <v>1197</v>
      </c>
      <c r="AK29" s="1094" t="s">
        <v>1198</v>
      </c>
      <c r="AL29" s="1094" t="s">
        <v>1197</v>
      </c>
      <c r="AM29" s="1094" t="s">
        <v>1198</v>
      </c>
      <c r="AN29" s="1094" t="s">
        <v>1197</v>
      </c>
      <c r="AO29" s="1094" t="s">
        <v>1197</v>
      </c>
      <c r="AP29" s="1094" t="s">
        <v>219</v>
      </c>
      <c r="AQ29" s="1094" t="s">
        <v>219</v>
      </c>
      <c r="AR29" s="1094" t="s">
        <v>219</v>
      </c>
      <c r="AS29" s="1094" t="s">
        <v>219</v>
      </c>
      <c r="AT29" s="1094" t="s">
        <v>219</v>
      </c>
      <c r="AU29" s="1094" t="s">
        <v>1197</v>
      </c>
      <c r="AV29" s="1094" t="s">
        <v>1197</v>
      </c>
      <c r="AW29" s="1094" t="s">
        <v>1197</v>
      </c>
      <c r="AX29" s="1094" t="s">
        <v>1197</v>
      </c>
      <c r="AY29" s="1094" t="s">
        <v>1197</v>
      </c>
      <c r="AZ29" s="1094" t="s">
        <v>1197</v>
      </c>
      <c r="BA29" s="1094" t="s">
        <v>1197</v>
      </c>
      <c r="BB29" s="1094" t="s">
        <v>1197</v>
      </c>
      <c r="BC29" s="1095"/>
      <c r="BD29" s="1096" t="s">
        <v>1093</v>
      </c>
      <c r="BF29" s="1084"/>
      <c r="BH29" s="1097" t="s">
        <v>1199</v>
      </c>
      <c r="BI29" s="1098" t="s">
        <v>1200</v>
      </c>
      <c r="BJ29" s="1087"/>
      <c r="BK29" s="1087"/>
      <c r="BL29" s="1099"/>
      <c r="BM29" s="969"/>
      <c r="BN29" s="1097" t="s">
        <v>1079</v>
      </c>
      <c r="BO29" s="1098" t="s">
        <v>39</v>
      </c>
      <c r="BP29" s="1100">
        <v>2013</v>
      </c>
      <c r="BQ29" s="1101" t="s">
        <v>3</v>
      </c>
      <c r="BR29" s="1102" t="s">
        <v>39</v>
      </c>
      <c r="BU29" s="1103" t="s">
        <v>1201</v>
      </c>
      <c r="BV29" s="1103" t="s">
        <v>1202</v>
      </c>
      <c r="BW29" s="1103" t="s">
        <v>1203</v>
      </c>
      <c r="BX29" s="1104" t="s">
        <v>1204</v>
      </c>
      <c r="BY29" s="1104" t="s">
        <v>1205</v>
      </c>
      <c r="BZ29" s="1682" t="s">
        <v>9</v>
      </c>
      <c r="CA29" s="1682"/>
      <c r="CB29" s="1682" t="s">
        <v>103</v>
      </c>
      <c r="CC29" s="1682"/>
      <c r="CD29" s="1105" t="s">
        <v>9</v>
      </c>
      <c r="CE29" s="1105" t="s">
        <v>103</v>
      </c>
      <c r="CF29" s="1105" t="s">
        <v>9</v>
      </c>
      <c r="CG29" s="1105" t="s">
        <v>103</v>
      </c>
      <c r="CH29" s="1105" t="s">
        <v>9</v>
      </c>
      <c r="CI29" s="1105" t="s">
        <v>103</v>
      </c>
      <c r="CJ29" s="1105" t="s">
        <v>9</v>
      </c>
      <c r="CK29" s="1105" t="s">
        <v>103</v>
      </c>
      <c r="CL29" s="1105" t="s">
        <v>9</v>
      </c>
      <c r="CM29" s="1105" t="s">
        <v>103</v>
      </c>
      <c r="CN29" s="1105"/>
    </row>
    <row r="30" spans="1:94" s="1085" customFormat="1" ht="15.75">
      <c r="A30" s="1091" t="s">
        <v>1109</v>
      </c>
      <c r="B30" s="1106"/>
      <c r="C30" s="1107"/>
      <c r="D30" s="1106"/>
      <c r="E30" s="1107"/>
      <c r="F30" s="1107"/>
      <c r="G30" s="1108"/>
      <c r="H30" s="1107"/>
      <c r="I30" s="1107"/>
      <c r="J30" s="1108"/>
      <c r="K30" s="1107"/>
      <c r="L30" s="1107"/>
      <c r="M30" s="1108"/>
      <c r="N30" s="1108"/>
      <c r="O30" s="1108"/>
      <c r="P30" s="1108"/>
      <c r="Q30" s="1108"/>
      <c r="R30" s="1108"/>
      <c r="S30" s="1108"/>
      <c r="T30" s="1107"/>
      <c r="U30" s="1107"/>
      <c r="V30" s="1107"/>
      <c r="W30" s="1107"/>
      <c r="X30" s="1107"/>
      <c r="Y30" s="1107"/>
      <c r="Z30" s="1107"/>
      <c r="AA30" s="1107"/>
      <c r="AB30" s="1107"/>
      <c r="AC30" s="1108"/>
      <c r="AD30" s="1108"/>
      <c r="AE30" s="1108"/>
      <c r="AF30" s="1108"/>
      <c r="AG30" s="1108"/>
      <c r="AH30" s="1108"/>
      <c r="AI30" s="1108"/>
      <c r="AJ30" s="1108"/>
      <c r="AK30" s="1108"/>
      <c r="AL30" s="1108"/>
      <c r="AM30" s="1108"/>
      <c r="AN30" s="1108"/>
      <c r="AO30" s="1108"/>
      <c r="AP30" s="1108"/>
      <c r="AQ30" s="1108"/>
      <c r="AR30" s="1108"/>
      <c r="AS30" s="1108"/>
      <c r="AT30" s="1108"/>
      <c r="AU30" s="1108"/>
      <c r="AV30" s="1108"/>
      <c r="AW30" s="1108"/>
      <c r="AX30" s="1108"/>
      <c r="AY30" s="1108"/>
      <c r="AZ30" s="1108"/>
      <c r="BA30" s="1108"/>
      <c r="BB30" s="1108"/>
      <c r="BC30" s="1108"/>
      <c r="BD30" s="1109"/>
      <c r="BF30" s="1110"/>
      <c r="BG30" s="969"/>
      <c r="BH30" s="1097"/>
      <c r="BI30" s="1098"/>
      <c r="BJ30" s="1087"/>
      <c r="BK30" s="1087"/>
      <c r="BL30" s="1099"/>
      <c r="BM30" s="969"/>
      <c r="BN30" s="1097"/>
      <c r="BO30" s="1098"/>
      <c r="BP30" s="1087"/>
      <c r="BQ30" s="1087"/>
      <c r="BR30" s="1099"/>
      <c r="BS30" s="969"/>
      <c r="BU30" s="1105" t="s">
        <v>1093</v>
      </c>
      <c r="BV30" s="1105" t="s">
        <v>1093</v>
      </c>
      <c r="BW30" s="1105" t="s">
        <v>1093</v>
      </c>
      <c r="BX30" s="1105" t="s">
        <v>1093</v>
      </c>
      <c r="BY30" s="1105" t="s">
        <v>1093</v>
      </c>
      <c r="BZ30" s="1105" t="s">
        <v>1206</v>
      </c>
      <c r="CA30" s="1105" t="s">
        <v>1207</v>
      </c>
      <c r="CB30" s="1105" t="s">
        <v>1206</v>
      </c>
      <c r="CC30" s="1105" t="s">
        <v>1207</v>
      </c>
      <c r="CD30" s="1105" t="s">
        <v>1208</v>
      </c>
      <c r="CE30" s="1105" t="s">
        <v>60</v>
      </c>
      <c r="CF30" s="1105" t="s">
        <v>1093</v>
      </c>
      <c r="CG30" s="1105" t="s">
        <v>1093</v>
      </c>
      <c r="CH30" s="1105" t="s">
        <v>1209</v>
      </c>
      <c r="CI30" s="1105" t="s">
        <v>1196</v>
      </c>
      <c r="CJ30" s="1105" t="s">
        <v>1093</v>
      </c>
      <c r="CK30" s="1105" t="s">
        <v>1093</v>
      </c>
      <c r="CL30" s="1105" t="s">
        <v>1209</v>
      </c>
      <c r="CM30" s="1105" t="s">
        <v>1196</v>
      </c>
      <c r="CN30" s="1105"/>
    </row>
    <row r="31" spans="1:94" ht="15.75">
      <c r="A31" s="1111">
        <v>2010</v>
      </c>
      <c r="B31" s="1112">
        <f>BJ39</f>
        <v>127999.908</v>
      </c>
      <c r="C31" s="1113">
        <v>0</v>
      </c>
      <c r="D31" s="1114">
        <f t="shared" ref="D31:D71" si="0">-B31*C31</f>
        <v>0</v>
      </c>
      <c r="E31" s="1114">
        <f>BJ43</f>
        <v>547520.14500000002</v>
      </c>
      <c r="F31" s="1113">
        <v>0</v>
      </c>
      <c r="G31" s="1114">
        <f>-E31*F31</f>
        <v>0</v>
      </c>
      <c r="H31" s="1112">
        <v>0</v>
      </c>
      <c r="I31" s="1113">
        <v>0</v>
      </c>
      <c r="J31" s="1114">
        <f t="shared" ref="J31:J71" si="1">-$H31*$I31</f>
        <v>0</v>
      </c>
      <c r="K31" s="1115">
        <v>0</v>
      </c>
      <c r="L31" s="1113">
        <v>0</v>
      </c>
      <c r="M31" s="1114">
        <f>-K31*L31</f>
        <v>0</v>
      </c>
      <c r="N31" s="1116">
        <f t="shared" ref="N31:N71" si="2">B31+D31</f>
        <v>127999.908</v>
      </c>
      <c r="O31" s="1116">
        <v>0</v>
      </c>
      <c r="P31" s="1116">
        <f>N31-O31</f>
        <v>127999.908</v>
      </c>
      <c r="Q31" s="1116">
        <v>0</v>
      </c>
      <c r="R31" s="1116">
        <f t="shared" ref="R31:R71" si="3">-Q31</f>
        <v>0</v>
      </c>
      <c r="S31" s="1116">
        <f>P31+R31</f>
        <v>127999.908</v>
      </c>
      <c r="T31" s="1116">
        <f>BJ43</f>
        <v>547520.14500000002</v>
      </c>
      <c r="U31" s="1116">
        <f>T31</f>
        <v>547520.14500000002</v>
      </c>
      <c r="V31" s="1116">
        <v>0</v>
      </c>
      <c r="W31" s="1116">
        <v>0</v>
      </c>
      <c r="X31" s="1116">
        <f>-V31-W31</f>
        <v>0</v>
      </c>
      <c r="Y31" s="1116">
        <f>U31+X31</f>
        <v>547520.14500000002</v>
      </c>
      <c r="Z31" s="1116">
        <f>U31*$BJ$49*1000/$BJ$65/1000000</f>
        <v>757832.29481470597</v>
      </c>
      <c r="AA31" s="1116">
        <f>X31*$BJ$49*1000/$BJ$65/1000000</f>
        <v>0</v>
      </c>
      <c r="AB31" s="1116">
        <f>Z31+AA31</f>
        <v>757832.29481470597</v>
      </c>
      <c r="AC31" s="1114">
        <v>0</v>
      </c>
      <c r="AD31" s="1114">
        <v>0</v>
      </c>
      <c r="AE31" s="1114">
        <v>0</v>
      </c>
      <c r="AF31" s="1114">
        <v>0</v>
      </c>
      <c r="AG31" s="1114">
        <f>SUM(AD31:AF31)</f>
        <v>0</v>
      </c>
      <c r="AH31" s="1114">
        <f>SUM(AC31:AF31)</f>
        <v>0</v>
      </c>
      <c r="AI31" s="1117">
        <v>53.527433213099272</v>
      </c>
      <c r="AJ31" s="1117">
        <f t="shared" ref="AJ31:AJ71" si="4">-SUM($D31,$R31)*AI31</f>
        <v>0</v>
      </c>
      <c r="AK31" s="1118">
        <v>4.5</v>
      </c>
      <c r="AL31" s="1117">
        <f>-AA31*AK31</f>
        <v>0</v>
      </c>
      <c r="AM31" s="1119">
        <v>6.9025000000000007</v>
      </c>
      <c r="AN31" s="1117">
        <f>-(AG31)*AM31</f>
        <v>0</v>
      </c>
      <c r="AO31" s="1117">
        <f>+AN31+AJ31+AL31</f>
        <v>0</v>
      </c>
      <c r="AP31" s="1114">
        <f t="shared" ref="AP31:AP71" si="5">-SUM(M31,AG31)*BJ$118-AA31*BJ$117</f>
        <v>0</v>
      </c>
      <c r="AQ31" s="1114">
        <f t="shared" ref="AQ31:AQ71" si="6">-SUM(D31,R31)*BJ$115</f>
        <v>0</v>
      </c>
      <c r="AR31" s="1114">
        <f t="shared" ref="AR31:AR71" si="7">AQ31/(1-BJ$116)-AQ31</f>
        <v>0</v>
      </c>
      <c r="AS31" s="1114">
        <v>0</v>
      </c>
      <c r="AT31" s="1114">
        <f>SUM(AP31:AS31)</f>
        <v>0</v>
      </c>
      <c r="AU31" s="1120">
        <f>'[7]GHG Compliance '!B8</f>
        <v>0</v>
      </c>
      <c r="AV31" s="1117">
        <f>AT31*AU31</f>
        <v>0</v>
      </c>
      <c r="AW31" s="1121">
        <f>-(G31+X31)*BJ$66</f>
        <v>0</v>
      </c>
      <c r="AX31" s="1121">
        <v>0</v>
      </c>
      <c r="AY31" s="1121">
        <f>SUM(AW31:AX31)</f>
        <v>0</v>
      </c>
      <c r="AZ31" s="1122">
        <v>0</v>
      </c>
      <c r="BA31" s="1122">
        <f>-BJ$103*BJ$87*BJ$33*1000*BJ105</f>
        <v>-3750000</v>
      </c>
      <c r="BB31" s="1122">
        <f>SUM(AZ31:BA31)</f>
        <v>-3750000</v>
      </c>
      <c r="BC31" s="1123">
        <f>SUM($AO31,$BB31,$AY31)</f>
        <v>-3750000</v>
      </c>
      <c r="BD31" s="1123">
        <f>SUM($AV31,$AO31,$BB31,$AY31)</f>
        <v>-3750000</v>
      </c>
      <c r="BF31" s="1110"/>
      <c r="BH31" s="1097" t="s">
        <v>1210</v>
      </c>
      <c r="BI31" s="1098" t="s">
        <v>1211</v>
      </c>
      <c r="BJ31" s="1087"/>
      <c r="BK31" s="1087"/>
      <c r="BL31" s="1099"/>
      <c r="BN31" s="1097" t="s">
        <v>1212</v>
      </c>
      <c r="BO31" s="1098" t="s">
        <v>1213</v>
      </c>
      <c r="BP31" s="1124" t="s">
        <v>39</v>
      </c>
      <c r="BQ31" s="1101" t="s">
        <v>1214</v>
      </c>
      <c r="BR31" s="1102" t="s">
        <v>39</v>
      </c>
      <c r="BZ31" s="1125"/>
      <c r="CB31" s="1125"/>
    </row>
    <row r="32" spans="1:94" ht="15.75">
      <c r="A32" s="1111">
        <f t="shared" ref="A32:A71" si="8">IFERROR(IF(A31+1&gt;2050,"",A31+1),"")</f>
        <v>2011</v>
      </c>
      <c r="B32" s="1112">
        <f t="shared" ref="B32:B71" si="9">B31*(1+BJ$40)</f>
        <v>127999.908</v>
      </c>
      <c r="C32" s="1113">
        <f>C31</f>
        <v>0</v>
      </c>
      <c r="D32" s="1114">
        <f t="shared" si="0"/>
        <v>0</v>
      </c>
      <c r="E32" s="1114">
        <f t="shared" ref="E32:E71" si="10">E31*(1+BJ$44)</f>
        <v>547520.14500000002</v>
      </c>
      <c r="F32" s="1113">
        <f>F31</f>
        <v>0</v>
      </c>
      <c r="G32" s="1114">
        <f t="shared" ref="G32:G71" si="11">-E32*F32</f>
        <v>0</v>
      </c>
      <c r="H32" s="1112">
        <f>H31</f>
        <v>0</v>
      </c>
      <c r="I32" s="1113">
        <f>I31</f>
        <v>0</v>
      </c>
      <c r="J32" s="1114">
        <f t="shared" si="1"/>
        <v>0</v>
      </c>
      <c r="K32" s="1115">
        <v>0</v>
      </c>
      <c r="L32" s="1113">
        <v>0</v>
      </c>
      <c r="M32" s="1114">
        <f t="shared" ref="M32:M71" si="12">-K32*L32</f>
        <v>0</v>
      </c>
      <c r="N32" s="1116">
        <f t="shared" si="2"/>
        <v>127999.908</v>
      </c>
      <c r="O32" s="1116">
        <f>O31</f>
        <v>0</v>
      </c>
      <c r="P32" s="1116">
        <f t="shared" ref="P32:P71" si="13">N32-O32</f>
        <v>127999.908</v>
      </c>
      <c r="Q32" s="1116">
        <v>0</v>
      </c>
      <c r="R32" s="1116">
        <f t="shared" si="3"/>
        <v>0</v>
      </c>
      <c r="S32" s="1116">
        <f t="shared" ref="S32:S71" si="14">P32+R32</f>
        <v>127999.908</v>
      </c>
      <c r="T32" s="1116">
        <f>T31</f>
        <v>547520.14500000002</v>
      </c>
      <c r="U32" s="1116">
        <f>T32</f>
        <v>547520.14500000002</v>
      </c>
      <c r="V32" s="1116">
        <v>0</v>
      </c>
      <c r="W32" s="1116">
        <v>0</v>
      </c>
      <c r="X32" s="1116">
        <f>-V32-W32</f>
        <v>0</v>
      </c>
      <c r="Y32" s="1116">
        <f>U32+X32</f>
        <v>547520.14500000002</v>
      </c>
      <c r="Z32" s="1116">
        <f t="shared" ref="Z32:Z71" si="15">U32*BJ$49*1000/BJ$65/1000000</f>
        <v>757832.29481470597</v>
      </c>
      <c r="AA32" s="1116">
        <f t="shared" ref="AA32:AA71" si="16">X32*$BJ$49*1000/$BJ$65/1000000</f>
        <v>0</v>
      </c>
      <c r="AB32" s="1116">
        <f t="shared" ref="AB32:AB71" si="17">Z32+AA32</f>
        <v>757832.29481470597</v>
      </c>
      <c r="AC32" s="1114">
        <v>0</v>
      </c>
      <c r="AD32" s="1114">
        <v>0</v>
      </c>
      <c r="AE32" s="1114">
        <v>0</v>
      </c>
      <c r="AF32" s="1114">
        <v>0</v>
      </c>
      <c r="AG32" s="1114">
        <f t="shared" ref="AG32:AG71" si="18">SUM(AD32:AF32)</f>
        <v>0</v>
      </c>
      <c r="AH32" s="1114">
        <f t="shared" ref="AH32:AH71" si="19">SUM(AC32:AF32)</f>
        <v>0</v>
      </c>
      <c r="AI32" s="1117">
        <v>55.571743240557034</v>
      </c>
      <c r="AJ32" s="1117">
        <f t="shared" si="4"/>
        <v>0</v>
      </c>
      <c r="AK32" s="1118">
        <v>4.5</v>
      </c>
      <c r="AL32" s="1117">
        <f t="shared" ref="AL32:AL71" si="20">-AA32*AK32</f>
        <v>0</v>
      </c>
      <c r="AM32" s="1119">
        <f>AM31</f>
        <v>6.9025000000000007</v>
      </c>
      <c r="AN32" s="1117">
        <f t="shared" ref="AN32:AN71" si="21">-(AG32)*AM32</f>
        <v>0</v>
      </c>
      <c r="AO32" s="1117">
        <f t="shared" ref="AO32:AO71" si="22">+AN32+AJ32+AL32</f>
        <v>0</v>
      </c>
      <c r="AP32" s="1114">
        <f t="shared" si="5"/>
        <v>0</v>
      </c>
      <c r="AQ32" s="1114">
        <f t="shared" si="6"/>
        <v>0</v>
      </c>
      <c r="AR32" s="1114">
        <f t="shared" si="7"/>
        <v>0</v>
      </c>
      <c r="AS32" s="1114">
        <v>0</v>
      </c>
      <c r="AT32" s="1114">
        <f t="shared" ref="AT32:AT71" si="23">SUM(AP32:AS32)</f>
        <v>0</v>
      </c>
      <c r="AU32" s="1120">
        <f>'[7]GHG Compliance '!B9</f>
        <v>0</v>
      </c>
      <c r="AV32" s="1117">
        <f t="shared" ref="AV32:AV71" si="24">AT32*AU32</f>
        <v>0</v>
      </c>
      <c r="AW32" s="1121">
        <f t="shared" ref="AW32:AW70" si="25">-(G32+X32)*BJ$66</f>
        <v>0</v>
      </c>
      <c r="AX32" s="1121">
        <v>0</v>
      </c>
      <c r="AY32" s="1121">
        <f t="shared" ref="AY32:AY71" si="26">SUM(AW32:AX32)</f>
        <v>0</v>
      </c>
      <c r="AZ32" s="1122">
        <v>0</v>
      </c>
      <c r="BA32" s="1122">
        <f>-BJ$103*BJ$87*BJ$33*1000*BJ106</f>
        <v>-16875000</v>
      </c>
      <c r="BB32" s="1122">
        <f t="shared" ref="BB32:BB71" si="27">SUM(AZ32:BA32)</f>
        <v>-16875000</v>
      </c>
      <c r="BC32" s="1123">
        <f t="shared" ref="BC32:BC71" si="28">SUM($AO32,$BB32,$AY32)</f>
        <v>-16875000</v>
      </c>
      <c r="BD32" s="1123">
        <f t="shared" ref="BD32:BD71" si="29">SUM(AV32,AO32,BB32,AY32)</f>
        <v>-16875000</v>
      </c>
      <c r="BF32" s="1110"/>
      <c r="BH32" s="1097" t="s">
        <v>1215</v>
      </c>
      <c r="BI32" s="1087"/>
      <c r="BJ32" s="1087"/>
      <c r="BK32" s="1087"/>
      <c r="BL32" s="1099"/>
      <c r="BN32" s="1097"/>
      <c r="BO32" s="1087"/>
      <c r="BP32" s="1087"/>
      <c r="BQ32" s="1087"/>
      <c r="BR32" s="1099"/>
      <c r="BZ32" s="1125"/>
      <c r="CB32" s="1125"/>
    </row>
    <row r="33" spans="1:91" ht="15.75">
      <c r="A33" s="1111">
        <f t="shared" si="8"/>
        <v>2012</v>
      </c>
      <c r="B33" s="1112">
        <f t="shared" si="9"/>
        <v>127999.908</v>
      </c>
      <c r="C33" s="1113">
        <f>C32</f>
        <v>0</v>
      </c>
      <c r="D33" s="1114">
        <f t="shared" si="0"/>
        <v>0</v>
      </c>
      <c r="E33" s="1114">
        <f t="shared" si="10"/>
        <v>547520.14500000002</v>
      </c>
      <c r="F33" s="1113">
        <f t="shared" ref="F33:F71" si="30">F32</f>
        <v>0</v>
      </c>
      <c r="G33" s="1114">
        <f t="shared" si="11"/>
        <v>0</v>
      </c>
      <c r="H33" s="1112">
        <f t="shared" ref="H33:I48" si="31">H32</f>
        <v>0</v>
      </c>
      <c r="I33" s="1113">
        <f t="shared" si="31"/>
        <v>0</v>
      </c>
      <c r="J33" s="1114">
        <f t="shared" si="1"/>
        <v>0</v>
      </c>
      <c r="K33" s="1115">
        <v>0</v>
      </c>
      <c r="L33" s="1113">
        <v>0</v>
      </c>
      <c r="M33" s="1114">
        <f t="shared" si="12"/>
        <v>0</v>
      </c>
      <c r="N33" s="1116">
        <f t="shared" si="2"/>
        <v>127999.908</v>
      </c>
      <c r="O33" s="1116">
        <f t="shared" ref="O33:O71" si="32">O32</f>
        <v>0</v>
      </c>
      <c r="P33" s="1116">
        <f t="shared" si="13"/>
        <v>127999.908</v>
      </c>
      <c r="Q33" s="1116">
        <v>0</v>
      </c>
      <c r="R33" s="1116">
        <f t="shared" si="3"/>
        <v>0</v>
      </c>
      <c r="S33" s="1116">
        <f t="shared" si="14"/>
        <v>127999.908</v>
      </c>
      <c r="T33" s="1116">
        <f t="shared" ref="T33:T71" si="33">T32</f>
        <v>547520.14500000002</v>
      </c>
      <c r="U33" s="1116">
        <f t="shared" ref="U33:U71" si="34">T33</f>
        <v>547520.14500000002</v>
      </c>
      <c r="V33" s="1116">
        <v>0</v>
      </c>
      <c r="W33" s="1116">
        <v>0</v>
      </c>
      <c r="X33" s="1116">
        <f t="shared" ref="X33:X71" si="35">-V33-W33</f>
        <v>0</v>
      </c>
      <c r="Y33" s="1116">
        <f t="shared" ref="Y33:Y71" si="36">U33+X33</f>
        <v>547520.14500000002</v>
      </c>
      <c r="Z33" s="1116">
        <f t="shared" si="15"/>
        <v>757832.29481470597</v>
      </c>
      <c r="AA33" s="1116">
        <f t="shared" si="16"/>
        <v>0</v>
      </c>
      <c r="AB33" s="1116">
        <f t="shared" si="17"/>
        <v>757832.29481470597</v>
      </c>
      <c r="AC33" s="1114">
        <v>0</v>
      </c>
      <c r="AD33" s="1114">
        <v>0</v>
      </c>
      <c r="AE33" s="1114">
        <v>0</v>
      </c>
      <c r="AF33" s="1114">
        <v>0</v>
      </c>
      <c r="AG33" s="1114">
        <f t="shared" si="18"/>
        <v>0</v>
      </c>
      <c r="AH33" s="1114">
        <f t="shared" si="19"/>
        <v>0</v>
      </c>
      <c r="AI33" s="1117">
        <v>57.435643525126167</v>
      </c>
      <c r="AJ33" s="1117">
        <f t="shared" si="4"/>
        <v>0</v>
      </c>
      <c r="AK33" s="1118">
        <v>4.5</v>
      </c>
      <c r="AL33" s="1117">
        <f t="shared" si="20"/>
        <v>0</v>
      </c>
      <c r="AM33" s="1119">
        <f t="shared" ref="AM33:AM71" si="37">AM32</f>
        <v>6.9025000000000007</v>
      </c>
      <c r="AN33" s="1117">
        <f t="shared" si="21"/>
        <v>0</v>
      </c>
      <c r="AO33" s="1117">
        <f t="shared" si="22"/>
        <v>0</v>
      </c>
      <c r="AP33" s="1114">
        <f t="shared" si="5"/>
        <v>0</v>
      </c>
      <c r="AQ33" s="1114">
        <f t="shared" si="6"/>
        <v>0</v>
      </c>
      <c r="AR33" s="1114">
        <f t="shared" si="7"/>
        <v>0</v>
      </c>
      <c r="AS33" s="1114">
        <v>0</v>
      </c>
      <c r="AT33" s="1114">
        <f t="shared" si="23"/>
        <v>0</v>
      </c>
      <c r="AU33" s="1120">
        <f>'[7]GHG Compliance '!B10</f>
        <v>0</v>
      </c>
      <c r="AV33" s="1117">
        <f t="shared" si="24"/>
        <v>0</v>
      </c>
      <c r="AW33" s="1121">
        <f t="shared" si="25"/>
        <v>0</v>
      </c>
      <c r="AX33" s="1121">
        <v>0</v>
      </c>
      <c r="AY33" s="1121">
        <f t="shared" si="26"/>
        <v>0</v>
      </c>
      <c r="AZ33" s="1122">
        <v>0</v>
      </c>
      <c r="BA33" s="1122">
        <f>-BJ$103*BJ$87*BJ$33*1000*BJ107</f>
        <v>-16875000</v>
      </c>
      <c r="BB33" s="1122">
        <f t="shared" si="27"/>
        <v>-16875000</v>
      </c>
      <c r="BC33" s="1123">
        <f t="shared" si="28"/>
        <v>-16875000</v>
      </c>
      <c r="BD33" s="1123">
        <f t="shared" si="29"/>
        <v>-16875000</v>
      </c>
      <c r="BF33" s="1110"/>
      <c r="BH33" s="1097" t="s">
        <v>1216</v>
      </c>
      <c r="BI33" s="1098" t="s">
        <v>1217</v>
      </c>
      <c r="BJ33" s="1100">
        <v>1</v>
      </c>
      <c r="BK33" s="1100" t="s">
        <v>1218</v>
      </c>
      <c r="BL33" s="1099"/>
      <c r="BN33" s="1097" t="s">
        <v>1219</v>
      </c>
      <c r="BO33" s="1098" t="s">
        <v>39</v>
      </c>
      <c r="BP33" s="1101" t="s">
        <v>39</v>
      </c>
      <c r="BQ33" s="1101" t="s">
        <v>39</v>
      </c>
      <c r="BR33" s="1099"/>
      <c r="BZ33" s="1125"/>
      <c r="CB33" s="1125"/>
    </row>
    <row r="34" spans="1:91" ht="15.75">
      <c r="A34" s="1111">
        <f t="shared" si="8"/>
        <v>2013</v>
      </c>
      <c r="B34" s="1112">
        <f t="shared" si="9"/>
        <v>127999.908</v>
      </c>
      <c r="C34" s="1113">
        <f>C33</f>
        <v>0</v>
      </c>
      <c r="D34" s="1114">
        <f t="shared" si="0"/>
        <v>0</v>
      </c>
      <c r="E34" s="1114">
        <f t="shared" si="10"/>
        <v>547520.14500000002</v>
      </c>
      <c r="F34" s="1113">
        <f t="shared" si="30"/>
        <v>0</v>
      </c>
      <c r="G34" s="1114">
        <f t="shared" si="11"/>
        <v>0</v>
      </c>
      <c r="H34" s="1112">
        <f t="shared" si="31"/>
        <v>0</v>
      </c>
      <c r="I34" s="1113">
        <f t="shared" si="31"/>
        <v>0</v>
      </c>
      <c r="J34" s="1114">
        <f t="shared" si="1"/>
        <v>0</v>
      </c>
      <c r="K34" s="1115">
        <v>0</v>
      </c>
      <c r="L34" s="1113">
        <v>0</v>
      </c>
      <c r="M34" s="1114">
        <f t="shared" si="12"/>
        <v>0</v>
      </c>
      <c r="N34" s="1116">
        <f t="shared" si="2"/>
        <v>127999.908</v>
      </c>
      <c r="O34" s="1116">
        <f t="shared" si="32"/>
        <v>0</v>
      </c>
      <c r="P34" s="1116">
        <f t="shared" si="13"/>
        <v>127999.908</v>
      </c>
      <c r="Q34" s="1116">
        <f>BJ$55</f>
        <v>103449.11760000001</v>
      </c>
      <c r="R34" s="1116">
        <f t="shared" si="3"/>
        <v>-103449.11760000001</v>
      </c>
      <c r="S34" s="1116">
        <f>P34+R34</f>
        <v>24550.790399999983</v>
      </c>
      <c r="T34" s="1116">
        <f t="shared" si="33"/>
        <v>547520.14500000002</v>
      </c>
      <c r="U34" s="1116">
        <f t="shared" si="34"/>
        <v>547520.14500000002</v>
      </c>
      <c r="V34" s="1116">
        <f>BJ$58</f>
        <v>411939</v>
      </c>
      <c r="W34" s="1116">
        <f>BJ$59</f>
        <v>67790.572500000009</v>
      </c>
      <c r="X34" s="1116">
        <f t="shared" si="35"/>
        <v>-479729.57250000001</v>
      </c>
      <c r="Y34" s="1116">
        <f t="shared" si="36"/>
        <v>67790.572500000009</v>
      </c>
      <c r="Z34" s="1116">
        <f t="shared" si="15"/>
        <v>757832.29481470597</v>
      </c>
      <c r="AA34" s="1116">
        <f>X34*$BJ$49*1000/$BJ$65/1000000</f>
        <v>-664002.16711323534</v>
      </c>
      <c r="AB34" s="1116">
        <f t="shared" si="17"/>
        <v>93830.127701470628</v>
      </c>
      <c r="AC34" s="1114">
        <v>0</v>
      </c>
      <c r="AD34" s="1114">
        <v>0</v>
      </c>
      <c r="AE34" s="1114">
        <f>Q34/BJ$91*BJ$89/BJ$122</f>
        <v>1166919.1160220995</v>
      </c>
      <c r="AF34" s="1114">
        <f>(W34/($BJ$97-$BJ$99))*$BJ$101/$BJ$122</f>
        <v>91877.761416609137</v>
      </c>
      <c r="AG34" s="1114">
        <f t="shared" si="18"/>
        <v>1258796.8774387087</v>
      </c>
      <c r="AH34" s="1114">
        <f t="shared" si="19"/>
        <v>1258796.8774387087</v>
      </c>
      <c r="AI34" s="1117">
        <v>58.743494558177318</v>
      </c>
      <c r="AJ34" s="1117">
        <f t="shared" si="4"/>
        <v>6076962.6767838458</v>
      </c>
      <c r="AK34" s="1118">
        <v>4.5</v>
      </c>
      <c r="AL34" s="1117">
        <f t="shared" si="20"/>
        <v>2988009.752009559</v>
      </c>
      <c r="AM34" s="1119">
        <f t="shared" si="37"/>
        <v>6.9025000000000007</v>
      </c>
      <c r="AN34" s="1117">
        <f t="shared" si="21"/>
        <v>-8688845.446520688</v>
      </c>
      <c r="AO34" s="1117">
        <f>+AN34+AJ34+AL34</f>
        <v>376126.9822727167</v>
      </c>
      <c r="AP34" s="1114">
        <f t="shared" si="5"/>
        <v>-4949.8807278644599</v>
      </c>
      <c r="AQ34" s="1114">
        <f>-SUM(D34,R34)*BJ$115</f>
        <v>83586.887020800015</v>
      </c>
      <c r="AR34" s="1114">
        <f t="shared" si="7"/>
        <v>6291.486119845169</v>
      </c>
      <c r="AS34" s="1114">
        <v>0</v>
      </c>
      <c r="AT34" s="1114">
        <f t="shared" si="23"/>
        <v>84928.492412780717</v>
      </c>
      <c r="AU34" s="1120">
        <f>'[7]GHG Compliance '!B11</f>
        <v>0</v>
      </c>
      <c r="AV34" s="1117">
        <f t="shared" si="24"/>
        <v>0</v>
      </c>
      <c r="AW34" s="1121">
        <f>-(G34+X34)*BJ$66</f>
        <v>1439188.7175</v>
      </c>
      <c r="AX34" s="1121">
        <f t="shared" ref="AX34:AX71" si="38">(-Q34*1000*BJ$110)-(BJ$111*12*BJ$33)</f>
        <v>-1090347.3528</v>
      </c>
      <c r="AY34" s="1121">
        <f t="shared" si="26"/>
        <v>348841.36470000003</v>
      </c>
      <c r="AZ34" s="1122">
        <v>0</v>
      </c>
      <c r="BA34" s="1122">
        <v>0</v>
      </c>
      <c r="BB34" s="1122">
        <f t="shared" si="27"/>
        <v>0</v>
      </c>
      <c r="BC34" s="1123">
        <f t="shared" si="28"/>
        <v>724968.34697271674</v>
      </c>
      <c r="BD34" s="1123">
        <f t="shared" si="29"/>
        <v>724968.34697271674</v>
      </c>
      <c r="BF34" s="1110"/>
      <c r="BH34" s="1097" t="s">
        <v>1220</v>
      </c>
      <c r="BI34" s="1098" t="s">
        <v>1221</v>
      </c>
      <c r="BJ34" s="1100">
        <v>1</v>
      </c>
      <c r="BK34" s="1100" t="s">
        <v>1218</v>
      </c>
      <c r="BL34" s="1099"/>
      <c r="BN34" s="1097" t="s">
        <v>1222</v>
      </c>
      <c r="BO34" s="1098" t="s">
        <v>39</v>
      </c>
      <c r="BP34" s="1124" t="s">
        <v>39</v>
      </c>
      <c r="BQ34" s="1126" t="s">
        <v>1223</v>
      </c>
      <c r="BR34" s="1102" t="s">
        <v>39</v>
      </c>
      <c r="BU34" s="1127">
        <f>-PMT(BJ$125,20,(SUM(BB$31:BB33)))</f>
        <v>-2319700.165742307</v>
      </c>
      <c r="BV34" s="1128">
        <f>BC34-AZ34</f>
        <v>724968.34697271674</v>
      </c>
      <c r="BW34" s="1128">
        <f>BV34+AV34</f>
        <v>724968.34697271674</v>
      </c>
      <c r="BX34" s="1128">
        <f>BU34+BV34</f>
        <v>-1594731.8187695902</v>
      </c>
      <c r="BY34" s="1128">
        <f>BU34+BW34</f>
        <v>-1594731.8187695902</v>
      </c>
      <c r="BZ34" s="1125">
        <f t="shared" ref="BZ34:BZ53" si="39">-X34*1000*BJ$49/1000000</f>
        <v>564401.84204625001</v>
      </c>
      <c r="CA34" s="1008">
        <f>BZ34/($BZ34+$CB34)</f>
        <v>0.61523888915384606</v>
      </c>
      <c r="CB34" s="1125">
        <f>-R34*1000*3412/1000000</f>
        <v>352968.38925120002</v>
      </c>
      <c r="CC34" s="1008">
        <f>CB34/($BZ34+$CB34)</f>
        <v>0.38476111084615389</v>
      </c>
      <c r="CD34" s="1129">
        <f>T34</f>
        <v>547520.14500000002</v>
      </c>
      <c r="CE34" s="1129">
        <f>N34</f>
        <v>127999.908</v>
      </c>
      <c r="CF34" s="1128">
        <f>$CA34*BX34</f>
        <v>-981141.03267809527</v>
      </c>
      <c r="CG34" s="1128">
        <f>$CC34*BX34</f>
        <v>-613590.78609149484</v>
      </c>
      <c r="CH34" s="1130">
        <f>CF34/$CD34</f>
        <v>-1.7919724810821258</v>
      </c>
      <c r="CI34" s="1130">
        <f>CG34/$CE34</f>
        <v>-4.7936814617983545</v>
      </c>
      <c r="CJ34" s="1128">
        <f>$CA34*BY34</f>
        <v>-981141.03267809527</v>
      </c>
      <c r="CK34" s="1128">
        <f>$CC34*BY34</f>
        <v>-613590.78609149484</v>
      </c>
      <c r="CL34" s="1130">
        <f>CJ34/$CD34</f>
        <v>-1.7919724810821258</v>
      </c>
      <c r="CM34" s="1130">
        <f>CK34/$CE34</f>
        <v>-4.7936814617983545</v>
      </c>
    </row>
    <row r="35" spans="1:91" ht="15.75">
      <c r="A35" s="1111">
        <f t="shared" si="8"/>
        <v>2014</v>
      </c>
      <c r="B35" s="1112">
        <f t="shared" si="9"/>
        <v>127999.908</v>
      </c>
      <c r="C35" s="1113">
        <f>C34</f>
        <v>0</v>
      </c>
      <c r="D35" s="1114">
        <f t="shared" si="0"/>
        <v>0</v>
      </c>
      <c r="E35" s="1114">
        <f t="shared" si="10"/>
        <v>547520.14500000002</v>
      </c>
      <c r="F35" s="1113">
        <f t="shared" si="30"/>
        <v>0</v>
      </c>
      <c r="G35" s="1114">
        <f t="shared" si="11"/>
        <v>0</v>
      </c>
      <c r="H35" s="1112">
        <f t="shared" si="31"/>
        <v>0</v>
      </c>
      <c r="I35" s="1113">
        <f t="shared" si="31"/>
        <v>0</v>
      </c>
      <c r="J35" s="1114">
        <f t="shared" si="1"/>
        <v>0</v>
      </c>
      <c r="K35" s="1115">
        <v>0</v>
      </c>
      <c r="L35" s="1113">
        <v>0</v>
      </c>
      <c r="M35" s="1114">
        <f t="shared" si="12"/>
        <v>0</v>
      </c>
      <c r="N35" s="1116">
        <f t="shared" si="2"/>
        <v>127999.908</v>
      </c>
      <c r="O35" s="1116">
        <f t="shared" si="32"/>
        <v>0</v>
      </c>
      <c r="P35" s="1116">
        <f t="shared" si="13"/>
        <v>127999.908</v>
      </c>
      <c r="Q35" s="1116">
        <f t="shared" ref="Q35:Q71" si="40">BJ$55</f>
        <v>103449.11760000001</v>
      </c>
      <c r="R35" s="1116">
        <f t="shared" si="3"/>
        <v>-103449.11760000001</v>
      </c>
      <c r="S35" s="1116">
        <f t="shared" si="14"/>
        <v>24550.790399999983</v>
      </c>
      <c r="T35" s="1116">
        <f t="shared" si="33"/>
        <v>547520.14500000002</v>
      </c>
      <c r="U35" s="1116">
        <f t="shared" si="34"/>
        <v>547520.14500000002</v>
      </c>
      <c r="V35" s="1116">
        <f t="shared" ref="V35:V71" si="41">BJ$58</f>
        <v>411939</v>
      </c>
      <c r="W35" s="1116">
        <f t="shared" ref="W35:W71" si="42">BJ$59</f>
        <v>67790.572500000009</v>
      </c>
      <c r="X35" s="1116">
        <f t="shared" si="35"/>
        <v>-479729.57250000001</v>
      </c>
      <c r="Y35" s="1116">
        <f t="shared" si="36"/>
        <v>67790.572500000009</v>
      </c>
      <c r="Z35" s="1116">
        <f t="shared" si="15"/>
        <v>757832.29481470597</v>
      </c>
      <c r="AA35" s="1116">
        <f t="shared" si="16"/>
        <v>-664002.16711323534</v>
      </c>
      <c r="AB35" s="1116">
        <f t="shared" si="17"/>
        <v>93830.127701470628</v>
      </c>
      <c r="AC35" s="1114">
        <v>0</v>
      </c>
      <c r="AD35" s="1114">
        <v>0</v>
      </c>
      <c r="AE35" s="1114">
        <f t="shared" ref="AE35:AE71" si="43">Q35/BJ$91*BJ$89/BJ$122</f>
        <v>1166919.1160220995</v>
      </c>
      <c r="AF35" s="1114">
        <f>AF34</f>
        <v>91877.761416609137</v>
      </c>
      <c r="AG35" s="1114">
        <f t="shared" si="18"/>
        <v>1258796.8774387087</v>
      </c>
      <c r="AH35" s="1114">
        <f t="shared" si="19"/>
        <v>1258796.8774387087</v>
      </c>
      <c r="AI35" s="1117">
        <v>60.079237634720222</v>
      </c>
      <c r="AJ35" s="1117">
        <f t="shared" si="4"/>
        <v>6215144.1193925189</v>
      </c>
      <c r="AK35" s="1118">
        <v>4.5</v>
      </c>
      <c r="AL35" s="1117">
        <f t="shared" si="20"/>
        <v>2988009.752009559</v>
      </c>
      <c r="AM35" s="1119">
        <f t="shared" si="37"/>
        <v>6.9025000000000007</v>
      </c>
      <c r="AN35" s="1117">
        <f t="shared" si="21"/>
        <v>-8688845.446520688</v>
      </c>
      <c r="AO35" s="1117">
        <f t="shared" si="22"/>
        <v>514308.42488138983</v>
      </c>
      <c r="AP35" s="1114">
        <f t="shared" si="5"/>
        <v>-4949.8807278644599</v>
      </c>
      <c r="AQ35" s="1114">
        <f t="shared" si="6"/>
        <v>83586.887020800015</v>
      </c>
      <c r="AR35" s="1114">
        <f t="shared" si="7"/>
        <v>6291.486119845169</v>
      </c>
      <c r="AS35" s="1114">
        <v>0</v>
      </c>
      <c r="AT35" s="1114">
        <f t="shared" si="23"/>
        <v>84928.492412780717</v>
      </c>
      <c r="AU35" s="1120">
        <f>'[7]GHG Compliance '!B12</f>
        <v>0</v>
      </c>
      <c r="AV35" s="1117">
        <f t="shared" si="24"/>
        <v>0</v>
      </c>
      <c r="AW35" s="1121">
        <f t="shared" si="25"/>
        <v>1439188.7175</v>
      </c>
      <c r="AX35" s="1121">
        <f t="shared" si="38"/>
        <v>-1090347.3528</v>
      </c>
      <c r="AY35" s="1121">
        <f t="shared" si="26"/>
        <v>348841.36470000003</v>
      </c>
      <c r="AZ35" s="1122">
        <v>0</v>
      </c>
      <c r="BA35" s="1122">
        <v>0</v>
      </c>
      <c r="BB35" s="1122">
        <f t="shared" si="27"/>
        <v>0</v>
      </c>
      <c r="BC35" s="1123">
        <f t="shared" si="28"/>
        <v>863149.78958138986</v>
      </c>
      <c r="BD35" s="1123">
        <f t="shared" si="29"/>
        <v>863149.78958138986</v>
      </c>
      <c r="BF35" s="1110"/>
      <c r="BH35" s="1097" t="s">
        <v>1224</v>
      </c>
      <c r="BI35" s="1098" t="s">
        <v>1225</v>
      </c>
      <c r="BJ35" s="1087"/>
      <c r="BK35" s="1087"/>
      <c r="BL35" s="1099"/>
      <c r="BN35" s="1097" t="s">
        <v>1226</v>
      </c>
      <c r="BO35" s="1098" t="s">
        <v>39</v>
      </c>
      <c r="BP35" s="1100" t="s">
        <v>39</v>
      </c>
      <c r="BQ35" s="1101" t="s">
        <v>1227</v>
      </c>
      <c r="BR35" s="1102" t="s">
        <v>39</v>
      </c>
      <c r="BU35" s="1127">
        <f>-PMT(BJ$125,20,(SUM(BB$31:BB34)))</f>
        <v>-2319700.165742307</v>
      </c>
      <c r="BV35" s="1128">
        <f t="shared" ref="BV35:BV53" si="44">BC35-AZ35</f>
        <v>863149.78958138986</v>
      </c>
      <c r="BW35" s="1128">
        <f t="shared" ref="BW35:BW53" si="45">BV35+AV35</f>
        <v>863149.78958138986</v>
      </c>
      <c r="BX35" s="1128">
        <f t="shared" ref="BX35:BX53" si="46">BU35+BV35</f>
        <v>-1456550.3761609171</v>
      </c>
      <c r="BY35" s="1128">
        <f t="shared" ref="BY35:BY53" si="47">BU35+BW35</f>
        <v>-1456550.3761609171</v>
      </c>
      <c r="BZ35" s="1125">
        <f t="shared" si="39"/>
        <v>564401.84204625001</v>
      </c>
      <c r="CA35" s="1008">
        <f t="shared" ref="CA35:CC53" si="48">BZ35/($BZ35+$CB35)</f>
        <v>0.61523888915384606</v>
      </c>
      <c r="CB35" s="1125">
        <f t="shared" ref="CB35:CB53" si="49">-R35*1000*3412/1000000</f>
        <v>352968.38925120002</v>
      </c>
      <c r="CC35" s="1008">
        <f t="shared" si="48"/>
        <v>0.38476111084615389</v>
      </c>
      <c r="CD35" s="1129">
        <f t="shared" ref="CD35:CD53" si="50">T35</f>
        <v>547520.14500000002</v>
      </c>
      <c r="CE35" s="1129">
        <f t="shared" ref="CE35:CE53" si="51">N35</f>
        <v>127999.908</v>
      </c>
      <c r="CF35" s="1128">
        <f t="shared" ref="CF35:CF53" si="52">CA35*BX35</f>
        <v>-896126.43542585929</v>
      </c>
      <c r="CG35" s="1128">
        <f t="shared" ref="CG35:CG53" si="53">CC35*BX35</f>
        <v>-560423.94073505781</v>
      </c>
      <c r="CH35" s="1130">
        <f t="shared" ref="CH35:CI53" si="54">CF35/CD35</f>
        <v>-1.6367003910438023</v>
      </c>
      <c r="CI35" s="1130">
        <f t="shared" si="54"/>
        <v>-4.3783151839066781</v>
      </c>
      <c r="CJ35" s="1128">
        <f t="shared" ref="CJ35:CJ53" si="55">$CA35*BY35</f>
        <v>-896126.43542585929</v>
      </c>
      <c r="CK35" s="1128">
        <f t="shared" ref="CK35:CK53" si="56">$CC35*BY35</f>
        <v>-560423.94073505781</v>
      </c>
      <c r="CL35" s="1130">
        <f t="shared" ref="CL35:CL53" si="57">CJ35/$CD35</f>
        <v>-1.6367003910438023</v>
      </c>
      <c r="CM35" s="1130">
        <f t="shared" ref="CM35:CM53" si="58">CK35/$CE35</f>
        <v>-4.3783151839066781</v>
      </c>
    </row>
    <row r="36" spans="1:91" ht="15.75">
      <c r="A36" s="1111">
        <f t="shared" si="8"/>
        <v>2015</v>
      </c>
      <c r="B36" s="1112">
        <f t="shared" si="9"/>
        <v>127999.908</v>
      </c>
      <c r="C36" s="1113">
        <v>0</v>
      </c>
      <c r="D36" s="1114">
        <f t="shared" si="0"/>
        <v>0</v>
      </c>
      <c r="E36" s="1114">
        <f t="shared" si="10"/>
        <v>547520.14500000002</v>
      </c>
      <c r="F36" s="1113">
        <f t="shared" si="30"/>
        <v>0</v>
      </c>
      <c r="G36" s="1114">
        <f t="shared" si="11"/>
        <v>0</v>
      </c>
      <c r="H36" s="1112">
        <f t="shared" si="31"/>
        <v>0</v>
      </c>
      <c r="I36" s="1113">
        <f t="shared" si="31"/>
        <v>0</v>
      </c>
      <c r="J36" s="1114">
        <f t="shared" si="1"/>
        <v>0</v>
      </c>
      <c r="K36" s="1115">
        <v>0</v>
      </c>
      <c r="L36" s="1113">
        <v>0</v>
      </c>
      <c r="M36" s="1114">
        <f t="shared" si="12"/>
        <v>0</v>
      </c>
      <c r="N36" s="1116">
        <f t="shared" si="2"/>
        <v>127999.908</v>
      </c>
      <c r="O36" s="1116">
        <f t="shared" si="32"/>
        <v>0</v>
      </c>
      <c r="P36" s="1116">
        <f t="shared" si="13"/>
        <v>127999.908</v>
      </c>
      <c r="Q36" s="1116">
        <f t="shared" si="40"/>
        <v>103449.11760000001</v>
      </c>
      <c r="R36" s="1116">
        <f t="shared" si="3"/>
        <v>-103449.11760000001</v>
      </c>
      <c r="S36" s="1116">
        <f t="shared" si="14"/>
        <v>24550.790399999983</v>
      </c>
      <c r="T36" s="1116">
        <f t="shared" si="33"/>
        <v>547520.14500000002</v>
      </c>
      <c r="U36" s="1116">
        <f t="shared" si="34"/>
        <v>547520.14500000002</v>
      </c>
      <c r="V36" s="1116">
        <f t="shared" si="41"/>
        <v>411939</v>
      </c>
      <c r="W36" s="1116">
        <f t="shared" si="42"/>
        <v>67790.572500000009</v>
      </c>
      <c r="X36" s="1116">
        <f t="shared" si="35"/>
        <v>-479729.57250000001</v>
      </c>
      <c r="Y36" s="1116">
        <f t="shared" si="36"/>
        <v>67790.572500000009</v>
      </c>
      <c r="Z36" s="1116">
        <f t="shared" si="15"/>
        <v>757832.29481470597</v>
      </c>
      <c r="AA36" s="1116">
        <f t="shared" si="16"/>
        <v>-664002.16711323534</v>
      </c>
      <c r="AB36" s="1116">
        <f t="shared" si="17"/>
        <v>93830.127701470628</v>
      </c>
      <c r="AC36" s="1114">
        <v>0</v>
      </c>
      <c r="AD36" s="1114">
        <v>0</v>
      </c>
      <c r="AE36" s="1114">
        <f t="shared" si="43"/>
        <v>1166919.1160220995</v>
      </c>
      <c r="AF36" s="1114">
        <f t="shared" ref="AF36:AF71" si="59">AF35</f>
        <v>91877.761416609137</v>
      </c>
      <c r="AG36" s="1114">
        <f t="shared" si="18"/>
        <v>1258796.8774387087</v>
      </c>
      <c r="AH36" s="1114">
        <f t="shared" si="19"/>
        <v>1258796.8774387087</v>
      </c>
      <c r="AI36" s="1117">
        <v>61.443446182225458</v>
      </c>
      <c r="AJ36" s="1117">
        <f t="shared" si="4"/>
        <v>6356270.2898543132</v>
      </c>
      <c r="AK36" s="1118">
        <v>4.5</v>
      </c>
      <c r="AL36" s="1117">
        <f t="shared" si="20"/>
        <v>2988009.752009559</v>
      </c>
      <c r="AM36" s="1119">
        <f t="shared" si="37"/>
        <v>6.9025000000000007</v>
      </c>
      <c r="AN36" s="1117">
        <f t="shared" si="21"/>
        <v>-8688845.446520688</v>
      </c>
      <c r="AO36" s="1117">
        <f t="shared" si="22"/>
        <v>655434.59534318419</v>
      </c>
      <c r="AP36" s="1114">
        <f t="shared" si="5"/>
        <v>-4949.8807278644599</v>
      </c>
      <c r="AQ36" s="1114">
        <f t="shared" si="6"/>
        <v>83586.887020800015</v>
      </c>
      <c r="AR36" s="1114">
        <f t="shared" si="7"/>
        <v>6291.486119845169</v>
      </c>
      <c r="AS36" s="1114">
        <v>0</v>
      </c>
      <c r="AT36" s="1114">
        <f t="shared" si="23"/>
        <v>84928.492412780717</v>
      </c>
      <c r="AU36" s="1120">
        <f>'[7]GHG Compliance '!B13</f>
        <v>15.956370715305416</v>
      </c>
      <c r="AV36" s="1117">
        <f t="shared" si="24"/>
        <v>1355150.5092303324</v>
      </c>
      <c r="AW36" s="1121">
        <f t="shared" si="25"/>
        <v>1439188.7175</v>
      </c>
      <c r="AX36" s="1121">
        <f t="shared" si="38"/>
        <v>-1090347.3528</v>
      </c>
      <c r="AY36" s="1121">
        <f t="shared" si="26"/>
        <v>348841.36470000003</v>
      </c>
      <c r="AZ36" s="1122">
        <v>0</v>
      </c>
      <c r="BA36" s="1122">
        <v>0</v>
      </c>
      <c r="BB36" s="1122">
        <f t="shared" si="27"/>
        <v>0</v>
      </c>
      <c r="BC36" s="1123">
        <f t="shared" si="28"/>
        <v>1004275.9600431842</v>
      </c>
      <c r="BD36" s="1123">
        <f t="shared" si="29"/>
        <v>2359426.4692735169</v>
      </c>
      <c r="BF36" s="1110"/>
      <c r="BH36" s="1097" t="s">
        <v>1228</v>
      </c>
      <c r="BI36" s="1098"/>
      <c r="BJ36" s="1087"/>
      <c r="BK36" s="1087"/>
      <c r="BL36" s="1099"/>
      <c r="BN36" s="1097" t="s">
        <v>1229</v>
      </c>
      <c r="BO36" s="1098"/>
      <c r="BP36" s="1124" t="s">
        <v>39</v>
      </c>
      <c r="BQ36" s="1126" t="s">
        <v>1223</v>
      </c>
      <c r="BR36" s="1099"/>
      <c r="BU36" s="1127">
        <f>-PMT(BJ$125,20,(SUM(BB$31:BB35)))</f>
        <v>-2319700.165742307</v>
      </c>
      <c r="BV36" s="1128">
        <f t="shared" si="44"/>
        <v>1004275.9600431842</v>
      </c>
      <c r="BW36" s="1128">
        <f t="shared" si="45"/>
        <v>2359426.4692735169</v>
      </c>
      <c r="BX36" s="1128">
        <f t="shared" si="46"/>
        <v>-1315424.2056991227</v>
      </c>
      <c r="BY36" s="1128">
        <f t="shared" si="47"/>
        <v>39726.303531209938</v>
      </c>
      <c r="BZ36" s="1125">
        <f t="shared" si="39"/>
        <v>564401.84204625001</v>
      </c>
      <c r="CA36" s="1008">
        <f t="shared" si="48"/>
        <v>0.61523888915384606</v>
      </c>
      <c r="CB36" s="1125">
        <f t="shared" si="49"/>
        <v>352968.38925120002</v>
      </c>
      <c r="CC36" s="1008">
        <f t="shared" si="48"/>
        <v>0.38476111084615389</v>
      </c>
      <c r="CD36" s="1129">
        <f t="shared" si="50"/>
        <v>547520.14500000002</v>
      </c>
      <c r="CE36" s="1129">
        <f t="shared" si="51"/>
        <v>127999.908</v>
      </c>
      <c r="CF36" s="1128">
        <f t="shared" si="52"/>
        <v>-809300.12708040862</v>
      </c>
      <c r="CG36" s="1128">
        <f t="shared" si="53"/>
        <v>-506124.07861871412</v>
      </c>
      <c r="CH36" s="1130">
        <f t="shared" si="54"/>
        <v>-1.4781193613988552</v>
      </c>
      <c r="CI36" s="1130">
        <f t="shared" si="54"/>
        <v>-3.9540972062160713</v>
      </c>
      <c r="CJ36" s="1128">
        <f t="shared" si="55"/>
        <v>24441.166854730116</v>
      </c>
      <c r="CK36" s="1128">
        <f t="shared" si="56"/>
        <v>15285.136676479822</v>
      </c>
      <c r="CL36" s="1130">
        <f t="shared" si="57"/>
        <v>4.4639758149410402E-2</v>
      </c>
      <c r="CM36" s="1130">
        <f t="shared" si="58"/>
        <v>0.1194152161146852</v>
      </c>
    </row>
    <row r="37" spans="1:91" ht="15.75">
      <c r="A37" s="1111">
        <f t="shared" si="8"/>
        <v>2016</v>
      </c>
      <c r="B37" s="1112">
        <f t="shared" si="9"/>
        <v>127999.908</v>
      </c>
      <c r="C37" s="1113">
        <v>0</v>
      </c>
      <c r="D37" s="1114">
        <f t="shared" si="0"/>
        <v>0</v>
      </c>
      <c r="E37" s="1114">
        <f t="shared" si="10"/>
        <v>547520.14500000002</v>
      </c>
      <c r="F37" s="1113">
        <f t="shared" si="30"/>
        <v>0</v>
      </c>
      <c r="G37" s="1114">
        <f t="shared" si="11"/>
        <v>0</v>
      </c>
      <c r="H37" s="1112">
        <f t="shared" si="31"/>
        <v>0</v>
      </c>
      <c r="I37" s="1113">
        <f t="shared" si="31"/>
        <v>0</v>
      </c>
      <c r="J37" s="1114">
        <f t="shared" si="1"/>
        <v>0</v>
      </c>
      <c r="K37" s="1115">
        <v>0</v>
      </c>
      <c r="L37" s="1113">
        <v>0</v>
      </c>
      <c r="M37" s="1114">
        <f t="shared" si="12"/>
        <v>0</v>
      </c>
      <c r="N37" s="1116">
        <f t="shared" si="2"/>
        <v>127999.908</v>
      </c>
      <c r="O37" s="1116">
        <f t="shared" si="32"/>
        <v>0</v>
      </c>
      <c r="P37" s="1116">
        <f t="shared" si="13"/>
        <v>127999.908</v>
      </c>
      <c r="Q37" s="1116">
        <f t="shared" si="40"/>
        <v>103449.11760000001</v>
      </c>
      <c r="R37" s="1116">
        <f t="shared" si="3"/>
        <v>-103449.11760000001</v>
      </c>
      <c r="S37" s="1116">
        <f t="shared" si="14"/>
        <v>24550.790399999983</v>
      </c>
      <c r="T37" s="1116">
        <f t="shared" si="33"/>
        <v>547520.14500000002</v>
      </c>
      <c r="U37" s="1116">
        <f t="shared" si="34"/>
        <v>547520.14500000002</v>
      </c>
      <c r="V37" s="1116">
        <f t="shared" si="41"/>
        <v>411939</v>
      </c>
      <c r="W37" s="1116">
        <f t="shared" si="42"/>
        <v>67790.572500000009</v>
      </c>
      <c r="X37" s="1116">
        <f t="shared" si="35"/>
        <v>-479729.57250000001</v>
      </c>
      <c r="Y37" s="1116">
        <f t="shared" si="36"/>
        <v>67790.572500000009</v>
      </c>
      <c r="Z37" s="1116">
        <f t="shared" si="15"/>
        <v>757832.29481470597</v>
      </c>
      <c r="AA37" s="1116">
        <f t="shared" si="16"/>
        <v>-664002.16711323534</v>
      </c>
      <c r="AB37" s="1116">
        <f t="shared" si="17"/>
        <v>93830.127701470628</v>
      </c>
      <c r="AC37" s="1114">
        <v>0</v>
      </c>
      <c r="AD37" s="1114">
        <v>0</v>
      </c>
      <c r="AE37" s="1114">
        <f t="shared" si="43"/>
        <v>1166919.1160220995</v>
      </c>
      <c r="AF37" s="1114">
        <f t="shared" si="59"/>
        <v>91877.761416609137</v>
      </c>
      <c r="AG37" s="1114">
        <f t="shared" si="18"/>
        <v>1258796.8774387087</v>
      </c>
      <c r="AH37" s="1114">
        <f t="shared" si="19"/>
        <v>1258796.8774387087</v>
      </c>
      <c r="AI37" s="1117">
        <v>62.836705163581712</v>
      </c>
      <c r="AJ37" s="1117">
        <f t="shared" si="4"/>
        <v>6500401.702063893</v>
      </c>
      <c r="AK37" s="1118">
        <v>4.5</v>
      </c>
      <c r="AL37" s="1117">
        <f t="shared" si="20"/>
        <v>2988009.752009559</v>
      </c>
      <c r="AM37" s="1119">
        <f t="shared" si="37"/>
        <v>6.9025000000000007</v>
      </c>
      <c r="AN37" s="1117">
        <f t="shared" si="21"/>
        <v>-8688845.446520688</v>
      </c>
      <c r="AO37" s="1117">
        <f t="shared" si="22"/>
        <v>799566.00755276391</v>
      </c>
      <c r="AP37" s="1114">
        <f t="shared" si="5"/>
        <v>-4949.8807278644599</v>
      </c>
      <c r="AQ37" s="1114">
        <f t="shared" si="6"/>
        <v>83586.887020800015</v>
      </c>
      <c r="AR37" s="1114">
        <f t="shared" si="7"/>
        <v>6291.486119845169</v>
      </c>
      <c r="AS37" s="1114">
        <v>0</v>
      </c>
      <c r="AT37" s="1114">
        <f t="shared" si="23"/>
        <v>84928.492412780717</v>
      </c>
      <c r="AU37" s="1120">
        <f>'[7]GHG Compliance '!B14</f>
        <v>32.634285684812021</v>
      </c>
      <c r="AV37" s="1117">
        <f t="shared" si="24"/>
        <v>2771580.684179076</v>
      </c>
      <c r="AW37" s="1121">
        <f t="shared" si="25"/>
        <v>1439188.7175</v>
      </c>
      <c r="AX37" s="1121">
        <f t="shared" si="38"/>
        <v>-1090347.3528</v>
      </c>
      <c r="AY37" s="1121">
        <f t="shared" si="26"/>
        <v>348841.36470000003</v>
      </c>
      <c r="AZ37" s="1122">
        <v>0</v>
      </c>
      <c r="BA37" s="1122">
        <v>0</v>
      </c>
      <c r="BB37" s="1122">
        <f t="shared" si="27"/>
        <v>0</v>
      </c>
      <c r="BC37" s="1123">
        <f t="shared" si="28"/>
        <v>1148407.3722527639</v>
      </c>
      <c r="BD37" s="1123">
        <f t="shared" si="29"/>
        <v>3919988.0564318402</v>
      </c>
      <c r="BF37" s="1110"/>
      <c r="BH37" s="1097" t="s">
        <v>1230</v>
      </c>
      <c r="BI37" s="1098" t="s">
        <v>1231</v>
      </c>
      <c r="BJ37" s="1131">
        <f>[8]Electric!$Q$708/1000</f>
        <v>127999.908</v>
      </c>
      <c r="BK37" s="1132" t="s">
        <v>1232</v>
      </c>
      <c r="BL37" s="1133" t="s">
        <v>1233</v>
      </c>
      <c r="BM37" s="1134"/>
      <c r="BN37" s="1097" t="s">
        <v>1234</v>
      </c>
      <c r="BO37" s="1098"/>
      <c r="BP37" s="1124" t="s">
        <v>39</v>
      </c>
      <c r="BQ37" s="1126" t="s">
        <v>1223</v>
      </c>
      <c r="BR37" s="1133"/>
      <c r="BU37" s="1127">
        <f>-PMT(BJ$125,20,(SUM(BB$31:BB36)))</f>
        <v>-2319700.165742307</v>
      </c>
      <c r="BV37" s="1128">
        <f t="shared" si="44"/>
        <v>1148407.3722527639</v>
      </c>
      <c r="BW37" s="1128">
        <f t="shared" si="45"/>
        <v>3919988.0564318402</v>
      </c>
      <c r="BX37" s="1128">
        <f t="shared" si="46"/>
        <v>-1171292.793489543</v>
      </c>
      <c r="BY37" s="1128">
        <f t="shared" si="47"/>
        <v>1600287.8906895332</v>
      </c>
      <c r="BZ37" s="1125">
        <f t="shared" si="39"/>
        <v>564401.84204625001</v>
      </c>
      <c r="CA37" s="1008">
        <f t="shared" si="48"/>
        <v>0.61523888915384606</v>
      </c>
      <c r="CB37" s="1125">
        <f t="shared" si="49"/>
        <v>352968.38925120002</v>
      </c>
      <c r="CC37" s="1008">
        <f t="shared" si="48"/>
        <v>0.38476111084615389</v>
      </c>
      <c r="CD37" s="1129">
        <f t="shared" si="50"/>
        <v>547520.14500000002</v>
      </c>
      <c r="CE37" s="1129">
        <f t="shared" si="51"/>
        <v>127999.908</v>
      </c>
      <c r="CF37" s="1128">
        <f t="shared" si="52"/>
        <v>-720624.87714041164</v>
      </c>
      <c r="CG37" s="1128">
        <f t="shared" si="53"/>
        <v>-450667.91634913132</v>
      </c>
      <c r="CH37" s="1130">
        <f t="shared" si="54"/>
        <v>-1.3161613937335797</v>
      </c>
      <c r="CI37" s="1130">
        <f t="shared" si="54"/>
        <v>-3.5208456270853832</v>
      </c>
      <c r="CJ37" s="1128">
        <f t="shared" si="55"/>
        <v>984559.34419417987</v>
      </c>
      <c r="CK37" s="1128">
        <f t="shared" si="56"/>
        <v>615728.54649535322</v>
      </c>
      <c r="CL37" s="1130">
        <f t="shared" si="57"/>
        <v>1.7982157427178864</v>
      </c>
      <c r="CM37" s="1130">
        <f t="shared" si="58"/>
        <v>4.8103827269575321</v>
      </c>
    </row>
    <row r="38" spans="1:91" ht="15.75">
      <c r="A38" s="1111">
        <f t="shared" si="8"/>
        <v>2017</v>
      </c>
      <c r="B38" s="1112">
        <f t="shared" si="9"/>
        <v>127999.908</v>
      </c>
      <c r="C38" s="1113">
        <v>0</v>
      </c>
      <c r="D38" s="1114">
        <f t="shared" si="0"/>
        <v>0</v>
      </c>
      <c r="E38" s="1114">
        <f t="shared" si="10"/>
        <v>547520.14500000002</v>
      </c>
      <c r="F38" s="1113">
        <f t="shared" si="30"/>
        <v>0</v>
      </c>
      <c r="G38" s="1114">
        <f t="shared" si="11"/>
        <v>0</v>
      </c>
      <c r="H38" s="1112">
        <f t="shared" si="31"/>
        <v>0</v>
      </c>
      <c r="I38" s="1113">
        <f t="shared" si="31"/>
        <v>0</v>
      </c>
      <c r="J38" s="1114">
        <f t="shared" si="1"/>
        <v>0</v>
      </c>
      <c r="K38" s="1115">
        <v>0</v>
      </c>
      <c r="L38" s="1113">
        <v>0</v>
      </c>
      <c r="M38" s="1114">
        <f t="shared" si="12"/>
        <v>0</v>
      </c>
      <c r="N38" s="1116">
        <f t="shared" si="2"/>
        <v>127999.908</v>
      </c>
      <c r="O38" s="1116">
        <f t="shared" si="32"/>
        <v>0</v>
      </c>
      <c r="P38" s="1116">
        <f t="shared" si="13"/>
        <v>127999.908</v>
      </c>
      <c r="Q38" s="1116">
        <f t="shared" si="40"/>
        <v>103449.11760000001</v>
      </c>
      <c r="R38" s="1116">
        <f t="shared" si="3"/>
        <v>-103449.11760000001</v>
      </c>
      <c r="S38" s="1116">
        <f t="shared" si="14"/>
        <v>24550.790399999983</v>
      </c>
      <c r="T38" s="1116">
        <f t="shared" si="33"/>
        <v>547520.14500000002</v>
      </c>
      <c r="U38" s="1116">
        <f t="shared" si="34"/>
        <v>547520.14500000002</v>
      </c>
      <c r="V38" s="1116">
        <f t="shared" si="41"/>
        <v>411939</v>
      </c>
      <c r="W38" s="1116">
        <f t="shared" si="42"/>
        <v>67790.572500000009</v>
      </c>
      <c r="X38" s="1116">
        <f t="shared" si="35"/>
        <v>-479729.57250000001</v>
      </c>
      <c r="Y38" s="1116">
        <f t="shared" si="36"/>
        <v>67790.572500000009</v>
      </c>
      <c r="Z38" s="1116">
        <f t="shared" si="15"/>
        <v>757832.29481470597</v>
      </c>
      <c r="AA38" s="1116">
        <f t="shared" si="16"/>
        <v>-664002.16711323534</v>
      </c>
      <c r="AB38" s="1116">
        <f t="shared" si="17"/>
        <v>93830.127701470628</v>
      </c>
      <c r="AC38" s="1114">
        <v>0</v>
      </c>
      <c r="AD38" s="1114">
        <v>0</v>
      </c>
      <c r="AE38" s="1114">
        <f t="shared" si="43"/>
        <v>1166919.1160220995</v>
      </c>
      <c r="AF38" s="1114">
        <f t="shared" si="59"/>
        <v>91877.761416609137</v>
      </c>
      <c r="AG38" s="1114">
        <f t="shared" si="18"/>
        <v>1258796.8774387087</v>
      </c>
      <c r="AH38" s="1114">
        <f t="shared" si="19"/>
        <v>1258796.8774387087</v>
      </c>
      <c r="AI38" s="1117">
        <v>64.259611306140471</v>
      </c>
      <c r="AJ38" s="1117">
        <f t="shared" si="4"/>
        <v>6647600.0869392157</v>
      </c>
      <c r="AK38" s="1118">
        <v>4.5</v>
      </c>
      <c r="AL38" s="1117">
        <f t="shared" si="20"/>
        <v>2988009.752009559</v>
      </c>
      <c r="AM38" s="1119">
        <f t="shared" si="37"/>
        <v>6.9025000000000007</v>
      </c>
      <c r="AN38" s="1117">
        <f t="shared" si="21"/>
        <v>-8688845.446520688</v>
      </c>
      <c r="AO38" s="1117">
        <f t="shared" si="22"/>
        <v>946764.3924280866</v>
      </c>
      <c r="AP38" s="1114">
        <f t="shared" si="5"/>
        <v>-4949.8807278644599</v>
      </c>
      <c r="AQ38" s="1114">
        <f t="shared" si="6"/>
        <v>83586.887020800015</v>
      </c>
      <c r="AR38" s="1114">
        <f t="shared" si="7"/>
        <v>6291.486119845169</v>
      </c>
      <c r="AS38" s="1114">
        <v>0</v>
      </c>
      <c r="AT38" s="1114">
        <f t="shared" si="23"/>
        <v>84928.492412780717</v>
      </c>
      <c r="AU38" s="1120">
        <f>'[7]GHG Compliance '!B15</f>
        <v>34.081540859881059</v>
      </c>
      <c r="AV38" s="1117">
        <f t="shared" si="24"/>
        <v>2894493.8843342843</v>
      </c>
      <c r="AW38" s="1121">
        <f t="shared" si="25"/>
        <v>1439188.7175</v>
      </c>
      <c r="AX38" s="1121">
        <f t="shared" si="38"/>
        <v>-1090347.3528</v>
      </c>
      <c r="AY38" s="1121">
        <f t="shared" si="26"/>
        <v>348841.36470000003</v>
      </c>
      <c r="AZ38" s="1122">
        <v>0</v>
      </c>
      <c r="BA38" s="1122">
        <v>0</v>
      </c>
      <c r="BB38" s="1122">
        <f t="shared" si="27"/>
        <v>0</v>
      </c>
      <c r="BC38" s="1123">
        <f t="shared" si="28"/>
        <v>1295605.7571280866</v>
      </c>
      <c r="BD38" s="1123">
        <f t="shared" si="29"/>
        <v>4190099.6414623708</v>
      </c>
      <c r="BE38" s="969" t="s">
        <v>1235</v>
      </c>
      <c r="BF38" s="1110"/>
      <c r="BH38" s="1097"/>
      <c r="BI38" s="1098" t="s">
        <v>1236</v>
      </c>
      <c r="BJ38" s="1135">
        <f>BJ37/8760*45/60</f>
        <v>10.958896232876713</v>
      </c>
      <c r="BK38" s="1132" t="s">
        <v>702</v>
      </c>
      <c r="BL38" s="1133"/>
      <c r="BN38" s="1097"/>
      <c r="BO38" s="1098"/>
      <c r="BP38" s="1131"/>
      <c r="BQ38" s="1132"/>
      <c r="BR38" s="1133"/>
      <c r="BU38" s="1127">
        <f>-PMT(BJ$125,20,(SUM(BB$31:BB37)))</f>
        <v>-2319700.165742307</v>
      </c>
      <c r="BV38" s="1128">
        <f t="shared" si="44"/>
        <v>1295605.7571280866</v>
      </c>
      <c r="BW38" s="1128">
        <f t="shared" si="45"/>
        <v>4190099.6414623708</v>
      </c>
      <c r="BX38" s="1128">
        <f t="shared" si="46"/>
        <v>-1024094.4086142203</v>
      </c>
      <c r="BY38" s="1128">
        <f t="shared" si="47"/>
        <v>1870399.4757200638</v>
      </c>
      <c r="BZ38" s="1125">
        <f t="shared" si="39"/>
        <v>564401.84204625001</v>
      </c>
      <c r="CA38" s="1008">
        <f t="shared" si="48"/>
        <v>0.61523888915384606</v>
      </c>
      <c r="CB38" s="1125">
        <f t="shared" si="49"/>
        <v>352968.38925120002</v>
      </c>
      <c r="CC38" s="1008">
        <f t="shared" si="48"/>
        <v>0.38476111084615389</v>
      </c>
      <c r="CD38" s="1129">
        <f t="shared" si="50"/>
        <v>547520.14500000002</v>
      </c>
      <c r="CE38" s="1129">
        <f t="shared" si="51"/>
        <v>127999.908</v>
      </c>
      <c r="CF38" s="1128">
        <f t="shared" si="52"/>
        <v>-630062.70634447783</v>
      </c>
      <c r="CG38" s="1128">
        <f t="shared" si="53"/>
        <v>-394031.70226974244</v>
      </c>
      <c r="CH38" s="1130">
        <f t="shared" si="54"/>
        <v>-1.1507571220863075</v>
      </c>
      <c r="CI38" s="1130">
        <f t="shared" si="54"/>
        <v>-3.0783748865643128</v>
      </c>
      <c r="CJ38" s="1128">
        <f t="shared" si="55"/>
        <v>1150742.4957159481</v>
      </c>
      <c r="CK38" s="1128">
        <f t="shared" si="56"/>
        <v>719656.98000411561</v>
      </c>
      <c r="CL38" s="1130">
        <f t="shared" si="57"/>
        <v>2.1017354452153501</v>
      </c>
      <c r="CM38" s="1130">
        <f t="shared" si="58"/>
        <v>5.6223241973276705</v>
      </c>
    </row>
    <row r="39" spans="1:91" ht="15.75">
      <c r="A39" s="1111">
        <f t="shared" si="8"/>
        <v>2018</v>
      </c>
      <c r="B39" s="1112">
        <f t="shared" si="9"/>
        <v>127999.908</v>
      </c>
      <c r="C39" s="1113">
        <v>0</v>
      </c>
      <c r="D39" s="1114">
        <f t="shared" si="0"/>
        <v>0</v>
      </c>
      <c r="E39" s="1114">
        <f t="shared" si="10"/>
        <v>547520.14500000002</v>
      </c>
      <c r="F39" s="1113">
        <f t="shared" si="30"/>
        <v>0</v>
      </c>
      <c r="G39" s="1114">
        <f t="shared" si="11"/>
        <v>0</v>
      </c>
      <c r="H39" s="1112">
        <f t="shared" si="31"/>
        <v>0</v>
      </c>
      <c r="I39" s="1113">
        <f t="shared" si="31"/>
        <v>0</v>
      </c>
      <c r="J39" s="1114">
        <f t="shared" si="1"/>
        <v>0</v>
      </c>
      <c r="K39" s="1115">
        <v>0</v>
      </c>
      <c r="L39" s="1113">
        <v>0</v>
      </c>
      <c r="M39" s="1114">
        <f t="shared" si="12"/>
        <v>0</v>
      </c>
      <c r="N39" s="1116">
        <f t="shared" si="2"/>
        <v>127999.908</v>
      </c>
      <c r="O39" s="1116">
        <f t="shared" si="32"/>
        <v>0</v>
      </c>
      <c r="P39" s="1116">
        <f t="shared" si="13"/>
        <v>127999.908</v>
      </c>
      <c r="Q39" s="1116">
        <f t="shared" si="40"/>
        <v>103449.11760000001</v>
      </c>
      <c r="R39" s="1116">
        <f t="shared" si="3"/>
        <v>-103449.11760000001</v>
      </c>
      <c r="S39" s="1116">
        <f t="shared" si="14"/>
        <v>24550.790399999983</v>
      </c>
      <c r="T39" s="1116">
        <f t="shared" si="33"/>
        <v>547520.14500000002</v>
      </c>
      <c r="U39" s="1116">
        <f t="shared" si="34"/>
        <v>547520.14500000002</v>
      </c>
      <c r="V39" s="1116">
        <f t="shared" si="41"/>
        <v>411939</v>
      </c>
      <c r="W39" s="1116">
        <f t="shared" si="42"/>
        <v>67790.572500000009</v>
      </c>
      <c r="X39" s="1116">
        <f t="shared" si="35"/>
        <v>-479729.57250000001</v>
      </c>
      <c r="Y39" s="1116">
        <f t="shared" si="36"/>
        <v>67790.572500000009</v>
      </c>
      <c r="Z39" s="1116">
        <f t="shared" si="15"/>
        <v>757832.29481470597</v>
      </c>
      <c r="AA39" s="1116">
        <f t="shared" si="16"/>
        <v>-664002.16711323534</v>
      </c>
      <c r="AB39" s="1116">
        <f t="shared" si="17"/>
        <v>93830.127701470628</v>
      </c>
      <c r="AC39" s="1114">
        <v>0</v>
      </c>
      <c r="AD39" s="1114">
        <v>0</v>
      </c>
      <c r="AE39" s="1114">
        <f t="shared" si="43"/>
        <v>1166919.1160220995</v>
      </c>
      <c r="AF39" s="1114">
        <f t="shared" si="59"/>
        <v>91877.761416609137</v>
      </c>
      <c r="AG39" s="1114">
        <f t="shared" si="18"/>
        <v>1258796.8774387087</v>
      </c>
      <c r="AH39" s="1114">
        <f t="shared" si="19"/>
        <v>1258796.8774387087</v>
      </c>
      <c r="AI39" s="1117">
        <v>65.712773335274079</v>
      </c>
      <c r="AJ39" s="1117">
        <f t="shared" si="4"/>
        <v>6797928.4165829131</v>
      </c>
      <c r="AK39" s="1118">
        <v>4.5</v>
      </c>
      <c r="AL39" s="1117">
        <f t="shared" si="20"/>
        <v>2988009.752009559</v>
      </c>
      <c r="AM39" s="1119">
        <f t="shared" si="37"/>
        <v>6.9025000000000007</v>
      </c>
      <c r="AN39" s="1117">
        <f t="shared" si="21"/>
        <v>-8688845.446520688</v>
      </c>
      <c r="AO39" s="1117">
        <f t="shared" si="22"/>
        <v>1097092.7220717841</v>
      </c>
      <c r="AP39" s="1114">
        <f t="shared" si="5"/>
        <v>-4949.8807278644599</v>
      </c>
      <c r="AQ39" s="1114">
        <f t="shared" si="6"/>
        <v>83586.887020800015</v>
      </c>
      <c r="AR39" s="1114">
        <f t="shared" si="7"/>
        <v>6291.486119845169</v>
      </c>
      <c r="AS39" s="1114">
        <v>0</v>
      </c>
      <c r="AT39" s="1114">
        <f t="shared" si="23"/>
        <v>84928.492412780717</v>
      </c>
      <c r="AU39" s="1120">
        <f>'[7]GHG Compliance '!B16</f>
        <v>35.537337701616764</v>
      </c>
      <c r="AV39" s="1117">
        <f t="shared" si="24"/>
        <v>3018132.5153621854</v>
      </c>
      <c r="AW39" s="1121">
        <f t="shared" si="25"/>
        <v>1439188.7175</v>
      </c>
      <c r="AX39" s="1121">
        <f t="shared" si="38"/>
        <v>-1090347.3528</v>
      </c>
      <c r="AY39" s="1121">
        <f t="shared" si="26"/>
        <v>348841.36470000003</v>
      </c>
      <c r="AZ39" s="1122">
        <v>0</v>
      </c>
      <c r="BA39" s="1122">
        <v>0</v>
      </c>
      <c r="BB39" s="1122">
        <f t="shared" si="27"/>
        <v>0</v>
      </c>
      <c r="BC39" s="1123">
        <f t="shared" si="28"/>
        <v>1445934.0867717841</v>
      </c>
      <c r="BD39" s="1123">
        <f t="shared" si="29"/>
        <v>4464066.6021339698</v>
      </c>
      <c r="BF39" s="1110"/>
      <c r="BH39" s="1097"/>
      <c r="BI39" s="1098" t="s">
        <v>1237</v>
      </c>
      <c r="BJ39" s="1131">
        <f>BJ37</f>
        <v>127999.908</v>
      </c>
      <c r="BK39" s="1132" t="s">
        <v>1232</v>
      </c>
      <c r="BL39" s="1133"/>
      <c r="BN39" s="1097" t="s">
        <v>1238</v>
      </c>
      <c r="BO39" s="1098" t="s">
        <v>85</v>
      </c>
      <c r="BP39" s="1131" t="s">
        <v>39</v>
      </c>
      <c r="BQ39" s="1126" t="s">
        <v>1239</v>
      </c>
      <c r="BR39" s="1133"/>
      <c r="BU39" s="1127">
        <f>-PMT(BJ$125,20,(SUM(BB$31:BB38)))</f>
        <v>-2319700.165742307</v>
      </c>
      <c r="BV39" s="1128">
        <f t="shared" si="44"/>
        <v>1445934.0867717841</v>
      </c>
      <c r="BW39" s="1128">
        <f t="shared" si="45"/>
        <v>4464066.6021339698</v>
      </c>
      <c r="BX39" s="1128">
        <f t="shared" si="46"/>
        <v>-873766.07897052285</v>
      </c>
      <c r="BY39" s="1128">
        <f t="shared" si="47"/>
        <v>2144366.4363916628</v>
      </c>
      <c r="BZ39" s="1125">
        <f t="shared" si="39"/>
        <v>564401.84204625001</v>
      </c>
      <c r="CA39" s="1008">
        <f t="shared" si="48"/>
        <v>0.61523888915384606</v>
      </c>
      <c r="CB39" s="1125">
        <f t="shared" si="49"/>
        <v>352968.38925120002</v>
      </c>
      <c r="CC39" s="1008">
        <f t="shared" si="48"/>
        <v>0.38476111084615389</v>
      </c>
      <c r="CD39" s="1129">
        <f t="shared" si="50"/>
        <v>547520.14500000002</v>
      </c>
      <c r="CE39" s="1129">
        <f t="shared" si="51"/>
        <v>127999.908</v>
      </c>
      <c r="CF39" s="1128">
        <f t="shared" si="52"/>
        <v>-537574.87180613622</v>
      </c>
      <c r="CG39" s="1128">
        <f t="shared" si="53"/>
        <v>-336191.20716438658</v>
      </c>
      <c r="CH39" s="1130">
        <f t="shared" si="54"/>
        <v>-0.98183578579768271</v>
      </c>
      <c r="CI39" s="1130">
        <f t="shared" si="54"/>
        <v>-2.6264956937655501</v>
      </c>
      <c r="CJ39" s="1128">
        <f t="shared" si="55"/>
        <v>1319297.6242643981</v>
      </c>
      <c r="CK39" s="1128">
        <f t="shared" si="56"/>
        <v>825068.81212726457</v>
      </c>
      <c r="CL39" s="1130">
        <f t="shared" si="57"/>
        <v>2.4095873664418286</v>
      </c>
      <c r="CM39" s="1130">
        <f t="shared" si="58"/>
        <v>6.4458547277023399</v>
      </c>
    </row>
    <row r="40" spans="1:91" ht="18">
      <c r="A40" s="1111">
        <f t="shared" si="8"/>
        <v>2019</v>
      </c>
      <c r="B40" s="1112">
        <f t="shared" si="9"/>
        <v>127999.908</v>
      </c>
      <c r="C40" s="1113">
        <v>0</v>
      </c>
      <c r="D40" s="1114">
        <f t="shared" si="0"/>
        <v>0</v>
      </c>
      <c r="E40" s="1114">
        <f t="shared" si="10"/>
        <v>547520.14500000002</v>
      </c>
      <c r="F40" s="1113">
        <f t="shared" si="30"/>
        <v>0</v>
      </c>
      <c r="G40" s="1114">
        <f t="shared" si="11"/>
        <v>0</v>
      </c>
      <c r="H40" s="1112">
        <f t="shared" si="31"/>
        <v>0</v>
      </c>
      <c r="I40" s="1113">
        <f t="shared" si="31"/>
        <v>0</v>
      </c>
      <c r="J40" s="1114">
        <f t="shared" si="1"/>
        <v>0</v>
      </c>
      <c r="K40" s="1115">
        <v>0</v>
      </c>
      <c r="L40" s="1113">
        <v>0</v>
      </c>
      <c r="M40" s="1114">
        <f t="shared" si="12"/>
        <v>0</v>
      </c>
      <c r="N40" s="1116">
        <f t="shared" si="2"/>
        <v>127999.908</v>
      </c>
      <c r="O40" s="1116">
        <f t="shared" si="32"/>
        <v>0</v>
      </c>
      <c r="P40" s="1116">
        <f t="shared" si="13"/>
        <v>127999.908</v>
      </c>
      <c r="Q40" s="1116">
        <f t="shared" si="40"/>
        <v>103449.11760000001</v>
      </c>
      <c r="R40" s="1116">
        <f t="shared" si="3"/>
        <v>-103449.11760000001</v>
      </c>
      <c r="S40" s="1116">
        <f t="shared" si="14"/>
        <v>24550.790399999983</v>
      </c>
      <c r="T40" s="1116">
        <f t="shared" si="33"/>
        <v>547520.14500000002</v>
      </c>
      <c r="U40" s="1116">
        <f t="shared" si="34"/>
        <v>547520.14500000002</v>
      </c>
      <c r="V40" s="1116">
        <f t="shared" si="41"/>
        <v>411939</v>
      </c>
      <c r="W40" s="1116">
        <f t="shared" si="42"/>
        <v>67790.572500000009</v>
      </c>
      <c r="X40" s="1116">
        <f t="shared" si="35"/>
        <v>-479729.57250000001</v>
      </c>
      <c r="Y40" s="1116">
        <f t="shared" si="36"/>
        <v>67790.572500000009</v>
      </c>
      <c r="Z40" s="1116">
        <f t="shared" si="15"/>
        <v>757832.29481470597</v>
      </c>
      <c r="AA40" s="1116">
        <f t="shared" si="16"/>
        <v>-664002.16711323534</v>
      </c>
      <c r="AB40" s="1116">
        <f t="shared" si="17"/>
        <v>93830.127701470628</v>
      </c>
      <c r="AC40" s="1114">
        <v>0</v>
      </c>
      <c r="AD40" s="1114">
        <v>0</v>
      </c>
      <c r="AE40" s="1114">
        <f t="shared" si="43"/>
        <v>1166919.1160220995</v>
      </c>
      <c r="AF40" s="1114">
        <f t="shared" si="59"/>
        <v>91877.761416609137</v>
      </c>
      <c r="AG40" s="1114">
        <f t="shared" si="18"/>
        <v>1258796.8774387087</v>
      </c>
      <c r="AH40" s="1114">
        <f t="shared" si="19"/>
        <v>1258796.8774387087</v>
      </c>
      <c r="AI40" s="1117">
        <v>67.196812212535789</v>
      </c>
      <c r="AJ40" s="1117">
        <f t="shared" si="4"/>
        <v>6951450.9289197316</v>
      </c>
      <c r="AK40" s="1118">
        <v>4.5</v>
      </c>
      <c r="AL40" s="1117">
        <f t="shared" si="20"/>
        <v>2988009.752009559</v>
      </c>
      <c r="AM40" s="1119">
        <f t="shared" si="37"/>
        <v>6.9025000000000007</v>
      </c>
      <c r="AN40" s="1117">
        <f t="shared" si="21"/>
        <v>-8688845.446520688</v>
      </c>
      <c r="AO40" s="1117">
        <f t="shared" si="22"/>
        <v>1250615.2344086026</v>
      </c>
      <c r="AP40" s="1114">
        <f t="shared" si="5"/>
        <v>-4949.8807278644599</v>
      </c>
      <c r="AQ40" s="1114">
        <f t="shared" si="6"/>
        <v>83586.887020800015</v>
      </c>
      <c r="AR40" s="1114">
        <f t="shared" si="7"/>
        <v>6291.486119845169</v>
      </c>
      <c r="AS40" s="1114">
        <v>0</v>
      </c>
      <c r="AT40" s="1114">
        <f t="shared" si="23"/>
        <v>84928.492412780717</v>
      </c>
      <c r="AU40" s="1120">
        <f>'[7]GHG Compliance '!B17</f>
        <v>37.002103293352469</v>
      </c>
      <c r="AV40" s="1117">
        <f t="shared" si="24"/>
        <v>3142532.8488064134</v>
      </c>
      <c r="AW40" s="1121">
        <f t="shared" si="25"/>
        <v>1439188.7175</v>
      </c>
      <c r="AX40" s="1121">
        <f t="shared" si="38"/>
        <v>-1090347.3528</v>
      </c>
      <c r="AY40" s="1121">
        <f t="shared" si="26"/>
        <v>348841.36470000003</v>
      </c>
      <c r="AZ40" s="1122">
        <v>0</v>
      </c>
      <c r="BA40" s="1122">
        <v>0</v>
      </c>
      <c r="BB40" s="1122">
        <f t="shared" si="27"/>
        <v>0</v>
      </c>
      <c r="BC40" s="1123">
        <f t="shared" si="28"/>
        <v>1599456.5991086026</v>
      </c>
      <c r="BD40" s="1123">
        <f t="shared" si="29"/>
        <v>4741989.4479150157</v>
      </c>
      <c r="BF40" s="1110"/>
      <c r="BH40" s="1097"/>
      <c r="BI40" s="1098" t="s">
        <v>1240</v>
      </c>
      <c r="BJ40" s="1136">
        <v>0</v>
      </c>
      <c r="BK40" s="1132" t="s">
        <v>1241</v>
      </c>
      <c r="BL40" s="1133"/>
      <c r="BN40" s="1097"/>
      <c r="BO40" s="1137" t="s">
        <v>284</v>
      </c>
      <c r="BP40" s="1138" t="s">
        <v>39</v>
      </c>
      <c r="BQ40" s="1126" t="s">
        <v>1239</v>
      </c>
      <c r="BR40" s="1133"/>
      <c r="BU40" s="1127">
        <f>-PMT(BJ$125,20,(SUM(BB$31:BB39)))</f>
        <v>-2319700.165742307</v>
      </c>
      <c r="BV40" s="1128">
        <f t="shared" si="44"/>
        <v>1599456.5991086026</v>
      </c>
      <c r="BW40" s="1128">
        <f t="shared" si="45"/>
        <v>4741989.4479150157</v>
      </c>
      <c r="BX40" s="1128">
        <f t="shared" si="46"/>
        <v>-720243.56663370435</v>
      </c>
      <c r="BY40" s="1128">
        <f t="shared" si="47"/>
        <v>2422289.2821727088</v>
      </c>
      <c r="BZ40" s="1125">
        <f t="shared" si="39"/>
        <v>564401.84204625001</v>
      </c>
      <c r="CA40" s="1008">
        <f t="shared" si="48"/>
        <v>0.61523888915384606</v>
      </c>
      <c r="CB40" s="1125">
        <f t="shared" si="49"/>
        <v>352968.38925120002</v>
      </c>
      <c r="CC40" s="1008">
        <f t="shared" si="48"/>
        <v>0.38476111084615389</v>
      </c>
      <c r="CD40" s="1129">
        <f t="shared" si="50"/>
        <v>547520.14500000002</v>
      </c>
      <c r="CE40" s="1129">
        <f t="shared" si="51"/>
        <v>127999.908</v>
      </c>
      <c r="CF40" s="1128">
        <f t="shared" si="52"/>
        <v>-443121.85185592435</v>
      </c>
      <c r="CG40" s="1128">
        <f t="shared" si="53"/>
        <v>-277121.71477777994</v>
      </c>
      <c r="CH40" s="1130">
        <f t="shared" si="54"/>
        <v>-0.80932520182599732</v>
      </c>
      <c r="CI40" s="1130">
        <f t="shared" si="54"/>
        <v>-2.1650149528059033</v>
      </c>
      <c r="CJ40" s="1128">
        <f t="shared" si="55"/>
        <v>1490286.5671732046</v>
      </c>
      <c r="CK40" s="1128">
        <f t="shared" si="56"/>
        <v>932002.71499950415</v>
      </c>
      <c r="CL40" s="1130">
        <f t="shared" si="57"/>
        <v>2.7218844471434096</v>
      </c>
      <c r="CM40" s="1130">
        <f t="shared" si="58"/>
        <v>7.2812764443510707</v>
      </c>
    </row>
    <row r="41" spans="1:91" ht="15.75">
      <c r="A41" s="1111">
        <f t="shared" si="8"/>
        <v>2020</v>
      </c>
      <c r="B41" s="1112">
        <f t="shared" si="9"/>
        <v>127999.908</v>
      </c>
      <c r="C41" s="1113">
        <v>0</v>
      </c>
      <c r="D41" s="1114">
        <f t="shared" si="0"/>
        <v>0</v>
      </c>
      <c r="E41" s="1114">
        <f t="shared" si="10"/>
        <v>547520.14500000002</v>
      </c>
      <c r="F41" s="1113">
        <f t="shared" si="30"/>
        <v>0</v>
      </c>
      <c r="G41" s="1114">
        <f t="shared" si="11"/>
        <v>0</v>
      </c>
      <c r="H41" s="1112">
        <f t="shared" si="31"/>
        <v>0</v>
      </c>
      <c r="I41" s="1113">
        <f t="shared" si="31"/>
        <v>0</v>
      </c>
      <c r="J41" s="1114">
        <f t="shared" si="1"/>
        <v>0</v>
      </c>
      <c r="K41" s="1115">
        <v>0</v>
      </c>
      <c r="L41" s="1113">
        <v>0</v>
      </c>
      <c r="M41" s="1114">
        <f t="shared" si="12"/>
        <v>0</v>
      </c>
      <c r="N41" s="1116">
        <f t="shared" si="2"/>
        <v>127999.908</v>
      </c>
      <c r="O41" s="1116">
        <f t="shared" si="32"/>
        <v>0</v>
      </c>
      <c r="P41" s="1116">
        <f t="shared" si="13"/>
        <v>127999.908</v>
      </c>
      <c r="Q41" s="1116">
        <f t="shared" si="40"/>
        <v>103449.11760000001</v>
      </c>
      <c r="R41" s="1116">
        <f t="shared" si="3"/>
        <v>-103449.11760000001</v>
      </c>
      <c r="S41" s="1116">
        <f t="shared" si="14"/>
        <v>24550.790399999983</v>
      </c>
      <c r="T41" s="1116">
        <f t="shared" si="33"/>
        <v>547520.14500000002</v>
      </c>
      <c r="U41" s="1116">
        <f t="shared" si="34"/>
        <v>547520.14500000002</v>
      </c>
      <c r="V41" s="1116">
        <f t="shared" si="41"/>
        <v>411939</v>
      </c>
      <c r="W41" s="1116">
        <f t="shared" si="42"/>
        <v>67790.572500000009</v>
      </c>
      <c r="X41" s="1116">
        <f t="shared" si="35"/>
        <v>-479729.57250000001</v>
      </c>
      <c r="Y41" s="1116">
        <f t="shared" si="36"/>
        <v>67790.572500000009</v>
      </c>
      <c r="Z41" s="1116">
        <f t="shared" si="15"/>
        <v>757832.29481470597</v>
      </c>
      <c r="AA41" s="1116">
        <f t="shared" si="16"/>
        <v>-664002.16711323534</v>
      </c>
      <c r="AB41" s="1116">
        <f t="shared" si="17"/>
        <v>93830.127701470628</v>
      </c>
      <c r="AC41" s="1114">
        <v>0</v>
      </c>
      <c r="AD41" s="1114">
        <v>0</v>
      </c>
      <c r="AE41" s="1114">
        <f t="shared" si="43"/>
        <v>1166919.1160220995</v>
      </c>
      <c r="AF41" s="1114">
        <f t="shared" si="59"/>
        <v>91877.761416609137</v>
      </c>
      <c r="AG41" s="1114">
        <f t="shared" si="18"/>
        <v>1258796.8774387087</v>
      </c>
      <c r="AH41" s="1114">
        <f t="shared" si="19"/>
        <v>1258796.8774387087</v>
      </c>
      <c r="AI41" s="1117">
        <v>68.712361378512128</v>
      </c>
      <c r="AJ41" s="1117">
        <f t="shared" si="4"/>
        <v>7108233.1528193997</v>
      </c>
      <c r="AK41" s="1118">
        <v>4.5</v>
      </c>
      <c r="AL41" s="1117">
        <f t="shared" si="20"/>
        <v>2988009.752009559</v>
      </c>
      <c r="AM41" s="1119">
        <f t="shared" si="37"/>
        <v>6.9025000000000007</v>
      </c>
      <c r="AN41" s="1117">
        <f t="shared" si="21"/>
        <v>-8688845.446520688</v>
      </c>
      <c r="AO41" s="1117">
        <f t="shared" si="22"/>
        <v>1407397.4583082707</v>
      </c>
      <c r="AP41" s="1114">
        <f t="shared" si="5"/>
        <v>-4949.8807278644599</v>
      </c>
      <c r="AQ41" s="1114">
        <f t="shared" si="6"/>
        <v>83586.887020800015</v>
      </c>
      <c r="AR41" s="1114">
        <f t="shared" si="7"/>
        <v>6291.486119845169</v>
      </c>
      <c r="AS41" s="1114">
        <v>0</v>
      </c>
      <c r="AT41" s="1114">
        <f t="shared" si="23"/>
        <v>84928.492412780717</v>
      </c>
      <c r="AU41" s="1120">
        <f>'[7]GHG Compliance '!B18</f>
        <v>38.476286072588181</v>
      </c>
      <c r="AV41" s="1117">
        <f t="shared" si="24"/>
        <v>3267732.9697877858</v>
      </c>
      <c r="AW41" s="1121">
        <f t="shared" si="25"/>
        <v>1439188.7175</v>
      </c>
      <c r="AX41" s="1121">
        <f t="shared" si="38"/>
        <v>-1090347.3528</v>
      </c>
      <c r="AY41" s="1121">
        <f t="shared" si="26"/>
        <v>348841.36470000003</v>
      </c>
      <c r="AZ41" s="1122">
        <v>0</v>
      </c>
      <c r="BA41" s="1122">
        <v>0</v>
      </c>
      <c r="BB41" s="1122">
        <f t="shared" si="27"/>
        <v>0</v>
      </c>
      <c r="BC41" s="1123">
        <f t="shared" si="28"/>
        <v>1756238.8230082707</v>
      </c>
      <c r="BD41" s="1123">
        <f t="shared" si="29"/>
        <v>5023971.7927960558</v>
      </c>
      <c r="BF41" s="1110"/>
      <c r="BH41" s="1097" t="s">
        <v>1242</v>
      </c>
      <c r="BI41" s="1098" t="s">
        <v>1243</v>
      </c>
      <c r="BJ41" s="1139">
        <f>[8]Steam!$O$350</f>
        <v>566745.85444721067</v>
      </c>
      <c r="BK41" s="1140" t="s">
        <v>1244</v>
      </c>
      <c r="BL41" s="1133"/>
      <c r="BM41" s="955"/>
      <c r="BN41" s="1097"/>
      <c r="BO41" s="1098" t="s">
        <v>7</v>
      </c>
      <c r="BP41" s="1139" t="s">
        <v>39</v>
      </c>
      <c r="BQ41" s="1126" t="s">
        <v>1239</v>
      </c>
      <c r="BR41" s="1133"/>
      <c r="BU41" s="1127">
        <f>-PMT(BJ$125,20,(SUM(BB$31:BB40)))</f>
        <v>-2319700.165742307</v>
      </c>
      <c r="BV41" s="1128">
        <f t="shared" si="44"/>
        <v>1756238.8230082707</v>
      </c>
      <c r="BW41" s="1128">
        <f t="shared" si="45"/>
        <v>5023971.7927960567</v>
      </c>
      <c r="BX41" s="1128">
        <f t="shared" si="46"/>
        <v>-563461.34273403627</v>
      </c>
      <c r="BY41" s="1128">
        <f t="shared" si="47"/>
        <v>2704271.6270537497</v>
      </c>
      <c r="BZ41" s="1125">
        <f t="shared" si="39"/>
        <v>564401.84204625001</v>
      </c>
      <c r="CA41" s="1008">
        <f t="shared" si="48"/>
        <v>0.61523888915384606</v>
      </c>
      <c r="CB41" s="1125">
        <f t="shared" si="49"/>
        <v>352968.38925120002</v>
      </c>
      <c r="CC41" s="1008">
        <f t="shared" si="48"/>
        <v>0.38476111084615389</v>
      </c>
      <c r="CD41" s="1129">
        <f t="shared" si="50"/>
        <v>547520.14500000002</v>
      </c>
      <c r="CE41" s="1129">
        <f t="shared" si="51"/>
        <v>127999.908</v>
      </c>
      <c r="CF41" s="1128">
        <f t="shared" si="52"/>
        <v>-346663.33058482298</v>
      </c>
      <c r="CG41" s="1128">
        <f t="shared" si="53"/>
        <v>-216798.01214921323</v>
      </c>
      <c r="CH41" s="1130">
        <f t="shared" si="54"/>
        <v>-0.63315173651706091</v>
      </c>
      <c r="CI41" s="1130">
        <f t="shared" si="54"/>
        <v>-1.6937356872882536</v>
      </c>
      <c r="CJ41" s="1128">
        <f t="shared" si="55"/>
        <v>1663773.0717988128</v>
      </c>
      <c r="CK41" s="1128">
        <f t="shared" si="56"/>
        <v>1040498.5552549367</v>
      </c>
      <c r="CL41" s="1130">
        <f t="shared" si="57"/>
        <v>3.0387431165638898</v>
      </c>
      <c r="CM41" s="1130">
        <f t="shared" si="58"/>
        <v>8.128900805576647</v>
      </c>
    </row>
    <row r="42" spans="1:91" ht="15.75">
      <c r="A42" s="1111">
        <f t="shared" si="8"/>
        <v>2021</v>
      </c>
      <c r="B42" s="1112">
        <f t="shared" si="9"/>
        <v>127999.908</v>
      </c>
      <c r="C42" s="1113">
        <v>0</v>
      </c>
      <c r="D42" s="1114">
        <f t="shared" si="0"/>
        <v>0</v>
      </c>
      <c r="E42" s="1114">
        <f t="shared" si="10"/>
        <v>547520.14500000002</v>
      </c>
      <c r="F42" s="1113">
        <f t="shared" si="30"/>
        <v>0</v>
      </c>
      <c r="G42" s="1114">
        <f t="shared" si="11"/>
        <v>0</v>
      </c>
      <c r="H42" s="1112">
        <f t="shared" si="31"/>
        <v>0</v>
      </c>
      <c r="I42" s="1113">
        <f t="shared" si="31"/>
        <v>0</v>
      </c>
      <c r="J42" s="1114">
        <f t="shared" si="1"/>
        <v>0</v>
      </c>
      <c r="K42" s="1115">
        <v>0</v>
      </c>
      <c r="L42" s="1113">
        <v>0</v>
      </c>
      <c r="M42" s="1114">
        <f t="shared" si="12"/>
        <v>0</v>
      </c>
      <c r="N42" s="1116">
        <f t="shared" si="2"/>
        <v>127999.908</v>
      </c>
      <c r="O42" s="1116">
        <f t="shared" si="32"/>
        <v>0</v>
      </c>
      <c r="P42" s="1116">
        <f t="shared" si="13"/>
        <v>127999.908</v>
      </c>
      <c r="Q42" s="1116">
        <f t="shared" si="40"/>
        <v>103449.11760000001</v>
      </c>
      <c r="R42" s="1116">
        <f t="shared" si="3"/>
        <v>-103449.11760000001</v>
      </c>
      <c r="S42" s="1116">
        <f t="shared" si="14"/>
        <v>24550.790399999983</v>
      </c>
      <c r="T42" s="1116">
        <f t="shared" si="33"/>
        <v>547520.14500000002</v>
      </c>
      <c r="U42" s="1116">
        <f t="shared" si="34"/>
        <v>547520.14500000002</v>
      </c>
      <c r="V42" s="1116">
        <f t="shared" si="41"/>
        <v>411939</v>
      </c>
      <c r="W42" s="1116">
        <f t="shared" si="42"/>
        <v>67790.572500000009</v>
      </c>
      <c r="X42" s="1116">
        <f t="shared" si="35"/>
        <v>-479729.57250000001</v>
      </c>
      <c r="Y42" s="1116">
        <f t="shared" si="36"/>
        <v>67790.572500000009</v>
      </c>
      <c r="Z42" s="1116">
        <f t="shared" si="15"/>
        <v>757832.29481470597</v>
      </c>
      <c r="AA42" s="1116">
        <f t="shared" si="16"/>
        <v>-664002.16711323534</v>
      </c>
      <c r="AB42" s="1116">
        <f t="shared" si="17"/>
        <v>93830.127701470628</v>
      </c>
      <c r="AC42" s="1114">
        <v>0</v>
      </c>
      <c r="AD42" s="1114">
        <v>0</v>
      </c>
      <c r="AE42" s="1114">
        <f t="shared" si="43"/>
        <v>1166919.1160220995</v>
      </c>
      <c r="AF42" s="1114">
        <f t="shared" si="59"/>
        <v>91877.761416609137</v>
      </c>
      <c r="AG42" s="1114">
        <f t="shared" si="18"/>
        <v>1258796.8774387087</v>
      </c>
      <c r="AH42" s="1114">
        <f t="shared" si="19"/>
        <v>1258796.8774387087</v>
      </c>
      <c r="AI42" s="1117">
        <v>70.260067000459472</v>
      </c>
      <c r="AJ42" s="1117">
        <f t="shared" si="4"/>
        <v>7268341.9337144122</v>
      </c>
      <c r="AK42" s="1118">
        <v>4.5</v>
      </c>
      <c r="AL42" s="1117">
        <f t="shared" si="20"/>
        <v>2988009.752009559</v>
      </c>
      <c r="AM42" s="1119">
        <f t="shared" si="37"/>
        <v>6.9025000000000007</v>
      </c>
      <c r="AN42" s="1117">
        <f t="shared" si="21"/>
        <v>-8688845.446520688</v>
      </c>
      <c r="AO42" s="1117">
        <f t="shared" si="22"/>
        <v>1567506.2392032831</v>
      </c>
      <c r="AP42" s="1114">
        <f t="shared" si="5"/>
        <v>-4949.8807278644599</v>
      </c>
      <c r="AQ42" s="1114">
        <f t="shared" si="6"/>
        <v>83586.887020800015</v>
      </c>
      <c r="AR42" s="1114">
        <f t="shared" si="7"/>
        <v>6291.486119845169</v>
      </c>
      <c r="AS42" s="1114">
        <v>0</v>
      </c>
      <c r="AT42" s="1114">
        <f t="shared" si="23"/>
        <v>84928.492412780717</v>
      </c>
      <c r="AU42" s="1120">
        <f>'[7]GHG Compliance '!B19</f>
        <v>40.128497511026751</v>
      </c>
      <c r="AV42" s="1117">
        <f t="shared" si="24"/>
        <v>3408052.7964015254</v>
      </c>
      <c r="AW42" s="1121">
        <f t="shared" si="25"/>
        <v>1439188.7175</v>
      </c>
      <c r="AX42" s="1121">
        <f t="shared" si="38"/>
        <v>-1090347.3528</v>
      </c>
      <c r="AY42" s="1121">
        <f t="shared" si="26"/>
        <v>348841.36470000003</v>
      </c>
      <c r="AZ42" s="1122">
        <v>0</v>
      </c>
      <c r="BA42" s="1122">
        <v>0</v>
      </c>
      <c r="BB42" s="1122">
        <f t="shared" si="27"/>
        <v>0</v>
      </c>
      <c r="BC42" s="1123">
        <f t="shared" si="28"/>
        <v>1916347.6039032831</v>
      </c>
      <c r="BD42" s="1123">
        <f t="shared" si="29"/>
        <v>5324400.4003048083</v>
      </c>
      <c r="BF42" s="1110"/>
      <c r="BH42" s="1097"/>
      <c r="BI42" s="1098" t="s">
        <v>1245</v>
      </c>
      <c r="BJ42" s="1139">
        <f>[8]Steam!$O$349</f>
        <v>547520.14500000002</v>
      </c>
      <c r="BK42" s="1140" t="s">
        <v>1244</v>
      </c>
      <c r="BL42" s="1133"/>
      <c r="BN42" s="1141"/>
      <c r="BO42" s="1142"/>
      <c r="BP42" s="1143"/>
      <c r="BQ42" s="1144"/>
      <c r="BR42" s="1145"/>
      <c r="BU42" s="1127">
        <f>-PMT(BJ$125,20,(SUM(BB$31:BB41)))</f>
        <v>-2319700.165742307</v>
      </c>
      <c r="BV42" s="1128">
        <f t="shared" si="44"/>
        <v>1916347.6039032831</v>
      </c>
      <c r="BW42" s="1128">
        <f t="shared" si="45"/>
        <v>5324400.4003048083</v>
      </c>
      <c r="BX42" s="1128">
        <f t="shared" si="46"/>
        <v>-403352.56183902384</v>
      </c>
      <c r="BY42" s="1128">
        <f t="shared" si="47"/>
        <v>3004700.2345625013</v>
      </c>
      <c r="BZ42" s="1125">
        <f t="shared" si="39"/>
        <v>564401.84204625001</v>
      </c>
      <c r="CA42" s="1008">
        <f t="shared" si="48"/>
        <v>0.61523888915384606</v>
      </c>
      <c r="CB42" s="1125">
        <f t="shared" si="49"/>
        <v>352968.38925120002</v>
      </c>
      <c r="CC42" s="1008">
        <f t="shared" si="48"/>
        <v>0.38476111084615389</v>
      </c>
      <c r="CD42" s="1129">
        <f t="shared" si="50"/>
        <v>547520.14500000002</v>
      </c>
      <c r="CE42" s="1129">
        <f t="shared" si="51"/>
        <v>127999.908</v>
      </c>
      <c r="CF42" s="1128">
        <f t="shared" si="52"/>
        <v>-248158.18208319903</v>
      </c>
      <c r="CG42" s="1128">
        <f t="shared" si="53"/>
        <v>-155194.3797558248</v>
      </c>
      <c r="CH42" s="1130">
        <f t="shared" si="54"/>
        <v>-0.45324027681794071</v>
      </c>
      <c r="CI42" s="1130">
        <f t="shared" si="54"/>
        <v>-1.2124569632958238</v>
      </c>
      <c r="CJ42" s="1128">
        <f t="shared" si="55"/>
        <v>1848608.434552534</v>
      </c>
      <c r="CK42" s="1128">
        <f t="shared" si="56"/>
        <v>1156091.8000099671</v>
      </c>
      <c r="CL42" s="1130">
        <f t="shared" si="57"/>
        <v>3.3763295313134716</v>
      </c>
      <c r="CM42" s="1130">
        <f t="shared" si="58"/>
        <v>9.0319736793089493</v>
      </c>
    </row>
    <row r="43" spans="1:91" ht="15.75">
      <c r="A43" s="1111">
        <f t="shared" si="8"/>
        <v>2022</v>
      </c>
      <c r="B43" s="1112">
        <f t="shared" si="9"/>
        <v>127999.908</v>
      </c>
      <c r="C43" s="1113">
        <v>0</v>
      </c>
      <c r="D43" s="1114">
        <f t="shared" si="0"/>
        <v>0</v>
      </c>
      <c r="E43" s="1114">
        <f t="shared" si="10"/>
        <v>547520.14500000002</v>
      </c>
      <c r="F43" s="1113">
        <f t="shared" si="30"/>
        <v>0</v>
      </c>
      <c r="G43" s="1114">
        <f t="shared" si="11"/>
        <v>0</v>
      </c>
      <c r="H43" s="1112">
        <f t="shared" si="31"/>
        <v>0</v>
      </c>
      <c r="I43" s="1113">
        <f t="shared" si="31"/>
        <v>0</v>
      </c>
      <c r="J43" s="1114">
        <f t="shared" si="1"/>
        <v>0</v>
      </c>
      <c r="K43" s="1115">
        <v>0</v>
      </c>
      <c r="L43" s="1113">
        <v>0</v>
      </c>
      <c r="M43" s="1114">
        <f t="shared" si="12"/>
        <v>0</v>
      </c>
      <c r="N43" s="1116">
        <f t="shared" si="2"/>
        <v>127999.908</v>
      </c>
      <c r="O43" s="1116">
        <f t="shared" si="32"/>
        <v>0</v>
      </c>
      <c r="P43" s="1116">
        <f t="shared" si="13"/>
        <v>127999.908</v>
      </c>
      <c r="Q43" s="1116">
        <f t="shared" si="40"/>
        <v>103449.11760000001</v>
      </c>
      <c r="R43" s="1116">
        <f t="shared" si="3"/>
        <v>-103449.11760000001</v>
      </c>
      <c r="S43" s="1116">
        <f t="shared" si="14"/>
        <v>24550.790399999983</v>
      </c>
      <c r="T43" s="1116">
        <f t="shared" si="33"/>
        <v>547520.14500000002</v>
      </c>
      <c r="U43" s="1116">
        <f t="shared" si="34"/>
        <v>547520.14500000002</v>
      </c>
      <c r="V43" s="1116">
        <f t="shared" si="41"/>
        <v>411939</v>
      </c>
      <c r="W43" s="1116">
        <f t="shared" si="42"/>
        <v>67790.572500000009</v>
      </c>
      <c r="X43" s="1116">
        <f t="shared" si="35"/>
        <v>-479729.57250000001</v>
      </c>
      <c r="Y43" s="1116">
        <f t="shared" si="36"/>
        <v>67790.572500000009</v>
      </c>
      <c r="Z43" s="1116">
        <f t="shared" si="15"/>
        <v>757832.29481470597</v>
      </c>
      <c r="AA43" s="1116">
        <f t="shared" si="16"/>
        <v>-664002.16711323534</v>
      </c>
      <c r="AB43" s="1116">
        <f t="shared" si="17"/>
        <v>93830.127701470628</v>
      </c>
      <c r="AC43" s="1114">
        <v>0</v>
      </c>
      <c r="AD43" s="1114">
        <v>0</v>
      </c>
      <c r="AE43" s="1114">
        <f t="shared" si="43"/>
        <v>1166919.1160220995</v>
      </c>
      <c r="AF43" s="1114">
        <f t="shared" si="59"/>
        <v>91877.761416609137</v>
      </c>
      <c r="AG43" s="1114">
        <f t="shared" si="18"/>
        <v>1258796.8774387087</v>
      </c>
      <c r="AH43" s="1114">
        <f t="shared" si="19"/>
        <v>1258796.8774387087</v>
      </c>
      <c r="AI43" s="1117">
        <v>71.840588224818973</v>
      </c>
      <c r="AJ43" s="1117">
        <f t="shared" si="4"/>
        <v>7431845.4597224742</v>
      </c>
      <c r="AK43" s="1118">
        <v>4.5</v>
      </c>
      <c r="AL43" s="1117">
        <f t="shared" si="20"/>
        <v>2988009.752009559</v>
      </c>
      <c r="AM43" s="1119">
        <f t="shared" si="37"/>
        <v>6.9025000000000007</v>
      </c>
      <c r="AN43" s="1117">
        <f t="shared" si="21"/>
        <v>-8688845.446520688</v>
      </c>
      <c r="AO43" s="1117">
        <f t="shared" si="22"/>
        <v>1731009.7652113452</v>
      </c>
      <c r="AP43" s="1114">
        <f t="shared" si="5"/>
        <v>-4949.8807278644599</v>
      </c>
      <c r="AQ43" s="1114">
        <f t="shared" si="6"/>
        <v>83586.887020800015</v>
      </c>
      <c r="AR43" s="1114">
        <f t="shared" si="7"/>
        <v>6291.486119845169</v>
      </c>
      <c r="AS43" s="1114">
        <v>0</v>
      </c>
      <c r="AT43" s="1114">
        <f t="shared" si="23"/>
        <v>84928.492412780717</v>
      </c>
      <c r="AU43" s="1120">
        <f>'[7]GHG Compliance '!B20</f>
        <v>41.959232011011949</v>
      </c>
      <c r="AV43" s="1117">
        <f t="shared" si="24"/>
        <v>3563534.3174933339</v>
      </c>
      <c r="AW43" s="1121">
        <f t="shared" si="25"/>
        <v>1439188.7175</v>
      </c>
      <c r="AX43" s="1121">
        <f t="shared" si="38"/>
        <v>-1090347.3528</v>
      </c>
      <c r="AY43" s="1121">
        <f t="shared" si="26"/>
        <v>348841.36470000003</v>
      </c>
      <c r="AZ43" s="1122">
        <v>0</v>
      </c>
      <c r="BA43" s="1122">
        <v>0</v>
      </c>
      <c r="BB43" s="1122">
        <f t="shared" si="27"/>
        <v>0</v>
      </c>
      <c r="BC43" s="1123">
        <f t="shared" si="28"/>
        <v>2079851.1299113452</v>
      </c>
      <c r="BD43" s="1123">
        <f t="shared" si="29"/>
        <v>5643385.4474046789</v>
      </c>
      <c r="BF43" s="1110"/>
      <c r="BH43" s="1097"/>
      <c r="BI43" s="1098" t="s">
        <v>1237</v>
      </c>
      <c r="BJ43" s="1139">
        <f>BJ42</f>
        <v>547520.14500000002</v>
      </c>
      <c r="BK43" s="1140" t="s">
        <v>1244</v>
      </c>
      <c r="BL43" s="1133"/>
      <c r="BN43" s="1097"/>
      <c r="BO43" s="1098"/>
      <c r="BP43" s="1139"/>
      <c r="BQ43" s="1140"/>
      <c r="BR43" s="1133"/>
      <c r="BU43" s="1127">
        <f>-PMT(BJ$125,20,(SUM(BB$31:BB42)))</f>
        <v>-2319700.165742307</v>
      </c>
      <c r="BV43" s="1128">
        <f t="shared" si="44"/>
        <v>2079851.1299113452</v>
      </c>
      <c r="BW43" s="1128">
        <f t="shared" si="45"/>
        <v>5643385.4474046789</v>
      </c>
      <c r="BX43" s="1128">
        <f t="shared" si="46"/>
        <v>-239849.03583096177</v>
      </c>
      <c r="BY43" s="1128">
        <f t="shared" si="47"/>
        <v>3323685.2816623719</v>
      </c>
      <c r="BZ43" s="1125">
        <f t="shared" si="39"/>
        <v>564401.84204625001</v>
      </c>
      <c r="CA43" s="1008">
        <f t="shared" si="48"/>
        <v>0.61523888915384606</v>
      </c>
      <c r="CB43" s="1125">
        <f t="shared" si="49"/>
        <v>352968.38925120002</v>
      </c>
      <c r="CC43" s="1008">
        <f t="shared" si="48"/>
        <v>0.38476111084615389</v>
      </c>
      <c r="CD43" s="1129">
        <f t="shared" si="50"/>
        <v>547520.14500000002</v>
      </c>
      <c r="CE43" s="1129">
        <f t="shared" si="51"/>
        <v>127999.908</v>
      </c>
      <c r="CF43" s="1128">
        <f t="shared" si="52"/>
        <v>-147564.45436926195</v>
      </c>
      <c r="CG43" s="1128">
        <f t="shared" si="53"/>
        <v>-92284.581461699825</v>
      </c>
      <c r="CH43" s="1130">
        <f t="shared" si="54"/>
        <v>-0.26951420092362438</v>
      </c>
      <c r="CI43" s="1130">
        <f t="shared" si="54"/>
        <v>-0.72097381086945644</v>
      </c>
      <c r="CJ43" s="1128">
        <f t="shared" si="55"/>
        <v>2044860.4405869457</v>
      </c>
      <c r="CK43" s="1128">
        <f t="shared" si="56"/>
        <v>1278824.8410754262</v>
      </c>
      <c r="CL43" s="1130">
        <f t="shared" si="57"/>
        <v>3.7347674953347072</v>
      </c>
      <c r="CM43" s="1130">
        <f t="shared" si="58"/>
        <v>9.9908262518081354</v>
      </c>
    </row>
    <row r="44" spans="1:91" ht="15.75">
      <c r="A44" s="1111">
        <f t="shared" si="8"/>
        <v>2023</v>
      </c>
      <c r="B44" s="1112">
        <f t="shared" si="9"/>
        <v>127999.908</v>
      </c>
      <c r="C44" s="1113">
        <v>0</v>
      </c>
      <c r="D44" s="1114">
        <f t="shared" si="0"/>
        <v>0</v>
      </c>
      <c r="E44" s="1114">
        <f t="shared" si="10"/>
        <v>547520.14500000002</v>
      </c>
      <c r="F44" s="1113">
        <f t="shared" si="30"/>
        <v>0</v>
      </c>
      <c r="G44" s="1114">
        <f t="shared" si="11"/>
        <v>0</v>
      </c>
      <c r="H44" s="1112">
        <f t="shared" si="31"/>
        <v>0</v>
      </c>
      <c r="I44" s="1113">
        <f t="shared" si="31"/>
        <v>0</v>
      </c>
      <c r="J44" s="1114">
        <f t="shared" si="1"/>
        <v>0</v>
      </c>
      <c r="K44" s="1115">
        <v>0</v>
      </c>
      <c r="L44" s="1113">
        <v>0</v>
      </c>
      <c r="M44" s="1114">
        <f t="shared" si="12"/>
        <v>0</v>
      </c>
      <c r="N44" s="1116">
        <f t="shared" si="2"/>
        <v>127999.908</v>
      </c>
      <c r="O44" s="1116">
        <f t="shared" si="32"/>
        <v>0</v>
      </c>
      <c r="P44" s="1116">
        <f t="shared" si="13"/>
        <v>127999.908</v>
      </c>
      <c r="Q44" s="1116">
        <f t="shared" si="40"/>
        <v>103449.11760000001</v>
      </c>
      <c r="R44" s="1116">
        <f t="shared" si="3"/>
        <v>-103449.11760000001</v>
      </c>
      <c r="S44" s="1116">
        <f t="shared" si="14"/>
        <v>24550.790399999983</v>
      </c>
      <c r="T44" s="1116">
        <f t="shared" si="33"/>
        <v>547520.14500000002</v>
      </c>
      <c r="U44" s="1116">
        <f t="shared" si="34"/>
        <v>547520.14500000002</v>
      </c>
      <c r="V44" s="1116">
        <f t="shared" si="41"/>
        <v>411939</v>
      </c>
      <c r="W44" s="1116">
        <f t="shared" si="42"/>
        <v>67790.572500000009</v>
      </c>
      <c r="X44" s="1116">
        <f t="shared" si="35"/>
        <v>-479729.57250000001</v>
      </c>
      <c r="Y44" s="1116">
        <f t="shared" si="36"/>
        <v>67790.572500000009</v>
      </c>
      <c r="Z44" s="1116">
        <f t="shared" si="15"/>
        <v>757832.29481470597</v>
      </c>
      <c r="AA44" s="1116">
        <f t="shared" si="16"/>
        <v>-664002.16711323534</v>
      </c>
      <c r="AB44" s="1116">
        <f t="shared" si="17"/>
        <v>93830.127701470628</v>
      </c>
      <c r="AC44" s="1114">
        <v>0</v>
      </c>
      <c r="AD44" s="1114">
        <v>0</v>
      </c>
      <c r="AE44" s="1114">
        <f t="shared" si="43"/>
        <v>1166919.1160220995</v>
      </c>
      <c r="AF44" s="1114">
        <f t="shared" si="59"/>
        <v>91877.761416609137</v>
      </c>
      <c r="AG44" s="1114">
        <f t="shared" si="18"/>
        <v>1258796.8774387087</v>
      </c>
      <c r="AH44" s="1114">
        <f t="shared" si="19"/>
        <v>1258796.8774387087</v>
      </c>
      <c r="AI44" s="1117">
        <v>73.45459743470542</v>
      </c>
      <c r="AJ44" s="1117">
        <f t="shared" si="4"/>
        <v>7598813.2882834999</v>
      </c>
      <c r="AK44" s="1118">
        <v>4.5</v>
      </c>
      <c r="AL44" s="1117">
        <f t="shared" si="20"/>
        <v>2988009.752009559</v>
      </c>
      <c r="AM44" s="1119">
        <f t="shared" si="37"/>
        <v>6.9025000000000007</v>
      </c>
      <c r="AN44" s="1117">
        <f t="shared" si="21"/>
        <v>-8688845.446520688</v>
      </c>
      <c r="AO44" s="1117">
        <f t="shared" si="22"/>
        <v>1897977.5937723708</v>
      </c>
      <c r="AP44" s="1114">
        <f t="shared" si="5"/>
        <v>-4949.8807278644599</v>
      </c>
      <c r="AQ44" s="1114">
        <f t="shared" si="6"/>
        <v>83586.887020800015</v>
      </c>
      <c r="AR44" s="1114">
        <f t="shared" si="7"/>
        <v>6291.486119845169</v>
      </c>
      <c r="AS44" s="1114">
        <v>0</v>
      </c>
      <c r="AT44" s="1114">
        <f t="shared" si="23"/>
        <v>84928.492412780717</v>
      </c>
      <c r="AU44" s="1120">
        <f>'[7]GHG Compliance '!B21</f>
        <v>43.800868082676843</v>
      </c>
      <c r="AV44" s="1117">
        <f t="shared" si="24"/>
        <v>3719941.6926328293</v>
      </c>
      <c r="AW44" s="1121">
        <f t="shared" si="25"/>
        <v>1439188.7175</v>
      </c>
      <c r="AX44" s="1121">
        <f t="shared" si="38"/>
        <v>-1090347.3528</v>
      </c>
      <c r="AY44" s="1121">
        <f t="shared" si="26"/>
        <v>348841.36470000003</v>
      </c>
      <c r="AZ44" s="1122">
        <v>0</v>
      </c>
      <c r="BA44" s="1122">
        <v>0</v>
      </c>
      <c r="BB44" s="1122">
        <f t="shared" si="27"/>
        <v>0</v>
      </c>
      <c r="BC44" s="1123">
        <f t="shared" si="28"/>
        <v>2246818.9584723711</v>
      </c>
      <c r="BD44" s="1123">
        <f t="shared" si="29"/>
        <v>5966760.6511051999</v>
      </c>
      <c r="BF44" s="1110"/>
      <c r="BH44" s="1146"/>
      <c r="BI44" s="1098" t="s">
        <v>1240</v>
      </c>
      <c r="BJ44" s="1136">
        <v>0</v>
      </c>
      <c r="BK44" s="1147" t="s">
        <v>1241</v>
      </c>
      <c r="BL44" s="1133"/>
      <c r="BN44" s="1146"/>
      <c r="BO44" s="1098"/>
      <c r="BP44" s="1136"/>
      <c r="BQ44" s="1147"/>
      <c r="BR44" s="1133"/>
      <c r="BU44" s="1127">
        <f>-PMT(BJ$125,20,(SUM(BB$31:BB43)))</f>
        <v>-2319700.165742307</v>
      </c>
      <c r="BV44" s="1128">
        <f t="shared" si="44"/>
        <v>2246818.9584723711</v>
      </c>
      <c r="BW44" s="1128">
        <f t="shared" si="45"/>
        <v>5966760.6511052009</v>
      </c>
      <c r="BX44" s="1128">
        <f t="shared" si="46"/>
        <v>-72881.207269935869</v>
      </c>
      <c r="BY44" s="1128">
        <f t="shared" si="47"/>
        <v>3647060.4853628939</v>
      </c>
      <c r="BZ44" s="1125">
        <f t="shared" si="39"/>
        <v>564401.84204625001</v>
      </c>
      <c r="CA44" s="1008">
        <f t="shared" si="48"/>
        <v>0.61523888915384606</v>
      </c>
      <c r="CB44" s="1125">
        <f t="shared" si="49"/>
        <v>352968.38925120002</v>
      </c>
      <c r="CC44" s="1008">
        <f t="shared" si="48"/>
        <v>0.38476111084615389</v>
      </c>
      <c r="CD44" s="1129">
        <f t="shared" si="50"/>
        <v>547520.14500000002</v>
      </c>
      <c r="CE44" s="1129">
        <f t="shared" si="51"/>
        <v>127999.908</v>
      </c>
      <c r="CF44" s="1128">
        <f t="shared" si="52"/>
        <v>-44839.353000946554</v>
      </c>
      <c r="CG44" s="1128">
        <f t="shared" si="53"/>
        <v>-28041.854268989311</v>
      </c>
      <c r="CH44" s="1130">
        <f t="shared" si="54"/>
        <v>-8.1895348345487007E-2</v>
      </c>
      <c r="CI44" s="1130">
        <f t="shared" si="54"/>
        <v>-0.21907714393817621</v>
      </c>
      <c r="CJ44" s="1128">
        <f t="shared" si="55"/>
        <v>2243813.4416915537</v>
      </c>
      <c r="CK44" s="1128">
        <f t="shared" si="56"/>
        <v>1403247.0436713402</v>
      </c>
      <c r="CL44" s="1130">
        <f t="shared" si="57"/>
        <v>4.098138602172444</v>
      </c>
      <c r="CM44" s="1130">
        <f t="shared" si="58"/>
        <v>10.962875408249046</v>
      </c>
    </row>
    <row r="45" spans="1:91" ht="15.75">
      <c r="A45" s="1111">
        <f t="shared" si="8"/>
        <v>2024</v>
      </c>
      <c r="B45" s="1112">
        <f t="shared" si="9"/>
        <v>127999.908</v>
      </c>
      <c r="C45" s="1113">
        <v>0</v>
      </c>
      <c r="D45" s="1114">
        <f t="shared" si="0"/>
        <v>0</v>
      </c>
      <c r="E45" s="1114">
        <f t="shared" si="10"/>
        <v>547520.14500000002</v>
      </c>
      <c r="F45" s="1113">
        <f t="shared" si="30"/>
        <v>0</v>
      </c>
      <c r="G45" s="1114">
        <f t="shared" si="11"/>
        <v>0</v>
      </c>
      <c r="H45" s="1112">
        <f t="shared" si="31"/>
        <v>0</v>
      </c>
      <c r="I45" s="1113">
        <f t="shared" si="31"/>
        <v>0</v>
      </c>
      <c r="J45" s="1114">
        <f t="shared" si="1"/>
        <v>0</v>
      </c>
      <c r="K45" s="1115">
        <v>0</v>
      </c>
      <c r="L45" s="1113">
        <v>0</v>
      </c>
      <c r="M45" s="1114">
        <f t="shared" si="12"/>
        <v>0</v>
      </c>
      <c r="N45" s="1116">
        <f t="shared" si="2"/>
        <v>127999.908</v>
      </c>
      <c r="O45" s="1116">
        <f t="shared" si="32"/>
        <v>0</v>
      </c>
      <c r="P45" s="1116">
        <f t="shared" si="13"/>
        <v>127999.908</v>
      </c>
      <c r="Q45" s="1116">
        <f t="shared" si="40"/>
        <v>103449.11760000001</v>
      </c>
      <c r="R45" s="1116">
        <f t="shared" si="3"/>
        <v>-103449.11760000001</v>
      </c>
      <c r="S45" s="1116">
        <f t="shared" si="14"/>
        <v>24550.790399999983</v>
      </c>
      <c r="T45" s="1116">
        <f t="shared" si="33"/>
        <v>547520.14500000002</v>
      </c>
      <c r="U45" s="1116">
        <f t="shared" si="34"/>
        <v>547520.14500000002</v>
      </c>
      <c r="V45" s="1116">
        <f t="shared" si="41"/>
        <v>411939</v>
      </c>
      <c r="W45" s="1116">
        <f t="shared" si="42"/>
        <v>67790.572500000009</v>
      </c>
      <c r="X45" s="1116">
        <f t="shared" si="35"/>
        <v>-479729.57250000001</v>
      </c>
      <c r="Y45" s="1116">
        <f t="shared" si="36"/>
        <v>67790.572500000009</v>
      </c>
      <c r="Z45" s="1116">
        <f t="shared" si="15"/>
        <v>757832.29481470597</v>
      </c>
      <c r="AA45" s="1116">
        <f t="shared" si="16"/>
        <v>-664002.16711323534</v>
      </c>
      <c r="AB45" s="1116">
        <f t="shared" si="17"/>
        <v>93830.127701470628</v>
      </c>
      <c r="AC45" s="1114">
        <v>0</v>
      </c>
      <c r="AD45" s="1114">
        <v>0</v>
      </c>
      <c r="AE45" s="1114">
        <f t="shared" si="43"/>
        <v>1166919.1160220995</v>
      </c>
      <c r="AF45" s="1114">
        <f t="shared" si="59"/>
        <v>91877.761416609137</v>
      </c>
      <c r="AG45" s="1114">
        <f t="shared" si="18"/>
        <v>1258796.8774387087</v>
      </c>
      <c r="AH45" s="1114">
        <f t="shared" si="19"/>
        <v>1258796.8774387087</v>
      </c>
      <c r="AI45" s="1117">
        <v>75.102780512467675</v>
      </c>
      <c r="AJ45" s="1117">
        <f t="shared" si="4"/>
        <v>7769316.3733212575</v>
      </c>
      <c r="AK45" s="1118">
        <v>4.5</v>
      </c>
      <c r="AL45" s="1117">
        <f t="shared" si="20"/>
        <v>2988009.752009559</v>
      </c>
      <c r="AM45" s="1119">
        <f t="shared" si="37"/>
        <v>6.9025000000000007</v>
      </c>
      <c r="AN45" s="1117">
        <f t="shared" si="21"/>
        <v>-8688845.446520688</v>
      </c>
      <c r="AO45" s="1117">
        <f t="shared" si="22"/>
        <v>2068480.6788101285</v>
      </c>
      <c r="AP45" s="1114">
        <f t="shared" si="5"/>
        <v>-4949.8807278644599</v>
      </c>
      <c r="AQ45" s="1114">
        <f t="shared" si="6"/>
        <v>83586.887020800015</v>
      </c>
      <c r="AR45" s="1114">
        <f t="shared" si="7"/>
        <v>6291.486119845169</v>
      </c>
      <c r="AS45" s="1114">
        <v>0</v>
      </c>
      <c r="AT45" s="1114">
        <f t="shared" si="23"/>
        <v>84928.492412780717</v>
      </c>
      <c r="AU45" s="1120">
        <f>'[7]GHG Compliance '!B22</f>
        <v>45.653950804605401</v>
      </c>
      <c r="AV45" s="1117">
        <f t="shared" si="24"/>
        <v>3877321.2145223939</v>
      </c>
      <c r="AW45" s="1121">
        <f t="shared" si="25"/>
        <v>1439188.7175</v>
      </c>
      <c r="AX45" s="1121">
        <f t="shared" si="38"/>
        <v>-1090347.3528</v>
      </c>
      <c r="AY45" s="1121">
        <f t="shared" si="26"/>
        <v>348841.36470000003</v>
      </c>
      <c r="AZ45" s="1122">
        <v>0</v>
      </c>
      <c r="BA45" s="1122">
        <v>0</v>
      </c>
      <c r="BB45" s="1122">
        <f t="shared" si="27"/>
        <v>0</v>
      </c>
      <c r="BC45" s="1123">
        <f t="shared" si="28"/>
        <v>2417322.0435101287</v>
      </c>
      <c r="BD45" s="1123">
        <f t="shared" si="29"/>
        <v>6294643.2580325222</v>
      </c>
      <c r="BF45" s="1110"/>
      <c r="BH45" s="1146"/>
      <c r="BI45" s="1098" t="s">
        <v>1246</v>
      </c>
      <c r="BJ45" s="1139">
        <f>5.5*185</f>
        <v>1017.5</v>
      </c>
      <c r="BK45" s="1148" t="s">
        <v>99</v>
      </c>
      <c r="BL45" s="1133" t="s">
        <v>1247</v>
      </c>
      <c r="BN45" s="1146"/>
      <c r="BO45" s="1098"/>
      <c r="BP45" s="1136"/>
      <c r="BQ45" s="1147"/>
      <c r="BR45" s="1133"/>
      <c r="BU45" s="1127">
        <f>-PMT(BJ$125,20,(SUM(BB$31:BB44)))</f>
        <v>-2319700.165742307</v>
      </c>
      <c r="BV45" s="1128">
        <f t="shared" si="44"/>
        <v>2417322.0435101287</v>
      </c>
      <c r="BW45" s="1128">
        <f t="shared" si="45"/>
        <v>6294643.2580325231</v>
      </c>
      <c r="BX45" s="1128">
        <f t="shared" si="46"/>
        <v>97621.877767821774</v>
      </c>
      <c r="BY45" s="1128">
        <f t="shared" si="47"/>
        <v>3974943.0922902161</v>
      </c>
      <c r="BZ45" s="1125">
        <f t="shared" si="39"/>
        <v>564401.84204625001</v>
      </c>
      <c r="CA45" s="1008">
        <f t="shared" si="48"/>
        <v>0.61523888915384606</v>
      </c>
      <c r="CB45" s="1125">
        <f t="shared" si="49"/>
        <v>352968.38925120002</v>
      </c>
      <c r="CC45" s="1008">
        <f t="shared" si="48"/>
        <v>0.38476111084615389</v>
      </c>
      <c r="CD45" s="1129">
        <f t="shared" si="50"/>
        <v>547520.14500000002</v>
      </c>
      <c r="CE45" s="1129">
        <f t="shared" si="51"/>
        <v>127999.908</v>
      </c>
      <c r="CF45" s="1128">
        <f t="shared" si="52"/>
        <v>60060.775634987207</v>
      </c>
      <c r="CG45" s="1128">
        <f t="shared" si="53"/>
        <v>37561.10213283456</v>
      </c>
      <c r="CH45" s="1130">
        <f t="shared" si="54"/>
        <v>0.10969601060977803</v>
      </c>
      <c r="CI45" s="1130">
        <f t="shared" si="54"/>
        <v>0.29344632132731346</v>
      </c>
      <c r="CJ45" s="1128">
        <f t="shared" si="55"/>
        <v>2445539.5725503862</v>
      </c>
      <c r="CK45" s="1128">
        <f t="shared" si="56"/>
        <v>1529403.5197398295</v>
      </c>
      <c r="CL45" s="1130">
        <f t="shared" si="57"/>
        <v>4.4665745998266164</v>
      </c>
      <c r="CM45" s="1130">
        <f t="shared" si="58"/>
        <v>11.948473585932808</v>
      </c>
    </row>
    <row r="46" spans="1:91" ht="18">
      <c r="A46" s="1111">
        <f t="shared" si="8"/>
        <v>2025</v>
      </c>
      <c r="B46" s="1112">
        <f t="shared" si="9"/>
        <v>127999.908</v>
      </c>
      <c r="C46" s="1113">
        <v>0</v>
      </c>
      <c r="D46" s="1114">
        <f t="shared" si="0"/>
        <v>0</v>
      </c>
      <c r="E46" s="1114">
        <f t="shared" si="10"/>
        <v>547520.14500000002</v>
      </c>
      <c r="F46" s="1113">
        <f t="shared" si="30"/>
        <v>0</v>
      </c>
      <c r="G46" s="1114">
        <f t="shared" si="11"/>
        <v>0</v>
      </c>
      <c r="H46" s="1112">
        <f t="shared" si="31"/>
        <v>0</v>
      </c>
      <c r="I46" s="1113">
        <f t="shared" si="31"/>
        <v>0</v>
      </c>
      <c r="J46" s="1114">
        <f t="shared" si="1"/>
        <v>0</v>
      </c>
      <c r="K46" s="1115">
        <v>0</v>
      </c>
      <c r="L46" s="1113">
        <v>0</v>
      </c>
      <c r="M46" s="1114">
        <f t="shared" si="12"/>
        <v>0</v>
      </c>
      <c r="N46" s="1116">
        <f t="shared" si="2"/>
        <v>127999.908</v>
      </c>
      <c r="O46" s="1116">
        <f t="shared" si="32"/>
        <v>0</v>
      </c>
      <c r="P46" s="1116">
        <f t="shared" si="13"/>
        <v>127999.908</v>
      </c>
      <c r="Q46" s="1116">
        <f t="shared" si="40"/>
        <v>103449.11760000001</v>
      </c>
      <c r="R46" s="1116">
        <f t="shared" si="3"/>
        <v>-103449.11760000001</v>
      </c>
      <c r="S46" s="1116">
        <f t="shared" si="14"/>
        <v>24550.790399999983</v>
      </c>
      <c r="T46" s="1116">
        <f t="shared" si="33"/>
        <v>547520.14500000002</v>
      </c>
      <c r="U46" s="1116">
        <f t="shared" si="34"/>
        <v>547520.14500000002</v>
      </c>
      <c r="V46" s="1116">
        <f t="shared" si="41"/>
        <v>411939</v>
      </c>
      <c r="W46" s="1116">
        <f t="shared" si="42"/>
        <v>67790.572500000009</v>
      </c>
      <c r="X46" s="1116">
        <f t="shared" si="35"/>
        <v>-479729.57250000001</v>
      </c>
      <c r="Y46" s="1116">
        <f t="shared" si="36"/>
        <v>67790.572500000009</v>
      </c>
      <c r="Z46" s="1116">
        <f t="shared" si="15"/>
        <v>757832.29481470597</v>
      </c>
      <c r="AA46" s="1116">
        <f t="shared" si="16"/>
        <v>-664002.16711323534</v>
      </c>
      <c r="AB46" s="1116">
        <f t="shared" si="17"/>
        <v>93830.127701470628</v>
      </c>
      <c r="AC46" s="1114">
        <v>0</v>
      </c>
      <c r="AD46" s="1114">
        <v>0</v>
      </c>
      <c r="AE46" s="1114">
        <f t="shared" si="43"/>
        <v>1166919.1160220995</v>
      </c>
      <c r="AF46" s="1114">
        <f t="shared" si="59"/>
        <v>91877.761416609137</v>
      </c>
      <c r="AG46" s="1114">
        <f t="shared" si="18"/>
        <v>1258796.8774387087</v>
      </c>
      <c r="AH46" s="1114">
        <f t="shared" si="19"/>
        <v>1258796.8774387087</v>
      </c>
      <c r="AI46" s="1117">
        <v>76.785837107420065</v>
      </c>
      <c r="AJ46" s="1117">
        <f t="shared" si="4"/>
        <v>7943427.0929399431</v>
      </c>
      <c r="AK46" s="1118">
        <v>4.5</v>
      </c>
      <c r="AL46" s="1117">
        <f t="shared" si="20"/>
        <v>2988009.752009559</v>
      </c>
      <c r="AM46" s="1119">
        <f t="shared" si="37"/>
        <v>6.9025000000000007</v>
      </c>
      <c r="AN46" s="1117">
        <f t="shared" si="21"/>
        <v>-8688845.446520688</v>
      </c>
      <c r="AO46" s="1117">
        <f t="shared" si="22"/>
        <v>2242591.398428814</v>
      </c>
      <c r="AP46" s="1114">
        <f t="shared" si="5"/>
        <v>-4949.8807278644599</v>
      </c>
      <c r="AQ46" s="1114">
        <f t="shared" si="6"/>
        <v>83586.887020800015</v>
      </c>
      <c r="AR46" s="1114">
        <f t="shared" si="7"/>
        <v>6291.486119845169</v>
      </c>
      <c r="AS46" s="1114">
        <v>0</v>
      </c>
      <c r="AT46" s="1114">
        <f t="shared" si="23"/>
        <v>84928.492412780717</v>
      </c>
      <c r="AU46" s="1120">
        <f>'[7]GHG Compliance '!B23</f>
        <v>47.519052509310811</v>
      </c>
      <c r="AV46" s="1117">
        <f t="shared" si="24"/>
        <v>4035721.4904995319</v>
      </c>
      <c r="AW46" s="1121">
        <f t="shared" si="25"/>
        <v>1439188.7175</v>
      </c>
      <c r="AX46" s="1121">
        <f t="shared" si="38"/>
        <v>-1090347.3528</v>
      </c>
      <c r="AY46" s="1121">
        <f t="shared" si="26"/>
        <v>348841.36470000003</v>
      </c>
      <c r="AZ46" s="1122">
        <v>0</v>
      </c>
      <c r="BA46" s="1122">
        <v>0</v>
      </c>
      <c r="BB46" s="1122">
        <f t="shared" si="27"/>
        <v>0</v>
      </c>
      <c r="BC46" s="1123">
        <f t="shared" si="28"/>
        <v>2591432.7631288143</v>
      </c>
      <c r="BD46" s="1123">
        <f t="shared" si="29"/>
        <v>6627154.2536283461</v>
      </c>
      <c r="BF46" s="1110"/>
      <c r="BH46" s="1146"/>
      <c r="BI46" s="1098" t="s">
        <v>1248</v>
      </c>
      <c r="BJ46" s="1139">
        <v>1305</v>
      </c>
      <c r="BK46" s="1148" t="s">
        <v>99</v>
      </c>
      <c r="BL46" s="1133" t="s">
        <v>1247</v>
      </c>
      <c r="BN46" s="1146"/>
      <c r="BO46" s="1098"/>
      <c r="BP46" s="1136"/>
      <c r="BQ46" s="1147"/>
      <c r="BR46" s="1133"/>
      <c r="BU46" s="1127">
        <f>-PMT(BJ$125,20,(SUM(BB$31:BB45)))</f>
        <v>-2319700.165742307</v>
      </c>
      <c r="BV46" s="1128">
        <f t="shared" si="44"/>
        <v>2591432.7631288143</v>
      </c>
      <c r="BW46" s="1128">
        <f t="shared" si="45"/>
        <v>6627154.2536283461</v>
      </c>
      <c r="BX46" s="1128">
        <f t="shared" si="46"/>
        <v>271732.59738650732</v>
      </c>
      <c r="BY46" s="1128">
        <f t="shared" si="47"/>
        <v>4307454.0878860392</v>
      </c>
      <c r="BZ46" s="1125">
        <f t="shared" si="39"/>
        <v>564401.84204625001</v>
      </c>
      <c r="CA46" s="1008">
        <f t="shared" si="48"/>
        <v>0.61523888915384606</v>
      </c>
      <c r="CB46" s="1125">
        <f t="shared" si="49"/>
        <v>352968.38925120002</v>
      </c>
      <c r="CC46" s="1008">
        <f t="shared" si="48"/>
        <v>0.38476111084615389</v>
      </c>
      <c r="CD46" s="1129">
        <f t="shared" si="50"/>
        <v>547520.14500000002</v>
      </c>
      <c r="CE46" s="1129">
        <f t="shared" si="51"/>
        <v>127999.908</v>
      </c>
      <c r="CF46" s="1128">
        <f t="shared" si="52"/>
        <v>167180.46136296407</v>
      </c>
      <c r="CG46" s="1128">
        <f t="shared" si="53"/>
        <v>104552.13602354325</v>
      </c>
      <c r="CH46" s="1130">
        <f t="shared" si="54"/>
        <v>0.30534120596231956</v>
      </c>
      <c r="CI46" s="1130">
        <f t="shared" si="54"/>
        <v>0.81681414976910183</v>
      </c>
      <c r="CJ46" s="1128">
        <f t="shared" si="55"/>
        <v>2650113.2681121998</v>
      </c>
      <c r="CK46" s="1128">
        <f t="shared" si="56"/>
        <v>1657340.8197738391</v>
      </c>
      <c r="CL46" s="1130">
        <f t="shared" si="57"/>
        <v>4.8402114375393435</v>
      </c>
      <c r="CM46" s="1130">
        <f t="shared" si="58"/>
        <v>12.94798446084695</v>
      </c>
    </row>
    <row r="47" spans="1:91" ht="18">
      <c r="A47" s="1111">
        <f t="shared" si="8"/>
        <v>2026</v>
      </c>
      <c r="B47" s="1112">
        <f t="shared" si="9"/>
        <v>127999.908</v>
      </c>
      <c r="C47" s="1113">
        <v>0</v>
      </c>
      <c r="D47" s="1114">
        <f t="shared" si="0"/>
        <v>0</v>
      </c>
      <c r="E47" s="1114">
        <f t="shared" si="10"/>
        <v>547520.14500000002</v>
      </c>
      <c r="F47" s="1113">
        <f t="shared" si="30"/>
        <v>0</v>
      </c>
      <c r="G47" s="1114">
        <f t="shared" si="11"/>
        <v>0</v>
      </c>
      <c r="H47" s="1112">
        <f t="shared" si="31"/>
        <v>0</v>
      </c>
      <c r="I47" s="1113">
        <f t="shared" si="31"/>
        <v>0</v>
      </c>
      <c r="J47" s="1114">
        <f t="shared" si="1"/>
        <v>0</v>
      </c>
      <c r="K47" s="1115">
        <v>0</v>
      </c>
      <c r="L47" s="1113">
        <v>0</v>
      </c>
      <c r="M47" s="1114">
        <f t="shared" si="12"/>
        <v>0</v>
      </c>
      <c r="N47" s="1116">
        <f t="shared" si="2"/>
        <v>127999.908</v>
      </c>
      <c r="O47" s="1116">
        <f t="shared" si="32"/>
        <v>0</v>
      </c>
      <c r="P47" s="1116">
        <f t="shared" si="13"/>
        <v>127999.908</v>
      </c>
      <c r="Q47" s="1116">
        <f t="shared" si="40"/>
        <v>103449.11760000001</v>
      </c>
      <c r="R47" s="1116">
        <f t="shared" si="3"/>
        <v>-103449.11760000001</v>
      </c>
      <c r="S47" s="1116">
        <f t="shared" si="14"/>
        <v>24550.790399999983</v>
      </c>
      <c r="T47" s="1116">
        <f t="shared" si="33"/>
        <v>547520.14500000002</v>
      </c>
      <c r="U47" s="1116">
        <f t="shared" si="34"/>
        <v>547520.14500000002</v>
      </c>
      <c r="V47" s="1116">
        <f t="shared" si="41"/>
        <v>411939</v>
      </c>
      <c r="W47" s="1116">
        <f t="shared" si="42"/>
        <v>67790.572500000009</v>
      </c>
      <c r="X47" s="1116">
        <f t="shared" si="35"/>
        <v>-479729.57250000001</v>
      </c>
      <c r="Y47" s="1116">
        <f t="shared" si="36"/>
        <v>67790.572500000009</v>
      </c>
      <c r="Z47" s="1116">
        <f t="shared" si="15"/>
        <v>757832.29481470597</v>
      </c>
      <c r="AA47" s="1116">
        <f t="shared" si="16"/>
        <v>-664002.16711323534</v>
      </c>
      <c r="AB47" s="1116">
        <f t="shared" si="17"/>
        <v>93830.127701470628</v>
      </c>
      <c r="AC47" s="1114">
        <v>0</v>
      </c>
      <c r="AD47" s="1114">
        <v>0</v>
      </c>
      <c r="AE47" s="1114">
        <f t="shared" si="43"/>
        <v>1166919.1160220995</v>
      </c>
      <c r="AF47" s="1114">
        <f t="shared" si="59"/>
        <v>91877.761416609137</v>
      </c>
      <c r="AG47" s="1114">
        <f t="shared" si="18"/>
        <v>1258796.8774387087</v>
      </c>
      <c r="AH47" s="1114">
        <f t="shared" si="19"/>
        <v>1258796.8774387087</v>
      </c>
      <c r="AI47" s="1117">
        <v>78.405478105928921</v>
      </c>
      <c r="AJ47" s="1117">
        <f t="shared" si="4"/>
        <v>8110977.5250644675</v>
      </c>
      <c r="AK47" s="1118">
        <v>4.5</v>
      </c>
      <c r="AL47" s="1117">
        <f t="shared" si="20"/>
        <v>2988009.752009559</v>
      </c>
      <c r="AM47" s="1119">
        <f t="shared" si="37"/>
        <v>6.9025000000000007</v>
      </c>
      <c r="AN47" s="1117">
        <f t="shared" si="21"/>
        <v>-8688845.446520688</v>
      </c>
      <c r="AO47" s="1117">
        <f t="shared" si="22"/>
        <v>2410141.8305533384</v>
      </c>
      <c r="AP47" s="1114">
        <f t="shared" si="5"/>
        <v>-4949.8807278644599</v>
      </c>
      <c r="AQ47" s="1114">
        <f t="shared" si="6"/>
        <v>83586.887020800015</v>
      </c>
      <c r="AR47" s="1114">
        <f t="shared" si="7"/>
        <v>6291.486119845169</v>
      </c>
      <c r="AS47" s="1114">
        <v>0</v>
      </c>
      <c r="AT47" s="1114">
        <f t="shared" si="23"/>
        <v>84928.492412780717</v>
      </c>
      <c r="AU47" s="1120">
        <f>'[7]GHG Compliance '!B24</f>
        <v>49.588746209690854</v>
      </c>
      <c r="AV47" s="1117">
        <f t="shared" si="24"/>
        <v>4211497.4562290385</v>
      </c>
      <c r="AW47" s="1121">
        <f t="shared" si="25"/>
        <v>1439188.7175</v>
      </c>
      <c r="AX47" s="1121">
        <f t="shared" si="38"/>
        <v>-1090347.3528</v>
      </c>
      <c r="AY47" s="1121">
        <f t="shared" si="26"/>
        <v>348841.36470000003</v>
      </c>
      <c r="AZ47" s="1122">
        <v>0</v>
      </c>
      <c r="BA47" s="1122">
        <v>0</v>
      </c>
      <c r="BB47" s="1122">
        <f t="shared" si="27"/>
        <v>0</v>
      </c>
      <c r="BC47" s="1123">
        <f t="shared" si="28"/>
        <v>2758983.1952533387</v>
      </c>
      <c r="BD47" s="1123">
        <f t="shared" si="29"/>
        <v>6970480.6514823763</v>
      </c>
      <c r="BF47" s="1110"/>
      <c r="BH47" s="1146"/>
      <c r="BI47" s="1098" t="s">
        <v>1249</v>
      </c>
      <c r="BJ47" s="1139">
        <v>148</v>
      </c>
      <c r="BK47" s="1148" t="s">
        <v>99</v>
      </c>
      <c r="BL47" s="1133" t="s">
        <v>1247</v>
      </c>
      <c r="BN47" s="1146"/>
      <c r="BO47" s="1098"/>
      <c r="BP47" s="1136"/>
      <c r="BQ47" s="1147"/>
      <c r="BR47" s="1133"/>
      <c r="BU47" s="1127">
        <f>-PMT(BJ$125,20,(SUM(BB$31:BB46)))</f>
        <v>-2319700.165742307</v>
      </c>
      <c r="BV47" s="1128">
        <f t="shared" si="44"/>
        <v>2758983.1952533387</v>
      </c>
      <c r="BW47" s="1128">
        <f t="shared" si="45"/>
        <v>6970480.6514823772</v>
      </c>
      <c r="BX47" s="1128">
        <f t="shared" si="46"/>
        <v>439283.02951103169</v>
      </c>
      <c r="BY47" s="1128">
        <f t="shared" si="47"/>
        <v>4650780.4857400702</v>
      </c>
      <c r="BZ47" s="1125">
        <f t="shared" si="39"/>
        <v>564401.84204625001</v>
      </c>
      <c r="CA47" s="1008">
        <f t="shared" si="48"/>
        <v>0.61523888915384606</v>
      </c>
      <c r="CB47" s="1125">
        <f t="shared" si="49"/>
        <v>352968.38925120002</v>
      </c>
      <c r="CC47" s="1008">
        <f t="shared" si="48"/>
        <v>0.38476111084615389</v>
      </c>
      <c r="CD47" s="1129">
        <f t="shared" si="50"/>
        <v>547520.14500000002</v>
      </c>
      <c r="CE47" s="1129">
        <f t="shared" si="51"/>
        <v>127999.908</v>
      </c>
      <c r="CF47" s="1128">
        <f t="shared" si="52"/>
        <v>270264.00310050329</v>
      </c>
      <c r="CG47" s="1128">
        <f t="shared" si="53"/>
        <v>169019.02641052834</v>
      </c>
      <c r="CH47" s="1130">
        <f t="shared" si="54"/>
        <v>0.49361472005838852</v>
      </c>
      <c r="CI47" s="1130">
        <f t="shared" si="54"/>
        <v>1.320462092914382</v>
      </c>
      <c r="CJ47" s="1128">
        <f t="shared" si="55"/>
        <v>2861341.0197451054</v>
      </c>
      <c r="CK47" s="1128">
        <f t="shared" si="56"/>
        <v>1789439.4659949646</v>
      </c>
      <c r="CL47" s="1130">
        <f t="shared" si="57"/>
        <v>5.2260013551558098</v>
      </c>
      <c r="CM47" s="1130">
        <f t="shared" si="58"/>
        <v>13.980005876214884</v>
      </c>
    </row>
    <row r="48" spans="1:91" ht="18">
      <c r="A48" s="1111">
        <f t="shared" si="8"/>
        <v>2027</v>
      </c>
      <c r="B48" s="1112">
        <f t="shared" si="9"/>
        <v>127999.908</v>
      </c>
      <c r="C48" s="1113">
        <v>0</v>
      </c>
      <c r="D48" s="1114">
        <f t="shared" si="0"/>
        <v>0</v>
      </c>
      <c r="E48" s="1114">
        <f t="shared" si="10"/>
        <v>547520.14500000002</v>
      </c>
      <c r="F48" s="1113">
        <f t="shared" si="30"/>
        <v>0</v>
      </c>
      <c r="G48" s="1114">
        <f t="shared" si="11"/>
        <v>0</v>
      </c>
      <c r="H48" s="1112">
        <f t="shared" si="31"/>
        <v>0</v>
      </c>
      <c r="I48" s="1113">
        <f t="shared" si="31"/>
        <v>0</v>
      </c>
      <c r="J48" s="1114">
        <f t="shared" si="1"/>
        <v>0</v>
      </c>
      <c r="K48" s="1115">
        <v>0</v>
      </c>
      <c r="L48" s="1113">
        <v>0</v>
      </c>
      <c r="M48" s="1114">
        <f t="shared" si="12"/>
        <v>0</v>
      </c>
      <c r="N48" s="1116">
        <f t="shared" si="2"/>
        <v>127999.908</v>
      </c>
      <c r="O48" s="1116">
        <f t="shared" si="32"/>
        <v>0</v>
      </c>
      <c r="P48" s="1116">
        <f t="shared" si="13"/>
        <v>127999.908</v>
      </c>
      <c r="Q48" s="1116">
        <f t="shared" si="40"/>
        <v>103449.11760000001</v>
      </c>
      <c r="R48" s="1116">
        <f t="shared" si="3"/>
        <v>-103449.11760000001</v>
      </c>
      <c r="S48" s="1116">
        <f t="shared" si="14"/>
        <v>24550.790399999983</v>
      </c>
      <c r="T48" s="1116">
        <f t="shared" si="33"/>
        <v>547520.14500000002</v>
      </c>
      <c r="U48" s="1116">
        <f t="shared" si="34"/>
        <v>547520.14500000002</v>
      </c>
      <c r="V48" s="1116">
        <f t="shared" si="41"/>
        <v>411939</v>
      </c>
      <c r="W48" s="1116">
        <f t="shared" si="42"/>
        <v>67790.572500000009</v>
      </c>
      <c r="X48" s="1116">
        <f t="shared" si="35"/>
        <v>-479729.57250000001</v>
      </c>
      <c r="Y48" s="1116">
        <f t="shared" si="36"/>
        <v>67790.572500000009</v>
      </c>
      <c r="Z48" s="1116">
        <f t="shared" si="15"/>
        <v>757832.29481470597</v>
      </c>
      <c r="AA48" s="1116">
        <f t="shared" si="16"/>
        <v>-664002.16711323534</v>
      </c>
      <c r="AB48" s="1116">
        <f t="shared" si="17"/>
        <v>93830.127701470628</v>
      </c>
      <c r="AC48" s="1114">
        <v>0</v>
      </c>
      <c r="AD48" s="1114">
        <v>0</v>
      </c>
      <c r="AE48" s="1114">
        <f t="shared" si="43"/>
        <v>1166919.1160220995</v>
      </c>
      <c r="AF48" s="1114">
        <f t="shared" si="59"/>
        <v>91877.761416609137</v>
      </c>
      <c r="AG48" s="1114">
        <f t="shared" si="18"/>
        <v>1258796.8774387087</v>
      </c>
      <c r="AH48" s="1114">
        <f t="shared" si="19"/>
        <v>1258796.8774387087</v>
      </c>
      <c r="AI48" s="1117">
        <v>79.959367019081128</v>
      </c>
      <c r="AJ48" s="1117">
        <f t="shared" si="4"/>
        <v>8271725.9619784858</v>
      </c>
      <c r="AK48" s="1118">
        <v>4.5</v>
      </c>
      <c r="AL48" s="1117">
        <f t="shared" si="20"/>
        <v>2988009.752009559</v>
      </c>
      <c r="AM48" s="1119">
        <f t="shared" si="37"/>
        <v>6.9025000000000007</v>
      </c>
      <c r="AN48" s="1117">
        <f t="shared" si="21"/>
        <v>-8688845.446520688</v>
      </c>
      <c r="AO48" s="1117">
        <f t="shared" si="22"/>
        <v>2570890.2674673568</v>
      </c>
      <c r="AP48" s="1114">
        <f t="shared" si="5"/>
        <v>-4949.8807278644599</v>
      </c>
      <c r="AQ48" s="1114">
        <f t="shared" si="6"/>
        <v>83586.887020800015</v>
      </c>
      <c r="AR48" s="1114">
        <f t="shared" si="7"/>
        <v>6291.486119845169</v>
      </c>
      <c r="AS48" s="1114">
        <v>0</v>
      </c>
      <c r="AT48" s="1114">
        <f t="shared" si="23"/>
        <v>84928.492412780717</v>
      </c>
      <c r="AU48" s="1120">
        <f>'[7]GHG Compliance '!B25</f>
        <v>51.863662902341304</v>
      </c>
      <c r="AV48" s="1117">
        <f t="shared" si="24"/>
        <v>4404702.7013005102</v>
      </c>
      <c r="AW48" s="1121">
        <f t="shared" si="25"/>
        <v>1439188.7175</v>
      </c>
      <c r="AX48" s="1121">
        <f t="shared" si="38"/>
        <v>-1090347.3528</v>
      </c>
      <c r="AY48" s="1121">
        <f t="shared" si="26"/>
        <v>348841.36470000003</v>
      </c>
      <c r="AZ48" s="1122">
        <v>0</v>
      </c>
      <c r="BA48" s="1122">
        <v>0</v>
      </c>
      <c r="BB48" s="1122">
        <f t="shared" si="27"/>
        <v>0</v>
      </c>
      <c r="BC48" s="1123">
        <f t="shared" si="28"/>
        <v>2919731.632167357</v>
      </c>
      <c r="BD48" s="1123">
        <f t="shared" si="29"/>
        <v>7324434.3334678663</v>
      </c>
      <c r="BF48" s="1110"/>
      <c r="BH48" s="1146"/>
      <c r="BI48" s="1098" t="s">
        <v>1250</v>
      </c>
      <c r="BJ48" s="1139">
        <v>18</v>
      </c>
      <c r="BK48" s="1148" t="s">
        <v>99</v>
      </c>
      <c r="BL48" s="1133" t="s">
        <v>1247</v>
      </c>
      <c r="BN48" s="1146"/>
      <c r="BO48" s="1098"/>
      <c r="BP48" s="1136"/>
      <c r="BQ48" s="1147"/>
      <c r="BR48" s="1133"/>
      <c r="BU48" s="1127">
        <f>-PMT(BJ$125,20,(SUM(BB$31:BB47)))</f>
        <v>-2319700.165742307</v>
      </c>
      <c r="BV48" s="1128">
        <f t="shared" si="44"/>
        <v>2919731.632167357</v>
      </c>
      <c r="BW48" s="1128">
        <f t="shared" si="45"/>
        <v>7324434.3334678672</v>
      </c>
      <c r="BX48" s="1128">
        <f t="shared" si="46"/>
        <v>600031.46642505005</v>
      </c>
      <c r="BY48" s="1128">
        <f t="shared" si="47"/>
        <v>5004734.1677255603</v>
      </c>
      <c r="BZ48" s="1125">
        <f t="shared" si="39"/>
        <v>564401.84204625001</v>
      </c>
      <c r="CA48" s="1008">
        <f t="shared" si="48"/>
        <v>0.61523888915384606</v>
      </c>
      <c r="CB48" s="1125">
        <f t="shared" si="49"/>
        <v>352968.38925120002</v>
      </c>
      <c r="CC48" s="1008">
        <f t="shared" si="48"/>
        <v>0.38476111084615389</v>
      </c>
      <c r="CD48" s="1129">
        <f t="shared" si="50"/>
        <v>547520.14500000002</v>
      </c>
      <c r="CE48" s="1129">
        <f t="shared" si="51"/>
        <v>127999.908</v>
      </c>
      <c r="CF48" s="1128">
        <f t="shared" si="52"/>
        <v>369162.69286070106</v>
      </c>
      <c r="CG48" s="1128">
        <f t="shared" si="53"/>
        <v>230868.77356434896</v>
      </c>
      <c r="CH48" s="1130">
        <f t="shared" si="54"/>
        <v>0.6742449501300104</v>
      </c>
      <c r="CI48" s="1130">
        <f t="shared" si="54"/>
        <v>1.8036635898546816</v>
      </c>
      <c r="CJ48" s="1128">
        <f t="shared" si="55"/>
        <v>3079107.089861772</v>
      </c>
      <c r="CK48" s="1128">
        <f t="shared" si="56"/>
        <v>1925627.077863788</v>
      </c>
      <c r="CL48" s="1130">
        <f t="shared" si="57"/>
        <v>5.6237329676002554</v>
      </c>
      <c r="CM48" s="1130">
        <f t="shared" si="58"/>
        <v>15.043972358665977</v>
      </c>
    </row>
    <row r="49" spans="1:91" ht="15.75">
      <c r="A49" s="1111">
        <f t="shared" si="8"/>
        <v>2028</v>
      </c>
      <c r="B49" s="1112">
        <f t="shared" si="9"/>
        <v>127999.908</v>
      </c>
      <c r="C49" s="1113">
        <v>0</v>
      </c>
      <c r="D49" s="1114">
        <f t="shared" si="0"/>
        <v>0</v>
      </c>
      <c r="E49" s="1114">
        <f t="shared" si="10"/>
        <v>547520.14500000002</v>
      </c>
      <c r="F49" s="1113">
        <f t="shared" si="30"/>
        <v>0</v>
      </c>
      <c r="G49" s="1114">
        <f t="shared" si="11"/>
        <v>0</v>
      </c>
      <c r="H49" s="1112">
        <f t="shared" ref="H49:I64" si="60">H48</f>
        <v>0</v>
      </c>
      <c r="I49" s="1113">
        <f t="shared" si="60"/>
        <v>0</v>
      </c>
      <c r="J49" s="1114">
        <f t="shared" si="1"/>
        <v>0</v>
      </c>
      <c r="K49" s="1115">
        <v>0</v>
      </c>
      <c r="L49" s="1113">
        <v>0</v>
      </c>
      <c r="M49" s="1114">
        <f t="shared" si="12"/>
        <v>0</v>
      </c>
      <c r="N49" s="1116">
        <f t="shared" si="2"/>
        <v>127999.908</v>
      </c>
      <c r="O49" s="1116">
        <f t="shared" si="32"/>
        <v>0</v>
      </c>
      <c r="P49" s="1116">
        <f t="shared" si="13"/>
        <v>127999.908</v>
      </c>
      <c r="Q49" s="1116">
        <f t="shared" si="40"/>
        <v>103449.11760000001</v>
      </c>
      <c r="R49" s="1116">
        <f t="shared" si="3"/>
        <v>-103449.11760000001</v>
      </c>
      <c r="S49" s="1116">
        <f t="shared" si="14"/>
        <v>24550.790399999983</v>
      </c>
      <c r="T49" s="1116">
        <f t="shared" si="33"/>
        <v>547520.14500000002</v>
      </c>
      <c r="U49" s="1116">
        <f t="shared" si="34"/>
        <v>547520.14500000002</v>
      </c>
      <c r="V49" s="1116">
        <f t="shared" si="41"/>
        <v>411939</v>
      </c>
      <c r="W49" s="1116">
        <f t="shared" si="42"/>
        <v>67790.572500000009</v>
      </c>
      <c r="X49" s="1116">
        <f t="shared" si="35"/>
        <v>-479729.57250000001</v>
      </c>
      <c r="Y49" s="1116">
        <f t="shared" si="36"/>
        <v>67790.572500000009</v>
      </c>
      <c r="Z49" s="1116">
        <f t="shared" si="15"/>
        <v>757832.29481470597</v>
      </c>
      <c r="AA49" s="1116">
        <f t="shared" si="16"/>
        <v>-664002.16711323534</v>
      </c>
      <c r="AB49" s="1116">
        <f t="shared" si="17"/>
        <v>93830.127701470628</v>
      </c>
      <c r="AC49" s="1114">
        <v>0</v>
      </c>
      <c r="AD49" s="1114">
        <v>0</v>
      </c>
      <c r="AE49" s="1114">
        <f t="shared" si="43"/>
        <v>1166919.1160220995</v>
      </c>
      <c r="AF49" s="1114">
        <f t="shared" si="59"/>
        <v>91877.761416609137</v>
      </c>
      <c r="AG49" s="1114">
        <f t="shared" si="18"/>
        <v>1258796.8774387087</v>
      </c>
      <c r="AH49" s="1114">
        <f t="shared" si="19"/>
        <v>1258796.8774387087</v>
      </c>
      <c r="AI49" s="1117">
        <v>81.544113620113237</v>
      </c>
      <c r="AJ49" s="1117">
        <f t="shared" si="4"/>
        <v>8435666.5994748566</v>
      </c>
      <c r="AK49" s="1118">
        <v>4.5</v>
      </c>
      <c r="AL49" s="1117">
        <f t="shared" si="20"/>
        <v>2988009.752009559</v>
      </c>
      <c r="AM49" s="1119">
        <f t="shared" si="37"/>
        <v>6.9025000000000007</v>
      </c>
      <c r="AN49" s="1117">
        <f t="shared" si="21"/>
        <v>-8688845.446520688</v>
      </c>
      <c r="AO49" s="1117">
        <f t="shared" si="22"/>
        <v>2734830.9049637276</v>
      </c>
      <c r="AP49" s="1114">
        <f t="shared" si="5"/>
        <v>-4949.8807278644599</v>
      </c>
      <c r="AQ49" s="1114">
        <f t="shared" si="6"/>
        <v>83586.887020800015</v>
      </c>
      <c r="AR49" s="1114">
        <f t="shared" si="7"/>
        <v>6291.486119845169</v>
      </c>
      <c r="AS49" s="1114">
        <v>0</v>
      </c>
      <c r="AT49" s="1114">
        <f t="shared" si="23"/>
        <v>84928.492412780717</v>
      </c>
      <c r="AU49" s="1120">
        <f>'[7]GHG Compliance '!B26</f>
        <v>54.152493069928795</v>
      </c>
      <c r="AV49" s="1117">
        <f t="shared" si="24"/>
        <v>4599089.5968226083</v>
      </c>
      <c r="AW49" s="1121">
        <f t="shared" si="25"/>
        <v>1439188.7175</v>
      </c>
      <c r="AX49" s="1121">
        <f t="shared" si="38"/>
        <v>-1090347.3528</v>
      </c>
      <c r="AY49" s="1121">
        <f t="shared" si="26"/>
        <v>348841.36470000003</v>
      </c>
      <c r="AZ49" s="1122">
        <v>0</v>
      </c>
      <c r="BA49" s="1122">
        <v>0</v>
      </c>
      <c r="BB49" s="1122">
        <f t="shared" si="27"/>
        <v>0</v>
      </c>
      <c r="BC49" s="1123">
        <f t="shared" si="28"/>
        <v>3083672.2696637278</v>
      </c>
      <c r="BD49" s="1123">
        <f t="shared" si="29"/>
        <v>7682761.8664863361</v>
      </c>
      <c r="BF49" s="1110"/>
      <c r="BH49" s="1146"/>
      <c r="BI49" s="1149" t="s">
        <v>1251</v>
      </c>
      <c r="BJ49" s="1139">
        <f>BJ46-0.85*BJ47-0.15*BJ48</f>
        <v>1176.5</v>
      </c>
      <c r="BK49" s="1148" t="s">
        <v>99</v>
      </c>
      <c r="BL49" s="1133"/>
      <c r="BN49" s="1146"/>
      <c r="BO49" s="1098"/>
      <c r="BP49" s="1136"/>
      <c r="BQ49" s="1147"/>
      <c r="BR49" s="1133"/>
      <c r="BU49" s="1127">
        <f>-PMT(BJ$125,20,(SUM(BB$31:BB48)))</f>
        <v>-2319700.165742307</v>
      </c>
      <c r="BV49" s="1128">
        <f t="shared" si="44"/>
        <v>3083672.2696637278</v>
      </c>
      <c r="BW49" s="1128">
        <f t="shared" si="45"/>
        <v>7682761.8664863361</v>
      </c>
      <c r="BX49" s="1128">
        <f t="shared" si="46"/>
        <v>763972.10392142087</v>
      </c>
      <c r="BY49" s="1128">
        <f t="shared" si="47"/>
        <v>5363061.7007440291</v>
      </c>
      <c r="BZ49" s="1125">
        <f t="shared" si="39"/>
        <v>564401.84204625001</v>
      </c>
      <c r="CA49" s="1008">
        <f t="shared" si="48"/>
        <v>0.61523888915384606</v>
      </c>
      <c r="CB49" s="1125">
        <f t="shared" si="49"/>
        <v>352968.38925120002</v>
      </c>
      <c r="CC49" s="1008">
        <f t="shared" si="48"/>
        <v>0.38476111084615389</v>
      </c>
      <c r="CD49" s="1129">
        <f t="shared" si="50"/>
        <v>547520.14500000002</v>
      </c>
      <c r="CE49" s="1129">
        <f t="shared" si="51"/>
        <v>127999.908</v>
      </c>
      <c r="CF49" s="1128">
        <f t="shared" si="52"/>
        <v>470025.34856114164</v>
      </c>
      <c r="CG49" s="1128">
        <f t="shared" si="53"/>
        <v>293946.75536027923</v>
      </c>
      <c r="CH49" s="1130">
        <f t="shared" si="54"/>
        <v>0.85846220062120571</v>
      </c>
      <c r="CI49" s="1130">
        <f t="shared" si="54"/>
        <v>2.2964606768332931</v>
      </c>
      <c r="CJ49" s="1128">
        <f t="shared" si="55"/>
        <v>3299564.1232292927</v>
      </c>
      <c r="CK49" s="1128">
        <f t="shared" si="56"/>
        <v>2063497.577514736</v>
      </c>
      <c r="CL49" s="1130">
        <f t="shared" si="57"/>
        <v>6.0263794005776585</v>
      </c>
      <c r="CM49" s="1130">
        <f t="shared" si="58"/>
        <v>16.121086411364733</v>
      </c>
    </row>
    <row r="50" spans="1:91" ht="15.75">
      <c r="A50" s="1111">
        <f t="shared" si="8"/>
        <v>2029</v>
      </c>
      <c r="B50" s="1112">
        <f t="shared" si="9"/>
        <v>127999.908</v>
      </c>
      <c r="C50" s="1113">
        <v>0</v>
      </c>
      <c r="D50" s="1114">
        <f t="shared" si="0"/>
        <v>0</v>
      </c>
      <c r="E50" s="1114">
        <f t="shared" si="10"/>
        <v>547520.14500000002</v>
      </c>
      <c r="F50" s="1113">
        <f t="shared" si="30"/>
        <v>0</v>
      </c>
      <c r="G50" s="1114">
        <f t="shared" si="11"/>
        <v>0</v>
      </c>
      <c r="H50" s="1112">
        <f t="shared" si="60"/>
        <v>0</v>
      </c>
      <c r="I50" s="1113">
        <f t="shared" si="60"/>
        <v>0</v>
      </c>
      <c r="J50" s="1114">
        <f t="shared" si="1"/>
        <v>0</v>
      </c>
      <c r="K50" s="1115">
        <v>0</v>
      </c>
      <c r="L50" s="1113">
        <v>0</v>
      </c>
      <c r="M50" s="1114">
        <f t="shared" si="12"/>
        <v>0</v>
      </c>
      <c r="N50" s="1116">
        <f t="shared" si="2"/>
        <v>127999.908</v>
      </c>
      <c r="O50" s="1116">
        <f t="shared" si="32"/>
        <v>0</v>
      </c>
      <c r="P50" s="1116">
        <f t="shared" si="13"/>
        <v>127999.908</v>
      </c>
      <c r="Q50" s="1116">
        <f t="shared" si="40"/>
        <v>103449.11760000001</v>
      </c>
      <c r="R50" s="1116">
        <f t="shared" si="3"/>
        <v>-103449.11760000001</v>
      </c>
      <c r="S50" s="1116">
        <f t="shared" si="14"/>
        <v>24550.790399999983</v>
      </c>
      <c r="T50" s="1116">
        <f t="shared" si="33"/>
        <v>547520.14500000002</v>
      </c>
      <c r="U50" s="1116">
        <f t="shared" si="34"/>
        <v>547520.14500000002</v>
      </c>
      <c r="V50" s="1116">
        <f t="shared" si="41"/>
        <v>411939</v>
      </c>
      <c r="W50" s="1116">
        <f t="shared" si="42"/>
        <v>67790.572500000009</v>
      </c>
      <c r="X50" s="1116">
        <f t="shared" si="35"/>
        <v>-479729.57250000001</v>
      </c>
      <c r="Y50" s="1116">
        <f t="shared" si="36"/>
        <v>67790.572500000009</v>
      </c>
      <c r="Z50" s="1116">
        <f t="shared" si="15"/>
        <v>757832.29481470597</v>
      </c>
      <c r="AA50" s="1116">
        <f t="shared" si="16"/>
        <v>-664002.16711323534</v>
      </c>
      <c r="AB50" s="1116">
        <f t="shared" si="17"/>
        <v>93830.127701470628</v>
      </c>
      <c r="AC50" s="1114">
        <v>0</v>
      </c>
      <c r="AD50" s="1114">
        <v>0</v>
      </c>
      <c r="AE50" s="1114">
        <f t="shared" si="43"/>
        <v>1166919.1160220995</v>
      </c>
      <c r="AF50" s="1114">
        <f t="shared" si="59"/>
        <v>91877.761416609137</v>
      </c>
      <c r="AG50" s="1114">
        <f t="shared" si="18"/>
        <v>1258796.8774387087</v>
      </c>
      <c r="AH50" s="1114">
        <f t="shared" si="19"/>
        <v>1258796.8774387087</v>
      </c>
      <c r="AI50" s="1117">
        <v>83.160331656484274</v>
      </c>
      <c r="AJ50" s="1117">
        <f t="shared" si="4"/>
        <v>8602862.9291866459</v>
      </c>
      <c r="AK50" s="1118">
        <v>4.5</v>
      </c>
      <c r="AL50" s="1117">
        <f t="shared" si="20"/>
        <v>2988009.752009559</v>
      </c>
      <c r="AM50" s="1119">
        <f t="shared" si="37"/>
        <v>6.9025000000000007</v>
      </c>
      <c r="AN50" s="1117">
        <f t="shared" si="21"/>
        <v>-8688845.446520688</v>
      </c>
      <c r="AO50" s="1117">
        <f t="shared" si="22"/>
        <v>2902027.2346755168</v>
      </c>
      <c r="AP50" s="1114">
        <f t="shared" si="5"/>
        <v>-4949.8807278644599</v>
      </c>
      <c r="AQ50" s="1114">
        <f t="shared" si="6"/>
        <v>83586.887020800015</v>
      </c>
      <c r="AR50" s="1114">
        <f t="shared" si="7"/>
        <v>6291.486119845169</v>
      </c>
      <c r="AS50" s="1114">
        <v>0</v>
      </c>
      <c r="AT50" s="1114">
        <f t="shared" si="23"/>
        <v>84928.492412780717</v>
      </c>
      <c r="AU50" s="1120">
        <f>'[7]GHG Compliance '!B27</f>
        <v>56.455932386200203</v>
      </c>
      <c r="AV50" s="1117">
        <f t="shared" si="24"/>
        <v>4794717.2253178647</v>
      </c>
      <c r="AW50" s="1121">
        <f t="shared" si="25"/>
        <v>1439188.7175</v>
      </c>
      <c r="AX50" s="1121">
        <f t="shared" si="38"/>
        <v>-1090347.3528</v>
      </c>
      <c r="AY50" s="1121">
        <f t="shared" si="26"/>
        <v>348841.36470000003</v>
      </c>
      <c r="AZ50" s="1122">
        <v>0</v>
      </c>
      <c r="BA50" s="1122">
        <v>0</v>
      </c>
      <c r="BB50" s="1122">
        <f t="shared" si="27"/>
        <v>0</v>
      </c>
      <c r="BC50" s="1123">
        <f t="shared" si="28"/>
        <v>3250868.5993755171</v>
      </c>
      <c r="BD50" s="1123">
        <f t="shared" si="29"/>
        <v>8045585.8246933809</v>
      </c>
      <c r="BF50" s="1110"/>
      <c r="BH50" s="1150"/>
      <c r="BI50" s="1151"/>
      <c r="BJ50" s="1140"/>
      <c r="BK50" s="1140"/>
      <c r="BL50" s="1152"/>
      <c r="BN50" s="1150"/>
      <c r="BO50" s="1151"/>
      <c r="BP50" s="1140"/>
      <c r="BQ50" s="1140"/>
      <c r="BR50" s="1152"/>
      <c r="BU50" s="1127">
        <f>-PMT(BJ$125,20,(SUM(BB$31:BB49)))</f>
        <v>-2319700.165742307</v>
      </c>
      <c r="BV50" s="1128">
        <f t="shared" si="44"/>
        <v>3250868.5993755171</v>
      </c>
      <c r="BW50" s="1128">
        <f t="shared" si="45"/>
        <v>8045585.8246933818</v>
      </c>
      <c r="BX50" s="1128">
        <f t="shared" si="46"/>
        <v>931168.43363321014</v>
      </c>
      <c r="BY50" s="1128">
        <f t="shared" si="47"/>
        <v>5725885.6589510748</v>
      </c>
      <c r="BZ50" s="1125">
        <f t="shared" si="39"/>
        <v>564401.84204625001</v>
      </c>
      <c r="CA50" s="1008">
        <f t="shared" si="48"/>
        <v>0.61523888915384606</v>
      </c>
      <c r="CB50" s="1125">
        <f t="shared" si="49"/>
        <v>352968.38925120002</v>
      </c>
      <c r="CC50" s="1008">
        <f t="shared" si="48"/>
        <v>0.38476111084615389</v>
      </c>
      <c r="CD50" s="1129">
        <f t="shared" si="50"/>
        <v>547520.14500000002</v>
      </c>
      <c r="CE50" s="1129">
        <f t="shared" si="51"/>
        <v>127999.908</v>
      </c>
      <c r="CF50" s="1128">
        <f t="shared" si="52"/>
        <v>572891.03272362298</v>
      </c>
      <c r="CG50" s="1128">
        <f t="shared" si="53"/>
        <v>358277.40090958704</v>
      </c>
      <c r="CH50" s="1130">
        <f t="shared" si="54"/>
        <v>1.0463378159786667</v>
      </c>
      <c r="CI50" s="1130">
        <f t="shared" si="54"/>
        <v>2.7990442064191723</v>
      </c>
      <c r="CJ50" s="1128">
        <f t="shared" si="55"/>
        <v>3522787.532234997</v>
      </c>
      <c r="CK50" s="1128">
        <f t="shared" si="56"/>
        <v>2203098.1267160773</v>
      </c>
      <c r="CL50" s="1130">
        <f t="shared" si="57"/>
        <v>6.4340783885403834</v>
      </c>
      <c r="CM50" s="1130">
        <f t="shared" si="58"/>
        <v>17.21171648589058</v>
      </c>
    </row>
    <row r="51" spans="1:91" ht="15.75">
      <c r="A51" s="1111">
        <f t="shared" si="8"/>
        <v>2030</v>
      </c>
      <c r="B51" s="1112">
        <f t="shared" si="9"/>
        <v>127999.908</v>
      </c>
      <c r="C51" s="1113">
        <v>0</v>
      </c>
      <c r="D51" s="1114">
        <f t="shared" si="0"/>
        <v>0</v>
      </c>
      <c r="E51" s="1114">
        <f t="shared" si="10"/>
        <v>547520.14500000002</v>
      </c>
      <c r="F51" s="1113">
        <f t="shared" si="30"/>
        <v>0</v>
      </c>
      <c r="G51" s="1114">
        <f t="shared" si="11"/>
        <v>0</v>
      </c>
      <c r="H51" s="1112">
        <f t="shared" si="60"/>
        <v>0</v>
      </c>
      <c r="I51" s="1113">
        <f t="shared" si="60"/>
        <v>0</v>
      </c>
      <c r="J51" s="1114">
        <f t="shared" si="1"/>
        <v>0</v>
      </c>
      <c r="K51" s="1115">
        <v>0</v>
      </c>
      <c r="L51" s="1113">
        <v>0</v>
      </c>
      <c r="M51" s="1114">
        <f t="shared" si="12"/>
        <v>0</v>
      </c>
      <c r="N51" s="1116">
        <f t="shared" si="2"/>
        <v>127999.908</v>
      </c>
      <c r="O51" s="1116">
        <f t="shared" si="32"/>
        <v>0</v>
      </c>
      <c r="P51" s="1116">
        <f t="shared" si="13"/>
        <v>127999.908</v>
      </c>
      <c r="Q51" s="1116">
        <f t="shared" si="40"/>
        <v>103449.11760000001</v>
      </c>
      <c r="R51" s="1116">
        <f t="shared" si="3"/>
        <v>-103449.11760000001</v>
      </c>
      <c r="S51" s="1116">
        <f t="shared" si="14"/>
        <v>24550.790399999983</v>
      </c>
      <c r="T51" s="1116">
        <f t="shared" si="33"/>
        <v>547520.14500000002</v>
      </c>
      <c r="U51" s="1116">
        <f t="shared" si="34"/>
        <v>547520.14500000002</v>
      </c>
      <c r="V51" s="1116">
        <f t="shared" si="41"/>
        <v>411939</v>
      </c>
      <c r="W51" s="1116">
        <f t="shared" si="42"/>
        <v>67790.572500000009</v>
      </c>
      <c r="X51" s="1116">
        <f t="shared" si="35"/>
        <v>-479729.57250000001</v>
      </c>
      <c r="Y51" s="1116">
        <f t="shared" si="36"/>
        <v>67790.572500000009</v>
      </c>
      <c r="Z51" s="1116">
        <f t="shared" si="15"/>
        <v>757832.29481470597</v>
      </c>
      <c r="AA51" s="1116">
        <f t="shared" si="16"/>
        <v>-664002.16711323534</v>
      </c>
      <c r="AB51" s="1116">
        <f t="shared" si="17"/>
        <v>93830.127701470628</v>
      </c>
      <c r="AC51" s="1114">
        <v>0</v>
      </c>
      <c r="AD51" s="1114">
        <v>0</v>
      </c>
      <c r="AE51" s="1114">
        <f t="shared" si="43"/>
        <v>1166919.1160220995</v>
      </c>
      <c r="AF51" s="1114">
        <f t="shared" si="59"/>
        <v>91877.761416609137</v>
      </c>
      <c r="AG51" s="1114">
        <f t="shared" si="18"/>
        <v>1258796.8774387087</v>
      </c>
      <c r="AH51" s="1114">
        <f t="shared" si="19"/>
        <v>1258796.8774387087</v>
      </c>
      <c r="AI51" s="1117">
        <v>84.80864709788375</v>
      </c>
      <c r="AJ51" s="1117">
        <f t="shared" si="4"/>
        <v>8773379.7071258761</v>
      </c>
      <c r="AK51" s="1118">
        <v>4.5</v>
      </c>
      <c r="AL51" s="1117">
        <f t="shared" si="20"/>
        <v>2988009.752009559</v>
      </c>
      <c r="AM51" s="1119">
        <f t="shared" si="37"/>
        <v>6.9025000000000007</v>
      </c>
      <c r="AN51" s="1117">
        <f t="shared" si="21"/>
        <v>-8688845.446520688</v>
      </c>
      <c r="AO51" s="1117">
        <f t="shared" si="22"/>
        <v>3072544.012614747</v>
      </c>
      <c r="AP51" s="1114">
        <f t="shared" si="5"/>
        <v>-4949.8807278644599</v>
      </c>
      <c r="AQ51" s="1114">
        <f t="shared" si="6"/>
        <v>83586.887020800015</v>
      </c>
      <c r="AR51" s="1114">
        <f t="shared" si="7"/>
        <v>6291.486119845169</v>
      </c>
      <c r="AS51" s="1114">
        <v>0</v>
      </c>
      <c r="AT51" s="1114">
        <f t="shared" si="23"/>
        <v>84928.492412780717</v>
      </c>
      <c r="AU51" s="1120">
        <f>'[7]GHG Compliance '!B28</f>
        <v>58.77471130858973</v>
      </c>
      <c r="AV51" s="1117">
        <f t="shared" si="24"/>
        <v>4991647.6234349394</v>
      </c>
      <c r="AW51" s="1121">
        <f t="shared" si="25"/>
        <v>1439188.7175</v>
      </c>
      <c r="AX51" s="1121">
        <f t="shared" si="38"/>
        <v>-1090347.3528</v>
      </c>
      <c r="AY51" s="1121">
        <f t="shared" si="26"/>
        <v>348841.36470000003</v>
      </c>
      <c r="AZ51" s="1122">
        <v>0</v>
      </c>
      <c r="BA51" s="1122">
        <v>0</v>
      </c>
      <c r="BB51" s="1122">
        <f t="shared" si="27"/>
        <v>0</v>
      </c>
      <c r="BC51" s="1123">
        <f t="shared" si="28"/>
        <v>3421385.3773147473</v>
      </c>
      <c r="BD51" s="1123">
        <f t="shared" si="29"/>
        <v>8413033.0007496867</v>
      </c>
      <c r="BF51" s="1110"/>
      <c r="BH51" s="1153" t="s">
        <v>1252</v>
      </c>
      <c r="BI51" s="1140"/>
      <c r="BJ51" s="1140"/>
      <c r="BK51" s="1140"/>
      <c r="BL51" s="1152"/>
      <c r="BN51" s="1153"/>
      <c r="BO51" s="1140"/>
      <c r="BP51" s="1140"/>
      <c r="BQ51" s="1140"/>
      <c r="BR51" s="1152"/>
      <c r="BU51" s="1127">
        <f>-PMT(BJ$125,20,(SUM(BB$31:BB50)))</f>
        <v>-2319700.165742307</v>
      </c>
      <c r="BV51" s="1128">
        <f t="shared" si="44"/>
        <v>3421385.3773147473</v>
      </c>
      <c r="BW51" s="1128">
        <f t="shared" si="45"/>
        <v>8413033.0007496867</v>
      </c>
      <c r="BX51" s="1128">
        <f t="shared" si="46"/>
        <v>1101685.2115724403</v>
      </c>
      <c r="BY51" s="1128">
        <f t="shared" si="47"/>
        <v>6093332.8350073798</v>
      </c>
      <c r="BZ51" s="1125">
        <f t="shared" si="39"/>
        <v>564401.84204625001</v>
      </c>
      <c r="CA51" s="1008">
        <f t="shared" si="48"/>
        <v>0.61523888915384606</v>
      </c>
      <c r="CB51" s="1125">
        <f t="shared" si="49"/>
        <v>352968.38925120002</v>
      </c>
      <c r="CC51" s="1008">
        <f t="shared" si="48"/>
        <v>0.38476111084615389</v>
      </c>
      <c r="CD51" s="1129">
        <f t="shared" si="50"/>
        <v>547520.14500000002</v>
      </c>
      <c r="CE51" s="1129">
        <f t="shared" si="51"/>
        <v>127999.908</v>
      </c>
      <c r="CF51" s="1128">
        <f t="shared" si="52"/>
        <v>677799.58576504805</v>
      </c>
      <c r="CG51" s="1128">
        <f t="shared" si="53"/>
        <v>423885.62580739224</v>
      </c>
      <c r="CH51" s="1130">
        <f t="shared" si="54"/>
        <v>1.237944561409787</v>
      </c>
      <c r="CI51" s="1130">
        <f t="shared" si="54"/>
        <v>3.3116088318390999</v>
      </c>
      <c r="CJ51" s="1128">
        <f t="shared" si="55"/>
        <v>3748855.3246545959</v>
      </c>
      <c r="CK51" s="1128">
        <f t="shared" si="56"/>
        <v>2344477.5103527834</v>
      </c>
      <c r="CL51" s="1130">
        <f t="shared" si="57"/>
        <v>6.8469724062017772</v>
      </c>
      <c r="CM51" s="1130">
        <f t="shared" si="58"/>
        <v>18.316243714431291</v>
      </c>
    </row>
    <row r="52" spans="1:91" ht="15.75">
      <c r="A52" s="1111">
        <f t="shared" si="8"/>
        <v>2031</v>
      </c>
      <c r="B52" s="1112">
        <f t="shared" si="9"/>
        <v>127999.908</v>
      </c>
      <c r="C52" s="1113">
        <v>0</v>
      </c>
      <c r="D52" s="1114">
        <f t="shared" si="0"/>
        <v>0</v>
      </c>
      <c r="E52" s="1114">
        <f t="shared" si="10"/>
        <v>547520.14500000002</v>
      </c>
      <c r="F52" s="1113">
        <f t="shared" si="30"/>
        <v>0</v>
      </c>
      <c r="G52" s="1114">
        <f t="shared" si="11"/>
        <v>0</v>
      </c>
      <c r="H52" s="1112">
        <f t="shared" si="60"/>
        <v>0</v>
      </c>
      <c r="I52" s="1113">
        <f t="shared" si="60"/>
        <v>0</v>
      </c>
      <c r="J52" s="1114">
        <f t="shared" si="1"/>
        <v>0</v>
      </c>
      <c r="K52" s="1115">
        <v>0</v>
      </c>
      <c r="L52" s="1113">
        <v>0</v>
      </c>
      <c r="M52" s="1114">
        <f t="shared" si="12"/>
        <v>0</v>
      </c>
      <c r="N52" s="1116">
        <f t="shared" si="2"/>
        <v>127999.908</v>
      </c>
      <c r="O52" s="1116">
        <f t="shared" si="32"/>
        <v>0</v>
      </c>
      <c r="P52" s="1116">
        <f t="shared" si="13"/>
        <v>127999.908</v>
      </c>
      <c r="Q52" s="1116">
        <f t="shared" si="40"/>
        <v>103449.11760000001</v>
      </c>
      <c r="R52" s="1116">
        <f t="shared" si="3"/>
        <v>-103449.11760000001</v>
      </c>
      <c r="S52" s="1116">
        <f t="shared" si="14"/>
        <v>24550.790399999983</v>
      </c>
      <c r="T52" s="1116">
        <f t="shared" si="33"/>
        <v>547520.14500000002</v>
      </c>
      <c r="U52" s="1116">
        <f t="shared" si="34"/>
        <v>547520.14500000002</v>
      </c>
      <c r="V52" s="1116">
        <f t="shared" si="41"/>
        <v>411939</v>
      </c>
      <c r="W52" s="1116">
        <f t="shared" si="42"/>
        <v>67790.572500000009</v>
      </c>
      <c r="X52" s="1116">
        <f t="shared" si="35"/>
        <v>-479729.57250000001</v>
      </c>
      <c r="Y52" s="1116">
        <f t="shared" si="36"/>
        <v>67790.572500000009</v>
      </c>
      <c r="Z52" s="1116">
        <f t="shared" si="15"/>
        <v>757832.29481470597</v>
      </c>
      <c r="AA52" s="1116">
        <f t="shared" si="16"/>
        <v>-664002.16711323534</v>
      </c>
      <c r="AB52" s="1116">
        <f t="shared" si="17"/>
        <v>93830.127701470628</v>
      </c>
      <c r="AC52" s="1114">
        <v>0</v>
      </c>
      <c r="AD52" s="1114">
        <v>0</v>
      </c>
      <c r="AE52" s="1114">
        <f t="shared" si="43"/>
        <v>1166919.1160220995</v>
      </c>
      <c r="AF52" s="1114">
        <f t="shared" si="59"/>
        <v>91877.761416609137</v>
      </c>
      <c r="AG52" s="1114">
        <f t="shared" si="18"/>
        <v>1258796.8774387087</v>
      </c>
      <c r="AH52" s="1114">
        <f t="shared" si="19"/>
        <v>1258796.8774387087</v>
      </c>
      <c r="AI52" s="1117">
        <v>86.303632523683376</v>
      </c>
      <c r="AJ52" s="1117">
        <f t="shared" si="4"/>
        <v>8928034.630249707</v>
      </c>
      <c r="AK52" s="1118">
        <v>4.5</v>
      </c>
      <c r="AL52" s="1117">
        <f t="shared" si="20"/>
        <v>2988009.752009559</v>
      </c>
      <c r="AM52" s="1119">
        <f t="shared" si="37"/>
        <v>6.9025000000000007</v>
      </c>
      <c r="AN52" s="1117">
        <f t="shared" si="21"/>
        <v>-8688845.446520688</v>
      </c>
      <c r="AO52" s="1117">
        <f t="shared" si="22"/>
        <v>3227198.935738578</v>
      </c>
      <c r="AP52" s="1114">
        <f t="shared" si="5"/>
        <v>-4949.8807278644599</v>
      </c>
      <c r="AQ52" s="1114">
        <f t="shared" si="6"/>
        <v>83586.887020800015</v>
      </c>
      <c r="AR52" s="1114">
        <f t="shared" si="7"/>
        <v>6291.486119845169</v>
      </c>
      <c r="AS52" s="1114">
        <v>0</v>
      </c>
      <c r="AT52" s="1114">
        <f t="shared" si="23"/>
        <v>84928.492412780717</v>
      </c>
      <c r="AU52" s="1120">
        <f>'[7]GHG Compliance '!B29</f>
        <v>61.354776269366653</v>
      </c>
      <c r="AV52" s="1117">
        <f t="shared" si="24"/>
        <v>5210768.6508807642</v>
      </c>
      <c r="AW52" s="1121">
        <f t="shared" si="25"/>
        <v>1439188.7175</v>
      </c>
      <c r="AX52" s="1121">
        <f t="shared" si="38"/>
        <v>-1090347.3528</v>
      </c>
      <c r="AY52" s="1121">
        <f t="shared" si="26"/>
        <v>348841.36470000003</v>
      </c>
      <c r="AZ52" s="1122">
        <v>0</v>
      </c>
      <c r="BA52" s="1122">
        <v>0</v>
      </c>
      <c r="BB52" s="1122">
        <f t="shared" si="27"/>
        <v>0</v>
      </c>
      <c r="BC52" s="1123">
        <f t="shared" si="28"/>
        <v>3576040.3004385782</v>
      </c>
      <c r="BD52" s="1123">
        <f t="shared" si="29"/>
        <v>8786808.9513193425</v>
      </c>
      <c r="BF52" s="1110"/>
      <c r="BH52" s="1153" t="s">
        <v>1253</v>
      </c>
      <c r="BI52" s="1149" t="s">
        <v>1254</v>
      </c>
      <c r="BJ52" s="1154">
        <f>BJ39</f>
        <v>127999.908</v>
      </c>
      <c r="BK52" s="1132" t="s">
        <v>1232</v>
      </c>
      <c r="BL52" s="1152"/>
      <c r="BN52" s="1153"/>
      <c r="BO52" s="1149"/>
      <c r="BP52" s="1154"/>
      <c r="BQ52" s="1132"/>
      <c r="BR52" s="1152"/>
      <c r="BU52" s="1127">
        <f>-PMT(BJ$125,20,(SUM(BB$31:BB51)))</f>
        <v>-2319700.165742307</v>
      </c>
      <c r="BV52" s="1128">
        <f t="shared" si="44"/>
        <v>3576040.3004385782</v>
      </c>
      <c r="BW52" s="1128">
        <f t="shared" si="45"/>
        <v>8786808.9513193425</v>
      </c>
      <c r="BX52" s="1128">
        <f t="shared" si="46"/>
        <v>1256340.1346962713</v>
      </c>
      <c r="BY52" s="1128">
        <f t="shared" si="47"/>
        <v>6467108.7855770355</v>
      </c>
      <c r="BZ52" s="1125">
        <f t="shared" si="39"/>
        <v>564401.84204625001</v>
      </c>
      <c r="CA52" s="1008">
        <f t="shared" si="48"/>
        <v>0.61523888915384606</v>
      </c>
      <c r="CB52" s="1125">
        <f t="shared" si="49"/>
        <v>352968.38925120002</v>
      </c>
      <c r="CC52" s="1008">
        <f t="shared" si="48"/>
        <v>0.38476111084615389</v>
      </c>
      <c r="CD52" s="1129">
        <f t="shared" si="50"/>
        <v>547520.14500000002</v>
      </c>
      <c r="CE52" s="1129">
        <f t="shared" si="51"/>
        <v>127999.908</v>
      </c>
      <c r="CF52" s="1128">
        <f t="shared" si="52"/>
        <v>772949.30886992731</v>
      </c>
      <c r="CG52" s="1128">
        <f t="shared" si="53"/>
        <v>483390.82582634391</v>
      </c>
      <c r="CH52" s="1130">
        <f t="shared" si="54"/>
        <v>1.4117276157390104</v>
      </c>
      <c r="CI52" s="1130">
        <f t="shared" si="54"/>
        <v>3.7764935411230445</v>
      </c>
      <c r="CJ52" s="1128">
        <f t="shared" si="55"/>
        <v>3978816.8252754938</v>
      </c>
      <c r="CK52" s="1128">
        <f t="shared" si="56"/>
        <v>2488291.9603015413</v>
      </c>
      <c r="CL52" s="1130">
        <f t="shared" si="57"/>
        <v>7.2669779579991411</v>
      </c>
      <c r="CM52" s="1130">
        <f t="shared" si="58"/>
        <v>19.439794912208384</v>
      </c>
    </row>
    <row r="53" spans="1:91" ht="15.75">
      <c r="A53" s="1111">
        <f t="shared" si="8"/>
        <v>2032</v>
      </c>
      <c r="B53" s="1112">
        <f t="shared" si="9"/>
        <v>127999.908</v>
      </c>
      <c r="C53" s="1113">
        <v>0</v>
      </c>
      <c r="D53" s="1114">
        <f t="shared" si="0"/>
        <v>0</v>
      </c>
      <c r="E53" s="1114">
        <f t="shared" si="10"/>
        <v>547520.14500000002</v>
      </c>
      <c r="F53" s="1113">
        <f t="shared" si="30"/>
        <v>0</v>
      </c>
      <c r="G53" s="1114">
        <f t="shared" si="11"/>
        <v>0</v>
      </c>
      <c r="H53" s="1112">
        <f t="shared" si="60"/>
        <v>0</v>
      </c>
      <c r="I53" s="1113">
        <f t="shared" si="60"/>
        <v>0</v>
      </c>
      <c r="J53" s="1114">
        <f t="shared" si="1"/>
        <v>0</v>
      </c>
      <c r="K53" s="1115">
        <v>0</v>
      </c>
      <c r="L53" s="1113">
        <v>0</v>
      </c>
      <c r="M53" s="1114">
        <f t="shared" si="12"/>
        <v>0</v>
      </c>
      <c r="N53" s="1116">
        <f t="shared" si="2"/>
        <v>127999.908</v>
      </c>
      <c r="O53" s="1116">
        <f t="shared" si="32"/>
        <v>0</v>
      </c>
      <c r="P53" s="1116">
        <f t="shared" si="13"/>
        <v>127999.908</v>
      </c>
      <c r="Q53" s="1116">
        <f t="shared" si="40"/>
        <v>103449.11760000001</v>
      </c>
      <c r="R53" s="1116">
        <f t="shared" si="3"/>
        <v>-103449.11760000001</v>
      </c>
      <c r="S53" s="1116">
        <f t="shared" si="14"/>
        <v>24550.790399999983</v>
      </c>
      <c r="T53" s="1116">
        <f t="shared" si="33"/>
        <v>547520.14500000002</v>
      </c>
      <c r="U53" s="1116">
        <f t="shared" si="34"/>
        <v>547520.14500000002</v>
      </c>
      <c r="V53" s="1116">
        <f t="shared" si="41"/>
        <v>411939</v>
      </c>
      <c r="W53" s="1116">
        <f t="shared" si="42"/>
        <v>67790.572500000009</v>
      </c>
      <c r="X53" s="1116">
        <f t="shared" si="35"/>
        <v>-479729.57250000001</v>
      </c>
      <c r="Y53" s="1116">
        <f t="shared" si="36"/>
        <v>67790.572500000009</v>
      </c>
      <c r="Z53" s="1116">
        <f t="shared" si="15"/>
        <v>757832.29481470597</v>
      </c>
      <c r="AA53" s="1116">
        <f t="shared" si="16"/>
        <v>-664002.16711323534</v>
      </c>
      <c r="AB53" s="1116">
        <f t="shared" si="17"/>
        <v>93830.127701470628</v>
      </c>
      <c r="AC53" s="1114">
        <v>0</v>
      </c>
      <c r="AD53" s="1114">
        <v>0</v>
      </c>
      <c r="AE53" s="1114">
        <f t="shared" si="43"/>
        <v>1166919.1160220995</v>
      </c>
      <c r="AF53" s="1114">
        <f t="shared" si="59"/>
        <v>91877.761416609137</v>
      </c>
      <c r="AG53" s="1114">
        <f t="shared" si="18"/>
        <v>1258796.8774387087</v>
      </c>
      <c r="AH53" s="1114">
        <f t="shared" si="19"/>
        <v>1258796.8774387087</v>
      </c>
      <c r="AI53" s="1117">
        <v>87.63933805943131</v>
      </c>
      <c r="AJ53" s="1117">
        <f t="shared" si="4"/>
        <v>9066212.1892962661</v>
      </c>
      <c r="AK53" s="1118">
        <v>4.5</v>
      </c>
      <c r="AL53" s="1117">
        <f t="shared" si="20"/>
        <v>2988009.752009559</v>
      </c>
      <c r="AM53" s="1119">
        <f t="shared" si="37"/>
        <v>6.9025000000000007</v>
      </c>
      <c r="AN53" s="1117">
        <f t="shared" si="21"/>
        <v>-8688845.446520688</v>
      </c>
      <c r="AO53" s="1117">
        <f t="shared" si="22"/>
        <v>3365376.494785137</v>
      </c>
      <c r="AP53" s="1114">
        <f t="shared" si="5"/>
        <v>-4949.8807278644599</v>
      </c>
      <c r="AQ53" s="1114">
        <f t="shared" si="6"/>
        <v>83586.887020800015</v>
      </c>
      <c r="AR53" s="1114">
        <f t="shared" si="7"/>
        <v>6291.486119845169</v>
      </c>
      <c r="AS53" s="1114">
        <v>0</v>
      </c>
      <c r="AT53" s="1114">
        <f t="shared" si="23"/>
        <v>84928.492412780717</v>
      </c>
      <c r="AU53" s="1120">
        <f>'[7]GHG Compliance '!B30</f>
        <v>64.196932597852182</v>
      </c>
      <c r="AV53" s="1117">
        <f t="shared" si="24"/>
        <v>5452148.7030604845</v>
      </c>
      <c r="AW53" s="1121">
        <f t="shared" si="25"/>
        <v>1439188.7175</v>
      </c>
      <c r="AX53" s="1121">
        <f t="shared" si="38"/>
        <v>-1090347.3528</v>
      </c>
      <c r="AY53" s="1121">
        <f t="shared" si="26"/>
        <v>348841.36470000003</v>
      </c>
      <c r="AZ53" s="1122">
        <v>0</v>
      </c>
      <c r="BA53" s="1122">
        <f>SUM(BA31:BA33)/2</f>
        <v>-18750000</v>
      </c>
      <c r="BB53" s="1122">
        <f t="shared" si="27"/>
        <v>-18750000</v>
      </c>
      <c r="BC53" s="1123">
        <f t="shared" si="28"/>
        <v>-15035782.140514862</v>
      </c>
      <c r="BD53" s="1123">
        <f t="shared" si="29"/>
        <v>-9583633.4374543782</v>
      </c>
      <c r="BF53" s="1110"/>
      <c r="BH53" s="1153"/>
      <c r="BI53" s="1149" t="s">
        <v>1254</v>
      </c>
      <c r="BJ53" s="1154">
        <v>9900</v>
      </c>
      <c r="BK53" s="1132" t="s">
        <v>104</v>
      </c>
      <c r="BL53" s="1152" t="s">
        <v>1255</v>
      </c>
      <c r="BN53" s="1153"/>
      <c r="BO53" s="1149"/>
      <c r="BP53" s="1154"/>
      <c r="BQ53" s="1132"/>
      <c r="BR53" s="1152"/>
      <c r="BU53" s="1127">
        <f>-PMT(BJ$125,20,(SUM(BB$31:BB52)))</f>
        <v>-2319700.165742307</v>
      </c>
      <c r="BV53" s="1128">
        <f t="shared" si="44"/>
        <v>-15035782.140514862</v>
      </c>
      <c r="BW53" s="1128">
        <f t="shared" si="45"/>
        <v>-9583633.4374543764</v>
      </c>
      <c r="BX53" s="1128">
        <f t="shared" si="46"/>
        <v>-17355482.30625717</v>
      </c>
      <c r="BY53" s="1128">
        <f t="shared" si="47"/>
        <v>-11903333.603196684</v>
      </c>
      <c r="BZ53" s="1125">
        <f t="shared" si="39"/>
        <v>564401.84204625001</v>
      </c>
      <c r="CA53" s="1008">
        <f t="shared" si="48"/>
        <v>0.61523888915384606</v>
      </c>
      <c r="CB53" s="1125">
        <f t="shared" si="49"/>
        <v>352968.38925120002</v>
      </c>
      <c r="CC53" s="1008">
        <f t="shared" si="48"/>
        <v>0.38476111084615389</v>
      </c>
      <c r="CD53" s="1129">
        <f t="shared" si="50"/>
        <v>547520.14500000002</v>
      </c>
      <c r="CE53" s="1129">
        <f t="shared" si="51"/>
        <v>127999.908</v>
      </c>
      <c r="CF53" s="1128">
        <f t="shared" si="52"/>
        <v>-10677767.654830892</v>
      </c>
      <c r="CG53" s="1128">
        <f t="shared" si="53"/>
        <v>-6677714.6514262771</v>
      </c>
      <c r="CH53" s="1130">
        <f t="shared" si="54"/>
        <v>-19.502054403552386</v>
      </c>
      <c r="CI53" s="1130">
        <f t="shared" si="54"/>
        <v>-52.1696832112276</v>
      </c>
      <c r="CJ53" s="1128">
        <f t="shared" si="55"/>
        <v>-7323393.7432583757</v>
      </c>
      <c r="CK53" s="1128">
        <f t="shared" si="56"/>
        <v>-4579939.8599383077</v>
      </c>
      <c r="CL53" s="1130">
        <f t="shared" si="57"/>
        <v>-13.375569483855932</v>
      </c>
      <c r="CM53" s="1130">
        <f t="shared" si="58"/>
        <v>-35.780805873222249</v>
      </c>
    </row>
    <row r="54" spans="1:91" ht="15.75">
      <c r="A54" s="1111">
        <f t="shared" si="8"/>
        <v>2033</v>
      </c>
      <c r="B54" s="1112">
        <f t="shared" si="9"/>
        <v>127999.908</v>
      </c>
      <c r="C54" s="1113">
        <v>0</v>
      </c>
      <c r="D54" s="1114">
        <f t="shared" si="0"/>
        <v>0</v>
      </c>
      <c r="E54" s="1114">
        <f t="shared" si="10"/>
        <v>547520.14500000002</v>
      </c>
      <c r="F54" s="1113">
        <f t="shared" si="30"/>
        <v>0</v>
      </c>
      <c r="G54" s="1114">
        <f t="shared" si="11"/>
        <v>0</v>
      </c>
      <c r="H54" s="1112">
        <f t="shared" si="60"/>
        <v>0</v>
      </c>
      <c r="I54" s="1113">
        <f t="shared" si="60"/>
        <v>0</v>
      </c>
      <c r="J54" s="1114">
        <f t="shared" si="1"/>
        <v>0</v>
      </c>
      <c r="K54" s="1115">
        <v>0</v>
      </c>
      <c r="L54" s="1113">
        <v>0</v>
      </c>
      <c r="M54" s="1114">
        <f t="shared" si="12"/>
        <v>0</v>
      </c>
      <c r="N54" s="1116">
        <f t="shared" si="2"/>
        <v>127999.908</v>
      </c>
      <c r="O54" s="1116">
        <f t="shared" si="32"/>
        <v>0</v>
      </c>
      <c r="P54" s="1116">
        <f t="shared" si="13"/>
        <v>127999.908</v>
      </c>
      <c r="Q54" s="1116">
        <f t="shared" si="40"/>
        <v>103449.11760000001</v>
      </c>
      <c r="R54" s="1116">
        <f t="shared" si="3"/>
        <v>-103449.11760000001</v>
      </c>
      <c r="S54" s="1116">
        <f t="shared" si="14"/>
        <v>24550.790399999983</v>
      </c>
      <c r="T54" s="1116">
        <f t="shared" si="33"/>
        <v>547520.14500000002</v>
      </c>
      <c r="U54" s="1116">
        <f t="shared" si="34"/>
        <v>547520.14500000002</v>
      </c>
      <c r="V54" s="1116">
        <f t="shared" si="41"/>
        <v>411939</v>
      </c>
      <c r="W54" s="1116">
        <f t="shared" si="42"/>
        <v>67790.572500000009</v>
      </c>
      <c r="X54" s="1116">
        <f t="shared" si="35"/>
        <v>-479729.57250000001</v>
      </c>
      <c r="Y54" s="1116">
        <f t="shared" si="36"/>
        <v>67790.572500000009</v>
      </c>
      <c r="Z54" s="1116">
        <f t="shared" si="15"/>
        <v>757832.29481470597</v>
      </c>
      <c r="AA54" s="1116">
        <f t="shared" si="16"/>
        <v>-664002.16711323534</v>
      </c>
      <c r="AB54" s="1116">
        <f t="shared" si="17"/>
        <v>93830.127701470628</v>
      </c>
      <c r="AC54" s="1114">
        <v>0</v>
      </c>
      <c r="AD54" s="1114">
        <v>0</v>
      </c>
      <c r="AE54" s="1114">
        <f t="shared" si="43"/>
        <v>1166919.1160220995</v>
      </c>
      <c r="AF54" s="1114">
        <f t="shared" si="59"/>
        <v>91877.761416609137</v>
      </c>
      <c r="AG54" s="1114">
        <f t="shared" si="18"/>
        <v>1258796.8774387087</v>
      </c>
      <c r="AH54" s="1114">
        <f t="shared" si="19"/>
        <v>1258796.8774387087</v>
      </c>
      <c r="AI54" s="1117">
        <v>88.995716065457202</v>
      </c>
      <c r="AJ54" s="1117">
        <f t="shared" si="4"/>
        <v>9206528.2971516922</v>
      </c>
      <c r="AK54" s="1118">
        <v>4.5</v>
      </c>
      <c r="AL54" s="1117">
        <f t="shared" si="20"/>
        <v>2988009.752009559</v>
      </c>
      <c r="AM54" s="1119">
        <f t="shared" si="37"/>
        <v>6.9025000000000007</v>
      </c>
      <c r="AN54" s="1117">
        <f t="shared" si="21"/>
        <v>-8688845.446520688</v>
      </c>
      <c r="AO54" s="1117">
        <f t="shared" si="22"/>
        <v>3505692.6026405632</v>
      </c>
      <c r="AP54" s="1114">
        <f t="shared" si="5"/>
        <v>-4949.8807278644599</v>
      </c>
      <c r="AQ54" s="1114">
        <f t="shared" si="6"/>
        <v>83586.887020800015</v>
      </c>
      <c r="AR54" s="1114">
        <f t="shared" si="7"/>
        <v>6291.486119845169</v>
      </c>
      <c r="AS54" s="1114">
        <v>0</v>
      </c>
      <c r="AT54" s="1114">
        <f t="shared" si="23"/>
        <v>84928.492412780717</v>
      </c>
      <c r="AU54" s="1120">
        <f>'[7]GHG Compliance '!B31</f>
        <v>67.056846437870178</v>
      </c>
      <c r="AV54" s="1117">
        <f t="shared" si="24"/>
        <v>5695036.8739236593</v>
      </c>
      <c r="AW54" s="1121">
        <f t="shared" si="25"/>
        <v>1439188.7175</v>
      </c>
      <c r="AX54" s="1121">
        <f t="shared" si="38"/>
        <v>-1090347.3528</v>
      </c>
      <c r="AY54" s="1121">
        <f t="shared" si="26"/>
        <v>348841.36470000003</v>
      </c>
      <c r="AZ54" s="1122">
        <v>0</v>
      </c>
      <c r="BA54" s="1122">
        <v>0</v>
      </c>
      <c r="BB54" s="1122">
        <f t="shared" si="27"/>
        <v>0</v>
      </c>
      <c r="BC54" s="1123">
        <f t="shared" si="28"/>
        <v>3854533.9673405634</v>
      </c>
      <c r="BD54" s="1123">
        <f t="shared" si="29"/>
        <v>9549570.8412642237</v>
      </c>
      <c r="BF54" s="1110"/>
      <c r="BH54" s="1153" t="s">
        <v>1242</v>
      </c>
      <c r="BI54" s="1140" t="s">
        <v>1256</v>
      </c>
      <c r="BJ54" s="1154">
        <f>BJ43</f>
        <v>547520.14500000002</v>
      </c>
      <c r="BK54" s="1140" t="s">
        <v>1244</v>
      </c>
      <c r="BL54" s="1152"/>
      <c r="BN54" s="1153"/>
      <c r="BO54" s="1140"/>
      <c r="BP54" s="1154"/>
      <c r="BQ54" s="1140"/>
      <c r="BR54" s="1152"/>
      <c r="BU54" s="1127">
        <f>-PMT(BJ$125,20,(SUM(BB$53:BB53)))</f>
        <v>-1159850.0828711535</v>
      </c>
      <c r="BZ54" s="1125"/>
      <c r="CB54" s="1125"/>
    </row>
    <row r="55" spans="1:91" ht="15.75">
      <c r="A55" s="1111">
        <f t="shared" si="8"/>
        <v>2034</v>
      </c>
      <c r="B55" s="1112">
        <f t="shared" si="9"/>
        <v>127999.908</v>
      </c>
      <c r="C55" s="1113">
        <v>0</v>
      </c>
      <c r="D55" s="1114">
        <f t="shared" si="0"/>
        <v>0</v>
      </c>
      <c r="E55" s="1114">
        <f t="shared" si="10"/>
        <v>547520.14500000002</v>
      </c>
      <c r="F55" s="1113">
        <f t="shared" si="30"/>
        <v>0</v>
      </c>
      <c r="G55" s="1114">
        <f t="shared" si="11"/>
        <v>0</v>
      </c>
      <c r="H55" s="1112">
        <f t="shared" si="60"/>
        <v>0</v>
      </c>
      <c r="I55" s="1113">
        <f t="shared" si="60"/>
        <v>0</v>
      </c>
      <c r="J55" s="1114">
        <f t="shared" si="1"/>
        <v>0</v>
      </c>
      <c r="K55" s="1115">
        <v>0</v>
      </c>
      <c r="L55" s="1113">
        <v>0</v>
      </c>
      <c r="M55" s="1114">
        <f t="shared" si="12"/>
        <v>0</v>
      </c>
      <c r="N55" s="1116">
        <f t="shared" si="2"/>
        <v>127999.908</v>
      </c>
      <c r="O55" s="1116">
        <f t="shared" si="32"/>
        <v>0</v>
      </c>
      <c r="P55" s="1116">
        <f t="shared" si="13"/>
        <v>127999.908</v>
      </c>
      <c r="Q55" s="1116">
        <f t="shared" si="40"/>
        <v>103449.11760000001</v>
      </c>
      <c r="R55" s="1116">
        <f t="shared" si="3"/>
        <v>-103449.11760000001</v>
      </c>
      <c r="S55" s="1116">
        <f t="shared" si="14"/>
        <v>24550.790399999983</v>
      </c>
      <c r="T55" s="1116">
        <f t="shared" si="33"/>
        <v>547520.14500000002</v>
      </c>
      <c r="U55" s="1116">
        <f t="shared" si="34"/>
        <v>547520.14500000002</v>
      </c>
      <c r="V55" s="1116">
        <f t="shared" si="41"/>
        <v>411939</v>
      </c>
      <c r="W55" s="1116">
        <f t="shared" si="42"/>
        <v>67790.572500000009</v>
      </c>
      <c r="X55" s="1116">
        <f t="shared" si="35"/>
        <v>-479729.57250000001</v>
      </c>
      <c r="Y55" s="1116">
        <f t="shared" si="36"/>
        <v>67790.572500000009</v>
      </c>
      <c r="Z55" s="1116">
        <f t="shared" si="15"/>
        <v>757832.29481470597</v>
      </c>
      <c r="AA55" s="1116">
        <f t="shared" si="16"/>
        <v>-664002.16711323534</v>
      </c>
      <c r="AB55" s="1116">
        <f t="shared" si="17"/>
        <v>93830.127701470628</v>
      </c>
      <c r="AC55" s="1114">
        <v>0</v>
      </c>
      <c r="AD55" s="1114">
        <v>0</v>
      </c>
      <c r="AE55" s="1114">
        <f t="shared" si="43"/>
        <v>1166919.1160220995</v>
      </c>
      <c r="AF55" s="1114">
        <f t="shared" si="59"/>
        <v>91877.761416609137</v>
      </c>
      <c r="AG55" s="1114">
        <f t="shared" si="18"/>
        <v>1258796.8774387087</v>
      </c>
      <c r="AH55" s="1114">
        <f t="shared" si="19"/>
        <v>1258796.8774387087</v>
      </c>
      <c r="AI55" s="1117">
        <v>90.373086485802617</v>
      </c>
      <c r="AJ55" s="1117">
        <f t="shared" si="4"/>
        <v>9349016.0517447665</v>
      </c>
      <c r="AK55" s="1118">
        <v>4.5</v>
      </c>
      <c r="AL55" s="1117">
        <f t="shared" si="20"/>
        <v>2988009.752009559</v>
      </c>
      <c r="AM55" s="1119">
        <f t="shared" si="37"/>
        <v>6.9025000000000007</v>
      </c>
      <c r="AN55" s="1117">
        <f t="shared" si="21"/>
        <v>-8688845.446520688</v>
      </c>
      <c r="AO55" s="1117">
        <f t="shared" si="22"/>
        <v>3648180.3572336375</v>
      </c>
      <c r="AP55" s="1114">
        <f t="shared" si="5"/>
        <v>-4949.8807278644599</v>
      </c>
      <c r="AQ55" s="1114">
        <f t="shared" si="6"/>
        <v>83586.887020800015</v>
      </c>
      <c r="AR55" s="1114">
        <f t="shared" si="7"/>
        <v>6291.486119845169</v>
      </c>
      <c r="AS55" s="1114">
        <v>0</v>
      </c>
      <c r="AT55" s="1114">
        <f t="shared" si="23"/>
        <v>84928.492412780717</v>
      </c>
      <c r="AU55" s="1120">
        <f>'[7]GHG Compliance '!B32</f>
        <v>69.93540566499729</v>
      </c>
      <c r="AV55" s="1117">
        <f t="shared" si="24"/>
        <v>5939508.5694044642</v>
      </c>
      <c r="AW55" s="1121">
        <f t="shared" si="25"/>
        <v>1439188.7175</v>
      </c>
      <c r="AX55" s="1121">
        <f t="shared" si="38"/>
        <v>-1090347.3528</v>
      </c>
      <c r="AY55" s="1121">
        <f t="shared" si="26"/>
        <v>348841.36470000003</v>
      </c>
      <c r="AZ55" s="1122">
        <v>0</v>
      </c>
      <c r="BA55" s="1122">
        <v>0</v>
      </c>
      <c r="BB55" s="1122">
        <f t="shared" si="27"/>
        <v>0</v>
      </c>
      <c r="BC55" s="1123">
        <f t="shared" si="28"/>
        <v>3997021.7219336377</v>
      </c>
      <c r="BD55" s="1123">
        <f t="shared" si="29"/>
        <v>9936530.2913381029</v>
      </c>
      <c r="BF55" s="1110"/>
      <c r="BH55" s="1097" t="s">
        <v>1257</v>
      </c>
      <c r="BI55" s="1140" t="s">
        <v>1258</v>
      </c>
      <c r="BJ55" s="1154">
        <f>BJ91*BJ93*BJ33*BJ94</f>
        <v>103449.11760000001</v>
      </c>
      <c r="BK55" s="1132" t="s">
        <v>1232</v>
      </c>
      <c r="BL55" s="1152"/>
      <c r="BN55" s="1097"/>
      <c r="BO55" s="1140"/>
      <c r="BP55" s="1154"/>
      <c r="BQ55" s="1132"/>
      <c r="BR55" s="1152"/>
      <c r="BU55" s="1127">
        <f>-PMT(BJ$125,20,(SUM(BB$53:BB54)))</f>
        <v>-1159850.0828711535</v>
      </c>
      <c r="BZ55" s="1125"/>
      <c r="CB55" s="1125"/>
    </row>
    <row r="56" spans="1:91" ht="15.75">
      <c r="A56" s="1111">
        <f t="shared" si="8"/>
        <v>2035</v>
      </c>
      <c r="B56" s="1112">
        <f t="shared" si="9"/>
        <v>127999.908</v>
      </c>
      <c r="C56" s="1113">
        <v>0</v>
      </c>
      <c r="D56" s="1114">
        <f t="shared" si="0"/>
        <v>0</v>
      </c>
      <c r="E56" s="1114">
        <f t="shared" si="10"/>
        <v>547520.14500000002</v>
      </c>
      <c r="F56" s="1113">
        <f t="shared" si="30"/>
        <v>0</v>
      </c>
      <c r="G56" s="1114">
        <f t="shared" si="11"/>
        <v>0</v>
      </c>
      <c r="H56" s="1112">
        <f t="shared" si="60"/>
        <v>0</v>
      </c>
      <c r="I56" s="1113">
        <f t="shared" si="60"/>
        <v>0</v>
      </c>
      <c r="J56" s="1114">
        <f t="shared" si="1"/>
        <v>0</v>
      </c>
      <c r="K56" s="1115">
        <v>0</v>
      </c>
      <c r="L56" s="1113">
        <v>0</v>
      </c>
      <c r="M56" s="1114">
        <f t="shared" si="12"/>
        <v>0</v>
      </c>
      <c r="N56" s="1116">
        <f t="shared" si="2"/>
        <v>127999.908</v>
      </c>
      <c r="O56" s="1116">
        <f t="shared" si="32"/>
        <v>0</v>
      </c>
      <c r="P56" s="1116">
        <f t="shared" si="13"/>
        <v>127999.908</v>
      </c>
      <c r="Q56" s="1116">
        <f t="shared" si="40"/>
        <v>103449.11760000001</v>
      </c>
      <c r="R56" s="1116">
        <f t="shared" si="3"/>
        <v>-103449.11760000001</v>
      </c>
      <c r="S56" s="1116">
        <f t="shared" si="14"/>
        <v>24550.790399999983</v>
      </c>
      <c r="T56" s="1116">
        <f t="shared" si="33"/>
        <v>547520.14500000002</v>
      </c>
      <c r="U56" s="1116">
        <f t="shared" si="34"/>
        <v>547520.14500000002</v>
      </c>
      <c r="V56" s="1116">
        <f t="shared" si="41"/>
        <v>411939</v>
      </c>
      <c r="W56" s="1116">
        <f t="shared" si="42"/>
        <v>67790.572500000009</v>
      </c>
      <c r="X56" s="1116">
        <f t="shared" si="35"/>
        <v>-479729.57250000001</v>
      </c>
      <c r="Y56" s="1116">
        <f t="shared" si="36"/>
        <v>67790.572500000009</v>
      </c>
      <c r="Z56" s="1116">
        <f t="shared" si="15"/>
        <v>757832.29481470597</v>
      </c>
      <c r="AA56" s="1116">
        <f t="shared" si="16"/>
        <v>-664002.16711323534</v>
      </c>
      <c r="AB56" s="1116">
        <f t="shared" si="17"/>
        <v>93830.127701470628</v>
      </c>
      <c r="AC56" s="1114">
        <v>0</v>
      </c>
      <c r="AD56" s="1114">
        <v>0</v>
      </c>
      <c r="AE56" s="1114">
        <f t="shared" si="43"/>
        <v>1166919.1160220995</v>
      </c>
      <c r="AF56" s="1114">
        <f t="shared" si="59"/>
        <v>91877.761416609137</v>
      </c>
      <c r="AG56" s="1114">
        <f t="shared" si="18"/>
        <v>1258796.8774387087</v>
      </c>
      <c r="AH56" s="1114">
        <f t="shared" si="19"/>
        <v>1258796.8774387087</v>
      </c>
      <c r="AI56" s="1117">
        <v>91.771774216224472</v>
      </c>
      <c r="AJ56" s="1117">
        <f t="shared" si="4"/>
        <v>9493709.0632548537</v>
      </c>
      <c r="AK56" s="1118">
        <v>4.5</v>
      </c>
      <c r="AL56" s="1117">
        <f t="shared" si="20"/>
        <v>2988009.752009559</v>
      </c>
      <c r="AM56" s="1119">
        <f t="shared" si="37"/>
        <v>6.9025000000000007</v>
      </c>
      <c r="AN56" s="1117">
        <f t="shared" si="21"/>
        <v>-8688845.446520688</v>
      </c>
      <c r="AO56" s="1117">
        <f t="shared" si="22"/>
        <v>3792873.3687437247</v>
      </c>
      <c r="AP56" s="1114">
        <f t="shared" si="5"/>
        <v>-4949.8807278644599</v>
      </c>
      <c r="AQ56" s="1114">
        <f t="shared" si="6"/>
        <v>83586.887020800015</v>
      </c>
      <c r="AR56" s="1114">
        <f t="shared" si="7"/>
        <v>6291.486119845169</v>
      </c>
      <c r="AS56" s="1114">
        <v>0</v>
      </c>
      <c r="AT56" s="1114">
        <f t="shared" si="23"/>
        <v>84928.492412780717</v>
      </c>
      <c r="AU56" s="1120">
        <f>'[7]GHG Compliance '!B33</f>
        <v>72.833542548588952</v>
      </c>
      <c r="AV56" s="1117">
        <f t="shared" si="24"/>
        <v>6185642.9657337787</v>
      </c>
      <c r="AW56" s="1121">
        <f t="shared" si="25"/>
        <v>1439188.7175</v>
      </c>
      <c r="AX56" s="1121">
        <f t="shared" si="38"/>
        <v>-1090347.3528</v>
      </c>
      <c r="AY56" s="1121">
        <f t="shared" si="26"/>
        <v>348841.36470000003</v>
      </c>
      <c r="AZ56" s="1122">
        <v>0</v>
      </c>
      <c r="BA56" s="1122">
        <v>0</v>
      </c>
      <c r="BB56" s="1122">
        <f t="shared" si="27"/>
        <v>0</v>
      </c>
      <c r="BC56" s="1123">
        <f t="shared" si="28"/>
        <v>4141714.7334437249</v>
      </c>
      <c r="BD56" s="1123">
        <f t="shared" si="29"/>
        <v>10327357.699177504</v>
      </c>
      <c r="BF56" s="1110"/>
      <c r="BH56" s="1155"/>
      <c r="BI56" s="1156" t="s">
        <v>1259</v>
      </c>
      <c r="BJ56" s="1157">
        <f>BJ52-BJ55</f>
        <v>24550.790399999983</v>
      </c>
      <c r="BK56" s="1132" t="s">
        <v>1232</v>
      </c>
      <c r="BL56" s="1152"/>
      <c r="BM56" s="1158" t="s">
        <v>39</v>
      </c>
      <c r="BN56" s="1155"/>
      <c r="BO56" s="1156"/>
      <c r="BP56" s="1157"/>
      <c r="BQ56" s="1132"/>
      <c r="BR56" s="1152"/>
      <c r="BU56" s="1127">
        <f>-PMT(BJ$125,20,(SUM(BB$53:BB55)))</f>
        <v>-1159850.0828711535</v>
      </c>
      <c r="BZ56" s="1125"/>
      <c r="CB56" s="1125"/>
    </row>
    <row r="57" spans="1:91" ht="15.75">
      <c r="A57" s="1111">
        <f t="shared" si="8"/>
        <v>2036</v>
      </c>
      <c r="B57" s="1112">
        <f t="shared" si="9"/>
        <v>127999.908</v>
      </c>
      <c r="C57" s="1113">
        <v>0</v>
      </c>
      <c r="D57" s="1114">
        <f t="shared" si="0"/>
        <v>0</v>
      </c>
      <c r="E57" s="1114">
        <f t="shared" si="10"/>
        <v>547520.14500000002</v>
      </c>
      <c r="F57" s="1113">
        <f t="shared" si="30"/>
        <v>0</v>
      </c>
      <c r="G57" s="1114">
        <f t="shared" si="11"/>
        <v>0</v>
      </c>
      <c r="H57" s="1112">
        <f t="shared" si="60"/>
        <v>0</v>
      </c>
      <c r="I57" s="1113">
        <f t="shared" si="60"/>
        <v>0</v>
      </c>
      <c r="J57" s="1114">
        <f t="shared" si="1"/>
        <v>0</v>
      </c>
      <c r="K57" s="1115">
        <v>0</v>
      </c>
      <c r="L57" s="1113">
        <v>0</v>
      </c>
      <c r="M57" s="1114">
        <f t="shared" si="12"/>
        <v>0</v>
      </c>
      <c r="N57" s="1116">
        <f t="shared" si="2"/>
        <v>127999.908</v>
      </c>
      <c r="O57" s="1116">
        <f t="shared" si="32"/>
        <v>0</v>
      </c>
      <c r="P57" s="1116">
        <f t="shared" si="13"/>
        <v>127999.908</v>
      </c>
      <c r="Q57" s="1116">
        <f t="shared" si="40"/>
        <v>103449.11760000001</v>
      </c>
      <c r="R57" s="1116">
        <f t="shared" si="3"/>
        <v>-103449.11760000001</v>
      </c>
      <c r="S57" s="1116">
        <f t="shared" si="14"/>
        <v>24550.790399999983</v>
      </c>
      <c r="T57" s="1116">
        <f t="shared" si="33"/>
        <v>547520.14500000002</v>
      </c>
      <c r="U57" s="1116">
        <f t="shared" si="34"/>
        <v>547520.14500000002</v>
      </c>
      <c r="V57" s="1116">
        <f t="shared" si="41"/>
        <v>411939</v>
      </c>
      <c r="W57" s="1116">
        <f t="shared" si="42"/>
        <v>67790.572500000009</v>
      </c>
      <c r="X57" s="1116">
        <f t="shared" si="35"/>
        <v>-479729.57250000001</v>
      </c>
      <c r="Y57" s="1116">
        <f t="shared" si="36"/>
        <v>67790.572500000009</v>
      </c>
      <c r="Z57" s="1116">
        <f t="shared" si="15"/>
        <v>757832.29481470597</v>
      </c>
      <c r="AA57" s="1116">
        <f t="shared" si="16"/>
        <v>-664002.16711323534</v>
      </c>
      <c r="AB57" s="1116">
        <f t="shared" si="17"/>
        <v>93830.127701470628</v>
      </c>
      <c r="AC57" s="1114">
        <v>0</v>
      </c>
      <c r="AD57" s="1114">
        <v>0</v>
      </c>
      <c r="AE57" s="1114">
        <f t="shared" si="43"/>
        <v>1166919.1160220995</v>
      </c>
      <c r="AF57" s="1114">
        <f t="shared" si="59"/>
        <v>91877.761416609137</v>
      </c>
      <c r="AG57" s="1114">
        <f t="shared" si="18"/>
        <v>1258796.8774387087</v>
      </c>
      <c r="AH57" s="1114">
        <f t="shared" si="19"/>
        <v>1258796.8774387087</v>
      </c>
      <c r="AI57" s="1117">
        <v>93.19210918083192</v>
      </c>
      <c r="AJ57" s="1117">
        <f t="shared" si="4"/>
        <v>9640641.4620399214</v>
      </c>
      <c r="AK57" s="1118">
        <v>4.5</v>
      </c>
      <c r="AL57" s="1117">
        <f t="shared" si="20"/>
        <v>2988009.752009559</v>
      </c>
      <c r="AM57" s="1119">
        <f t="shared" si="37"/>
        <v>6.9025000000000007</v>
      </c>
      <c r="AN57" s="1117">
        <f t="shared" si="21"/>
        <v>-8688845.446520688</v>
      </c>
      <c r="AO57" s="1117">
        <f t="shared" si="22"/>
        <v>3939805.7675287924</v>
      </c>
      <c r="AP57" s="1114">
        <f t="shared" si="5"/>
        <v>-4949.8807278644599</v>
      </c>
      <c r="AQ57" s="1114">
        <f t="shared" si="6"/>
        <v>83586.887020800015</v>
      </c>
      <c r="AR57" s="1114">
        <f t="shared" si="7"/>
        <v>6291.486119845169</v>
      </c>
      <c r="AS57" s="1114">
        <v>0</v>
      </c>
      <c r="AT57" s="1114">
        <f t="shared" si="23"/>
        <v>84928.492412780717</v>
      </c>
      <c r="AU57" s="1120">
        <f>'[7]GHG Compliance '!B34</f>
        <v>76.014426325153266</v>
      </c>
      <c r="AV57" s="1117">
        <f t="shared" si="24"/>
        <v>6455790.6294176579</v>
      </c>
      <c r="AW57" s="1121">
        <f t="shared" si="25"/>
        <v>1439188.7175</v>
      </c>
      <c r="AX57" s="1121">
        <f t="shared" si="38"/>
        <v>-1090347.3528</v>
      </c>
      <c r="AY57" s="1121">
        <f t="shared" si="26"/>
        <v>348841.36470000003</v>
      </c>
      <c r="AZ57" s="1122">
        <v>0</v>
      </c>
      <c r="BA57" s="1122">
        <v>0</v>
      </c>
      <c r="BB57" s="1122">
        <f t="shared" si="27"/>
        <v>0</v>
      </c>
      <c r="BC57" s="1123">
        <f t="shared" si="28"/>
        <v>4288647.1322287926</v>
      </c>
      <c r="BD57" s="1123">
        <f t="shared" si="29"/>
        <v>10744437.761646451</v>
      </c>
      <c r="BF57" s="1110"/>
      <c r="BH57" s="1155"/>
      <c r="BI57" s="1140" t="s">
        <v>1260</v>
      </c>
      <c r="BJ57" s="1154">
        <f>BJ55+BJ56</f>
        <v>127999.908</v>
      </c>
      <c r="BK57" s="1140" t="s">
        <v>1244</v>
      </c>
      <c r="BL57" s="1152"/>
      <c r="BN57" s="1155"/>
      <c r="BO57" s="1140"/>
      <c r="BP57" s="1154"/>
      <c r="BQ57" s="1140"/>
      <c r="BR57" s="1152"/>
      <c r="BU57" s="1127">
        <f>-PMT(BJ$125,20,(SUM(BB$53:BB56)))</f>
        <v>-1159850.0828711535</v>
      </c>
      <c r="BZ57" s="1125"/>
      <c r="CB57" s="1125"/>
    </row>
    <row r="58" spans="1:91" ht="15.75">
      <c r="A58" s="1111">
        <f t="shared" si="8"/>
        <v>2037</v>
      </c>
      <c r="B58" s="1112">
        <f t="shared" si="9"/>
        <v>127999.908</v>
      </c>
      <c r="C58" s="1113">
        <v>0</v>
      </c>
      <c r="D58" s="1114">
        <f t="shared" si="0"/>
        <v>0</v>
      </c>
      <c r="E58" s="1114">
        <f t="shared" si="10"/>
        <v>547520.14500000002</v>
      </c>
      <c r="F58" s="1113">
        <f t="shared" si="30"/>
        <v>0</v>
      </c>
      <c r="G58" s="1114">
        <f t="shared" si="11"/>
        <v>0</v>
      </c>
      <c r="H58" s="1112">
        <f t="shared" si="60"/>
        <v>0</v>
      </c>
      <c r="I58" s="1113">
        <f t="shared" si="60"/>
        <v>0</v>
      </c>
      <c r="J58" s="1114">
        <f t="shared" si="1"/>
        <v>0</v>
      </c>
      <c r="K58" s="1115">
        <v>0</v>
      </c>
      <c r="L58" s="1113">
        <v>0</v>
      </c>
      <c r="M58" s="1114">
        <f t="shared" si="12"/>
        <v>0</v>
      </c>
      <c r="N58" s="1116">
        <f t="shared" si="2"/>
        <v>127999.908</v>
      </c>
      <c r="O58" s="1116">
        <f t="shared" si="32"/>
        <v>0</v>
      </c>
      <c r="P58" s="1116">
        <f t="shared" si="13"/>
        <v>127999.908</v>
      </c>
      <c r="Q58" s="1116">
        <f t="shared" si="40"/>
        <v>103449.11760000001</v>
      </c>
      <c r="R58" s="1116">
        <f t="shared" si="3"/>
        <v>-103449.11760000001</v>
      </c>
      <c r="S58" s="1116">
        <f t="shared" si="14"/>
        <v>24550.790399999983</v>
      </c>
      <c r="T58" s="1116">
        <f t="shared" si="33"/>
        <v>547520.14500000002</v>
      </c>
      <c r="U58" s="1116">
        <f t="shared" si="34"/>
        <v>547520.14500000002</v>
      </c>
      <c r="V58" s="1116">
        <f t="shared" si="41"/>
        <v>411939</v>
      </c>
      <c r="W58" s="1116">
        <f t="shared" si="42"/>
        <v>67790.572500000009</v>
      </c>
      <c r="X58" s="1116">
        <f t="shared" si="35"/>
        <v>-479729.57250000001</v>
      </c>
      <c r="Y58" s="1116">
        <f t="shared" si="36"/>
        <v>67790.572500000009</v>
      </c>
      <c r="Z58" s="1116">
        <f t="shared" si="15"/>
        <v>757832.29481470597</v>
      </c>
      <c r="AA58" s="1116">
        <f t="shared" si="16"/>
        <v>-664002.16711323534</v>
      </c>
      <c r="AB58" s="1116">
        <f t="shared" si="17"/>
        <v>93830.127701470628</v>
      </c>
      <c r="AC58" s="1114">
        <v>0</v>
      </c>
      <c r="AD58" s="1114">
        <v>0</v>
      </c>
      <c r="AE58" s="1114">
        <f t="shared" si="43"/>
        <v>1166919.1160220995</v>
      </c>
      <c r="AF58" s="1114">
        <f t="shared" si="59"/>
        <v>91877.761416609137</v>
      </c>
      <c r="AG58" s="1114">
        <f t="shared" si="18"/>
        <v>1258796.8774387087</v>
      </c>
      <c r="AH58" s="1114">
        <f t="shared" si="19"/>
        <v>1258796.8774387087</v>
      </c>
      <c r="AI58" s="1117">
        <v>94.634426409909196</v>
      </c>
      <c r="AJ58" s="1117">
        <f t="shared" si="4"/>
        <v>9789847.9066872429</v>
      </c>
      <c r="AK58" s="1118">
        <v>4.5</v>
      </c>
      <c r="AL58" s="1117">
        <f t="shared" si="20"/>
        <v>2988009.752009559</v>
      </c>
      <c r="AM58" s="1119">
        <f t="shared" si="37"/>
        <v>6.9025000000000007</v>
      </c>
      <c r="AN58" s="1117">
        <f t="shared" si="21"/>
        <v>-8688845.446520688</v>
      </c>
      <c r="AO58" s="1117">
        <f t="shared" si="22"/>
        <v>4089012.2121761139</v>
      </c>
      <c r="AP58" s="1114">
        <f t="shared" si="5"/>
        <v>-4949.8807278644599</v>
      </c>
      <c r="AQ58" s="1114">
        <f t="shared" si="6"/>
        <v>83586.887020800015</v>
      </c>
      <c r="AR58" s="1114">
        <f t="shared" si="7"/>
        <v>6291.486119845169</v>
      </c>
      <c r="AS58" s="1114">
        <v>0</v>
      </c>
      <c r="AT58" s="1114">
        <f t="shared" si="23"/>
        <v>84928.492412780717</v>
      </c>
      <c r="AU58" s="1120">
        <f>'[7]GHG Compliance '!B35</f>
        <v>79.429114381541112</v>
      </c>
      <c r="AV58" s="1117">
        <f t="shared" si="24"/>
        <v>6745794.9381066058</v>
      </c>
      <c r="AW58" s="1121">
        <f t="shared" si="25"/>
        <v>1439188.7175</v>
      </c>
      <c r="AX58" s="1121">
        <f t="shared" si="38"/>
        <v>-1090347.3528</v>
      </c>
      <c r="AY58" s="1121">
        <f t="shared" si="26"/>
        <v>348841.36470000003</v>
      </c>
      <c r="AZ58" s="1122">
        <v>0</v>
      </c>
      <c r="BA58" s="1122">
        <v>0</v>
      </c>
      <c r="BB58" s="1122">
        <f t="shared" si="27"/>
        <v>0</v>
      </c>
      <c r="BC58" s="1123">
        <f t="shared" si="28"/>
        <v>4437853.5768761141</v>
      </c>
      <c r="BD58" s="1123">
        <f t="shared" si="29"/>
        <v>11183648.514982721</v>
      </c>
      <c r="BF58" s="1110"/>
      <c r="BH58" s="1097" t="s">
        <v>1261</v>
      </c>
      <c r="BI58" s="1140" t="s">
        <v>1262</v>
      </c>
      <c r="BJ58" s="1139">
        <f>BJ96*BJ34*BJ93*BJ94</f>
        <v>411939</v>
      </c>
      <c r="BK58" s="1140" t="s">
        <v>1244</v>
      </c>
      <c r="BL58" s="1152"/>
      <c r="BN58" s="1097"/>
      <c r="BO58" s="1140"/>
      <c r="BP58" s="1139"/>
      <c r="BQ58" s="1140"/>
      <c r="BR58" s="1152"/>
      <c r="BU58" s="1127">
        <f>-PMT(BJ$125,20,(SUM(BB$53:BB57)))</f>
        <v>-1159850.0828711535</v>
      </c>
      <c r="BZ58" s="1125"/>
      <c r="CB58" s="1125"/>
    </row>
    <row r="59" spans="1:91" ht="18">
      <c r="A59" s="1111">
        <f t="shared" si="8"/>
        <v>2038</v>
      </c>
      <c r="B59" s="1112">
        <f t="shared" si="9"/>
        <v>127999.908</v>
      </c>
      <c r="C59" s="1113">
        <v>0</v>
      </c>
      <c r="D59" s="1114">
        <f t="shared" si="0"/>
        <v>0</v>
      </c>
      <c r="E59" s="1114">
        <f t="shared" si="10"/>
        <v>547520.14500000002</v>
      </c>
      <c r="F59" s="1113">
        <f t="shared" si="30"/>
        <v>0</v>
      </c>
      <c r="G59" s="1114">
        <f t="shared" si="11"/>
        <v>0</v>
      </c>
      <c r="H59" s="1112">
        <f t="shared" si="60"/>
        <v>0</v>
      </c>
      <c r="I59" s="1113">
        <f t="shared" si="60"/>
        <v>0</v>
      </c>
      <c r="J59" s="1114">
        <f t="shared" si="1"/>
        <v>0</v>
      </c>
      <c r="K59" s="1115">
        <v>0</v>
      </c>
      <c r="L59" s="1113">
        <v>0</v>
      </c>
      <c r="M59" s="1114">
        <f t="shared" si="12"/>
        <v>0</v>
      </c>
      <c r="N59" s="1116">
        <f t="shared" si="2"/>
        <v>127999.908</v>
      </c>
      <c r="O59" s="1116">
        <f t="shared" si="32"/>
        <v>0</v>
      </c>
      <c r="P59" s="1116">
        <f t="shared" si="13"/>
        <v>127999.908</v>
      </c>
      <c r="Q59" s="1116">
        <f t="shared" si="40"/>
        <v>103449.11760000001</v>
      </c>
      <c r="R59" s="1116">
        <f t="shared" si="3"/>
        <v>-103449.11760000001</v>
      </c>
      <c r="S59" s="1116">
        <f t="shared" si="14"/>
        <v>24550.790399999983</v>
      </c>
      <c r="T59" s="1116">
        <f t="shared" si="33"/>
        <v>547520.14500000002</v>
      </c>
      <c r="U59" s="1116">
        <f t="shared" si="34"/>
        <v>547520.14500000002</v>
      </c>
      <c r="V59" s="1116">
        <f t="shared" si="41"/>
        <v>411939</v>
      </c>
      <c r="W59" s="1116">
        <f t="shared" si="42"/>
        <v>67790.572500000009</v>
      </c>
      <c r="X59" s="1116">
        <f t="shared" si="35"/>
        <v>-479729.57250000001</v>
      </c>
      <c r="Y59" s="1116">
        <f t="shared" si="36"/>
        <v>67790.572500000009</v>
      </c>
      <c r="Z59" s="1116">
        <f t="shared" si="15"/>
        <v>757832.29481470597</v>
      </c>
      <c r="AA59" s="1116">
        <f t="shared" si="16"/>
        <v>-664002.16711323534</v>
      </c>
      <c r="AB59" s="1116">
        <f t="shared" si="17"/>
        <v>93830.127701470628</v>
      </c>
      <c r="AC59" s="1114">
        <v>0</v>
      </c>
      <c r="AD59" s="1114">
        <v>0</v>
      </c>
      <c r="AE59" s="1114">
        <f t="shared" si="43"/>
        <v>1166919.1160220995</v>
      </c>
      <c r="AF59" s="1114">
        <f t="shared" si="59"/>
        <v>91877.761416609137</v>
      </c>
      <c r="AG59" s="1114">
        <f t="shared" si="18"/>
        <v>1258796.8774387087</v>
      </c>
      <c r="AH59" s="1114">
        <f t="shared" si="19"/>
        <v>1258796.8774387087</v>
      </c>
      <c r="AI59" s="1117">
        <v>96.099066118942972</v>
      </c>
      <c r="AJ59" s="1117">
        <f t="shared" si="4"/>
        <v>9941363.5921887085</v>
      </c>
      <c r="AK59" s="1118">
        <v>4.5</v>
      </c>
      <c r="AL59" s="1117">
        <f t="shared" si="20"/>
        <v>2988009.752009559</v>
      </c>
      <c r="AM59" s="1119">
        <f t="shared" si="37"/>
        <v>6.9025000000000007</v>
      </c>
      <c r="AN59" s="1117">
        <f t="shared" si="21"/>
        <v>-8688845.446520688</v>
      </c>
      <c r="AO59" s="1117">
        <f t="shared" si="22"/>
        <v>4240527.8976775799</v>
      </c>
      <c r="AP59" s="1114">
        <f t="shared" si="5"/>
        <v>-4949.8807278644599</v>
      </c>
      <c r="AQ59" s="1114">
        <f t="shared" si="6"/>
        <v>83586.887020800015</v>
      </c>
      <c r="AR59" s="1114">
        <f t="shared" si="7"/>
        <v>6291.486119845169</v>
      </c>
      <c r="AS59" s="1114">
        <v>0</v>
      </c>
      <c r="AT59" s="1114">
        <f t="shared" si="23"/>
        <v>84928.492412780717</v>
      </c>
      <c r="AU59" s="1120">
        <f>'[7]GHG Compliance '!B36</f>
        <v>82.76165634097768</v>
      </c>
      <c r="AV59" s="1117">
        <f t="shared" si="24"/>
        <v>7028822.7026238879</v>
      </c>
      <c r="AW59" s="1121">
        <f t="shared" si="25"/>
        <v>1439188.7175</v>
      </c>
      <c r="AX59" s="1121">
        <f t="shared" si="38"/>
        <v>-1090347.3528</v>
      </c>
      <c r="AY59" s="1121">
        <f t="shared" si="26"/>
        <v>348841.36470000003</v>
      </c>
      <c r="AZ59" s="1122">
        <v>0</v>
      </c>
      <c r="BA59" s="1122">
        <v>0</v>
      </c>
      <c r="BB59" s="1122">
        <f t="shared" si="27"/>
        <v>0</v>
      </c>
      <c r="BC59" s="1123">
        <f t="shared" si="28"/>
        <v>4589369.2623775797</v>
      </c>
      <c r="BD59" s="1123">
        <f t="shared" si="29"/>
        <v>11618191.965001468</v>
      </c>
      <c r="BF59" s="1110"/>
      <c r="BH59" s="1155"/>
      <c r="BI59" s="1156" t="s">
        <v>1263</v>
      </c>
      <c r="BJ59" s="1159">
        <f>0.5*(BJ43-BJ58)</f>
        <v>67790.572500000009</v>
      </c>
      <c r="BK59" s="1140" t="s">
        <v>1244</v>
      </c>
      <c r="BL59" s="1152"/>
      <c r="BM59" s="1159"/>
      <c r="BN59" s="1155"/>
      <c r="BO59" s="1156"/>
      <c r="BP59" s="1159"/>
      <c r="BQ59" s="1140"/>
      <c r="BR59" s="1152"/>
      <c r="BU59" s="1127">
        <f>-PMT(BJ$125,20,(SUM(BB$53:BB58)))</f>
        <v>-1159850.0828711535</v>
      </c>
      <c r="BZ59" s="1125"/>
      <c r="CB59" s="1125"/>
    </row>
    <row r="60" spans="1:91" ht="15.75">
      <c r="A60" s="1111">
        <f t="shared" si="8"/>
        <v>2039</v>
      </c>
      <c r="B60" s="1112">
        <f t="shared" si="9"/>
        <v>127999.908</v>
      </c>
      <c r="C60" s="1113">
        <v>0</v>
      </c>
      <c r="D60" s="1114">
        <f t="shared" si="0"/>
        <v>0</v>
      </c>
      <c r="E60" s="1114">
        <f t="shared" si="10"/>
        <v>547520.14500000002</v>
      </c>
      <c r="F60" s="1113">
        <f t="shared" si="30"/>
        <v>0</v>
      </c>
      <c r="G60" s="1114">
        <f t="shared" si="11"/>
        <v>0</v>
      </c>
      <c r="H60" s="1112">
        <f t="shared" si="60"/>
        <v>0</v>
      </c>
      <c r="I60" s="1113">
        <f t="shared" si="60"/>
        <v>0</v>
      </c>
      <c r="J60" s="1114">
        <f t="shared" si="1"/>
        <v>0</v>
      </c>
      <c r="K60" s="1115">
        <v>0</v>
      </c>
      <c r="L60" s="1113">
        <v>0</v>
      </c>
      <c r="M60" s="1114">
        <f t="shared" si="12"/>
        <v>0</v>
      </c>
      <c r="N60" s="1116">
        <f t="shared" si="2"/>
        <v>127999.908</v>
      </c>
      <c r="O60" s="1116">
        <f t="shared" si="32"/>
        <v>0</v>
      </c>
      <c r="P60" s="1116">
        <f t="shared" si="13"/>
        <v>127999.908</v>
      </c>
      <c r="Q60" s="1116">
        <f t="shared" si="40"/>
        <v>103449.11760000001</v>
      </c>
      <c r="R60" s="1116">
        <f t="shared" si="3"/>
        <v>-103449.11760000001</v>
      </c>
      <c r="S60" s="1116">
        <f t="shared" si="14"/>
        <v>24550.790399999983</v>
      </c>
      <c r="T60" s="1116">
        <f t="shared" si="33"/>
        <v>547520.14500000002</v>
      </c>
      <c r="U60" s="1116">
        <f t="shared" si="34"/>
        <v>547520.14500000002</v>
      </c>
      <c r="V60" s="1116">
        <f t="shared" si="41"/>
        <v>411939</v>
      </c>
      <c r="W60" s="1116">
        <f t="shared" si="42"/>
        <v>67790.572500000009</v>
      </c>
      <c r="X60" s="1116">
        <f t="shared" si="35"/>
        <v>-479729.57250000001</v>
      </c>
      <c r="Y60" s="1116">
        <f t="shared" si="36"/>
        <v>67790.572500000009</v>
      </c>
      <c r="Z60" s="1116">
        <f t="shared" si="15"/>
        <v>757832.29481470597</v>
      </c>
      <c r="AA60" s="1116">
        <f t="shared" si="16"/>
        <v>-664002.16711323534</v>
      </c>
      <c r="AB60" s="1116">
        <f t="shared" si="17"/>
        <v>93830.127701470628</v>
      </c>
      <c r="AC60" s="1114">
        <v>0</v>
      </c>
      <c r="AD60" s="1114">
        <v>0</v>
      </c>
      <c r="AE60" s="1114">
        <f t="shared" si="43"/>
        <v>1166919.1160220995</v>
      </c>
      <c r="AF60" s="1114">
        <f t="shared" si="59"/>
        <v>91877.761416609137</v>
      </c>
      <c r="AG60" s="1114">
        <f t="shared" si="18"/>
        <v>1258796.8774387087</v>
      </c>
      <c r="AH60" s="1114">
        <f t="shared" si="19"/>
        <v>1258796.8774387087</v>
      </c>
      <c r="AI60" s="1117">
        <v>97.586373788872777</v>
      </c>
      <c r="AJ60" s="1117">
        <f t="shared" si="4"/>
        <v>10095224.258242659</v>
      </c>
      <c r="AK60" s="1118">
        <v>4.5</v>
      </c>
      <c r="AL60" s="1117">
        <f t="shared" si="20"/>
        <v>2988009.752009559</v>
      </c>
      <c r="AM60" s="1119">
        <f t="shared" si="37"/>
        <v>6.9025000000000007</v>
      </c>
      <c r="AN60" s="1117">
        <f t="shared" si="21"/>
        <v>-8688845.446520688</v>
      </c>
      <c r="AO60" s="1117">
        <f t="shared" si="22"/>
        <v>4394388.5637315307</v>
      </c>
      <c r="AP60" s="1114">
        <f t="shared" si="5"/>
        <v>-4949.8807278644599</v>
      </c>
      <c r="AQ60" s="1114">
        <f t="shared" si="6"/>
        <v>83586.887020800015</v>
      </c>
      <c r="AR60" s="1114">
        <f t="shared" si="7"/>
        <v>6291.486119845169</v>
      </c>
      <c r="AS60" s="1114">
        <v>0</v>
      </c>
      <c r="AT60" s="1114">
        <f t="shared" si="23"/>
        <v>84928.492412780717</v>
      </c>
      <c r="AU60" s="1120">
        <f>'[7]GHG Compliance '!B37</f>
        <v>86.004544432276504</v>
      </c>
      <c r="AV60" s="1117">
        <f t="shared" si="24"/>
        <v>7304236.2992812572</v>
      </c>
      <c r="AW60" s="1121">
        <f t="shared" si="25"/>
        <v>1439188.7175</v>
      </c>
      <c r="AX60" s="1121">
        <f t="shared" si="38"/>
        <v>-1090347.3528</v>
      </c>
      <c r="AY60" s="1121">
        <f t="shared" si="26"/>
        <v>348841.36470000003</v>
      </c>
      <c r="AZ60" s="1122">
        <v>0</v>
      </c>
      <c r="BA60" s="1122">
        <v>0</v>
      </c>
      <c r="BB60" s="1122">
        <f t="shared" si="27"/>
        <v>0</v>
      </c>
      <c r="BC60" s="1123">
        <f t="shared" si="28"/>
        <v>4743229.9284315305</v>
      </c>
      <c r="BD60" s="1123">
        <f t="shared" si="29"/>
        <v>12047466.227712788</v>
      </c>
      <c r="BF60" s="1110"/>
      <c r="BH60" s="1155"/>
      <c r="BI60" s="1140" t="s">
        <v>1264</v>
      </c>
      <c r="BJ60" s="1160">
        <f>BJ58+BJ59</f>
        <v>479729.57250000001</v>
      </c>
      <c r="BK60" s="1140" t="s">
        <v>1244</v>
      </c>
      <c r="BL60" s="1152"/>
      <c r="BM60" s="969" t="s">
        <v>39</v>
      </c>
      <c r="BN60" s="1155"/>
      <c r="BO60" s="1140"/>
      <c r="BP60" s="1160"/>
      <c r="BQ60" s="1140"/>
      <c r="BR60" s="1152"/>
      <c r="BU60" s="1127">
        <f>-PMT(BJ$125,20,(SUM(BB$53:BB59)))</f>
        <v>-1159850.0828711535</v>
      </c>
      <c r="BZ60" s="1125"/>
      <c r="CB60" s="1125"/>
    </row>
    <row r="61" spans="1:91" ht="15.75">
      <c r="A61" s="1111">
        <f t="shared" si="8"/>
        <v>2040</v>
      </c>
      <c r="B61" s="1112">
        <f t="shared" si="9"/>
        <v>127999.908</v>
      </c>
      <c r="C61" s="1113">
        <v>0</v>
      </c>
      <c r="D61" s="1114">
        <f t="shared" si="0"/>
        <v>0</v>
      </c>
      <c r="E61" s="1114">
        <f t="shared" si="10"/>
        <v>547520.14500000002</v>
      </c>
      <c r="F61" s="1113">
        <f t="shared" si="30"/>
        <v>0</v>
      </c>
      <c r="G61" s="1114">
        <f t="shared" si="11"/>
        <v>0</v>
      </c>
      <c r="H61" s="1112">
        <f t="shared" si="60"/>
        <v>0</v>
      </c>
      <c r="I61" s="1113">
        <f t="shared" si="60"/>
        <v>0</v>
      </c>
      <c r="J61" s="1114">
        <f t="shared" si="1"/>
        <v>0</v>
      </c>
      <c r="K61" s="1115">
        <v>0</v>
      </c>
      <c r="L61" s="1113">
        <v>0</v>
      </c>
      <c r="M61" s="1114">
        <f t="shared" si="12"/>
        <v>0</v>
      </c>
      <c r="N61" s="1116">
        <f t="shared" si="2"/>
        <v>127999.908</v>
      </c>
      <c r="O61" s="1116">
        <f t="shared" si="32"/>
        <v>0</v>
      </c>
      <c r="P61" s="1116">
        <f t="shared" si="13"/>
        <v>127999.908</v>
      </c>
      <c r="Q61" s="1116">
        <f t="shared" si="40"/>
        <v>103449.11760000001</v>
      </c>
      <c r="R61" s="1116">
        <f t="shared" si="3"/>
        <v>-103449.11760000001</v>
      </c>
      <c r="S61" s="1116">
        <f t="shared" si="14"/>
        <v>24550.790399999983</v>
      </c>
      <c r="T61" s="1116">
        <f t="shared" si="33"/>
        <v>547520.14500000002</v>
      </c>
      <c r="U61" s="1116">
        <f t="shared" si="34"/>
        <v>547520.14500000002</v>
      </c>
      <c r="V61" s="1116">
        <f t="shared" si="41"/>
        <v>411939</v>
      </c>
      <c r="W61" s="1116">
        <f t="shared" si="42"/>
        <v>67790.572500000009</v>
      </c>
      <c r="X61" s="1116">
        <f t="shared" si="35"/>
        <v>-479729.57250000001</v>
      </c>
      <c r="Y61" s="1116">
        <f t="shared" si="36"/>
        <v>67790.572500000009</v>
      </c>
      <c r="Z61" s="1116">
        <f t="shared" si="15"/>
        <v>757832.29481470597</v>
      </c>
      <c r="AA61" s="1116">
        <f t="shared" si="16"/>
        <v>-664002.16711323534</v>
      </c>
      <c r="AB61" s="1116">
        <f t="shared" si="17"/>
        <v>93830.127701470628</v>
      </c>
      <c r="AC61" s="1114">
        <v>0</v>
      </c>
      <c r="AD61" s="1114">
        <v>0</v>
      </c>
      <c r="AE61" s="1114">
        <f t="shared" si="43"/>
        <v>1166919.1160220995</v>
      </c>
      <c r="AF61" s="1114">
        <f t="shared" si="59"/>
        <v>91877.761416609137</v>
      </c>
      <c r="AG61" s="1114">
        <f t="shared" si="18"/>
        <v>1258796.8774387087</v>
      </c>
      <c r="AH61" s="1114">
        <f t="shared" si="19"/>
        <v>1258796.8774387087</v>
      </c>
      <c r="AI61" s="1117">
        <v>99.09670024758347</v>
      </c>
      <c r="AJ61" s="1117">
        <f t="shared" si="4"/>
        <v>10251466.197684214</v>
      </c>
      <c r="AK61" s="1118">
        <v>4.5</v>
      </c>
      <c r="AL61" s="1117">
        <f t="shared" si="20"/>
        <v>2988009.752009559</v>
      </c>
      <c r="AM61" s="1119">
        <f t="shared" si="37"/>
        <v>6.9025000000000007</v>
      </c>
      <c r="AN61" s="1117">
        <f t="shared" si="21"/>
        <v>-8688845.446520688</v>
      </c>
      <c r="AO61" s="1117">
        <f t="shared" si="22"/>
        <v>4550630.5031730849</v>
      </c>
      <c r="AP61" s="1114">
        <f t="shared" si="5"/>
        <v>-4949.8807278644599</v>
      </c>
      <c r="AQ61" s="1114">
        <f t="shared" si="6"/>
        <v>83586.887020800015</v>
      </c>
      <c r="AR61" s="1114">
        <f t="shared" si="7"/>
        <v>6291.486119845169</v>
      </c>
      <c r="AS61" s="1114">
        <v>0</v>
      </c>
      <c r="AT61" s="1114">
        <f t="shared" si="23"/>
        <v>84928.492412780717</v>
      </c>
      <c r="AU61" s="1120">
        <f>'[7]GHG Compliance '!B38</f>
        <v>89.268623406856136</v>
      </c>
      <c r="AV61" s="1117">
        <f t="shared" si="24"/>
        <v>7581449.6057085609</v>
      </c>
      <c r="AW61" s="1121">
        <f t="shared" si="25"/>
        <v>1439188.7175</v>
      </c>
      <c r="AX61" s="1121">
        <f t="shared" si="38"/>
        <v>-1090347.3528</v>
      </c>
      <c r="AY61" s="1121">
        <f t="shared" si="26"/>
        <v>348841.36470000003</v>
      </c>
      <c r="AZ61" s="1122">
        <v>0</v>
      </c>
      <c r="BA61" s="1122">
        <v>0</v>
      </c>
      <c r="BB61" s="1122">
        <f t="shared" si="27"/>
        <v>0</v>
      </c>
      <c r="BC61" s="1123">
        <f t="shared" si="28"/>
        <v>4899471.8678730847</v>
      </c>
      <c r="BD61" s="1123">
        <f t="shared" si="29"/>
        <v>12480921.473581646</v>
      </c>
      <c r="BF61" s="1110"/>
      <c r="BH61" s="1155"/>
      <c r="BI61" s="1156" t="s">
        <v>1265</v>
      </c>
      <c r="BJ61" s="1157">
        <f>BJ43-BJ58-BJ59</f>
        <v>67790.572500000009</v>
      </c>
      <c r="BK61" s="1140" t="s">
        <v>1244</v>
      </c>
      <c r="BL61" s="1152"/>
      <c r="BN61" s="1155"/>
      <c r="BO61" s="1156"/>
      <c r="BP61" s="1157"/>
      <c r="BQ61" s="1140"/>
      <c r="BR61" s="1152"/>
      <c r="BU61" s="1127">
        <f>-PMT(BJ$125,20,(SUM(BB$53:BB60)))</f>
        <v>-1159850.0828711535</v>
      </c>
      <c r="BZ61" s="1125"/>
      <c r="CB61" s="1125"/>
    </row>
    <row r="62" spans="1:91" ht="15.75">
      <c r="A62" s="1111">
        <f t="shared" si="8"/>
        <v>2041</v>
      </c>
      <c r="B62" s="1112">
        <f t="shared" si="9"/>
        <v>127999.908</v>
      </c>
      <c r="C62" s="1113">
        <v>0</v>
      </c>
      <c r="D62" s="1114">
        <f t="shared" si="0"/>
        <v>0</v>
      </c>
      <c r="E62" s="1114">
        <f t="shared" si="10"/>
        <v>547520.14500000002</v>
      </c>
      <c r="F62" s="1113">
        <f t="shared" si="30"/>
        <v>0</v>
      </c>
      <c r="G62" s="1114">
        <f t="shared" si="11"/>
        <v>0</v>
      </c>
      <c r="H62" s="1112">
        <f t="shared" si="60"/>
        <v>0</v>
      </c>
      <c r="I62" s="1113">
        <f t="shared" si="60"/>
        <v>0</v>
      </c>
      <c r="J62" s="1114">
        <f t="shared" si="1"/>
        <v>0</v>
      </c>
      <c r="K62" s="1115">
        <v>0</v>
      </c>
      <c r="L62" s="1113">
        <v>0</v>
      </c>
      <c r="M62" s="1114">
        <f t="shared" si="12"/>
        <v>0</v>
      </c>
      <c r="N62" s="1116">
        <f t="shared" si="2"/>
        <v>127999.908</v>
      </c>
      <c r="O62" s="1116">
        <f t="shared" si="32"/>
        <v>0</v>
      </c>
      <c r="P62" s="1116">
        <f t="shared" si="13"/>
        <v>127999.908</v>
      </c>
      <c r="Q62" s="1116">
        <f t="shared" si="40"/>
        <v>103449.11760000001</v>
      </c>
      <c r="R62" s="1116">
        <f t="shared" si="3"/>
        <v>-103449.11760000001</v>
      </c>
      <c r="S62" s="1116">
        <f t="shared" si="14"/>
        <v>24550.790399999983</v>
      </c>
      <c r="T62" s="1116">
        <f t="shared" si="33"/>
        <v>547520.14500000002</v>
      </c>
      <c r="U62" s="1116">
        <f t="shared" si="34"/>
        <v>547520.14500000002</v>
      </c>
      <c r="V62" s="1116">
        <f t="shared" si="41"/>
        <v>411939</v>
      </c>
      <c r="W62" s="1116">
        <f t="shared" si="42"/>
        <v>67790.572500000009</v>
      </c>
      <c r="X62" s="1116">
        <f t="shared" si="35"/>
        <v>-479729.57250000001</v>
      </c>
      <c r="Y62" s="1116">
        <f t="shared" si="36"/>
        <v>67790.572500000009</v>
      </c>
      <c r="Z62" s="1116">
        <f t="shared" si="15"/>
        <v>757832.29481470597</v>
      </c>
      <c r="AA62" s="1116">
        <f t="shared" si="16"/>
        <v>-664002.16711323534</v>
      </c>
      <c r="AB62" s="1116">
        <f t="shared" si="17"/>
        <v>93830.127701470628</v>
      </c>
      <c r="AC62" s="1114">
        <v>0</v>
      </c>
      <c r="AD62" s="1114">
        <v>0</v>
      </c>
      <c r="AE62" s="1114">
        <f t="shared" si="43"/>
        <v>1166919.1160220995</v>
      </c>
      <c r="AF62" s="1114">
        <f t="shared" si="59"/>
        <v>91877.761416609137</v>
      </c>
      <c r="AG62" s="1114">
        <f t="shared" si="18"/>
        <v>1258796.8774387087</v>
      </c>
      <c r="AH62" s="1114">
        <f t="shared" si="19"/>
        <v>1258796.8774387087</v>
      </c>
      <c r="AI62" s="1117">
        <v>100.63040175265891</v>
      </c>
      <c r="AJ62" s="1117">
        <f t="shared" si="4"/>
        <v>10410126.265046058</v>
      </c>
      <c r="AK62" s="1118">
        <v>4.5</v>
      </c>
      <c r="AL62" s="1117">
        <f t="shared" si="20"/>
        <v>2988009.752009559</v>
      </c>
      <c r="AM62" s="1119">
        <f t="shared" si="37"/>
        <v>6.9025000000000007</v>
      </c>
      <c r="AN62" s="1117">
        <f t="shared" si="21"/>
        <v>-8688845.446520688</v>
      </c>
      <c r="AO62" s="1117">
        <f t="shared" si="22"/>
        <v>4709290.5705349296</v>
      </c>
      <c r="AP62" s="1114">
        <f t="shared" si="5"/>
        <v>-4949.8807278644599</v>
      </c>
      <c r="AQ62" s="1114">
        <f t="shared" si="6"/>
        <v>83586.887020800015</v>
      </c>
      <c r="AR62" s="1114">
        <f t="shared" si="7"/>
        <v>6291.486119845169</v>
      </c>
      <c r="AS62" s="1114">
        <v>0</v>
      </c>
      <c r="AT62" s="1114">
        <f t="shared" si="23"/>
        <v>84928.492412780717</v>
      </c>
      <c r="AU62" s="1120">
        <f>'[7]GHG Compliance '!B39</f>
        <v>92.509155189366396</v>
      </c>
      <c r="AV62" s="1117">
        <f t="shared" si="24"/>
        <v>7856663.0846128576</v>
      </c>
      <c r="AW62" s="1121">
        <f t="shared" si="25"/>
        <v>1439188.7175</v>
      </c>
      <c r="AX62" s="1121">
        <f t="shared" si="38"/>
        <v>-1090347.3528</v>
      </c>
      <c r="AY62" s="1121">
        <f t="shared" si="26"/>
        <v>348841.36470000003</v>
      </c>
      <c r="AZ62" s="1122">
        <v>0</v>
      </c>
      <c r="BA62" s="1122">
        <v>0</v>
      </c>
      <c r="BB62" s="1122">
        <f t="shared" si="27"/>
        <v>0</v>
      </c>
      <c r="BC62" s="1123">
        <f t="shared" si="28"/>
        <v>5058131.9352349294</v>
      </c>
      <c r="BD62" s="1123">
        <f t="shared" si="29"/>
        <v>12914795.019847788</v>
      </c>
      <c r="BF62" s="1110"/>
      <c r="BH62" s="1155"/>
      <c r="BI62" s="1140" t="s">
        <v>1266</v>
      </c>
      <c r="BJ62" s="1154">
        <f>BJ60+BJ61</f>
        <v>547520.14500000002</v>
      </c>
      <c r="BK62" s="1140" t="s">
        <v>1244</v>
      </c>
      <c r="BL62" s="1152"/>
      <c r="BN62" s="1155"/>
      <c r="BO62" s="1140"/>
      <c r="BP62" s="1154"/>
      <c r="BQ62" s="1140"/>
      <c r="BR62" s="1152"/>
      <c r="BU62" s="1127">
        <f>-PMT(BJ$125,20,(SUM(BB$53:BB61)))</f>
        <v>-1159850.0828711535</v>
      </c>
      <c r="BZ62" s="1125"/>
      <c r="CB62" s="1125"/>
    </row>
    <row r="63" spans="1:91" ht="15.75">
      <c r="A63" s="1111">
        <f t="shared" si="8"/>
        <v>2042</v>
      </c>
      <c r="B63" s="1112">
        <f t="shared" si="9"/>
        <v>127999.908</v>
      </c>
      <c r="C63" s="1113">
        <v>0</v>
      </c>
      <c r="D63" s="1114">
        <f t="shared" si="0"/>
        <v>0</v>
      </c>
      <c r="E63" s="1114">
        <f t="shared" si="10"/>
        <v>547520.14500000002</v>
      </c>
      <c r="F63" s="1113">
        <f t="shared" si="30"/>
        <v>0</v>
      </c>
      <c r="G63" s="1114">
        <f t="shared" si="11"/>
        <v>0</v>
      </c>
      <c r="H63" s="1112">
        <f t="shared" si="60"/>
        <v>0</v>
      </c>
      <c r="I63" s="1113">
        <f t="shared" si="60"/>
        <v>0</v>
      </c>
      <c r="J63" s="1114">
        <f t="shared" si="1"/>
        <v>0</v>
      </c>
      <c r="K63" s="1115">
        <v>0</v>
      </c>
      <c r="L63" s="1113">
        <v>0</v>
      </c>
      <c r="M63" s="1114">
        <f t="shared" si="12"/>
        <v>0</v>
      </c>
      <c r="N63" s="1116">
        <f t="shared" si="2"/>
        <v>127999.908</v>
      </c>
      <c r="O63" s="1116">
        <f t="shared" si="32"/>
        <v>0</v>
      </c>
      <c r="P63" s="1116">
        <f t="shared" si="13"/>
        <v>127999.908</v>
      </c>
      <c r="Q63" s="1116">
        <f t="shared" si="40"/>
        <v>103449.11760000001</v>
      </c>
      <c r="R63" s="1116">
        <f t="shared" si="3"/>
        <v>-103449.11760000001</v>
      </c>
      <c r="S63" s="1116">
        <f t="shared" si="14"/>
        <v>24550.790399999983</v>
      </c>
      <c r="T63" s="1116">
        <f t="shared" si="33"/>
        <v>547520.14500000002</v>
      </c>
      <c r="U63" s="1116">
        <f t="shared" si="34"/>
        <v>547520.14500000002</v>
      </c>
      <c r="V63" s="1116">
        <f t="shared" si="41"/>
        <v>411939</v>
      </c>
      <c r="W63" s="1116">
        <f t="shared" si="42"/>
        <v>67790.572500000009</v>
      </c>
      <c r="X63" s="1116">
        <f t="shared" si="35"/>
        <v>-479729.57250000001</v>
      </c>
      <c r="Y63" s="1116">
        <f t="shared" si="36"/>
        <v>67790.572500000009</v>
      </c>
      <c r="Z63" s="1116">
        <f t="shared" si="15"/>
        <v>757832.29481470597</v>
      </c>
      <c r="AA63" s="1116">
        <f t="shared" si="16"/>
        <v>-664002.16711323534</v>
      </c>
      <c r="AB63" s="1116">
        <f t="shared" si="17"/>
        <v>93830.127701470628</v>
      </c>
      <c r="AC63" s="1114">
        <v>0</v>
      </c>
      <c r="AD63" s="1114">
        <v>0</v>
      </c>
      <c r="AE63" s="1114">
        <f t="shared" si="43"/>
        <v>1166919.1160220995</v>
      </c>
      <c r="AF63" s="1114">
        <f t="shared" si="59"/>
        <v>91877.761416609137</v>
      </c>
      <c r="AG63" s="1114">
        <f t="shared" si="18"/>
        <v>1258796.8774387087</v>
      </c>
      <c r="AH63" s="1114">
        <f t="shared" si="19"/>
        <v>1258796.8774387087</v>
      </c>
      <c r="AI63" s="1117">
        <v>102.1878400754164</v>
      </c>
      <c r="AJ63" s="1117">
        <f t="shared" si="4"/>
        <v>10571241.885251746</v>
      </c>
      <c r="AK63" s="1118">
        <v>4.5</v>
      </c>
      <c r="AL63" s="1117">
        <f t="shared" si="20"/>
        <v>2988009.752009559</v>
      </c>
      <c r="AM63" s="1119">
        <f t="shared" si="37"/>
        <v>6.9025000000000007</v>
      </c>
      <c r="AN63" s="1117">
        <f t="shared" si="21"/>
        <v>-8688845.446520688</v>
      </c>
      <c r="AO63" s="1117">
        <f t="shared" si="22"/>
        <v>4870406.190740617</v>
      </c>
      <c r="AP63" s="1114">
        <f t="shared" si="5"/>
        <v>-4949.8807278644599</v>
      </c>
      <c r="AQ63" s="1114">
        <f t="shared" si="6"/>
        <v>83586.887020800015</v>
      </c>
      <c r="AR63" s="1114">
        <f t="shared" si="7"/>
        <v>6291.486119845169</v>
      </c>
      <c r="AS63" s="1114">
        <v>0</v>
      </c>
      <c r="AT63" s="1114">
        <f t="shared" si="23"/>
        <v>84928.492412780717</v>
      </c>
      <c r="AU63" s="1120">
        <f>'[7]GHG Compliance '!B40</f>
        <v>95.556619382063062</v>
      </c>
      <c r="AV63" s="1117">
        <f t="shared" si="24"/>
        <v>8115479.6241805172</v>
      </c>
      <c r="AW63" s="1121">
        <f t="shared" si="25"/>
        <v>1439188.7175</v>
      </c>
      <c r="AX63" s="1121">
        <f t="shared" si="38"/>
        <v>-1090347.3528</v>
      </c>
      <c r="AY63" s="1121">
        <f t="shared" si="26"/>
        <v>348841.36470000003</v>
      </c>
      <c r="AZ63" s="1122">
        <v>0</v>
      </c>
      <c r="BA63" s="1122">
        <v>0</v>
      </c>
      <c r="BB63" s="1122">
        <f t="shared" si="27"/>
        <v>0</v>
      </c>
      <c r="BC63" s="1123">
        <f t="shared" si="28"/>
        <v>5219247.5554406168</v>
      </c>
      <c r="BD63" s="1123">
        <f t="shared" si="29"/>
        <v>13334727.179621134</v>
      </c>
      <c r="BF63" s="1110"/>
      <c r="BH63" s="1155"/>
      <c r="BI63" s="1140"/>
      <c r="BJ63" s="1140"/>
      <c r="BK63" s="1140"/>
      <c r="BL63" s="1152"/>
      <c r="BN63" s="1155"/>
      <c r="BO63" s="1140"/>
      <c r="BP63" s="1140"/>
      <c r="BQ63" s="1140"/>
      <c r="BR63" s="1152"/>
      <c r="BU63" s="1127">
        <f>-PMT(BJ$125,20,(SUM(BB$53:BB62)))</f>
        <v>-1159850.0828711535</v>
      </c>
      <c r="BZ63" s="1125"/>
      <c r="CB63" s="1125"/>
    </row>
    <row r="64" spans="1:91" ht="15.75">
      <c r="A64" s="1111">
        <f t="shared" si="8"/>
        <v>2043</v>
      </c>
      <c r="B64" s="1112">
        <f t="shared" si="9"/>
        <v>127999.908</v>
      </c>
      <c r="C64" s="1113">
        <v>0</v>
      </c>
      <c r="D64" s="1114">
        <f t="shared" si="0"/>
        <v>0</v>
      </c>
      <c r="E64" s="1114">
        <f t="shared" si="10"/>
        <v>547520.14500000002</v>
      </c>
      <c r="F64" s="1113">
        <f t="shared" si="30"/>
        <v>0</v>
      </c>
      <c r="G64" s="1114">
        <f t="shared" si="11"/>
        <v>0</v>
      </c>
      <c r="H64" s="1112">
        <f t="shared" si="60"/>
        <v>0</v>
      </c>
      <c r="I64" s="1113">
        <f t="shared" si="60"/>
        <v>0</v>
      </c>
      <c r="J64" s="1114">
        <f t="shared" si="1"/>
        <v>0</v>
      </c>
      <c r="K64" s="1115">
        <v>0</v>
      </c>
      <c r="L64" s="1113">
        <v>0</v>
      </c>
      <c r="M64" s="1114">
        <f t="shared" si="12"/>
        <v>0</v>
      </c>
      <c r="N64" s="1116">
        <f t="shared" si="2"/>
        <v>127999.908</v>
      </c>
      <c r="O64" s="1116">
        <f t="shared" si="32"/>
        <v>0</v>
      </c>
      <c r="P64" s="1116">
        <f t="shared" si="13"/>
        <v>127999.908</v>
      </c>
      <c r="Q64" s="1116">
        <f t="shared" si="40"/>
        <v>103449.11760000001</v>
      </c>
      <c r="R64" s="1116">
        <f t="shared" si="3"/>
        <v>-103449.11760000001</v>
      </c>
      <c r="S64" s="1116">
        <f t="shared" si="14"/>
        <v>24550.790399999983</v>
      </c>
      <c r="T64" s="1116">
        <f t="shared" si="33"/>
        <v>547520.14500000002</v>
      </c>
      <c r="U64" s="1116">
        <f t="shared" si="34"/>
        <v>547520.14500000002</v>
      </c>
      <c r="V64" s="1116">
        <f t="shared" si="41"/>
        <v>411939</v>
      </c>
      <c r="W64" s="1116">
        <f t="shared" si="42"/>
        <v>67790.572500000009</v>
      </c>
      <c r="X64" s="1116">
        <f t="shared" si="35"/>
        <v>-479729.57250000001</v>
      </c>
      <c r="Y64" s="1116">
        <f t="shared" si="36"/>
        <v>67790.572500000009</v>
      </c>
      <c r="Z64" s="1116">
        <f t="shared" si="15"/>
        <v>757832.29481470597</v>
      </c>
      <c r="AA64" s="1116">
        <f t="shared" si="16"/>
        <v>-664002.16711323534</v>
      </c>
      <c r="AB64" s="1116">
        <f t="shared" si="17"/>
        <v>93830.127701470628</v>
      </c>
      <c r="AC64" s="1114">
        <v>0</v>
      </c>
      <c r="AD64" s="1114">
        <v>0</v>
      </c>
      <c r="AE64" s="1114">
        <f t="shared" si="43"/>
        <v>1166919.1160220995</v>
      </c>
      <c r="AF64" s="1114">
        <f t="shared" si="59"/>
        <v>91877.761416609137</v>
      </c>
      <c r="AG64" s="1114">
        <f t="shared" si="18"/>
        <v>1258796.8774387087</v>
      </c>
      <c r="AH64" s="1114">
        <f t="shared" si="19"/>
        <v>1258796.8774387087</v>
      </c>
      <c r="AI64" s="1117">
        <v>103.76938258624179</v>
      </c>
      <c r="AJ64" s="1117">
        <f t="shared" si="4"/>
        <v>10734851.062443521</v>
      </c>
      <c r="AK64" s="1118">
        <v>4.5</v>
      </c>
      <c r="AL64" s="1117">
        <f t="shared" si="20"/>
        <v>2988009.752009559</v>
      </c>
      <c r="AM64" s="1119">
        <f t="shared" si="37"/>
        <v>6.9025000000000007</v>
      </c>
      <c r="AN64" s="1117">
        <f t="shared" si="21"/>
        <v>-8688845.446520688</v>
      </c>
      <c r="AO64" s="1117">
        <f t="shared" si="22"/>
        <v>5034015.3679323923</v>
      </c>
      <c r="AP64" s="1114">
        <f t="shared" si="5"/>
        <v>-4949.8807278644599</v>
      </c>
      <c r="AQ64" s="1114">
        <f t="shared" si="6"/>
        <v>83586.887020800015</v>
      </c>
      <c r="AR64" s="1114">
        <f t="shared" si="7"/>
        <v>6291.486119845169</v>
      </c>
      <c r="AS64" s="1114">
        <v>0</v>
      </c>
      <c r="AT64" s="1114">
        <f t="shared" si="23"/>
        <v>84928.492412780717</v>
      </c>
      <c r="AU64" s="1120">
        <f>'[7]GHG Compliance '!B41</f>
        <v>98.708584789330018</v>
      </c>
      <c r="AV64" s="1117">
        <f t="shared" si="24"/>
        <v>8383171.2943569366</v>
      </c>
      <c r="AW64" s="1121">
        <f t="shared" si="25"/>
        <v>1439188.7175</v>
      </c>
      <c r="AX64" s="1121">
        <f t="shared" si="38"/>
        <v>-1090347.3528</v>
      </c>
      <c r="AY64" s="1121">
        <f t="shared" si="26"/>
        <v>348841.36470000003</v>
      </c>
      <c r="AZ64" s="1122">
        <v>0</v>
      </c>
      <c r="BA64" s="1122">
        <v>0</v>
      </c>
      <c r="BB64" s="1122">
        <f t="shared" si="27"/>
        <v>0</v>
      </c>
      <c r="BC64" s="1123">
        <f t="shared" si="28"/>
        <v>5382856.7326323921</v>
      </c>
      <c r="BD64" s="1123">
        <f t="shared" si="29"/>
        <v>13766028.02698933</v>
      </c>
      <c r="BF64" s="1110"/>
      <c r="BH64" s="1161" t="s">
        <v>1267</v>
      </c>
      <c r="BI64" s="1140"/>
      <c r="BJ64" s="1140"/>
      <c r="BK64" s="1140"/>
      <c r="BL64" s="1152"/>
      <c r="BN64" s="1161"/>
      <c r="BO64" s="1140"/>
      <c r="BP64" s="1140"/>
      <c r="BQ64" s="1140"/>
      <c r="BR64" s="1152"/>
      <c r="BU64" s="1127">
        <f>-PMT(BJ$125,20,(SUM(BB$53:BB63)))</f>
        <v>-1159850.0828711535</v>
      </c>
      <c r="BZ64" s="1125"/>
      <c r="CB64" s="1125"/>
    </row>
    <row r="65" spans="1:80" ht="15.75">
      <c r="A65" s="1111">
        <f t="shared" si="8"/>
        <v>2044</v>
      </c>
      <c r="B65" s="1112">
        <f t="shared" si="9"/>
        <v>127999.908</v>
      </c>
      <c r="C65" s="1113">
        <v>0</v>
      </c>
      <c r="D65" s="1114">
        <f t="shared" si="0"/>
        <v>0</v>
      </c>
      <c r="E65" s="1114">
        <f t="shared" si="10"/>
        <v>547520.14500000002</v>
      </c>
      <c r="F65" s="1113">
        <f t="shared" si="30"/>
        <v>0</v>
      </c>
      <c r="G65" s="1114">
        <f t="shared" si="11"/>
        <v>0</v>
      </c>
      <c r="H65" s="1112">
        <f t="shared" ref="H65:I71" si="61">H64</f>
        <v>0</v>
      </c>
      <c r="I65" s="1113">
        <f t="shared" si="61"/>
        <v>0</v>
      </c>
      <c r="J65" s="1114">
        <f t="shared" si="1"/>
        <v>0</v>
      </c>
      <c r="K65" s="1115">
        <v>0</v>
      </c>
      <c r="L65" s="1113">
        <v>0</v>
      </c>
      <c r="M65" s="1114">
        <f t="shared" si="12"/>
        <v>0</v>
      </c>
      <c r="N65" s="1116">
        <f t="shared" si="2"/>
        <v>127999.908</v>
      </c>
      <c r="O65" s="1116">
        <f t="shared" si="32"/>
        <v>0</v>
      </c>
      <c r="P65" s="1116">
        <f t="shared" si="13"/>
        <v>127999.908</v>
      </c>
      <c r="Q65" s="1116">
        <f t="shared" si="40"/>
        <v>103449.11760000001</v>
      </c>
      <c r="R65" s="1116">
        <f t="shared" si="3"/>
        <v>-103449.11760000001</v>
      </c>
      <c r="S65" s="1116">
        <f t="shared" si="14"/>
        <v>24550.790399999983</v>
      </c>
      <c r="T65" s="1116">
        <f t="shared" si="33"/>
        <v>547520.14500000002</v>
      </c>
      <c r="U65" s="1116">
        <f t="shared" si="34"/>
        <v>547520.14500000002</v>
      </c>
      <c r="V65" s="1116">
        <f t="shared" si="41"/>
        <v>411939</v>
      </c>
      <c r="W65" s="1116">
        <f t="shared" si="42"/>
        <v>67790.572500000009</v>
      </c>
      <c r="X65" s="1116">
        <f t="shared" si="35"/>
        <v>-479729.57250000001</v>
      </c>
      <c r="Y65" s="1116">
        <f t="shared" si="36"/>
        <v>67790.572500000009</v>
      </c>
      <c r="Z65" s="1116">
        <f t="shared" si="15"/>
        <v>757832.29481470597</v>
      </c>
      <c r="AA65" s="1116">
        <f t="shared" si="16"/>
        <v>-664002.16711323534</v>
      </c>
      <c r="AB65" s="1116">
        <f t="shared" si="17"/>
        <v>93830.127701470628</v>
      </c>
      <c r="AC65" s="1114">
        <v>0</v>
      </c>
      <c r="AD65" s="1114">
        <v>0</v>
      </c>
      <c r="AE65" s="1114">
        <f t="shared" si="43"/>
        <v>1166919.1160220995</v>
      </c>
      <c r="AF65" s="1114">
        <f t="shared" si="59"/>
        <v>91877.761416609137</v>
      </c>
      <c r="AG65" s="1114">
        <f t="shared" si="18"/>
        <v>1258796.8774387087</v>
      </c>
      <c r="AH65" s="1114">
        <f t="shared" si="19"/>
        <v>1258796.8774387087</v>
      </c>
      <c r="AI65" s="1117">
        <v>105.37540234124516</v>
      </c>
      <c r="AJ65" s="1117">
        <f t="shared" si="4"/>
        <v>10900992.388946788</v>
      </c>
      <c r="AK65" s="1118">
        <v>4.5</v>
      </c>
      <c r="AL65" s="1117">
        <f t="shared" si="20"/>
        <v>2988009.752009559</v>
      </c>
      <c r="AM65" s="1119">
        <f t="shared" si="37"/>
        <v>6.9025000000000007</v>
      </c>
      <c r="AN65" s="1117">
        <f t="shared" si="21"/>
        <v>-8688845.446520688</v>
      </c>
      <c r="AO65" s="1117">
        <f t="shared" si="22"/>
        <v>5200156.6944356598</v>
      </c>
      <c r="AP65" s="1114">
        <f t="shared" si="5"/>
        <v>-4949.8807278644599</v>
      </c>
      <c r="AQ65" s="1114">
        <f t="shared" si="6"/>
        <v>83586.887020800015</v>
      </c>
      <c r="AR65" s="1114">
        <f t="shared" si="7"/>
        <v>6291.486119845169</v>
      </c>
      <c r="AS65" s="1114">
        <v>0</v>
      </c>
      <c r="AT65" s="1114">
        <f t="shared" si="23"/>
        <v>84928.492412780717</v>
      </c>
      <c r="AU65" s="1120">
        <f>'[7]GHG Compliance '!B42</f>
        <v>102.31492395919165</v>
      </c>
      <c r="AV65" s="1117">
        <f t="shared" si="24"/>
        <v>8689452.2431824431</v>
      </c>
      <c r="AW65" s="1121">
        <f t="shared" si="25"/>
        <v>1439188.7175</v>
      </c>
      <c r="AX65" s="1121">
        <f t="shared" si="38"/>
        <v>-1090347.3528</v>
      </c>
      <c r="AY65" s="1121">
        <f t="shared" si="26"/>
        <v>348841.36470000003</v>
      </c>
      <c r="AZ65" s="1122">
        <v>0</v>
      </c>
      <c r="BA65" s="1122">
        <v>0</v>
      </c>
      <c r="BB65" s="1122">
        <f t="shared" si="27"/>
        <v>0</v>
      </c>
      <c r="BC65" s="1123">
        <f t="shared" si="28"/>
        <v>5548998.0591356596</v>
      </c>
      <c r="BD65" s="1123">
        <f t="shared" si="29"/>
        <v>14238450.302318104</v>
      </c>
      <c r="BF65" s="1110"/>
      <c r="BH65" s="1153" t="s">
        <v>1268</v>
      </c>
      <c r="BI65" s="1140" t="s">
        <v>833</v>
      </c>
      <c r="BJ65" s="1162">
        <v>0.85</v>
      </c>
      <c r="BK65" s="1140" t="s">
        <v>1269</v>
      </c>
      <c r="BL65" s="1152"/>
      <c r="BN65" s="1153"/>
      <c r="BO65" s="1140"/>
      <c r="BP65" s="1162"/>
      <c r="BQ65" s="1140"/>
      <c r="BR65" s="1152"/>
      <c r="BU65" s="1127">
        <f>-PMT(BJ$125,20,(SUM(BB$53:BB64)))</f>
        <v>-1159850.0828711535</v>
      </c>
      <c r="BZ65" s="1125"/>
      <c r="CB65" s="1125"/>
    </row>
    <row r="66" spans="1:80" ht="15.75">
      <c r="A66" s="1111">
        <f t="shared" si="8"/>
        <v>2045</v>
      </c>
      <c r="B66" s="1112">
        <f t="shared" si="9"/>
        <v>127999.908</v>
      </c>
      <c r="C66" s="1113">
        <v>0</v>
      </c>
      <c r="D66" s="1114">
        <f t="shared" si="0"/>
        <v>0</v>
      </c>
      <c r="E66" s="1114">
        <f t="shared" si="10"/>
        <v>547520.14500000002</v>
      </c>
      <c r="F66" s="1113">
        <f t="shared" si="30"/>
        <v>0</v>
      </c>
      <c r="G66" s="1114">
        <f t="shared" si="11"/>
        <v>0</v>
      </c>
      <c r="H66" s="1112">
        <f t="shared" si="61"/>
        <v>0</v>
      </c>
      <c r="I66" s="1113">
        <f t="shared" si="61"/>
        <v>0</v>
      </c>
      <c r="J66" s="1114">
        <f t="shared" si="1"/>
        <v>0</v>
      </c>
      <c r="K66" s="1115">
        <v>0</v>
      </c>
      <c r="L66" s="1113">
        <v>0</v>
      </c>
      <c r="M66" s="1114">
        <f t="shared" si="12"/>
        <v>0</v>
      </c>
      <c r="N66" s="1116">
        <f t="shared" si="2"/>
        <v>127999.908</v>
      </c>
      <c r="O66" s="1116">
        <f t="shared" si="32"/>
        <v>0</v>
      </c>
      <c r="P66" s="1116">
        <f t="shared" si="13"/>
        <v>127999.908</v>
      </c>
      <c r="Q66" s="1116">
        <f t="shared" si="40"/>
        <v>103449.11760000001</v>
      </c>
      <c r="R66" s="1116">
        <f t="shared" si="3"/>
        <v>-103449.11760000001</v>
      </c>
      <c r="S66" s="1116">
        <f t="shared" si="14"/>
        <v>24550.790399999983</v>
      </c>
      <c r="T66" s="1116">
        <f t="shared" si="33"/>
        <v>547520.14500000002</v>
      </c>
      <c r="U66" s="1116">
        <f t="shared" si="34"/>
        <v>547520.14500000002</v>
      </c>
      <c r="V66" s="1116">
        <f t="shared" si="41"/>
        <v>411939</v>
      </c>
      <c r="W66" s="1116">
        <f t="shared" si="42"/>
        <v>67790.572500000009</v>
      </c>
      <c r="X66" s="1116">
        <f t="shared" si="35"/>
        <v>-479729.57250000001</v>
      </c>
      <c r="Y66" s="1116">
        <f t="shared" si="36"/>
        <v>67790.572500000009</v>
      </c>
      <c r="Z66" s="1116">
        <f t="shared" si="15"/>
        <v>757832.29481470597</v>
      </c>
      <c r="AA66" s="1116">
        <f t="shared" si="16"/>
        <v>-664002.16711323534</v>
      </c>
      <c r="AB66" s="1116">
        <f t="shared" si="17"/>
        <v>93830.127701470628</v>
      </c>
      <c r="AC66" s="1114">
        <v>0</v>
      </c>
      <c r="AD66" s="1114">
        <v>0</v>
      </c>
      <c r="AE66" s="1114">
        <f t="shared" si="43"/>
        <v>1166919.1160220995</v>
      </c>
      <c r="AF66" s="1114">
        <f t="shared" si="59"/>
        <v>91877.761416609137</v>
      </c>
      <c r="AG66" s="1114">
        <f t="shared" si="18"/>
        <v>1258796.8774387087</v>
      </c>
      <c r="AH66" s="1114">
        <f t="shared" si="19"/>
        <v>1258796.8774387087</v>
      </c>
      <c r="AI66" s="1117">
        <v>107.00627817025783</v>
      </c>
      <c r="AJ66" s="1117">
        <f t="shared" si="4"/>
        <v>11069705.054373316</v>
      </c>
      <c r="AK66" s="1118">
        <v>4.5</v>
      </c>
      <c r="AL66" s="1117">
        <f t="shared" si="20"/>
        <v>2988009.752009559</v>
      </c>
      <c r="AM66" s="1119">
        <f t="shared" si="37"/>
        <v>6.9025000000000007</v>
      </c>
      <c r="AN66" s="1117">
        <f t="shared" si="21"/>
        <v>-8688845.446520688</v>
      </c>
      <c r="AO66" s="1117">
        <f t="shared" si="22"/>
        <v>5368869.3598621879</v>
      </c>
      <c r="AP66" s="1114">
        <f t="shared" si="5"/>
        <v>-4949.8807278644599</v>
      </c>
      <c r="AQ66" s="1114">
        <f t="shared" si="6"/>
        <v>83586.887020800015</v>
      </c>
      <c r="AR66" s="1114">
        <f t="shared" si="7"/>
        <v>6291.486119845169</v>
      </c>
      <c r="AS66" s="1114">
        <v>0</v>
      </c>
      <c r="AT66" s="1114">
        <f t="shared" si="23"/>
        <v>84928.492412780717</v>
      </c>
      <c r="AU66" s="1120">
        <f>'[7]GHG Compliance '!B43</f>
        <v>106.47741997347836</v>
      </c>
      <c r="AV66" s="1117">
        <f t="shared" si="24"/>
        <v>9042966.7543500233</v>
      </c>
      <c r="AW66" s="1121">
        <f t="shared" si="25"/>
        <v>1439188.7175</v>
      </c>
      <c r="AX66" s="1121">
        <f t="shared" si="38"/>
        <v>-1090347.3528</v>
      </c>
      <c r="AY66" s="1121">
        <f t="shared" si="26"/>
        <v>348841.36470000003</v>
      </c>
      <c r="AZ66" s="1122">
        <v>0</v>
      </c>
      <c r="BA66" s="1122">
        <v>0</v>
      </c>
      <c r="BB66" s="1122">
        <f t="shared" si="27"/>
        <v>0</v>
      </c>
      <c r="BC66" s="1123">
        <f t="shared" si="28"/>
        <v>5717710.7245621877</v>
      </c>
      <c r="BD66" s="1123">
        <f t="shared" si="29"/>
        <v>14760677.478912212</v>
      </c>
      <c r="BF66" s="1110"/>
      <c r="BH66" s="1155"/>
      <c r="BI66" s="1140" t="s">
        <v>1270</v>
      </c>
      <c r="BJ66" s="1163">
        <v>3</v>
      </c>
      <c r="BK66" s="1140" t="s">
        <v>1271</v>
      </c>
      <c r="BL66" s="1152" t="s">
        <v>1272</v>
      </c>
      <c r="BN66" s="1155"/>
      <c r="BO66" s="1140"/>
      <c r="BP66" s="1163"/>
      <c r="BQ66" s="1140"/>
      <c r="BR66" s="1152"/>
      <c r="BU66" s="1127">
        <f>-PMT(BJ$125,20,(SUM(BB$53:BB65)))</f>
        <v>-1159850.0828711535</v>
      </c>
      <c r="BZ66" s="1125"/>
      <c r="CB66" s="1125"/>
    </row>
    <row r="67" spans="1:80" ht="15.75">
      <c r="A67" s="1111">
        <f t="shared" si="8"/>
        <v>2046</v>
      </c>
      <c r="B67" s="1112">
        <f t="shared" si="9"/>
        <v>127999.908</v>
      </c>
      <c r="C67" s="1113">
        <v>0</v>
      </c>
      <c r="D67" s="1114">
        <f t="shared" si="0"/>
        <v>0</v>
      </c>
      <c r="E67" s="1114">
        <f t="shared" si="10"/>
        <v>547520.14500000002</v>
      </c>
      <c r="F67" s="1113">
        <f t="shared" si="30"/>
        <v>0</v>
      </c>
      <c r="G67" s="1114">
        <f t="shared" si="11"/>
        <v>0</v>
      </c>
      <c r="H67" s="1112">
        <f t="shared" si="61"/>
        <v>0</v>
      </c>
      <c r="I67" s="1113">
        <f t="shared" si="61"/>
        <v>0</v>
      </c>
      <c r="J67" s="1114">
        <f t="shared" si="1"/>
        <v>0</v>
      </c>
      <c r="K67" s="1115">
        <v>0</v>
      </c>
      <c r="L67" s="1113">
        <v>0</v>
      </c>
      <c r="M67" s="1114">
        <f t="shared" si="12"/>
        <v>0</v>
      </c>
      <c r="N67" s="1116">
        <f t="shared" si="2"/>
        <v>127999.908</v>
      </c>
      <c r="O67" s="1116">
        <f t="shared" si="32"/>
        <v>0</v>
      </c>
      <c r="P67" s="1116">
        <f t="shared" si="13"/>
        <v>127999.908</v>
      </c>
      <c r="Q67" s="1116">
        <f t="shared" si="40"/>
        <v>103449.11760000001</v>
      </c>
      <c r="R67" s="1116">
        <f t="shared" si="3"/>
        <v>-103449.11760000001</v>
      </c>
      <c r="S67" s="1116">
        <f t="shared" si="14"/>
        <v>24550.790399999983</v>
      </c>
      <c r="T67" s="1116">
        <f t="shared" si="33"/>
        <v>547520.14500000002</v>
      </c>
      <c r="U67" s="1116">
        <f t="shared" si="34"/>
        <v>547520.14500000002</v>
      </c>
      <c r="V67" s="1116">
        <f t="shared" si="41"/>
        <v>411939</v>
      </c>
      <c r="W67" s="1116">
        <f t="shared" si="42"/>
        <v>67790.572500000009</v>
      </c>
      <c r="X67" s="1116">
        <f t="shared" si="35"/>
        <v>-479729.57250000001</v>
      </c>
      <c r="Y67" s="1116">
        <f t="shared" si="36"/>
        <v>67790.572500000009</v>
      </c>
      <c r="Z67" s="1116">
        <f t="shared" si="15"/>
        <v>757832.29481470597</v>
      </c>
      <c r="AA67" s="1116">
        <f t="shared" si="16"/>
        <v>-664002.16711323534</v>
      </c>
      <c r="AB67" s="1116">
        <f t="shared" si="17"/>
        <v>93830.127701470628</v>
      </c>
      <c r="AC67" s="1114">
        <v>0</v>
      </c>
      <c r="AD67" s="1114">
        <v>0</v>
      </c>
      <c r="AE67" s="1114">
        <f t="shared" si="43"/>
        <v>1166919.1160220995</v>
      </c>
      <c r="AF67" s="1114">
        <f t="shared" si="59"/>
        <v>91877.761416609137</v>
      </c>
      <c r="AG67" s="1114">
        <f t="shared" si="18"/>
        <v>1258796.8774387087</v>
      </c>
      <c r="AH67" s="1114">
        <f t="shared" si="19"/>
        <v>1258796.8774387087</v>
      </c>
      <c r="AI67" s="1117">
        <v>108.66239476619107</v>
      </c>
      <c r="AJ67" s="1117">
        <f t="shared" si="4"/>
        <v>11241028.854865326</v>
      </c>
      <c r="AK67" s="1118">
        <v>4.5</v>
      </c>
      <c r="AL67" s="1117">
        <f t="shared" si="20"/>
        <v>2988009.752009559</v>
      </c>
      <c r="AM67" s="1119">
        <f t="shared" si="37"/>
        <v>6.9025000000000007</v>
      </c>
      <c r="AN67" s="1117">
        <f t="shared" si="21"/>
        <v>-8688845.446520688</v>
      </c>
      <c r="AO67" s="1117">
        <f t="shared" si="22"/>
        <v>5540193.160354197</v>
      </c>
      <c r="AP67" s="1114">
        <f t="shared" si="5"/>
        <v>-4949.8807278644599</v>
      </c>
      <c r="AQ67" s="1114">
        <f t="shared" si="6"/>
        <v>83586.887020800015</v>
      </c>
      <c r="AR67" s="1114">
        <f t="shared" si="7"/>
        <v>6291.486119845169</v>
      </c>
      <c r="AS67" s="1114">
        <v>0</v>
      </c>
      <c r="AT67" s="1114">
        <f t="shared" si="23"/>
        <v>84928.492412780717</v>
      </c>
      <c r="AU67" s="1120">
        <f>'[7]GHG Compliance '!B44</f>
        <v>111.0891498606894</v>
      </c>
      <c r="AV67" s="1117">
        <f t="shared" si="24"/>
        <v>9434634.0210858192</v>
      </c>
      <c r="AW67" s="1121">
        <f t="shared" si="25"/>
        <v>1439188.7175</v>
      </c>
      <c r="AX67" s="1121">
        <f t="shared" si="38"/>
        <v>-1090347.3528</v>
      </c>
      <c r="AY67" s="1121">
        <f t="shared" si="26"/>
        <v>348841.36470000003</v>
      </c>
      <c r="AZ67" s="1122">
        <v>0</v>
      </c>
      <c r="BA67" s="1122">
        <v>0</v>
      </c>
      <c r="BB67" s="1122">
        <f t="shared" si="27"/>
        <v>0</v>
      </c>
      <c r="BC67" s="1123">
        <f t="shared" si="28"/>
        <v>5889034.5250541968</v>
      </c>
      <c r="BD67" s="1123">
        <f t="shared" si="29"/>
        <v>15323668.546140017</v>
      </c>
      <c r="BF67" s="1110"/>
      <c r="BH67" s="1153" t="s">
        <v>1273</v>
      </c>
      <c r="BI67" s="1140"/>
      <c r="BJ67" s="1163">
        <v>0</v>
      </c>
      <c r="BK67" s="1140"/>
      <c r="BL67" s="1152"/>
      <c r="BN67" s="1153"/>
      <c r="BO67" s="1140"/>
      <c r="BP67" s="1163"/>
      <c r="BQ67" s="1140"/>
      <c r="BR67" s="1152"/>
      <c r="BU67" s="1127">
        <f>-PMT(BJ$125,20,(SUM(BB$53:BB66)))</f>
        <v>-1159850.0828711535</v>
      </c>
      <c r="BZ67" s="1125"/>
      <c r="CB67" s="1125"/>
    </row>
    <row r="68" spans="1:80" ht="15.75">
      <c r="A68" s="1111">
        <f t="shared" si="8"/>
        <v>2047</v>
      </c>
      <c r="B68" s="1112">
        <f t="shared" si="9"/>
        <v>127999.908</v>
      </c>
      <c r="C68" s="1113">
        <v>0</v>
      </c>
      <c r="D68" s="1114">
        <f t="shared" si="0"/>
        <v>0</v>
      </c>
      <c r="E68" s="1114">
        <f t="shared" si="10"/>
        <v>547520.14500000002</v>
      </c>
      <c r="F68" s="1113">
        <f t="shared" si="30"/>
        <v>0</v>
      </c>
      <c r="G68" s="1114">
        <f t="shared" si="11"/>
        <v>0</v>
      </c>
      <c r="H68" s="1112">
        <f t="shared" si="61"/>
        <v>0</v>
      </c>
      <c r="I68" s="1113">
        <f t="shared" si="61"/>
        <v>0</v>
      </c>
      <c r="J68" s="1114">
        <f t="shared" si="1"/>
        <v>0</v>
      </c>
      <c r="K68" s="1115">
        <v>0</v>
      </c>
      <c r="L68" s="1113">
        <v>0</v>
      </c>
      <c r="M68" s="1114">
        <f t="shared" si="12"/>
        <v>0</v>
      </c>
      <c r="N68" s="1116">
        <f t="shared" si="2"/>
        <v>127999.908</v>
      </c>
      <c r="O68" s="1116">
        <f t="shared" si="32"/>
        <v>0</v>
      </c>
      <c r="P68" s="1116">
        <f t="shared" si="13"/>
        <v>127999.908</v>
      </c>
      <c r="Q68" s="1116">
        <f t="shared" si="40"/>
        <v>103449.11760000001</v>
      </c>
      <c r="R68" s="1116">
        <f t="shared" si="3"/>
        <v>-103449.11760000001</v>
      </c>
      <c r="S68" s="1116">
        <f t="shared" si="14"/>
        <v>24550.790399999983</v>
      </c>
      <c r="T68" s="1116">
        <f t="shared" si="33"/>
        <v>547520.14500000002</v>
      </c>
      <c r="U68" s="1116">
        <f t="shared" si="34"/>
        <v>547520.14500000002</v>
      </c>
      <c r="V68" s="1116">
        <f t="shared" si="41"/>
        <v>411939</v>
      </c>
      <c r="W68" s="1116">
        <f t="shared" si="42"/>
        <v>67790.572500000009</v>
      </c>
      <c r="X68" s="1116">
        <f t="shared" si="35"/>
        <v>-479729.57250000001</v>
      </c>
      <c r="Y68" s="1116">
        <f t="shared" si="36"/>
        <v>67790.572500000009</v>
      </c>
      <c r="Z68" s="1116">
        <f t="shared" si="15"/>
        <v>757832.29481470597</v>
      </c>
      <c r="AA68" s="1116">
        <f t="shared" si="16"/>
        <v>-664002.16711323534</v>
      </c>
      <c r="AB68" s="1116">
        <f t="shared" si="17"/>
        <v>93830.127701470628</v>
      </c>
      <c r="AC68" s="1114">
        <v>0</v>
      </c>
      <c r="AD68" s="1114">
        <v>0</v>
      </c>
      <c r="AE68" s="1114">
        <f t="shared" si="43"/>
        <v>1166919.1160220995</v>
      </c>
      <c r="AF68" s="1114">
        <f t="shared" si="59"/>
        <v>91877.761416609137</v>
      </c>
      <c r="AG68" s="1114">
        <f t="shared" si="18"/>
        <v>1258796.8774387087</v>
      </c>
      <c r="AH68" s="1114">
        <f t="shared" si="19"/>
        <v>1258796.8774387087</v>
      </c>
      <c r="AI68" s="1117">
        <v>110.34414277577801</v>
      </c>
      <c r="AJ68" s="1117">
        <f t="shared" si="4"/>
        <v>11415004.202482652</v>
      </c>
      <c r="AK68" s="1118">
        <v>4.5</v>
      </c>
      <c r="AL68" s="1117">
        <f t="shared" si="20"/>
        <v>2988009.752009559</v>
      </c>
      <c r="AM68" s="1119">
        <f t="shared" si="37"/>
        <v>6.9025000000000007</v>
      </c>
      <c r="AN68" s="1117">
        <f t="shared" si="21"/>
        <v>-8688845.446520688</v>
      </c>
      <c r="AO68" s="1117">
        <f t="shared" si="22"/>
        <v>5714168.5079715233</v>
      </c>
      <c r="AP68" s="1114">
        <f t="shared" si="5"/>
        <v>-4949.8807278644599</v>
      </c>
      <c r="AQ68" s="1114">
        <f t="shared" si="6"/>
        <v>83586.887020800015</v>
      </c>
      <c r="AR68" s="1114">
        <f t="shared" si="7"/>
        <v>6291.486119845169</v>
      </c>
      <c r="AS68" s="1114">
        <v>0</v>
      </c>
      <c r="AT68" s="1114">
        <f t="shared" si="23"/>
        <v>84928.492412780717</v>
      </c>
      <c r="AU68" s="1120">
        <f>'[7]GHG Compliance '!B45</f>
        <v>116.00156811972548</v>
      </c>
      <c r="AV68" s="1117">
        <f t="shared" si="24"/>
        <v>9851838.2979267705</v>
      </c>
      <c r="AW68" s="1121">
        <f t="shared" si="25"/>
        <v>1439188.7175</v>
      </c>
      <c r="AX68" s="1121">
        <f t="shared" si="38"/>
        <v>-1090347.3528</v>
      </c>
      <c r="AY68" s="1121">
        <f t="shared" si="26"/>
        <v>348841.36470000003</v>
      </c>
      <c r="AZ68" s="1122">
        <v>0</v>
      </c>
      <c r="BA68" s="1122">
        <v>0</v>
      </c>
      <c r="BB68" s="1122">
        <f t="shared" si="27"/>
        <v>0</v>
      </c>
      <c r="BC68" s="1123">
        <f t="shared" si="28"/>
        <v>6063009.8726715231</v>
      </c>
      <c r="BD68" s="1123">
        <f t="shared" si="29"/>
        <v>15914848.170598295</v>
      </c>
      <c r="BF68" s="1110"/>
      <c r="BH68" s="1164" t="s">
        <v>1274</v>
      </c>
      <c r="BI68" s="1140" t="s">
        <v>1275</v>
      </c>
      <c r="BJ68" s="1163">
        <v>0</v>
      </c>
      <c r="BK68" s="1140" t="s">
        <v>1276</v>
      </c>
      <c r="BL68" s="1152"/>
      <c r="BN68" s="1153"/>
      <c r="BO68" s="1140"/>
      <c r="BP68" s="1140"/>
      <c r="BQ68" s="1140"/>
      <c r="BR68" s="1152"/>
      <c r="BU68" s="1127">
        <f>-PMT(BJ$125,20,(SUM(BB$53:BB67)))</f>
        <v>-1159850.0828711535</v>
      </c>
      <c r="BZ68" s="1125"/>
      <c r="CB68" s="1125"/>
    </row>
    <row r="69" spans="1:80" ht="15.75">
      <c r="A69" s="1111">
        <f t="shared" si="8"/>
        <v>2048</v>
      </c>
      <c r="B69" s="1112">
        <f t="shared" si="9"/>
        <v>127999.908</v>
      </c>
      <c r="C69" s="1113">
        <v>0</v>
      </c>
      <c r="D69" s="1114">
        <f t="shared" si="0"/>
        <v>0</v>
      </c>
      <c r="E69" s="1114">
        <f t="shared" si="10"/>
        <v>547520.14500000002</v>
      </c>
      <c r="F69" s="1113">
        <f t="shared" si="30"/>
        <v>0</v>
      </c>
      <c r="G69" s="1114">
        <f t="shared" si="11"/>
        <v>0</v>
      </c>
      <c r="H69" s="1112">
        <f t="shared" si="61"/>
        <v>0</v>
      </c>
      <c r="I69" s="1113">
        <f t="shared" si="61"/>
        <v>0</v>
      </c>
      <c r="J69" s="1114">
        <f t="shared" si="1"/>
        <v>0</v>
      </c>
      <c r="K69" s="1115">
        <v>0</v>
      </c>
      <c r="L69" s="1113">
        <v>0</v>
      </c>
      <c r="M69" s="1114">
        <f t="shared" si="12"/>
        <v>0</v>
      </c>
      <c r="N69" s="1116">
        <f t="shared" si="2"/>
        <v>127999.908</v>
      </c>
      <c r="O69" s="1116">
        <f t="shared" si="32"/>
        <v>0</v>
      </c>
      <c r="P69" s="1116">
        <f t="shared" si="13"/>
        <v>127999.908</v>
      </c>
      <c r="Q69" s="1116">
        <f t="shared" si="40"/>
        <v>103449.11760000001</v>
      </c>
      <c r="R69" s="1116">
        <f t="shared" si="3"/>
        <v>-103449.11760000001</v>
      </c>
      <c r="S69" s="1116">
        <f t="shared" si="14"/>
        <v>24550.790399999983</v>
      </c>
      <c r="T69" s="1116">
        <f t="shared" si="33"/>
        <v>547520.14500000002</v>
      </c>
      <c r="U69" s="1116">
        <f t="shared" si="34"/>
        <v>547520.14500000002</v>
      </c>
      <c r="V69" s="1116">
        <f t="shared" si="41"/>
        <v>411939</v>
      </c>
      <c r="W69" s="1116">
        <f t="shared" si="42"/>
        <v>67790.572500000009</v>
      </c>
      <c r="X69" s="1116">
        <f t="shared" si="35"/>
        <v>-479729.57250000001</v>
      </c>
      <c r="Y69" s="1116">
        <f t="shared" si="36"/>
        <v>67790.572500000009</v>
      </c>
      <c r="Z69" s="1116">
        <f t="shared" si="15"/>
        <v>757832.29481470597</v>
      </c>
      <c r="AA69" s="1116">
        <f t="shared" si="16"/>
        <v>-664002.16711323534</v>
      </c>
      <c r="AB69" s="1116">
        <f t="shared" si="17"/>
        <v>93830.127701470628</v>
      </c>
      <c r="AC69" s="1114">
        <v>0</v>
      </c>
      <c r="AD69" s="1114">
        <v>0</v>
      </c>
      <c r="AE69" s="1114">
        <f t="shared" si="43"/>
        <v>1166919.1160220995</v>
      </c>
      <c r="AF69" s="1114">
        <f t="shared" si="59"/>
        <v>91877.761416609137</v>
      </c>
      <c r="AG69" s="1114">
        <f t="shared" si="18"/>
        <v>1258796.8774387087</v>
      </c>
      <c r="AH69" s="1114">
        <f t="shared" si="19"/>
        <v>1258796.8774387087</v>
      </c>
      <c r="AI69" s="1117">
        <v>112.05191889171984</v>
      </c>
      <c r="AJ69" s="1117">
        <f t="shared" si="4"/>
        <v>11591672.134735188</v>
      </c>
      <c r="AK69" s="1118">
        <v>4.5</v>
      </c>
      <c r="AL69" s="1117">
        <f t="shared" si="20"/>
        <v>2988009.752009559</v>
      </c>
      <c r="AM69" s="1119">
        <f t="shared" si="37"/>
        <v>6.9025000000000007</v>
      </c>
      <c r="AN69" s="1117">
        <f t="shared" si="21"/>
        <v>-8688845.446520688</v>
      </c>
      <c r="AO69" s="1117">
        <f t="shared" si="22"/>
        <v>5890836.4402240589</v>
      </c>
      <c r="AP69" s="1114">
        <f t="shared" si="5"/>
        <v>-4949.8807278644599</v>
      </c>
      <c r="AQ69" s="1114">
        <f t="shared" si="6"/>
        <v>83586.887020800015</v>
      </c>
      <c r="AR69" s="1114">
        <f t="shared" si="7"/>
        <v>6291.486119845169</v>
      </c>
      <c r="AS69" s="1114">
        <v>0</v>
      </c>
      <c r="AT69" s="1114">
        <f t="shared" si="23"/>
        <v>84928.492412780717</v>
      </c>
      <c r="AU69" s="1120">
        <f>'[7]GHG Compliance '!B46</f>
        <v>121.25312269370279</v>
      </c>
      <c r="AV69" s="1117">
        <f t="shared" si="24"/>
        <v>10297844.910718108</v>
      </c>
      <c r="AW69" s="1121">
        <f t="shared" si="25"/>
        <v>1439188.7175</v>
      </c>
      <c r="AX69" s="1121">
        <f t="shared" si="38"/>
        <v>-1090347.3528</v>
      </c>
      <c r="AY69" s="1121">
        <f t="shared" si="26"/>
        <v>348841.36470000003</v>
      </c>
      <c r="AZ69" s="1122">
        <v>0</v>
      </c>
      <c r="BA69" s="1122">
        <v>0</v>
      </c>
      <c r="BB69" s="1122">
        <f t="shared" si="27"/>
        <v>0</v>
      </c>
      <c r="BC69" s="1123">
        <f t="shared" si="28"/>
        <v>6239677.8049240587</v>
      </c>
      <c r="BD69" s="1123">
        <f t="shared" si="29"/>
        <v>16537522.715642167</v>
      </c>
      <c r="BF69" s="1110"/>
      <c r="BH69" s="1164"/>
      <c r="BI69" s="1165" t="s">
        <v>1277</v>
      </c>
      <c r="BJ69" s="1163"/>
      <c r="BK69" s="1140"/>
      <c r="BL69" s="1152"/>
      <c r="BN69" s="1153"/>
      <c r="BO69" s="1140"/>
      <c r="BP69" s="1140"/>
      <c r="BQ69" s="1140"/>
      <c r="BR69" s="1152"/>
      <c r="BU69" s="1127">
        <f>-PMT(BJ$125,20,(SUM(BB$53:BB68)))</f>
        <v>-1159850.0828711535</v>
      </c>
      <c r="BZ69" s="1125"/>
      <c r="CB69" s="1125"/>
    </row>
    <row r="70" spans="1:80" ht="15.75">
      <c r="A70" s="1111">
        <f t="shared" si="8"/>
        <v>2049</v>
      </c>
      <c r="B70" s="1112">
        <f t="shared" si="9"/>
        <v>127999.908</v>
      </c>
      <c r="C70" s="1113">
        <v>0</v>
      </c>
      <c r="D70" s="1114">
        <f t="shared" si="0"/>
        <v>0</v>
      </c>
      <c r="E70" s="1114">
        <f t="shared" si="10"/>
        <v>547520.14500000002</v>
      </c>
      <c r="F70" s="1113">
        <f t="shared" si="30"/>
        <v>0</v>
      </c>
      <c r="G70" s="1114">
        <f t="shared" si="11"/>
        <v>0</v>
      </c>
      <c r="H70" s="1112">
        <f t="shared" si="61"/>
        <v>0</v>
      </c>
      <c r="I70" s="1113">
        <f t="shared" si="61"/>
        <v>0</v>
      </c>
      <c r="J70" s="1114">
        <f t="shared" si="1"/>
        <v>0</v>
      </c>
      <c r="K70" s="1115">
        <v>0</v>
      </c>
      <c r="L70" s="1113">
        <v>0</v>
      </c>
      <c r="M70" s="1114">
        <f t="shared" si="12"/>
        <v>0</v>
      </c>
      <c r="N70" s="1116">
        <f t="shared" si="2"/>
        <v>127999.908</v>
      </c>
      <c r="O70" s="1116">
        <f t="shared" si="32"/>
        <v>0</v>
      </c>
      <c r="P70" s="1116">
        <f t="shared" si="13"/>
        <v>127999.908</v>
      </c>
      <c r="Q70" s="1116">
        <f t="shared" si="40"/>
        <v>103449.11760000001</v>
      </c>
      <c r="R70" s="1116">
        <f t="shared" si="3"/>
        <v>-103449.11760000001</v>
      </c>
      <c r="S70" s="1116">
        <f t="shared" si="14"/>
        <v>24550.790399999983</v>
      </c>
      <c r="T70" s="1116">
        <f t="shared" si="33"/>
        <v>547520.14500000002</v>
      </c>
      <c r="U70" s="1116">
        <f t="shared" si="34"/>
        <v>547520.14500000002</v>
      </c>
      <c r="V70" s="1116">
        <f t="shared" si="41"/>
        <v>411939</v>
      </c>
      <c r="W70" s="1116">
        <f t="shared" si="42"/>
        <v>67790.572500000009</v>
      </c>
      <c r="X70" s="1116">
        <f t="shared" si="35"/>
        <v>-479729.57250000001</v>
      </c>
      <c r="Y70" s="1116">
        <f t="shared" si="36"/>
        <v>67790.572500000009</v>
      </c>
      <c r="Z70" s="1116">
        <f t="shared" si="15"/>
        <v>757832.29481470597</v>
      </c>
      <c r="AA70" s="1116">
        <f t="shared" si="16"/>
        <v>-664002.16711323534</v>
      </c>
      <c r="AB70" s="1116">
        <f t="shared" si="17"/>
        <v>93830.127701470628</v>
      </c>
      <c r="AC70" s="1114">
        <v>0</v>
      </c>
      <c r="AD70" s="1114">
        <v>0</v>
      </c>
      <c r="AE70" s="1114">
        <f t="shared" si="43"/>
        <v>1166919.1160220995</v>
      </c>
      <c r="AF70" s="1114">
        <f t="shared" si="59"/>
        <v>91877.761416609137</v>
      </c>
      <c r="AG70" s="1114">
        <f t="shared" si="18"/>
        <v>1258796.8774387087</v>
      </c>
      <c r="AH70" s="1114">
        <f t="shared" si="19"/>
        <v>1258796.8774387087</v>
      </c>
      <c r="AI70" s="1117">
        <v>113.78612594625808</v>
      </c>
      <c r="AJ70" s="1117">
        <f t="shared" si="4"/>
        <v>11771074.324262865</v>
      </c>
      <c r="AK70" s="1118">
        <v>4.5</v>
      </c>
      <c r="AL70" s="1117">
        <f t="shared" si="20"/>
        <v>2988009.752009559</v>
      </c>
      <c r="AM70" s="1119">
        <f t="shared" si="37"/>
        <v>6.9025000000000007</v>
      </c>
      <c r="AN70" s="1117">
        <f t="shared" si="21"/>
        <v>-8688845.446520688</v>
      </c>
      <c r="AO70" s="1117">
        <f t="shared" si="22"/>
        <v>6070238.6297517363</v>
      </c>
      <c r="AP70" s="1114">
        <f t="shared" si="5"/>
        <v>-4949.8807278644599</v>
      </c>
      <c r="AQ70" s="1114">
        <f t="shared" si="6"/>
        <v>83586.887020800015</v>
      </c>
      <c r="AR70" s="1114">
        <f t="shared" si="7"/>
        <v>6291.486119845169</v>
      </c>
      <c r="AS70" s="1114">
        <v>0</v>
      </c>
      <c r="AT70" s="1114">
        <f t="shared" si="23"/>
        <v>84928.492412780717</v>
      </c>
      <c r="AU70" s="1120">
        <f>'[7]GHG Compliance '!B47</f>
        <v>126.88450701766473</v>
      </c>
      <c r="AV70" s="1117">
        <f t="shared" si="24"/>
        <v>10776109.891549161</v>
      </c>
      <c r="AW70" s="1121">
        <f t="shared" si="25"/>
        <v>1439188.7175</v>
      </c>
      <c r="AX70" s="1121">
        <f t="shared" si="38"/>
        <v>-1090347.3528</v>
      </c>
      <c r="AY70" s="1121">
        <f t="shared" si="26"/>
        <v>348841.36470000003</v>
      </c>
      <c r="AZ70" s="1122">
        <v>0</v>
      </c>
      <c r="BA70" s="1122">
        <v>0</v>
      </c>
      <c r="BB70" s="1122">
        <f t="shared" si="27"/>
        <v>0</v>
      </c>
      <c r="BC70" s="1123">
        <f t="shared" si="28"/>
        <v>6419079.9944517361</v>
      </c>
      <c r="BD70" s="1123">
        <f t="shared" si="29"/>
        <v>17195189.886000898</v>
      </c>
      <c r="BF70" s="1166"/>
      <c r="BH70" s="1167">
        <v>2011</v>
      </c>
      <c r="BI70" s="1168">
        <v>0.02</v>
      </c>
      <c r="BJ70" s="1163">
        <f>BI70*$BJ$68</f>
        <v>0</v>
      </c>
      <c r="BK70" s="1140" t="s">
        <v>1276</v>
      </c>
      <c r="BL70" s="1152"/>
      <c r="BN70" s="1153"/>
      <c r="BO70" s="1140"/>
      <c r="BP70" s="1140"/>
      <c r="BQ70" s="1140"/>
      <c r="BR70" s="1152"/>
      <c r="BU70" s="1127">
        <f>-PMT(BJ$125,20,(SUM(BB$53:BB69)))</f>
        <v>-1159850.0828711535</v>
      </c>
      <c r="BZ70" s="1125"/>
      <c r="CB70" s="1125"/>
    </row>
    <row r="71" spans="1:80" ht="15.75">
      <c r="A71" s="1111">
        <f t="shared" si="8"/>
        <v>2050</v>
      </c>
      <c r="B71" s="1112">
        <f t="shared" si="9"/>
        <v>127999.908</v>
      </c>
      <c r="C71" s="1113">
        <f>C70</f>
        <v>0</v>
      </c>
      <c r="D71" s="1114">
        <f t="shared" si="0"/>
        <v>0</v>
      </c>
      <c r="E71" s="1114">
        <f t="shared" si="10"/>
        <v>547520.14500000002</v>
      </c>
      <c r="F71" s="1113">
        <f t="shared" si="30"/>
        <v>0</v>
      </c>
      <c r="G71" s="1114">
        <f t="shared" si="11"/>
        <v>0</v>
      </c>
      <c r="H71" s="1112">
        <f t="shared" si="61"/>
        <v>0</v>
      </c>
      <c r="I71" s="1113">
        <f t="shared" si="61"/>
        <v>0</v>
      </c>
      <c r="J71" s="1114">
        <f t="shared" si="1"/>
        <v>0</v>
      </c>
      <c r="K71" s="1115">
        <v>0</v>
      </c>
      <c r="L71" s="1113">
        <v>0</v>
      </c>
      <c r="M71" s="1114">
        <f t="shared" si="12"/>
        <v>0</v>
      </c>
      <c r="N71" s="1116">
        <f t="shared" si="2"/>
        <v>127999.908</v>
      </c>
      <c r="O71" s="1116">
        <f t="shared" si="32"/>
        <v>0</v>
      </c>
      <c r="P71" s="1116">
        <f t="shared" si="13"/>
        <v>127999.908</v>
      </c>
      <c r="Q71" s="1116">
        <f t="shared" si="40"/>
        <v>103449.11760000001</v>
      </c>
      <c r="R71" s="1116">
        <f t="shared" si="3"/>
        <v>-103449.11760000001</v>
      </c>
      <c r="S71" s="1116">
        <f t="shared" si="14"/>
        <v>24550.790399999983</v>
      </c>
      <c r="T71" s="1116">
        <f t="shared" si="33"/>
        <v>547520.14500000002</v>
      </c>
      <c r="U71" s="1116">
        <f t="shared" si="34"/>
        <v>547520.14500000002</v>
      </c>
      <c r="V71" s="1116">
        <f t="shared" si="41"/>
        <v>411939</v>
      </c>
      <c r="W71" s="1116">
        <f t="shared" si="42"/>
        <v>67790.572500000009</v>
      </c>
      <c r="X71" s="1116">
        <f t="shared" si="35"/>
        <v>-479729.57250000001</v>
      </c>
      <c r="Y71" s="1116">
        <f t="shared" si="36"/>
        <v>67790.572500000009</v>
      </c>
      <c r="Z71" s="1116">
        <f t="shared" si="15"/>
        <v>757832.29481470597</v>
      </c>
      <c r="AA71" s="1116">
        <f t="shared" si="16"/>
        <v>-664002.16711323534</v>
      </c>
      <c r="AB71" s="1116">
        <f t="shared" si="17"/>
        <v>93830.127701470628</v>
      </c>
      <c r="AC71" s="1114">
        <v>0</v>
      </c>
      <c r="AD71" s="1114">
        <v>0</v>
      </c>
      <c r="AE71" s="1114">
        <f t="shared" si="43"/>
        <v>1166919.1160220995</v>
      </c>
      <c r="AF71" s="1114">
        <f t="shared" si="59"/>
        <v>91877.761416609137</v>
      </c>
      <c r="AG71" s="1114">
        <f t="shared" si="18"/>
        <v>1258796.8774387087</v>
      </c>
      <c r="AH71" s="1114">
        <f t="shared" si="19"/>
        <v>1258796.8774387087</v>
      </c>
      <c r="AI71" s="1117">
        <v>115.54717300619522</v>
      </c>
      <c r="AJ71" s="1117">
        <f t="shared" si="4"/>
        <v>11953253.088665437</v>
      </c>
      <c r="AK71" s="1118">
        <v>4.5</v>
      </c>
      <c r="AL71" s="1117">
        <f t="shared" si="20"/>
        <v>2988009.752009559</v>
      </c>
      <c r="AM71" s="1119">
        <f t="shared" si="37"/>
        <v>6.9025000000000007</v>
      </c>
      <c r="AN71" s="1117">
        <f t="shared" si="21"/>
        <v>-8688845.446520688</v>
      </c>
      <c r="AO71" s="1117">
        <f t="shared" si="22"/>
        <v>6252417.3941543084</v>
      </c>
      <c r="AP71" s="1114">
        <f t="shared" si="5"/>
        <v>-4949.8807278644599</v>
      </c>
      <c r="AQ71" s="1114">
        <f t="shared" si="6"/>
        <v>83586.887020800015</v>
      </c>
      <c r="AR71" s="1114">
        <f t="shared" si="7"/>
        <v>6291.486119845169</v>
      </c>
      <c r="AS71" s="1114">
        <v>0</v>
      </c>
      <c r="AT71" s="1114">
        <f t="shared" si="23"/>
        <v>84928.492412780717</v>
      </c>
      <c r="AU71" s="1120">
        <f>'[7]GHG Compliance '!B48</f>
        <v>132.93819433553756</v>
      </c>
      <c r="AV71" s="1117">
        <f t="shared" si="24"/>
        <v>11290240.428994469</v>
      </c>
      <c r="AW71" s="1121">
        <f>-(G71+X71)*BJ$66</f>
        <v>1439188.7175</v>
      </c>
      <c r="AX71" s="1121">
        <f t="shared" si="38"/>
        <v>-1090347.3528</v>
      </c>
      <c r="AY71" s="1121">
        <f t="shared" si="26"/>
        <v>348841.36470000003</v>
      </c>
      <c r="AZ71" s="1122">
        <v>0</v>
      </c>
      <c r="BA71" s="1122">
        <v>0</v>
      </c>
      <c r="BB71" s="1122">
        <f t="shared" si="27"/>
        <v>0</v>
      </c>
      <c r="BC71" s="1123">
        <f t="shared" si="28"/>
        <v>6601258.7588543082</v>
      </c>
      <c r="BD71" s="1123">
        <f t="shared" si="29"/>
        <v>17891499.18784878</v>
      </c>
      <c r="BH71" s="1169">
        <v>2012</v>
      </c>
      <c r="BI71" s="1168">
        <v>0.03</v>
      </c>
      <c r="BJ71" s="1163">
        <f>BI71*$BJ$68</f>
        <v>0</v>
      </c>
      <c r="BK71" s="1140" t="s">
        <v>1276</v>
      </c>
      <c r="BL71" s="1152"/>
      <c r="BN71" s="1153"/>
      <c r="BO71" s="1140"/>
      <c r="BP71" s="1140"/>
      <c r="BQ71" s="1140"/>
      <c r="BR71" s="1152"/>
      <c r="BU71" s="1127">
        <f>-PMT(BJ$125,20,(SUM(BB$53:BB70)))</f>
        <v>-1159850.0828711535</v>
      </c>
      <c r="BZ71" s="1125"/>
      <c r="CB71" s="1125"/>
    </row>
    <row r="72" spans="1:80" ht="30.75" customHeight="1">
      <c r="BD72" s="1170"/>
      <c r="BH72" s="1169">
        <v>2013</v>
      </c>
      <c r="BI72" s="1168">
        <v>0.15</v>
      </c>
      <c r="BJ72" s="1163">
        <f>BI72*$BJ$68</f>
        <v>0</v>
      </c>
      <c r="BK72" s="1140" t="s">
        <v>1276</v>
      </c>
      <c r="BL72" s="1152"/>
      <c r="BN72" s="1171"/>
      <c r="BO72" s="1144"/>
      <c r="BP72" s="1144"/>
      <c r="BQ72" s="1144"/>
      <c r="BR72" s="1172"/>
    </row>
    <row r="73" spans="1:80" ht="15.75">
      <c r="BD73" s="1125"/>
      <c r="BH73" s="1169">
        <v>2014</v>
      </c>
      <c r="BI73" s="1168">
        <v>0.4</v>
      </c>
      <c r="BJ73" s="1163">
        <f>BI73*$BJ$68</f>
        <v>0</v>
      </c>
      <c r="BK73" s="1140" t="s">
        <v>1276</v>
      </c>
      <c r="BL73" s="1152"/>
      <c r="BN73" s="1683"/>
      <c r="BO73" s="1684"/>
      <c r="BP73" s="1684"/>
      <c r="BQ73" s="1684"/>
      <c r="BR73" s="1685"/>
    </row>
    <row r="74" spans="1:80" ht="15.75">
      <c r="BH74" s="1169">
        <v>2015</v>
      </c>
      <c r="BI74" s="1168">
        <v>0.4</v>
      </c>
      <c r="BJ74" s="1163">
        <f>BI74*$BJ$68</f>
        <v>0</v>
      </c>
      <c r="BK74" s="1140" t="s">
        <v>1276</v>
      </c>
      <c r="BL74" s="1152"/>
      <c r="BN74" s="1153"/>
      <c r="BO74" s="1140"/>
      <c r="BP74" s="1088"/>
      <c r="BQ74" s="1088"/>
      <c r="BR74" s="1089"/>
    </row>
    <row r="75" spans="1:80" ht="15.75">
      <c r="BH75" s="1173"/>
      <c r="BI75" s="1140"/>
      <c r="BJ75" s="1163"/>
      <c r="BK75" s="1140"/>
      <c r="BL75" s="1152"/>
      <c r="BN75" s="1161"/>
      <c r="BO75" s="1140"/>
      <c r="BP75" s="1140"/>
      <c r="BQ75" s="1140"/>
      <c r="BR75" s="1152"/>
    </row>
    <row r="76" spans="1:80" ht="31.5">
      <c r="BH76" s="1174" t="s">
        <v>1278</v>
      </c>
      <c r="BI76" s="1140" t="s">
        <v>1279</v>
      </c>
      <c r="BJ76" s="1175">
        <v>2.8</v>
      </c>
      <c r="BK76" s="1140" t="s">
        <v>702</v>
      </c>
      <c r="BL76" s="1176" t="s">
        <v>872</v>
      </c>
      <c r="BN76" s="1153"/>
      <c r="BO76" s="1140"/>
      <c r="BP76" s="1177"/>
      <c r="BQ76" s="1140"/>
      <c r="BR76" s="1152"/>
    </row>
    <row r="77" spans="1:80" ht="15.75">
      <c r="BH77" s="1174"/>
      <c r="BI77" s="1140" t="s">
        <v>1280</v>
      </c>
      <c r="BJ77" s="1178">
        <v>1050</v>
      </c>
      <c r="BK77" s="1140" t="s">
        <v>1281</v>
      </c>
      <c r="BL77" s="1152"/>
      <c r="BM77" s="1148"/>
      <c r="BN77" s="1153"/>
      <c r="BO77" s="1140"/>
      <c r="BP77" s="1177"/>
      <c r="BQ77" s="1140"/>
      <c r="BR77" s="1152"/>
    </row>
    <row r="78" spans="1:80" ht="15.75">
      <c r="BH78" s="1174"/>
      <c r="BI78" s="1140" t="s">
        <v>1282</v>
      </c>
      <c r="BJ78" s="1179">
        <v>0.02</v>
      </c>
      <c r="BK78" s="1140" t="s">
        <v>1283</v>
      </c>
      <c r="BL78" s="1152"/>
      <c r="BN78" s="1150"/>
      <c r="BO78" s="1148"/>
      <c r="BP78" s="1180"/>
      <c r="BQ78" s="1140"/>
      <c r="BR78" s="1152"/>
    </row>
    <row r="79" spans="1:80" ht="15.75">
      <c r="BH79" s="1171"/>
      <c r="BI79" s="1144"/>
      <c r="BJ79" s="1144"/>
      <c r="BK79" s="1144"/>
      <c r="BL79" s="1172"/>
      <c r="BN79" s="1150"/>
      <c r="BO79" s="1181"/>
      <c r="BP79" s="1162"/>
      <c r="BQ79" s="1140"/>
      <c r="BR79" s="1152"/>
    </row>
    <row r="80" spans="1:80" ht="15.75">
      <c r="BH80" s="1153"/>
      <c r="BI80" s="1140"/>
      <c r="BJ80" s="1140"/>
      <c r="BK80" s="1140"/>
      <c r="BL80" s="1152"/>
      <c r="BN80" s="1150"/>
      <c r="BO80" s="1181"/>
      <c r="BP80" s="1140"/>
      <c r="BQ80" s="1140"/>
      <c r="BR80" s="1152"/>
    </row>
    <row r="81" spans="60:70" ht="15.75">
      <c r="BH81" s="1153"/>
      <c r="BI81" s="1140"/>
      <c r="BJ81" s="1140"/>
      <c r="BK81" s="1140"/>
      <c r="BL81" s="1152"/>
      <c r="BN81" s="1150"/>
      <c r="BO81" s="1181"/>
      <c r="BP81" s="1139"/>
      <c r="BQ81" s="1140"/>
      <c r="BR81" s="1152"/>
    </row>
    <row r="82" spans="60:70" ht="15.75">
      <c r="BH82" s="1153"/>
      <c r="BI82" s="1140"/>
      <c r="BJ82" s="1140"/>
      <c r="BK82" s="1140"/>
      <c r="BL82" s="1152"/>
      <c r="BN82" s="1153"/>
      <c r="BO82" s="1140"/>
      <c r="BP82" s="1180"/>
      <c r="BQ82" s="1148"/>
      <c r="BR82" s="1152"/>
    </row>
    <row r="83" spans="60:70" ht="15.75">
      <c r="BH83" s="1171"/>
      <c r="BI83" s="1144"/>
      <c r="BJ83" s="1144"/>
      <c r="BK83" s="1144"/>
      <c r="BL83" s="1172"/>
      <c r="BN83" s="1150"/>
      <c r="BO83" s="1156"/>
      <c r="BP83" s="1182"/>
      <c r="BQ83" s="1140"/>
      <c r="BR83" s="1152"/>
    </row>
    <row r="84" spans="60:70" ht="33" customHeight="1">
      <c r="BH84" s="1683" t="s">
        <v>1284</v>
      </c>
      <c r="BI84" s="1684"/>
      <c r="BJ84" s="1684"/>
      <c r="BK84" s="1684"/>
      <c r="BL84" s="1685"/>
      <c r="BN84" s="1150"/>
      <c r="BO84" s="1140"/>
      <c r="BP84" s="1180"/>
      <c r="BQ84" s="1140"/>
      <c r="BR84" s="1152"/>
    </row>
    <row r="85" spans="60:70" ht="15.75">
      <c r="BH85" s="1153"/>
      <c r="BI85" s="1140"/>
      <c r="BJ85" s="1088" t="s">
        <v>1186</v>
      </c>
      <c r="BK85" s="1088" t="s">
        <v>286</v>
      </c>
      <c r="BL85" s="1089" t="s">
        <v>1187</v>
      </c>
      <c r="BN85" s="1150"/>
      <c r="BO85" s="1183"/>
      <c r="BP85" s="1184"/>
      <c r="BQ85" s="1140"/>
      <c r="BR85" s="1152"/>
    </row>
    <row r="86" spans="60:70" ht="15.75">
      <c r="BH86" s="1161" t="s">
        <v>1285</v>
      </c>
      <c r="BI86" s="1140"/>
      <c r="BJ86" s="1140"/>
      <c r="BK86" s="1140"/>
      <c r="BL86" s="1152"/>
      <c r="BN86" s="1150"/>
      <c r="BO86" s="1148"/>
      <c r="BP86" s="1185"/>
      <c r="BQ86" s="1140"/>
      <c r="BR86" s="1152"/>
    </row>
    <row r="87" spans="60:70" ht="15.75">
      <c r="BH87" s="1153" t="s">
        <v>1286</v>
      </c>
      <c r="BI87" s="1140" t="s">
        <v>1287</v>
      </c>
      <c r="BJ87" s="1177">
        <v>15</v>
      </c>
      <c r="BK87" s="1140" t="s">
        <v>702</v>
      </c>
      <c r="BL87" s="1152" t="s">
        <v>1288</v>
      </c>
      <c r="BN87" s="1150"/>
      <c r="BO87" s="1140"/>
      <c r="BP87" s="1180"/>
      <c r="BQ87" s="1186"/>
      <c r="BR87" s="1152"/>
    </row>
    <row r="88" spans="60:70" ht="15.75">
      <c r="BH88" s="1153" t="s">
        <v>39</v>
      </c>
      <c r="BI88" s="1140" t="s">
        <v>1289</v>
      </c>
      <c r="BJ88" s="1177">
        <v>14.252000000000001</v>
      </c>
      <c r="BK88" s="1140" t="s">
        <v>702</v>
      </c>
      <c r="BL88" s="1152" t="s">
        <v>1288</v>
      </c>
      <c r="BN88" s="1150"/>
      <c r="BO88" s="1140"/>
      <c r="BP88" s="988"/>
      <c r="BQ88" s="1140"/>
      <c r="BR88" s="1152"/>
    </row>
    <row r="89" spans="60:70" ht="15.75">
      <c r="BH89" s="1150"/>
      <c r="BI89" s="1148" t="s">
        <v>1290</v>
      </c>
      <c r="BJ89" s="1180">
        <v>141</v>
      </c>
      <c r="BK89" s="1140" t="s">
        <v>1291</v>
      </c>
      <c r="BL89" s="1152" t="s">
        <v>1288</v>
      </c>
      <c r="BN89" s="1153" t="s">
        <v>39</v>
      </c>
      <c r="BO89" s="1140"/>
      <c r="BP89" s="1178"/>
      <c r="BQ89" s="1140"/>
      <c r="BR89" s="1152"/>
    </row>
    <row r="90" spans="60:70" ht="15.75">
      <c r="BH90" s="1150"/>
      <c r="BI90" s="1148" t="s">
        <v>1292</v>
      </c>
      <c r="BJ90" s="1187">
        <v>0.44</v>
      </c>
      <c r="BK90" s="1140" t="s">
        <v>702</v>
      </c>
      <c r="BL90" s="1152"/>
      <c r="BN90" s="1153"/>
      <c r="BO90" s="1140"/>
      <c r="BP90" s="1188"/>
      <c r="BQ90" s="1140"/>
      <c r="BR90" s="1152"/>
    </row>
    <row r="91" spans="60:70" ht="15.75">
      <c r="BH91" s="1150"/>
      <c r="BI91" s="1148" t="s">
        <v>1293</v>
      </c>
      <c r="BJ91" s="1187">
        <f>BJ88-BJ90</f>
        <v>13.812000000000001</v>
      </c>
      <c r="BK91" s="1140" t="s">
        <v>702</v>
      </c>
      <c r="BL91" s="1152"/>
      <c r="BN91" s="1153"/>
      <c r="BO91" s="1140"/>
      <c r="BP91" s="1162"/>
      <c r="BQ91" s="1140"/>
      <c r="BR91" s="1152"/>
    </row>
    <row r="92" spans="60:70" ht="15.75">
      <c r="BH92" s="1150"/>
      <c r="BI92" s="1181" t="s">
        <v>1294</v>
      </c>
      <c r="BJ92" s="1162">
        <v>0.95</v>
      </c>
      <c r="BK92" s="1140" t="s">
        <v>1295</v>
      </c>
      <c r="BL92" s="1152"/>
      <c r="BM92" s="955"/>
      <c r="BN92" s="1153"/>
      <c r="BO92" s="1140"/>
      <c r="BP92" s="1162"/>
      <c r="BQ92" s="1140"/>
      <c r="BR92" s="1152"/>
    </row>
    <row r="93" spans="60:70" ht="15.75">
      <c r="BH93" s="1150"/>
      <c r="BI93" s="1181" t="s">
        <v>1296</v>
      </c>
      <c r="BJ93" s="1180">
        <f>8760*BJ92</f>
        <v>8322</v>
      </c>
      <c r="BK93" s="1140" t="s">
        <v>1297</v>
      </c>
      <c r="BL93" s="1152"/>
      <c r="BN93" s="1153"/>
      <c r="BO93" s="1140"/>
      <c r="BP93" s="1189"/>
      <c r="BQ93" s="1140"/>
      <c r="BR93" s="1152"/>
    </row>
    <row r="94" spans="60:70" ht="15.75">
      <c r="BH94" s="1150"/>
      <c r="BI94" s="1181" t="s">
        <v>1298</v>
      </c>
      <c r="BJ94" s="1162">
        <v>0.9</v>
      </c>
      <c r="BK94" s="1140" t="s">
        <v>1299</v>
      </c>
      <c r="BL94" s="1152"/>
      <c r="BN94" s="1153"/>
      <c r="BO94" s="1140"/>
      <c r="BP94" s="1190"/>
      <c r="BQ94" s="1140"/>
      <c r="BR94" s="1152"/>
    </row>
    <row r="95" spans="60:70" ht="15.75">
      <c r="BH95" s="1150"/>
      <c r="BI95" s="1181" t="s">
        <v>1300</v>
      </c>
      <c r="BJ95" s="1139">
        <f>AG34/-R34*1000</f>
        <v>12168.270804454967</v>
      </c>
      <c r="BK95" s="1140" t="s">
        <v>104</v>
      </c>
      <c r="BL95" s="1152" t="s">
        <v>768</v>
      </c>
      <c r="BN95" s="1153"/>
      <c r="BO95" s="1140"/>
      <c r="BP95" s="1191"/>
      <c r="BQ95" s="1140"/>
      <c r="BR95" s="1152"/>
    </row>
    <row r="96" spans="60:70" ht="15.75">
      <c r="BH96" s="1153" t="s">
        <v>1301</v>
      </c>
      <c r="BI96" s="1140" t="s">
        <v>1302</v>
      </c>
      <c r="BJ96" s="1180">
        <v>55</v>
      </c>
      <c r="BK96" s="1148" t="s">
        <v>1303</v>
      </c>
      <c r="BL96" s="1152" t="s">
        <v>1288</v>
      </c>
      <c r="BN96" s="1150"/>
      <c r="BO96" s="1140"/>
      <c r="BP96" s="1178"/>
      <c r="BQ96" s="1140"/>
      <c r="BR96" s="1152"/>
    </row>
    <row r="97" spans="60:70" ht="15.75">
      <c r="BH97" s="1192"/>
      <c r="BI97" s="1156" t="s">
        <v>1304</v>
      </c>
      <c r="BJ97" s="1182">
        <v>70</v>
      </c>
      <c r="BK97" s="1140" t="s">
        <v>1303</v>
      </c>
      <c r="BL97" s="1152" t="s">
        <v>1288</v>
      </c>
      <c r="BN97" s="1153"/>
      <c r="BO97" s="1140"/>
      <c r="BP97" s="1139"/>
      <c r="BQ97" s="1139"/>
      <c r="BR97" s="1152"/>
    </row>
    <row r="98" spans="60:70" ht="15.75">
      <c r="BH98" s="1192"/>
      <c r="BI98" s="1140" t="s">
        <v>1305</v>
      </c>
      <c r="BJ98" s="1180">
        <f>BJ97+BJ96</f>
        <v>125</v>
      </c>
      <c r="BK98" s="1140" t="s">
        <v>1303</v>
      </c>
      <c r="BL98" s="1152"/>
      <c r="BN98" s="1153"/>
      <c r="BO98" s="1140"/>
      <c r="BP98" s="1139"/>
      <c r="BQ98" s="1139"/>
      <c r="BR98" s="1152"/>
    </row>
    <row r="99" spans="60:70" ht="15.75">
      <c r="BH99" s="1192"/>
      <c r="BI99" s="1183" t="s">
        <v>1306</v>
      </c>
      <c r="BJ99" s="1184">
        <v>6</v>
      </c>
      <c r="BK99" s="1140" t="s">
        <v>1303</v>
      </c>
      <c r="BL99" s="1152" t="s">
        <v>1288</v>
      </c>
      <c r="BN99" s="1161"/>
      <c r="BO99" s="1140"/>
      <c r="BP99" s="1139"/>
      <c r="BQ99" s="1139"/>
      <c r="BR99" s="1152"/>
    </row>
    <row r="100" spans="60:70" ht="15.75">
      <c r="BH100" s="1192"/>
      <c r="BI100" s="1148" t="s">
        <v>1307</v>
      </c>
      <c r="BJ100" s="1185">
        <f>BJ98-BJ99</f>
        <v>119</v>
      </c>
      <c r="BK100" s="1140" t="s">
        <v>1303</v>
      </c>
      <c r="BL100" s="1152"/>
      <c r="BN100" s="1150"/>
      <c r="BO100" s="1140"/>
      <c r="BP100" s="1140"/>
      <c r="BQ100" s="1140"/>
      <c r="BR100" s="1152"/>
    </row>
    <row r="101" spans="60:70" ht="15.75">
      <c r="BH101" s="1192"/>
      <c r="BI101" s="1140" t="s">
        <v>1308</v>
      </c>
      <c r="BJ101" s="1180">
        <v>78.5</v>
      </c>
      <c r="BK101" s="1186" t="s">
        <v>1291</v>
      </c>
      <c r="BL101" s="1152" t="s">
        <v>1288</v>
      </c>
      <c r="BN101" s="1193"/>
      <c r="BO101" s="1148"/>
      <c r="BP101" s="1162"/>
      <c r="BQ101" s="1140"/>
      <c r="BR101" s="1152"/>
    </row>
    <row r="102" spans="60:70" ht="15.75">
      <c r="BH102" s="1150"/>
      <c r="BI102" s="1140" t="s">
        <v>39</v>
      </c>
      <c r="BJ102" s="988"/>
      <c r="BK102" s="1140"/>
      <c r="BL102" s="1152" t="s">
        <v>39</v>
      </c>
      <c r="BN102" s="1150"/>
      <c r="BO102" s="1148"/>
      <c r="BP102" s="1186"/>
      <c r="BQ102" s="1140"/>
      <c r="BR102" s="1152"/>
    </row>
    <row r="103" spans="60:70" ht="15.75">
      <c r="BH103" s="1153" t="s">
        <v>1309</v>
      </c>
      <c r="BI103" s="1140" t="s">
        <v>1310</v>
      </c>
      <c r="BJ103" s="1178">
        <v>2500</v>
      </c>
      <c r="BK103" s="1140" t="s">
        <v>1311</v>
      </c>
      <c r="BL103" s="1152" t="s">
        <v>1288</v>
      </c>
      <c r="BN103" s="1150"/>
      <c r="BO103" s="1148"/>
      <c r="BP103" s="1186"/>
      <c r="BQ103" s="1140"/>
      <c r="BR103" s="1152"/>
    </row>
    <row r="104" spans="60:70" ht="15.75">
      <c r="BH104" s="1153"/>
      <c r="BI104" s="1140" t="s">
        <v>1312</v>
      </c>
      <c r="BJ104" s="1188">
        <v>41456</v>
      </c>
      <c r="BK104" s="1140"/>
      <c r="BL104" s="1152"/>
      <c r="BN104" s="1150"/>
      <c r="BO104" s="1148"/>
      <c r="BP104" s="1186"/>
      <c r="BQ104" s="1140"/>
      <c r="BR104" s="1152"/>
    </row>
    <row r="105" spans="60:70" ht="15.75">
      <c r="BH105" s="1153"/>
      <c r="BI105" s="1140" t="s">
        <v>1313</v>
      </c>
      <c r="BJ105" s="1162">
        <v>0.1</v>
      </c>
      <c r="BK105" s="1194">
        <v>2010</v>
      </c>
      <c r="BL105" s="1152"/>
      <c r="BN105" s="1150"/>
      <c r="BO105" s="1148"/>
      <c r="BP105" s="1186"/>
      <c r="BQ105" s="1140"/>
      <c r="BR105" s="1152"/>
    </row>
    <row r="106" spans="60:70" ht="15.75">
      <c r="BH106" s="1153"/>
      <c r="BI106" s="1140"/>
      <c r="BJ106" s="1162">
        <v>0.45</v>
      </c>
      <c r="BK106" s="1194">
        <v>2011</v>
      </c>
      <c r="BL106" s="1152"/>
      <c r="BN106" s="1153"/>
      <c r="BO106" s="1148"/>
      <c r="BP106" s="1195"/>
      <c r="BQ106" s="1140"/>
      <c r="BR106" s="1152"/>
    </row>
    <row r="107" spans="60:70" ht="15.75">
      <c r="BH107" s="1153"/>
      <c r="BI107" s="1140"/>
      <c r="BJ107" s="1189">
        <v>0.45</v>
      </c>
      <c r="BK107" s="1194">
        <v>2013</v>
      </c>
      <c r="BL107" s="1152"/>
      <c r="BN107" s="1193"/>
      <c r="BO107" s="1148"/>
      <c r="BP107" s="1195"/>
      <c r="BQ107" s="1140"/>
      <c r="BR107" s="1152"/>
    </row>
    <row r="108" spans="60:70" ht="15.75">
      <c r="BH108" s="1153"/>
      <c r="BI108" s="1140" t="s">
        <v>1314</v>
      </c>
      <c r="BJ108" s="1190">
        <v>30</v>
      </c>
      <c r="BK108" s="1140" t="s">
        <v>1315</v>
      </c>
      <c r="BL108" s="1152"/>
      <c r="BN108" s="1150"/>
      <c r="BO108" s="1156"/>
      <c r="BP108" s="1196"/>
      <c r="BQ108" s="1140"/>
      <c r="BR108" s="1152"/>
    </row>
    <row r="109" spans="60:70" ht="15.75">
      <c r="BH109" s="1153"/>
      <c r="BI109" s="1140" t="s">
        <v>1316</v>
      </c>
      <c r="BJ109" s="1189">
        <v>0.5</v>
      </c>
      <c r="BK109" s="1140" t="s">
        <v>1317</v>
      </c>
      <c r="BL109" s="1152"/>
      <c r="BN109" s="1150"/>
      <c r="BO109" s="1140"/>
      <c r="BP109" s="1195"/>
      <c r="BQ109" s="1163"/>
      <c r="BR109" s="1152"/>
    </row>
    <row r="110" spans="60:70" ht="15.75">
      <c r="BH110" s="1153" t="s">
        <v>1318</v>
      </c>
      <c r="BI110" s="1140" t="s">
        <v>1319</v>
      </c>
      <c r="BJ110" s="1191">
        <v>3.0000000000000001E-3</v>
      </c>
      <c r="BK110" s="1140" t="s">
        <v>1320</v>
      </c>
      <c r="BL110" s="1152" t="s">
        <v>1288</v>
      </c>
      <c r="BN110" s="1197"/>
      <c r="BO110" s="1144"/>
      <c r="BP110" s="1144"/>
      <c r="BQ110" s="1144"/>
      <c r="BR110" s="1172"/>
    </row>
    <row r="111" spans="60:70" ht="15.75">
      <c r="BH111" s="1150"/>
      <c r="BI111" s="1140" t="s">
        <v>1321</v>
      </c>
      <c r="BJ111" s="1178">
        <v>65000</v>
      </c>
      <c r="BK111" s="1198" t="s">
        <v>1322</v>
      </c>
      <c r="BL111" s="1152" t="s">
        <v>1288</v>
      </c>
    </row>
    <row r="112" spans="60:70" ht="15.75">
      <c r="BH112" s="1153" t="s">
        <v>1268</v>
      </c>
      <c r="BI112" s="1140" t="s">
        <v>1323</v>
      </c>
      <c r="BJ112" s="1139"/>
      <c r="BK112" s="1139"/>
      <c r="BL112" s="1152"/>
    </row>
    <row r="113" spans="60:64" ht="15.75">
      <c r="BH113" s="1153"/>
      <c r="BI113" s="1140"/>
      <c r="BJ113" s="1139"/>
      <c r="BK113" s="1139"/>
      <c r="BL113" s="1152"/>
    </row>
    <row r="114" spans="60:64" ht="15.75">
      <c r="BH114" s="1161" t="s">
        <v>1324</v>
      </c>
      <c r="BI114" s="1140"/>
      <c r="BJ114" s="1139"/>
      <c r="BK114" s="1139"/>
      <c r="BL114" s="1152"/>
    </row>
    <row r="115" spans="60:64" ht="15.75">
      <c r="BH115" s="1150" t="s">
        <v>1325</v>
      </c>
      <c r="BI115" s="1140" t="s">
        <v>1326</v>
      </c>
      <c r="BJ115" s="1187">
        <v>0.80800000000000005</v>
      </c>
      <c r="BK115" s="1140" t="s">
        <v>1327</v>
      </c>
      <c r="BL115" s="1152"/>
    </row>
    <row r="116" spans="60:64" ht="15.75">
      <c r="BH116" s="1193" t="s">
        <v>39</v>
      </c>
      <c r="BI116" s="1148" t="s">
        <v>1328</v>
      </c>
      <c r="BJ116" s="1162">
        <v>7.0000000000000007E-2</v>
      </c>
      <c r="BK116" s="1140"/>
      <c r="BL116" s="1152"/>
    </row>
    <row r="117" spans="60:64" ht="15.75">
      <c r="BH117" s="1193"/>
      <c r="BI117" s="1199" t="s">
        <v>77</v>
      </c>
      <c r="BJ117" s="1200">
        <v>9.3700000000000006E-2</v>
      </c>
      <c r="BK117" s="1201" t="s">
        <v>1329</v>
      </c>
      <c r="BL117" s="1152"/>
    </row>
    <row r="118" spans="60:64" ht="15.75">
      <c r="BH118" s="1150" t="s">
        <v>39</v>
      </c>
      <c r="BI118" s="1148" t="s">
        <v>85</v>
      </c>
      <c r="BJ118" s="1186">
        <v>5.3358000000000003E-2</v>
      </c>
      <c r="BK118" s="1140" t="s">
        <v>1330</v>
      </c>
      <c r="BL118" s="1152"/>
    </row>
    <row r="119" spans="60:64" ht="15.75">
      <c r="BH119" s="1150" t="s">
        <v>1331</v>
      </c>
      <c r="BI119" s="1148" t="s">
        <v>1332</v>
      </c>
      <c r="BJ119" s="1186" t="s">
        <v>1272</v>
      </c>
      <c r="BK119" s="1140"/>
      <c r="BL119" s="1152"/>
    </row>
    <row r="120" spans="60:64" ht="15.75">
      <c r="BH120" s="1150"/>
      <c r="BI120" s="1148" t="s">
        <v>85</v>
      </c>
      <c r="BJ120" s="1186" t="s">
        <v>1272</v>
      </c>
      <c r="BK120" s="1140"/>
      <c r="BL120" s="1152"/>
    </row>
    <row r="121" spans="60:64" ht="15.75">
      <c r="BH121" s="1150"/>
      <c r="BI121" s="1148" t="s">
        <v>1333</v>
      </c>
      <c r="BJ121" s="1186" t="s">
        <v>1272</v>
      </c>
      <c r="BK121" s="1140"/>
      <c r="BL121" s="1152"/>
    </row>
    <row r="122" spans="60:64" ht="15.75">
      <c r="BH122" s="1153" t="s">
        <v>1334</v>
      </c>
      <c r="BI122" s="1148" t="s">
        <v>1335</v>
      </c>
      <c r="BJ122" s="1187">
        <v>0.90500000000000003</v>
      </c>
      <c r="BK122" s="1140"/>
      <c r="BL122" s="1152"/>
    </row>
    <row r="123" spans="60:64" ht="15.75">
      <c r="BH123" s="1193" t="s">
        <v>1336</v>
      </c>
      <c r="BI123" s="1148" t="s">
        <v>1337</v>
      </c>
      <c r="BJ123" s="1195">
        <v>0.04</v>
      </c>
      <c r="BK123" s="1140"/>
      <c r="BL123" s="1152"/>
    </row>
    <row r="124" spans="60:64" ht="15.75">
      <c r="BH124" s="1150"/>
      <c r="BI124" s="1156" t="s">
        <v>1338</v>
      </c>
      <c r="BJ124" s="1196">
        <f>G26</f>
        <v>1.8814390095546862E-2</v>
      </c>
      <c r="BK124" s="1140" t="s">
        <v>39</v>
      </c>
      <c r="BL124" s="1152"/>
    </row>
    <row r="125" spans="60:64" ht="15.75">
      <c r="BH125" s="1150"/>
      <c r="BI125" s="1140" t="s">
        <v>1339</v>
      </c>
      <c r="BJ125" s="1195">
        <f>BJ123-BJ124</f>
        <v>2.1185609904453138E-2</v>
      </c>
      <c r="BK125" s="1163"/>
      <c r="BL125" s="1152"/>
    </row>
    <row r="126" spans="60:64" ht="15.75">
      <c r="BH126" s="1171" t="s">
        <v>1340</v>
      </c>
      <c r="BI126" s="1202" t="s">
        <v>39</v>
      </c>
      <c r="BJ126" s="1144"/>
      <c r="BK126" s="1144"/>
      <c r="BL126" s="1172"/>
    </row>
    <row r="162" spans="63:63">
      <c r="BK162" s="1130">
        <f>4.5/1.35</f>
        <v>3.333333333333333</v>
      </c>
    </row>
  </sheetData>
  <mergeCells count="34">
    <mergeCell ref="K15:N15"/>
    <mergeCell ref="C1:N1"/>
    <mergeCell ref="C2:F2"/>
    <mergeCell ref="G2:J2"/>
    <mergeCell ref="K2:N2"/>
    <mergeCell ref="K3:N3"/>
    <mergeCell ref="BH27:BL27"/>
    <mergeCell ref="K19:N24"/>
    <mergeCell ref="G23:J23"/>
    <mergeCell ref="N27:S27"/>
    <mergeCell ref="T27:Y27"/>
    <mergeCell ref="Z27:AB27"/>
    <mergeCell ref="AC27:AH27"/>
    <mergeCell ref="BH84:BL84"/>
    <mergeCell ref="BN27:BR27"/>
    <mergeCell ref="BU27:CP27"/>
    <mergeCell ref="AI28:AJ28"/>
    <mergeCell ref="AK28:AL28"/>
    <mergeCell ref="AM28:AN28"/>
    <mergeCell ref="BU28:BY28"/>
    <mergeCell ref="BZ28:CC28"/>
    <mergeCell ref="CD28:CE28"/>
    <mergeCell ref="CF28:CG28"/>
    <mergeCell ref="CH28:CI28"/>
    <mergeCell ref="AI27:AO27"/>
    <mergeCell ref="AP27:AV27"/>
    <mergeCell ref="AW27:AY27"/>
    <mergeCell ref="AZ27:BB27"/>
    <mergeCell ref="BC27:BD27"/>
    <mergeCell ref="CJ28:CK28"/>
    <mergeCell ref="CL28:CM28"/>
    <mergeCell ref="BZ29:CA29"/>
    <mergeCell ref="CB29:CC29"/>
    <mergeCell ref="BN73:BR73"/>
  </mergeCells>
  <printOptions horizontalCentered="1"/>
  <pageMargins left="0.2" right="0.2" top="0.5" bottom="0.5" header="0.3" footer="0.3"/>
  <pageSetup scale="10" orientation="landscape" r:id="rId1"/>
  <drawing r:id="rId2"/>
  <legacyDrawing r:id="rId3"/>
</worksheet>
</file>

<file path=xl/worksheets/sheet39.xml><?xml version="1.0" encoding="utf-8"?>
<worksheet xmlns="http://schemas.openxmlformats.org/spreadsheetml/2006/main" xmlns:r="http://schemas.openxmlformats.org/officeDocument/2006/relationships">
  <sheetPr codeName="Sheet32">
    <tabColor rgb="FFA9DA74"/>
  </sheetPr>
  <dimension ref="A1:BV84"/>
  <sheetViews>
    <sheetView workbookViewId="0">
      <pane xSplit="1" topLeftCell="B1" activePane="topRight" state="frozen"/>
      <selection activeCell="K14" sqref="K14"/>
      <selection pane="topRight" activeCell="O3" sqref="O3:O7"/>
    </sheetView>
  </sheetViews>
  <sheetFormatPr defaultRowHeight="15"/>
  <cols>
    <col min="11" max="11" width="12.5703125" bestFit="1" customWidth="1"/>
    <col min="12" max="12" width="12.85546875" customWidth="1"/>
    <col min="13" max="13" width="12.42578125" customWidth="1"/>
    <col min="15" max="15" width="10" bestFit="1" customWidth="1"/>
    <col min="27" max="27" width="11.5703125" bestFit="1" customWidth="1"/>
    <col min="31" max="31" width="10" bestFit="1" customWidth="1"/>
    <col min="35" max="36" width="13" customWidth="1"/>
    <col min="40" max="40" width="12.42578125" customWidth="1"/>
    <col min="44" max="44" width="12.5703125" bestFit="1" customWidth="1"/>
    <col min="45" max="45" width="12.5703125" customWidth="1"/>
    <col min="46" max="46" width="1.7109375" customWidth="1"/>
    <col min="51" max="51" width="10.5703125" customWidth="1"/>
    <col min="62" max="62" width="13" customWidth="1"/>
    <col min="67" max="67" width="3" customWidth="1"/>
    <col min="68" max="69" width="13.5703125" bestFit="1" customWidth="1"/>
    <col min="70" max="70" width="11.5703125" customWidth="1"/>
    <col min="71" max="71" width="3.42578125" customWidth="1"/>
    <col min="72" max="72" width="9.5703125" customWidth="1"/>
    <col min="73" max="73" width="11.28515625" customWidth="1"/>
    <col min="74" max="74" width="11.140625" customWidth="1"/>
  </cols>
  <sheetData>
    <row r="1" spans="1:50" ht="60">
      <c r="C1" s="257" t="s">
        <v>226</v>
      </c>
      <c r="D1" s="258" t="s">
        <v>959</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2015</v>
      </c>
      <c r="E2" s="266"/>
      <c r="J2" s="267" t="s">
        <v>231</v>
      </c>
      <c r="K2" s="268">
        <f ca="1">NPV(DiscountRate,AA19:AA59)</f>
        <v>10104617.35735514</v>
      </c>
      <c r="L2" s="269">
        <f ca="1">-SUM(OFFSET(W19,0,0,M2-2010+1,4))</f>
        <v>777241.38431379944</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-4282496.7728125975</v>
      </c>
      <c r="L3" s="277" t="s">
        <v>235</v>
      </c>
      <c r="M3" s="278">
        <f ca="1">-SUM(OFFSET(W19,M2-2010,0,1,4))</f>
        <v>25123.711178650556</v>
      </c>
      <c r="N3" s="272"/>
      <c r="O3" s="1496">
        <f ca="1">AVERAGE(OFFSET(AJ19,0,0,$M$2-2010+1,1))</f>
        <v>-350280.41379252175</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21590.038453161094</v>
      </c>
      <c r="M4" s="281">
        <f ca="1">-SUM(OFFSET(W19,M2-2010,0,1,4))/SUM(OFFSET(ExposureCalculations!G16,M2-2010,0,1,3))</f>
        <v>2.2979048384097894E-2</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651</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5822120.5845425446</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t="str">
        <f ca="1">IFERROR((K8-K5)/-K5,"No Capital")</f>
        <v>No Capital</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f ca="1">IFERROR(IF(K8&lt;0,"",IRR(AR19:AR59)),"")</f>
        <v>0.28769142448745832</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8.7631607143460819</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-4282496.7728125956</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17.959528154390838</v>
      </c>
      <c r="L13" s="915"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42.37578439541474</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74"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A17" t="s">
        <v>1341</v>
      </c>
      <c r="BK17" s="966" t="s">
        <v>1390</v>
      </c>
      <c r="BL17" s="958" t="s">
        <v>1354</v>
      </c>
      <c r="BM17" s="958" t="str">
        <f>"Coal to produce "&amp;ROUND(AU23,2)*100&amp;"% of steam"</f>
        <v>Coal to produce 50% of steam</v>
      </c>
      <c r="BN17" s="958" t="s">
        <v>1359</v>
      </c>
      <c r="BO17" s="958"/>
      <c r="BP17" s="967" t="s">
        <v>1385</v>
      </c>
      <c r="BQ17" s="966" t="s">
        <v>1386</v>
      </c>
      <c r="BR17" s="966" t="s">
        <v>1384</v>
      </c>
      <c r="BS17" s="967"/>
      <c r="BT17" s="966" t="s">
        <v>1387</v>
      </c>
      <c r="BU17" s="966" t="s">
        <v>1388</v>
      </c>
      <c r="BV17" s="966" t="s">
        <v>1389</v>
      </c>
    </row>
    <row r="18" spans="1:74">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K18" s="967" t="s">
        <v>1391</v>
      </c>
      <c r="BL18" s="967" t="s">
        <v>278</v>
      </c>
      <c r="BM18" s="967" t="s">
        <v>278</v>
      </c>
      <c r="BN18" s="967" t="s">
        <v>278</v>
      </c>
      <c r="BP18" s="967" t="s">
        <v>1197</v>
      </c>
      <c r="BQ18" s="967" t="s">
        <v>1197</v>
      </c>
      <c r="BR18" s="967" t="s">
        <v>1197</v>
      </c>
      <c r="BT18" s="967" t="s">
        <v>219</v>
      </c>
      <c r="BU18" s="967" t="s">
        <v>219</v>
      </c>
      <c r="BV18" s="967" t="s">
        <v>219</v>
      </c>
    </row>
    <row r="19" spans="1:74">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ca="1">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2">-SUM(D19,L19)*OFFSET(Price_PE_MWh,A19-$A$19+3,0)</f>
        <v>0</v>
      </c>
      <c r="AC19" s="308">
        <v>0</v>
      </c>
      <c r="AD19" s="819">
        <f t="shared" ref="AD19:AD59" ca="1" si="3">-SUM(G19,P19)*OFFSET(Price_PS_mmbtu,A19-$A$19+3,0)</f>
        <v>0</v>
      </c>
      <c r="AE19" s="308">
        <v>0</v>
      </c>
      <c r="AF19" s="819">
        <f t="shared" ref="AF19:AF59" ca="1" si="4">-SUM(J19,T19)*OFFSET(Price_PCW_mmbtu,A19-$A$19+3,0)</f>
        <v>0</v>
      </c>
      <c r="AG19" s="308">
        <v>0</v>
      </c>
      <c r="AH19" s="308">
        <v>0</v>
      </c>
      <c r="AI19" s="308">
        <v>0</v>
      </c>
      <c r="AJ19" s="308">
        <f t="shared" ref="AJ19:AJ59" ca="1" si="5">SUM(AB19:AI19)</f>
        <v>0</v>
      </c>
      <c r="AK19" s="309">
        <v>0</v>
      </c>
      <c r="AL19" s="309">
        <v>0</v>
      </c>
      <c r="AM19" s="309">
        <f>SUM(AK19:AL19)</f>
        <v>0</v>
      </c>
      <c r="AN19" s="310">
        <v>0</v>
      </c>
      <c r="AO19" s="310">
        <v>0</v>
      </c>
      <c r="AP19" s="310">
        <f>SUM(AN19:AO19)</f>
        <v>0</v>
      </c>
      <c r="AQ19" s="309">
        <v>0</v>
      </c>
      <c r="AR19" s="311">
        <f t="shared" ref="AR19:AR59" ca="1" si="6">SUM(AA19,AJ19,AM19,AP19,AQ19)</f>
        <v>0</v>
      </c>
      <c r="AS19" s="870">
        <f ca="1">AR19</f>
        <v>0</v>
      </c>
      <c r="AT19" s="822"/>
      <c r="AU19" s="878">
        <v>2015</v>
      </c>
      <c r="AV19" s="879" t="s">
        <v>776</v>
      </c>
      <c r="AW19" s="879"/>
      <c r="AX19" s="35"/>
      <c r="AY19" s="880"/>
      <c r="BA19" t="s">
        <v>1342</v>
      </c>
      <c r="BK19" s="123">
        <f t="shared" ref="BK19:BK59" ca="1" si="7">E19/Btu_per_lb*1000</f>
        <v>583371.07670610654</v>
      </c>
      <c r="BL19" s="123">
        <f ca="1">BK19*$AU$21</f>
        <v>758382.3997179385</v>
      </c>
      <c r="BM19" s="123">
        <f ca="1">BL19*$AU$23</f>
        <v>379191.19985896925</v>
      </c>
      <c r="BN19" s="123">
        <f ca="1">BM19/$AU$25</f>
        <v>361134.47605616116</v>
      </c>
      <c r="BO19" s="123"/>
      <c r="BP19" s="312">
        <f ca="1">BL19*CommodityPricing!F5</f>
        <v>3791911.9985896926</v>
      </c>
      <c r="BQ19" s="312">
        <f ca="1">(BM19*CommodityPricing!F5)+(CommodityPricing!B5*CoalToNG!BN19)</f>
        <v>4062762.8556318134</v>
      </c>
      <c r="BR19" s="312">
        <f ca="1">BQ19-BP19</f>
        <v>270850.85704212077</v>
      </c>
      <c r="BT19" s="123">
        <f t="shared" ref="BT19:BT59" ca="1" si="8">BL19*Emission_factor_coal</f>
        <v>71287.945573486213</v>
      </c>
      <c r="BU19" s="123">
        <f t="shared" ref="BU19:BU59" ca="1" si="9">(BM19*Emission_factor_coal)+(BN19*Emission_Factor_NG)</f>
        <v>54784.100017719647</v>
      </c>
      <c r="BV19" s="123">
        <f ca="1">BT19-BU19</f>
        <v>16503.845555766566</v>
      </c>
    </row>
    <row r="20" spans="1:74">
      <c r="A20" s="303">
        <v>2011</v>
      </c>
      <c r="B20" s="304">
        <f ca="1">IF($D$3="BAU",UtilityDemand!C13,INDIRECT($D$3&amp;"!B"&amp;ROW(A20))+INDIRECT($D$3&amp;"!D"&amp;ROW(A20)))</f>
        <v>130129.26073503707</v>
      </c>
      <c r="C20" s="305">
        <v>0</v>
      </c>
      <c r="D20" s="306">
        <f t="shared" ref="D20:D59" ca="1" si="10">-B20*C20</f>
        <v>0</v>
      </c>
      <c r="E20" s="304">
        <f ca="1">IF($D$3="BAU",UtilityDemand!E13,INDIRECT($D$3&amp;"!E"&amp;ROW(D20))+INDIRECT($D$3&amp;"!G"&amp;ROW(D20)))</f>
        <v>693847.61425935081</v>
      </c>
      <c r="F20" s="305">
        <v>0</v>
      </c>
      <c r="G20" s="306">
        <f t="shared" ref="G20:G59" ca="1" si="11">-E20*F20</f>
        <v>0</v>
      </c>
      <c r="H20" s="304">
        <f ca="1">IF($D$3="BAU",UtilityDemand!G13,INDIRECT($D$3&amp;"!H"&amp;ROW(G20))+INDIRECT($D$3&amp;"!J"&amp;ROW(G20)))</f>
        <v>182506.92912520736</v>
      </c>
      <c r="I20" s="305">
        <v>0</v>
      </c>
      <c r="J20" s="306">
        <f ca="1">-H20*I20</f>
        <v>0</v>
      </c>
      <c r="K20" s="307">
        <f t="shared" ref="K20:K59" ca="1" si="12">IF($D$3="BAU",B20+D20,INDIRECT($D$3&amp;"!B"&amp;ROW(A20))+INDIRECT($D$3&amp;"!D"&amp;ROW(A20))+INDIRECT($D$3&amp;"!L"&amp;ROW(A20))+D20)</f>
        <v>130129.26073503707</v>
      </c>
      <c r="L20" s="307">
        <f t="shared" ref="L20:L59" si="13">-M20</f>
        <v>0</v>
      </c>
      <c r="M20" s="307">
        <v>0</v>
      </c>
      <c r="N20" s="307">
        <f t="shared" ref="N20:N59" ca="1" si="14">K20+L20</f>
        <v>130129.26073503707</v>
      </c>
      <c r="O20" s="306">
        <f t="shared" ref="O20:O59" ca="1" si="15">IF($D$3="BAU",E20+G20,INDIRECT($D$3&amp;"!E"&amp;ROW(A20))+INDIRECT($D$3&amp;"!G"&amp;ROW(A20))+INDIRECT($D$3&amp;"!P"&amp;ROW(A20))+G20)</f>
        <v>693847.61425935081</v>
      </c>
      <c r="P20" s="306">
        <f t="shared" ref="P20:P59" si="16">-Q20</f>
        <v>0</v>
      </c>
      <c r="Q20" s="306">
        <v>0</v>
      </c>
      <c r="R20" s="306">
        <f t="shared" ref="R20:R59" ca="1" si="17">O20+P20</f>
        <v>693847.61425935081</v>
      </c>
      <c r="S20" s="818">
        <f t="shared" ref="S20:S59" ca="1" si="18">IF($D$3="BAU",H20+J20,INDIRECT($D$3&amp;"!H"&amp;ROW(A20))+INDIRECT($D$3&amp;"!J"&amp;ROW(A20))+INDIRECT($D$3&amp;"!T"&amp;ROW(A20))+J20)</f>
        <v>182506.92912520736</v>
      </c>
      <c r="T20" s="818">
        <f t="shared" ref="T20:T59" si="19">-U20</f>
        <v>0</v>
      </c>
      <c r="U20" s="818">
        <v>0</v>
      </c>
      <c r="V20" s="818">
        <f t="shared" ref="V20:V59" ca="1" si="20">S20+T20</f>
        <v>182506.92912520736</v>
      </c>
      <c r="W20" s="306">
        <f t="shared" si="1"/>
        <v>0</v>
      </c>
      <c r="X20" s="306">
        <f ca="1">SUM(D20,L20)*OFFSET(GridFootprintbyYear,$A20-$A$19,0)+SUM(G20,P20)*Emissions_factor_PurchSteam+SUM(J20,T20)*Emissions_factor_PurchCooling</f>
        <v>0</v>
      </c>
      <c r="Y20" s="306">
        <v>0</v>
      </c>
      <c r="Z20" s="306">
        <v>0</v>
      </c>
      <c r="AA20" s="308">
        <f ca="1">-SUM(W20,X20/OFFSET(GridFootprintbyYear,$A20-$A$19,0)*EF_PurchElec_MTperMWh,Z20)*OFFSET(ExposureCalculations!Price_GHG_Allowance_2010,A20-$A$19,0)*ExposureCalculations!D17</f>
        <v>0</v>
      </c>
      <c r="AB20" s="308">
        <f t="shared" ca="1" si="2"/>
        <v>0</v>
      </c>
      <c r="AC20" s="308">
        <v>0</v>
      </c>
      <c r="AD20" s="819">
        <f t="shared" ca="1" si="3"/>
        <v>0</v>
      </c>
      <c r="AE20" s="308">
        <v>0</v>
      </c>
      <c r="AF20" s="819">
        <f t="shared" ca="1" si="4"/>
        <v>0</v>
      </c>
      <c r="AG20" s="308">
        <v>0</v>
      </c>
      <c r="AH20" s="308">
        <v>0</v>
      </c>
      <c r="AI20" s="308">
        <v>0</v>
      </c>
      <c r="AJ20" s="308">
        <f t="shared" ca="1" si="5"/>
        <v>0</v>
      </c>
      <c r="AK20" s="309">
        <v>0</v>
      </c>
      <c r="AL20" s="309">
        <v>0</v>
      </c>
      <c r="AM20" s="309">
        <f t="shared" ref="AM20:AM59" si="21">SUM(AK20:AL20)</f>
        <v>0</v>
      </c>
      <c r="AN20" s="310">
        <v>0</v>
      </c>
      <c r="AO20" s="310">
        <v>0</v>
      </c>
      <c r="AP20" s="310">
        <f t="shared" ref="AP20:AP59" si="22">SUM(AN20:AO20)</f>
        <v>0</v>
      </c>
      <c r="AQ20" s="309">
        <v>0</v>
      </c>
      <c r="AR20" s="311">
        <f t="shared" ca="1" si="6"/>
        <v>0</v>
      </c>
      <c r="AS20" s="870">
        <f t="shared" ref="AS20:AS59" ca="1" si="23">AR20+AS19</f>
        <v>0</v>
      </c>
      <c r="AT20" s="822"/>
      <c r="AU20" s="878"/>
      <c r="AV20" s="35"/>
      <c r="AW20" s="879"/>
      <c r="AX20" s="35"/>
      <c r="AY20" s="880"/>
      <c r="BA20" t="s">
        <v>1343</v>
      </c>
      <c r="BK20" s="123">
        <f t="shared" ca="1" si="7"/>
        <v>590508.60788029851</v>
      </c>
      <c r="BL20" s="123">
        <f t="shared" ref="BL20:BL59" ca="1" si="24">BK20*$AU$21</f>
        <v>767661.19024438807</v>
      </c>
      <c r="BM20" s="123">
        <f t="shared" ref="BM20:BM59" ca="1" si="25">BL20*$AU$23</f>
        <v>383830.59512219403</v>
      </c>
      <c r="BN20" s="123">
        <f t="shared" ref="BN20:BN59" ca="1" si="26">BM20/$AU$25</f>
        <v>365552.94773542287</v>
      </c>
      <c r="BP20" s="312">
        <f ca="1">BL20*CommodityPricing!F6</f>
        <v>3857497.4809780498</v>
      </c>
      <c r="BQ20" s="312">
        <f ca="1">(BM20*CommodityPricing!F6)+(CommodityPricing!B6*CoalToNG!BN20)</f>
        <v>4133033.0153336246</v>
      </c>
      <c r="BR20" s="312">
        <f t="shared" ref="BR20:BR59" ca="1" si="27">BQ20-BP20</f>
        <v>275535.53435557475</v>
      </c>
      <c r="BT20" s="123">
        <f t="shared" ca="1" si="8"/>
        <v>72160.151882972481</v>
      </c>
      <c r="BU20" s="123">
        <f t="shared" ca="1" si="9"/>
        <v>55454.382171463651</v>
      </c>
      <c r="BV20" s="123">
        <f t="shared" ref="BV20:BV59" ca="1" si="28">BT20-BU20</f>
        <v>16705.76971150883</v>
      </c>
    </row>
    <row r="21" spans="1:74">
      <c r="A21" s="303">
        <v>2012</v>
      </c>
      <c r="B21" s="304">
        <f ca="1">IF($D$3="BAU",UtilityDemand!C14,INDIRECT($D$3&amp;"!B"&amp;ROW(A21))+INDIRECT($D$3&amp;"!D"&amp;ROW(A21)))</f>
        <v>133825.36797702796</v>
      </c>
      <c r="C21" s="305">
        <v>0</v>
      </c>
      <c r="D21" s="306">
        <f t="shared" ca="1" si="10"/>
        <v>0</v>
      </c>
      <c r="E21" s="304">
        <f ca="1">IF($D$3="BAU",UtilityDemand!E14,INDIRECT($D$3&amp;"!E"&amp;ROW(D21))+INDIRECT($D$3&amp;"!G"&amp;ROW(D21)))</f>
        <v>713508.44544344163</v>
      </c>
      <c r="F21" s="305">
        <v>0</v>
      </c>
      <c r="G21" s="306">
        <f t="shared" ca="1" si="11"/>
        <v>0</v>
      </c>
      <c r="H21" s="304">
        <f ca="1">IF($D$3="BAU",UtilityDemand!G14,INDIRECT($D$3&amp;"!H"&amp;ROW(G21))+INDIRECT($D$3&amp;"!J"&amp;ROW(G21)))</f>
        <v>188515.56027382973</v>
      </c>
      <c r="I21" s="305">
        <v>0</v>
      </c>
      <c r="J21" s="306">
        <f t="shared" ref="J21:J59" ca="1" si="29">-H21*I21</f>
        <v>0</v>
      </c>
      <c r="K21" s="307">
        <f t="shared" ca="1" si="12"/>
        <v>133825.36797702796</v>
      </c>
      <c r="L21" s="307">
        <f t="shared" si="13"/>
        <v>0</v>
      </c>
      <c r="M21" s="307">
        <v>0</v>
      </c>
      <c r="N21" s="307">
        <f t="shared" ca="1" si="14"/>
        <v>133825.36797702796</v>
      </c>
      <c r="O21" s="306">
        <f t="shared" ca="1" si="15"/>
        <v>713508.44544344163</v>
      </c>
      <c r="P21" s="306">
        <f t="shared" si="16"/>
        <v>0</v>
      </c>
      <c r="Q21" s="306">
        <v>0</v>
      </c>
      <c r="R21" s="306">
        <f t="shared" ca="1" si="17"/>
        <v>713508.44544344163</v>
      </c>
      <c r="S21" s="818">
        <f t="shared" ca="1" si="18"/>
        <v>188515.56027382973</v>
      </c>
      <c r="T21" s="818">
        <f t="shared" si="19"/>
        <v>0</v>
      </c>
      <c r="U21" s="818">
        <v>0</v>
      </c>
      <c r="V21" s="818">
        <f t="shared" ca="1" si="20"/>
        <v>188515.56027382973</v>
      </c>
      <c r="W21" s="306">
        <f t="shared" si="1"/>
        <v>0</v>
      </c>
      <c r="X21" s="306">
        <f ca="1">SUM(D21,L21)*OFFSET(GridFootprintbyYear,$A21-$A$19,0)+SUM(G21,P21)*Emissions_factor_PurchSteam+SUM(J21,T21)*Emissions_factor_PurchCooling</f>
        <v>0</v>
      </c>
      <c r="Y21" s="306">
        <v>0</v>
      </c>
      <c r="Z21" s="306">
        <v>0</v>
      </c>
      <c r="AA21" s="308">
        <f ca="1">-SUM(W21,X21/OFFSET(GridFootprintbyYear,$A21-$A$19,0)*EF_PurchElec_MTperMWh,Z21)*OFFSET(ExposureCalculations!Price_GHG_Allowance_2010,A21-$A$19,0)*ExposureCalculations!D18</f>
        <v>0</v>
      </c>
      <c r="AB21" s="308">
        <f t="shared" ca="1" si="2"/>
        <v>0</v>
      </c>
      <c r="AC21" s="308">
        <v>0</v>
      </c>
      <c r="AD21" s="819">
        <f t="shared" ca="1" si="3"/>
        <v>0</v>
      </c>
      <c r="AE21" s="308">
        <v>0</v>
      </c>
      <c r="AF21" s="819">
        <f t="shared" ca="1" si="4"/>
        <v>0</v>
      </c>
      <c r="AG21" s="308">
        <v>0</v>
      </c>
      <c r="AH21" s="308">
        <v>0</v>
      </c>
      <c r="AI21" s="308">
        <v>0</v>
      </c>
      <c r="AJ21" s="308">
        <f ca="1">SUM(AB21:AI21)</f>
        <v>0</v>
      </c>
      <c r="AK21" s="309">
        <v>0</v>
      </c>
      <c r="AL21" s="309">
        <v>0</v>
      </c>
      <c r="AM21" s="309">
        <f t="shared" si="21"/>
        <v>0</v>
      </c>
      <c r="AN21" s="310">
        <v>0</v>
      </c>
      <c r="AO21" s="310">
        <v>0</v>
      </c>
      <c r="AP21" s="310">
        <f t="shared" si="22"/>
        <v>0</v>
      </c>
      <c r="AQ21" s="309">
        <v>0</v>
      </c>
      <c r="AR21" s="311">
        <f t="shared" ca="1" si="6"/>
        <v>0</v>
      </c>
      <c r="AS21" s="870">
        <f t="shared" ca="1" si="23"/>
        <v>0</v>
      </c>
      <c r="AT21" s="822"/>
      <c r="AU21" s="878">
        <v>1.3</v>
      </c>
      <c r="AV21" s="35" t="s">
        <v>1352</v>
      </c>
      <c r="AW21" s="879"/>
      <c r="AX21" s="35"/>
      <c r="AY21" s="880"/>
      <c r="BA21" t="s">
        <v>1344</v>
      </c>
      <c r="BK21" s="123">
        <f t="shared" ca="1" si="7"/>
        <v>607241.23016463115</v>
      </c>
      <c r="BL21" s="123">
        <f t="shared" ca="1" si="24"/>
        <v>789413.59921402053</v>
      </c>
      <c r="BM21" s="123">
        <f t="shared" ca="1" si="25"/>
        <v>394706.79960701027</v>
      </c>
      <c r="BN21" s="123">
        <f t="shared" ca="1" si="26"/>
        <v>375911.23772096215</v>
      </c>
      <c r="BP21" s="312">
        <f ca="1">BL21*CommodityPricing!F7</f>
        <v>3986637.3527307045</v>
      </c>
      <c r="BQ21" s="312">
        <f ca="1">(BM21*CommodityPricing!F7)+(CommodityPricing!B7*CoalToNG!BN21)</f>
        <v>4271397.1636400409</v>
      </c>
      <c r="BR21" s="312">
        <f t="shared" ca="1" si="27"/>
        <v>284759.81090933643</v>
      </c>
      <c r="BT21" s="123">
        <f t="shared" ca="1" si="8"/>
        <v>74204.878326117934</v>
      </c>
      <c r="BU21" s="123">
        <f t="shared" ca="1" si="9"/>
        <v>57025.73476226996</v>
      </c>
      <c r="BV21" s="123">
        <f t="shared" ca="1" si="28"/>
        <v>17179.143563847974</v>
      </c>
    </row>
    <row r="22" spans="1:74">
      <c r="A22" s="303">
        <v>2013</v>
      </c>
      <c r="B22" s="304">
        <f ca="1">IF($D$3="BAU",UtilityDemand!C15,INDIRECT($D$3&amp;"!B"&amp;ROW(A22))+INDIRECT($D$3&amp;"!D"&amp;ROW(A22)))</f>
        <v>135980.03402546333</v>
      </c>
      <c r="C22" s="305">
        <v>0</v>
      </c>
      <c r="D22" s="306">
        <f t="shared" ca="1" si="10"/>
        <v>0</v>
      </c>
      <c r="E22" s="304">
        <f ca="1">IF($D$3="BAU",UtilityDemand!E15,INDIRECT($D$3&amp;"!E"&amp;ROW(D22))+INDIRECT($D$3&amp;"!G"&amp;ROW(D22)))</f>
        <v>724969.83513341204</v>
      </c>
      <c r="F22" s="305">
        <v>0</v>
      </c>
      <c r="G22" s="306">
        <f t="shared" ca="1" si="11"/>
        <v>0</v>
      </c>
      <c r="H22" s="304">
        <f ca="1">IF($D$3="BAU",UtilityDemand!G15,INDIRECT($D$3&amp;"!H"&amp;ROW(G22))+INDIRECT($D$3&amp;"!J"&amp;ROW(G22)))</f>
        <v>192383.03026898397</v>
      </c>
      <c r="I22" s="305">
        <v>0</v>
      </c>
      <c r="J22" s="306">
        <f t="shared" ca="1" si="29"/>
        <v>0</v>
      </c>
      <c r="K22" s="307">
        <f t="shared" ca="1" si="12"/>
        <v>135980.03402546333</v>
      </c>
      <c r="L22" s="307">
        <f t="shared" si="13"/>
        <v>0</v>
      </c>
      <c r="M22" s="307">
        <v>0</v>
      </c>
      <c r="N22" s="307">
        <f t="shared" ca="1" si="14"/>
        <v>135980.03402546333</v>
      </c>
      <c r="O22" s="306">
        <f t="shared" ca="1" si="15"/>
        <v>724969.83513341204</v>
      </c>
      <c r="P22" s="306">
        <f t="shared" si="16"/>
        <v>0</v>
      </c>
      <c r="Q22" s="306">
        <v>0</v>
      </c>
      <c r="R22" s="306">
        <f t="shared" ca="1" si="17"/>
        <v>724969.83513341204</v>
      </c>
      <c r="S22" s="818">
        <f t="shared" ca="1" si="18"/>
        <v>192383.03026898397</v>
      </c>
      <c r="T22" s="818">
        <f t="shared" si="19"/>
        <v>0</v>
      </c>
      <c r="U22" s="818">
        <v>0</v>
      </c>
      <c r="V22" s="818">
        <f t="shared" ca="1" si="20"/>
        <v>192383.03026898397</v>
      </c>
      <c r="W22" s="306">
        <f t="shared" si="1"/>
        <v>0</v>
      </c>
      <c r="X22" s="306">
        <f ca="1">SUM(D22,L22)*OFFSET(GridFootprintbyYear,$A22-$A$19,0)+SUM(G22,P22)*Emissions_factor_PurchSteam+SUM(J22,T22)*Emissions_factor_PurchCooling</f>
        <v>0</v>
      </c>
      <c r="Y22" s="306">
        <v>0</v>
      </c>
      <c r="Z22" s="306">
        <v>0</v>
      </c>
      <c r="AA22" s="308">
        <f ca="1">-SUM(W22,X22/OFFSET(GridFootprintbyYear,$A22-$A$19,0)*EF_PurchElec_MTperMWh,Z22)*OFFSET(ExposureCalculations!Price_GHG_Allowance_2010,A22-$A$19,0)*ExposureCalculations!D19</f>
        <v>0</v>
      </c>
      <c r="AB22" s="308">
        <f t="shared" ca="1" si="2"/>
        <v>0</v>
      </c>
      <c r="AC22" s="308">
        <v>0</v>
      </c>
      <c r="AD22" s="819">
        <f t="shared" ca="1" si="3"/>
        <v>0</v>
      </c>
      <c r="AE22" s="308">
        <v>0</v>
      </c>
      <c r="AF22" s="819">
        <f t="shared" ca="1" si="4"/>
        <v>0</v>
      </c>
      <c r="AG22" s="308">
        <v>0</v>
      </c>
      <c r="AH22" s="308">
        <v>0</v>
      </c>
      <c r="AI22" s="308">
        <v>0</v>
      </c>
      <c r="AJ22" s="308">
        <f t="shared" ca="1" si="5"/>
        <v>0</v>
      </c>
      <c r="AK22" s="309">
        <v>0</v>
      </c>
      <c r="AL22" s="309">
        <v>0</v>
      </c>
      <c r="AM22" s="309">
        <f t="shared" si="21"/>
        <v>0</v>
      </c>
      <c r="AN22" s="310">
        <v>0</v>
      </c>
      <c r="AO22" s="310">
        <v>0</v>
      </c>
      <c r="AP22" s="310">
        <f t="shared" si="22"/>
        <v>0</v>
      </c>
      <c r="AQ22" s="309">
        <v>0</v>
      </c>
      <c r="AR22" s="311">
        <f t="shared" ca="1" si="6"/>
        <v>0</v>
      </c>
      <c r="AS22" s="870">
        <f t="shared" ca="1" si="23"/>
        <v>0</v>
      </c>
      <c r="AT22" s="822"/>
      <c r="AU22" s="878"/>
      <c r="AV22" s="35"/>
      <c r="AW22" s="879"/>
      <c r="AX22" s="35"/>
      <c r="AY22" s="880"/>
      <c r="BA22" t="s">
        <v>1345</v>
      </c>
      <c r="BK22" s="123">
        <f t="shared" ca="1" si="7"/>
        <v>616995.6043688613</v>
      </c>
      <c r="BL22" s="123">
        <f t="shared" ca="1" si="24"/>
        <v>802094.28567951976</v>
      </c>
      <c r="BM22" s="123">
        <f t="shared" ca="1" si="25"/>
        <v>401047.14283975988</v>
      </c>
      <c r="BN22" s="123">
        <f t="shared" ca="1" si="26"/>
        <v>381949.65984739037</v>
      </c>
      <c r="BP22" s="312">
        <f ca="1">BL22*CommodityPricing!F8</f>
        <v>4070929.7864896194</v>
      </c>
      <c r="BQ22" s="312">
        <f ca="1">(BM22*CommodityPricing!F8)+(CommodityPricing!B8*CoalToNG!BN22)</f>
        <v>4361710.485524592</v>
      </c>
      <c r="BR22" s="312">
        <f t="shared" ca="1" si="27"/>
        <v>290780.69903497258</v>
      </c>
      <c r="BT22" s="123">
        <f t="shared" ca="1" si="8"/>
        <v>75396.86285387486</v>
      </c>
      <c r="BU22" s="123">
        <f t="shared" ca="1" si="9"/>
        <v>57941.763398849114</v>
      </c>
      <c r="BV22" s="123">
        <f t="shared" ca="1" si="28"/>
        <v>17455.099455025746</v>
      </c>
    </row>
    <row r="23" spans="1:74">
      <c r="A23" s="303">
        <v>2014</v>
      </c>
      <c r="B23" s="304">
        <f ca="1">IF($D$3="BAU",UtilityDemand!C16,INDIRECT($D$3&amp;"!B"&amp;ROW(A23))+INDIRECT($D$3&amp;"!D"&amp;ROW(A23)))</f>
        <v>137556.65962631535</v>
      </c>
      <c r="C23" s="305">
        <v>0</v>
      </c>
      <c r="D23" s="306">
        <f t="shared" ca="1" si="10"/>
        <v>0</v>
      </c>
      <c r="E23" s="304">
        <f ca="1">IF($D$3="BAU",UtilityDemand!E16,INDIRECT($D$3&amp;"!E"&amp;ROW(D23))+INDIRECT($D$3&amp;"!G"&amp;ROW(D23)))</f>
        <v>733356.43426308746</v>
      </c>
      <c r="F23" s="305">
        <v>0</v>
      </c>
      <c r="G23" s="306">
        <f t="shared" ca="1" si="11"/>
        <v>0</v>
      </c>
      <c r="H23" s="304">
        <f ca="1">IF($D$3="BAU",UtilityDemand!G16,INDIRECT($D$3&amp;"!H"&amp;ROW(G23))+INDIRECT($D$3&amp;"!J"&amp;ROW(G23)))</f>
        <v>195447.56483158763</v>
      </c>
      <c r="I23" s="305">
        <v>0</v>
      </c>
      <c r="J23" s="306">
        <f t="shared" ca="1" si="29"/>
        <v>0</v>
      </c>
      <c r="K23" s="307">
        <f t="shared" ca="1" si="12"/>
        <v>137556.65962631535</v>
      </c>
      <c r="L23" s="307">
        <f t="shared" si="13"/>
        <v>0</v>
      </c>
      <c r="M23" s="307">
        <v>0</v>
      </c>
      <c r="N23" s="307">
        <f t="shared" ca="1" si="14"/>
        <v>137556.65962631535</v>
      </c>
      <c r="O23" s="306">
        <f t="shared" ca="1" si="15"/>
        <v>733356.43426308746</v>
      </c>
      <c r="P23" s="306">
        <f t="shared" si="16"/>
        <v>0</v>
      </c>
      <c r="Q23" s="306">
        <v>0</v>
      </c>
      <c r="R23" s="306">
        <f t="shared" ca="1" si="17"/>
        <v>733356.43426308746</v>
      </c>
      <c r="S23" s="818">
        <f t="shared" ca="1" si="18"/>
        <v>195447.56483158763</v>
      </c>
      <c r="T23" s="818">
        <f t="shared" si="19"/>
        <v>0</v>
      </c>
      <c r="U23" s="818">
        <v>0</v>
      </c>
      <c r="V23" s="818">
        <f t="shared" ca="1" si="20"/>
        <v>195447.56483158763</v>
      </c>
      <c r="W23" s="306">
        <f t="shared" si="1"/>
        <v>0</v>
      </c>
      <c r="X23" s="306">
        <f ca="1">SUM(D23,L23)*OFFSET(GridFootprintbyYear,$A23-$A$19,0)+SUM(G23,P23)*Emissions_factor_PurchSteam+SUM(J23,T23)*Emissions_factor_PurchCooling</f>
        <v>0</v>
      </c>
      <c r="Y23" s="306">
        <v>0</v>
      </c>
      <c r="Z23" s="306">
        <v>0</v>
      </c>
      <c r="AA23" s="308">
        <f ca="1">-SUM(W23,X23/OFFSET(GridFootprintbyYear,$A23-$A$19,0)*EF_PurchElec_MTperMWh,Z23)*OFFSET(ExposureCalculations!Price_GHG_Allowance_2010,A23-$A$19,0)*ExposureCalculations!D20</f>
        <v>0</v>
      </c>
      <c r="AB23" s="308">
        <f t="shared" ca="1" si="2"/>
        <v>0</v>
      </c>
      <c r="AC23" s="308">
        <v>0</v>
      </c>
      <c r="AD23" s="819">
        <f t="shared" ca="1" si="3"/>
        <v>0</v>
      </c>
      <c r="AE23" s="308">
        <v>0</v>
      </c>
      <c r="AF23" s="819">
        <f t="shared" ca="1" si="4"/>
        <v>0</v>
      </c>
      <c r="AG23" s="308">
        <v>0</v>
      </c>
      <c r="AH23" s="308">
        <v>0</v>
      </c>
      <c r="AI23" s="308">
        <v>0</v>
      </c>
      <c r="AJ23" s="308">
        <f t="shared" ca="1" si="5"/>
        <v>0</v>
      </c>
      <c r="AK23" s="309">
        <v>0</v>
      </c>
      <c r="AL23" s="309">
        <v>0</v>
      </c>
      <c r="AM23" s="309">
        <f t="shared" si="21"/>
        <v>0</v>
      </c>
      <c r="AN23" s="310">
        <v>0</v>
      </c>
      <c r="AO23" s="310">
        <v>0</v>
      </c>
      <c r="AP23" s="310">
        <f t="shared" si="22"/>
        <v>0</v>
      </c>
      <c r="AQ23" s="309">
        <v>0</v>
      </c>
      <c r="AR23" s="311">
        <f t="shared" ca="1" si="6"/>
        <v>0</v>
      </c>
      <c r="AS23" s="870">
        <f t="shared" ca="1" si="23"/>
        <v>0</v>
      </c>
      <c r="AT23" s="822"/>
      <c r="AU23" s="919">
        <v>0.5</v>
      </c>
      <c r="AV23" s="35" t="s">
        <v>1353</v>
      </c>
      <c r="AW23" s="879"/>
      <c r="AX23" s="35"/>
      <c r="AY23" s="880"/>
      <c r="BA23" t="s">
        <v>1346</v>
      </c>
      <c r="BK23" s="123">
        <f t="shared" ca="1" si="7"/>
        <v>624133.13554305315</v>
      </c>
      <c r="BL23" s="123">
        <f t="shared" ca="1" si="24"/>
        <v>811373.07620596909</v>
      </c>
      <c r="BM23" s="123">
        <f t="shared" ca="1" si="25"/>
        <v>405686.53810298454</v>
      </c>
      <c r="BN23" s="123">
        <f t="shared" ca="1" si="26"/>
        <v>386368.13152665191</v>
      </c>
      <c r="BP23" s="312">
        <f ca="1">BL23*CommodityPricing!F9</f>
        <v>4138613.2494258257</v>
      </c>
      <c r="BQ23" s="312">
        <f ca="1">(BM23*CommodityPricing!F9)+(CommodityPricing!B9*CoalToNG!BN23)</f>
        <v>4434228.4815276703</v>
      </c>
      <c r="BR23" s="312">
        <f t="shared" ca="1" si="27"/>
        <v>295615.23210184462</v>
      </c>
      <c r="BT23" s="123">
        <f t="shared" ca="1" si="8"/>
        <v>76269.069163361099</v>
      </c>
      <c r="BU23" s="123">
        <f t="shared" ca="1" si="9"/>
        <v>58612.045552593103</v>
      </c>
      <c r="BV23" s="123">
        <f t="shared" ca="1" si="28"/>
        <v>17657.023610767996</v>
      </c>
    </row>
    <row r="24" spans="1:74">
      <c r="A24" s="303">
        <v>2015</v>
      </c>
      <c r="B24" s="304">
        <f ca="1">IF($D$3="BAU",UtilityDemand!C17,INDIRECT($D$3&amp;"!B"&amp;ROW(A24))+INDIRECT($D$3&amp;"!D"&amp;ROW(A24)))</f>
        <v>140674.7264207229</v>
      </c>
      <c r="C24" s="305">
        <v>0</v>
      </c>
      <c r="D24" s="306">
        <f t="shared" ca="1" si="10"/>
        <v>0</v>
      </c>
      <c r="E24" s="304">
        <f ca="1">IF($D$3="BAU",UtilityDemand!E17,INDIRECT($D$3&amp;"!E"&amp;ROW(D24))+INDIRECT($D$3&amp;"!G"&amp;ROW(D24)))</f>
        <v>749942.47488688328</v>
      </c>
      <c r="F24" s="305">
        <v>0</v>
      </c>
      <c r="G24" s="306">
        <f t="shared" ca="1" si="11"/>
        <v>0</v>
      </c>
      <c r="H24" s="304">
        <f ca="1">IF($D$3="BAU",UtilityDemand!G17,INDIRECT($D$3&amp;"!H"&amp;ROW(G24))+INDIRECT($D$3&amp;"!J"&amp;ROW(G24)))</f>
        <v>200653.26054765948</v>
      </c>
      <c r="I24" s="305">
        <v>0</v>
      </c>
      <c r="J24" s="306">
        <f t="shared" ca="1" si="29"/>
        <v>0</v>
      </c>
      <c r="K24" s="307">
        <f t="shared" ca="1" si="12"/>
        <v>140674.7264207229</v>
      </c>
      <c r="L24" s="307">
        <f t="shared" si="13"/>
        <v>0</v>
      </c>
      <c r="M24" s="307">
        <v>0</v>
      </c>
      <c r="N24" s="307">
        <f t="shared" ca="1" si="14"/>
        <v>140674.7264207229</v>
      </c>
      <c r="O24" s="306">
        <f t="shared" ca="1" si="15"/>
        <v>749942.47488688328</v>
      </c>
      <c r="P24" s="306">
        <f t="shared" si="16"/>
        <v>0</v>
      </c>
      <c r="Q24" s="306">
        <v>0</v>
      </c>
      <c r="R24" s="306">
        <f t="shared" ca="1" si="17"/>
        <v>749942.47488688328</v>
      </c>
      <c r="S24" s="818">
        <f t="shared" ca="1" si="18"/>
        <v>200653.26054765948</v>
      </c>
      <c r="T24" s="818">
        <f t="shared" si="19"/>
        <v>0</v>
      </c>
      <c r="U24" s="818">
        <v>0</v>
      </c>
      <c r="V24" s="818">
        <f t="shared" ca="1" si="20"/>
        <v>200653.26054765948</v>
      </c>
      <c r="W24" s="306">
        <f t="shared" si="1"/>
        <v>0</v>
      </c>
      <c r="X24" s="306">
        <f t="shared" ref="X24:X59" ca="1" si="30">SUM(D24,L24)*OFFSET(GridFootprintbyYear,$A24-$A$19,0)+SUM(G24,P24)*Emissions_factor_PurchSteam+SUM(J24,T24)*Emissions_factor_PurchCooling-BV24</f>
        <v>-18056.365727671626</v>
      </c>
      <c r="Y24" s="306">
        <v>0</v>
      </c>
      <c r="Z24" s="306">
        <v>0</v>
      </c>
      <c r="AA24" s="308">
        <f ca="1">-SUM(W24,X24/OFFSET(GridFootprintbyYear,$A24-$A$19,0)*EF_PurchElec_MTperMWh,Z24)*OFFSET(ExposureCalculations!Price_GHG_Allowance_2010,A24-$A$19,0)*ExposureCalculations!D21</f>
        <v>183621.26394790778</v>
      </c>
      <c r="AB24" s="308">
        <f t="shared" ca="1" si="2"/>
        <v>0</v>
      </c>
      <c r="AC24" s="308">
        <v>0</v>
      </c>
      <c r="AD24" s="819">
        <f t="shared" ca="1" si="3"/>
        <v>0</v>
      </c>
      <c r="AE24" s="308">
        <f ca="1">-BR24</f>
        <v>-303812.55343383551</v>
      </c>
      <c r="AF24" s="819">
        <f t="shared" ca="1" si="4"/>
        <v>0</v>
      </c>
      <c r="AG24" s="308">
        <v>0</v>
      </c>
      <c r="AH24" s="308">
        <v>0</v>
      </c>
      <c r="AI24" s="308">
        <v>0</v>
      </c>
      <c r="AJ24" s="308">
        <f t="shared" ca="1" si="5"/>
        <v>-303812.55343383551</v>
      </c>
      <c r="AK24" s="309">
        <v>0</v>
      </c>
      <c r="AL24" s="309">
        <v>0</v>
      </c>
      <c r="AM24" s="309">
        <f t="shared" si="21"/>
        <v>0</v>
      </c>
      <c r="AN24" s="310">
        <v>0</v>
      </c>
      <c r="AO24" s="310">
        <v>0</v>
      </c>
      <c r="AP24" s="310">
        <f t="shared" si="22"/>
        <v>0</v>
      </c>
      <c r="AQ24" s="309">
        <v>0</v>
      </c>
      <c r="AR24" s="311">
        <f t="shared" ca="1" si="6"/>
        <v>-120191.28948592773</v>
      </c>
      <c r="AS24" s="870">
        <f t="shared" ca="1" si="23"/>
        <v>-120191.28948592773</v>
      </c>
      <c r="AT24" s="822"/>
      <c r="AU24" s="878"/>
      <c r="AV24" s="35"/>
      <c r="AW24" s="879"/>
      <c r="AX24" s="35"/>
      <c r="AY24" s="880"/>
      <c r="BA24" t="s">
        <v>1347</v>
      </c>
      <c r="BK24" s="123">
        <f t="shared" ca="1" si="7"/>
        <v>638248.91479734739</v>
      </c>
      <c r="BL24" s="123">
        <f t="shared" ca="1" si="24"/>
        <v>829723.58923655166</v>
      </c>
      <c r="BM24" s="123">
        <f t="shared" ca="1" si="25"/>
        <v>414861.79461827583</v>
      </c>
      <c r="BN24" s="123">
        <f t="shared" ca="1" si="26"/>
        <v>395106.47106502461</v>
      </c>
      <c r="BP24" s="312">
        <f ca="1">BL24*CommodityPricing!F10</f>
        <v>4253375.7480736971</v>
      </c>
      <c r="BQ24" s="312">
        <f ca="1">(BM24*CommodityPricing!F10)+(CommodityPricing!B10*CoalToNG!BN24)</f>
        <v>4557188.3015075326</v>
      </c>
      <c r="BR24" s="312">
        <f t="shared" ca="1" si="27"/>
        <v>303812.55343383551</v>
      </c>
      <c r="BT24" s="123">
        <f t="shared" ca="1" si="8"/>
        <v>77994.01738823585</v>
      </c>
      <c r="BU24" s="123">
        <f t="shared" ca="1" si="9"/>
        <v>59937.651660564225</v>
      </c>
      <c r="BV24" s="123">
        <f t="shared" ca="1" si="28"/>
        <v>18056.365727671626</v>
      </c>
    </row>
    <row r="25" spans="1:74">
      <c r="A25" s="303">
        <v>2016</v>
      </c>
      <c r="B25" s="304">
        <f ca="1">IF($D$3="BAU",UtilityDemand!C18,INDIRECT($D$3&amp;"!B"&amp;ROW(A25))+INDIRECT($D$3&amp;"!D"&amp;ROW(A25)))</f>
        <v>142251.35202157494</v>
      </c>
      <c r="C25" s="305">
        <v>0</v>
      </c>
      <c r="D25" s="306">
        <f t="shared" ca="1" si="10"/>
        <v>0</v>
      </c>
      <c r="E25" s="304">
        <f ca="1">IF($D$3="BAU",UtilityDemand!E18,INDIRECT($D$3&amp;"!E"&amp;ROW(D25))+INDIRECT($D$3&amp;"!G"&amp;ROW(D25)))</f>
        <v>758329.0740165587</v>
      </c>
      <c r="F25" s="305">
        <v>0</v>
      </c>
      <c r="G25" s="306">
        <f t="shared" ca="1" si="11"/>
        <v>0</v>
      </c>
      <c r="H25" s="304">
        <f ca="1">IF($D$3="BAU",UtilityDemand!G18,INDIRECT($D$3&amp;"!H"&amp;ROW(G25))+INDIRECT($D$3&amp;"!J"&amp;ROW(G25)))</f>
        <v>203717.79511026316</v>
      </c>
      <c r="I25" s="305">
        <v>0</v>
      </c>
      <c r="J25" s="306">
        <f t="shared" ca="1" si="29"/>
        <v>0</v>
      </c>
      <c r="K25" s="307">
        <f t="shared" ca="1" si="12"/>
        <v>142251.35202157494</v>
      </c>
      <c r="L25" s="307">
        <f t="shared" si="13"/>
        <v>0</v>
      </c>
      <c r="M25" s="307">
        <v>0</v>
      </c>
      <c r="N25" s="307">
        <f t="shared" ca="1" si="14"/>
        <v>142251.35202157494</v>
      </c>
      <c r="O25" s="306">
        <f t="shared" ca="1" si="15"/>
        <v>758329.0740165587</v>
      </c>
      <c r="P25" s="306">
        <f t="shared" si="16"/>
        <v>0</v>
      </c>
      <c r="Q25" s="306">
        <v>0</v>
      </c>
      <c r="R25" s="306">
        <f t="shared" ca="1" si="17"/>
        <v>758329.0740165587</v>
      </c>
      <c r="S25" s="818">
        <f t="shared" ca="1" si="18"/>
        <v>203717.79511026316</v>
      </c>
      <c r="T25" s="818">
        <f t="shared" si="19"/>
        <v>0</v>
      </c>
      <c r="U25" s="818">
        <v>0</v>
      </c>
      <c r="V25" s="818">
        <f t="shared" ca="1" si="20"/>
        <v>203717.79511026316</v>
      </c>
      <c r="W25" s="306">
        <f t="shared" si="1"/>
        <v>0</v>
      </c>
      <c r="X25" s="306">
        <f t="shared" ca="1" si="30"/>
        <v>-18258.289883413876</v>
      </c>
      <c r="Y25" s="306">
        <v>0</v>
      </c>
      <c r="Z25" s="306">
        <v>0</v>
      </c>
      <c r="AA25" s="308">
        <f ca="1">-SUM(W25,X25/OFFSET(GridFootprintbyYear,$A25-$A$19,0)*EF_PurchElec_MTperMWh,Z25)*OFFSET(ExposureCalculations!Price_GHG_Allowance_2010,A25-$A$19,0)*ExposureCalculations!D22</f>
        <v>214325.04780658349</v>
      </c>
      <c r="AB25" s="308">
        <f t="shared" ca="1" si="2"/>
        <v>0</v>
      </c>
      <c r="AC25" s="308">
        <v>0</v>
      </c>
      <c r="AD25" s="819">
        <f t="shared" ca="1" si="3"/>
        <v>0</v>
      </c>
      <c r="AE25" s="308">
        <f t="shared" ref="AE25:AE59" ca="1" si="31">-BR25</f>
        <v>-308746.13658415806</v>
      </c>
      <c r="AF25" s="819">
        <f t="shared" ca="1" si="4"/>
        <v>0</v>
      </c>
      <c r="AG25" s="308">
        <v>0</v>
      </c>
      <c r="AH25" s="308">
        <v>0</v>
      </c>
      <c r="AI25" s="308">
        <v>0</v>
      </c>
      <c r="AJ25" s="308">
        <f t="shared" ca="1" si="5"/>
        <v>-308746.13658415806</v>
      </c>
      <c r="AK25" s="309">
        <v>0</v>
      </c>
      <c r="AL25" s="309">
        <v>0</v>
      </c>
      <c r="AM25" s="309">
        <f t="shared" si="21"/>
        <v>0</v>
      </c>
      <c r="AN25" s="310">
        <v>0</v>
      </c>
      <c r="AO25" s="310">
        <v>0</v>
      </c>
      <c r="AP25" s="310">
        <f t="shared" si="22"/>
        <v>0</v>
      </c>
      <c r="AQ25" s="309">
        <v>0</v>
      </c>
      <c r="AR25" s="311">
        <f t="shared" ca="1" si="6"/>
        <v>-94421.088777574565</v>
      </c>
      <c r="AS25" s="870">
        <f t="shared" ca="1" si="23"/>
        <v>-214612.37826350229</v>
      </c>
      <c r="AT25" s="822"/>
      <c r="AU25" s="919">
        <v>1.05</v>
      </c>
      <c r="AV25" s="35" t="s">
        <v>1357</v>
      </c>
      <c r="AW25" s="879"/>
      <c r="AX25" s="35"/>
      <c r="AY25" s="880"/>
      <c r="BK25" s="123">
        <f t="shared" ca="1" si="7"/>
        <v>645386.44597153924</v>
      </c>
      <c r="BL25" s="123">
        <f t="shared" ca="1" si="24"/>
        <v>839002.37976300099</v>
      </c>
      <c r="BM25" s="123">
        <f t="shared" ca="1" si="25"/>
        <v>419501.1898815005</v>
      </c>
      <c r="BN25" s="123">
        <f t="shared" ca="1" si="26"/>
        <v>399524.94274428615</v>
      </c>
      <c r="BP25" s="312">
        <f ca="1">BL25*CommodityPricing!F11</f>
        <v>4322445.9121782118</v>
      </c>
      <c r="BQ25" s="312">
        <f ca="1">(BM25*CommodityPricing!F11)+(CommodityPricing!B11*CoalToNG!BN25)</f>
        <v>4631192.0487623699</v>
      </c>
      <c r="BR25" s="312">
        <f t="shared" ca="1" si="27"/>
        <v>308746.13658415806</v>
      </c>
      <c r="BT25" s="123">
        <f t="shared" ca="1" si="8"/>
        <v>78866.223697722089</v>
      </c>
      <c r="BU25" s="123">
        <f t="shared" ca="1" si="9"/>
        <v>60607.933814308213</v>
      </c>
      <c r="BV25" s="123">
        <f t="shared" ca="1" si="28"/>
        <v>18258.289883413876</v>
      </c>
    </row>
    <row r="26" spans="1:74">
      <c r="A26" s="303">
        <v>2017</v>
      </c>
      <c r="B26" s="304">
        <f ca="1">IF($D$3="BAU",UtilityDemand!C19,INDIRECT($D$3&amp;"!B"&amp;ROW(A26))+INDIRECT($D$3&amp;"!D"&amp;ROW(A26)))</f>
        <v>143827.97762242699</v>
      </c>
      <c r="C26" s="305">
        <v>0</v>
      </c>
      <c r="D26" s="306">
        <f t="shared" ca="1" si="10"/>
        <v>0</v>
      </c>
      <c r="E26" s="304">
        <f ca="1">IF($D$3="BAU",UtilityDemand!E19,INDIRECT($D$3&amp;"!E"&amp;ROW(D26))+INDIRECT($D$3&amp;"!G"&amp;ROW(D26)))</f>
        <v>766715.67314623413</v>
      </c>
      <c r="F26" s="305">
        <v>0</v>
      </c>
      <c r="G26" s="306">
        <f t="shared" ca="1" si="11"/>
        <v>0</v>
      </c>
      <c r="H26" s="304">
        <f ca="1">IF($D$3="BAU",UtilityDemand!G19,INDIRECT($D$3&amp;"!H"&amp;ROW(G26))+INDIRECT($D$3&amp;"!J"&amp;ROW(G26)))</f>
        <v>206782.32967286685</v>
      </c>
      <c r="I26" s="305">
        <v>0</v>
      </c>
      <c r="J26" s="306">
        <f t="shared" ca="1" si="29"/>
        <v>0</v>
      </c>
      <c r="K26" s="307">
        <f t="shared" ca="1" si="12"/>
        <v>143827.97762242699</v>
      </c>
      <c r="L26" s="307">
        <f t="shared" si="13"/>
        <v>0</v>
      </c>
      <c r="M26" s="307">
        <v>0</v>
      </c>
      <c r="N26" s="307">
        <f t="shared" ca="1" si="14"/>
        <v>143827.97762242699</v>
      </c>
      <c r="O26" s="306">
        <f t="shared" ca="1" si="15"/>
        <v>766715.67314623413</v>
      </c>
      <c r="P26" s="306">
        <f t="shared" si="16"/>
        <v>0</v>
      </c>
      <c r="Q26" s="306">
        <v>0</v>
      </c>
      <c r="R26" s="306">
        <f t="shared" ca="1" si="17"/>
        <v>766715.67314623413</v>
      </c>
      <c r="S26" s="818">
        <f t="shared" ca="1" si="18"/>
        <v>206782.32967286685</v>
      </c>
      <c r="T26" s="818">
        <f t="shared" si="19"/>
        <v>0</v>
      </c>
      <c r="U26" s="818">
        <v>0</v>
      </c>
      <c r="V26" s="818">
        <f t="shared" ca="1" si="20"/>
        <v>206782.32967286685</v>
      </c>
      <c r="W26" s="306">
        <f t="shared" si="1"/>
        <v>0</v>
      </c>
      <c r="X26" s="306">
        <f t="shared" ca="1" si="30"/>
        <v>-18460.214039156141</v>
      </c>
      <c r="Y26" s="306">
        <v>0</v>
      </c>
      <c r="Z26" s="306">
        <v>0</v>
      </c>
      <c r="AA26" s="308">
        <f ca="1">-SUM(W26,X26/OFFSET(GridFootprintbyYear,$A26-$A$19,0)*EF_PurchElec_MTperMWh,Z26)*OFFSET(ExposureCalculations!Price_GHG_Allowance_2010,A26-$A$19,0)*ExposureCalculations!D23</f>
        <v>247013.49656270165</v>
      </c>
      <c r="AB26" s="308">
        <f t="shared" ca="1" si="2"/>
        <v>0</v>
      </c>
      <c r="AC26" s="308">
        <v>0</v>
      </c>
      <c r="AD26" s="819">
        <f t="shared" ca="1" si="3"/>
        <v>0</v>
      </c>
      <c r="AE26" s="308">
        <f t="shared" ca="1" si="31"/>
        <v>-313721.4602521481</v>
      </c>
      <c r="AF26" s="819">
        <f t="shared" ca="1" si="4"/>
        <v>0</v>
      </c>
      <c r="AG26" s="308">
        <v>0</v>
      </c>
      <c r="AH26" s="308">
        <v>0</v>
      </c>
      <c r="AI26" s="308">
        <v>0</v>
      </c>
      <c r="AJ26" s="308">
        <f t="shared" ca="1" si="5"/>
        <v>-313721.4602521481</v>
      </c>
      <c r="AK26" s="309">
        <v>0</v>
      </c>
      <c r="AL26" s="309">
        <v>0</v>
      </c>
      <c r="AM26" s="309">
        <f t="shared" si="21"/>
        <v>0</v>
      </c>
      <c r="AN26" s="310">
        <v>0</v>
      </c>
      <c r="AO26" s="310">
        <v>0</v>
      </c>
      <c r="AP26" s="310">
        <f t="shared" si="22"/>
        <v>0</v>
      </c>
      <c r="AQ26" s="309">
        <v>0</v>
      </c>
      <c r="AR26" s="311">
        <f t="shared" ca="1" si="6"/>
        <v>-66707.963689446449</v>
      </c>
      <c r="AS26" s="870">
        <f t="shared" ca="1" si="23"/>
        <v>-281320.34195294871</v>
      </c>
      <c r="AT26" s="822"/>
      <c r="AU26" s="878"/>
      <c r="AV26" s="827" t="s">
        <v>1358</v>
      </c>
      <c r="AW26" s="879"/>
      <c r="AX26" s="35"/>
      <c r="AY26" s="880"/>
      <c r="BA26" t="s">
        <v>1348</v>
      </c>
      <c r="BK26" s="123">
        <f t="shared" ca="1" si="7"/>
        <v>652523.9771457311</v>
      </c>
      <c r="BL26" s="123">
        <f t="shared" ca="1" si="24"/>
        <v>848281.17028945044</v>
      </c>
      <c r="BM26" s="123">
        <f t="shared" ca="1" si="25"/>
        <v>424140.58514472522</v>
      </c>
      <c r="BN26" s="123">
        <f t="shared" ca="1" si="26"/>
        <v>403943.4144235478</v>
      </c>
      <c r="BP26" s="312">
        <f ca="1">BL26*CommodityPricing!F12</f>
        <v>4392100.4435300706</v>
      </c>
      <c r="BQ26" s="312">
        <f ca="1">(BM26*CommodityPricing!F12)+(CommodityPricing!B12*CoalToNG!BN26)</f>
        <v>4705821.9037822187</v>
      </c>
      <c r="BR26" s="312">
        <f t="shared" ca="1" si="27"/>
        <v>313721.4602521481</v>
      </c>
      <c r="BT26" s="123">
        <f t="shared" ca="1" si="8"/>
        <v>79738.430007208342</v>
      </c>
      <c r="BU26" s="123">
        <f t="shared" ca="1" si="9"/>
        <v>61278.215968052202</v>
      </c>
      <c r="BV26" s="123">
        <f t="shared" ca="1" si="28"/>
        <v>18460.214039156141</v>
      </c>
    </row>
    <row r="27" spans="1:74">
      <c r="A27" s="303">
        <v>2018</v>
      </c>
      <c r="B27" s="304">
        <f ca="1">IF($D$3="BAU",UtilityDemand!C20,INDIRECT($D$3&amp;"!B"&amp;ROW(A27))+INDIRECT($D$3&amp;"!D"&amp;ROW(A27)))</f>
        <v>145404.603223279</v>
      </c>
      <c r="C27" s="305">
        <v>0</v>
      </c>
      <c r="D27" s="306">
        <f t="shared" ca="1" si="10"/>
        <v>0</v>
      </c>
      <c r="E27" s="304">
        <f ca="1">IF($D$3="BAU",UtilityDemand!E20,INDIRECT($D$3&amp;"!E"&amp;ROW(D27))+INDIRECT($D$3&amp;"!G"&amp;ROW(D27)))</f>
        <v>775102.27227590943</v>
      </c>
      <c r="F27" s="305">
        <v>0</v>
      </c>
      <c r="G27" s="306">
        <f t="shared" ca="1" si="11"/>
        <v>0</v>
      </c>
      <c r="H27" s="304">
        <f ca="1">IF($D$3="BAU",UtilityDemand!G20,INDIRECT($D$3&amp;"!H"&amp;ROW(G27))+INDIRECT($D$3&amp;"!J"&amp;ROW(G27)))</f>
        <v>209846.86423547054</v>
      </c>
      <c r="I27" s="305">
        <v>0</v>
      </c>
      <c r="J27" s="306">
        <f t="shared" ca="1" si="29"/>
        <v>0</v>
      </c>
      <c r="K27" s="307">
        <f t="shared" ca="1" si="12"/>
        <v>145404.603223279</v>
      </c>
      <c r="L27" s="307">
        <f t="shared" si="13"/>
        <v>0</v>
      </c>
      <c r="M27" s="307">
        <v>0</v>
      </c>
      <c r="N27" s="307">
        <f t="shared" ca="1" si="14"/>
        <v>145404.603223279</v>
      </c>
      <c r="O27" s="306">
        <f t="shared" ca="1" si="15"/>
        <v>775102.27227590943</v>
      </c>
      <c r="P27" s="306">
        <f t="shared" si="16"/>
        <v>0</v>
      </c>
      <c r="Q27" s="306">
        <v>0</v>
      </c>
      <c r="R27" s="306">
        <f t="shared" ca="1" si="17"/>
        <v>775102.27227590943</v>
      </c>
      <c r="S27" s="818">
        <f t="shared" ca="1" si="18"/>
        <v>209846.86423547054</v>
      </c>
      <c r="T27" s="818">
        <f t="shared" si="19"/>
        <v>0</v>
      </c>
      <c r="U27" s="818">
        <v>0</v>
      </c>
      <c r="V27" s="818">
        <f t="shared" ca="1" si="20"/>
        <v>209846.86423547054</v>
      </c>
      <c r="W27" s="306">
        <f t="shared" si="1"/>
        <v>0</v>
      </c>
      <c r="X27" s="306">
        <f t="shared" ca="1" si="30"/>
        <v>-18662.138194898398</v>
      </c>
      <c r="Y27" s="306">
        <v>0</v>
      </c>
      <c r="Z27" s="306">
        <v>0</v>
      </c>
      <c r="AA27" s="308">
        <f ca="1">-SUM(W27,X27/OFFSET(GridFootprintbyYear,$A27-$A$19,0)*EF_PurchElec_MTperMWh,Z27)*OFFSET(ExposureCalculations!Price_GHG_Allowance_2010,A27-$A$19,0)*ExposureCalculations!D24</f>
        <v>281688.61628545017</v>
      </c>
      <c r="AB27" s="308">
        <f t="shared" ca="1" si="2"/>
        <v>0</v>
      </c>
      <c r="AC27" s="308">
        <v>0</v>
      </c>
      <c r="AD27" s="819">
        <f t="shared" ca="1" si="3"/>
        <v>0</v>
      </c>
      <c r="AE27" s="308">
        <f t="shared" ca="1" si="31"/>
        <v>-318738.8185034031</v>
      </c>
      <c r="AF27" s="819">
        <f t="shared" ca="1" si="4"/>
        <v>0</v>
      </c>
      <c r="AG27" s="308">
        <v>0</v>
      </c>
      <c r="AH27" s="308">
        <v>0</v>
      </c>
      <c r="AI27" s="308">
        <v>0</v>
      </c>
      <c r="AJ27" s="308">
        <f t="shared" ca="1" si="5"/>
        <v>-318738.8185034031</v>
      </c>
      <c r="AK27" s="309">
        <v>0</v>
      </c>
      <c r="AL27" s="309">
        <v>0</v>
      </c>
      <c r="AM27" s="309">
        <f t="shared" si="21"/>
        <v>0</v>
      </c>
      <c r="AN27" s="310">
        <v>0</v>
      </c>
      <c r="AO27" s="310">
        <v>0</v>
      </c>
      <c r="AP27" s="310">
        <f t="shared" si="22"/>
        <v>0</v>
      </c>
      <c r="AQ27" s="309">
        <v>0</v>
      </c>
      <c r="AR27" s="311">
        <f t="shared" ca="1" si="6"/>
        <v>-37050.20221795293</v>
      </c>
      <c r="AS27" s="870">
        <f t="shared" ca="1" si="23"/>
        <v>-318370.54417090164</v>
      </c>
      <c r="AT27" s="822"/>
      <c r="AU27" s="878"/>
      <c r="AV27" s="35"/>
      <c r="AW27" s="879"/>
      <c r="AX27" s="35"/>
      <c r="AY27" s="880"/>
      <c r="BK27" s="123">
        <f t="shared" ca="1" si="7"/>
        <v>659661.50831992296</v>
      </c>
      <c r="BL27" s="123">
        <f t="shared" ca="1" si="24"/>
        <v>857559.96081589989</v>
      </c>
      <c r="BM27" s="123">
        <f t="shared" ca="1" si="25"/>
        <v>428779.98040794994</v>
      </c>
      <c r="BN27" s="123">
        <f t="shared" ca="1" si="26"/>
        <v>408361.88610280945</v>
      </c>
      <c r="BP27" s="312">
        <f ca="1">BL27*CommodityPricing!F13</f>
        <v>4462343.4590476435</v>
      </c>
      <c r="BQ27" s="312">
        <f ca="1">(BM27*CommodityPricing!F13)+(CommodityPricing!B13*CoalToNG!BN27)</f>
        <v>4781082.2775510466</v>
      </c>
      <c r="BR27" s="312">
        <f t="shared" ca="1" si="27"/>
        <v>318738.8185034031</v>
      </c>
      <c r="BT27" s="123">
        <f t="shared" ca="1" si="8"/>
        <v>80610.636316694596</v>
      </c>
      <c r="BU27" s="123">
        <f t="shared" ca="1" si="9"/>
        <v>61948.498121796198</v>
      </c>
      <c r="BV27" s="123">
        <f t="shared" ca="1" si="28"/>
        <v>18662.138194898398</v>
      </c>
    </row>
    <row r="28" spans="1:74">
      <c r="A28" s="303">
        <v>2019</v>
      </c>
      <c r="B28" s="304">
        <f ca="1">IF($D$3="BAU",UtilityDemand!C21,INDIRECT($D$3&amp;"!B"&amp;ROW(A28))+INDIRECT($D$3&amp;"!D"&amp;ROW(A28)))</f>
        <v>146981.22882413102</v>
      </c>
      <c r="C28" s="305">
        <v>0</v>
      </c>
      <c r="D28" s="306">
        <f t="shared" ca="1" si="10"/>
        <v>0</v>
      </c>
      <c r="E28" s="304">
        <f ca="1">IF($D$3="BAU",UtilityDemand!E21,INDIRECT($D$3&amp;"!E"&amp;ROW(D28))+INDIRECT($D$3&amp;"!G"&amp;ROW(D28)))</f>
        <v>783488.87140558485</v>
      </c>
      <c r="F28" s="305">
        <v>0</v>
      </c>
      <c r="G28" s="306">
        <f t="shared" ca="1" si="11"/>
        <v>0</v>
      </c>
      <c r="H28" s="304">
        <f ca="1">IF($D$3="BAU",UtilityDemand!G21,INDIRECT($D$3&amp;"!H"&amp;ROW(G28))+INDIRECT($D$3&amp;"!J"&amp;ROW(G28)))</f>
        <v>212911.39879807425</v>
      </c>
      <c r="I28" s="305">
        <v>0</v>
      </c>
      <c r="J28" s="306">
        <f t="shared" ca="1" si="29"/>
        <v>0</v>
      </c>
      <c r="K28" s="307">
        <f t="shared" ca="1" si="12"/>
        <v>146981.22882413102</v>
      </c>
      <c r="L28" s="307">
        <f t="shared" si="13"/>
        <v>0</v>
      </c>
      <c r="M28" s="307">
        <v>0</v>
      </c>
      <c r="N28" s="307">
        <f t="shared" ca="1" si="14"/>
        <v>146981.22882413102</v>
      </c>
      <c r="O28" s="306">
        <f t="shared" ca="1" si="15"/>
        <v>783488.87140558485</v>
      </c>
      <c r="P28" s="306">
        <f t="shared" si="16"/>
        <v>0</v>
      </c>
      <c r="Q28" s="306">
        <v>0</v>
      </c>
      <c r="R28" s="306">
        <f t="shared" ca="1" si="17"/>
        <v>783488.87140558485</v>
      </c>
      <c r="S28" s="818">
        <f t="shared" ca="1" si="18"/>
        <v>212911.39879807425</v>
      </c>
      <c r="T28" s="818">
        <f t="shared" si="19"/>
        <v>0</v>
      </c>
      <c r="U28" s="818">
        <v>0</v>
      </c>
      <c r="V28" s="818">
        <f t="shared" ca="1" si="20"/>
        <v>212911.39879807425</v>
      </c>
      <c r="W28" s="306">
        <f t="shared" si="1"/>
        <v>0</v>
      </c>
      <c r="X28" s="306">
        <f t="shared" ca="1" si="30"/>
        <v>-18864.062350640648</v>
      </c>
      <c r="Y28" s="306">
        <v>0</v>
      </c>
      <c r="Z28" s="306">
        <v>0</v>
      </c>
      <c r="AA28" s="308">
        <f ca="1">-SUM(W28,X28/OFFSET(GridFootprintbyYear,$A28-$A$19,0)*EF_PurchElec_MTperMWh,Z28)*OFFSET(ExposureCalculations!Price_GHG_Allowance_2010,A28-$A$19,0)*ExposureCalculations!D25</f>
        <v>318351.02715432027</v>
      </c>
      <c r="AB28" s="308">
        <f t="shared" ca="1" si="2"/>
        <v>0</v>
      </c>
      <c r="AC28" s="308">
        <v>0</v>
      </c>
      <c r="AD28" s="819">
        <f t="shared" ca="1" si="3"/>
        <v>0</v>
      </c>
      <c r="AE28" s="308">
        <f t="shared" ca="1" si="31"/>
        <v>-323798.50730066467</v>
      </c>
      <c r="AF28" s="819">
        <f t="shared" ca="1" si="4"/>
        <v>0</v>
      </c>
      <c r="AG28" s="308">
        <v>0</v>
      </c>
      <c r="AH28" s="308">
        <v>0</v>
      </c>
      <c r="AI28" s="308">
        <v>0</v>
      </c>
      <c r="AJ28" s="308">
        <f t="shared" ca="1" si="5"/>
        <v>-323798.50730066467</v>
      </c>
      <c r="AK28" s="309">
        <v>0</v>
      </c>
      <c r="AL28" s="309">
        <v>0</v>
      </c>
      <c r="AM28" s="309">
        <f t="shared" si="21"/>
        <v>0</v>
      </c>
      <c r="AN28" s="310">
        <v>0</v>
      </c>
      <c r="AO28" s="310">
        <v>0</v>
      </c>
      <c r="AP28" s="310">
        <f t="shared" si="22"/>
        <v>0</v>
      </c>
      <c r="AQ28" s="309">
        <v>0</v>
      </c>
      <c r="AR28" s="311">
        <f t="shared" ca="1" si="6"/>
        <v>-5447.4801463444019</v>
      </c>
      <c r="AS28" s="870">
        <f t="shared" ca="1" si="23"/>
        <v>-323818.02431724605</v>
      </c>
      <c r="AT28" s="822"/>
      <c r="AU28" s="1265">
        <v>0.8</v>
      </c>
      <c r="AV28" s="827" t="s">
        <v>1502</v>
      </c>
      <c r="AW28" s="879"/>
      <c r="AX28" s="35"/>
      <c r="AY28" s="880"/>
      <c r="BA28" t="s">
        <v>1349</v>
      </c>
      <c r="BK28" s="123">
        <f t="shared" ca="1" si="7"/>
        <v>666799.03949411481</v>
      </c>
      <c r="BL28" s="123">
        <f t="shared" ca="1" si="24"/>
        <v>866838.75134234934</v>
      </c>
      <c r="BM28" s="123">
        <f t="shared" ca="1" si="25"/>
        <v>433419.37567117467</v>
      </c>
      <c r="BN28" s="123">
        <f t="shared" ca="1" si="26"/>
        <v>412780.35778207111</v>
      </c>
      <c r="BP28" s="312">
        <f ca="1">BL28*CommodityPricing!F14</f>
        <v>4533179.1022093035</v>
      </c>
      <c r="BQ28" s="312">
        <f ca="1">(BM28*CommodityPricing!F14)+(CommodityPricing!B14*CoalToNG!BN28)</f>
        <v>4856977.6095099682</v>
      </c>
      <c r="BR28" s="312">
        <f t="shared" ca="1" si="27"/>
        <v>323798.50730066467</v>
      </c>
      <c r="BT28" s="123">
        <f t="shared" ca="1" si="8"/>
        <v>81482.842626180834</v>
      </c>
      <c r="BU28" s="123">
        <f t="shared" ca="1" si="9"/>
        <v>62618.780275540186</v>
      </c>
      <c r="BV28" s="123">
        <f t="shared" ca="1" si="28"/>
        <v>18864.062350640648</v>
      </c>
    </row>
    <row r="29" spans="1:74">
      <c r="A29" s="303">
        <v>2020</v>
      </c>
      <c r="B29" s="304">
        <f ca="1">IF($D$3="BAU",UtilityDemand!C22,INDIRECT($D$3&amp;"!B"&amp;ROW(A29))+INDIRECT($D$3&amp;"!D"&amp;ROW(A29)))</f>
        <v>148557.85442498306</v>
      </c>
      <c r="C29" s="305">
        <v>0</v>
      </c>
      <c r="D29" s="306">
        <f t="shared" ca="1" si="10"/>
        <v>0</v>
      </c>
      <c r="E29" s="304">
        <f ca="1">IF($D$3="BAU",UtilityDemand!E22,INDIRECT($D$3&amp;"!E"&amp;ROW(D29))+INDIRECT($D$3&amp;"!G"&amp;ROW(D29)))</f>
        <v>791875.47053526016</v>
      </c>
      <c r="F29" s="305">
        <v>0</v>
      </c>
      <c r="G29" s="306">
        <f t="shared" ca="1" si="11"/>
        <v>0</v>
      </c>
      <c r="H29" s="304">
        <f ca="1">IF($D$3="BAU",UtilityDemand!G22,INDIRECT($D$3&amp;"!H"&amp;ROW(G29))+INDIRECT($D$3&amp;"!J"&amp;ROW(G29)))</f>
        <v>215975.93336067794</v>
      </c>
      <c r="I29" s="305">
        <v>0</v>
      </c>
      <c r="J29" s="306">
        <f t="shared" ca="1" si="29"/>
        <v>0</v>
      </c>
      <c r="K29" s="307">
        <f t="shared" ca="1" si="12"/>
        <v>148557.85442498306</v>
      </c>
      <c r="L29" s="307">
        <f t="shared" si="13"/>
        <v>0</v>
      </c>
      <c r="M29" s="307">
        <v>0</v>
      </c>
      <c r="N29" s="307">
        <f t="shared" ca="1" si="14"/>
        <v>148557.85442498306</v>
      </c>
      <c r="O29" s="306">
        <f t="shared" ca="1" si="15"/>
        <v>791875.47053526016</v>
      </c>
      <c r="P29" s="306">
        <f t="shared" si="16"/>
        <v>0</v>
      </c>
      <c r="Q29" s="306">
        <v>0</v>
      </c>
      <c r="R29" s="306">
        <f t="shared" ca="1" si="17"/>
        <v>791875.47053526016</v>
      </c>
      <c r="S29" s="818">
        <f t="shared" ca="1" si="18"/>
        <v>215975.93336067794</v>
      </c>
      <c r="T29" s="818">
        <f t="shared" si="19"/>
        <v>0</v>
      </c>
      <c r="U29" s="818">
        <v>0</v>
      </c>
      <c r="V29" s="818">
        <f t="shared" ca="1" si="20"/>
        <v>215975.93336067794</v>
      </c>
      <c r="W29" s="306">
        <f t="shared" si="1"/>
        <v>0</v>
      </c>
      <c r="X29" s="306">
        <f t="shared" ca="1" si="30"/>
        <v>-19065.986506382898</v>
      </c>
      <c r="Y29" s="306">
        <v>0</v>
      </c>
      <c r="Z29" s="306">
        <v>0</v>
      </c>
      <c r="AA29" s="308">
        <f ca="1">-SUM(W29,X29/OFFSET(GridFootprintbyYear,$A29-$A$19,0)*EF_PurchElec_MTperMWh,Z29)*OFFSET(ExposureCalculations!Price_GHG_Allowance_2010,A29-$A$19,0)*ExposureCalculations!D26</f>
        <v>356999.99755239056</v>
      </c>
      <c r="AB29" s="308">
        <f t="shared" ca="1" si="2"/>
        <v>0</v>
      </c>
      <c r="AC29" s="308">
        <v>0</v>
      </c>
      <c r="AD29" s="819">
        <f t="shared" ca="1" si="3"/>
        <v>0</v>
      </c>
      <c r="AE29" s="308">
        <f t="shared" ca="1" si="31"/>
        <v>-328900.82451543584</v>
      </c>
      <c r="AF29" s="819">
        <f t="shared" ca="1" si="4"/>
        <v>0</v>
      </c>
      <c r="AG29" s="308">
        <v>0</v>
      </c>
      <c r="AH29" s="308">
        <v>0</v>
      </c>
      <c r="AI29" s="308">
        <v>0</v>
      </c>
      <c r="AJ29" s="308">
        <f t="shared" ca="1" si="5"/>
        <v>-328900.82451543584</v>
      </c>
      <c r="AK29" s="309">
        <v>0</v>
      </c>
      <c r="AL29" s="309">
        <v>0</v>
      </c>
      <c r="AM29" s="309">
        <f t="shared" si="21"/>
        <v>0</v>
      </c>
      <c r="AN29" s="310">
        <v>0</v>
      </c>
      <c r="AO29" s="310">
        <v>0</v>
      </c>
      <c r="AP29" s="310">
        <f t="shared" si="22"/>
        <v>0</v>
      </c>
      <c r="AQ29" s="309">
        <v>0</v>
      </c>
      <c r="AR29" s="311">
        <f t="shared" ca="1" si="6"/>
        <v>28099.173036954715</v>
      </c>
      <c r="AS29" s="870">
        <f t="shared" ca="1" si="23"/>
        <v>-295718.85128029133</v>
      </c>
      <c r="AT29" s="822"/>
      <c r="AU29" s="878"/>
      <c r="AV29" s="35"/>
      <c r="AW29" s="879"/>
      <c r="AX29" s="35"/>
      <c r="AY29" s="880"/>
      <c r="BA29" t="s">
        <v>1350</v>
      </c>
      <c r="BK29" s="123">
        <f t="shared" ca="1" si="7"/>
        <v>673936.57066830655</v>
      </c>
      <c r="BL29" s="123">
        <f t="shared" ca="1" si="24"/>
        <v>876117.54186879855</v>
      </c>
      <c r="BM29" s="123">
        <f t="shared" ca="1" si="25"/>
        <v>438058.77093439928</v>
      </c>
      <c r="BN29" s="123">
        <f t="shared" ca="1" si="26"/>
        <v>417198.82946133264</v>
      </c>
      <c r="BP29" s="312">
        <f ca="1">BL29*CommodityPricing!F15</f>
        <v>4604611.5432161028</v>
      </c>
      <c r="BQ29" s="312">
        <f ca="1">(BM29*CommodityPricing!F15)+(CommodityPricing!B15*CoalToNG!BN29)</f>
        <v>4933512.3677315386</v>
      </c>
      <c r="BR29" s="312">
        <f t="shared" ca="1" si="27"/>
        <v>328900.82451543584</v>
      </c>
      <c r="BT29" s="123">
        <f t="shared" ca="1" si="8"/>
        <v>82355.048935667059</v>
      </c>
      <c r="BU29" s="123">
        <f t="shared" ca="1" si="9"/>
        <v>63289.06242928416</v>
      </c>
      <c r="BV29" s="123">
        <f t="shared" ca="1" si="28"/>
        <v>19065.986506382898</v>
      </c>
    </row>
    <row r="30" spans="1:74">
      <c r="A30" s="303">
        <v>2021</v>
      </c>
      <c r="B30" s="304">
        <f ca="1">IF($D$3="BAU",UtilityDemand!C23,INDIRECT($D$3&amp;"!B"&amp;ROW(A30))+INDIRECT($D$3&amp;"!D"&amp;ROW(A30)))</f>
        <v>150134.48002583507</v>
      </c>
      <c r="C30" s="305">
        <v>0</v>
      </c>
      <c r="D30" s="306">
        <f t="shared" ca="1" si="10"/>
        <v>0</v>
      </c>
      <c r="E30" s="304">
        <f ca="1">IF($D$3="BAU",UtilityDemand!E23,INDIRECT($D$3&amp;"!E"&amp;ROW(D30))+INDIRECT($D$3&amp;"!G"&amp;ROW(D30)))</f>
        <v>800262.06966493546</v>
      </c>
      <c r="F30" s="305">
        <v>0</v>
      </c>
      <c r="G30" s="306">
        <f t="shared" ca="1" si="11"/>
        <v>0</v>
      </c>
      <c r="H30" s="304">
        <f ca="1">IF($D$3="BAU",UtilityDemand!G23,INDIRECT($D$3&amp;"!H"&amp;ROW(G30))+INDIRECT($D$3&amp;"!J"&amp;ROW(G30)))</f>
        <v>219040.46792328163</v>
      </c>
      <c r="I30" s="305">
        <v>0</v>
      </c>
      <c r="J30" s="306">
        <f t="shared" ca="1" si="29"/>
        <v>0</v>
      </c>
      <c r="K30" s="307">
        <f t="shared" ca="1" si="12"/>
        <v>150134.48002583507</v>
      </c>
      <c r="L30" s="307">
        <f t="shared" si="13"/>
        <v>0</v>
      </c>
      <c r="M30" s="307">
        <v>0</v>
      </c>
      <c r="N30" s="307">
        <f t="shared" ca="1" si="14"/>
        <v>150134.48002583507</v>
      </c>
      <c r="O30" s="306">
        <f t="shared" ca="1" si="15"/>
        <v>800262.06966493546</v>
      </c>
      <c r="P30" s="306">
        <f t="shared" si="16"/>
        <v>0</v>
      </c>
      <c r="Q30" s="306">
        <v>0</v>
      </c>
      <c r="R30" s="306">
        <f t="shared" ca="1" si="17"/>
        <v>800262.06966493546</v>
      </c>
      <c r="S30" s="818">
        <f t="shared" ca="1" si="18"/>
        <v>219040.46792328163</v>
      </c>
      <c r="T30" s="818">
        <f t="shared" si="19"/>
        <v>0</v>
      </c>
      <c r="U30" s="818">
        <v>0</v>
      </c>
      <c r="V30" s="818">
        <f t="shared" ca="1" si="20"/>
        <v>219040.46792328163</v>
      </c>
      <c r="W30" s="306">
        <f t="shared" si="1"/>
        <v>0</v>
      </c>
      <c r="X30" s="306">
        <f t="shared" ca="1" si="30"/>
        <v>-19267.910662125156</v>
      </c>
      <c r="Y30" s="306">
        <v>0</v>
      </c>
      <c r="Z30" s="306">
        <v>0</v>
      </c>
      <c r="AA30" s="308">
        <f ca="1">-SUM(W30,X30/OFFSET(GridFootprintbyYear,$A30-$A$19,0)*EF_PurchElec_MTperMWh,Z30)*OFFSET(ExposureCalculations!Price_GHG_Allowance_2010,A30-$A$19,0)*ExposureCalculations!D27</f>
        <v>401870.64734231401</v>
      </c>
      <c r="AB30" s="308">
        <f t="shared" ca="1" si="2"/>
        <v>0</v>
      </c>
      <c r="AC30" s="308">
        <v>0</v>
      </c>
      <c r="AD30" s="819">
        <f t="shared" ca="1" si="3"/>
        <v>0</v>
      </c>
      <c r="AE30" s="308">
        <f t="shared" ca="1" si="31"/>
        <v>-334046.06993967295</v>
      </c>
      <c r="AF30" s="819">
        <f t="shared" ca="1" si="4"/>
        <v>0</v>
      </c>
      <c r="AG30" s="308">
        <v>0</v>
      </c>
      <c r="AH30" s="308">
        <v>0</v>
      </c>
      <c r="AI30" s="308">
        <v>0</v>
      </c>
      <c r="AJ30" s="308">
        <f t="shared" ca="1" si="5"/>
        <v>-334046.06993967295</v>
      </c>
      <c r="AK30" s="309">
        <v>0</v>
      </c>
      <c r="AL30" s="309">
        <v>0</v>
      </c>
      <c r="AM30" s="309">
        <f t="shared" si="21"/>
        <v>0</v>
      </c>
      <c r="AN30" s="310">
        <v>0</v>
      </c>
      <c r="AO30" s="310">
        <v>0</v>
      </c>
      <c r="AP30" s="310">
        <f t="shared" si="22"/>
        <v>0</v>
      </c>
      <c r="AQ30" s="309">
        <v>0</v>
      </c>
      <c r="AR30" s="311">
        <f t="shared" ca="1" si="6"/>
        <v>67824.577402641065</v>
      </c>
      <c r="AS30" s="870">
        <f t="shared" ca="1" si="23"/>
        <v>-227894.27387765027</v>
      </c>
      <c r="AT30" s="822"/>
      <c r="AU30" s="878"/>
      <c r="AV30" s="35"/>
      <c r="AW30" s="879"/>
      <c r="AX30" s="35"/>
      <c r="AY30" s="880"/>
      <c r="BA30" t="s">
        <v>1351</v>
      </c>
      <c r="BK30" s="123">
        <f t="shared" ca="1" si="7"/>
        <v>681074.10184249829</v>
      </c>
      <c r="BL30" s="123">
        <f t="shared" ca="1" si="24"/>
        <v>885396.33239524777</v>
      </c>
      <c r="BM30" s="123">
        <f t="shared" ca="1" si="25"/>
        <v>442698.16619762388</v>
      </c>
      <c r="BN30" s="123">
        <f t="shared" ca="1" si="26"/>
        <v>421617.30114059418</v>
      </c>
      <c r="BP30" s="312">
        <f ca="1">BL30*CommodityPricing!F16</f>
        <v>4676644.9791554147</v>
      </c>
      <c r="BQ30" s="312">
        <f ca="1">(BM30*CommodityPricing!F16)+(CommodityPricing!B16*CoalToNG!BN30)</f>
        <v>5010691.0490950877</v>
      </c>
      <c r="BR30" s="312">
        <f t="shared" ca="1" si="27"/>
        <v>334046.06993967295</v>
      </c>
      <c r="BT30" s="123">
        <f t="shared" ca="1" si="8"/>
        <v>83227.255245153297</v>
      </c>
      <c r="BU30" s="123">
        <f t="shared" ca="1" si="9"/>
        <v>63959.344583028142</v>
      </c>
      <c r="BV30" s="123">
        <f t="shared" ca="1" si="28"/>
        <v>19267.910662125156</v>
      </c>
    </row>
    <row r="31" spans="1:74">
      <c r="A31" s="303">
        <v>2022</v>
      </c>
      <c r="B31" s="304">
        <f ca="1">IF($D$3="BAU",UtilityDemand!C24,INDIRECT($D$3&amp;"!B"&amp;ROW(A31))+INDIRECT($D$3&amp;"!D"&amp;ROW(A31)))</f>
        <v>151711.10562668712</v>
      </c>
      <c r="C31" s="305">
        <v>0</v>
      </c>
      <c r="D31" s="306">
        <f t="shared" ca="1" si="10"/>
        <v>0</v>
      </c>
      <c r="E31" s="304">
        <f ca="1">IF($D$3="BAU",UtilityDemand!E24,INDIRECT($D$3&amp;"!E"&amp;ROW(D31))+INDIRECT($D$3&amp;"!G"&amp;ROW(D31)))</f>
        <v>808648.668794611</v>
      </c>
      <c r="F31" s="305">
        <v>0</v>
      </c>
      <c r="G31" s="306">
        <f t="shared" ca="1" si="11"/>
        <v>0</v>
      </c>
      <c r="H31" s="304">
        <f ca="1">IF($D$3="BAU",UtilityDemand!G24,INDIRECT($D$3&amp;"!H"&amp;ROW(G31))+INDIRECT($D$3&amp;"!J"&amp;ROW(G31)))</f>
        <v>222105.00248588528</v>
      </c>
      <c r="I31" s="305">
        <v>0</v>
      </c>
      <c r="J31" s="306">
        <f t="shared" ca="1" si="29"/>
        <v>0</v>
      </c>
      <c r="K31" s="307">
        <f t="shared" ca="1" si="12"/>
        <v>151711.10562668712</v>
      </c>
      <c r="L31" s="307">
        <f t="shared" si="13"/>
        <v>0</v>
      </c>
      <c r="M31" s="307">
        <v>0</v>
      </c>
      <c r="N31" s="307">
        <f t="shared" ca="1" si="14"/>
        <v>151711.10562668712</v>
      </c>
      <c r="O31" s="306">
        <f t="shared" ca="1" si="15"/>
        <v>808648.668794611</v>
      </c>
      <c r="P31" s="306">
        <f t="shared" si="16"/>
        <v>0</v>
      </c>
      <c r="Q31" s="306">
        <v>0</v>
      </c>
      <c r="R31" s="306">
        <f t="shared" ca="1" si="17"/>
        <v>808648.668794611</v>
      </c>
      <c r="S31" s="818">
        <f t="shared" ca="1" si="18"/>
        <v>222105.00248588528</v>
      </c>
      <c r="T31" s="818">
        <f t="shared" si="19"/>
        <v>0</v>
      </c>
      <c r="U31" s="818">
        <v>0</v>
      </c>
      <c r="V31" s="818">
        <f t="shared" ca="1" si="20"/>
        <v>222105.00248588528</v>
      </c>
      <c r="W31" s="306">
        <f t="shared" si="1"/>
        <v>0</v>
      </c>
      <c r="X31" s="306">
        <f t="shared" ca="1" si="30"/>
        <v>-19469.83481786742</v>
      </c>
      <c r="Y31" s="306">
        <v>0</v>
      </c>
      <c r="Z31" s="306">
        <v>0</v>
      </c>
      <c r="AA31" s="308">
        <f ca="1">-SUM(W31,X31/OFFSET(GridFootprintbyYear,$A31-$A$19,0)*EF_PurchElec_MTperMWh,Z31)*OFFSET(ExposureCalculations!Price_GHG_Allowance_2010,A31-$A$19,0)*ExposureCalculations!D28</f>
        <v>449204.81940537051</v>
      </c>
      <c r="AB31" s="308">
        <f t="shared" ca="1" si="2"/>
        <v>0</v>
      </c>
      <c r="AC31" s="308">
        <v>0</v>
      </c>
      <c r="AD31" s="819">
        <f t="shared" ca="1" si="3"/>
        <v>0</v>
      </c>
      <c r="AE31" s="308">
        <f t="shared" ca="1" si="31"/>
        <v>-339234.54529753793</v>
      </c>
      <c r="AF31" s="819">
        <f t="shared" ca="1" si="4"/>
        <v>0</v>
      </c>
      <c r="AG31" s="308">
        <v>0</v>
      </c>
      <c r="AH31" s="308">
        <v>0</v>
      </c>
      <c r="AI31" s="308">
        <v>0</v>
      </c>
      <c r="AJ31" s="308">
        <f t="shared" ca="1" si="5"/>
        <v>-339234.54529753793</v>
      </c>
      <c r="AK31" s="309">
        <v>0</v>
      </c>
      <c r="AL31" s="309">
        <v>0</v>
      </c>
      <c r="AM31" s="309">
        <f t="shared" si="21"/>
        <v>0</v>
      </c>
      <c r="AN31" s="310">
        <v>0</v>
      </c>
      <c r="AO31" s="310">
        <v>0</v>
      </c>
      <c r="AP31" s="310">
        <f t="shared" si="22"/>
        <v>0</v>
      </c>
      <c r="AQ31" s="309">
        <v>0</v>
      </c>
      <c r="AR31" s="311">
        <f t="shared" ca="1" si="6"/>
        <v>109970.27410783258</v>
      </c>
      <c r="AS31" s="870">
        <f t="shared" ca="1" si="23"/>
        <v>-117923.99976981769</v>
      </c>
      <c r="AT31" s="822"/>
      <c r="AU31" s="878"/>
      <c r="AV31" s="35"/>
      <c r="AW31" s="879"/>
      <c r="AX31" s="35"/>
      <c r="AY31" s="880"/>
      <c r="BK31" s="123">
        <f t="shared" ca="1" si="7"/>
        <v>688211.63301669026</v>
      </c>
      <c r="BL31" s="123">
        <f t="shared" ca="1" si="24"/>
        <v>894675.12292169733</v>
      </c>
      <c r="BM31" s="123">
        <f t="shared" ca="1" si="25"/>
        <v>447337.56146084866</v>
      </c>
      <c r="BN31" s="123">
        <f t="shared" ca="1" si="26"/>
        <v>426035.77281985583</v>
      </c>
      <c r="BP31" s="312">
        <f ca="1">BL31*CommodityPricing!F17</f>
        <v>4749283.6341655403</v>
      </c>
      <c r="BQ31" s="312">
        <f ca="1">(BM31*CommodityPricing!F17)+(CommodityPricing!B17*CoalToNG!BN31)</f>
        <v>5088518.1794630783</v>
      </c>
      <c r="BR31" s="312">
        <f t="shared" ca="1" si="27"/>
        <v>339234.54529753793</v>
      </c>
      <c r="BT31" s="123">
        <f t="shared" ca="1" si="8"/>
        <v>84099.461554639551</v>
      </c>
      <c r="BU31" s="123">
        <f t="shared" ca="1" si="9"/>
        <v>64629.62673677213</v>
      </c>
      <c r="BV31" s="123">
        <f t="shared" ca="1" si="28"/>
        <v>19469.83481786742</v>
      </c>
    </row>
    <row r="32" spans="1:74">
      <c r="A32" s="303">
        <v>2023</v>
      </c>
      <c r="B32" s="304">
        <f ca="1">IF($D$3="BAU",UtilityDemand!C25,INDIRECT($D$3&amp;"!B"&amp;ROW(A32))+INDIRECT($D$3&amp;"!D"&amp;ROW(A32)))</f>
        <v>153287.73122753916</v>
      </c>
      <c r="C32" s="305">
        <v>0</v>
      </c>
      <c r="D32" s="306">
        <f t="shared" ca="1" si="10"/>
        <v>0</v>
      </c>
      <c r="E32" s="304">
        <f ca="1">IF($D$3="BAU",UtilityDemand!E25,INDIRECT($D$3&amp;"!E"&amp;ROW(D32))+INDIRECT($D$3&amp;"!G"&amp;ROW(D32)))</f>
        <v>817035.26792428643</v>
      </c>
      <c r="F32" s="305">
        <v>0</v>
      </c>
      <c r="G32" s="306">
        <f t="shared" ca="1" si="11"/>
        <v>0</v>
      </c>
      <c r="H32" s="304">
        <f ca="1">IF($D$3="BAU",UtilityDemand!G25,INDIRECT($D$3&amp;"!H"&amp;ROW(G32))+INDIRECT($D$3&amp;"!J"&amp;ROW(G32)))</f>
        <v>225169.537048489</v>
      </c>
      <c r="I32" s="305">
        <v>0</v>
      </c>
      <c r="J32" s="306">
        <f t="shared" ca="1" si="29"/>
        <v>0</v>
      </c>
      <c r="K32" s="307">
        <f t="shared" ca="1" si="12"/>
        <v>153287.73122753916</v>
      </c>
      <c r="L32" s="307">
        <f t="shared" si="13"/>
        <v>0</v>
      </c>
      <c r="M32" s="307">
        <v>0</v>
      </c>
      <c r="N32" s="307">
        <f t="shared" ca="1" si="14"/>
        <v>153287.73122753916</v>
      </c>
      <c r="O32" s="306">
        <f t="shared" ca="1" si="15"/>
        <v>817035.26792428643</v>
      </c>
      <c r="P32" s="306">
        <f t="shared" si="16"/>
        <v>0</v>
      </c>
      <c r="Q32" s="306">
        <v>0</v>
      </c>
      <c r="R32" s="306">
        <f t="shared" ca="1" si="17"/>
        <v>817035.26792428643</v>
      </c>
      <c r="S32" s="818">
        <f t="shared" ca="1" si="18"/>
        <v>225169.537048489</v>
      </c>
      <c r="T32" s="818">
        <f t="shared" si="19"/>
        <v>0</v>
      </c>
      <c r="U32" s="818">
        <v>0</v>
      </c>
      <c r="V32" s="818">
        <f t="shared" ca="1" si="20"/>
        <v>225169.537048489</v>
      </c>
      <c r="W32" s="306">
        <f t="shared" si="1"/>
        <v>0</v>
      </c>
      <c r="X32" s="306">
        <f t="shared" ca="1" si="30"/>
        <v>-19671.758973609671</v>
      </c>
      <c r="Y32" s="306">
        <v>0</v>
      </c>
      <c r="Z32" s="306">
        <v>0</v>
      </c>
      <c r="AA32" s="308">
        <f ca="1">-SUM(W32,X32/OFFSET(GridFootprintbyYear,$A32-$A$19,0)*EF_PurchElec_MTperMWh,Z32)*OFFSET(ExposureCalculations!Price_GHG_Allowance_2010,A32-$A$19,0)*ExposureCalculations!D29</f>
        <v>498987.08650300425</v>
      </c>
      <c r="AB32" s="308">
        <f t="shared" ca="1" si="2"/>
        <v>0</v>
      </c>
      <c r="AC32" s="308">
        <v>0</v>
      </c>
      <c r="AD32" s="819">
        <f t="shared" ca="1" si="3"/>
        <v>0</v>
      </c>
      <c r="AE32" s="308">
        <f t="shared" ca="1" si="31"/>
        <v>-344466.55425723549</v>
      </c>
      <c r="AF32" s="819">
        <f t="shared" ca="1" si="4"/>
        <v>0</v>
      </c>
      <c r="AG32" s="308">
        <v>0</v>
      </c>
      <c r="AH32" s="308">
        <v>0</v>
      </c>
      <c r="AI32" s="308">
        <v>0</v>
      </c>
      <c r="AJ32" s="308">
        <f t="shared" ca="1" si="5"/>
        <v>-344466.55425723549</v>
      </c>
      <c r="AK32" s="309">
        <v>0</v>
      </c>
      <c r="AL32" s="309">
        <v>0</v>
      </c>
      <c r="AM32" s="309">
        <f t="shared" si="21"/>
        <v>0</v>
      </c>
      <c r="AN32" s="310">
        <v>0</v>
      </c>
      <c r="AO32" s="310">
        <v>0</v>
      </c>
      <c r="AP32" s="310">
        <f t="shared" si="22"/>
        <v>0</v>
      </c>
      <c r="AQ32" s="309">
        <v>0</v>
      </c>
      <c r="AR32" s="311">
        <f t="shared" ca="1" si="6"/>
        <v>154520.53224576876</v>
      </c>
      <c r="AS32" s="870">
        <f t="shared" ca="1" si="23"/>
        <v>36596.53247595107</v>
      </c>
      <c r="AT32" s="822"/>
      <c r="AU32" s="878"/>
      <c r="AV32" s="35"/>
      <c r="AW32" s="879"/>
      <c r="AX32" s="35"/>
      <c r="AY32" s="880"/>
      <c r="BK32" s="123">
        <f t="shared" ca="1" si="7"/>
        <v>695349.16419088212</v>
      </c>
      <c r="BL32" s="123">
        <f t="shared" ca="1" si="24"/>
        <v>903953.91344814678</v>
      </c>
      <c r="BM32" s="123">
        <f t="shared" ca="1" si="25"/>
        <v>451976.95672407339</v>
      </c>
      <c r="BN32" s="123">
        <f t="shared" ca="1" si="26"/>
        <v>430454.24449911749</v>
      </c>
      <c r="BP32" s="312">
        <f ca="1">BL32*CommodityPricing!F18</f>
        <v>4822531.7596012885</v>
      </c>
      <c r="BQ32" s="312">
        <f ca="1">(BM32*CommodityPricing!F18)+(CommodityPricing!B18*CoalToNG!BN32)</f>
        <v>5166998.313858524</v>
      </c>
      <c r="BR32" s="312">
        <f t="shared" ca="1" si="27"/>
        <v>344466.55425723549</v>
      </c>
      <c r="BT32" s="123">
        <f t="shared" ca="1" si="8"/>
        <v>84971.667864125804</v>
      </c>
      <c r="BU32" s="123">
        <f t="shared" ca="1" si="9"/>
        <v>65299.908890516133</v>
      </c>
      <c r="BV32" s="123">
        <f t="shared" ca="1" si="28"/>
        <v>19671.758973609671</v>
      </c>
    </row>
    <row r="33" spans="1:74">
      <c r="A33" s="303">
        <v>2024</v>
      </c>
      <c r="B33" s="304">
        <f ca="1">IF($D$3="BAU",UtilityDemand!C26,INDIRECT($D$3&amp;"!B"&amp;ROW(A33))+INDIRECT($D$3&amp;"!D"&amp;ROW(A33)))</f>
        <v>154864.35682839117</v>
      </c>
      <c r="C33" s="305">
        <v>0</v>
      </c>
      <c r="D33" s="306">
        <f t="shared" ca="1" si="10"/>
        <v>0</v>
      </c>
      <c r="E33" s="304">
        <f ca="1">IF($D$3="BAU",UtilityDemand!E26,INDIRECT($D$3&amp;"!E"&amp;ROW(D33))+INDIRECT($D$3&amp;"!G"&amp;ROW(D33)))</f>
        <v>825421.86705396173</v>
      </c>
      <c r="F33" s="305">
        <v>0</v>
      </c>
      <c r="G33" s="306">
        <f t="shared" ca="1" si="11"/>
        <v>0</v>
      </c>
      <c r="H33" s="304">
        <f ca="1">IF($D$3="BAU",UtilityDemand!G26,INDIRECT($D$3&amp;"!H"&amp;ROW(G33))+INDIRECT($D$3&amp;"!J"&amp;ROW(G33)))</f>
        <v>228234.07161109266</v>
      </c>
      <c r="I33" s="305">
        <v>0</v>
      </c>
      <c r="J33" s="306">
        <f t="shared" ca="1" si="29"/>
        <v>0</v>
      </c>
      <c r="K33" s="307">
        <f t="shared" ca="1" si="12"/>
        <v>154864.35682839117</v>
      </c>
      <c r="L33" s="307">
        <f t="shared" si="13"/>
        <v>0</v>
      </c>
      <c r="M33" s="307">
        <v>0</v>
      </c>
      <c r="N33" s="307">
        <f t="shared" ca="1" si="14"/>
        <v>154864.35682839117</v>
      </c>
      <c r="O33" s="306">
        <f t="shared" ca="1" si="15"/>
        <v>825421.86705396173</v>
      </c>
      <c r="P33" s="306">
        <f t="shared" si="16"/>
        <v>0</v>
      </c>
      <c r="Q33" s="306">
        <v>0</v>
      </c>
      <c r="R33" s="306">
        <f t="shared" ca="1" si="17"/>
        <v>825421.86705396173</v>
      </c>
      <c r="S33" s="818">
        <f t="shared" ca="1" si="18"/>
        <v>228234.07161109266</v>
      </c>
      <c r="T33" s="818">
        <f t="shared" si="19"/>
        <v>0</v>
      </c>
      <c r="U33" s="818">
        <v>0</v>
      </c>
      <c r="V33" s="818">
        <f t="shared" ca="1" si="20"/>
        <v>228234.07161109266</v>
      </c>
      <c r="W33" s="306">
        <f t="shared" si="1"/>
        <v>0</v>
      </c>
      <c r="X33" s="306">
        <f t="shared" ca="1" si="30"/>
        <v>-19873.683129351921</v>
      </c>
      <c r="Y33" s="306">
        <v>0</v>
      </c>
      <c r="Z33" s="306">
        <v>0</v>
      </c>
      <c r="AA33" s="308">
        <f ca="1">-SUM(W33,X33/OFFSET(GridFootprintbyYear,$A33-$A$19,0)*EF_PurchElec_MTperMWh,Z33)*OFFSET(ExposureCalculations!Price_GHG_Allowance_2010,A33-$A$19,0)*ExposureCalculations!D30</f>
        <v>551199.79611354484</v>
      </c>
      <c r="AB33" s="308">
        <f t="shared" ca="1" si="2"/>
        <v>0</v>
      </c>
      <c r="AC33" s="308">
        <v>0</v>
      </c>
      <c r="AD33" s="819">
        <f t="shared" ca="1" si="3"/>
        <v>0</v>
      </c>
      <c r="AE33" s="308">
        <f t="shared" ca="1" si="31"/>
        <v>-349742.40244289581</v>
      </c>
      <c r="AF33" s="819">
        <f t="shared" ca="1" si="4"/>
        <v>0</v>
      </c>
      <c r="AG33" s="308">
        <v>0</v>
      </c>
      <c r="AH33" s="308">
        <v>0</v>
      </c>
      <c r="AI33" s="308">
        <v>0</v>
      </c>
      <c r="AJ33" s="308">
        <f t="shared" ca="1" si="5"/>
        <v>-349742.40244289581</v>
      </c>
      <c r="AK33" s="309">
        <v>0</v>
      </c>
      <c r="AL33" s="309">
        <v>0</v>
      </c>
      <c r="AM33" s="309">
        <f t="shared" si="21"/>
        <v>0</v>
      </c>
      <c r="AN33" s="310">
        <v>0</v>
      </c>
      <c r="AO33" s="310">
        <v>0</v>
      </c>
      <c r="AP33" s="310">
        <f t="shared" si="22"/>
        <v>0</v>
      </c>
      <c r="AQ33" s="309">
        <v>0</v>
      </c>
      <c r="AR33" s="311">
        <f t="shared" ca="1" si="6"/>
        <v>201457.39367064903</v>
      </c>
      <c r="AS33" s="870">
        <f t="shared" ca="1" si="23"/>
        <v>238053.9261466001</v>
      </c>
      <c r="AT33" s="822"/>
      <c r="AU33" s="878"/>
      <c r="AV33" s="35"/>
      <c r="AW33" s="879"/>
      <c r="AX33" s="35"/>
      <c r="AY33" s="880"/>
      <c r="BK33" s="123">
        <f t="shared" ca="1" si="7"/>
        <v>702486.69536507386</v>
      </c>
      <c r="BL33" s="123">
        <f t="shared" ca="1" si="24"/>
        <v>913232.70397459599</v>
      </c>
      <c r="BM33" s="123">
        <f t="shared" ca="1" si="25"/>
        <v>456616.351987298</v>
      </c>
      <c r="BN33" s="123">
        <f t="shared" ca="1" si="26"/>
        <v>434872.71617837902</v>
      </c>
      <c r="BP33" s="312">
        <f ca="1">BL33*CommodityPricing!F19</f>
        <v>4896393.6342005385</v>
      </c>
      <c r="BQ33" s="312">
        <f ca="1">(BM33*CommodityPricing!F19)+(CommodityPricing!B19*CoalToNG!BN33)</f>
        <v>5246136.0366434343</v>
      </c>
      <c r="BR33" s="312">
        <f t="shared" ca="1" si="27"/>
        <v>349742.40244289581</v>
      </c>
      <c r="BT33" s="123">
        <f t="shared" ca="1" si="8"/>
        <v>85843.874173612028</v>
      </c>
      <c r="BU33" s="123">
        <f t="shared" ca="1" si="9"/>
        <v>65970.191044260107</v>
      </c>
      <c r="BV33" s="123">
        <f t="shared" ca="1" si="28"/>
        <v>19873.683129351921</v>
      </c>
    </row>
    <row r="34" spans="1:74">
      <c r="A34" s="303">
        <v>2025</v>
      </c>
      <c r="B34" s="304">
        <f ca="1">IF($D$3="BAU",UtilityDemand!C27,INDIRECT($D$3&amp;"!B"&amp;ROW(A34))+INDIRECT($D$3&amp;"!D"&amp;ROW(A34)))</f>
        <v>156440.98242924322</v>
      </c>
      <c r="C34" s="305">
        <v>0</v>
      </c>
      <c r="D34" s="306">
        <f t="shared" ca="1" si="10"/>
        <v>0</v>
      </c>
      <c r="E34" s="304">
        <f ca="1">IF($D$3="BAU",UtilityDemand!E27,INDIRECT($D$3&amp;"!E"&amp;ROW(D34))+INDIRECT($D$3&amp;"!G"&amp;ROW(D34)))</f>
        <v>833808.46618363715</v>
      </c>
      <c r="F34" s="305">
        <v>0</v>
      </c>
      <c r="G34" s="306">
        <f t="shared" ca="1" si="11"/>
        <v>0</v>
      </c>
      <c r="H34" s="304">
        <f ca="1">IF($D$3="BAU",UtilityDemand!G27,INDIRECT($D$3&amp;"!H"&amp;ROW(G34))+INDIRECT($D$3&amp;"!J"&amp;ROW(G34)))</f>
        <v>231298.6061736964</v>
      </c>
      <c r="I34" s="305">
        <v>0</v>
      </c>
      <c r="J34" s="306">
        <f t="shared" ca="1" si="29"/>
        <v>0</v>
      </c>
      <c r="K34" s="307">
        <f t="shared" ca="1" si="12"/>
        <v>156440.98242924322</v>
      </c>
      <c r="L34" s="307">
        <f t="shared" si="13"/>
        <v>0</v>
      </c>
      <c r="M34" s="307">
        <v>0</v>
      </c>
      <c r="N34" s="307">
        <f t="shared" ca="1" si="14"/>
        <v>156440.98242924322</v>
      </c>
      <c r="O34" s="306">
        <f t="shared" ca="1" si="15"/>
        <v>833808.46618363715</v>
      </c>
      <c r="P34" s="306">
        <f t="shared" si="16"/>
        <v>0</v>
      </c>
      <c r="Q34" s="306">
        <v>0</v>
      </c>
      <c r="R34" s="306">
        <f t="shared" ca="1" si="17"/>
        <v>833808.46618363715</v>
      </c>
      <c r="S34" s="818">
        <f t="shared" ca="1" si="18"/>
        <v>231298.6061736964</v>
      </c>
      <c r="T34" s="818">
        <f t="shared" si="19"/>
        <v>0</v>
      </c>
      <c r="U34" s="818">
        <v>0</v>
      </c>
      <c r="V34" s="818">
        <f t="shared" ca="1" si="20"/>
        <v>231298.6061736964</v>
      </c>
      <c r="W34" s="306">
        <f t="shared" si="1"/>
        <v>0</v>
      </c>
      <c r="X34" s="306">
        <f t="shared" ca="1" si="30"/>
        <v>-20075.607285094171</v>
      </c>
      <c r="Y34" s="306">
        <v>0</v>
      </c>
      <c r="Z34" s="306">
        <v>0</v>
      </c>
      <c r="AA34" s="308">
        <f ca="1">-SUM(W34,X34/OFFSET(GridFootprintbyYear,$A34-$A$19,0)*EF_PurchElec_MTperMWh,Z34)*OFFSET(ExposureCalculations!Price_GHG_Allowance_2010,A34-$A$19,0)*ExposureCalculations!D31</f>
        <v>605823.09465686511</v>
      </c>
      <c r="AB34" s="308">
        <f t="shared" ca="1" si="2"/>
        <v>0</v>
      </c>
      <c r="AC34" s="308">
        <v>0</v>
      </c>
      <c r="AD34" s="819">
        <f t="shared" ca="1" si="3"/>
        <v>0</v>
      </c>
      <c r="AE34" s="308">
        <f t="shared" ca="1" si="31"/>
        <v>-355062.39744655695</v>
      </c>
      <c r="AF34" s="819">
        <f t="shared" ca="1" si="4"/>
        <v>0</v>
      </c>
      <c r="AG34" s="308">
        <v>0</v>
      </c>
      <c r="AH34" s="308">
        <v>0</v>
      </c>
      <c r="AI34" s="308">
        <v>0</v>
      </c>
      <c r="AJ34" s="308">
        <f t="shared" ca="1" si="5"/>
        <v>-355062.39744655695</v>
      </c>
      <c r="AK34" s="309">
        <v>0</v>
      </c>
      <c r="AL34" s="309">
        <v>0</v>
      </c>
      <c r="AM34" s="309">
        <f t="shared" si="21"/>
        <v>0</v>
      </c>
      <c r="AN34" s="310">
        <v>0</v>
      </c>
      <c r="AO34" s="310">
        <v>0</v>
      </c>
      <c r="AP34" s="310">
        <f t="shared" si="22"/>
        <v>0</v>
      </c>
      <c r="AQ34" s="309">
        <v>0</v>
      </c>
      <c r="AR34" s="311">
        <f t="shared" ca="1" si="6"/>
        <v>250760.69721030816</v>
      </c>
      <c r="AS34" s="870">
        <f t="shared" ca="1" si="23"/>
        <v>488814.62335690827</v>
      </c>
      <c r="AT34" s="822"/>
      <c r="AU34" s="878"/>
      <c r="AV34" s="35"/>
      <c r="AW34" s="879"/>
      <c r="AX34" s="35"/>
      <c r="AY34" s="880"/>
      <c r="BK34" s="123">
        <f t="shared" ca="1" si="7"/>
        <v>709624.22653926571</v>
      </c>
      <c r="BL34" s="123">
        <f t="shared" ca="1" si="24"/>
        <v>922511.49450104544</v>
      </c>
      <c r="BM34" s="123">
        <f t="shared" ca="1" si="25"/>
        <v>461255.74725052272</v>
      </c>
      <c r="BN34" s="123">
        <f t="shared" ca="1" si="26"/>
        <v>439291.18785764067</v>
      </c>
      <c r="BP34" s="312">
        <f ca="1">BL34*CommodityPricing!F20</f>
        <v>4970873.5642517917</v>
      </c>
      <c r="BQ34" s="312">
        <f ca="1">(BM34*CommodityPricing!F20)+(CommodityPricing!B20*CoalToNG!BN34)</f>
        <v>5325935.9616983486</v>
      </c>
      <c r="BR34" s="312">
        <f t="shared" ca="1" si="27"/>
        <v>355062.39744655695</v>
      </c>
      <c r="BT34" s="123">
        <f t="shared" ca="1" si="8"/>
        <v>86716.080483098267</v>
      </c>
      <c r="BU34" s="123">
        <f t="shared" ca="1" si="9"/>
        <v>66640.473198004096</v>
      </c>
      <c r="BV34" s="123">
        <f t="shared" ca="1" si="28"/>
        <v>20075.607285094171</v>
      </c>
    </row>
    <row r="35" spans="1:74">
      <c r="A35" s="303">
        <v>2026</v>
      </c>
      <c r="B35" s="304">
        <f ca="1">IF($D$3="BAU",UtilityDemand!C28,INDIRECT($D$3&amp;"!B"&amp;ROW(A35))+INDIRECT($D$3&amp;"!D"&amp;ROW(A35)))</f>
        <v>158017.60803009526</v>
      </c>
      <c r="C35" s="305">
        <v>0</v>
      </c>
      <c r="D35" s="306">
        <f t="shared" ca="1" si="10"/>
        <v>0</v>
      </c>
      <c r="E35" s="304">
        <f ca="1">IF($D$3="BAU",UtilityDemand!E28,INDIRECT($D$3&amp;"!E"&amp;ROW(D35))+INDIRECT($D$3&amp;"!G"&amp;ROW(D35)))</f>
        <v>842195.06531331246</v>
      </c>
      <c r="F35" s="305">
        <v>0</v>
      </c>
      <c r="G35" s="306">
        <f t="shared" ca="1" si="11"/>
        <v>0</v>
      </c>
      <c r="H35" s="304">
        <f ca="1">IF($D$3="BAU",UtilityDemand!G28,INDIRECT($D$3&amp;"!H"&amp;ROW(G35))+INDIRECT($D$3&amp;"!J"&amp;ROW(G35)))</f>
        <v>234363.14073630009</v>
      </c>
      <c r="I35" s="305">
        <v>0</v>
      </c>
      <c r="J35" s="306">
        <f t="shared" ca="1" si="29"/>
        <v>0</v>
      </c>
      <c r="K35" s="307">
        <f t="shared" ca="1" si="12"/>
        <v>158017.60803009526</v>
      </c>
      <c r="L35" s="307">
        <f t="shared" si="13"/>
        <v>0</v>
      </c>
      <c r="M35" s="307">
        <v>0</v>
      </c>
      <c r="N35" s="307">
        <f t="shared" ca="1" si="14"/>
        <v>158017.60803009526</v>
      </c>
      <c r="O35" s="306">
        <f t="shared" ca="1" si="15"/>
        <v>842195.06531331246</v>
      </c>
      <c r="P35" s="306">
        <f t="shared" si="16"/>
        <v>0</v>
      </c>
      <c r="Q35" s="306">
        <v>0</v>
      </c>
      <c r="R35" s="306">
        <f t="shared" ca="1" si="17"/>
        <v>842195.06531331246</v>
      </c>
      <c r="S35" s="818">
        <f t="shared" ca="1" si="18"/>
        <v>234363.14073630009</v>
      </c>
      <c r="T35" s="818">
        <f t="shared" si="19"/>
        <v>0</v>
      </c>
      <c r="U35" s="818">
        <v>0</v>
      </c>
      <c r="V35" s="818">
        <f t="shared" ca="1" si="20"/>
        <v>234363.14073630009</v>
      </c>
      <c r="W35" s="306">
        <f t="shared" si="1"/>
        <v>0</v>
      </c>
      <c r="X35" s="306">
        <f t="shared" ca="1" si="30"/>
        <v>-20277.531440836436</v>
      </c>
      <c r="Y35" s="306">
        <v>0</v>
      </c>
      <c r="Z35" s="306">
        <v>0</v>
      </c>
      <c r="AA35" s="308">
        <f ca="1">-SUM(W35,X35/OFFSET(GridFootprintbyYear,$A35-$A$19,0)*EF_PurchElec_MTperMWh,Z35)*OFFSET(ExposureCalculations!Price_GHG_Allowance_2010,A35-$A$19,0)*ExposureCalculations!D32</f>
        <v>667890.51868084713</v>
      </c>
      <c r="AB35" s="308">
        <f t="shared" ca="1" si="2"/>
        <v>0</v>
      </c>
      <c r="AC35" s="308">
        <v>0</v>
      </c>
      <c r="AD35" s="819">
        <f t="shared" ca="1" si="3"/>
        <v>0</v>
      </c>
      <c r="AE35" s="308">
        <f t="shared" ca="1" si="31"/>
        <v>-360426.84884019289</v>
      </c>
      <c r="AF35" s="819">
        <f t="shared" ca="1" si="4"/>
        <v>0</v>
      </c>
      <c r="AG35" s="308">
        <v>0</v>
      </c>
      <c r="AH35" s="308">
        <v>0</v>
      </c>
      <c r="AI35" s="308">
        <v>0</v>
      </c>
      <c r="AJ35" s="308">
        <f t="shared" ca="1" si="5"/>
        <v>-360426.84884019289</v>
      </c>
      <c r="AK35" s="309">
        <v>0</v>
      </c>
      <c r="AL35" s="309">
        <v>0</v>
      </c>
      <c r="AM35" s="309">
        <f t="shared" si="21"/>
        <v>0</v>
      </c>
      <c r="AN35" s="310">
        <v>0</v>
      </c>
      <c r="AO35" s="310">
        <v>0</v>
      </c>
      <c r="AP35" s="310">
        <f t="shared" si="22"/>
        <v>0</v>
      </c>
      <c r="AQ35" s="309">
        <v>0</v>
      </c>
      <c r="AR35" s="311">
        <f t="shared" ca="1" si="6"/>
        <v>307463.66984065424</v>
      </c>
      <c r="AS35" s="870">
        <f t="shared" ca="1" si="23"/>
        <v>796278.29319756245</v>
      </c>
      <c r="AT35" s="822"/>
      <c r="AU35" s="878"/>
      <c r="AV35" s="35"/>
      <c r="AW35" s="879"/>
      <c r="AX35" s="35"/>
      <c r="AY35" s="880"/>
      <c r="BK35" s="123">
        <f t="shared" ca="1" si="7"/>
        <v>716761.75771345745</v>
      </c>
      <c r="BL35" s="123">
        <f t="shared" ca="1" si="24"/>
        <v>931790.28502749477</v>
      </c>
      <c r="BM35" s="123">
        <f t="shared" ca="1" si="25"/>
        <v>465895.14251374739</v>
      </c>
      <c r="BN35" s="123">
        <f t="shared" ca="1" si="26"/>
        <v>443709.65953690227</v>
      </c>
      <c r="BP35" s="312">
        <f ca="1">BL35*CommodityPricing!F21</f>
        <v>5045975.8837627033</v>
      </c>
      <c r="BQ35" s="312">
        <f ca="1">(BM35*CommodityPricing!F21)+(CommodityPricing!B21*CoalToNG!BN35)</f>
        <v>5406402.7326028962</v>
      </c>
      <c r="BR35" s="312">
        <f t="shared" ca="1" si="27"/>
        <v>360426.84884019289</v>
      </c>
      <c r="BT35" s="123">
        <f t="shared" ca="1" si="8"/>
        <v>87588.286792584506</v>
      </c>
      <c r="BU35" s="123">
        <f t="shared" ca="1" si="9"/>
        <v>67310.75535174807</v>
      </c>
      <c r="BV35" s="123">
        <f t="shared" ca="1" si="28"/>
        <v>20277.531440836436</v>
      </c>
    </row>
    <row r="36" spans="1:74">
      <c r="A36" s="303">
        <v>2027</v>
      </c>
      <c r="B36" s="304">
        <f ca="1">IF($D$3="BAU",UtilityDemand!C29,INDIRECT($D$3&amp;"!B"&amp;ROW(A36))+INDIRECT($D$3&amp;"!D"&amp;ROW(A36)))</f>
        <v>159594.23363094722</v>
      </c>
      <c r="C36" s="305">
        <v>0</v>
      </c>
      <c r="D36" s="306">
        <f t="shared" ca="1" si="10"/>
        <v>0</v>
      </c>
      <c r="E36" s="304">
        <f ca="1">IF($D$3="BAU",UtilityDemand!E29,INDIRECT($D$3&amp;"!E"&amp;ROW(D36))+INDIRECT($D$3&amp;"!G"&amp;ROW(D36)))</f>
        <v>850581.66444298776</v>
      </c>
      <c r="F36" s="305">
        <v>0</v>
      </c>
      <c r="G36" s="306">
        <f t="shared" ca="1" si="11"/>
        <v>0</v>
      </c>
      <c r="H36" s="304">
        <f ca="1">IF($D$3="BAU",UtilityDemand!G29,INDIRECT($D$3&amp;"!H"&amp;ROW(G36))+INDIRECT($D$3&amp;"!J"&amp;ROW(G36)))</f>
        <v>237427.67529890378</v>
      </c>
      <c r="I36" s="305">
        <v>0</v>
      </c>
      <c r="J36" s="306">
        <f t="shared" ca="1" si="29"/>
        <v>0</v>
      </c>
      <c r="K36" s="307">
        <f t="shared" ca="1" si="12"/>
        <v>159594.23363094722</v>
      </c>
      <c r="L36" s="307">
        <f t="shared" si="13"/>
        <v>0</v>
      </c>
      <c r="M36" s="307">
        <v>0</v>
      </c>
      <c r="N36" s="307">
        <f t="shared" ca="1" si="14"/>
        <v>159594.23363094722</v>
      </c>
      <c r="O36" s="306">
        <f t="shared" ca="1" si="15"/>
        <v>850581.66444298776</v>
      </c>
      <c r="P36" s="306">
        <f t="shared" si="16"/>
        <v>0</v>
      </c>
      <c r="Q36" s="306">
        <v>0</v>
      </c>
      <c r="R36" s="306">
        <f t="shared" ca="1" si="17"/>
        <v>850581.66444298776</v>
      </c>
      <c r="S36" s="818">
        <f t="shared" ca="1" si="18"/>
        <v>237427.67529890378</v>
      </c>
      <c r="T36" s="818">
        <f t="shared" si="19"/>
        <v>0</v>
      </c>
      <c r="U36" s="818">
        <v>0</v>
      </c>
      <c r="V36" s="818">
        <f t="shared" ca="1" si="20"/>
        <v>237427.67529890378</v>
      </c>
      <c r="W36" s="306">
        <f t="shared" si="1"/>
        <v>0</v>
      </c>
      <c r="X36" s="306">
        <f t="shared" ca="1" si="30"/>
        <v>-20479.455596578686</v>
      </c>
      <c r="Y36" s="306">
        <v>0</v>
      </c>
      <c r="Z36" s="306">
        <v>0</v>
      </c>
      <c r="AA36" s="308">
        <f ca="1">-SUM(W36,X36/OFFSET(GridFootprintbyYear,$A36-$A$19,0)*EF_PurchElec_MTperMWh,Z36)*OFFSET(ExposureCalculations!Price_GHG_Allowance_2010,A36-$A$19,0)*ExposureCalculations!D33</f>
        <v>732827.81402666413</v>
      </c>
      <c r="AB36" s="308">
        <f t="shared" ca="1" si="2"/>
        <v>0</v>
      </c>
      <c r="AC36" s="308">
        <v>0</v>
      </c>
      <c r="AD36" s="819">
        <f t="shared" ca="1" si="3"/>
        <v>0</v>
      </c>
      <c r="AE36" s="308">
        <f t="shared" ca="1" si="31"/>
        <v>-365836.06818782911</v>
      </c>
      <c r="AF36" s="819">
        <f t="shared" ca="1" si="4"/>
        <v>0</v>
      </c>
      <c r="AG36" s="308">
        <v>0</v>
      </c>
      <c r="AH36" s="308">
        <v>0</v>
      </c>
      <c r="AI36" s="308">
        <v>0</v>
      </c>
      <c r="AJ36" s="308">
        <f t="shared" ca="1" si="5"/>
        <v>-365836.06818782911</v>
      </c>
      <c r="AK36" s="309">
        <v>0</v>
      </c>
      <c r="AL36" s="309">
        <v>0</v>
      </c>
      <c r="AM36" s="309">
        <f t="shared" si="21"/>
        <v>0</v>
      </c>
      <c r="AN36" s="310">
        <v>0</v>
      </c>
      <c r="AO36" s="310">
        <v>0</v>
      </c>
      <c r="AP36" s="310">
        <f t="shared" si="22"/>
        <v>0</v>
      </c>
      <c r="AQ36" s="309">
        <v>0</v>
      </c>
      <c r="AR36" s="311">
        <f t="shared" ca="1" si="6"/>
        <v>366991.74583883502</v>
      </c>
      <c r="AS36" s="870">
        <f t="shared" ca="1" si="23"/>
        <v>1163270.0390363974</v>
      </c>
      <c r="AT36" s="822"/>
      <c r="AU36" s="878"/>
      <c r="AV36" s="35"/>
      <c r="AW36" s="879"/>
      <c r="AX36" s="35"/>
      <c r="AY36" s="880"/>
      <c r="BK36" s="123">
        <f t="shared" ca="1" si="7"/>
        <v>723899.28888764919</v>
      </c>
      <c r="BL36" s="123">
        <f t="shared" ca="1" si="24"/>
        <v>941069.07555394399</v>
      </c>
      <c r="BM36" s="123">
        <f t="shared" ca="1" si="25"/>
        <v>470534.53777697199</v>
      </c>
      <c r="BN36" s="123">
        <f t="shared" ca="1" si="26"/>
        <v>448128.13121616381</v>
      </c>
      <c r="BP36" s="312">
        <f ca="1">BL36*CommodityPricing!F22</f>
        <v>5121704.9546296168</v>
      </c>
      <c r="BQ36" s="312">
        <f ca="1">(BM36*CommodityPricing!F22)+(CommodityPricing!B22*CoalToNG!BN36)</f>
        <v>5487541.0228174459</v>
      </c>
      <c r="BR36" s="312">
        <f t="shared" ca="1" si="27"/>
        <v>365836.06818782911</v>
      </c>
      <c r="BT36" s="123">
        <f t="shared" ca="1" si="8"/>
        <v>88460.49310207073</v>
      </c>
      <c r="BU36" s="123">
        <f t="shared" ca="1" si="9"/>
        <v>67981.037505492044</v>
      </c>
      <c r="BV36" s="123">
        <f t="shared" ca="1" si="28"/>
        <v>20479.455596578686</v>
      </c>
    </row>
    <row r="37" spans="1:74">
      <c r="A37" s="303">
        <v>2028</v>
      </c>
      <c r="B37" s="304">
        <f ca="1">IF($D$3="BAU",UtilityDemand!C30,INDIRECT($D$3&amp;"!B"&amp;ROW(A37))+INDIRECT($D$3&amp;"!D"&amp;ROW(A37)))</f>
        <v>161170.85923179929</v>
      </c>
      <c r="C37" s="305">
        <v>0</v>
      </c>
      <c r="D37" s="306">
        <f t="shared" ca="1" si="10"/>
        <v>0</v>
      </c>
      <c r="E37" s="304">
        <f ca="1">IF($D$3="BAU",UtilityDemand!E30,INDIRECT($D$3&amp;"!E"&amp;ROW(D37))+INDIRECT($D$3&amp;"!G"&amp;ROW(D37)))</f>
        <v>858968.26357266307</v>
      </c>
      <c r="F37" s="305">
        <v>0</v>
      </c>
      <c r="G37" s="306">
        <f t="shared" ca="1" si="11"/>
        <v>0</v>
      </c>
      <c r="H37" s="304">
        <f ca="1">IF($D$3="BAU",UtilityDemand!G30,INDIRECT($D$3&amp;"!H"&amp;ROW(G37))+INDIRECT($D$3&amp;"!J"&amp;ROW(G37)))</f>
        <v>240492.20986150744</v>
      </c>
      <c r="I37" s="305">
        <v>0</v>
      </c>
      <c r="J37" s="306">
        <f t="shared" ca="1" si="29"/>
        <v>0</v>
      </c>
      <c r="K37" s="307">
        <f t="shared" ca="1" si="12"/>
        <v>161170.85923179929</v>
      </c>
      <c r="L37" s="307">
        <f t="shared" si="13"/>
        <v>0</v>
      </c>
      <c r="M37" s="307">
        <v>0</v>
      </c>
      <c r="N37" s="307">
        <f t="shared" ca="1" si="14"/>
        <v>161170.85923179929</v>
      </c>
      <c r="O37" s="306">
        <f t="shared" ca="1" si="15"/>
        <v>858968.26357266307</v>
      </c>
      <c r="P37" s="306">
        <f t="shared" si="16"/>
        <v>0</v>
      </c>
      <c r="Q37" s="306">
        <v>0</v>
      </c>
      <c r="R37" s="306">
        <f t="shared" ca="1" si="17"/>
        <v>858968.26357266307</v>
      </c>
      <c r="S37" s="818">
        <f t="shared" ca="1" si="18"/>
        <v>240492.20986150744</v>
      </c>
      <c r="T37" s="818">
        <f t="shared" si="19"/>
        <v>0</v>
      </c>
      <c r="U37" s="818">
        <v>0</v>
      </c>
      <c r="V37" s="818">
        <f t="shared" ca="1" si="20"/>
        <v>240492.20986150744</v>
      </c>
      <c r="W37" s="306">
        <f t="shared" si="1"/>
        <v>0</v>
      </c>
      <c r="X37" s="306">
        <f t="shared" ca="1" si="30"/>
        <v>-20681.379752320936</v>
      </c>
      <c r="Y37" s="306">
        <v>0</v>
      </c>
      <c r="Z37" s="306">
        <v>0</v>
      </c>
      <c r="AA37" s="308">
        <f ca="1">-SUM(W37,X37/OFFSET(GridFootprintbyYear,$A37-$A$19,0)*EF_PurchElec_MTperMWh,Z37)*OFFSET(ExposureCalculations!Price_GHG_Allowance_2010,A37-$A$19,0)*ExposureCalculations!D34</f>
        <v>800600.84629446454</v>
      </c>
      <c r="AB37" s="308">
        <f t="shared" ca="1" si="2"/>
        <v>0</v>
      </c>
      <c r="AC37" s="308">
        <v>0</v>
      </c>
      <c r="AD37" s="819">
        <f t="shared" ca="1" si="3"/>
        <v>0</v>
      </c>
      <c r="AE37" s="308">
        <f t="shared" ca="1" si="31"/>
        <v>-371290.36905772146</v>
      </c>
      <c r="AF37" s="819">
        <f t="shared" ca="1" si="4"/>
        <v>0</v>
      </c>
      <c r="AG37" s="308">
        <v>0</v>
      </c>
      <c r="AH37" s="308">
        <v>0</v>
      </c>
      <c r="AI37" s="308">
        <v>0</v>
      </c>
      <c r="AJ37" s="308">
        <f t="shared" ca="1" si="5"/>
        <v>-371290.36905772146</v>
      </c>
      <c r="AK37" s="309">
        <v>0</v>
      </c>
      <c r="AL37" s="309">
        <v>0</v>
      </c>
      <c r="AM37" s="309">
        <f t="shared" si="21"/>
        <v>0</v>
      </c>
      <c r="AN37" s="310">
        <v>0</v>
      </c>
      <c r="AO37" s="310">
        <v>0</v>
      </c>
      <c r="AP37" s="310">
        <f t="shared" si="22"/>
        <v>0</v>
      </c>
      <c r="AQ37" s="309">
        <v>0</v>
      </c>
      <c r="AR37" s="311">
        <f t="shared" ca="1" si="6"/>
        <v>429310.47723674309</v>
      </c>
      <c r="AS37" s="870">
        <f t="shared" ca="1" si="23"/>
        <v>1592580.5162731404</v>
      </c>
      <c r="AT37" s="822"/>
      <c r="AU37" s="878"/>
      <c r="AV37" s="35"/>
      <c r="AW37" s="879"/>
      <c r="AX37" s="35"/>
      <c r="AY37" s="880"/>
      <c r="BK37" s="123">
        <f t="shared" ca="1" si="7"/>
        <v>731036.82006184093</v>
      </c>
      <c r="BL37" s="123">
        <f t="shared" ca="1" si="24"/>
        <v>950347.8660803932</v>
      </c>
      <c r="BM37" s="123">
        <f t="shared" ca="1" si="25"/>
        <v>475173.9330401966</v>
      </c>
      <c r="BN37" s="123">
        <f t="shared" ca="1" si="26"/>
        <v>452546.60289542534</v>
      </c>
      <c r="BP37" s="312">
        <f ca="1">BL37*CommodityPricing!F23</f>
        <v>5198065.1668081041</v>
      </c>
      <c r="BQ37" s="312">
        <f ca="1">(BM37*CommodityPricing!F23)+(CommodityPricing!B23*CoalToNG!BN37)</f>
        <v>5569355.5358658256</v>
      </c>
      <c r="BR37" s="312">
        <f t="shared" ca="1" si="27"/>
        <v>371290.36905772146</v>
      </c>
      <c r="BT37" s="123">
        <f t="shared" ca="1" si="8"/>
        <v>89332.699411556954</v>
      </c>
      <c r="BU37" s="123">
        <f t="shared" ca="1" si="9"/>
        <v>68651.319659236018</v>
      </c>
      <c r="BV37" s="123">
        <f t="shared" ca="1" si="28"/>
        <v>20681.379752320936</v>
      </c>
    </row>
    <row r="38" spans="1:74">
      <c r="A38" s="303">
        <v>2029</v>
      </c>
      <c r="B38" s="304">
        <f ca="1">IF($D$3="BAU",UtilityDemand!C31,INDIRECT($D$3&amp;"!B"&amp;ROW(A38))+INDIRECT($D$3&amp;"!D"&amp;ROW(A38)))</f>
        <v>162747.48483265133</v>
      </c>
      <c r="C38" s="305">
        <v>0</v>
      </c>
      <c r="D38" s="306">
        <f t="shared" ca="1" si="10"/>
        <v>0</v>
      </c>
      <c r="E38" s="304">
        <f ca="1">IF($D$3="BAU",UtilityDemand!E31,INDIRECT($D$3&amp;"!E"&amp;ROW(D38))+INDIRECT($D$3&amp;"!G"&amp;ROW(D38)))</f>
        <v>867354.86270233872</v>
      </c>
      <c r="F38" s="305">
        <v>0</v>
      </c>
      <c r="G38" s="306">
        <f t="shared" ca="1" si="11"/>
        <v>0</v>
      </c>
      <c r="H38" s="304">
        <f ca="1">IF($D$3="BAU",UtilityDemand!G31,INDIRECT($D$3&amp;"!H"&amp;ROW(G38))+INDIRECT($D$3&amp;"!J"&amp;ROW(G38)))</f>
        <v>243556.74442411118</v>
      </c>
      <c r="I38" s="305">
        <v>0</v>
      </c>
      <c r="J38" s="306">
        <f t="shared" ca="1" si="29"/>
        <v>0</v>
      </c>
      <c r="K38" s="307">
        <f t="shared" ca="1" si="12"/>
        <v>162747.48483265133</v>
      </c>
      <c r="L38" s="307">
        <f t="shared" si="13"/>
        <v>0</v>
      </c>
      <c r="M38" s="307">
        <v>0</v>
      </c>
      <c r="N38" s="307">
        <f t="shared" ca="1" si="14"/>
        <v>162747.48483265133</v>
      </c>
      <c r="O38" s="306">
        <f t="shared" ca="1" si="15"/>
        <v>867354.86270233872</v>
      </c>
      <c r="P38" s="306">
        <f t="shared" si="16"/>
        <v>0</v>
      </c>
      <c r="Q38" s="306">
        <v>0</v>
      </c>
      <c r="R38" s="306">
        <f t="shared" ca="1" si="17"/>
        <v>867354.86270233872</v>
      </c>
      <c r="S38" s="818">
        <f t="shared" ca="1" si="18"/>
        <v>243556.74442411118</v>
      </c>
      <c r="T38" s="818">
        <f t="shared" si="19"/>
        <v>0</v>
      </c>
      <c r="U38" s="818">
        <v>0</v>
      </c>
      <c r="V38" s="818">
        <f t="shared" ca="1" si="20"/>
        <v>243556.74442411118</v>
      </c>
      <c r="W38" s="306">
        <f t="shared" si="1"/>
        <v>0</v>
      </c>
      <c r="X38" s="306">
        <f t="shared" ca="1" si="30"/>
        <v>-20883.303908063201</v>
      </c>
      <c r="Y38" s="306">
        <v>0</v>
      </c>
      <c r="Z38" s="306">
        <v>0</v>
      </c>
      <c r="AA38" s="308">
        <f ca="1">-SUM(W38,X38/OFFSET(GridFootprintbyYear,$A38-$A$19,0)*EF_PurchElec_MTperMWh,Z38)*OFFSET(ExposureCalculations!Price_GHG_Allowance_2010,A38-$A$19,0)*ExposureCalculations!D35</f>
        <v>871172.58657079085</v>
      </c>
      <c r="AB38" s="308">
        <f t="shared" ca="1" si="2"/>
        <v>0</v>
      </c>
      <c r="AC38" s="308">
        <v>0</v>
      </c>
      <c r="AD38" s="819">
        <f t="shared" ca="1" si="3"/>
        <v>0</v>
      </c>
      <c r="AE38" s="308">
        <f t="shared" ca="1" si="31"/>
        <v>-376790.06703460775</v>
      </c>
      <c r="AF38" s="819">
        <f t="shared" ca="1" si="4"/>
        <v>0</v>
      </c>
      <c r="AG38" s="308">
        <v>0</v>
      </c>
      <c r="AH38" s="308">
        <v>0</v>
      </c>
      <c r="AI38" s="308">
        <v>0</v>
      </c>
      <c r="AJ38" s="308">
        <f t="shared" ca="1" si="5"/>
        <v>-376790.06703460775</v>
      </c>
      <c r="AK38" s="309">
        <v>0</v>
      </c>
      <c r="AL38" s="309">
        <v>0</v>
      </c>
      <c r="AM38" s="309">
        <f t="shared" si="21"/>
        <v>0</v>
      </c>
      <c r="AN38" s="310">
        <v>0</v>
      </c>
      <c r="AO38" s="310">
        <v>0</v>
      </c>
      <c r="AP38" s="310">
        <f t="shared" si="22"/>
        <v>0</v>
      </c>
      <c r="AQ38" s="309">
        <v>0</v>
      </c>
      <c r="AR38" s="311">
        <f t="shared" ca="1" si="6"/>
        <v>494382.5195361831</v>
      </c>
      <c r="AS38" s="870">
        <f t="shared" ca="1" si="23"/>
        <v>2086963.0358093237</v>
      </c>
      <c r="AT38" s="822"/>
      <c r="AU38" s="878"/>
      <c r="AV38" s="35"/>
      <c r="AW38" s="879"/>
      <c r="AX38" s="35"/>
      <c r="AY38" s="880"/>
      <c r="BK38" s="123">
        <f t="shared" ca="1" si="7"/>
        <v>738174.35123603302</v>
      </c>
      <c r="BL38" s="123">
        <f t="shared" ca="1" si="24"/>
        <v>959626.656606843</v>
      </c>
      <c r="BM38" s="123">
        <f t="shared" ca="1" si="25"/>
        <v>479813.3283034215</v>
      </c>
      <c r="BN38" s="123">
        <f t="shared" ca="1" si="26"/>
        <v>456965.07457468711</v>
      </c>
      <c r="BP38" s="312">
        <f ca="1">BL38*CommodityPricing!F24</f>
        <v>5275060.9384845141</v>
      </c>
      <c r="BQ38" s="312">
        <f ca="1">(BM38*CommodityPricing!F24)+(CommodityPricing!B24*CoalToNG!BN38)</f>
        <v>5651851.0055191219</v>
      </c>
      <c r="BR38" s="312">
        <f t="shared" ca="1" si="27"/>
        <v>376790.06703460775</v>
      </c>
      <c r="BT38" s="123">
        <f t="shared" ca="1" si="8"/>
        <v>90204.905721043237</v>
      </c>
      <c r="BU38" s="123">
        <f t="shared" ca="1" si="9"/>
        <v>69321.601812980036</v>
      </c>
      <c r="BV38" s="123">
        <f t="shared" ca="1" si="28"/>
        <v>20883.303908063201</v>
      </c>
    </row>
    <row r="39" spans="1:74">
      <c r="A39" s="303">
        <v>2030</v>
      </c>
      <c r="B39" s="304">
        <f ca="1">IF($D$3="BAU",UtilityDemand!C32,INDIRECT($D$3&amp;"!B"&amp;ROW(A39))+INDIRECT($D$3&amp;"!D"&amp;ROW(A39)))</f>
        <v>164324.11043350337</v>
      </c>
      <c r="C39" s="305">
        <v>0</v>
      </c>
      <c r="D39" s="306">
        <f t="shared" ca="1" si="10"/>
        <v>0</v>
      </c>
      <c r="E39" s="304">
        <f ca="1">IF($D$3="BAU",UtilityDemand!E32,INDIRECT($D$3&amp;"!E"&amp;ROW(D39))+INDIRECT($D$3&amp;"!G"&amp;ROW(D39)))</f>
        <v>875741.46183201415</v>
      </c>
      <c r="F39" s="305">
        <v>0</v>
      </c>
      <c r="G39" s="306">
        <f t="shared" ca="1" si="11"/>
        <v>0</v>
      </c>
      <c r="H39" s="304">
        <f ca="1">IF($D$3="BAU",UtilityDemand!G32,INDIRECT($D$3&amp;"!H"&amp;ROW(G39))+INDIRECT($D$3&amp;"!J"&amp;ROW(G39)))</f>
        <v>246621.27898671487</v>
      </c>
      <c r="I39" s="305">
        <v>0</v>
      </c>
      <c r="J39" s="306">
        <f t="shared" ca="1" si="29"/>
        <v>0</v>
      </c>
      <c r="K39" s="307">
        <f t="shared" ca="1" si="12"/>
        <v>164324.11043350337</v>
      </c>
      <c r="L39" s="307">
        <f t="shared" si="13"/>
        <v>0</v>
      </c>
      <c r="M39" s="307">
        <v>0</v>
      </c>
      <c r="N39" s="307">
        <f t="shared" ca="1" si="14"/>
        <v>164324.11043350337</v>
      </c>
      <c r="O39" s="306">
        <f t="shared" ca="1" si="15"/>
        <v>875741.46183201415</v>
      </c>
      <c r="P39" s="306">
        <f t="shared" si="16"/>
        <v>0</v>
      </c>
      <c r="Q39" s="306">
        <v>0</v>
      </c>
      <c r="R39" s="306">
        <f t="shared" ca="1" si="17"/>
        <v>875741.46183201415</v>
      </c>
      <c r="S39" s="818">
        <f t="shared" ca="1" si="18"/>
        <v>246621.27898671487</v>
      </c>
      <c r="T39" s="818">
        <f t="shared" si="19"/>
        <v>0</v>
      </c>
      <c r="U39" s="818">
        <v>0</v>
      </c>
      <c r="V39" s="818">
        <f t="shared" ca="1" si="20"/>
        <v>246621.27898671487</v>
      </c>
      <c r="W39" s="306">
        <f t="shared" si="1"/>
        <v>0</v>
      </c>
      <c r="X39" s="306">
        <f t="shared" ca="1" si="30"/>
        <v>-21085.228063805465</v>
      </c>
      <c r="Y39" s="306">
        <v>0</v>
      </c>
      <c r="Z39" s="306">
        <v>0</v>
      </c>
      <c r="AA39" s="308">
        <f ca="1">-SUM(W39,X39/OFFSET(GridFootprintbyYear,$A39-$A$19,0)*EF_PurchElec_MTperMWh,Z39)*OFFSET(ExposureCalculations!Price_GHG_Allowance_2010,A39-$A$19,0)*ExposureCalculations!D36</f>
        <v>944503.12504884624</v>
      </c>
      <c r="AB39" s="308">
        <f t="shared" ca="1" si="2"/>
        <v>0</v>
      </c>
      <c r="AC39" s="308">
        <v>0</v>
      </c>
      <c r="AD39" s="819">
        <f t="shared" ca="1" si="3"/>
        <v>0</v>
      </c>
      <c r="AE39" s="308">
        <f t="shared" ca="1" si="31"/>
        <v>-382335.47973203566</v>
      </c>
      <c r="AF39" s="819">
        <f t="shared" ca="1" si="4"/>
        <v>0</v>
      </c>
      <c r="AG39" s="308">
        <v>0</v>
      </c>
      <c r="AH39" s="308">
        <v>0</v>
      </c>
      <c r="AI39" s="308">
        <v>0</v>
      </c>
      <c r="AJ39" s="308">
        <f t="shared" ca="1" si="5"/>
        <v>-382335.47973203566</v>
      </c>
      <c r="AK39" s="309">
        <v>0</v>
      </c>
      <c r="AL39" s="309">
        <v>0</v>
      </c>
      <c r="AM39" s="309">
        <f t="shared" si="21"/>
        <v>0</v>
      </c>
      <c r="AN39" s="310">
        <v>0</v>
      </c>
      <c r="AO39" s="310">
        <v>0</v>
      </c>
      <c r="AP39" s="310">
        <f t="shared" si="22"/>
        <v>0</v>
      </c>
      <c r="AQ39" s="309">
        <v>0</v>
      </c>
      <c r="AR39" s="311">
        <f t="shared" ca="1" si="6"/>
        <v>562167.64531681058</v>
      </c>
      <c r="AS39" s="870">
        <f t="shared" ca="1" si="23"/>
        <v>2649130.6811261345</v>
      </c>
      <c r="AT39" s="822"/>
      <c r="AU39" s="878"/>
      <c r="AV39" s="35"/>
      <c r="AW39" s="879"/>
      <c r="AX39" s="35"/>
      <c r="AY39" s="880"/>
      <c r="BK39" s="123">
        <f t="shared" ca="1" si="7"/>
        <v>745311.88241022488</v>
      </c>
      <c r="BL39" s="123">
        <f t="shared" ca="1" si="24"/>
        <v>968905.44713329233</v>
      </c>
      <c r="BM39" s="123">
        <f t="shared" ca="1" si="25"/>
        <v>484452.72356664616</v>
      </c>
      <c r="BN39" s="123">
        <f t="shared" ca="1" si="26"/>
        <v>461383.54625394871</v>
      </c>
      <c r="BP39" s="312">
        <f ca="1">BL39*CommodityPricing!F25</f>
        <v>5352696.7162485169</v>
      </c>
      <c r="BQ39" s="312">
        <f ca="1">(BM39*CommodityPricing!F25)+(CommodityPricing!B25*CoalToNG!BN39)</f>
        <v>5735032.1959805526</v>
      </c>
      <c r="BR39" s="312">
        <f t="shared" ca="1" si="27"/>
        <v>382335.47973203566</v>
      </c>
      <c r="BT39" s="123">
        <f t="shared" ca="1" si="8"/>
        <v>91077.112030529475</v>
      </c>
      <c r="BU39" s="123">
        <f t="shared" ca="1" si="9"/>
        <v>69991.88396672401</v>
      </c>
      <c r="BV39" s="123">
        <f t="shared" ca="1" si="28"/>
        <v>21085.228063805465</v>
      </c>
    </row>
    <row r="40" spans="1:74">
      <c r="A40" s="303">
        <v>2031</v>
      </c>
      <c r="B40" s="304">
        <f ca="1">IF($D$3="BAU",UtilityDemand!C33,INDIRECT($D$3&amp;"!B"&amp;ROW(A40))+INDIRECT($D$3&amp;"!D"&amp;ROW(A40)))</f>
        <v>165900.73603435536</v>
      </c>
      <c r="C40" s="305">
        <v>0</v>
      </c>
      <c r="D40" s="306">
        <f t="shared" ca="1" si="10"/>
        <v>0</v>
      </c>
      <c r="E40" s="304">
        <f ca="1">IF($D$3="BAU",UtilityDemand!E33,INDIRECT($D$3&amp;"!E"&amp;ROW(D40))+INDIRECT($D$3&amp;"!G"&amp;ROW(D40)))</f>
        <v>884128.06096168945</v>
      </c>
      <c r="F40" s="305">
        <v>0</v>
      </c>
      <c r="G40" s="306">
        <f t="shared" ca="1" si="11"/>
        <v>0</v>
      </c>
      <c r="H40" s="304">
        <f ca="1">IF($D$3="BAU",UtilityDemand!G33,INDIRECT($D$3&amp;"!H"&amp;ROW(G40))+INDIRECT($D$3&amp;"!J"&amp;ROW(G40)))</f>
        <v>249685.81354931853</v>
      </c>
      <c r="I40" s="305">
        <v>0</v>
      </c>
      <c r="J40" s="306">
        <f t="shared" ca="1" si="29"/>
        <v>0</v>
      </c>
      <c r="K40" s="307">
        <f t="shared" ca="1" si="12"/>
        <v>165900.73603435536</v>
      </c>
      <c r="L40" s="307">
        <f t="shared" si="13"/>
        <v>0</v>
      </c>
      <c r="M40" s="307">
        <v>0</v>
      </c>
      <c r="N40" s="307">
        <f t="shared" ca="1" si="14"/>
        <v>165900.73603435536</v>
      </c>
      <c r="O40" s="306">
        <f t="shared" ca="1" si="15"/>
        <v>884128.06096168945</v>
      </c>
      <c r="P40" s="306">
        <f t="shared" si="16"/>
        <v>0</v>
      </c>
      <c r="Q40" s="306">
        <v>0</v>
      </c>
      <c r="R40" s="306">
        <f t="shared" ca="1" si="17"/>
        <v>884128.06096168945</v>
      </c>
      <c r="S40" s="818">
        <f t="shared" ca="1" si="18"/>
        <v>249685.81354931853</v>
      </c>
      <c r="T40" s="818">
        <f t="shared" si="19"/>
        <v>0</v>
      </c>
      <c r="U40" s="818">
        <v>0</v>
      </c>
      <c r="V40" s="818">
        <f t="shared" ca="1" si="20"/>
        <v>249685.81354931853</v>
      </c>
      <c r="W40" s="306">
        <f t="shared" si="1"/>
        <v>0</v>
      </c>
      <c r="X40" s="306">
        <f t="shared" ca="1" si="30"/>
        <v>-21287.152219547716</v>
      </c>
      <c r="Y40" s="306">
        <v>0</v>
      </c>
      <c r="Z40" s="306">
        <v>0</v>
      </c>
      <c r="AA40" s="308">
        <f ca="1">-SUM(W40,X40/OFFSET(GridFootprintbyYear,$A40-$A$19,0)*EF_PurchElec_MTperMWh,Z40)*OFFSET(ExposureCalculations!Price_GHG_Allowance_2010,A40-$A$19,0)*ExposureCalculations!D37</f>
        <v>1028584.7852230258</v>
      </c>
      <c r="AB40" s="308">
        <f t="shared" ca="1" si="2"/>
        <v>0</v>
      </c>
      <c r="AC40" s="308">
        <v>0</v>
      </c>
      <c r="AD40" s="819">
        <f t="shared" ca="1" si="3"/>
        <v>0</v>
      </c>
      <c r="AE40" s="308">
        <f t="shared" ca="1" si="31"/>
        <v>-387926.9268047642</v>
      </c>
      <c r="AF40" s="819">
        <f t="shared" ca="1" si="4"/>
        <v>0</v>
      </c>
      <c r="AG40" s="308">
        <v>0</v>
      </c>
      <c r="AH40" s="308">
        <v>0</v>
      </c>
      <c r="AI40" s="308">
        <v>0</v>
      </c>
      <c r="AJ40" s="308">
        <f t="shared" ca="1" si="5"/>
        <v>-387926.9268047642</v>
      </c>
      <c r="AK40" s="309">
        <v>0</v>
      </c>
      <c r="AL40" s="309">
        <v>0</v>
      </c>
      <c r="AM40" s="309">
        <f t="shared" si="21"/>
        <v>0</v>
      </c>
      <c r="AN40" s="310">
        <v>0</v>
      </c>
      <c r="AO40" s="310">
        <v>0</v>
      </c>
      <c r="AP40" s="310">
        <f t="shared" si="22"/>
        <v>0</v>
      </c>
      <c r="AQ40" s="309">
        <v>0</v>
      </c>
      <c r="AR40" s="311">
        <f t="shared" ca="1" si="6"/>
        <v>640657.85841826163</v>
      </c>
      <c r="AS40" s="870">
        <f t="shared" ca="1" si="23"/>
        <v>3289788.5395443961</v>
      </c>
      <c r="AT40" s="822"/>
      <c r="AU40" s="878"/>
      <c r="AV40" s="35"/>
      <c r="AW40" s="879"/>
      <c r="AX40" s="35"/>
      <c r="AY40" s="880"/>
      <c r="BK40" s="123">
        <f t="shared" ca="1" si="7"/>
        <v>752449.41358441662</v>
      </c>
      <c r="BL40" s="123">
        <f t="shared" ca="1" si="24"/>
        <v>978184.23765974166</v>
      </c>
      <c r="BM40" s="123">
        <f t="shared" ca="1" si="25"/>
        <v>489092.11882987083</v>
      </c>
      <c r="BN40" s="123">
        <f t="shared" ca="1" si="26"/>
        <v>465802.0179332103</v>
      </c>
      <c r="BP40" s="312">
        <f ca="1">BL40*CommodityPricing!F26</f>
        <v>5430976.975266695</v>
      </c>
      <c r="BQ40" s="312">
        <f ca="1">(BM40*CommodityPricing!F26)+(CommodityPricing!B26*CoalToNG!BN40)</f>
        <v>5818903.9020714592</v>
      </c>
      <c r="BR40" s="312">
        <f t="shared" ca="1" si="27"/>
        <v>387926.9268047642</v>
      </c>
      <c r="BT40" s="123">
        <f t="shared" ca="1" si="8"/>
        <v>91949.318340015714</v>
      </c>
      <c r="BU40" s="123">
        <f t="shared" ca="1" si="9"/>
        <v>70662.166120467999</v>
      </c>
      <c r="BV40" s="123">
        <f t="shared" ca="1" si="28"/>
        <v>21287.152219547716</v>
      </c>
    </row>
    <row r="41" spans="1:74">
      <c r="A41" s="303">
        <v>2032</v>
      </c>
      <c r="B41" s="304">
        <f ca="1">IF($D$3="BAU",UtilityDemand!C34,INDIRECT($D$3&amp;"!B"&amp;ROW(A41))+INDIRECT($D$3&amp;"!D"&amp;ROW(A41)))</f>
        <v>167477.3616352074</v>
      </c>
      <c r="C41" s="305">
        <v>0</v>
      </c>
      <c r="D41" s="306">
        <f t="shared" ca="1" si="10"/>
        <v>0</v>
      </c>
      <c r="E41" s="304">
        <f ca="1">IF($D$3="BAU",UtilityDemand!E34,INDIRECT($D$3&amp;"!E"&amp;ROW(D41))+INDIRECT($D$3&amp;"!G"&amp;ROW(D41)))</f>
        <v>892514.66009136476</v>
      </c>
      <c r="F41" s="305">
        <v>0</v>
      </c>
      <c r="G41" s="306">
        <f t="shared" ca="1" si="11"/>
        <v>0</v>
      </c>
      <c r="H41" s="304">
        <f ca="1">IF($D$3="BAU",UtilityDemand!G34,INDIRECT($D$3&amp;"!H"&amp;ROW(G41))+INDIRECT($D$3&amp;"!J"&amp;ROW(G41)))</f>
        <v>252750.34811192221</v>
      </c>
      <c r="I41" s="305">
        <v>0</v>
      </c>
      <c r="J41" s="306">
        <f t="shared" ca="1" si="29"/>
        <v>0</v>
      </c>
      <c r="K41" s="307">
        <f t="shared" ca="1" si="12"/>
        <v>167477.3616352074</v>
      </c>
      <c r="L41" s="307">
        <f t="shared" si="13"/>
        <v>0</v>
      </c>
      <c r="M41" s="307">
        <v>0</v>
      </c>
      <c r="N41" s="307">
        <f t="shared" ca="1" si="14"/>
        <v>167477.3616352074</v>
      </c>
      <c r="O41" s="306">
        <f t="shared" ca="1" si="15"/>
        <v>892514.66009136476</v>
      </c>
      <c r="P41" s="306">
        <f t="shared" si="16"/>
        <v>0</v>
      </c>
      <c r="Q41" s="306">
        <v>0</v>
      </c>
      <c r="R41" s="306">
        <f t="shared" ca="1" si="17"/>
        <v>892514.66009136476</v>
      </c>
      <c r="S41" s="818">
        <f t="shared" ca="1" si="18"/>
        <v>252750.34811192221</v>
      </c>
      <c r="T41" s="818">
        <f t="shared" si="19"/>
        <v>0</v>
      </c>
      <c r="U41" s="818">
        <v>0</v>
      </c>
      <c r="V41" s="818">
        <f t="shared" ca="1" si="20"/>
        <v>252750.34811192221</v>
      </c>
      <c r="W41" s="306">
        <f t="shared" si="1"/>
        <v>0</v>
      </c>
      <c r="X41" s="306">
        <f t="shared" ca="1" si="30"/>
        <v>-21489.076375289966</v>
      </c>
      <c r="Y41" s="306">
        <v>0</v>
      </c>
      <c r="Z41" s="306">
        <v>0</v>
      </c>
      <c r="AA41" s="308">
        <f ca="1">-SUM(W41,X41/OFFSET(GridFootprintbyYear,$A41-$A$19,0)*EF_PurchElec_MTperMWh,Z41)*OFFSET(ExposureCalculations!Price_GHG_Allowance_2010,A41-$A$19,0)*ExposureCalculations!D38</f>
        <v>1115944.2607201994</v>
      </c>
      <c r="AB41" s="308">
        <f t="shared" ca="1" si="2"/>
        <v>0</v>
      </c>
      <c r="AC41" s="308">
        <v>0</v>
      </c>
      <c r="AD41" s="819">
        <f t="shared" ca="1" si="3"/>
        <v>0</v>
      </c>
      <c r="AE41" s="308">
        <f t="shared" ca="1" si="31"/>
        <v>-393564.72996122483</v>
      </c>
      <c r="AF41" s="819">
        <f t="shared" ca="1" si="4"/>
        <v>0</v>
      </c>
      <c r="AG41" s="308">
        <v>0</v>
      </c>
      <c r="AH41" s="308">
        <v>0</v>
      </c>
      <c r="AI41" s="308">
        <v>0</v>
      </c>
      <c r="AJ41" s="308">
        <f t="shared" ca="1" si="5"/>
        <v>-393564.72996122483</v>
      </c>
      <c r="AK41" s="309">
        <v>0</v>
      </c>
      <c r="AL41" s="309">
        <v>0</v>
      </c>
      <c r="AM41" s="309">
        <f t="shared" si="21"/>
        <v>0</v>
      </c>
      <c r="AN41" s="310">
        <v>0</v>
      </c>
      <c r="AO41" s="310">
        <v>0</v>
      </c>
      <c r="AP41" s="310">
        <f t="shared" si="22"/>
        <v>0</v>
      </c>
      <c r="AQ41" s="309">
        <v>0</v>
      </c>
      <c r="AR41" s="311">
        <f t="shared" ca="1" si="6"/>
        <v>722379.53075897461</v>
      </c>
      <c r="AS41" s="870">
        <f t="shared" ca="1" si="23"/>
        <v>4012168.0703033707</v>
      </c>
      <c r="AT41" s="822"/>
      <c r="AU41" s="878"/>
      <c r="AV41" s="35"/>
      <c r="AW41" s="879"/>
      <c r="AX41" s="35"/>
      <c r="AY41" s="880"/>
      <c r="BK41" s="123">
        <f t="shared" ca="1" si="7"/>
        <v>759586.94475860824</v>
      </c>
      <c r="BL41" s="123">
        <f t="shared" ca="1" si="24"/>
        <v>987463.02818619076</v>
      </c>
      <c r="BM41" s="123">
        <f t="shared" ca="1" si="25"/>
        <v>493731.51409309538</v>
      </c>
      <c r="BN41" s="123">
        <f t="shared" ca="1" si="26"/>
        <v>470220.48961247178</v>
      </c>
      <c r="BP41" s="312">
        <f ca="1">BL41*CommodityPricing!F27</f>
        <v>5509906.2194571486</v>
      </c>
      <c r="BQ41" s="312">
        <f ca="1">(BM41*CommodityPricing!F27)+(CommodityPricing!B27*CoalToNG!BN41)</f>
        <v>5903470.9494183734</v>
      </c>
      <c r="BR41" s="312">
        <f t="shared" ca="1" si="27"/>
        <v>393564.72996122483</v>
      </c>
      <c r="BT41" s="123">
        <f t="shared" ca="1" si="8"/>
        <v>92821.524649501938</v>
      </c>
      <c r="BU41" s="123">
        <f t="shared" ca="1" si="9"/>
        <v>71332.448274211973</v>
      </c>
      <c r="BV41" s="123">
        <f t="shared" ca="1" si="28"/>
        <v>21489.076375289966</v>
      </c>
    </row>
    <row r="42" spans="1:74">
      <c r="A42" s="303">
        <v>2033</v>
      </c>
      <c r="B42" s="304">
        <f ca="1">IF($D$3="BAU",UtilityDemand!C35,INDIRECT($D$3&amp;"!B"&amp;ROW(A42))+INDIRECT($D$3&amp;"!D"&amp;ROW(A42)))</f>
        <v>169053.98723605942</v>
      </c>
      <c r="C42" s="305">
        <v>0</v>
      </c>
      <c r="D42" s="306">
        <f t="shared" ca="1" si="10"/>
        <v>0</v>
      </c>
      <c r="E42" s="304">
        <f ca="1">IF($D$3="BAU",UtilityDemand!E35,INDIRECT($D$3&amp;"!E"&amp;ROW(D42))+INDIRECT($D$3&amp;"!G"&amp;ROW(D42)))</f>
        <v>900901.25922104018</v>
      </c>
      <c r="F42" s="305">
        <v>0</v>
      </c>
      <c r="G42" s="306">
        <f t="shared" ca="1" si="11"/>
        <v>0</v>
      </c>
      <c r="H42" s="304">
        <f ca="1">IF($D$3="BAU",UtilityDemand!G35,INDIRECT($D$3&amp;"!H"&amp;ROW(G42))+INDIRECT($D$3&amp;"!J"&amp;ROW(G42)))</f>
        <v>255814.8826745259</v>
      </c>
      <c r="I42" s="305">
        <v>0</v>
      </c>
      <c r="J42" s="306">
        <f t="shared" ca="1" si="29"/>
        <v>0</v>
      </c>
      <c r="K42" s="307">
        <f t="shared" ca="1" si="12"/>
        <v>169053.98723605942</v>
      </c>
      <c r="L42" s="307">
        <f t="shared" si="13"/>
        <v>0</v>
      </c>
      <c r="M42" s="307">
        <v>0</v>
      </c>
      <c r="N42" s="307">
        <f t="shared" ca="1" si="14"/>
        <v>169053.98723605942</v>
      </c>
      <c r="O42" s="306">
        <f t="shared" ca="1" si="15"/>
        <v>900901.25922104018</v>
      </c>
      <c r="P42" s="306">
        <f t="shared" si="16"/>
        <v>0</v>
      </c>
      <c r="Q42" s="306">
        <v>0</v>
      </c>
      <c r="R42" s="306">
        <f t="shared" ca="1" si="17"/>
        <v>900901.25922104018</v>
      </c>
      <c r="S42" s="818">
        <f t="shared" ca="1" si="18"/>
        <v>255814.8826745259</v>
      </c>
      <c r="T42" s="818">
        <f t="shared" si="19"/>
        <v>0</v>
      </c>
      <c r="U42" s="818">
        <v>0</v>
      </c>
      <c r="V42" s="818">
        <f t="shared" ca="1" si="20"/>
        <v>255814.8826745259</v>
      </c>
      <c r="W42" s="306">
        <f t="shared" si="1"/>
        <v>0</v>
      </c>
      <c r="X42" s="306">
        <f t="shared" ca="1" si="30"/>
        <v>-21691.000531032216</v>
      </c>
      <c r="Y42" s="306">
        <v>0</v>
      </c>
      <c r="Z42" s="306">
        <v>0</v>
      </c>
      <c r="AA42" s="308">
        <f ca="1">-SUM(W42,X42/OFFSET(GridFootprintbyYear,$A42-$A$19,0)*EF_PurchElec_MTperMWh,Z42)*OFFSET(ExposureCalculations!Price_GHG_Allowance_2010,A42-$A$19,0)*ExposureCalculations!D39</f>
        <v>1196650.0961924132</v>
      </c>
      <c r="AB42" s="308">
        <f t="shared" ca="1" si="2"/>
        <v>0</v>
      </c>
      <c r="AC42" s="308">
        <v>0</v>
      </c>
      <c r="AD42" s="819">
        <f t="shared" ca="1" si="3"/>
        <v>0</v>
      </c>
      <c r="AE42" s="308">
        <f t="shared" ca="1" si="31"/>
        <v>-399249.21297608037</v>
      </c>
      <c r="AF42" s="819">
        <f t="shared" ca="1" si="4"/>
        <v>0</v>
      </c>
      <c r="AG42" s="308">
        <v>0</v>
      </c>
      <c r="AH42" s="308">
        <v>0</v>
      </c>
      <c r="AI42" s="308">
        <v>0</v>
      </c>
      <c r="AJ42" s="308">
        <f t="shared" ca="1" si="5"/>
        <v>-399249.21297608037</v>
      </c>
      <c r="AK42" s="309">
        <v>0</v>
      </c>
      <c r="AL42" s="309">
        <v>0</v>
      </c>
      <c r="AM42" s="309">
        <f t="shared" si="21"/>
        <v>0</v>
      </c>
      <c r="AN42" s="310">
        <v>0</v>
      </c>
      <c r="AO42" s="310">
        <v>0</v>
      </c>
      <c r="AP42" s="310">
        <f t="shared" si="22"/>
        <v>0</v>
      </c>
      <c r="AQ42" s="309">
        <v>0</v>
      </c>
      <c r="AR42" s="311">
        <f t="shared" ca="1" si="6"/>
        <v>797400.88321633288</v>
      </c>
      <c r="AS42" s="870">
        <f t="shared" ca="1" si="23"/>
        <v>4809568.9535197038</v>
      </c>
      <c r="AT42" s="822"/>
      <c r="AU42" s="878"/>
      <c r="AV42" s="35"/>
      <c r="AW42" s="879"/>
      <c r="AX42" s="35"/>
      <c r="AY42" s="880"/>
      <c r="BK42" s="123">
        <f t="shared" ca="1" si="7"/>
        <v>766724.47593280009</v>
      </c>
      <c r="BL42" s="123">
        <f t="shared" ca="1" si="24"/>
        <v>996741.8187126402</v>
      </c>
      <c r="BM42" s="123">
        <f t="shared" ca="1" si="25"/>
        <v>498370.9093563201</v>
      </c>
      <c r="BN42" s="123">
        <f t="shared" ca="1" si="26"/>
        <v>474638.96129173343</v>
      </c>
      <c r="BP42" s="312">
        <f ca="1">BL42*CommodityPricing!F28</f>
        <v>5589488.9816651279</v>
      </c>
      <c r="BQ42" s="312">
        <f ca="1">(BM42*CommodityPricing!F28)+(CommodityPricing!B28*CoalToNG!BN42)</f>
        <v>5988738.1946412083</v>
      </c>
      <c r="BR42" s="312">
        <f t="shared" ca="1" si="27"/>
        <v>399249.21297608037</v>
      </c>
      <c r="BT42" s="123">
        <f t="shared" ca="1" si="8"/>
        <v>93693.730958988177</v>
      </c>
      <c r="BU42" s="123">
        <f t="shared" ca="1" si="9"/>
        <v>72002.730427955961</v>
      </c>
      <c r="BV42" s="123">
        <f t="shared" ca="1" si="28"/>
        <v>21691.000531032216</v>
      </c>
    </row>
    <row r="43" spans="1:74">
      <c r="A43" s="303">
        <v>2034</v>
      </c>
      <c r="B43" s="304">
        <f ca="1">IF($D$3="BAU",UtilityDemand!C36,INDIRECT($D$3&amp;"!B"&amp;ROW(A43))+INDIRECT($D$3&amp;"!D"&amp;ROW(A43)))</f>
        <v>170630.61283691146</v>
      </c>
      <c r="C43" s="305">
        <v>0</v>
      </c>
      <c r="D43" s="306">
        <f t="shared" ca="1" si="10"/>
        <v>0</v>
      </c>
      <c r="E43" s="304">
        <f ca="1">IF($D$3="BAU",UtilityDemand!E36,INDIRECT($D$3&amp;"!E"&amp;ROW(D43))+INDIRECT($D$3&amp;"!G"&amp;ROW(D43)))</f>
        <v>909287.85835071537</v>
      </c>
      <c r="F43" s="305">
        <v>0</v>
      </c>
      <c r="G43" s="306">
        <f t="shared" ca="1" si="11"/>
        <v>0</v>
      </c>
      <c r="H43" s="304">
        <f ca="1">IF($D$3="BAU",UtilityDemand!G36,INDIRECT($D$3&amp;"!H"&amp;ROW(G43))+INDIRECT($D$3&amp;"!J"&amp;ROW(G43)))</f>
        <v>258879.41723712959</v>
      </c>
      <c r="I43" s="305">
        <v>0</v>
      </c>
      <c r="J43" s="306">
        <f t="shared" ca="1" si="29"/>
        <v>0</v>
      </c>
      <c r="K43" s="307">
        <f t="shared" ca="1" si="12"/>
        <v>170630.61283691146</v>
      </c>
      <c r="L43" s="307">
        <f t="shared" si="13"/>
        <v>0</v>
      </c>
      <c r="M43" s="307">
        <v>0</v>
      </c>
      <c r="N43" s="307">
        <f t="shared" ca="1" si="14"/>
        <v>170630.61283691146</v>
      </c>
      <c r="O43" s="306">
        <f t="shared" ca="1" si="15"/>
        <v>909287.85835071537</v>
      </c>
      <c r="P43" s="306">
        <f t="shared" si="16"/>
        <v>0</v>
      </c>
      <c r="Q43" s="306">
        <v>0</v>
      </c>
      <c r="R43" s="306">
        <f t="shared" ca="1" si="17"/>
        <v>909287.85835071537</v>
      </c>
      <c r="S43" s="818">
        <f t="shared" ca="1" si="18"/>
        <v>258879.41723712959</v>
      </c>
      <c r="T43" s="818">
        <f t="shared" si="19"/>
        <v>0</v>
      </c>
      <c r="U43" s="818">
        <v>0</v>
      </c>
      <c r="V43" s="818">
        <f t="shared" ca="1" si="20"/>
        <v>258879.41723712959</v>
      </c>
      <c r="W43" s="306">
        <f t="shared" si="1"/>
        <v>0</v>
      </c>
      <c r="X43" s="306">
        <f t="shared" ca="1" si="30"/>
        <v>-21892.924686774466</v>
      </c>
      <c r="Y43" s="306">
        <v>0</v>
      </c>
      <c r="Z43" s="306">
        <v>0</v>
      </c>
      <c r="AA43" s="308">
        <f ca="1">-SUM(W43,X43/OFFSET(GridFootprintbyYear,$A43-$A$19,0)*EF_PurchElec_MTperMWh,Z43)*OFFSET(ExposureCalculations!Price_GHG_Allowance_2010,A43-$A$19,0)*ExposureCalculations!D40</f>
        <v>1270073.7675480391</v>
      </c>
      <c r="AB43" s="308">
        <f t="shared" ca="1" si="2"/>
        <v>0</v>
      </c>
      <c r="AC43" s="308">
        <v>0</v>
      </c>
      <c r="AD43" s="819">
        <f t="shared" ca="1" si="3"/>
        <v>0</v>
      </c>
      <c r="AE43" s="308">
        <f t="shared" ca="1" si="31"/>
        <v>-404980.70170283597</v>
      </c>
      <c r="AF43" s="819">
        <f t="shared" ca="1" si="4"/>
        <v>0</v>
      </c>
      <c r="AG43" s="308">
        <v>0</v>
      </c>
      <c r="AH43" s="308">
        <v>0</v>
      </c>
      <c r="AI43" s="308">
        <v>0</v>
      </c>
      <c r="AJ43" s="308">
        <f t="shared" ca="1" si="5"/>
        <v>-404980.70170283597</v>
      </c>
      <c r="AK43" s="309">
        <v>0</v>
      </c>
      <c r="AL43" s="309">
        <v>0</v>
      </c>
      <c r="AM43" s="309">
        <f t="shared" si="21"/>
        <v>0</v>
      </c>
      <c r="AN43" s="310">
        <v>0</v>
      </c>
      <c r="AO43" s="310">
        <v>0</v>
      </c>
      <c r="AP43" s="310">
        <f t="shared" si="22"/>
        <v>0</v>
      </c>
      <c r="AQ43" s="309">
        <v>0</v>
      </c>
      <c r="AR43" s="311">
        <f t="shared" ca="1" si="6"/>
        <v>865093.06584520312</v>
      </c>
      <c r="AS43" s="870">
        <f t="shared" ca="1" si="23"/>
        <v>5674662.0193649065</v>
      </c>
      <c r="AT43" s="822"/>
      <c r="AU43" s="878"/>
      <c r="AV43" s="35"/>
      <c r="AW43" s="879"/>
      <c r="AX43" s="35"/>
      <c r="AY43" s="880"/>
      <c r="BK43" s="123">
        <f t="shared" ca="1" si="7"/>
        <v>773862.00710699172</v>
      </c>
      <c r="BL43" s="123">
        <f t="shared" ca="1" si="24"/>
        <v>1006020.6092390893</v>
      </c>
      <c r="BM43" s="123">
        <f t="shared" ca="1" si="25"/>
        <v>503010.30461954465</v>
      </c>
      <c r="BN43" s="123">
        <f t="shared" ca="1" si="26"/>
        <v>479057.43297099491</v>
      </c>
      <c r="BP43" s="312">
        <f ca="1">BL43*CommodityPricing!F29</f>
        <v>5669729.8238396989</v>
      </c>
      <c r="BQ43" s="312">
        <f ca="1">(BM43*CommodityPricing!F29)+(CommodityPricing!B29*CoalToNG!BN43)</f>
        <v>6074710.5255425349</v>
      </c>
      <c r="BR43" s="312">
        <f t="shared" ca="1" si="27"/>
        <v>404980.70170283597</v>
      </c>
      <c r="BT43" s="123">
        <f t="shared" ca="1" si="8"/>
        <v>94565.937268474401</v>
      </c>
      <c r="BU43" s="123">
        <f t="shared" ca="1" si="9"/>
        <v>72673.012581699935</v>
      </c>
      <c r="BV43" s="123">
        <f t="shared" ca="1" si="28"/>
        <v>21892.924686774466</v>
      </c>
    </row>
    <row r="44" spans="1:74">
      <c r="A44" s="303">
        <v>2035</v>
      </c>
      <c r="B44" s="304">
        <f ca="1">IF($D$3="BAU",UtilityDemand!C37,INDIRECT($D$3&amp;"!B"&amp;ROW(A44))+INDIRECT($D$3&amp;"!D"&amp;ROW(A44)))</f>
        <v>172207.23843776347</v>
      </c>
      <c r="C44" s="305">
        <v>0</v>
      </c>
      <c r="D44" s="306">
        <f t="shared" ca="1" si="10"/>
        <v>0</v>
      </c>
      <c r="E44" s="304">
        <f ca="1">IF($D$3="BAU",UtilityDemand!E37,INDIRECT($D$3&amp;"!E"&amp;ROW(D44))+INDIRECT($D$3&amp;"!G"&amp;ROW(D44)))</f>
        <v>917674.45748039079</v>
      </c>
      <c r="F44" s="305">
        <v>0</v>
      </c>
      <c r="G44" s="306">
        <f t="shared" ca="1" si="11"/>
        <v>0</v>
      </c>
      <c r="H44" s="304">
        <f ca="1">IF($D$3="BAU",UtilityDemand!G37,INDIRECT($D$3&amp;"!H"&amp;ROW(G44))+INDIRECT($D$3&amp;"!J"&amp;ROW(G44)))</f>
        <v>261943.95179973327</v>
      </c>
      <c r="I44" s="305">
        <v>0</v>
      </c>
      <c r="J44" s="306">
        <f t="shared" ca="1" si="29"/>
        <v>0</v>
      </c>
      <c r="K44" s="307">
        <f t="shared" ca="1" si="12"/>
        <v>172207.23843776347</v>
      </c>
      <c r="L44" s="307">
        <f t="shared" si="13"/>
        <v>0</v>
      </c>
      <c r="M44" s="307">
        <v>0</v>
      </c>
      <c r="N44" s="307">
        <f t="shared" ca="1" si="14"/>
        <v>172207.23843776347</v>
      </c>
      <c r="O44" s="306">
        <f t="shared" ca="1" si="15"/>
        <v>917674.45748039079</v>
      </c>
      <c r="P44" s="306">
        <f t="shared" si="16"/>
        <v>0</v>
      </c>
      <c r="Q44" s="306">
        <v>0</v>
      </c>
      <c r="R44" s="306">
        <f t="shared" ca="1" si="17"/>
        <v>917674.45748039079</v>
      </c>
      <c r="S44" s="818">
        <f t="shared" ca="1" si="18"/>
        <v>261943.95179973327</v>
      </c>
      <c r="T44" s="818">
        <f t="shared" si="19"/>
        <v>0</v>
      </c>
      <c r="U44" s="818">
        <v>0</v>
      </c>
      <c r="V44" s="818">
        <f t="shared" ca="1" si="20"/>
        <v>261943.95179973327</v>
      </c>
      <c r="W44" s="306">
        <f t="shared" si="1"/>
        <v>0</v>
      </c>
      <c r="X44" s="306">
        <f t="shared" ca="1" si="30"/>
        <v>-22094.848842516731</v>
      </c>
      <c r="Y44" s="306">
        <v>0</v>
      </c>
      <c r="Z44" s="306">
        <v>0</v>
      </c>
      <c r="AA44" s="308">
        <f ca="1">-SUM(W44,X44/OFFSET(GridFootprintbyYear,$A44-$A$19,0)*EF_PurchElec_MTperMWh,Z44)*OFFSET(ExposureCalculations!Price_GHG_Allowance_2010,A44-$A$19,0)*ExposureCalculations!D41</f>
        <v>1345937.0236451591</v>
      </c>
      <c r="AB44" s="308">
        <f t="shared" ca="1" si="2"/>
        <v>0</v>
      </c>
      <c r="AC44" s="308">
        <v>0</v>
      </c>
      <c r="AD44" s="819">
        <f t="shared" ca="1" si="3"/>
        <v>0</v>
      </c>
      <c r="AE44" s="308">
        <f t="shared" ca="1" si="31"/>
        <v>-410759.52408653311</v>
      </c>
      <c r="AF44" s="819">
        <f t="shared" ca="1" si="4"/>
        <v>0</v>
      </c>
      <c r="AG44" s="308">
        <v>0</v>
      </c>
      <c r="AH44" s="308">
        <v>0</v>
      </c>
      <c r="AI44" s="308">
        <v>0</v>
      </c>
      <c r="AJ44" s="308">
        <f t="shared" ca="1" si="5"/>
        <v>-410759.52408653311</v>
      </c>
      <c r="AK44" s="309">
        <v>0</v>
      </c>
      <c r="AL44" s="309">
        <v>0</v>
      </c>
      <c r="AM44" s="309">
        <f t="shared" si="21"/>
        <v>0</v>
      </c>
      <c r="AN44" s="310">
        <v>0</v>
      </c>
      <c r="AO44" s="310">
        <v>0</v>
      </c>
      <c r="AP44" s="310">
        <f t="shared" si="22"/>
        <v>0</v>
      </c>
      <c r="AQ44" s="309">
        <v>0</v>
      </c>
      <c r="AR44" s="311">
        <f t="shared" ca="1" si="6"/>
        <v>935177.49955862598</v>
      </c>
      <c r="AS44" s="870">
        <f t="shared" ca="1" si="23"/>
        <v>6609839.5189235322</v>
      </c>
      <c r="AT44" s="822"/>
      <c r="AU44" s="878"/>
      <c r="AV44" s="35"/>
      <c r="AW44" s="879"/>
      <c r="AX44" s="35"/>
      <c r="AY44" s="880"/>
      <c r="BK44" s="123">
        <f t="shared" ca="1" si="7"/>
        <v>780999.53828118357</v>
      </c>
      <c r="BL44" s="123">
        <f t="shared" ca="1" si="24"/>
        <v>1015299.3997655386</v>
      </c>
      <c r="BM44" s="123">
        <f t="shared" ca="1" si="25"/>
        <v>507649.69988276932</v>
      </c>
      <c r="BN44" s="123">
        <f t="shared" ca="1" si="26"/>
        <v>483475.90465025645</v>
      </c>
      <c r="BP44" s="312">
        <f ca="1">BL44*CommodityPricing!F30</f>
        <v>5750633.3372114738</v>
      </c>
      <c r="BQ44" s="312">
        <f ca="1">(BM44*CommodityPricing!F30)+(CommodityPricing!B30*CoalToNG!BN44)</f>
        <v>6161392.861298007</v>
      </c>
      <c r="BR44" s="312">
        <f t="shared" ca="1" si="27"/>
        <v>410759.52408653311</v>
      </c>
      <c r="BT44" s="123">
        <f t="shared" ca="1" si="8"/>
        <v>95438.143577960625</v>
      </c>
      <c r="BU44" s="123">
        <f t="shared" ca="1" si="9"/>
        <v>73343.294735443895</v>
      </c>
      <c r="BV44" s="123">
        <f t="shared" ca="1" si="28"/>
        <v>22094.848842516731</v>
      </c>
    </row>
    <row r="45" spans="1:74">
      <c r="A45" s="303">
        <v>2036</v>
      </c>
      <c r="B45" s="304">
        <f ca="1">IF($D$3="BAU",UtilityDemand!C38,INDIRECT($D$3&amp;"!B"&amp;ROW(A45))+INDIRECT($D$3&amp;"!D"&amp;ROW(A45)))</f>
        <v>173783.86403861555</v>
      </c>
      <c r="C45" s="305">
        <v>0</v>
      </c>
      <c r="D45" s="306">
        <f t="shared" ca="1" si="10"/>
        <v>0</v>
      </c>
      <c r="E45" s="304">
        <f ca="1">IF($D$3="BAU",UtilityDemand!E38,INDIRECT($D$3&amp;"!E"&amp;ROW(D45))+INDIRECT($D$3&amp;"!G"&amp;ROW(D45)))</f>
        <v>926061.05661006644</v>
      </c>
      <c r="F45" s="305">
        <v>0</v>
      </c>
      <c r="G45" s="306">
        <f t="shared" ca="1" si="11"/>
        <v>0</v>
      </c>
      <c r="H45" s="304">
        <f ca="1">IF($D$3="BAU",UtilityDemand!G38,INDIRECT($D$3&amp;"!H"&amp;ROW(G45))+INDIRECT($D$3&amp;"!J"&amp;ROW(G45)))</f>
        <v>265008.48636233702</v>
      </c>
      <c r="I45" s="305">
        <v>0</v>
      </c>
      <c r="J45" s="306">
        <f t="shared" ca="1" si="29"/>
        <v>0</v>
      </c>
      <c r="K45" s="307">
        <f t="shared" ca="1" si="12"/>
        <v>173783.86403861555</v>
      </c>
      <c r="L45" s="307">
        <f t="shared" si="13"/>
        <v>0</v>
      </c>
      <c r="M45" s="307">
        <v>0</v>
      </c>
      <c r="N45" s="307">
        <f t="shared" ca="1" si="14"/>
        <v>173783.86403861555</v>
      </c>
      <c r="O45" s="306">
        <f t="shared" ca="1" si="15"/>
        <v>926061.05661006644</v>
      </c>
      <c r="P45" s="306">
        <f t="shared" si="16"/>
        <v>0</v>
      </c>
      <c r="Q45" s="306">
        <v>0</v>
      </c>
      <c r="R45" s="306">
        <f t="shared" ca="1" si="17"/>
        <v>926061.05661006644</v>
      </c>
      <c r="S45" s="818">
        <f t="shared" ca="1" si="18"/>
        <v>265008.48636233702</v>
      </c>
      <c r="T45" s="818">
        <f t="shared" si="19"/>
        <v>0</v>
      </c>
      <c r="U45" s="818">
        <v>0</v>
      </c>
      <c r="V45" s="818">
        <f t="shared" ca="1" si="20"/>
        <v>265008.48636233702</v>
      </c>
      <c r="W45" s="306">
        <f t="shared" si="1"/>
        <v>0</v>
      </c>
      <c r="X45" s="306">
        <f t="shared" ca="1" si="30"/>
        <v>-22296.772998258981</v>
      </c>
      <c r="Y45" s="306">
        <v>0</v>
      </c>
      <c r="Z45" s="306">
        <v>0</v>
      </c>
      <c r="AA45" s="308">
        <f ca="1">-SUM(W45,X45/OFFSET(GridFootprintbyYear,$A45-$A$19,0)*EF_PurchElec_MTperMWh,Z45)*OFFSET(ExposureCalculations!Price_GHG_Allowance_2010,A45-$A$19,0)*ExposureCalculations!D42</f>
        <v>1433975.9592901985</v>
      </c>
      <c r="AB45" s="308">
        <f t="shared" ca="1" si="2"/>
        <v>0</v>
      </c>
      <c r="AC45" s="308">
        <v>0</v>
      </c>
      <c r="AD45" s="819">
        <f t="shared" ca="1" si="3"/>
        <v>0</v>
      </c>
      <c r="AE45" s="308">
        <f t="shared" ca="1" si="31"/>
        <v>-416586.01017652731</v>
      </c>
      <c r="AF45" s="819">
        <f t="shared" ca="1" si="4"/>
        <v>0</v>
      </c>
      <c r="AG45" s="308">
        <v>0</v>
      </c>
      <c r="AH45" s="308">
        <v>0</v>
      </c>
      <c r="AI45" s="308">
        <v>0</v>
      </c>
      <c r="AJ45" s="308">
        <f t="shared" ca="1" si="5"/>
        <v>-416586.01017652731</v>
      </c>
      <c r="AK45" s="309">
        <v>0</v>
      </c>
      <c r="AL45" s="309">
        <v>0</v>
      </c>
      <c r="AM45" s="309">
        <f t="shared" si="21"/>
        <v>0</v>
      </c>
      <c r="AN45" s="310">
        <v>0</v>
      </c>
      <c r="AO45" s="310">
        <v>0</v>
      </c>
      <c r="AP45" s="310">
        <f t="shared" si="22"/>
        <v>0</v>
      </c>
      <c r="AQ45" s="309">
        <v>0</v>
      </c>
      <c r="AR45" s="311">
        <f t="shared" ca="1" si="6"/>
        <v>1017389.9491136712</v>
      </c>
      <c r="AS45" s="870">
        <f t="shared" ca="1" si="23"/>
        <v>7627229.468037203</v>
      </c>
      <c r="AT45" s="822"/>
      <c r="AU45" s="878"/>
      <c r="AV45" s="35"/>
      <c r="AW45" s="879"/>
      <c r="AX45" s="35"/>
      <c r="AY45" s="880"/>
      <c r="BK45" s="123">
        <f t="shared" ca="1" si="7"/>
        <v>788137.06945537566</v>
      </c>
      <c r="BL45" s="123">
        <f t="shared" ca="1" si="24"/>
        <v>1024578.1902919884</v>
      </c>
      <c r="BM45" s="123">
        <f t="shared" ca="1" si="25"/>
        <v>512289.09514599422</v>
      </c>
      <c r="BN45" s="123">
        <f t="shared" ca="1" si="26"/>
        <v>487894.37632951827</v>
      </c>
      <c r="BP45" s="312">
        <f ca="1">BL45*CommodityPricing!F31</f>
        <v>5832204.142471374</v>
      </c>
      <c r="BQ45" s="312">
        <f ca="1">(BM45*CommodityPricing!F31)+(CommodityPricing!B31*CoalToNG!BN45)</f>
        <v>6248790.1526479013</v>
      </c>
      <c r="BR45" s="312">
        <f t="shared" ca="1" si="27"/>
        <v>416586.01017652731</v>
      </c>
      <c r="BT45" s="123">
        <f t="shared" ca="1" si="8"/>
        <v>96310.349887446908</v>
      </c>
      <c r="BU45" s="123">
        <f t="shared" ca="1" si="9"/>
        <v>74013.576889187927</v>
      </c>
      <c r="BV45" s="123">
        <f t="shared" ca="1" si="28"/>
        <v>22296.772998258981</v>
      </c>
    </row>
    <row r="46" spans="1:74">
      <c r="A46" s="303">
        <v>2037</v>
      </c>
      <c r="B46" s="304">
        <f ca="1">IF($D$3="BAU",UtilityDemand!C39,INDIRECT($D$3&amp;"!B"&amp;ROW(A46))+INDIRECT($D$3&amp;"!D"&amp;ROW(A46)))</f>
        <v>175360.48963946756</v>
      </c>
      <c r="C46" s="305">
        <v>0</v>
      </c>
      <c r="D46" s="306">
        <f t="shared" ca="1" si="10"/>
        <v>0</v>
      </c>
      <c r="E46" s="304">
        <f ca="1">IF($D$3="BAU",UtilityDemand!E39,INDIRECT($D$3&amp;"!E"&amp;ROW(D46))+INDIRECT($D$3&amp;"!G"&amp;ROW(D46)))</f>
        <v>934447.65573974175</v>
      </c>
      <c r="F46" s="305">
        <v>0</v>
      </c>
      <c r="G46" s="306">
        <f t="shared" ca="1" si="11"/>
        <v>0</v>
      </c>
      <c r="H46" s="304">
        <f ca="1">IF($D$3="BAU",UtilityDemand!G39,INDIRECT($D$3&amp;"!H"&amp;ROW(G46))+INDIRECT($D$3&amp;"!J"&amp;ROW(G46)))</f>
        <v>268073.02092494071</v>
      </c>
      <c r="I46" s="305">
        <v>0</v>
      </c>
      <c r="J46" s="306">
        <f t="shared" ca="1" si="29"/>
        <v>0</v>
      </c>
      <c r="K46" s="307">
        <f t="shared" ca="1" si="12"/>
        <v>175360.48963946756</v>
      </c>
      <c r="L46" s="307">
        <f t="shared" si="13"/>
        <v>0</v>
      </c>
      <c r="M46" s="307">
        <v>0</v>
      </c>
      <c r="N46" s="307">
        <f t="shared" ca="1" si="14"/>
        <v>175360.48963946756</v>
      </c>
      <c r="O46" s="306">
        <f t="shared" ca="1" si="15"/>
        <v>934447.65573974175</v>
      </c>
      <c r="P46" s="306">
        <f t="shared" si="16"/>
        <v>0</v>
      </c>
      <c r="Q46" s="306">
        <v>0</v>
      </c>
      <c r="R46" s="306">
        <f t="shared" ca="1" si="17"/>
        <v>934447.65573974175</v>
      </c>
      <c r="S46" s="818">
        <f t="shared" ca="1" si="18"/>
        <v>268073.02092494071</v>
      </c>
      <c r="T46" s="818">
        <f t="shared" si="19"/>
        <v>0</v>
      </c>
      <c r="U46" s="818">
        <v>0</v>
      </c>
      <c r="V46" s="818">
        <f t="shared" ca="1" si="20"/>
        <v>268073.02092494071</v>
      </c>
      <c r="W46" s="306">
        <f t="shared" si="1"/>
        <v>0</v>
      </c>
      <c r="X46" s="306">
        <f t="shared" ca="1" si="30"/>
        <v>-22498.697154001231</v>
      </c>
      <c r="Y46" s="306">
        <v>0</v>
      </c>
      <c r="Z46" s="306">
        <v>0</v>
      </c>
      <c r="AA46" s="308">
        <f ca="1">-SUM(W46,X46/OFFSET(GridFootprintbyYear,$A46-$A$19,0)*EF_PurchElec_MTperMWh,Z46)*OFFSET(ExposureCalculations!Price_GHG_Allowance_2010,A46-$A$19,0)*ExposureCalculations!D43</f>
        <v>1523054.5025136492</v>
      </c>
      <c r="AB46" s="308">
        <f t="shared" ca="1" si="2"/>
        <v>0</v>
      </c>
      <c r="AC46" s="308">
        <v>0</v>
      </c>
      <c r="AD46" s="819">
        <f t="shared" ca="1" si="3"/>
        <v>0</v>
      </c>
      <c r="AE46" s="308">
        <f t="shared" ca="1" si="31"/>
        <v>-422460.49213931803</v>
      </c>
      <c r="AF46" s="819">
        <f t="shared" ca="1" si="4"/>
        <v>0</v>
      </c>
      <c r="AG46" s="308">
        <v>0</v>
      </c>
      <c r="AH46" s="308">
        <v>0</v>
      </c>
      <c r="AI46" s="308">
        <v>0</v>
      </c>
      <c r="AJ46" s="308">
        <f t="shared" ca="1" si="5"/>
        <v>-422460.49213931803</v>
      </c>
      <c r="AK46" s="309">
        <v>0</v>
      </c>
      <c r="AL46" s="309">
        <v>0</v>
      </c>
      <c r="AM46" s="309">
        <f t="shared" si="21"/>
        <v>0</v>
      </c>
      <c r="AN46" s="310">
        <v>0</v>
      </c>
      <c r="AO46" s="310">
        <v>0</v>
      </c>
      <c r="AP46" s="310">
        <f t="shared" si="22"/>
        <v>0</v>
      </c>
      <c r="AQ46" s="309">
        <v>0</v>
      </c>
      <c r="AR46" s="311">
        <f t="shared" ca="1" si="6"/>
        <v>1100594.0103743311</v>
      </c>
      <c r="AS46" s="870">
        <f t="shared" ca="1" si="23"/>
        <v>8727823.4784115348</v>
      </c>
      <c r="AT46" s="822"/>
      <c r="AU46" s="878"/>
      <c r="AV46" s="35"/>
      <c r="AW46" s="879"/>
      <c r="AX46" s="35"/>
      <c r="AY46" s="880"/>
      <c r="BK46" s="123">
        <f t="shared" ca="1" si="7"/>
        <v>795274.6006295674</v>
      </c>
      <c r="BL46" s="123">
        <f t="shared" ca="1" si="24"/>
        <v>1033856.9808184376</v>
      </c>
      <c r="BM46" s="123">
        <f t="shared" ca="1" si="25"/>
        <v>516928.49040921882</v>
      </c>
      <c r="BN46" s="123">
        <f t="shared" ca="1" si="26"/>
        <v>492312.84800877981</v>
      </c>
      <c r="BP46" s="312">
        <f ca="1">BL46*CommodityPricing!F32</f>
        <v>5914446.8899504384</v>
      </c>
      <c r="BQ46" s="312">
        <f ca="1">(BM46*CommodityPricing!F32)+(CommodityPricing!B32*CoalToNG!BN46)</f>
        <v>6336907.3820897564</v>
      </c>
      <c r="BR46" s="312">
        <f t="shared" ca="1" si="27"/>
        <v>422460.49213931803</v>
      </c>
      <c r="BT46" s="123">
        <f t="shared" ca="1" si="8"/>
        <v>97182.556196933132</v>
      </c>
      <c r="BU46" s="123">
        <f t="shared" ca="1" si="9"/>
        <v>74683.859042931901</v>
      </c>
      <c r="BV46" s="123">
        <f t="shared" ca="1" si="28"/>
        <v>22498.697154001231</v>
      </c>
    </row>
    <row r="47" spans="1:74">
      <c r="A47" s="303">
        <v>2038</v>
      </c>
      <c r="B47" s="304">
        <f ca="1">IF($D$3="BAU",UtilityDemand!C40,INDIRECT($D$3&amp;"!B"&amp;ROW(A47))+INDIRECT($D$3&amp;"!D"&amp;ROW(A47)))</f>
        <v>176937.1152403196</v>
      </c>
      <c r="C47" s="305">
        <v>0</v>
      </c>
      <c r="D47" s="306">
        <f t="shared" ca="1" si="10"/>
        <v>0</v>
      </c>
      <c r="E47" s="304">
        <f ca="1">IF($D$3="BAU",UtilityDemand!E40,INDIRECT($D$3&amp;"!E"&amp;ROW(D47))+INDIRECT($D$3&amp;"!G"&amp;ROW(D47)))</f>
        <v>942834.25486941705</v>
      </c>
      <c r="F47" s="305">
        <v>0</v>
      </c>
      <c r="G47" s="306">
        <f t="shared" ca="1" si="11"/>
        <v>0</v>
      </c>
      <c r="H47" s="304">
        <f ca="1">IF($D$3="BAU",UtilityDemand!G40,INDIRECT($D$3&amp;"!H"&amp;ROW(G47))+INDIRECT($D$3&amp;"!J"&amp;ROW(G47)))</f>
        <v>271137.55548754439</v>
      </c>
      <c r="I47" s="305">
        <v>0</v>
      </c>
      <c r="J47" s="306">
        <f t="shared" ca="1" si="29"/>
        <v>0</v>
      </c>
      <c r="K47" s="307">
        <f t="shared" ca="1" si="12"/>
        <v>176937.1152403196</v>
      </c>
      <c r="L47" s="307">
        <f t="shared" si="13"/>
        <v>0</v>
      </c>
      <c r="M47" s="307">
        <v>0</v>
      </c>
      <c r="N47" s="307">
        <f t="shared" ca="1" si="14"/>
        <v>176937.1152403196</v>
      </c>
      <c r="O47" s="306">
        <f t="shared" ca="1" si="15"/>
        <v>942834.25486941705</v>
      </c>
      <c r="P47" s="306">
        <f t="shared" si="16"/>
        <v>0</v>
      </c>
      <c r="Q47" s="306">
        <v>0</v>
      </c>
      <c r="R47" s="306">
        <f t="shared" ca="1" si="17"/>
        <v>942834.25486941705</v>
      </c>
      <c r="S47" s="818">
        <f t="shared" ca="1" si="18"/>
        <v>271137.55548754439</v>
      </c>
      <c r="T47" s="818">
        <f t="shared" si="19"/>
        <v>0</v>
      </c>
      <c r="U47" s="818">
        <v>0</v>
      </c>
      <c r="V47" s="818">
        <f t="shared" ca="1" si="20"/>
        <v>271137.55548754439</v>
      </c>
      <c r="W47" s="306">
        <f t="shared" si="1"/>
        <v>0</v>
      </c>
      <c r="X47" s="306">
        <f t="shared" ca="1" si="30"/>
        <v>-22700.621309743496</v>
      </c>
      <c r="Y47" s="306">
        <v>0</v>
      </c>
      <c r="Z47" s="306">
        <v>0</v>
      </c>
      <c r="AA47" s="308">
        <f ca="1">-SUM(W47,X47/OFFSET(GridFootprintbyYear,$A47-$A$19,0)*EF_PurchElec_MTperMWh,Z47)*OFFSET(ExposureCalculations!Price_GHG_Allowance_2010,A47-$A$19,0)*ExposureCalculations!D44</f>
        <v>1612960.2429129556</v>
      </c>
      <c r="AB47" s="308">
        <f t="shared" ca="1" si="2"/>
        <v>0</v>
      </c>
      <c r="AC47" s="308">
        <v>0</v>
      </c>
      <c r="AD47" s="819">
        <f t="shared" ca="1" si="3"/>
        <v>0</v>
      </c>
      <c r="AE47" s="308">
        <f t="shared" ca="1" si="31"/>
        <v>-428383.304271481</v>
      </c>
      <c r="AF47" s="819">
        <f t="shared" ca="1" si="4"/>
        <v>0</v>
      </c>
      <c r="AG47" s="308">
        <v>0</v>
      </c>
      <c r="AH47" s="308">
        <v>0</v>
      </c>
      <c r="AI47" s="308">
        <v>0</v>
      </c>
      <c r="AJ47" s="308">
        <f t="shared" ca="1" si="5"/>
        <v>-428383.304271481</v>
      </c>
      <c r="AK47" s="309">
        <v>0</v>
      </c>
      <c r="AL47" s="309">
        <v>0</v>
      </c>
      <c r="AM47" s="309">
        <f t="shared" si="21"/>
        <v>0</v>
      </c>
      <c r="AN47" s="310">
        <v>0</v>
      </c>
      <c r="AO47" s="310">
        <v>0</v>
      </c>
      <c r="AP47" s="310">
        <f t="shared" si="22"/>
        <v>0</v>
      </c>
      <c r="AQ47" s="309">
        <v>0</v>
      </c>
      <c r="AR47" s="311">
        <f t="shared" ca="1" si="6"/>
        <v>1184576.9386414746</v>
      </c>
      <c r="AS47" s="870">
        <f t="shared" ca="1" si="23"/>
        <v>9912400.4170530103</v>
      </c>
      <c r="AT47" s="822"/>
      <c r="AU47" s="878"/>
      <c r="AV47" s="35"/>
      <c r="AW47" s="879"/>
      <c r="AX47" s="35"/>
      <c r="AY47" s="880"/>
      <c r="BK47" s="123">
        <f t="shared" ca="1" si="7"/>
        <v>802412.13180375914</v>
      </c>
      <c r="BL47" s="123">
        <f t="shared" ca="1" si="24"/>
        <v>1043135.771344887</v>
      </c>
      <c r="BM47" s="123">
        <f t="shared" ca="1" si="25"/>
        <v>521567.88567244349</v>
      </c>
      <c r="BN47" s="123">
        <f t="shared" ca="1" si="26"/>
        <v>496731.3196880414</v>
      </c>
      <c r="BP47" s="312">
        <f ca="1">BL47*CommodityPricing!F33</f>
        <v>5997366.2598007331</v>
      </c>
      <c r="BQ47" s="312">
        <f ca="1">(BM47*CommodityPricing!F33)+(CommodityPricing!B33*CoalToNG!BN47)</f>
        <v>6425749.5640722141</v>
      </c>
      <c r="BR47" s="312">
        <f t="shared" ca="1" si="27"/>
        <v>428383.304271481</v>
      </c>
      <c r="BT47" s="123">
        <f t="shared" ca="1" si="8"/>
        <v>98054.762506419371</v>
      </c>
      <c r="BU47" s="123">
        <f t="shared" ca="1" si="9"/>
        <v>75354.141196675875</v>
      </c>
      <c r="BV47" s="123">
        <f t="shared" ca="1" si="28"/>
        <v>22700.621309743496</v>
      </c>
    </row>
    <row r="48" spans="1:74">
      <c r="A48" s="303">
        <v>2039</v>
      </c>
      <c r="B48" s="304">
        <f ca="1">IF($D$3="BAU",UtilityDemand!C41,INDIRECT($D$3&amp;"!B"&amp;ROW(A48))+INDIRECT($D$3&amp;"!D"&amp;ROW(A48)))</f>
        <v>178513.74084117162</v>
      </c>
      <c r="C48" s="305">
        <v>0</v>
      </c>
      <c r="D48" s="306">
        <f t="shared" ca="1" si="10"/>
        <v>0</v>
      </c>
      <c r="E48" s="304">
        <f ca="1">IF($D$3="BAU",UtilityDemand!E41,INDIRECT($D$3&amp;"!E"&amp;ROW(D48))+INDIRECT($D$3&amp;"!G"&amp;ROW(D48)))</f>
        <v>951220.85399909248</v>
      </c>
      <c r="F48" s="305">
        <v>0</v>
      </c>
      <c r="G48" s="306">
        <f t="shared" ca="1" si="11"/>
        <v>0</v>
      </c>
      <c r="H48" s="304">
        <f ca="1">IF($D$3="BAU",UtilityDemand!G41,INDIRECT($D$3&amp;"!H"&amp;ROW(G48))+INDIRECT($D$3&amp;"!J"&amp;ROW(G48)))</f>
        <v>274202.09005014808</v>
      </c>
      <c r="I48" s="305">
        <v>0</v>
      </c>
      <c r="J48" s="306">
        <f t="shared" ca="1" si="29"/>
        <v>0</v>
      </c>
      <c r="K48" s="307">
        <f t="shared" ca="1" si="12"/>
        <v>178513.74084117162</v>
      </c>
      <c r="L48" s="307">
        <f t="shared" si="13"/>
        <v>0</v>
      </c>
      <c r="M48" s="307">
        <v>0</v>
      </c>
      <c r="N48" s="307">
        <f t="shared" ca="1" si="14"/>
        <v>178513.74084117162</v>
      </c>
      <c r="O48" s="306">
        <f t="shared" ca="1" si="15"/>
        <v>951220.85399909248</v>
      </c>
      <c r="P48" s="306">
        <f t="shared" si="16"/>
        <v>0</v>
      </c>
      <c r="Q48" s="306">
        <v>0</v>
      </c>
      <c r="R48" s="306">
        <f t="shared" ca="1" si="17"/>
        <v>951220.85399909248</v>
      </c>
      <c r="S48" s="818">
        <f t="shared" ca="1" si="18"/>
        <v>274202.09005014808</v>
      </c>
      <c r="T48" s="818">
        <f t="shared" si="19"/>
        <v>0</v>
      </c>
      <c r="U48" s="818">
        <v>0</v>
      </c>
      <c r="V48" s="818">
        <f t="shared" ca="1" si="20"/>
        <v>274202.09005014808</v>
      </c>
      <c r="W48" s="306">
        <f t="shared" si="1"/>
        <v>0</v>
      </c>
      <c r="X48" s="306">
        <f t="shared" ca="1" si="30"/>
        <v>-22902.545465485746</v>
      </c>
      <c r="Y48" s="306">
        <v>0</v>
      </c>
      <c r="Z48" s="306">
        <v>0</v>
      </c>
      <c r="AA48" s="308">
        <f ca="1">-SUM(W48,X48/OFFSET(GridFootprintbyYear,$A48-$A$19,0)*EF_PurchElec_MTperMWh,Z48)*OFFSET(ExposureCalculations!Price_GHG_Allowance_2010,A48-$A$19,0)*ExposureCalculations!D45</f>
        <v>1703511.5105439688</v>
      </c>
      <c r="AB48" s="308">
        <f t="shared" ca="1" si="2"/>
        <v>0</v>
      </c>
      <c r="AC48" s="308">
        <v>0</v>
      </c>
      <c r="AD48" s="819">
        <f t="shared" ca="1" si="3"/>
        <v>0</v>
      </c>
      <c r="AE48" s="308">
        <f t="shared" ca="1" si="31"/>
        <v>-434354.78301266301</v>
      </c>
      <c r="AF48" s="819">
        <f t="shared" ca="1" si="4"/>
        <v>0</v>
      </c>
      <c r="AG48" s="308">
        <v>0</v>
      </c>
      <c r="AH48" s="308">
        <v>0</v>
      </c>
      <c r="AI48" s="308">
        <v>0</v>
      </c>
      <c r="AJ48" s="308">
        <f t="shared" ca="1" si="5"/>
        <v>-434354.78301266301</v>
      </c>
      <c r="AK48" s="309">
        <v>0</v>
      </c>
      <c r="AL48" s="309">
        <v>0</v>
      </c>
      <c r="AM48" s="309">
        <f t="shared" si="21"/>
        <v>0</v>
      </c>
      <c r="AN48" s="310">
        <v>0</v>
      </c>
      <c r="AO48" s="310">
        <v>0</v>
      </c>
      <c r="AP48" s="310">
        <f t="shared" si="22"/>
        <v>0</v>
      </c>
      <c r="AQ48" s="309">
        <v>0</v>
      </c>
      <c r="AR48" s="311">
        <f t="shared" ca="1" si="6"/>
        <v>1269156.7275313057</v>
      </c>
      <c r="AS48" s="870">
        <f t="shared" ca="1" si="23"/>
        <v>11181557.144584317</v>
      </c>
      <c r="AT48" s="822"/>
      <c r="AU48" s="878"/>
      <c r="AV48" s="35"/>
      <c r="AW48" s="879"/>
      <c r="AX48" s="35"/>
      <c r="AY48" s="880"/>
      <c r="BK48" s="123">
        <f t="shared" ca="1" si="7"/>
        <v>809549.662977951</v>
      </c>
      <c r="BL48" s="123">
        <f t="shared" ca="1" si="24"/>
        <v>1052414.5618713363</v>
      </c>
      <c r="BM48" s="123">
        <f t="shared" ca="1" si="25"/>
        <v>526207.28093566815</v>
      </c>
      <c r="BN48" s="123">
        <f t="shared" ca="1" si="26"/>
        <v>501149.791367303</v>
      </c>
      <c r="BP48" s="312">
        <f ca="1">BL48*CommodityPricing!F34</f>
        <v>6080966.9621772822</v>
      </c>
      <c r="BQ48" s="312">
        <f ca="1">(BM48*CommodityPricing!F34)+(CommodityPricing!B34*CoalToNG!BN48)</f>
        <v>6515321.7451899452</v>
      </c>
      <c r="BR48" s="312">
        <f t="shared" ca="1" si="27"/>
        <v>434354.78301266301</v>
      </c>
      <c r="BT48" s="123">
        <f t="shared" ca="1" si="8"/>
        <v>98926.96881590561</v>
      </c>
      <c r="BU48" s="123">
        <f t="shared" ca="1" si="9"/>
        <v>76024.423350419864</v>
      </c>
      <c r="BV48" s="123">
        <f t="shared" ca="1" si="28"/>
        <v>22902.545465485746</v>
      </c>
    </row>
    <row r="49" spans="1:74">
      <c r="A49" s="303">
        <v>2040</v>
      </c>
      <c r="B49" s="304">
        <f ca="1">IF($D$3="BAU",UtilityDemand!C42,INDIRECT($D$3&amp;"!B"&amp;ROW(A49))+INDIRECT($D$3&amp;"!D"&amp;ROW(A49)))</f>
        <v>180090.36644202363</v>
      </c>
      <c r="C49" s="305">
        <v>0</v>
      </c>
      <c r="D49" s="306">
        <f t="shared" ca="1" si="10"/>
        <v>0</v>
      </c>
      <c r="E49" s="304">
        <f ca="1">IF($D$3="BAU",UtilityDemand!E42,INDIRECT($D$3&amp;"!E"&amp;ROW(D49))+INDIRECT($D$3&amp;"!G"&amp;ROW(D49)))</f>
        <v>959607.45312876778</v>
      </c>
      <c r="F49" s="305">
        <v>0</v>
      </c>
      <c r="G49" s="306">
        <f t="shared" ca="1" si="11"/>
        <v>0</v>
      </c>
      <c r="H49" s="304">
        <f ca="1">IF($D$3="BAU",UtilityDemand!G42,INDIRECT($D$3&amp;"!H"&amp;ROW(G49))+INDIRECT($D$3&amp;"!J"&amp;ROW(G49)))</f>
        <v>277266.62461275177</v>
      </c>
      <c r="I49" s="305">
        <v>0</v>
      </c>
      <c r="J49" s="306">
        <f t="shared" ca="1" si="29"/>
        <v>0</v>
      </c>
      <c r="K49" s="307">
        <f t="shared" ca="1" si="12"/>
        <v>180090.36644202363</v>
      </c>
      <c r="L49" s="307">
        <f t="shared" si="13"/>
        <v>0</v>
      </c>
      <c r="M49" s="307">
        <v>0</v>
      </c>
      <c r="N49" s="307">
        <f t="shared" ca="1" si="14"/>
        <v>180090.36644202363</v>
      </c>
      <c r="O49" s="306">
        <f t="shared" ca="1" si="15"/>
        <v>959607.45312876778</v>
      </c>
      <c r="P49" s="306">
        <f t="shared" si="16"/>
        <v>0</v>
      </c>
      <c r="Q49" s="306">
        <v>0</v>
      </c>
      <c r="R49" s="306">
        <f t="shared" ca="1" si="17"/>
        <v>959607.45312876778</v>
      </c>
      <c r="S49" s="818">
        <f t="shared" ca="1" si="18"/>
        <v>277266.62461275177</v>
      </c>
      <c r="T49" s="818">
        <f t="shared" si="19"/>
        <v>0</v>
      </c>
      <c r="U49" s="818">
        <v>0</v>
      </c>
      <c r="V49" s="818">
        <f t="shared" ca="1" si="20"/>
        <v>277266.62461275177</v>
      </c>
      <c r="W49" s="306">
        <f t="shared" si="1"/>
        <v>0</v>
      </c>
      <c r="X49" s="306">
        <f t="shared" ca="1" si="30"/>
        <v>-23104.469621227996</v>
      </c>
      <c r="Y49" s="306">
        <v>0</v>
      </c>
      <c r="Z49" s="306">
        <v>0</v>
      </c>
      <c r="AA49" s="308">
        <f ca="1">-SUM(W49,X49/OFFSET(GridFootprintbyYear,$A49-$A$19,0)*EF_PurchElec_MTperMWh,Z49)*OFFSET(ExposureCalculations!Price_GHG_Allowance_2010,A49-$A$19,0)*ExposureCalculations!D46</f>
        <v>1799155.2132699979</v>
      </c>
      <c r="AB49" s="308">
        <f t="shared" ca="1" si="2"/>
        <v>0</v>
      </c>
      <c r="AC49" s="308">
        <v>0</v>
      </c>
      <c r="AD49" s="819">
        <f t="shared" ca="1" si="3"/>
        <v>0</v>
      </c>
      <c r="AE49" s="308">
        <f t="shared" ca="1" si="31"/>
        <v>-440375.2669586502</v>
      </c>
      <c r="AF49" s="819">
        <f t="shared" ca="1" si="4"/>
        <v>0</v>
      </c>
      <c r="AG49" s="308">
        <v>0</v>
      </c>
      <c r="AH49" s="308">
        <v>0</v>
      </c>
      <c r="AI49" s="308">
        <v>0</v>
      </c>
      <c r="AJ49" s="308">
        <f t="shared" ca="1" si="5"/>
        <v>-440375.2669586502</v>
      </c>
      <c r="AK49" s="309">
        <v>0</v>
      </c>
      <c r="AL49" s="309">
        <v>0</v>
      </c>
      <c r="AM49" s="309">
        <f t="shared" si="21"/>
        <v>0</v>
      </c>
      <c r="AN49" s="310">
        <v>0</v>
      </c>
      <c r="AO49" s="310">
        <v>0</v>
      </c>
      <c r="AP49" s="310">
        <f t="shared" si="22"/>
        <v>0</v>
      </c>
      <c r="AQ49" s="309">
        <v>0</v>
      </c>
      <c r="AR49" s="311">
        <f t="shared" ca="1" si="6"/>
        <v>1358779.9463113477</v>
      </c>
      <c r="AS49" s="870">
        <f t="shared" ca="1" si="23"/>
        <v>12540337.090895664</v>
      </c>
      <c r="AT49" s="822"/>
      <c r="AU49" s="878"/>
      <c r="AV49" s="35"/>
      <c r="AW49" s="879"/>
      <c r="AX49" s="35"/>
      <c r="AY49" s="880"/>
      <c r="BK49" s="123">
        <f t="shared" ca="1" si="7"/>
        <v>816687.19415214274</v>
      </c>
      <c r="BL49" s="123">
        <f t="shared" ca="1" si="24"/>
        <v>1061693.3523977855</v>
      </c>
      <c r="BM49" s="123">
        <f t="shared" ca="1" si="25"/>
        <v>530846.67619889276</v>
      </c>
      <c r="BN49" s="123">
        <f t="shared" ca="1" si="26"/>
        <v>505568.26304656453</v>
      </c>
      <c r="BP49" s="312">
        <f ca="1">BL49*CommodityPricing!F35</f>
        <v>6165253.737421101</v>
      </c>
      <c r="BQ49" s="312">
        <f ca="1">(BM49*CommodityPricing!F35)+(CommodityPricing!B35*CoalToNG!BN49)</f>
        <v>6605629.0043797512</v>
      </c>
      <c r="BR49" s="312">
        <f t="shared" ca="1" si="27"/>
        <v>440375.2669586502</v>
      </c>
      <c r="BT49" s="123">
        <f t="shared" ca="1" si="8"/>
        <v>99799.175125391834</v>
      </c>
      <c r="BU49" s="123">
        <f t="shared" ca="1" si="9"/>
        <v>76694.705504163838</v>
      </c>
      <c r="BV49" s="123">
        <f t="shared" ca="1" si="28"/>
        <v>23104.469621227996</v>
      </c>
    </row>
    <row r="50" spans="1:74">
      <c r="A50" s="303">
        <v>2041</v>
      </c>
      <c r="B50" s="304">
        <f ca="1">IF($D$3="BAU",UtilityDemand!C43,INDIRECT($D$3&amp;"!B"&amp;ROW(A50))+INDIRECT($D$3&amp;"!D"&amp;ROW(A50)))</f>
        <v>181666.99204287567</v>
      </c>
      <c r="C50" s="305">
        <v>0</v>
      </c>
      <c r="D50" s="306">
        <f t="shared" ca="1" si="10"/>
        <v>0</v>
      </c>
      <c r="E50" s="304">
        <f ca="1">IF($D$3="BAU",UtilityDemand!E43,INDIRECT($D$3&amp;"!E"&amp;ROW(D50))+INDIRECT($D$3&amp;"!G"&amp;ROW(D50)))</f>
        <v>967994.0522584432</v>
      </c>
      <c r="F50" s="305">
        <v>0</v>
      </c>
      <c r="G50" s="306">
        <f t="shared" ca="1" si="11"/>
        <v>0</v>
      </c>
      <c r="H50" s="304">
        <f ca="1">IF($D$3="BAU",UtilityDemand!G43,INDIRECT($D$3&amp;"!H"&amp;ROW(G50))+INDIRECT($D$3&amp;"!J"&amp;ROW(G50)))</f>
        <v>280331.15917535545</v>
      </c>
      <c r="I50" s="305">
        <v>0</v>
      </c>
      <c r="J50" s="306">
        <f t="shared" ca="1" si="29"/>
        <v>0</v>
      </c>
      <c r="K50" s="307">
        <f t="shared" ca="1" si="12"/>
        <v>181666.99204287567</v>
      </c>
      <c r="L50" s="307">
        <f t="shared" si="13"/>
        <v>0</v>
      </c>
      <c r="M50" s="307">
        <v>0</v>
      </c>
      <c r="N50" s="307">
        <f t="shared" ca="1" si="14"/>
        <v>181666.99204287567</v>
      </c>
      <c r="O50" s="306">
        <f t="shared" ca="1" si="15"/>
        <v>967994.0522584432</v>
      </c>
      <c r="P50" s="306">
        <f t="shared" si="16"/>
        <v>0</v>
      </c>
      <c r="Q50" s="306">
        <v>0</v>
      </c>
      <c r="R50" s="306">
        <f t="shared" ca="1" si="17"/>
        <v>967994.0522584432</v>
      </c>
      <c r="S50" s="818">
        <f t="shared" ca="1" si="18"/>
        <v>280331.15917535545</v>
      </c>
      <c r="T50" s="818">
        <f t="shared" si="19"/>
        <v>0</v>
      </c>
      <c r="U50" s="818">
        <v>0</v>
      </c>
      <c r="V50" s="818">
        <f t="shared" ca="1" si="20"/>
        <v>280331.15917535545</v>
      </c>
      <c r="W50" s="306">
        <f t="shared" si="1"/>
        <v>0</v>
      </c>
      <c r="X50" s="306">
        <f t="shared" ca="1" si="30"/>
        <v>-23306.393776970261</v>
      </c>
      <c r="Y50" s="306">
        <v>0</v>
      </c>
      <c r="Z50" s="306">
        <v>0</v>
      </c>
      <c r="AA50" s="308">
        <f ca="1">-SUM(W50,X50/OFFSET(GridFootprintbyYear,$A50-$A$19,0)*EF_PurchElec_MTperMWh,Z50)*OFFSET(ExposureCalculations!Price_GHG_Allowance_2010,A50-$A$19,0)*ExposureCalculations!D47</f>
        <v>1893666.8854168016</v>
      </c>
      <c r="AB50" s="308">
        <f t="shared" ca="1" si="2"/>
        <v>0</v>
      </c>
      <c r="AC50" s="308">
        <v>0</v>
      </c>
      <c r="AD50" s="819">
        <f t="shared" ca="1" si="3"/>
        <v>0</v>
      </c>
      <c r="AE50" s="308">
        <f t="shared" ca="1" si="31"/>
        <v>-446445.09687452111</v>
      </c>
      <c r="AF50" s="819">
        <f t="shared" ca="1" si="4"/>
        <v>0</v>
      </c>
      <c r="AG50" s="308">
        <v>0</v>
      </c>
      <c r="AH50" s="308">
        <v>0</v>
      </c>
      <c r="AI50" s="308">
        <v>0</v>
      </c>
      <c r="AJ50" s="308">
        <f t="shared" ca="1" si="5"/>
        <v>-446445.09687452111</v>
      </c>
      <c r="AK50" s="309">
        <v>0</v>
      </c>
      <c r="AL50" s="309">
        <v>0</v>
      </c>
      <c r="AM50" s="309">
        <f t="shared" si="21"/>
        <v>0</v>
      </c>
      <c r="AN50" s="310">
        <v>0</v>
      </c>
      <c r="AO50" s="310">
        <v>0</v>
      </c>
      <c r="AP50" s="310">
        <f t="shared" si="22"/>
        <v>0</v>
      </c>
      <c r="AQ50" s="309">
        <v>0</v>
      </c>
      <c r="AR50" s="311">
        <f t="shared" ca="1" si="6"/>
        <v>1447221.7885422804</v>
      </c>
      <c r="AS50" s="870">
        <f t="shared" ca="1" si="23"/>
        <v>13987558.879437944</v>
      </c>
      <c r="AT50" s="822"/>
      <c r="AU50" s="878"/>
      <c r="AV50" s="35"/>
      <c r="AW50" s="879"/>
      <c r="AX50" s="35"/>
      <c r="AY50" s="880"/>
      <c r="BK50" s="123">
        <f t="shared" ca="1" si="7"/>
        <v>823824.72532633459</v>
      </c>
      <c r="BL50" s="123">
        <f t="shared" ca="1" si="24"/>
        <v>1070972.142924235</v>
      </c>
      <c r="BM50" s="123">
        <f t="shared" ca="1" si="25"/>
        <v>535486.07146211748</v>
      </c>
      <c r="BN50" s="123">
        <f t="shared" ca="1" si="26"/>
        <v>509986.73472582613</v>
      </c>
      <c r="BP50" s="312">
        <f ca="1">BL50*CommodityPricing!F36</f>
        <v>6250231.356243304</v>
      </c>
      <c r="BQ50" s="312">
        <f ca="1">(BM50*CommodityPricing!F36)+(CommodityPricing!B36*CoalToNG!BN50)</f>
        <v>6696676.4531178251</v>
      </c>
      <c r="BR50" s="312">
        <f t="shared" ca="1" si="27"/>
        <v>446445.09687452111</v>
      </c>
      <c r="BT50" s="123">
        <f t="shared" ca="1" si="8"/>
        <v>100671.38143487809</v>
      </c>
      <c r="BU50" s="123">
        <f t="shared" ca="1" si="9"/>
        <v>77364.987657907826</v>
      </c>
      <c r="BV50" s="123">
        <f t="shared" ca="1" si="28"/>
        <v>23306.393776970261</v>
      </c>
    </row>
    <row r="51" spans="1:74">
      <c r="A51" s="303">
        <v>2042</v>
      </c>
      <c r="B51" s="304">
        <f ca="1">IF($D$3="BAU",UtilityDemand!C44,INDIRECT($D$3&amp;"!B"&amp;ROW(A51))+INDIRECT($D$3&amp;"!D"&amp;ROW(A51)))</f>
        <v>183243.61764372772</v>
      </c>
      <c r="C51" s="305">
        <v>0</v>
      </c>
      <c r="D51" s="306">
        <f t="shared" ca="1" si="10"/>
        <v>0</v>
      </c>
      <c r="E51" s="304">
        <f ca="1">IF($D$3="BAU",UtilityDemand!E44,INDIRECT($D$3&amp;"!E"&amp;ROW(D51))+INDIRECT($D$3&amp;"!G"&amp;ROW(D51)))</f>
        <v>976380.65138811851</v>
      </c>
      <c r="F51" s="305">
        <v>0</v>
      </c>
      <c r="G51" s="306">
        <f t="shared" ca="1" si="11"/>
        <v>0</v>
      </c>
      <c r="H51" s="304">
        <f ca="1">IF($D$3="BAU",UtilityDemand!G44,INDIRECT($D$3&amp;"!H"&amp;ROW(G51))+INDIRECT($D$3&amp;"!J"&amp;ROW(G51)))</f>
        <v>283395.69373795914</v>
      </c>
      <c r="I51" s="305">
        <v>0</v>
      </c>
      <c r="J51" s="306">
        <f t="shared" ca="1" si="29"/>
        <v>0</v>
      </c>
      <c r="K51" s="307">
        <f t="shared" ca="1" si="12"/>
        <v>183243.61764372772</v>
      </c>
      <c r="L51" s="307">
        <f t="shared" si="13"/>
        <v>0</v>
      </c>
      <c r="M51" s="307">
        <v>0</v>
      </c>
      <c r="N51" s="307">
        <f t="shared" ca="1" si="14"/>
        <v>183243.61764372772</v>
      </c>
      <c r="O51" s="306">
        <f t="shared" ca="1" si="15"/>
        <v>976380.65138811851</v>
      </c>
      <c r="P51" s="306">
        <f t="shared" si="16"/>
        <v>0</v>
      </c>
      <c r="Q51" s="306">
        <v>0</v>
      </c>
      <c r="R51" s="306">
        <f t="shared" ca="1" si="17"/>
        <v>976380.65138811851</v>
      </c>
      <c r="S51" s="818">
        <f t="shared" ca="1" si="18"/>
        <v>283395.69373795914</v>
      </c>
      <c r="T51" s="818">
        <f t="shared" si="19"/>
        <v>0</v>
      </c>
      <c r="U51" s="818">
        <v>0</v>
      </c>
      <c r="V51" s="818">
        <f t="shared" ca="1" si="20"/>
        <v>283395.69373795914</v>
      </c>
      <c r="W51" s="306">
        <f t="shared" si="1"/>
        <v>0</v>
      </c>
      <c r="X51" s="306">
        <f t="shared" ca="1" si="30"/>
        <v>-23508.317932712511</v>
      </c>
      <c r="Y51" s="306">
        <v>0</v>
      </c>
      <c r="Z51" s="306">
        <v>0</v>
      </c>
      <c r="AA51" s="308">
        <f ca="1">-SUM(W51,X51/OFFSET(GridFootprintbyYear,$A51-$A$19,0)*EF_PurchElec_MTperMWh,Z51)*OFFSET(ExposureCalculations!Price_GHG_Allowance_2010,A51-$A$19,0)*ExposureCalculations!D48</f>
        <v>1986447.0575272585</v>
      </c>
      <c r="AB51" s="308">
        <f t="shared" ca="1" si="2"/>
        <v>0</v>
      </c>
      <c r="AC51" s="308">
        <v>0</v>
      </c>
      <c r="AD51" s="819">
        <f t="shared" ca="1" si="3"/>
        <v>0</v>
      </c>
      <c r="AE51" s="308">
        <f t="shared" ca="1" si="31"/>
        <v>-452564.61570787802</v>
      </c>
      <c r="AF51" s="819">
        <f t="shared" ca="1" si="4"/>
        <v>0</v>
      </c>
      <c r="AG51" s="308">
        <v>0</v>
      </c>
      <c r="AH51" s="308">
        <v>0</v>
      </c>
      <c r="AI51" s="308">
        <v>0</v>
      </c>
      <c r="AJ51" s="308">
        <f t="shared" ca="1" si="5"/>
        <v>-452564.61570787802</v>
      </c>
      <c r="AK51" s="309">
        <v>0</v>
      </c>
      <c r="AL51" s="309">
        <v>0</v>
      </c>
      <c r="AM51" s="309">
        <f t="shared" si="21"/>
        <v>0</v>
      </c>
      <c r="AN51" s="310">
        <v>0</v>
      </c>
      <c r="AO51" s="310">
        <v>0</v>
      </c>
      <c r="AP51" s="310">
        <f t="shared" si="22"/>
        <v>0</v>
      </c>
      <c r="AQ51" s="309">
        <v>0</v>
      </c>
      <c r="AR51" s="311">
        <f t="shared" ca="1" si="6"/>
        <v>1533882.4418193805</v>
      </c>
      <c r="AS51" s="870">
        <f t="shared" ca="1" si="23"/>
        <v>15521441.321257325</v>
      </c>
      <c r="AT51" s="822"/>
      <c r="AU51" s="878"/>
      <c r="AV51" s="35"/>
      <c r="AW51" s="879"/>
      <c r="AX51" s="35"/>
      <c r="AY51" s="880"/>
      <c r="BK51" s="123">
        <f t="shared" ca="1" si="7"/>
        <v>830962.25650052633</v>
      </c>
      <c r="BL51" s="123">
        <f t="shared" ca="1" si="24"/>
        <v>1080250.9334506842</v>
      </c>
      <c r="BM51" s="123">
        <f t="shared" ca="1" si="25"/>
        <v>540125.46672534209</v>
      </c>
      <c r="BN51" s="123">
        <f t="shared" ca="1" si="26"/>
        <v>514405.20640508767</v>
      </c>
      <c r="BP51" s="312">
        <f ca="1">BL51*CommodityPricing!F37</f>
        <v>6335904.6199102923</v>
      </c>
      <c r="BQ51" s="312">
        <f ca="1">(BM51*CommodityPricing!F37)+(CommodityPricing!B37*CoalToNG!BN51)</f>
        <v>6788469.2356181704</v>
      </c>
      <c r="BR51" s="312">
        <f t="shared" ca="1" si="27"/>
        <v>452564.61570787802</v>
      </c>
      <c r="BT51" s="123">
        <f t="shared" ca="1" si="8"/>
        <v>101543.58774436431</v>
      </c>
      <c r="BU51" s="123">
        <f t="shared" ca="1" si="9"/>
        <v>78035.2698116518</v>
      </c>
      <c r="BV51" s="123">
        <f t="shared" ca="1" si="28"/>
        <v>23508.317932712511</v>
      </c>
    </row>
    <row r="52" spans="1:74">
      <c r="A52" s="303">
        <v>2043</v>
      </c>
      <c r="B52" s="304">
        <f ca="1">IF($D$3="BAU",UtilityDemand!C45,INDIRECT($D$3&amp;"!B"&amp;ROW(A52))+INDIRECT($D$3&amp;"!D"&amp;ROW(A52)))</f>
        <v>184820.24324457973</v>
      </c>
      <c r="C52" s="305">
        <v>0</v>
      </c>
      <c r="D52" s="306">
        <f t="shared" ca="1" si="10"/>
        <v>0</v>
      </c>
      <c r="E52" s="304">
        <f ca="1">IF($D$3="BAU",UtilityDemand!E45,INDIRECT($D$3&amp;"!E"&amp;ROW(D52))+INDIRECT($D$3&amp;"!G"&amp;ROW(D52)))</f>
        <v>984767.25051779393</v>
      </c>
      <c r="F52" s="305">
        <v>0</v>
      </c>
      <c r="G52" s="306">
        <f t="shared" ca="1" si="11"/>
        <v>0</v>
      </c>
      <c r="H52" s="304">
        <f ca="1">IF($D$3="BAU",UtilityDemand!G45,INDIRECT($D$3&amp;"!H"&amp;ROW(G52))+INDIRECT($D$3&amp;"!J"&amp;ROW(G52)))</f>
        <v>286460.22830056283</v>
      </c>
      <c r="I52" s="305">
        <v>0</v>
      </c>
      <c r="J52" s="306">
        <f t="shared" ca="1" si="29"/>
        <v>0</v>
      </c>
      <c r="K52" s="307">
        <f t="shared" ca="1" si="12"/>
        <v>184820.24324457973</v>
      </c>
      <c r="L52" s="307">
        <f t="shared" si="13"/>
        <v>0</v>
      </c>
      <c r="M52" s="307">
        <v>0</v>
      </c>
      <c r="N52" s="307">
        <f t="shared" ca="1" si="14"/>
        <v>184820.24324457973</v>
      </c>
      <c r="O52" s="306">
        <f t="shared" ca="1" si="15"/>
        <v>984767.25051779393</v>
      </c>
      <c r="P52" s="306">
        <f t="shared" si="16"/>
        <v>0</v>
      </c>
      <c r="Q52" s="306">
        <v>0</v>
      </c>
      <c r="R52" s="306">
        <f t="shared" ca="1" si="17"/>
        <v>984767.25051779393</v>
      </c>
      <c r="S52" s="818">
        <f t="shared" ca="1" si="18"/>
        <v>286460.22830056283</v>
      </c>
      <c r="T52" s="818">
        <f t="shared" si="19"/>
        <v>0</v>
      </c>
      <c r="U52" s="818">
        <v>0</v>
      </c>
      <c r="V52" s="818">
        <f t="shared" ca="1" si="20"/>
        <v>286460.22830056283</v>
      </c>
      <c r="W52" s="306">
        <f t="shared" si="1"/>
        <v>0</v>
      </c>
      <c r="X52" s="306">
        <f t="shared" ca="1" si="30"/>
        <v>-23710.242088454761</v>
      </c>
      <c r="Y52" s="306">
        <v>0</v>
      </c>
      <c r="Z52" s="306">
        <v>0</v>
      </c>
      <c r="AA52" s="308">
        <f ca="1">-SUM(W52,X52/OFFSET(GridFootprintbyYear,$A52-$A$19,0)*EF_PurchElec_MTperMWh,Z52)*OFFSET(ExposureCalculations!Price_GHG_Allowance_2010,A52-$A$19,0)*ExposureCalculations!D49</f>
        <v>2090149.2832177919</v>
      </c>
      <c r="AB52" s="308">
        <f t="shared" ca="1" si="2"/>
        <v>0</v>
      </c>
      <c r="AC52" s="308">
        <v>0</v>
      </c>
      <c r="AD52" s="819">
        <f t="shared" ca="1" si="3"/>
        <v>0</v>
      </c>
      <c r="AE52" s="308">
        <f t="shared" ca="1" si="31"/>
        <v>-458734.16860214621</v>
      </c>
      <c r="AF52" s="819">
        <f t="shared" ca="1" si="4"/>
        <v>0</v>
      </c>
      <c r="AG52" s="308">
        <v>0</v>
      </c>
      <c r="AH52" s="308">
        <v>0</v>
      </c>
      <c r="AI52" s="308">
        <v>0</v>
      </c>
      <c r="AJ52" s="308">
        <f t="shared" ca="1" si="5"/>
        <v>-458734.16860214621</v>
      </c>
      <c r="AK52" s="309">
        <v>0</v>
      </c>
      <c r="AL52" s="309">
        <v>0</v>
      </c>
      <c r="AM52" s="309">
        <f t="shared" si="21"/>
        <v>0</v>
      </c>
      <c r="AN52" s="310">
        <v>0</v>
      </c>
      <c r="AO52" s="310">
        <v>0</v>
      </c>
      <c r="AP52" s="310">
        <f t="shared" si="22"/>
        <v>0</v>
      </c>
      <c r="AQ52" s="309">
        <v>0</v>
      </c>
      <c r="AR52" s="311">
        <f t="shared" ca="1" si="6"/>
        <v>1631415.1146156457</v>
      </c>
      <c r="AS52" s="870">
        <f t="shared" ca="1" si="23"/>
        <v>17152856.435872972</v>
      </c>
      <c r="AT52" s="822"/>
      <c r="AU52" s="878"/>
      <c r="AV52" s="35"/>
      <c r="AW52" s="879"/>
      <c r="AX52" s="35"/>
      <c r="AY52" s="880"/>
      <c r="BK52" s="123">
        <f t="shared" ca="1" si="7"/>
        <v>838099.78767471819</v>
      </c>
      <c r="BL52" s="123">
        <f t="shared" ca="1" si="24"/>
        <v>1089529.7239771336</v>
      </c>
      <c r="BM52" s="123">
        <f t="shared" ca="1" si="25"/>
        <v>544764.86198856682</v>
      </c>
      <c r="BN52" s="123">
        <f t="shared" ca="1" si="26"/>
        <v>518823.67808434932</v>
      </c>
      <c r="BP52" s="312">
        <f ca="1">BL52*CommodityPricing!F38</f>
        <v>6422278.360430046</v>
      </c>
      <c r="BQ52" s="312">
        <f ca="1">(BM52*CommodityPricing!F38)+(CommodityPricing!B38*CoalToNG!BN52)</f>
        <v>6881012.5290321922</v>
      </c>
      <c r="BR52" s="312">
        <f t="shared" ca="1" si="27"/>
        <v>458734.16860214621</v>
      </c>
      <c r="BT52" s="123">
        <f t="shared" ca="1" si="8"/>
        <v>102415.79405385056</v>
      </c>
      <c r="BU52" s="123">
        <f t="shared" ca="1" si="9"/>
        <v>78705.551965395804</v>
      </c>
      <c r="BV52" s="123">
        <f t="shared" ca="1" si="28"/>
        <v>23710.242088454761</v>
      </c>
    </row>
    <row r="53" spans="1:74">
      <c r="A53" s="303">
        <v>2044</v>
      </c>
      <c r="B53" s="304">
        <f ca="1">IF($D$3="BAU",UtilityDemand!C46,INDIRECT($D$3&amp;"!B"&amp;ROW(A53))+INDIRECT($D$3&amp;"!D"&amp;ROW(A53)))</f>
        <v>186396.86884543177</v>
      </c>
      <c r="C53" s="305">
        <v>0</v>
      </c>
      <c r="D53" s="306">
        <f t="shared" ca="1" si="10"/>
        <v>0</v>
      </c>
      <c r="E53" s="304">
        <f ca="1">IF($D$3="BAU",UtilityDemand!E46,INDIRECT($D$3&amp;"!E"&amp;ROW(D53))+INDIRECT($D$3&amp;"!G"&amp;ROW(D53)))</f>
        <v>993153.84964746935</v>
      </c>
      <c r="F53" s="305">
        <v>0</v>
      </c>
      <c r="G53" s="306">
        <f t="shared" ca="1" si="11"/>
        <v>0</v>
      </c>
      <c r="H53" s="304">
        <f ca="1">IF($D$3="BAU",UtilityDemand!G46,INDIRECT($D$3&amp;"!H"&amp;ROW(G53))+INDIRECT($D$3&amp;"!J"&amp;ROW(G53)))</f>
        <v>289524.76286316651</v>
      </c>
      <c r="I53" s="305">
        <v>0</v>
      </c>
      <c r="J53" s="306">
        <f t="shared" ca="1" si="29"/>
        <v>0</v>
      </c>
      <c r="K53" s="307">
        <f t="shared" ca="1" si="12"/>
        <v>186396.86884543177</v>
      </c>
      <c r="L53" s="307">
        <f t="shared" si="13"/>
        <v>0</v>
      </c>
      <c r="M53" s="307">
        <v>0</v>
      </c>
      <c r="N53" s="307">
        <f t="shared" ca="1" si="14"/>
        <v>186396.86884543177</v>
      </c>
      <c r="O53" s="306">
        <f t="shared" ca="1" si="15"/>
        <v>993153.84964746935</v>
      </c>
      <c r="P53" s="306">
        <f t="shared" si="16"/>
        <v>0</v>
      </c>
      <c r="Q53" s="306">
        <v>0</v>
      </c>
      <c r="R53" s="306">
        <f t="shared" ca="1" si="17"/>
        <v>993153.84964746935</v>
      </c>
      <c r="S53" s="818">
        <f t="shared" ca="1" si="18"/>
        <v>289524.76286316651</v>
      </c>
      <c r="T53" s="818">
        <f t="shared" si="19"/>
        <v>0</v>
      </c>
      <c r="U53" s="818">
        <v>0</v>
      </c>
      <c r="V53" s="818">
        <f t="shared" ca="1" si="20"/>
        <v>289524.76286316651</v>
      </c>
      <c r="W53" s="306">
        <f t="shared" si="1"/>
        <v>0</v>
      </c>
      <c r="X53" s="306">
        <f t="shared" ca="1" si="30"/>
        <v>-23912.166244197026</v>
      </c>
      <c r="Y53" s="306">
        <v>0</v>
      </c>
      <c r="Z53" s="306">
        <v>0</v>
      </c>
      <c r="AA53" s="308">
        <f ca="1">-SUM(W53,X53/OFFSET(GridFootprintbyYear,$A53-$A$19,0)*EF_PurchElec_MTperMWh,Z53)*OFFSET(ExposureCalculations!Price_GHG_Allowance_2010,A53-$A$19,0)*ExposureCalculations!D50</f>
        <v>2206993.9734365349</v>
      </c>
      <c r="AB53" s="308">
        <f t="shared" ca="1" si="2"/>
        <v>0</v>
      </c>
      <c r="AC53" s="308">
        <v>0</v>
      </c>
      <c r="AD53" s="819">
        <f t="shared" ca="1" si="3"/>
        <v>0</v>
      </c>
      <c r="AE53" s="308">
        <f t="shared" ca="1" si="31"/>
        <v>-464954.10290996451</v>
      </c>
      <c r="AF53" s="819">
        <f t="shared" ca="1" si="4"/>
        <v>0</v>
      </c>
      <c r="AG53" s="308">
        <v>0</v>
      </c>
      <c r="AH53" s="308">
        <v>0</v>
      </c>
      <c r="AI53" s="308">
        <v>0</v>
      </c>
      <c r="AJ53" s="308">
        <f t="shared" ca="1" si="5"/>
        <v>-464954.10290996451</v>
      </c>
      <c r="AK53" s="309">
        <v>0</v>
      </c>
      <c r="AL53" s="309">
        <v>0</v>
      </c>
      <c r="AM53" s="309">
        <f t="shared" si="21"/>
        <v>0</v>
      </c>
      <c r="AN53" s="310">
        <v>0</v>
      </c>
      <c r="AO53" s="310">
        <v>0</v>
      </c>
      <c r="AP53" s="310">
        <f t="shared" si="22"/>
        <v>0</v>
      </c>
      <c r="AQ53" s="309">
        <v>0</v>
      </c>
      <c r="AR53" s="311">
        <f t="shared" ca="1" si="6"/>
        <v>1742039.8705265704</v>
      </c>
      <c r="AS53" s="870">
        <f t="shared" ca="1" si="23"/>
        <v>18894896.306399543</v>
      </c>
      <c r="AT53" s="822"/>
      <c r="AU53" s="878"/>
      <c r="AV53" s="35"/>
      <c r="AW53" s="879"/>
      <c r="AX53" s="35"/>
      <c r="AY53" s="880"/>
      <c r="BK53" s="123">
        <f t="shared" ca="1" si="7"/>
        <v>845237.31884891004</v>
      </c>
      <c r="BL53" s="123">
        <f t="shared" ca="1" si="24"/>
        <v>1098808.5145035831</v>
      </c>
      <c r="BM53" s="123">
        <f t="shared" ca="1" si="25"/>
        <v>549404.25725179154</v>
      </c>
      <c r="BN53" s="123">
        <f t="shared" ca="1" si="26"/>
        <v>523242.14976361097</v>
      </c>
      <c r="BP53" s="312">
        <f ca="1">BL53*CommodityPricing!F39</f>
        <v>6509357.4407395003</v>
      </c>
      <c r="BQ53" s="312">
        <f ca="1">(BM53*CommodityPricing!F39)+(CommodityPricing!B39*CoalToNG!BN53)</f>
        <v>6974311.5436494648</v>
      </c>
      <c r="BR53" s="312">
        <f t="shared" ca="1" si="27"/>
        <v>464954.10290996451</v>
      </c>
      <c r="BT53" s="123">
        <f t="shared" ca="1" si="8"/>
        <v>103288.0003633368</v>
      </c>
      <c r="BU53" s="123">
        <f t="shared" ca="1" si="9"/>
        <v>79375.834119139778</v>
      </c>
      <c r="BV53" s="123">
        <f t="shared" ca="1" si="28"/>
        <v>23912.166244197026</v>
      </c>
    </row>
    <row r="54" spans="1:74">
      <c r="A54" s="303">
        <v>2045</v>
      </c>
      <c r="B54" s="304">
        <f ca="1">IF($D$3="BAU",UtilityDemand!C47,INDIRECT($D$3&amp;"!B"&amp;ROW(A54))+INDIRECT($D$3&amp;"!D"&amp;ROW(A54)))</f>
        <v>187973.49444628376</v>
      </c>
      <c r="C54" s="305">
        <v>0</v>
      </c>
      <c r="D54" s="306">
        <f t="shared" ca="1" si="10"/>
        <v>0</v>
      </c>
      <c r="E54" s="304">
        <f ca="1">IF($D$3="BAU",UtilityDemand!E47,INDIRECT($D$3&amp;"!E"&amp;ROW(D54))+INDIRECT($D$3&amp;"!G"&amp;ROW(D54)))</f>
        <v>1001540.4487771448</v>
      </c>
      <c r="F54" s="305">
        <v>0</v>
      </c>
      <c r="G54" s="306">
        <f t="shared" ca="1" si="11"/>
        <v>0</v>
      </c>
      <c r="H54" s="304">
        <f ca="1">IF($D$3="BAU",UtilityDemand!G47,INDIRECT($D$3&amp;"!H"&amp;ROW(G54))+INDIRECT($D$3&amp;"!J"&amp;ROW(G54)))</f>
        <v>292589.2974257702</v>
      </c>
      <c r="I54" s="305">
        <v>0</v>
      </c>
      <c r="J54" s="306">
        <f t="shared" ca="1" si="29"/>
        <v>0</v>
      </c>
      <c r="K54" s="307">
        <f t="shared" ca="1" si="12"/>
        <v>187973.49444628376</v>
      </c>
      <c r="L54" s="307">
        <f t="shared" si="13"/>
        <v>0</v>
      </c>
      <c r="M54" s="307">
        <v>0</v>
      </c>
      <c r="N54" s="307">
        <f t="shared" ca="1" si="14"/>
        <v>187973.49444628376</v>
      </c>
      <c r="O54" s="306">
        <f t="shared" ca="1" si="15"/>
        <v>1001540.4487771448</v>
      </c>
      <c r="P54" s="306">
        <f t="shared" si="16"/>
        <v>0</v>
      </c>
      <c r="Q54" s="306">
        <v>0</v>
      </c>
      <c r="R54" s="306">
        <f t="shared" ca="1" si="17"/>
        <v>1001540.4487771448</v>
      </c>
      <c r="S54" s="818">
        <f t="shared" ca="1" si="18"/>
        <v>292589.2974257702</v>
      </c>
      <c r="T54" s="818">
        <f t="shared" si="19"/>
        <v>0</v>
      </c>
      <c r="U54" s="818">
        <v>0</v>
      </c>
      <c r="V54" s="818">
        <f t="shared" ca="1" si="20"/>
        <v>292589.2974257702</v>
      </c>
      <c r="W54" s="306">
        <f t="shared" si="1"/>
        <v>0</v>
      </c>
      <c r="X54" s="306">
        <f t="shared" ca="1" si="30"/>
        <v>-24114.090399939276</v>
      </c>
      <c r="Y54" s="306">
        <v>0</v>
      </c>
      <c r="Z54" s="306">
        <v>0</v>
      </c>
      <c r="AA54" s="308">
        <f ca="1">-SUM(W54,X54/OFFSET(GridFootprintbyYear,$A54-$A$19,0)*EF_PurchElec_MTperMWh,Z54)*OFFSET(ExposureCalculations!Price_GHG_Allowance_2010,A54-$A$19,0)*ExposureCalculations!D51</f>
        <v>2340130.1525549316</v>
      </c>
      <c r="AB54" s="308">
        <f t="shared" ca="1" si="2"/>
        <v>0</v>
      </c>
      <c r="AC54" s="308">
        <v>0</v>
      </c>
      <c r="AD54" s="819">
        <f t="shared" ca="1" si="3"/>
        <v>0</v>
      </c>
      <c r="AE54" s="308">
        <f t="shared" ca="1" si="31"/>
        <v>-471224.7682066448</v>
      </c>
      <c r="AF54" s="819">
        <f t="shared" ca="1" si="4"/>
        <v>0</v>
      </c>
      <c r="AG54" s="308">
        <v>0</v>
      </c>
      <c r="AH54" s="308">
        <v>0</v>
      </c>
      <c r="AI54" s="308">
        <v>0</v>
      </c>
      <c r="AJ54" s="308">
        <f t="shared" ca="1" si="5"/>
        <v>-471224.7682066448</v>
      </c>
      <c r="AK54" s="309">
        <v>0</v>
      </c>
      <c r="AL54" s="309">
        <v>0</v>
      </c>
      <c r="AM54" s="309">
        <f t="shared" si="21"/>
        <v>0</v>
      </c>
      <c r="AN54" s="310">
        <v>0</v>
      </c>
      <c r="AO54" s="310">
        <v>0</v>
      </c>
      <c r="AP54" s="310">
        <f t="shared" si="22"/>
        <v>0</v>
      </c>
      <c r="AQ54" s="309">
        <v>0</v>
      </c>
      <c r="AR54" s="311">
        <f t="shared" ca="1" si="6"/>
        <v>1868905.3843482868</v>
      </c>
      <c r="AS54" s="870">
        <f t="shared" ca="1" si="23"/>
        <v>20763801.690747831</v>
      </c>
      <c r="AT54" s="822"/>
      <c r="AU54" s="878"/>
      <c r="AV54" s="35"/>
      <c r="AW54" s="879"/>
      <c r="AX54" s="35"/>
      <c r="AY54" s="880"/>
      <c r="BK54" s="123">
        <f t="shared" ca="1" si="7"/>
        <v>852374.8500231019</v>
      </c>
      <c r="BL54" s="123">
        <f t="shared" ca="1" si="24"/>
        <v>1108087.3050300325</v>
      </c>
      <c r="BM54" s="123">
        <f t="shared" ca="1" si="25"/>
        <v>554043.65251501626</v>
      </c>
      <c r="BN54" s="123">
        <f t="shared" ca="1" si="26"/>
        <v>527660.62144287257</v>
      </c>
      <c r="BP54" s="312">
        <f ca="1">BL54*CommodityPricing!F40</f>
        <v>6597146.7548930394</v>
      </c>
      <c r="BQ54" s="312">
        <f ca="1">(BM54*CommodityPricing!F40)+(CommodityPricing!B40*CoalToNG!BN54)</f>
        <v>7068371.5230996842</v>
      </c>
      <c r="BR54" s="312">
        <f t="shared" ca="1" si="27"/>
        <v>471224.7682066448</v>
      </c>
      <c r="BT54" s="123">
        <f t="shared" ca="1" si="8"/>
        <v>104160.20667282306</v>
      </c>
      <c r="BU54" s="123">
        <f t="shared" ca="1" si="9"/>
        <v>80046.116272883781</v>
      </c>
      <c r="BV54" s="123">
        <f t="shared" ca="1" si="28"/>
        <v>24114.090399939276</v>
      </c>
    </row>
    <row r="55" spans="1:74">
      <c r="A55" s="303">
        <v>2046</v>
      </c>
      <c r="B55" s="304">
        <f ca="1">IF($D$3="BAU",UtilityDemand!C48,INDIRECT($D$3&amp;"!B"&amp;ROW(A55))+INDIRECT($D$3&amp;"!D"&amp;ROW(A55)))</f>
        <v>189550.12004713583</v>
      </c>
      <c r="C55" s="305">
        <v>0</v>
      </c>
      <c r="D55" s="306">
        <f t="shared" ca="1" si="10"/>
        <v>0</v>
      </c>
      <c r="E55" s="304">
        <f ca="1">IF($D$3="BAU",UtilityDemand!E48,INDIRECT($D$3&amp;"!E"&amp;ROW(D55))+INDIRECT($D$3&amp;"!G"&amp;ROW(D55)))</f>
        <v>1009927.04790682</v>
      </c>
      <c r="F55" s="305">
        <v>0</v>
      </c>
      <c r="G55" s="306">
        <f t="shared" ca="1" si="11"/>
        <v>0</v>
      </c>
      <c r="H55" s="304">
        <f ca="1">IF($D$3="BAU",UtilityDemand!G48,INDIRECT($D$3&amp;"!H"&amp;ROW(G55))+INDIRECT($D$3&amp;"!J"&amp;ROW(G55)))</f>
        <v>295653.83198837389</v>
      </c>
      <c r="I55" s="305">
        <v>0</v>
      </c>
      <c r="J55" s="306">
        <f t="shared" ca="1" si="29"/>
        <v>0</v>
      </c>
      <c r="K55" s="307">
        <f t="shared" ca="1" si="12"/>
        <v>189550.12004713583</v>
      </c>
      <c r="L55" s="307">
        <f t="shared" si="13"/>
        <v>0</v>
      </c>
      <c r="M55" s="307">
        <v>0</v>
      </c>
      <c r="N55" s="307">
        <f t="shared" ca="1" si="14"/>
        <v>189550.12004713583</v>
      </c>
      <c r="O55" s="306">
        <f t="shared" ca="1" si="15"/>
        <v>1009927.04790682</v>
      </c>
      <c r="P55" s="306">
        <f t="shared" si="16"/>
        <v>0</v>
      </c>
      <c r="Q55" s="306">
        <v>0</v>
      </c>
      <c r="R55" s="306">
        <f t="shared" ca="1" si="17"/>
        <v>1009927.04790682</v>
      </c>
      <c r="S55" s="818">
        <f t="shared" ca="1" si="18"/>
        <v>295653.83198837389</v>
      </c>
      <c r="T55" s="818">
        <f t="shared" si="19"/>
        <v>0</v>
      </c>
      <c r="U55" s="818">
        <v>0</v>
      </c>
      <c r="V55" s="818">
        <f t="shared" ca="1" si="20"/>
        <v>295653.83198837389</v>
      </c>
      <c r="W55" s="306">
        <f t="shared" si="1"/>
        <v>0</v>
      </c>
      <c r="X55" s="306">
        <f t="shared" ca="1" si="30"/>
        <v>-24316.014555681541</v>
      </c>
      <c r="Y55" s="306">
        <v>0</v>
      </c>
      <c r="Z55" s="306">
        <v>0</v>
      </c>
      <c r="AA55" s="308">
        <f ca="1">-SUM(W55,X55/OFFSET(GridFootprintbyYear,$A55-$A$19,0)*EF_PurchElec_MTperMWh,Z55)*OFFSET(ExposureCalculations!Price_GHG_Allowance_2010,A55-$A$19,0)*ExposureCalculations!D52</f>
        <v>2482936.444115188</v>
      </c>
      <c r="AB55" s="308">
        <f t="shared" ca="1" si="2"/>
        <v>0</v>
      </c>
      <c r="AC55" s="308">
        <v>0</v>
      </c>
      <c r="AD55" s="819">
        <f t="shared" ca="1" si="3"/>
        <v>0</v>
      </c>
      <c r="AE55" s="308">
        <f t="shared" ca="1" si="31"/>
        <v>-477546.51630371995</v>
      </c>
      <c r="AF55" s="819">
        <f t="shared" ca="1" si="4"/>
        <v>0</v>
      </c>
      <c r="AG55" s="308">
        <v>0</v>
      </c>
      <c r="AH55" s="308">
        <v>0</v>
      </c>
      <c r="AI55" s="308">
        <v>0</v>
      </c>
      <c r="AJ55" s="308">
        <f t="shared" ca="1" si="5"/>
        <v>-477546.51630371995</v>
      </c>
      <c r="AK55" s="309">
        <v>0</v>
      </c>
      <c r="AL55" s="309">
        <v>0</v>
      </c>
      <c r="AM55" s="309">
        <f t="shared" si="21"/>
        <v>0</v>
      </c>
      <c r="AN55" s="310">
        <v>0</v>
      </c>
      <c r="AO55" s="310">
        <v>0</v>
      </c>
      <c r="AP55" s="310">
        <f t="shared" si="22"/>
        <v>0</v>
      </c>
      <c r="AQ55" s="309">
        <v>0</v>
      </c>
      <c r="AR55" s="311">
        <f t="shared" ca="1" si="6"/>
        <v>2005389.927811468</v>
      </c>
      <c r="AS55" s="870">
        <f t="shared" ca="1" si="23"/>
        <v>22769191.618559301</v>
      </c>
      <c r="AT55" s="822"/>
      <c r="AU55" s="878"/>
      <c r="AV55" s="35"/>
      <c r="AW55" s="879"/>
      <c r="AX55" s="35"/>
      <c r="AY55" s="880"/>
      <c r="BK55" s="123">
        <f t="shared" ca="1" si="7"/>
        <v>859512.38119729364</v>
      </c>
      <c r="BL55" s="123">
        <f t="shared" ca="1" si="24"/>
        <v>1117366.0955564817</v>
      </c>
      <c r="BM55" s="123">
        <f t="shared" ca="1" si="25"/>
        <v>558683.04777824087</v>
      </c>
      <c r="BN55" s="123">
        <f t="shared" ca="1" si="26"/>
        <v>532079.0931221341</v>
      </c>
      <c r="BP55" s="312">
        <f ca="1">BL55*CommodityPricing!F41</f>
        <v>6685651.2282520905</v>
      </c>
      <c r="BQ55" s="312">
        <f ca="1">(BM55*CommodityPricing!F41)+(CommodityPricing!B41*CoalToNG!BN55)</f>
        <v>7163197.7445558105</v>
      </c>
      <c r="BR55" s="312">
        <f t="shared" ca="1" si="27"/>
        <v>477546.51630371995</v>
      </c>
      <c r="BT55" s="123">
        <f t="shared" ca="1" si="8"/>
        <v>105032.41298230928</v>
      </c>
      <c r="BU55" s="123">
        <f t="shared" ca="1" si="9"/>
        <v>80716.39842662774</v>
      </c>
      <c r="BV55" s="123">
        <f t="shared" ca="1" si="28"/>
        <v>24316.014555681541</v>
      </c>
    </row>
    <row r="56" spans="1:74">
      <c r="A56" s="303">
        <v>2047</v>
      </c>
      <c r="B56" s="304">
        <f ca="1">IF($D$3="BAU",UtilityDemand!C49,INDIRECT($D$3&amp;"!B"&amp;ROW(A56))+INDIRECT($D$3&amp;"!D"&amp;ROW(A56)))</f>
        <v>191126.74564798782</v>
      </c>
      <c r="C56" s="305">
        <v>0</v>
      </c>
      <c r="D56" s="306">
        <f t="shared" ca="1" si="10"/>
        <v>0</v>
      </c>
      <c r="E56" s="304">
        <f ca="1">IF($D$3="BAU",UtilityDemand!E49,INDIRECT($D$3&amp;"!E"&amp;ROW(D56))+INDIRECT($D$3&amp;"!G"&amp;ROW(D56)))</f>
        <v>1018313.6470364953</v>
      </c>
      <c r="F56" s="305">
        <v>0</v>
      </c>
      <c r="G56" s="306">
        <f t="shared" ca="1" si="11"/>
        <v>0</v>
      </c>
      <c r="H56" s="304">
        <f ca="1">IF($D$3="BAU",UtilityDemand!G49,INDIRECT($D$3&amp;"!H"&amp;ROW(G56))+INDIRECT($D$3&amp;"!J"&amp;ROW(G56)))</f>
        <v>298718.36655097757</v>
      </c>
      <c r="I56" s="305">
        <v>0</v>
      </c>
      <c r="J56" s="306">
        <f t="shared" ca="1" si="29"/>
        <v>0</v>
      </c>
      <c r="K56" s="307">
        <f t="shared" ca="1" si="12"/>
        <v>191126.74564798782</v>
      </c>
      <c r="L56" s="307">
        <f t="shared" si="13"/>
        <v>0</v>
      </c>
      <c r="M56" s="307">
        <v>0</v>
      </c>
      <c r="N56" s="307">
        <f t="shared" ca="1" si="14"/>
        <v>191126.74564798782</v>
      </c>
      <c r="O56" s="306">
        <f t="shared" ca="1" si="15"/>
        <v>1018313.6470364953</v>
      </c>
      <c r="P56" s="306">
        <f t="shared" si="16"/>
        <v>0</v>
      </c>
      <c r="Q56" s="306">
        <v>0</v>
      </c>
      <c r="R56" s="306">
        <f t="shared" ca="1" si="17"/>
        <v>1018313.6470364953</v>
      </c>
      <c r="S56" s="818">
        <f t="shared" ca="1" si="18"/>
        <v>298718.36655097757</v>
      </c>
      <c r="T56" s="818">
        <f t="shared" si="19"/>
        <v>0</v>
      </c>
      <c r="U56" s="818">
        <v>0</v>
      </c>
      <c r="V56" s="818">
        <f t="shared" ca="1" si="20"/>
        <v>298718.36655097757</v>
      </c>
      <c r="W56" s="306">
        <f t="shared" si="1"/>
        <v>0</v>
      </c>
      <c r="X56" s="306">
        <f t="shared" ca="1" si="30"/>
        <v>-24517.938711423776</v>
      </c>
      <c r="Y56" s="306">
        <v>0</v>
      </c>
      <c r="Z56" s="306">
        <v>0</v>
      </c>
      <c r="AA56" s="308">
        <f ca="1">-SUM(W56,X56/OFFSET(GridFootprintbyYear,$A56-$A$19,0)*EF_PurchElec_MTperMWh,Z56)*OFFSET(ExposureCalculations!Price_GHG_Allowance_2010,A56-$A$19,0)*ExposureCalculations!D53</f>
        <v>2636584.2813690342</v>
      </c>
      <c r="AB56" s="308">
        <f t="shared" ca="1" si="2"/>
        <v>0</v>
      </c>
      <c r="AC56" s="308">
        <v>0</v>
      </c>
      <c r="AD56" s="819">
        <f t="shared" ca="1" si="3"/>
        <v>0</v>
      </c>
      <c r="AE56" s="308">
        <f t="shared" ca="1" si="31"/>
        <v>-483919.70126256067</v>
      </c>
      <c r="AF56" s="819">
        <f t="shared" ca="1" si="4"/>
        <v>0</v>
      </c>
      <c r="AG56" s="308">
        <v>0</v>
      </c>
      <c r="AH56" s="308">
        <v>0</v>
      </c>
      <c r="AI56" s="308">
        <v>0</v>
      </c>
      <c r="AJ56" s="308">
        <f t="shared" ca="1" si="5"/>
        <v>-483919.70126256067</v>
      </c>
      <c r="AK56" s="309">
        <v>0</v>
      </c>
      <c r="AL56" s="309">
        <v>0</v>
      </c>
      <c r="AM56" s="309">
        <f t="shared" si="21"/>
        <v>0</v>
      </c>
      <c r="AN56" s="310">
        <v>0</v>
      </c>
      <c r="AO56" s="310">
        <v>0</v>
      </c>
      <c r="AP56" s="310">
        <f t="shared" si="22"/>
        <v>0</v>
      </c>
      <c r="AQ56" s="309">
        <v>0</v>
      </c>
      <c r="AR56" s="311">
        <f t="shared" ca="1" si="6"/>
        <v>2152664.5801064735</v>
      </c>
      <c r="AS56" s="870">
        <f t="shared" ca="1" si="23"/>
        <v>24921856.198665775</v>
      </c>
      <c r="AT56" s="822"/>
      <c r="AU56" s="878"/>
      <c r="AV56" s="35"/>
      <c r="AW56" s="879"/>
      <c r="AX56" s="35"/>
      <c r="AY56" s="880"/>
      <c r="BK56" s="123">
        <f t="shared" ca="1" si="7"/>
        <v>866649.91237148538</v>
      </c>
      <c r="BL56" s="123">
        <f t="shared" ca="1" si="24"/>
        <v>1126644.886082931</v>
      </c>
      <c r="BM56" s="123">
        <f t="shared" ca="1" si="25"/>
        <v>563322.44304146548</v>
      </c>
      <c r="BN56" s="123">
        <f t="shared" ca="1" si="26"/>
        <v>536497.56480139564</v>
      </c>
      <c r="BP56" s="312">
        <f ca="1">BL56*CommodityPricing!F42</f>
        <v>6774875.8176758615</v>
      </c>
      <c r="BQ56" s="312">
        <f ca="1">(BM56*CommodityPricing!F42)+(CommodityPricing!B42*CoalToNG!BN56)</f>
        <v>7258795.5189384222</v>
      </c>
      <c r="BR56" s="312">
        <f t="shared" ca="1" si="27"/>
        <v>483919.70126256067</v>
      </c>
      <c r="BT56" s="123">
        <f t="shared" ca="1" si="8"/>
        <v>105904.6192917955</v>
      </c>
      <c r="BU56" s="123">
        <f t="shared" ca="1" si="9"/>
        <v>81386.680580371729</v>
      </c>
      <c r="BV56" s="123">
        <f t="shared" ca="1" si="28"/>
        <v>24517.938711423776</v>
      </c>
    </row>
    <row r="57" spans="1:74">
      <c r="A57" s="303">
        <v>2048</v>
      </c>
      <c r="B57" s="304">
        <f ca="1">IF($D$3="BAU",UtilityDemand!C50,INDIRECT($D$3&amp;"!B"&amp;ROW(A57))+INDIRECT($D$3&amp;"!D"&amp;ROW(A57)))</f>
        <v>192703.37124883989</v>
      </c>
      <c r="C57" s="305">
        <v>0</v>
      </c>
      <c r="D57" s="306">
        <f t="shared" ca="1" si="10"/>
        <v>0</v>
      </c>
      <c r="E57" s="304">
        <f ca="1">IF($D$3="BAU",UtilityDemand!E50,INDIRECT($D$3&amp;"!E"&amp;ROW(D57))+INDIRECT($D$3&amp;"!G"&amp;ROW(D57)))</f>
        <v>1026700.2461661708</v>
      </c>
      <c r="F57" s="305">
        <v>0</v>
      </c>
      <c r="G57" s="306">
        <f t="shared" ca="1" si="11"/>
        <v>0</v>
      </c>
      <c r="H57" s="304">
        <f ca="1">IF($D$3="BAU",UtilityDemand!G50,INDIRECT($D$3&amp;"!H"&amp;ROW(G57))+INDIRECT($D$3&amp;"!J"&amp;ROW(G57)))</f>
        <v>301782.90111358126</v>
      </c>
      <c r="I57" s="305">
        <v>0</v>
      </c>
      <c r="J57" s="306">
        <f t="shared" ca="1" si="29"/>
        <v>0</v>
      </c>
      <c r="K57" s="307">
        <f t="shared" ca="1" si="12"/>
        <v>192703.37124883989</v>
      </c>
      <c r="L57" s="307">
        <f t="shared" si="13"/>
        <v>0</v>
      </c>
      <c r="M57" s="307">
        <v>0</v>
      </c>
      <c r="N57" s="307">
        <f t="shared" ca="1" si="14"/>
        <v>192703.37124883989</v>
      </c>
      <c r="O57" s="306">
        <f t="shared" ca="1" si="15"/>
        <v>1026700.2461661708</v>
      </c>
      <c r="P57" s="306">
        <f t="shared" si="16"/>
        <v>0</v>
      </c>
      <c r="Q57" s="306">
        <v>0</v>
      </c>
      <c r="R57" s="306">
        <f t="shared" ca="1" si="17"/>
        <v>1026700.2461661708</v>
      </c>
      <c r="S57" s="818">
        <f t="shared" ca="1" si="18"/>
        <v>301782.90111358126</v>
      </c>
      <c r="T57" s="818">
        <f t="shared" si="19"/>
        <v>0</v>
      </c>
      <c r="U57" s="818">
        <v>0</v>
      </c>
      <c r="V57" s="818">
        <f t="shared" ca="1" si="20"/>
        <v>301782.90111358126</v>
      </c>
      <c r="W57" s="306">
        <f t="shared" si="1"/>
        <v>0</v>
      </c>
      <c r="X57" s="306">
        <f t="shared" ca="1" si="30"/>
        <v>-24719.862867166041</v>
      </c>
      <c r="Y57" s="306">
        <v>0</v>
      </c>
      <c r="Z57" s="306">
        <v>0</v>
      </c>
      <c r="AA57" s="308">
        <f ca="1">-SUM(W57,X57/OFFSET(GridFootprintbyYear,$A57-$A$19,0)*EF_PurchElec_MTperMWh,Z57)*OFFSET(ExposureCalculations!Price_GHG_Allowance_2010,A57-$A$19,0)*ExposureCalculations!D54</f>
        <v>2802360.2375611942</v>
      </c>
      <c r="AB57" s="308">
        <f t="shared" ca="1" si="2"/>
        <v>0</v>
      </c>
      <c r="AC57" s="308">
        <v>0</v>
      </c>
      <c r="AD57" s="819">
        <f t="shared" ca="1" si="3"/>
        <v>0</v>
      </c>
      <c r="AE57" s="308">
        <f t="shared" ca="1" si="31"/>
        <v>-490344.67940808367</v>
      </c>
      <c r="AF57" s="819">
        <f t="shared" ca="1" si="4"/>
        <v>0</v>
      </c>
      <c r="AG57" s="308">
        <v>0</v>
      </c>
      <c r="AH57" s="308">
        <v>0</v>
      </c>
      <c r="AI57" s="308">
        <v>0</v>
      </c>
      <c r="AJ57" s="308">
        <f t="shared" ca="1" si="5"/>
        <v>-490344.67940808367</v>
      </c>
      <c r="AK57" s="309">
        <v>0</v>
      </c>
      <c r="AL57" s="309">
        <v>0</v>
      </c>
      <c r="AM57" s="309">
        <f t="shared" si="21"/>
        <v>0</v>
      </c>
      <c r="AN57" s="310">
        <v>0</v>
      </c>
      <c r="AO57" s="310">
        <v>0</v>
      </c>
      <c r="AP57" s="310">
        <f t="shared" si="22"/>
        <v>0</v>
      </c>
      <c r="AQ57" s="309">
        <v>0</v>
      </c>
      <c r="AR57" s="311">
        <f t="shared" ca="1" si="6"/>
        <v>2312015.5581531106</v>
      </c>
      <c r="AS57" s="870">
        <f t="shared" ca="1" si="23"/>
        <v>27233871.756818887</v>
      </c>
      <c r="AT57" s="822"/>
      <c r="AU57" s="878"/>
      <c r="AV57" s="35"/>
      <c r="AW57" s="879"/>
      <c r="AX57" s="35"/>
      <c r="AY57" s="880"/>
      <c r="BK57" s="123">
        <f t="shared" ca="1" si="7"/>
        <v>873787.44354567735</v>
      </c>
      <c r="BL57" s="123">
        <f t="shared" ca="1" si="24"/>
        <v>1135923.6766093806</v>
      </c>
      <c r="BM57" s="123">
        <f t="shared" ca="1" si="25"/>
        <v>567961.83830469032</v>
      </c>
      <c r="BN57" s="123">
        <f t="shared" ca="1" si="26"/>
        <v>540916.03648065741</v>
      </c>
      <c r="BP57" s="312">
        <f ca="1">BL57*CommodityPricing!F43</f>
        <v>6864825.5117131667</v>
      </c>
      <c r="BQ57" s="312">
        <f ca="1">(BM57*CommodityPricing!F43)+(CommodityPricing!B43*CoalToNG!BN57)</f>
        <v>7355170.1911212504</v>
      </c>
      <c r="BR57" s="312">
        <f t="shared" ca="1" si="27"/>
        <v>490344.67940808367</v>
      </c>
      <c r="BT57" s="123">
        <f t="shared" ca="1" si="8"/>
        <v>106776.82560128177</v>
      </c>
      <c r="BU57" s="123">
        <f t="shared" ca="1" si="9"/>
        <v>82056.962734115732</v>
      </c>
      <c r="BV57" s="123">
        <f t="shared" ca="1" si="28"/>
        <v>24719.862867166041</v>
      </c>
    </row>
    <row r="58" spans="1:74">
      <c r="A58" s="303">
        <v>2049</v>
      </c>
      <c r="B58" s="304">
        <f ca="1">IF($D$3="BAU",UtilityDemand!C51,INDIRECT($D$3&amp;"!B"&amp;ROW(A58))+INDIRECT($D$3&amp;"!D"&amp;ROW(A58)))</f>
        <v>194279.99684969187</v>
      </c>
      <c r="C58" s="305">
        <v>0</v>
      </c>
      <c r="D58" s="306">
        <f t="shared" ca="1" si="10"/>
        <v>0</v>
      </c>
      <c r="E58" s="304">
        <f ca="1">IF($D$3="BAU",UtilityDemand!E51,INDIRECT($D$3&amp;"!E"&amp;ROW(D58))+INDIRECT($D$3&amp;"!G"&amp;ROW(D58)))</f>
        <v>1035086.8452958462</v>
      </c>
      <c r="F58" s="305">
        <v>0</v>
      </c>
      <c r="G58" s="306">
        <f t="shared" ca="1" si="11"/>
        <v>0</v>
      </c>
      <c r="H58" s="304">
        <f ca="1">IF($D$3="BAU",UtilityDemand!G51,INDIRECT($D$3&amp;"!H"&amp;ROW(G58))+INDIRECT($D$3&amp;"!J"&amp;ROW(G58)))</f>
        <v>304847.43567618495</v>
      </c>
      <c r="I58" s="305">
        <v>0</v>
      </c>
      <c r="J58" s="306">
        <f t="shared" ca="1" si="29"/>
        <v>0</v>
      </c>
      <c r="K58" s="307">
        <f t="shared" ca="1" si="12"/>
        <v>194279.99684969187</v>
      </c>
      <c r="L58" s="307">
        <f t="shared" si="13"/>
        <v>0</v>
      </c>
      <c r="M58" s="307">
        <v>0</v>
      </c>
      <c r="N58" s="307">
        <f t="shared" ca="1" si="14"/>
        <v>194279.99684969187</v>
      </c>
      <c r="O58" s="306">
        <f t="shared" ca="1" si="15"/>
        <v>1035086.8452958462</v>
      </c>
      <c r="P58" s="306">
        <f t="shared" si="16"/>
        <v>0</v>
      </c>
      <c r="Q58" s="306">
        <v>0</v>
      </c>
      <c r="R58" s="306">
        <f t="shared" ca="1" si="17"/>
        <v>1035086.8452958462</v>
      </c>
      <c r="S58" s="818">
        <f t="shared" ca="1" si="18"/>
        <v>304847.43567618495</v>
      </c>
      <c r="T58" s="818">
        <f t="shared" si="19"/>
        <v>0</v>
      </c>
      <c r="U58" s="818">
        <v>0</v>
      </c>
      <c r="V58" s="818">
        <f t="shared" ca="1" si="20"/>
        <v>304847.43567618495</v>
      </c>
      <c r="W58" s="306">
        <f t="shared" si="1"/>
        <v>0</v>
      </c>
      <c r="X58" s="306">
        <f t="shared" ca="1" si="30"/>
        <v>-24921.787022908306</v>
      </c>
      <c r="Y58" s="306">
        <v>0</v>
      </c>
      <c r="Z58" s="306">
        <v>0</v>
      </c>
      <c r="AA58" s="308">
        <f ca="1">-SUM(W58,X58/OFFSET(GridFootprintbyYear,$A58-$A$19,0)*EF_PurchElec_MTperMWh,Z58)*OFFSET(ExposureCalculations!Price_GHG_Allowance_2010,A58-$A$19,0)*ExposureCalculations!D55</f>
        <v>2981660.64380163</v>
      </c>
      <c r="AB58" s="308">
        <f t="shared" ca="1" si="2"/>
        <v>0</v>
      </c>
      <c r="AC58" s="308">
        <v>0</v>
      </c>
      <c r="AD58" s="819">
        <f t="shared" ca="1" si="3"/>
        <v>0</v>
      </c>
      <c r="AE58" s="308">
        <f t="shared" ca="1" si="31"/>
        <v>-496821.80934252869</v>
      </c>
      <c r="AF58" s="819">
        <f t="shared" ca="1" si="4"/>
        <v>0</v>
      </c>
      <c r="AG58" s="308">
        <v>0</v>
      </c>
      <c r="AH58" s="308">
        <v>0</v>
      </c>
      <c r="AI58" s="308">
        <v>0</v>
      </c>
      <c r="AJ58" s="308">
        <f t="shared" ca="1" si="5"/>
        <v>-496821.80934252869</v>
      </c>
      <c r="AK58" s="309">
        <v>0</v>
      </c>
      <c r="AL58" s="309">
        <v>0</v>
      </c>
      <c r="AM58" s="309">
        <f t="shared" si="21"/>
        <v>0</v>
      </c>
      <c r="AN58" s="310">
        <v>0</v>
      </c>
      <c r="AO58" s="310">
        <v>0</v>
      </c>
      <c r="AP58" s="310">
        <f t="shared" si="22"/>
        <v>0</v>
      </c>
      <c r="AQ58" s="309">
        <v>0</v>
      </c>
      <c r="AR58" s="311">
        <f t="shared" ca="1" si="6"/>
        <v>2484838.8344591013</v>
      </c>
      <c r="AS58" s="870">
        <f t="shared" ca="1" si="23"/>
        <v>29718710.591277987</v>
      </c>
      <c r="AT58" s="822"/>
      <c r="AU58" s="878"/>
      <c r="AV58" s="35"/>
      <c r="AW58" s="879"/>
      <c r="AX58" s="35"/>
      <c r="AY58" s="880"/>
      <c r="BK58" s="123">
        <f t="shared" ca="1" si="7"/>
        <v>880924.97471986921</v>
      </c>
      <c r="BL58" s="123">
        <f t="shared" ca="1" si="24"/>
        <v>1145202.4671358301</v>
      </c>
      <c r="BM58" s="123">
        <f t="shared" ca="1" si="25"/>
        <v>572601.23356791504</v>
      </c>
      <c r="BN58" s="123">
        <f t="shared" ca="1" si="26"/>
        <v>545334.50815991906</v>
      </c>
      <c r="BP58" s="312">
        <f ca="1">BL58*CommodityPricing!F44</f>
        <v>6955505.3307954026</v>
      </c>
      <c r="BQ58" s="312">
        <f ca="1">(BM58*CommodityPricing!F44)+(CommodityPricing!B44*CoalToNG!BN58)</f>
        <v>7452327.1401379313</v>
      </c>
      <c r="BR58" s="312">
        <f t="shared" ca="1" si="27"/>
        <v>496821.80934252869</v>
      </c>
      <c r="BT58" s="123">
        <f t="shared" ca="1" si="8"/>
        <v>107649.03191076803</v>
      </c>
      <c r="BU58" s="123">
        <f t="shared" ca="1" si="9"/>
        <v>82727.244887859721</v>
      </c>
      <c r="BV58" s="123">
        <f t="shared" ca="1" si="28"/>
        <v>24921.787022908306</v>
      </c>
    </row>
    <row r="59" spans="1:74">
      <c r="A59" s="303">
        <v>2050</v>
      </c>
      <c r="B59" s="304">
        <f ca="1">IF($D$3="BAU",UtilityDemand!C52,INDIRECT($D$3&amp;"!B"&amp;ROW(A59))+INDIRECT($D$3&amp;"!D"&amp;ROW(A59)))</f>
        <v>195856.62245054395</v>
      </c>
      <c r="C59" s="305">
        <v>0</v>
      </c>
      <c r="D59" s="306">
        <f t="shared" ca="1" si="10"/>
        <v>0</v>
      </c>
      <c r="E59" s="304">
        <f ca="1">IF($D$3="BAU",UtilityDemand!E52,INDIRECT($D$3&amp;"!E"&amp;ROW(D59))+INDIRECT($D$3&amp;"!G"&amp;ROW(D59)))</f>
        <v>1043473.4444255217</v>
      </c>
      <c r="F59" s="305">
        <v>0</v>
      </c>
      <c r="G59" s="306">
        <f t="shared" ca="1" si="11"/>
        <v>0</v>
      </c>
      <c r="H59" s="304">
        <f ca="1">IF($D$3="BAU",UtilityDemand!G52,INDIRECT($D$3&amp;"!H"&amp;ROW(G59))+INDIRECT($D$3&amp;"!J"&amp;ROW(G59)))</f>
        <v>307911.97023878864</v>
      </c>
      <c r="I59" s="305">
        <v>0</v>
      </c>
      <c r="J59" s="306">
        <f t="shared" ca="1" si="29"/>
        <v>0</v>
      </c>
      <c r="K59" s="307">
        <f t="shared" ca="1" si="12"/>
        <v>195856.62245054395</v>
      </c>
      <c r="L59" s="307">
        <f t="shared" si="13"/>
        <v>0</v>
      </c>
      <c r="M59" s="307">
        <v>0</v>
      </c>
      <c r="N59" s="307">
        <f t="shared" ca="1" si="14"/>
        <v>195856.62245054395</v>
      </c>
      <c r="O59" s="306">
        <f t="shared" ca="1" si="15"/>
        <v>1043473.4444255217</v>
      </c>
      <c r="P59" s="306">
        <f t="shared" si="16"/>
        <v>0</v>
      </c>
      <c r="Q59" s="306">
        <v>0</v>
      </c>
      <c r="R59" s="306">
        <f t="shared" ca="1" si="17"/>
        <v>1043473.4444255217</v>
      </c>
      <c r="S59" s="818">
        <f t="shared" ca="1" si="18"/>
        <v>307911.97023878864</v>
      </c>
      <c r="T59" s="818">
        <f t="shared" si="19"/>
        <v>0</v>
      </c>
      <c r="U59" s="818">
        <v>0</v>
      </c>
      <c r="V59" s="818">
        <f t="shared" ca="1" si="20"/>
        <v>307911.97023878864</v>
      </c>
      <c r="W59" s="306">
        <f t="shared" si="1"/>
        <v>0</v>
      </c>
      <c r="X59" s="306">
        <f t="shared" ca="1" si="30"/>
        <v>-25123.711178650556</v>
      </c>
      <c r="Y59" s="306">
        <v>0</v>
      </c>
      <c r="Z59" s="306">
        <v>0</v>
      </c>
      <c r="AA59" s="308">
        <f ca="1">-SUM(W59,X59/OFFSET(GridFootprintbyYear,$A59-$A$19,0)*EF_PurchElec_MTperMWh,Z59)*OFFSET(ExposureCalculations!Price_GHG_Allowance_2010,A59-$A$19,0)*ExposureCalculations!D56</f>
        <v>3175985.9083906673</v>
      </c>
      <c r="AB59" s="308">
        <f t="shared" ca="1" si="2"/>
        <v>0</v>
      </c>
      <c r="AC59" s="308">
        <v>0</v>
      </c>
      <c r="AD59" s="819">
        <f t="shared" ca="1" si="3"/>
        <v>0</v>
      </c>
      <c r="AE59" s="308">
        <f t="shared" ca="1" si="31"/>
        <v>-503351.45195933338</v>
      </c>
      <c r="AF59" s="819">
        <f t="shared" ca="1" si="4"/>
        <v>0</v>
      </c>
      <c r="AG59" s="308">
        <v>0</v>
      </c>
      <c r="AH59" s="308">
        <v>0</v>
      </c>
      <c r="AI59" s="308">
        <v>0</v>
      </c>
      <c r="AJ59" s="308">
        <f t="shared" ca="1" si="5"/>
        <v>-503351.45195933338</v>
      </c>
      <c r="AK59" s="309">
        <v>0</v>
      </c>
      <c r="AL59" s="309">
        <v>0</v>
      </c>
      <c r="AM59" s="309">
        <f t="shared" si="21"/>
        <v>0</v>
      </c>
      <c r="AN59" s="310">
        <v>0</v>
      </c>
      <c r="AO59" s="310">
        <v>0</v>
      </c>
      <c r="AP59" s="310">
        <f t="shared" si="22"/>
        <v>0</v>
      </c>
      <c r="AQ59" s="309">
        <v>0</v>
      </c>
      <c r="AR59" s="311">
        <f t="shared" ca="1" si="6"/>
        <v>2672634.4564313339</v>
      </c>
      <c r="AS59" s="870">
        <f t="shared" ca="1" si="23"/>
        <v>32391345.04770932</v>
      </c>
      <c r="AT59" s="823"/>
      <c r="AU59" s="881"/>
      <c r="AV59" s="882"/>
      <c r="AW59" s="883"/>
      <c r="AX59" s="882"/>
      <c r="AY59" s="884"/>
      <c r="BK59" s="123">
        <f t="shared" ca="1" si="7"/>
        <v>888062.50589406106</v>
      </c>
      <c r="BL59" s="123">
        <f t="shared" ca="1" si="24"/>
        <v>1154481.2576622795</v>
      </c>
      <c r="BM59" s="123">
        <f t="shared" ca="1" si="25"/>
        <v>577240.62883113977</v>
      </c>
      <c r="BN59" s="123">
        <f t="shared" ca="1" si="26"/>
        <v>549752.97983918071</v>
      </c>
      <c r="BP59" s="312">
        <f ca="1">BL59*CommodityPricing!F45</f>
        <v>7046920.3274306674</v>
      </c>
      <c r="BQ59" s="312">
        <f ca="1">(BM59*CommodityPricing!F45)+(CommodityPricing!B45*CoalToNG!BN59)</f>
        <v>7550271.7793900007</v>
      </c>
      <c r="BR59" s="312">
        <f t="shared" ca="1" si="27"/>
        <v>503351.45195933338</v>
      </c>
      <c r="BT59" s="123">
        <f t="shared" ca="1" si="8"/>
        <v>108521.23822025428</v>
      </c>
      <c r="BU59" s="123">
        <f t="shared" ca="1" si="9"/>
        <v>83397.527041603724</v>
      </c>
      <c r="BV59" s="123">
        <f t="shared" ca="1" si="28"/>
        <v>25123.711178650556</v>
      </c>
    </row>
    <row r="60" spans="1:74">
      <c r="AJ60" s="264"/>
    </row>
    <row r="61" spans="1:74">
      <c r="AJ61" s="264"/>
    </row>
    <row r="62" spans="1:74">
      <c r="AJ62" s="264"/>
    </row>
    <row r="63" spans="1:74">
      <c r="AJ63" s="264"/>
    </row>
    <row r="64" spans="1:74">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5"/>
  <cols>
    <col min="1" max="16384" width="9.140625" style="10"/>
  </cols>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sheetPr codeName="Sheet33">
    <tabColor rgb="FFA9DA74"/>
  </sheetPr>
  <dimension ref="A1:AY84"/>
  <sheetViews>
    <sheetView workbookViewId="0">
      <pane xSplit="1" topLeftCell="D1" activePane="topRight" state="frozen"/>
      <selection activeCell="O1" sqref="O1:O7"/>
      <selection pane="topRight" activeCell="O3" sqref="O3:O7"/>
    </sheetView>
  </sheetViews>
  <sheetFormatPr defaultRowHeight="15"/>
  <cols>
    <col min="11" max="11" width="12" customWidth="1"/>
    <col min="12" max="12" width="12.85546875" customWidth="1"/>
    <col min="13" max="13" width="12.42578125" customWidth="1"/>
    <col min="35" max="36" width="13" customWidth="1"/>
    <col min="38" max="38" width="10.7109375" bestFit="1" customWidth="1"/>
    <col min="39" max="39" width="10.85546875" customWidth="1"/>
    <col min="40" max="40" width="12.42578125" customWidth="1"/>
    <col min="44" max="44" width="10.85546875" customWidth="1"/>
    <col min="45" max="45" width="10.140625" customWidth="1"/>
    <col min="46" max="46" width="1.7109375" customWidth="1"/>
    <col min="47" max="47" width="12.5703125" bestFit="1" customWidth="1"/>
    <col min="51" max="51" width="10.5703125" customWidth="1"/>
  </cols>
  <sheetData>
    <row r="1" spans="1:50" ht="60">
      <c r="C1" s="257" t="s">
        <v>226</v>
      </c>
      <c r="D1" s="258" t="s">
        <v>1365</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2011</v>
      </c>
      <c r="E2" s="266"/>
      <c r="J2" s="267" t="s">
        <v>231</v>
      </c>
      <c r="K2" s="268">
        <f ca="1">NPV(DiscountRate,AA19:AA59)</f>
        <v>57592.99377758387</v>
      </c>
      <c r="L2" s="269">
        <f ca="1">-SUM(OFFSET(W19,0,0,M2-2010+1,4))</f>
        <v>4977.4791296968278</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-75609.01674156377</v>
      </c>
      <c r="L3" s="277" t="s">
        <v>235</v>
      </c>
      <c r="M3" s="278">
        <f ca="1">-SUM(OFFSET(W19,M2-2010,0,1,4))</f>
        <v>124.43697824242066</v>
      </c>
      <c r="N3" s="272"/>
      <c r="O3" s="1496">
        <f ca="1">AVERAGE(OFFSET(AJ19,0,0,$M$2-2010+1,1))</f>
        <v>-4391.6677628770403</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124.43697824242069</v>
      </c>
      <c r="M4" s="281">
        <f ca="1">-SUM(OFFSET(W19,M2-2010,0,1,4))/SUM(OFFSET(ExposureCalculations!G16,M2-2010,0,1,3))</f>
        <v>1.138145285730477E-4</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688</v>
      </c>
      <c r="E5" s="273"/>
      <c r="F5" s="272"/>
      <c r="G5" s="272"/>
      <c r="H5" s="272"/>
      <c r="I5" s="273"/>
      <c r="J5" s="275" t="s">
        <v>238</v>
      </c>
      <c r="K5" s="276">
        <f>NPV(DiscountRate,AL19:AL59)</f>
        <v>-94680.328024016926</v>
      </c>
      <c r="L5" s="277"/>
      <c r="M5" s="272"/>
      <c r="N5" s="272"/>
      <c r="O5" s="1496">
        <f ca="1">AVERAGE(OFFSET(AL19,0,0,$M$2-2010+1,1))</f>
        <v>-2439.0243902439024</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-112696.35098799682</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-0.19028264202263737</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t="str">
        <f ca="1">IFERROR(COUNTIF(AS19:AS59,"&lt;=0")+1-INDEX(AS19:AS59,COUNTIF(AS19:AS59,"&lt;=0")+1)/INDEX(AR19:AR59,COUNTIF(AS19:AS59,"&lt;=0")+1)-(D2-2010),"Check Calc")</f>
        <v>Check Calc</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-170289.3447655807</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91.482591649640057</v>
      </c>
      <c r="L13" s="824"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30.940023516373877</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1">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f>-AU27</f>
        <v>-100000</v>
      </c>
      <c r="AM19" s="309">
        <f>SUM(AK19:AL19)</f>
        <v>-100000</v>
      </c>
      <c r="AN19" s="310">
        <v>0</v>
      </c>
      <c r="AO19" s="310">
        <v>0</v>
      </c>
      <c r="AP19" s="310">
        <f>SUM(AN19:AO19)</f>
        <v>0</v>
      </c>
      <c r="AQ19" s="309">
        <v>0</v>
      </c>
      <c r="AR19" s="311">
        <f t="shared" ref="AR19:AR59" ca="1" si="7">SUM(AA19,AJ19,AM19,AP19,AQ19)</f>
        <v>-100000</v>
      </c>
      <c r="AS19" s="870">
        <f ca="1">AR19</f>
        <v>-100000</v>
      </c>
      <c r="AT19" s="822"/>
      <c r="AU19" s="900">
        <v>2011</v>
      </c>
      <c r="AV19" s="879" t="s">
        <v>776</v>
      </c>
      <c r="AW19" s="879"/>
      <c r="AX19" s="35"/>
      <c r="AY19" s="880"/>
    </row>
    <row r="20" spans="1:51">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-175.2</v>
      </c>
      <c r="M20" s="307">
        <f>$AU$25</f>
        <v>175.2</v>
      </c>
      <c r="N20" s="307">
        <f t="shared" ref="N20:N59" ca="1" si="12">K20+L20</f>
        <v>129954.06073503707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-124.43697824242066</v>
      </c>
      <c r="Y20" s="306">
        <v>0</v>
      </c>
      <c r="Z20" s="306">
        <v>0</v>
      </c>
      <c r="AA20" s="308">
        <f ca="1">-SUM(W20,X20/OFFSET(GridFootprintbyYear,$A20-$A$19,0)*EF_PurchElec_MTperMWh,Z20)*OFFSET(ExposureCalculations!Price_GHG_Allowance_2010,A20-$A$19,0)*ExposureCalculations!D17</f>
        <v>0</v>
      </c>
      <c r="AB20" s="308">
        <f t="shared" ca="1" si="3"/>
        <v>14966.46</v>
      </c>
      <c r="AC20" s="308">
        <f t="shared" ref="AC20:AC59" si="19">-$AU$25*1000*$AU$29</f>
        <v>-21024</v>
      </c>
      <c r="AD20" s="819">
        <f t="shared" ca="1" si="4"/>
        <v>0</v>
      </c>
      <c r="AE20" s="308">
        <v>0</v>
      </c>
      <c r="AF20" s="819">
        <f t="shared" ca="1" si="5"/>
        <v>0</v>
      </c>
      <c r="AG20" s="308">
        <v>0</v>
      </c>
      <c r="AH20" s="308">
        <v>0</v>
      </c>
      <c r="AI20" s="308">
        <v>0</v>
      </c>
      <c r="AJ20" s="308">
        <f t="shared" ca="1" si="6"/>
        <v>-6057.5400000000009</v>
      </c>
      <c r="AK20" s="309">
        <v>0</v>
      </c>
      <c r="AL20" s="309">
        <v>0</v>
      </c>
      <c r="AM20" s="309">
        <f t="shared" ref="AM20:AM59" si="20">SUM(AK20:AL20)</f>
        <v>0</v>
      </c>
      <c r="AN20" s="310">
        <v>0</v>
      </c>
      <c r="AO20" s="310">
        <v>0</v>
      </c>
      <c r="AP20" s="310">
        <f t="shared" ref="AP20:AP59" si="21">SUM(AN20:AO20)</f>
        <v>0</v>
      </c>
      <c r="AQ20" s="309">
        <v>0</v>
      </c>
      <c r="AR20" s="311">
        <f t="shared" ca="1" si="7"/>
        <v>-6057.5400000000009</v>
      </c>
      <c r="AS20" s="870">
        <f t="shared" ref="AS20:AS59" ca="1" si="22">AR20+AS19</f>
        <v>-106057.54000000001</v>
      </c>
      <c r="AT20" s="822"/>
      <c r="AU20" s="878"/>
      <c r="AV20" s="35"/>
      <c r="AW20" s="879"/>
      <c r="AX20" s="35"/>
      <c r="AY20" s="880"/>
    </row>
    <row r="21" spans="1:51">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3">-H21*I21</f>
        <v>0</v>
      </c>
      <c r="K21" s="307">
        <f t="shared" ca="1" si="10"/>
        <v>133825.36797702796</v>
      </c>
      <c r="L21" s="307">
        <f t="shared" si="11"/>
        <v>-175.2</v>
      </c>
      <c r="M21" s="307">
        <f>$AU$25</f>
        <v>175.2</v>
      </c>
      <c r="N21" s="307">
        <f t="shared" ca="1" si="12"/>
        <v>133650.16797702794</v>
      </c>
      <c r="O21" s="306">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-124.43697824242066</v>
      </c>
      <c r="Y21" s="306">
        <v>0</v>
      </c>
      <c r="Z21" s="306">
        <v>0</v>
      </c>
      <c r="AA21" s="308">
        <f ca="1">-SUM(W21,X21/OFFSET(GridFootprintbyYear,$A21-$A$19,0)*EF_PurchElec_MTperMWh,Z21)*OFFSET(ExposureCalculations!Price_GHG_Allowance_2010,A21-$A$19,0)*ExposureCalculations!D18</f>
        <v>0</v>
      </c>
      <c r="AB21" s="308">
        <f t="shared" ca="1" si="3"/>
        <v>15041.292299999994</v>
      </c>
      <c r="AC21" s="308">
        <f t="shared" si="19"/>
        <v>-21024</v>
      </c>
      <c r="AD21" s="819">
        <f t="shared" ca="1" si="4"/>
        <v>0</v>
      </c>
      <c r="AE21" s="308">
        <v>0</v>
      </c>
      <c r="AF21" s="819">
        <f t="shared" ca="1" si="5"/>
        <v>0</v>
      </c>
      <c r="AG21" s="308">
        <v>0</v>
      </c>
      <c r="AH21" s="308">
        <v>0</v>
      </c>
      <c r="AI21" s="308">
        <v>0</v>
      </c>
      <c r="AJ21" s="308">
        <f ca="1">SUM(AB21:AI21)</f>
        <v>-5982.7077000000063</v>
      </c>
      <c r="AK21" s="309">
        <v>0</v>
      </c>
      <c r="AL21" s="309">
        <v>0</v>
      </c>
      <c r="AM21" s="309">
        <f t="shared" si="20"/>
        <v>0</v>
      </c>
      <c r="AN21" s="310">
        <v>0</v>
      </c>
      <c r="AO21" s="310">
        <v>0</v>
      </c>
      <c r="AP21" s="310">
        <f t="shared" si="21"/>
        <v>0</v>
      </c>
      <c r="AQ21" s="309">
        <v>0</v>
      </c>
      <c r="AR21" s="311">
        <f t="shared" ca="1" si="7"/>
        <v>-5982.7077000000063</v>
      </c>
      <c r="AS21" s="870">
        <f t="shared" ca="1" si="22"/>
        <v>-112040.24770000001</v>
      </c>
      <c r="AT21" s="822"/>
      <c r="AU21" s="900">
        <v>100</v>
      </c>
      <c r="AV21" s="35" t="s">
        <v>779</v>
      </c>
      <c r="AW21" s="879"/>
      <c r="AX21" s="35"/>
      <c r="AY21" s="880"/>
    </row>
    <row r="22" spans="1:51">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3"/>
        <v>0</v>
      </c>
      <c r="K22" s="307">
        <f t="shared" ca="1" si="10"/>
        <v>135980.03402546333</v>
      </c>
      <c r="L22" s="307">
        <f t="shared" si="11"/>
        <v>-175.2</v>
      </c>
      <c r="M22" s="307">
        <f t="shared" ref="M22:M59" si="24">$AU$25</f>
        <v>175.2</v>
      </c>
      <c r="N22" s="307">
        <f t="shared" ca="1" si="12"/>
        <v>135804.83402546332</v>
      </c>
      <c r="O22" s="306">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-124.43697824242066</v>
      </c>
      <c r="Y22" s="306">
        <v>0</v>
      </c>
      <c r="Z22" s="306">
        <v>0</v>
      </c>
      <c r="AA22" s="308">
        <f ca="1">-SUM(W22,X22/OFFSET(GridFootprintbyYear,$A22-$A$19,0)*EF_PurchElec_MTperMWh,Z22)*OFFSET(ExposureCalculations!Price_GHG_Allowance_2010,A22-$A$19,0)*ExposureCalculations!D19</f>
        <v>0</v>
      </c>
      <c r="AB22" s="308">
        <f t="shared" ca="1" si="3"/>
        <v>15116.498761499994</v>
      </c>
      <c r="AC22" s="308">
        <f t="shared" si="19"/>
        <v>-21024</v>
      </c>
      <c r="AD22" s="819">
        <f t="shared" ca="1" si="4"/>
        <v>0</v>
      </c>
      <c r="AE22" s="308">
        <v>0</v>
      </c>
      <c r="AF22" s="819">
        <f t="shared" ca="1" si="5"/>
        <v>0</v>
      </c>
      <c r="AG22" s="308">
        <v>0</v>
      </c>
      <c r="AH22" s="308">
        <v>0</v>
      </c>
      <c r="AI22" s="308">
        <v>0</v>
      </c>
      <c r="AJ22" s="308">
        <f t="shared" ca="1" si="6"/>
        <v>-5907.5012385000064</v>
      </c>
      <c r="AK22" s="309">
        <v>0</v>
      </c>
      <c r="AL22" s="309">
        <v>0</v>
      </c>
      <c r="AM22" s="309">
        <f t="shared" si="20"/>
        <v>0</v>
      </c>
      <c r="AN22" s="310">
        <v>0</v>
      </c>
      <c r="AO22" s="310">
        <v>0</v>
      </c>
      <c r="AP22" s="310">
        <f t="shared" si="21"/>
        <v>0</v>
      </c>
      <c r="AQ22" s="309">
        <v>0</v>
      </c>
      <c r="AR22" s="311">
        <f t="shared" ca="1" si="7"/>
        <v>-5907.5012385000064</v>
      </c>
      <c r="AS22" s="870">
        <f t="shared" ca="1" si="22"/>
        <v>-117947.74893850001</v>
      </c>
      <c r="AT22" s="822"/>
      <c r="AU22" s="878"/>
      <c r="AV22" s="35"/>
      <c r="AW22" s="879"/>
      <c r="AX22" s="35"/>
      <c r="AY22" s="880"/>
    </row>
    <row r="23" spans="1:51">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3"/>
        <v>0</v>
      </c>
      <c r="K23" s="307">
        <f t="shared" ca="1" si="10"/>
        <v>137556.65962631535</v>
      </c>
      <c r="L23" s="307">
        <f t="shared" si="11"/>
        <v>-175.2</v>
      </c>
      <c r="M23" s="307">
        <f t="shared" si="24"/>
        <v>175.2</v>
      </c>
      <c r="N23" s="307">
        <f t="shared" ca="1" si="12"/>
        <v>137381.45962631534</v>
      </c>
      <c r="O23" s="306">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-124.43697824242066</v>
      </c>
      <c r="Y23" s="306">
        <v>0</v>
      </c>
      <c r="Z23" s="306">
        <v>0</v>
      </c>
      <c r="AA23" s="308">
        <f ca="1">-SUM(W23,X23/OFFSET(GridFootprintbyYear,$A23-$A$19,0)*EF_PurchElec_MTperMWh,Z23)*OFFSET(ExposureCalculations!Price_GHG_Allowance_2010,A23-$A$19,0)*ExposureCalculations!D20</f>
        <v>0</v>
      </c>
      <c r="AB23" s="308">
        <f t="shared" ca="1" si="3"/>
        <v>15192.081255307488</v>
      </c>
      <c r="AC23" s="308">
        <f t="shared" si="19"/>
        <v>-21024</v>
      </c>
      <c r="AD23" s="819">
        <f t="shared" ca="1" si="4"/>
        <v>0</v>
      </c>
      <c r="AE23" s="308">
        <v>0</v>
      </c>
      <c r="AF23" s="819">
        <f t="shared" ca="1" si="5"/>
        <v>0</v>
      </c>
      <c r="AG23" s="308">
        <v>0</v>
      </c>
      <c r="AH23" s="308">
        <v>0</v>
      </c>
      <c r="AI23" s="308">
        <v>0</v>
      </c>
      <c r="AJ23" s="308">
        <f t="shared" ca="1" si="6"/>
        <v>-5831.9187446925116</v>
      </c>
      <c r="AK23" s="309">
        <v>0</v>
      </c>
      <c r="AL23" s="309">
        <v>0</v>
      </c>
      <c r="AM23" s="309">
        <f t="shared" si="20"/>
        <v>0</v>
      </c>
      <c r="AN23" s="310">
        <v>0</v>
      </c>
      <c r="AO23" s="310">
        <v>0</v>
      </c>
      <c r="AP23" s="310">
        <f t="shared" si="21"/>
        <v>0</v>
      </c>
      <c r="AQ23" s="309">
        <v>0</v>
      </c>
      <c r="AR23" s="311">
        <f t="shared" ca="1" si="7"/>
        <v>-5831.9187446925116</v>
      </c>
      <c r="AS23" s="870">
        <f t="shared" ca="1" si="22"/>
        <v>-123779.66768319251</v>
      </c>
      <c r="AT23" s="822"/>
      <c r="AU23" s="901">
        <v>0.2</v>
      </c>
      <c r="AV23" s="35" t="s">
        <v>777</v>
      </c>
      <c r="AW23" s="879"/>
      <c r="AX23" s="35"/>
      <c r="AY23" s="880"/>
    </row>
    <row r="24" spans="1:51">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3"/>
        <v>0</v>
      </c>
      <c r="K24" s="307">
        <f t="shared" ca="1" si="10"/>
        <v>140674.7264207229</v>
      </c>
      <c r="L24" s="307">
        <f t="shared" si="11"/>
        <v>-175.2</v>
      </c>
      <c r="M24" s="307">
        <f t="shared" si="24"/>
        <v>175.2</v>
      </c>
      <c r="N24" s="307">
        <f t="shared" ca="1" si="12"/>
        <v>140499.52642072289</v>
      </c>
      <c r="O24" s="306">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-124.43697824242066</v>
      </c>
      <c r="Y24" s="306">
        <v>0</v>
      </c>
      <c r="Z24" s="306">
        <v>0</v>
      </c>
      <c r="AA24" s="308">
        <f ca="1">-SUM(W24,X24/OFFSET(GridFootprintbyYear,$A24-$A$19,0)*EF_PurchElec_MTperMWh,Z24)*OFFSET(ExposureCalculations!Price_GHG_Allowance_2010,A24-$A$19,0)*ExposureCalculations!D21</f>
        <v>1265.4415385325717</v>
      </c>
      <c r="AB24" s="308">
        <f t="shared" ca="1" si="3"/>
        <v>15268.041661584026</v>
      </c>
      <c r="AC24" s="308">
        <f t="shared" si="19"/>
        <v>-21024</v>
      </c>
      <c r="AD24" s="819">
        <f t="shared" ca="1" si="4"/>
        <v>0</v>
      </c>
      <c r="AE24" s="308">
        <v>0</v>
      </c>
      <c r="AF24" s="819">
        <f t="shared" ca="1" si="5"/>
        <v>0</v>
      </c>
      <c r="AG24" s="308">
        <v>0</v>
      </c>
      <c r="AH24" s="308">
        <v>0</v>
      </c>
      <c r="AI24" s="308">
        <v>0</v>
      </c>
      <c r="AJ24" s="308">
        <f t="shared" ca="1" si="6"/>
        <v>-5755.9583384159741</v>
      </c>
      <c r="AK24" s="309">
        <v>0</v>
      </c>
      <c r="AL24" s="309">
        <v>0</v>
      </c>
      <c r="AM24" s="309">
        <f t="shared" si="20"/>
        <v>0</v>
      </c>
      <c r="AN24" s="310">
        <v>0</v>
      </c>
      <c r="AO24" s="310">
        <v>0</v>
      </c>
      <c r="AP24" s="310">
        <f t="shared" si="21"/>
        <v>0</v>
      </c>
      <c r="AQ24" s="309">
        <v>0</v>
      </c>
      <c r="AR24" s="311">
        <f t="shared" ca="1" si="7"/>
        <v>-4490.5167998834022</v>
      </c>
      <c r="AS24" s="870">
        <f t="shared" ca="1" si="22"/>
        <v>-128270.18448307592</v>
      </c>
      <c r="AT24" s="822"/>
      <c r="AU24" s="878"/>
      <c r="AV24" s="35"/>
      <c r="AW24" s="879"/>
      <c r="AX24" s="35"/>
      <c r="AY24" s="880"/>
    </row>
    <row r="25" spans="1:51">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3"/>
        <v>0</v>
      </c>
      <c r="K25" s="307">
        <f t="shared" ca="1" si="10"/>
        <v>142251.35202157494</v>
      </c>
      <c r="L25" s="307">
        <f t="shared" si="11"/>
        <v>-175.2</v>
      </c>
      <c r="M25" s="307">
        <f t="shared" si="24"/>
        <v>175.2</v>
      </c>
      <c r="N25" s="307">
        <f t="shared" ca="1" si="12"/>
        <v>142076.15202157493</v>
      </c>
      <c r="O25" s="306">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-124.43697824242066</v>
      </c>
      <c r="Y25" s="306">
        <v>0</v>
      </c>
      <c r="Z25" s="306">
        <v>0</v>
      </c>
      <c r="AA25" s="308">
        <f ca="1">-SUM(W25,X25/OFFSET(GridFootprintbyYear,$A25-$A$19,0)*EF_PurchElec_MTperMWh,Z25)*OFFSET(ExposureCalculations!Price_GHG_Allowance_2010,A25-$A$19,0)*ExposureCalculations!D22</f>
        <v>1460.7042324889924</v>
      </c>
      <c r="AB25" s="308">
        <f t="shared" ca="1" si="3"/>
        <v>15344.381869891942</v>
      </c>
      <c r="AC25" s="308">
        <f t="shared" si="19"/>
        <v>-21024</v>
      </c>
      <c r="AD25" s="819">
        <f t="shared" ca="1" si="4"/>
        <v>0</v>
      </c>
      <c r="AE25" s="308">
        <v>0</v>
      </c>
      <c r="AF25" s="819">
        <f t="shared" ca="1" si="5"/>
        <v>0</v>
      </c>
      <c r="AG25" s="308">
        <v>0</v>
      </c>
      <c r="AH25" s="308">
        <v>0</v>
      </c>
      <c r="AI25" s="308">
        <v>0</v>
      </c>
      <c r="AJ25" s="308">
        <f t="shared" ca="1" si="6"/>
        <v>-5679.6181301080578</v>
      </c>
      <c r="AK25" s="309">
        <v>0</v>
      </c>
      <c r="AL25" s="309">
        <v>0</v>
      </c>
      <c r="AM25" s="309">
        <f t="shared" si="20"/>
        <v>0</v>
      </c>
      <c r="AN25" s="310">
        <v>0</v>
      </c>
      <c r="AO25" s="310">
        <v>0</v>
      </c>
      <c r="AP25" s="310">
        <f t="shared" si="21"/>
        <v>0</v>
      </c>
      <c r="AQ25" s="309">
        <v>0</v>
      </c>
      <c r="AR25" s="311">
        <f t="shared" ca="1" si="7"/>
        <v>-4218.9138976190652</v>
      </c>
      <c r="AS25" s="870">
        <f t="shared" ca="1" si="22"/>
        <v>-132489.09838069498</v>
      </c>
      <c r="AT25" s="822"/>
      <c r="AU25" s="900">
        <f>AU21*8760*AU23/1000</f>
        <v>175.2</v>
      </c>
      <c r="AV25" t="s">
        <v>780</v>
      </c>
      <c r="AW25" s="879"/>
      <c r="AX25" s="35"/>
      <c r="AY25" s="880"/>
    </row>
    <row r="26" spans="1:51">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3"/>
        <v>0</v>
      </c>
      <c r="K26" s="307">
        <f t="shared" ca="1" si="10"/>
        <v>143827.97762242699</v>
      </c>
      <c r="L26" s="307">
        <f t="shared" si="11"/>
        <v>-175.2</v>
      </c>
      <c r="M26" s="307">
        <f t="shared" si="24"/>
        <v>175.2</v>
      </c>
      <c r="N26" s="307">
        <f t="shared" ca="1" si="12"/>
        <v>143652.77762242698</v>
      </c>
      <c r="O26" s="306">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-124.43697824242066</v>
      </c>
      <c r="Y26" s="306">
        <v>0</v>
      </c>
      <c r="Z26" s="306">
        <v>0</v>
      </c>
      <c r="AA26" s="308">
        <f ca="1">-SUM(W26,X26/OFFSET(GridFootprintbyYear,$A26-$A$19,0)*EF_PurchElec_MTperMWh,Z26)*OFFSET(ExposureCalculations!Price_GHG_Allowance_2010,A26-$A$19,0)*ExposureCalculations!D23</f>
        <v>1665.0734943895725</v>
      </c>
      <c r="AB26" s="308">
        <f t="shared" ca="1" si="3"/>
        <v>15421.103779241399</v>
      </c>
      <c r="AC26" s="308">
        <f t="shared" si="19"/>
        <v>-21024</v>
      </c>
      <c r="AD26" s="819">
        <f t="shared" ca="1" si="4"/>
        <v>0</v>
      </c>
      <c r="AE26" s="308">
        <v>0</v>
      </c>
      <c r="AF26" s="819">
        <f t="shared" ca="1" si="5"/>
        <v>0</v>
      </c>
      <c r="AG26" s="308">
        <v>0</v>
      </c>
      <c r="AH26" s="308">
        <v>0</v>
      </c>
      <c r="AI26" s="308">
        <v>0</v>
      </c>
      <c r="AJ26" s="308">
        <f t="shared" ca="1" si="6"/>
        <v>-5602.896220758601</v>
      </c>
      <c r="AK26" s="309">
        <v>0</v>
      </c>
      <c r="AL26" s="309">
        <v>0</v>
      </c>
      <c r="AM26" s="309">
        <f t="shared" si="20"/>
        <v>0</v>
      </c>
      <c r="AN26" s="310">
        <v>0</v>
      </c>
      <c r="AO26" s="310">
        <v>0</v>
      </c>
      <c r="AP26" s="310">
        <f t="shared" si="21"/>
        <v>0</v>
      </c>
      <c r="AQ26" s="309">
        <v>0</v>
      </c>
      <c r="AR26" s="311">
        <f t="shared" ca="1" si="7"/>
        <v>-3937.8227263690287</v>
      </c>
      <c r="AS26" s="870">
        <f t="shared" ca="1" si="22"/>
        <v>-136426.921107064</v>
      </c>
      <c r="AT26" s="822"/>
      <c r="AU26" s="878"/>
      <c r="AW26" s="879"/>
      <c r="AX26" s="35"/>
      <c r="AY26" s="880"/>
    </row>
    <row r="27" spans="1:51">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3"/>
        <v>0</v>
      </c>
      <c r="K27" s="307">
        <f t="shared" ca="1" si="10"/>
        <v>145404.603223279</v>
      </c>
      <c r="L27" s="307">
        <f t="shared" si="11"/>
        <v>-175.2</v>
      </c>
      <c r="M27" s="307">
        <f t="shared" si="24"/>
        <v>175.2</v>
      </c>
      <c r="N27" s="307">
        <f t="shared" ca="1" si="12"/>
        <v>145229.40322327899</v>
      </c>
      <c r="O27" s="306">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-124.43697824242066</v>
      </c>
      <c r="Y27" s="306">
        <v>0</v>
      </c>
      <c r="Z27" s="306">
        <v>0</v>
      </c>
      <c r="AA27" s="308">
        <f ca="1">-SUM(W27,X27/OFFSET(GridFootprintbyYear,$A27-$A$19,0)*EF_PurchElec_MTperMWh,Z27)*OFFSET(ExposureCalculations!Price_GHG_Allowance_2010,A27-$A$19,0)*ExposureCalculations!D24</f>
        <v>1878.2671015388967</v>
      </c>
      <c r="AB27" s="308">
        <f t="shared" ca="1" si="3"/>
        <v>15498.209298137604</v>
      </c>
      <c r="AC27" s="308">
        <f t="shared" si="19"/>
        <v>-21024</v>
      </c>
      <c r="AD27" s="819">
        <f t="shared" ca="1" si="4"/>
        <v>0</v>
      </c>
      <c r="AE27" s="308">
        <v>0</v>
      </c>
      <c r="AF27" s="819">
        <f t="shared" ca="1" si="5"/>
        <v>0</v>
      </c>
      <c r="AG27" s="308">
        <v>0</v>
      </c>
      <c r="AH27" s="308">
        <v>0</v>
      </c>
      <c r="AI27" s="308">
        <v>0</v>
      </c>
      <c r="AJ27" s="308">
        <f t="shared" ca="1" si="6"/>
        <v>-5525.7907018623955</v>
      </c>
      <c r="AK27" s="309">
        <v>0</v>
      </c>
      <c r="AL27" s="309">
        <v>0</v>
      </c>
      <c r="AM27" s="309">
        <f t="shared" si="20"/>
        <v>0</v>
      </c>
      <c r="AN27" s="310">
        <v>0</v>
      </c>
      <c r="AO27" s="310">
        <v>0</v>
      </c>
      <c r="AP27" s="310">
        <f t="shared" si="21"/>
        <v>0</v>
      </c>
      <c r="AQ27" s="309">
        <v>0</v>
      </c>
      <c r="AR27" s="311">
        <f t="shared" ca="1" si="7"/>
        <v>-3647.5236003234986</v>
      </c>
      <c r="AS27" s="870">
        <f t="shared" ca="1" si="22"/>
        <v>-140074.44470738751</v>
      </c>
      <c r="AT27" s="822"/>
      <c r="AU27" s="902">
        <v>100000</v>
      </c>
      <c r="AV27" s="35" t="s">
        <v>778</v>
      </c>
      <c r="AW27" s="879"/>
      <c r="AX27" s="35"/>
      <c r="AY27" s="880"/>
    </row>
    <row r="28" spans="1:51">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3"/>
        <v>0</v>
      </c>
      <c r="K28" s="307">
        <f t="shared" ca="1" si="10"/>
        <v>146981.22882413102</v>
      </c>
      <c r="L28" s="307">
        <f t="shared" si="11"/>
        <v>-175.2</v>
      </c>
      <c r="M28" s="307">
        <f t="shared" si="24"/>
        <v>175.2</v>
      </c>
      <c r="N28" s="307">
        <f t="shared" ca="1" si="12"/>
        <v>146806.028824131</v>
      </c>
      <c r="O28" s="306">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-124.43697824242066</v>
      </c>
      <c r="Y28" s="306">
        <v>0</v>
      </c>
      <c r="Z28" s="306">
        <v>0</v>
      </c>
      <c r="AA28" s="308">
        <f ca="1">-SUM(W28,X28/OFFSET(GridFootprintbyYear,$A28-$A$19,0)*EF_PurchElec_MTperMWh,Z28)*OFFSET(ExposureCalculations!Price_GHG_Allowance_2010,A28-$A$19,0)*ExposureCalculations!D25</f>
        <v>2100.0057730464964</v>
      </c>
      <c r="AB28" s="308">
        <f t="shared" ca="1" si="3"/>
        <v>15575.700344628294</v>
      </c>
      <c r="AC28" s="308">
        <f t="shared" si="19"/>
        <v>-21024</v>
      </c>
      <c r="AD28" s="819">
        <f t="shared" ca="1" si="4"/>
        <v>0</v>
      </c>
      <c r="AE28" s="308">
        <v>0</v>
      </c>
      <c r="AF28" s="819">
        <f t="shared" ca="1" si="5"/>
        <v>0</v>
      </c>
      <c r="AG28" s="308">
        <v>0</v>
      </c>
      <c r="AH28" s="308">
        <v>0</v>
      </c>
      <c r="AI28" s="308">
        <v>0</v>
      </c>
      <c r="AJ28" s="308">
        <f t="shared" ca="1" si="6"/>
        <v>-5448.2996553717057</v>
      </c>
      <c r="AK28" s="309">
        <v>0</v>
      </c>
      <c r="AL28" s="309">
        <v>0</v>
      </c>
      <c r="AM28" s="309">
        <f t="shared" si="20"/>
        <v>0</v>
      </c>
      <c r="AN28" s="310">
        <v>0</v>
      </c>
      <c r="AO28" s="310">
        <v>0</v>
      </c>
      <c r="AP28" s="310">
        <f t="shared" si="21"/>
        <v>0</v>
      </c>
      <c r="AQ28" s="309">
        <v>0</v>
      </c>
      <c r="AR28" s="311">
        <f t="shared" ca="1" si="7"/>
        <v>-3348.2938823252093</v>
      </c>
      <c r="AS28" s="870">
        <f t="shared" ca="1" si="22"/>
        <v>-143422.73858971271</v>
      </c>
      <c r="AT28" s="822"/>
      <c r="AU28" s="878"/>
      <c r="AV28" s="35"/>
      <c r="AW28" s="879"/>
      <c r="AX28" s="35"/>
      <c r="AY28" s="880"/>
    </row>
    <row r="29" spans="1:51">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3"/>
        <v>0</v>
      </c>
      <c r="K29" s="307">
        <f t="shared" ca="1" si="10"/>
        <v>148557.85442498306</v>
      </c>
      <c r="L29" s="307">
        <f t="shared" si="11"/>
        <v>-175.2</v>
      </c>
      <c r="M29" s="307">
        <f t="shared" si="24"/>
        <v>175.2</v>
      </c>
      <c r="N29" s="307">
        <f t="shared" ca="1" si="12"/>
        <v>148382.65442498305</v>
      </c>
      <c r="O29" s="306">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-124.43697824242066</v>
      </c>
      <c r="Y29" s="306">
        <v>0</v>
      </c>
      <c r="Z29" s="306">
        <v>0</v>
      </c>
      <c r="AA29" s="308">
        <f ca="1">-SUM(W29,X29/OFFSET(GridFootprintbyYear,$A29-$A$19,0)*EF_PurchElec_MTperMWh,Z29)*OFFSET(ExposureCalculations!Price_GHG_Allowance_2010,A29-$A$19,0)*ExposureCalculations!D26</f>
        <v>2330.0132365612876</v>
      </c>
      <c r="AB29" s="308">
        <f t="shared" ca="1" si="3"/>
        <v>15653.578846351431</v>
      </c>
      <c r="AC29" s="308">
        <f t="shared" si="19"/>
        <v>-21024</v>
      </c>
      <c r="AD29" s="819">
        <f t="shared" ca="1" si="4"/>
        <v>0</v>
      </c>
      <c r="AE29" s="308">
        <v>0</v>
      </c>
      <c r="AF29" s="819">
        <f t="shared" ca="1" si="5"/>
        <v>0</v>
      </c>
      <c r="AG29" s="308">
        <v>0</v>
      </c>
      <c r="AH29" s="308">
        <v>0</v>
      </c>
      <c r="AI29" s="308">
        <v>0</v>
      </c>
      <c r="AJ29" s="308">
        <f t="shared" ca="1" si="6"/>
        <v>-5370.4211536485691</v>
      </c>
      <c r="AK29" s="309">
        <v>0</v>
      </c>
      <c r="AL29" s="309">
        <v>0</v>
      </c>
      <c r="AM29" s="309">
        <f t="shared" si="20"/>
        <v>0</v>
      </c>
      <c r="AN29" s="310">
        <v>0</v>
      </c>
      <c r="AO29" s="310">
        <v>0</v>
      </c>
      <c r="AP29" s="310">
        <f t="shared" si="21"/>
        <v>0</v>
      </c>
      <c r="AQ29" s="309">
        <v>0</v>
      </c>
      <c r="AR29" s="311">
        <f t="shared" ca="1" si="7"/>
        <v>-3040.4079170872815</v>
      </c>
      <c r="AS29" s="870">
        <f t="shared" ca="1" si="22"/>
        <v>-146463.1465068</v>
      </c>
      <c r="AT29" s="822"/>
      <c r="AU29" s="903">
        <v>0.12</v>
      </c>
      <c r="AV29" s="35" t="s">
        <v>781</v>
      </c>
      <c r="AW29" s="879"/>
      <c r="AX29" s="35"/>
      <c r="AY29" s="880"/>
    </row>
    <row r="30" spans="1:51">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3"/>
        <v>0</v>
      </c>
      <c r="K30" s="307">
        <f t="shared" ca="1" si="10"/>
        <v>150134.48002583507</v>
      </c>
      <c r="L30" s="307">
        <f t="shared" si="11"/>
        <v>-175.2</v>
      </c>
      <c r="M30" s="307">
        <f t="shared" si="24"/>
        <v>175.2</v>
      </c>
      <c r="N30" s="307">
        <f t="shared" ca="1" si="12"/>
        <v>149959.28002583506</v>
      </c>
      <c r="O30" s="306">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-124.43697824242066</v>
      </c>
      <c r="Y30" s="306">
        <v>0</v>
      </c>
      <c r="Z30" s="306">
        <v>0</v>
      </c>
      <c r="AA30" s="308">
        <f ca="1">-SUM(W30,X30/OFFSET(GridFootprintbyYear,$A30-$A$19,0)*EF_PurchElec_MTperMWh,Z30)*OFFSET(ExposureCalculations!Price_GHG_Allowance_2010,A30-$A$19,0)*ExposureCalculations!D27</f>
        <v>2595.3809874104663</v>
      </c>
      <c r="AB30" s="308">
        <f t="shared" ca="1" si="3"/>
        <v>15731.846740583187</v>
      </c>
      <c r="AC30" s="308">
        <f t="shared" si="19"/>
        <v>-21024</v>
      </c>
      <c r="AD30" s="819">
        <f t="shared" ca="1" si="4"/>
        <v>0</v>
      </c>
      <c r="AE30" s="308">
        <v>0</v>
      </c>
      <c r="AF30" s="819">
        <f t="shared" ca="1" si="5"/>
        <v>0</v>
      </c>
      <c r="AG30" s="308">
        <v>0</v>
      </c>
      <c r="AH30" s="308">
        <v>0</v>
      </c>
      <c r="AI30" s="308">
        <v>0</v>
      </c>
      <c r="AJ30" s="308">
        <f t="shared" ca="1" si="6"/>
        <v>-5292.1532594168129</v>
      </c>
      <c r="AK30" s="309">
        <v>0</v>
      </c>
      <c r="AL30" s="309">
        <v>0</v>
      </c>
      <c r="AM30" s="309">
        <f t="shared" si="20"/>
        <v>0</v>
      </c>
      <c r="AN30" s="310">
        <v>0</v>
      </c>
      <c r="AO30" s="310">
        <v>0</v>
      </c>
      <c r="AP30" s="310">
        <f t="shared" si="21"/>
        <v>0</v>
      </c>
      <c r="AQ30" s="309">
        <v>0</v>
      </c>
      <c r="AR30" s="311">
        <f t="shared" ca="1" si="7"/>
        <v>-2696.7722720063466</v>
      </c>
      <c r="AS30" s="870">
        <f t="shared" ca="1" si="22"/>
        <v>-149159.91877880634</v>
      </c>
      <c r="AT30" s="822"/>
      <c r="AU30" s="878"/>
      <c r="AV30" s="35"/>
      <c r="AW30" s="879"/>
      <c r="AX30" s="35"/>
      <c r="AY30" s="880"/>
    </row>
    <row r="31" spans="1:51">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3"/>
        <v>0</v>
      </c>
      <c r="K31" s="307">
        <f t="shared" ca="1" si="10"/>
        <v>151711.10562668712</v>
      </c>
      <c r="L31" s="307">
        <f t="shared" si="11"/>
        <v>-175.2</v>
      </c>
      <c r="M31" s="307">
        <f t="shared" si="24"/>
        <v>175.2</v>
      </c>
      <c r="N31" s="307">
        <f t="shared" ca="1" si="12"/>
        <v>151535.9056266871</v>
      </c>
      <c r="O31" s="306">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-124.43697824242066</v>
      </c>
      <c r="Y31" s="306">
        <v>0</v>
      </c>
      <c r="Z31" s="306">
        <v>0</v>
      </c>
      <c r="AA31" s="308">
        <f ca="1">-SUM(W31,X31/OFFSET(GridFootprintbyYear,$A31-$A$19,0)*EF_PurchElec_MTperMWh,Z31)*OFFSET(ExposureCalculations!Price_GHG_Allowance_2010,A31-$A$19,0)*ExposureCalculations!D28</f>
        <v>2870.9894491472219</v>
      </c>
      <c r="AB31" s="308">
        <f t="shared" ca="1" si="3"/>
        <v>15810.505974286096</v>
      </c>
      <c r="AC31" s="308">
        <f t="shared" si="19"/>
        <v>-21024</v>
      </c>
      <c r="AD31" s="819">
        <f t="shared" ca="1" si="4"/>
        <v>0</v>
      </c>
      <c r="AE31" s="308">
        <v>0</v>
      </c>
      <c r="AF31" s="819">
        <f t="shared" ca="1" si="5"/>
        <v>0</v>
      </c>
      <c r="AG31" s="308">
        <v>0</v>
      </c>
      <c r="AH31" s="308">
        <v>0</v>
      </c>
      <c r="AI31" s="308">
        <v>0</v>
      </c>
      <c r="AJ31" s="308">
        <f t="shared" ca="1" si="6"/>
        <v>-5213.4940257139042</v>
      </c>
      <c r="AK31" s="309">
        <v>0</v>
      </c>
      <c r="AL31" s="309">
        <v>0</v>
      </c>
      <c r="AM31" s="309">
        <f t="shared" si="20"/>
        <v>0</v>
      </c>
      <c r="AN31" s="310">
        <v>0</v>
      </c>
      <c r="AO31" s="310">
        <v>0</v>
      </c>
      <c r="AP31" s="310">
        <f t="shared" si="21"/>
        <v>0</v>
      </c>
      <c r="AQ31" s="309">
        <v>0</v>
      </c>
      <c r="AR31" s="311">
        <f t="shared" ca="1" si="7"/>
        <v>-2342.5045765666823</v>
      </c>
      <c r="AS31" s="870">
        <f t="shared" ca="1" si="22"/>
        <v>-151502.42335537303</v>
      </c>
      <c r="AT31" s="822"/>
      <c r="AU31" s="900">
        <v>20</v>
      </c>
      <c r="AV31" s="35" t="s">
        <v>782</v>
      </c>
      <c r="AW31" s="879"/>
      <c r="AX31" s="35"/>
      <c r="AY31" s="880"/>
    </row>
    <row r="32" spans="1:51">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3"/>
        <v>0</v>
      </c>
      <c r="K32" s="307">
        <f t="shared" ca="1" si="10"/>
        <v>153287.73122753916</v>
      </c>
      <c r="L32" s="307">
        <f t="shared" si="11"/>
        <v>-175.2</v>
      </c>
      <c r="M32" s="307">
        <f t="shared" si="24"/>
        <v>175.2</v>
      </c>
      <c r="N32" s="307">
        <f t="shared" ca="1" si="12"/>
        <v>153112.53122753915</v>
      </c>
      <c r="O32" s="306">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-124.43697824242066</v>
      </c>
      <c r="Y32" s="306">
        <v>0</v>
      </c>
      <c r="Z32" s="306">
        <v>0</v>
      </c>
      <c r="AA32" s="308">
        <f ca="1">-SUM(W32,X32/OFFSET(GridFootprintbyYear,$A32-$A$19,0)*EF_PurchElec_MTperMWh,Z32)*OFFSET(ExposureCalculations!Price_GHG_Allowance_2010,A32-$A$19,0)*ExposureCalculations!D29</f>
        <v>3156.4256815937165</v>
      </c>
      <c r="AB32" s="308">
        <f t="shared" ca="1" si="3"/>
        <v>15889.558504157527</v>
      </c>
      <c r="AC32" s="308">
        <f t="shared" si="19"/>
        <v>-21024</v>
      </c>
      <c r="AD32" s="819">
        <f t="shared" ca="1" si="4"/>
        <v>0</v>
      </c>
      <c r="AE32" s="308">
        <v>0</v>
      </c>
      <c r="AF32" s="819">
        <f t="shared" ca="1" si="5"/>
        <v>0</v>
      </c>
      <c r="AG32" s="308">
        <v>0</v>
      </c>
      <c r="AH32" s="308">
        <v>0</v>
      </c>
      <c r="AI32" s="308">
        <v>0</v>
      </c>
      <c r="AJ32" s="308">
        <f t="shared" ca="1" si="6"/>
        <v>-5134.4414958424732</v>
      </c>
      <c r="AK32" s="309">
        <v>0</v>
      </c>
      <c r="AL32" s="309">
        <v>0</v>
      </c>
      <c r="AM32" s="309">
        <f t="shared" si="20"/>
        <v>0</v>
      </c>
      <c r="AN32" s="310">
        <v>0</v>
      </c>
      <c r="AO32" s="310">
        <v>0</v>
      </c>
      <c r="AP32" s="310">
        <f t="shared" si="21"/>
        <v>0</v>
      </c>
      <c r="AQ32" s="309">
        <v>0</v>
      </c>
      <c r="AR32" s="311">
        <f t="shared" ca="1" si="7"/>
        <v>-1978.0158142487567</v>
      </c>
      <c r="AS32" s="870">
        <f t="shared" ca="1" si="22"/>
        <v>-153480.43916962179</v>
      </c>
      <c r="AT32" s="822"/>
      <c r="AU32" s="878"/>
      <c r="AV32" s="35"/>
      <c r="AW32" s="879"/>
      <c r="AX32" s="35"/>
      <c r="AY32" s="880"/>
    </row>
    <row r="33" spans="1:51">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3"/>
        <v>0</v>
      </c>
      <c r="K33" s="307">
        <f t="shared" ca="1" si="10"/>
        <v>154864.35682839117</v>
      </c>
      <c r="L33" s="307">
        <f t="shared" si="11"/>
        <v>-175.2</v>
      </c>
      <c r="M33" s="307">
        <f t="shared" si="24"/>
        <v>175.2</v>
      </c>
      <c r="N33" s="307">
        <f t="shared" ca="1" si="12"/>
        <v>154689.15682839116</v>
      </c>
      <c r="O33" s="306">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-124.43697824242066</v>
      </c>
      <c r="Y33" s="306">
        <v>0</v>
      </c>
      <c r="Z33" s="306">
        <v>0</v>
      </c>
      <c r="AA33" s="308">
        <f ca="1">-SUM(W33,X33/OFFSET(GridFootprintbyYear,$A33-$A$19,0)*EF_PurchElec_MTperMWh,Z33)*OFFSET(ExposureCalculations!Price_GHG_Allowance_2010,A33-$A$19,0)*ExposureCalculations!D30</f>
        <v>3451.2795937108508</v>
      </c>
      <c r="AB33" s="308">
        <f t="shared" ca="1" si="3"/>
        <v>15969.006296678312</v>
      </c>
      <c r="AC33" s="308">
        <f t="shared" si="19"/>
        <v>-21024</v>
      </c>
      <c r="AD33" s="819">
        <f t="shared" ca="1" si="4"/>
        <v>0</v>
      </c>
      <c r="AE33" s="308">
        <v>0</v>
      </c>
      <c r="AF33" s="819">
        <f t="shared" ca="1" si="5"/>
        <v>0</v>
      </c>
      <c r="AG33" s="308">
        <v>0</v>
      </c>
      <c r="AH33" s="308">
        <v>0</v>
      </c>
      <c r="AI33" s="308">
        <v>0</v>
      </c>
      <c r="AJ33" s="308">
        <f t="shared" ca="1" si="6"/>
        <v>-5054.9937033216884</v>
      </c>
      <c r="AK33" s="309">
        <v>0</v>
      </c>
      <c r="AL33" s="309">
        <v>0</v>
      </c>
      <c r="AM33" s="309">
        <f t="shared" si="20"/>
        <v>0</v>
      </c>
      <c r="AN33" s="310">
        <v>0</v>
      </c>
      <c r="AO33" s="310">
        <v>0</v>
      </c>
      <c r="AP33" s="310">
        <f t="shared" si="21"/>
        <v>0</v>
      </c>
      <c r="AQ33" s="309">
        <v>0</v>
      </c>
      <c r="AR33" s="311">
        <f t="shared" ca="1" si="7"/>
        <v>-1603.7141096108376</v>
      </c>
      <c r="AS33" s="870">
        <f t="shared" ca="1" si="22"/>
        <v>-155084.15327923262</v>
      </c>
      <c r="AT33" s="822"/>
      <c r="AU33" s="878" t="s">
        <v>786</v>
      </c>
      <c r="AV33" s="35"/>
      <c r="AW33" s="879"/>
      <c r="AX33" s="35"/>
      <c r="AY33" s="880"/>
    </row>
    <row r="34" spans="1:51">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3"/>
        <v>0</v>
      </c>
      <c r="K34" s="307">
        <f t="shared" ca="1" si="10"/>
        <v>156440.98242924322</v>
      </c>
      <c r="L34" s="307">
        <f t="shared" si="11"/>
        <v>-175.2</v>
      </c>
      <c r="M34" s="307">
        <f t="shared" si="24"/>
        <v>175.2</v>
      </c>
      <c r="N34" s="307">
        <f t="shared" ca="1" si="12"/>
        <v>156265.78242924321</v>
      </c>
      <c r="O34" s="306">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-124.43697824242066</v>
      </c>
      <c r="Y34" s="306">
        <v>0</v>
      </c>
      <c r="Z34" s="306">
        <v>0</v>
      </c>
      <c r="AA34" s="308">
        <f ca="1">-SUM(W34,X34/OFFSET(GridFootprintbyYear,$A34-$A$19,0)*EF_PurchElec_MTperMWh,Z34)*OFFSET(ExposureCalculations!Price_GHG_Allowance_2010,A34-$A$19,0)*ExposureCalculations!D31</f>
        <v>3755.1439504669834</v>
      </c>
      <c r="AB34" s="308">
        <f t="shared" ca="1" si="3"/>
        <v>16048.8513281617</v>
      </c>
      <c r="AC34" s="308">
        <f t="shared" si="19"/>
        <v>-21024</v>
      </c>
      <c r="AD34" s="819">
        <f t="shared" ca="1" si="4"/>
        <v>0</v>
      </c>
      <c r="AE34" s="308">
        <v>0</v>
      </c>
      <c r="AF34" s="819">
        <f t="shared" ca="1" si="5"/>
        <v>0</v>
      </c>
      <c r="AG34" s="308">
        <v>0</v>
      </c>
      <c r="AH34" s="308">
        <v>0</v>
      </c>
      <c r="AI34" s="308">
        <v>0</v>
      </c>
      <c r="AJ34" s="308">
        <f t="shared" ca="1" si="6"/>
        <v>-4975.1486718383003</v>
      </c>
      <c r="AK34" s="309">
        <v>0</v>
      </c>
      <c r="AL34" s="309">
        <v>0</v>
      </c>
      <c r="AM34" s="309">
        <f t="shared" si="20"/>
        <v>0</v>
      </c>
      <c r="AN34" s="310">
        <v>0</v>
      </c>
      <c r="AO34" s="310">
        <v>0</v>
      </c>
      <c r="AP34" s="310">
        <f t="shared" si="21"/>
        <v>0</v>
      </c>
      <c r="AQ34" s="309">
        <v>0</v>
      </c>
      <c r="AR34" s="311">
        <f t="shared" ca="1" si="7"/>
        <v>-1220.0047213713169</v>
      </c>
      <c r="AS34" s="870">
        <f t="shared" ca="1" si="22"/>
        <v>-156304.15800060393</v>
      </c>
      <c r="AT34" s="822"/>
      <c r="AU34" s="878"/>
      <c r="AV34" s="35"/>
      <c r="AW34" s="879"/>
      <c r="AX34" s="35"/>
      <c r="AY34" s="880"/>
    </row>
    <row r="35" spans="1:51">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3"/>
        <v>0</v>
      </c>
      <c r="K35" s="307">
        <f t="shared" ca="1" si="10"/>
        <v>158017.60803009526</v>
      </c>
      <c r="L35" s="307">
        <f t="shared" si="11"/>
        <v>-175.2</v>
      </c>
      <c r="M35" s="307">
        <f t="shared" si="24"/>
        <v>175.2</v>
      </c>
      <c r="N35" s="307">
        <f t="shared" ca="1" si="12"/>
        <v>157842.40803009525</v>
      </c>
      <c r="O35" s="306">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-124.43697824242066</v>
      </c>
      <c r="Y35" s="306">
        <v>0</v>
      </c>
      <c r="Z35" s="306">
        <v>0</v>
      </c>
      <c r="AA35" s="308">
        <f ca="1">-SUM(W35,X35/OFFSET(GridFootprintbyYear,$A35-$A$19,0)*EF_PurchElec_MTperMWh,Z35)*OFFSET(ExposureCalculations!Price_GHG_Allowance_2010,A35-$A$19,0)*ExposureCalculations!D32</f>
        <v>4098.6388399346197</v>
      </c>
      <c r="AB35" s="308">
        <f t="shared" ca="1" si="3"/>
        <v>16129.095584802508</v>
      </c>
      <c r="AC35" s="308">
        <f t="shared" si="19"/>
        <v>-21024</v>
      </c>
      <c r="AD35" s="819">
        <f t="shared" ca="1" si="4"/>
        <v>0</v>
      </c>
      <c r="AE35" s="308">
        <v>0</v>
      </c>
      <c r="AF35" s="819">
        <f t="shared" ca="1" si="5"/>
        <v>0</v>
      </c>
      <c r="AG35" s="308">
        <v>0</v>
      </c>
      <c r="AH35" s="308">
        <v>0</v>
      </c>
      <c r="AI35" s="308">
        <v>0</v>
      </c>
      <c r="AJ35" s="308">
        <f t="shared" ca="1" si="6"/>
        <v>-4894.9044151974922</v>
      </c>
      <c r="AK35" s="309">
        <v>0</v>
      </c>
      <c r="AL35" s="309">
        <v>0</v>
      </c>
      <c r="AM35" s="309">
        <f t="shared" si="20"/>
        <v>0</v>
      </c>
      <c r="AN35" s="310">
        <v>0</v>
      </c>
      <c r="AO35" s="310">
        <v>0</v>
      </c>
      <c r="AP35" s="310">
        <f t="shared" si="21"/>
        <v>0</v>
      </c>
      <c r="AQ35" s="309">
        <v>0</v>
      </c>
      <c r="AR35" s="311">
        <f t="shared" ca="1" si="7"/>
        <v>-796.26557526287252</v>
      </c>
      <c r="AS35" s="870">
        <f t="shared" ca="1" si="22"/>
        <v>-157100.42357586679</v>
      </c>
      <c r="AT35" s="822"/>
      <c r="AU35" s="878"/>
      <c r="AV35" s="35"/>
      <c r="AW35" s="879"/>
      <c r="AX35" s="35"/>
      <c r="AY35" s="880"/>
    </row>
    <row r="36" spans="1:51">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3"/>
        <v>0</v>
      </c>
      <c r="K36" s="307">
        <f t="shared" ca="1" si="10"/>
        <v>159594.23363094722</v>
      </c>
      <c r="L36" s="307">
        <f t="shared" si="11"/>
        <v>-175.2</v>
      </c>
      <c r="M36" s="307">
        <f t="shared" si="24"/>
        <v>175.2</v>
      </c>
      <c r="N36" s="307">
        <f t="shared" ca="1" si="12"/>
        <v>159419.0336309472</v>
      </c>
      <c r="O36" s="306">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-124.43697824242066</v>
      </c>
      <c r="Y36" s="306">
        <v>0</v>
      </c>
      <c r="Z36" s="306">
        <v>0</v>
      </c>
      <c r="AA36" s="308">
        <f ca="1">-SUM(W36,X36/OFFSET(GridFootprintbyYear,$A36-$A$19,0)*EF_PurchElec_MTperMWh,Z36)*OFFSET(ExposureCalculations!Price_GHG_Allowance_2010,A36-$A$19,0)*ExposureCalculations!D33</f>
        <v>4452.7979915985225</v>
      </c>
      <c r="AB36" s="308">
        <f t="shared" ca="1" si="3"/>
        <v>16209.741062726518</v>
      </c>
      <c r="AC36" s="308">
        <f t="shared" si="19"/>
        <v>-21024</v>
      </c>
      <c r="AD36" s="819">
        <f t="shared" ca="1" si="4"/>
        <v>0</v>
      </c>
      <c r="AE36" s="308">
        <v>0</v>
      </c>
      <c r="AF36" s="819">
        <f t="shared" ca="1" si="5"/>
        <v>0</v>
      </c>
      <c r="AG36" s="308">
        <v>0</v>
      </c>
      <c r="AH36" s="308">
        <v>0</v>
      </c>
      <c r="AI36" s="308">
        <v>0</v>
      </c>
      <c r="AJ36" s="308">
        <f t="shared" ca="1" si="6"/>
        <v>-4814.2589372734819</v>
      </c>
      <c r="AK36" s="309">
        <v>0</v>
      </c>
      <c r="AL36" s="309">
        <v>0</v>
      </c>
      <c r="AM36" s="309">
        <f t="shared" si="20"/>
        <v>0</v>
      </c>
      <c r="AN36" s="310">
        <v>0</v>
      </c>
      <c r="AO36" s="310">
        <v>0</v>
      </c>
      <c r="AP36" s="310">
        <f t="shared" si="21"/>
        <v>0</v>
      </c>
      <c r="AQ36" s="309">
        <v>0</v>
      </c>
      <c r="AR36" s="311">
        <f t="shared" ca="1" si="7"/>
        <v>-361.46094567495948</v>
      </c>
      <c r="AS36" s="870">
        <f t="shared" ca="1" si="22"/>
        <v>-157461.88452154174</v>
      </c>
      <c r="AT36" s="822"/>
      <c r="AU36" s="878" t="s">
        <v>783</v>
      </c>
      <c r="AV36" s="35"/>
      <c r="AW36" s="879"/>
      <c r="AX36" s="35"/>
      <c r="AY36" s="880"/>
    </row>
    <row r="37" spans="1:51">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3"/>
        <v>0</v>
      </c>
      <c r="K37" s="307">
        <f t="shared" ca="1" si="10"/>
        <v>161170.85923179929</v>
      </c>
      <c r="L37" s="307">
        <f t="shared" si="11"/>
        <v>-175.2</v>
      </c>
      <c r="M37" s="307">
        <f t="shared" si="24"/>
        <v>175.2</v>
      </c>
      <c r="N37" s="307">
        <f t="shared" ca="1" si="12"/>
        <v>160995.65923179928</v>
      </c>
      <c r="O37" s="306">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-124.43697824242066</v>
      </c>
      <c r="Y37" s="306">
        <v>0</v>
      </c>
      <c r="Z37" s="306">
        <v>0</v>
      </c>
      <c r="AA37" s="308">
        <f ca="1">-SUM(W37,X37/OFFSET(GridFootprintbyYear,$A37-$A$19,0)*EF_PurchElec_MTperMWh,Z37)*OFFSET(ExposureCalculations!Price_GHG_Allowance_2010,A37-$A$19,0)*ExposureCalculations!D34</f>
        <v>4817.1036596350714</v>
      </c>
      <c r="AB37" s="308">
        <f t="shared" ca="1" si="3"/>
        <v>16290.789768040146</v>
      </c>
      <c r="AC37" s="308">
        <f t="shared" si="19"/>
        <v>-21024</v>
      </c>
      <c r="AD37" s="819">
        <f t="shared" ca="1" si="4"/>
        <v>0</v>
      </c>
      <c r="AE37" s="308">
        <v>0</v>
      </c>
      <c r="AF37" s="819">
        <f t="shared" ca="1" si="5"/>
        <v>0</v>
      </c>
      <c r="AG37" s="308">
        <v>0</v>
      </c>
      <c r="AH37" s="308">
        <v>0</v>
      </c>
      <c r="AI37" s="308">
        <v>0</v>
      </c>
      <c r="AJ37" s="308">
        <f t="shared" ca="1" si="6"/>
        <v>-4733.2102319598544</v>
      </c>
      <c r="AK37" s="309">
        <v>0</v>
      </c>
      <c r="AL37" s="309">
        <v>0</v>
      </c>
      <c r="AM37" s="309">
        <f t="shared" si="20"/>
        <v>0</v>
      </c>
      <c r="AN37" s="310">
        <v>0</v>
      </c>
      <c r="AO37" s="310">
        <v>0</v>
      </c>
      <c r="AP37" s="310">
        <f t="shared" si="21"/>
        <v>0</v>
      </c>
      <c r="AQ37" s="309">
        <v>0</v>
      </c>
      <c r="AR37" s="311">
        <f t="shared" ca="1" si="7"/>
        <v>83.893427675217026</v>
      </c>
      <c r="AS37" s="870">
        <f t="shared" ca="1" si="22"/>
        <v>-157377.99109386653</v>
      </c>
      <c r="AT37" s="822"/>
      <c r="AU37" s="878" t="s">
        <v>784</v>
      </c>
      <c r="AV37" s="35"/>
      <c r="AW37" s="879"/>
      <c r="AX37" s="35"/>
      <c r="AY37" s="880"/>
    </row>
    <row r="38" spans="1:51">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3"/>
        <v>0</v>
      </c>
      <c r="K38" s="307">
        <f t="shared" ca="1" si="10"/>
        <v>162747.48483265133</v>
      </c>
      <c r="L38" s="307">
        <f t="shared" si="11"/>
        <v>-175.2</v>
      </c>
      <c r="M38" s="307">
        <f t="shared" si="24"/>
        <v>175.2</v>
      </c>
      <c r="N38" s="307">
        <f t="shared" ca="1" si="12"/>
        <v>162572.28483265132</v>
      </c>
      <c r="O38" s="306">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-124.43697824242066</v>
      </c>
      <c r="Y38" s="306">
        <v>0</v>
      </c>
      <c r="Z38" s="306">
        <v>0</v>
      </c>
      <c r="AA38" s="308">
        <f ca="1">-SUM(W38,X38/OFFSET(GridFootprintbyYear,$A38-$A$19,0)*EF_PurchElec_MTperMWh,Z38)*OFFSET(ExposureCalculations!Price_GHG_Allowance_2010,A38-$A$19,0)*ExposureCalculations!D35</f>
        <v>5191.0408754165783</v>
      </c>
      <c r="AB38" s="308">
        <f t="shared" ca="1" si="3"/>
        <v>16372.243716880344</v>
      </c>
      <c r="AC38" s="308">
        <f t="shared" si="19"/>
        <v>-21024</v>
      </c>
      <c r="AD38" s="819">
        <f t="shared" ca="1" si="4"/>
        <v>0</v>
      </c>
      <c r="AE38" s="308">
        <v>0</v>
      </c>
      <c r="AF38" s="819">
        <f t="shared" ca="1" si="5"/>
        <v>0</v>
      </c>
      <c r="AG38" s="308">
        <v>0</v>
      </c>
      <c r="AH38" s="308">
        <v>0</v>
      </c>
      <c r="AI38" s="308">
        <v>0</v>
      </c>
      <c r="AJ38" s="308">
        <f t="shared" ca="1" si="6"/>
        <v>-4651.7562831196556</v>
      </c>
      <c r="AK38" s="309">
        <v>0</v>
      </c>
      <c r="AL38" s="309">
        <v>0</v>
      </c>
      <c r="AM38" s="309">
        <f t="shared" si="20"/>
        <v>0</v>
      </c>
      <c r="AN38" s="310">
        <v>0</v>
      </c>
      <c r="AO38" s="310">
        <v>0</v>
      </c>
      <c r="AP38" s="310">
        <f t="shared" si="21"/>
        <v>0</v>
      </c>
      <c r="AQ38" s="309">
        <v>0</v>
      </c>
      <c r="AR38" s="311">
        <f t="shared" ca="1" si="7"/>
        <v>539.28459229692271</v>
      </c>
      <c r="AS38" s="870">
        <f t="shared" ca="1" si="22"/>
        <v>-156838.7065015696</v>
      </c>
      <c r="AT38" s="822"/>
      <c r="AU38" s="878" t="s">
        <v>785</v>
      </c>
      <c r="AV38" s="35"/>
      <c r="AW38" s="879"/>
      <c r="AX38" s="35"/>
      <c r="AY38" s="880"/>
    </row>
    <row r="39" spans="1:51">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3"/>
        <v>0</v>
      </c>
      <c r="K39" s="307">
        <f t="shared" ca="1" si="10"/>
        <v>164324.11043350337</v>
      </c>
      <c r="L39" s="307">
        <f t="shared" si="11"/>
        <v>-175.2</v>
      </c>
      <c r="M39" s="307">
        <f t="shared" si="24"/>
        <v>175.2</v>
      </c>
      <c r="N39" s="307">
        <f t="shared" ca="1" si="12"/>
        <v>164148.91043350336</v>
      </c>
      <c r="O39" s="306">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-124.43697824242066</v>
      </c>
      <c r="Y39" s="306">
        <v>0</v>
      </c>
      <c r="Z39" s="306">
        <v>0</v>
      </c>
      <c r="AA39" s="308">
        <f ca="1">-SUM(W39,X39/OFFSET(GridFootprintbyYear,$A39-$A$19,0)*EF_PurchElec_MTperMWh,Z39)*OFFSET(ExposureCalculations!Price_GHG_Allowance_2010,A39-$A$19,0)*ExposureCalculations!D36</f>
        <v>5574.0973949128611</v>
      </c>
      <c r="AB39" s="308">
        <f t="shared" ca="1" si="3"/>
        <v>16454.104935464744</v>
      </c>
      <c r="AC39" s="308">
        <f t="shared" si="19"/>
        <v>-21024</v>
      </c>
      <c r="AD39" s="819">
        <f t="shared" ca="1" si="4"/>
        <v>0</v>
      </c>
      <c r="AE39" s="308">
        <v>0</v>
      </c>
      <c r="AF39" s="819">
        <f t="shared" ca="1" si="5"/>
        <v>0</v>
      </c>
      <c r="AG39" s="308">
        <v>0</v>
      </c>
      <c r="AH39" s="308">
        <v>0</v>
      </c>
      <c r="AI39" s="308">
        <v>0</v>
      </c>
      <c r="AJ39" s="308">
        <f t="shared" ca="1" si="6"/>
        <v>-4569.8950645352561</v>
      </c>
      <c r="AK39" s="309">
        <v>0</v>
      </c>
      <c r="AL39" s="309">
        <v>0</v>
      </c>
      <c r="AM39" s="309">
        <f t="shared" si="20"/>
        <v>0</v>
      </c>
      <c r="AN39" s="310">
        <v>0</v>
      </c>
      <c r="AO39" s="310">
        <v>0</v>
      </c>
      <c r="AP39" s="310">
        <f t="shared" si="21"/>
        <v>0</v>
      </c>
      <c r="AQ39" s="309">
        <v>0</v>
      </c>
      <c r="AR39" s="311">
        <f t="shared" ca="1" si="7"/>
        <v>1004.202330377605</v>
      </c>
      <c r="AS39" s="870">
        <f t="shared" ca="1" si="22"/>
        <v>-155834.50417119201</v>
      </c>
      <c r="AT39" s="822"/>
      <c r="AU39" s="878"/>
      <c r="AV39" s="35"/>
      <c r="AW39" s="879"/>
      <c r="AX39" s="35"/>
      <c r="AY39" s="880"/>
    </row>
    <row r="40" spans="1:51">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3"/>
        <v>0</v>
      </c>
      <c r="K40" s="307">
        <f t="shared" ca="1" si="10"/>
        <v>165900.73603435536</v>
      </c>
      <c r="L40" s="307">
        <f t="shared" si="11"/>
        <v>-175.2</v>
      </c>
      <c r="M40" s="307">
        <f t="shared" si="24"/>
        <v>175.2</v>
      </c>
      <c r="N40" s="307">
        <f t="shared" ca="1" si="12"/>
        <v>165725.53603435535</v>
      </c>
      <c r="O40" s="306">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-124.43697824242066</v>
      </c>
      <c r="Y40" s="306">
        <v>0</v>
      </c>
      <c r="Z40" s="306">
        <v>0</v>
      </c>
      <c r="AA40" s="308">
        <f ca="1">-SUM(W40,X40/OFFSET(GridFootprintbyYear,$A40-$A$19,0)*EF_PurchElec_MTperMWh,Z40)*OFFSET(ExposureCalculations!Price_GHG_Allowance_2010,A40-$A$19,0)*ExposureCalculations!D37</f>
        <v>6012.733935436765</v>
      </c>
      <c r="AB40" s="308">
        <f t="shared" ca="1" si="3"/>
        <v>16536.375460142062</v>
      </c>
      <c r="AC40" s="308">
        <f t="shared" si="19"/>
        <v>-21024</v>
      </c>
      <c r="AD40" s="819">
        <f t="shared" ca="1" si="4"/>
        <v>0</v>
      </c>
      <c r="AE40" s="308">
        <v>0</v>
      </c>
      <c r="AF40" s="819">
        <f t="shared" ca="1" si="5"/>
        <v>0</v>
      </c>
      <c r="AG40" s="308">
        <v>0</v>
      </c>
      <c r="AH40" s="308">
        <v>0</v>
      </c>
      <c r="AI40" s="308">
        <v>0</v>
      </c>
      <c r="AJ40" s="308">
        <f t="shared" ca="1" si="6"/>
        <v>-4487.6245398579376</v>
      </c>
      <c r="AK40" s="309">
        <v>0</v>
      </c>
      <c r="AL40" s="309">
        <v>0</v>
      </c>
      <c r="AM40" s="309">
        <f t="shared" si="20"/>
        <v>0</v>
      </c>
      <c r="AN40" s="310">
        <v>0</v>
      </c>
      <c r="AO40" s="310">
        <v>0</v>
      </c>
      <c r="AP40" s="310">
        <f t="shared" si="21"/>
        <v>0</v>
      </c>
      <c r="AQ40" s="309">
        <v>0</v>
      </c>
      <c r="AR40" s="311">
        <f t="shared" ca="1" si="7"/>
        <v>1525.1093955788274</v>
      </c>
      <c r="AS40" s="870">
        <f t="shared" ca="1" si="22"/>
        <v>-154309.39477561318</v>
      </c>
      <c r="AT40" s="822"/>
      <c r="AU40" s="878"/>
      <c r="AV40" s="35"/>
      <c r="AW40" s="879"/>
      <c r="AX40" s="35"/>
      <c r="AY40" s="880"/>
    </row>
    <row r="41" spans="1:51">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3"/>
        <v>0</v>
      </c>
      <c r="K41" s="307">
        <f t="shared" ca="1" si="10"/>
        <v>167477.3616352074</v>
      </c>
      <c r="L41" s="307">
        <f t="shared" si="11"/>
        <v>-175.2</v>
      </c>
      <c r="M41" s="307">
        <f t="shared" si="24"/>
        <v>175.2</v>
      </c>
      <c r="N41" s="307">
        <f t="shared" ca="1" si="12"/>
        <v>167302.16163520739</v>
      </c>
      <c r="O41" s="306">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-124.43697824242066</v>
      </c>
      <c r="Y41" s="306">
        <v>0</v>
      </c>
      <c r="Z41" s="306">
        <v>0</v>
      </c>
      <c r="AA41" s="308">
        <f ca="1">-SUM(W41,X41/OFFSET(GridFootprintbyYear,$A41-$A$19,0)*EF_PurchElec_MTperMWh,Z41)*OFFSET(ExposureCalculations!Price_GHG_Allowance_2010,A41-$A$19,0)*ExposureCalculations!D38</f>
        <v>6462.1079689898907</v>
      </c>
      <c r="AB41" s="308">
        <f t="shared" ca="1" si="3"/>
        <v>16619.057337442773</v>
      </c>
      <c r="AC41" s="308">
        <f t="shared" si="19"/>
        <v>-21024</v>
      </c>
      <c r="AD41" s="819">
        <f t="shared" ca="1" si="4"/>
        <v>0</v>
      </c>
      <c r="AE41" s="308">
        <v>0</v>
      </c>
      <c r="AF41" s="819">
        <f t="shared" ca="1" si="5"/>
        <v>0</v>
      </c>
      <c r="AG41" s="308">
        <v>0</v>
      </c>
      <c r="AH41" s="308">
        <v>0</v>
      </c>
      <c r="AI41" s="308">
        <v>0</v>
      </c>
      <c r="AJ41" s="308">
        <f t="shared" ca="1" si="6"/>
        <v>-4404.9426625572269</v>
      </c>
      <c r="AK41" s="309">
        <v>0</v>
      </c>
      <c r="AL41" s="309">
        <v>0</v>
      </c>
      <c r="AM41" s="309">
        <f t="shared" si="20"/>
        <v>0</v>
      </c>
      <c r="AN41" s="310">
        <v>0</v>
      </c>
      <c r="AO41" s="310">
        <v>0</v>
      </c>
      <c r="AP41" s="310">
        <f t="shared" si="21"/>
        <v>0</v>
      </c>
      <c r="AQ41" s="309">
        <v>0</v>
      </c>
      <c r="AR41" s="311">
        <f t="shared" ca="1" si="7"/>
        <v>2057.1653064326638</v>
      </c>
      <c r="AS41" s="870">
        <f t="shared" ca="1" si="22"/>
        <v>-152252.22946918051</v>
      </c>
      <c r="AT41" s="822"/>
      <c r="AU41" s="878"/>
      <c r="AV41" s="35"/>
      <c r="AW41" s="879"/>
      <c r="AX41" s="35"/>
      <c r="AY41" s="880"/>
    </row>
    <row r="42" spans="1:51">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3"/>
        <v>0</v>
      </c>
      <c r="K42" s="307">
        <f t="shared" ca="1" si="10"/>
        <v>169053.98723605942</v>
      </c>
      <c r="L42" s="307">
        <f t="shared" si="11"/>
        <v>-175.2</v>
      </c>
      <c r="M42" s="307">
        <f t="shared" si="24"/>
        <v>175.2</v>
      </c>
      <c r="N42" s="307">
        <f t="shared" ca="1" si="12"/>
        <v>168878.7872360594</v>
      </c>
      <c r="O42" s="306">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-124.43697824242066</v>
      </c>
      <c r="Y42" s="306">
        <v>0</v>
      </c>
      <c r="Z42" s="306">
        <v>0</v>
      </c>
      <c r="AA42" s="308">
        <f ca="1">-SUM(W42,X42/OFFSET(GridFootprintbyYear,$A42-$A$19,0)*EF_PurchElec_MTperMWh,Z42)*OFFSET(ExposureCalculations!Price_GHG_Allowance_2010,A42-$A$19,0)*ExposureCalculations!D39</f>
        <v>6864.9448314129859</v>
      </c>
      <c r="AB42" s="308">
        <f t="shared" ca="1" si="3"/>
        <v>16702.152624129983</v>
      </c>
      <c r="AC42" s="308">
        <f t="shared" si="19"/>
        <v>-21024</v>
      </c>
      <c r="AD42" s="819">
        <f t="shared" ca="1" si="4"/>
        <v>0</v>
      </c>
      <c r="AE42" s="308">
        <v>0</v>
      </c>
      <c r="AF42" s="819">
        <f t="shared" ca="1" si="5"/>
        <v>0</v>
      </c>
      <c r="AG42" s="308">
        <v>0</v>
      </c>
      <c r="AH42" s="308">
        <v>0</v>
      </c>
      <c r="AI42" s="308">
        <v>0</v>
      </c>
      <c r="AJ42" s="308">
        <f t="shared" ca="1" si="6"/>
        <v>-4321.8473758700165</v>
      </c>
      <c r="AK42" s="309">
        <v>0</v>
      </c>
      <c r="AL42" s="309">
        <v>0</v>
      </c>
      <c r="AM42" s="309">
        <f t="shared" si="20"/>
        <v>0</v>
      </c>
      <c r="AN42" s="310">
        <v>0</v>
      </c>
      <c r="AO42" s="310">
        <v>0</v>
      </c>
      <c r="AP42" s="310">
        <f t="shared" si="21"/>
        <v>0</v>
      </c>
      <c r="AQ42" s="309">
        <v>0</v>
      </c>
      <c r="AR42" s="311">
        <f t="shared" ca="1" si="7"/>
        <v>2543.0974555429693</v>
      </c>
      <c r="AS42" s="870">
        <f t="shared" ca="1" si="22"/>
        <v>-149709.13201363754</v>
      </c>
      <c r="AT42" s="822"/>
      <c r="AU42" s="878"/>
      <c r="AV42" s="35"/>
      <c r="AW42" s="879"/>
      <c r="AX42" s="35"/>
      <c r="AY42" s="880"/>
    </row>
    <row r="43" spans="1:51">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3"/>
        <v>0</v>
      </c>
      <c r="K43" s="307">
        <f t="shared" ca="1" si="10"/>
        <v>170630.61283691146</v>
      </c>
      <c r="L43" s="307">
        <f t="shared" si="11"/>
        <v>-175.2</v>
      </c>
      <c r="M43" s="307">
        <f t="shared" si="24"/>
        <v>175.2</v>
      </c>
      <c r="N43" s="307">
        <f t="shared" ca="1" si="12"/>
        <v>170455.41283691145</v>
      </c>
      <c r="O43" s="306">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-124.43697824242066</v>
      </c>
      <c r="Y43" s="306">
        <v>0</v>
      </c>
      <c r="Z43" s="306">
        <v>0</v>
      </c>
      <c r="AA43" s="308">
        <f ca="1">-SUM(W43,X43/OFFSET(GridFootprintbyYear,$A43-$A$19,0)*EF_PurchElec_MTperMWh,Z43)*OFFSET(ExposureCalculations!Price_GHG_Allowance_2010,A43-$A$19,0)*ExposureCalculations!D40</f>
        <v>7218.9597342432362</v>
      </c>
      <c r="AB43" s="308">
        <f t="shared" ca="1" si="3"/>
        <v>16785.663387250635</v>
      </c>
      <c r="AC43" s="308">
        <f t="shared" si="19"/>
        <v>-21024</v>
      </c>
      <c r="AD43" s="819">
        <f t="shared" ca="1" si="4"/>
        <v>0</v>
      </c>
      <c r="AE43" s="308">
        <v>0</v>
      </c>
      <c r="AF43" s="819">
        <f t="shared" ca="1" si="5"/>
        <v>0</v>
      </c>
      <c r="AG43" s="308">
        <v>0</v>
      </c>
      <c r="AH43" s="308">
        <v>0</v>
      </c>
      <c r="AI43" s="308">
        <v>0</v>
      </c>
      <c r="AJ43" s="308">
        <f t="shared" ca="1" si="6"/>
        <v>-4238.3366127493646</v>
      </c>
      <c r="AK43" s="309">
        <v>0</v>
      </c>
      <c r="AL43" s="309">
        <v>0</v>
      </c>
      <c r="AM43" s="309">
        <f t="shared" si="20"/>
        <v>0</v>
      </c>
      <c r="AN43" s="310">
        <v>0</v>
      </c>
      <c r="AO43" s="310">
        <v>0</v>
      </c>
      <c r="AP43" s="310">
        <f t="shared" si="21"/>
        <v>0</v>
      </c>
      <c r="AQ43" s="309">
        <v>0</v>
      </c>
      <c r="AR43" s="311">
        <f t="shared" ca="1" si="7"/>
        <v>2980.6231214938716</v>
      </c>
      <c r="AS43" s="870">
        <f t="shared" ca="1" si="22"/>
        <v>-146728.50889214367</v>
      </c>
      <c r="AT43" s="822"/>
      <c r="AU43" s="878"/>
      <c r="AV43" s="35"/>
      <c r="AW43" s="879"/>
      <c r="AX43" s="35"/>
      <c r="AY43" s="880"/>
    </row>
    <row r="44" spans="1:51">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3"/>
        <v>0</v>
      </c>
      <c r="K44" s="307">
        <f t="shared" ca="1" si="10"/>
        <v>172207.23843776347</v>
      </c>
      <c r="L44" s="307">
        <f t="shared" si="11"/>
        <v>-175.2</v>
      </c>
      <c r="M44" s="307">
        <f t="shared" si="24"/>
        <v>175.2</v>
      </c>
      <c r="N44" s="307">
        <f t="shared" ca="1" si="12"/>
        <v>172032.03843776346</v>
      </c>
      <c r="O44" s="306">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-124.43697824242066</v>
      </c>
      <c r="Y44" s="306">
        <v>0</v>
      </c>
      <c r="Z44" s="306">
        <v>0</v>
      </c>
      <c r="AA44" s="308">
        <f ca="1">-SUM(W44,X44/OFFSET(GridFootprintbyYear,$A44-$A$19,0)*EF_PurchElec_MTperMWh,Z44)*OFFSET(ExposureCalculations!Price_GHG_Allowance_2010,A44-$A$19,0)*ExposureCalculations!D41</f>
        <v>7580.2435816946581</v>
      </c>
      <c r="AB44" s="308">
        <f t="shared" ca="1" si="3"/>
        <v>16869.591704186882</v>
      </c>
      <c r="AC44" s="308">
        <f t="shared" si="19"/>
        <v>-21024</v>
      </c>
      <c r="AD44" s="819">
        <f t="shared" ca="1" si="4"/>
        <v>0</v>
      </c>
      <c r="AE44" s="308">
        <v>0</v>
      </c>
      <c r="AF44" s="819">
        <f t="shared" ca="1" si="5"/>
        <v>0</v>
      </c>
      <c r="AG44" s="308">
        <v>0</v>
      </c>
      <c r="AH44" s="308">
        <v>0</v>
      </c>
      <c r="AI44" s="308">
        <v>0</v>
      </c>
      <c r="AJ44" s="308">
        <f t="shared" ca="1" si="6"/>
        <v>-4154.4082958131185</v>
      </c>
      <c r="AK44" s="309">
        <v>0</v>
      </c>
      <c r="AL44" s="309">
        <v>0</v>
      </c>
      <c r="AM44" s="309">
        <f t="shared" si="20"/>
        <v>0</v>
      </c>
      <c r="AN44" s="310">
        <v>0</v>
      </c>
      <c r="AO44" s="310">
        <v>0</v>
      </c>
      <c r="AP44" s="310">
        <f t="shared" si="21"/>
        <v>0</v>
      </c>
      <c r="AQ44" s="309">
        <v>0</v>
      </c>
      <c r="AR44" s="311">
        <f t="shared" ca="1" si="7"/>
        <v>3425.8352858815397</v>
      </c>
      <c r="AS44" s="870">
        <f t="shared" ca="1" si="22"/>
        <v>-143302.67360626213</v>
      </c>
      <c r="AT44" s="822"/>
      <c r="AU44" s="878"/>
      <c r="AV44" s="35"/>
      <c r="AW44" s="879"/>
      <c r="AX44" s="35"/>
      <c r="AY44" s="880"/>
    </row>
    <row r="45" spans="1:51">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3"/>
        <v>0</v>
      </c>
      <c r="K45" s="307">
        <f t="shared" ca="1" si="10"/>
        <v>173783.86403861555</v>
      </c>
      <c r="L45" s="307">
        <f t="shared" si="11"/>
        <v>-175.2</v>
      </c>
      <c r="M45" s="307">
        <f t="shared" si="24"/>
        <v>175.2</v>
      </c>
      <c r="N45" s="307">
        <f t="shared" ca="1" si="12"/>
        <v>173608.66403861553</v>
      </c>
      <c r="O45" s="306">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-124.43697824242066</v>
      </c>
      <c r="Y45" s="306">
        <v>0</v>
      </c>
      <c r="Z45" s="306">
        <v>0</v>
      </c>
      <c r="AA45" s="308">
        <f ca="1">-SUM(W45,X45/OFFSET(GridFootprintbyYear,$A45-$A$19,0)*EF_PurchElec_MTperMWh,Z45)*OFFSET(ExposureCalculations!Price_GHG_Allowance_2010,A45-$A$19,0)*ExposureCalculations!D42</f>
        <v>8002.935458879273</v>
      </c>
      <c r="AB45" s="308">
        <f t="shared" ca="1" si="3"/>
        <v>16953.939662707817</v>
      </c>
      <c r="AC45" s="308">
        <f t="shared" si="19"/>
        <v>-21024</v>
      </c>
      <c r="AD45" s="819">
        <f t="shared" ca="1" si="4"/>
        <v>0</v>
      </c>
      <c r="AE45" s="308">
        <v>0</v>
      </c>
      <c r="AF45" s="819">
        <f t="shared" ca="1" si="5"/>
        <v>0</v>
      </c>
      <c r="AG45" s="308">
        <v>0</v>
      </c>
      <c r="AH45" s="308">
        <v>0</v>
      </c>
      <c r="AI45" s="308">
        <v>0</v>
      </c>
      <c r="AJ45" s="308">
        <f t="shared" ca="1" si="6"/>
        <v>-4070.0603372921832</v>
      </c>
      <c r="AK45" s="309">
        <v>0</v>
      </c>
      <c r="AL45" s="309">
        <v>0</v>
      </c>
      <c r="AM45" s="309">
        <f t="shared" si="20"/>
        <v>0</v>
      </c>
      <c r="AN45" s="310">
        <v>0</v>
      </c>
      <c r="AO45" s="310">
        <v>0</v>
      </c>
      <c r="AP45" s="310">
        <f t="shared" si="21"/>
        <v>0</v>
      </c>
      <c r="AQ45" s="309">
        <v>0</v>
      </c>
      <c r="AR45" s="311">
        <f t="shared" ca="1" si="7"/>
        <v>3932.8751215870898</v>
      </c>
      <c r="AS45" s="870">
        <f t="shared" ca="1" si="22"/>
        <v>-139369.79848467503</v>
      </c>
      <c r="AT45" s="822"/>
      <c r="AU45" s="878"/>
      <c r="AV45" s="35"/>
      <c r="AW45" s="879"/>
      <c r="AX45" s="35"/>
      <c r="AY45" s="880"/>
    </row>
    <row r="46" spans="1:51">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3"/>
        <v>0</v>
      </c>
      <c r="K46" s="307">
        <f t="shared" ca="1" si="10"/>
        <v>175360.48963946756</v>
      </c>
      <c r="L46" s="307">
        <f t="shared" si="11"/>
        <v>-175.2</v>
      </c>
      <c r="M46" s="307">
        <f t="shared" si="24"/>
        <v>175.2</v>
      </c>
      <c r="N46" s="307">
        <f t="shared" ca="1" si="12"/>
        <v>175185.28963946755</v>
      </c>
      <c r="O46" s="306">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-124.43697824242066</v>
      </c>
      <c r="Y46" s="306">
        <v>0</v>
      </c>
      <c r="Z46" s="306">
        <v>0</v>
      </c>
      <c r="AA46" s="308">
        <f ca="1">-SUM(W46,X46/OFFSET(GridFootprintbyYear,$A46-$A$19,0)*EF_PurchElec_MTperMWh,Z46)*OFFSET(ExposureCalculations!Price_GHG_Allowance_2010,A46-$A$19,0)*ExposureCalculations!D43</f>
        <v>8423.789995217845</v>
      </c>
      <c r="AB46" s="308">
        <f t="shared" ca="1" si="3"/>
        <v>17038.709361021352</v>
      </c>
      <c r="AC46" s="308">
        <f t="shared" si="19"/>
        <v>-21024</v>
      </c>
      <c r="AD46" s="819">
        <f t="shared" ca="1" si="4"/>
        <v>0</v>
      </c>
      <c r="AE46" s="308">
        <v>0</v>
      </c>
      <c r="AF46" s="819">
        <f t="shared" ca="1" si="5"/>
        <v>0</v>
      </c>
      <c r="AG46" s="308">
        <v>0</v>
      </c>
      <c r="AH46" s="308">
        <v>0</v>
      </c>
      <c r="AI46" s="308">
        <v>0</v>
      </c>
      <c r="AJ46" s="308">
        <f t="shared" ca="1" si="6"/>
        <v>-3985.2906389786476</v>
      </c>
      <c r="AK46" s="309">
        <v>0</v>
      </c>
      <c r="AL46" s="309">
        <v>0</v>
      </c>
      <c r="AM46" s="309">
        <f t="shared" si="20"/>
        <v>0</v>
      </c>
      <c r="AN46" s="310">
        <v>0</v>
      </c>
      <c r="AO46" s="310">
        <v>0</v>
      </c>
      <c r="AP46" s="310">
        <f t="shared" si="21"/>
        <v>0</v>
      </c>
      <c r="AQ46" s="309">
        <v>0</v>
      </c>
      <c r="AR46" s="311">
        <f t="shared" ca="1" si="7"/>
        <v>4438.4993562391974</v>
      </c>
      <c r="AS46" s="870">
        <f t="shared" ca="1" si="22"/>
        <v>-134931.29912843584</v>
      </c>
      <c r="AT46" s="822"/>
      <c r="AU46" s="878"/>
      <c r="AV46" s="35"/>
      <c r="AW46" s="879"/>
      <c r="AX46" s="35"/>
      <c r="AY46" s="880"/>
    </row>
    <row r="47" spans="1:51">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3"/>
        <v>0</v>
      </c>
      <c r="K47" s="307">
        <f t="shared" ca="1" si="10"/>
        <v>176937.1152403196</v>
      </c>
      <c r="L47" s="307">
        <f t="shared" si="11"/>
        <v>-175.2</v>
      </c>
      <c r="M47" s="307">
        <f t="shared" si="24"/>
        <v>175.2</v>
      </c>
      <c r="N47" s="307">
        <f t="shared" ca="1" si="12"/>
        <v>176761.91524031959</v>
      </c>
      <c r="O47" s="306">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-124.43697824242066</v>
      </c>
      <c r="Y47" s="306">
        <v>0</v>
      </c>
      <c r="Z47" s="306">
        <v>0</v>
      </c>
      <c r="AA47" s="308">
        <f ca="1">-SUM(W47,X47/OFFSET(GridFootprintbyYear,$A47-$A$19,0)*EF_PurchElec_MTperMWh,Z47)*OFFSET(ExposureCalculations!Price_GHG_Allowance_2010,A47-$A$19,0)*ExposureCalculations!D44</f>
        <v>8841.6918600857862</v>
      </c>
      <c r="AB47" s="308">
        <f t="shared" ca="1" si="3"/>
        <v>17123.902907826454</v>
      </c>
      <c r="AC47" s="308">
        <f t="shared" si="19"/>
        <v>-21024</v>
      </c>
      <c r="AD47" s="819">
        <f t="shared" ca="1" si="4"/>
        <v>0</v>
      </c>
      <c r="AE47" s="308">
        <v>0</v>
      </c>
      <c r="AF47" s="819">
        <f t="shared" ca="1" si="5"/>
        <v>0</v>
      </c>
      <c r="AG47" s="308">
        <v>0</v>
      </c>
      <c r="AH47" s="308">
        <v>0</v>
      </c>
      <c r="AI47" s="308">
        <v>0</v>
      </c>
      <c r="AJ47" s="308">
        <f t="shared" ca="1" si="6"/>
        <v>-3900.0970921735461</v>
      </c>
      <c r="AK47" s="309">
        <v>0</v>
      </c>
      <c r="AL47" s="309">
        <v>0</v>
      </c>
      <c r="AM47" s="309">
        <f t="shared" si="20"/>
        <v>0</v>
      </c>
      <c r="AN47" s="310">
        <v>0</v>
      </c>
      <c r="AO47" s="310">
        <v>0</v>
      </c>
      <c r="AP47" s="310">
        <f t="shared" si="21"/>
        <v>0</v>
      </c>
      <c r="AQ47" s="309">
        <v>0</v>
      </c>
      <c r="AR47" s="311">
        <f t="shared" ca="1" si="7"/>
        <v>4941.5947679122401</v>
      </c>
      <c r="AS47" s="870">
        <f t="shared" ca="1" si="22"/>
        <v>-129989.70436052361</v>
      </c>
      <c r="AT47" s="822"/>
      <c r="AU47" s="878"/>
      <c r="AV47" s="35"/>
      <c r="AW47" s="879"/>
      <c r="AX47" s="35"/>
      <c r="AY47" s="880"/>
    </row>
    <row r="48" spans="1:51">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3"/>
        <v>0</v>
      </c>
      <c r="K48" s="307">
        <f t="shared" ca="1" si="10"/>
        <v>178513.74084117162</v>
      </c>
      <c r="L48" s="307">
        <f t="shared" si="11"/>
        <v>-175.2</v>
      </c>
      <c r="M48" s="307">
        <f t="shared" si="24"/>
        <v>175.2</v>
      </c>
      <c r="N48" s="307">
        <f t="shared" ca="1" si="12"/>
        <v>178338.54084117161</v>
      </c>
      <c r="O48" s="306">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-124.43697824242066</v>
      </c>
      <c r="Y48" s="306">
        <v>0</v>
      </c>
      <c r="Z48" s="306">
        <v>0</v>
      </c>
      <c r="AA48" s="308">
        <f ca="1">-SUM(W48,X48/OFFSET(GridFootprintbyYear,$A48-$A$19,0)*EF_PurchElec_MTperMWh,Z48)*OFFSET(ExposureCalculations!Price_GHG_Allowance_2010,A48-$A$19,0)*ExposureCalculations!D45</f>
        <v>9255.7320797693737</v>
      </c>
      <c r="AB48" s="308">
        <f t="shared" ca="1" si="3"/>
        <v>17209.522422365586</v>
      </c>
      <c r="AC48" s="308">
        <f t="shared" si="19"/>
        <v>-21024</v>
      </c>
      <c r="AD48" s="819">
        <f t="shared" ca="1" si="4"/>
        <v>0</v>
      </c>
      <c r="AE48" s="308">
        <v>0</v>
      </c>
      <c r="AF48" s="819">
        <f t="shared" ca="1" si="5"/>
        <v>0</v>
      </c>
      <c r="AG48" s="308">
        <v>0</v>
      </c>
      <c r="AH48" s="308">
        <v>0</v>
      </c>
      <c r="AI48" s="308">
        <v>0</v>
      </c>
      <c r="AJ48" s="308">
        <f t="shared" ca="1" si="6"/>
        <v>-3814.477577634414</v>
      </c>
      <c r="AK48" s="309">
        <v>0</v>
      </c>
      <c r="AL48" s="309">
        <v>0</v>
      </c>
      <c r="AM48" s="309">
        <f t="shared" si="20"/>
        <v>0</v>
      </c>
      <c r="AN48" s="310">
        <v>0</v>
      </c>
      <c r="AO48" s="310">
        <v>0</v>
      </c>
      <c r="AP48" s="310">
        <f t="shared" si="21"/>
        <v>0</v>
      </c>
      <c r="AQ48" s="309">
        <v>0</v>
      </c>
      <c r="AR48" s="311">
        <f t="shared" ca="1" si="7"/>
        <v>5441.2545021349597</v>
      </c>
      <c r="AS48" s="870">
        <f t="shared" ca="1" si="22"/>
        <v>-124548.44985838865</v>
      </c>
      <c r="AT48" s="822"/>
      <c r="AU48" s="878"/>
      <c r="AV48" s="35"/>
      <c r="AW48" s="879"/>
      <c r="AX48" s="35"/>
      <c r="AY48" s="880"/>
    </row>
    <row r="49" spans="1:51">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3"/>
        <v>0</v>
      </c>
      <c r="K49" s="307">
        <f t="shared" ca="1" si="10"/>
        <v>180090.36644202363</v>
      </c>
      <c r="L49" s="307">
        <f t="shared" si="11"/>
        <v>-175.2</v>
      </c>
      <c r="M49" s="307">
        <f t="shared" si="24"/>
        <v>175.2</v>
      </c>
      <c r="N49" s="307">
        <f t="shared" ca="1" si="12"/>
        <v>179915.16644202362</v>
      </c>
      <c r="O49" s="306">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-124.43697824242066</v>
      </c>
      <c r="Y49" s="306">
        <v>0</v>
      </c>
      <c r="Z49" s="306">
        <v>0</v>
      </c>
      <c r="AA49" s="308">
        <f ca="1">-SUM(W49,X49/OFFSET(GridFootprintbyYear,$A49-$A$19,0)*EF_PurchElec_MTperMWh,Z49)*OFFSET(ExposureCalculations!Price_GHG_Allowance_2010,A49-$A$19,0)*ExposureCalculations!D46</f>
        <v>9689.9622366885214</v>
      </c>
      <c r="AB49" s="308">
        <f t="shared" ca="1" si="3"/>
        <v>17295.570034477412</v>
      </c>
      <c r="AC49" s="308">
        <f t="shared" si="19"/>
        <v>-21024</v>
      </c>
      <c r="AD49" s="819">
        <f t="shared" ca="1" si="4"/>
        <v>0</v>
      </c>
      <c r="AE49" s="308">
        <v>0</v>
      </c>
      <c r="AF49" s="819">
        <f t="shared" ca="1" si="5"/>
        <v>0</v>
      </c>
      <c r="AG49" s="308">
        <v>0</v>
      </c>
      <c r="AH49" s="308">
        <v>0</v>
      </c>
      <c r="AI49" s="308">
        <v>0</v>
      </c>
      <c r="AJ49" s="308">
        <f t="shared" ca="1" si="6"/>
        <v>-3728.4299655225877</v>
      </c>
      <c r="AK49" s="309">
        <v>0</v>
      </c>
      <c r="AL49" s="309">
        <v>0</v>
      </c>
      <c r="AM49" s="309">
        <f t="shared" si="20"/>
        <v>0</v>
      </c>
      <c r="AN49" s="310">
        <v>0</v>
      </c>
      <c r="AO49" s="310">
        <v>0</v>
      </c>
      <c r="AP49" s="310">
        <f t="shared" si="21"/>
        <v>0</v>
      </c>
      <c r="AQ49" s="309">
        <v>0</v>
      </c>
      <c r="AR49" s="311">
        <f t="shared" ca="1" si="7"/>
        <v>5961.5322711659337</v>
      </c>
      <c r="AS49" s="870">
        <f t="shared" ca="1" si="22"/>
        <v>-118586.91758722271</v>
      </c>
      <c r="AT49" s="822"/>
      <c r="AU49" s="878"/>
      <c r="AV49" s="35"/>
      <c r="AW49" s="879"/>
      <c r="AX49" s="35"/>
      <c r="AY49" s="880"/>
    </row>
    <row r="50" spans="1:51">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3"/>
        <v>0</v>
      </c>
      <c r="K50" s="307">
        <f t="shared" ca="1" si="10"/>
        <v>181666.99204287567</v>
      </c>
      <c r="L50" s="307">
        <f t="shared" si="11"/>
        <v>-175.2</v>
      </c>
      <c r="M50" s="307">
        <f t="shared" si="24"/>
        <v>175.2</v>
      </c>
      <c r="N50" s="307">
        <f t="shared" ca="1" si="12"/>
        <v>181491.79204287566</v>
      </c>
      <c r="O50" s="306">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-124.43697824242066</v>
      </c>
      <c r="Y50" s="306">
        <v>0</v>
      </c>
      <c r="Z50" s="306">
        <v>0</v>
      </c>
      <c r="AA50" s="308">
        <f ca="1">-SUM(W50,X50/OFFSET(GridFootprintbyYear,$A50-$A$19,0)*EF_PurchElec_MTperMWh,Z50)*OFFSET(ExposureCalculations!Price_GHG_Allowance_2010,A50-$A$19,0)*ExposureCalculations!D47</f>
        <v>10110.624031927586</v>
      </c>
      <c r="AB50" s="308">
        <f t="shared" ca="1" si="3"/>
        <v>17382.047884649794</v>
      </c>
      <c r="AC50" s="308">
        <f t="shared" si="19"/>
        <v>-21024</v>
      </c>
      <c r="AD50" s="819">
        <f t="shared" ca="1" si="4"/>
        <v>0</v>
      </c>
      <c r="AE50" s="308">
        <v>0</v>
      </c>
      <c r="AF50" s="819">
        <f t="shared" ca="1" si="5"/>
        <v>0</v>
      </c>
      <c r="AG50" s="308">
        <v>0</v>
      </c>
      <c r="AH50" s="308">
        <v>0</v>
      </c>
      <c r="AI50" s="308">
        <v>0</v>
      </c>
      <c r="AJ50" s="308">
        <f t="shared" ca="1" si="6"/>
        <v>-3641.9521153502064</v>
      </c>
      <c r="AK50" s="309">
        <v>0</v>
      </c>
      <c r="AL50" s="309">
        <v>0</v>
      </c>
      <c r="AM50" s="309">
        <f t="shared" si="20"/>
        <v>0</v>
      </c>
      <c r="AN50" s="310">
        <v>0</v>
      </c>
      <c r="AO50" s="310">
        <v>0</v>
      </c>
      <c r="AP50" s="310">
        <f t="shared" si="21"/>
        <v>0</v>
      </c>
      <c r="AQ50" s="309">
        <v>0</v>
      </c>
      <c r="AR50" s="311">
        <f t="shared" ca="1" si="7"/>
        <v>6468.6719165773793</v>
      </c>
      <c r="AS50" s="870">
        <f t="shared" ca="1" si="22"/>
        <v>-112118.24567064532</v>
      </c>
      <c r="AT50" s="822"/>
      <c r="AU50" s="878"/>
      <c r="AV50" s="35"/>
      <c r="AW50" s="879"/>
      <c r="AX50" s="35"/>
      <c r="AY50" s="880"/>
    </row>
    <row r="51" spans="1:51">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3"/>
        <v>0</v>
      </c>
      <c r="K51" s="307">
        <f t="shared" ca="1" si="10"/>
        <v>183243.61764372772</v>
      </c>
      <c r="L51" s="307">
        <f t="shared" si="11"/>
        <v>-175.2</v>
      </c>
      <c r="M51" s="307">
        <f t="shared" si="24"/>
        <v>175.2</v>
      </c>
      <c r="N51" s="307">
        <f t="shared" ca="1" si="12"/>
        <v>183068.41764372771</v>
      </c>
      <c r="O51" s="306">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-124.43697824242066</v>
      </c>
      <c r="Y51" s="306">
        <v>0</v>
      </c>
      <c r="Z51" s="306">
        <v>0</v>
      </c>
      <c r="AA51" s="308">
        <f ca="1">-SUM(W51,X51/OFFSET(GridFootprintbyYear,$A51-$A$19,0)*EF_PurchElec_MTperMWh,Z51)*OFFSET(ExposureCalculations!Price_GHG_Allowance_2010,A51-$A$19,0)*ExposureCalculations!D48</f>
        <v>10514.893919027334</v>
      </c>
      <c r="AB51" s="308">
        <f t="shared" ca="1" si="3"/>
        <v>17468.95812407304</v>
      </c>
      <c r="AC51" s="308">
        <f t="shared" si="19"/>
        <v>-21024</v>
      </c>
      <c r="AD51" s="819">
        <f t="shared" ca="1" si="4"/>
        <v>0</v>
      </c>
      <c r="AE51" s="308">
        <v>0</v>
      </c>
      <c r="AF51" s="819">
        <f t="shared" ca="1" si="5"/>
        <v>0</v>
      </c>
      <c r="AG51" s="308">
        <v>0</v>
      </c>
      <c r="AH51" s="308">
        <v>0</v>
      </c>
      <c r="AI51" s="308">
        <v>0</v>
      </c>
      <c r="AJ51" s="308">
        <f t="shared" ca="1" si="6"/>
        <v>-3555.0418759269596</v>
      </c>
      <c r="AK51" s="309">
        <v>0</v>
      </c>
      <c r="AL51" s="309">
        <v>0</v>
      </c>
      <c r="AM51" s="309">
        <f t="shared" si="20"/>
        <v>0</v>
      </c>
      <c r="AN51" s="310">
        <v>0</v>
      </c>
      <c r="AO51" s="310">
        <v>0</v>
      </c>
      <c r="AP51" s="310">
        <f t="shared" si="21"/>
        <v>0</v>
      </c>
      <c r="AQ51" s="309">
        <v>0</v>
      </c>
      <c r="AR51" s="311">
        <f t="shared" ca="1" si="7"/>
        <v>6959.8520431003744</v>
      </c>
      <c r="AS51" s="870">
        <f t="shared" ca="1" si="22"/>
        <v>-105158.39362754495</v>
      </c>
      <c r="AT51" s="822"/>
      <c r="AU51" s="878"/>
      <c r="AV51" s="35"/>
      <c r="AW51" s="879"/>
      <c r="AX51" s="35"/>
      <c r="AY51" s="880"/>
    </row>
    <row r="52" spans="1:51">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3"/>
        <v>0</v>
      </c>
      <c r="K52" s="307">
        <f t="shared" ca="1" si="10"/>
        <v>184820.24324457973</v>
      </c>
      <c r="L52" s="307">
        <f t="shared" si="11"/>
        <v>-175.2</v>
      </c>
      <c r="M52" s="307">
        <f t="shared" si="24"/>
        <v>175.2</v>
      </c>
      <c r="N52" s="307">
        <f t="shared" ca="1" si="12"/>
        <v>184645.04324457972</v>
      </c>
      <c r="O52" s="306">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-124.43697824242066</v>
      </c>
      <c r="Y52" s="306">
        <v>0</v>
      </c>
      <c r="Z52" s="306">
        <v>0</v>
      </c>
      <c r="AA52" s="308">
        <f ca="1">-SUM(W52,X52/OFFSET(GridFootprintbyYear,$A52-$A$19,0)*EF_PurchElec_MTperMWh,Z52)*OFFSET(ExposureCalculations!Price_GHG_Allowance_2010,A52-$A$19,0)*ExposureCalculations!D49</f>
        <v>10969.59954727034</v>
      </c>
      <c r="AB52" s="308">
        <f t="shared" ca="1" si="3"/>
        <v>17556.302914693402</v>
      </c>
      <c r="AC52" s="308">
        <f t="shared" si="19"/>
        <v>-21024</v>
      </c>
      <c r="AD52" s="819">
        <f t="shared" ca="1" si="4"/>
        <v>0</v>
      </c>
      <c r="AE52" s="308">
        <v>0</v>
      </c>
      <c r="AF52" s="819">
        <f t="shared" ca="1" si="5"/>
        <v>0</v>
      </c>
      <c r="AG52" s="308">
        <v>0</v>
      </c>
      <c r="AH52" s="308">
        <v>0</v>
      </c>
      <c r="AI52" s="308">
        <v>0</v>
      </c>
      <c r="AJ52" s="308">
        <f t="shared" ca="1" si="6"/>
        <v>-3467.6970853065977</v>
      </c>
      <c r="AK52" s="309">
        <v>0</v>
      </c>
      <c r="AL52" s="309">
        <v>0</v>
      </c>
      <c r="AM52" s="309">
        <f t="shared" si="20"/>
        <v>0</v>
      </c>
      <c r="AN52" s="310">
        <v>0</v>
      </c>
      <c r="AO52" s="310">
        <v>0</v>
      </c>
      <c r="AP52" s="310">
        <f t="shared" si="21"/>
        <v>0</v>
      </c>
      <c r="AQ52" s="309">
        <v>0</v>
      </c>
      <c r="AR52" s="311">
        <f t="shared" ca="1" si="7"/>
        <v>7501.9024619637421</v>
      </c>
      <c r="AS52" s="870">
        <f t="shared" ca="1" si="22"/>
        <v>-97656.491165581218</v>
      </c>
      <c r="AT52" s="822"/>
      <c r="AU52" s="878"/>
      <c r="AV52" s="35"/>
      <c r="AW52" s="879"/>
      <c r="AX52" s="35"/>
      <c r="AY52" s="880"/>
    </row>
    <row r="53" spans="1:51">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3"/>
        <v>0</v>
      </c>
      <c r="K53" s="307">
        <f t="shared" ca="1" si="10"/>
        <v>186396.86884543177</v>
      </c>
      <c r="L53" s="307">
        <f t="shared" si="11"/>
        <v>-175.2</v>
      </c>
      <c r="M53" s="307">
        <f t="shared" si="24"/>
        <v>175.2</v>
      </c>
      <c r="N53" s="307">
        <f t="shared" ca="1" si="12"/>
        <v>186221.66884543176</v>
      </c>
      <c r="O53" s="306">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-124.43697824242066</v>
      </c>
      <c r="Y53" s="306">
        <v>0</v>
      </c>
      <c r="Z53" s="306">
        <v>0</v>
      </c>
      <c r="AA53" s="308">
        <f ca="1">-SUM(W53,X53/OFFSET(GridFootprintbyYear,$A53-$A$19,0)*EF_PurchElec_MTperMWh,Z53)*OFFSET(ExposureCalculations!Price_GHG_Allowance_2010,A53-$A$19,0)*ExposureCalculations!D50</f>
        <v>11485.018055205386</v>
      </c>
      <c r="AB53" s="308">
        <f t="shared" ca="1" si="3"/>
        <v>17644.084429266866</v>
      </c>
      <c r="AC53" s="308">
        <f t="shared" si="19"/>
        <v>-21024</v>
      </c>
      <c r="AD53" s="819">
        <f t="shared" ca="1" si="4"/>
        <v>0</v>
      </c>
      <c r="AE53" s="308">
        <v>0</v>
      </c>
      <c r="AF53" s="819">
        <f t="shared" ca="1" si="5"/>
        <v>0</v>
      </c>
      <c r="AG53" s="308">
        <v>0</v>
      </c>
      <c r="AH53" s="308">
        <v>0</v>
      </c>
      <c r="AI53" s="308">
        <v>0</v>
      </c>
      <c r="AJ53" s="308">
        <f t="shared" ca="1" si="6"/>
        <v>-3379.9155707331338</v>
      </c>
      <c r="AK53" s="309">
        <v>0</v>
      </c>
      <c r="AL53" s="309">
        <v>0</v>
      </c>
      <c r="AM53" s="309">
        <f t="shared" si="20"/>
        <v>0</v>
      </c>
      <c r="AN53" s="310">
        <v>0</v>
      </c>
      <c r="AO53" s="310">
        <v>0</v>
      </c>
      <c r="AP53" s="310">
        <f t="shared" si="21"/>
        <v>0</v>
      </c>
      <c r="AQ53" s="309">
        <v>0</v>
      </c>
      <c r="AR53" s="311">
        <f t="shared" ca="1" si="7"/>
        <v>8105.1024844722524</v>
      </c>
      <c r="AS53" s="870">
        <f t="shared" ca="1" si="22"/>
        <v>-89551.388681108961</v>
      </c>
      <c r="AT53" s="822"/>
      <c r="AU53" s="878"/>
      <c r="AV53" s="35"/>
      <c r="AW53" s="879"/>
      <c r="AX53" s="35"/>
      <c r="AY53" s="880"/>
    </row>
    <row r="54" spans="1:51">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3"/>
        <v>0</v>
      </c>
      <c r="K54" s="307">
        <f t="shared" ca="1" si="10"/>
        <v>187973.49444628376</v>
      </c>
      <c r="L54" s="307">
        <f t="shared" si="11"/>
        <v>-175.2</v>
      </c>
      <c r="M54" s="307">
        <f t="shared" si="24"/>
        <v>175.2</v>
      </c>
      <c r="N54" s="307">
        <f t="shared" ca="1" si="12"/>
        <v>187798.29444628375</v>
      </c>
      <c r="O54" s="306">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-124.43697824242066</v>
      </c>
      <c r="Y54" s="306">
        <v>0</v>
      </c>
      <c r="Z54" s="306">
        <v>0</v>
      </c>
      <c r="AA54" s="308">
        <f ca="1">-SUM(W54,X54/OFFSET(GridFootprintbyYear,$A54-$A$19,0)*EF_PurchElec_MTperMWh,Z54)*OFFSET(ExposureCalculations!Price_GHG_Allowance_2010,A54-$A$19,0)*ExposureCalculations!D51</f>
        <v>12075.874314489751</v>
      </c>
      <c r="AB54" s="308">
        <f t="shared" ca="1" si="3"/>
        <v>17732.304851413199</v>
      </c>
      <c r="AC54" s="308">
        <f t="shared" si="19"/>
        <v>-21024</v>
      </c>
      <c r="AD54" s="819">
        <f t="shared" ca="1" si="4"/>
        <v>0</v>
      </c>
      <c r="AE54" s="308">
        <v>0</v>
      </c>
      <c r="AF54" s="819">
        <f t="shared" ca="1" si="5"/>
        <v>0</v>
      </c>
      <c r="AG54" s="308">
        <v>0</v>
      </c>
      <c r="AH54" s="308">
        <v>0</v>
      </c>
      <c r="AI54" s="308">
        <v>0</v>
      </c>
      <c r="AJ54" s="308">
        <f t="shared" ca="1" si="6"/>
        <v>-3291.6951485868012</v>
      </c>
      <c r="AK54" s="309">
        <v>0</v>
      </c>
      <c r="AL54" s="309">
        <v>0</v>
      </c>
      <c r="AM54" s="309">
        <f t="shared" si="20"/>
        <v>0</v>
      </c>
      <c r="AN54" s="310">
        <v>0</v>
      </c>
      <c r="AO54" s="310">
        <v>0</v>
      </c>
      <c r="AP54" s="310">
        <f t="shared" si="21"/>
        <v>0</v>
      </c>
      <c r="AQ54" s="309">
        <v>0</v>
      </c>
      <c r="AR54" s="311">
        <f t="shared" ca="1" si="7"/>
        <v>8784.1791659029495</v>
      </c>
      <c r="AS54" s="870">
        <f t="shared" ca="1" si="22"/>
        <v>-80767.209515206006</v>
      </c>
      <c r="AT54" s="822"/>
      <c r="AU54" s="878"/>
      <c r="AV54" s="35"/>
      <c r="AW54" s="879"/>
      <c r="AX54" s="35"/>
      <c r="AY54" s="880"/>
    </row>
    <row r="55" spans="1:51">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3"/>
        <v>0</v>
      </c>
      <c r="K55" s="307">
        <f t="shared" ca="1" si="10"/>
        <v>189550.12004713583</v>
      </c>
      <c r="L55" s="307">
        <f t="shared" si="11"/>
        <v>-175.2</v>
      </c>
      <c r="M55" s="307">
        <f t="shared" si="24"/>
        <v>175.2</v>
      </c>
      <c r="N55" s="307">
        <f t="shared" ca="1" si="12"/>
        <v>189374.92004713582</v>
      </c>
      <c r="O55" s="306">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-124.43697824242066</v>
      </c>
      <c r="Y55" s="306">
        <v>0</v>
      </c>
      <c r="Z55" s="306">
        <v>0</v>
      </c>
      <c r="AA55" s="308">
        <f ca="1">-SUM(W55,X55/OFFSET(GridFootprintbyYear,$A55-$A$19,0)*EF_PurchElec_MTperMWh,Z55)*OFFSET(ExposureCalculations!Price_GHG_Allowance_2010,A55-$A$19,0)*ExposureCalculations!D52</f>
        <v>12706.404150489498</v>
      </c>
      <c r="AB55" s="308">
        <f t="shared" ca="1" si="3"/>
        <v>17820.966375670261</v>
      </c>
      <c r="AC55" s="308">
        <f t="shared" si="19"/>
        <v>-21024</v>
      </c>
      <c r="AD55" s="819">
        <f t="shared" ca="1" si="4"/>
        <v>0</v>
      </c>
      <c r="AE55" s="308">
        <v>0</v>
      </c>
      <c r="AF55" s="819">
        <f t="shared" ca="1" si="5"/>
        <v>0</v>
      </c>
      <c r="AG55" s="308">
        <v>0</v>
      </c>
      <c r="AH55" s="308">
        <v>0</v>
      </c>
      <c r="AI55" s="308">
        <v>0</v>
      </c>
      <c r="AJ55" s="308">
        <f t="shared" ca="1" si="6"/>
        <v>-3203.0336243297388</v>
      </c>
      <c r="AK55" s="309">
        <v>0</v>
      </c>
      <c r="AL55" s="309">
        <v>0</v>
      </c>
      <c r="AM55" s="309">
        <f t="shared" si="20"/>
        <v>0</v>
      </c>
      <c r="AN55" s="310">
        <v>0</v>
      </c>
      <c r="AO55" s="310">
        <v>0</v>
      </c>
      <c r="AP55" s="310">
        <f t="shared" si="21"/>
        <v>0</v>
      </c>
      <c r="AQ55" s="309">
        <v>0</v>
      </c>
      <c r="AR55" s="311">
        <f t="shared" ca="1" si="7"/>
        <v>9503.3705261597588</v>
      </c>
      <c r="AS55" s="870">
        <f t="shared" ca="1" si="22"/>
        <v>-71263.838989046242</v>
      </c>
      <c r="AT55" s="822"/>
      <c r="AU55" s="878"/>
      <c r="AV55" s="35"/>
      <c r="AW55" s="879"/>
      <c r="AX55" s="35"/>
      <c r="AY55" s="880"/>
    </row>
    <row r="56" spans="1:51">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3"/>
        <v>0</v>
      </c>
      <c r="K56" s="307">
        <f t="shared" ca="1" si="10"/>
        <v>191126.74564798782</v>
      </c>
      <c r="L56" s="307">
        <f t="shared" si="11"/>
        <v>-175.2</v>
      </c>
      <c r="M56" s="307">
        <f t="shared" si="24"/>
        <v>175.2</v>
      </c>
      <c r="N56" s="307">
        <f t="shared" ca="1" si="12"/>
        <v>190951.5456479878</v>
      </c>
      <c r="O56" s="306">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-124.43697824242066</v>
      </c>
      <c r="Y56" s="306">
        <v>0</v>
      </c>
      <c r="Z56" s="306">
        <v>0</v>
      </c>
      <c r="AA56" s="308">
        <f ca="1">-SUM(W56,X56/OFFSET(GridFootprintbyYear,$A56-$A$19,0)*EF_PurchElec_MTperMWh,Z56)*OFFSET(ExposureCalculations!Price_GHG_Allowance_2010,A56-$A$19,0)*ExposureCalculations!D53</f>
        <v>13381.572762565014</v>
      </c>
      <c r="AB56" s="308">
        <f t="shared" ca="1" si="3"/>
        <v>17910.071207548608</v>
      </c>
      <c r="AC56" s="308">
        <f t="shared" si="19"/>
        <v>-21024</v>
      </c>
      <c r="AD56" s="819">
        <f t="shared" ca="1" si="4"/>
        <v>0</v>
      </c>
      <c r="AE56" s="308">
        <v>0</v>
      </c>
      <c r="AF56" s="819">
        <f t="shared" ca="1" si="5"/>
        <v>0</v>
      </c>
      <c r="AG56" s="308">
        <v>0</v>
      </c>
      <c r="AH56" s="308">
        <v>0</v>
      </c>
      <c r="AI56" s="308">
        <v>0</v>
      </c>
      <c r="AJ56" s="308">
        <f t="shared" ca="1" si="6"/>
        <v>-3113.9287924513919</v>
      </c>
      <c r="AK56" s="309">
        <v>0</v>
      </c>
      <c r="AL56" s="309">
        <v>0</v>
      </c>
      <c r="AM56" s="309">
        <f t="shared" si="20"/>
        <v>0</v>
      </c>
      <c r="AN56" s="310">
        <v>0</v>
      </c>
      <c r="AO56" s="310">
        <v>0</v>
      </c>
      <c r="AP56" s="310">
        <f t="shared" si="21"/>
        <v>0</v>
      </c>
      <c r="AQ56" s="309">
        <v>0</v>
      </c>
      <c r="AR56" s="311">
        <f t="shared" ca="1" si="7"/>
        <v>10267.643970113622</v>
      </c>
      <c r="AS56" s="870">
        <f t="shared" ca="1" si="22"/>
        <v>-60996.195018932616</v>
      </c>
      <c r="AT56" s="822"/>
      <c r="AU56" s="878"/>
      <c r="AV56" s="35"/>
      <c r="AW56" s="879"/>
      <c r="AX56" s="35"/>
      <c r="AY56" s="880"/>
    </row>
    <row r="57" spans="1:51">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3"/>
        <v>0</v>
      </c>
      <c r="K57" s="307">
        <f t="shared" ca="1" si="10"/>
        <v>192703.37124883989</v>
      </c>
      <c r="L57" s="307">
        <f t="shared" si="11"/>
        <v>-175.2</v>
      </c>
      <c r="M57" s="307">
        <f t="shared" si="24"/>
        <v>175.2</v>
      </c>
      <c r="N57" s="307">
        <f t="shared" ca="1" si="12"/>
        <v>192528.17124883988</v>
      </c>
      <c r="O57" s="306">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-124.43697824242066</v>
      </c>
      <c r="Y57" s="306">
        <v>0</v>
      </c>
      <c r="Z57" s="306">
        <v>0</v>
      </c>
      <c r="AA57" s="308">
        <f ca="1">-SUM(W57,X57/OFFSET(GridFootprintbyYear,$A57-$A$19,0)*EF_PurchElec_MTperMWh,Z57)*OFFSET(ExposureCalculations!Price_GHG_Allowance_2010,A57-$A$19,0)*ExposureCalculations!D54</f>
        <v>14106.762718817828</v>
      </c>
      <c r="AB57" s="308">
        <f t="shared" ca="1" si="3"/>
        <v>17999.621563586348</v>
      </c>
      <c r="AC57" s="308">
        <f t="shared" si="19"/>
        <v>-21024</v>
      </c>
      <c r="AD57" s="819">
        <f t="shared" ca="1" si="4"/>
        <v>0</v>
      </c>
      <c r="AE57" s="308">
        <v>0</v>
      </c>
      <c r="AF57" s="819">
        <f t="shared" ca="1" si="5"/>
        <v>0</v>
      </c>
      <c r="AG57" s="308">
        <v>0</v>
      </c>
      <c r="AH57" s="308">
        <v>0</v>
      </c>
      <c r="AI57" s="308">
        <v>0</v>
      </c>
      <c r="AJ57" s="308">
        <f t="shared" ca="1" si="6"/>
        <v>-3024.3784364136518</v>
      </c>
      <c r="AK57" s="309">
        <v>0</v>
      </c>
      <c r="AL57" s="309">
        <v>0</v>
      </c>
      <c r="AM57" s="309">
        <f t="shared" si="20"/>
        <v>0</v>
      </c>
      <c r="AN57" s="310">
        <v>0</v>
      </c>
      <c r="AO57" s="310">
        <v>0</v>
      </c>
      <c r="AP57" s="310">
        <f t="shared" si="21"/>
        <v>0</v>
      </c>
      <c r="AQ57" s="309">
        <v>0</v>
      </c>
      <c r="AR57" s="311">
        <f t="shared" ca="1" si="7"/>
        <v>11082.384282404177</v>
      </c>
      <c r="AS57" s="870">
        <f t="shared" ca="1" si="22"/>
        <v>-49913.810736528438</v>
      </c>
      <c r="AT57" s="822"/>
      <c r="AU57" s="881"/>
      <c r="AV57" s="882"/>
      <c r="AW57" s="883"/>
      <c r="AX57" s="882"/>
      <c r="AY57" s="884"/>
    </row>
    <row r="58" spans="1:51">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3"/>
        <v>0</v>
      </c>
      <c r="K58" s="307">
        <f t="shared" ca="1" si="10"/>
        <v>194279.99684969187</v>
      </c>
      <c r="L58" s="307">
        <f t="shared" si="11"/>
        <v>-175.2</v>
      </c>
      <c r="M58" s="307">
        <f t="shared" si="24"/>
        <v>175.2</v>
      </c>
      <c r="N58" s="307">
        <f t="shared" ca="1" si="12"/>
        <v>194104.79684969186</v>
      </c>
      <c r="O58" s="306">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-124.43697824242066</v>
      </c>
      <c r="Y58" s="306">
        <v>0</v>
      </c>
      <c r="Z58" s="306">
        <v>0</v>
      </c>
      <c r="AA58" s="308">
        <f ca="1">-SUM(W58,X58/OFFSET(GridFootprintbyYear,$A58-$A$19,0)*EF_PurchElec_MTperMWh,Z58)*OFFSET(ExposureCalculations!Price_GHG_Allowance_2010,A58-$A$19,0)*ExposureCalculations!D55</f>
        <v>14887.730174323884</v>
      </c>
      <c r="AB58" s="308">
        <f t="shared" ca="1" si="3"/>
        <v>18089.619671404278</v>
      </c>
      <c r="AC58" s="308">
        <f t="shared" si="19"/>
        <v>-21024</v>
      </c>
      <c r="AD58" s="819">
        <f t="shared" ca="1" si="4"/>
        <v>0</v>
      </c>
      <c r="AE58" s="308">
        <v>0</v>
      </c>
      <c r="AF58" s="819">
        <f t="shared" ca="1" si="5"/>
        <v>0</v>
      </c>
      <c r="AG58" s="308">
        <v>0</v>
      </c>
      <c r="AH58" s="308">
        <v>0</v>
      </c>
      <c r="AI58" s="308">
        <v>0</v>
      </c>
      <c r="AJ58" s="308">
        <f t="shared" ca="1" si="6"/>
        <v>-2934.3803285957219</v>
      </c>
      <c r="AK58" s="309">
        <v>0</v>
      </c>
      <c r="AL58" s="309">
        <v>0</v>
      </c>
      <c r="AM58" s="309">
        <f t="shared" si="20"/>
        <v>0</v>
      </c>
      <c r="AN58" s="310">
        <v>0</v>
      </c>
      <c r="AO58" s="310">
        <v>0</v>
      </c>
      <c r="AP58" s="310">
        <f t="shared" si="21"/>
        <v>0</v>
      </c>
      <c r="AQ58" s="309">
        <v>0</v>
      </c>
      <c r="AR58" s="311">
        <f t="shared" ca="1" si="7"/>
        <v>11953.349845728162</v>
      </c>
      <c r="AS58" s="870">
        <f t="shared" ca="1" si="22"/>
        <v>-37960.460890800277</v>
      </c>
      <c r="AT58" s="822"/>
    </row>
    <row r="59" spans="1:51">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3"/>
        <v>0</v>
      </c>
      <c r="K59" s="307">
        <f t="shared" ca="1" si="10"/>
        <v>195856.62245054395</v>
      </c>
      <c r="L59" s="307">
        <f t="shared" si="11"/>
        <v>-175.2</v>
      </c>
      <c r="M59" s="307">
        <f t="shared" si="24"/>
        <v>175.2</v>
      </c>
      <c r="N59" s="307">
        <f t="shared" ca="1" si="12"/>
        <v>195681.42245054393</v>
      </c>
      <c r="O59" s="306">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-124.43697824242066</v>
      </c>
      <c r="Y59" s="306">
        <v>0</v>
      </c>
      <c r="Z59" s="306">
        <v>0</v>
      </c>
      <c r="AA59" s="308">
        <f ca="1">-SUM(W59,X59/OFFSET(GridFootprintbyYear,$A59-$A$19,0)*EF_PurchElec_MTperMWh,Z59)*OFFSET(ExposureCalculations!Price_GHG_Allowance_2010,A59-$A$19,0)*ExposureCalculations!D56</f>
        <v>15730.56172196737</v>
      </c>
      <c r="AB59" s="308">
        <f t="shared" ca="1" si="3"/>
        <v>18180.067769761299</v>
      </c>
      <c r="AC59" s="308">
        <f t="shared" si="19"/>
        <v>-21024</v>
      </c>
      <c r="AD59" s="819">
        <f t="shared" ca="1" si="4"/>
        <v>0</v>
      </c>
      <c r="AE59" s="308">
        <v>0</v>
      </c>
      <c r="AF59" s="819">
        <f t="shared" ca="1" si="5"/>
        <v>0</v>
      </c>
      <c r="AG59" s="308">
        <v>0</v>
      </c>
      <c r="AH59" s="308">
        <v>0</v>
      </c>
      <c r="AI59" s="308">
        <v>0</v>
      </c>
      <c r="AJ59" s="308">
        <f t="shared" ca="1" si="6"/>
        <v>-2843.9322302387009</v>
      </c>
      <c r="AK59" s="309">
        <v>0</v>
      </c>
      <c r="AL59" s="309">
        <v>0</v>
      </c>
      <c r="AM59" s="309">
        <f t="shared" si="20"/>
        <v>0</v>
      </c>
      <c r="AN59" s="310">
        <v>0</v>
      </c>
      <c r="AO59" s="310">
        <v>0</v>
      </c>
      <c r="AP59" s="310">
        <f t="shared" si="21"/>
        <v>0</v>
      </c>
      <c r="AQ59" s="309">
        <v>0</v>
      </c>
      <c r="AR59" s="311">
        <f t="shared" ca="1" si="7"/>
        <v>12886.629491728669</v>
      </c>
      <c r="AS59" s="870">
        <f t="shared" ca="1" si="22"/>
        <v>-25073.831399071609</v>
      </c>
      <c r="AT59" s="823"/>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disablePrompts="1"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sheetPr codeName="Sheet34">
    <tabColor rgb="FFA9DA74"/>
  </sheetPr>
  <dimension ref="A1:AY84"/>
  <sheetViews>
    <sheetView workbookViewId="0">
      <pane xSplit="1" topLeftCell="B1" activePane="topRight" state="frozen"/>
      <selection activeCell="O1" sqref="O1:O7"/>
      <selection pane="topRight" activeCell="O3" sqref="O3:O7"/>
    </sheetView>
  </sheetViews>
  <sheetFormatPr defaultRowHeight="15"/>
  <cols>
    <col min="11" max="11" width="13.5703125" customWidth="1"/>
    <col min="12" max="12" width="12.85546875" customWidth="1"/>
    <col min="13" max="13" width="12.42578125" customWidth="1"/>
    <col min="15" max="15" width="11.5703125" bestFit="1" customWidth="1"/>
    <col min="27" max="27" width="10" customWidth="1"/>
    <col min="28" max="28" width="13.140625" customWidth="1"/>
    <col min="29" max="29" width="12.5703125" bestFit="1" customWidth="1"/>
    <col min="35" max="36" width="13" customWidth="1"/>
    <col min="40" max="40" width="12.42578125" customWidth="1"/>
    <col min="44" max="44" width="12.28515625" customWidth="1"/>
    <col min="45" max="45" width="12.42578125" customWidth="1"/>
    <col min="46" max="46" width="1.7109375" customWidth="1"/>
    <col min="51" max="51" width="10.5703125" customWidth="1"/>
  </cols>
  <sheetData>
    <row r="1" spans="1:50" ht="60">
      <c r="C1" s="257" t="s">
        <v>226</v>
      </c>
      <c r="D1" s="258" t="str">
        <f>"Green Power Purchase Opt 1 ("&amp;AU25&amp;")"</f>
        <v>Green Power Purchase Opt 1 (Partial)</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2011</v>
      </c>
      <c r="E2" s="266"/>
      <c r="J2" s="267" t="s">
        <v>231</v>
      </c>
      <c r="K2" s="268">
        <f ca="1">NPV(DiscountRate,AA19:AA59)</f>
        <v>16436356.671684893</v>
      </c>
      <c r="L2" s="269">
        <f ca="1">-SUM(OFFSET(W19,0,0,M2-2010+1,4))</f>
        <v>1420513.4502559437</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-18698620.679749146</v>
      </c>
      <c r="L3" s="277" t="s">
        <v>235</v>
      </c>
      <c r="M3" s="278">
        <f ca="1">-SUM(OFFSET(W19,M2-2010,0,1,4))</f>
        <v>35512.836256398594</v>
      </c>
      <c r="N3" s="272"/>
      <c r="O3" s="1496">
        <f ca="1">AVERAGE(OFFSET(AJ19,0,0,$M$2-2010+1,1))</f>
        <v>-1219512.1951219512</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35512.836256398594</v>
      </c>
      <c r="M4" s="281">
        <f ca="1">-SUM(OFFSET(W19,M2-2010,0,1,4))/SUM(OFFSET(ExposureCalculations!G16,M2-2010,0,1,3))</f>
        <v>3.2481315232034159E-2</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688</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-2262264.0080642505</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t="str">
        <f ca="1">IFERROR((K8-K5)/-K5,"No Capital")</f>
        <v>No Capital</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30.416096834116491</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-18698620.679749142</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35.198540352427607</v>
      </c>
      <c r="L13" s="824"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30.940023516373877</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1">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ca="1">-SUM(D19,L19)*OFFSET(Price_PE_MWh,A19-$A$19+3,0)</f>
        <v>0</v>
      </c>
      <c r="AC19" s="308">
        <f ca="1">SUM(D19,L19)*$AU$23</f>
        <v>0</v>
      </c>
      <c r="AD19" s="819">
        <f t="shared" ref="AD19:AD59" ca="1" si="3">-SUM(G19,P19)*OFFSET(Price_PS_mmbtu,A19-$A$19+3,0)</f>
        <v>0</v>
      </c>
      <c r="AE19" s="308">
        <v>0</v>
      </c>
      <c r="AF19" s="819">
        <f t="shared" ref="AF19:AF59" ca="1" si="4">-SUM(J19,T19)*OFFSET(Price_PCW_mmbtu,A19-$A$19+3,0)</f>
        <v>0</v>
      </c>
      <c r="AG19" s="308">
        <v>0</v>
      </c>
      <c r="AH19" s="308">
        <v>0</v>
      </c>
      <c r="AI19" s="308">
        <v>0</v>
      </c>
      <c r="AJ19" s="308">
        <f t="shared" ref="AJ19:AJ59" ca="1" si="5">SUM(AB19:AI19)</f>
        <v>0</v>
      </c>
      <c r="AK19" s="309">
        <v>0</v>
      </c>
      <c r="AL19" s="309">
        <v>0</v>
      </c>
      <c r="AM19" s="309">
        <f>SUM(AK19:AL19)</f>
        <v>0</v>
      </c>
      <c r="AN19" s="310">
        <v>0</v>
      </c>
      <c r="AO19" s="310">
        <v>0</v>
      </c>
      <c r="AP19" s="310">
        <f>SUM(AN19:AO19)</f>
        <v>0</v>
      </c>
      <c r="AQ19" s="309">
        <v>0</v>
      </c>
      <c r="AR19" s="311">
        <f t="shared" ref="AR19:AR59" ca="1" si="6">SUM(AA19,AJ19,AM19,AP19,AQ19)</f>
        <v>0</v>
      </c>
      <c r="AS19" s="870">
        <f ca="1">AR19</f>
        <v>0</v>
      </c>
      <c r="AT19" s="822"/>
      <c r="AU19" s="878"/>
      <c r="AV19" s="879"/>
      <c r="AW19" s="879"/>
      <c r="AX19" s="35"/>
      <c r="AY19" s="880"/>
    </row>
    <row r="20" spans="1:51">
      <c r="A20" s="303">
        <v>2011</v>
      </c>
      <c r="B20" s="304">
        <f ca="1">IF($D$3="BAU",UtilityDemand!C13,INDIRECT($D$3&amp;"!B"&amp;ROW(A20))+INDIRECT($D$3&amp;"!D"&amp;ROW(A20)))</f>
        <v>130129.26073503707</v>
      </c>
      <c r="C20" s="305">
        <v>0</v>
      </c>
      <c r="D20" s="306">
        <f t="shared" ref="D20:D59" ca="1" si="7">-B20*C20</f>
        <v>0</v>
      </c>
      <c r="E20" s="304">
        <f ca="1">IF($D$3="BAU",UtilityDemand!E13,INDIRECT($D$3&amp;"!E"&amp;ROW(D20))+INDIRECT($D$3&amp;"!G"&amp;ROW(D20)))</f>
        <v>693847.61425935081</v>
      </c>
      <c r="F20" s="305">
        <v>0</v>
      </c>
      <c r="G20" s="306">
        <f t="shared" ref="G20:G59" ca="1" si="8">-E20*F20</f>
        <v>0</v>
      </c>
      <c r="H20" s="304">
        <f ca="1">IF($D$3="BAU",UtilityDemand!G13,INDIRECT($D$3&amp;"!H"&amp;ROW(G20))+INDIRECT($D$3&amp;"!J"&amp;ROW(G20)))</f>
        <v>182506.92912520736</v>
      </c>
      <c r="I20" s="305">
        <v>0</v>
      </c>
      <c r="J20" s="306">
        <f ca="1">-H20*I20</f>
        <v>0</v>
      </c>
      <c r="K20" s="307">
        <f t="shared" ref="K20:K59" ca="1" si="9">IF($D$3="BAU",B20+D20,INDIRECT($D$3&amp;"!B"&amp;ROW(A20))+INDIRECT($D$3&amp;"!D"&amp;ROW(A20))+INDIRECT($D$3&amp;"!L"&amp;ROW(A20))+D20)</f>
        <v>130129.26073503707</v>
      </c>
      <c r="L20" s="307">
        <f t="shared" ref="L20:L59" si="10">-M20</f>
        <v>-50000</v>
      </c>
      <c r="M20" s="307">
        <f>IF($AU$25="ALL",PortfolioDashboard!AD57,$AU$27)</f>
        <v>50000</v>
      </c>
      <c r="N20" s="307">
        <f t="shared" ref="N20:N59" ca="1" si="11">K20+L20</f>
        <v>80129.260735037067</v>
      </c>
      <c r="O20" s="306">
        <f t="shared" ref="O20:O59" ca="1" si="12">IF($D$3="BAU",E20+G20,INDIRECT($D$3&amp;"!E"&amp;ROW(A20))+INDIRECT($D$3&amp;"!G"&amp;ROW(A20))+INDIRECT($D$3&amp;"!P"&amp;ROW(A20))+G20)</f>
        <v>693847.61425935081</v>
      </c>
      <c r="P20" s="306">
        <f t="shared" ref="P20:P59" si="13">-Q20</f>
        <v>0</v>
      </c>
      <c r="Q20" s="306">
        <v>0</v>
      </c>
      <c r="R20" s="306">
        <f t="shared" ref="R20:R59" ca="1" si="14">O20+P20</f>
        <v>693847.61425935081</v>
      </c>
      <c r="S20" s="818">
        <f t="shared" ref="S20:S59" ca="1" si="15">IF($D$3="BAU",H20+J20,INDIRECT($D$3&amp;"!H"&amp;ROW(A20))+INDIRECT($D$3&amp;"!J"&amp;ROW(A20))+INDIRECT($D$3&amp;"!T"&amp;ROW(A20))+J20)</f>
        <v>182506.92912520736</v>
      </c>
      <c r="T20" s="818">
        <f t="shared" ref="T20:T59" si="16">-U20</f>
        <v>0</v>
      </c>
      <c r="U20" s="818">
        <v>0</v>
      </c>
      <c r="V20" s="818">
        <f t="shared" ref="V20:V59" ca="1" si="17">S20+T20</f>
        <v>182506.92912520736</v>
      </c>
      <c r="W20" s="306">
        <f t="shared" si="1"/>
        <v>0</v>
      </c>
      <c r="X20" s="306">
        <f t="shared" ca="1" si="2"/>
        <v>-35512.836256398594</v>
      </c>
      <c r="Y20" s="306">
        <v>0</v>
      </c>
      <c r="Z20" s="306">
        <v>0</v>
      </c>
      <c r="AA20" s="308">
        <f ca="1">-SUM(W20,X20/OFFSET(GridFootprintbyYear,$A20-$A$19,0)*EF_PurchElec_MTperMWh,Z20)*OFFSET(ExposureCalculations!Price_GHG_Allowance_2010,A20-$A$19,0)*ExposureCalculations!D17</f>
        <v>0</v>
      </c>
      <c r="AB20" s="308">
        <f t="shared" ref="AB20:AB59" ca="1" si="18">-SUM(0)*OFFSET(Price_PE_MWh,A20-$A$19+3,0)</f>
        <v>0</v>
      </c>
      <c r="AC20" s="308">
        <f ca="1">SUM(D20,L20)*$AU$23</f>
        <v>-1250000</v>
      </c>
      <c r="AD20" s="819">
        <f t="shared" ca="1" si="3"/>
        <v>0</v>
      </c>
      <c r="AE20" s="308">
        <v>0</v>
      </c>
      <c r="AF20" s="819">
        <f t="shared" ca="1" si="4"/>
        <v>0</v>
      </c>
      <c r="AG20" s="308">
        <v>0</v>
      </c>
      <c r="AH20" s="308">
        <v>0</v>
      </c>
      <c r="AI20" s="308">
        <v>0</v>
      </c>
      <c r="AJ20" s="308">
        <f t="shared" ca="1" si="5"/>
        <v>-1250000</v>
      </c>
      <c r="AK20" s="309">
        <v>0</v>
      </c>
      <c r="AL20" s="309">
        <v>0</v>
      </c>
      <c r="AM20" s="309">
        <f t="shared" ref="AM20:AM59" si="19">SUM(AK20:AL20)</f>
        <v>0</v>
      </c>
      <c r="AN20" s="310">
        <v>0</v>
      </c>
      <c r="AO20" s="310">
        <v>0</v>
      </c>
      <c r="AP20" s="310">
        <f t="shared" ref="AP20:AP59" si="20">SUM(AN20:AO20)</f>
        <v>0</v>
      </c>
      <c r="AQ20" s="309">
        <v>0</v>
      </c>
      <c r="AR20" s="311">
        <f t="shared" ca="1" si="6"/>
        <v>-1250000</v>
      </c>
      <c r="AS20" s="870">
        <f t="shared" ref="AS20:AS59" ca="1" si="21">AR20+AS19</f>
        <v>-1250000</v>
      </c>
      <c r="AT20" s="822"/>
      <c r="AU20" s="878" t="s">
        <v>722</v>
      </c>
      <c r="AV20" s="35"/>
      <c r="AW20" s="879"/>
      <c r="AX20" s="35"/>
      <c r="AY20" s="880"/>
    </row>
    <row r="21" spans="1:51">
      <c r="A21" s="303">
        <v>2012</v>
      </c>
      <c r="B21" s="304">
        <f ca="1">IF($D$3="BAU",UtilityDemand!C14,INDIRECT($D$3&amp;"!B"&amp;ROW(A21))+INDIRECT($D$3&amp;"!D"&amp;ROW(A21)))</f>
        <v>133825.36797702796</v>
      </c>
      <c r="C21" s="305">
        <v>0</v>
      </c>
      <c r="D21" s="306">
        <f t="shared" ca="1" si="7"/>
        <v>0</v>
      </c>
      <c r="E21" s="304">
        <f ca="1">IF($D$3="BAU",UtilityDemand!E14,INDIRECT($D$3&amp;"!E"&amp;ROW(D21))+INDIRECT($D$3&amp;"!G"&amp;ROW(D21)))</f>
        <v>713508.44544344163</v>
      </c>
      <c r="F21" s="305">
        <v>0</v>
      </c>
      <c r="G21" s="306">
        <f t="shared" ca="1" si="8"/>
        <v>0</v>
      </c>
      <c r="H21" s="304">
        <f ca="1">IF($D$3="BAU",UtilityDemand!G14,INDIRECT($D$3&amp;"!H"&amp;ROW(G21))+INDIRECT($D$3&amp;"!J"&amp;ROW(G21)))</f>
        <v>188515.56027382973</v>
      </c>
      <c r="I21" s="305">
        <v>0</v>
      </c>
      <c r="J21" s="306">
        <f t="shared" ref="J21:J59" ca="1" si="22">-H21*I21</f>
        <v>0</v>
      </c>
      <c r="K21" s="307">
        <f t="shared" ca="1" si="9"/>
        <v>133825.36797702796</v>
      </c>
      <c r="L21" s="307">
        <f t="shared" si="10"/>
        <v>-50000</v>
      </c>
      <c r="M21" s="307">
        <f>IF($AU$25="ALL",PortfolioDashboard!AD58,$AU$27)</f>
        <v>50000</v>
      </c>
      <c r="N21" s="307">
        <f t="shared" ca="1" si="11"/>
        <v>83825.367977027956</v>
      </c>
      <c r="O21" s="306">
        <f t="shared" ca="1" si="12"/>
        <v>713508.44544344163</v>
      </c>
      <c r="P21" s="306">
        <f t="shared" si="13"/>
        <v>0</v>
      </c>
      <c r="Q21" s="306">
        <v>0</v>
      </c>
      <c r="R21" s="306">
        <f t="shared" ca="1" si="14"/>
        <v>713508.44544344163</v>
      </c>
      <c r="S21" s="818">
        <f t="shared" ca="1" si="15"/>
        <v>188515.56027382973</v>
      </c>
      <c r="T21" s="818">
        <f t="shared" si="16"/>
        <v>0</v>
      </c>
      <c r="U21" s="818">
        <v>0</v>
      </c>
      <c r="V21" s="818">
        <f t="shared" ca="1" si="17"/>
        <v>188515.56027382973</v>
      </c>
      <c r="W21" s="306">
        <f t="shared" si="1"/>
        <v>0</v>
      </c>
      <c r="X21" s="306">
        <f t="shared" ca="1" si="2"/>
        <v>-35512.836256398594</v>
      </c>
      <c r="Y21" s="306">
        <v>0</v>
      </c>
      <c r="Z21" s="306">
        <v>0</v>
      </c>
      <c r="AA21" s="308">
        <f ca="1">-SUM(W21,X21/OFFSET(GridFootprintbyYear,$A21-$A$19,0)*EF_PurchElec_MTperMWh,Z21)*OFFSET(ExposureCalculations!Price_GHG_Allowance_2010,A21-$A$19,0)*ExposureCalculations!D18</f>
        <v>0</v>
      </c>
      <c r="AB21" s="308">
        <f t="shared" ca="1" si="18"/>
        <v>0</v>
      </c>
      <c r="AC21" s="308">
        <f t="shared" ref="AC21:AC59" ca="1" si="23">SUM(D21,L21)*$AU$23</f>
        <v>-1250000</v>
      </c>
      <c r="AD21" s="819">
        <f t="shared" ca="1" si="3"/>
        <v>0</v>
      </c>
      <c r="AE21" s="308">
        <v>0</v>
      </c>
      <c r="AF21" s="819">
        <f t="shared" ca="1" si="4"/>
        <v>0</v>
      </c>
      <c r="AG21" s="308">
        <v>0</v>
      </c>
      <c r="AH21" s="308">
        <v>0</v>
      </c>
      <c r="AI21" s="308">
        <v>0</v>
      </c>
      <c r="AJ21" s="308">
        <f ca="1">SUM(AB21:AI21)</f>
        <v>-1250000</v>
      </c>
      <c r="AK21" s="309">
        <v>0</v>
      </c>
      <c r="AL21" s="309">
        <v>0</v>
      </c>
      <c r="AM21" s="309">
        <f t="shared" si="19"/>
        <v>0</v>
      </c>
      <c r="AN21" s="310">
        <v>0</v>
      </c>
      <c r="AO21" s="310">
        <v>0</v>
      </c>
      <c r="AP21" s="310">
        <f t="shared" si="20"/>
        <v>0</v>
      </c>
      <c r="AQ21" s="309">
        <v>0</v>
      </c>
      <c r="AR21" s="311">
        <f t="shared" ca="1" si="6"/>
        <v>-1250000</v>
      </c>
      <c r="AS21" s="870">
        <f t="shared" ca="1" si="21"/>
        <v>-2500000</v>
      </c>
      <c r="AT21" s="822"/>
      <c r="AU21" s="878" t="s">
        <v>723</v>
      </c>
      <c r="AV21" s="35"/>
      <c r="AW21" s="879"/>
      <c r="AX21" s="35"/>
      <c r="AY21" s="880"/>
    </row>
    <row r="22" spans="1:51">
      <c r="A22" s="303">
        <v>2013</v>
      </c>
      <c r="B22" s="304">
        <f ca="1">IF($D$3="BAU",UtilityDemand!C15,INDIRECT($D$3&amp;"!B"&amp;ROW(A22))+INDIRECT($D$3&amp;"!D"&amp;ROW(A22)))</f>
        <v>135980.03402546333</v>
      </c>
      <c r="C22" s="305">
        <v>0</v>
      </c>
      <c r="D22" s="306">
        <f t="shared" ca="1" si="7"/>
        <v>0</v>
      </c>
      <c r="E22" s="304">
        <f ca="1">IF($D$3="BAU",UtilityDemand!E15,INDIRECT($D$3&amp;"!E"&amp;ROW(D22))+INDIRECT($D$3&amp;"!G"&amp;ROW(D22)))</f>
        <v>724969.83513341204</v>
      </c>
      <c r="F22" s="305">
        <v>0</v>
      </c>
      <c r="G22" s="306">
        <f t="shared" ca="1" si="8"/>
        <v>0</v>
      </c>
      <c r="H22" s="304">
        <f ca="1">IF($D$3="BAU",UtilityDemand!G15,INDIRECT($D$3&amp;"!H"&amp;ROW(G22))+INDIRECT($D$3&amp;"!J"&amp;ROW(G22)))</f>
        <v>192383.03026898397</v>
      </c>
      <c r="I22" s="305">
        <v>0</v>
      </c>
      <c r="J22" s="306">
        <f t="shared" ca="1" si="22"/>
        <v>0</v>
      </c>
      <c r="K22" s="307">
        <f t="shared" ca="1" si="9"/>
        <v>135980.03402546333</v>
      </c>
      <c r="L22" s="307">
        <f t="shared" si="10"/>
        <v>-50000</v>
      </c>
      <c r="M22" s="307">
        <f>IF($AU$25="ALL",PortfolioDashboard!AD59,$AU$27)</f>
        <v>50000</v>
      </c>
      <c r="N22" s="307">
        <f t="shared" ca="1" si="11"/>
        <v>85980.034025463334</v>
      </c>
      <c r="O22" s="306">
        <f t="shared" ca="1" si="12"/>
        <v>724969.83513341204</v>
      </c>
      <c r="P22" s="306">
        <f t="shared" si="13"/>
        <v>0</v>
      </c>
      <c r="Q22" s="306">
        <v>0</v>
      </c>
      <c r="R22" s="306">
        <f t="shared" ca="1" si="14"/>
        <v>724969.83513341204</v>
      </c>
      <c r="S22" s="818">
        <f t="shared" ca="1" si="15"/>
        <v>192383.03026898397</v>
      </c>
      <c r="T22" s="818">
        <f t="shared" si="16"/>
        <v>0</v>
      </c>
      <c r="U22" s="818">
        <v>0</v>
      </c>
      <c r="V22" s="818">
        <f t="shared" ca="1" si="17"/>
        <v>192383.03026898397</v>
      </c>
      <c r="W22" s="306">
        <f t="shared" si="1"/>
        <v>0</v>
      </c>
      <c r="X22" s="306">
        <f t="shared" ca="1" si="2"/>
        <v>-35512.836256398594</v>
      </c>
      <c r="Y22" s="306">
        <v>0</v>
      </c>
      <c r="Z22" s="306">
        <v>0</v>
      </c>
      <c r="AA22" s="308">
        <f ca="1">-SUM(W22,X22/OFFSET(GridFootprintbyYear,$A22-$A$19,0)*EF_PurchElec_MTperMWh,Z22)*OFFSET(ExposureCalculations!Price_GHG_Allowance_2010,A22-$A$19,0)*ExposureCalculations!D19</f>
        <v>0</v>
      </c>
      <c r="AB22" s="308">
        <f t="shared" ca="1" si="18"/>
        <v>0</v>
      </c>
      <c r="AC22" s="308">
        <f t="shared" ca="1" si="23"/>
        <v>-1250000</v>
      </c>
      <c r="AD22" s="819">
        <f t="shared" ca="1" si="3"/>
        <v>0</v>
      </c>
      <c r="AE22" s="308">
        <v>0</v>
      </c>
      <c r="AF22" s="819">
        <f t="shared" ca="1" si="4"/>
        <v>0</v>
      </c>
      <c r="AG22" s="308">
        <v>0</v>
      </c>
      <c r="AH22" s="308">
        <v>0</v>
      </c>
      <c r="AI22" s="308">
        <v>0</v>
      </c>
      <c r="AJ22" s="308">
        <f t="shared" ca="1" si="5"/>
        <v>-1250000</v>
      </c>
      <c r="AK22" s="309">
        <v>0</v>
      </c>
      <c r="AL22" s="309">
        <v>0</v>
      </c>
      <c r="AM22" s="309">
        <f t="shared" si="19"/>
        <v>0</v>
      </c>
      <c r="AN22" s="310">
        <v>0</v>
      </c>
      <c r="AO22" s="310">
        <v>0</v>
      </c>
      <c r="AP22" s="310">
        <f t="shared" si="20"/>
        <v>0</v>
      </c>
      <c r="AQ22" s="309">
        <v>0</v>
      </c>
      <c r="AR22" s="311">
        <f t="shared" ca="1" si="6"/>
        <v>-1250000</v>
      </c>
      <c r="AS22" s="870">
        <f t="shared" ca="1" si="21"/>
        <v>-3750000</v>
      </c>
      <c r="AT22" s="822"/>
      <c r="AU22" s="878"/>
      <c r="AV22" s="35"/>
      <c r="AW22" s="879"/>
      <c r="AX22" s="35"/>
      <c r="AY22" s="880"/>
    </row>
    <row r="23" spans="1:51">
      <c r="A23" s="303">
        <v>2014</v>
      </c>
      <c r="B23" s="304">
        <f ca="1">IF($D$3="BAU",UtilityDemand!C16,INDIRECT($D$3&amp;"!B"&amp;ROW(A23))+INDIRECT($D$3&amp;"!D"&amp;ROW(A23)))</f>
        <v>137556.65962631535</v>
      </c>
      <c r="C23" s="305">
        <v>0</v>
      </c>
      <c r="D23" s="306">
        <f t="shared" ca="1" si="7"/>
        <v>0</v>
      </c>
      <c r="E23" s="304">
        <f ca="1">IF($D$3="BAU",UtilityDemand!E16,INDIRECT($D$3&amp;"!E"&amp;ROW(D23))+INDIRECT($D$3&amp;"!G"&amp;ROW(D23)))</f>
        <v>733356.43426308746</v>
      </c>
      <c r="F23" s="305">
        <v>0</v>
      </c>
      <c r="G23" s="306">
        <f t="shared" ca="1" si="8"/>
        <v>0</v>
      </c>
      <c r="H23" s="304">
        <f ca="1">IF($D$3="BAU",UtilityDemand!G16,INDIRECT($D$3&amp;"!H"&amp;ROW(G23))+INDIRECT($D$3&amp;"!J"&amp;ROW(G23)))</f>
        <v>195447.56483158763</v>
      </c>
      <c r="I23" s="305">
        <v>0</v>
      </c>
      <c r="J23" s="306">
        <f t="shared" ca="1" si="22"/>
        <v>0</v>
      </c>
      <c r="K23" s="307">
        <f t="shared" ca="1" si="9"/>
        <v>137556.65962631535</v>
      </c>
      <c r="L23" s="307">
        <f t="shared" si="10"/>
        <v>-50000</v>
      </c>
      <c r="M23" s="307">
        <f>IF($AU$25="ALL",PortfolioDashboard!AD60,$AU$27)</f>
        <v>50000</v>
      </c>
      <c r="N23" s="307">
        <f t="shared" ca="1" si="11"/>
        <v>87556.659626315348</v>
      </c>
      <c r="O23" s="306">
        <f t="shared" ca="1" si="12"/>
        <v>733356.43426308746</v>
      </c>
      <c r="P23" s="306">
        <f t="shared" si="13"/>
        <v>0</v>
      </c>
      <c r="Q23" s="306">
        <v>0</v>
      </c>
      <c r="R23" s="306">
        <f t="shared" ca="1" si="14"/>
        <v>733356.43426308746</v>
      </c>
      <c r="S23" s="818">
        <f t="shared" ca="1" si="15"/>
        <v>195447.56483158763</v>
      </c>
      <c r="T23" s="818">
        <f t="shared" si="16"/>
        <v>0</v>
      </c>
      <c r="U23" s="818">
        <v>0</v>
      </c>
      <c r="V23" s="818">
        <f t="shared" ca="1" si="17"/>
        <v>195447.56483158763</v>
      </c>
      <c r="W23" s="306">
        <f t="shared" si="1"/>
        <v>0</v>
      </c>
      <c r="X23" s="306">
        <f t="shared" ca="1" si="2"/>
        <v>-35512.836256398594</v>
      </c>
      <c r="Y23" s="306">
        <v>0</v>
      </c>
      <c r="Z23" s="306">
        <v>0</v>
      </c>
      <c r="AA23" s="308">
        <f ca="1">-SUM(W23,X23/OFFSET(GridFootprintbyYear,$A23-$A$19,0)*EF_PurchElec_MTperMWh,Z23)*OFFSET(ExposureCalculations!Price_GHG_Allowance_2010,A23-$A$19,0)*ExposureCalculations!D20</f>
        <v>0</v>
      </c>
      <c r="AB23" s="308">
        <f t="shared" ca="1" si="18"/>
        <v>0</v>
      </c>
      <c r="AC23" s="308">
        <f t="shared" ca="1" si="23"/>
        <v>-1250000</v>
      </c>
      <c r="AD23" s="819">
        <f t="shared" ca="1" si="3"/>
        <v>0</v>
      </c>
      <c r="AE23" s="308">
        <v>0</v>
      </c>
      <c r="AF23" s="819">
        <f t="shared" ca="1" si="4"/>
        <v>0</v>
      </c>
      <c r="AG23" s="308">
        <v>0</v>
      </c>
      <c r="AH23" s="308">
        <v>0</v>
      </c>
      <c r="AI23" s="308">
        <v>0</v>
      </c>
      <c r="AJ23" s="308">
        <f t="shared" ca="1" si="5"/>
        <v>-1250000</v>
      </c>
      <c r="AK23" s="309">
        <v>0</v>
      </c>
      <c r="AL23" s="309">
        <v>0</v>
      </c>
      <c r="AM23" s="309">
        <f t="shared" si="19"/>
        <v>0</v>
      </c>
      <c r="AN23" s="310">
        <v>0</v>
      </c>
      <c r="AO23" s="310">
        <v>0</v>
      </c>
      <c r="AP23" s="310">
        <f t="shared" si="20"/>
        <v>0</v>
      </c>
      <c r="AQ23" s="309">
        <v>0</v>
      </c>
      <c r="AR23" s="311">
        <f t="shared" ca="1" si="6"/>
        <v>-1250000</v>
      </c>
      <c r="AS23" s="870">
        <f t="shared" ca="1" si="21"/>
        <v>-5000000</v>
      </c>
      <c r="AT23" s="822"/>
      <c r="AU23" s="896">
        <v>25</v>
      </c>
      <c r="AV23" s="35" t="s">
        <v>724</v>
      </c>
      <c r="AW23" s="879"/>
      <c r="AX23" s="35"/>
      <c r="AY23" s="880"/>
    </row>
    <row r="24" spans="1:51">
      <c r="A24" s="303">
        <v>2015</v>
      </c>
      <c r="B24" s="304">
        <f ca="1">IF($D$3="BAU",UtilityDemand!C17,INDIRECT($D$3&amp;"!B"&amp;ROW(A24))+INDIRECT($D$3&amp;"!D"&amp;ROW(A24)))</f>
        <v>140674.7264207229</v>
      </c>
      <c r="C24" s="305">
        <v>0</v>
      </c>
      <c r="D24" s="306">
        <f t="shared" ca="1" si="7"/>
        <v>0</v>
      </c>
      <c r="E24" s="304">
        <f ca="1">IF($D$3="BAU",UtilityDemand!E17,INDIRECT($D$3&amp;"!E"&amp;ROW(D24))+INDIRECT($D$3&amp;"!G"&amp;ROW(D24)))</f>
        <v>749942.47488688328</v>
      </c>
      <c r="F24" s="305">
        <v>0</v>
      </c>
      <c r="G24" s="306">
        <f t="shared" ca="1" si="8"/>
        <v>0</v>
      </c>
      <c r="H24" s="304">
        <f ca="1">IF($D$3="BAU",UtilityDemand!G17,INDIRECT($D$3&amp;"!H"&amp;ROW(G24))+INDIRECT($D$3&amp;"!J"&amp;ROW(G24)))</f>
        <v>200653.26054765948</v>
      </c>
      <c r="I24" s="305">
        <v>0</v>
      </c>
      <c r="J24" s="306">
        <f t="shared" ca="1" si="22"/>
        <v>0</v>
      </c>
      <c r="K24" s="307">
        <f t="shared" ca="1" si="9"/>
        <v>140674.7264207229</v>
      </c>
      <c r="L24" s="307">
        <f t="shared" si="10"/>
        <v>-50000</v>
      </c>
      <c r="M24" s="307">
        <f>IF($AU$25="ALL",PortfolioDashboard!AD61,$AU$27)</f>
        <v>50000</v>
      </c>
      <c r="N24" s="307">
        <f t="shared" ca="1" si="11"/>
        <v>90674.726420722902</v>
      </c>
      <c r="O24" s="306">
        <f t="shared" ca="1" si="12"/>
        <v>749942.47488688328</v>
      </c>
      <c r="P24" s="306">
        <f t="shared" si="13"/>
        <v>0</v>
      </c>
      <c r="Q24" s="306">
        <v>0</v>
      </c>
      <c r="R24" s="306">
        <f t="shared" ca="1" si="14"/>
        <v>749942.47488688328</v>
      </c>
      <c r="S24" s="818">
        <f t="shared" ca="1" si="15"/>
        <v>200653.26054765948</v>
      </c>
      <c r="T24" s="818">
        <f t="shared" si="16"/>
        <v>0</v>
      </c>
      <c r="U24" s="818">
        <v>0</v>
      </c>
      <c r="V24" s="818">
        <f t="shared" ca="1" si="17"/>
        <v>200653.26054765948</v>
      </c>
      <c r="W24" s="306">
        <f t="shared" si="1"/>
        <v>0</v>
      </c>
      <c r="X24" s="306">
        <f t="shared" ca="1" si="2"/>
        <v>-35512.836256398594</v>
      </c>
      <c r="Y24" s="306">
        <v>0</v>
      </c>
      <c r="Z24" s="306">
        <v>0</v>
      </c>
      <c r="AA24" s="308">
        <f ca="1">-SUM(W24,X24/OFFSET(GridFootprintbyYear,$A24-$A$19,0)*EF_PurchElec_MTperMWh,Z24)*OFFSET(ExposureCalculations!Price_GHG_Allowance_2010,A24-$A$19,0)*ExposureCalculations!D21</f>
        <v>361141.99159034586</v>
      </c>
      <c r="AB24" s="308">
        <f t="shared" ca="1" si="18"/>
        <v>0</v>
      </c>
      <c r="AC24" s="308">
        <f t="shared" ca="1" si="23"/>
        <v>-1250000</v>
      </c>
      <c r="AD24" s="819">
        <f t="shared" ca="1" si="3"/>
        <v>0</v>
      </c>
      <c r="AE24" s="308">
        <v>0</v>
      </c>
      <c r="AF24" s="819">
        <f t="shared" ca="1" si="4"/>
        <v>0</v>
      </c>
      <c r="AG24" s="308">
        <v>0</v>
      </c>
      <c r="AH24" s="308">
        <v>0</v>
      </c>
      <c r="AI24" s="308">
        <v>0</v>
      </c>
      <c r="AJ24" s="308">
        <f t="shared" ca="1" si="5"/>
        <v>-1250000</v>
      </c>
      <c r="AK24" s="309">
        <v>0</v>
      </c>
      <c r="AL24" s="309">
        <v>0</v>
      </c>
      <c r="AM24" s="309">
        <f t="shared" si="19"/>
        <v>0</v>
      </c>
      <c r="AN24" s="310">
        <v>0</v>
      </c>
      <c r="AO24" s="310">
        <v>0</v>
      </c>
      <c r="AP24" s="310">
        <f t="shared" si="20"/>
        <v>0</v>
      </c>
      <c r="AQ24" s="309">
        <v>0</v>
      </c>
      <c r="AR24" s="311">
        <f t="shared" ca="1" si="6"/>
        <v>-888858.00840965414</v>
      </c>
      <c r="AS24" s="870">
        <f t="shared" ca="1" si="21"/>
        <v>-5888858.0084096538</v>
      </c>
      <c r="AT24" s="822"/>
      <c r="AU24" s="878"/>
      <c r="AV24" s="35"/>
      <c r="AW24" s="879"/>
      <c r="AX24" s="35"/>
      <c r="AY24" s="880"/>
    </row>
    <row r="25" spans="1:51">
      <c r="A25" s="303">
        <v>2016</v>
      </c>
      <c r="B25" s="304">
        <f ca="1">IF($D$3="BAU",UtilityDemand!C18,INDIRECT($D$3&amp;"!B"&amp;ROW(A25))+INDIRECT($D$3&amp;"!D"&amp;ROW(A25)))</f>
        <v>142251.35202157494</v>
      </c>
      <c r="C25" s="305">
        <v>0</v>
      </c>
      <c r="D25" s="306">
        <f t="shared" ca="1" si="7"/>
        <v>0</v>
      </c>
      <c r="E25" s="304">
        <f ca="1">IF($D$3="BAU",UtilityDemand!E18,INDIRECT($D$3&amp;"!E"&amp;ROW(D25))+INDIRECT($D$3&amp;"!G"&amp;ROW(D25)))</f>
        <v>758329.0740165587</v>
      </c>
      <c r="F25" s="305">
        <v>0</v>
      </c>
      <c r="G25" s="306">
        <f t="shared" ca="1" si="8"/>
        <v>0</v>
      </c>
      <c r="H25" s="304">
        <f ca="1">IF($D$3="BAU",UtilityDemand!G18,INDIRECT($D$3&amp;"!H"&amp;ROW(G25))+INDIRECT($D$3&amp;"!J"&amp;ROW(G25)))</f>
        <v>203717.79511026316</v>
      </c>
      <c r="I25" s="305">
        <v>0</v>
      </c>
      <c r="J25" s="306">
        <f t="shared" ca="1" si="22"/>
        <v>0</v>
      </c>
      <c r="K25" s="307">
        <f t="shared" ca="1" si="9"/>
        <v>142251.35202157494</v>
      </c>
      <c r="L25" s="307">
        <f t="shared" si="10"/>
        <v>-50000</v>
      </c>
      <c r="M25" s="307">
        <f>IF($AU$25="ALL",PortfolioDashboard!AD62,$AU$27)</f>
        <v>50000</v>
      </c>
      <c r="N25" s="307">
        <f t="shared" ca="1" si="11"/>
        <v>92251.352021574945</v>
      </c>
      <c r="O25" s="306">
        <f t="shared" ca="1" si="12"/>
        <v>758329.0740165587</v>
      </c>
      <c r="P25" s="306">
        <f t="shared" si="13"/>
        <v>0</v>
      </c>
      <c r="Q25" s="306">
        <v>0</v>
      </c>
      <c r="R25" s="306">
        <f t="shared" ca="1" si="14"/>
        <v>758329.0740165587</v>
      </c>
      <c r="S25" s="818">
        <f t="shared" ca="1" si="15"/>
        <v>203717.79511026316</v>
      </c>
      <c r="T25" s="818">
        <f t="shared" si="16"/>
        <v>0</v>
      </c>
      <c r="U25" s="818">
        <v>0</v>
      </c>
      <c r="V25" s="818">
        <f t="shared" ca="1" si="17"/>
        <v>203717.79511026316</v>
      </c>
      <c r="W25" s="306">
        <f t="shared" si="1"/>
        <v>0</v>
      </c>
      <c r="X25" s="306">
        <f t="shared" ca="1" si="2"/>
        <v>-35512.836256398594</v>
      </c>
      <c r="Y25" s="306">
        <v>0</v>
      </c>
      <c r="Z25" s="306">
        <v>0</v>
      </c>
      <c r="AA25" s="308">
        <f ca="1">-SUM(W25,X25/OFFSET(GridFootprintbyYear,$A25-$A$19,0)*EF_PurchElec_MTperMWh,Z25)*OFFSET(ExposureCalculations!Price_GHG_Allowance_2010,A25-$A$19,0)*ExposureCalculations!D22</f>
        <v>416867.64625827415</v>
      </c>
      <c r="AB25" s="308">
        <f t="shared" ca="1" si="18"/>
        <v>0</v>
      </c>
      <c r="AC25" s="308">
        <f t="shared" ca="1" si="23"/>
        <v>-1250000</v>
      </c>
      <c r="AD25" s="819">
        <f t="shared" ca="1" si="3"/>
        <v>0</v>
      </c>
      <c r="AE25" s="308">
        <v>0</v>
      </c>
      <c r="AF25" s="819">
        <f t="shared" ca="1" si="4"/>
        <v>0</v>
      </c>
      <c r="AG25" s="308">
        <v>0</v>
      </c>
      <c r="AH25" s="308">
        <v>0</v>
      </c>
      <c r="AI25" s="308">
        <v>0</v>
      </c>
      <c r="AJ25" s="308">
        <f t="shared" ca="1" si="5"/>
        <v>-1250000</v>
      </c>
      <c r="AK25" s="309">
        <v>0</v>
      </c>
      <c r="AL25" s="309">
        <v>0</v>
      </c>
      <c r="AM25" s="309">
        <f t="shared" si="19"/>
        <v>0</v>
      </c>
      <c r="AN25" s="310">
        <v>0</v>
      </c>
      <c r="AO25" s="310">
        <v>0</v>
      </c>
      <c r="AP25" s="310">
        <f t="shared" si="20"/>
        <v>0</v>
      </c>
      <c r="AQ25" s="309">
        <v>0</v>
      </c>
      <c r="AR25" s="311">
        <f t="shared" ca="1" si="6"/>
        <v>-833132.35374172591</v>
      </c>
      <c r="AS25" s="870">
        <f t="shared" ca="1" si="21"/>
        <v>-6721990.3621513797</v>
      </c>
      <c r="AT25" s="822"/>
      <c r="AU25" s="897" t="s">
        <v>773</v>
      </c>
      <c r="AV25" s="35" t="s">
        <v>771</v>
      </c>
      <c r="AW25" s="879"/>
      <c r="AX25" s="35"/>
      <c r="AY25" s="880"/>
    </row>
    <row r="26" spans="1:51">
      <c r="A26" s="303">
        <v>2017</v>
      </c>
      <c r="B26" s="304">
        <f ca="1">IF($D$3="BAU",UtilityDemand!C19,INDIRECT($D$3&amp;"!B"&amp;ROW(A26))+INDIRECT($D$3&amp;"!D"&amp;ROW(A26)))</f>
        <v>143827.97762242699</v>
      </c>
      <c r="C26" s="305">
        <v>0</v>
      </c>
      <c r="D26" s="306">
        <f t="shared" ca="1" si="7"/>
        <v>0</v>
      </c>
      <c r="E26" s="304">
        <f ca="1">IF($D$3="BAU",UtilityDemand!E19,INDIRECT($D$3&amp;"!E"&amp;ROW(D26))+INDIRECT($D$3&amp;"!G"&amp;ROW(D26)))</f>
        <v>766715.67314623413</v>
      </c>
      <c r="F26" s="305">
        <v>0</v>
      </c>
      <c r="G26" s="306">
        <f t="shared" ca="1" si="8"/>
        <v>0</v>
      </c>
      <c r="H26" s="304">
        <f ca="1">IF($D$3="BAU",UtilityDemand!G19,INDIRECT($D$3&amp;"!H"&amp;ROW(G26))+INDIRECT($D$3&amp;"!J"&amp;ROW(G26)))</f>
        <v>206782.32967286685</v>
      </c>
      <c r="I26" s="305">
        <v>0</v>
      </c>
      <c r="J26" s="306">
        <f t="shared" ca="1" si="22"/>
        <v>0</v>
      </c>
      <c r="K26" s="307">
        <f t="shared" ca="1" si="9"/>
        <v>143827.97762242699</v>
      </c>
      <c r="L26" s="307">
        <f t="shared" si="10"/>
        <v>-50000</v>
      </c>
      <c r="M26" s="307">
        <f>IF($AU$25="ALL",PortfolioDashboard!AD63,$AU$27)</f>
        <v>50000</v>
      </c>
      <c r="N26" s="307">
        <f t="shared" ca="1" si="11"/>
        <v>93827.977622426988</v>
      </c>
      <c r="O26" s="306">
        <f t="shared" ca="1" si="12"/>
        <v>766715.67314623413</v>
      </c>
      <c r="P26" s="306">
        <f t="shared" si="13"/>
        <v>0</v>
      </c>
      <c r="Q26" s="306">
        <v>0</v>
      </c>
      <c r="R26" s="306">
        <f t="shared" ca="1" si="14"/>
        <v>766715.67314623413</v>
      </c>
      <c r="S26" s="818">
        <f t="shared" ca="1" si="15"/>
        <v>206782.32967286685</v>
      </c>
      <c r="T26" s="818">
        <f t="shared" si="16"/>
        <v>0</v>
      </c>
      <c r="U26" s="818">
        <v>0</v>
      </c>
      <c r="V26" s="818">
        <f t="shared" ca="1" si="17"/>
        <v>206782.32967286685</v>
      </c>
      <c r="W26" s="306">
        <f t="shared" si="1"/>
        <v>0</v>
      </c>
      <c r="X26" s="306">
        <f t="shared" ca="1" si="2"/>
        <v>-35512.836256398594</v>
      </c>
      <c r="Y26" s="306">
        <v>0</v>
      </c>
      <c r="Z26" s="306">
        <v>0</v>
      </c>
      <c r="AA26" s="308">
        <f ca="1">-SUM(W26,X26/OFFSET(GridFootprintbyYear,$A26-$A$19,0)*EF_PurchElec_MTperMWh,Z26)*OFFSET(ExposureCalculations!Price_GHG_Allowance_2010,A26-$A$19,0)*ExposureCalculations!D23</f>
        <v>475192.20730296022</v>
      </c>
      <c r="AB26" s="308">
        <f t="shared" ca="1" si="18"/>
        <v>0</v>
      </c>
      <c r="AC26" s="308">
        <f t="shared" ca="1" si="23"/>
        <v>-1250000</v>
      </c>
      <c r="AD26" s="819">
        <f t="shared" ca="1" si="3"/>
        <v>0</v>
      </c>
      <c r="AE26" s="308">
        <v>0</v>
      </c>
      <c r="AF26" s="819">
        <f t="shared" ca="1" si="4"/>
        <v>0</v>
      </c>
      <c r="AG26" s="308">
        <v>0</v>
      </c>
      <c r="AH26" s="308">
        <v>0</v>
      </c>
      <c r="AI26" s="308">
        <v>0</v>
      </c>
      <c r="AJ26" s="308">
        <f t="shared" ca="1" si="5"/>
        <v>-1250000</v>
      </c>
      <c r="AK26" s="309">
        <v>0</v>
      </c>
      <c r="AL26" s="309">
        <v>0</v>
      </c>
      <c r="AM26" s="309">
        <f t="shared" si="19"/>
        <v>0</v>
      </c>
      <c r="AN26" s="310">
        <v>0</v>
      </c>
      <c r="AO26" s="310">
        <v>0</v>
      </c>
      <c r="AP26" s="310">
        <f t="shared" si="20"/>
        <v>0</v>
      </c>
      <c r="AQ26" s="309">
        <v>0</v>
      </c>
      <c r="AR26" s="311">
        <f t="shared" ca="1" si="6"/>
        <v>-774807.79269703978</v>
      </c>
      <c r="AS26" s="870">
        <f t="shared" ca="1" si="21"/>
        <v>-7496798.1548484191</v>
      </c>
      <c r="AT26" s="822"/>
      <c r="AU26" s="878"/>
      <c r="AV26" s="35"/>
      <c r="AW26" s="879"/>
      <c r="AX26" s="35"/>
      <c r="AY26" s="880"/>
    </row>
    <row r="27" spans="1:51">
      <c r="A27" s="303">
        <v>2018</v>
      </c>
      <c r="B27" s="304">
        <f ca="1">IF($D$3="BAU",UtilityDemand!C20,INDIRECT($D$3&amp;"!B"&amp;ROW(A27))+INDIRECT($D$3&amp;"!D"&amp;ROW(A27)))</f>
        <v>145404.603223279</v>
      </c>
      <c r="C27" s="305">
        <v>0</v>
      </c>
      <c r="D27" s="306">
        <f t="shared" ca="1" si="7"/>
        <v>0</v>
      </c>
      <c r="E27" s="304">
        <f ca="1">IF($D$3="BAU",UtilityDemand!E20,INDIRECT($D$3&amp;"!E"&amp;ROW(D27))+INDIRECT($D$3&amp;"!G"&amp;ROW(D27)))</f>
        <v>775102.27227590943</v>
      </c>
      <c r="F27" s="305">
        <v>0</v>
      </c>
      <c r="G27" s="306">
        <f t="shared" ca="1" si="8"/>
        <v>0</v>
      </c>
      <c r="H27" s="304">
        <f ca="1">IF($D$3="BAU",UtilityDemand!G20,INDIRECT($D$3&amp;"!H"&amp;ROW(G27))+INDIRECT($D$3&amp;"!J"&amp;ROW(G27)))</f>
        <v>209846.86423547054</v>
      </c>
      <c r="I27" s="305">
        <v>0</v>
      </c>
      <c r="J27" s="306">
        <f t="shared" ca="1" si="22"/>
        <v>0</v>
      </c>
      <c r="K27" s="307">
        <f t="shared" ca="1" si="9"/>
        <v>145404.603223279</v>
      </c>
      <c r="L27" s="307">
        <f t="shared" si="10"/>
        <v>-50000</v>
      </c>
      <c r="M27" s="307">
        <f>IF($AU$25="ALL",PortfolioDashboard!AD64,$AU$27)</f>
        <v>50000</v>
      </c>
      <c r="N27" s="307">
        <f t="shared" ca="1" si="11"/>
        <v>95404.603223279002</v>
      </c>
      <c r="O27" s="306">
        <f t="shared" ca="1" si="12"/>
        <v>775102.27227590943</v>
      </c>
      <c r="P27" s="306">
        <f t="shared" si="13"/>
        <v>0</v>
      </c>
      <c r="Q27" s="306">
        <v>0</v>
      </c>
      <c r="R27" s="306">
        <f t="shared" ca="1" si="14"/>
        <v>775102.27227590943</v>
      </c>
      <c r="S27" s="818">
        <f t="shared" ca="1" si="15"/>
        <v>209846.86423547054</v>
      </c>
      <c r="T27" s="818">
        <f t="shared" si="16"/>
        <v>0</v>
      </c>
      <c r="U27" s="818">
        <v>0</v>
      </c>
      <c r="V27" s="818">
        <f t="shared" ca="1" si="17"/>
        <v>209846.86423547054</v>
      </c>
      <c r="W27" s="306">
        <f t="shared" si="1"/>
        <v>0</v>
      </c>
      <c r="X27" s="306">
        <f t="shared" ca="1" si="2"/>
        <v>-35512.836256398594</v>
      </c>
      <c r="Y27" s="306">
        <v>0</v>
      </c>
      <c r="Z27" s="306">
        <v>0</v>
      </c>
      <c r="AA27" s="308">
        <f ca="1">-SUM(W27,X27/OFFSET(GridFootprintbyYear,$A27-$A$19,0)*EF_PurchElec_MTperMWh,Z27)*OFFSET(ExposureCalculations!Price_GHG_Allowance_2010,A27-$A$19,0)*ExposureCalculations!D24</f>
        <v>536035.13171772158</v>
      </c>
      <c r="AB27" s="308">
        <f t="shared" ca="1" si="18"/>
        <v>0</v>
      </c>
      <c r="AC27" s="308">
        <f t="shared" ca="1" si="23"/>
        <v>-1250000</v>
      </c>
      <c r="AD27" s="819">
        <f t="shared" ca="1" si="3"/>
        <v>0</v>
      </c>
      <c r="AE27" s="308">
        <v>0</v>
      </c>
      <c r="AF27" s="819">
        <f t="shared" ca="1" si="4"/>
        <v>0</v>
      </c>
      <c r="AG27" s="308">
        <v>0</v>
      </c>
      <c r="AH27" s="308">
        <v>0</v>
      </c>
      <c r="AI27" s="308">
        <v>0</v>
      </c>
      <c r="AJ27" s="308">
        <f t="shared" ca="1" si="5"/>
        <v>-1250000</v>
      </c>
      <c r="AK27" s="309">
        <v>0</v>
      </c>
      <c r="AL27" s="309">
        <v>0</v>
      </c>
      <c r="AM27" s="309">
        <f t="shared" si="19"/>
        <v>0</v>
      </c>
      <c r="AN27" s="310">
        <v>0</v>
      </c>
      <c r="AO27" s="310">
        <v>0</v>
      </c>
      <c r="AP27" s="310">
        <f t="shared" si="20"/>
        <v>0</v>
      </c>
      <c r="AQ27" s="309">
        <v>0</v>
      </c>
      <c r="AR27" s="311">
        <f t="shared" ca="1" si="6"/>
        <v>-713964.86828227842</v>
      </c>
      <c r="AS27" s="870">
        <f t="shared" ca="1" si="21"/>
        <v>-8210763.0231306972</v>
      </c>
      <c r="AT27" s="822"/>
      <c r="AU27" s="898">
        <v>50000</v>
      </c>
      <c r="AV27" s="35" t="s">
        <v>772</v>
      </c>
      <c r="AW27" s="879"/>
      <c r="AX27" s="35"/>
      <c r="AY27" s="880"/>
    </row>
    <row r="28" spans="1:51">
      <c r="A28" s="303">
        <v>2019</v>
      </c>
      <c r="B28" s="304">
        <f ca="1">IF($D$3="BAU",UtilityDemand!C21,INDIRECT($D$3&amp;"!B"&amp;ROW(A28))+INDIRECT($D$3&amp;"!D"&amp;ROW(A28)))</f>
        <v>146981.22882413102</v>
      </c>
      <c r="C28" s="305">
        <v>0</v>
      </c>
      <c r="D28" s="306">
        <f t="shared" ca="1" si="7"/>
        <v>0</v>
      </c>
      <c r="E28" s="304">
        <f ca="1">IF($D$3="BAU",UtilityDemand!E21,INDIRECT($D$3&amp;"!E"&amp;ROW(D28))+INDIRECT($D$3&amp;"!G"&amp;ROW(D28)))</f>
        <v>783488.87140558485</v>
      </c>
      <c r="F28" s="305">
        <v>0</v>
      </c>
      <c r="G28" s="306">
        <f t="shared" ca="1" si="8"/>
        <v>0</v>
      </c>
      <c r="H28" s="304">
        <f ca="1">IF($D$3="BAU",UtilityDemand!G21,INDIRECT($D$3&amp;"!H"&amp;ROW(G28))+INDIRECT($D$3&amp;"!J"&amp;ROW(G28)))</f>
        <v>212911.39879807425</v>
      </c>
      <c r="I28" s="305">
        <v>0</v>
      </c>
      <c r="J28" s="306">
        <f t="shared" ca="1" si="22"/>
        <v>0</v>
      </c>
      <c r="K28" s="307">
        <f t="shared" ca="1" si="9"/>
        <v>146981.22882413102</v>
      </c>
      <c r="L28" s="307">
        <f t="shared" si="10"/>
        <v>-50000</v>
      </c>
      <c r="M28" s="307">
        <f>IF($AU$25="ALL",PortfolioDashboard!AD65,$AU$27)</f>
        <v>50000</v>
      </c>
      <c r="N28" s="307">
        <f t="shared" ca="1" si="11"/>
        <v>96981.228824131016</v>
      </c>
      <c r="O28" s="306">
        <f t="shared" ca="1" si="12"/>
        <v>783488.87140558485</v>
      </c>
      <c r="P28" s="306">
        <f t="shared" si="13"/>
        <v>0</v>
      </c>
      <c r="Q28" s="306">
        <v>0</v>
      </c>
      <c r="R28" s="306">
        <f t="shared" ca="1" si="14"/>
        <v>783488.87140558485</v>
      </c>
      <c r="S28" s="818">
        <f t="shared" ca="1" si="15"/>
        <v>212911.39879807425</v>
      </c>
      <c r="T28" s="818">
        <f t="shared" si="16"/>
        <v>0</v>
      </c>
      <c r="U28" s="818">
        <v>0</v>
      </c>
      <c r="V28" s="818">
        <f t="shared" ca="1" si="17"/>
        <v>212911.39879807425</v>
      </c>
      <c r="W28" s="306">
        <f t="shared" si="1"/>
        <v>0</v>
      </c>
      <c r="X28" s="306">
        <f t="shared" ca="1" si="2"/>
        <v>-35512.836256398594</v>
      </c>
      <c r="Y28" s="306">
        <v>0</v>
      </c>
      <c r="Z28" s="306">
        <v>0</v>
      </c>
      <c r="AA28" s="308">
        <f ca="1">-SUM(W28,X28/OFFSET(GridFootprintbyYear,$A28-$A$19,0)*EF_PurchElec_MTperMWh,Z28)*OFFSET(ExposureCalculations!Price_GHG_Allowance_2010,A28-$A$19,0)*ExposureCalculations!D25</f>
        <v>599316.71605208237</v>
      </c>
      <c r="AB28" s="308">
        <f t="shared" ca="1" si="18"/>
        <v>0</v>
      </c>
      <c r="AC28" s="308">
        <f t="shared" ca="1" si="23"/>
        <v>-1250000</v>
      </c>
      <c r="AD28" s="819">
        <f t="shared" ca="1" si="3"/>
        <v>0</v>
      </c>
      <c r="AE28" s="308">
        <v>0</v>
      </c>
      <c r="AF28" s="819">
        <f t="shared" ca="1" si="4"/>
        <v>0</v>
      </c>
      <c r="AG28" s="308">
        <v>0</v>
      </c>
      <c r="AH28" s="308">
        <v>0</v>
      </c>
      <c r="AI28" s="308">
        <v>0</v>
      </c>
      <c r="AJ28" s="308">
        <f t="shared" ca="1" si="5"/>
        <v>-1250000</v>
      </c>
      <c r="AK28" s="309">
        <v>0</v>
      </c>
      <c r="AL28" s="309">
        <v>0</v>
      </c>
      <c r="AM28" s="309">
        <f t="shared" si="19"/>
        <v>0</v>
      </c>
      <c r="AN28" s="310">
        <v>0</v>
      </c>
      <c r="AO28" s="310">
        <v>0</v>
      </c>
      <c r="AP28" s="310">
        <f t="shared" si="20"/>
        <v>0</v>
      </c>
      <c r="AQ28" s="309">
        <v>0</v>
      </c>
      <c r="AR28" s="311">
        <f t="shared" ca="1" si="6"/>
        <v>-650683.28394791763</v>
      </c>
      <c r="AS28" s="870">
        <f t="shared" ca="1" si="21"/>
        <v>-8861446.3070786148</v>
      </c>
      <c r="AT28" s="822"/>
      <c r="AU28" s="878"/>
      <c r="AV28" s="35"/>
      <c r="AW28" s="879"/>
      <c r="AX28" s="35"/>
      <c r="AY28" s="880"/>
    </row>
    <row r="29" spans="1:51">
      <c r="A29" s="303">
        <v>2020</v>
      </c>
      <c r="B29" s="304">
        <f ca="1">IF($D$3="BAU",UtilityDemand!C22,INDIRECT($D$3&amp;"!B"&amp;ROW(A29))+INDIRECT($D$3&amp;"!D"&amp;ROW(A29)))</f>
        <v>148557.85442498306</v>
      </c>
      <c r="C29" s="305">
        <v>0</v>
      </c>
      <c r="D29" s="306">
        <f t="shared" ca="1" si="7"/>
        <v>0</v>
      </c>
      <c r="E29" s="304">
        <f ca="1">IF($D$3="BAU",UtilityDemand!E22,INDIRECT($D$3&amp;"!E"&amp;ROW(D29))+INDIRECT($D$3&amp;"!G"&amp;ROW(D29)))</f>
        <v>791875.47053526016</v>
      </c>
      <c r="F29" s="305">
        <v>0</v>
      </c>
      <c r="G29" s="306">
        <f t="shared" ca="1" si="8"/>
        <v>0</v>
      </c>
      <c r="H29" s="304">
        <f ca="1">IF($D$3="BAU",UtilityDemand!G22,INDIRECT($D$3&amp;"!H"&amp;ROW(G29))+INDIRECT($D$3&amp;"!J"&amp;ROW(G29)))</f>
        <v>215975.93336067794</v>
      </c>
      <c r="I29" s="305">
        <v>0</v>
      </c>
      <c r="J29" s="306">
        <f t="shared" ca="1" si="22"/>
        <v>0</v>
      </c>
      <c r="K29" s="307">
        <f t="shared" ca="1" si="9"/>
        <v>148557.85442498306</v>
      </c>
      <c r="L29" s="307">
        <f t="shared" si="10"/>
        <v>-50000</v>
      </c>
      <c r="M29" s="307">
        <f>IF($AU$25="ALL",PortfolioDashboard!AD66,$AU$27)</f>
        <v>50000</v>
      </c>
      <c r="N29" s="307">
        <f t="shared" ca="1" si="11"/>
        <v>98557.854424983059</v>
      </c>
      <c r="O29" s="306">
        <f t="shared" ca="1" si="12"/>
        <v>791875.47053526016</v>
      </c>
      <c r="P29" s="306">
        <f t="shared" si="13"/>
        <v>0</v>
      </c>
      <c r="Q29" s="306">
        <v>0</v>
      </c>
      <c r="R29" s="306">
        <f t="shared" ca="1" si="14"/>
        <v>791875.47053526016</v>
      </c>
      <c r="S29" s="818">
        <f t="shared" ca="1" si="15"/>
        <v>215975.93336067794</v>
      </c>
      <c r="T29" s="818">
        <f t="shared" si="16"/>
        <v>0</v>
      </c>
      <c r="U29" s="818">
        <v>0</v>
      </c>
      <c r="V29" s="818">
        <f t="shared" ca="1" si="17"/>
        <v>215975.93336067794</v>
      </c>
      <c r="W29" s="306">
        <f t="shared" si="1"/>
        <v>0</v>
      </c>
      <c r="X29" s="306">
        <f t="shared" ca="1" si="2"/>
        <v>-35512.836256398594</v>
      </c>
      <c r="Y29" s="306">
        <v>0</v>
      </c>
      <c r="Z29" s="306">
        <v>0</v>
      </c>
      <c r="AA29" s="308">
        <f ca="1">-SUM(W29,X29/OFFSET(GridFootprintbyYear,$A29-$A$19,0)*EF_PurchElec_MTperMWh,Z29)*OFFSET(ExposureCalculations!Price_GHG_Allowance_2010,A29-$A$19,0)*ExposureCalculations!D26</f>
        <v>664958.11545698845</v>
      </c>
      <c r="AB29" s="308">
        <f t="shared" ca="1" si="18"/>
        <v>0</v>
      </c>
      <c r="AC29" s="308">
        <f t="shared" ca="1" si="23"/>
        <v>-1250000</v>
      </c>
      <c r="AD29" s="819">
        <f t="shared" ca="1" si="3"/>
        <v>0</v>
      </c>
      <c r="AE29" s="308">
        <v>0</v>
      </c>
      <c r="AF29" s="819">
        <f t="shared" ca="1" si="4"/>
        <v>0</v>
      </c>
      <c r="AG29" s="308">
        <v>0</v>
      </c>
      <c r="AH29" s="308">
        <v>0</v>
      </c>
      <c r="AI29" s="308">
        <v>0</v>
      </c>
      <c r="AJ29" s="308">
        <f t="shared" ca="1" si="5"/>
        <v>-1250000</v>
      </c>
      <c r="AK29" s="309">
        <v>0</v>
      </c>
      <c r="AL29" s="309">
        <v>0</v>
      </c>
      <c r="AM29" s="309">
        <f t="shared" si="19"/>
        <v>0</v>
      </c>
      <c r="AN29" s="310">
        <v>0</v>
      </c>
      <c r="AO29" s="310">
        <v>0</v>
      </c>
      <c r="AP29" s="310">
        <f t="shared" si="20"/>
        <v>0</v>
      </c>
      <c r="AQ29" s="309">
        <v>0</v>
      </c>
      <c r="AR29" s="311">
        <f t="shared" ca="1" si="6"/>
        <v>-585041.88454301155</v>
      </c>
      <c r="AS29" s="870">
        <f t="shared" ca="1" si="21"/>
        <v>-9446488.1916216258</v>
      </c>
      <c r="AT29" s="822"/>
      <c r="AU29" s="878"/>
      <c r="AV29" s="35"/>
      <c r="AW29" s="879"/>
      <c r="AX29" s="35"/>
      <c r="AY29" s="880"/>
    </row>
    <row r="30" spans="1:51">
      <c r="A30" s="303">
        <v>2021</v>
      </c>
      <c r="B30" s="304">
        <f ca="1">IF($D$3="BAU",UtilityDemand!C23,INDIRECT($D$3&amp;"!B"&amp;ROW(A30))+INDIRECT($D$3&amp;"!D"&amp;ROW(A30)))</f>
        <v>150134.48002583507</v>
      </c>
      <c r="C30" s="305">
        <v>0</v>
      </c>
      <c r="D30" s="306">
        <f t="shared" ca="1" si="7"/>
        <v>0</v>
      </c>
      <c r="E30" s="304">
        <f ca="1">IF($D$3="BAU",UtilityDemand!E23,INDIRECT($D$3&amp;"!E"&amp;ROW(D30))+INDIRECT($D$3&amp;"!G"&amp;ROW(D30)))</f>
        <v>800262.06966493546</v>
      </c>
      <c r="F30" s="305">
        <v>0</v>
      </c>
      <c r="G30" s="306">
        <f t="shared" ca="1" si="8"/>
        <v>0</v>
      </c>
      <c r="H30" s="304">
        <f ca="1">IF($D$3="BAU",UtilityDemand!G23,INDIRECT($D$3&amp;"!H"&amp;ROW(G30))+INDIRECT($D$3&amp;"!J"&amp;ROW(G30)))</f>
        <v>219040.46792328163</v>
      </c>
      <c r="I30" s="305">
        <v>0</v>
      </c>
      <c r="J30" s="306">
        <f t="shared" ca="1" si="22"/>
        <v>0</v>
      </c>
      <c r="K30" s="307">
        <f t="shared" ca="1" si="9"/>
        <v>150134.48002583507</v>
      </c>
      <c r="L30" s="307">
        <f t="shared" si="10"/>
        <v>-50000</v>
      </c>
      <c r="M30" s="307">
        <f>IF($AU$25="ALL",PortfolioDashboard!AD67,$AU$27)</f>
        <v>50000</v>
      </c>
      <c r="N30" s="307">
        <f t="shared" ca="1" si="11"/>
        <v>100134.48002583507</v>
      </c>
      <c r="O30" s="306">
        <f t="shared" ca="1" si="12"/>
        <v>800262.06966493546</v>
      </c>
      <c r="P30" s="306">
        <f t="shared" si="13"/>
        <v>0</v>
      </c>
      <c r="Q30" s="306">
        <v>0</v>
      </c>
      <c r="R30" s="306">
        <f t="shared" ca="1" si="14"/>
        <v>800262.06966493546</v>
      </c>
      <c r="S30" s="818">
        <f t="shared" ca="1" si="15"/>
        <v>219040.46792328163</v>
      </c>
      <c r="T30" s="818">
        <f t="shared" si="16"/>
        <v>0</v>
      </c>
      <c r="U30" s="818">
        <v>0</v>
      </c>
      <c r="V30" s="818">
        <f t="shared" ca="1" si="17"/>
        <v>219040.46792328163</v>
      </c>
      <c r="W30" s="306">
        <f t="shared" si="1"/>
        <v>0</v>
      </c>
      <c r="X30" s="306">
        <f t="shared" ca="1" si="2"/>
        <v>-35512.836256398594</v>
      </c>
      <c r="Y30" s="306">
        <v>0</v>
      </c>
      <c r="Z30" s="306">
        <v>0</v>
      </c>
      <c r="AA30" s="308">
        <f ca="1">-SUM(W30,X30/OFFSET(GridFootprintbyYear,$A30-$A$19,0)*EF_PurchElec_MTperMWh,Z30)*OFFSET(ExposureCalculations!Price_GHG_Allowance_2010,A30-$A$19,0)*ExposureCalculations!D27</f>
        <v>740690.92106463085</v>
      </c>
      <c r="AB30" s="308">
        <f t="shared" ca="1" si="18"/>
        <v>0</v>
      </c>
      <c r="AC30" s="308">
        <f t="shared" ca="1" si="23"/>
        <v>-1250000</v>
      </c>
      <c r="AD30" s="819">
        <f t="shared" ca="1" si="3"/>
        <v>0</v>
      </c>
      <c r="AE30" s="308">
        <v>0</v>
      </c>
      <c r="AF30" s="819">
        <f t="shared" ca="1" si="4"/>
        <v>0</v>
      </c>
      <c r="AG30" s="308">
        <v>0</v>
      </c>
      <c r="AH30" s="308">
        <v>0</v>
      </c>
      <c r="AI30" s="308">
        <v>0</v>
      </c>
      <c r="AJ30" s="308">
        <f t="shared" ca="1" si="5"/>
        <v>-1250000</v>
      </c>
      <c r="AK30" s="309">
        <v>0</v>
      </c>
      <c r="AL30" s="309">
        <v>0</v>
      </c>
      <c r="AM30" s="309">
        <f t="shared" si="19"/>
        <v>0</v>
      </c>
      <c r="AN30" s="310">
        <v>0</v>
      </c>
      <c r="AO30" s="310">
        <v>0</v>
      </c>
      <c r="AP30" s="310">
        <f t="shared" si="20"/>
        <v>0</v>
      </c>
      <c r="AQ30" s="309">
        <v>0</v>
      </c>
      <c r="AR30" s="311">
        <f t="shared" ca="1" si="6"/>
        <v>-509309.07893536915</v>
      </c>
      <c r="AS30" s="870">
        <f t="shared" ca="1" si="21"/>
        <v>-9955797.2705569956</v>
      </c>
      <c r="AT30" s="822"/>
      <c r="AU30" s="878"/>
      <c r="AV30" s="35"/>
      <c r="AW30" s="879"/>
      <c r="AX30" s="35"/>
      <c r="AY30" s="880"/>
    </row>
    <row r="31" spans="1:51">
      <c r="A31" s="303">
        <v>2022</v>
      </c>
      <c r="B31" s="304">
        <f ca="1">IF($D$3="BAU",UtilityDemand!C24,INDIRECT($D$3&amp;"!B"&amp;ROW(A31))+INDIRECT($D$3&amp;"!D"&amp;ROW(A31)))</f>
        <v>151711.10562668712</v>
      </c>
      <c r="C31" s="305">
        <v>0</v>
      </c>
      <c r="D31" s="306">
        <f t="shared" ca="1" si="7"/>
        <v>0</v>
      </c>
      <c r="E31" s="304">
        <f ca="1">IF($D$3="BAU",UtilityDemand!E24,INDIRECT($D$3&amp;"!E"&amp;ROW(D31))+INDIRECT($D$3&amp;"!G"&amp;ROW(D31)))</f>
        <v>808648.668794611</v>
      </c>
      <c r="F31" s="305">
        <v>0</v>
      </c>
      <c r="G31" s="306">
        <f t="shared" ca="1" si="8"/>
        <v>0</v>
      </c>
      <c r="H31" s="304">
        <f ca="1">IF($D$3="BAU",UtilityDemand!G24,INDIRECT($D$3&amp;"!H"&amp;ROW(G31))+INDIRECT($D$3&amp;"!J"&amp;ROW(G31)))</f>
        <v>222105.00248588528</v>
      </c>
      <c r="I31" s="305">
        <v>0</v>
      </c>
      <c r="J31" s="306">
        <f t="shared" ca="1" si="22"/>
        <v>0</v>
      </c>
      <c r="K31" s="307">
        <f t="shared" ca="1" si="9"/>
        <v>151711.10562668712</v>
      </c>
      <c r="L31" s="307">
        <f t="shared" si="10"/>
        <v>-50000</v>
      </c>
      <c r="M31" s="307">
        <f>IF($AU$25="ALL",PortfolioDashboard!AD68,$AU$27)</f>
        <v>50000</v>
      </c>
      <c r="N31" s="307">
        <f t="shared" ca="1" si="11"/>
        <v>101711.10562668712</v>
      </c>
      <c r="O31" s="306">
        <f t="shared" ca="1" si="12"/>
        <v>808648.668794611</v>
      </c>
      <c r="P31" s="306">
        <f t="shared" si="13"/>
        <v>0</v>
      </c>
      <c r="Q31" s="306">
        <v>0</v>
      </c>
      <c r="R31" s="306">
        <f t="shared" ca="1" si="14"/>
        <v>808648.668794611</v>
      </c>
      <c r="S31" s="818">
        <f t="shared" ca="1" si="15"/>
        <v>222105.00248588528</v>
      </c>
      <c r="T31" s="818">
        <f t="shared" si="16"/>
        <v>0</v>
      </c>
      <c r="U31" s="818">
        <v>0</v>
      </c>
      <c r="V31" s="818">
        <f t="shared" ca="1" si="17"/>
        <v>222105.00248588528</v>
      </c>
      <c r="W31" s="306">
        <f t="shared" si="1"/>
        <v>0</v>
      </c>
      <c r="X31" s="306">
        <f t="shared" ca="1" si="2"/>
        <v>-35512.836256398594</v>
      </c>
      <c r="Y31" s="306">
        <v>0</v>
      </c>
      <c r="Z31" s="306">
        <v>0</v>
      </c>
      <c r="AA31" s="308">
        <f ca="1">-SUM(W31,X31/OFFSET(GridFootprintbyYear,$A31-$A$19,0)*EF_PurchElec_MTperMWh,Z31)*OFFSET(ExposureCalculations!Price_GHG_Allowance_2010,A31-$A$19,0)*ExposureCalculations!D28</f>
        <v>819346.30398037157</v>
      </c>
      <c r="AB31" s="308">
        <f t="shared" ca="1" si="18"/>
        <v>0</v>
      </c>
      <c r="AC31" s="308">
        <f t="shared" ca="1" si="23"/>
        <v>-1250000</v>
      </c>
      <c r="AD31" s="819">
        <f t="shared" ca="1" si="3"/>
        <v>0</v>
      </c>
      <c r="AE31" s="308">
        <v>0</v>
      </c>
      <c r="AF31" s="819">
        <f t="shared" ca="1" si="4"/>
        <v>0</v>
      </c>
      <c r="AG31" s="308">
        <v>0</v>
      </c>
      <c r="AH31" s="308">
        <v>0</v>
      </c>
      <c r="AI31" s="308">
        <v>0</v>
      </c>
      <c r="AJ31" s="308">
        <f t="shared" ca="1" si="5"/>
        <v>-1250000</v>
      </c>
      <c r="AK31" s="309">
        <v>0</v>
      </c>
      <c r="AL31" s="309">
        <v>0</v>
      </c>
      <c r="AM31" s="309">
        <f t="shared" si="19"/>
        <v>0</v>
      </c>
      <c r="AN31" s="310">
        <v>0</v>
      </c>
      <c r="AO31" s="310">
        <v>0</v>
      </c>
      <c r="AP31" s="310">
        <f t="shared" si="20"/>
        <v>0</v>
      </c>
      <c r="AQ31" s="309">
        <v>0</v>
      </c>
      <c r="AR31" s="311">
        <f t="shared" ca="1" si="6"/>
        <v>-430653.69601962843</v>
      </c>
      <c r="AS31" s="870">
        <f t="shared" ca="1" si="21"/>
        <v>-10386450.966576625</v>
      </c>
      <c r="AT31" s="822"/>
      <c r="AU31" s="878"/>
      <c r="AV31" s="35"/>
      <c r="AW31" s="879"/>
      <c r="AX31" s="35"/>
      <c r="AY31" s="880"/>
    </row>
    <row r="32" spans="1:51">
      <c r="A32" s="303">
        <v>2023</v>
      </c>
      <c r="B32" s="304">
        <f ca="1">IF($D$3="BAU",UtilityDemand!C25,INDIRECT($D$3&amp;"!B"&amp;ROW(A32))+INDIRECT($D$3&amp;"!D"&amp;ROW(A32)))</f>
        <v>153287.73122753916</v>
      </c>
      <c r="C32" s="305">
        <v>0</v>
      </c>
      <c r="D32" s="306">
        <f t="shared" ca="1" si="7"/>
        <v>0</v>
      </c>
      <c r="E32" s="304">
        <f ca="1">IF($D$3="BAU",UtilityDemand!E25,INDIRECT($D$3&amp;"!E"&amp;ROW(D32))+INDIRECT($D$3&amp;"!G"&amp;ROW(D32)))</f>
        <v>817035.26792428643</v>
      </c>
      <c r="F32" s="305">
        <v>0</v>
      </c>
      <c r="G32" s="306">
        <f t="shared" ca="1" si="8"/>
        <v>0</v>
      </c>
      <c r="H32" s="304">
        <f ca="1">IF($D$3="BAU",UtilityDemand!G25,INDIRECT($D$3&amp;"!H"&amp;ROW(G32))+INDIRECT($D$3&amp;"!J"&amp;ROW(G32)))</f>
        <v>225169.537048489</v>
      </c>
      <c r="I32" s="305">
        <v>0</v>
      </c>
      <c r="J32" s="306">
        <f t="shared" ca="1" si="22"/>
        <v>0</v>
      </c>
      <c r="K32" s="307">
        <f t="shared" ca="1" si="9"/>
        <v>153287.73122753916</v>
      </c>
      <c r="L32" s="307">
        <f t="shared" si="10"/>
        <v>-50000</v>
      </c>
      <c r="M32" s="307">
        <f>IF($AU$25="ALL",PortfolioDashboard!AD69,$AU$27)</f>
        <v>50000</v>
      </c>
      <c r="N32" s="307">
        <f t="shared" ca="1" si="11"/>
        <v>103287.73122753916</v>
      </c>
      <c r="O32" s="306">
        <f t="shared" ca="1" si="12"/>
        <v>817035.26792428643</v>
      </c>
      <c r="P32" s="306">
        <f t="shared" si="13"/>
        <v>0</v>
      </c>
      <c r="Q32" s="306">
        <v>0</v>
      </c>
      <c r="R32" s="306">
        <f t="shared" ca="1" si="14"/>
        <v>817035.26792428643</v>
      </c>
      <c r="S32" s="818">
        <f t="shared" ca="1" si="15"/>
        <v>225169.537048489</v>
      </c>
      <c r="T32" s="818">
        <f t="shared" si="16"/>
        <v>0</v>
      </c>
      <c r="U32" s="818">
        <v>0</v>
      </c>
      <c r="V32" s="818">
        <f t="shared" ca="1" si="17"/>
        <v>225169.537048489</v>
      </c>
      <c r="W32" s="306">
        <f t="shared" si="1"/>
        <v>0</v>
      </c>
      <c r="X32" s="306">
        <f t="shared" ca="1" si="2"/>
        <v>-35512.836256398594</v>
      </c>
      <c r="Y32" s="306">
        <v>0</v>
      </c>
      <c r="Z32" s="306">
        <v>0</v>
      </c>
      <c r="AA32" s="308">
        <f ca="1">-SUM(W32,X32/OFFSET(GridFootprintbyYear,$A32-$A$19,0)*EF_PurchElec_MTperMWh,Z32)*OFFSET(ExposureCalculations!Price_GHG_Allowance_2010,A32-$A$19,0)*ExposureCalculations!D29</f>
        <v>900806.41597994196</v>
      </c>
      <c r="AB32" s="308">
        <f t="shared" ca="1" si="18"/>
        <v>0</v>
      </c>
      <c r="AC32" s="308">
        <f t="shared" ca="1" si="23"/>
        <v>-1250000</v>
      </c>
      <c r="AD32" s="819">
        <f t="shared" ca="1" si="3"/>
        <v>0</v>
      </c>
      <c r="AE32" s="308">
        <v>0</v>
      </c>
      <c r="AF32" s="819">
        <f t="shared" ca="1" si="4"/>
        <v>0</v>
      </c>
      <c r="AG32" s="308">
        <v>0</v>
      </c>
      <c r="AH32" s="308">
        <v>0</v>
      </c>
      <c r="AI32" s="308">
        <v>0</v>
      </c>
      <c r="AJ32" s="308">
        <f t="shared" ca="1" si="5"/>
        <v>-1250000</v>
      </c>
      <c r="AK32" s="309">
        <v>0</v>
      </c>
      <c r="AL32" s="309">
        <v>0</v>
      </c>
      <c r="AM32" s="309">
        <f t="shared" si="19"/>
        <v>0</v>
      </c>
      <c r="AN32" s="310">
        <v>0</v>
      </c>
      <c r="AO32" s="310">
        <v>0</v>
      </c>
      <c r="AP32" s="310">
        <f t="shared" si="20"/>
        <v>0</v>
      </c>
      <c r="AQ32" s="309">
        <v>0</v>
      </c>
      <c r="AR32" s="311">
        <f t="shared" ca="1" si="6"/>
        <v>-349193.58402005804</v>
      </c>
      <c r="AS32" s="870">
        <f t="shared" ca="1" si="21"/>
        <v>-10735644.550596682</v>
      </c>
      <c r="AT32" s="822"/>
      <c r="AU32" s="878"/>
      <c r="AV32" s="35"/>
      <c r="AW32" s="879"/>
      <c r="AX32" s="35"/>
      <c r="AY32" s="880"/>
    </row>
    <row r="33" spans="1:51">
      <c r="A33" s="303">
        <v>2024</v>
      </c>
      <c r="B33" s="304">
        <f ca="1">IF($D$3="BAU",UtilityDemand!C26,INDIRECT($D$3&amp;"!B"&amp;ROW(A33))+INDIRECT($D$3&amp;"!D"&amp;ROW(A33)))</f>
        <v>154864.35682839117</v>
      </c>
      <c r="C33" s="305">
        <v>0</v>
      </c>
      <c r="D33" s="306">
        <f t="shared" ca="1" si="7"/>
        <v>0</v>
      </c>
      <c r="E33" s="304">
        <f ca="1">IF($D$3="BAU",UtilityDemand!E26,INDIRECT($D$3&amp;"!E"&amp;ROW(D33))+INDIRECT($D$3&amp;"!G"&amp;ROW(D33)))</f>
        <v>825421.86705396173</v>
      </c>
      <c r="F33" s="305">
        <v>0</v>
      </c>
      <c r="G33" s="306">
        <f t="shared" ca="1" si="8"/>
        <v>0</v>
      </c>
      <c r="H33" s="304">
        <f ca="1">IF($D$3="BAU",UtilityDemand!G26,INDIRECT($D$3&amp;"!H"&amp;ROW(G33))+INDIRECT($D$3&amp;"!J"&amp;ROW(G33)))</f>
        <v>228234.07161109266</v>
      </c>
      <c r="I33" s="305">
        <v>0</v>
      </c>
      <c r="J33" s="306">
        <f t="shared" ca="1" si="22"/>
        <v>0</v>
      </c>
      <c r="K33" s="307">
        <f t="shared" ca="1" si="9"/>
        <v>154864.35682839117</v>
      </c>
      <c r="L33" s="307">
        <f t="shared" si="10"/>
        <v>-50000</v>
      </c>
      <c r="M33" s="307">
        <f>IF($AU$25="ALL",PortfolioDashboard!AD70,$AU$27)</f>
        <v>50000</v>
      </c>
      <c r="N33" s="307">
        <f t="shared" ca="1" si="11"/>
        <v>104864.35682839117</v>
      </c>
      <c r="O33" s="306">
        <f t="shared" ca="1" si="12"/>
        <v>825421.86705396173</v>
      </c>
      <c r="P33" s="306">
        <f t="shared" si="13"/>
        <v>0</v>
      </c>
      <c r="Q33" s="306">
        <v>0</v>
      </c>
      <c r="R33" s="306">
        <f t="shared" ca="1" si="14"/>
        <v>825421.86705396173</v>
      </c>
      <c r="S33" s="818">
        <f t="shared" ca="1" si="15"/>
        <v>228234.07161109266</v>
      </c>
      <c r="T33" s="818">
        <f t="shared" si="16"/>
        <v>0</v>
      </c>
      <c r="U33" s="818">
        <v>0</v>
      </c>
      <c r="V33" s="818">
        <f t="shared" ca="1" si="17"/>
        <v>228234.07161109266</v>
      </c>
      <c r="W33" s="306">
        <f t="shared" si="1"/>
        <v>0</v>
      </c>
      <c r="X33" s="306">
        <f t="shared" ca="1" si="2"/>
        <v>-35512.836256398594</v>
      </c>
      <c r="Y33" s="306">
        <v>0</v>
      </c>
      <c r="Z33" s="306">
        <v>0</v>
      </c>
      <c r="AA33" s="308">
        <f ca="1">-SUM(W33,X33/OFFSET(GridFootprintbyYear,$A33-$A$19,0)*EF_PurchElec_MTperMWh,Z33)*OFFSET(ExposureCalculations!Price_GHG_Allowance_2010,A33-$A$19,0)*ExposureCalculations!D30</f>
        <v>984954.2219494438</v>
      </c>
      <c r="AB33" s="308">
        <f t="shared" ca="1" si="18"/>
        <v>0</v>
      </c>
      <c r="AC33" s="308">
        <f t="shared" ca="1" si="23"/>
        <v>-1250000</v>
      </c>
      <c r="AD33" s="819">
        <f t="shared" ca="1" si="3"/>
        <v>0</v>
      </c>
      <c r="AE33" s="308">
        <v>0</v>
      </c>
      <c r="AF33" s="819">
        <f t="shared" ca="1" si="4"/>
        <v>0</v>
      </c>
      <c r="AG33" s="308">
        <v>0</v>
      </c>
      <c r="AH33" s="308">
        <v>0</v>
      </c>
      <c r="AI33" s="308">
        <v>0</v>
      </c>
      <c r="AJ33" s="308">
        <f t="shared" ca="1" si="5"/>
        <v>-1250000</v>
      </c>
      <c r="AK33" s="309">
        <v>0</v>
      </c>
      <c r="AL33" s="309">
        <v>0</v>
      </c>
      <c r="AM33" s="309">
        <f t="shared" si="19"/>
        <v>0</v>
      </c>
      <c r="AN33" s="310">
        <v>0</v>
      </c>
      <c r="AO33" s="310">
        <v>0</v>
      </c>
      <c r="AP33" s="310">
        <f t="shared" si="20"/>
        <v>0</v>
      </c>
      <c r="AQ33" s="309">
        <v>0</v>
      </c>
      <c r="AR33" s="311">
        <f t="shared" ca="1" si="6"/>
        <v>-265045.7780505562</v>
      </c>
      <c r="AS33" s="870">
        <f t="shared" ca="1" si="21"/>
        <v>-11000690.328647239</v>
      </c>
      <c r="AT33" s="822"/>
      <c r="AU33" s="878"/>
      <c r="AV33" s="35"/>
      <c r="AW33" s="879"/>
      <c r="AX33" s="35"/>
      <c r="AY33" s="880"/>
    </row>
    <row r="34" spans="1:51">
      <c r="A34" s="303">
        <v>2025</v>
      </c>
      <c r="B34" s="304">
        <f ca="1">IF($D$3="BAU",UtilityDemand!C27,INDIRECT($D$3&amp;"!B"&amp;ROW(A34))+INDIRECT($D$3&amp;"!D"&amp;ROW(A34)))</f>
        <v>156440.98242924322</v>
      </c>
      <c r="C34" s="305">
        <v>0</v>
      </c>
      <c r="D34" s="306">
        <f t="shared" ca="1" si="7"/>
        <v>0</v>
      </c>
      <c r="E34" s="304">
        <f ca="1">IF($D$3="BAU",UtilityDemand!E27,INDIRECT($D$3&amp;"!E"&amp;ROW(D34))+INDIRECT($D$3&amp;"!G"&amp;ROW(D34)))</f>
        <v>833808.46618363715</v>
      </c>
      <c r="F34" s="305">
        <v>0</v>
      </c>
      <c r="G34" s="306">
        <f t="shared" ca="1" si="8"/>
        <v>0</v>
      </c>
      <c r="H34" s="304">
        <f ca="1">IF($D$3="BAU",UtilityDemand!G27,INDIRECT($D$3&amp;"!H"&amp;ROW(G34))+INDIRECT($D$3&amp;"!J"&amp;ROW(G34)))</f>
        <v>231298.6061736964</v>
      </c>
      <c r="I34" s="305">
        <v>0</v>
      </c>
      <c r="J34" s="306">
        <f t="shared" ca="1" si="22"/>
        <v>0</v>
      </c>
      <c r="K34" s="307">
        <f t="shared" ca="1" si="9"/>
        <v>156440.98242924322</v>
      </c>
      <c r="L34" s="307">
        <f t="shared" si="10"/>
        <v>-50000</v>
      </c>
      <c r="M34" s="307">
        <f>IF($AU$25="ALL",PortfolioDashboard!AD71,$AU$27)</f>
        <v>50000</v>
      </c>
      <c r="N34" s="307">
        <f t="shared" ca="1" si="11"/>
        <v>106440.98242924322</v>
      </c>
      <c r="O34" s="306">
        <f t="shared" ca="1" si="12"/>
        <v>833808.46618363715</v>
      </c>
      <c r="P34" s="306">
        <f t="shared" si="13"/>
        <v>0</v>
      </c>
      <c r="Q34" s="306">
        <v>0</v>
      </c>
      <c r="R34" s="306">
        <f t="shared" ca="1" si="14"/>
        <v>833808.46618363715</v>
      </c>
      <c r="S34" s="818">
        <f t="shared" ca="1" si="15"/>
        <v>231298.6061736964</v>
      </c>
      <c r="T34" s="818">
        <f t="shared" si="16"/>
        <v>0</v>
      </c>
      <c r="U34" s="818">
        <v>0</v>
      </c>
      <c r="V34" s="818">
        <f t="shared" ca="1" si="17"/>
        <v>231298.6061736964</v>
      </c>
      <c r="W34" s="306">
        <f t="shared" si="1"/>
        <v>0</v>
      </c>
      <c r="X34" s="306">
        <f t="shared" ca="1" si="2"/>
        <v>-35512.836256398594</v>
      </c>
      <c r="Y34" s="306">
        <v>0</v>
      </c>
      <c r="Z34" s="306">
        <v>0</v>
      </c>
      <c r="AA34" s="308">
        <f ca="1">-SUM(W34,X34/OFFSET(GridFootprintbyYear,$A34-$A$19,0)*EF_PurchElec_MTperMWh,Z34)*OFFSET(ExposureCalculations!Price_GHG_Allowance_2010,A34-$A$19,0)*ExposureCalculations!D31</f>
        <v>1071673.5018456003</v>
      </c>
      <c r="AB34" s="308">
        <f t="shared" ca="1" si="18"/>
        <v>0</v>
      </c>
      <c r="AC34" s="308">
        <f t="shared" ca="1" si="23"/>
        <v>-1250000</v>
      </c>
      <c r="AD34" s="819">
        <f t="shared" ca="1" si="3"/>
        <v>0</v>
      </c>
      <c r="AE34" s="308">
        <v>0</v>
      </c>
      <c r="AF34" s="819">
        <f t="shared" ca="1" si="4"/>
        <v>0</v>
      </c>
      <c r="AG34" s="308">
        <v>0</v>
      </c>
      <c r="AH34" s="308">
        <v>0</v>
      </c>
      <c r="AI34" s="308">
        <v>0</v>
      </c>
      <c r="AJ34" s="308">
        <f t="shared" ca="1" si="5"/>
        <v>-1250000</v>
      </c>
      <c r="AK34" s="309">
        <v>0</v>
      </c>
      <c r="AL34" s="309">
        <v>0</v>
      </c>
      <c r="AM34" s="309">
        <f t="shared" si="19"/>
        <v>0</v>
      </c>
      <c r="AN34" s="310">
        <v>0</v>
      </c>
      <c r="AO34" s="310">
        <v>0</v>
      </c>
      <c r="AP34" s="310">
        <f t="shared" si="20"/>
        <v>0</v>
      </c>
      <c r="AQ34" s="309">
        <v>0</v>
      </c>
      <c r="AR34" s="311">
        <f t="shared" ca="1" si="6"/>
        <v>-178326.49815439968</v>
      </c>
      <c r="AS34" s="870">
        <f t="shared" ca="1" si="21"/>
        <v>-11179016.826801639</v>
      </c>
      <c r="AT34" s="822"/>
      <c r="AU34" s="878"/>
      <c r="AV34" s="35"/>
      <c r="AW34" s="879"/>
      <c r="AX34" s="35"/>
      <c r="AY34" s="880"/>
    </row>
    <row r="35" spans="1:51">
      <c r="A35" s="303">
        <v>2026</v>
      </c>
      <c r="B35" s="304">
        <f ca="1">IF($D$3="BAU",UtilityDemand!C28,INDIRECT($D$3&amp;"!B"&amp;ROW(A35))+INDIRECT($D$3&amp;"!D"&amp;ROW(A35)))</f>
        <v>158017.60803009526</v>
      </c>
      <c r="C35" s="305">
        <v>0</v>
      </c>
      <c r="D35" s="306">
        <f t="shared" ca="1" si="7"/>
        <v>0</v>
      </c>
      <c r="E35" s="304">
        <f ca="1">IF($D$3="BAU",UtilityDemand!E28,INDIRECT($D$3&amp;"!E"&amp;ROW(D35))+INDIRECT($D$3&amp;"!G"&amp;ROW(D35)))</f>
        <v>842195.06531331246</v>
      </c>
      <c r="F35" s="305">
        <v>0</v>
      </c>
      <c r="G35" s="306">
        <f t="shared" ca="1" si="8"/>
        <v>0</v>
      </c>
      <c r="H35" s="304">
        <f ca="1">IF($D$3="BAU",UtilityDemand!G28,INDIRECT($D$3&amp;"!H"&amp;ROW(G35))+INDIRECT($D$3&amp;"!J"&amp;ROW(G35)))</f>
        <v>234363.14073630009</v>
      </c>
      <c r="I35" s="305">
        <v>0</v>
      </c>
      <c r="J35" s="306">
        <f t="shared" ca="1" si="22"/>
        <v>0</v>
      </c>
      <c r="K35" s="307">
        <f t="shared" ca="1" si="9"/>
        <v>158017.60803009526</v>
      </c>
      <c r="L35" s="307">
        <f t="shared" si="10"/>
        <v>-50000</v>
      </c>
      <c r="M35" s="307">
        <f>IF($AU$25="ALL",PortfolioDashboard!AD72,$AU$27)</f>
        <v>50000</v>
      </c>
      <c r="N35" s="307">
        <f t="shared" ca="1" si="11"/>
        <v>108017.60803009526</v>
      </c>
      <c r="O35" s="306">
        <f t="shared" ca="1" si="12"/>
        <v>842195.06531331246</v>
      </c>
      <c r="P35" s="306">
        <f t="shared" si="13"/>
        <v>0</v>
      </c>
      <c r="Q35" s="306">
        <v>0</v>
      </c>
      <c r="R35" s="306">
        <f t="shared" ca="1" si="14"/>
        <v>842195.06531331246</v>
      </c>
      <c r="S35" s="818">
        <f t="shared" ca="1" si="15"/>
        <v>234363.14073630009</v>
      </c>
      <c r="T35" s="818">
        <f t="shared" si="16"/>
        <v>0</v>
      </c>
      <c r="U35" s="818">
        <v>0</v>
      </c>
      <c r="V35" s="818">
        <f t="shared" ca="1" si="17"/>
        <v>234363.14073630009</v>
      </c>
      <c r="W35" s="306">
        <f t="shared" si="1"/>
        <v>0</v>
      </c>
      <c r="X35" s="306">
        <f t="shared" ca="1" si="2"/>
        <v>-35512.836256398594</v>
      </c>
      <c r="Y35" s="306">
        <v>0</v>
      </c>
      <c r="Z35" s="306">
        <v>0</v>
      </c>
      <c r="AA35" s="308">
        <f ca="1">-SUM(W35,X35/OFFSET(GridFootprintbyYear,$A35-$A$19,0)*EF_PurchElec_MTperMWh,Z35)*OFFSET(ExposureCalculations!Price_GHG_Allowance_2010,A35-$A$19,0)*ExposureCalculations!D32</f>
        <v>1169702.8652781448</v>
      </c>
      <c r="AB35" s="308">
        <f t="shared" ca="1" si="18"/>
        <v>0</v>
      </c>
      <c r="AC35" s="308">
        <f t="shared" ca="1" si="23"/>
        <v>-1250000</v>
      </c>
      <c r="AD35" s="819">
        <f t="shared" ca="1" si="3"/>
        <v>0</v>
      </c>
      <c r="AE35" s="308">
        <v>0</v>
      </c>
      <c r="AF35" s="819">
        <f t="shared" ca="1" si="4"/>
        <v>0</v>
      </c>
      <c r="AG35" s="308">
        <v>0</v>
      </c>
      <c r="AH35" s="308">
        <v>0</v>
      </c>
      <c r="AI35" s="308">
        <v>0</v>
      </c>
      <c r="AJ35" s="308">
        <f t="shared" ca="1" si="5"/>
        <v>-1250000</v>
      </c>
      <c r="AK35" s="309">
        <v>0</v>
      </c>
      <c r="AL35" s="309">
        <v>0</v>
      </c>
      <c r="AM35" s="309">
        <f t="shared" si="19"/>
        <v>0</v>
      </c>
      <c r="AN35" s="310">
        <v>0</v>
      </c>
      <c r="AO35" s="310">
        <v>0</v>
      </c>
      <c r="AP35" s="310">
        <f t="shared" si="20"/>
        <v>0</v>
      </c>
      <c r="AQ35" s="309">
        <v>0</v>
      </c>
      <c r="AR35" s="311">
        <f t="shared" ca="1" si="6"/>
        <v>-80297.134721855167</v>
      </c>
      <c r="AS35" s="870">
        <f t="shared" ca="1" si="21"/>
        <v>-11259313.961523494</v>
      </c>
      <c r="AT35" s="822"/>
      <c r="AU35" s="878"/>
      <c r="AV35" s="35"/>
      <c r="AW35" s="879"/>
      <c r="AX35" s="35"/>
      <c r="AY35" s="880"/>
    </row>
    <row r="36" spans="1:51">
      <c r="A36" s="303">
        <v>2027</v>
      </c>
      <c r="B36" s="304">
        <f ca="1">IF($D$3="BAU",UtilityDemand!C29,INDIRECT($D$3&amp;"!B"&amp;ROW(A36))+INDIRECT($D$3&amp;"!D"&amp;ROW(A36)))</f>
        <v>159594.23363094722</v>
      </c>
      <c r="C36" s="305">
        <v>0</v>
      </c>
      <c r="D36" s="306">
        <f t="shared" ca="1" si="7"/>
        <v>0</v>
      </c>
      <c r="E36" s="304">
        <f ca="1">IF($D$3="BAU",UtilityDemand!E29,INDIRECT($D$3&amp;"!E"&amp;ROW(D36))+INDIRECT($D$3&amp;"!G"&amp;ROW(D36)))</f>
        <v>850581.66444298776</v>
      </c>
      <c r="F36" s="305">
        <v>0</v>
      </c>
      <c r="G36" s="306">
        <f t="shared" ca="1" si="8"/>
        <v>0</v>
      </c>
      <c r="H36" s="304">
        <f ca="1">IF($D$3="BAU",UtilityDemand!G29,INDIRECT($D$3&amp;"!H"&amp;ROW(G36))+INDIRECT($D$3&amp;"!J"&amp;ROW(G36)))</f>
        <v>237427.67529890378</v>
      </c>
      <c r="I36" s="305">
        <v>0</v>
      </c>
      <c r="J36" s="306">
        <f t="shared" ca="1" si="22"/>
        <v>0</v>
      </c>
      <c r="K36" s="307">
        <f t="shared" ca="1" si="9"/>
        <v>159594.23363094722</v>
      </c>
      <c r="L36" s="307">
        <f t="shared" si="10"/>
        <v>-50000</v>
      </c>
      <c r="M36" s="307">
        <f>IF($AU$25="ALL",PortfolioDashboard!AD73,$AU$27)</f>
        <v>50000</v>
      </c>
      <c r="N36" s="307">
        <f t="shared" ca="1" si="11"/>
        <v>109594.23363094722</v>
      </c>
      <c r="O36" s="306">
        <f t="shared" ca="1" si="12"/>
        <v>850581.66444298776</v>
      </c>
      <c r="P36" s="306">
        <f t="shared" si="13"/>
        <v>0</v>
      </c>
      <c r="Q36" s="306">
        <v>0</v>
      </c>
      <c r="R36" s="306">
        <f t="shared" ca="1" si="14"/>
        <v>850581.66444298776</v>
      </c>
      <c r="S36" s="818">
        <f t="shared" ca="1" si="15"/>
        <v>237427.67529890378</v>
      </c>
      <c r="T36" s="818">
        <f t="shared" si="16"/>
        <v>0</v>
      </c>
      <c r="U36" s="818">
        <v>0</v>
      </c>
      <c r="V36" s="818">
        <f t="shared" ca="1" si="17"/>
        <v>237427.67529890378</v>
      </c>
      <c r="W36" s="306">
        <f t="shared" si="1"/>
        <v>0</v>
      </c>
      <c r="X36" s="306">
        <f t="shared" ca="1" si="2"/>
        <v>-35512.836256398594</v>
      </c>
      <c r="Y36" s="306">
        <v>0</v>
      </c>
      <c r="Z36" s="306">
        <v>0</v>
      </c>
      <c r="AA36" s="308">
        <f ca="1">-SUM(W36,X36/OFFSET(GridFootprintbyYear,$A36-$A$19,0)*EF_PurchElec_MTperMWh,Z36)*OFFSET(ExposureCalculations!Price_GHG_Allowance_2010,A36-$A$19,0)*ExposureCalculations!D33</f>
        <v>1270775.682533825</v>
      </c>
      <c r="AB36" s="308">
        <f t="shared" ca="1" si="18"/>
        <v>0</v>
      </c>
      <c r="AC36" s="308">
        <f t="shared" ca="1" si="23"/>
        <v>-1250000</v>
      </c>
      <c r="AD36" s="819">
        <f t="shared" ca="1" si="3"/>
        <v>0</v>
      </c>
      <c r="AE36" s="308">
        <v>0</v>
      </c>
      <c r="AF36" s="819">
        <f t="shared" ca="1" si="4"/>
        <v>0</v>
      </c>
      <c r="AG36" s="308">
        <v>0</v>
      </c>
      <c r="AH36" s="308">
        <v>0</v>
      </c>
      <c r="AI36" s="308">
        <v>0</v>
      </c>
      <c r="AJ36" s="308">
        <f t="shared" ca="1" si="5"/>
        <v>-1250000</v>
      </c>
      <c r="AK36" s="309">
        <v>0</v>
      </c>
      <c r="AL36" s="309">
        <v>0</v>
      </c>
      <c r="AM36" s="309">
        <f t="shared" si="19"/>
        <v>0</v>
      </c>
      <c r="AN36" s="310">
        <v>0</v>
      </c>
      <c r="AO36" s="310">
        <v>0</v>
      </c>
      <c r="AP36" s="310">
        <f t="shared" si="20"/>
        <v>0</v>
      </c>
      <c r="AQ36" s="309">
        <v>0</v>
      </c>
      <c r="AR36" s="311">
        <f t="shared" ca="1" si="6"/>
        <v>20775.682533825049</v>
      </c>
      <c r="AS36" s="870">
        <f t="shared" ca="1" si="21"/>
        <v>-11238538.278989669</v>
      </c>
      <c r="AT36" s="822"/>
      <c r="AU36" s="878"/>
      <c r="AV36" s="35"/>
      <c r="AW36" s="879"/>
      <c r="AX36" s="35"/>
      <c r="AY36" s="880"/>
    </row>
    <row r="37" spans="1:51">
      <c r="A37" s="303">
        <v>2028</v>
      </c>
      <c r="B37" s="304">
        <f ca="1">IF($D$3="BAU",UtilityDemand!C30,INDIRECT($D$3&amp;"!B"&amp;ROW(A37))+INDIRECT($D$3&amp;"!D"&amp;ROW(A37)))</f>
        <v>161170.85923179929</v>
      </c>
      <c r="C37" s="305">
        <v>0</v>
      </c>
      <c r="D37" s="306">
        <f t="shared" ca="1" si="7"/>
        <v>0</v>
      </c>
      <c r="E37" s="304">
        <f ca="1">IF($D$3="BAU",UtilityDemand!E30,INDIRECT($D$3&amp;"!E"&amp;ROW(D37))+INDIRECT($D$3&amp;"!G"&amp;ROW(D37)))</f>
        <v>858968.26357266307</v>
      </c>
      <c r="F37" s="305">
        <v>0</v>
      </c>
      <c r="G37" s="306">
        <f t="shared" ca="1" si="8"/>
        <v>0</v>
      </c>
      <c r="H37" s="304">
        <f ca="1">IF($D$3="BAU",UtilityDemand!G30,INDIRECT($D$3&amp;"!H"&amp;ROW(G37))+INDIRECT($D$3&amp;"!J"&amp;ROW(G37)))</f>
        <v>240492.20986150744</v>
      </c>
      <c r="I37" s="305">
        <v>0</v>
      </c>
      <c r="J37" s="306">
        <f t="shared" ca="1" si="22"/>
        <v>0</v>
      </c>
      <c r="K37" s="307">
        <f t="shared" ca="1" si="9"/>
        <v>161170.85923179929</v>
      </c>
      <c r="L37" s="307">
        <f t="shared" si="10"/>
        <v>-50000</v>
      </c>
      <c r="M37" s="307">
        <f>IF($AU$25="ALL",PortfolioDashboard!AD74,$AU$27)</f>
        <v>50000</v>
      </c>
      <c r="N37" s="307">
        <f t="shared" ca="1" si="11"/>
        <v>111170.85923179929</v>
      </c>
      <c r="O37" s="306">
        <f t="shared" ca="1" si="12"/>
        <v>858968.26357266307</v>
      </c>
      <c r="P37" s="306">
        <f t="shared" si="13"/>
        <v>0</v>
      </c>
      <c r="Q37" s="306">
        <v>0</v>
      </c>
      <c r="R37" s="306">
        <f t="shared" ca="1" si="14"/>
        <v>858968.26357266307</v>
      </c>
      <c r="S37" s="818">
        <f t="shared" ca="1" si="15"/>
        <v>240492.20986150744</v>
      </c>
      <c r="T37" s="818">
        <f t="shared" si="16"/>
        <v>0</v>
      </c>
      <c r="U37" s="818">
        <v>0</v>
      </c>
      <c r="V37" s="818">
        <f t="shared" ca="1" si="17"/>
        <v>240492.20986150744</v>
      </c>
      <c r="W37" s="306">
        <f t="shared" si="1"/>
        <v>0</v>
      </c>
      <c r="X37" s="306">
        <f t="shared" ca="1" si="2"/>
        <v>-35512.836256398594</v>
      </c>
      <c r="Y37" s="306">
        <v>0</v>
      </c>
      <c r="Z37" s="306">
        <v>0</v>
      </c>
      <c r="AA37" s="308">
        <f ca="1">-SUM(W37,X37/OFFSET(GridFootprintbyYear,$A37-$A$19,0)*EF_PurchElec_MTperMWh,Z37)*OFFSET(ExposureCalculations!Price_GHG_Allowance_2010,A37-$A$19,0)*ExposureCalculations!D34</f>
        <v>1374744.1951013333</v>
      </c>
      <c r="AB37" s="308">
        <f t="shared" ca="1" si="18"/>
        <v>0</v>
      </c>
      <c r="AC37" s="308">
        <f t="shared" ca="1" si="23"/>
        <v>-1250000</v>
      </c>
      <c r="AD37" s="819">
        <f t="shared" ca="1" si="3"/>
        <v>0</v>
      </c>
      <c r="AE37" s="308">
        <v>0</v>
      </c>
      <c r="AF37" s="819">
        <f t="shared" ca="1" si="4"/>
        <v>0</v>
      </c>
      <c r="AG37" s="308">
        <v>0</v>
      </c>
      <c r="AH37" s="308">
        <v>0</v>
      </c>
      <c r="AI37" s="308">
        <v>0</v>
      </c>
      <c r="AJ37" s="308">
        <f t="shared" ca="1" si="5"/>
        <v>-1250000</v>
      </c>
      <c r="AK37" s="309">
        <v>0</v>
      </c>
      <c r="AL37" s="309">
        <v>0</v>
      </c>
      <c r="AM37" s="309">
        <f t="shared" si="19"/>
        <v>0</v>
      </c>
      <c r="AN37" s="310">
        <v>0</v>
      </c>
      <c r="AO37" s="310">
        <v>0</v>
      </c>
      <c r="AP37" s="310">
        <f t="shared" si="20"/>
        <v>0</v>
      </c>
      <c r="AQ37" s="309">
        <v>0</v>
      </c>
      <c r="AR37" s="311">
        <f t="shared" ca="1" si="6"/>
        <v>124744.19510133332</v>
      </c>
      <c r="AS37" s="870">
        <f t="shared" ca="1" si="21"/>
        <v>-11113794.083888335</v>
      </c>
      <c r="AT37" s="822"/>
      <c r="AU37" s="878"/>
      <c r="AV37" s="35"/>
      <c r="AW37" s="879"/>
      <c r="AX37" s="35"/>
      <c r="AY37" s="880"/>
    </row>
    <row r="38" spans="1:51">
      <c r="A38" s="303">
        <v>2029</v>
      </c>
      <c r="B38" s="304">
        <f ca="1">IF($D$3="BAU",UtilityDemand!C31,INDIRECT($D$3&amp;"!B"&amp;ROW(A38))+INDIRECT($D$3&amp;"!D"&amp;ROW(A38)))</f>
        <v>162747.48483265133</v>
      </c>
      <c r="C38" s="305">
        <v>0</v>
      </c>
      <c r="D38" s="306">
        <f t="shared" ca="1" si="7"/>
        <v>0</v>
      </c>
      <c r="E38" s="304">
        <f ca="1">IF($D$3="BAU",UtilityDemand!E31,INDIRECT($D$3&amp;"!E"&amp;ROW(D38))+INDIRECT($D$3&amp;"!G"&amp;ROW(D38)))</f>
        <v>867354.86270233872</v>
      </c>
      <c r="F38" s="305">
        <v>0</v>
      </c>
      <c r="G38" s="306">
        <f t="shared" ca="1" si="8"/>
        <v>0</v>
      </c>
      <c r="H38" s="304">
        <f ca="1">IF($D$3="BAU",UtilityDemand!G31,INDIRECT($D$3&amp;"!H"&amp;ROW(G38))+INDIRECT($D$3&amp;"!J"&amp;ROW(G38)))</f>
        <v>243556.74442411118</v>
      </c>
      <c r="I38" s="305">
        <v>0</v>
      </c>
      <c r="J38" s="306">
        <f t="shared" ca="1" si="22"/>
        <v>0</v>
      </c>
      <c r="K38" s="307">
        <f t="shared" ca="1" si="9"/>
        <v>162747.48483265133</v>
      </c>
      <c r="L38" s="307">
        <f t="shared" si="10"/>
        <v>-50000</v>
      </c>
      <c r="M38" s="307">
        <f>IF($AU$25="ALL",PortfolioDashboard!AD75,$AU$27)</f>
        <v>50000</v>
      </c>
      <c r="N38" s="307">
        <f t="shared" ca="1" si="11"/>
        <v>112747.48483265133</v>
      </c>
      <c r="O38" s="306">
        <f t="shared" ca="1" si="12"/>
        <v>867354.86270233872</v>
      </c>
      <c r="P38" s="306">
        <f t="shared" si="13"/>
        <v>0</v>
      </c>
      <c r="Q38" s="306">
        <v>0</v>
      </c>
      <c r="R38" s="306">
        <f t="shared" ca="1" si="14"/>
        <v>867354.86270233872</v>
      </c>
      <c r="S38" s="818">
        <f t="shared" ca="1" si="15"/>
        <v>243556.74442411118</v>
      </c>
      <c r="T38" s="818">
        <f t="shared" si="16"/>
        <v>0</v>
      </c>
      <c r="U38" s="818">
        <v>0</v>
      </c>
      <c r="V38" s="818">
        <f t="shared" ca="1" si="17"/>
        <v>243556.74442411118</v>
      </c>
      <c r="W38" s="306">
        <f t="shared" si="1"/>
        <v>0</v>
      </c>
      <c r="X38" s="306">
        <f t="shared" ca="1" si="2"/>
        <v>-35512.836256398594</v>
      </c>
      <c r="Y38" s="306">
        <v>0</v>
      </c>
      <c r="Z38" s="306">
        <v>0</v>
      </c>
      <c r="AA38" s="308">
        <f ca="1">-SUM(W38,X38/OFFSET(GridFootprintbyYear,$A38-$A$19,0)*EF_PurchElec_MTperMWh,Z38)*OFFSET(ExposureCalculations!Price_GHG_Allowance_2010,A38-$A$19,0)*ExposureCalculations!D35</f>
        <v>1481461.4370481102</v>
      </c>
      <c r="AB38" s="308">
        <f t="shared" ca="1" si="18"/>
        <v>0</v>
      </c>
      <c r="AC38" s="308">
        <f t="shared" ca="1" si="23"/>
        <v>-1250000</v>
      </c>
      <c r="AD38" s="819">
        <f t="shared" ca="1" si="3"/>
        <v>0</v>
      </c>
      <c r="AE38" s="308">
        <v>0</v>
      </c>
      <c r="AF38" s="819">
        <f t="shared" ca="1" si="4"/>
        <v>0</v>
      </c>
      <c r="AG38" s="308">
        <v>0</v>
      </c>
      <c r="AH38" s="308">
        <v>0</v>
      </c>
      <c r="AI38" s="308">
        <v>0</v>
      </c>
      <c r="AJ38" s="308">
        <f t="shared" ca="1" si="5"/>
        <v>-1250000</v>
      </c>
      <c r="AK38" s="309">
        <v>0</v>
      </c>
      <c r="AL38" s="309">
        <v>0</v>
      </c>
      <c r="AM38" s="309">
        <f t="shared" si="19"/>
        <v>0</v>
      </c>
      <c r="AN38" s="310">
        <v>0</v>
      </c>
      <c r="AO38" s="310">
        <v>0</v>
      </c>
      <c r="AP38" s="310">
        <f t="shared" si="20"/>
        <v>0</v>
      </c>
      <c r="AQ38" s="309">
        <v>0</v>
      </c>
      <c r="AR38" s="311">
        <f t="shared" ca="1" si="6"/>
        <v>231461.43704811018</v>
      </c>
      <c r="AS38" s="870">
        <f t="shared" ca="1" si="21"/>
        <v>-10882332.646840226</v>
      </c>
      <c r="AT38" s="822"/>
      <c r="AU38" s="878"/>
      <c r="AV38" s="35"/>
      <c r="AW38" s="879"/>
      <c r="AX38" s="35"/>
      <c r="AY38" s="880"/>
    </row>
    <row r="39" spans="1:51">
      <c r="A39" s="303">
        <v>2030</v>
      </c>
      <c r="B39" s="304">
        <f ca="1">IF($D$3="BAU",UtilityDemand!C32,INDIRECT($D$3&amp;"!B"&amp;ROW(A39))+INDIRECT($D$3&amp;"!D"&amp;ROW(A39)))</f>
        <v>164324.11043350337</v>
      </c>
      <c r="C39" s="305">
        <v>0</v>
      </c>
      <c r="D39" s="306">
        <f t="shared" ca="1" si="7"/>
        <v>0</v>
      </c>
      <c r="E39" s="304">
        <f ca="1">IF($D$3="BAU",UtilityDemand!E32,INDIRECT($D$3&amp;"!E"&amp;ROW(D39))+INDIRECT($D$3&amp;"!G"&amp;ROW(D39)))</f>
        <v>875741.46183201415</v>
      </c>
      <c r="F39" s="305">
        <v>0</v>
      </c>
      <c r="G39" s="306">
        <f t="shared" ca="1" si="8"/>
        <v>0</v>
      </c>
      <c r="H39" s="304">
        <f ca="1">IF($D$3="BAU",UtilityDemand!G32,INDIRECT($D$3&amp;"!H"&amp;ROW(G39))+INDIRECT($D$3&amp;"!J"&amp;ROW(G39)))</f>
        <v>246621.27898671487</v>
      </c>
      <c r="I39" s="305">
        <v>0</v>
      </c>
      <c r="J39" s="306">
        <f t="shared" ca="1" si="22"/>
        <v>0</v>
      </c>
      <c r="K39" s="307">
        <f t="shared" ca="1" si="9"/>
        <v>164324.11043350337</v>
      </c>
      <c r="L39" s="307">
        <f t="shared" si="10"/>
        <v>-50000</v>
      </c>
      <c r="M39" s="307">
        <f>IF($AU$25="ALL",PortfolioDashboard!AD76,$AU$27)</f>
        <v>50000</v>
      </c>
      <c r="N39" s="307">
        <f t="shared" ca="1" si="11"/>
        <v>114324.11043350337</v>
      </c>
      <c r="O39" s="306">
        <f t="shared" ca="1" si="12"/>
        <v>875741.46183201415</v>
      </c>
      <c r="P39" s="306">
        <f t="shared" si="13"/>
        <v>0</v>
      </c>
      <c r="Q39" s="306">
        <v>0</v>
      </c>
      <c r="R39" s="306">
        <f t="shared" ca="1" si="14"/>
        <v>875741.46183201415</v>
      </c>
      <c r="S39" s="818">
        <f t="shared" ca="1" si="15"/>
        <v>246621.27898671487</v>
      </c>
      <c r="T39" s="818">
        <f t="shared" si="16"/>
        <v>0</v>
      </c>
      <c r="U39" s="818">
        <v>0</v>
      </c>
      <c r="V39" s="818">
        <f t="shared" ca="1" si="17"/>
        <v>246621.27898671487</v>
      </c>
      <c r="W39" s="306">
        <f t="shared" si="1"/>
        <v>0</v>
      </c>
      <c r="X39" s="306">
        <f t="shared" ca="1" si="2"/>
        <v>-35512.836256398594</v>
      </c>
      <c r="Y39" s="306">
        <v>0</v>
      </c>
      <c r="Z39" s="306">
        <v>0</v>
      </c>
      <c r="AA39" s="308">
        <f ca="1">-SUM(W39,X39/OFFSET(GridFootprintbyYear,$A39-$A$19,0)*EF_PurchElec_MTperMWh,Z39)*OFFSET(ExposureCalculations!Price_GHG_Allowance_2010,A39-$A$19,0)*ExposureCalculations!D36</f>
        <v>1590781.2200093784</v>
      </c>
      <c r="AB39" s="308">
        <f t="shared" ca="1" si="18"/>
        <v>0</v>
      </c>
      <c r="AC39" s="308">
        <f t="shared" ca="1" si="23"/>
        <v>-1250000</v>
      </c>
      <c r="AD39" s="819">
        <f t="shared" ca="1" si="3"/>
        <v>0</v>
      </c>
      <c r="AE39" s="308">
        <v>0</v>
      </c>
      <c r="AF39" s="819">
        <f t="shared" ca="1" si="4"/>
        <v>0</v>
      </c>
      <c r="AG39" s="308">
        <v>0</v>
      </c>
      <c r="AH39" s="308">
        <v>0</v>
      </c>
      <c r="AI39" s="308">
        <v>0</v>
      </c>
      <c r="AJ39" s="308">
        <f t="shared" ca="1" si="5"/>
        <v>-1250000</v>
      </c>
      <c r="AK39" s="309">
        <v>0</v>
      </c>
      <c r="AL39" s="309">
        <v>0</v>
      </c>
      <c r="AM39" s="309">
        <f t="shared" si="19"/>
        <v>0</v>
      </c>
      <c r="AN39" s="310">
        <v>0</v>
      </c>
      <c r="AO39" s="310">
        <v>0</v>
      </c>
      <c r="AP39" s="310">
        <f t="shared" si="20"/>
        <v>0</v>
      </c>
      <c r="AQ39" s="309">
        <v>0</v>
      </c>
      <c r="AR39" s="311">
        <f t="shared" ca="1" si="6"/>
        <v>340781.22000937839</v>
      </c>
      <c r="AS39" s="870">
        <f t="shared" ca="1" si="21"/>
        <v>-10541551.426830847</v>
      </c>
      <c r="AT39" s="822"/>
      <c r="AU39" s="878"/>
      <c r="AV39" s="35"/>
      <c r="AW39" s="879"/>
      <c r="AX39" s="35"/>
      <c r="AY39" s="880"/>
    </row>
    <row r="40" spans="1:51">
      <c r="A40" s="303">
        <v>2031</v>
      </c>
      <c r="B40" s="304">
        <f ca="1">IF($D$3="BAU",UtilityDemand!C33,INDIRECT($D$3&amp;"!B"&amp;ROW(A40))+INDIRECT($D$3&amp;"!D"&amp;ROW(A40)))</f>
        <v>165900.73603435536</v>
      </c>
      <c r="C40" s="305">
        <v>0</v>
      </c>
      <c r="D40" s="306">
        <f t="shared" ca="1" si="7"/>
        <v>0</v>
      </c>
      <c r="E40" s="304">
        <f ca="1">IF($D$3="BAU",UtilityDemand!E33,INDIRECT($D$3&amp;"!E"&amp;ROW(D40))+INDIRECT($D$3&amp;"!G"&amp;ROW(D40)))</f>
        <v>884128.06096168945</v>
      </c>
      <c r="F40" s="305">
        <v>0</v>
      </c>
      <c r="G40" s="306">
        <f t="shared" ca="1" si="8"/>
        <v>0</v>
      </c>
      <c r="H40" s="304">
        <f ca="1">IF($D$3="BAU",UtilityDemand!G33,INDIRECT($D$3&amp;"!H"&amp;ROW(G40))+INDIRECT($D$3&amp;"!J"&amp;ROW(G40)))</f>
        <v>249685.81354931853</v>
      </c>
      <c r="I40" s="305">
        <v>0</v>
      </c>
      <c r="J40" s="306">
        <f t="shared" ca="1" si="22"/>
        <v>0</v>
      </c>
      <c r="K40" s="307">
        <f t="shared" ca="1" si="9"/>
        <v>165900.73603435536</v>
      </c>
      <c r="L40" s="307">
        <f t="shared" si="10"/>
        <v>-50000</v>
      </c>
      <c r="M40" s="307">
        <f>IF($AU$25="ALL",PortfolioDashboard!AD77,$AU$27)</f>
        <v>50000</v>
      </c>
      <c r="N40" s="307">
        <f t="shared" ca="1" si="11"/>
        <v>115900.73603435536</v>
      </c>
      <c r="O40" s="306">
        <f t="shared" ca="1" si="12"/>
        <v>884128.06096168945</v>
      </c>
      <c r="P40" s="306">
        <f t="shared" si="13"/>
        <v>0</v>
      </c>
      <c r="Q40" s="306">
        <v>0</v>
      </c>
      <c r="R40" s="306">
        <f t="shared" ca="1" si="14"/>
        <v>884128.06096168945</v>
      </c>
      <c r="S40" s="818">
        <f t="shared" ca="1" si="15"/>
        <v>249685.81354931853</v>
      </c>
      <c r="T40" s="818">
        <f t="shared" si="16"/>
        <v>0</v>
      </c>
      <c r="U40" s="818">
        <v>0</v>
      </c>
      <c r="V40" s="818">
        <f t="shared" ca="1" si="17"/>
        <v>249685.81354931853</v>
      </c>
      <c r="W40" s="306">
        <f t="shared" si="1"/>
        <v>0</v>
      </c>
      <c r="X40" s="306">
        <f t="shared" ca="1" si="2"/>
        <v>-35512.836256398594</v>
      </c>
      <c r="Y40" s="306">
        <v>0</v>
      </c>
      <c r="Z40" s="306">
        <v>0</v>
      </c>
      <c r="AA40" s="308">
        <f ca="1">-SUM(W40,X40/OFFSET(GridFootprintbyYear,$A40-$A$19,0)*EF_PurchElec_MTperMWh,Z40)*OFFSET(ExposureCalculations!Price_GHG_Allowance_2010,A40-$A$19,0)*ExposureCalculations!D37</f>
        <v>1715962.8811177982</v>
      </c>
      <c r="AB40" s="308">
        <f t="shared" ca="1" si="18"/>
        <v>0</v>
      </c>
      <c r="AC40" s="308">
        <f t="shared" ca="1" si="23"/>
        <v>-1250000</v>
      </c>
      <c r="AD40" s="819">
        <f t="shared" ca="1" si="3"/>
        <v>0</v>
      </c>
      <c r="AE40" s="308">
        <v>0</v>
      </c>
      <c r="AF40" s="819">
        <f t="shared" ca="1" si="4"/>
        <v>0</v>
      </c>
      <c r="AG40" s="308">
        <v>0</v>
      </c>
      <c r="AH40" s="308">
        <v>0</v>
      </c>
      <c r="AI40" s="308">
        <v>0</v>
      </c>
      <c r="AJ40" s="308">
        <f t="shared" ca="1" si="5"/>
        <v>-1250000</v>
      </c>
      <c r="AK40" s="309">
        <v>0</v>
      </c>
      <c r="AL40" s="309">
        <v>0</v>
      </c>
      <c r="AM40" s="309">
        <f t="shared" si="19"/>
        <v>0</v>
      </c>
      <c r="AN40" s="310">
        <v>0</v>
      </c>
      <c r="AO40" s="310">
        <v>0</v>
      </c>
      <c r="AP40" s="310">
        <f t="shared" si="20"/>
        <v>0</v>
      </c>
      <c r="AQ40" s="309">
        <v>0</v>
      </c>
      <c r="AR40" s="311">
        <f t="shared" ca="1" si="6"/>
        <v>465962.88111779816</v>
      </c>
      <c r="AS40" s="870">
        <f t="shared" ca="1" si="21"/>
        <v>-10075588.545713048</v>
      </c>
      <c r="AT40" s="822"/>
      <c r="AU40" s="878"/>
      <c r="AV40" s="35"/>
      <c r="AW40" s="879"/>
      <c r="AX40" s="35"/>
      <c r="AY40" s="880"/>
    </row>
    <row r="41" spans="1:51">
      <c r="A41" s="303">
        <v>2032</v>
      </c>
      <c r="B41" s="304">
        <f ca="1">IF($D$3="BAU",UtilityDemand!C34,INDIRECT($D$3&amp;"!B"&amp;ROW(A41))+INDIRECT($D$3&amp;"!D"&amp;ROW(A41)))</f>
        <v>167477.3616352074</v>
      </c>
      <c r="C41" s="305">
        <v>0</v>
      </c>
      <c r="D41" s="306">
        <f t="shared" ca="1" si="7"/>
        <v>0</v>
      </c>
      <c r="E41" s="304">
        <f ca="1">IF($D$3="BAU",UtilityDemand!E34,INDIRECT($D$3&amp;"!E"&amp;ROW(D41))+INDIRECT($D$3&amp;"!G"&amp;ROW(D41)))</f>
        <v>892514.66009136476</v>
      </c>
      <c r="F41" s="305">
        <v>0</v>
      </c>
      <c r="G41" s="306">
        <f t="shared" ca="1" si="8"/>
        <v>0</v>
      </c>
      <c r="H41" s="304">
        <f ca="1">IF($D$3="BAU",UtilityDemand!G34,INDIRECT($D$3&amp;"!H"&amp;ROW(G41))+INDIRECT($D$3&amp;"!J"&amp;ROW(G41)))</f>
        <v>252750.34811192221</v>
      </c>
      <c r="I41" s="305">
        <v>0</v>
      </c>
      <c r="J41" s="306">
        <f t="shared" ca="1" si="22"/>
        <v>0</v>
      </c>
      <c r="K41" s="307">
        <f t="shared" ca="1" si="9"/>
        <v>167477.3616352074</v>
      </c>
      <c r="L41" s="307">
        <f t="shared" si="10"/>
        <v>-50000</v>
      </c>
      <c r="M41" s="307">
        <f>IF($AU$25="ALL",PortfolioDashboard!AD78,$AU$27)</f>
        <v>50000</v>
      </c>
      <c r="N41" s="307">
        <f t="shared" ca="1" si="11"/>
        <v>117477.3616352074</v>
      </c>
      <c r="O41" s="306">
        <f t="shared" ca="1" si="12"/>
        <v>892514.66009136476</v>
      </c>
      <c r="P41" s="306">
        <f t="shared" si="13"/>
        <v>0</v>
      </c>
      <c r="Q41" s="306">
        <v>0</v>
      </c>
      <c r="R41" s="306">
        <f t="shared" ca="1" si="14"/>
        <v>892514.66009136476</v>
      </c>
      <c r="S41" s="818">
        <f t="shared" ca="1" si="15"/>
        <v>252750.34811192221</v>
      </c>
      <c r="T41" s="818">
        <f t="shared" si="16"/>
        <v>0</v>
      </c>
      <c r="U41" s="818">
        <v>0</v>
      </c>
      <c r="V41" s="818">
        <f t="shared" ca="1" si="17"/>
        <v>252750.34811192221</v>
      </c>
      <c r="W41" s="306">
        <f t="shared" si="1"/>
        <v>0</v>
      </c>
      <c r="X41" s="306">
        <f t="shared" ca="1" si="2"/>
        <v>-35512.836256398594</v>
      </c>
      <c r="Y41" s="306">
        <v>0</v>
      </c>
      <c r="Z41" s="306">
        <v>0</v>
      </c>
      <c r="AA41" s="308">
        <f ca="1">-SUM(W41,X41/OFFSET(GridFootprintbyYear,$A41-$A$19,0)*EF_PurchElec_MTperMWh,Z41)*OFFSET(ExposureCalculations!Price_GHG_Allowance_2010,A41-$A$19,0)*ExposureCalculations!D38</f>
        <v>1844208.8952596723</v>
      </c>
      <c r="AB41" s="308">
        <f t="shared" ca="1" si="18"/>
        <v>0</v>
      </c>
      <c r="AC41" s="308">
        <f t="shared" ca="1" si="23"/>
        <v>-1250000</v>
      </c>
      <c r="AD41" s="819">
        <f t="shared" ca="1" si="3"/>
        <v>0</v>
      </c>
      <c r="AE41" s="308">
        <v>0</v>
      </c>
      <c r="AF41" s="819">
        <f t="shared" ca="1" si="4"/>
        <v>0</v>
      </c>
      <c r="AG41" s="308">
        <v>0</v>
      </c>
      <c r="AH41" s="308">
        <v>0</v>
      </c>
      <c r="AI41" s="308">
        <v>0</v>
      </c>
      <c r="AJ41" s="308">
        <f t="shared" ca="1" si="5"/>
        <v>-1250000</v>
      </c>
      <c r="AK41" s="309">
        <v>0</v>
      </c>
      <c r="AL41" s="309">
        <v>0</v>
      </c>
      <c r="AM41" s="309">
        <f t="shared" si="19"/>
        <v>0</v>
      </c>
      <c r="AN41" s="310">
        <v>0</v>
      </c>
      <c r="AO41" s="310">
        <v>0</v>
      </c>
      <c r="AP41" s="310">
        <f t="shared" si="20"/>
        <v>0</v>
      </c>
      <c r="AQ41" s="309">
        <v>0</v>
      </c>
      <c r="AR41" s="311">
        <f t="shared" ca="1" si="6"/>
        <v>594208.89525967231</v>
      </c>
      <c r="AS41" s="870">
        <f t="shared" ca="1" si="21"/>
        <v>-9481379.6504533757</v>
      </c>
      <c r="AT41" s="822"/>
      <c r="AU41" s="878"/>
      <c r="AV41" s="35"/>
      <c r="AW41" s="879"/>
      <c r="AX41" s="35"/>
      <c r="AY41" s="880"/>
    </row>
    <row r="42" spans="1:51">
      <c r="A42" s="303">
        <v>2033</v>
      </c>
      <c r="B42" s="304">
        <f ca="1">IF($D$3="BAU",UtilityDemand!C35,INDIRECT($D$3&amp;"!B"&amp;ROW(A42))+INDIRECT($D$3&amp;"!D"&amp;ROW(A42)))</f>
        <v>169053.98723605942</v>
      </c>
      <c r="C42" s="305">
        <v>0</v>
      </c>
      <c r="D42" s="306">
        <f t="shared" ca="1" si="7"/>
        <v>0</v>
      </c>
      <c r="E42" s="304">
        <f ca="1">IF($D$3="BAU",UtilityDemand!E35,INDIRECT($D$3&amp;"!E"&amp;ROW(D42))+INDIRECT($D$3&amp;"!G"&amp;ROW(D42)))</f>
        <v>900901.25922104018</v>
      </c>
      <c r="F42" s="305">
        <v>0</v>
      </c>
      <c r="G42" s="306">
        <f t="shared" ca="1" si="8"/>
        <v>0</v>
      </c>
      <c r="H42" s="304">
        <f ca="1">IF($D$3="BAU",UtilityDemand!G35,INDIRECT($D$3&amp;"!H"&amp;ROW(G42))+INDIRECT($D$3&amp;"!J"&amp;ROW(G42)))</f>
        <v>255814.8826745259</v>
      </c>
      <c r="I42" s="305">
        <v>0</v>
      </c>
      <c r="J42" s="306">
        <f t="shared" ca="1" si="22"/>
        <v>0</v>
      </c>
      <c r="K42" s="307">
        <f t="shared" ca="1" si="9"/>
        <v>169053.98723605942</v>
      </c>
      <c r="L42" s="307">
        <f t="shared" si="10"/>
        <v>-50000</v>
      </c>
      <c r="M42" s="307">
        <f>IF($AU$25="ALL",PortfolioDashboard!AD79,$AU$27)</f>
        <v>50000</v>
      </c>
      <c r="N42" s="307">
        <f t="shared" ca="1" si="11"/>
        <v>119053.98723605942</v>
      </c>
      <c r="O42" s="306">
        <f t="shared" ca="1" si="12"/>
        <v>900901.25922104018</v>
      </c>
      <c r="P42" s="306">
        <f t="shared" si="13"/>
        <v>0</v>
      </c>
      <c r="Q42" s="306">
        <v>0</v>
      </c>
      <c r="R42" s="306">
        <f t="shared" ca="1" si="14"/>
        <v>900901.25922104018</v>
      </c>
      <c r="S42" s="818">
        <f t="shared" ca="1" si="15"/>
        <v>255814.8826745259</v>
      </c>
      <c r="T42" s="818">
        <f t="shared" si="16"/>
        <v>0</v>
      </c>
      <c r="U42" s="818">
        <v>0</v>
      </c>
      <c r="V42" s="818">
        <f t="shared" ca="1" si="17"/>
        <v>255814.8826745259</v>
      </c>
      <c r="W42" s="306">
        <f t="shared" si="1"/>
        <v>0</v>
      </c>
      <c r="X42" s="306">
        <f t="shared" ca="1" si="2"/>
        <v>-35512.836256398594</v>
      </c>
      <c r="Y42" s="306">
        <v>0</v>
      </c>
      <c r="Z42" s="306">
        <v>0</v>
      </c>
      <c r="AA42" s="308">
        <f ca="1">-SUM(W42,X42/OFFSET(GridFootprintbyYear,$A42-$A$19,0)*EF_PurchElec_MTperMWh,Z42)*OFFSET(ExposureCalculations!Price_GHG_Allowance_2010,A42-$A$19,0)*ExposureCalculations!D39</f>
        <v>1959173.7532571305</v>
      </c>
      <c r="AB42" s="308">
        <f t="shared" ca="1" si="18"/>
        <v>0</v>
      </c>
      <c r="AC42" s="308">
        <f t="shared" ca="1" si="23"/>
        <v>-1250000</v>
      </c>
      <c r="AD42" s="819">
        <f t="shared" ca="1" si="3"/>
        <v>0</v>
      </c>
      <c r="AE42" s="308">
        <v>0</v>
      </c>
      <c r="AF42" s="819">
        <f t="shared" ca="1" si="4"/>
        <v>0</v>
      </c>
      <c r="AG42" s="308">
        <v>0</v>
      </c>
      <c r="AH42" s="308">
        <v>0</v>
      </c>
      <c r="AI42" s="308">
        <v>0</v>
      </c>
      <c r="AJ42" s="308">
        <f t="shared" ca="1" si="5"/>
        <v>-1250000</v>
      </c>
      <c r="AK42" s="309">
        <v>0</v>
      </c>
      <c r="AL42" s="309">
        <v>0</v>
      </c>
      <c r="AM42" s="309">
        <f t="shared" si="19"/>
        <v>0</v>
      </c>
      <c r="AN42" s="310">
        <v>0</v>
      </c>
      <c r="AO42" s="310">
        <v>0</v>
      </c>
      <c r="AP42" s="310">
        <f t="shared" si="20"/>
        <v>0</v>
      </c>
      <c r="AQ42" s="309">
        <v>0</v>
      </c>
      <c r="AR42" s="311">
        <f t="shared" ca="1" si="6"/>
        <v>709173.75325713051</v>
      </c>
      <c r="AS42" s="870">
        <f t="shared" ca="1" si="21"/>
        <v>-8772205.8971962444</v>
      </c>
      <c r="AT42" s="822"/>
      <c r="AU42" s="878"/>
      <c r="AV42" s="35"/>
      <c r="AW42" s="879"/>
      <c r="AX42" s="35"/>
      <c r="AY42" s="880"/>
    </row>
    <row r="43" spans="1:51">
      <c r="A43" s="303">
        <v>2034</v>
      </c>
      <c r="B43" s="304">
        <f ca="1">IF($D$3="BAU",UtilityDemand!C36,INDIRECT($D$3&amp;"!B"&amp;ROW(A43))+INDIRECT($D$3&amp;"!D"&amp;ROW(A43)))</f>
        <v>170630.61283691146</v>
      </c>
      <c r="C43" s="305">
        <v>0</v>
      </c>
      <c r="D43" s="306">
        <f t="shared" ca="1" si="7"/>
        <v>0</v>
      </c>
      <c r="E43" s="304">
        <f ca="1">IF($D$3="BAU",UtilityDemand!E36,INDIRECT($D$3&amp;"!E"&amp;ROW(D43))+INDIRECT($D$3&amp;"!G"&amp;ROW(D43)))</f>
        <v>909287.85835071537</v>
      </c>
      <c r="F43" s="305">
        <v>0</v>
      </c>
      <c r="G43" s="306">
        <f t="shared" ca="1" si="8"/>
        <v>0</v>
      </c>
      <c r="H43" s="304">
        <f ca="1">IF($D$3="BAU",UtilityDemand!G36,INDIRECT($D$3&amp;"!H"&amp;ROW(G43))+INDIRECT($D$3&amp;"!J"&amp;ROW(G43)))</f>
        <v>258879.41723712959</v>
      </c>
      <c r="I43" s="305">
        <v>0</v>
      </c>
      <c r="J43" s="306">
        <f t="shared" ca="1" si="22"/>
        <v>0</v>
      </c>
      <c r="K43" s="307">
        <f t="shared" ca="1" si="9"/>
        <v>170630.61283691146</v>
      </c>
      <c r="L43" s="307">
        <f t="shared" si="10"/>
        <v>-50000</v>
      </c>
      <c r="M43" s="307">
        <f>IF($AU$25="ALL",PortfolioDashboard!AD80,$AU$27)</f>
        <v>50000</v>
      </c>
      <c r="N43" s="307">
        <f t="shared" ca="1" si="11"/>
        <v>120630.61283691146</v>
      </c>
      <c r="O43" s="306">
        <f t="shared" ca="1" si="12"/>
        <v>909287.85835071537</v>
      </c>
      <c r="P43" s="306">
        <f t="shared" si="13"/>
        <v>0</v>
      </c>
      <c r="Q43" s="306">
        <v>0</v>
      </c>
      <c r="R43" s="306">
        <f t="shared" ca="1" si="14"/>
        <v>909287.85835071537</v>
      </c>
      <c r="S43" s="818">
        <f t="shared" ca="1" si="15"/>
        <v>258879.41723712959</v>
      </c>
      <c r="T43" s="818">
        <f t="shared" si="16"/>
        <v>0</v>
      </c>
      <c r="U43" s="818">
        <v>0</v>
      </c>
      <c r="V43" s="818">
        <f t="shared" ca="1" si="17"/>
        <v>258879.41723712959</v>
      </c>
      <c r="W43" s="306">
        <f t="shared" si="1"/>
        <v>0</v>
      </c>
      <c r="X43" s="306">
        <f t="shared" ca="1" si="2"/>
        <v>-35512.836256398594</v>
      </c>
      <c r="Y43" s="306">
        <v>0</v>
      </c>
      <c r="Z43" s="306">
        <v>0</v>
      </c>
      <c r="AA43" s="308">
        <f ca="1">-SUM(W43,X43/OFFSET(GridFootprintbyYear,$A43-$A$19,0)*EF_PurchElec_MTperMWh,Z43)*OFFSET(ExposureCalculations!Price_GHG_Allowance_2010,A43-$A$19,0)*ExposureCalculations!D40</f>
        <v>2060205.4036082295</v>
      </c>
      <c r="AB43" s="308">
        <f t="shared" ca="1" si="18"/>
        <v>0</v>
      </c>
      <c r="AC43" s="308">
        <f t="shared" ca="1" si="23"/>
        <v>-1250000</v>
      </c>
      <c r="AD43" s="819">
        <f t="shared" ca="1" si="3"/>
        <v>0</v>
      </c>
      <c r="AE43" s="308">
        <v>0</v>
      </c>
      <c r="AF43" s="819">
        <f t="shared" ca="1" si="4"/>
        <v>0</v>
      </c>
      <c r="AG43" s="308">
        <v>0</v>
      </c>
      <c r="AH43" s="308">
        <v>0</v>
      </c>
      <c r="AI43" s="308">
        <v>0</v>
      </c>
      <c r="AJ43" s="308">
        <f t="shared" ca="1" si="5"/>
        <v>-1250000</v>
      </c>
      <c r="AK43" s="309">
        <v>0</v>
      </c>
      <c r="AL43" s="309">
        <v>0</v>
      </c>
      <c r="AM43" s="309">
        <f t="shared" si="19"/>
        <v>0</v>
      </c>
      <c r="AN43" s="310">
        <v>0</v>
      </c>
      <c r="AO43" s="310">
        <v>0</v>
      </c>
      <c r="AP43" s="310">
        <f t="shared" si="20"/>
        <v>0</v>
      </c>
      <c r="AQ43" s="309">
        <v>0</v>
      </c>
      <c r="AR43" s="311">
        <f t="shared" ca="1" si="6"/>
        <v>810205.40360822948</v>
      </c>
      <c r="AS43" s="870">
        <f t="shared" ca="1" si="21"/>
        <v>-7962000.4935880154</v>
      </c>
      <c r="AT43" s="822"/>
      <c r="AU43" s="878"/>
      <c r="AV43" s="35"/>
      <c r="AW43" s="879"/>
      <c r="AX43" s="35"/>
      <c r="AY43" s="880"/>
    </row>
    <row r="44" spans="1:51">
      <c r="A44" s="303">
        <v>2035</v>
      </c>
      <c r="B44" s="304">
        <f ca="1">IF($D$3="BAU",UtilityDemand!C37,INDIRECT($D$3&amp;"!B"&amp;ROW(A44))+INDIRECT($D$3&amp;"!D"&amp;ROW(A44)))</f>
        <v>172207.23843776347</v>
      </c>
      <c r="C44" s="305">
        <v>0</v>
      </c>
      <c r="D44" s="306">
        <f t="shared" ca="1" si="7"/>
        <v>0</v>
      </c>
      <c r="E44" s="304">
        <f ca="1">IF($D$3="BAU",UtilityDemand!E37,INDIRECT($D$3&amp;"!E"&amp;ROW(D44))+INDIRECT($D$3&amp;"!G"&amp;ROW(D44)))</f>
        <v>917674.45748039079</v>
      </c>
      <c r="F44" s="305">
        <v>0</v>
      </c>
      <c r="G44" s="306">
        <f t="shared" ca="1" si="8"/>
        <v>0</v>
      </c>
      <c r="H44" s="304">
        <f ca="1">IF($D$3="BAU",UtilityDemand!G37,INDIRECT($D$3&amp;"!H"&amp;ROW(G44))+INDIRECT($D$3&amp;"!J"&amp;ROW(G44)))</f>
        <v>261943.95179973327</v>
      </c>
      <c r="I44" s="305">
        <v>0</v>
      </c>
      <c r="J44" s="306">
        <f t="shared" ca="1" si="22"/>
        <v>0</v>
      </c>
      <c r="K44" s="307">
        <f t="shared" ca="1" si="9"/>
        <v>172207.23843776347</v>
      </c>
      <c r="L44" s="307">
        <f t="shared" si="10"/>
        <v>-50000</v>
      </c>
      <c r="M44" s="307">
        <f>IF($AU$25="ALL",PortfolioDashboard!AD81,$AU$27)</f>
        <v>50000</v>
      </c>
      <c r="N44" s="307">
        <f t="shared" ca="1" si="11"/>
        <v>122207.23843776347</v>
      </c>
      <c r="O44" s="306">
        <f t="shared" ca="1" si="12"/>
        <v>917674.45748039079</v>
      </c>
      <c r="P44" s="306">
        <f t="shared" si="13"/>
        <v>0</v>
      </c>
      <c r="Q44" s="306">
        <v>0</v>
      </c>
      <c r="R44" s="306">
        <f t="shared" ca="1" si="14"/>
        <v>917674.45748039079</v>
      </c>
      <c r="S44" s="818">
        <f t="shared" ca="1" si="15"/>
        <v>261943.95179973327</v>
      </c>
      <c r="T44" s="818">
        <f t="shared" si="16"/>
        <v>0</v>
      </c>
      <c r="U44" s="818">
        <v>0</v>
      </c>
      <c r="V44" s="818">
        <f t="shared" ca="1" si="17"/>
        <v>261943.95179973327</v>
      </c>
      <c r="W44" s="306">
        <f t="shared" si="1"/>
        <v>0</v>
      </c>
      <c r="X44" s="306">
        <f t="shared" ca="1" si="2"/>
        <v>-35512.836256398594</v>
      </c>
      <c r="Y44" s="306">
        <v>0</v>
      </c>
      <c r="Z44" s="306">
        <v>0</v>
      </c>
      <c r="AA44" s="308">
        <f ca="1">-SUM(W44,X44/OFFSET(GridFootprintbyYear,$A44-$A$19,0)*EF_PurchElec_MTperMWh,Z44)*OFFSET(ExposureCalculations!Price_GHG_Allowance_2010,A44-$A$19,0)*ExposureCalculations!D41</f>
        <v>2163311.5244562384</v>
      </c>
      <c r="AB44" s="308">
        <f t="shared" ca="1" si="18"/>
        <v>0</v>
      </c>
      <c r="AC44" s="308">
        <f t="shared" ca="1" si="23"/>
        <v>-1250000</v>
      </c>
      <c r="AD44" s="819">
        <f t="shared" ca="1" si="3"/>
        <v>0</v>
      </c>
      <c r="AE44" s="308">
        <v>0</v>
      </c>
      <c r="AF44" s="819">
        <f t="shared" ca="1" si="4"/>
        <v>0</v>
      </c>
      <c r="AG44" s="308">
        <v>0</v>
      </c>
      <c r="AH44" s="308">
        <v>0</v>
      </c>
      <c r="AI44" s="308">
        <v>0</v>
      </c>
      <c r="AJ44" s="308">
        <f t="shared" ca="1" si="5"/>
        <v>-1250000</v>
      </c>
      <c r="AK44" s="309">
        <v>0</v>
      </c>
      <c r="AL44" s="309">
        <v>0</v>
      </c>
      <c r="AM44" s="309">
        <f t="shared" si="19"/>
        <v>0</v>
      </c>
      <c r="AN44" s="310">
        <v>0</v>
      </c>
      <c r="AO44" s="310">
        <v>0</v>
      </c>
      <c r="AP44" s="310">
        <f t="shared" si="20"/>
        <v>0</v>
      </c>
      <c r="AQ44" s="309">
        <v>0</v>
      </c>
      <c r="AR44" s="311">
        <f t="shared" ca="1" si="6"/>
        <v>913311.52445623837</v>
      </c>
      <c r="AS44" s="870">
        <f t="shared" ca="1" si="21"/>
        <v>-7048688.9691317771</v>
      </c>
      <c r="AT44" s="822"/>
      <c r="AU44" s="878"/>
      <c r="AV44" s="35"/>
      <c r="AW44" s="879"/>
      <c r="AX44" s="35"/>
      <c r="AY44" s="880"/>
    </row>
    <row r="45" spans="1:51">
      <c r="A45" s="303">
        <v>2036</v>
      </c>
      <c r="B45" s="304">
        <f ca="1">IF($D$3="BAU",UtilityDemand!C38,INDIRECT($D$3&amp;"!B"&amp;ROW(A45))+INDIRECT($D$3&amp;"!D"&amp;ROW(A45)))</f>
        <v>173783.86403861555</v>
      </c>
      <c r="C45" s="305">
        <v>0</v>
      </c>
      <c r="D45" s="306">
        <f t="shared" ca="1" si="7"/>
        <v>0</v>
      </c>
      <c r="E45" s="304">
        <f ca="1">IF($D$3="BAU",UtilityDemand!E38,INDIRECT($D$3&amp;"!E"&amp;ROW(D45))+INDIRECT($D$3&amp;"!G"&amp;ROW(D45)))</f>
        <v>926061.05661006644</v>
      </c>
      <c r="F45" s="305">
        <v>0</v>
      </c>
      <c r="G45" s="306">
        <f t="shared" ca="1" si="8"/>
        <v>0</v>
      </c>
      <c r="H45" s="304">
        <f ca="1">IF($D$3="BAU",UtilityDemand!G38,INDIRECT($D$3&amp;"!H"&amp;ROW(G45))+INDIRECT($D$3&amp;"!J"&amp;ROW(G45)))</f>
        <v>265008.48636233702</v>
      </c>
      <c r="I45" s="305">
        <v>0</v>
      </c>
      <c r="J45" s="306">
        <f t="shared" ca="1" si="22"/>
        <v>0</v>
      </c>
      <c r="K45" s="307">
        <f t="shared" ca="1" si="9"/>
        <v>173783.86403861555</v>
      </c>
      <c r="L45" s="307">
        <f t="shared" si="10"/>
        <v>-50000</v>
      </c>
      <c r="M45" s="307">
        <f>IF($AU$25="ALL",PortfolioDashboard!AD82,$AU$27)</f>
        <v>50000</v>
      </c>
      <c r="N45" s="307">
        <f t="shared" ca="1" si="11"/>
        <v>123783.86403861555</v>
      </c>
      <c r="O45" s="306">
        <f t="shared" ca="1" si="12"/>
        <v>926061.05661006644</v>
      </c>
      <c r="P45" s="306">
        <f t="shared" si="13"/>
        <v>0</v>
      </c>
      <c r="Q45" s="306">
        <v>0</v>
      </c>
      <c r="R45" s="306">
        <f t="shared" ca="1" si="14"/>
        <v>926061.05661006644</v>
      </c>
      <c r="S45" s="818">
        <f t="shared" ca="1" si="15"/>
        <v>265008.48636233702</v>
      </c>
      <c r="T45" s="818">
        <f t="shared" si="16"/>
        <v>0</v>
      </c>
      <c r="U45" s="818">
        <v>0</v>
      </c>
      <c r="V45" s="818">
        <f t="shared" ca="1" si="17"/>
        <v>265008.48636233702</v>
      </c>
      <c r="W45" s="306">
        <f t="shared" si="1"/>
        <v>0</v>
      </c>
      <c r="X45" s="306">
        <f t="shared" ca="1" si="2"/>
        <v>-35512.836256398594</v>
      </c>
      <c r="Y45" s="306">
        <v>0</v>
      </c>
      <c r="Z45" s="306">
        <v>0</v>
      </c>
      <c r="AA45" s="308">
        <f ca="1">-SUM(W45,X45/OFFSET(GridFootprintbyYear,$A45-$A$19,0)*EF_PurchElec_MTperMWh,Z45)*OFFSET(ExposureCalculations!Price_GHG_Allowance_2010,A45-$A$19,0)*ExposureCalculations!D42</f>
        <v>2283942.7679449986</v>
      </c>
      <c r="AB45" s="308">
        <f t="shared" ca="1" si="18"/>
        <v>0</v>
      </c>
      <c r="AC45" s="308">
        <f t="shared" ca="1" si="23"/>
        <v>-1250000</v>
      </c>
      <c r="AD45" s="819">
        <f t="shared" ca="1" si="3"/>
        <v>0</v>
      </c>
      <c r="AE45" s="308">
        <v>0</v>
      </c>
      <c r="AF45" s="819">
        <f t="shared" ca="1" si="4"/>
        <v>0</v>
      </c>
      <c r="AG45" s="308">
        <v>0</v>
      </c>
      <c r="AH45" s="308">
        <v>0</v>
      </c>
      <c r="AI45" s="308">
        <v>0</v>
      </c>
      <c r="AJ45" s="308">
        <f t="shared" ca="1" si="5"/>
        <v>-1250000</v>
      </c>
      <c r="AK45" s="309">
        <v>0</v>
      </c>
      <c r="AL45" s="309">
        <v>0</v>
      </c>
      <c r="AM45" s="309">
        <f t="shared" si="19"/>
        <v>0</v>
      </c>
      <c r="AN45" s="310">
        <v>0</v>
      </c>
      <c r="AO45" s="310">
        <v>0</v>
      </c>
      <c r="AP45" s="310">
        <f t="shared" si="20"/>
        <v>0</v>
      </c>
      <c r="AQ45" s="309">
        <v>0</v>
      </c>
      <c r="AR45" s="311">
        <f t="shared" ca="1" si="6"/>
        <v>1033942.7679449986</v>
      </c>
      <c r="AS45" s="870">
        <f t="shared" ca="1" si="21"/>
        <v>-6014746.201186778</v>
      </c>
      <c r="AT45" s="822"/>
      <c r="AU45" s="878"/>
      <c r="AV45" s="35"/>
      <c r="AW45" s="879"/>
      <c r="AX45" s="35"/>
      <c r="AY45" s="880"/>
    </row>
    <row r="46" spans="1:51">
      <c r="A46" s="303">
        <v>2037</v>
      </c>
      <c r="B46" s="304">
        <f ca="1">IF($D$3="BAU",UtilityDemand!C39,INDIRECT($D$3&amp;"!B"&amp;ROW(A46))+INDIRECT($D$3&amp;"!D"&amp;ROW(A46)))</f>
        <v>175360.48963946756</v>
      </c>
      <c r="C46" s="305">
        <v>0</v>
      </c>
      <c r="D46" s="306">
        <f t="shared" ca="1" si="7"/>
        <v>0</v>
      </c>
      <c r="E46" s="304">
        <f ca="1">IF($D$3="BAU",UtilityDemand!E39,INDIRECT($D$3&amp;"!E"&amp;ROW(D46))+INDIRECT($D$3&amp;"!G"&amp;ROW(D46)))</f>
        <v>934447.65573974175</v>
      </c>
      <c r="F46" s="305">
        <v>0</v>
      </c>
      <c r="G46" s="306">
        <f t="shared" ca="1" si="8"/>
        <v>0</v>
      </c>
      <c r="H46" s="304">
        <f ca="1">IF($D$3="BAU",UtilityDemand!G39,INDIRECT($D$3&amp;"!H"&amp;ROW(G46))+INDIRECT($D$3&amp;"!J"&amp;ROW(G46)))</f>
        <v>268073.02092494071</v>
      </c>
      <c r="I46" s="305">
        <v>0</v>
      </c>
      <c r="J46" s="306">
        <f t="shared" ca="1" si="22"/>
        <v>0</v>
      </c>
      <c r="K46" s="307">
        <f t="shared" ca="1" si="9"/>
        <v>175360.48963946756</v>
      </c>
      <c r="L46" s="307">
        <f t="shared" si="10"/>
        <v>-50000</v>
      </c>
      <c r="M46" s="307">
        <f>IF($AU$25="ALL",PortfolioDashboard!AD83,$AU$27)</f>
        <v>50000</v>
      </c>
      <c r="N46" s="307">
        <f t="shared" ca="1" si="11"/>
        <v>125360.48963946756</v>
      </c>
      <c r="O46" s="306">
        <f t="shared" ca="1" si="12"/>
        <v>934447.65573974175</v>
      </c>
      <c r="P46" s="306">
        <f t="shared" si="13"/>
        <v>0</v>
      </c>
      <c r="Q46" s="306">
        <v>0</v>
      </c>
      <c r="R46" s="306">
        <f t="shared" ca="1" si="14"/>
        <v>934447.65573974175</v>
      </c>
      <c r="S46" s="818">
        <f t="shared" ca="1" si="15"/>
        <v>268073.02092494071</v>
      </c>
      <c r="T46" s="818">
        <f t="shared" si="16"/>
        <v>0</v>
      </c>
      <c r="U46" s="818">
        <v>0</v>
      </c>
      <c r="V46" s="818">
        <f t="shared" ca="1" si="17"/>
        <v>268073.02092494071</v>
      </c>
      <c r="W46" s="306">
        <f t="shared" si="1"/>
        <v>0</v>
      </c>
      <c r="X46" s="306">
        <f t="shared" ca="1" si="2"/>
        <v>-35512.836256398594</v>
      </c>
      <c r="Y46" s="306">
        <v>0</v>
      </c>
      <c r="Z46" s="306">
        <v>0</v>
      </c>
      <c r="AA46" s="308">
        <f ca="1">-SUM(W46,X46/OFFSET(GridFootprintbyYear,$A46-$A$19,0)*EF_PurchElec_MTperMWh,Z46)*OFFSET(ExposureCalculations!Price_GHG_Allowance_2010,A46-$A$19,0)*ExposureCalculations!D43</f>
        <v>2404049.6561694765</v>
      </c>
      <c r="AB46" s="308">
        <f t="shared" ca="1" si="18"/>
        <v>0</v>
      </c>
      <c r="AC46" s="308">
        <f t="shared" ca="1" si="23"/>
        <v>-1250000</v>
      </c>
      <c r="AD46" s="819">
        <f t="shared" ca="1" si="3"/>
        <v>0</v>
      </c>
      <c r="AE46" s="308">
        <v>0</v>
      </c>
      <c r="AF46" s="819">
        <f t="shared" ca="1" si="4"/>
        <v>0</v>
      </c>
      <c r="AG46" s="308">
        <v>0</v>
      </c>
      <c r="AH46" s="308">
        <v>0</v>
      </c>
      <c r="AI46" s="308">
        <v>0</v>
      </c>
      <c r="AJ46" s="308">
        <f t="shared" ca="1" si="5"/>
        <v>-1250000</v>
      </c>
      <c r="AK46" s="309">
        <v>0</v>
      </c>
      <c r="AL46" s="309">
        <v>0</v>
      </c>
      <c r="AM46" s="309">
        <f t="shared" si="19"/>
        <v>0</v>
      </c>
      <c r="AN46" s="310">
        <v>0</v>
      </c>
      <c r="AO46" s="310">
        <v>0</v>
      </c>
      <c r="AP46" s="310">
        <f t="shared" si="20"/>
        <v>0</v>
      </c>
      <c r="AQ46" s="309">
        <v>0</v>
      </c>
      <c r="AR46" s="311">
        <f t="shared" ca="1" si="6"/>
        <v>1154049.6561694765</v>
      </c>
      <c r="AS46" s="870">
        <f t="shared" ca="1" si="21"/>
        <v>-4860696.545017302</v>
      </c>
      <c r="AT46" s="822"/>
      <c r="AU46" s="878"/>
      <c r="AV46" s="35"/>
      <c r="AW46" s="879"/>
      <c r="AX46" s="35"/>
      <c r="AY46" s="880"/>
    </row>
    <row r="47" spans="1:51">
      <c r="A47" s="303">
        <v>2038</v>
      </c>
      <c r="B47" s="304">
        <f ca="1">IF($D$3="BAU",UtilityDemand!C40,INDIRECT($D$3&amp;"!B"&amp;ROW(A47))+INDIRECT($D$3&amp;"!D"&amp;ROW(A47)))</f>
        <v>176937.1152403196</v>
      </c>
      <c r="C47" s="305">
        <v>0</v>
      </c>
      <c r="D47" s="306">
        <f t="shared" ca="1" si="7"/>
        <v>0</v>
      </c>
      <c r="E47" s="304">
        <f ca="1">IF($D$3="BAU",UtilityDemand!E40,INDIRECT($D$3&amp;"!E"&amp;ROW(D47))+INDIRECT($D$3&amp;"!G"&amp;ROW(D47)))</f>
        <v>942834.25486941705</v>
      </c>
      <c r="F47" s="305">
        <v>0</v>
      </c>
      <c r="G47" s="306">
        <f t="shared" ca="1" si="8"/>
        <v>0</v>
      </c>
      <c r="H47" s="304">
        <f ca="1">IF($D$3="BAU",UtilityDemand!G40,INDIRECT($D$3&amp;"!H"&amp;ROW(G47))+INDIRECT($D$3&amp;"!J"&amp;ROW(G47)))</f>
        <v>271137.55548754439</v>
      </c>
      <c r="I47" s="305">
        <v>0</v>
      </c>
      <c r="J47" s="306">
        <f t="shared" ca="1" si="22"/>
        <v>0</v>
      </c>
      <c r="K47" s="307">
        <f t="shared" ca="1" si="9"/>
        <v>176937.1152403196</v>
      </c>
      <c r="L47" s="307">
        <f t="shared" si="10"/>
        <v>-50000</v>
      </c>
      <c r="M47" s="307">
        <f>IF($AU$25="ALL",PortfolioDashboard!AD84,$AU$27)</f>
        <v>50000</v>
      </c>
      <c r="N47" s="307">
        <f t="shared" ca="1" si="11"/>
        <v>126937.1152403196</v>
      </c>
      <c r="O47" s="306">
        <f t="shared" ca="1" si="12"/>
        <v>942834.25486941705</v>
      </c>
      <c r="P47" s="306">
        <f t="shared" si="13"/>
        <v>0</v>
      </c>
      <c r="Q47" s="306">
        <v>0</v>
      </c>
      <c r="R47" s="306">
        <f t="shared" ca="1" si="14"/>
        <v>942834.25486941705</v>
      </c>
      <c r="S47" s="818">
        <f t="shared" ca="1" si="15"/>
        <v>271137.55548754439</v>
      </c>
      <c r="T47" s="818">
        <f t="shared" si="16"/>
        <v>0</v>
      </c>
      <c r="U47" s="818">
        <v>0</v>
      </c>
      <c r="V47" s="818">
        <f t="shared" ca="1" si="17"/>
        <v>271137.55548754439</v>
      </c>
      <c r="W47" s="306">
        <f t="shared" si="1"/>
        <v>0</v>
      </c>
      <c r="X47" s="306">
        <f t="shared" ca="1" si="2"/>
        <v>-35512.836256398594</v>
      </c>
      <c r="Y47" s="306">
        <v>0</v>
      </c>
      <c r="Z47" s="306">
        <v>0</v>
      </c>
      <c r="AA47" s="308">
        <f ca="1">-SUM(W47,X47/OFFSET(GridFootprintbyYear,$A47-$A$19,0)*EF_PurchElec_MTperMWh,Z47)*OFFSET(ExposureCalculations!Price_GHG_Allowance_2010,A47-$A$19,0)*ExposureCalculations!D44</f>
        <v>2523313.8870107844</v>
      </c>
      <c r="AB47" s="308">
        <f t="shared" ca="1" si="18"/>
        <v>0</v>
      </c>
      <c r="AC47" s="308">
        <f t="shared" ca="1" si="23"/>
        <v>-1250000</v>
      </c>
      <c r="AD47" s="819">
        <f t="shared" ca="1" si="3"/>
        <v>0</v>
      </c>
      <c r="AE47" s="308">
        <v>0</v>
      </c>
      <c r="AF47" s="819">
        <f t="shared" ca="1" si="4"/>
        <v>0</v>
      </c>
      <c r="AG47" s="308">
        <v>0</v>
      </c>
      <c r="AH47" s="308">
        <v>0</v>
      </c>
      <c r="AI47" s="308">
        <v>0</v>
      </c>
      <c r="AJ47" s="308">
        <f t="shared" ca="1" si="5"/>
        <v>-1250000</v>
      </c>
      <c r="AK47" s="309">
        <v>0</v>
      </c>
      <c r="AL47" s="309">
        <v>0</v>
      </c>
      <c r="AM47" s="309">
        <f t="shared" si="19"/>
        <v>0</v>
      </c>
      <c r="AN47" s="310">
        <v>0</v>
      </c>
      <c r="AO47" s="310">
        <v>0</v>
      </c>
      <c r="AP47" s="310">
        <f t="shared" si="20"/>
        <v>0</v>
      </c>
      <c r="AQ47" s="309">
        <v>0</v>
      </c>
      <c r="AR47" s="311">
        <f t="shared" ca="1" si="6"/>
        <v>1273313.8870107844</v>
      </c>
      <c r="AS47" s="870">
        <f t="shared" ca="1" si="21"/>
        <v>-3587382.6580065177</v>
      </c>
      <c r="AT47" s="822"/>
      <c r="AU47" s="878"/>
      <c r="AV47" s="35"/>
      <c r="AW47" s="879"/>
      <c r="AX47" s="35"/>
      <c r="AY47" s="880"/>
    </row>
    <row r="48" spans="1:51">
      <c r="A48" s="303">
        <v>2039</v>
      </c>
      <c r="B48" s="304">
        <f ca="1">IF($D$3="BAU",UtilityDemand!C41,INDIRECT($D$3&amp;"!B"&amp;ROW(A48))+INDIRECT($D$3&amp;"!D"&amp;ROW(A48)))</f>
        <v>178513.74084117162</v>
      </c>
      <c r="C48" s="305">
        <v>0</v>
      </c>
      <c r="D48" s="306">
        <f t="shared" ca="1" si="7"/>
        <v>0</v>
      </c>
      <c r="E48" s="304">
        <f ca="1">IF($D$3="BAU",UtilityDemand!E41,INDIRECT($D$3&amp;"!E"&amp;ROW(D48))+INDIRECT($D$3&amp;"!G"&amp;ROW(D48)))</f>
        <v>951220.85399909248</v>
      </c>
      <c r="F48" s="305">
        <v>0</v>
      </c>
      <c r="G48" s="306">
        <f t="shared" ca="1" si="8"/>
        <v>0</v>
      </c>
      <c r="H48" s="304">
        <f ca="1">IF($D$3="BAU",UtilityDemand!G41,INDIRECT($D$3&amp;"!H"&amp;ROW(G48))+INDIRECT($D$3&amp;"!J"&amp;ROW(G48)))</f>
        <v>274202.09005014808</v>
      </c>
      <c r="I48" s="305">
        <v>0</v>
      </c>
      <c r="J48" s="306">
        <f t="shared" ca="1" si="22"/>
        <v>0</v>
      </c>
      <c r="K48" s="307">
        <f t="shared" ca="1" si="9"/>
        <v>178513.74084117162</v>
      </c>
      <c r="L48" s="307">
        <f t="shared" si="10"/>
        <v>-50000</v>
      </c>
      <c r="M48" s="307">
        <f>IF($AU$25="ALL",PortfolioDashboard!AD85,$AU$27)</f>
        <v>50000</v>
      </c>
      <c r="N48" s="307">
        <f t="shared" ca="1" si="11"/>
        <v>128513.74084117162</v>
      </c>
      <c r="O48" s="306">
        <f t="shared" ca="1" si="12"/>
        <v>951220.85399909248</v>
      </c>
      <c r="P48" s="306">
        <f t="shared" si="13"/>
        <v>0</v>
      </c>
      <c r="Q48" s="306">
        <v>0</v>
      </c>
      <c r="R48" s="306">
        <f t="shared" ca="1" si="14"/>
        <v>951220.85399909248</v>
      </c>
      <c r="S48" s="818">
        <f t="shared" ca="1" si="15"/>
        <v>274202.09005014808</v>
      </c>
      <c r="T48" s="818">
        <f t="shared" si="16"/>
        <v>0</v>
      </c>
      <c r="U48" s="818">
        <v>0</v>
      </c>
      <c r="V48" s="818">
        <f t="shared" ca="1" si="17"/>
        <v>274202.09005014808</v>
      </c>
      <c r="W48" s="306">
        <f t="shared" si="1"/>
        <v>0</v>
      </c>
      <c r="X48" s="306">
        <f t="shared" ca="1" si="2"/>
        <v>-35512.836256398594</v>
      </c>
      <c r="Y48" s="306">
        <v>0</v>
      </c>
      <c r="Z48" s="306">
        <v>0</v>
      </c>
      <c r="AA48" s="308">
        <f ca="1">-SUM(W48,X48/OFFSET(GridFootprintbyYear,$A48-$A$19,0)*EF_PurchElec_MTperMWh,Z48)*OFFSET(ExposureCalculations!Price_GHG_Allowance_2010,A48-$A$19,0)*ExposureCalculations!D45</f>
        <v>2641476.0501624923</v>
      </c>
      <c r="AB48" s="308">
        <f t="shared" ca="1" si="18"/>
        <v>0</v>
      </c>
      <c r="AC48" s="308">
        <f t="shared" ca="1" si="23"/>
        <v>-1250000</v>
      </c>
      <c r="AD48" s="819">
        <f t="shared" ca="1" si="3"/>
        <v>0</v>
      </c>
      <c r="AE48" s="308">
        <v>0</v>
      </c>
      <c r="AF48" s="819">
        <f t="shared" ca="1" si="4"/>
        <v>0</v>
      </c>
      <c r="AG48" s="308">
        <v>0</v>
      </c>
      <c r="AH48" s="308">
        <v>0</v>
      </c>
      <c r="AI48" s="308">
        <v>0</v>
      </c>
      <c r="AJ48" s="308">
        <f t="shared" ca="1" si="5"/>
        <v>-1250000</v>
      </c>
      <c r="AK48" s="309">
        <v>0</v>
      </c>
      <c r="AL48" s="309">
        <v>0</v>
      </c>
      <c r="AM48" s="309">
        <f t="shared" si="19"/>
        <v>0</v>
      </c>
      <c r="AN48" s="310">
        <v>0</v>
      </c>
      <c r="AO48" s="310">
        <v>0</v>
      </c>
      <c r="AP48" s="310">
        <f t="shared" si="20"/>
        <v>0</v>
      </c>
      <c r="AQ48" s="309">
        <v>0</v>
      </c>
      <c r="AR48" s="311">
        <f t="shared" ca="1" si="6"/>
        <v>1391476.0501624923</v>
      </c>
      <c r="AS48" s="870">
        <f t="shared" ca="1" si="21"/>
        <v>-2195906.6078440254</v>
      </c>
      <c r="AT48" s="822"/>
      <c r="AU48" s="878"/>
      <c r="AV48" s="35"/>
      <c r="AW48" s="879"/>
      <c r="AX48" s="35"/>
      <c r="AY48" s="880"/>
    </row>
    <row r="49" spans="1:51">
      <c r="A49" s="303">
        <v>2040</v>
      </c>
      <c r="B49" s="304">
        <f ca="1">IF($D$3="BAU",UtilityDemand!C42,INDIRECT($D$3&amp;"!B"&amp;ROW(A49))+INDIRECT($D$3&amp;"!D"&amp;ROW(A49)))</f>
        <v>180090.36644202363</v>
      </c>
      <c r="C49" s="305">
        <v>0</v>
      </c>
      <c r="D49" s="306">
        <f t="shared" ca="1" si="7"/>
        <v>0</v>
      </c>
      <c r="E49" s="304">
        <f ca="1">IF($D$3="BAU",UtilityDemand!E42,INDIRECT($D$3&amp;"!E"&amp;ROW(D49))+INDIRECT($D$3&amp;"!G"&amp;ROW(D49)))</f>
        <v>959607.45312876778</v>
      </c>
      <c r="F49" s="305">
        <v>0</v>
      </c>
      <c r="G49" s="306">
        <f t="shared" ca="1" si="8"/>
        <v>0</v>
      </c>
      <c r="H49" s="304">
        <f ca="1">IF($D$3="BAU",UtilityDemand!G42,INDIRECT($D$3&amp;"!H"&amp;ROW(G49))+INDIRECT($D$3&amp;"!J"&amp;ROW(G49)))</f>
        <v>277266.62461275177</v>
      </c>
      <c r="I49" s="305">
        <v>0</v>
      </c>
      <c r="J49" s="306">
        <f t="shared" ca="1" si="22"/>
        <v>0</v>
      </c>
      <c r="K49" s="307">
        <f t="shared" ca="1" si="9"/>
        <v>180090.36644202363</v>
      </c>
      <c r="L49" s="307">
        <f t="shared" si="10"/>
        <v>-50000</v>
      </c>
      <c r="M49" s="307">
        <f>IF($AU$25="ALL",PortfolioDashboard!AD86,$AU$27)</f>
        <v>50000</v>
      </c>
      <c r="N49" s="307">
        <f t="shared" ca="1" si="11"/>
        <v>130090.36644202363</v>
      </c>
      <c r="O49" s="306">
        <f t="shared" ca="1" si="12"/>
        <v>959607.45312876778</v>
      </c>
      <c r="P49" s="306">
        <f t="shared" si="13"/>
        <v>0</v>
      </c>
      <c r="Q49" s="306">
        <v>0</v>
      </c>
      <c r="R49" s="306">
        <f t="shared" ca="1" si="14"/>
        <v>959607.45312876778</v>
      </c>
      <c r="S49" s="818">
        <f t="shared" ca="1" si="15"/>
        <v>277266.62461275177</v>
      </c>
      <c r="T49" s="818">
        <f t="shared" si="16"/>
        <v>0</v>
      </c>
      <c r="U49" s="818">
        <v>0</v>
      </c>
      <c r="V49" s="818">
        <f t="shared" ca="1" si="17"/>
        <v>277266.62461275177</v>
      </c>
      <c r="W49" s="306">
        <f t="shared" si="1"/>
        <v>0</v>
      </c>
      <c r="X49" s="306">
        <f t="shared" ca="1" si="2"/>
        <v>-35512.836256398594</v>
      </c>
      <c r="Y49" s="306">
        <v>0</v>
      </c>
      <c r="Z49" s="306">
        <v>0</v>
      </c>
      <c r="AA49" s="308">
        <f ca="1">-SUM(W49,X49/OFFSET(GridFootprintbyYear,$A49-$A$19,0)*EF_PurchElec_MTperMWh,Z49)*OFFSET(ExposureCalculations!Price_GHG_Allowance_2010,A49-$A$19,0)*ExposureCalculations!D46</f>
        <v>2765400.1817033454</v>
      </c>
      <c r="AB49" s="308">
        <f t="shared" ca="1" si="18"/>
        <v>0</v>
      </c>
      <c r="AC49" s="308">
        <f t="shared" ca="1" si="23"/>
        <v>-1250000</v>
      </c>
      <c r="AD49" s="819">
        <f t="shared" ca="1" si="3"/>
        <v>0</v>
      </c>
      <c r="AE49" s="308">
        <v>0</v>
      </c>
      <c r="AF49" s="819">
        <f t="shared" ca="1" si="4"/>
        <v>0</v>
      </c>
      <c r="AG49" s="308">
        <v>0</v>
      </c>
      <c r="AH49" s="308">
        <v>0</v>
      </c>
      <c r="AI49" s="308">
        <v>0</v>
      </c>
      <c r="AJ49" s="308">
        <f t="shared" ca="1" si="5"/>
        <v>-1250000</v>
      </c>
      <c r="AK49" s="309">
        <v>0</v>
      </c>
      <c r="AL49" s="309">
        <v>0</v>
      </c>
      <c r="AM49" s="309">
        <f t="shared" si="19"/>
        <v>0</v>
      </c>
      <c r="AN49" s="310">
        <v>0</v>
      </c>
      <c r="AO49" s="310">
        <v>0</v>
      </c>
      <c r="AP49" s="310">
        <f t="shared" si="20"/>
        <v>0</v>
      </c>
      <c r="AQ49" s="309">
        <v>0</v>
      </c>
      <c r="AR49" s="311">
        <f t="shared" ca="1" si="6"/>
        <v>1515400.1817033454</v>
      </c>
      <c r="AS49" s="870">
        <f t="shared" ca="1" si="21"/>
        <v>-680506.42614067998</v>
      </c>
      <c r="AT49" s="822"/>
      <c r="AU49" s="878"/>
      <c r="AV49" s="35"/>
      <c r="AW49" s="879"/>
      <c r="AX49" s="35"/>
      <c r="AY49" s="880"/>
    </row>
    <row r="50" spans="1:51">
      <c r="A50" s="303">
        <v>2041</v>
      </c>
      <c r="B50" s="304">
        <f ca="1">IF($D$3="BAU",UtilityDemand!C43,INDIRECT($D$3&amp;"!B"&amp;ROW(A50))+INDIRECT($D$3&amp;"!D"&amp;ROW(A50)))</f>
        <v>181666.99204287567</v>
      </c>
      <c r="C50" s="305">
        <v>0</v>
      </c>
      <c r="D50" s="306">
        <f t="shared" ca="1" si="7"/>
        <v>0</v>
      </c>
      <c r="E50" s="304">
        <f ca="1">IF($D$3="BAU",UtilityDemand!E43,INDIRECT($D$3&amp;"!E"&amp;ROW(D50))+INDIRECT($D$3&amp;"!G"&amp;ROW(D50)))</f>
        <v>967994.0522584432</v>
      </c>
      <c r="F50" s="305">
        <v>0</v>
      </c>
      <c r="G50" s="306">
        <f t="shared" ca="1" si="8"/>
        <v>0</v>
      </c>
      <c r="H50" s="304">
        <f ca="1">IF($D$3="BAU",UtilityDemand!G43,INDIRECT($D$3&amp;"!H"&amp;ROW(G50))+INDIRECT($D$3&amp;"!J"&amp;ROW(G50)))</f>
        <v>280331.15917535545</v>
      </c>
      <c r="I50" s="305">
        <v>0</v>
      </c>
      <c r="J50" s="306">
        <f t="shared" ca="1" si="22"/>
        <v>0</v>
      </c>
      <c r="K50" s="307">
        <f t="shared" ca="1" si="9"/>
        <v>181666.99204287567</v>
      </c>
      <c r="L50" s="307">
        <f t="shared" si="10"/>
        <v>-50000</v>
      </c>
      <c r="M50" s="307">
        <f>IF($AU$25="ALL",PortfolioDashboard!AD87,$AU$27)</f>
        <v>50000</v>
      </c>
      <c r="N50" s="307">
        <f t="shared" ca="1" si="11"/>
        <v>131666.99204287567</v>
      </c>
      <c r="O50" s="306">
        <f t="shared" ca="1" si="12"/>
        <v>967994.0522584432</v>
      </c>
      <c r="P50" s="306">
        <f t="shared" si="13"/>
        <v>0</v>
      </c>
      <c r="Q50" s="306">
        <v>0</v>
      </c>
      <c r="R50" s="306">
        <f t="shared" ca="1" si="14"/>
        <v>967994.0522584432</v>
      </c>
      <c r="S50" s="818">
        <f t="shared" ca="1" si="15"/>
        <v>280331.15917535545</v>
      </c>
      <c r="T50" s="818">
        <f t="shared" si="16"/>
        <v>0</v>
      </c>
      <c r="U50" s="818">
        <v>0</v>
      </c>
      <c r="V50" s="818">
        <f t="shared" ca="1" si="17"/>
        <v>280331.15917535545</v>
      </c>
      <c r="W50" s="306">
        <f t="shared" si="1"/>
        <v>0</v>
      </c>
      <c r="X50" s="306">
        <f t="shared" ca="1" si="2"/>
        <v>-35512.836256398594</v>
      </c>
      <c r="Y50" s="306">
        <v>0</v>
      </c>
      <c r="Z50" s="306">
        <v>0</v>
      </c>
      <c r="AA50" s="308">
        <f ca="1">-SUM(W50,X50/OFFSET(GridFootprintbyYear,$A50-$A$19,0)*EF_PurchElec_MTperMWh,Z50)*OFFSET(ExposureCalculations!Price_GHG_Allowance_2010,A50-$A$19,0)*ExposureCalculations!D47</f>
        <v>2885452.0639062752</v>
      </c>
      <c r="AB50" s="308">
        <f t="shared" ca="1" si="18"/>
        <v>0</v>
      </c>
      <c r="AC50" s="308">
        <f t="shared" ca="1" si="23"/>
        <v>-1250000</v>
      </c>
      <c r="AD50" s="819">
        <f t="shared" ca="1" si="3"/>
        <v>0</v>
      </c>
      <c r="AE50" s="308">
        <v>0</v>
      </c>
      <c r="AF50" s="819">
        <f t="shared" ca="1" si="4"/>
        <v>0</v>
      </c>
      <c r="AG50" s="308">
        <v>0</v>
      </c>
      <c r="AH50" s="308">
        <v>0</v>
      </c>
      <c r="AI50" s="308">
        <v>0</v>
      </c>
      <c r="AJ50" s="308">
        <f t="shared" ca="1" si="5"/>
        <v>-1250000</v>
      </c>
      <c r="AK50" s="309">
        <v>0</v>
      </c>
      <c r="AL50" s="309">
        <v>0</v>
      </c>
      <c r="AM50" s="309">
        <f t="shared" si="19"/>
        <v>0</v>
      </c>
      <c r="AN50" s="310">
        <v>0</v>
      </c>
      <c r="AO50" s="310">
        <v>0</v>
      </c>
      <c r="AP50" s="310">
        <f t="shared" si="20"/>
        <v>0</v>
      </c>
      <c r="AQ50" s="309">
        <v>0</v>
      </c>
      <c r="AR50" s="311">
        <f t="shared" ca="1" si="6"/>
        <v>1635452.0639062752</v>
      </c>
      <c r="AS50" s="870">
        <f t="shared" ca="1" si="21"/>
        <v>954945.63776559522</v>
      </c>
      <c r="AT50" s="822"/>
      <c r="AU50" s="878"/>
      <c r="AV50" s="35"/>
      <c r="AW50" s="879"/>
      <c r="AX50" s="35"/>
      <c r="AY50" s="880"/>
    </row>
    <row r="51" spans="1:51">
      <c r="A51" s="303">
        <v>2042</v>
      </c>
      <c r="B51" s="304">
        <f ca="1">IF($D$3="BAU",UtilityDemand!C44,INDIRECT($D$3&amp;"!B"&amp;ROW(A51))+INDIRECT($D$3&amp;"!D"&amp;ROW(A51)))</f>
        <v>183243.61764372772</v>
      </c>
      <c r="C51" s="305">
        <v>0</v>
      </c>
      <c r="D51" s="306">
        <f t="shared" ca="1" si="7"/>
        <v>0</v>
      </c>
      <c r="E51" s="304">
        <f ca="1">IF($D$3="BAU",UtilityDemand!E44,INDIRECT($D$3&amp;"!E"&amp;ROW(D51))+INDIRECT($D$3&amp;"!G"&amp;ROW(D51)))</f>
        <v>976380.65138811851</v>
      </c>
      <c r="F51" s="305">
        <v>0</v>
      </c>
      <c r="G51" s="306">
        <f t="shared" ca="1" si="8"/>
        <v>0</v>
      </c>
      <c r="H51" s="304">
        <f ca="1">IF($D$3="BAU",UtilityDemand!G44,INDIRECT($D$3&amp;"!H"&amp;ROW(G51))+INDIRECT($D$3&amp;"!J"&amp;ROW(G51)))</f>
        <v>283395.69373795914</v>
      </c>
      <c r="I51" s="305">
        <v>0</v>
      </c>
      <c r="J51" s="306">
        <f t="shared" ca="1" si="22"/>
        <v>0</v>
      </c>
      <c r="K51" s="307">
        <f t="shared" ca="1" si="9"/>
        <v>183243.61764372772</v>
      </c>
      <c r="L51" s="307">
        <f t="shared" si="10"/>
        <v>-50000</v>
      </c>
      <c r="M51" s="307">
        <f>IF($AU$25="ALL",PortfolioDashboard!AD88,$AU$27)</f>
        <v>50000</v>
      </c>
      <c r="N51" s="307">
        <f t="shared" ca="1" si="11"/>
        <v>133243.61764372772</v>
      </c>
      <c r="O51" s="306">
        <f t="shared" ca="1" si="12"/>
        <v>976380.65138811851</v>
      </c>
      <c r="P51" s="306">
        <f t="shared" si="13"/>
        <v>0</v>
      </c>
      <c r="Q51" s="306">
        <v>0</v>
      </c>
      <c r="R51" s="306">
        <f t="shared" ca="1" si="14"/>
        <v>976380.65138811851</v>
      </c>
      <c r="S51" s="818">
        <f t="shared" ca="1" si="15"/>
        <v>283395.69373795914</v>
      </c>
      <c r="T51" s="818">
        <f t="shared" si="16"/>
        <v>0</v>
      </c>
      <c r="U51" s="818">
        <v>0</v>
      </c>
      <c r="V51" s="818">
        <f t="shared" ca="1" si="17"/>
        <v>283395.69373795914</v>
      </c>
      <c r="W51" s="306">
        <f t="shared" si="1"/>
        <v>0</v>
      </c>
      <c r="X51" s="306">
        <f t="shared" ca="1" si="2"/>
        <v>-35512.836256398594</v>
      </c>
      <c r="Y51" s="306">
        <v>0</v>
      </c>
      <c r="Z51" s="306">
        <v>0</v>
      </c>
      <c r="AA51" s="308">
        <f ca="1">-SUM(W51,X51/OFFSET(GridFootprintbyYear,$A51-$A$19,0)*EF_PurchElec_MTperMWh,Z51)*OFFSET(ExposureCalculations!Price_GHG_Allowance_2010,A51-$A$19,0)*ExposureCalculations!D48</f>
        <v>3000825.8901333716</v>
      </c>
      <c r="AB51" s="308">
        <f t="shared" ca="1" si="18"/>
        <v>0</v>
      </c>
      <c r="AC51" s="308">
        <f t="shared" ca="1" si="23"/>
        <v>-1250000</v>
      </c>
      <c r="AD51" s="819">
        <f t="shared" ca="1" si="3"/>
        <v>0</v>
      </c>
      <c r="AE51" s="308">
        <v>0</v>
      </c>
      <c r="AF51" s="819">
        <f t="shared" ca="1" si="4"/>
        <v>0</v>
      </c>
      <c r="AG51" s="308">
        <v>0</v>
      </c>
      <c r="AH51" s="308">
        <v>0</v>
      </c>
      <c r="AI51" s="308">
        <v>0</v>
      </c>
      <c r="AJ51" s="308">
        <f t="shared" ca="1" si="5"/>
        <v>-1250000</v>
      </c>
      <c r="AK51" s="309">
        <v>0</v>
      </c>
      <c r="AL51" s="309">
        <v>0</v>
      </c>
      <c r="AM51" s="309">
        <f t="shared" si="19"/>
        <v>0</v>
      </c>
      <c r="AN51" s="310">
        <v>0</v>
      </c>
      <c r="AO51" s="310">
        <v>0</v>
      </c>
      <c r="AP51" s="310">
        <f t="shared" si="20"/>
        <v>0</v>
      </c>
      <c r="AQ51" s="309">
        <v>0</v>
      </c>
      <c r="AR51" s="311">
        <f t="shared" ca="1" si="6"/>
        <v>1750825.8901333716</v>
      </c>
      <c r="AS51" s="870">
        <f t="shared" ca="1" si="21"/>
        <v>2705771.5278989668</v>
      </c>
      <c r="AT51" s="822"/>
      <c r="AU51" s="878"/>
      <c r="AV51" s="35"/>
      <c r="AW51" s="879"/>
      <c r="AX51" s="35"/>
      <c r="AY51" s="880"/>
    </row>
    <row r="52" spans="1:51">
      <c r="A52" s="303">
        <v>2043</v>
      </c>
      <c r="B52" s="304">
        <f ca="1">IF($D$3="BAU",UtilityDemand!C45,INDIRECT($D$3&amp;"!B"&amp;ROW(A52))+INDIRECT($D$3&amp;"!D"&amp;ROW(A52)))</f>
        <v>184820.24324457973</v>
      </c>
      <c r="C52" s="305">
        <v>0</v>
      </c>
      <c r="D52" s="306">
        <f t="shared" ca="1" si="7"/>
        <v>0</v>
      </c>
      <c r="E52" s="304">
        <f ca="1">IF($D$3="BAU",UtilityDemand!E45,INDIRECT($D$3&amp;"!E"&amp;ROW(D52))+INDIRECT($D$3&amp;"!G"&amp;ROW(D52)))</f>
        <v>984767.25051779393</v>
      </c>
      <c r="F52" s="305">
        <v>0</v>
      </c>
      <c r="G52" s="306">
        <f t="shared" ca="1" si="8"/>
        <v>0</v>
      </c>
      <c r="H52" s="304">
        <f ca="1">IF($D$3="BAU",UtilityDemand!G45,INDIRECT($D$3&amp;"!H"&amp;ROW(G52))+INDIRECT($D$3&amp;"!J"&amp;ROW(G52)))</f>
        <v>286460.22830056283</v>
      </c>
      <c r="I52" s="305">
        <v>0</v>
      </c>
      <c r="J52" s="306">
        <f t="shared" ca="1" si="22"/>
        <v>0</v>
      </c>
      <c r="K52" s="307">
        <f t="shared" ca="1" si="9"/>
        <v>184820.24324457973</v>
      </c>
      <c r="L52" s="307">
        <f t="shared" si="10"/>
        <v>-50000</v>
      </c>
      <c r="M52" s="307">
        <f>IF($AU$25="ALL",PortfolioDashboard!AD89,$AU$27)</f>
        <v>50000</v>
      </c>
      <c r="N52" s="307">
        <f t="shared" ca="1" si="11"/>
        <v>134820.24324457973</v>
      </c>
      <c r="O52" s="306">
        <f t="shared" ca="1" si="12"/>
        <v>984767.25051779393</v>
      </c>
      <c r="P52" s="306">
        <f t="shared" si="13"/>
        <v>0</v>
      </c>
      <c r="Q52" s="306">
        <v>0</v>
      </c>
      <c r="R52" s="306">
        <f t="shared" ca="1" si="14"/>
        <v>984767.25051779393</v>
      </c>
      <c r="S52" s="818">
        <f t="shared" ca="1" si="15"/>
        <v>286460.22830056283</v>
      </c>
      <c r="T52" s="818">
        <f t="shared" si="16"/>
        <v>0</v>
      </c>
      <c r="U52" s="818">
        <v>0</v>
      </c>
      <c r="V52" s="818">
        <f t="shared" ca="1" si="17"/>
        <v>286460.22830056283</v>
      </c>
      <c r="W52" s="306">
        <f t="shared" si="1"/>
        <v>0</v>
      </c>
      <c r="X52" s="306">
        <f t="shared" ca="1" si="2"/>
        <v>-35512.836256398594</v>
      </c>
      <c r="Y52" s="306">
        <v>0</v>
      </c>
      <c r="Z52" s="306">
        <v>0</v>
      </c>
      <c r="AA52" s="308">
        <f ca="1">-SUM(W52,X52/OFFSET(GridFootprintbyYear,$A52-$A$19,0)*EF_PurchElec_MTperMWh,Z52)*OFFSET(ExposureCalculations!Price_GHG_Allowance_2010,A52-$A$19,0)*ExposureCalculations!D49</f>
        <v>3130593.4781022663</v>
      </c>
      <c r="AB52" s="308">
        <f t="shared" ca="1" si="18"/>
        <v>0</v>
      </c>
      <c r="AC52" s="308">
        <f t="shared" ca="1" si="23"/>
        <v>-1250000</v>
      </c>
      <c r="AD52" s="819">
        <f t="shared" ca="1" si="3"/>
        <v>0</v>
      </c>
      <c r="AE52" s="308">
        <v>0</v>
      </c>
      <c r="AF52" s="819">
        <f t="shared" ca="1" si="4"/>
        <v>0</v>
      </c>
      <c r="AG52" s="308">
        <v>0</v>
      </c>
      <c r="AH52" s="308">
        <v>0</v>
      </c>
      <c r="AI52" s="308">
        <v>0</v>
      </c>
      <c r="AJ52" s="308">
        <f t="shared" ca="1" si="5"/>
        <v>-1250000</v>
      </c>
      <c r="AK52" s="309">
        <v>0</v>
      </c>
      <c r="AL52" s="309">
        <v>0</v>
      </c>
      <c r="AM52" s="309">
        <f t="shared" si="19"/>
        <v>0</v>
      </c>
      <c r="AN52" s="310">
        <v>0</v>
      </c>
      <c r="AO52" s="310">
        <v>0</v>
      </c>
      <c r="AP52" s="310">
        <f t="shared" si="20"/>
        <v>0</v>
      </c>
      <c r="AQ52" s="309">
        <v>0</v>
      </c>
      <c r="AR52" s="311">
        <f t="shared" ca="1" si="6"/>
        <v>1880593.4781022663</v>
      </c>
      <c r="AS52" s="870">
        <f t="shared" ca="1" si="21"/>
        <v>4586365.0060012331</v>
      </c>
      <c r="AT52" s="822"/>
      <c r="AU52" s="878"/>
      <c r="AV52" s="35"/>
      <c r="AW52" s="879"/>
      <c r="AX52" s="35"/>
      <c r="AY52" s="880"/>
    </row>
    <row r="53" spans="1:51">
      <c r="A53" s="303">
        <v>2044</v>
      </c>
      <c r="B53" s="304">
        <f ca="1">IF($D$3="BAU",UtilityDemand!C46,INDIRECT($D$3&amp;"!B"&amp;ROW(A53))+INDIRECT($D$3&amp;"!D"&amp;ROW(A53)))</f>
        <v>186396.86884543177</v>
      </c>
      <c r="C53" s="305">
        <v>0</v>
      </c>
      <c r="D53" s="306">
        <f t="shared" ca="1" si="7"/>
        <v>0</v>
      </c>
      <c r="E53" s="304">
        <f ca="1">IF($D$3="BAU",UtilityDemand!E46,INDIRECT($D$3&amp;"!E"&amp;ROW(D53))+INDIRECT($D$3&amp;"!G"&amp;ROW(D53)))</f>
        <v>993153.84964746935</v>
      </c>
      <c r="F53" s="305">
        <v>0</v>
      </c>
      <c r="G53" s="306">
        <f t="shared" ca="1" si="8"/>
        <v>0</v>
      </c>
      <c r="H53" s="304">
        <f ca="1">IF($D$3="BAU",UtilityDemand!G46,INDIRECT($D$3&amp;"!H"&amp;ROW(G53))+INDIRECT($D$3&amp;"!J"&amp;ROW(G53)))</f>
        <v>289524.76286316651</v>
      </c>
      <c r="I53" s="305">
        <v>0</v>
      </c>
      <c r="J53" s="306">
        <f t="shared" ca="1" si="22"/>
        <v>0</v>
      </c>
      <c r="K53" s="307">
        <f t="shared" ca="1" si="9"/>
        <v>186396.86884543177</v>
      </c>
      <c r="L53" s="307">
        <f t="shared" si="10"/>
        <v>-50000</v>
      </c>
      <c r="M53" s="307">
        <f>IF($AU$25="ALL",PortfolioDashboard!AD90,$AU$27)</f>
        <v>50000</v>
      </c>
      <c r="N53" s="307">
        <f t="shared" ca="1" si="11"/>
        <v>136396.86884543177</v>
      </c>
      <c r="O53" s="306">
        <f t="shared" ca="1" si="12"/>
        <v>993153.84964746935</v>
      </c>
      <c r="P53" s="306">
        <f t="shared" si="13"/>
        <v>0</v>
      </c>
      <c r="Q53" s="306">
        <v>0</v>
      </c>
      <c r="R53" s="306">
        <f t="shared" ca="1" si="14"/>
        <v>993153.84964746935</v>
      </c>
      <c r="S53" s="818">
        <f t="shared" ca="1" si="15"/>
        <v>289524.76286316651</v>
      </c>
      <c r="T53" s="818">
        <f t="shared" si="16"/>
        <v>0</v>
      </c>
      <c r="U53" s="818">
        <v>0</v>
      </c>
      <c r="V53" s="818">
        <f t="shared" ca="1" si="17"/>
        <v>289524.76286316651</v>
      </c>
      <c r="W53" s="306">
        <f t="shared" si="1"/>
        <v>0</v>
      </c>
      <c r="X53" s="306">
        <f t="shared" ca="1" si="2"/>
        <v>-35512.836256398594</v>
      </c>
      <c r="Y53" s="306">
        <v>0</v>
      </c>
      <c r="Z53" s="306">
        <v>0</v>
      </c>
      <c r="AA53" s="308">
        <f ca="1">-SUM(W53,X53/OFFSET(GridFootprintbyYear,$A53-$A$19,0)*EF_PurchElec_MTperMWh,Z53)*OFFSET(ExposureCalculations!Price_GHG_Allowance_2010,A53-$A$19,0)*ExposureCalculations!D50</f>
        <v>3277687.8011430902</v>
      </c>
      <c r="AB53" s="308">
        <f t="shared" ca="1" si="18"/>
        <v>0</v>
      </c>
      <c r="AC53" s="308">
        <f t="shared" ca="1" si="23"/>
        <v>-1250000</v>
      </c>
      <c r="AD53" s="819">
        <f t="shared" ca="1" si="3"/>
        <v>0</v>
      </c>
      <c r="AE53" s="308">
        <v>0</v>
      </c>
      <c r="AF53" s="819">
        <f t="shared" ca="1" si="4"/>
        <v>0</v>
      </c>
      <c r="AG53" s="308">
        <v>0</v>
      </c>
      <c r="AH53" s="308">
        <v>0</v>
      </c>
      <c r="AI53" s="308">
        <v>0</v>
      </c>
      <c r="AJ53" s="308">
        <f t="shared" ca="1" si="5"/>
        <v>-1250000</v>
      </c>
      <c r="AK53" s="309">
        <v>0</v>
      </c>
      <c r="AL53" s="309">
        <v>0</v>
      </c>
      <c r="AM53" s="309">
        <f t="shared" si="19"/>
        <v>0</v>
      </c>
      <c r="AN53" s="310">
        <v>0</v>
      </c>
      <c r="AO53" s="310">
        <v>0</v>
      </c>
      <c r="AP53" s="310">
        <f t="shared" si="20"/>
        <v>0</v>
      </c>
      <c r="AQ53" s="309">
        <v>0</v>
      </c>
      <c r="AR53" s="311">
        <f t="shared" ca="1" si="6"/>
        <v>2027687.8011430902</v>
      </c>
      <c r="AS53" s="870">
        <f t="shared" ca="1" si="21"/>
        <v>6614052.8071443234</v>
      </c>
      <c r="AT53" s="822"/>
      <c r="AU53" s="878"/>
      <c r="AV53" s="35"/>
      <c r="AW53" s="879"/>
      <c r="AX53" s="35"/>
      <c r="AY53" s="880"/>
    </row>
    <row r="54" spans="1:51">
      <c r="A54" s="303">
        <v>2045</v>
      </c>
      <c r="B54" s="304">
        <f ca="1">IF($D$3="BAU",UtilityDemand!C47,INDIRECT($D$3&amp;"!B"&amp;ROW(A54))+INDIRECT($D$3&amp;"!D"&amp;ROW(A54)))</f>
        <v>187973.49444628376</v>
      </c>
      <c r="C54" s="305">
        <v>0</v>
      </c>
      <c r="D54" s="306">
        <f t="shared" ca="1" si="7"/>
        <v>0</v>
      </c>
      <c r="E54" s="304">
        <f ca="1">IF($D$3="BAU",UtilityDemand!E47,INDIRECT($D$3&amp;"!E"&amp;ROW(D54))+INDIRECT($D$3&amp;"!G"&amp;ROW(D54)))</f>
        <v>1001540.4487771448</v>
      </c>
      <c r="F54" s="305">
        <v>0</v>
      </c>
      <c r="G54" s="306">
        <f t="shared" ca="1" si="8"/>
        <v>0</v>
      </c>
      <c r="H54" s="304">
        <f ca="1">IF($D$3="BAU",UtilityDemand!G47,INDIRECT($D$3&amp;"!H"&amp;ROW(G54))+INDIRECT($D$3&amp;"!J"&amp;ROW(G54)))</f>
        <v>292589.2974257702</v>
      </c>
      <c r="I54" s="305">
        <v>0</v>
      </c>
      <c r="J54" s="306">
        <f t="shared" ca="1" si="22"/>
        <v>0</v>
      </c>
      <c r="K54" s="307">
        <f t="shared" ca="1" si="9"/>
        <v>187973.49444628376</v>
      </c>
      <c r="L54" s="307">
        <f t="shared" si="10"/>
        <v>-50000</v>
      </c>
      <c r="M54" s="307">
        <f>IF($AU$25="ALL",PortfolioDashboard!AD91,$AU$27)</f>
        <v>50000</v>
      </c>
      <c r="N54" s="307">
        <f t="shared" ca="1" si="11"/>
        <v>137973.49444628376</v>
      </c>
      <c r="O54" s="306">
        <f t="shared" ca="1" si="12"/>
        <v>1001540.4487771448</v>
      </c>
      <c r="P54" s="306">
        <f t="shared" si="13"/>
        <v>0</v>
      </c>
      <c r="Q54" s="306">
        <v>0</v>
      </c>
      <c r="R54" s="306">
        <f t="shared" ca="1" si="14"/>
        <v>1001540.4487771448</v>
      </c>
      <c r="S54" s="818">
        <f t="shared" ca="1" si="15"/>
        <v>292589.2974257702</v>
      </c>
      <c r="T54" s="818">
        <f t="shared" si="16"/>
        <v>0</v>
      </c>
      <c r="U54" s="818">
        <v>0</v>
      </c>
      <c r="V54" s="818">
        <f t="shared" ca="1" si="17"/>
        <v>292589.2974257702</v>
      </c>
      <c r="W54" s="306">
        <f t="shared" si="1"/>
        <v>0</v>
      </c>
      <c r="X54" s="306">
        <f t="shared" ca="1" si="2"/>
        <v>-35512.836256398594</v>
      </c>
      <c r="Y54" s="306">
        <v>0</v>
      </c>
      <c r="Z54" s="306">
        <v>0</v>
      </c>
      <c r="AA54" s="308">
        <f ca="1">-SUM(W54,X54/OFFSET(GridFootprintbyYear,$A54-$A$19,0)*EF_PurchElec_MTperMWh,Z54)*OFFSET(ExposureCalculations!Price_GHG_Allowance_2010,A54-$A$19,0)*ExposureCalculations!D51</f>
        <v>3446311.1628110022</v>
      </c>
      <c r="AB54" s="308">
        <f t="shared" ca="1" si="18"/>
        <v>0</v>
      </c>
      <c r="AC54" s="308">
        <f t="shared" ca="1" si="23"/>
        <v>-1250000</v>
      </c>
      <c r="AD54" s="819">
        <f t="shared" ca="1" si="3"/>
        <v>0</v>
      </c>
      <c r="AE54" s="308">
        <v>0</v>
      </c>
      <c r="AF54" s="819">
        <f t="shared" ca="1" si="4"/>
        <v>0</v>
      </c>
      <c r="AG54" s="308">
        <v>0</v>
      </c>
      <c r="AH54" s="308">
        <v>0</v>
      </c>
      <c r="AI54" s="308">
        <v>0</v>
      </c>
      <c r="AJ54" s="308">
        <f t="shared" ca="1" si="5"/>
        <v>-1250000</v>
      </c>
      <c r="AK54" s="309">
        <v>0</v>
      </c>
      <c r="AL54" s="309">
        <v>0</v>
      </c>
      <c r="AM54" s="309">
        <f t="shared" si="19"/>
        <v>0</v>
      </c>
      <c r="AN54" s="310">
        <v>0</v>
      </c>
      <c r="AO54" s="310">
        <v>0</v>
      </c>
      <c r="AP54" s="310">
        <f t="shared" si="20"/>
        <v>0</v>
      </c>
      <c r="AQ54" s="309">
        <v>0</v>
      </c>
      <c r="AR54" s="311">
        <f t="shared" ca="1" si="6"/>
        <v>2196311.1628110022</v>
      </c>
      <c r="AS54" s="870">
        <f t="shared" ca="1" si="21"/>
        <v>8810363.9699553251</v>
      </c>
      <c r="AT54" s="822"/>
      <c r="AU54" s="878"/>
      <c r="AV54" s="35"/>
      <c r="AW54" s="879"/>
      <c r="AX54" s="35"/>
      <c r="AY54" s="880"/>
    </row>
    <row r="55" spans="1:51">
      <c r="A55" s="303">
        <v>2046</v>
      </c>
      <c r="B55" s="304">
        <f ca="1">IF($D$3="BAU",UtilityDemand!C48,INDIRECT($D$3&amp;"!B"&amp;ROW(A55))+INDIRECT($D$3&amp;"!D"&amp;ROW(A55)))</f>
        <v>189550.12004713583</v>
      </c>
      <c r="C55" s="305">
        <v>0</v>
      </c>
      <c r="D55" s="306">
        <f t="shared" ca="1" si="7"/>
        <v>0</v>
      </c>
      <c r="E55" s="304">
        <f ca="1">IF($D$3="BAU",UtilityDemand!E48,INDIRECT($D$3&amp;"!E"&amp;ROW(D55))+INDIRECT($D$3&amp;"!G"&amp;ROW(D55)))</f>
        <v>1009927.04790682</v>
      </c>
      <c r="F55" s="305">
        <v>0</v>
      </c>
      <c r="G55" s="306">
        <f t="shared" ca="1" si="8"/>
        <v>0</v>
      </c>
      <c r="H55" s="304">
        <f ca="1">IF($D$3="BAU",UtilityDemand!G48,INDIRECT($D$3&amp;"!H"&amp;ROW(G55))+INDIRECT($D$3&amp;"!J"&amp;ROW(G55)))</f>
        <v>295653.83198837389</v>
      </c>
      <c r="I55" s="305">
        <v>0</v>
      </c>
      <c r="J55" s="306">
        <f t="shared" ca="1" si="22"/>
        <v>0</v>
      </c>
      <c r="K55" s="307">
        <f t="shared" ca="1" si="9"/>
        <v>189550.12004713583</v>
      </c>
      <c r="L55" s="307">
        <f t="shared" si="10"/>
        <v>-50000</v>
      </c>
      <c r="M55" s="307">
        <f>IF($AU$25="ALL",PortfolioDashboard!AD92,$AU$27)</f>
        <v>50000</v>
      </c>
      <c r="N55" s="307">
        <f t="shared" ca="1" si="11"/>
        <v>139550.12004713583</v>
      </c>
      <c r="O55" s="306">
        <f t="shared" ca="1" si="12"/>
        <v>1009927.04790682</v>
      </c>
      <c r="P55" s="306">
        <f t="shared" si="13"/>
        <v>0</v>
      </c>
      <c r="Q55" s="306">
        <v>0</v>
      </c>
      <c r="R55" s="306">
        <f t="shared" ca="1" si="14"/>
        <v>1009927.04790682</v>
      </c>
      <c r="S55" s="818">
        <f t="shared" ca="1" si="15"/>
        <v>295653.83198837389</v>
      </c>
      <c r="T55" s="818">
        <f t="shared" si="16"/>
        <v>0</v>
      </c>
      <c r="U55" s="818">
        <v>0</v>
      </c>
      <c r="V55" s="818">
        <f t="shared" ca="1" si="17"/>
        <v>295653.83198837389</v>
      </c>
      <c r="W55" s="306">
        <f t="shared" si="1"/>
        <v>0</v>
      </c>
      <c r="X55" s="306">
        <f t="shared" ca="1" si="2"/>
        <v>-35512.836256398594</v>
      </c>
      <c r="Y55" s="306">
        <v>0</v>
      </c>
      <c r="Z55" s="306">
        <v>0</v>
      </c>
      <c r="AA55" s="308">
        <f ca="1">-SUM(W55,X55/OFFSET(GridFootprintbyYear,$A55-$A$19,0)*EF_PurchElec_MTperMWh,Z55)*OFFSET(ExposureCalculations!Price_GHG_Allowance_2010,A55-$A$19,0)*ExposureCalculations!D52</f>
        <v>3626256.892262985</v>
      </c>
      <c r="AB55" s="308">
        <f t="shared" ca="1" si="18"/>
        <v>0</v>
      </c>
      <c r="AC55" s="308">
        <f t="shared" ca="1" si="23"/>
        <v>-1250000</v>
      </c>
      <c r="AD55" s="819">
        <f t="shared" ca="1" si="3"/>
        <v>0</v>
      </c>
      <c r="AE55" s="308">
        <v>0</v>
      </c>
      <c r="AF55" s="819">
        <f t="shared" ca="1" si="4"/>
        <v>0</v>
      </c>
      <c r="AG55" s="308">
        <v>0</v>
      </c>
      <c r="AH55" s="308">
        <v>0</v>
      </c>
      <c r="AI55" s="308">
        <v>0</v>
      </c>
      <c r="AJ55" s="308">
        <f t="shared" ca="1" si="5"/>
        <v>-1250000</v>
      </c>
      <c r="AK55" s="309">
        <v>0</v>
      </c>
      <c r="AL55" s="309">
        <v>0</v>
      </c>
      <c r="AM55" s="309">
        <f t="shared" si="19"/>
        <v>0</v>
      </c>
      <c r="AN55" s="310">
        <v>0</v>
      </c>
      <c r="AO55" s="310">
        <v>0</v>
      </c>
      <c r="AP55" s="310">
        <f t="shared" si="20"/>
        <v>0</v>
      </c>
      <c r="AQ55" s="309">
        <v>0</v>
      </c>
      <c r="AR55" s="311">
        <f t="shared" ca="1" si="6"/>
        <v>2376256.892262985</v>
      </c>
      <c r="AS55" s="870">
        <f t="shared" ca="1" si="21"/>
        <v>11186620.862218309</v>
      </c>
      <c r="AT55" s="822"/>
      <c r="AU55" s="878"/>
      <c r="AV55" s="35"/>
      <c r="AW55" s="879"/>
      <c r="AX55" s="35"/>
      <c r="AY55" s="880"/>
    </row>
    <row r="56" spans="1:51">
      <c r="A56" s="303">
        <v>2047</v>
      </c>
      <c r="B56" s="304">
        <f ca="1">IF($D$3="BAU",UtilityDemand!C49,INDIRECT($D$3&amp;"!B"&amp;ROW(A56))+INDIRECT($D$3&amp;"!D"&amp;ROW(A56)))</f>
        <v>191126.74564798782</v>
      </c>
      <c r="C56" s="305">
        <v>0</v>
      </c>
      <c r="D56" s="306">
        <f t="shared" ca="1" si="7"/>
        <v>0</v>
      </c>
      <c r="E56" s="304">
        <f ca="1">IF($D$3="BAU",UtilityDemand!E49,INDIRECT($D$3&amp;"!E"&amp;ROW(D56))+INDIRECT($D$3&amp;"!G"&amp;ROW(D56)))</f>
        <v>1018313.6470364953</v>
      </c>
      <c r="F56" s="305">
        <v>0</v>
      </c>
      <c r="G56" s="306">
        <f t="shared" ca="1" si="8"/>
        <v>0</v>
      </c>
      <c r="H56" s="304">
        <f ca="1">IF($D$3="BAU",UtilityDemand!G49,INDIRECT($D$3&amp;"!H"&amp;ROW(G56))+INDIRECT($D$3&amp;"!J"&amp;ROW(G56)))</f>
        <v>298718.36655097757</v>
      </c>
      <c r="I56" s="305">
        <v>0</v>
      </c>
      <c r="J56" s="306">
        <f t="shared" ca="1" si="22"/>
        <v>0</v>
      </c>
      <c r="K56" s="307">
        <f t="shared" ca="1" si="9"/>
        <v>191126.74564798782</v>
      </c>
      <c r="L56" s="307">
        <f t="shared" si="10"/>
        <v>-50000</v>
      </c>
      <c r="M56" s="307">
        <f>IF($AU$25="ALL",PortfolioDashboard!AD93,$AU$27)</f>
        <v>50000</v>
      </c>
      <c r="N56" s="307">
        <f t="shared" ca="1" si="11"/>
        <v>141126.74564798782</v>
      </c>
      <c r="O56" s="306">
        <f t="shared" ca="1" si="12"/>
        <v>1018313.6470364953</v>
      </c>
      <c r="P56" s="306">
        <f t="shared" si="13"/>
        <v>0</v>
      </c>
      <c r="Q56" s="306">
        <v>0</v>
      </c>
      <c r="R56" s="306">
        <f t="shared" ca="1" si="14"/>
        <v>1018313.6470364953</v>
      </c>
      <c r="S56" s="818">
        <f t="shared" ca="1" si="15"/>
        <v>298718.36655097757</v>
      </c>
      <c r="T56" s="818">
        <f t="shared" si="16"/>
        <v>0</v>
      </c>
      <c r="U56" s="818">
        <v>0</v>
      </c>
      <c r="V56" s="818">
        <f t="shared" ca="1" si="17"/>
        <v>298718.36655097757</v>
      </c>
      <c r="W56" s="306">
        <f t="shared" si="1"/>
        <v>0</v>
      </c>
      <c r="X56" s="306">
        <f t="shared" ca="1" si="2"/>
        <v>-35512.836256398594</v>
      </c>
      <c r="Y56" s="306">
        <v>0</v>
      </c>
      <c r="Z56" s="306">
        <v>0</v>
      </c>
      <c r="AA56" s="308">
        <f ca="1">-SUM(W56,X56/OFFSET(GridFootprintbyYear,$A56-$A$19,0)*EF_PurchElec_MTperMWh,Z56)*OFFSET(ExposureCalculations!Price_GHG_Allowance_2010,A56-$A$19,0)*ExposureCalculations!D53</f>
        <v>3818941.99844892</v>
      </c>
      <c r="AB56" s="308">
        <f t="shared" ca="1" si="18"/>
        <v>0</v>
      </c>
      <c r="AC56" s="308">
        <f t="shared" ca="1" si="23"/>
        <v>-1250000</v>
      </c>
      <c r="AD56" s="819">
        <f t="shared" ca="1" si="3"/>
        <v>0</v>
      </c>
      <c r="AE56" s="308">
        <v>0</v>
      </c>
      <c r="AF56" s="819">
        <f t="shared" ca="1" si="4"/>
        <v>0</v>
      </c>
      <c r="AG56" s="308">
        <v>0</v>
      </c>
      <c r="AH56" s="308">
        <v>0</v>
      </c>
      <c r="AI56" s="308">
        <v>0</v>
      </c>
      <c r="AJ56" s="308">
        <f t="shared" ca="1" si="5"/>
        <v>-1250000</v>
      </c>
      <c r="AK56" s="309">
        <v>0</v>
      </c>
      <c r="AL56" s="309">
        <v>0</v>
      </c>
      <c r="AM56" s="309">
        <f t="shared" si="19"/>
        <v>0</v>
      </c>
      <c r="AN56" s="310">
        <v>0</v>
      </c>
      <c r="AO56" s="310">
        <v>0</v>
      </c>
      <c r="AP56" s="310">
        <f t="shared" si="20"/>
        <v>0</v>
      </c>
      <c r="AQ56" s="309">
        <v>0</v>
      </c>
      <c r="AR56" s="311">
        <f t="shared" ca="1" si="6"/>
        <v>2568941.99844892</v>
      </c>
      <c r="AS56" s="870">
        <f t="shared" ca="1" si="21"/>
        <v>13755562.860667229</v>
      </c>
      <c r="AT56" s="822"/>
      <c r="AU56" s="878"/>
      <c r="AV56" s="35"/>
      <c r="AW56" s="879"/>
      <c r="AX56" s="35"/>
      <c r="AY56" s="880"/>
    </row>
    <row r="57" spans="1:51">
      <c r="A57" s="303">
        <v>2048</v>
      </c>
      <c r="B57" s="304">
        <f ca="1">IF($D$3="BAU",UtilityDemand!C50,INDIRECT($D$3&amp;"!B"&amp;ROW(A57))+INDIRECT($D$3&amp;"!D"&amp;ROW(A57)))</f>
        <v>192703.37124883989</v>
      </c>
      <c r="C57" s="305">
        <v>0</v>
      </c>
      <c r="D57" s="306">
        <f t="shared" ca="1" si="7"/>
        <v>0</v>
      </c>
      <c r="E57" s="304">
        <f ca="1">IF($D$3="BAU",UtilityDemand!E50,INDIRECT($D$3&amp;"!E"&amp;ROW(D57))+INDIRECT($D$3&amp;"!G"&amp;ROW(D57)))</f>
        <v>1026700.2461661708</v>
      </c>
      <c r="F57" s="305">
        <v>0</v>
      </c>
      <c r="G57" s="306">
        <f t="shared" ca="1" si="8"/>
        <v>0</v>
      </c>
      <c r="H57" s="304">
        <f ca="1">IF($D$3="BAU",UtilityDemand!G50,INDIRECT($D$3&amp;"!H"&amp;ROW(G57))+INDIRECT($D$3&amp;"!J"&amp;ROW(G57)))</f>
        <v>301782.90111358126</v>
      </c>
      <c r="I57" s="305">
        <v>0</v>
      </c>
      <c r="J57" s="306">
        <f t="shared" ca="1" si="22"/>
        <v>0</v>
      </c>
      <c r="K57" s="307">
        <f t="shared" ca="1" si="9"/>
        <v>192703.37124883989</v>
      </c>
      <c r="L57" s="307">
        <f t="shared" si="10"/>
        <v>-50000</v>
      </c>
      <c r="M57" s="307">
        <f>IF($AU$25="ALL",PortfolioDashboard!AD94,$AU$27)</f>
        <v>50000</v>
      </c>
      <c r="N57" s="307">
        <f t="shared" ca="1" si="11"/>
        <v>142703.37124883989</v>
      </c>
      <c r="O57" s="306">
        <f t="shared" ca="1" si="12"/>
        <v>1026700.2461661708</v>
      </c>
      <c r="P57" s="306">
        <f t="shared" si="13"/>
        <v>0</v>
      </c>
      <c r="Q57" s="306">
        <v>0</v>
      </c>
      <c r="R57" s="306">
        <f t="shared" ca="1" si="14"/>
        <v>1026700.2461661708</v>
      </c>
      <c r="S57" s="818">
        <f t="shared" ca="1" si="15"/>
        <v>301782.90111358126</v>
      </c>
      <c r="T57" s="818">
        <f t="shared" si="16"/>
        <v>0</v>
      </c>
      <c r="U57" s="818">
        <v>0</v>
      </c>
      <c r="V57" s="818">
        <f t="shared" ca="1" si="17"/>
        <v>301782.90111358126</v>
      </c>
      <c r="W57" s="306">
        <f t="shared" si="1"/>
        <v>0</v>
      </c>
      <c r="X57" s="306">
        <f t="shared" ca="1" si="2"/>
        <v>-35512.836256398594</v>
      </c>
      <c r="Y57" s="306">
        <v>0</v>
      </c>
      <c r="Z57" s="306">
        <v>0</v>
      </c>
      <c r="AA57" s="308">
        <f ca="1">-SUM(W57,X57/OFFSET(GridFootprintbyYear,$A57-$A$19,0)*EF_PurchElec_MTperMWh,Z57)*OFFSET(ExposureCalculations!Price_GHG_Allowance_2010,A57-$A$19,0)*ExposureCalculations!D54</f>
        <v>4025902.6024023481</v>
      </c>
      <c r="AB57" s="308">
        <f t="shared" ca="1" si="18"/>
        <v>0</v>
      </c>
      <c r="AC57" s="308">
        <f t="shared" ca="1" si="23"/>
        <v>-1250000</v>
      </c>
      <c r="AD57" s="819">
        <f t="shared" ca="1" si="3"/>
        <v>0</v>
      </c>
      <c r="AE57" s="308">
        <v>0</v>
      </c>
      <c r="AF57" s="819">
        <f t="shared" ca="1" si="4"/>
        <v>0</v>
      </c>
      <c r="AG57" s="308">
        <v>0</v>
      </c>
      <c r="AH57" s="308">
        <v>0</v>
      </c>
      <c r="AI57" s="308">
        <v>0</v>
      </c>
      <c r="AJ57" s="308">
        <f t="shared" ca="1" si="5"/>
        <v>-1250000</v>
      </c>
      <c r="AK57" s="309">
        <v>0</v>
      </c>
      <c r="AL57" s="309">
        <v>0</v>
      </c>
      <c r="AM57" s="309">
        <f t="shared" si="19"/>
        <v>0</v>
      </c>
      <c r="AN57" s="310">
        <v>0</v>
      </c>
      <c r="AO57" s="310">
        <v>0</v>
      </c>
      <c r="AP57" s="310">
        <f t="shared" si="20"/>
        <v>0</v>
      </c>
      <c r="AQ57" s="309">
        <v>0</v>
      </c>
      <c r="AR57" s="311">
        <f t="shared" ca="1" si="6"/>
        <v>2775902.6024023481</v>
      </c>
      <c r="AS57" s="870">
        <f t="shared" ca="1" si="21"/>
        <v>16531465.463069577</v>
      </c>
      <c r="AT57" s="822"/>
      <c r="AU57" s="878"/>
      <c r="AV57" s="35"/>
      <c r="AW57" s="879"/>
      <c r="AX57" s="35"/>
      <c r="AY57" s="880"/>
    </row>
    <row r="58" spans="1:51">
      <c r="A58" s="303">
        <v>2049</v>
      </c>
      <c r="B58" s="304">
        <f ca="1">IF($D$3="BAU",UtilityDemand!C51,INDIRECT($D$3&amp;"!B"&amp;ROW(A58))+INDIRECT($D$3&amp;"!D"&amp;ROW(A58)))</f>
        <v>194279.99684969187</v>
      </c>
      <c r="C58" s="305">
        <v>0</v>
      </c>
      <c r="D58" s="306">
        <f t="shared" ca="1" si="7"/>
        <v>0</v>
      </c>
      <c r="E58" s="304">
        <f ca="1">IF($D$3="BAU",UtilityDemand!E51,INDIRECT($D$3&amp;"!E"&amp;ROW(D58))+INDIRECT($D$3&amp;"!G"&amp;ROW(D58)))</f>
        <v>1035086.8452958462</v>
      </c>
      <c r="F58" s="305">
        <v>0</v>
      </c>
      <c r="G58" s="306">
        <f t="shared" ca="1" si="8"/>
        <v>0</v>
      </c>
      <c r="H58" s="304">
        <f ca="1">IF($D$3="BAU",UtilityDemand!G51,INDIRECT($D$3&amp;"!H"&amp;ROW(G58))+INDIRECT($D$3&amp;"!J"&amp;ROW(G58)))</f>
        <v>304847.43567618495</v>
      </c>
      <c r="I58" s="305">
        <v>0</v>
      </c>
      <c r="J58" s="306">
        <f t="shared" ca="1" si="22"/>
        <v>0</v>
      </c>
      <c r="K58" s="307">
        <f t="shared" ca="1" si="9"/>
        <v>194279.99684969187</v>
      </c>
      <c r="L58" s="307">
        <f t="shared" si="10"/>
        <v>-50000</v>
      </c>
      <c r="M58" s="307">
        <f>IF($AU$25="ALL",PortfolioDashboard!AD95,$AU$27)</f>
        <v>50000</v>
      </c>
      <c r="N58" s="307">
        <f t="shared" ca="1" si="11"/>
        <v>144279.99684969187</v>
      </c>
      <c r="O58" s="306">
        <f t="shared" ca="1" si="12"/>
        <v>1035086.8452958462</v>
      </c>
      <c r="P58" s="306">
        <f t="shared" si="13"/>
        <v>0</v>
      </c>
      <c r="Q58" s="306">
        <v>0</v>
      </c>
      <c r="R58" s="306">
        <f t="shared" ca="1" si="14"/>
        <v>1035086.8452958462</v>
      </c>
      <c r="S58" s="818">
        <f t="shared" ca="1" si="15"/>
        <v>304847.43567618495</v>
      </c>
      <c r="T58" s="818">
        <f t="shared" si="16"/>
        <v>0</v>
      </c>
      <c r="U58" s="818">
        <v>0</v>
      </c>
      <c r="V58" s="818">
        <f t="shared" ca="1" si="17"/>
        <v>304847.43567618495</v>
      </c>
      <c r="W58" s="306">
        <f t="shared" si="1"/>
        <v>0</v>
      </c>
      <c r="X58" s="306">
        <f t="shared" ca="1" si="2"/>
        <v>-35512.836256398594</v>
      </c>
      <c r="Y58" s="306">
        <v>0</v>
      </c>
      <c r="Z58" s="306">
        <v>0</v>
      </c>
      <c r="AA58" s="308">
        <f ca="1">-SUM(W58,X58/OFFSET(GridFootprintbyYear,$A58-$A$19,0)*EF_PurchElec_MTperMWh,Z58)*OFFSET(ExposureCalculations!Price_GHG_Allowance_2010,A58-$A$19,0)*ExposureCalculations!D55</f>
        <v>4248781.4424440311</v>
      </c>
      <c r="AB58" s="308">
        <f t="shared" ca="1" si="18"/>
        <v>0</v>
      </c>
      <c r="AC58" s="308">
        <f t="shared" ca="1" si="23"/>
        <v>-1250000</v>
      </c>
      <c r="AD58" s="819">
        <f t="shared" ca="1" si="3"/>
        <v>0</v>
      </c>
      <c r="AE58" s="308">
        <v>0</v>
      </c>
      <c r="AF58" s="819">
        <f t="shared" ca="1" si="4"/>
        <v>0</v>
      </c>
      <c r="AG58" s="308">
        <v>0</v>
      </c>
      <c r="AH58" s="308">
        <v>0</v>
      </c>
      <c r="AI58" s="308">
        <v>0</v>
      </c>
      <c r="AJ58" s="308">
        <f t="shared" ca="1" si="5"/>
        <v>-1250000</v>
      </c>
      <c r="AK58" s="309">
        <v>0</v>
      </c>
      <c r="AL58" s="309">
        <v>0</v>
      </c>
      <c r="AM58" s="309">
        <f t="shared" si="19"/>
        <v>0</v>
      </c>
      <c r="AN58" s="310">
        <v>0</v>
      </c>
      <c r="AO58" s="310">
        <v>0</v>
      </c>
      <c r="AP58" s="310">
        <f t="shared" si="20"/>
        <v>0</v>
      </c>
      <c r="AQ58" s="309">
        <v>0</v>
      </c>
      <c r="AR58" s="311">
        <f t="shared" ca="1" si="6"/>
        <v>2998781.4424440311</v>
      </c>
      <c r="AS58" s="870">
        <f t="shared" ca="1" si="21"/>
        <v>19530246.905513607</v>
      </c>
      <c r="AT58" s="822"/>
      <c r="AU58" s="878"/>
      <c r="AV58" s="35"/>
      <c r="AW58" s="879"/>
      <c r="AX58" s="35"/>
      <c r="AY58" s="880"/>
    </row>
    <row r="59" spans="1:51">
      <c r="A59" s="303">
        <v>2050</v>
      </c>
      <c r="B59" s="304">
        <f ca="1">IF($D$3="BAU",UtilityDemand!C52,INDIRECT($D$3&amp;"!B"&amp;ROW(A59))+INDIRECT($D$3&amp;"!D"&amp;ROW(A59)))</f>
        <v>195856.62245054395</v>
      </c>
      <c r="C59" s="305">
        <v>0</v>
      </c>
      <c r="D59" s="306">
        <f t="shared" ca="1" si="7"/>
        <v>0</v>
      </c>
      <c r="E59" s="304">
        <f ca="1">IF($D$3="BAU",UtilityDemand!E52,INDIRECT($D$3&amp;"!E"&amp;ROW(D59))+INDIRECT($D$3&amp;"!G"&amp;ROW(D59)))</f>
        <v>1043473.4444255217</v>
      </c>
      <c r="F59" s="305">
        <v>0</v>
      </c>
      <c r="G59" s="306">
        <f t="shared" ca="1" si="8"/>
        <v>0</v>
      </c>
      <c r="H59" s="304">
        <f ca="1">IF($D$3="BAU",UtilityDemand!G52,INDIRECT($D$3&amp;"!H"&amp;ROW(G59))+INDIRECT($D$3&amp;"!J"&amp;ROW(G59)))</f>
        <v>307911.97023878864</v>
      </c>
      <c r="I59" s="305">
        <v>0</v>
      </c>
      <c r="J59" s="306">
        <f t="shared" ca="1" si="22"/>
        <v>0</v>
      </c>
      <c r="K59" s="307">
        <f t="shared" ca="1" si="9"/>
        <v>195856.62245054395</v>
      </c>
      <c r="L59" s="307">
        <f t="shared" si="10"/>
        <v>-50000</v>
      </c>
      <c r="M59" s="307">
        <f>IF($AU$25="ALL",PortfolioDashboard!AD96,$AU$27)</f>
        <v>50000</v>
      </c>
      <c r="N59" s="307">
        <f t="shared" ca="1" si="11"/>
        <v>145856.62245054395</v>
      </c>
      <c r="O59" s="306">
        <f t="shared" ca="1" si="12"/>
        <v>1043473.4444255217</v>
      </c>
      <c r="P59" s="306">
        <f t="shared" si="13"/>
        <v>0</v>
      </c>
      <c r="Q59" s="306">
        <v>0</v>
      </c>
      <c r="R59" s="306">
        <f t="shared" ca="1" si="14"/>
        <v>1043473.4444255217</v>
      </c>
      <c r="S59" s="818">
        <f t="shared" ca="1" si="15"/>
        <v>307911.97023878864</v>
      </c>
      <c r="T59" s="818">
        <f t="shared" si="16"/>
        <v>0</v>
      </c>
      <c r="U59" s="818">
        <v>0</v>
      </c>
      <c r="V59" s="818">
        <f t="shared" ca="1" si="17"/>
        <v>307911.97023878864</v>
      </c>
      <c r="W59" s="306">
        <f t="shared" si="1"/>
        <v>0</v>
      </c>
      <c r="X59" s="306">
        <f t="shared" ca="1" si="2"/>
        <v>-35512.836256398594</v>
      </c>
      <c r="Y59" s="306">
        <v>0</v>
      </c>
      <c r="Z59" s="306">
        <v>0</v>
      </c>
      <c r="AA59" s="308">
        <f ca="1">-SUM(W59,X59/OFFSET(GridFootprintbyYear,$A59-$A$19,0)*EF_PurchElec_MTperMWh,Z59)*OFFSET(ExposureCalculations!Price_GHG_Allowance_2010,A59-$A$19,0)*ExposureCalculations!D56</f>
        <v>4489315.5599221941</v>
      </c>
      <c r="AB59" s="308">
        <f t="shared" ca="1" si="18"/>
        <v>0</v>
      </c>
      <c r="AC59" s="308">
        <f t="shared" ca="1" si="23"/>
        <v>-1250000</v>
      </c>
      <c r="AD59" s="819">
        <f t="shared" ca="1" si="3"/>
        <v>0</v>
      </c>
      <c r="AE59" s="308">
        <v>0</v>
      </c>
      <c r="AF59" s="819">
        <f t="shared" ca="1" si="4"/>
        <v>0</v>
      </c>
      <c r="AG59" s="308">
        <v>0</v>
      </c>
      <c r="AH59" s="308">
        <v>0</v>
      </c>
      <c r="AI59" s="308">
        <v>0</v>
      </c>
      <c r="AJ59" s="308">
        <f t="shared" ca="1" si="5"/>
        <v>-1250000</v>
      </c>
      <c r="AK59" s="309">
        <v>0</v>
      </c>
      <c r="AL59" s="309">
        <v>0</v>
      </c>
      <c r="AM59" s="309">
        <f t="shared" si="19"/>
        <v>0</v>
      </c>
      <c r="AN59" s="310">
        <v>0</v>
      </c>
      <c r="AO59" s="310">
        <v>0</v>
      </c>
      <c r="AP59" s="310">
        <f t="shared" si="20"/>
        <v>0</v>
      </c>
      <c r="AQ59" s="309">
        <v>0</v>
      </c>
      <c r="AR59" s="311">
        <f t="shared" ca="1" si="6"/>
        <v>3239315.5599221941</v>
      </c>
      <c r="AS59" s="870">
        <f t="shared" ca="1" si="21"/>
        <v>22769562.465435803</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2">
    <dataValidation type="list" allowBlank="1" showInputMessage="1" showErrorMessage="1" sqref="D5">
      <formula1>WedgeGroupNames</formula1>
    </dataValidation>
    <dataValidation type="list" allowBlank="1" showInputMessage="1" showErrorMessage="1" sqref="AU25">
      <formula1>"All,Partial"</formula1>
    </dataValidation>
  </dataValidations>
  <hyperlinks>
    <hyperlink ref="D4" location="Summary!A1" display="Return to Summary"/>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sheetPr codeName="Sheet35">
    <tabColor rgb="FFA9DA74"/>
  </sheetPr>
  <dimension ref="A1:AY84"/>
  <sheetViews>
    <sheetView workbookViewId="0">
      <pane xSplit="1" topLeftCell="B1" activePane="topRight" state="frozen"/>
      <selection activeCell="O1" sqref="O1:O7"/>
      <selection pane="topRight" activeCell="O3" sqref="O3:O7"/>
    </sheetView>
  </sheetViews>
  <sheetFormatPr defaultRowHeight="15"/>
  <cols>
    <col min="11" max="11" width="13" customWidth="1"/>
    <col min="12" max="12" width="12.85546875" customWidth="1"/>
    <col min="13" max="13" width="12.42578125" customWidth="1"/>
    <col min="15" max="15" width="10" bestFit="1" customWidth="1"/>
    <col min="28" max="28" width="10.85546875" customWidth="1"/>
    <col min="35" max="36" width="13" customWidth="1"/>
    <col min="38" max="38" width="10" bestFit="1" customWidth="1"/>
    <col min="39" max="39" width="12.5703125" customWidth="1"/>
    <col min="40" max="40" width="12.42578125" customWidth="1"/>
    <col min="41" max="41" width="11.5703125" customWidth="1"/>
    <col min="42" max="42" width="11.7109375" customWidth="1"/>
    <col min="44" max="44" width="13.5703125" customWidth="1"/>
    <col min="45" max="45" width="13.7109375" customWidth="1"/>
    <col min="46" max="46" width="1.7109375" customWidth="1"/>
    <col min="51" max="51" width="10.5703125" customWidth="1"/>
  </cols>
  <sheetData>
    <row r="1" spans="1:50" ht="60">
      <c r="C1" s="257" t="s">
        <v>226</v>
      </c>
      <c r="D1" s="258" t="s">
        <v>1503</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2011</v>
      </c>
      <c r="E2" s="266"/>
      <c r="J2" s="267" t="s">
        <v>231</v>
      </c>
      <c r="K2" s="268">
        <f ca="1">NPV(DiscountRate,AA19:AA59)</f>
        <v>3809895.157616029</v>
      </c>
      <c r="L2" s="269">
        <f ca="1">-SUM(OFFSET(W19,0,0,M2-2010+1,4))</f>
        <v>289627.06685923424</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6369081.1051915763</v>
      </c>
      <c r="L3" s="277" t="s">
        <v>235</v>
      </c>
      <c r="M3" s="278">
        <f ca="1">-SUM(OFFSET(W19,M2-2010,0,1,4))</f>
        <v>8710.5884769694476</v>
      </c>
      <c r="N3" s="272"/>
      <c r="O3" s="1496">
        <f ca="1">AVERAGE(OFFSET(AJ19,0,0,$M$2-2010+1,1))</f>
        <v>664578.02810677898</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7240.6766714808564</v>
      </c>
      <c r="M4" s="281">
        <f ca="1">-SUM(OFFSET(W19,M2-2010,0,1,4))/SUM(OFFSET(ExposureCalculations!G16,M2-2010,0,1,3))</f>
        <v>7.9670170001133397E-3</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650</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 ca="1">NPV(DiscountRate,AO19:AO59)</f>
        <v>-6989034.2951580761</v>
      </c>
      <c r="L7" s="272"/>
      <c r="M7" s="272"/>
      <c r="N7" s="272"/>
      <c r="O7" s="1496">
        <f ca="1">AVERAGE(OFFSET(AO19,0,0,$M$2-2010+1,1))</f>
        <v>-335998.02995245892</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3189941.9676495334</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t="str">
        <f ca="1">IFERROR((K8-K5)/-K5,"No Capital")</f>
        <v>No Capital</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f ca="1">IFERROR(IF(K8&lt;0,"",IRR(AR19:AR59)),"")</f>
        <v>8.2655228039597767E-2</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19.659198764855564</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-619953.18996649561</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7.2056399874036217</v>
      </c>
      <c r="L13" s="824"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44.281944733629203</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1">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878"/>
      <c r="AV19" s="879"/>
      <c r="AW19" s="879"/>
      <c r="AX19" s="35"/>
      <c r="AY19" s="880"/>
    </row>
    <row r="20" spans="1:51">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f>'GreenPwr2 Data'!AH8</f>
        <v>0</v>
      </c>
      <c r="N20" s="307">
        <f t="shared" ref="N20:N59" ca="1" si="12">K20+L20</f>
        <v>130129.26073503707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IF(A20&lt;=$A$19+'GreenPwr2 Data'!$H$26,0,'GreenPwr2 Data'!AE9-'GreenPwr2 Data'!AE8)</f>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v>0</v>
      </c>
      <c r="AO20" s="310">
        <f ca="1">-'GreenPwr2 Data'!$H$20*1000*'GreenPwr2 Data'!AG9*'GreenPwr2 Data'!$H$31-'GreenPwr2 Data'!AM8</f>
        <v>-642763.17567092506</v>
      </c>
      <c r="AP20" s="310">
        <f t="shared" ref="AP20:AP59" ca="1" si="20">SUM(AN20:AO20)</f>
        <v>-642763.17567092506</v>
      </c>
      <c r="AQ20" s="309">
        <v>0</v>
      </c>
      <c r="AR20" s="311">
        <f t="shared" ca="1" si="7"/>
        <v>-642763.17567092506</v>
      </c>
      <c r="AS20" s="870">
        <f t="shared" ref="AS20:AS59" ca="1" si="21">AR20+AS19</f>
        <v>-642763.17567092506</v>
      </c>
      <c r="AT20" s="822"/>
      <c r="AU20" s="878" t="s">
        <v>1355</v>
      </c>
      <c r="AV20" s="35"/>
      <c r="AW20" s="879"/>
      <c r="AX20" s="35"/>
      <c r="AY20" s="880"/>
    </row>
    <row r="21" spans="1:51">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2">-H21*I21</f>
        <v>0</v>
      </c>
      <c r="K21" s="307">
        <f t="shared" ca="1" si="10"/>
        <v>133825.36797702796</v>
      </c>
      <c r="L21" s="307">
        <f t="shared" ca="1" si="11"/>
        <v>0</v>
      </c>
      <c r="M21" s="307">
        <f ca="1">'GreenPwr2 Data'!AH9</f>
        <v>0</v>
      </c>
      <c r="N21" s="307">
        <f t="shared" ca="1" si="12"/>
        <v>133825.36797702796</v>
      </c>
      <c r="O21" s="306">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0</v>
      </c>
      <c r="Y21" s="306">
        <v>0</v>
      </c>
      <c r="Z21" s="306">
        <v>0</v>
      </c>
      <c r="AA21" s="308">
        <f ca="1">-SUM(W21,X21/OFFSET(GridFootprintbyYear,$A21-$A$19,0)*EF_PurchElec_MTperMWh,Z21)*OFFSET(ExposureCalculations!Price_GHG_Allowance_2010,A21-$A$19,0)*ExposureCalculations!D18</f>
        <v>0</v>
      </c>
      <c r="AB21" s="308">
        <f>IF(A21&lt;=$A$19+'GreenPwr2 Data'!$H$26,0,'GreenPwr2 Data'!AE10-'GreenPwr2 Data'!AE9)</f>
        <v>0</v>
      </c>
      <c r="AC21" s="308">
        <v>0</v>
      </c>
      <c r="AD21" s="819">
        <f t="shared" ca="1" si="4"/>
        <v>0</v>
      </c>
      <c r="AE21" s="308">
        <v>0</v>
      </c>
      <c r="AF21" s="819">
        <f t="shared" ca="1" si="5"/>
        <v>0</v>
      </c>
      <c r="AG21" s="308">
        <v>0</v>
      </c>
      <c r="AH21" s="308">
        <v>0</v>
      </c>
      <c r="AI21" s="308">
        <v>0</v>
      </c>
      <c r="AJ21" s="308">
        <f ca="1">SUM(AB21:AI21)</f>
        <v>0</v>
      </c>
      <c r="AK21" s="309">
        <v>0</v>
      </c>
      <c r="AL21" s="309">
        <v>0</v>
      </c>
      <c r="AM21" s="309">
        <f t="shared" si="19"/>
        <v>0</v>
      </c>
      <c r="AN21" s="310">
        <v>0</v>
      </c>
      <c r="AO21" s="310">
        <f ca="1">-'GreenPwr2 Data'!$H$20*1000*'GreenPwr2 Data'!AG10*'GreenPwr2 Data'!$H$31-'GreenPwr2 Data'!AM9</f>
        <v>-650646.30367518531</v>
      </c>
      <c r="AP21" s="310">
        <f t="shared" ca="1" si="20"/>
        <v>-650646.30367518531</v>
      </c>
      <c r="AQ21" s="309">
        <v>0</v>
      </c>
      <c r="AR21" s="311">
        <f t="shared" ca="1" si="7"/>
        <v>-650646.30367518531</v>
      </c>
      <c r="AS21" s="870">
        <f t="shared" ca="1" si="21"/>
        <v>-1293409.4793461105</v>
      </c>
      <c r="AT21" s="822"/>
      <c r="AU21" s="878"/>
      <c r="AV21" s="35"/>
      <c r="AW21" s="879"/>
      <c r="AX21" s="35"/>
      <c r="AY21" s="880"/>
    </row>
    <row r="22" spans="1:51">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2"/>
        <v>0</v>
      </c>
      <c r="K22" s="307">
        <f t="shared" ca="1" si="10"/>
        <v>135980.03402546333</v>
      </c>
      <c r="L22" s="307">
        <f t="shared" ca="1" si="11"/>
        <v>0</v>
      </c>
      <c r="M22" s="307">
        <f ca="1">'GreenPwr2 Data'!AH10</f>
        <v>0</v>
      </c>
      <c r="N22" s="307">
        <f t="shared" ca="1" si="12"/>
        <v>135980.03402546333</v>
      </c>
      <c r="O22" s="306">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0</v>
      </c>
      <c r="Y22" s="306">
        <v>0</v>
      </c>
      <c r="Z22" s="306">
        <v>0</v>
      </c>
      <c r="AA22" s="308">
        <f ca="1">-SUM(W22,X22/OFFSET(GridFootprintbyYear,$A22-$A$19,0)*EF_PurchElec_MTperMWh,Z22)*OFFSET(ExposureCalculations!Price_GHG_Allowance_2010,A22-$A$19,0)*ExposureCalculations!D19</f>
        <v>0</v>
      </c>
      <c r="AB22" s="308">
        <f>IF(A22&lt;=$A$19+'GreenPwr2 Data'!$H$26,0,'GreenPwr2 Data'!AE11-'GreenPwr2 Data'!AE10)</f>
        <v>0</v>
      </c>
      <c r="AC22" s="308">
        <v>0</v>
      </c>
      <c r="AD22" s="819">
        <f t="shared" ca="1" si="4"/>
        <v>0</v>
      </c>
      <c r="AE22" s="308">
        <v>0</v>
      </c>
      <c r="AF22" s="819">
        <f t="shared" ca="1" si="5"/>
        <v>0</v>
      </c>
      <c r="AG22" s="308">
        <v>0</v>
      </c>
      <c r="AH22" s="308">
        <v>0</v>
      </c>
      <c r="AI22" s="308">
        <v>0</v>
      </c>
      <c r="AJ22" s="308">
        <f t="shared" ca="1" si="6"/>
        <v>0</v>
      </c>
      <c r="AK22" s="309">
        <v>0</v>
      </c>
      <c r="AL22" s="309">
        <v>0</v>
      </c>
      <c r="AM22" s="309">
        <f t="shared" si="19"/>
        <v>0</v>
      </c>
      <c r="AN22" s="310">
        <v>0</v>
      </c>
      <c r="AO22" s="310">
        <f ca="1">-'GreenPwr2 Data'!$H$20*1000*'GreenPwr2 Data'!AG11*'GreenPwr2 Data'!$H$31-'GreenPwr2 Data'!AM10</f>
        <v>-719126.83988513984</v>
      </c>
      <c r="AP22" s="310">
        <f t="shared" ca="1" si="20"/>
        <v>-719126.83988513984</v>
      </c>
      <c r="AQ22" s="309">
        <v>0</v>
      </c>
      <c r="AR22" s="311">
        <f t="shared" ca="1" si="7"/>
        <v>-719126.83988513984</v>
      </c>
      <c r="AS22" s="870">
        <f t="shared" ca="1" si="21"/>
        <v>-2012536.3192312503</v>
      </c>
      <c r="AT22" s="822"/>
      <c r="AU22" s="878"/>
      <c r="AV22" s="35"/>
      <c r="AW22" s="879"/>
      <c r="AX22" s="35"/>
      <c r="AY22" s="880"/>
    </row>
    <row r="23" spans="1:51">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2"/>
        <v>0</v>
      </c>
      <c r="K23" s="307">
        <f t="shared" ca="1" si="10"/>
        <v>137556.65962631535</v>
      </c>
      <c r="L23" s="307">
        <f t="shared" ca="1" si="11"/>
        <v>-3066</v>
      </c>
      <c r="M23" s="307">
        <f ca="1">'GreenPwr2 Data'!AH12</f>
        <v>3066</v>
      </c>
      <c r="N23" s="307">
        <f t="shared" ca="1" si="12"/>
        <v>134490.65962631535</v>
      </c>
      <c r="O23" s="306">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-2177.6471192423619</v>
      </c>
      <c r="Y23" s="306">
        <v>0</v>
      </c>
      <c r="Z23" s="306">
        <v>0</v>
      </c>
      <c r="AA23" s="308">
        <f ca="1">-SUM(W23,X23/OFFSET(GridFootprintbyYear,$A23-$A$19,0)*EF_PurchElec_MTperMWh,Z23)*OFFSET(ExposureCalculations!Price_GHG_Allowance_2010,A23-$A$19,0)*ExposureCalculations!D20</f>
        <v>0</v>
      </c>
      <c r="AB23" s="308">
        <f>IF(A23&lt;=$A$19+'GreenPwr2 Data'!$H$26,0,'GreenPwr2 Data'!AE12-'GreenPwr2 Data'!AE11)</f>
        <v>0</v>
      </c>
      <c r="AC23" s="308">
        <v>0</v>
      </c>
      <c r="AD23" s="819">
        <f t="shared" ca="1" si="4"/>
        <v>0</v>
      </c>
      <c r="AE23" s="308">
        <v>0</v>
      </c>
      <c r="AF23" s="819">
        <f t="shared" ca="1" si="5"/>
        <v>0</v>
      </c>
      <c r="AG23" s="308">
        <v>0</v>
      </c>
      <c r="AH23" s="308">
        <v>0</v>
      </c>
      <c r="AI23" s="308">
        <v>0</v>
      </c>
      <c r="AJ23" s="308">
        <f t="shared" ca="1" si="6"/>
        <v>0</v>
      </c>
      <c r="AK23" s="309">
        <v>0</v>
      </c>
      <c r="AL23" s="309">
        <v>0</v>
      </c>
      <c r="AM23" s="309">
        <f t="shared" si="19"/>
        <v>0</v>
      </c>
      <c r="AN23" s="310">
        <v>0</v>
      </c>
      <c r="AO23" s="310">
        <f ca="1">-'GreenPwr2 Data'!$H$20*1000*'GreenPwr2 Data'!AG12*'GreenPwr2 Data'!$H$31-'GreenPwr2 Data'!AM11</f>
        <v>-729900.17012731661</v>
      </c>
      <c r="AP23" s="310">
        <f t="shared" ca="1" si="20"/>
        <v>-729900.17012731661</v>
      </c>
      <c r="AQ23" s="309">
        <v>0</v>
      </c>
      <c r="AR23" s="311">
        <f t="shared" ca="1" si="7"/>
        <v>-729900.17012731661</v>
      </c>
      <c r="AS23" s="870">
        <f t="shared" ca="1" si="21"/>
        <v>-2742436.4893585667</v>
      </c>
      <c r="AT23" s="822"/>
      <c r="AU23" s="878"/>
      <c r="AV23" s="35"/>
      <c r="AW23" s="879"/>
      <c r="AX23" s="35"/>
      <c r="AY23" s="880"/>
    </row>
    <row r="24" spans="1:51">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2"/>
        <v>0</v>
      </c>
      <c r="K24" s="307">
        <f t="shared" ca="1" si="10"/>
        <v>140674.7264207229</v>
      </c>
      <c r="L24" s="307">
        <f t="shared" ca="1" si="11"/>
        <v>-3066</v>
      </c>
      <c r="M24" s="307">
        <f ca="1">'GreenPwr2 Data'!AH13</f>
        <v>3066</v>
      </c>
      <c r="N24" s="307">
        <f t="shared" ca="1" si="12"/>
        <v>137608.7264207229</v>
      </c>
      <c r="O24" s="306">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-2177.6471192423619</v>
      </c>
      <c r="Y24" s="306">
        <v>0</v>
      </c>
      <c r="Z24" s="306">
        <v>0</v>
      </c>
      <c r="AA24" s="308">
        <f ca="1">-SUM(W24,X24/OFFSET(GridFootprintbyYear,$A24-$A$19,0)*EF_PurchElec_MTperMWh,Z24)*OFFSET(ExposureCalculations!Price_GHG_Allowance_2010,A24-$A$19,0)*ExposureCalculations!D21</f>
        <v>22145.22692432001</v>
      </c>
      <c r="AB24" s="308">
        <f>IF(A24&lt;=$A$19+'GreenPwr2 Data'!$H$26,0,'GreenPwr2 Data'!AE13-'GreenPwr2 Data'!AE12)</f>
        <v>0</v>
      </c>
      <c r="AC24" s="308">
        <v>0</v>
      </c>
      <c r="AD24" s="819">
        <f t="shared" ca="1" si="4"/>
        <v>0</v>
      </c>
      <c r="AE24" s="308">
        <v>0</v>
      </c>
      <c r="AF24" s="819">
        <f t="shared" ca="1" si="5"/>
        <v>0</v>
      </c>
      <c r="AG24" s="308">
        <v>0</v>
      </c>
      <c r="AH24" s="308">
        <v>0</v>
      </c>
      <c r="AI24" s="308">
        <v>0</v>
      </c>
      <c r="AJ24" s="308">
        <f t="shared" ca="1" si="6"/>
        <v>0</v>
      </c>
      <c r="AK24" s="309">
        <v>0</v>
      </c>
      <c r="AL24" s="309">
        <v>0</v>
      </c>
      <c r="AM24" s="309">
        <f t="shared" si="19"/>
        <v>0</v>
      </c>
      <c r="AN24" s="310">
        <v>0</v>
      </c>
      <c r="AO24" s="310">
        <f ca="1">-'GreenPwr2 Data'!$H$20*1000*'GreenPwr2 Data'!AG13*'GreenPwr2 Data'!$H$31-'GreenPwr2 Data'!AM12</f>
        <v>-737783.29813157674</v>
      </c>
      <c r="AP24" s="310">
        <f t="shared" ca="1" si="20"/>
        <v>-737783.29813157674</v>
      </c>
      <c r="AQ24" s="309">
        <v>0</v>
      </c>
      <c r="AR24" s="311">
        <f t="shared" ca="1" si="7"/>
        <v>-715638.07120725675</v>
      </c>
      <c r="AS24" s="870">
        <f t="shared" ca="1" si="21"/>
        <v>-3458074.5605658237</v>
      </c>
      <c r="AT24" s="822"/>
      <c r="AU24" s="878"/>
      <c r="AV24" s="35"/>
      <c r="AW24" s="879"/>
      <c r="AX24" s="35"/>
      <c r="AY24" s="880"/>
    </row>
    <row r="25" spans="1:51">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2"/>
        <v>0</v>
      </c>
      <c r="K25" s="307">
        <f t="shared" ca="1" si="10"/>
        <v>142251.35202157494</v>
      </c>
      <c r="L25" s="307">
        <f t="shared" ca="1" si="11"/>
        <v>-3066</v>
      </c>
      <c r="M25" s="307">
        <f ca="1">'GreenPwr2 Data'!AH14</f>
        <v>3066</v>
      </c>
      <c r="N25" s="307">
        <f t="shared" ca="1" si="12"/>
        <v>139185.35202157494</v>
      </c>
      <c r="O25" s="306">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-2177.6471192423619</v>
      </c>
      <c r="Y25" s="306">
        <v>0</v>
      </c>
      <c r="Z25" s="306">
        <v>0</v>
      </c>
      <c r="AA25" s="308">
        <f ca="1">-SUM(W25,X25/OFFSET(GridFootprintbyYear,$A25-$A$19,0)*EF_PurchElec_MTperMWh,Z25)*OFFSET(ExposureCalculations!Price_GHG_Allowance_2010,A25-$A$19,0)*ExposureCalculations!D22</f>
        <v>25562.324068557369</v>
      </c>
      <c r="AB25" s="308">
        <f>IF(A25&lt;=$A$19+'GreenPwr2 Data'!$H$26,0,'GreenPwr2 Data'!AE14-'GreenPwr2 Data'!AE13)</f>
        <v>0</v>
      </c>
      <c r="AC25" s="308">
        <v>0</v>
      </c>
      <c r="AD25" s="819">
        <f t="shared" ca="1" si="4"/>
        <v>0</v>
      </c>
      <c r="AE25" s="308">
        <v>0</v>
      </c>
      <c r="AF25" s="819">
        <f t="shared" ca="1" si="5"/>
        <v>0</v>
      </c>
      <c r="AG25" s="308">
        <v>0</v>
      </c>
      <c r="AH25" s="308">
        <v>0</v>
      </c>
      <c r="AI25" s="308">
        <v>0</v>
      </c>
      <c r="AJ25" s="308">
        <f t="shared" ca="1" si="6"/>
        <v>0</v>
      </c>
      <c r="AK25" s="309">
        <v>0</v>
      </c>
      <c r="AL25" s="309">
        <v>0</v>
      </c>
      <c r="AM25" s="309">
        <f t="shared" si="19"/>
        <v>0</v>
      </c>
      <c r="AN25" s="310">
        <v>0</v>
      </c>
      <c r="AO25" s="310">
        <f ca="1">-'GreenPwr2 Data'!$H$20*1000*'GreenPwr2 Data'!AG14*'GreenPwr2 Data'!$H$31-'GreenPwr2 Data'!AM13</f>
        <v>-803373.63210361463</v>
      </c>
      <c r="AP25" s="310">
        <f t="shared" ca="1" si="20"/>
        <v>-803373.63210361463</v>
      </c>
      <c r="AQ25" s="309">
        <v>0</v>
      </c>
      <c r="AR25" s="311">
        <f t="shared" ca="1" si="7"/>
        <v>-777811.30803505727</v>
      </c>
      <c r="AS25" s="870">
        <f t="shared" ca="1" si="21"/>
        <v>-4235885.8686008807</v>
      </c>
      <c r="AT25" s="822"/>
      <c r="AU25" s="878"/>
      <c r="AV25" s="35"/>
      <c r="AW25" s="879"/>
      <c r="AX25" s="35"/>
      <c r="AY25" s="880"/>
    </row>
    <row r="26" spans="1:51">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2"/>
        <v>0</v>
      </c>
      <c r="K26" s="307">
        <f t="shared" ca="1" si="10"/>
        <v>143827.97762242699</v>
      </c>
      <c r="L26" s="307">
        <f t="shared" ca="1" si="11"/>
        <v>-6132</v>
      </c>
      <c r="M26" s="307">
        <f ca="1">'GreenPwr2 Data'!AH15</f>
        <v>6132</v>
      </c>
      <c r="N26" s="307">
        <f t="shared" ca="1" si="12"/>
        <v>137695.97762242699</v>
      </c>
      <c r="O26" s="306">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-4355.2942384847238</v>
      </c>
      <c r="Y26" s="306">
        <v>0</v>
      </c>
      <c r="Z26" s="306">
        <v>0</v>
      </c>
      <c r="AA26" s="308">
        <f ca="1">-SUM(W26,X26/OFFSET(GridFootprintbyYear,$A26-$A$19,0)*EF_PurchElec_MTperMWh,Z26)*OFFSET(ExposureCalculations!Price_GHG_Allowance_2010,A26-$A$19,0)*ExposureCalculations!D23</f>
        <v>58277.572303635039</v>
      </c>
      <c r="AB26" s="308">
        <f>IF(A26&lt;=$A$19+'GreenPwr2 Data'!$H$26,0,'GreenPwr2 Data'!AE15-'GreenPwr2 Data'!AE14)</f>
        <v>0</v>
      </c>
      <c r="AC26" s="308">
        <v>0</v>
      </c>
      <c r="AD26" s="819">
        <f t="shared" ca="1" si="4"/>
        <v>0</v>
      </c>
      <c r="AE26" s="308">
        <v>0</v>
      </c>
      <c r="AF26" s="819">
        <f t="shared" ca="1" si="5"/>
        <v>0</v>
      </c>
      <c r="AG26" s="308">
        <v>0</v>
      </c>
      <c r="AH26" s="308">
        <v>0</v>
      </c>
      <c r="AI26" s="308">
        <v>0</v>
      </c>
      <c r="AJ26" s="308">
        <f t="shared" ca="1" si="6"/>
        <v>0</v>
      </c>
      <c r="AK26" s="309">
        <v>0</v>
      </c>
      <c r="AL26" s="309">
        <v>0</v>
      </c>
      <c r="AM26" s="309">
        <f t="shared" si="19"/>
        <v>0</v>
      </c>
      <c r="AN26" s="310">
        <v>0</v>
      </c>
      <c r="AO26" s="310">
        <f ca="1">-'GreenPwr2 Data'!$H$20*1000*'GreenPwr2 Data'!AG15*'GreenPwr2 Data'!$H$31-'GreenPwr2 Data'!AM14</f>
        <v>-811256.76010787475</v>
      </c>
      <c r="AP26" s="310">
        <f t="shared" ca="1" si="20"/>
        <v>-811256.76010787475</v>
      </c>
      <c r="AQ26" s="309">
        <v>0</v>
      </c>
      <c r="AR26" s="311">
        <f t="shared" ca="1" si="7"/>
        <v>-752979.18780423969</v>
      </c>
      <c r="AS26" s="870">
        <f t="shared" ca="1" si="21"/>
        <v>-4988865.0564051205</v>
      </c>
      <c r="AT26" s="822"/>
      <c r="AU26" s="878"/>
      <c r="AV26" s="35"/>
      <c r="AW26" s="879"/>
      <c r="AX26" s="35"/>
      <c r="AY26" s="880"/>
    </row>
    <row r="27" spans="1:51">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2"/>
        <v>0</v>
      </c>
      <c r="K27" s="307">
        <f t="shared" ca="1" si="10"/>
        <v>145404.603223279</v>
      </c>
      <c r="L27" s="307">
        <f t="shared" ca="1" si="11"/>
        <v>-6132</v>
      </c>
      <c r="M27" s="307">
        <f ca="1">'GreenPwr2 Data'!AH16</f>
        <v>6132</v>
      </c>
      <c r="N27" s="307">
        <f t="shared" ca="1" si="12"/>
        <v>139272.603223279</v>
      </c>
      <c r="O27" s="306">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-4355.2942384847238</v>
      </c>
      <c r="Y27" s="306">
        <v>0</v>
      </c>
      <c r="Z27" s="306">
        <v>0</v>
      </c>
      <c r="AA27" s="308">
        <f ca="1">-SUM(W27,X27/OFFSET(GridFootprintbyYear,$A27-$A$19,0)*EF_PurchElec_MTperMWh,Z27)*OFFSET(ExposureCalculations!Price_GHG_Allowance_2010,A27-$A$19,0)*ExposureCalculations!D24</f>
        <v>65739.34855386139</v>
      </c>
      <c r="AB27" s="308">
        <f>IF(A27&lt;=$A$19+'GreenPwr2 Data'!$H$26,0,'GreenPwr2 Data'!AE16-'GreenPwr2 Data'!AE15)</f>
        <v>0</v>
      </c>
      <c r="AC27" s="308">
        <v>0</v>
      </c>
      <c r="AD27" s="819">
        <f t="shared" ca="1" si="4"/>
        <v>0</v>
      </c>
      <c r="AE27" s="308">
        <v>0</v>
      </c>
      <c r="AF27" s="819">
        <f t="shared" ca="1" si="5"/>
        <v>0</v>
      </c>
      <c r="AG27" s="308">
        <v>0</v>
      </c>
      <c r="AH27" s="308">
        <v>0</v>
      </c>
      <c r="AI27" s="308">
        <v>0</v>
      </c>
      <c r="AJ27" s="308">
        <f t="shared" ca="1" si="6"/>
        <v>0</v>
      </c>
      <c r="AK27" s="309">
        <v>0</v>
      </c>
      <c r="AL27" s="309">
        <v>0</v>
      </c>
      <c r="AM27" s="309">
        <f t="shared" si="19"/>
        <v>0</v>
      </c>
      <c r="AN27" s="310">
        <v>0</v>
      </c>
      <c r="AO27" s="310">
        <f ca="1">-'GreenPwr2 Data'!$H$20*1000*'GreenPwr2 Data'!AG16*'GreenPwr2 Data'!$H$31-'GreenPwr2 Data'!AM15</f>
        <v>-869139.888112135</v>
      </c>
      <c r="AP27" s="310">
        <f t="shared" ca="1" si="20"/>
        <v>-869139.888112135</v>
      </c>
      <c r="AQ27" s="309">
        <v>0</v>
      </c>
      <c r="AR27" s="311">
        <f t="shared" ca="1" si="7"/>
        <v>-803400.53955827362</v>
      </c>
      <c r="AS27" s="870">
        <f t="shared" ca="1" si="21"/>
        <v>-5792265.5959633943</v>
      </c>
      <c r="AT27" s="822"/>
      <c r="AU27" s="878"/>
      <c r="AV27" s="35"/>
      <c r="AW27" s="879"/>
      <c r="AX27" s="35"/>
      <c r="AY27" s="880"/>
    </row>
    <row r="28" spans="1:51">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2"/>
        <v>0</v>
      </c>
      <c r="K28" s="307">
        <f t="shared" ca="1" si="10"/>
        <v>146981.22882413102</v>
      </c>
      <c r="L28" s="307">
        <f t="shared" ca="1" si="11"/>
        <v>-9198</v>
      </c>
      <c r="M28" s="307">
        <f ca="1">'GreenPwr2 Data'!AH17</f>
        <v>9198</v>
      </c>
      <c r="N28" s="307">
        <f t="shared" ca="1" si="12"/>
        <v>137783.22882413102</v>
      </c>
      <c r="O28" s="306">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-6532.9413577270852</v>
      </c>
      <c r="Y28" s="306">
        <v>0</v>
      </c>
      <c r="Z28" s="306">
        <v>0</v>
      </c>
      <c r="AA28" s="308">
        <f ca="1">-SUM(W28,X28/OFFSET(GridFootprintbyYear,$A28-$A$19,0)*EF_PurchElec_MTperMWh,Z28)*OFFSET(ExposureCalculations!Price_GHG_Allowance_2010,A28-$A$19,0)*ExposureCalculations!D25</f>
        <v>110250.30308494106</v>
      </c>
      <c r="AB28" s="308">
        <f>IF(A28&lt;=$A$19+'GreenPwr2 Data'!$H$26,0,'GreenPwr2 Data'!AE17-'GreenPwr2 Data'!AE16)</f>
        <v>0</v>
      </c>
      <c r="AC28" s="308">
        <v>0</v>
      </c>
      <c r="AD28" s="819">
        <f t="shared" ca="1" si="4"/>
        <v>0</v>
      </c>
      <c r="AE28" s="308">
        <v>0</v>
      </c>
      <c r="AF28" s="819">
        <f t="shared" ca="1" si="5"/>
        <v>0</v>
      </c>
      <c r="AG28" s="308">
        <v>0</v>
      </c>
      <c r="AH28" s="308">
        <v>0</v>
      </c>
      <c r="AI28" s="308">
        <v>0</v>
      </c>
      <c r="AJ28" s="308">
        <f t="shared" ca="1" si="6"/>
        <v>0</v>
      </c>
      <c r="AK28" s="309">
        <v>0</v>
      </c>
      <c r="AL28" s="309">
        <v>0</v>
      </c>
      <c r="AM28" s="309">
        <f t="shared" si="19"/>
        <v>0</v>
      </c>
      <c r="AN28" s="310">
        <v>0</v>
      </c>
      <c r="AO28" s="310">
        <f ca="1">-'GreenPwr2 Data'!$H$20*1000*'GreenPwr2 Data'!AG17*'GreenPwr2 Data'!$H$31-'GreenPwr2 Data'!AM16</f>
        <v>-877023.01611639513</v>
      </c>
      <c r="AP28" s="310">
        <f t="shared" ca="1" si="20"/>
        <v>-877023.01611639513</v>
      </c>
      <c r="AQ28" s="309">
        <v>0</v>
      </c>
      <c r="AR28" s="311">
        <f t="shared" ca="1" si="7"/>
        <v>-766772.71303145401</v>
      </c>
      <c r="AS28" s="870">
        <f t="shared" ca="1" si="21"/>
        <v>-6559038.3089948483</v>
      </c>
      <c r="AT28" s="822"/>
      <c r="AU28" s="878"/>
      <c r="AV28" s="35"/>
      <c r="AW28" s="879"/>
      <c r="AX28" s="35"/>
      <c r="AY28" s="880"/>
    </row>
    <row r="29" spans="1:51">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2"/>
        <v>0</v>
      </c>
      <c r="K29" s="307">
        <f t="shared" ca="1" si="10"/>
        <v>148557.85442498306</v>
      </c>
      <c r="L29" s="307">
        <f t="shared" ca="1" si="11"/>
        <v>-9198</v>
      </c>
      <c r="M29" s="307">
        <f ca="1">'GreenPwr2 Data'!AH18</f>
        <v>9198</v>
      </c>
      <c r="N29" s="307">
        <f t="shared" ca="1" si="12"/>
        <v>139359.85442498306</v>
      </c>
      <c r="O29" s="306">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-6532.9413577270852</v>
      </c>
      <c r="Y29" s="306">
        <v>0</v>
      </c>
      <c r="Z29" s="306">
        <v>0</v>
      </c>
      <c r="AA29" s="308">
        <f ca="1">-SUM(W29,X29/OFFSET(GridFootprintbyYear,$A29-$A$19,0)*EF_PurchElec_MTperMWh,Z29)*OFFSET(ExposureCalculations!Price_GHG_Allowance_2010,A29-$A$19,0)*ExposureCalculations!D26</f>
        <v>122325.6949194676</v>
      </c>
      <c r="AB29" s="308">
        <f>IF(A29&lt;=$A$19+'GreenPwr2 Data'!$H$26,0,'GreenPwr2 Data'!AE18-'GreenPwr2 Data'!AE17)</f>
        <v>0</v>
      </c>
      <c r="AC29" s="308">
        <v>0</v>
      </c>
      <c r="AD29" s="819">
        <f t="shared" ca="1" si="4"/>
        <v>0</v>
      </c>
      <c r="AE29" s="308">
        <v>0</v>
      </c>
      <c r="AF29" s="819">
        <f t="shared" ca="1" si="5"/>
        <v>0</v>
      </c>
      <c r="AG29" s="308">
        <v>0</v>
      </c>
      <c r="AH29" s="308">
        <v>0</v>
      </c>
      <c r="AI29" s="308">
        <v>0</v>
      </c>
      <c r="AJ29" s="308">
        <f t="shared" ca="1" si="6"/>
        <v>0</v>
      </c>
      <c r="AK29" s="309">
        <v>0</v>
      </c>
      <c r="AL29" s="309">
        <v>0</v>
      </c>
      <c r="AM29" s="309">
        <f t="shared" si="19"/>
        <v>0</v>
      </c>
      <c r="AN29" s="310">
        <v>0</v>
      </c>
      <c r="AO29" s="310">
        <f ca="1">-'GreenPwr2 Data'!$H$20*1000*'GreenPwr2 Data'!AG18*'GreenPwr2 Data'!$H$31-'GreenPwr2 Data'!AM17</f>
        <v>-934906.14412065514</v>
      </c>
      <c r="AP29" s="310">
        <f t="shared" ca="1" si="20"/>
        <v>-934906.14412065514</v>
      </c>
      <c r="AQ29" s="309">
        <v>0</v>
      </c>
      <c r="AR29" s="311">
        <f t="shared" ca="1" si="7"/>
        <v>-812580.44920118758</v>
      </c>
      <c r="AS29" s="870">
        <f t="shared" ca="1" si="21"/>
        <v>-7371618.7581960354</v>
      </c>
      <c r="AT29" s="822"/>
      <c r="AU29" s="878"/>
      <c r="AV29" s="35"/>
      <c r="AW29" s="879"/>
      <c r="AX29" s="35"/>
      <c r="AY29" s="880"/>
    </row>
    <row r="30" spans="1:51">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2"/>
        <v>0</v>
      </c>
      <c r="K30" s="307">
        <f t="shared" ca="1" si="10"/>
        <v>150134.48002583507</v>
      </c>
      <c r="L30" s="307">
        <f t="shared" ca="1" si="11"/>
        <v>-12264</v>
      </c>
      <c r="M30" s="307">
        <f ca="1">'GreenPwr2 Data'!AH19</f>
        <v>12264</v>
      </c>
      <c r="N30" s="307">
        <f t="shared" ca="1" si="12"/>
        <v>137870.48002583507</v>
      </c>
      <c r="O30" s="306">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-8710.5884769694476</v>
      </c>
      <c r="Y30" s="306">
        <v>0</v>
      </c>
      <c r="Z30" s="306">
        <v>0</v>
      </c>
      <c r="AA30" s="308">
        <f ca="1">-SUM(W30,X30/OFFSET(GridFootprintbyYear,$A30-$A$19,0)*EF_PurchElec_MTperMWh,Z30)*OFFSET(ExposureCalculations!Price_GHG_Allowance_2010,A30-$A$19,0)*ExposureCalculations!D27</f>
        <v>181676.66911873268</v>
      </c>
      <c r="AB30" s="308">
        <f ca="1">IF(A30&lt;=$A$19+'GreenPwr2 Data'!$H$26,0,'GreenPwr2 Data'!AE19-'GreenPwr2 Data'!AE18)</f>
        <v>-1398770.7281591769</v>
      </c>
      <c r="AC30" s="308">
        <v>0</v>
      </c>
      <c r="AD30" s="819">
        <f t="shared" ca="1" si="4"/>
        <v>0</v>
      </c>
      <c r="AE30" s="308">
        <v>0</v>
      </c>
      <c r="AF30" s="819">
        <f t="shared" ca="1" si="5"/>
        <v>0</v>
      </c>
      <c r="AG30" s="308">
        <v>0</v>
      </c>
      <c r="AH30" s="308">
        <v>0</v>
      </c>
      <c r="AI30" s="308">
        <v>0</v>
      </c>
      <c r="AJ30" s="308">
        <f t="shared" ca="1" si="6"/>
        <v>-1398770.7281591769</v>
      </c>
      <c r="AK30" s="309">
        <v>0</v>
      </c>
      <c r="AL30" s="309">
        <v>0</v>
      </c>
      <c r="AM30" s="309">
        <f t="shared" si="19"/>
        <v>0</v>
      </c>
      <c r="AN30" s="310">
        <v>0</v>
      </c>
      <c r="AO30" s="310">
        <f ca="1">-'GreenPwr2 Data'!$H$20*1000*'GreenPwr2 Data'!AG19*'GreenPwr2 Data'!$H$31-'GreenPwr2 Data'!AM18</f>
        <v>-200000</v>
      </c>
      <c r="AP30" s="310">
        <f t="shared" ca="1" si="20"/>
        <v>-200000</v>
      </c>
      <c r="AQ30" s="309">
        <v>0</v>
      </c>
      <c r="AR30" s="311">
        <f t="shared" ca="1" si="7"/>
        <v>-1417094.0590404442</v>
      </c>
      <c r="AS30" s="870">
        <f t="shared" ca="1" si="21"/>
        <v>-8788712.8172364794</v>
      </c>
      <c r="AT30" s="822"/>
      <c r="AU30" s="878"/>
      <c r="AV30" s="35"/>
      <c r="AW30" s="879"/>
      <c r="AX30" s="35"/>
      <c r="AY30" s="880"/>
    </row>
    <row r="31" spans="1:51">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2"/>
        <v>0</v>
      </c>
      <c r="K31" s="307">
        <f t="shared" ca="1" si="10"/>
        <v>151711.10562668712</v>
      </c>
      <c r="L31" s="307">
        <f t="shared" ca="1" si="11"/>
        <v>-12264</v>
      </c>
      <c r="M31" s="307">
        <f ca="1">'GreenPwr2 Data'!AH20</f>
        <v>12264</v>
      </c>
      <c r="N31" s="307">
        <f t="shared" ca="1" si="12"/>
        <v>139447.10562668712</v>
      </c>
      <c r="O31" s="306">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-8710.5884769694476</v>
      </c>
      <c r="Y31" s="306">
        <v>0</v>
      </c>
      <c r="Z31" s="306">
        <v>0</v>
      </c>
      <c r="AA31" s="308">
        <f ca="1">-SUM(W31,X31/OFFSET(GridFootprintbyYear,$A31-$A$19,0)*EF_PurchElec_MTperMWh,Z31)*OFFSET(ExposureCalculations!Price_GHG_Allowance_2010,A31-$A$19,0)*ExposureCalculations!D28</f>
        <v>200969.26144030556</v>
      </c>
      <c r="AB31" s="308">
        <f ca="1">IF(A31&lt;=$A$19+'GreenPwr2 Data'!$H$26,0,'GreenPwr2 Data'!AE20-'GreenPwr2 Data'!AE19)</f>
        <v>906735.41820002696</v>
      </c>
      <c r="AC31" s="308">
        <v>0</v>
      </c>
      <c r="AD31" s="819">
        <f t="shared" ca="1" si="4"/>
        <v>0</v>
      </c>
      <c r="AE31" s="308">
        <v>0</v>
      </c>
      <c r="AF31" s="819">
        <f t="shared" ca="1" si="5"/>
        <v>0</v>
      </c>
      <c r="AG31" s="308">
        <v>0</v>
      </c>
      <c r="AH31" s="308">
        <v>0</v>
      </c>
      <c r="AI31" s="308">
        <v>0</v>
      </c>
      <c r="AJ31" s="308">
        <f t="shared" ca="1" si="6"/>
        <v>906735.41820002696</v>
      </c>
      <c r="AK31" s="309">
        <v>0</v>
      </c>
      <c r="AL31" s="309">
        <v>0</v>
      </c>
      <c r="AM31" s="309">
        <f t="shared" si="19"/>
        <v>0</v>
      </c>
      <c r="AN31" s="310">
        <v>0</v>
      </c>
      <c r="AO31" s="310">
        <f ca="1">-'GreenPwr2 Data'!$H$20*1000*'GreenPwr2 Data'!AG20*'GreenPwr2 Data'!$H$31-'GreenPwr2 Data'!AM19</f>
        <v>-200000</v>
      </c>
      <c r="AP31" s="310">
        <f t="shared" ca="1" si="20"/>
        <v>-200000</v>
      </c>
      <c r="AQ31" s="309">
        <v>0</v>
      </c>
      <c r="AR31" s="311">
        <f t="shared" ca="1" si="7"/>
        <v>907704.67964033247</v>
      </c>
      <c r="AS31" s="870">
        <f t="shared" ca="1" si="21"/>
        <v>-7881008.1375961471</v>
      </c>
      <c r="AT31" s="822"/>
      <c r="AU31" s="878"/>
      <c r="AV31" s="35"/>
      <c r="AW31" s="879"/>
      <c r="AX31" s="35"/>
      <c r="AY31" s="880"/>
    </row>
    <row r="32" spans="1:51">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2"/>
        <v>0</v>
      </c>
      <c r="K32" s="307">
        <f t="shared" ca="1" si="10"/>
        <v>153287.73122753916</v>
      </c>
      <c r="L32" s="307">
        <f t="shared" ca="1" si="11"/>
        <v>-12264</v>
      </c>
      <c r="M32" s="307">
        <f ca="1">'GreenPwr2 Data'!AH21</f>
        <v>12264</v>
      </c>
      <c r="N32" s="307">
        <f t="shared" ca="1" si="12"/>
        <v>141023.73122753916</v>
      </c>
      <c r="O32" s="306">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-8710.5884769694476</v>
      </c>
      <c r="Y32" s="306">
        <v>0</v>
      </c>
      <c r="Z32" s="306">
        <v>0</v>
      </c>
      <c r="AA32" s="308">
        <f ca="1">-SUM(W32,X32/OFFSET(GridFootprintbyYear,$A32-$A$19,0)*EF_PurchElec_MTperMWh,Z32)*OFFSET(ExposureCalculations!Price_GHG_Allowance_2010,A32-$A$19,0)*ExposureCalculations!D29</f>
        <v>220949.79771156018</v>
      </c>
      <c r="AB32" s="308">
        <f ca="1">IF(A32&lt;=$A$19+'GreenPwr2 Data'!$H$26,0,'GreenPwr2 Data'!AE21-'GreenPwr2 Data'!AE20)</f>
        <v>912269.09529102687</v>
      </c>
      <c r="AC32" s="308">
        <v>0</v>
      </c>
      <c r="AD32" s="819">
        <f t="shared" ca="1" si="4"/>
        <v>0</v>
      </c>
      <c r="AE32" s="308">
        <v>0</v>
      </c>
      <c r="AF32" s="819">
        <f t="shared" ca="1" si="5"/>
        <v>0</v>
      </c>
      <c r="AG32" s="308">
        <v>0</v>
      </c>
      <c r="AH32" s="308">
        <v>0</v>
      </c>
      <c r="AI32" s="308">
        <v>0</v>
      </c>
      <c r="AJ32" s="308">
        <f t="shared" ca="1" si="6"/>
        <v>912269.09529102687</v>
      </c>
      <c r="AK32" s="309">
        <v>0</v>
      </c>
      <c r="AL32" s="309">
        <v>0</v>
      </c>
      <c r="AM32" s="309">
        <f t="shared" si="19"/>
        <v>0</v>
      </c>
      <c r="AN32" s="310">
        <v>0</v>
      </c>
      <c r="AO32" s="310">
        <f ca="1">-'GreenPwr2 Data'!$H$20*1000*'GreenPwr2 Data'!AG21*'GreenPwr2 Data'!$H$31-'GreenPwr2 Data'!AM20</f>
        <v>-200000</v>
      </c>
      <c r="AP32" s="310">
        <f t="shared" ca="1" si="20"/>
        <v>-200000</v>
      </c>
      <c r="AQ32" s="309">
        <v>0</v>
      </c>
      <c r="AR32" s="311">
        <f t="shared" ca="1" si="7"/>
        <v>933218.89300258714</v>
      </c>
      <c r="AS32" s="870">
        <f t="shared" ca="1" si="21"/>
        <v>-6947789.2445935598</v>
      </c>
      <c r="AT32" s="822"/>
      <c r="AU32" s="878"/>
      <c r="AV32" s="35"/>
      <c r="AW32" s="879"/>
      <c r="AX32" s="35"/>
      <c r="AY32" s="880"/>
    </row>
    <row r="33" spans="1:51">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2"/>
        <v>0</v>
      </c>
      <c r="K33" s="307">
        <f t="shared" ca="1" si="10"/>
        <v>154864.35682839117</v>
      </c>
      <c r="L33" s="307">
        <f t="shared" ca="1" si="11"/>
        <v>-12264</v>
      </c>
      <c r="M33" s="307">
        <f ca="1">'GreenPwr2 Data'!AH22</f>
        <v>12264</v>
      </c>
      <c r="N33" s="307">
        <f t="shared" ca="1" si="12"/>
        <v>142600.35682839117</v>
      </c>
      <c r="O33" s="306">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-8710.5884769694476</v>
      </c>
      <c r="Y33" s="306">
        <v>0</v>
      </c>
      <c r="Z33" s="306">
        <v>0</v>
      </c>
      <c r="AA33" s="308">
        <f ca="1">-SUM(W33,X33/OFFSET(GridFootprintbyYear,$A33-$A$19,0)*EF_PurchElec_MTperMWh,Z33)*OFFSET(ExposureCalculations!Price_GHG_Allowance_2010,A33-$A$19,0)*ExposureCalculations!D30</f>
        <v>241589.57155975961</v>
      </c>
      <c r="AB33" s="308">
        <f ca="1">IF(A33&lt;=$A$19+'GreenPwr2 Data'!$H$26,0,'GreenPwr2 Data'!AE22-'GreenPwr2 Data'!AE21)</f>
        <v>917830.44076748192</v>
      </c>
      <c r="AC33" s="308">
        <v>0</v>
      </c>
      <c r="AD33" s="819">
        <f t="shared" ca="1" si="4"/>
        <v>0</v>
      </c>
      <c r="AE33" s="308">
        <v>0</v>
      </c>
      <c r="AF33" s="819">
        <f t="shared" ca="1" si="5"/>
        <v>0</v>
      </c>
      <c r="AG33" s="308">
        <v>0</v>
      </c>
      <c r="AH33" s="308">
        <v>0</v>
      </c>
      <c r="AI33" s="308">
        <v>0</v>
      </c>
      <c r="AJ33" s="308">
        <f t="shared" ca="1" si="6"/>
        <v>917830.44076748192</v>
      </c>
      <c r="AK33" s="309">
        <v>0</v>
      </c>
      <c r="AL33" s="309">
        <v>0</v>
      </c>
      <c r="AM33" s="309">
        <f t="shared" si="19"/>
        <v>0</v>
      </c>
      <c r="AN33" s="310">
        <v>0</v>
      </c>
      <c r="AO33" s="310">
        <f ca="1">-'GreenPwr2 Data'!$H$20*1000*'GreenPwr2 Data'!AG22*'GreenPwr2 Data'!$H$31-'GreenPwr2 Data'!AM21</f>
        <v>-200000</v>
      </c>
      <c r="AP33" s="310">
        <f t="shared" ca="1" si="20"/>
        <v>-200000</v>
      </c>
      <c r="AQ33" s="309">
        <v>0</v>
      </c>
      <c r="AR33" s="311">
        <f t="shared" ca="1" si="7"/>
        <v>959420.01232724148</v>
      </c>
      <c r="AS33" s="870">
        <f t="shared" ca="1" si="21"/>
        <v>-5988369.2322663181</v>
      </c>
      <c r="AT33" s="822"/>
      <c r="AU33" s="878"/>
      <c r="AV33" s="35"/>
      <c r="AW33" s="879"/>
      <c r="AX33" s="35"/>
      <c r="AY33" s="880"/>
    </row>
    <row r="34" spans="1:51">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2"/>
        <v>0</v>
      </c>
      <c r="K34" s="307">
        <f t="shared" ca="1" si="10"/>
        <v>156440.98242924322</v>
      </c>
      <c r="L34" s="307">
        <f t="shared" ca="1" si="11"/>
        <v>-12264</v>
      </c>
      <c r="M34" s="307">
        <f ca="1">'GreenPwr2 Data'!AH23</f>
        <v>12264</v>
      </c>
      <c r="N34" s="307">
        <f t="shared" ca="1" si="12"/>
        <v>144176.98242924322</v>
      </c>
      <c r="O34" s="306">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-8710.5884769694476</v>
      </c>
      <c r="Y34" s="306">
        <v>0</v>
      </c>
      <c r="Z34" s="306">
        <v>0</v>
      </c>
      <c r="AA34" s="308">
        <f ca="1">-SUM(W34,X34/OFFSET(GridFootprintbyYear,$A34-$A$19,0)*EF_PurchElec_MTperMWh,Z34)*OFFSET(ExposureCalculations!Price_GHG_Allowance_2010,A34-$A$19,0)*ExposureCalculations!D31</f>
        <v>262860.07653268886</v>
      </c>
      <c r="AB34" s="308">
        <f ca="1">IF(A34&lt;=$A$19+'GreenPwr2 Data'!$H$26,0,'GreenPwr2 Data'!AE23-'GreenPwr2 Data'!AE22)</f>
        <v>923419.59297131933</v>
      </c>
      <c r="AC34" s="308">
        <v>0</v>
      </c>
      <c r="AD34" s="819">
        <f t="shared" ca="1" si="4"/>
        <v>0</v>
      </c>
      <c r="AE34" s="308">
        <v>0</v>
      </c>
      <c r="AF34" s="819">
        <f t="shared" ca="1" si="5"/>
        <v>0</v>
      </c>
      <c r="AG34" s="308">
        <v>0</v>
      </c>
      <c r="AH34" s="308">
        <v>0</v>
      </c>
      <c r="AI34" s="308">
        <v>0</v>
      </c>
      <c r="AJ34" s="308">
        <f t="shared" ca="1" si="6"/>
        <v>923419.59297131933</v>
      </c>
      <c r="AK34" s="309">
        <v>0</v>
      </c>
      <c r="AL34" s="309">
        <v>0</v>
      </c>
      <c r="AM34" s="309">
        <f t="shared" si="19"/>
        <v>0</v>
      </c>
      <c r="AN34" s="310">
        <v>0</v>
      </c>
      <c r="AO34" s="310">
        <f ca="1">-'GreenPwr2 Data'!$H$20*1000*'GreenPwr2 Data'!AG23*'GreenPwr2 Data'!$H$31-'GreenPwr2 Data'!AM22</f>
        <v>-200000</v>
      </c>
      <c r="AP34" s="310">
        <f t="shared" ca="1" si="20"/>
        <v>-200000</v>
      </c>
      <c r="AQ34" s="309">
        <v>0</v>
      </c>
      <c r="AR34" s="311">
        <f t="shared" ca="1" si="7"/>
        <v>986279.66950400826</v>
      </c>
      <c r="AS34" s="870">
        <f t="shared" ca="1" si="21"/>
        <v>-5002089.5627623098</v>
      </c>
      <c r="AT34" s="822"/>
      <c r="AU34" s="878"/>
      <c r="AV34" s="35"/>
      <c r="AW34" s="879"/>
      <c r="AX34" s="35"/>
      <c r="AY34" s="880"/>
    </row>
    <row r="35" spans="1:51">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2"/>
        <v>0</v>
      </c>
      <c r="K35" s="307">
        <f t="shared" ca="1" si="10"/>
        <v>158017.60803009526</v>
      </c>
      <c r="L35" s="307">
        <f t="shared" ca="1" si="11"/>
        <v>-12264</v>
      </c>
      <c r="M35" s="307">
        <f ca="1">'GreenPwr2 Data'!AH24</f>
        <v>12264</v>
      </c>
      <c r="N35" s="307">
        <f t="shared" ca="1" si="12"/>
        <v>145753.60803009526</v>
      </c>
      <c r="O35" s="306">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-8710.5884769694476</v>
      </c>
      <c r="Y35" s="306">
        <v>0</v>
      </c>
      <c r="Z35" s="306">
        <v>0</v>
      </c>
      <c r="AA35" s="308">
        <f ca="1">-SUM(W35,X35/OFFSET(GridFootprintbyYear,$A35-$A$19,0)*EF_PurchElec_MTperMWh,Z35)*OFFSET(ExposureCalculations!Price_GHG_Allowance_2010,A35-$A$19,0)*ExposureCalculations!D32</f>
        <v>286904.7187954234</v>
      </c>
      <c r="AB35" s="308">
        <f ca="1">IF(A35&lt;=$A$19+'GreenPwr2 Data'!$H$26,0,'GreenPwr2 Data'!AE24-'GreenPwr2 Data'!AE23)</f>
        <v>929036.69093617518</v>
      </c>
      <c r="AC35" s="308">
        <v>0</v>
      </c>
      <c r="AD35" s="819">
        <f t="shared" ca="1" si="4"/>
        <v>0</v>
      </c>
      <c r="AE35" s="308">
        <v>0</v>
      </c>
      <c r="AF35" s="819">
        <f t="shared" ca="1" si="5"/>
        <v>0</v>
      </c>
      <c r="AG35" s="308">
        <v>0</v>
      </c>
      <c r="AH35" s="308">
        <v>0</v>
      </c>
      <c r="AI35" s="308">
        <v>0</v>
      </c>
      <c r="AJ35" s="308">
        <f t="shared" ca="1" si="6"/>
        <v>929036.69093617518</v>
      </c>
      <c r="AK35" s="309">
        <v>0</v>
      </c>
      <c r="AL35" s="309">
        <v>0</v>
      </c>
      <c r="AM35" s="309">
        <f t="shared" si="19"/>
        <v>0</v>
      </c>
      <c r="AN35" s="310">
        <v>0</v>
      </c>
      <c r="AO35" s="310">
        <f ca="1">-'GreenPwr2 Data'!$H$20*1000*'GreenPwr2 Data'!AG24*'GreenPwr2 Data'!$H$31-'GreenPwr2 Data'!AM23</f>
        <v>-200000</v>
      </c>
      <c r="AP35" s="310">
        <f t="shared" ca="1" si="20"/>
        <v>-200000</v>
      </c>
      <c r="AQ35" s="309">
        <v>0</v>
      </c>
      <c r="AR35" s="311">
        <f t="shared" ca="1" si="7"/>
        <v>1015941.4097315986</v>
      </c>
      <c r="AS35" s="870">
        <f t="shared" ca="1" si="21"/>
        <v>-3986148.1530307112</v>
      </c>
      <c r="AT35" s="822"/>
      <c r="AU35" s="878"/>
      <c r="AV35" s="35"/>
      <c r="AW35" s="879"/>
      <c r="AX35" s="35"/>
      <c r="AY35" s="880"/>
    </row>
    <row r="36" spans="1:51">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2"/>
        <v>0</v>
      </c>
      <c r="K36" s="307">
        <f t="shared" ca="1" si="10"/>
        <v>159594.23363094722</v>
      </c>
      <c r="L36" s="307">
        <f t="shared" ca="1" si="11"/>
        <v>-12264</v>
      </c>
      <c r="M36" s="307">
        <f ca="1">'GreenPwr2 Data'!AH25</f>
        <v>12264</v>
      </c>
      <c r="N36" s="307">
        <f t="shared" ca="1" si="12"/>
        <v>147330.23363094722</v>
      </c>
      <c r="O36" s="306">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-8710.5884769694476</v>
      </c>
      <c r="Y36" s="306">
        <v>0</v>
      </c>
      <c r="Z36" s="306">
        <v>0</v>
      </c>
      <c r="AA36" s="308">
        <f ca="1">-SUM(W36,X36/OFFSET(GridFootprintbyYear,$A36-$A$19,0)*EF_PurchElec_MTperMWh,Z36)*OFFSET(ExposureCalculations!Price_GHG_Allowance_2010,A36-$A$19,0)*ExposureCalculations!D33</f>
        <v>311695.85941189661</v>
      </c>
      <c r="AB36" s="308">
        <f ca="1">IF(A36&lt;=$A$19+'GreenPwr2 Data'!$H$26,0,'GreenPwr2 Data'!AE25-'GreenPwr2 Data'!AE24)</f>
        <v>934681.87439085636</v>
      </c>
      <c r="AC36" s="308">
        <v>0</v>
      </c>
      <c r="AD36" s="819">
        <f t="shared" ca="1" si="4"/>
        <v>0</v>
      </c>
      <c r="AE36" s="308">
        <v>0</v>
      </c>
      <c r="AF36" s="819">
        <f t="shared" ca="1" si="5"/>
        <v>0</v>
      </c>
      <c r="AG36" s="308">
        <v>0</v>
      </c>
      <c r="AH36" s="308">
        <v>0</v>
      </c>
      <c r="AI36" s="308">
        <v>0</v>
      </c>
      <c r="AJ36" s="308">
        <f t="shared" ca="1" si="6"/>
        <v>934681.87439085636</v>
      </c>
      <c r="AK36" s="309">
        <v>0</v>
      </c>
      <c r="AL36" s="309">
        <v>0</v>
      </c>
      <c r="AM36" s="309">
        <f t="shared" si="19"/>
        <v>0</v>
      </c>
      <c r="AN36" s="310">
        <v>0</v>
      </c>
      <c r="AO36" s="310">
        <f ca="1">-'GreenPwr2 Data'!$H$20*1000*'GreenPwr2 Data'!AG25*'GreenPwr2 Data'!$H$31-'GreenPwr2 Data'!AM24</f>
        <v>-200000</v>
      </c>
      <c r="AP36" s="310">
        <f t="shared" ca="1" si="20"/>
        <v>-200000</v>
      </c>
      <c r="AQ36" s="309">
        <v>0</v>
      </c>
      <c r="AR36" s="311">
        <f t="shared" ca="1" si="7"/>
        <v>1046377.733802753</v>
      </c>
      <c r="AS36" s="870">
        <f t="shared" ca="1" si="21"/>
        <v>-2939770.4192279582</v>
      </c>
      <c r="AT36" s="822"/>
      <c r="AU36" s="878"/>
      <c r="AV36" s="35"/>
      <c r="AW36" s="879"/>
      <c r="AX36" s="35"/>
      <c r="AY36" s="880"/>
    </row>
    <row r="37" spans="1:51">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2"/>
        <v>0</v>
      </c>
      <c r="K37" s="307">
        <f t="shared" ca="1" si="10"/>
        <v>161170.85923179929</v>
      </c>
      <c r="L37" s="307">
        <f t="shared" ca="1" si="11"/>
        <v>-12264</v>
      </c>
      <c r="M37" s="307">
        <f ca="1">'GreenPwr2 Data'!AH26</f>
        <v>12264</v>
      </c>
      <c r="N37" s="307">
        <f t="shared" ca="1" si="12"/>
        <v>148906.85923179929</v>
      </c>
      <c r="O37" s="306">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-8710.5884769694476</v>
      </c>
      <c r="Y37" s="306">
        <v>0</v>
      </c>
      <c r="Z37" s="306">
        <v>0</v>
      </c>
      <c r="AA37" s="308">
        <f ca="1">-SUM(W37,X37/OFFSET(GridFootprintbyYear,$A37-$A$19,0)*EF_PurchElec_MTperMWh,Z37)*OFFSET(ExposureCalculations!Price_GHG_Allowance_2010,A37-$A$19,0)*ExposureCalculations!D34</f>
        <v>337197.25617445505</v>
      </c>
      <c r="AB37" s="308">
        <f ca="1">IF(A37&lt;=$A$19+'GreenPwr2 Data'!$H$26,0,'GreenPwr2 Data'!AE26-'GreenPwr2 Data'!AE25)</f>
        <v>940355.28376280982</v>
      </c>
      <c r="AC37" s="308">
        <v>0</v>
      </c>
      <c r="AD37" s="819">
        <f t="shared" ca="1" si="4"/>
        <v>0</v>
      </c>
      <c r="AE37" s="308">
        <v>0</v>
      </c>
      <c r="AF37" s="819">
        <f t="shared" ca="1" si="5"/>
        <v>0</v>
      </c>
      <c r="AG37" s="308">
        <v>0</v>
      </c>
      <c r="AH37" s="308">
        <v>0</v>
      </c>
      <c r="AI37" s="308">
        <v>0</v>
      </c>
      <c r="AJ37" s="308">
        <f t="shared" ca="1" si="6"/>
        <v>940355.28376280982</v>
      </c>
      <c r="AK37" s="309">
        <v>0</v>
      </c>
      <c r="AL37" s="309">
        <v>0</v>
      </c>
      <c r="AM37" s="309">
        <f t="shared" si="19"/>
        <v>0</v>
      </c>
      <c r="AN37" s="310">
        <v>0</v>
      </c>
      <c r="AO37" s="310">
        <f ca="1">-'GreenPwr2 Data'!$H$20*1000*'GreenPwr2 Data'!AG26*'GreenPwr2 Data'!$H$31-'GreenPwr2 Data'!AM25</f>
        <v>-200000</v>
      </c>
      <c r="AP37" s="310">
        <f t="shared" ca="1" si="20"/>
        <v>-200000</v>
      </c>
      <c r="AQ37" s="309">
        <v>0</v>
      </c>
      <c r="AR37" s="311">
        <f t="shared" ca="1" si="7"/>
        <v>1077552.5399372648</v>
      </c>
      <c r="AS37" s="870">
        <f t="shared" ca="1" si="21"/>
        <v>-1862217.8792906934</v>
      </c>
      <c r="AT37" s="822"/>
      <c r="AU37" s="878"/>
      <c r="AV37" s="35"/>
      <c r="AW37" s="879"/>
      <c r="AX37" s="35"/>
      <c r="AY37" s="880"/>
    </row>
    <row r="38" spans="1:51">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2"/>
        <v>0</v>
      </c>
      <c r="K38" s="307">
        <f t="shared" ca="1" si="10"/>
        <v>162747.48483265133</v>
      </c>
      <c r="L38" s="307">
        <f t="shared" ca="1" si="11"/>
        <v>-12264</v>
      </c>
      <c r="M38" s="307">
        <f ca="1">'GreenPwr2 Data'!AH27</f>
        <v>12264</v>
      </c>
      <c r="N38" s="307">
        <f t="shared" ca="1" si="12"/>
        <v>150483.48483265133</v>
      </c>
      <c r="O38" s="306">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-8710.5884769694476</v>
      </c>
      <c r="Y38" s="306">
        <v>0</v>
      </c>
      <c r="Z38" s="306">
        <v>0</v>
      </c>
      <c r="AA38" s="308">
        <f ca="1">-SUM(W38,X38/OFFSET(GridFootprintbyYear,$A38-$A$19,0)*EF_PurchElec_MTperMWh,Z38)*OFFSET(ExposureCalculations!Price_GHG_Allowance_2010,A38-$A$19,0)*ExposureCalculations!D35</f>
        <v>363372.86127916048</v>
      </c>
      <c r="AB38" s="308">
        <f ca="1">IF(A38&lt;=$A$19+'GreenPwr2 Data'!$H$26,0,'GreenPwr2 Data'!AE27-'GreenPwr2 Data'!AE26)</f>
        <v>946057.06018162332</v>
      </c>
      <c r="AC38" s="308">
        <v>0</v>
      </c>
      <c r="AD38" s="819">
        <f t="shared" ca="1" si="4"/>
        <v>0</v>
      </c>
      <c r="AE38" s="308">
        <v>0</v>
      </c>
      <c r="AF38" s="819">
        <f t="shared" ca="1" si="5"/>
        <v>0</v>
      </c>
      <c r="AG38" s="308">
        <v>0</v>
      </c>
      <c r="AH38" s="308">
        <v>0</v>
      </c>
      <c r="AI38" s="308">
        <v>0</v>
      </c>
      <c r="AJ38" s="308">
        <f t="shared" ca="1" si="6"/>
        <v>946057.06018162332</v>
      </c>
      <c r="AK38" s="309">
        <v>0</v>
      </c>
      <c r="AL38" s="309">
        <v>0</v>
      </c>
      <c r="AM38" s="309">
        <f t="shared" si="19"/>
        <v>0</v>
      </c>
      <c r="AN38" s="310">
        <v>0</v>
      </c>
      <c r="AO38" s="310">
        <f ca="1">-'GreenPwr2 Data'!$H$20*1000*'GreenPwr2 Data'!AG27*'GreenPwr2 Data'!$H$31-'GreenPwr2 Data'!AM26</f>
        <v>-200000</v>
      </c>
      <c r="AP38" s="310">
        <f t="shared" ca="1" si="20"/>
        <v>-200000</v>
      </c>
      <c r="AQ38" s="309">
        <v>0</v>
      </c>
      <c r="AR38" s="311">
        <f t="shared" ca="1" si="7"/>
        <v>1109429.9214607838</v>
      </c>
      <c r="AS38" s="870">
        <f t="shared" ca="1" si="21"/>
        <v>-752787.95782990963</v>
      </c>
      <c r="AT38" s="822"/>
      <c r="AU38" s="878"/>
      <c r="AV38" s="35"/>
      <c r="AW38" s="879"/>
      <c r="AX38" s="35"/>
      <c r="AY38" s="880"/>
    </row>
    <row r="39" spans="1:51">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2"/>
        <v>0</v>
      </c>
      <c r="K39" s="307">
        <f t="shared" ca="1" si="10"/>
        <v>164324.11043350337</v>
      </c>
      <c r="L39" s="307">
        <f t="shared" ca="1" si="11"/>
        <v>-12264</v>
      </c>
      <c r="M39" s="307">
        <f ca="1">'GreenPwr2 Data'!AH28</f>
        <v>12264</v>
      </c>
      <c r="N39" s="307">
        <f t="shared" ca="1" si="12"/>
        <v>152060.11043350337</v>
      </c>
      <c r="O39" s="306">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-8710.5884769694476</v>
      </c>
      <c r="Y39" s="306">
        <v>0</v>
      </c>
      <c r="Z39" s="306">
        <v>0</v>
      </c>
      <c r="AA39" s="308">
        <f ca="1">-SUM(W39,X39/OFFSET(GridFootprintbyYear,$A39-$A$19,0)*EF_PurchElec_MTperMWh,Z39)*OFFSET(ExposureCalculations!Price_GHG_Allowance_2010,A39-$A$19,0)*ExposureCalculations!D36</f>
        <v>390186.81764390034</v>
      </c>
      <c r="AB39" s="308">
        <f ca="1">IF(A39&lt;=$A$19+'GreenPwr2 Data'!$H$26,0,'GreenPwr2 Data'!AE28-'GreenPwr2 Data'!AE27)</f>
        <v>951787.34548253193</v>
      </c>
      <c r="AC39" s="308">
        <v>0</v>
      </c>
      <c r="AD39" s="819">
        <f t="shared" ca="1" si="4"/>
        <v>0</v>
      </c>
      <c r="AE39" s="308">
        <v>0</v>
      </c>
      <c r="AF39" s="819">
        <f t="shared" ca="1" si="5"/>
        <v>0</v>
      </c>
      <c r="AG39" s="308">
        <v>0</v>
      </c>
      <c r="AH39" s="308">
        <v>0</v>
      </c>
      <c r="AI39" s="308">
        <v>0</v>
      </c>
      <c r="AJ39" s="308">
        <f t="shared" ca="1" si="6"/>
        <v>951787.34548253193</v>
      </c>
      <c r="AK39" s="309">
        <v>0</v>
      </c>
      <c r="AL39" s="309">
        <v>0</v>
      </c>
      <c r="AM39" s="309">
        <f t="shared" si="19"/>
        <v>0</v>
      </c>
      <c r="AN39" s="310">
        <v>0</v>
      </c>
      <c r="AO39" s="310">
        <f ca="1">-'GreenPwr2 Data'!$H$20*1000*'GreenPwr2 Data'!AG28*'GreenPwr2 Data'!$H$31-'GreenPwr2 Data'!AM27</f>
        <v>-200000</v>
      </c>
      <c r="AP39" s="310">
        <f t="shared" ca="1" si="20"/>
        <v>-200000</v>
      </c>
      <c r="AQ39" s="309">
        <v>0</v>
      </c>
      <c r="AR39" s="311">
        <f t="shared" ca="1" si="7"/>
        <v>1141974.1631264323</v>
      </c>
      <c r="AS39" s="870">
        <f t="shared" ca="1" si="21"/>
        <v>389186.2052965227</v>
      </c>
      <c r="AT39" s="822"/>
      <c r="AU39" s="878"/>
      <c r="AV39" s="35"/>
      <c r="AW39" s="879"/>
      <c r="AX39" s="35"/>
      <c r="AY39" s="880"/>
    </row>
    <row r="40" spans="1:51">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2"/>
        <v>0</v>
      </c>
      <c r="K40" s="307">
        <f t="shared" ca="1" si="10"/>
        <v>165900.73603435536</v>
      </c>
      <c r="L40" s="307">
        <f t="shared" ca="1" si="11"/>
        <v>-12264</v>
      </c>
      <c r="M40" s="307">
        <f ca="1">'GreenPwr2 Data'!AH29</f>
        <v>12264</v>
      </c>
      <c r="N40" s="307">
        <f t="shared" ca="1" si="12"/>
        <v>153636.73603435536</v>
      </c>
      <c r="O40" s="306">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-8710.5884769694476</v>
      </c>
      <c r="Y40" s="306">
        <v>0</v>
      </c>
      <c r="Z40" s="306">
        <v>0</v>
      </c>
      <c r="AA40" s="308">
        <f ca="1">-SUM(W40,X40/OFFSET(GridFootprintbyYear,$A40-$A$19,0)*EF_PurchElec_MTperMWh,Z40)*OFFSET(ExposureCalculations!Price_GHG_Allowance_2010,A40-$A$19,0)*ExposureCalculations!D37</f>
        <v>420891.37548057362</v>
      </c>
      <c r="AB40" s="308">
        <f ca="1">IF(A40&lt;=$A$19+'GreenPwr2 Data'!$H$26,0,'GreenPwr2 Data'!AE29-'GreenPwr2 Data'!AE28)</f>
        <v>957546.28220994398</v>
      </c>
      <c r="AC40" s="308">
        <v>0</v>
      </c>
      <c r="AD40" s="819">
        <f t="shared" ca="1" si="4"/>
        <v>0</v>
      </c>
      <c r="AE40" s="308">
        <v>0</v>
      </c>
      <c r="AF40" s="819">
        <f t="shared" ca="1" si="5"/>
        <v>0</v>
      </c>
      <c r="AG40" s="308">
        <v>0</v>
      </c>
      <c r="AH40" s="308">
        <v>0</v>
      </c>
      <c r="AI40" s="308">
        <v>0</v>
      </c>
      <c r="AJ40" s="308">
        <f t="shared" ca="1" si="6"/>
        <v>957546.28220994398</v>
      </c>
      <c r="AK40" s="309">
        <v>0</v>
      </c>
      <c r="AL40" s="309">
        <v>0</v>
      </c>
      <c r="AM40" s="309">
        <f t="shared" si="19"/>
        <v>0</v>
      </c>
      <c r="AN40" s="310">
        <v>0</v>
      </c>
      <c r="AO40" s="310">
        <f ca="1">-'GreenPwr2 Data'!$H$20*1000*'GreenPwr2 Data'!AG29*'GreenPwr2 Data'!$H$31-'GreenPwr2 Data'!AM28</f>
        <v>-200000</v>
      </c>
      <c r="AP40" s="310">
        <f t="shared" ca="1" si="20"/>
        <v>-200000</v>
      </c>
      <c r="AQ40" s="309">
        <v>0</v>
      </c>
      <c r="AR40" s="311">
        <f t="shared" ca="1" si="7"/>
        <v>1178437.6576905176</v>
      </c>
      <c r="AS40" s="870">
        <f t="shared" ca="1" si="21"/>
        <v>1567623.8629870403</v>
      </c>
      <c r="AT40" s="822"/>
      <c r="AU40" s="878"/>
      <c r="AV40" s="35"/>
      <c r="AW40" s="879"/>
      <c r="AX40" s="35"/>
      <c r="AY40" s="880"/>
    </row>
    <row r="41" spans="1:51">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2"/>
        <v>0</v>
      </c>
      <c r="K41" s="307">
        <f t="shared" ca="1" si="10"/>
        <v>167477.3616352074</v>
      </c>
      <c r="L41" s="307">
        <f t="shared" ca="1" si="11"/>
        <v>-12264</v>
      </c>
      <c r="M41" s="307">
        <f ca="1">'GreenPwr2 Data'!AH30</f>
        <v>12264</v>
      </c>
      <c r="N41" s="307">
        <f t="shared" ca="1" si="12"/>
        <v>155213.3616352074</v>
      </c>
      <c r="O41" s="306">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-8710.5884769694476</v>
      </c>
      <c r="Y41" s="306">
        <v>0</v>
      </c>
      <c r="Z41" s="306">
        <v>0</v>
      </c>
      <c r="AA41" s="308">
        <f ca="1">-SUM(W41,X41/OFFSET(GridFootprintbyYear,$A41-$A$19,0)*EF_PurchElec_MTperMWh,Z41)*OFFSET(ExposureCalculations!Price_GHG_Allowance_2010,A41-$A$19,0)*ExposureCalculations!D38</f>
        <v>452347.55782929243</v>
      </c>
      <c r="AB41" s="308">
        <f ca="1">IF(A41&lt;=$A$19+'GreenPwr2 Data'!$H$26,0,'GreenPwr2 Data'!AE30-'GreenPwr2 Data'!AE29)</f>
        <v>963334.01362099499</v>
      </c>
      <c r="AC41" s="308">
        <v>0</v>
      </c>
      <c r="AD41" s="819">
        <f t="shared" ca="1" si="4"/>
        <v>0</v>
      </c>
      <c r="AE41" s="308">
        <v>0</v>
      </c>
      <c r="AF41" s="819">
        <f t="shared" ca="1" si="5"/>
        <v>0</v>
      </c>
      <c r="AG41" s="308">
        <v>0</v>
      </c>
      <c r="AH41" s="308">
        <v>0</v>
      </c>
      <c r="AI41" s="308">
        <v>0</v>
      </c>
      <c r="AJ41" s="308">
        <f t="shared" ca="1" si="6"/>
        <v>963334.01362099499</v>
      </c>
      <c r="AK41" s="309">
        <v>0</v>
      </c>
      <c r="AL41" s="309">
        <v>0</v>
      </c>
      <c r="AM41" s="309">
        <f t="shared" si="19"/>
        <v>0</v>
      </c>
      <c r="AN41" s="310">
        <v>0</v>
      </c>
      <c r="AO41" s="310">
        <f ca="1">-'GreenPwr2 Data'!$H$20*1000*'GreenPwr2 Data'!AG30*'GreenPwr2 Data'!$H$31-'GreenPwr2 Data'!AM29</f>
        <v>-200000</v>
      </c>
      <c r="AP41" s="310">
        <f t="shared" ca="1" si="20"/>
        <v>-200000</v>
      </c>
      <c r="AQ41" s="309">
        <v>0</v>
      </c>
      <c r="AR41" s="311">
        <f t="shared" ca="1" si="7"/>
        <v>1215681.5714502875</v>
      </c>
      <c r="AS41" s="870">
        <f t="shared" ca="1" si="21"/>
        <v>2783305.434437328</v>
      </c>
      <c r="AT41" s="822"/>
      <c r="AU41" s="878"/>
      <c r="AV41" s="35"/>
      <c r="AW41" s="879"/>
      <c r="AX41" s="35"/>
      <c r="AY41" s="880"/>
    </row>
    <row r="42" spans="1:51">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2"/>
        <v>0</v>
      </c>
      <c r="K42" s="307">
        <f t="shared" ca="1" si="10"/>
        <v>169053.98723605942</v>
      </c>
      <c r="L42" s="307">
        <f t="shared" ca="1" si="11"/>
        <v>-12264</v>
      </c>
      <c r="M42" s="307">
        <f ca="1">'GreenPwr2 Data'!AH31</f>
        <v>12264</v>
      </c>
      <c r="N42" s="307">
        <f t="shared" ca="1" si="12"/>
        <v>156789.98723605942</v>
      </c>
      <c r="O42" s="306">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-8710.5884769694476</v>
      </c>
      <c r="Y42" s="306">
        <v>0</v>
      </c>
      <c r="Z42" s="306">
        <v>0</v>
      </c>
      <c r="AA42" s="308">
        <f ca="1">-SUM(W42,X42/OFFSET(GridFootprintbyYear,$A42-$A$19,0)*EF_PurchElec_MTperMWh,Z42)*OFFSET(ExposureCalculations!Price_GHG_Allowance_2010,A42-$A$19,0)*ExposureCalculations!D39</f>
        <v>480546.13819890906</v>
      </c>
      <c r="AB42" s="308">
        <f ca="1">IF(A42&lt;=$A$19+'GreenPwr2 Data'!$H$26,0,'GreenPwr2 Data'!AE31-'GreenPwr2 Data'!AE30)</f>
        <v>969150.68368909881</v>
      </c>
      <c r="AC42" s="308">
        <v>0</v>
      </c>
      <c r="AD42" s="819">
        <f t="shared" ca="1" si="4"/>
        <v>0</v>
      </c>
      <c r="AE42" s="308">
        <v>0</v>
      </c>
      <c r="AF42" s="819">
        <f t="shared" ca="1" si="5"/>
        <v>0</v>
      </c>
      <c r="AG42" s="308">
        <v>0</v>
      </c>
      <c r="AH42" s="308">
        <v>0</v>
      </c>
      <c r="AI42" s="308">
        <v>0</v>
      </c>
      <c r="AJ42" s="308">
        <f t="shared" ca="1" si="6"/>
        <v>969150.68368909881</v>
      </c>
      <c r="AK42" s="309">
        <v>0</v>
      </c>
      <c r="AL42" s="309">
        <v>0</v>
      </c>
      <c r="AM42" s="309">
        <f t="shared" si="19"/>
        <v>0</v>
      </c>
      <c r="AN42" s="310">
        <v>0</v>
      </c>
      <c r="AO42" s="310">
        <f ca="1">-'GreenPwr2 Data'!$H$20*1000*'GreenPwr2 Data'!AG31*'GreenPwr2 Data'!$H$31-'GreenPwr2 Data'!AM30</f>
        <v>-200000</v>
      </c>
      <c r="AP42" s="310">
        <f t="shared" ca="1" si="20"/>
        <v>-200000</v>
      </c>
      <c r="AQ42" s="309">
        <v>0</v>
      </c>
      <c r="AR42" s="311">
        <f t="shared" ca="1" si="7"/>
        <v>1249696.8218880079</v>
      </c>
      <c r="AS42" s="870">
        <f t="shared" ca="1" si="21"/>
        <v>4033002.2563253362</v>
      </c>
      <c r="AT42" s="822"/>
      <c r="AU42" s="878"/>
      <c r="AV42" s="35"/>
      <c r="AW42" s="879"/>
      <c r="AX42" s="35"/>
      <c r="AY42" s="880"/>
    </row>
    <row r="43" spans="1:51">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2"/>
        <v>0</v>
      </c>
      <c r="K43" s="307">
        <f t="shared" ca="1" si="10"/>
        <v>170630.61283691146</v>
      </c>
      <c r="L43" s="307">
        <f t="shared" ca="1" si="11"/>
        <v>-12264</v>
      </c>
      <c r="M43" s="307">
        <f ca="1">'GreenPwr2 Data'!AH32</f>
        <v>12264</v>
      </c>
      <c r="N43" s="307">
        <f t="shared" ca="1" si="12"/>
        <v>158366.61283691146</v>
      </c>
      <c r="O43" s="306">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-8710.5884769694476</v>
      </c>
      <c r="Y43" s="306">
        <v>0</v>
      </c>
      <c r="Z43" s="306">
        <v>0</v>
      </c>
      <c r="AA43" s="308">
        <f ca="1">-SUM(W43,X43/OFFSET(GridFootprintbyYear,$A43-$A$19,0)*EF_PurchElec_MTperMWh,Z43)*OFFSET(ExposureCalculations!Price_GHG_Allowance_2010,A43-$A$19,0)*ExposureCalculations!D40</f>
        <v>505327.18139702658</v>
      </c>
      <c r="AB43" s="308">
        <f ca="1">IF(A43&lt;=$A$19+'GreenPwr2 Data'!$H$26,0,'GreenPwr2 Data'!AE32-'GreenPwr2 Data'!AE31)</f>
        <v>974996.43710754439</v>
      </c>
      <c r="AC43" s="308">
        <v>0</v>
      </c>
      <c r="AD43" s="819">
        <f t="shared" ca="1" si="4"/>
        <v>0</v>
      </c>
      <c r="AE43" s="308">
        <v>0</v>
      </c>
      <c r="AF43" s="819">
        <f t="shared" ca="1" si="5"/>
        <v>0</v>
      </c>
      <c r="AG43" s="308">
        <v>0</v>
      </c>
      <c r="AH43" s="308">
        <v>0</v>
      </c>
      <c r="AI43" s="308">
        <v>0</v>
      </c>
      <c r="AJ43" s="308">
        <f t="shared" ca="1" si="6"/>
        <v>974996.43710754439</v>
      </c>
      <c r="AK43" s="309">
        <v>0</v>
      </c>
      <c r="AL43" s="309">
        <v>0</v>
      </c>
      <c r="AM43" s="309">
        <f t="shared" si="19"/>
        <v>0</v>
      </c>
      <c r="AN43" s="310">
        <v>0</v>
      </c>
      <c r="AO43" s="310">
        <f ca="1">-'GreenPwr2 Data'!$H$20*1000*'GreenPwr2 Data'!AG32*'GreenPwr2 Data'!$H$31-'GreenPwr2 Data'!AM31</f>
        <v>-200000</v>
      </c>
      <c r="AP43" s="310">
        <f t="shared" ca="1" si="20"/>
        <v>-200000</v>
      </c>
      <c r="AQ43" s="309">
        <v>0</v>
      </c>
      <c r="AR43" s="311">
        <f t="shared" ca="1" si="7"/>
        <v>1280323.618504571</v>
      </c>
      <c r="AS43" s="870">
        <f t="shared" ca="1" si="21"/>
        <v>5313325.874829907</v>
      </c>
      <c r="AT43" s="822"/>
      <c r="AU43" s="878"/>
      <c r="AV43" s="35"/>
      <c r="AW43" s="879"/>
      <c r="AX43" s="35"/>
      <c r="AY43" s="880"/>
    </row>
    <row r="44" spans="1:51">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2"/>
        <v>0</v>
      </c>
      <c r="K44" s="307">
        <f t="shared" ca="1" si="10"/>
        <v>172207.23843776347</v>
      </c>
      <c r="L44" s="307">
        <f t="shared" ca="1" si="11"/>
        <v>-12264</v>
      </c>
      <c r="M44" s="307">
        <f ca="1">'GreenPwr2 Data'!AH33</f>
        <v>12264</v>
      </c>
      <c r="N44" s="307">
        <f t="shared" ca="1" si="12"/>
        <v>159943.23843776347</v>
      </c>
      <c r="O44" s="306">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-8710.5884769694476</v>
      </c>
      <c r="Y44" s="306">
        <v>0</v>
      </c>
      <c r="Z44" s="306">
        <v>0</v>
      </c>
      <c r="AA44" s="308">
        <f ca="1">-SUM(W44,X44/OFFSET(GridFootprintbyYear,$A44-$A$19,0)*EF_PurchElec_MTperMWh,Z44)*OFFSET(ExposureCalculations!Price_GHG_Allowance_2010,A44-$A$19,0)*ExposureCalculations!D41</f>
        <v>530617.05071862612</v>
      </c>
      <c r="AB44" s="308">
        <f ca="1">IF(A44&lt;=$A$19+'GreenPwr2 Data'!$H$26,0,'GreenPwr2 Data'!AE33-'GreenPwr2 Data'!AE32)</f>
        <v>980871.41929308139</v>
      </c>
      <c r="AC44" s="308">
        <v>0</v>
      </c>
      <c r="AD44" s="819">
        <f t="shared" ca="1" si="4"/>
        <v>0</v>
      </c>
      <c r="AE44" s="308">
        <v>0</v>
      </c>
      <c r="AF44" s="819">
        <f t="shared" ca="1" si="5"/>
        <v>0</v>
      </c>
      <c r="AG44" s="308">
        <v>0</v>
      </c>
      <c r="AH44" s="308">
        <v>0</v>
      </c>
      <c r="AI44" s="308">
        <v>0</v>
      </c>
      <c r="AJ44" s="308">
        <f t="shared" ca="1" si="6"/>
        <v>980871.41929308139</v>
      </c>
      <c r="AK44" s="309">
        <v>0</v>
      </c>
      <c r="AL44" s="309">
        <v>0</v>
      </c>
      <c r="AM44" s="309">
        <f t="shared" si="19"/>
        <v>0</v>
      </c>
      <c r="AN44" s="310">
        <v>0</v>
      </c>
      <c r="AO44" s="310">
        <f ca="1">-'GreenPwr2 Data'!$H$20*1000*'GreenPwr2 Data'!AG33*'GreenPwr2 Data'!$H$31-'GreenPwr2 Data'!AM32</f>
        <v>-200000</v>
      </c>
      <c r="AP44" s="310">
        <f t="shared" ca="1" si="20"/>
        <v>-200000</v>
      </c>
      <c r="AQ44" s="309">
        <v>0</v>
      </c>
      <c r="AR44" s="311">
        <f t="shared" ca="1" si="7"/>
        <v>1311488.4700117074</v>
      </c>
      <c r="AS44" s="870">
        <f t="shared" ca="1" si="21"/>
        <v>6624814.3448416144</v>
      </c>
      <c r="AT44" s="822"/>
      <c r="AU44" s="878"/>
      <c r="AV44" s="35"/>
      <c r="AW44" s="879"/>
      <c r="AX44" s="35"/>
      <c r="AY44" s="880"/>
    </row>
    <row r="45" spans="1:51">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2"/>
        <v>0</v>
      </c>
      <c r="K45" s="307">
        <f t="shared" ca="1" si="10"/>
        <v>173783.86403861555</v>
      </c>
      <c r="L45" s="307">
        <f t="shared" ca="1" si="11"/>
        <v>-12264</v>
      </c>
      <c r="M45" s="307">
        <f ca="1">'GreenPwr2 Data'!AH34</f>
        <v>12264</v>
      </c>
      <c r="N45" s="307">
        <f t="shared" ca="1" si="12"/>
        <v>161519.86403861555</v>
      </c>
      <c r="O45" s="306">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-8710.5884769694476</v>
      </c>
      <c r="Y45" s="306">
        <v>0</v>
      </c>
      <c r="Z45" s="306">
        <v>0</v>
      </c>
      <c r="AA45" s="308">
        <f ca="1">-SUM(W45,X45/OFFSET(GridFootprintbyYear,$A45-$A$19,0)*EF_PurchElec_MTperMWh,Z45)*OFFSET(ExposureCalculations!Price_GHG_Allowance_2010,A45-$A$19,0)*ExposureCalculations!D42</f>
        <v>560205.4821215492</v>
      </c>
      <c r="AB45" s="308">
        <f ca="1">IF(A45&lt;=$A$19+'GreenPwr2 Data'!$H$26,0,'GreenPwr2 Data'!AE34-'GreenPwr2 Data'!AE33)</f>
        <v>986775.77638954669</v>
      </c>
      <c r="AC45" s="308">
        <v>0</v>
      </c>
      <c r="AD45" s="819">
        <f t="shared" ca="1" si="4"/>
        <v>0</v>
      </c>
      <c r="AE45" s="308">
        <v>0</v>
      </c>
      <c r="AF45" s="819">
        <f t="shared" ca="1" si="5"/>
        <v>0</v>
      </c>
      <c r="AG45" s="308">
        <v>0</v>
      </c>
      <c r="AH45" s="308">
        <v>0</v>
      </c>
      <c r="AI45" s="308">
        <v>0</v>
      </c>
      <c r="AJ45" s="308">
        <f t="shared" ca="1" si="6"/>
        <v>986775.77638954669</v>
      </c>
      <c r="AK45" s="309">
        <v>0</v>
      </c>
      <c r="AL45" s="309">
        <v>0</v>
      </c>
      <c r="AM45" s="309">
        <f t="shared" si="19"/>
        <v>0</v>
      </c>
      <c r="AN45" s="310">
        <v>0</v>
      </c>
      <c r="AO45" s="310">
        <f ca="1">-'GreenPwr2 Data'!$H$20*1000*'GreenPwr2 Data'!AG34*'GreenPwr2 Data'!$H$31-'GreenPwr2 Data'!AM33</f>
        <v>-200000</v>
      </c>
      <c r="AP45" s="310">
        <f t="shared" ca="1" si="20"/>
        <v>-200000</v>
      </c>
      <c r="AQ45" s="309">
        <v>0</v>
      </c>
      <c r="AR45" s="311">
        <f t="shared" ca="1" si="7"/>
        <v>1346981.2585110958</v>
      </c>
      <c r="AS45" s="870">
        <f t="shared" ca="1" si="21"/>
        <v>7971795.6033527106</v>
      </c>
      <c r="AT45" s="822"/>
      <c r="AU45" s="878"/>
      <c r="AV45" s="35"/>
      <c r="AW45" s="879"/>
      <c r="AX45" s="35"/>
      <c r="AY45" s="880"/>
    </row>
    <row r="46" spans="1:51">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2"/>
        <v>0</v>
      </c>
      <c r="K46" s="307">
        <f t="shared" ca="1" si="10"/>
        <v>175360.48963946756</v>
      </c>
      <c r="L46" s="307">
        <f t="shared" ca="1" si="11"/>
        <v>-12264</v>
      </c>
      <c r="M46" s="307">
        <f ca="1">'GreenPwr2 Data'!AH35</f>
        <v>12264</v>
      </c>
      <c r="N46" s="307">
        <f t="shared" ca="1" si="12"/>
        <v>163096.48963946756</v>
      </c>
      <c r="O46" s="306">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-8710.5884769694476</v>
      </c>
      <c r="Y46" s="306">
        <v>0</v>
      </c>
      <c r="Z46" s="306">
        <v>0</v>
      </c>
      <c r="AA46" s="308">
        <f ca="1">-SUM(W46,X46/OFFSET(GridFootprintbyYear,$A46-$A$19,0)*EF_PurchElec_MTperMWh,Z46)*OFFSET(ExposureCalculations!Price_GHG_Allowance_2010,A46-$A$19,0)*ExposureCalculations!D43</f>
        <v>589665.2996652493</v>
      </c>
      <c r="AB46" s="308">
        <f ca="1">IF(A46&lt;=$A$19+'GreenPwr2 Data'!$H$26,0,'GreenPwr2 Data'!AE35-'GreenPwr2 Data'!AE34)</f>
        <v>992709.65527149476</v>
      </c>
      <c r="AC46" s="308">
        <v>0</v>
      </c>
      <c r="AD46" s="819">
        <f t="shared" ca="1" si="4"/>
        <v>0</v>
      </c>
      <c r="AE46" s="308">
        <v>0</v>
      </c>
      <c r="AF46" s="819">
        <f t="shared" ca="1" si="5"/>
        <v>0</v>
      </c>
      <c r="AG46" s="308">
        <v>0</v>
      </c>
      <c r="AH46" s="308">
        <v>0</v>
      </c>
      <c r="AI46" s="308">
        <v>0</v>
      </c>
      <c r="AJ46" s="308">
        <f t="shared" ca="1" si="6"/>
        <v>992709.65527149476</v>
      </c>
      <c r="AK46" s="309">
        <v>0</v>
      </c>
      <c r="AL46" s="309">
        <v>0</v>
      </c>
      <c r="AM46" s="309">
        <f t="shared" si="19"/>
        <v>0</v>
      </c>
      <c r="AN46" s="310">
        <v>0</v>
      </c>
      <c r="AO46" s="310">
        <f ca="1">-'GreenPwr2 Data'!$H$20*1000*'GreenPwr2 Data'!AG35*'GreenPwr2 Data'!$H$31-'GreenPwr2 Data'!AM34</f>
        <v>-200000</v>
      </c>
      <c r="AP46" s="310">
        <f t="shared" ca="1" si="20"/>
        <v>-200000</v>
      </c>
      <c r="AQ46" s="309">
        <v>0</v>
      </c>
      <c r="AR46" s="311">
        <f t="shared" ca="1" si="7"/>
        <v>1382374.9549367442</v>
      </c>
      <c r="AS46" s="870">
        <f t="shared" ca="1" si="21"/>
        <v>9354170.5582894552</v>
      </c>
      <c r="AT46" s="822"/>
      <c r="AU46" s="878"/>
      <c r="AV46" s="35"/>
      <c r="AW46" s="879"/>
      <c r="AX46" s="35"/>
      <c r="AY46" s="880"/>
    </row>
    <row r="47" spans="1:51">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2"/>
        <v>0</v>
      </c>
      <c r="K47" s="307">
        <f t="shared" ca="1" si="10"/>
        <v>176937.1152403196</v>
      </c>
      <c r="L47" s="307">
        <f t="shared" ca="1" si="11"/>
        <v>-12264</v>
      </c>
      <c r="M47" s="307">
        <f ca="1">'GreenPwr2 Data'!AH36</f>
        <v>12264</v>
      </c>
      <c r="N47" s="307">
        <f t="shared" ca="1" si="12"/>
        <v>164673.1152403196</v>
      </c>
      <c r="O47" s="306">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-8710.5884769694476</v>
      </c>
      <c r="Y47" s="306">
        <v>0</v>
      </c>
      <c r="Z47" s="306">
        <v>0</v>
      </c>
      <c r="AA47" s="308">
        <f ca="1">-SUM(W47,X47/OFFSET(GridFootprintbyYear,$A47-$A$19,0)*EF_PurchElec_MTperMWh,Z47)*OFFSET(ExposureCalculations!Price_GHG_Allowance_2010,A47-$A$19,0)*ExposureCalculations!D44</f>
        <v>618918.43020600511</v>
      </c>
      <c r="AB47" s="308">
        <f ca="1">IF(A47&lt;=$A$19+'GreenPwr2 Data'!$H$26,0,'GreenPwr2 Data'!AE36-'GreenPwr2 Data'!AE35)</f>
        <v>998673.20354785025</v>
      </c>
      <c r="AC47" s="308">
        <v>0</v>
      </c>
      <c r="AD47" s="819">
        <f t="shared" ca="1" si="4"/>
        <v>0</v>
      </c>
      <c r="AE47" s="308">
        <v>0</v>
      </c>
      <c r="AF47" s="819">
        <f t="shared" ca="1" si="5"/>
        <v>0</v>
      </c>
      <c r="AG47" s="308">
        <v>0</v>
      </c>
      <c r="AH47" s="308">
        <v>0</v>
      </c>
      <c r="AI47" s="308">
        <v>0</v>
      </c>
      <c r="AJ47" s="308">
        <f t="shared" ca="1" si="6"/>
        <v>998673.20354785025</v>
      </c>
      <c r="AK47" s="309">
        <v>0</v>
      </c>
      <c r="AL47" s="309">
        <v>0</v>
      </c>
      <c r="AM47" s="309">
        <f t="shared" si="19"/>
        <v>0</v>
      </c>
      <c r="AN47" s="310">
        <v>0</v>
      </c>
      <c r="AO47" s="310">
        <f ca="1">-'GreenPwr2 Data'!$H$20*1000*'GreenPwr2 Data'!AG36*'GreenPwr2 Data'!$H$31-'GreenPwr2 Data'!AM35</f>
        <v>-200000</v>
      </c>
      <c r="AP47" s="310">
        <f t="shared" ca="1" si="20"/>
        <v>-200000</v>
      </c>
      <c r="AQ47" s="309">
        <v>0</v>
      </c>
      <c r="AR47" s="311">
        <f t="shared" ca="1" si="7"/>
        <v>1417591.6337538552</v>
      </c>
      <c r="AS47" s="870">
        <f t="shared" ca="1" si="21"/>
        <v>10771762.19204331</v>
      </c>
      <c r="AT47" s="822"/>
      <c r="AU47" s="878"/>
      <c r="AV47" s="35"/>
      <c r="AW47" s="879"/>
      <c r="AX47" s="35"/>
      <c r="AY47" s="880"/>
    </row>
    <row r="48" spans="1:51">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2"/>
        <v>0</v>
      </c>
      <c r="K48" s="307">
        <f t="shared" ca="1" si="10"/>
        <v>178513.74084117162</v>
      </c>
      <c r="L48" s="307">
        <f t="shared" ca="1" si="11"/>
        <v>-12264</v>
      </c>
      <c r="M48" s="307">
        <f ca="1">'GreenPwr2 Data'!AH37</f>
        <v>12264</v>
      </c>
      <c r="N48" s="307">
        <f t="shared" ca="1" si="12"/>
        <v>166249.74084117162</v>
      </c>
      <c r="O48" s="306">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-8710.5884769694476</v>
      </c>
      <c r="Y48" s="306">
        <v>0</v>
      </c>
      <c r="Z48" s="306">
        <v>0</v>
      </c>
      <c r="AA48" s="308">
        <f ca="1">-SUM(W48,X48/OFFSET(GridFootprintbyYear,$A48-$A$19,0)*EF_PurchElec_MTperMWh,Z48)*OFFSET(ExposureCalculations!Price_GHG_Allowance_2010,A48-$A$19,0)*ExposureCalculations!D45</f>
        <v>647901.24558385613</v>
      </c>
      <c r="AB48" s="308">
        <f ca="1">IF(A48&lt;=$A$19+'GreenPwr2 Data'!$H$26,0,'GreenPwr2 Data'!AE37-'GreenPwr2 Data'!AE36)</f>
        <v>1004666.5695655905</v>
      </c>
      <c r="AC48" s="308">
        <v>0</v>
      </c>
      <c r="AD48" s="819">
        <f t="shared" ca="1" si="4"/>
        <v>0</v>
      </c>
      <c r="AE48" s="308">
        <v>0</v>
      </c>
      <c r="AF48" s="819">
        <f t="shared" ca="1" si="5"/>
        <v>0</v>
      </c>
      <c r="AG48" s="308">
        <v>0</v>
      </c>
      <c r="AH48" s="308">
        <v>0</v>
      </c>
      <c r="AI48" s="308">
        <v>0</v>
      </c>
      <c r="AJ48" s="308">
        <f t="shared" ca="1" si="6"/>
        <v>1004666.5695655905</v>
      </c>
      <c r="AK48" s="309">
        <v>0</v>
      </c>
      <c r="AL48" s="309">
        <v>0</v>
      </c>
      <c r="AM48" s="309">
        <f t="shared" si="19"/>
        <v>0</v>
      </c>
      <c r="AN48" s="310">
        <v>0</v>
      </c>
      <c r="AO48" s="310">
        <f ca="1">-'GreenPwr2 Data'!$H$20*1000*'GreenPwr2 Data'!AG37*'GreenPwr2 Data'!$H$31-'GreenPwr2 Data'!AM36</f>
        <v>-200000</v>
      </c>
      <c r="AP48" s="310">
        <f t="shared" ca="1" si="20"/>
        <v>-200000</v>
      </c>
      <c r="AQ48" s="309">
        <v>0</v>
      </c>
      <c r="AR48" s="311">
        <f t="shared" ca="1" si="7"/>
        <v>1452567.8151494465</v>
      </c>
      <c r="AS48" s="870">
        <f t="shared" ca="1" si="21"/>
        <v>12224330.007192757</v>
      </c>
      <c r="AT48" s="822"/>
      <c r="AU48" s="878"/>
      <c r="AV48" s="35"/>
      <c r="AW48" s="879"/>
      <c r="AX48" s="35"/>
      <c r="AY48" s="880"/>
    </row>
    <row r="49" spans="1:51">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2"/>
        <v>0</v>
      </c>
      <c r="K49" s="307">
        <f t="shared" ca="1" si="10"/>
        <v>180090.36644202363</v>
      </c>
      <c r="L49" s="307">
        <f t="shared" ca="1" si="11"/>
        <v>-12264</v>
      </c>
      <c r="M49" s="307">
        <f ca="1">'GreenPwr2 Data'!AH38</f>
        <v>12264</v>
      </c>
      <c r="N49" s="307">
        <f t="shared" ca="1" si="12"/>
        <v>167826.36644202363</v>
      </c>
      <c r="O49" s="306">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-8710.5884769694476</v>
      </c>
      <c r="Y49" s="306">
        <v>0</v>
      </c>
      <c r="Z49" s="306">
        <v>0</v>
      </c>
      <c r="AA49" s="308">
        <f ca="1">-SUM(W49,X49/OFFSET(GridFootprintbyYear,$A49-$A$19,0)*EF_PurchElec_MTperMWh,Z49)*OFFSET(ExposureCalculations!Price_GHG_Allowance_2010,A49-$A$19,0)*ExposureCalculations!D46</f>
        <v>678297.35656819667</v>
      </c>
      <c r="AB49" s="308">
        <f ca="1">IF(A49&lt;=$A$19+'GreenPwr2 Data'!$H$26,0,'GreenPwr2 Data'!AE38-'GreenPwr2 Data'!AE37)</f>
        <v>1010689.9024134204</v>
      </c>
      <c r="AC49" s="308">
        <v>0</v>
      </c>
      <c r="AD49" s="819">
        <f t="shared" ca="1" si="4"/>
        <v>0</v>
      </c>
      <c r="AE49" s="308">
        <v>0</v>
      </c>
      <c r="AF49" s="819">
        <f t="shared" ca="1" si="5"/>
        <v>0</v>
      </c>
      <c r="AG49" s="308">
        <v>0</v>
      </c>
      <c r="AH49" s="308">
        <v>0</v>
      </c>
      <c r="AI49" s="308">
        <v>0</v>
      </c>
      <c r="AJ49" s="308">
        <f t="shared" ca="1" si="6"/>
        <v>1010689.9024134204</v>
      </c>
      <c r="AK49" s="309">
        <v>0</v>
      </c>
      <c r="AL49" s="309">
        <v>0</v>
      </c>
      <c r="AM49" s="309">
        <f t="shared" si="19"/>
        <v>0</v>
      </c>
      <c r="AN49" s="310">
        <v>0</v>
      </c>
      <c r="AO49" s="310">
        <f ca="1">-'GreenPwr2 Data'!$H$20*1000*'GreenPwr2 Data'!AG38*'GreenPwr2 Data'!$H$31-'GreenPwr2 Data'!AM37</f>
        <v>-200000</v>
      </c>
      <c r="AP49" s="310">
        <f t="shared" ca="1" si="20"/>
        <v>-200000</v>
      </c>
      <c r="AQ49" s="309">
        <v>0</v>
      </c>
      <c r="AR49" s="311">
        <f t="shared" ca="1" si="7"/>
        <v>1488987.2589816172</v>
      </c>
      <c r="AS49" s="870">
        <f t="shared" ca="1" si="21"/>
        <v>13713317.266174374</v>
      </c>
      <c r="AT49" s="822"/>
      <c r="AU49" s="878"/>
      <c r="AV49" s="35"/>
      <c r="AW49" s="879"/>
      <c r="AX49" s="35"/>
      <c r="AY49" s="880"/>
    </row>
    <row r="50" spans="1:51">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2"/>
        <v>0</v>
      </c>
      <c r="K50" s="307">
        <f t="shared" ca="1" si="10"/>
        <v>181666.99204287567</v>
      </c>
      <c r="L50" s="307">
        <f t="shared" ca="1" si="11"/>
        <v>-12264</v>
      </c>
      <c r="M50" s="307">
        <f ca="1">'GreenPwr2 Data'!AH39</f>
        <v>12264</v>
      </c>
      <c r="N50" s="307">
        <f t="shared" ca="1" si="12"/>
        <v>169402.99204287567</v>
      </c>
      <c r="O50" s="306">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-8710.5884769694476</v>
      </c>
      <c r="Y50" s="306">
        <v>0</v>
      </c>
      <c r="Z50" s="306">
        <v>0</v>
      </c>
      <c r="AA50" s="308">
        <f ca="1">-SUM(W50,X50/OFFSET(GridFootprintbyYear,$A50-$A$19,0)*EF_PurchElec_MTperMWh,Z50)*OFFSET(ExposureCalculations!Price_GHG_Allowance_2010,A50-$A$19,0)*ExposureCalculations!D47</f>
        <v>707743.68223493116</v>
      </c>
      <c r="AB50" s="308">
        <f ca="1">IF(A50&lt;=$A$19+'GreenPwr2 Data'!$H$26,0,'GreenPwr2 Data'!AE39-'GreenPwr2 Data'!AE38)</f>
        <v>1016743.3519254848</v>
      </c>
      <c r="AC50" s="308">
        <v>0</v>
      </c>
      <c r="AD50" s="819">
        <f t="shared" ca="1" si="4"/>
        <v>0</v>
      </c>
      <c r="AE50" s="308">
        <v>0</v>
      </c>
      <c r="AF50" s="819">
        <f t="shared" ca="1" si="5"/>
        <v>0</v>
      </c>
      <c r="AG50" s="308">
        <v>0</v>
      </c>
      <c r="AH50" s="308">
        <v>0</v>
      </c>
      <c r="AI50" s="308">
        <v>0</v>
      </c>
      <c r="AJ50" s="308">
        <f t="shared" ca="1" si="6"/>
        <v>1016743.3519254848</v>
      </c>
      <c r="AK50" s="309">
        <v>0</v>
      </c>
      <c r="AL50" s="309">
        <v>0</v>
      </c>
      <c r="AM50" s="309">
        <f t="shared" si="19"/>
        <v>0</v>
      </c>
      <c r="AN50" s="310">
        <v>0</v>
      </c>
      <c r="AO50" s="310">
        <f ca="1">-'GreenPwr2 Data'!$H$20*1000*'GreenPwr2 Data'!AG39*'GreenPwr2 Data'!$H$31-'GreenPwr2 Data'!AM38</f>
        <v>-200000</v>
      </c>
      <c r="AP50" s="310">
        <f t="shared" ca="1" si="20"/>
        <v>-200000</v>
      </c>
      <c r="AQ50" s="309">
        <v>0</v>
      </c>
      <c r="AR50" s="311">
        <f t="shared" ca="1" si="7"/>
        <v>1524487.0341604161</v>
      </c>
      <c r="AS50" s="870">
        <f t="shared" ca="1" si="21"/>
        <v>15237804.300334791</v>
      </c>
      <c r="AT50" s="822"/>
      <c r="AU50" s="878"/>
      <c r="AV50" s="35"/>
      <c r="AW50" s="879"/>
      <c r="AX50" s="35"/>
      <c r="AY50" s="880"/>
    </row>
    <row r="51" spans="1:51">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2"/>
        <v>0</v>
      </c>
      <c r="K51" s="307">
        <f t="shared" ca="1" si="10"/>
        <v>183243.61764372772</v>
      </c>
      <c r="L51" s="307">
        <f t="shared" ca="1" si="11"/>
        <v>-12264</v>
      </c>
      <c r="M51" s="307">
        <f ca="1">'GreenPwr2 Data'!AH40</f>
        <v>12264</v>
      </c>
      <c r="N51" s="307">
        <f t="shared" ca="1" si="12"/>
        <v>170979.61764372772</v>
      </c>
      <c r="O51" s="306">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-8710.5884769694476</v>
      </c>
      <c r="Y51" s="306">
        <v>0</v>
      </c>
      <c r="Z51" s="306">
        <v>0</v>
      </c>
      <c r="AA51" s="308">
        <f ca="1">-SUM(W51,X51/OFFSET(GridFootprintbyYear,$A51-$A$19,0)*EF_PurchElec_MTperMWh,Z51)*OFFSET(ExposureCalculations!Price_GHG_Allowance_2010,A51-$A$19,0)*ExposureCalculations!D48</f>
        <v>736042.57433191349</v>
      </c>
      <c r="AB51" s="308">
        <f ca="1">IF(A51&lt;=$A$19+'GreenPwr2 Data'!$H$26,0,'GreenPwr2 Data'!AE40-'GreenPwr2 Data'!AE39)</f>
        <v>1022827.0686851144</v>
      </c>
      <c r="AC51" s="308">
        <v>0</v>
      </c>
      <c r="AD51" s="819">
        <f t="shared" ca="1" si="4"/>
        <v>0</v>
      </c>
      <c r="AE51" s="308">
        <v>0</v>
      </c>
      <c r="AF51" s="819">
        <f t="shared" ca="1" si="5"/>
        <v>0</v>
      </c>
      <c r="AG51" s="308">
        <v>0</v>
      </c>
      <c r="AH51" s="308">
        <v>0</v>
      </c>
      <c r="AI51" s="308">
        <v>0</v>
      </c>
      <c r="AJ51" s="308">
        <f t="shared" ca="1" si="6"/>
        <v>1022827.0686851144</v>
      </c>
      <c r="AK51" s="309">
        <v>0</v>
      </c>
      <c r="AL51" s="309">
        <v>0</v>
      </c>
      <c r="AM51" s="309">
        <f t="shared" si="19"/>
        <v>0</v>
      </c>
      <c r="AN51" s="310">
        <v>0</v>
      </c>
      <c r="AO51" s="310">
        <f ca="1">-'GreenPwr2 Data'!$H$20*1000*'GreenPwr2 Data'!AG40*'GreenPwr2 Data'!$H$31-'GreenPwr2 Data'!AM39</f>
        <v>-200000</v>
      </c>
      <c r="AP51" s="310">
        <f t="shared" ca="1" si="20"/>
        <v>-200000</v>
      </c>
      <c r="AQ51" s="309">
        <v>0</v>
      </c>
      <c r="AR51" s="311">
        <f t="shared" ca="1" si="7"/>
        <v>1558869.643017028</v>
      </c>
      <c r="AS51" s="870">
        <f t="shared" ca="1" si="21"/>
        <v>16796673.94335182</v>
      </c>
      <c r="AT51" s="822"/>
      <c r="AU51" s="878"/>
      <c r="AV51" s="35"/>
      <c r="AW51" s="879"/>
      <c r="AX51" s="35"/>
      <c r="AY51" s="880"/>
    </row>
    <row r="52" spans="1:51">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2"/>
        <v>0</v>
      </c>
      <c r="K52" s="307">
        <f t="shared" ca="1" si="10"/>
        <v>184820.24324457973</v>
      </c>
      <c r="L52" s="307">
        <f t="shared" ca="1" si="11"/>
        <v>-12264</v>
      </c>
      <c r="M52" s="307">
        <f ca="1">'GreenPwr2 Data'!AH41</f>
        <v>12264</v>
      </c>
      <c r="N52" s="307">
        <f t="shared" ca="1" si="12"/>
        <v>172556.24324457973</v>
      </c>
      <c r="O52" s="306">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-8710.5884769694476</v>
      </c>
      <c r="Y52" s="306">
        <v>0</v>
      </c>
      <c r="Z52" s="306">
        <v>0</v>
      </c>
      <c r="AA52" s="308">
        <f ca="1">-SUM(W52,X52/OFFSET(GridFootprintbyYear,$A52-$A$19,0)*EF_PurchElec_MTperMWh,Z52)*OFFSET(ExposureCalculations!Price_GHG_Allowance_2010,A52-$A$19,0)*ExposureCalculations!D49</f>
        <v>767871.96830892388</v>
      </c>
      <c r="AB52" s="308">
        <f ca="1">IF(A52&lt;=$A$19+'GreenPwr2 Data'!$H$26,0,'GreenPwr2 Data'!AE41-'GreenPwr2 Data'!AE40)</f>
        <v>1028941.2040285394</v>
      </c>
      <c r="AC52" s="308">
        <v>0</v>
      </c>
      <c r="AD52" s="819">
        <f t="shared" ca="1" si="4"/>
        <v>0</v>
      </c>
      <c r="AE52" s="308">
        <v>0</v>
      </c>
      <c r="AF52" s="819">
        <f t="shared" ca="1" si="5"/>
        <v>0</v>
      </c>
      <c r="AG52" s="308">
        <v>0</v>
      </c>
      <c r="AH52" s="308">
        <v>0</v>
      </c>
      <c r="AI52" s="308">
        <v>0</v>
      </c>
      <c r="AJ52" s="308">
        <f t="shared" ca="1" si="6"/>
        <v>1028941.2040285394</v>
      </c>
      <c r="AK52" s="309">
        <v>0</v>
      </c>
      <c r="AL52" s="309">
        <v>0</v>
      </c>
      <c r="AM52" s="309">
        <f t="shared" si="19"/>
        <v>0</v>
      </c>
      <c r="AN52" s="310">
        <v>0</v>
      </c>
      <c r="AO52" s="310">
        <f ca="1">-'GreenPwr2 Data'!$H$20*1000*'GreenPwr2 Data'!AG41*'GreenPwr2 Data'!$H$31-'GreenPwr2 Data'!AM40</f>
        <v>-200000</v>
      </c>
      <c r="AP52" s="310">
        <f t="shared" ca="1" si="20"/>
        <v>-200000</v>
      </c>
      <c r="AQ52" s="309">
        <v>0</v>
      </c>
      <c r="AR52" s="311">
        <f t="shared" ca="1" si="7"/>
        <v>1596813.1723374631</v>
      </c>
      <c r="AS52" s="870">
        <f t="shared" ca="1" si="21"/>
        <v>18393487.115689285</v>
      </c>
      <c r="AT52" s="822"/>
      <c r="AU52" s="878"/>
      <c r="AV52" s="35"/>
      <c r="AW52" s="879"/>
      <c r="AX52" s="35"/>
      <c r="AY52" s="880"/>
    </row>
    <row r="53" spans="1:51">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2"/>
        <v>0</v>
      </c>
      <c r="K53" s="307">
        <f t="shared" ca="1" si="10"/>
        <v>186396.86884543177</v>
      </c>
      <c r="L53" s="307">
        <f t="shared" ca="1" si="11"/>
        <v>-12264</v>
      </c>
      <c r="M53" s="307">
        <f ca="1">'GreenPwr2 Data'!AH42</f>
        <v>12264</v>
      </c>
      <c r="N53" s="307">
        <f t="shared" ca="1" si="12"/>
        <v>174132.86884543177</v>
      </c>
      <c r="O53" s="306">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-8710.5884769694476</v>
      </c>
      <c r="Y53" s="306">
        <v>0</v>
      </c>
      <c r="Z53" s="306">
        <v>0</v>
      </c>
      <c r="AA53" s="308">
        <f ca="1">-SUM(W53,X53/OFFSET(GridFootprintbyYear,$A53-$A$19,0)*EF_PurchElec_MTperMWh,Z53)*OFFSET(ExposureCalculations!Price_GHG_Allowance_2010,A53-$A$19,0)*ExposureCalculations!D50</f>
        <v>803951.26386437716</v>
      </c>
      <c r="AB53" s="308">
        <f ca="1">IF(A53&lt;=$A$19+'GreenPwr2 Data'!$H$26,0,'GreenPwr2 Data'!AE42-'GreenPwr2 Data'!AE41)</f>
        <v>1035085.9100486822</v>
      </c>
      <c r="AC53" s="308">
        <v>0</v>
      </c>
      <c r="AD53" s="819">
        <f t="shared" ca="1" si="4"/>
        <v>0</v>
      </c>
      <c r="AE53" s="308">
        <v>0</v>
      </c>
      <c r="AF53" s="819">
        <f t="shared" ca="1" si="5"/>
        <v>0</v>
      </c>
      <c r="AG53" s="308">
        <v>0</v>
      </c>
      <c r="AH53" s="308">
        <v>0</v>
      </c>
      <c r="AI53" s="308">
        <v>0</v>
      </c>
      <c r="AJ53" s="308">
        <f t="shared" ca="1" si="6"/>
        <v>1035085.9100486822</v>
      </c>
      <c r="AK53" s="309">
        <v>0</v>
      </c>
      <c r="AL53" s="309">
        <v>0</v>
      </c>
      <c r="AM53" s="309">
        <f t="shared" si="19"/>
        <v>0</v>
      </c>
      <c r="AN53" s="310">
        <v>0</v>
      </c>
      <c r="AO53" s="310">
        <f ca="1">-'GreenPwr2 Data'!$H$20*1000*'GreenPwr2 Data'!AG42*'GreenPwr2 Data'!$H$31-'GreenPwr2 Data'!AM41</f>
        <v>-200000</v>
      </c>
      <c r="AP53" s="310">
        <f t="shared" ca="1" si="20"/>
        <v>-200000</v>
      </c>
      <c r="AQ53" s="309">
        <v>0</v>
      </c>
      <c r="AR53" s="311">
        <f t="shared" ca="1" si="7"/>
        <v>1639037.1739130593</v>
      </c>
      <c r="AS53" s="870">
        <f t="shared" ca="1" si="21"/>
        <v>20032524.289602343</v>
      </c>
      <c r="AT53" s="822"/>
      <c r="AU53" s="878"/>
      <c r="AV53" s="35"/>
      <c r="AW53" s="879"/>
      <c r="AX53" s="35"/>
      <c r="AY53" s="880"/>
    </row>
    <row r="54" spans="1:51">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2"/>
        <v>0</v>
      </c>
      <c r="K54" s="307">
        <f t="shared" ca="1" si="10"/>
        <v>187973.49444628376</v>
      </c>
      <c r="L54" s="307">
        <f t="shared" ca="1" si="11"/>
        <v>-12264</v>
      </c>
      <c r="M54" s="307">
        <f ca="1">'GreenPwr2 Data'!AH43</f>
        <v>12264</v>
      </c>
      <c r="N54" s="307">
        <f t="shared" ca="1" si="12"/>
        <v>175709.49444628376</v>
      </c>
      <c r="O54" s="306">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-8710.5884769694476</v>
      </c>
      <c r="Y54" s="306">
        <v>0</v>
      </c>
      <c r="Z54" s="306">
        <v>0</v>
      </c>
      <c r="AA54" s="308">
        <f ca="1">-SUM(W54,X54/OFFSET(GridFootprintbyYear,$A54-$A$19,0)*EF_PurchElec_MTperMWh,Z54)*OFFSET(ExposureCalculations!Price_GHG_Allowance_2010,A54-$A$19,0)*ExposureCalculations!D51</f>
        <v>845311.20201428258</v>
      </c>
      <c r="AB54" s="308">
        <f ca="1">IF(A54&lt;=$A$19+'GreenPwr2 Data'!$H$26,0,'GreenPwr2 Data'!AE43-'GreenPwr2 Data'!AE42)</f>
        <v>1041261.3395989239</v>
      </c>
      <c r="AC54" s="308">
        <v>0</v>
      </c>
      <c r="AD54" s="819">
        <f t="shared" ca="1" si="4"/>
        <v>0</v>
      </c>
      <c r="AE54" s="308">
        <v>0</v>
      </c>
      <c r="AF54" s="819">
        <f t="shared" ca="1" si="5"/>
        <v>0</v>
      </c>
      <c r="AG54" s="308">
        <v>0</v>
      </c>
      <c r="AH54" s="308">
        <v>0</v>
      </c>
      <c r="AI54" s="308">
        <v>0</v>
      </c>
      <c r="AJ54" s="308">
        <f t="shared" ca="1" si="6"/>
        <v>1041261.3395989239</v>
      </c>
      <c r="AK54" s="309">
        <v>0</v>
      </c>
      <c r="AL54" s="309">
        <v>0</v>
      </c>
      <c r="AM54" s="309">
        <f t="shared" si="19"/>
        <v>0</v>
      </c>
      <c r="AN54" s="310">
        <v>0</v>
      </c>
      <c r="AO54" s="310">
        <f ca="1">-'GreenPwr2 Data'!$H$20*1000*'GreenPwr2 Data'!AG43*'GreenPwr2 Data'!$H$31-'GreenPwr2 Data'!AM42</f>
        <v>-200000</v>
      </c>
      <c r="AP54" s="310">
        <f t="shared" ca="1" si="20"/>
        <v>-200000</v>
      </c>
      <c r="AQ54" s="309">
        <v>0</v>
      </c>
      <c r="AR54" s="311">
        <f t="shared" ca="1" si="7"/>
        <v>1686572.5416132065</v>
      </c>
      <c r="AS54" s="870">
        <f t="shared" ca="1" si="21"/>
        <v>21719096.831215549</v>
      </c>
      <c r="AT54" s="822"/>
      <c r="AU54" s="878"/>
      <c r="AV54" s="35"/>
      <c r="AW54" s="879"/>
      <c r="AX54" s="35"/>
      <c r="AY54" s="880"/>
    </row>
    <row r="55" spans="1:51">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2"/>
        <v>0</v>
      </c>
      <c r="K55" s="307">
        <f t="shared" ca="1" si="10"/>
        <v>189550.12004713583</v>
      </c>
      <c r="L55" s="307">
        <f t="shared" ca="1" si="11"/>
        <v>-12264</v>
      </c>
      <c r="M55" s="307">
        <f ca="1">'GreenPwr2 Data'!AH44</f>
        <v>12264</v>
      </c>
      <c r="N55" s="307">
        <f t="shared" ca="1" si="12"/>
        <v>177286.12004713583</v>
      </c>
      <c r="O55" s="306">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-8710.5884769694476</v>
      </c>
      <c r="Y55" s="306">
        <v>0</v>
      </c>
      <c r="Z55" s="306">
        <v>0</v>
      </c>
      <c r="AA55" s="308">
        <f ca="1">-SUM(W55,X55/OFFSET(GridFootprintbyYear,$A55-$A$19,0)*EF_PurchElec_MTperMWh,Z55)*OFFSET(ExposureCalculations!Price_GHG_Allowance_2010,A55-$A$19,0)*ExposureCalculations!D52</f>
        <v>889448.29053426499</v>
      </c>
      <c r="AB55" s="308">
        <f ca="1">IF(A55&lt;=$A$19+'GreenPwr2 Data'!$H$26,0,'GreenPwr2 Data'!AE44-'GreenPwr2 Data'!AE43)</f>
        <v>1047467.6462969184</v>
      </c>
      <c r="AC55" s="308">
        <v>0</v>
      </c>
      <c r="AD55" s="819">
        <f t="shared" ca="1" si="4"/>
        <v>0</v>
      </c>
      <c r="AE55" s="308">
        <v>0</v>
      </c>
      <c r="AF55" s="819">
        <f t="shared" ca="1" si="5"/>
        <v>0</v>
      </c>
      <c r="AG55" s="308">
        <v>0</v>
      </c>
      <c r="AH55" s="308">
        <v>0</v>
      </c>
      <c r="AI55" s="308">
        <v>0</v>
      </c>
      <c r="AJ55" s="308">
        <f t="shared" ca="1" si="6"/>
        <v>1047467.6462969184</v>
      </c>
      <c r="AK55" s="309">
        <v>0</v>
      </c>
      <c r="AL55" s="309">
        <v>0</v>
      </c>
      <c r="AM55" s="309">
        <f t="shared" si="19"/>
        <v>0</v>
      </c>
      <c r="AN55" s="310">
        <v>0</v>
      </c>
      <c r="AO55" s="310">
        <f ca="1">-'GreenPwr2 Data'!$H$20*1000*'GreenPwr2 Data'!AG44*'GreenPwr2 Data'!$H$31-'GreenPwr2 Data'!AM43</f>
        <v>-200000</v>
      </c>
      <c r="AP55" s="310">
        <f t="shared" ca="1" si="20"/>
        <v>-200000</v>
      </c>
      <c r="AQ55" s="309">
        <v>0</v>
      </c>
      <c r="AR55" s="311">
        <f t="shared" ca="1" si="7"/>
        <v>1736915.9368311833</v>
      </c>
      <c r="AS55" s="870">
        <f t="shared" ca="1" si="21"/>
        <v>23456012.768046733</v>
      </c>
      <c r="AT55" s="822"/>
      <c r="AU55" s="878"/>
      <c r="AV55" s="35"/>
      <c r="AW55" s="879"/>
      <c r="AX55" s="35"/>
      <c r="AY55" s="880"/>
    </row>
    <row r="56" spans="1:51">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2"/>
        <v>0</v>
      </c>
      <c r="K56" s="307">
        <f t="shared" ca="1" si="10"/>
        <v>191126.74564798782</v>
      </c>
      <c r="L56" s="307">
        <f t="shared" ca="1" si="11"/>
        <v>-12264</v>
      </c>
      <c r="M56" s="307">
        <f ca="1">'GreenPwr2 Data'!AH45</f>
        <v>12264</v>
      </c>
      <c r="N56" s="307">
        <f t="shared" ca="1" si="12"/>
        <v>178862.74564798782</v>
      </c>
      <c r="O56" s="306">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-8710.5884769694476</v>
      </c>
      <c r="Y56" s="306">
        <v>0</v>
      </c>
      <c r="Z56" s="306">
        <v>0</v>
      </c>
      <c r="AA56" s="308">
        <f ca="1">-SUM(W56,X56/OFFSET(GridFootprintbyYear,$A56-$A$19,0)*EF_PurchElec_MTperMWh,Z56)*OFFSET(ExposureCalculations!Price_GHG_Allowance_2010,A56-$A$19,0)*ExposureCalculations!D53</f>
        <v>936710.0933795512</v>
      </c>
      <c r="AB56" s="308">
        <f ca="1">IF(A56&lt;=$A$19+'GreenPwr2 Data'!$H$26,0,'GreenPwr2 Data'!AE45-'GreenPwr2 Data'!AE44)</f>
        <v>1053704.9845284037</v>
      </c>
      <c r="AC56" s="308">
        <v>0</v>
      </c>
      <c r="AD56" s="819">
        <f t="shared" ca="1" si="4"/>
        <v>0</v>
      </c>
      <c r="AE56" s="308">
        <v>0</v>
      </c>
      <c r="AF56" s="819">
        <f t="shared" ca="1" si="5"/>
        <v>0</v>
      </c>
      <c r="AG56" s="308">
        <v>0</v>
      </c>
      <c r="AH56" s="308">
        <v>0</v>
      </c>
      <c r="AI56" s="308">
        <v>0</v>
      </c>
      <c r="AJ56" s="308">
        <f t="shared" ca="1" si="6"/>
        <v>1053704.9845284037</v>
      </c>
      <c r="AK56" s="309">
        <v>0</v>
      </c>
      <c r="AL56" s="309">
        <v>0</v>
      </c>
      <c r="AM56" s="309">
        <f t="shared" si="19"/>
        <v>0</v>
      </c>
      <c r="AN56" s="310">
        <v>0</v>
      </c>
      <c r="AO56" s="310">
        <f ca="1">-'GreenPwr2 Data'!$H$20*1000*'GreenPwr2 Data'!AG45*'GreenPwr2 Data'!$H$31-'GreenPwr2 Data'!AM44</f>
        <v>-200000</v>
      </c>
      <c r="AP56" s="310">
        <f t="shared" ca="1" si="20"/>
        <v>-200000</v>
      </c>
      <c r="AQ56" s="309">
        <v>0</v>
      </c>
      <c r="AR56" s="311">
        <f t="shared" ca="1" si="7"/>
        <v>1790415.0779079548</v>
      </c>
      <c r="AS56" s="870">
        <f t="shared" ca="1" si="21"/>
        <v>25246427.845954686</v>
      </c>
      <c r="AT56" s="822"/>
      <c r="AU56" s="878"/>
      <c r="AV56" s="35"/>
      <c r="AW56" s="879"/>
      <c r="AX56" s="35"/>
      <c r="AY56" s="880"/>
    </row>
    <row r="57" spans="1:51">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2"/>
        <v>0</v>
      </c>
      <c r="K57" s="307">
        <f t="shared" ca="1" si="10"/>
        <v>192703.37124883989</v>
      </c>
      <c r="L57" s="307">
        <f t="shared" ca="1" si="11"/>
        <v>-12264</v>
      </c>
      <c r="M57" s="307">
        <f ca="1">'GreenPwr2 Data'!AH46</f>
        <v>12264</v>
      </c>
      <c r="N57" s="307">
        <f t="shared" ca="1" si="12"/>
        <v>180439.37124883989</v>
      </c>
      <c r="O57" s="306">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-8710.5884769694476</v>
      </c>
      <c r="Y57" s="306">
        <v>0</v>
      </c>
      <c r="Z57" s="306">
        <v>0</v>
      </c>
      <c r="AA57" s="308">
        <f ca="1">-SUM(W57,X57/OFFSET(GridFootprintbyYear,$A57-$A$19,0)*EF_PurchElec_MTperMWh,Z57)*OFFSET(ExposureCalculations!Price_GHG_Allowance_2010,A57-$A$19,0)*ExposureCalculations!D54</f>
        <v>987473.39031724806</v>
      </c>
      <c r="AB57" s="308">
        <f ca="1">IF(A57&lt;=$A$19+'GreenPwr2 Data'!$H$26,0,'GreenPwr2 Data'!AE46-'GreenPwr2 Data'!AE45)</f>
        <v>1059973.5094510429</v>
      </c>
      <c r="AC57" s="308">
        <v>0</v>
      </c>
      <c r="AD57" s="819">
        <f t="shared" ca="1" si="4"/>
        <v>0</v>
      </c>
      <c r="AE57" s="308">
        <v>0</v>
      </c>
      <c r="AF57" s="819">
        <f t="shared" ca="1" si="5"/>
        <v>0</v>
      </c>
      <c r="AG57" s="308">
        <v>0</v>
      </c>
      <c r="AH57" s="308">
        <v>0</v>
      </c>
      <c r="AI57" s="308">
        <v>0</v>
      </c>
      <c r="AJ57" s="308">
        <f t="shared" ca="1" si="6"/>
        <v>1059973.5094510429</v>
      </c>
      <c r="AK57" s="309">
        <v>0</v>
      </c>
      <c r="AL57" s="309">
        <v>0</v>
      </c>
      <c r="AM57" s="309">
        <f t="shared" si="19"/>
        <v>0</v>
      </c>
      <c r="AN57" s="310">
        <v>0</v>
      </c>
      <c r="AO57" s="310">
        <f ca="1">-'GreenPwr2 Data'!$H$20*1000*'GreenPwr2 Data'!AG46*'GreenPwr2 Data'!$H$31-'GreenPwr2 Data'!AM45</f>
        <v>-200000</v>
      </c>
      <c r="AP57" s="310">
        <f t="shared" ca="1" si="20"/>
        <v>-200000</v>
      </c>
      <c r="AQ57" s="309">
        <v>0</v>
      </c>
      <c r="AR57" s="311">
        <f t="shared" ca="1" si="7"/>
        <v>1847446.899768291</v>
      </c>
      <c r="AS57" s="870">
        <f t="shared" ca="1" si="21"/>
        <v>27093874.745722979</v>
      </c>
      <c r="AT57" s="822"/>
      <c r="AU57" s="878"/>
      <c r="AV57" s="35"/>
      <c r="AW57" s="879"/>
      <c r="AX57" s="35"/>
      <c r="AY57" s="880"/>
    </row>
    <row r="58" spans="1:51">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2"/>
        <v>0</v>
      </c>
      <c r="K58" s="307">
        <f t="shared" ca="1" si="10"/>
        <v>194279.99684969187</v>
      </c>
      <c r="L58" s="307">
        <f t="shared" ca="1" si="11"/>
        <v>-12264</v>
      </c>
      <c r="M58" s="307">
        <f ca="1">'GreenPwr2 Data'!AH47</f>
        <v>12264</v>
      </c>
      <c r="N58" s="307">
        <f t="shared" ca="1" si="12"/>
        <v>182015.99684969187</v>
      </c>
      <c r="O58" s="306">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-8710.5884769694476</v>
      </c>
      <c r="Y58" s="306">
        <v>0</v>
      </c>
      <c r="Z58" s="306">
        <v>0</v>
      </c>
      <c r="AA58" s="308">
        <f ca="1">-SUM(W58,X58/OFFSET(GridFootprintbyYear,$A58-$A$19,0)*EF_PurchElec_MTperMWh,Z58)*OFFSET(ExposureCalculations!Price_GHG_Allowance_2010,A58-$A$19,0)*ExposureCalculations!D55</f>
        <v>1042141.1122026719</v>
      </c>
      <c r="AB58" s="308">
        <f ca="1">IF(A58&lt;=$A$19+'GreenPwr2 Data'!$H$26,0,'GreenPwr2 Data'!AE47-'GreenPwr2 Data'!AE46)</f>
        <v>1066273.3769982979</v>
      </c>
      <c r="AC58" s="308">
        <v>0</v>
      </c>
      <c r="AD58" s="819">
        <f t="shared" ca="1" si="4"/>
        <v>0</v>
      </c>
      <c r="AE58" s="308">
        <v>0</v>
      </c>
      <c r="AF58" s="819">
        <f t="shared" ca="1" si="5"/>
        <v>0</v>
      </c>
      <c r="AG58" s="308">
        <v>0</v>
      </c>
      <c r="AH58" s="308">
        <v>0</v>
      </c>
      <c r="AI58" s="308">
        <v>0</v>
      </c>
      <c r="AJ58" s="308">
        <f t="shared" ca="1" si="6"/>
        <v>1066273.3769982979</v>
      </c>
      <c r="AK58" s="309">
        <v>0</v>
      </c>
      <c r="AL58" s="309">
        <v>0</v>
      </c>
      <c r="AM58" s="309">
        <f t="shared" si="19"/>
        <v>0</v>
      </c>
      <c r="AN58" s="310">
        <v>0</v>
      </c>
      <c r="AO58" s="310">
        <f ca="1">-'GreenPwr2 Data'!$H$20*1000*'GreenPwr2 Data'!AG47*'GreenPwr2 Data'!$H$31-'GreenPwr2 Data'!AM46</f>
        <v>-200000</v>
      </c>
      <c r="AP58" s="310">
        <f t="shared" ca="1" si="20"/>
        <v>-200000</v>
      </c>
      <c r="AQ58" s="309">
        <v>0</v>
      </c>
      <c r="AR58" s="311">
        <f t="shared" ca="1" si="7"/>
        <v>1908414.4892009697</v>
      </c>
      <c r="AS58" s="870">
        <f t="shared" ca="1" si="21"/>
        <v>29002289.234923948</v>
      </c>
      <c r="AT58" s="822"/>
      <c r="AU58" s="878"/>
      <c r="AV58" s="35"/>
      <c r="AW58" s="879"/>
      <c r="AX58" s="35"/>
      <c r="AY58" s="880"/>
    </row>
    <row r="59" spans="1:51">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2"/>
        <v>0</v>
      </c>
      <c r="K59" s="307">
        <f t="shared" ca="1" si="10"/>
        <v>195856.62245054395</v>
      </c>
      <c r="L59" s="307">
        <f t="shared" ca="1" si="11"/>
        <v>-12264</v>
      </c>
      <c r="M59" s="307">
        <f ca="1">'GreenPwr2 Data'!AH48</f>
        <v>12264</v>
      </c>
      <c r="N59" s="307">
        <f t="shared" ca="1" si="12"/>
        <v>183592.62245054395</v>
      </c>
      <c r="O59" s="306">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-8710.5884769694476</v>
      </c>
      <c r="Y59" s="306">
        <v>0</v>
      </c>
      <c r="Z59" s="306">
        <v>0</v>
      </c>
      <c r="AA59" s="308">
        <f ca="1">-SUM(W59,X59/OFFSET(GridFootprintbyYear,$A59-$A$19,0)*EF_PurchElec_MTperMWh,Z59)*OFFSET(ExposureCalculations!Price_GHG_Allowance_2010,A59-$A$19,0)*ExposureCalculations!D56</f>
        <v>1101139.3205377159</v>
      </c>
      <c r="AB59" s="308">
        <f ca="1">IF(A59&lt;=$A$19+'GreenPwr2 Data'!$H$26,0,'GreenPwr2 Data'!AE48-'GreenPwr2 Data'!AE47)</f>
        <v>1072604.7438832894</v>
      </c>
      <c r="AC59" s="308">
        <v>0</v>
      </c>
      <c r="AD59" s="819">
        <f t="shared" ca="1" si="4"/>
        <v>0</v>
      </c>
      <c r="AE59" s="308">
        <v>0</v>
      </c>
      <c r="AF59" s="819">
        <f t="shared" ca="1" si="5"/>
        <v>0</v>
      </c>
      <c r="AG59" s="308">
        <v>0</v>
      </c>
      <c r="AH59" s="308">
        <v>0</v>
      </c>
      <c r="AI59" s="308">
        <v>0</v>
      </c>
      <c r="AJ59" s="308">
        <f t="shared" ca="1" si="6"/>
        <v>1072604.7438832894</v>
      </c>
      <c r="AK59" s="309">
        <v>0</v>
      </c>
      <c r="AL59" s="309">
        <v>0</v>
      </c>
      <c r="AM59" s="309">
        <f t="shared" si="19"/>
        <v>0</v>
      </c>
      <c r="AN59" s="310">
        <v>0</v>
      </c>
      <c r="AO59" s="310">
        <f ca="1">-'GreenPwr2 Data'!$H$20*1000*'GreenPwr2 Data'!AG48*'GreenPwr2 Data'!$H$31-'GreenPwr2 Data'!AM47</f>
        <v>-200000</v>
      </c>
      <c r="AP59" s="310">
        <f t="shared" ca="1" si="20"/>
        <v>-200000</v>
      </c>
      <c r="AQ59" s="309">
        <v>0</v>
      </c>
      <c r="AR59" s="311">
        <f t="shared" ca="1" si="7"/>
        <v>1973744.0644210055</v>
      </c>
      <c r="AS59" s="870">
        <f t="shared" ca="1" si="21"/>
        <v>30976033.299344953</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disablePrompts="1"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sheetPr codeName="Sheet36"/>
  <dimension ref="A1:AM48"/>
  <sheetViews>
    <sheetView zoomScale="85" zoomScaleNormal="85" workbookViewId="0"/>
  </sheetViews>
  <sheetFormatPr defaultRowHeight="15"/>
  <cols>
    <col min="1" max="1" width="2.28515625" style="828" customWidth="1"/>
    <col min="2" max="2" width="49.5703125" style="828" customWidth="1"/>
    <col min="3" max="3" width="9.5703125" style="828" bestFit="1" customWidth="1"/>
    <col min="4" max="5" width="9.28515625" style="828" bestFit="1" customWidth="1"/>
    <col min="6" max="6" width="2.28515625" style="828" customWidth="1"/>
    <col min="7" max="7" width="47.85546875" style="828" customWidth="1"/>
    <col min="8" max="8" width="11" style="828" customWidth="1"/>
    <col min="9" max="9" width="21.5703125" style="829" bestFit="1" customWidth="1"/>
    <col min="10" max="11" width="9.28515625" style="828" bestFit="1" customWidth="1"/>
    <col min="12" max="13" width="56.85546875" style="828" customWidth="1"/>
    <col min="14" max="14" width="9.140625" style="830"/>
    <col min="15" max="15" width="11.85546875" style="830" customWidth="1"/>
    <col min="16" max="16" width="10.85546875" style="831" customWidth="1"/>
    <col min="17" max="17" width="13.140625" style="830" customWidth="1"/>
    <col min="18" max="18" width="13.140625" style="830" hidden="1" customWidth="1"/>
    <col min="19" max="21" width="13.140625" style="830" customWidth="1"/>
    <col min="22" max="22" width="9.140625" style="830" customWidth="1"/>
    <col min="23" max="24" width="13.140625" style="830" customWidth="1"/>
    <col min="25" max="25" width="13.85546875" style="830" customWidth="1"/>
    <col min="26" max="30" width="9.140625" style="830"/>
    <col min="31" max="33" width="13.5703125" style="830" bestFit="1" customWidth="1"/>
    <col min="34" max="34" width="9.42578125" style="832" bestFit="1" customWidth="1"/>
    <col min="35" max="35" width="11.85546875" style="830" bestFit="1" customWidth="1"/>
    <col min="36" max="36" width="9.140625" style="830"/>
    <col min="37" max="37" width="12.42578125" style="830" bestFit="1" customWidth="1"/>
    <col min="38" max="38" width="11.85546875" style="830" bestFit="1" customWidth="1"/>
    <col min="39" max="39" width="12.42578125" style="830" customWidth="1"/>
    <col min="40" max="16384" width="9.140625" style="830"/>
  </cols>
  <sheetData>
    <row r="1" spans="2:39">
      <c r="O1" s="830" t="s">
        <v>675</v>
      </c>
      <c r="Q1" s="830" t="s">
        <v>676</v>
      </c>
      <c r="R1" s="830">
        <v>2010</v>
      </c>
      <c r="S1" s="830" t="s">
        <v>677</v>
      </c>
      <c r="T1" s="830">
        <v>0.01</v>
      </c>
    </row>
    <row r="2" spans="2:39" ht="30" customHeight="1">
      <c r="N2" s="830">
        <v>2009</v>
      </c>
      <c r="O2" s="833">
        <v>263218.42990122229</v>
      </c>
      <c r="R2" s="830">
        <v>0.8</v>
      </c>
      <c r="S2" s="830">
        <v>1</v>
      </c>
      <c r="T2" s="833"/>
      <c r="U2" s="834" t="s">
        <v>678</v>
      </c>
      <c r="V2" s="834">
        <f t="array" ref="V2:AA2">TRANSPOSE(C18:C27)</f>
        <v>2011</v>
      </c>
      <c r="W2" s="834">
        <v>2011</v>
      </c>
      <c r="X2" s="834">
        <v>2011</v>
      </c>
      <c r="Y2" s="834">
        <v>2011</v>
      </c>
      <c r="Z2" s="834">
        <v>2011</v>
      </c>
      <c r="AA2" s="834">
        <v>2015</v>
      </c>
      <c r="AB2" s="835"/>
      <c r="AC2" s="833"/>
      <c r="AD2" s="833"/>
      <c r="AE2" s="833"/>
      <c r="AF2" s="833"/>
      <c r="AG2" s="833"/>
      <c r="AH2" s="836"/>
    </row>
    <row r="3" spans="2:39" ht="30" customHeight="1">
      <c r="N3" s="830">
        <v>2050</v>
      </c>
      <c r="O3" s="833">
        <f>C26</f>
        <v>320000</v>
      </c>
      <c r="T3" s="833"/>
      <c r="U3" s="834" t="s">
        <v>679</v>
      </c>
      <c r="V3" s="834">
        <f t="array" ref="V3:AA3">TRANSPOSE(D18:D27)</f>
        <v>0.05</v>
      </c>
      <c r="W3" s="834">
        <v>0.02</v>
      </c>
      <c r="X3" s="834">
        <v>0.05</v>
      </c>
      <c r="Y3" s="834">
        <v>0.01</v>
      </c>
      <c r="Z3" s="834">
        <v>5.0000000000000001E-3</v>
      </c>
      <c r="AA3" s="834">
        <v>0.02</v>
      </c>
      <c r="AB3" s="835"/>
      <c r="AC3" s="833"/>
      <c r="AD3" s="833"/>
      <c r="AE3" s="833"/>
      <c r="AF3" s="833"/>
      <c r="AG3" s="833"/>
      <c r="AH3" s="836"/>
    </row>
    <row r="4" spans="2:39" ht="30" customHeight="1">
      <c r="T4" s="833"/>
      <c r="U4" s="837" t="s">
        <v>680</v>
      </c>
      <c r="V4" s="834">
        <f t="array" ref="V4:AA4">TRANSPOSE(E18:E27)</f>
        <v>0.15</v>
      </c>
      <c r="W4" s="834">
        <v>0.03</v>
      </c>
      <c r="X4" s="834">
        <v>0.2</v>
      </c>
      <c r="Y4" s="834">
        <v>0.02</v>
      </c>
      <c r="Z4" s="834">
        <v>0.01</v>
      </c>
      <c r="AA4" s="834">
        <v>0.05</v>
      </c>
      <c r="AB4" s="835"/>
      <c r="AC4" s="833">
        <f>1-SUM(V4:AA4)</f>
        <v>0.54</v>
      </c>
      <c r="AD4" s="833"/>
      <c r="AE4" s="833"/>
      <c r="AF4" s="833"/>
      <c r="AG4" s="833"/>
      <c r="AH4" s="836"/>
    </row>
    <row r="5" spans="2:39" ht="90">
      <c r="O5" s="838" t="s">
        <v>681</v>
      </c>
      <c r="P5" s="839" t="s">
        <v>284</v>
      </c>
      <c r="Q5" s="840" t="s">
        <v>681</v>
      </c>
      <c r="R5" s="841" t="str">
        <f>R2*100&amp;"% Below 2010 Levels 
("&amp;Q1&amp;" = "&amp;R1&amp;")"</f>
        <v>80% Below 2010 Levels 
(Peak Year = 2010)</v>
      </c>
      <c r="S5" s="841" t="str">
        <f>S2*100&amp;"% Below 2010 Levels by 2050"</f>
        <v>100% Below 2010 Levels by 2050</v>
      </c>
      <c r="T5" s="841" t="s">
        <v>682</v>
      </c>
      <c r="U5" s="842"/>
      <c r="V5" s="843" t="s">
        <v>683</v>
      </c>
      <c r="W5" s="844" t="s">
        <v>684</v>
      </c>
      <c r="X5" s="844" t="s">
        <v>685</v>
      </c>
      <c r="Y5" s="844" t="s">
        <v>686</v>
      </c>
      <c r="Z5" s="844" t="s">
        <v>687</v>
      </c>
      <c r="AA5" s="843" t="s">
        <v>688</v>
      </c>
      <c r="AB5" s="843" t="s">
        <v>689</v>
      </c>
      <c r="AC5" s="845" t="s">
        <v>690</v>
      </c>
      <c r="AE5" s="846" t="s">
        <v>1546</v>
      </c>
      <c r="AF5" s="846" t="s">
        <v>691</v>
      </c>
      <c r="AG5" s="846" t="s">
        <v>692</v>
      </c>
      <c r="AH5" s="847" t="s">
        <v>693</v>
      </c>
      <c r="AI5" s="1483" t="s">
        <v>2955</v>
      </c>
      <c r="AK5" s="1482" t="s">
        <v>2953</v>
      </c>
      <c r="AL5" s="1482" t="s">
        <v>2954</v>
      </c>
      <c r="AM5" s="1482"/>
    </row>
    <row r="6" spans="2:39" hidden="1">
      <c r="N6" s="848">
        <v>2008</v>
      </c>
      <c r="O6" s="849">
        <f>O2/1000</f>
        <v>263.21842990122229</v>
      </c>
      <c r="Q6" s="849">
        <f t="shared" ref="Q6:Q48" si="0">O6</f>
        <v>263.21842990122229</v>
      </c>
      <c r="R6" s="849">
        <f>Q6</f>
        <v>263.21842990122229</v>
      </c>
      <c r="S6" s="849" t="e">
        <f>NA()</f>
        <v>#N/A</v>
      </c>
      <c r="T6" s="849" t="e">
        <f>Q6-SUM(U6:AH6)</f>
        <v>#REF!</v>
      </c>
      <c r="U6" s="849"/>
      <c r="V6" s="848" t="e">
        <f>(#REF!-#REF!)/1000</f>
        <v>#REF!</v>
      </c>
      <c r="W6" s="849">
        <f>IF($N6&gt;=W$2,#REF!+W$18/(2020-W$2+1),0)</f>
        <v>0</v>
      </c>
      <c r="X6" s="849">
        <f>IF($N6&gt;=X$2,#REF!+X$18/(2020-X$2+1),0)</f>
        <v>0</v>
      </c>
      <c r="Y6" s="849">
        <f>IF($N6&gt;=Y$2,#REF!+Y$18/(2020-Y$2+1),0)</f>
        <v>0</v>
      </c>
      <c r="Z6" s="849">
        <f>IF($N6&gt;=Z$2,#REF!+Z$18/(2020-Z$2+1),0)</f>
        <v>0</v>
      </c>
      <c r="AA6" s="849">
        <f>IF($N6&gt;=AA$2,#REF!+AA$18/(2020-AA$2+1),0)</f>
        <v>0</v>
      </c>
      <c r="AB6" s="849"/>
      <c r="AC6" s="849"/>
      <c r="AD6" s="833"/>
      <c r="AE6" s="833"/>
      <c r="AF6" s="833"/>
      <c r="AG6" s="833"/>
      <c r="AH6" s="836"/>
    </row>
    <row r="7" spans="2:39" hidden="1">
      <c r="N7" s="848">
        <v>2009</v>
      </c>
      <c r="O7" s="849">
        <f>($O$48-$O$6)/($N$48-$N$6)+O6</f>
        <v>264.57037204643126</v>
      </c>
      <c r="Q7" s="849">
        <f t="shared" si="0"/>
        <v>264.57037204643126</v>
      </c>
      <c r="R7" s="849">
        <f t="shared" ref="R7:R47" si="1">IF(N7&lt;=$R$1,R6*(1+$T$1),R6-($R$6*(1+$T$1)^($R$1-$N$6)-$O$6*(1-$R$2))/(2050-$R$1))</f>
        <v>265.85061420023453</v>
      </c>
      <c r="S7" s="849" t="e">
        <f>NA()</f>
        <v>#N/A</v>
      </c>
      <c r="T7" s="849" t="e">
        <f>Q7-SUM(U7:AH7)</f>
        <v>#REF!</v>
      </c>
      <c r="U7" s="849"/>
      <c r="V7" s="848" t="e">
        <f>(#REF!-#REF!)/1000</f>
        <v>#REF!</v>
      </c>
      <c r="W7" s="849">
        <f t="shared" ref="W7:AA17" si="2">IF($N7&gt;=W$2,W6+W$18/(2020-W$2+1),0)</f>
        <v>0</v>
      </c>
      <c r="X7" s="849">
        <f t="shared" si="2"/>
        <v>0</v>
      </c>
      <c r="Y7" s="849">
        <f t="shared" si="2"/>
        <v>0</v>
      </c>
      <c r="Z7" s="849">
        <f t="shared" si="2"/>
        <v>0</v>
      </c>
      <c r="AA7" s="849">
        <f t="shared" si="2"/>
        <v>0</v>
      </c>
      <c r="AB7" s="849"/>
      <c r="AC7" s="849"/>
      <c r="AD7" s="833"/>
      <c r="AE7" s="833"/>
      <c r="AF7" s="833"/>
      <c r="AG7" s="833"/>
      <c r="AH7" s="836"/>
    </row>
    <row r="8" spans="2:39">
      <c r="N8" s="848">
        <v>2010</v>
      </c>
      <c r="O8" s="850">
        <f t="shared" ref="O8:O47" si="3">($O$48-$O$6)/($N$48-$N$6)+O7</f>
        <v>265.92231419164023</v>
      </c>
      <c r="P8" s="851">
        <v>127287.63116754411</v>
      </c>
      <c r="Q8" s="850">
        <f t="shared" si="0"/>
        <v>265.92231419164023</v>
      </c>
      <c r="R8" s="850">
        <f t="shared" si="1"/>
        <v>268.50912034223688</v>
      </c>
      <c r="S8" s="850">
        <f>Q8</f>
        <v>265.92231419164023</v>
      </c>
      <c r="T8" s="850">
        <f ca="1">Q8-SUM(U8:AC8)</f>
        <v>265.92231419164023</v>
      </c>
      <c r="U8" s="850"/>
      <c r="V8" s="850">
        <f t="shared" ref="V8:V17" si="4">IF($N8&gt;=V$2,V7+V$18/(2020-V$2+1),0)</f>
        <v>0</v>
      </c>
      <c r="W8" s="850">
        <f t="shared" si="2"/>
        <v>0</v>
      </c>
      <c r="X8" s="850">
        <f t="shared" si="2"/>
        <v>0</v>
      </c>
      <c r="Y8" s="850">
        <f t="shared" si="2"/>
        <v>0</v>
      </c>
      <c r="Z8" s="850">
        <f t="shared" si="2"/>
        <v>0</v>
      </c>
      <c r="AA8" s="850">
        <f t="shared" si="2"/>
        <v>0</v>
      </c>
      <c r="AB8" s="850">
        <f ca="1">AG8*$H$20*8760*$H$22*$H$27/1000</f>
        <v>0</v>
      </c>
      <c r="AC8" s="850">
        <f ca="1">Q8-S8-SUM(V8:AB8)</f>
        <v>0</v>
      </c>
      <c r="AD8" s="833"/>
      <c r="AE8" s="852">
        <f ca="1">AM8</f>
        <v>642763.17567092506</v>
      </c>
      <c r="AF8" s="852">
        <f t="shared" ref="AF8:AF9" ca="1" si="5">IF(N8&gt;$N$8+$H$26,0,TRUNC(AE8/$H$21,0)*$H$21)</f>
        <v>0</v>
      </c>
      <c r="AG8" s="849">
        <f ca="1">IF(N8&gt;$N$8+$H$26,0,TRUNC(AE8/$H$21,0))</f>
        <v>0</v>
      </c>
      <c r="AH8" s="850"/>
      <c r="AI8" s="853">
        <f t="shared" ref="AI8:AI21" ca="1" si="6">AE8-AF8</f>
        <v>642763.17567092506</v>
      </c>
      <c r="AM8" s="852">
        <f ca="1">IF(N8&lt;2010+$H$26,GreenPwr2!B19*$H$23*1000,0)</f>
        <v>642763.17567092506</v>
      </c>
    </row>
    <row r="9" spans="2:39">
      <c r="N9" s="848">
        <v>2011</v>
      </c>
      <c r="O9" s="850">
        <f t="shared" si="3"/>
        <v>267.27425633684919</v>
      </c>
      <c r="P9" s="851">
        <v>127599.27361846351</v>
      </c>
      <c r="Q9" s="850">
        <f t="shared" si="0"/>
        <v>267.27425633684919</v>
      </c>
      <c r="R9" s="850">
        <f t="shared" si="1"/>
        <v>263.11248448318707</v>
      </c>
      <c r="S9" s="850">
        <f>S8+($S$48-$S$8)/(ROW($S$48)-ROW($S$8))</f>
        <v>259.27425633684925</v>
      </c>
      <c r="T9" s="850">
        <f t="shared" ref="T9:T48" ca="1" si="7">Q9-SUM(U9:AC9)</f>
        <v>259.27425633684925</v>
      </c>
      <c r="U9" s="850"/>
      <c r="V9" s="850">
        <f t="shared" si="4"/>
        <v>1.3972086782186495</v>
      </c>
      <c r="W9" s="850">
        <f t="shared" si="2"/>
        <v>0.55888347128745974</v>
      </c>
      <c r="X9" s="850">
        <f t="shared" si="2"/>
        <v>1.3972086782186495</v>
      </c>
      <c r="Y9" s="850">
        <f t="shared" si="2"/>
        <v>0.27944173564372987</v>
      </c>
      <c r="Z9" s="850">
        <f t="shared" si="2"/>
        <v>0.13972086782186494</v>
      </c>
      <c r="AA9" s="850">
        <f t="shared" si="2"/>
        <v>0</v>
      </c>
      <c r="AB9" s="850">
        <f t="shared" ref="AB9:AB48" ca="1" si="8">AG9*$H$20*8760*$H$22*$H$27/1000</f>
        <v>0</v>
      </c>
      <c r="AC9" s="850">
        <f t="shared" ref="AC9:AC48" ca="1" si="9">Q9-S9-SUM(V9:AB9)</f>
        <v>4.2275365688095894</v>
      </c>
      <c r="AD9" s="833"/>
      <c r="AE9" s="852">
        <f ca="1">AE8-AF8+AM9+AL9+AK9</f>
        <v>1293409.4793461105</v>
      </c>
      <c r="AF9" s="852">
        <f t="shared" ca="1" si="5"/>
        <v>0</v>
      </c>
      <c r="AG9" s="849">
        <f t="shared" ref="AG9" ca="1" si="10">IF(N9&gt;$N$8+$H$26,0,TRUNC(AE9/$H$21,0))+AG8</f>
        <v>0</v>
      </c>
      <c r="AH9" s="850">
        <f ca="1">AG8*$H$20*8760*$H$22</f>
        <v>0</v>
      </c>
      <c r="AI9" s="853">
        <f t="shared" ca="1" si="6"/>
        <v>1293409.4793461105</v>
      </c>
      <c r="AK9" s="853">
        <f ca="1">-$H$31*AG8*$H$20*1000</f>
        <v>0</v>
      </c>
      <c r="AL9" s="853">
        <f t="shared" ref="AL9:AL48" ca="1" si="11">AH9*OFFSET(Price_PE_MWh,N9-$N$8+3,0)</f>
        <v>0</v>
      </c>
      <c r="AM9" s="852">
        <f ca="1">IF(N9&lt;2010+$H$26,GreenPwr2!B20*$H$23*1000,0)</f>
        <v>650646.30367518531</v>
      </c>
    </row>
    <row r="10" spans="2:39">
      <c r="N10" s="848">
        <v>2012</v>
      </c>
      <c r="O10" s="850">
        <f t="shared" si="3"/>
        <v>268.62619848205816</v>
      </c>
      <c r="P10" s="851">
        <v>129714.00924853944</v>
      </c>
      <c r="Q10" s="850">
        <f t="shared" si="0"/>
        <v>268.62619848205816</v>
      </c>
      <c r="R10" s="850">
        <f t="shared" si="1"/>
        <v>257.71584862413727</v>
      </c>
      <c r="S10" s="850">
        <f t="shared" ref="S10:S47" si="12">S9+($S$48-$S$8)/(ROW($S$48)-ROW($S$8))</f>
        <v>252.62619848205824</v>
      </c>
      <c r="T10" s="850">
        <f t="shared" ca="1" si="7"/>
        <v>252.62619848205824</v>
      </c>
      <c r="U10" s="850"/>
      <c r="V10" s="850">
        <f t="shared" si="4"/>
        <v>2.7944173564372989</v>
      </c>
      <c r="W10" s="850">
        <f t="shared" si="2"/>
        <v>1.1177669425749195</v>
      </c>
      <c r="X10" s="850">
        <f t="shared" si="2"/>
        <v>2.7944173564372989</v>
      </c>
      <c r="Y10" s="850">
        <f t="shared" si="2"/>
        <v>0.55888347128745974</v>
      </c>
      <c r="Z10" s="850">
        <f t="shared" si="2"/>
        <v>0.27944173564372987</v>
      </c>
      <c r="AA10" s="850">
        <f t="shared" si="2"/>
        <v>0</v>
      </c>
      <c r="AB10" s="850">
        <f t="shared" ca="1" si="8"/>
        <v>0</v>
      </c>
      <c r="AC10" s="850">
        <f t="shared" ca="1" si="9"/>
        <v>8.4550731376192072</v>
      </c>
      <c r="AD10" s="833"/>
      <c r="AE10" s="852">
        <f t="shared" ref="AE10:AE48" ca="1" si="13">AE9-AF9+AM10+AL10+AK10</f>
        <v>1962536.3192312503</v>
      </c>
      <c r="AF10" s="852">
        <f t="shared" ref="AF10:AF48" ca="1" si="14">IF(N10&gt;$N$8+$H$26,0,TRUNC(AE10/$H$21,0)*$H$21)</f>
        <v>0</v>
      </c>
      <c r="AG10" s="849">
        <f t="shared" ref="AG10:AG48" ca="1" si="15">IF(N10&gt;$N$8+$H$26,0,TRUNC(AE10/$H$21,0))+AG9</f>
        <v>0</v>
      </c>
      <c r="AH10" s="850">
        <f t="shared" ref="AH10:AH48" ca="1" si="16">AG9*$H$20*8760*$H$22</f>
        <v>0</v>
      </c>
      <c r="AI10" s="853">
        <f t="shared" ca="1" si="6"/>
        <v>1962536.3192312503</v>
      </c>
      <c r="AK10" s="853">
        <f t="shared" ref="AK10:AK48" ca="1" si="17">-$H$31*AG9*$H$20*1000</f>
        <v>0</v>
      </c>
      <c r="AL10" s="853">
        <f t="shared" ca="1" si="11"/>
        <v>0</v>
      </c>
      <c r="AM10" s="852">
        <f ca="1">IF(N10&lt;2010+$H$26,GreenPwr2!B21*$H$23*1000,0)</f>
        <v>669126.83988513984</v>
      </c>
    </row>
    <row r="11" spans="2:39">
      <c r="N11" s="848">
        <v>2013</v>
      </c>
      <c r="O11" s="850">
        <f t="shared" si="3"/>
        <v>269.97814062726712</v>
      </c>
      <c r="P11" s="851">
        <v>130517.518056527</v>
      </c>
      <c r="Q11" s="850">
        <f t="shared" si="0"/>
        <v>269.97814062726712</v>
      </c>
      <c r="R11" s="850">
        <f t="shared" si="1"/>
        <v>252.31921276508746</v>
      </c>
      <c r="S11" s="850">
        <f t="shared" si="12"/>
        <v>245.97814062726724</v>
      </c>
      <c r="T11" s="850">
        <f t="shared" ca="1" si="7"/>
        <v>245.97814062726724</v>
      </c>
      <c r="U11" s="850"/>
      <c r="V11" s="850">
        <f t="shared" si="4"/>
        <v>4.1916260346559486</v>
      </c>
      <c r="W11" s="850">
        <f t="shared" si="2"/>
        <v>1.6766504138623792</v>
      </c>
      <c r="X11" s="850">
        <f t="shared" si="2"/>
        <v>4.1916260346559486</v>
      </c>
      <c r="Y11" s="850">
        <f t="shared" si="2"/>
        <v>0.83832520693118961</v>
      </c>
      <c r="Z11" s="850">
        <f t="shared" si="2"/>
        <v>0.41916260346559481</v>
      </c>
      <c r="AA11" s="850">
        <f t="shared" si="2"/>
        <v>0</v>
      </c>
      <c r="AB11" s="850">
        <f t="shared" ca="1" si="8"/>
        <v>2.1492659999999999</v>
      </c>
      <c r="AC11" s="850">
        <f t="shared" ca="1" si="9"/>
        <v>10.533343706428827</v>
      </c>
      <c r="AD11" s="833"/>
      <c r="AE11" s="852">
        <f t="shared" ca="1" si="13"/>
        <v>2642436.4893585667</v>
      </c>
      <c r="AF11" s="852">
        <f t="shared" ca="1" si="14"/>
        <v>2300000</v>
      </c>
      <c r="AG11" s="849">
        <f t="shared" ca="1" si="15"/>
        <v>1</v>
      </c>
      <c r="AH11" s="850">
        <f t="shared" ca="1" si="16"/>
        <v>0</v>
      </c>
      <c r="AI11" s="853">
        <f t="shared" ca="1" si="6"/>
        <v>342436.4893585667</v>
      </c>
      <c r="AK11" s="853">
        <f t="shared" ca="1" si="17"/>
        <v>0</v>
      </c>
      <c r="AL11" s="853">
        <f t="shared" ca="1" si="11"/>
        <v>0</v>
      </c>
      <c r="AM11" s="852">
        <f ca="1">IF(N11&lt;2010+$H$26,GreenPwr2!B22*$H$23*1000,0)</f>
        <v>679900.17012731661</v>
      </c>
    </row>
    <row r="12" spans="2:39">
      <c r="N12" s="848">
        <v>2014</v>
      </c>
      <c r="O12" s="850">
        <f t="shared" si="3"/>
        <v>271.33008277247609</v>
      </c>
      <c r="P12" s="851">
        <v>130829.30067328243</v>
      </c>
      <c r="Q12" s="850">
        <f t="shared" si="0"/>
        <v>271.33008277247609</v>
      </c>
      <c r="R12" s="850">
        <f t="shared" si="1"/>
        <v>246.92257690603765</v>
      </c>
      <c r="S12" s="850">
        <f t="shared" si="12"/>
        <v>239.33008277247623</v>
      </c>
      <c r="T12" s="850">
        <f t="shared" ca="1" si="7"/>
        <v>239.33008277247623</v>
      </c>
      <c r="U12" s="850"/>
      <c r="V12" s="850">
        <f t="shared" si="4"/>
        <v>5.5888347128745979</v>
      </c>
      <c r="W12" s="850">
        <f t="shared" si="2"/>
        <v>2.235533885149839</v>
      </c>
      <c r="X12" s="850">
        <f t="shared" si="2"/>
        <v>5.5888347128745979</v>
      </c>
      <c r="Y12" s="850">
        <f t="shared" si="2"/>
        <v>1.1177669425749195</v>
      </c>
      <c r="Z12" s="850">
        <f t="shared" si="2"/>
        <v>0.55888347128745974</v>
      </c>
      <c r="AA12" s="850">
        <f t="shared" si="2"/>
        <v>0</v>
      </c>
      <c r="AB12" s="850">
        <f t="shared" ca="1" si="8"/>
        <v>2.1492659999999999</v>
      </c>
      <c r="AC12" s="850">
        <f t="shared" ca="1" si="9"/>
        <v>14.760880275238442</v>
      </c>
      <c r="AD12" s="833"/>
      <c r="AE12" s="852">
        <f t="shared" ca="1" si="13"/>
        <v>1246081.2094580245</v>
      </c>
      <c r="AF12" s="852">
        <f t="shared" ca="1" si="14"/>
        <v>0</v>
      </c>
      <c r="AG12" s="849">
        <f t="shared" ca="1" si="15"/>
        <v>1</v>
      </c>
      <c r="AH12" s="850">
        <f t="shared" ca="1" si="16"/>
        <v>3066</v>
      </c>
      <c r="AI12" s="853">
        <f t="shared" ca="1" si="6"/>
        <v>1246081.2094580245</v>
      </c>
      <c r="AK12" s="853">
        <f t="shared" ca="1" si="17"/>
        <v>-50000</v>
      </c>
      <c r="AL12" s="853">
        <f t="shared" ca="1" si="11"/>
        <v>265861.42196788109</v>
      </c>
      <c r="AM12" s="852">
        <f ca="1">IF(N12&lt;2010+$H$26,GreenPwr2!B23*$H$23*1000,0)</f>
        <v>687783.29813157674</v>
      </c>
    </row>
    <row r="13" spans="2:39">
      <c r="N13" s="848">
        <v>2015</v>
      </c>
      <c r="O13" s="850">
        <f t="shared" si="3"/>
        <v>272.68202491768506</v>
      </c>
      <c r="P13" s="851">
        <v>132780.4273335475</v>
      </c>
      <c r="Q13" s="850">
        <f t="shared" si="0"/>
        <v>272.68202491768506</v>
      </c>
      <c r="R13" s="850">
        <f t="shared" si="1"/>
        <v>241.52594104698784</v>
      </c>
      <c r="S13" s="850">
        <f t="shared" si="12"/>
        <v>232.68202491768523</v>
      </c>
      <c r="T13" s="850">
        <f t="shared" ca="1" si="7"/>
        <v>232.68202491768523</v>
      </c>
      <c r="U13" s="850"/>
      <c r="V13" s="850">
        <f t="shared" si="4"/>
        <v>6.9860433910932471</v>
      </c>
      <c r="W13" s="850">
        <f t="shared" si="2"/>
        <v>2.7944173564372985</v>
      </c>
      <c r="X13" s="850">
        <f t="shared" si="2"/>
        <v>6.9860433910932471</v>
      </c>
      <c r="Y13" s="850">
        <f t="shared" si="2"/>
        <v>1.3972086782186492</v>
      </c>
      <c r="Z13" s="850">
        <f t="shared" si="2"/>
        <v>0.69860433910932462</v>
      </c>
      <c r="AA13" s="850">
        <f t="shared" si="2"/>
        <v>0.93147245214576635</v>
      </c>
      <c r="AB13" s="850">
        <f t="shared" ca="1" si="8"/>
        <v>2.1492659999999999</v>
      </c>
      <c r="AC13" s="850">
        <f t="shared" ca="1" si="9"/>
        <v>18.056944391902295</v>
      </c>
      <c r="AD13" s="833"/>
      <c r="AE13" s="852">
        <f t="shared" ca="1" si="13"/>
        <v>2166645.5706393598</v>
      </c>
      <c r="AF13" s="852">
        <f t="shared" ca="1" si="14"/>
        <v>0</v>
      </c>
      <c r="AG13" s="849">
        <f t="shared" ca="1" si="15"/>
        <v>1</v>
      </c>
      <c r="AH13" s="850">
        <f t="shared" ca="1" si="16"/>
        <v>3066</v>
      </c>
      <c r="AI13" s="853">
        <f t="shared" ca="1" si="6"/>
        <v>2166645.5706393598</v>
      </c>
      <c r="AK13" s="853">
        <f t="shared" ca="1" si="17"/>
        <v>-50000</v>
      </c>
      <c r="AL13" s="853">
        <f t="shared" ca="1" si="11"/>
        <v>267190.72907772043</v>
      </c>
      <c r="AM13" s="852">
        <f ca="1">IF(N13&lt;2010+$H$26,GreenPwr2!B24*$H$23*1000,0)</f>
        <v>703373.63210361463</v>
      </c>
    </row>
    <row r="14" spans="2:39">
      <c r="N14" s="848">
        <v>2016</v>
      </c>
      <c r="O14" s="850">
        <f t="shared" si="3"/>
        <v>274.03396706289402</v>
      </c>
      <c r="P14" s="851">
        <v>133092.30709494176</v>
      </c>
      <c r="Q14" s="850">
        <f t="shared" si="0"/>
        <v>274.03396706289402</v>
      </c>
      <c r="R14" s="850">
        <f t="shared" si="1"/>
        <v>236.12930518793803</v>
      </c>
      <c r="S14" s="850">
        <f t="shared" si="12"/>
        <v>226.03396706289422</v>
      </c>
      <c r="T14" s="850">
        <f t="shared" ca="1" si="7"/>
        <v>226.03396706289422</v>
      </c>
      <c r="U14" s="850"/>
      <c r="V14" s="850">
        <f t="shared" si="4"/>
        <v>8.3832520693118973</v>
      </c>
      <c r="W14" s="850">
        <f t="shared" si="2"/>
        <v>3.353300827724758</v>
      </c>
      <c r="X14" s="850">
        <f t="shared" si="2"/>
        <v>8.3832520693118973</v>
      </c>
      <c r="Y14" s="850">
        <f t="shared" si="2"/>
        <v>1.676650413862379</v>
      </c>
      <c r="Z14" s="850">
        <f t="shared" si="2"/>
        <v>0.8383252069311895</v>
      </c>
      <c r="AA14" s="850">
        <f t="shared" si="2"/>
        <v>1.8629449042915327</v>
      </c>
      <c r="AB14" s="850">
        <f t="shared" ca="1" si="8"/>
        <v>4.2985319999999998</v>
      </c>
      <c r="AC14" s="850">
        <f t="shared" ca="1" si="9"/>
        <v>19.203742508566151</v>
      </c>
      <c r="AD14" s="833"/>
      <c r="AE14" s="852">
        <f t="shared" ca="1" si="13"/>
        <v>3096429.0134703438</v>
      </c>
      <c r="AF14" s="852">
        <f t="shared" ca="1" si="14"/>
        <v>2300000</v>
      </c>
      <c r="AG14" s="849">
        <f t="shared" ca="1" si="15"/>
        <v>2</v>
      </c>
      <c r="AH14" s="850">
        <f t="shared" ca="1" si="16"/>
        <v>3066</v>
      </c>
      <c r="AI14" s="853">
        <f t="shared" ca="1" si="6"/>
        <v>796429.01347034378</v>
      </c>
      <c r="AK14" s="853">
        <f t="shared" ca="1" si="17"/>
        <v>-50000</v>
      </c>
      <c r="AL14" s="853">
        <f t="shared" ca="1" si="11"/>
        <v>268526.68272310903</v>
      </c>
      <c r="AM14" s="852">
        <f ca="1">IF(N14&lt;2010+$H$26,GreenPwr2!B25*$H$23*1000,0)</f>
        <v>711256.76010787475</v>
      </c>
    </row>
    <row r="15" spans="2:39">
      <c r="N15" s="848">
        <v>2017</v>
      </c>
      <c r="O15" s="850">
        <f t="shared" si="3"/>
        <v>275.38590920810299</v>
      </c>
      <c r="P15" s="851">
        <v>133404.20767304435</v>
      </c>
      <c r="Q15" s="850">
        <f t="shared" si="0"/>
        <v>275.38590920810299</v>
      </c>
      <c r="R15" s="850">
        <f t="shared" si="1"/>
        <v>230.73266932888822</v>
      </c>
      <c r="S15" s="850">
        <f t="shared" si="12"/>
        <v>219.38590920810321</v>
      </c>
      <c r="T15" s="850">
        <f t="shared" ca="1" si="7"/>
        <v>219.38590920810321</v>
      </c>
      <c r="U15" s="850"/>
      <c r="V15" s="850">
        <f t="shared" si="4"/>
        <v>9.7804607475305474</v>
      </c>
      <c r="W15" s="850">
        <f t="shared" si="2"/>
        <v>3.9121842990122175</v>
      </c>
      <c r="X15" s="850">
        <f t="shared" si="2"/>
        <v>9.7804607475305474</v>
      </c>
      <c r="Y15" s="850">
        <f t="shared" si="2"/>
        <v>1.9560921495061088</v>
      </c>
      <c r="Z15" s="850">
        <f t="shared" si="2"/>
        <v>0.97804607475305438</v>
      </c>
      <c r="AA15" s="850">
        <f t="shared" si="2"/>
        <v>2.7944173564372989</v>
      </c>
      <c r="AB15" s="850">
        <f t="shared" ca="1" si="8"/>
        <v>4.2985319999999998</v>
      </c>
      <c r="AC15" s="850">
        <f t="shared" ca="1" si="9"/>
        <v>22.499806625229994</v>
      </c>
      <c r="AD15" s="833"/>
      <c r="AE15" s="852">
        <f t="shared" ca="1" si="13"/>
        <v>1955307.5338559276</v>
      </c>
      <c r="AF15" s="852">
        <f t="shared" ca="1" si="14"/>
        <v>0</v>
      </c>
      <c r="AG15" s="849">
        <f t="shared" ca="1" si="15"/>
        <v>2</v>
      </c>
      <c r="AH15" s="850">
        <f t="shared" ca="1" si="16"/>
        <v>6132</v>
      </c>
      <c r="AI15" s="853">
        <f t="shared" ca="1" si="6"/>
        <v>1955307.5338559276</v>
      </c>
      <c r="AK15" s="853">
        <f t="shared" ca="1" si="17"/>
        <v>-100000</v>
      </c>
      <c r="AL15" s="853">
        <f t="shared" ca="1" si="11"/>
        <v>539738.63227344898</v>
      </c>
      <c r="AM15" s="852">
        <f ca="1">IF(N15&lt;2010+$H$26,GreenPwr2!B26*$H$23*1000,0)</f>
        <v>719139.888112135</v>
      </c>
    </row>
    <row r="16" spans="2:39">
      <c r="B16" s="854" t="s">
        <v>694</v>
      </c>
      <c r="G16" s="854" t="s">
        <v>695</v>
      </c>
      <c r="N16" s="848">
        <v>2018</v>
      </c>
      <c r="O16" s="850">
        <f t="shared" si="3"/>
        <v>276.73785135331195</v>
      </c>
      <c r="P16" s="851">
        <v>133716.12906785528</v>
      </c>
      <c r="Q16" s="850">
        <f t="shared" si="0"/>
        <v>276.73785135331195</v>
      </c>
      <c r="R16" s="850">
        <f t="shared" si="1"/>
        <v>225.33603346983841</v>
      </c>
      <c r="S16" s="850">
        <f t="shared" si="12"/>
        <v>212.73785135331221</v>
      </c>
      <c r="T16" s="850">
        <f t="shared" ca="1" si="7"/>
        <v>212.73785135331221</v>
      </c>
      <c r="U16" s="850"/>
      <c r="V16" s="850">
        <f t="shared" si="4"/>
        <v>11.177669425749198</v>
      </c>
      <c r="W16" s="850">
        <f t="shared" si="2"/>
        <v>4.4710677702996771</v>
      </c>
      <c r="X16" s="850">
        <f t="shared" si="2"/>
        <v>11.177669425749198</v>
      </c>
      <c r="Y16" s="850">
        <f t="shared" si="2"/>
        <v>2.2355338851498385</v>
      </c>
      <c r="Z16" s="850">
        <f t="shared" si="2"/>
        <v>1.1177669425749193</v>
      </c>
      <c r="AA16" s="850">
        <f t="shared" si="2"/>
        <v>3.7258898085830654</v>
      </c>
      <c r="AB16" s="850">
        <f t="shared" ca="1" si="8"/>
        <v>6.4477979999999997</v>
      </c>
      <c r="AC16" s="850">
        <f t="shared" ca="1" si="9"/>
        <v>23.646604741893853</v>
      </c>
      <c r="AD16" s="833"/>
      <c r="AE16" s="852">
        <f t="shared" ca="1" si="13"/>
        <v>3124767.8754071388</v>
      </c>
      <c r="AF16" s="852">
        <f t="shared" ca="1" si="14"/>
        <v>2300000</v>
      </c>
      <c r="AG16" s="849">
        <f t="shared" ca="1" si="15"/>
        <v>3</v>
      </c>
      <c r="AH16" s="850">
        <f t="shared" ca="1" si="16"/>
        <v>6132</v>
      </c>
      <c r="AI16" s="853">
        <f t="shared" ca="1" si="6"/>
        <v>824767.87540713884</v>
      </c>
      <c r="AK16" s="853">
        <f t="shared" ca="1" si="17"/>
        <v>-100000</v>
      </c>
      <c r="AL16" s="853">
        <f t="shared" ca="1" si="11"/>
        <v>542437.32543481619</v>
      </c>
      <c r="AM16" s="852">
        <f ca="1">IF(N16&lt;2010+$H$26,GreenPwr2!B27*$H$23*1000,0)</f>
        <v>727023.01611639513</v>
      </c>
    </row>
    <row r="17" spans="2:39">
      <c r="C17" s="855" t="s">
        <v>678</v>
      </c>
      <c r="D17" s="855" t="s">
        <v>679</v>
      </c>
      <c r="E17" s="855" t="s">
        <v>680</v>
      </c>
      <c r="G17" s="854" t="s">
        <v>696</v>
      </c>
      <c r="N17" s="848">
        <v>2019</v>
      </c>
      <c r="O17" s="850">
        <f t="shared" si="3"/>
        <v>278.08979349852092</v>
      </c>
      <c r="P17" s="851">
        <v>134028.07127937453</v>
      </c>
      <c r="Q17" s="850">
        <f t="shared" si="0"/>
        <v>278.08979349852092</v>
      </c>
      <c r="R17" s="850">
        <f t="shared" si="1"/>
        <v>219.9393976107886</v>
      </c>
      <c r="S17" s="850">
        <f t="shared" si="12"/>
        <v>206.0897934985212</v>
      </c>
      <c r="T17" s="850">
        <f t="shared" ca="1" si="7"/>
        <v>206.0897934985212</v>
      </c>
      <c r="U17" s="850"/>
      <c r="V17" s="850">
        <f t="shared" si="4"/>
        <v>12.574878103967848</v>
      </c>
      <c r="W17" s="850">
        <f t="shared" si="2"/>
        <v>5.0299512415871366</v>
      </c>
      <c r="X17" s="850">
        <f t="shared" si="2"/>
        <v>12.574878103967848</v>
      </c>
      <c r="Y17" s="850">
        <f t="shared" si="2"/>
        <v>2.5149756207935683</v>
      </c>
      <c r="Z17" s="850">
        <f t="shared" si="2"/>
        <v>1.2574878103967841</v>
      </c>
      <c r="AA17" s="850">
        <f t="shared" si="2"/>
        <v>4.6573622607288314</v>
      </c>
      <c r="AB17" s="850">
        <f t="shared" ca="1" si="8"/>
        <v>6.4477979999999997</v>
      </c>
      <c r="AC17" s="850">
        <f t="shared" ca="1" si="9"/>
        <v>26.942668858557703</v>
      </c>
      <c r="AD17" s="833"/>
      <c r="AE17" s="852">
        <f t="shared" ca="1" si="13"/>
        <v>2227398.2876207791</v>
      </c>
      <c r="AF17" s="852">
        <f t="shared" ca="1" si="14"/>
        <v>0</v>
      </c>
      <c r="AG17" s="849">
        <f t="shared" ca="1" si="15"/>
        <v>3</v>
      </c>
      <c r="AH17" s="850">
        <f t="shared" ca="1" si="16"/>
        <v>9198</v>
      </c>
      <c r="AI17" s="853">
        <f t="shared" ca="1" si="6"/>
        <v>2227398.2876207791</v>
      </c>
      <c r="AK17" s="853">
        <f t="shared" ca="1" si="17"/>
        <v>-150000</v>
      </c>
      <c r="AL17" s="853">
        <f t="shared" ca="1" si="11"/>
        <v>817724.2680929855</v>
      </c>
      <c r="AM17" s="852">
        <f ca="1">IF(N17&lt;2010+$H$26,GreenPwr2!B28*$H$23*1000,0)</f>
        <v>734906.14412065514</v>
      </c>
    </row>
    <row r="18" spans="2:39">
      <c r="B18" s="856" t="str">
        <f t="array" ref="B18:B23">TRANSPOSE(V5:AA5)</f>
        <v xml:space="preserve">Campus Planning and the Built Environment </v>
      </c>
      <c r="C18" s="857">
        <v>2011</v>
      </c>
      <c r="D18" s="858">
        <v>0.05</v>
      </c>
      <c r="E18" s="858">
        <v>0.15</v>
      </c>
      <c r="G18" s="856" t="s">
        <v>697</v>
      </c>
      <c r="H18" s="859">
        <v>2300</v>
      </c>
      <c r="I18" s="856" t="s">
        <v>698</v>
      </c>
      <c r="N18" s="848">
        <v>2020</v>
      </c>
      <c r="O18" s="850">
        <f t="shared" si="3"/>
        <v>279.44173564372988</v>
      </c>
      <c r="P18" s="851">
        <v>134340.03430760209</v>
      </c>
      <c r="Q18" s="850">
        <f t="shared" si="0"/>
        <v>279.44173564372988</v>
      </c>
      <c r="R18" s="850">
        <f t="shared" si="1"/>
        <v>214.54276175173879</v>
      </c>
      <c r="S18" s="850">
        <f t="shared" si="12"/>
        <v>199.4417356437302</v>
      </c>
      <c r="T18" s="850">
        <f t="shared" ca="1" si="7"/>
        <v>199.4417356437302</v>
      </c>
      <c r="U18" s="850"/>
      <c r="V18" s="860">
        <f t="shared" ref="V18:AA18" si="18">$Q18*V3</f>
        <v>13.972086782186494</v>
      </c>
      <c r="W18" s="860">
        <f t="shared" si="18"/>
        <v>5.5888347128745979</v>
      </c>
      <c r="X18" s="860">
        <f t="shared" si="18"/>
        <v>13.972086782186494</v>
      </c>
      <c r="Y18" s="860">
        <f t="shared" si="18"/>
        <v>2.7944173564372989</v>
      </c>
      <c r="Z18" s="860">
        <f t="shared" si="18"/>
        <v>1.3972086782186495</v>
      </c>
      <c r="AA18" s="860">
        <f t="shared" si="18"/>
        <v>5.5888347128745979</v>
      </c>
      <c r="AB18" s="860">
        <f t="shared" ca="1" si="8"/>
        <v>8.5970639999999996</v>
      </c>
      <c r="AC18" s="850">
        <f t="shared" ca="1" si="9"/>
        <v>28.089466975221555</v>
      </c>
      <c r="AD18" s="833"/>
      <c r="AE18" s="852">
        <f t="shared" ca="1" si="13"/>
        <v>2899211.1770542292</v>
      </c>
      <c r="AF18" s="852">
        <f t="shared" ca="1" si="14"/>
        <v>2300000</v>
      </c>
      <c r="AG18" s="849">
        <f t="shared" ca="1" si="15"/>
        <v>4</v>
      </c>
      <c r="AH18" s="850">
        <f t="shared" ca="1" si="16"/>
        <v>9198</v>
      </c>
      <c r="AI18" s="853">
        <f t="shared" ca="1" si="6"/>
        <v>599211.17705422919</v>
      </c>
      <c r="AK18" s="853">
        <f t="shared" ca="1" si="17"/>
        <v>-150000</v>
      </c>
      <c r="AL18" s="853">
        <f t="shared" ca="1" si="11"/>
        <v>821812.88943345018</v>
      </c>
      <c r="AM18" s="852">
        <f>IF(N18&lt;2010+$H$26,GreenPwr2!B29*$H$23*1000,0)</f>
        <v>0</v>
      </c>
    </row>
    <row r="19" spans="2:39">
      <c r="B19" s="856" t="str">
        <v xml:space="preserve">Community Outreach/Campus Life </v>
      </c>
      <c r="C19" s="857">
        <v>2011</v>
      </c>
      <c r="D19" s="858">
        <v>0.02</v>
      </c>
      <c r="E19" s="858">
        <v>0.03</v>
      </c>
      <c r="G19" s="856" t="s">
        <v>699</v>
      </c>
      <c r="H19" s="859">
        <v>30</v>
      </c>
      <c r="I19" s="856" t="s">
        <v>700</v>
      </c>
      <c r="N19" s="848">
        <v>2021</v>
      </c>
      <c r="O19" s="850">
        <f t="shared" si="3"/>
        <v>280.79367778893885</v>
      </c>
      <c r="P19" s="851">
        <v>134652.01815253796</v>
      </c>
      <c r="Q19" s="850">
        <f t="shared" si="0"/>
        <v>280.79367778893885</v>
      </c>
      <c r="R19" s="850">
        <f t="shared" si="1"/>
        <v>209.14612589268899</v>
      </c>
      <c r="S19" s="850">
        <f t="shared" si="12"/>
        <v>192.79367778893919</v>
      </c>
      <c r="T19" s="850">
        <f t="shared" ca="1" si="7"/>
        <v>192.79367778893919</v>
      </c>
      <c r="U19" s="850"/>
      <c r="V19" s="850">
        <f t="shared" ref="V19:AA34" si="19">IF($N19&gt;=V$2,V18+(V$48-V$18)/(2050-$N$18),0)</f>
        <v>15.106350556113611</v>
      </c>
      <c r="W19" s="850">
        <f t="shared" si="19"/>
        <v>5.7225402224454447</v>
      </c>
      <c r="X19" s="850">
        <f t="shared" si="19"/>
        <v>15.639683889446944</v>
      </c>
      <c r="Y19" s="850">
        <f t="shared" si="19"/>
        <v>2.9146034445560556</v>
      </c>
      <c r="Z19" s="850">
        <f t="shared" si="19"/>
        <v>1.4573017222780278</v>
      </c>
      <c r="AA19" s="850">
        <f t="shared" si="19"/>
        <v>5.9358735557787776</v>
      </c>
      <c r="AB19" s="850">
        <f t="shared" ca="1" si="8"/>
        <v>8.5970639999999996</v>
      </c>
      <c r="AC19" s="850">
        <f t="shared" ca="1" si="9"/>
        <v>32.626582609380804</v>
      </c>
      <c r="AD19" s="833"/>
      <c r="AE19" s="852">
        <f t="shared" ca="1" si="13"/>
        <v>1500440.4488950523</v>
      </c>
      <c r="AF19" s="852">
        <f t="shared" si="14"/>
        <v>0</v>
      </c>
      <c r="AG19" s="849">
        <f t="shared" ca="1" si="15"/>
        <v>4</v>
      </c>
      <c r="AH19" s="850">
        <f t="shared" ca="1" si="16"/>
        <v>12264</v>
      </c>
      <c r="AI19" s="853">
        <f t="shared" ca="1" si="6"/>
        <v>1500440.4488950523</v>
      </c>
      <c r="AK19" s="853">
        <f t="shared" ca="1" si="17"/>
        <v>-200000</v>
      </c>
      <c r="AL19" s="853">
        <f t="shared" ca="1" si="11"/>
        <v>1101229.2718408231</v>
      </c>
      <c r="AM19" s="852">
        <f>IF(N19&lt;2010+$H$26,GreenPwr2!B30*$H$23*1000,0)</f>
        <v>0</v>
      </c>
    </row>
    <row r="20" spans="2:39">
      <c r="B20" s="856" t="str">
        <v>Energy Consumption and Conservation (including IT)</v>
      </c>
      <c r="C20" s="857">
        <v>2011</v>
      </c>
      <c r="D20" s="858">
        <v>0.05</v>
      </c>
      <c r="E20" s="858">
        <v>0.2</v>
      </c>
      <c r="G20" s="856" t="s">
        <v>701</v>
      </c>
      <c r="H20" s="857">
        <v>1</v>
      </c>
      <c r="I20" s="856" t="s">
        <v>702</v>
      </c>
      <c r="J20" s="828" t="s">
        <v>1545</v>
      </c>
      <c r="N20" s="848">
        <v>2022</v>
      </c>
      <c r="O20" s="850">
        <f t="shared" si="3"/>
        <v>282.14561993414782</v>
      </c>
      <c r="P20" s="851">
        <v>134964.02281418213</v>
      </c>
      <c r="Q20" s="850">
        <f t="shared" si="0"/>
        <v>282.14561993414782</v>
      </c>
      <c r="R20" s="850">
        <f t="shared" si="1"/>
        <v>203.74949003363918</v>
      </c>
      <c r="S20" s="850">
        <f t="shared" si="12"/>
        <v>186.14561993414819</v>
      </c>
      <c r="T20" s="850">
        <f t="shared" ca="1" si="7"/>
        <v>186.14561993414819</v>
      </c>
      <c r="U20" s="850"/>
      <c r="V20" s="850">
        <f t="shared" si="19"/>
        <v>16.240614330040728</v>
      </c>
      <c r="W20" s="850">
        <f t="shared" si="19"/>
        <v>5.8562457320162915</v>
      </c>
      <c r="X20" s="850">
        <f t="shared" si="19"/>
        <v>17.307280996707394</v>
      </c>
      <c r="Y20" s="850">
        <f t="shared" si="19"/>
        <v>3.0347895326748122</v>
      </c>
      <c r="Z20" s="850">
        <f t="shared" si="19"/>
        <v>1.5173947663374061</v>
      </c>
      <c r="AA20" s="850">
        <f t="shared" si="19"/>
        <v>6.2829123986829574</v>
      </c>
      <c r="AB20" s="850">
        <f t="shared" ca="1" si="8"/>
        <v>8.5970639999999996</v>
      </c>
      <c r="AC20" s="850">
        <f t="shared" ca="1" si="9"/>
        <v>37.16369824354004</v>
      </c>
      <c r="AD20" s="833"/>
      <c r="AE20" s="852">
        <f t="shared" ca="1" si="13"/>
        <v>2407175.8670950793</v>
      </c>
      <c r="AF20" s="852">
        <f t="shared" si="14"/>
        <v>0</v>
      </c>
      <c r="AG20" s="849">
        <f t="shared" ca="1" si="15"/>
        <v>4</v>
      </c>
      <c r="AH20" s="850">
        <f t="shared" ca="1" si="16"/>
        <v>12264</v>
      </c>
      <c r="AI20" s="853">
        <f t="shared" ca="1" si="6"/>
        <v>2407175.8670950793</v>
      </c>
      <c r="AK20" s="853">
        <f t="shared" ca="1" si="17"/>
        <v>-200000</v>
      </c>
      <c r="AL20" s="853">
        <f t="shared" ca="1" si="11"/>
        <v>1106735.4182000267</v>
      </c>
      <c r="AM20" s="852">
        <f>IF(N20&lt;2010+$H$26,GreenPwr2!B31*$H$23*1000,0)</f>
        <v>0</v>
      </c>
    </row>
    <row r="21" spans="2:39">
      <c r="B21" s="856" t="str">
        <v>Transportation/ Waste</v>
      </c>
      <c r="C21" s="857">
        <v>2011</v>
      </c>
      <c r="D21" s="858">
        <v>0.01</v>
      </c>
      <c r="E21" s="858">
        <v>0.02</v>
      </c>
      <c r="G21" s="856" t="s">
        <v>703</v>
      </c>
      <c r="H21" s="861">
        <f>H18*1000*H20</f>
        <v>2300000</v>
      </c>
      <c r="I21" s="862"/>
      <c r="N21" s="848">
        <v>2023</v>
      </c>
      <c r="O21" s="850">
        <f t="shared" si="3"/>
        <v>283.49756207935678</v>
      </c>
      <c r="P21" s="851">
        <v>135276.04829253469</v>
      </c>
      <c r="Q21" s="850">
        <f t="shared" si="0"/>
        <v>283.49756207935678</v>
      </c>
      <c r="R21" s="850">
        <f t="shared" si="1"/>
        <v>198.35285417458937</v>
      </c>
      <c r="S21" s="850">
        <f t="shared" si="12"/>
        <v>179.49756207935718</v>
      </c>
      <c r="T21" s="850">
        <f t="shared" ca="1" si="7"/>
        <v>179.49756207935718</v>
      </c>
      <c r="U21" s="850"/>
      <c r="V21" s="850">
        <f t="shared" si="19"/>
        <v>17.374878103967845</v>
      </c>
      <c r="W21" s="850">
        <f t="shared" si="19"/>
        <v>5.9899512415871383</v>
      </c>
      <c r="X21" s="850">
        <f t="shared" si="19"/>
        <v>18.974878103967846</v>
      </c>
      <c r="Y21" s="850">
        <f t="shared" si="19"/>
        <v>3.1549756207935689</v>
      </c>
      <c r="Z21" s="850">
        <f t="shared" si="19"/>
        <v>1.5774878103967844</v>
      </c>
      <c r="AA21" s="850">
        <f t="shared" si="19"/>
        <v>6.6299512415871371</v>
      </c>
      <c r="AB21" s="850">
        <f t="shared" ca="1" si="8"/>
        <v>8.5970639999999996</v>
      </c>
      <c r="AC21" s="850">
        <f t="shared" ca="1" si="9"/>
        <v>41.700813877699275</v>
      </c>
      <c r="AD21" s="833"/>
      <c r="AE21" s="852">
        <f t="shared" ca="1" si="13"/>
        <v>3319444.9623861061</v>
      </c>
      <c r="AF21" s="852">
        <f t="shared" si="14"/>
        <v>0</v>
      </c>
      <c r="AG21" s="849">
        <f t="shared" ca="1" si="15"/>
        <v>4</v>
      </c>
      <c r="AH21" s="850">
        <f t="shared" ca="1" si="16"/>
        <v>12264</v>
      </c>
      <c r="AI21" s="853">
        <f t="shared" ca="1" si="6"/>
        <v>3319444.9623861061</v>
      </c>
      <c r="AK21" s="853">
        <f t="shared" ca="1" si="17"/>
        <v>-200000</v>
      </c>
      <c r="AL21" s="853">
        <f t="shared" ca="1" si="11"/>
        <v>1112269.0952910271</v>
      </c>
      <c r="AM21" s="852">
        <f>IF(N21&lt;2010+$H$26,GreenPwr2!B32*$H$23*1000,0)</f>
        <v>0</v>
      </c>
    </row>
    <row r="22" spans="2:39">
      <c r="B22" s="856" t="str">
        <v>Waste</v>
      </c>
      <c r="C22" s="857">
        <v>2011</v>
      </c>
      <c r="D22" s="858">
        <v>5.0000000000000001E-3</v>
      </c>
      <c r="E22" s="858">
        <v>0.01</v>
      </c>
      <c r="G22" s="856" t="s">
        <v>704</v>
      </c>
      <c r="H22" s="858">
        <v>0.35</v>
      </c>
      <c r="I22" s="863" t="s">
        <v>705</v>
      </c>
      <c r="K22" s="864"/>
      <c r="N22" s="848">
        <v>2024</v>
      </c>
      <c r="O22" s="850">
        <f t="shared" si="3"/>
        <v>284.84950422456575</v>
      </c>
      <c r="P22" s="851">
        <v>135588.09458759552</v>
      </c>
      <c r="Q22" s="850">
        <f t="shared" si="0"/>
        <v>284.84950422456575</v>
      </c>
      <c r="R22" s="850">
        <f t="shared" si="1"/>
        <v>192.95621831553956</v>
      </c>
      <c r="S22" s="850">
        <f t="shared" si="12"/>
        <v>172.84950422456618</v>
      </c>
      <c r="T22" s="850">
        <f t="shared" ca="1" si="7"/>
        <v>172.84950422456618</v>
      </c>
      <c r="U22" s="850"/>
      <c r="V22" s="850">
        <f t="shared" si="19"/>
        <v>18.509141877894962</v>
      </c>
      <c r="W22" s="850">
        <f t="shared" si="19"/>
        <v>6.1236567511579851</v>
      </c>
      <c r="X22" s="850">
        <f t="shared" si="19"/>
        <v>20.642475211228298</v>
      </c>
      <c r="Y22" s="850">
        <f t="shared" si="19"/>
        <v>3.2751617089123255</v>
      </c>
      <c r="Z22" s="850">
        <f t="shared" si="19"/>
        <v>1.6375808544561627</v>
      </c>
      <c r="AA22" s="850">
        <f t="shared" si="19"/>
        <v>6.9769900844913169</v>
      </c>
      <c r="AB22" s="850">
        <f t="shared" ca="1" si="8"/>
        <v>8.5970639999999996</v>
      </c>
      <c r="AC22" s="850">
        <f t="shared" ca="1" si="9"/>
        <v>46.237929511858525</v>
      </c>
      <c r="AD22" s="833"/>
      <c r="AE22" s="852">
        <f t="shared" ca="1" si="13"/>
        <v>4237275.4031535881</v>
      </c>
      <c r="AF22" s="852">
        <f t="shared" si="14"/>
        <v>0</v>
      </c>
      <c r="AG22" s="849">
        <f t="shared" ca="1" si="15"/>
        <v>4</v>
      </c>
      <c r="AH22" s="850">
        <f t="shared" ca="1" si="16"/>
        <v>12264</v>
      </c>
      <c r="AI22" s="853">
        <f ca="1">AE22-AF22</f>
        <v>4237275.4031535881</v>
      </c>
      <c r="AK22" s="853">
        <f t="shared" ca="1" si="17"/>
        <v>-200000</v>
      </c>
      <c r="AL22" s="853">
        <f t="shared" ca="1" si="11"/>
        <v>1117830.4407674819</v>
      </c>
      <c r="AM22" s="852">
        <f>IF(N22&lt;2010+$H$26,GreenPwr2!B33*$H$23*1000,0)</f>
        <v>0</v>
      </c>
    </row>
    <row r="23" spans="2:39">
      <c r="B23" s="856" t="str">
        <v>On Campus Renewable Energy</v>
      </c>
      <c r="C23" s="857">
        <v>2015</v>
      </c>
      <c r="D23" s="858">
        <v>0.02</v>
      </c>
      <c r="E23" s="858">
        <v>0.05</v>
      </c>
      <c r="G23" s="856" t="s">
        <v>706</v>
      </c>
      <c r="H23" s="865">
        <v>5.0000000000000001E-3</v>
      </c>
      <c r="I23" s="862" t="s">
        <v>707</v>
      </c>
      <c r="N23" s="848">
        <v>2025</v>
      </c>
      <c r="O23" s="850">
        <f t="shared" si="3"/>
        <v>286.20144636977471</v>
      </c>
      <c r="P23" s="851">
        <v>135900.16169936469</v>
      </c>
      <c r="Q23" s="850">
        <f t="shared" si="0"/>
        <v>286.20144636977471</v>
      </c>
      <c r="R23" s="850">
        <f t="shared" si="1"/>
        <v>187.55958245648975</v>
      </c>
      <c r="S23" s="850">
        <f t="shared" si="12"/>
        <v>166.20144636977517</v>
      </c>
      <c r="T23" s="850">
        <f t="shared" ca="1" si="7"/>
        <v>166.20144636977517</v>
      </c>
      <c r="U23" s="850"/>
      <c r="V23" s="850">
        <f t="shared" si="19"/>
        <v>19.643405651822079</v>
      </c>
      <c r="W23" s="850">
        <f t="shared" si="19"/>
        <v>6.2573622607288319</v>
      </c>
      <c r="X23" s="850">
        <f t="shared" si="19"/>
        <v>22.31007231848875</v>
      </c>
      <c r="Y23" s="850">
        <f t="shared" si="19"/>
        <v>3.3953477970310821</v>
      </c>
      <c r="Z23" s="850">
        <f t="shared" si="19"/>
        <v>1.6976738985155411</v>
      </c>
      <c r="AA23" s="850">
        <f t="shared" si="19"/>
        <v>7.3240289273954966</v>
      </c>
      <c r="AB23" s="850">
        <f t="shared" ca="1" si="8"/>
        <v>8.5970639999999996</v>
      </c>
      <c r="AC23" s="850">
        <f t="shared" ca="1" si="9"/>
        <v>50.77504514601776</v>
      </c>
      <c r="AD23" s="833"/>
      <c r="AE23" s="852">
        <f t="shared" ca="1" si="13"/>
        <v>5160694.9961249074</v>
      </c>
      <c r="AF23" s="852">
        <f t="shared" si="14"/>
        <v>0</v>
      </c>
      <c r="AG23" s="849">
        <f t="shared" ca="1" si="15"/>
        <v>4</v>
      </c>
      <c r="AH23" s="850">
        <f t="shared" ca="1" si="16"/>
        <v>12264</v>
      </c>
      <c r="AI23" s="853">
        <f t="shared" ref="AI23:AI48" ca="1" si="20">AE23-AF23</f>
        <v>5160694.9961249074</v>
      </c>
      <c r="AK23" s="853">
        <f t="shared" ca="1" si="17"/>
        <v>-200000</v>
      </c>
      <c r="AL23" s="853">
        <f t="shared" ca="1" si="11"/>
        <v>1123419.5929713191</v>
      </c>
      <c r="AM23" s="852">
        <f>IF(N23&lt;2010+$H$26,GreenPwr2!B34*$H$23*1000,0)</f>
        <v>0</v>
      </c>
    </row>
    <row r="24" spans="2:39">
      <c r="B24" s="856"/>
      <c r="C24" s="862"/>
      <c r="D24" s="862"/>
      <c r="E24" s="862"/>
      <c r="G24" s="856" t="s">
        <v>708</v>
      </c>
      <c r="H24" s="866">
        <f>P8</f>
        <v>127287.63116754411</v>
      </c>
      <c r="I24" s="863" t="s">
        <v>60</v>
      </c>
      <c r="N24" s="848">
        <v>2026</v>
      </c>
      <c r="O24" s="850">
        <f t="shared" si="3"/>
        <v>287.55338851498368</v>
      </c>
      <c r="P24" s="851">
        <v>136212.24962784219</v>
      </c>
      <c r="Q24" s="850">
        <f t="shared" si="0"/>
        <v>287.55338851498368</v>
      </c>
      <c r="R24" s="850">
        <f t="shared" si="1"/>
        <v>182.16294659743994</v>
      </c>
      <c r="S24" s="850">
        <f t="shared" si="12"/>
        <v>159.55338851498416</v>
      </c>
      <c r="T24" s="850">
        <f t="shared" ca="1" si="7"/>
        <v>159.55338851498416</v>
      </c>
      <c r="U24" s="850"/>
      <c r="V24" s="850">
        <f t="shared" si="19"/>
        <v>20.777669425749195</v>
      </c>
      <c r="W24" s="850">
        <f t="shared" si="19"/>
        <v>6.3910677702996788</v>
      </c>
      <c r="X24" s="850">
        <f t="shared" si="19"/>
        <v>23.977669425749202</v>
      </c>
      <c r="Y24" s="850">
        <f t="shared" si="19"/>
        <v>3.5155338851498388</v>
      </c>
      <c r="Z24" s="850">
        <f t="shared" si="19"/>
        <v>1.7577669425749194</v>
      </c>
      <c r="AA24" s="850">
        <f t="shared" si="19"/>
        <v>7.6710677702996763</v>
      </c>
      <c r="AB24" s="850">
        <f t="shared" ca="1" si="8"/>
        <v>8.5970639999999996</v>
      </c>
      <c r="AC24" s="850">
        <f t="shared" ca="1" si="9"/>
        <v>55.31216078017701</v>
      </c>
      <c r="AD24" s="833"/>
      <c r="AE24" s="852">
        <f t="shared" ca="1" si="13"/>
        <v>6089731.6870610826</v>
      </c>
      <c r="AF24" s="852">
        <f t="shared" si="14"/>
        <v>0</v>
      </c>
      <c r="AG24" s="849">
        <f t="shared" ca="1" si="15"/>
        <v>4</v>
      </c>
      <c r="AH24" s="850">
        <f t="shared" ca="1" si="16"/>
        <v>12264</v>
      </c>
      <c r="AI24" s="853">
        <f t="shared" ca="1" si="20"/>
        <v>6089731.6870610826</v>
      </c>
      <c r="AK24" s="853">
        <f t="shared" ca="1" si="17"/>
        <v>-200000</v>
      </c>
      <c r="AL24" s="853">
        <f t="shared" ca="1" si="11"/>
        <v>1129036.6909361756</v>
      </c>
      <c r="AM24" s="852">
        <f>IF(N24&lt;2010+$H$26,GreenPwr2!B35*$H$23*1000,0)</f>
        <v>0</v>
      </c>
    </row>
    <row r="25" spans="2:39">
      <c r="G25" s="856" t="s">
        <v>709</v>
      </c>
      <c r="H25" s="867">
        <f>H23*1000*H24/1000000</f>
        <v>0.63643815583772045</v>
      </c>
      <c r="I25" s="863" t="s">
        <v>710</v>
      </c>
      <c r="N25" s="848">
        <v>2027</v>
      </c>
      <c r="O25" s="850">
        <f t="shared" si="3"/>
        <v>288.90533066019265</v>
      </c>
      <c r="P25" s="851">
        <v>136524.35837302799</v>
      </c>
      <c r="Q25" s="850">
        <f t="shared" si="0"/>
        <v>288.90533066019265</v>
      </c>
      <c r="R25" s="850">
        <f t="shared" si="1"/>
        <v>176.76631073839013</v>
      </c>
      <c r="S25" s="850">
        <f t="shared" si="12"/>
        <v>152.90533066019316</v>
      </c>
      <c r="T25" s="850">
        <f t="shared" ca="1" si="7"/>
        <v>152.90533066019316</v>
      </c>
      <c r="U25" s="850"/>
      <c r="V25" s="850">
        <f t="shared" si="19"/>
        <v>21.911933199676312</v>
      </c>
      <c r="W25" s="850">
        <f t="shared" si="19"/>
        <v>6.5247732798705256</v>
      </c>
      <c r="X25" s="850">
        <f t="shared" si="19"/>
        <v>25.645266533009654</v>
      </c>
      <c r="Y25" s="850">
        <f t="shared" si="19"/>
        <v>3.6357199732685954</v>
      </c>
      <c r="Z25" s="850">
        <f t="shared" si="19"/>
        <v>1.8178599866342977</v>
      </c>
      <c r="AA25" s="850">
        <f t="shared" si="19"/>
        <v>8.018106613203857</v>
      </c>
      <c r="AB25" s="850">
        <f t="shared" ca="1" si="8"/>
        <v>8.5970639999999996</v>
      </c>
      <c r="AC25" s="850">
        <f t="shared" ca="1" si="9"/>
        <v>59.849276414336245</v>
      </c>
      <c r="AD25" s="833"/>
      <c r="AE25" s="852">
        <f t="shared" ca="1" si="13"/>
        <v>7024413.5614519389</v>
      </c>
      <c r="AF25" s="852">
        <f t="shared" si="14"/>
        <v>0</v>
      </c>
      <c r="AG25" s="849">
        <f t="shared" ca="1" si="15"/>
        <v>4</v>
      </c>
      <c r="AH25" s="850">
        <f t="shared" ca="1" si="16"/>
        <v>12264</v>
      </c>
      <c r="AI25" s="853">
        <f t="shared" ca="1" si="20"/>
        <v>7024413.5614519389</v>
      </c>
      <c r="AK25" s="853">
        <f t="shared" ca="1" si="17"/>
        <v>-200000</v>
      </c>
      <c r="AL25" s="853">
        <f t="shared" ca="1" si="11"/>
        <v>1134681.8743908564</v>
      </c>
      <c r="AM25" s="852">
        <f>IF(N25&lt;2010+$H$26,GreenPwr2!B36*$H$23*1000,0)</f>
        <v>0</v>
      </c>
    </row>
    <row r="26" spans="2:39">
      <c r="B26" s="856" t="s">
        <v>711</v>
      </c>
      <c r="C26" s="860">
        <v>320000</v>
      </c>
      <c r="G26" s="856" t="s">
        <v>712</v>
      </c>
      <c r="H26" s="857">
        <v>10</v>
      </c>
      <c r="I26" s="863" t="s">
        <v>713</v>
      </c>
      <c r="N26" s="848">
        <v>2028</v>
      </c>
      <c r="O26" s="850">
        <f t="shared" si="3"/>
        <v>290.25727280540161</v>
      </c>
      <c r="P26" s="851">
        <v>136836.48793492213</v>
      </c>
      <c r="Q26" s="850">
        <f t="shared" si="0"/>
        <v>290.25727280540161</v>
      </c>
      <c r="R26" s="850">
        <f t="shared" si="1"/>
        <v>171.36967487934032</v>
      </c>
      <c r="S26" s="850">
        <f t="shared" si="12"/>
        <v>146.25727280540215</v>
      </c>
      <c r="T26" s="850">
        <f t="shared" ca="1" si="7"/>
        <v>146.25727280540215</v>
      </c>
      <c r="U26" s="850"/>
      <c r="V26" s="850">
        <f t="shared" si="19"/>
        <v>23.046196973603429</v>
      </c>
      <c r="W26" s="850">
        <f t="shared" si="19"/>
        <v>6.6584787894413724</v>
      </c>
      <c r="X26" s="850">
        <f t="shared" si="19"/>
        <v>27.312863640270105</v>
      </c>
      <c r="Y26" s="850">
        <f t="shared" si="19"/>
        <v>3.7559060613873521</v>
      </c>
      <c r="Z26" s="850">
        <f t="shared" si="19"/>
        <v>1.877953030693676</v>
      </c>
      <c r="AA26" s="850">
        <f t="shared" si="19"/>
        <v>8.3651454561080367</v>
      </c>
      <c r="AB26" s="850">
        <f t="shared" ca="1" si="8"/>
        <v>8.5970639999999996</v>
      </c>
      <c r="AC26" s="850">
        <f t="shared" ca="1" si="9"/>
        <v>64.386392048495495</v>
      </c>
      <c r="AD26" s="833"/>
      <c r="AE26" s="852">
        <f t="shared" ca="1" si="13"/>
        <v>7964768.8452147488</v>
      </c>
      <c r="AF26" s="852">
        <f t="shared" si="14"/>
        <v>0</v>
      </c>
      <c r="AG26" s="849">
        <f t="shared" ca="1" si="15"/>
        <v>4</v>
      </c>
      <c r="AH26" s="850">
        <f t="shared" ca="1" si="16"/>
        <v>12264</v>
      </c>
      <c r="AI26" s="853">
        <f t="shared" ca="1" si="20"/>
        <v>7964768.8452147488</v>
      </c>
      <c r="AK26" s="853">
        <f t="shared" ca="1" si="17"/>
        <v>-200000</v>
      </c>
      <c r="AL26" s="853">
        <f t="shared" ca="1" si="11"/>
        <v>1140355.2837628103</v>
      </c>
      <c r="AM26" s="852">
        <f>IF(N26&lt;2010+$H$26,GreenPwr2!B37*$H$23*1000,0)</f>
        <v>0</v>
      </c>
    </row>
    <row r="27" spans="2:39">
      <c r="G27" s="856" t="s">
        <v>714</v>
      </c>
      <c r="H27" s="857">
        <v>0.70099999999999996</v>
      </c>
      <c r="I27" s="863" t="s">
        <v>715</v>
      </c>
      <c r="N27" s="848">
        <v>2029</v>
      </c>
      <c r="O27" s="850">
        <f t="shared" si="3"/>
        <v>291.60921495061058</v>
      </c>
      <c r="P27" s="851">
        <v>137148.63831352457</v>
      </c>
      <c r="Q27" s="850">
        <f t="shared" si="0"/>
        <v>291.60921495061058</v>
      </c>
      <c r="R27" s="850">
        <f t="shared" si="1"/>
        <v>165.97303902029051</v>
      </c>
      <c r="S27" s="850">
        <f t="shared" si="12"/>
        <v>139.60921495061115</v>
      </c>
      <c r="T27" s="850">
        <f t="shared" ca="1" si="7"/>
        <v>139.60921495061115</v>
      </c>
      <c r="U27" s="850"/>
      <c r="V27" s="850">
        <f t="shared" si="19"/>
        <v>24.180460747530546</v>
      </c>
      <c r="W27" s="850">
        <f t="shared" si="19"/>
        <v>6.7921842990122192</v>
      </c>
      <c r="X27" s="850">
        <f t="shared" si="19"/>
        <v>28.980460747530557</v>
      </c>
      <c r="Y27" s="850">
        <f t="shared" si="19"/>
        <v>3.8760921495061087</v>
      </c>
      <c r="Z27" s="850">
        <f t="shared" si="19"/>
        <v>1.9380460747530543</v>
      </c>
      <c r="AA27" s="850">
        <f t="shared" si="19"/>
        <v>8.7121842990122165</v>
      </c>
      <c r="AB27" s="850">
        <f t="shared" ca="1" si="8"/>
        <v>8.5970639999999996</v>
      </c>
      <c r="AC27" s="850">
        <f t="shared" ca="1" si="9"/>
        <v>68.923507682654716</v>
      </c>
      <c r="AD27" s="833"/>
      <c r="AE27" s="852">
        <f t="shared" ca="1" si="13"/>
        <v>8910825.9053963721</v>
      </c>
      <c r="AF27" s="852">
        <f t="shared" si="14"/>
        <v>0</v>
      </c>
      <c r="AG27" s="849">
        <f t="shared" ca="1" si="15"/>
        <v>4</v>
      </c>
      <c r="AH27" s="850">
        <f t="shared" ca="1" si="16"/>
        <v>12264</v>
      </c>
      <c r="AI27" s="853">
        <f t="shared" ca="1" si="20"/>
        <v>8910825.9053963721</v>
      </c>
      <c r="AK27" s="853">
        <f t="shared" ca="1" si="17"/>
        <v>-200000</v>
      </c>
      <c r="AL27" s="853">
        <f t="shared" ca="1" si="11"/>
        <v>1146057.0601816243</v>
      </c>
      <c r="AM27" s="852">
        <f>IF(N27&lt;2010+$H$26,GreenPwr2!B38*$H$23*1000,0)</f>
        <v>0</v>
      </c>
    </row>
    <row r="28" spans="2:39">
      <c r="G28" s="856" t="s">
        <v>716</v>
      </c>
      <c r="H28" s="868">
        <f ca="1">OFFSET($AG$8,I28-2010,0)*$H$20</f>
        <v>1</v>
      </c>
      <c r="I28" s="863">
        <v>2015</v>
      </c>
      <c r="N28" s="848">
        <v>2030</v>
      </c>
      <c r="O28" s="850">
        <f t="shared" si="3"/>
        <v>292.96115709581954</v>
      </c>
      <c r="P28" s="851">
        <v>137460.80950883534</v>
      </c>
      <c r="Q28" s="850">
        <f t="shared" si="0"/>
        <v>292.96115709581954</v>
      </c>
      <c r="R28" s="850">
        <f t="shared" si="1"/>
        <v>160.57640316124071</v>
      </c>
      <c r="S28" s="850">
        <f t="shared" si="12"/>
        <v>132.96115709582014</v>
      </c>
      <c r="T28" s="850">
        <f t="shared" ca="1" si="7"/>
        <v>132.96115709582014</v>
      </c>
      <c r="U28" s="850"/>
      <c r="V28" s="850">
        <f t="shared" si="19"/>
        <v>25.314724521457663</v>
      </c>
      <c r="W28" s="850">
        <f t="shared" si="19"/>
        <v>6.925889808583066</v>
      </c>
      <c r="X28" s="850">
        <f t="shared" si="19"/>
        <v>30.648057854791009</v>
      </c>
      <c r="Y28" s="850">
        <f t="shared" si="19"/>
        <v>3.9962782376248653</v>
      </c>
      <c r="Z28" s="850">
        <f t="shared" si="19"/>
        <v>1.9981391188124327</v>
      </c>
      <c r="AA28" s="850">
        <f t="shared" si="19"/>
        <v>9.0592231419163962</v>
      </c>
      <c r="AB28" s="850">
        <f t="shared" ca="1" si="8"/>
        <v>8.5970639999999996</v>
      </c>
      <c r="AC28" s="850">
        <f t="shared" ca="1" si="9"/>
        <v>73.460623316813979</v>
      </c>
      <c r="AD28" s="833"/>
      <c r="AE28" s="852">
        <f t="shared" ca="1" si="13"/>
        <v>9862613.250878904</v>
      </c>
      <c r="AF28" s="852">
        <f t="shared" si="14"/>
        <v>0</v>
      </c>
      <c r="AG28" s="849">
        <f t="shared" ca="1" si="15"/>
        <v>4</v>
      </c>
      <c r="AH28" s="850">
        <f t="shared" ca="1" si="16"/>
        <v>12264</v>
      </c>
      <c r="AI28" s="853">
        <f t="shared" ca="1" si="20"/>
        <v>9862613.250878904</v>
      </c>
      <c r="AK28" s="853">
        <f t="shared" ca="1" si="17"/>
        <v>-200000</v>
      </c>
      <c r="AL28" s="853">
        <f t="shared" ca="1" si="11"/>
        <v>1151787.3454825322</v>
      </c>
      <c r="AM28" s="852">
        <f>IF(N28&lt;2010+$H$26,GreenPwr2!B39*$H$23*1000,0)</f>
        <v>0</v>
      </c>
    </row>
    <row r="29" spans="2:39">
      <c r="G29" s="856" t="s">
        <v>716</v>
      </c>
      <c r="H29" s="868">
        <f ca="1">OFFSET($AG$8,I29-2010,0)*$H$20</f>
        <v>4</v>
      </c>
      <c r="I29" s="863">
        <v>2050</v>
      </c>
      <c r="N29" s="848">
        <v>2031</v>
      </c>
      <c r="O29" s="850">
        <f t="shared" si="3"/>
        <v>294.31309924102851</v>
      </c>
      <c r="P29" s="851">
        <v>137773.00152085445</v>
      </c>
      <c r="Q29" s="850">
        <f t="shared" si="0"/>
        <v>294.31309924102851</v>
      </c>
      <c r="R29" s="850">
        <f t="shared" si="1"/>
        <v>155.1797673021909</v>
      </c>
      <c r="S29" s="850">
        <f t="shared" si="12"/>
        <v>126.31309924102914</v>
      </c>
      <c r="T29" s="850">
        <f t="shared" ca="1" si="7"/>
        <v>126.31309924102914</v>
      </c>
      <c r="U29" s="850"/>
      <c r="V29" s="850">
        <f t="shared" si="19"/>
        <v>26.44898829538478</v>
      </c>
      <c r="W29" s="850">
        <f t="shared" si="19"/>
        <v>7.0595953181539128</v>
      </c>
      <c r="X29" s="850">
        <f t="shared" si="19"/>
        <v>32.315654962051461</v>
      </c>
      <c r="Y29" s="850">
        <f t="shared" si="19"/>
        <v>4.116464325743622</v>
      </c>
      <c r="Z29" s="850">
        <f t="shared" si="19"/>
        <v>2.058232162871811</v>
      </c>
      <c r="AA29" s="850">
        <f t="shared" si="19"/>
        <v>9.406261984820576</v>
      </c>
      <c r="AB29" s="850">
        <f t="shared" ca="1" si="8"/>
        <v>8.5970639999999996</v>
      </c>
      <c r="AC29" s="850">
        <f t="shared" ca="1" si="9"/>
        <v>77.997738950973201</v>
      </c>
      <c r="AD29" s="833"/>
      <c r="AE29" s="852">
        <f t="shared" ca="1" si="13"/>
        <v>10820159.533088848</v>
      </c>
      <c r="AF29" s="852">
        <f t="shared" si="14"/>
        <v>0</v>
      </c>
      <c r="AG29" s="849">
        <f t="shared" ca="1" si="15"/>
        <v>4</v>
      </c>
      <c r="AH29" s="850">
        <f t="shared" ca="1" si="16"/>
        <v>12264</v>
      </c>
      <c r="AI29" s="853">
        <f t="shared" ca="1" si="20"/>
        <v>10820159.533088848</v>
      </c>
      <c r="AK29" s="853">
        <f t="shared" ca="1" si="17"/>
        <v>-200000</v>
      </c>
      <c r="AL29" s="853">
        <f t="shared" ca="1" si="11"/>
        <v>1157546.2822099444</v>
      </c>
      <c r="AM29" s="852">
        <f>IF(N29&lt;2010+$H$26,GreenPwr2!B40*$H$23*1000,0)</f>
        <v>0</v>
      </c>
    </row>
    <row r="30" spans="2:39">
      <c r="G30" s="856" t="s">
        <v>717</v>
      </c>
      <c r="H30" s="867">
        <f ca="1">NPV(DiscountRate,AF8:AF48)/1000000</f>
        <v>6.0838812793728261</v>
      </c>
      <c r="I30" s="863" t="s">
        <v>710</v>
      </c>
      <c r="N30" s="848">
        <v>2032</v>
      </c>
      <c r="O30" s="850">
        <f t="shared" si="3"/>
        <v>295.66504138623748</v>
      </c>
      <c r="P30" s="851">
        <v>138085.21434958186</v>
      </c>
      <c r="Q30" s="850">
        <f t="shared" si="0"/>
        <v>295.66504138623748</v>
      </c>
      <c r="R30" s="850">
        <f t="shared" si="1"/>
        <v>149.78313144314109</v>
      </c>
      <c r="S30" s="850">
        <f t="shared" si="12"/>
        <v>119.66504138623813</v>
      </c>
      <c r="T30" s="850">
        <f t="shared" ca="1" si="7"/>
        <v>119.66504138623813</v>
      </c>
      <c r="U30" s="850"/>
      <c r="V30" s="850">
        <f t="shared" si="19"/>
        <v>27.583252069311897</v>
      </c>
      <c r="W30" s="850">
        <f t="shared" si="19"/>
        <v>7.1933008277247596</v>
      </c>
      <c r="X30" s="850">
        <f t="shared" si="19"/>
        <v>33.983252069311909</v>
      </c>
      <c r="Y30" s="850">
        <f t="shared" si="19"/>
        <v>4.2366504138623791</v>
      </c>
      <c r="Z30" s="850">
        <f t="shared" si="19"/>
        <v>2.1183252069311895</v>
      </c>
      <c r="AA30" s="850">
        <f t="shared" si="19"/>
        <v>9.7533008277247557</v>
      </c>
      <c r="AB30" s="850">
        <f t="shared" ca="1" si="8"/>
        <v>8.5970639999999996</v>
      </c>
      <c r="AC30" s="850">
        <f t="shared" ca="1" si="9"/>
        <v>82.53485458513245</v>
      </c>
      <c r="AD30" s="833"/>
      <c r="AE30" s="852">
        <f t="shared" ca="1" si="13"/>
        <v>11783493.546709843</v>
      </c>
      <c r="AF30" s="852">
        <f t="shared" si="14"/>
        <v>0</v>
      </c>
      <c r="AG30" s="849">
        <f t="shared" ca="1" si="15"/>
        <v>4</v>
      </c>
      <c r="AH30" s="850">
        <f t="shared" ca="1" si="16"/>
        <v>12264</v>
      </c>
      <c r="AI30" s="853">
        <f t="shared" ca="1" si="20"/>
        <v>11783493.546709843</v>
      </c>
      <c r="AK30" s="853">
        <f t="shared" ca="1" si="17"/>
        <v>-200000</v>
      </c>
      <c r="AL30" s="853">
        <f t="shared" ca="1" si="11"/>
        <v>1163334.0136209943</v>
      </c>
      <c r="AM30" s="852">
        <f>IF(N30&lt;2010+$H$26,GreenPwr2!B41*$H$23*1000,0)</f>
        <v>0</v>
      </c>
    </row>
    <row r="31" spans="2:39">
      <c r="G31" s="1204" t="s">
        <v>1366</v>
      </c>
      <c r="H31" s="865">
        <v>50</v>
      </c>
      <c r="I31" s="1205">
        <v>2010</v>
      </c>
      <c r="N31" s="848">
        <v>2033</v>
      </c>
      <c r="O31" s="850">
        <f t="shared" si="3"/>
        <v>297.01698353144644</v>
      </c>
      <c r="P31" s="851">
        <v>138397.4479950176</v>
      </c>
      <c r="Q31" s="850">
        <f t="shared" si="0"/>
        <v>297.01698353144644</v>
      </c>
      <c r="R31" s="850">
        <f t="shared" si="1"/>
        <v>144.38649558409128</v>
      </c>
      <c r="S31" s="850">
        <f t="shared" si="12"/>
        <v>113.01698353144712</v>
      </c>
      <c r="T31" s="850">
        <f t="shared" ca="1" si="7"/>
        <v>113.01698353144712</v>
      </c>
      <c r="U31" s="850"/>
      <c r="V31" s="850">
        <f t="shared" si="19"/>
        <v>28.717515843239013</v>
      </c>
      <c r="W31" s="850">
        <f t="shared" si="19"/>
        <v>7.3270063372956065</v>
      </c>
      <c r="X31" s="850">
        <f t="shared" si="19"/>
        <v>35.650849176572358</v>
      </c>
      <c r="Y31" s="850">
        <f t="shared" si="19"/>
        <v>4.3568365019811361</v>
      </c>
      <c r="Z31" s="850">
        <f t="shared" si="19"/>
        <v>2.1784182509905681</v>
      </c>
      <c r="AA31" s="850">
        <f t="shared" si="19"/>
        <v>10.100339670628935</v>
      </c>
      <c r="AB31" s="850">
        <f t="shared" ca="1" si="8"/>
        <v>8.5970639999999996</v>
      </c>
      <c r="AC31" s="850">
        <f t="shared" ca="1" si="9"/>
        <v>87.071970219291686</v>
      </c>
      <c r="AD31" s="833"/>
      <c r="AE31" s="852">
        <f t="shared" ca="1" si="13"/>
        <v>12752644.230398942</v>
      </c>
      <c r="AF31" s="852">
        <f t="shared" si="14"/>
        <v>0</v>
      </c>
      <c r="AG31" s="849">
        <f t="shared" ca="1" si="15"/>
        <v>4</v>
      </c>
      <c r="AH31" s="850">
        <f t="shared" ca="1" si="16"/>
        <v>12264</v>
      </c>
      <c r="AI31" s="853">
        <f t="shared" ca="1" si="20"/>
        <v>12752644.230398942</v>
      </c>
      <c r="AK31" s="853">
        <f t="shared" ca="1" si="17"/>
        <v>-200000</v>
      </c>
      <c r="AL31" s="853">
        <f t="shared" ca="1" si="11"/>
        <v>1169150.6836890988</v>
      </c>
      <c r="AM31" s="852">
        <f>IF(N31&lt;2010+$H$26,GreenPwr2!B42*$H$23*1000,0)</f>
        <v>0</v>
      </c>
    </row>
    <row r="32" spans="2:39">
      <c r="H32" s="868"/>
      <c r="I32" s="869" t="s">
        <v>718</v>
      </c>
      <c r="N32" s="848">
        <v>2034</v>
      </c>
      <c r="O32" s="850">
        <f t="shared" si="3"/>
        <v>298.36892567665541</v>
      </c>
      <c r="P32" s="851">
        <v>138709.70245716165</v>
      </c>
      <c r="Q32" s="850">
        <f t="shared" si="0"/>
        <v>298.36892567665541</v>
      </c>
      <c r="R32" s="850">
        <f t="shared" si="1"/>
        <v>138.98985972504147</v>
      </c>
      <c r="S32" s="850">
        <f t="shared" si="12"/>
        <v>106.36892567665612</v>
      </c>
      <c r="T32" s="850">
        <f t="shared" ca="1" si="7"/>
        <v>106.36892567665612</v>
      </c>
      <c r="U32" s="850"/>
      <c r="V32" s="850">
        <f t="shared" si="19"/>
        <v>29.85177961716613</v>
      </c>
      <c r="W32" s="850">
        <f t="shared" si="19"/>
        <v>7.4607118468664533</v>
      </c>
      <c r="X32" s="850">
        <f t="shared" si="19"/>
        <v>37.318446283832806</v>
      </c>
      <c r="Y32" s="850">
        <f t="shared" si="19"/>
        <v>4.4770225900998932</v>
      </c>
      <c r="Z32" s="850">
        <f t="shared" si="19"/>
        <v>2.2385112950499466</v>
      </c>
      <c r="AA32" s="850">
        <f t="shared" si="19"/>
        <v>10.447378513533115</v>
      </c>
      <c r="AB32" s="850">
        <f t="shared" ca="1" si="8"/>
        <v>8.5970639999999996</v>
      </c>
      <c r="AC32" s="850">
        <f t="shared" ca="1" si="9"/>
        <v>91.609085853450949</v>
      </c>
      <c r="AD32" s="833"/>
      <c r="AE32" s="852">
        <f t="shared" ca="1" si="13"/>
        <v>13727640.667506486</v>
      </c>
      <c r="AF32" s="852">
        <f t="shared" si="14"/>
        <v>0</v>
      </c>
      <c r="AG32" s="849">
        <f t="shared" ca="1" si="15"/>
        <v>4</v>
      </c>
      <c r="AH32" s="850">
        <f t="shared" ca="1" si="16"/>
        <v>12264</v>
      </c>
      <c r="AI32" s="853">
        <f t="shared" ca="1" si="20"/>
        <v>13727640.667506486</v>
      </c>
      <c r="AK32" s="853">
        <f t="shared" ca="1" si="17"/>
        <v>-200000</v>
      </c>
      <c r="AL32" s="853">
        <f t="shared" ca="1" si="11"/>
        <v>1174996.4371075444</v>
      </c>
      <c r="AM32" s="852">
        <f>IF(N32&lt;2010+$H$26,GreenPwr2!B43*$H$23*1000,0)</f>
        <v>0</v>
      </c>
    </row>
    <row r="33" spans="8:39">
      <c r="H33" s="857"/>
      <c r="I33" s="869" t="s">
        <v>719</v>
      </c>
      <c r="N33" s="848">
        <v>2035</v>
      </c>
      <c r="O33" s="850">
        <f t="shared" si="3"/>
        <v>299.72086782186437</v>
      </c>
      <c r="P33" s="851">
        <v>139021.97773601406</v>
      </c>
      <c r="Q33" s="850">
        <f t="shared" si="0"/>
        <v>299.72086782186437</v>
      </c>
      <c r="R33" s="850">
        <f t="shared" si="1"/>
        <v>133.59322386599166</v>
      </c>
      <c r="S33" s="850">
        <f t="shared" si="12"/>
        <v>99.720867821865113</v>
      </c>
      <c r="T33" s="850">
        <f t="shared" ca="1" si="7"/>
        <v>99.720867821865113</v>
      </c>
      <c r="U33" s="850"/>
      <c r="V33" s="850">
        <f t="shared" si="19"/>
        <v>30.986043391093247</v>
      </c>
      <c r="W33" s="850">
        <f t="shared" si="19"/>
        <v>7.5944173564373001</v>
      </c>
      <c r="X33" s="850">
        <f t="shared" si="19"/>
        <v>38.986043391093254</v>
      </c>
      <c r="Y33" s="850">
        <f t="shared" si="19"/>
        <v>4.5972086782186503</v>
      </c>
      <c r="Z33" s="850">
        <f t="shared" si="19"/>
        <v>2.2986043391093252</v>
      </c>
      <c r="AA33" s="850">
        <f t="shared" si="19"/>
        <v>10.794417356437295</v>
      </c>
      <c r="AB33" s="850">
        <f t="shared" ca="1" si="8"/>
        <v>8.5970639999999996</v>
      </c>
      <c r="AC33" s="850">
        <f t="shared" ca="1" si="9"/>
        <v>96.146201487610185</v>
      </c>
      <c r="AD33" s="833"/>
      <c r="AE33" s="852">
        <f t="shared" ca="1" si="13"/>
        <v>14708512.086799568</v>
      </c>
      <c r="AF33" s="852">
        <f t="shared" si="14"/>
        <v>0</v>
      </c>
      <c r="AG33" s="849">
        <f t="shared" ca="1" si="15"/>
        <v>4</v>
      </c>
      <c r="AH33" s="850">
        <f t="shared" ca="1" si="16"/>
        <v>12264</v>
      </c>
      <c r="AI33" s="853">
        <f t="shared" ca="1" si="20"/>
        <v>14708512.086799568</v>
      </c>
      <c r="AK33" s="853">
        <f t="shared" ca="1" si="17"/>
        <v>-200000</v>
      </c>
      <c r="AL33" s="853">
        <f t="shared" ca="1" si="11"/>
        <v>1180871.4192930819</v>
      </c>
      <c r="AM33" s="852">
        <f>IF(N33&lt;2010+$H$26,GreenPwr2!B44*$H$23*1000,0)</f>
        <v>0</v>
      </c>
    </row>
    <row r="34" spans="8:39">
      <c r="N34" s="848">
        <v>2036</v>
      </c>
      <c r="O34" s="850">
        <f t="shared" si="3"/>
        <v>301.07280996707334</v>
      </c>
      <c r="P34" s="851">
        <v>139334.27383157477</v>
      </c>
      <c r="Q34" s="850">
        <f t="shared" si="0"/>
        <v>301.07280996707334</v>
      </c>
      <c r="R34" s="850">
        <f t="shared" si="1"/>
        <v>128.19658800694185</v>
      </c>
      <c r="S34" s="850">
        <f t="shared" si="12"/>
        <v>93.072809967074107</v>
      </c>
      <c r="T34" s="850">
        <f t="shared" ca="1" si="7"/>
        <v>93.072809967074107</v>
      </c>
      <c r="U34" s="850"/>
      <c r="V34" s="850">
        <f t="shared" si="19"/>
        <v>32.120307165020364</v>
      </c>
      <c r="W34" s="850">
        <f t="shared" si="19"/>
        <v>7.7281228660081469</v>
      </c>
      <c r="X34" s="850">
        <f t="shared" si="19"/>
        <v>40.653640498353703</v>
      </c>
      <c r="Y34" s="850">
        <f t="shared" si="19"/>
        <v>4.7173947663374074</v>
      </c>
      <c r="Z34" s="850">
        <f t="shared" si="19"/>
        <v>2.3586973831687037</v>
      </c>
      <c r="AA34" s="850">
        <f t="shared" si="19"/>
        <v>11.141456199341475</v>
      </c>
      <c r="AB34" s="850">
        <f t="shared" ca="1" si="8"/>
        <v>8.5970639999999996</v>
      </c>
      <c r="AC34" s="850">
        <f t="shared" ca="1" si="9"/>
        <v>100.68331712176942</v>
      </c>
      <c r="AD34" s="833"/>
      <c r="AE34" s="852">
        <f t="shared" ca="1" si="13"/>
        <v>15695287.863189114</v>
      </c>
      <c r="AF34" s="852">
        <f t="shared" si="14"/>
        <v>0</v>
      </c>
      <c r="AG34" s="849">
        <f t="shared" ca="1" si="15"/>
        <v>4</v>
      </c>
      <c r="AH34" s="850">
        <f t="shared" ca="1" si="16"/>
        <v>12264</v>
      </c>
      <c r="AI34" s="853">
        <f t="shared" ca="1" si="20"/>
        <v>15695287.863189114</v>
      </c>
      <c r="AK34" s="853">
        <f t="shared" ca="1" si="17"/>
        <v>-200000</v>
      </c>
      <c r="AL34" s="853">
        <f t="shared" ca="1" si="11"/>
        <v>1186775.7763895472</v>
      </c>
      <c r="AM34" s="852">
        <f>IF(N34&lt;2010+$H$26,GreenPwr2!B45*$H$23*1000,0)</f>
        <v>0</v>
      </c>
    </row>
    <row r="35" spans="8:39">
      <c r="N35" s="848">
        <v>2037</v>
      </c>
      <c r="O35" s="850">
        <f t="shared" si="3"/>
        <v>302.42475211228231</v>
      </c>
      <c r="P35" s="851">
        <v>139646.59074384379</v>
      </c>
      <c r="Q35" s="850">
        <f t="shared" si="0"/>
        <v>302.42475211228231</v>
      </c>
      <c r="R35" s="850">
        <f t="shared" si="1"/>
        <v>122.79995214789204</v>
      </c>
      <c r="S35" s="850">
        <f t="shared" si="12"/>
        <v>86.424752112283102</v>
      </c>
      <c r="T35" s="850">
        <f t="shared" ca="1" si="7"/>
        <v>86.424752112283102</v>
      </c>
      <c r="U35" s="850"/>
      <c r="V35" s="850">
        <f t="shared" ref="V35:AA47" si="21">IF($N35&gt;=V$2,V34+(V$48-V$18)/(2050-$N$18),0)</f>
        <v>33.254570938947481</v>
      </c>
      <c r="W35" s="850">
        <f t="shared" si="21"/>
        <v>7.8618283755789937</v>
      </c>
      <c r="X35" s="850">
        <f t="shared" si="21"/>
        <v>42.321237605614151</v>
      </c>
      <c r="Y35" s="850">
        <f t="shared" si="21"/>
        <v>4.8375808544561645</v>
      </c>
      <c r="Z35" s="850">
        <f t="shared" si="21"/>
        <v>2.4187904272280822</v>
      </c>
      <c r="AA35" s="850">
        <f t="shared" si="21"/>
        <v>11.488495042245654</v>
      </c>
      <c r="AB35" s="850">
        <f t="shared" ca="1" si="8"/>
        <v>8.5970639999999996</v>
      </c>
      <c r="AC35" s="850">
        <f t="shared" ca="1" si="9"/>
        <v>105.22043275592867</v>
      </c>
      <c r="AD35" s="833"/>
      <c r="AE35" s="852">
        <f t="shared" ca="1" si="13"/>
        <v>16687997.518460609</v>
      </c>
      <c r="AF35" s="852">
        <f t="shared" si="14"/>
        <v>0</v>
      </c>
      <c r="AG35" s="849">
        <f t="shared" ca="1" si="15"/>
        <v>4</v>
      </c>
      <c r="AH35" s="850">
        <f t="shared" ca="1" si="16"/>
        <v>12264</v>
      </c>
      <c r="AI35" s="853">
        <f t="shared" ca="1" si="20"/>
        <v>16687997.518460609</v>
      </c>
      <c r="AK35" s="853">
        <f t="shared" ca="1" si="17"/>
        <v>-200000</v>
      </c>
      <c r="AL35" s="853">
        <f t="shared" ca="1" si="11"/>
        <v>1192709.6552714948</v>
      </c>
      <c r="AM35" s="852">
        <f>IF(N35&lt;2010+$H$26,GreenPwr2!B46*$H$23*1000,0)</f>
        <v>0</v>
      </c>
    </row>
    <row r="36" spans="8:39">
      <c r="N36" s="848">
        <v>2038</v>
      </c>
      <c r="O36" s="850">
        <f t="shared" si="3"/>
        <v>303.77669425749127</v>
      </c>
      <c r="P36" s="851">
        <v>139958.92847282114</v>
      </c>
      <c r="Q36" s="850">
        <f t="shared" si="0"/>
        <v>303.77669425749127</v>
      </c>
      <c r="R36" s="850">
        <f t="shared" si="1"/>
        <v>117.40331628884223</v>
      </c>
      <c r="S36" s="850">
        <f t="shared" si="12"/>
        <v>79.776694257492096</v>
      </c>
      <c r="T36" s="850">
        <f t="shared" ca="1" si="7"/>
        <v>79.776694257492096</v>
      </c>
      <c r="U36" s="850"/>
      <c r="V36" s="850">
        <f t="shared" si="21"/>
        <v>34.388834712874598</v>
      </c>
      <c r="W36" s="850">
        <f t="shared" si="21"/>
        <v>7.9955338851498405</v>
      </c>
      <c r="X36" s="850">
        <f t="shared" si="21"/>
        <v>43.988834712874599</v>
      </c>
      <c r="Y36" s="850">
        <f t="shared" si="21"/>
        <v>4.9577669425749216</v>
      </c>
      <c r="Z36" s="850">
        <f t="shared" si="21"/>
        <v>2.4788834712874608</v>
      </c>
      <c r="AA36" s="850">
        <f t="shared" si="21"/>
        <v>11.835533885149834</v>
      </c>
      <c r="AB36" s="850">
        <f t="shared" ca="1" si="8"/>
        <v>8.5970639999999996</v>
      </c>
      <c r="AC36" s="850">
        <f t="shared" ca="1" si="9"/>
        <v>109.75754839008792</v>
      </c>
      <c r="AD36" s="833"/>
      <c r="AE36" s="852">
        <f t="shared" ca="1" si="13"/>
        <v>17686670.722008459</v>
      </c>
      <c r="AF36" s="852">
        <f t="shared" si="14"/>
        <v>0</v>
      </c>
      <c r="AG36" s="849">
        <f t="shared" ca="1" si="15"/>
        <v>4</v>
      </c>
      <c r="AH36" s="850">
        <f t="shared" ca="1" si="16"/>
        <v>12264</v>
      </c>
      <c r="AI36" s="853">
        <f t="shared" ca="1" si="20"/>
        <v>17686670.722008459</v>
      </c>
      <c r="AK36" s="853">
        <f t="shared" ca="1" si="17"/>
        <v>-200000</v>
      </c>
      <c r="AL36" s="853">
        <f t="shared" ca="1" si="11"/>
        <v>1198673.2035478519</v>
      </c>
      <c r="AM36" s="852">
        <f>IF(N36&lt;2010+$H$26,GreenPwr2!B47*$H$23*1000,0)</f>
        <v>0</v>
      </c>
    </row>
    <row r="37" spans="8:39">
      <c r="N37" s="848">
        <v>2039</v>
      </c>
      <c r="O37" s="850">
        <f t="shared" si="3"/>
        <v>305.12863640270024</v>
      </c>
      <c r="P37" s="851">
        <v>140271.28701850679</v>
      </c>
      <c r="Q37" s="850">
        <f t="shared" si="0"/>
        <v>305.12863640270024</v>
      </c>
      <c r="R37" s="850">
        <f t="shared" si="1"/>
        <v>112.00668042979243</v>
      </c>
      <c r="S37" s="850">
        <f t="shared" si="12"/>
        <v>73.12863640270109</v>
      </c>
      <c r="T37" s="850">
        <f t="shared" ca="1" si="7"/>
        <v>73.12863640270109</v>
      </c>
      <c r="U37" s="850"/>
      <c r="V37" s="850">
        <f t="shared" si="21"/>
        <v>35.523098486801715</v>
      </c>
      <c r="W37" s="850">
        <f t="shared" si="21"/>
        <v>8.1292393947206865</v>
      </c>
      <c r="X37" s="850">
        <f t="shared" si="21"/>
        <v>45.656431820135047</v>
      </c>
      <c r="Y37" s="850">
        <f t="shared" si="21"/>
        <v>5.0779530306936786</v>
      </c>
      <c r="Z37" s="850">
        <f t="shared" si="21"/>
        <v>2.5389765153468393</v>
      </c>
      <c r="AA37" s="850">
        <f t="shared" si="21"/>
        <v>12.182572728054014</v>
      </c>
      <c r="AB37" s="850">
        <f t="shared" ca="1" si="8"/>
        <v>8.5970639999999996</v>
      </c>
      <c r="AC37" s="850">
        <f t="shared" ca="1" si="9"/>
        <v>114.29466402424717</v>
      </c>
      <c r="AD37" s="833"/>
      <c r="AE37" s="852">
        <f t="shared" ca="1" si="13"/>
        <v>18691337.29157405</v>
      </c>
      <c r="AF37" s="852">
        <f t="shared" si="14"/>
        <v>0</v>
      </c>
      <c r="AG37" s="849">
        <f t="shared" ca="1" si="15"/>
        <v>4</v>
      </c>
      <c r="AH37" s="850">
        <f t="shared" ca="1" si="16"/>
        <v>12264</v>
      </c>
      <c r="AI37" s="853">
        <f t="shared" ca="1" si="20"/>
        <v>18691337.29157405</v>
      </c>
      <c r="AK37" s="853">
        <f t="shared" ca="1" si="17"/>
        <v>-200000</v>
      </c>
      <c r="AL37" s="853">
        <f t="shared" ca="1" si="11"/>
        <v>1204666.5695655912</v>
      </c>
      <c r="AM37" s="852">
        <f>IF(N37&lt;2010+$H$26,GreenPwr2!B48*$H$23*1000,0)</f>
        <v>0</v>
      </c>
    </row>
    <row r="38" spans="8:39">
      <c r="N38" s="848">
        <v>2040</v>
      </c>
      <c r="O38" s="850">
        <f t="shared" si="3"/>
        <v>306.4805785479092</v>
      </c>
      <c r="P38" s="851">
        <v>140583.66638090077</v>
      </c>
      <c r="Q38" s="850">
        <f t="shared" si="0"/>
        <v>306.4805785479092</v>
      </c>
      <c r="R38" s="850">
        <f t="shared" si="1"/>
        <v>106.61004457074262</v>
      </c>
      <c r="S38" s="850">
        <f t="shared" si="12"/>
        <v>66.480578547910085</v>
      </c>
      <c r="T38" s="850">
        <f t="shared" ca="1" si="7"/>
        <v>66.480578547910085</v>
      </c>
      <c r="U38" s="850"/>
      <c r="V38" s="850">
        <f t="shared" si="21"/>
        <v>36.657362260728831</v>
      </c>
      <c r="W38" s="850">
        <f t="shared" si="21"/>
        <v>8.2629449042915333</v>
      </c>
      <c r="X38" s="850">
        <f t="shared" si="21"/>
        <v>47.324028927395496</v>
      </c>
      <c r="Y38" s="850">
        <f t="shared" si="21"/>
        <v>5.1981391188124357</v>
      </c>
      <c r="Z38" s="850">
        <f t="shared" si="21"/>
        <v>2.5990695594062179</v>
      </c>
      <c r="AA38" s="850">
        <f t="shared" si="21"/>
        <v>12.529611570958194</v>
      </c>
      <c r="AB38" s="850">
        <f t="shared" ca="1" si="8"/>
        <v>8.5970639999999996</v>
      </c>
      <c r="AC38" s="850">
        <f t="shared" ca="1" si="9"/>
        <v>118.8317796584064</v>
      </c>
      <c r="AD38" s="833"/>
      <c r="AE38" s="852">
        <f t="shared" ca="1" si="13"/>
        <v>19702027.19398747</v>
      </c>
      <c r="AF38" s="852">
        <f t="shared" si="14"/>
        <v>0</v>
      </c>
      <c r="AG38" s="849">
        <f t="shared" ca="1" si="15"/>
        <v>4</v>
      </c>
      <c r="AH38" s="850">
        <f t="shared" ca="1" si="16"/>
        <v>12264</v>
      </c>
      <c r="AI38" s="853">
        <f t="shared" ca="1" si="20"/>
        <v>19702027.19398747</v>
      </c>
      <c r="AK38" s="853">
        <f t="shared" ca="1" si="17"/>
        <v>-200000</v>
      </c>
      <c r="AL38" s="853">
        <f t="shared" ca="1" si="11"/>
        <v>1210689.902413419</v>
      </c>
      <c r="AM38" s="852">
        <f>IF(N38&lt;2010+$H$26,GreenPwr2!B49*$H$23*1000,0)</f>
        <v>0</v>
      </c>
    </row>
    <row r="39" spans="8:39">
      <c r="N39" s="848">
        <v>2041</v>
      </c>
      <c r="O39" s="850">
        <f t="shared" si="3"/>
        <v>307.83252069311817</v>
      </c>
      <c r="P39" s="851">
        <v>140896.06656000309</v>
      </c>
      <c r="Q39" s="850">
        <f t="shared" si="0"/>
        <v>307.83252069311817</v>
      </c>
      <c r="R39" s="850">
        <f t="shared" si="1"/>
        <v>101.21340871169281</v>
      </c>
      <c r="S39" s="850">
        <f t="shared" si="12"/>
        <v>59.832520693119079</v>
      </c>
      <c r="T39" s="850">
        <f t="shared" ca="1" si="7"/>
        <v>59.832520693119079</v>
      </c>
      <c r="U39" s="850"/>
      <c r="V39" s="850">
        <f t="shared" si="21"/>
        <v>37.791626034655948</v>
      </c>
      <c r="W39" s="850">
        <f t="shared" si="21"/>
        <v>8.3966504138623801</v>
      </c>
      <c r="X39" s="850">
        <f t="shared" si="21"/>
        <v>48.991626034655944</v>
      </c>
      <c r="Y39" s="850">
        <f t="shared" si="21"/>
        <v>5.3183252069311928</v>
      </c>
      <c r="Z39" s="850">
        <f t="shared" si="21"/>
        <v>2.6591626034655964</v>
      </c>
      <c r="AA39" s="850">
        <f t="shared" si="21"/>
        <v>12.876650413862373</v>
      </c>
      <c r="AB39" s="850">
        <f t="shared" ca="1" si="8"/>
        <v>8.5970639999999996</v>
      </c>
      <c r="AC39" s="850">
        <f t="shared" ca="1" si="9"/>
        <v>123.36889529256564</v>
      </c>
      <c r="AD39" s="833"/>
      <c r="AE39" s="852">
        <f t="shared" ca="1" si="13"/>
        <v>20718770.545912955</v>
      </c>
      <c r="AF39" s="852">
        <f t="shared" si="14"/>
        <v>0</v>
      </c>
      <c r="AG39" s="849">
        <f t="shared" ca="1" si="15"/>
        <v>4</v>
      </c>
      <c r="AH39" s="850">
        <f t="shared" ca="1" si="16"/>
        <v>12264</v>
      </c>
      <c r="AI39" s="853">
        <f t="shared" ca="1" si="20"/>
        <v>20718770.545912955</v>
      </c>
      <c r="AK39" s="853">
        <f t="shared" ca="1" si="17"/>
        <v>-200000</v>
      </c>
      <c r="AL39" s="853">
        <f t="shared" ca="1" si="11"/>
        <v>1216743.3519254855</v>
      </c>
      <c r="AM39" s="852">
        <f>IF(N39&lt;2010+$H$26,GreenPwr2!B50*$H$23*1000,0)</f>
        <v>0</v>
      </c>
    </row>
    <row r="40" spans="8:39">
      <c r="N40" s="848">
        <v>2042</v>
      </c>
      <c r="O40" s="850">
        <f t="shared" si="3"/>
        <v>309.18446283832714</v>
      </c>
      <c r="P40" s="851">
        <v>141208.48755581374</v>
      </c>
      <c r="Q40" s="850">
        <f t="shared" si="0"/>
        <v>309.18446283832714</v>
      </c>
      <c r="R40" s="850">
        <f t="shared" si="1"/>
        <v>95.816772852642998</v>
      </c>
      <c r="S40" s="850">
        <f t="shared" si="12"/>
        <v>53.184462838328074</v>
      </c>
      <c r="T40" s="850">
        <f t="shared" ca="1" si="7"/>
        <v>53.184462838328074</v>
      </c>
      <c r="U40" s="850"/>
      <c r="V40" s="850">
        <f t="shared" si="21"/>
        <v>38.925889808583065</v>
      </c>
      <c r="W40" s="850">
        <f t="shared" si="21"/>
        <v>8.5303559234332269</v>
      </c>
      <c r="X40" s="850">
        <f t="shared" si="21"/>
        <v>50.659223141916392</v>
      </c>
      <c r="Y40" s="850">
        <f t="shared" si="21"/>
        <v>5.4385112950499499</v>
      </c>
      <c r="Z40" s="850">
        <f t="shared" si="21"/>
        <v>2.719255647524975</v>
      </c>
      <c r="AA40" s="850">
        <f t="shared" si="21"/>
        <v>13.223689256766553</v>
      </c>
      <c r="AB40" s="850">
        <f t="shared" ca="1" si="8"/>
        <v>8.5970639999999996</v>
      </c>
      <c r="AC40" s="850">
        <f t="shared" ca="1" si="9"/>
        <v>127.90601092672492</v>
      </c>
      <c r="AD40" s="833"/>
      <c r="AE40" s="852">
        <f t="shared" ca="1" si="13"/>
        <v>21741597.614598069</v>
      </c>
      <c r="AF40" s="852">
        <f t="shared" si="14"/>
        <v>0</v>
      </c>
      <c r="AG40" s="849">
        <f t="shared" ca="1" si="15"/>
        <v>4</v>
      </c>
      <c r="AH40" s="850">
        <f t="shared" ca="1" si="16"/>
        <v>12264</v>
      </c>
      <c r="AI40" s="853">
        <f t="shared" ca="1" si="20"/>
        <v>21741597.614598069</v>
      </c>
      <c r="AK40" s="853">
        <f t="shared" ca="1" si="17"/>
        <v>-200000</v>
      </c>
      <c r="AL40" s="853">
        <f t="shared" ca="1" si="11"/>
        <v>1222827.0686851128</v>
      </c>
      <c r="AM40" s="852">
        <f>IF(N40&lt;2010+$H$26,GreenPwr2!B51*$H$23*1000,0)</f>
        <v>0</v>
      </c>
    </row>
    <row r="41" spans="8:39">
      <c r="N41" s="848">
        <v>2043</v>
      </c>
      <c r="O41" s="850">
        <f t="shared" si="3"/>
        <v>310.5364049835361</v>
      </c>
      <c r="P41" s="851">
        <v>141520.92936833267</v>
      </c>
      <c r="Q41" s="850">
        <f t="shared" si="0"/>
        <v>310.5364049835361</v>
      </c>
      <c r="R41" s="850">
        <f t="shared" si="1"/>
        <v>90.420136993593189</v>
      </c>
      <c r="S41" s="850">
        <f t="shared" si="12"/>
        <v>46.536404983537068</v>
      </c>
      <c r="T41" s="850">
        <f t="shared" ca="1" si="7"/>
        <v>46.536404983537068</v>
      </c>
      <c r="U41" s="850"/>
      <c r="V41" s="850">
        <f t="shared" si="21"/>
        <v>40.060153582510182</v>
      </c>
      <c r="W41" s="850">
        <f t="shared" si="21"/>
        <v>8.6640614330040737</v>
      </c>
      <c r="X41" s="850">
        <f t="shared" si="21"/>
        <v>52.326820249176841</v>
      </c>
      <c r="Y41" s="850">
        <f t="shared" si="21"/>
        <v>5.558697383168707</v>
      </c>
      <c r="Z41" s="850">
        <f t="shared" si="21"/>
        <v>2.7793486915843535</v>
      </c>
      <c r="AA41" s="850">
        <f t="shared" si="21"/>
        <v>13.570728099670733</v>
      </c>
      <c r="AB41" s="850">
        <f t="shared" ca="1" si="8"/>
        <v>8.5970639999999996</v>
      </c>
      <c r="AC41" s="850">
        <f t="shared" ca="1" si="9"/>
        <v>132.44312656088414</v>
      </c>
      <c r="AD41" s="833"/>
      <c r="AE41" s="852">
        <f t="shared" ca="1" si="13"/>
        <v>22770538.818626609</v>
      </c>
      <c r="AF41" s="852">
        <f t="shared" si="14"/>
        <v>0</v>
      </c>
      <c r="AG41" s="849">
        <f t="shared" ca="1" si="15"/>
        <v>4</v>
      </c>
      <c r="AH41" s="850">
        <f t="shared" ca="1" si="16"/>
        <v>12264</v>
      </c>
      <c r="AI41" s="853">
        <f t="shared" ca="1" si="20"/>
        <v>22770538.818626609</v>
      </c>
      <c r="AK41" s="853">
        <f t="shared" ca="1" si="17"/>
        <v>-200000</v>
      </c>
      <c r="AL41" s="853">
        <f t="shared" ca="1" si="11"/>
        <v>1228941.2040285382</v>
      </c>
      <c r="AM41" s="852">
        <f>IF(N41&lt;2010+$H$26,GreenPwr2!B52*$H$23*1000,0)</f>
        <v>0</v>
      </c>
    </row>
    <row r="42" spans="8:39">
      <c r="N42" s="848">
        <v>2044</v>
      </c>
      <c r="O42" s="850">
        <f t="shared" si="3"/>
        <v>311.88834712874507</v>
      </c>
      <c r="P42" s="851">
        <v>141833.39199755996</v>
      </c>
      <c r="Q42" s="850">
        <f t="shared" si="0"/>
        <v>311.88834712874507</v>
      </c>
      <c r="R42" s="850">
        <f t="shared" si="1"/>
        <v>85.02350113454338</v>
      </c>
      <c r="S42" s="850">
        <f t="shared" si="12"/>
        <v>39.888347128746062</v>
      </c>
      <c r="T42" s="850">
        <f t="shared" ca="1" si="7"/>
        <v>39.888347128746091</v>
      </c>
      <c r="U42" s="850"/>
      <c r="V42" s="850">
        <f t="shared" si="21"/>
        <v>41.194417356437299</v>
      </c>
      <c r="W42" s="850">
        <f t="shared" si="21"/>
        <v>8.7977669425749205</v>
      </c>
      <c r="X42" s="850">
        <f t="shared" si="21"/>
        <v>53.994417356437289</v>
      </c>
      <c r="Y42" s="850">
        <f t="shared" si="21"/>
        <v>5.6788834712874641</v>
      </c>
      <c r="Z42" s="850">
        <f t="shared" si="21"/>
        <v>2.839441735643732</v>
      </c>
      <c r="AA42" s="850">
        <f t="shared" si="21"/>
        <v>13.917766942574913</v>
      </c>
      <c r="AB42" s="850">
        <f t="shared" ca="1" si="8"/>
        <v>8.5970639999999996</v>
      </c>
      <c r="AC42" s="850">
        <f t="shared" ca="1" si="9"/>
        <v>136.98024219504336</v>
      </c>
      <c r="AD42" s="833"/>
      <c r="AE42" s="852">
        <f t="shared" ca="1" si="13"/>
        <v>23805624.728675291</v>
      </c>
      <c r="AF42" s="852">
        <f t="shared" si="14"/>
        <v>0</v>
      </c>
      <c r="AG42" s="849">
        <f t="shared" ca="1" si="15"/>
        <v>4</v>
      </c>
      <c r="AH42" s="850">
        <f t="shared" ca="1" si="16"/>
        <v>12264</v>
      </c>
      <c r="AI42" s="853">
        <f t="shared" ca="1" si="20"/>
        <v>23805624.728675291</v>
      </c>
      <c r="AK42" s="853">
        <f t="shared" ca="1" si="17"/>
        <v>-200000</v>
      </c>
      <c r="AL42" s="853">
        <f t="shared" ca="1" si="11"/>
        <v>1235085.9100486808</v>
      </c>
      <c r="AM42" s="852">
        <f>IF(N42&lt;2010+$H$26,GreenPwr2!B53*$H$23*1000,0)</f>
        <v>0</v>
      </c>
    </row>
    <row r="43" spans="8:39">
      <c r="N43" s="848">
        <v>2045</v>
      </c>
      <c r="O43" s="850">
        <f t="shared" si="3"/>
        <v>313.24028927395403</v>
      </c>
      <c r="P43" s="851">
        <v>142145.87544349555</v>
      </c>
      <c r="Q43" s="850">
        <f t="shared" si="0"/>
        <v>313.24028927395403</v>
      </c>
      <c r="R43" s="850">
        <f t="shared" si="1"/>
        <v>79.626865275493572</v>
      </c>
      <c r="S43" s="850">
        <f t="shared" si="12"/>
        <v>33.240289273955057</v>
      </c>
      <c r="T43" s="850">
        <f t="shared" ca="1" si="7"/>
        <v>33.240289273955057</v>
      </c>
      <c r="U43" s="850"/>
      <c r="V43" s="850">
        <f t="shared" si="21"/>
        <v>42.328681130364416</v>
      </c>
      <c r="W43" s="850">
        <f t="shared" si="21"/>
        <v>8.9314724521457673</v>
      </c>
      <c r="X43" s="850">
        <f t="shared" si="21"/>
        <v>55.662014463697737</v>
      </c>
      <c r="Y43" s="850">
        <f t="shared" si="21"/>
        <v>5.7990695594062212</v>
      </c>
      <c r="Z43" s="850">
        <f t="shared" si="21"/>
        <v>2.8995347797031106</v>
      </c>
      <c r="AA43" s="850">
        <f t="shared" si="21"/>
        <v>14.264805785479092</v>
      </c>
      <c r="AB43" s="850">
        <f t="shared" ca="1" si="8"/>
        <v>8.5970639999999996</v>
      </c>
      <c r="AC43" s="850">
        <f t="shared" ca="1" si="9"/>
        <v>141.51735782920264</v>
      </c>
      <c r="AD43" s="833"/>
      <c r="AE43" s="852">
        <f t="shared" ca="1" si="13"/>
        <v>24846886.068274215</v>
      </c>
      <c r="AF43" s="852">
        <f t="shared" si="14"/>
        <v>0</v>
      </c>
      <c r="AG43" s="849">
        <f t="shared" ca="1" si="15"/>
        <v>4</v>
      </c>
      <c r="AH43" s="850">
        <f t="shared" ca="1" si="16"/>
        <v>12264</v>
      </c>
      <c r="AI43" s="853">
        <f t="shared" ca="1" si="20"/>
        <v>24846886.068274215</v>
      </c>
      <c r="AK43" s="853">
        <f t="shared" ca="1" si="17"/>
        <v>-200000</v>
      </c>
      <c r="AL43" s="853">
        <f t="shared" ca="1" si="11"/>
        <v>1241261.3395989242</v>
      </c>
      <c r="AM43" s="852">
        <f>IF(N43&lt;2010+$H$26,GreenPwr2!B54*$H$23*1000,0)</f>
        <v>0</v>
      </c>
    </row>
    <row r="44" spans="8:39">
      <c r="N44" s="848">
        <v>2046</v>
      </c>
      <c r="O44" s="850">
        <f t="shared" si="3"/>
        <v>314.592231419163</v>
      </c>
      <c r="P44" s="851">
        <v>142458.37970613947</v>
      </c>
      <c r="Q44" s="850">
        <f t="shared" si="0"/>
        <v>314.592231419163</v>
      </c>
      <c r="R44" s="850">
        <f t="shared" si="1"/>
        <v>74.230229416443763</v>
      </c>
      <c r="S44" s="850">
        <f t="shared" si="12"/>
        <v>26.592231419164051</v>
      </c>
      <c r="T44" s="850">
        <f t="shared" ca="1" si="7"/>
        <v>26.592231419164023</v>
      </c>
      <c r="U44" s="850"/>
      <c r="V44" s="850">
        <f t="shared" si="21"/>
        <v>43.462944904291533</v>
      </c>
      <c r="W44" s="850">
        <f t="shared" si="21"/>
        <v>9.0651779617166142</v>
      </c>
      <c r="X44" s="850">
        <f t="shared" si="21"/>
        <v>57.329611570958185</v>
      </c>
      <c r="Y44" s="850">
        <f t="shared" si="21"/>
        <v>5.9192556475249782</v>
      </c>
      <c r="Z44" s="850">
        <f t="shared" si="21"/>
        <v>2.9596278237624891</v>
      </c>
      <c r="AA44" s="850">
        <f t="shared" si="21"/>
        <v>14.611844628383272</v>
      </c>
      <c r="AB44" s="850">
        <f t="shared" ca="1" si="8"/>
        <v>8.5970639999999996</v>
      </c>
      <c r="AC44" s="850">
        <f t="shared" ca="1" si="9"/>
        <v>146.05447346336192</v>
      </c>
      <c r="AD44" s="833"/>
      <c r="AE44" s="852">
        <f t="shared" ca="1" si="13"/>
        <v>25894353.714571133</v>
      </c>
      <c r="AF44" s="852">
        <f t="shared" si="14"/>
        <v>0</v>
      </c>
      <c r="AG44" s="849">
        <f t="shared" ca="1" si="15"/>
        <v>4</v>
      </c>
      <c r="AH44" s="850">
        <f t="shared" ca="1" si="16"/>
        <v>12264</v>
      </c>
      <c r="AI44" s="853">
        <f t="shared" ca="1" si="20"/>
        <v>25894353.714571133</v>
      </c>
      <c r="AK44" s="853">
        <f t="shared" ca="1" si="17"/>
        <v>-200000</v>
      </c>
      <c r="AL44" s="853">
        <f t="shared" ca="1" si="11"/>
        <v>1247467.6462969184</v>
      </c>
      <c r="AM44" s="852">
        <f>IF(N44&lt;2010+$H$26,GreenPwr2!B55*$H$23*1000,0)</f>
        <v>0</v>
      </c>
    </row>
    <row r="45" spans="8:39">
      <c r="N45" s="848">
        <v>2047</v>
      </c>
      <c r="O45" s="850">
        <f t="shared" si="3"/>
        <v>315.94417356437197</v>
      </c>
      <c r="P45" s="851">
        <v>142770.9047854917</v>
      </c>
      <c r="Q45" s="850">
        <f t="shared" si="0"/>
        <v>315.94417356437197</v>
      </c>
      <c r="R45" s="850">
        <f t="shared" si="1"/>
        <v>68.833593557393954</v>
      </c>
      <c r="S45" s="850">
        <f t="shared" si="12"/>
        <v>19.944173564373045</v>
      </c>
      <c r="T45" s="850">
        <f t="shared" ca="1" si="7"/>
        <v>19.944173564373045</v>
      </c>
      <c r="U45" s="850"/>
      <c r="V45" s="850">
        <f t="shared" si="21"/>
        <v>44.597208678218649</v>
      </c>
      <c r="W45" s="850">
        <f t="shared" si="21"/>
        <v>9.198883471287461</v>
      </c>
      <c r="X45" s="850">
        <f t="shared" si="21"/>
        <v>58.997208678218634</v>
      </c>
      <c r="Y45" s="850">
        <f t="shared" si="21"/>
        <v>6.0394417356437353</v>
      </c>
      <c r="Z45" s="850">
        <f t="shared" si="21"/>
        <v>3.0197208678218677</v>
      </c>
      <c r="AA45" s="850">
        <f t="shared" si="21"/>
        <v>14.958883471287452</v>
      </c>
      <c r="AB45" s="850">
        <f t="shared" ca="1" si="8"/>
        <v>8.5970639999999996</v>
      </c>
      <c r="AC45" s="850">
        <f t="shared" ca="1" si="9"/>
        <v>150.59158909752111</v>
      </c>
      <c r="AD45" s="833"/>
      <c r="AE45" s="852">
        <f t="shared" ca="1" si="13"/>
        <v>26948058.699099537</v>
      </c>
      <c r="AF45" s="852">
        <f t="shared" si="14"/>
        <v>0</v>
      </c>
      <c r="AG45" s="849">
        <f t="shared" ca="1" si="15"/>
        <v>4</v>
      </c>
      <c r="AH45" s="850">
        <f t="shared" ca="1" si="16"/>
        <v>12264</v>
      </c>
      <c r="AI45" s="853">
        <f t="shared" ca="1" si="20"/>
        <v>26948058.699099537</v>
      </c>
      <c r="AK45" s="853">
        <f t="shared" ca="1" si="17"/>
        <v>-200000</v>
      </c>
      <c r="AL45" s="853">
        <f t="shared" ca="1" si="11"/>
        <v>1253704.9845284026</v>
      </c>
      <c r="AM45" s="852">
        <f>IF(N45&lt;2010+$H$26,GreenPwr2!B56*$H$23*1000,0)</f>
        <v>0</v>
      </c>
    </row>
    <row r="46" spans="8:39">
      <c r="N46" s="848">
        <v>2048</v>
      </c>
      <c r="O46" s="850">
        <f t="shared" si="3"/>
        <v>317.29611570958093</v>
      </c>
      <c r="P46" s="851">
        <v>143083.45068155226</v>
      </c>
      <c r="Q46" s="850">
        <f t="shared" si="0"/>
        <v>317.29611570958093</v>
      </c>
      <c r="R46" s="850">
        <f t="shared" si="1"/>
        <v>63.436957698344145</v>
      </c>
      <c r="S46" s="850">
        <f t="shared" si="12"/>
        <v>13.29611570958204</v>
      </c>
      <c r="T46" s="850">
        <f t="shared" ca="1" si="7"/>
        <v>13.296115709582068</v>
      </c>
      <c r="U46" s="850"/>
      <c r="V46" s="850">
        <f t="shared" si="21"/>
        <v>45.731472452145766</v>
      </c>
      <c r="W46" s="850">
        <f t="shared" si="21"/>
        <v>9.3325889808583078</v>
      </c>
      <c r="X46" s="850">
        <f t="shared" si="21"/>
        <v>60.664805785479082</v>
      </c>
      <c r="Y46" s="850">
        <f t="shared" si="21"/>
        <v>6.1596278237624924</v>
      </c>
      <c r="Z46" s="850">
        <f t="shared" si="21"/>
        <v>3.0798139118812462</v>
      </c>
      <c r="AA46" s="850">
        <f t="shared" si="21"/>
        <v>15.305922314191632</v>
      </c>
      <c r="AB46" s="850">
        <f t="shared" ca="1" si="8"/>
        <v>8.5970639999999996</v>
      </c>
      <c r="AC46" s="850">
        <f t="shared" ca="1" si="9"/>
        <v>155.12870473168036</v>
      </c>
      <c r="AD46" s="833"/>
      <c r="AE46" s="852">
        <f t="shared" ca="1" si="13"/>
        <v>28008032.20855058</v>
      </c>
      <c r="AF46" s="852">
        <f t="shared" si="14"/>
        <v>0</v>
      </c>
      <c r="AG46" s="849">
        <f t="shared" ca="1" si="15"/>
        <v>4</v>
      </c>
      <c r="AH46" s="850">
        <f t="shared" ca="1" si="16"/>
        <v>12264</v>
      </c>
      <c r="AI46" s="853">
        <f t="shared" ca="1" si="20"/>
        <v>28008032.20855058</v>
      </c>
      <c r="AK46" s="853">
        <f t="shared" ca="1" si="17"/>
        <v>-200000</v>
      </c>
      <c r="AL46" s="853">
        <f t="shared" ca="1" si="11"/>
        <v>1259973.5094510445</v>
      </c>
      <c r="AM46" s="852">
        <f>IF(N46&lt;2010+$H$26,GreenPwr2!B57*$H$23*1000,0)</f>
        <v>0</v>
      </c>
    </row>
    <row r="47" spans="8:39">
      <c r="N47" s="848">
        <v>2049</v>
      </c>
      <c r="O47" s="850">
        <f t="shared" si="3"/>
        <v>318.6480578547899</v>
      </c>
      <c r="P47" s="851">
        <v>143396.01739432116</v>
      </c>
      <c r="Q47" s="850">
        <f t="shared" si="0"/>
        <v>318.6480578547899</v>
      </c>
      <c r="R47" s="850">
        <f t="shared" si="1"/>
        <v>58.040321839294336</v>
      </c>
      <c r="S47" s="850">
        <f t="shared" si="12"/>
        <v>6.6480578547910341</v>
      </c>
      <c r="T47" s="850">
        <f t="shared" ca="1" si="7"/>
        <v>6.6480578547910341</v>
      </c>
      <c r="U47" s="850"/>
      <c r="V47" s="850">
        <f t="shared" si="21"/>
        <v>46.865736226072883</v>
      </c>
      <c r="W47" s="850">
        <f t="shared" si="21"/>
        <v>9.4662944904291546</v>
      </c>
      <c r="X47" s="850">
        <f t="shared" si="21"/>
        <v>62.33240289273953</v>
      </c>
      <c r="Y47" s="850">
        <f t="shared" si="21"/>
        <v>6.2798139118812495</v>
      </c>
      <c r="Z47" s="850">
        <f t="shared" si="21"/>
        <v>3.1399069559406247</v>
      </c>
      <c r="AA47" s="850">
        <f t="shared" si="21"/>
        <v>15.652961157095811</v>
      </c>
      <c r="AB47" s="850">
        <f t="shared" ca="1" si="8"/>
        <v>8.5970639999999996</v>
      </c>
      <c r="AC47" s="850">
        <f t="shared" ca="1" si="9"/>
        <v>159.66582036583964</v>
      </c>
      <c r="AD47" s="833"/>
      <c r="AE47" s="852">
        <f t="shared" ca="1" si="13"/>
        <v>29074305.585548878</v>
      </c>
      <c r="AF47" s="852">
        <f t="shared" si="14"/>
        <v>0</v>
      </c>
      <c r="AG47" s="849">
        <f t="shared" ca="1" si="15"/>
        <v>4</v>
      </c>
      <c r="AH47" s="850">
        <f t="shared" ca="1" si="16"/>
        <v>12264</v>
      </c>
      <c r="AI47" s="853">
        <f t="shared" ca="1" si="20"/>
        <v>29074305.585548878</v>
      </c>
      <c r="AK47" s="853">
        <f t="shared" ca="1" si="17"/>
        <v>-200000</v>
      </c>
      <c r="AL47" s="853">
        <f t="shared" ca="1" si="11"/>
        <v>1266273.3769982995</v>
      </c>
      <c r="AM47" s="852">
        <f>IF(N47&lt;2010+$H$26,GreenPwr2!B58*$H$23*1000,0)</f>
        <v>0</v>
      </c>
    </row>
    <row r="48" spans="8:39">
      <c r="N48" s="848">
        <v>2050</v>
      </c>
      <c r="O48" s="850">
        <f>O3/1000</f>
        <v>320</v>
      </c>
      <c r="P48" s="851">
        <v>143708.60492379832</v>
      </c>
      <c r="Q48" s="850">
        <f t="shared" si="0"/>
        <v>320</v>
      </c>
      <c r="R48" s="850">
        <f>Q6*(1-R2)</f>
        <v>52.643685980244449</v>
      </c>
      <c r="S48" s="850">
        <f>S8*(1-S2)</f>
        <v>0</v>
      </c>
      <c r="T48" s="850">
        <f t="shared" ca="1" si="7"/>
        <v>0</v>
      </c>
      <c r="U48" s="850"/>
      <c r="V48" s="860">
        <f t="shared" ref="V48:AA48" si="22">$Q$48*V4</f>
        <v>48</v>
      </c>
      <c r="W48" s="860">
        <f t="shared" si="22"/>
        <v>9.6</v>
      </c>
      <c r="X48" s="860">
        <f t="shared" si="22"/>
        <v>64</v>
      </c>
      <c r="Y48" s="860">
        <f t="shared" si="22"/>
        <v>6.4</v>
      </c>
      <c r="Z48" s="860">
        <f t="shared" si="22"/>
        <v>3.2</v>
      </c>
      <c r="AA48" s="860">
        <f t="shared" si="22"/>
        <v>16</v>
      </c>
      <c r="AB48" s="860">
        <f t="shared" ca="1" si="8"/>
        <v>8.5970639999999996</v>
      </c>
      <c r="AC48" s="850">
        <f t="shared" ca="1" si="9"/>
        <v>164.20293600000002</v>
      </c>
      <c r="AD48" s="833"/>
      <c r="AE48" s="852">
        <f t="shared" ca="1" si="13"/>
        <v>30146910.329432167</v>
      </c>
      <c r="AF48" s="852">
        <f t="shared" si="14"/>
        <v>0</v>
      </c>
      <c r="AG48" s="849">
        <f t="shared" ca="1" si="15"/>
        <v>4</v>
      </c>
      <c r="AH48" s="850">
        <f t="shared" ca="1" si="16"/>
        <v>12264</v>
      </c>
      <c r="AI48" s="853">
        <f t="shared" ca="1" si="20"/>
        <v>30146910.329432167</v>
      </c>
      <c r="AK48" s="853">
        <f t="shared" ca="1" si="17"/>
        <v>-200000</v>
      </c>
      <c r="AL48" s="853">
        <f t="shared" ca="1" si="11"/>
        <v>1272604.743883291</v>
      </c>
      <c r="AM48" s="852">
        <f>IF(N48&lt;2010+$H$26,GreenPwr2!B59*$H$23*1000,0)</f>
        <v>0</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sheetPr codeName="Sheet37">
    <tabColor rgb="FFA9DA74"/>
  </sheetPr>
  <dimension ref="A1:BJ84"/>
  <sheetViews>
    <sheetView workbookViewId="0">
      <pane xSplit="1" topLeftCell="B1" activePane="topRight" state="frozen"/>
      <selection activeCell="K14" sqref="K14"/>
      <selection pane="topRight" activeCell="O3" sqref="O3:O7"/>
    </sheetView>
  </sheetViews>
  <sheetFormatPr defaultRowHeight="15"/>
  <cols>
    <col min="11" max="11" width="12" customWidth="1"/>
    <col min="12" max="12" width="12.85546875" customWidth="1"/>
    <col min="13" max="13" width="12.42578125" customWidth="1"/>
    <col min="28" max="28" width="11" customWidth="1"/>
    <col min="29" max="29" width="10" bestFit="1" customWidth="1"/>
    <col min="30" max="30" width="11.5703125" customWidth="1"/>
    <col min="35" max="36" width="13" customWidth="1"/>
    <col min="38" max="38" width="13.42578125" bestFit="1" customWidth="1"/>
    <col min="39" max="39" width="11.85546875" customWidth="1"/>
    <col min="40" max="40" width="12.42578125" customWidth="1"/>
    <col min="41" max="41" width="10.7109375" bestFit="1" customWidth="1"/>
    <col min="44" max="44" width="13.28515625" customWidth="1"/>
    <col min="45" max="45" width="13.5703125" customWidth="1"/>
    <col min="46" max="46" width="1.7109375" customWidth="1"/>
    <col min="47" max="47" width="13.42578125" customWidth="1"/>
    <col min="48" max="48" width="10" bestFit="1" customWidth="1"/>
    <col min="51" max="51" width="10.5703125" customWidth="1"/>
    <col min="54" max="54" width="14.5703125" bestFit="1" customWidth="1"/>
    <col min="57" max="57" width="16.5703125" customWidth="1"/>
    <col min="59" max="59" width="16.42578125" customWidth="1"/>
    <col min="60" max="60" width="13.140625" customWidth="1"/>
  </cols>
  <sheetData>
    <row r="1" spans="1:58" ht="60">
      <c r="C1" s="257" t="s">
        <v>226</v>
      </c>
      <c r="D1" s="258" t="s">
        <v>829</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8">
      <c r="C2" s="257" t="s">
        <v>230</v>
      </c>
      <c r="D2" s="265">
        <v>2013</v>
      </c>
      <c r="E2" s="266"/>
      <c r="J2" s="267" t="s">
        <v>231</v>
      </c>
      <c r="K2" s="268">
        <f ca="1">NPV(DiscountRate,AA19:AA59)</f>
        <v>630195.36308610369</v>
      </c>
      <c r="L2" s="269">
        <f ca="1">-SUM(OFFSET(W19,0,0,M2-2010+1,4))</f>
        <v>50379.833674624067</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8">
      <c r="A3" s="272"/>
      <c r="B3" s="273"/>
      <c r="C3" s="274" t="s">
        <v>232</v>
      </c>
      <c r="D3" s="1635" t="s">
        <v>233</v>
      </c>
      <c r="E3" s="1635"/>
      <c r="F3" s="1635"/>
      <c r="G3" s="273"/>
      <c r="H3" s="273"/>
      <c r="I3" s="273"/>
      <c r="J3" s="275" t="s">
        <v>234</v>
      </c>
      <c r="K3" s="276">
        <f ca="1">NPV(DiscountRate,AJ19:AJ59)</f>
        <v>1716193.4909314073</v>
      </c>
      <c r="L3" s="277" t="s">
        <v>235</v>
      </c>
      <c r="M3" s="278">
        <f ca="1">-SUM(OFFSET(W19,M2-2010,0,1,4))</f>
        <v>1361.6171263411916</v>
      </c>
      <c r="N3" s="272"/>
      <c r="O3" s="1496">
        <f ca="1">AVERAGE(OFFSET(AJ19,0,0,$M$2-2010+1,1))</f>
        <v>128323.39779706924</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8">
      <c r="A4" s="272"/>
      <c r="B4" s="273"/>
      <c r="C4" s="273"/>
      <c r="D4" s="280" t="s">
        <v>236</v>
      </c>
      <c r="E4" s="273"/>
      <c r="F4" s="272"/>
      <c r="G4" s="272"/>
      <c r="H4" s="272"/>
      <c r="I4" s="273"/>
      <c r="J4" s="275" t="s">
        <v>237</v>
      </c>
      <c r="K4" s="276">
        <f>NPV(DiscountRate,AK19:AK59)</f>
        <v>0</v>
      </c>
      <c r="L4" s="278">
        <f ca="1">L2/(2050-D2+1)</f>
        <v>1325.7850967006334</v>
      </c>
      <c r="M4" s="281">
        <f ca="1">-SUM(OFFSET(W19,M2-2010,0,1,4))/SUM(OFFSET(ExposureCalculations!G16,M2-2010,0,1,3))</f>
        <v>1.2453839165846975E-3</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8">
      <c r="A5" s="272"/>
      <c r="B5" s="273"/>
      <c r="C5" s="814" t="s">
        <v>649</v>
      </c>
      <c r="D5" s="885" t="s">
        <v>688</v>
      </c>
      <c r="E5" s="273"/>
      <c r="F5" s="272"/>
      <c r="G5" s="272"/>
      <c r="H5" s="272"/>
      <c r="I5" s="273"/>
      <c r="J5" s="275" t="s">
        <v>238</v>
      </c>
      <c r="K5" s="276">
        <f>NPV(DiscountRate,AL19:AL59)</f>
        <v>-1388278.6977410319</v>
      </c>
      <c r="L5" s="277"/>
      <c r="M5" s="272"/>
      <c r="N5" s="272"/>
      <c r="O5" s="1496">
        <f ca="1">AVERAGE(OFFSET(AL19,0,0,$M$2-2010+1,1))</f>
        <v>-42073.170731707316</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8">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8">
      <c r="A7" s="272"/>
      <c r="B7" s="282"/>
      <c r="C7" s="282"/>
      <c r="D7" s="282"/>
      <c r="E7" s="282"/>
      <c r="F7" s="272"/>
      <c r="G7" s="272"/>
      <c r="H7" s="272"/>
      <c r="I7" s="273"/>
      <c r="J7" s="275" t="s">
        <v>240</v>
      </c>
      <c r="K7" s="276">
        <f>NPV(DiscountRate,AO19:AO59)</f>
        <v>-372944.61615306785</v>
      </c>
      <c r="L7" s="272"/>
      <c r="M7" s="272"/>
      <c r="N7" s="272"/>
      <c r="O7" s="1496">
        <f ca="1">AVERAGE(OFFSET(AO19,0,0,$M$2-2010+1,1))</f>
        <v>-27073.170731707316</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8">
      <c r="A8" s="272"/>
      <c r="B8" s="282"/>
      <c r="C8" s="282"/>
      <c r="D8" s="282"/>
      <c r="E8" s="282"/>
      <c r="F8" s="272"/>
      <c r="G8" s="272"/>
      <c r="H8" s="272"/>
      <c r="I8" s="273"/>
      <c r="J8" s="283" t="s">
        <v>241</v>
      </c>
      <c r="K8" s="276">
        <f ca="1">NPV(DiscountRate,AR19:AR59)</f>
        <v>585165.54012341145</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8">
      <c r="A9" s="272"/>
      <c r="B9" s="282"/>
      <c r="C9" s="282"/>
      <c r="D9" s="282"/>
      <c r="E9" s="282"/>
      <c r="F9" s="272"/>
      <c r="G9" s="272"/>
      <c r="H9" s="272"/>
      <c r="I9" s="273"/>
      <c r="J9" s="283" t="s">
        <v>242</v>
      </c>
      <c r="K9" s="286">
        <f ca="1">IFERROR((K8-K5)/-K5,"No Capital")</f>
        <v>1.4215043716190245</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8">
      <c r="A10" s="272"/>
      <c r="B10" s="282"/>
      <c r="C10" s="282"/>
      <c r="D10" s="282"/>
      <c r="E10" s="282"/>
      <c r="F10" s="272"/>
      <c r="G10" s="272"/>
      <c r="H10" s="272"/>
      <c r="I10" s="273"/>
      <c r="J10" s="283" t="s">
        <v>243</v>
      </c>
      <c r="K10" s="287">
        <f ca="1">IFERROR(IF(K8&lt;0,"",IRR(AR19:AR59)),"")</f>
        <v>8.1649316797568802E-2</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8">
      <c r="A11" s="272"/>
      <c r="B11" s="282"/>
      <c r="C11" s="282"/>
      <c r="D11" s="282"/>
      <c r="E11" s="282"/>
      <c r="F11" s="272"/>
      <c r="G11" s="272"/>
      <c r="H11" s="272"/>
      <c r="I11" s="273"/>
      <c r="J11" s="283" t="s">
        <v>244</v>
      </c>
      <c r="K11" s="288">
        <f ca="1">IFERROR(COUNTIF(AS19:AS59,"&lt;=0")+1-INDEX(AS19:AS59,COUNTIF(AS19:AS59,"&lt;=0")+1)/INDEX(AR19:AR59,COUNTIF(AS19:AS59,"&lt;=0")+1)-(D2-2010),"Check Calc")</f>
        <v>14.261329219838366</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8">
      <c r="A12" s="272"/>
      <c r="B12" s="317"/>
      <c r="C12" s="282"/>
      <c r="D12" s="282"/>
      <c r="E12" s="282"/>
      <c r="F12" s="272"/>
      <c r="G12" s="272"/>
      <c r="H12" s="272"/>
      <c r="I12" s="273"/>
      <c r="J12" s="283" t="s">
        <v>245</v>
      </c>
      <c r="K12" s="276">
        <f ca="1">K8-K2</f>
        <v>-45029.82296269224</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8">
      <c r="A13" s="272"/>
      <c r="B13" s="282"/>
      <c r="C13" s="282"/>
      <c r="D13" s="282"/>
      <c r="E13" s="282"/>
      <c r="F13" s="272"/>
      <c r="G13" s="272"/>
      <c r="H13" s="272"/>
      <c r="I13" s="273"/>
      <c r="J13" s="275" t="s">
        <v>246</v>
      </c>
      <c r="K13" s="276">
        <f ca="1">IFERROR(IF(L2&lt;0,99999.4,K12/SUM(NPV(DiscountRate,W19:W59),NPV(DiscountRate,X19:X59),NPV(DiscountRate,Y19:Y59),NPV(DiscountRate,Z19:Z59))),"")</f>
        <v>2.6602481319010307</v>
      </c>
      <c r="L13" s="905"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8">
      <c r="A14" s="272"/>
      <c r="B14" s="282"/>
      <c r="C14" s="282"/>
      <c r="D14" s="282"/>
      <c r="E14" s="282"/>
      <c r="F14" s="272"/>
      <c r="G14" s="272"/>
      <c r="H14" s="272"/>
      <c r="I14" s="273"/>
      <c r="J14" s="275" t="s">
        <v>247</v>
      </c>
      <c r="K14" s="276">
        <f ca="1">IFERROR(IF(L2&lt;0,"",-K2/SUM(NPV(DiscountRate,W19:W59),NPV(DiscountRate,X19:X59),NPV(DiscountRate,Y19:Y59),NPV(DiscountRate,Z19:Z59))),"")</f>
        <v>37.230349290324327</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8">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8"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c r="BF16" t="s">
        <v>2946</v>
      </c>
    </row>
    <row r="17" spans="1:62"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B17" s="264" t="s">
        <v>1003</v>
      </c>
      <c r="BC17" s="914" t="s">
        <v>1041</v>
      </c>
      <c r="BD17" s="914" t="s">
        <v>1042</v>
      </c>
      <c r="BE17" s="916" t="s">
        <v>1043</v>
      </c>
      <c r="BF17" s="916" t="s">
        <v>1044</v>
      </c>
      <c r="BG17" s="916" t="s">
        <v>1045</v>
      </c>
      <c r="BH17" s="916" t="s">
        <v>1046</v>
      </c>
      <c r="BI17" s="1491" t="s">
        <v>2974</v>
      </c>
    </row>
    <row r="18" spans="1:62">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B18" t="s">
        <v>2971</v>
      </c>
      <c r="BC18">
        <f>BC$22/2</f>
        <v>1</v>
      </c>
      <c r="BD18" s="123">
        <f t="shared" ref="BD18:BH19" si="1">BD$22/2</f>
        <v>108.9</v>
      </c>
      <c r="BE18" s="948">
        <f t="shared" si="1"/>
        <v>-518300</v>
      </c>
      <c r="BF18" s="123">
        <f t="shared" si="1"/>
        <v>11450</v>
      </c>
      <c r="BG18" s="952">
        <f t="shared" si="1"/>
        <v>862500</v>
      </c>
      <c r="BH18" s="956">
        <f t="shared" si="1"/>
        <v>15000</v>
      </c>
      <c r="BI18">
        <v>2013</v>
      </c>
      <c r="BJ18" t="s">
        <v>2973</v>
      </c>
    </row>
    <row r="19" spans="1:62">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2">0*Emission_Factor_NG</f>
        <v>0</v>
      </c>
      <c r="X19" s="306">
        <f t="shared" ref="X19:X59" ca="1" si="3">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v>0</v>
      </c>
      <c r="AC19" s="308">
        <f t="shared" ref="AC19:AC59" ca="1" si="4">-SUM(D19,L19)*OFFSET(Price_PE_MWh,A19-$A$19+3,0)</f>
        <v>0</v>
      </c>
      <c r="AD19" s="819">
        <f t="shared" ref="AD19:AD59" ca="1" si="5">-SUM(G19,P19)*OFFSET(Price_PS_mmbtu,A19-$A$19+3,0)</f>
        <v>0</v>
      </c>
      <c r="AE19" s="308">
        <v>0</v>
      </c>
      <c r="AF19" s="819">
        <f t="shared" ref="AF19:AF59" ca="1" si="6">-SUM(J19,T19)*OFFSET(Price_PCW_mmbtu,A19-$A$19+3,0)</f>
        <v>0</v>
      </c>
      <c r="AG19" s="308">
        <v>0</v>
      </c>
      <c r="AH19" s="308">
        <v>0</v>
      </c>
      <c r="AI19" s="308">
        <v>0</v>
      </c>
      <c r="AJ19" s="308">
        <f t="shared" ref="AJ19:AJ59" ca="1" si="7">SUM(AB19:AI19)</f>
        <v>0</v>
      </c>
      <c r="AK19" s="309">
        <v>0</v>
      </c>
      <c r="AL19" s="309">
        <v>0</v>
      </c>
      <c r="AM19" s="309">
        <f>SUM(AK19:AL19)</f>
        <v>0</v>
      </c>
      <c r="AN19" s="310">
        <v>0</v>
      </c>
      <c r="AO19" s="310">
        <v>0</v>
      </c>
      <c r="AP19" s="310">
        <f>SUM(AN19:AO19)</f>
        <v>0</v>
      </c>
      <c r="AQ19" s="309">
        <v>0</v>
      </c>
      <c r="AR19" s="311">
        <f t="shared" ref="AR19:AR59" ca="1" si="8">SUM(AA19,AJ19,AM19,AP19,AQ19)</f>
        <v>0</v>
      </c>
      <c r="AS19" s="870">
        <f ca="1">AR19</f>
        <v>0</v>
      </c>
      <c r="AT19" s="822"/>
      <c r="AU19" s="900">
        <f>BI18</f>
        <v>2013</v>
      </c>
      <c r="AV19" s="900">
        <f>BI19</f>
        <v>2015</v>
      </c>
      <c r="AW19" s="879" t="s">
        <v>776</v>
      </c>
      <c r="AX19" s="35"/>
      <c r="AY19" s="880"/>
      <c r="BB19" t="s">
        <v>1047</v>
      </c>
      <c r="BC19">
        <f t="shared" ref="BC19" si="9">BC$22/2</f>
        <v>1</v>
      </c>
      <c r="BD19" s="123">
        <f t="shared" si="1"/>
        <v>108.9</v>
      </c>
      <c r="BE19" s="948">
        <f t="shared" si="1"/>
        <v>-518300</v>
      </c>
      <c r="BF19" s="123">
        <f t="shared" si="1"/>
        <v>11450</v>
      </c>
      <c r="BG19" s="952">
        <f t="shared" si="1"/>
        <v>862500</v>
      </c>
      <c r="BH19" s="956">
        <f t="shared" si="1"/>
        <v>15000</v>
      </c>
      <c r="BI19">
        <v>2015</v>
      </c>
    </row>
    <row r="20" spans="1:62">
      <c r="A20" s="303">
        <v>2011</v>
      </c>
      <c r="B20" s="304">
        <f ca="1">IF($D$3="BAU",UtilityDemand!C13,INDIRECT($D$3&amp;"!B"&amp;ROW(A20))+INDIRECT($D$3&amp;"!D"&amp;ROW(A20)))</f>
        <v>130129.26073503707</v>
      </c>
      <c r="C20" s="305">
        <v>0</v>
      </c>
      <c r="D20" s="306">
        <f t="shared" ref="D20:D59" ca="1" si="10">-B20*C20</f>
        <v>0</v>
      </c>
      <c r="E20" s="304">
        <f ca="1">IF($D$3="BAU",UtilityDemand!E13,INDIRECT($D$3&amp;"!E"&amp;ROW(D20))+INDIRECT($D$3&amp;"!G"&amp;ROW(D20)))</f>
        <v>693847.61425935081</v>
      </c>
      <c r="F20" s="305">
        <v>0</v>
      </c>
      <c r="G20" s="306">
        <f t="shared" ref="G20:G59" ca="1" si="11">-E20*F20</f>
        <v>0</v>
      </c>
      <c r="H20" s="304">
        <f ca="1">IF($D$3="BAU",UtilityDemand!G13,INDIRECT($D$3&amp;"!H"&amp;ROW(G20))+INDIRECT($D$3&amp;"!J"&amp;ROW(G20)))</f>
        <v>182506.92912520736</v>
      </c>
      <c r="I20" s="305">
        <v>0</v>
      </c>
      <c r="J20" s="306">
        <f ca="1">-H20*I20</f>
        <v>0</v>
      </c>
      <c r="K20" s="307">
        <f t="shared" ref="K20:K59" ca="1" si="12">IF($D$3="BAU",B20+D20,INDIRECT($D$3&amp;"!B"&amp;ROW(A20))+INDIRECT($D$3&amp;"!D"&amp;ROW(A20))+INDIRECT($D$3&amp;"!L"&amp;ROW(A20))+D20)</f>
        <v>130129.26073503707</v>
      </c>
      <c r="L20" s="307">
        <f t="shared" ref="L20:L21" si="13">-M20</f>
        <v>0</v>
      </c>
      <c r="M20" s="307">
        <v>0</v>
      </c>
      <c r="N20" s="307">
        <f t="shared" ref="N20:N59" ca="1" si="14">K20+L20</f>
        <v>130129.26073503707</v>
      </c>
      <c r="O20" s="306">
        <f t="shared" ref="O20:O59" ca="1" si="15">IF($D$3="BAU",E20+G20,INDIRECT($D$3&amp;"!E"&amp;ROW(A20))+INDIRECT($D$3&amp;"!G"&amp;ROW(A20))+INDIRECT($D$3&amp;"!P"&amp;ROW(A20))+G20)</f>
        <v>693847.61425935081</v>
      </c>
      <c r="P20" s="306">
        <f t="shared" ref="P20:P59" si="16">-Q20</f>
        <v>0</v>
      </c>
      <c r="Q20" s="306">
        <v>0</v>
      </c>
      <c r="R20" s="306">
        <f t="shared" ref="R20:R59" ca="1" si="17">O20+P20</f>
        <v>693847.61425935081</v>
      </c>
      <c r="S20" s="818">
        <f t="shared" ref="S20:S59" ca="1" si="18">IF($D$3="BAU",H20+J20,INDIRECT($D$3&amp;"!H"&amp;ROW(A20))+INDIRECT($D$3&amp;"!J"&amp;ROW(A20))+INDIRECT($D$3&amp;"!T"&amp;ROW(A20))+J20)</f>
        <v>182506.92912520736</v>
      </c>
      <c r="T20" s="818">
        <f t="shared" ref="T20:T59" si="19">-U20</f>
        <v>0</v>
      </c>
      <c r="U20" s="818">
        <v>0</v>
      </c>
      <c r="V20" s="818">
        <f t="shared" ref="V20:V59" ca="1" si="20">S20+T20</f>
        <v>182506.92912520736</v>
      </c>
      <c r="W20" s="306">
        <f t="shared" si="2"/>
        <v>0</v>
      </c>
      <c r="X20" s="306">
        <f t="shared" ca="1" si="3"/>
        <v>0</v>
      </c>
      <c r="Y20" s="306">
        <v>0</v>
      </c>
      <c r="Z20" s="306">
        <v>0</v>
      </c>
      <c r="AA20" s="308">
        <f ca="1">-SUM(W20,X20/OFFSET(GridFootprintbyYear,$A20-$A$19,0)*EF_PurchElec_MTperMWh,Z20)*OFFSET(ExposureCalculations!Price_GHG_Allowance_2010,A20-$A$19,0)*ExposureCalculations!D17</f>
        <v>0</v>
      </c>
      <c r="AB20" s="308">
        <v>0</v>
      </c>
      <c r="AC20" s="308">
        <f t="shared" ca="1" si="4"/>
        <v>0</v>
      </c>
      <c r="AD20" s="819">
        <f t="shared" ca="1" si="5"/>
        <v>0</v>
      </c>
      <c r="AE20" s="308">
        <v>0</v>
      </c>
      <c r="AF20" s="819">
        <f t="shared" ca="1" si="6"/>
        <v>0</v>
      </c>
      <c r="AG20" s="308">
        <v>0</v>
      </c>
      <c r="AH20" s="308">
        <v>0</v>
      </c>
      <c r="AI20" s="308">
        <v>0</v>
      </c>
      <c r="AJ20" s="308">
        <f t="shared" ca="1" si="7"/>
        <v>0</v>
      </c>
      <c r="AK20" s="309">
        <v>0</v>
      </c>
      <c r="AL20" s="309">
        <v>0</v>
      </c>
      <c r="AM20" s="309">
        <f t="shared" ref="AM20:AM59" si="21">SUM(AK20:AL20)</f>
        <v>0</v>
      </c>
      <c r="AN20" s="310">
        <v>0</v>
      </c>
      <c r="AO20" s="310">
        <v>0</v>
      </c>
      <c r="AP20" s="310">
        <f t="shared" ref="AP20:AP59" si="22">SUM(AN20:AO20)</f>
        <v>0</v>
      </c>
      <c r="AQ20" s="309">
        <v>0</v>
      </c>
      <c r="AR20" s="311">
        <f t="shared" ca="1" si="8"/>
        <v>0</v>
      </c>
      <c r="AS20" s="870">
        <f t="shared" ref="AS20:AS59" ca="1" si="23">AR20+AS19</f>
        <v>0</v>
      </c>
      <c r="AT20" s="822"/>
      <c r="AU20" s="878"/>
      <c r="AV20" s="878"/>
      <c r="AW20" s="35"/>
      <c r="AX20" s="35"/>
      <c r="AY20" s="880"/>
      <c r="BB20" s="264"/>
      <c r="BC20" s="1490"/>
      <c r="BD20" s="1490"/>
      <c r="BE20" s="1491"/>
      <c r="BF20" s="1491"/>
      <c r="BG20" s="1491"/>
      <c r="BH20" s="1491"/>
    </row>
    <row r="21" spans="1:62">
      <c r="A21" s="303">
        <v>2012</v>
      </c>
      <c r="B21" s="304">
        <f ca="1">IF($D$3="BAU",UtilityDemand!C14,INDIRECT($D$3&amp;"!B"&amp;ROW(A21))+INDIRECT($D$3&amp;"!D"&amp;ROW(A21)))</f>
        <v>133825.36797702796</v>
      </c>
      <c r="C21" s="305">
        <v>0</v>
      </c>
      <c r="D21" s="306">
        <f t="shared" ca="1" si="10"/>
        <v>0</v>
      </c>
      <c r="E21" s="304">
        <f ca="1">IF($D$3="BAU",UtilityDemand!E14,INDIRECT($D$3&amp;"!E"&amp;ROW(D21))+INDIRECT($D$3&amp;"!G"&amp;ROW(D21)))</f>
        <v>713508.44544344163</v>
      </c>
      <c r="F21" s="305">
        <v>0</v>
      </c>
      <c r="G21" s="306">
        <f t="shared" ca="1" si="11"/>
        <v>0</v>
      </c>
      <c r="H21" s="304">
        <f ca="1">IF($D$3="BAU",UtilityDemand!G14,INDIRECT($D$3&amp;"!H"&amp;ROW(G21))+INDIRECT($D$3&amp;"!J"&amp;ROW(G21)))</f>
        <v>188515.56027382973</v>
      </c>
      <c r="I21" s="305">
        <v>0</v>
      </c>
      <c r="J21" s="306">
        <f t="shared" ref="J21:J59" ca="1" si="24">-H21*I21</f>
        <v>0</v>
      </c>
      <c r="K21" s="307">
        <f t="shared" ca="1" si="12"/>
        <v>133825.36797702796</v>
      </c>
      <c r="L21" s="307">
        <f t="shared" si="13"/>
        <v>0</v>
      </c>
      <c r="M21" s="307">
        <v>0</v>
      </c>
      <c r="N21" s="307">
        <f t="shared" ca="1" si="14"/>
        <v>133825.36797702796</v>
      </c>
      <c r="O21" s="306">
        <f t="shared" ca="1" si="15"/>
        <v>713508.44544344163</v>
      </c>
      <c r="P21" s="306">
        <f t="shared" si="16"/>
        <v>0</v>
      </c>
      <c r="Q21" s="306">
        <v>0</v>
      </c>
      <c r="R21" s="306">
        <f t="shared" ca="1" si="17"/>
        <v>713508.44544344163</v>
      </c>
      <c r="S21" s="818">
        <f t="shared" ca="1" si="18"/>
        <v>188515.56027382973</v>
      </c>
      <c r="T21" s="818">
        <f t="shared" si="19"/>
        <v>0</v>
      </c>
      <c r="U21" s="818">
        <v>0</v>
      </c>
      <c r="V21" s="818">
        <f t="shared" ca="1" si="20"/>
        <v>188515.56027382973</v>
      </c>
      <c r="W21" s="306">
        <f t="shared" si="2"/>
        <v>0</v>
      </c>
      <c r="X21" s="306">
        <f t="shared" ca="1" si="3"/>
        <v>0</v>
      </c>
      <c r="Y21" s="306">
        <v>0</v>
      </c>
      <c r="Z21" s="306">
        <v>0</v>
      </c>
      <c r="AA21" s="308">
        <f ca="1">-SUM(W21,X21/OFFSET(GridFootprintbyYear,$A21-$A$19,0)*EF_PurchElec_MTperMWh,Z21)*OFFSET(ExposureCalculations!Price_GHG_Allowance_2010,A21-$A$19,0)*ExposureCalculations!D18</f>
        <v>0</v>
      </c>
      <c r="AB21" s="308">
        <v>0</v>
      </c>
      <c r="AC21" s="308">
        <f t="shared" ca="1" si="4"/>
        <v>0</v>
      </c>
      <c r="AD21" s="819">
        <f t="shared" ca="1" si="5"/>
        <v>0</v>
      </c>
      <c r="AE21" s="308">
        <v>0</v>
      </c>
      <c r="AF21" s="819">
        <f t="shared" ca="1" si="6"/>
        <v>0</v>
      </c>
      <c r="AG21" s="308">
        <v>0</v>
      </c>
      <c r="AH21" s="308">
        <v>0</v>
      </c>
      <c r="AI21" s="308">
        <v>0</v>
      </c>
      <c r="AJ21" s="308">
        <f ca="1">SUM(AB21:AI21)</f>
        <v>0</v>
      </c>
      <c r="AK21" s="309">
        <v>0</v>
      </c>
      <c r="AL21" s="309">
        <f>-AU23</f>
        <v>-862500</v>
      </c>
      <c r="AM21" s="309">
        <f t="shared" si="21"/>
        <v>-862500</v>
      </c>
      <c r="AN21" s="310">
        <v>0</v>
      </c>
      <c r="AO21" s="310">
        <v>0</v>
      </c>
      <c r="AP21" s="310">
        <f t="shared" si="22"/>
        <v>0</v>
      </c>
      <c r="AQ21" s="309">
        <v>0</v>
      </c>
      <c r="AR21" s="311">
        <f t="shared" ca="1" si="8"/>
        <v>-862500</v>
      </c>
      <c r="AS21" s="870">
        <f t="shared" ca="1" si="23"/>
        <v>-862500</v>
      </c>
      <c r="AT21" s="822"/>
      <c r="AU21" s="900">
        <v>30</v>
      </c>
      <c r="AV21" s="900">
        <v>30</v>
      </c>
      <c r="AW21" s="35" t="s">
        <v>803</v>
      </c>
      <c r="AX21" s="35"/>
      <c r="AY21" s="880"/>
      <c r="BB21" s="264"/>
      <c r="BC21" s="1490"/>
      <c r="BD21" s="1490"/>
      <c r="BE21" s="1491"/>
      <c r="BF21" s="1491"/>
      <c r="BG21" s="1491"/>
      <c r="BH21" s="1491"/>
    </row>
    <row r="22" spans="1:62">
      <c r="A22" s="303">
        <v>2013</v>
      </c>
      <c r="B22" s="304">
        <f ca="1">IF($D$3="BAU",UtilityDemand!C15,INDIRECT($D$3&amp;"!B"&amp;ROW(A22))+INDIRECT($D$3&amp;"!D"&amp;ROW(A22)))</f>
        <v>135980.03402546333</v>
      </c>
      <c r="C22" s="305">
        <v>0</v>
      </c>
      <c r="D22" s="306">
        <f t="shared" ca="1" si="10"/>
        <v>0</v>
      </c>
      <c r="E22" s="304">
        <f ca="1">IF($D$3="BAU",UtilityDemand!E15,INDIRECT($D$3&amp;"!E"&amp;ROW(D22))+INDIRECT($D$3&amp;"!G"&amp;ROW(D22)))</f>
        <v>724969.83513341204</v>
      </c>
      <c r="F22" s="305">
        <v>0</v>
      </c>
      <c r="G22" s="306">
        <f t="shared" ca="1" si="11"/>
        <v>0</v>
      </c>
      <c r="H22" s="304">
        <f ca="1">IF($D$3="BAU",UtilityDemand!G15,INDIRECT($D$3&amp;"!H"&amp;ROW(G22))+INDIRECT($D$3&amp;"!J"&amp;ROW(G22)))</f>
        <v>192383.03026898397</v>
      </c>
      <c r="I22" s="305">
        <v>0</v>
      </c>
      <c r="J22" s="306">
        <f t="shared" ca="1" si="24"/>
        <v>0</v>
      </c>
      <c r="K22" s="307">
        <f t="shared" ca="1" si="12"/>
        <v>135980.03402546333</v>
      </c>
      <c r="L22" s="307">
        <f>$AU$29</f>
        <v>518.29999999999995</v>
      </c>
      <c r="M22" s="307">
        <v>0</v>
      </c>
      <c r="N22" s="307">
        <f t="shared" ca="1" si="14"/>
        <v>136498.33402546332</v>
      </c>
      <c r="O22" s="306">
        <f t="shared" ca="1" si="15"/>
        <v>724969.83513341204</v>
      </c>
      <c r="P22" s="306">
        <f t="shared" si="16"/>
        <v>-9732.5</v>
      </c>
      <c r="Q22" s="306">
        <f>$AU$33</f>
        <v>9732.5</v>
      </c>
      <c r="R22" s="306">
        <f t="shared" ca="1" si="17"/>
        <v>715237.33513341204</v>
      </c>
      <c r="S22" s="818">
        <f t="shared" ca="1" si="18"/>
        <v>192383.03026898397</v>
      </c>
      <c r="T22" s="818">
        <f t="shared" si="19"/>
        <v>0</v>
      </c>
      <c r="U22" s="818">
        <v>0</v>
      </c>
      <c r="V22" s="818">
        <f t="shared" ca="1" si="20"/>
        <v>192383.03026898397</v>
      </c>
      <c r="W22" s="306">
        <f t="shared" si="2"/>
        <v>0</v>
      </c>
      <c r="X22" s="306">
        <f t="shared" ca="1" si="3"/>
        <v>-680.80856317059579</v>
      </c>
      <c r="Y22" s="306">
        <v>0</v>
      </c>
      <c r="Z22" s="306">
        <v>0</v>
      </c>
      <c r="AA22" s="308">
        <f ca="1">-SUM(W22,X22/OFFSET(GridFootprintbyYear,$A22-$A$19,0)*EF_PurchElec_MTperMWh,Z22)*OFFSET(ExposureCalculations!Price_GHG_Allowance_2010,A22-$A$19,0)*ExposureCalculations!D19</f>
        <v>0</v>
      </c>
      <c r="AB22" s="308">
        <v>0</v>
      </c>
      <c r="AC22" s="308">
        <f t="shared" ca="1" si="4"/>
        <v>-44719.64216943748</v>
      </c>
      <c r="AD22" s="819">
        <f t="shared" ca="1" si="5"/>
        <v>109301.99361941483</v>
      </c>
      <c r="AE22" s="308">
        <v>0</v>
      </c>
      <c r="AF22" s="819">
        <f t="shared" ca="1" si="6"/>
        <v>0</v>
      </c>
      <c r="AG22" s="308">
        <v>0</v>
      </c>
      <c r="AH22" s="308">
        <v>0</v>
      </c>
      <c r="AI22" s="308">
        <v>0</v>
      </c>
      <c r="AJ22" s="308">
        <f t="shared" ca="1" si="7"/>
        <v>64582.351449977352</v>
      </c>
      <c r="AK22" s="309">
        <v>0</v>
      </c>
      <c r="AL22" s="309">
        <v>0</v>
      </c>
      <c r="AM22" s="309">
        <f t="shared" si="21"/>
        <v>0</v>
      </c>
      <c r="AN22" s="310">
        <v>0</v>
      </c>
      <c r="AO22" s="310">
        <f>-AU25</f>
        <v>-15000</v>
      </c>
      <c r="AP22" s="310">
        <f t="shared" si="22"/>
        <v>-15000</v>
      </c>
      <c r="AQ22" s="309">
        <v>0</v>
      </c>
      <c r="AR22" s="311">
        <f t="shared" ca="1" si="8"/>
        <v>49582.351449977352</v>
      </c>
      <c r="AS22" s="870">
        <f t="shared" ca="1" si="23"/>
        <v>-812917.64855002263</v>
      </c>
      <c r="AT22" s="822"/>
      <c r="AU22" s="878"/>
      <c r="AV22" s="878"/>
      <c r="AW22" s="35"/>
      <c r="AX22" s="35"/>
      <c r="AY22" s="880"/>
      <c r="BB22" t="s">
        <v>1047</v>
      </c>
      <c r="BC22">
        <v>2</v>
      </c>
      <c r="BD22" s="123">
        <v>217.8</v>
      </c>
      <c r="BE22" s="948">
        <v>-1036600</v>
      </c>
      <c r="BF22" s="123">
        <v>22900</v>
      </c>
      <c r="BG22" s="952">
        <v>1725000</v>
      </c>
      <c r="BH22" s="956">
        <v>30000</v>
      </c>
      <c r="BI22">
        <v>2020</v>
      </c>
      <c r="BJ22" t="s">
        <v>2972</v>
      </c>
    </row>
    <row r="23" spans="1:62">
      <c r="A23" s="303">
        <v>2014</v>
      </c>
      <c r="B23" s="304">
        <f ca="1">IF($D$3="BAU",UtilityDemand!C16,INDIRECT($D$3&amp;"!B"&amp;ROW(A23))+INDIRECT($D$3&amp;"!D"&amp;ROW(A23)))</f>
        <v>137556.65962631535</v>
      </c>
      <c r="C23" s="305">
        <v>0</v>
      </c>
      <c r="D23" s="306">
        <f t="shared" ca="1" si="10"/>
        <v>0</v>
      </c>
      <c r="E23" s="304">
        <f ca="1">IF($D$3="BAU",UtilityDemand!E16,INDIRECT($D$3&amp;"!E"&amp;ROW(D23))+INDIRECT($D$3&amp;"!G"&amp;ROW(D23)))</f>
        <v>733356.43426308746</v>
      </c>
      <c r="F23" s="305">
        <v>0</v>
      </c>
      <c r="G23" s="306">
        <f t="shared" ca="1" si="11"/>
        <v>0</v>
      </c>
      <c r="H23" s="304">
        <f ca="1">IF($D$3="BAU",UtilityDemand!G16,INDIRECT($D$3&amp;"!H"&amp;ROW(G23))+INDIRECT($D$3&amp;"!J"&amp;ROW(G23)))</f>
        <v>195447.56483158763</v>
      </c>
      <c r="I23" s="305">
        <v>0</v>
      </c>
      <c r="J23" s="306">
        <f t="shared" ca="1" si="24"/>
        <v>0</v>
      </c>
      <c r="K23" s="307">
        <f t="shared" ca="1" si="12"/>
        <v>137556.65962631535</v>
      </c>
      <c r="L23" s="307">
        <f>L22</f>
        <v>518.29999999999995</v>
      </c>
      <c r="M23" s="307">
        <v>0</v>
      </c>
      <c r="N23" s="307">
        <f t="shared" ca="1" si="14"/>
        <v>138074.95962631534</v>
      </c>
      <c r="O23" s="306">
        <f t="shared" ca="1" si="15"/>
        <v>733356.43426308746</v>
      </c>
      <c r="P23" s="306">
        <f t="shared" si="16"/>
        <v>-9732.5</v>
      </c>
      <c r="Q23" s="306">
        <f>Q22</f>
        <v>9732.5</v>
      </c>
      <c r="R23" s="306">
        <f t="shared" ca="1" si="17"/>
        <v>723623.93426308746</v>
      </c>
      <c r="S23" s="818">
        <f t="shared" ca="1" si="18"/>
        <v>195447.56483158763</v>
      </c>
      <c r="T23" s="818">
        <f t="shared" si="19"/>
        <v>0</v>
      </c>
      <c r="U23" s="818">
        <v>0</v>
      </c>
      <c r="V23" s="818">
        <f t="shared" ca="1" si="20"/>
        <v>195447.56483158763</v>
      </c>
      <c r="W23" s="306">
        <f t="shared" si="2"/>
        <v>0</v>
      </c>
      <c r="X23" s="306">
        <f t="shared" ca="1" si="3"/>
        <v>-680.80856317059579</v>
      </c>
      <c r="Y23" s="306">
        <v>0</v>
      </c>
      <c r="Z23" s="306">
        <v>0</v>
      </c>
      <c r="AA23" s="308">
        <f ca="1">-SUM(W23,X23/OFFSET(GridFootprintbyYear,$A23-$A$19,0)*EF_PurchElec_MTperMWh,Z23)*OFFSET(ExposureCalculations!Price_GHG_Allowance_2010,A23-$A$19,0)*ExposureCalculations!D20</f>
        <v>0</v>
      </c>
      <c r="AB23" s="308">
        <v>0</v>
      </c>
      <c r="AC23" s="308">
        <f t="shared" ca="1" si="4"/>
        <v>-44943.240380284653</v>
      </c>
      <c r="AD23" s="819">
        <f t="shared" ca="1" si="5"/>
        <v>109848.50358751189</v>
      </c>
      <c r="AE23" s="308">
        <v>0</v>
      </c>
      <c r="AF23" s="819">
        <f t="shared" ca="1" si="6"/>
        <v>0</v>
      </c>
      <c r="AG23" s="308">
        <v>0</v>
      </c>
      <c r="AH23" s="308">
        <v>0</v>
      </c>
      <c r="AI23" s="308">
        <v>0</v>
      </c>
      <c r="AJ23" s="308">
        <f t="shared" ca="1" si="7"/>
        <v>64905.263207227239</v>
      </c>
      <c r="AK23" s="309">
        <v>0</v>
      </c>
      <c r="AL23" s="309">
        <f>-AV23</f>
        <v>-862500</v>
      </c>
      <c r="AM23" s="309">
        <f t="shared" si="21"/>
        <v>-862500</v>
      </c>
      <c r="AN23" s="310">
        <v>0</v>
      </c>
      <c r="AO23" s="310">
        <f>AO22</f>
        <v>-15000</v>
      </c>
      <c r="AP23" s="310">
        <f t="shared" si="22"/>
        <v>-15000</v>
      </c>
      <c r="AQ23" s="309">
        <v>0</v>
      </c>
      <c r="AR23" s="311">
        <f t="shared" ca="1" si="8"/>
        <v>-812594.73679277278</v>
      </c>
      <c r="AS23" s="870">
        <f t="shared" ca="1" si="23"/>
        <v>-1625512.3853427954</v>
      </c>
      <c r="AT23" s="822"/>
      <c r="AU23" s="902">
        <f>BG18</f>
        <v>862500</v>
      </c>
      <c r="AV23" s="902">
        <f>BG19</f>
        <v>862500</v>
      </c>
      <c r="AW23" s="35" t="s">
        <v>802</v>
      </c>
      <c r="AX23" s="35"/>
      <c r="AY23" s="880"/>
    </row>
    <row r="24" spans="1:62">
      <c r="A24" s="303">
        <v>2015</v>
      </c>
      <c r="B24" s="304">
        <f ca="1">IF($D$3="BAU",UtilityDemand!C17,INDIRECT($D$3&amp;"!B"&amp;ROW(A24))+INDIRECT($D$3&amp;"!D"&amp;ROW(A24)))</f>
        <v>140674.7264207229</v>
      </c>
      <c r="C24" s="305">
        <v>0</v>
      </c>
      <c r="D24" s="306">
        <f t="shared" ca="1" si="10"/>
        <v>0</v>
      </c>
      <c r="E24" s="304">
        <f ca="1">IF($D$3="BAU",UtilityDemand!E17,INDIRECT($D$3&amp;"!E"&amp;ROW(D24))+INDIRECT($D$3&amp;"!G"&amp;ROW(D24)))</f>
        <v>749942.47488688328</v>
      </c>
      <c r="F24" s="305">
        <v>0</v>
      </c>
      <c r="G24" s="306">
        <f t="shared" ca="1" si="11"/>
        <v>0</v>
      </c>
      <c r="H24" s="304">
        <f ca="1">IF($D$3="BAU",UtilityDemand!G17,INDIRECT($D$3&amp;"!H"&amp;ROW(G24))+INDIRECT($D$3&amp;"!J"&amp;ROW(G24)))</f>
        <v>200653.26054765948</v>
      </c>
      <c r="I24" s="305">
        <v>0</v>
      </c>
      <c r="J24" s="306">
        <f t="shared" ca="1" si="24"/>
        <v>0</v>
      </c>
      <c r="K24" s="307">
        <f t="shared" ca="1" si="12"/>
        <v>140674.7264207229</v>
      </c>
      <c r="L24" s="307">
        <f>L23+$AV$29</f>
        <v>1036.5999999999999</v>
      </c>
      <c r="M24" s="307">
        <v>0</v>
      </c>
      <c r="N24" s="307">
        <f t="shared" ca="1" si="14"/>
        <v>141711.32642072291</v>
      </c>
      <c r="O24" s="306">
        <f t="shared" ca="1" si="15"/>
        <v>749942.47488688328</v>
      </c>
      <c r="P24" s="306">
        <f t="shared" si="16"/>
        <v>-19465</v>
      </c>
      <c r="Q24" s="306">
        <f>Q23+$AV$33</f>
        <v>19465</v>
      </c>
      <c r="R24" s="306">
        <f t="shared" ca="1" si="17"/>
        <v>730477.47488688328</v>
      </c>
      <c r="S24" s="818">
        <f t="shared" ca="1" si="18"/>
        <v>200653.26054765948</v>
      </c>
      <c r="T24" s="818">
        <f t="shared" si="19"/>
        <v>0</v>
      </c>
      <c r="U24" s="818">
        <v>0</v>
      </c>
      <c r="V24" s="818">
        <f t="shared" ca="1" si="20"/>
        <v>200653.26054765948</v>
      </c>
      <c r="W24" s="306">
        <f t="shared" si="2"/>
        <v>0</v>
      </c>
      <c r="X24" s="306">
        <f t="shared" ca="1" si="3"/>
        <v>-1361.6171263411916</v>
      </c>
      <c r="Y24" s="306">
        <v>0</v>
      </c>
      <c r="Z24" s="306">
        <v>0</v>
      </c>
      <c r="AA24" s="308">
        <f ca="1">-SUM(W24,X24/OFFSET(GridFootprintbyYear,$A24-$A$19,0)*EF_PurchElec_MTperMWh,Z24)*OFFSET(ExposureCalculations!Price_GHG_Allowance_2010,A24-$A$19,0)*ExposureCalculations!D21</f>
        <v>13846.74311114145</v>
      </c>
      <c r="AB24" s="308">
        <v>0</v>
      </c>
      <c r="AC24" s="308">
        <f t="shared" ca="1" si="4"/>
        <v>-90335.913164372148</v>
      </c>
      <c r="AD24" s="819">
        <f t="shared" ca="1" si="5"/>
        <v>220795.49221089884</v>
      </c>
      <c r="AE24" s="308">
        <v>0</v>
      </c>
      <c r="AF24" s="819">
        <f t="shared" ca="1" si="6"/>
        <v>0</v>
      </c>
      <c r="AG24" s="308">
        <v>0</v>
      </c>
      <c r="AH24" s="308">
        <v>0</v>
      </c>
      <c r="AI24" s="308">
        <v>0</v>
      </c>
      <c r="AJ24" s="308">
        <f t="shared" ca="1" si="7"/>
        <v>130459.57904652669</v>
      </c>
      <c r="AK24" s="309">
        <v>0</v>
      </c>
      <c r="AL24" s="309">
        <v>0</v>
      </c>
      <c r="AM24" s="309">
        <f t="shared" si="21"/>
        <v>0</v>
      </c>
      <c r="AN24" s="310">
        <v>0</v>
      </c>
      <c r="AO24" s="310">
        <f>AO23-AV25</f>
        <v>-30000</v>
      </c>
      <c r="AP24" s="310">
        <f t="shared" si="22"/>
        <v>-30000</v>
      </c>
      <c r="AQ24" s="309">
        <v>0</v>
      </c>
      <c r="AR24" s="311">
        <f t="shared" ca="1" si="8"/>
        <v>114306.32215766815</v>
      </c>
      <c r="AS24" s="870">
        <f t="shared" ca="1" si="23"/>
        <v>-1511206.0631851272</v>
      </c>
      <c r="AT24" s="822"/>
      <c r="AU24" s="878"/>
      <c r="AV24" s="878"/>
      <c r="AW24" s="35"/>
      <c r="AX24" s="35"/>
      <c r="AY24" s="880"/>
      <c r="BD24">
        <v>1.4</v>
      </c>
      <c r="BE24" t="s">
        <v>2944</v>
      </c>
      <c r="BH24" s="312">
        <v>100</v>
      </c>
      <c r="BI24" t="s">
        <v>2945</v>
      </c>
    </row>
    <row r="25" spans="1:62">
      <c r="A25" s="303">
        <v>2016</v>
      </c>
      <c r="B25" s="304">
        <f ca="1">IF($D$3="BAU",UtilityDemand!C18,INDIRECT($D$3&amp;"!B"&amp;ROW(A25))+INDIRECT($D$3&amp;"!D"&amp;ROW(A25)))</f>
        <v>142251.35202157494</v>
      </c>
      <c r="C25" s="305">
        <v>0</v>
      </c>
      <c r="D25" s="306">
        <f t="shared" ca="1" si="10"/>
        <v>0</v>
      </c>
      <c r="E25" s="304">
        <f ca="1">IF($D$3="BAU",UtilityDemand!E18,INDIRECT($D$3&amp;"!E"&amp;ROW(D25))+INDIRECT($D$3&amp;"!G"&amp;ROW(D25)))</f>
        <v>758329.0740165587</v>
      </c>
      <c r="F25" s="305">
        <v>0</v>
      </c>
      <c r="G25" s="306">
        <f t="shared" ca="1" si="11"/>
        <v>0</v>
      </c>
      <c r="H25" s="304">
        <f ca="1">IF($D$3="BAU",UtilityDemand!G18,INDIRECT($D$3&amp;"!H"&amp;ROW(G25))+INDIRECT($D$3&amp;"!J"&amp;ROW(G25)))</f>
        <v>203717.79511026316</v>
      </c>
      <c r="I25" s="305">
        <v>0</v>
      </c>
      <c r="J25" s="306">
        <f t="shared" ca="1" si="24"/>
        <v>0</v>
      </c>
      <c r="K25" s="307">
        <f t="shared" ca="1" si="12"/>
        <v>142251.35202157494</v>
      </c>
      <c r="L25" s="307">
        <f>L24</f>
        <v>1036.5999999999999</v>
      </c>
      <c r="M25" s="307">
        <v>0</v>
      </c>
      <c r="N25" s="307">
        <f t="shared" ca="1" si="14"/>
        <v>143287.95202157495</v>
      </c>
      <c r="O25" s="306">
        <f t="shared" ca="1" si="15"/>
        <v>758329.0740165587</v>
      </c>
      <c r="P25" s="306">
        <f t="shared" si="16"/>
        <v>-19465</v>
      </c>
      <c r="Q25" s="306">
        <f>Q24</f>
        <v>19465</v>
      </c>
      <c r="R25" s="306">
        <f t="shared" ca="1" si="17"/>
        <v>738864.0740165587</v>
      </c>
      <c r="S25" s="818">
        <f t="shared" ca="1" si="18"/>
        <v>203717.79511026316</v>
      </c>
      <c r="T25" s="818">
        <f t="shared" si="19"/>
        <v>0</v>
      </c>
      <c r="U25" s="818">
        <v>0</v>
      </c>
      <c r="V25" s="818">
        <f t="shared" ca="1" si="20"/>
        <v>203717.79511026316</v>
      </c>
      <c r="W25" s="306">
        <f t="shared" si="2"/>
        <v>0</v>
      </c>
      <c r="X25" s="306">
        <f t="shared" ca="1" si="3"/>
        <v>-1361.6171263411916</v>
      </c>
      <c r="Y25" s="306">
        <v>0</v>
      </c>
      <c r="Z25" s="306">
        <v>0</v>
      </c>
      <c r="AA25" s="308">
        <f ca="1">-SUM(W25,X25/OFFSET(GridFootprintbyYear,$A25-$A$19,0)*EF_PurchElec_MTperMWh,Z25)*OFFSET(ExposureCalculations!Price_GHG_Allowance_2010,A25-$A$19,0)*ExposureCalculations!D22</f>
        <v>15983.350990743145</v>
      </c>
      <c r="AB25" s="308">
        <v>0</v>
      </c>
      <c r="AC25" s="308">
        <f t="shared" ca="1" si="4"/>
        <v>-90787.592730193996</v>
      </c>
      <c r="AD25" s="819">
        <f t="shared" ca="1" si="5"/>
        <v>221899.46967195329</v>
      </c>
      <c r="AE25" s="308">
        <v>0</v>
      </c>
      <c r="AF25" s="819">
        <f t="shared" ca="1" si="6"/>
        <v>0</v>
      </c>
      <c r="AG25" s="308">
        <v>0</v>
      </c>
      <c r="AH25" s="308">
        <v>0</v>
      </c>
      <c r="AI25" s="308">
        <v>0</v>
      </c>
      <c r="AJ25" s="308">
        <f t="shared" ca="1" si="7"/>
        <v>131111.87694175931</v>
      </c>
      <c r="AK25" s="309">
        <v>0</v>
      </c>
      <c r="AL25" s="309">
        <v>0</v>
      </c>
      <c r="AM25" s="309">
        <f t="shared" si="21"/>
        <v>0</v>
      </c>
      <c r="AN25" s="310">
        <v>0</v>
      </c>
      <c r="AO25" s="310">
        <f>AO24</f>
        <v>-30000</v>
      </c>
      <c r="AP25" s="310">
        <f t="shared" si="22"/>
        <v>-30000</v>
      </c>
      <c r="AQ25" s="309">
        <v>0</v>
      </c>
      <c r="AR25" s="311">
        <f t="shared" ca="1" si="8"/>
        <v>117095.22793250246</v>
      </c>
      <c r="AS25" s="870">
        <f t="shared" ca="1" si="23"/>
        <v>-1394110.8352526247</v>
      </c>
      <c r="AT25" s="822"/>
      <c r="AU25" s="902">
        <f>BH18</f>
        <v>15000</v>
      </c>
      <c r="AV25" s="902">
        <f>BH19</f>
        <v>15000</v>
      </c>
      <c r="AW25" s="35" t="s">
        <v>830</v>
      </c>
      <c r="AX25" s="35"/>
      <c r="AY25" s="880"/>
      <c r="BD25">
        <v>400</v>
      </c>
      <c r="BE25" t="s">
        <v>2950</v>
      </c>
      <c r="BG25" s="312">
        <v>18</v>
      </c>
      <c r="BH25" t="s">
        <v>2947</v>
      </c>
    </row>
    <row r="26" spans="1:62">
      <c r="A26" s="303">
        <v>2017</v>
      </c>
      <c r="B26" s="304">
        <f ca="1">IF($D$3="BAU",UtilityDemand!C19,INDIRECT($D$3&amp;"!B"&amp;ROW(A26))+INDIRECT($D$3&amp;"!D"&amp;ROW(A26)))</f>
        <v>143827.97762242699</v>
      </c>
      <c r="C26" s="305">
        <v>0</v>
      </c>
      <c r="D26" s="306">
        <f t="shared" ca="1" si="10"/>
        <v>0</v>
      </c>
      <c r="E26" s="304">
        <f ca="1">IF($D$3="BAU",UtilityDemand!E19,INDIRECT($D$3&amp;"!E"&amp;ROW(D26))+INDIRECT($D$3&amp;"!G"&amp;ROW(D26)))</f>
        <v>766715.67314623413</v>
      </c>
      <c r="F26" s="305">
        <v>0</v>
      </c>
      <c r="G26" s="306">
        <f t="shared" ca="1" si="11"/>
        <v>0</v>
      </c>
      <c r="H26" s="304">
        <f ca="1">IF($D$3="BAU",UtilityDemand!G19,INDIRECT($D$3&amp;"!H"&amp;ROW(G26))+INDIRECT($D$3&amp;"!J"&amp;ROW(G26)))</f>
        <v>206782.32967286685</v>
      </c>
      <c r="I26" s="305">
        <v>0</v>
      </c>
      <c r="J26" s="306">
        <f t="shared" ca="1" si="24"/>
        <v>0</v>
      </c>
      <c r="K26" s="307">
        <f t="shared" ca="1" si="12"/>
        <v>143827.97762242699</v>
      </c>
      <c r="L26" s="307">
        <f t="shared" ref="L26:L59" si="25">L25</f>
        <v>1036.5999999999999</v>
      </c>
      <c r="M26" s="307">
        <v>0</v>
      </c>
      <c r="N26" s="307">
        <f t="shared" ca="1" si="14"/>
        <v>144864.57762242699</v>
      </c>
      <c r="O26" s="306">
        <f t="shared" ca="1" si="15"/>
        <v>766715.67314623413</v>
      </c>
      <c r="P26" s="306">
        <f t="shared" si="16"/>
        <v>-19465</v>
      </c>
      <c r="Q26" s="306">
        <f t="shared" ref="Q26:Q59" si="26">Q25</f>
        <v>19465</v>
      </c>
      <c r="R26" s="306">
        <f t="shared" ca="1" si="17"/>
        <v>747250.67314623413</v>
      </c>
      <c r="S26" s="818">
        <f t="shared" ca="1" si="18"/>
        <v>206782.32967286685</v>
      </c>
      <c r="T26" s="818">
        <f t="shared" si="19"/>
        <v>0</v>
      </c>
      <c r="U26" s="818">
        <v>0</v>
      </c>
      <c r="V26" s="818">
        <f t="shared" ca="1" si="20"/>
        <v>206782.32967286685</v>
      </c>
      <c r="W26" s="306">
        <f t="shared" si="2"/>
        <v>0</v>
      </c>
      <c r="X26" s="306">
        <f t="shared" ca="1" si="3"/>
        <v>-1361.6171263411916</v>
      </c>
      <c r="Y26" s="306">
        <v>0</v>
      </c>
      <c r="Z26" s="306">
        <v>0</v>
      </c>
      <c r="AA26" s="308">
        <f ca="1">-SUM(W26,X26/OFFSET(GridFootprintbyYear,$A26-$A$19,0)*EF_PurchElec_MTperMWh,Z26)*OFFSET(ExposureCalculations!Price_GHG_Allowance_2010,A26-$A$19,0)*ExposureCalculations!D23</f>
        <v>18219.60496469793</v>
      </c>
      <c r="AB26" s="308">
        <v>0</v>
      </c>
      <c r="AC26" s="308">
        <f t="shared" ca="1" si="4"/>
        <v>-91241.53069384495</v>
      </c>
      <c r="AD26" s="819">
        <f t="shared" ca="1" si="5"/>
        <v>223008.96702031308</v>
      </c>
      <c r="AE26" s="308">
        <v>0</v>
      </c>
      <c r="AF26" s="819">
        <f t="shared" ca="1" si="6"/>
        <v>0</v>
      </c>
      <c r="AG26" s="308">
        <v>0</v>
      </c>
      <c r="AH26" s="308">
        <v>0</v>
      </c>
      <c r="AI26" s="308">
        <v>0</v>
      </c>
      <c r="AJ26" s="308">
        <f t="shared" ca="1" si="7"/>
        <v>131767.43632646813</v>
      </c>
      <c r="AK26" s="309">
        <v>0</v>
      </c>
      <c r="AL26" s="309">
        <v>0</v>
      </c>
      <c r="AM26" s="309">
        <f t="shared" si="21"/>
        <v>0</v>
      </c>
      <c r="AN26" s="310">
        <v>0</v>
      </c>
      <c r="AO26" s="310">
        <f t="shared" ref="AO26:AO59" si="27">AO25</f>
        <v>-30000</v>
      </c>
      <c r="AP26" s="310">
        <f t="shared" si="22"/>
        <v>-30000</v>
      </c>
      <c r="AQ26" s="309">
        <v>0</v>
      </c>
      <c r="AR26" s="311">
        <f t="shared" ca="1" si="8"/>
        <v>119987.04129116607</v>
      </c>
      <c r="AS26" s="870">
        <f t="shared" ca="1" si="23"/>
        <v>-1274123.7939614586</v>
      </c>
      <c r="AT26" s="822"/>
      <c r="AU26" s="878"/>
      <c r="AV26" s="878"/>
      <c r="AW26" s="35"/>
      <c r="AX26" s="35"/>
      <c r="AY26" s="880"/>
      <c r="BG26">
        <v>300</v>
      </c>
      <c r="BH26" t="s">
        <v>2948</v>
      </c>
    </row>
    <row r="27" spans="1:62">
      <c r="A27" s="303">
        <v>2018</v>
      </c>
      <c r="B27" s="304">
        <f ca="1">IF($D$3="BAU",UtilityDemand!C20,INDIRECT($D$3&amp;"!B"&amp;ROW(A27))+INDIRECT($D$3&amp;"!D"&amp;ROW(A27)))</f>
        <v>145404.603223279</v>
      </c>
      <c r="C27" s="305">
        <v>0</v>
      </c>
      <c r="D27" s="306">
        <f t="shared" ca="1" si="10"/>
        <v>0</v>
      </c>
      <c r="E27" s="304">
        <f ca="1">IF($D$3="BAU",UtilityDemand!E20,INDIRECT($D$3&amp;"!E"&amp;ROW(D27))+INDIRECT($D$3&amp;"!G"&amp;ROW(D27)))</f>
        <v>775102.27227590943</v>
      </c>
      <c r="F27" s="305">
        <v>0</v>
      </c>
      <c r="G27" s="306">
        <f t="shared" ca="1" si="11"/>
        <v>0</v>
      </c>
      <c r="H27" s="304">
        <f ca="1">IF($D$3="BAU",UtilityDemand!G20,INDIRECT($D$3&amp;"!H"&amp;ROW(G27))+INDIRECT($D$3&amp;"!J"&amp;ROW(G27)))</f>
        <v>209846.86423547054</v>
      </c>
      <c r="I27" s="305">
        <v>0</v>
      </c>
      <c r="J27" s="306">
        <f t="shared" ca="1" si="24"/>
        <v>0</v>
      </c>
      <c r="K27" s="307">
        <f t="shared" ca="1" si="12"/>
        <v>145404.603223279</v>
      </c>
      <c r="L27" s="307">
        <f t="shared" si="25"/>
        <v>1036.5999999999999</v>
      </c>
      <c r="M27" s="307">
        <v>0</v>
      </c>
      <c r="N27" s="307">
        <f t="shared" ca="1" si="14"/>
        <v>146441.20322327901</v>
      </c>
      <c r="O27" s="306">
        <f t="shared" ca="1" si="15"/>
        <v>775102.27227590943</v>
      </c>
      <c r="P27" s="306">
        <f t="shared" si="16"/>
        <v>-19465</v>
      </c>
      <c r="Q27" s="306">
        <f t="shared" si="26"/>
        <v>19465</v>
      </c>
      <c r="R27" s="306">
        <f t="shared" ca="1" si="17"/>
        <v>755637.27227590943</v>
      </c>
      <c r="S27" s="818">
        <f t="shared" ca="1" si="18"/>
        <v>209846.86423547054</v>
      </c>
      <c r="T27" s="818">
        <f t="shared" si="19"/>
        <v>0</v>
      </c>
      <c r="U27" s="818">
        <v>0</v>
      </c>
      <c r="V27" s="818">
        <f t="shared" ca="1" si="20"/>
        <v>209846.86423547054</v>
      </c>
      <c r="W27" s="306">
        <f t="shared" si="2"/>
        <v>0</v>
      </c>
      <c r="X27" s="306">
        <f t="shared" ca="1" si="3"/>
        <v>-1361.6171263411916</v>
      </c>
      <c r="Y27" s="306">
        <v>0</v>
      </c>
      <c r="Z27" s="306">
        <v>0</v>
      </c>
      <c r="AA27" s="308">
        <f ca="1">-SUM(W27,X27/OFFSET(GridFootprintbyYear,$A27-$A$19,0)*EF_PurchElec_MTperMWh,Z27)*OFFSET(ExposureCalculations!Price_GHG_Allowance_2010,A27-$A$19,0)*ExposureCalculations!D24</f>
        <v>20552.416889425433</v>
      </c>
      <c r="AB27" s="308">
        <v>0</v>
      </c>
      <c r="AC27" s="308">
        <f t="shared" ca="1" si="4"/>
        <v>-91697.738347314167</v>
      </c>
      <c r="AD27" s="819">
        <f t="shared" ca="1" si="5"/>
        <v>224124.0118554146</v>
      </c>
      <c r="AE27" s="308">
        <v>0</v>
      </c>
      <c r="AF27" s="819">
        <f t="shared" ca="1" si="6"/>
        <v>0</v>
      </c>
      <c r="AG27" s="308">
        <v>0</v>
      </c>
      <c r="AH27" s="308">
        <v>0</v>
      </c>
      <c r="AI27" s="308">
        <v>0</v>
      </c>
      <c r="AJ27" s="308">
        <f t="shared" ca="1" si="7"/>
        <v>132426.27350810042</v>
      </c>
      <c r="AK27" s="309">
        <v>0</v>
      </c>
      <c r="AL27" s="309">
        <v>0</v>
      </c>
      <c r="AM27" s="309">
        <f t="shared" si="21"/>
        <v>0</v>
      </c>
      <c r="AN27" s="310">
        <v>0</v>
      </c>
      <c r="AO27" s="310">
        <f t="shared" si="27"/>
        <v>-30000</v>
      </c>
      <c r="AP27" s="310">
        <f t="shared" si="22"/>
        <v>-30000</v>
      </c>
      <c r="AQ27" s="309">
        <v>0</v>
      </c>
      <c r="AR27" s="311">
        <f t="shared" ca="1" si="8"/>
        <v>122978.69039752585</v>
      </c>
      <c r="AS27" s="870">
        <f t="shared" ca="1" si="23"/>
        <v>-1151145.1035639327</v>
      </c>
      <c r="AT27" s="822"/>
      <c r="AU27" s="898">
        <f>BF18</f>
        <v>11450</v>
      </c>
      <c r="AV27" s="898">
        <f>BF19</f>
        <v>11450</v>
      </c>
      <c r="AW27" s="35" t="s">
        <v>831</v>
      </c>
      <c r="AX27" s="35"/>
      <c r="AY27" s="880"/>
      <c r="BG27">
        <v>1800</v>
      </c>
      <c r="BH27" t="s">
        <v>2949</v>
      </c>
    </row>
    <row r="28" spans="1:62">
      <c r="A28" s="303">
        <v>2019</v>
      </c>
      <c r="B28" s="304">
        <f ca="1">IF($D$3="BAU",UtilityDemand!C21,INDIRECT($D$3&amp;"!B"&amp;ROW(A28))+INDIRECT($D$3&amp;"!D"&amp;ROW(A28)))</f>
        <v>146981.22882413102</v>
      </c>
      <c r="C28" s="305">
        <v>0</v>
      </c>
      <c r="D28" s="306">
        <f t="shared" ca="1" si="10"/>
        <v>0</v>
      </c>
      <c r="E28" s="304">
        <f ca="1">IF($D$3="BAU",UtilityDemand!E21,INDIRECT($D$3&amp;"!E"&amp;ROW(D28))+INDIRECT($D$3&amp;"!G"&amp;ROW(D28)))</f>
        <v>783488.87140558485</v>
      </c>
      <c r="F28" s="305">
        <v>0</v>
      </c>
      <c r="G28" s="306">
        <f t="shared" ca="1" si="11"/>
        <v>0</v>
      </c>
      <c r="H28" s="304">
        <f ca="1">IF($D$3="BAU",UtilityDemand!G21,INDIRECT($D$3&amp;"!H"&amp;ROW(G28))+INDIRECT($D$3&amp;"!J"&amp;ROW(G28)))</f>
        <v>212911.39879807425</v>
      </c>
      <c r="I28" s="305">
        <v>0</v>
      </c>
      <c r="J28" s="306">
        <f t="shared" ca="1" si="24"/>
        <v>0</v>
      </c>
      <c r="K28" s="307">
        <f t="shared" ca="1" si="12"/>
        <v>146981.22882413102</v>
      </c>
      <c r="L28" s="307">
        <f t="shared" si="25"/>
        <v>1036.5999999999999</v>
      </c>
      <c r="M28" s="307">
        <v>0</v>
      </c>
      <c r="N28" s="307">
        <f t="shared" ca="1" si="14"/>
        <v>148017.82882413102</v>
      </c>
      <c r="O28" s="306">
        <f t="shared" ca="1" si="15"/>
        <v>783488.87140558485</v>
      </c>
      <c r="P28" s="306">
        <f t="shared" si="16"/>
        <v>-19465</v>
      </c>
      <c r="Q28" s="306">
        <f t="shared" si="26"/>
        <v>19465</v>
      </c>
      <c r="R28" s="306">
        <f t="shared" ca="1" si="17"/>
        <v>764023.87140558485</v>
      </c>
      <c r="S28" s="818">
        <f t="shared" ca="1" si="18"/>
        <v>212911.39879807425</v>
      </c>
      <c r="T28" s="818">
        <f t="shared" si="19"/>
        <v>0</v>
      </c>
      <c r="U28" s="818">
        <v>0</v>
      </c>
      <c r="V28" s="818">
        <f t="shared" ca="1" si="20"/>
        <v>212911.39879807425</v>
      </c>
      <c r="W28" s="306">
        <f t="shared" si="2"/>
        <v>0</v>
      </c>
      <c r="X28" s="306">
        <f t="shared" ca="1" si="3"/>
        <v>-1361.6171263411916</v>
      </c>
      <c r="Y28" s="306">
        <v>0</v>
      </c>
      <c r="Z28" s="306">
        <v>0</v>
      </c>
      <c r="AA28" s="308">
        <f ca="1">-SUM(W28,X28/OFFSET(GridFootprintbyYear,$A28-$A$19,0)*EF_PurchElec_MTperMWh,Z28)*OFFSET(ExposureCalculations!Price_GHG_Allowance_2010,A28-$A$19,0)*ExposureCalculations!D25</f>
        <v>22978.730811230114</v>
      </c>
      <c r="AB28" s="308">
        <v>0</v>
      </c>
      <c r="AC28" s="308">
        <f t="shared" ca="1" si="4"/>
        <v>-92156.227039050733</v>
      </c>
      <c r="AD28" s="819">
        <f t="shared" ca="1" si="5"/>
        <v>225244.63191469168</v>
      </c>
      <c r="AE28" s="308">
        <v>0</v>
      </c>
      <c r="AF28" s="819">
        <f t="shared" ca="1" si="6"/>
        <v>0</v>
      </c>
      <c r="AG28" s="308">
        <v>0</v>
      </c>
      <c r="AH28" s="308">
        <v>0</v>
      </c>
      <c r="AI28" s="308">
        <v>0</v>
      </c>
      <c r="AJ28" s="308">
        <f t="shared" ca="1" si="7"/>
        <v>133088.40487564093</v>
      </c>
      <c r="AK28" s="309">
        <v>0</v>
      </c>
      <c r="AL28" s="309">
        <v>0</v>
      </c>
      <c r="AM28" s="309">
        <f t="shared" si="21"/>
        <v>0</v>
      </c>
      <c r="AN28" s="310">
        <v>0</v>
      </c>
      <c r="AO28" s="310">
        <f t="shared" si="27"/>
        <v>-30000</v>
      </c>
      <c r="AP28" s="310">
        <f t="shared" si="22"/>
        <v>-30000</v>
      </c>
      <c r="AQ28" s="309">
        <v>0</v>
      </c>
      <c r="AR28" s="311">
        <f t="shared" ca="1" si="8"/>
        <v>126067.13568687104</v>
      </c>
      <c r="AS28" s="870">
        <f t="shared" ca="1" si="23"/>
        <v>-1025077.9678770617</v>
      </c>
      <c r="AT28" s="822"/>
      <c r="AU28" s="878"/>
      <c r="AV28" s="878"/>
      <c r="AW28" s="35"/>
      <c r="AX28" s="35"/>
      <c r="AY28" s="880"/>
    </row>
    <row r="29" spans="1:62">
      <c r="A29" s="303">
        <v>2020</v>
      </c>
      <c r="B29" s="304">
        <f ca="1">IF($D$3="BAU",UtilityDemand!C22,INDIRECT($D$3&amp;"!B"&amp;ROW(A29))+INDIRECT($D$3&amp;"!D"&amp;ROW(A29)))</f>
        <v>148557.85442498306</v>
      </c>
      <c r="C29" s="305">
        <v>0</v>
      </c>
      <c r="D29" s="306">
        <f t="shared" ca="1" si="10"/>
        <v>0</v>
      </c>
      <c r="E29" s="304">
        <f ca="1">IF($D$3="BAU",UtilityDemand!E22,INDIRECT($D$3&amp;"!E"&amp;ROW(D29))+INDIRECT($D$3&amp;"!G"&amp;ROW(D29)))</f>
        <v>791875.47053526016</v>
      </c>
      <c r="F29" s="305">
        <v>0</v>
      </c>
      <c r="G29" s="306">
        <f t="shared" ca="1" si="11"/>
        <v>0</v>
      </c>
      <c r="H29" s="304">
        <f ca="1">IF($D$3="BAU",UtilityDemand!G22,INDIRECT($D$3&amp;"!H"&amp;ROW(G29))+INDIRECT($D$3&amp;"!J"&amp;ROW(G29)))</f>
        <v>215975.93336067794</v>
      </c>
      <c r="I29" s="305">
        <v>0</v>
      </c>
      <c r="J29" s="306">
        <f t="shared" ca="1" si="24"/>
        <v>0</v>
      </c>
      <c r="K29" s="307">
        <f t="shared" ca="1" si="12"/>
        <v>148557.85442498306</v>
      </c>
      <c r="L29" s="307">
        <f t="shared" si="25"/>
        <v>1036.5999999999999</v>
      </c>
      <c r="M29" s="307">
        <v>0</v>
      </c>
      <c r="N29" s="307">
        <f t="shared" ca="1" si="14"/>
        <v>149594.45442498307</v>
      </c>
      <c r="O29" s="306">
        <f t="shared" ca="1" si="15"/>
        <v>791875.47053526016</v>
      </c>
      <c r="P29" s="306">
        <f t="shared" si="16"/>
        <v>-19465</v>
      </c>
      <c r="Q29" s="306">
        <f t="shared" si="26"/>
        <v>19465</v>
      </c>
      <c r="R29" s="306">
        <f t="shared" ca="1" si="17"/>
        <v>772410.47053526016</v>
      </c>
      <c r="S29" s="818">
        <f t="shared" ca="1" si="18"/>
        <v>215975.93336067794</v>
      </c>
      <c r="T29" s="818">
        <f t="shared" si="19"/>
        <v>0</v>
      </c>
      <c r="U29" s="818">
        <v>0</v>
      </c>
      <c r="V29" s="818">
        <f t="shared" ca="1" si="20"/>
        <v>215975.93336067794</v>
      </c>
      <c r="W29" s="306">
        <f t="shared" si="2"/>
        <v>0</v>
      </c>
      <c r="X29" s="306">
        <f t="shared" ca="1" si="3"/>
        <v>-1361.6171263411916</v>
      </c>
      <c r="Y29" s="306">
        <v>0</v>
      </c>
      <c r="Z29" s="306">
        <v>0</v>
      </c>
      <c r="AA29" s="308">
        <f ca="1">-SUM(W29,X29/OFFSET(GridFootprintbyYear,$A29-$A$19,0)*EF_PurchElec_MTperMWh,Z29)*OFFSET(ExposureCalculations!Price_GHG_Allowance_2010,A29-$A$19,0)*ExposureCalculations!D26</f>
        <v>25495.523696524338</v>
      </c>
      <c r="AB29" s="308">
        <v>0</v>
      </c>
      <c r="AC29" s="308">
        <f t="shared" ca="1" si="4"/>
        <v>-92617.008174245959</v>
      </c>
      <c r="AD29" s="819">
        <f t="shared" ca="1" si="5"/>
        <v>226370.8550742651</v>
      </c>
      <c r="AE29" s="308">
        <v>0</v>
      </c>
      <c r="AF29" s="819">
        <f t="shared" ca="1" si="6"/>
        <v>0</v>
      </c>
      <c r="AG29" s="308">
        <v>0</v>
      </c>
      <c r="AH29" s="308">
        <v>0</v>
      </c>
      <c r="AI29" s="308">
        <v>0</v>
      </c>
      <c r="AJ29" s="308">
        <f t="shared" ca="1" si="7"/>
        <v>133753.84690001915</v>
      </c>
      <c r="AK29" s="309">
        <v>0</v>
      </c>
      <c r="AL29" s="309">
        <v>0</v>
      </c>
      <c r="AM29" s="309">
        <f t="shared" si="21"/>
        <v>0</v>
      </c>
      <c r="AN29" s="310">
        <v>0</v>
      </c>
      <c r="AO29" s="310">
        <f t="shared" si="27"/>
        <v>-30000</v>
      </c>
      <c r="AP29" s="310">
        <f t="shared" si="22"/>
        <v>-30000</v>
      </c>
      <c r="AQ29" s="309">
        <v>0</v>
      </c>
      <c r="AR29" s="311">
        <f t="shared" ca="1" si="8"/>
        <v>129249.37059654348</v>
      </c>
      <c r="AS29" s="870">
        <f t="shared" ca="1" si="23"/>
        <v>-895828.59728051815</v>
      </c>
      <c r="AT29" s="822"/>
      <c r="AU29" s="898">
        <f>-BE18/1000</f>
        <v>518.29999999999995</v>
      </c>
      <c r="AV29" s="898">
        <f>-BE19/1000</f>
        <v>518.29999999999995</v>
      </c>
      <c r="AW29" s="35" t="s">
        <v>832</v>
      </c>
      <c r="AX29" s="35"/>
      <c r="AY29" s="880"/>
    </row>
    <row r="30" spans="1:62">
      <c r="A30" s="303">
        <v>2021</v>
      </c>
      <c r="B30" s="304">
        <f ca="1">IF($D$3="BAU",UtilityDemand!C23,INDIRECT($D$3&amp;"!B"&amp;ROW(A30))+INDIRECT($D$3&amp;"!D"&amp;ROW(A30)))</f>
        <v>150134.48002583507</v>
      </c>
      <c r="C30" s="305">
        <v>0</v>
      </c>
      <c r="D30" s="306">
        <f t="shared" ca="1" si="10"/>
        <v>0</v>
      </c>
      <c r="E30" s="304">
        <f ca="1">IF($D$3="BAU",UtilityDemand!E23,INDIRECT($D$3&amp;"!E"&amp;ROW(D30))+INDIRECT($D$3&amp;"!G"&amp;ROW(D30)))</f>
        <v>800262.06966493546</v>
      </c>
      <c r="F30" s="305">
        <v>0</v>
      </c>
      <c r="G30" s="306">
        <f t="shared" ca="1" si="11"/>
        <v>0</v>
      </c>
      <c r="H30" s="304">
        <f ca="1">IF($D$3="BAU",UtilityDemand!G23,INDIRECT($D$3&amp;"!H"&amp;ROW(G30))+INDIRECT($D$3&amp;"!J"&amp;ROW(G30)))</f>
        <v>219040.46792328163</v>
      </c>
      <c r="I30" s="305">
        <v>0</v>
      </c>
      <c r="J30" s="306">
        <f t="shared" ca="1" si="24"/>
        <v>0</v>
      </c>
      <c r="K30" s="307">
        <f t="shared" ca="1" si="12"/>
        <v>150134.48002583507</v>
      </c>
      <c r="L30" s="307">
        <f t="shared" si="25"/>
        <v>1036.5999999999999</v>
      </c>
      <c r="M30" s="307">
        <v>0</v>
      </c>
      <c r="N30" s="307">
        <f t="shared" ca="1" si="14"/>
        <v>151171.08002583508</v>
      </c>
      <c r="O30" s="306">
        <f t="shared" ca="1" si="15"/>
        <v>800262.06966493546</v>
      </c>
      <c r="P30" s="306">
        <f t="shared" si="16"/>
        <v>-19465</v>
      </c>
      <c r="Q30" s="306">
        <f t="shared" si="26"/>
        <v>19465</v>
      </c>
      <c r="R30" s="306">
        <f t="shared" ca="1" si="17"/>
        <v>780797.06966493546</v>
      </c>
      <c r="S30" s="818">
        <f t="shared" ca="1" si="18"/>
        <v>219040.46792328163</v>
      </c>
      <c r="T30" s="818">
        <f t="shared" si="19"/>
        <v>0</v>
      </c>
      <c r="U30" s="818">
        <v>0</v>
      </c>
      <c r="V30" s="818">
        <f t="shared" ca="1" si="20"/>
        <v>219040.46792328163</v>
      </c>
      <c r="W30" s="306">
        <f t="shared" si="2"/>
        <v>0</v>
      </c>
      <c r="X30" s="306">
        <f t="shared" ca="1" si="3"/>
        <v>-1361.6171263411916</v>
      </c>
      <c r="Y30" s="306">
        <v>0</v>
      </c>
      <c r="Z30" s="306">
        <v>0</v>
      </c>
      <c r="AA30" s="308">
        <f ca="1">-SUM(W30,X30/OFFSET(GridFootprintbyYear,$A30-$A$19,0)*EF_PurchElec_MTperMWh,Z30)*OFFSET(ExposureCalculations!Price_GHG_Allowance_2010,A30-$A$19,0)*ExposureCalculations!D27</f>
        <v>28399.236720083652</v>
      </c>
      <c r="AB30" s="308">
        <v>0</v>
      </c>
      <c r="AC30" s="308">
        <f t="shared" ca="1" si="4"/>
        <v>-93080.093215117187</v>
      </c>
      <c r="AD30" s="819">
        <f t="shared" ca="1" si="5"/>
        <v>227502.70934963643</v>
      </c>
      <c r="AE30" s="308">
        <v>0</v>
      </c>
      <c r="AF30" s="819">
        <f t="shared" ca="1" si="6"/>
        <v>0</v>
      </c>
      <c r="AG30" s="308">
        <v>0</v>
      </c>
      <c r="AH30" s="308">
        <v>0</v>
      </c>
      <c r="AI30" s="308">
        <v>0</v>
      </c>
      <c r="AJ30" s="308">
        <f t="shared" ca="1" si="7"/>
        <v>134422.61613451922</v>
      </c>
      <c r="AK30" s="309">
        <v>0</v>
      </c>
      <c r="AL30" s="309">
        <v>0</v>
      </c>
      <c r="AM30" s="309">
        <f t="shared" si="21"/>
        <v>0</v>
      </c>
      <c r="AN30" s="310">
        <v>0</v>
      </c>
      <c r="AO30" s="310">
        <f t="shared" si="27"/>
        <v>-30000</v>
      </c>
      <c r="AP30" s="310">
        <f t="shared" si="22"/>
        <v>-30000</v>
      </c>
      <c r="AQ30" s="309">
        <v>0</v>
      </c>
      <c r="AR30" s="311">
        <f t="shared" ca="1" si="8"/>
        <v>132821.85285460288</v>
      </c>
      <c r="AS30" s="870">
        <f t="shared" ca="1" si="23"/>
        <v>-763006.7444259153</v>
      </c>
      <c r="AT30" s="822"/>
      <c r="AU30" s="878"/>
      <c r="AV30" s="878"/>
      <c r="AW30" s="35"/>
      <c r="AX30" s="35"/>
      <c r="AY30" s="880"/>
    </row>
    <row r="31" spans="1:62">
      <c r="A31" s="303">
        <v>2022</v>
      </c>
      <c r="B31" s="304">
        <f ca="1">IF($D$3="BAU",UtilityDemand!C24,INDIRECT($D$3&amp;"!B"&amp;ROW(A31))+INDIRECT($D$3&amp;"!D"&amp;ROW(A31)))</f>
        <v>151711.10562668712</v>
      </c>
      <c r="C31" s="305">
        <v>0</v>
      </c>
      <c r="D31" s="306">
        <f t="shared" ca="1" si="10"/>
        <v>0</v>
      </c>
      <c r="E31" s="304">
        <f ca="1">IF($D$3="BAU",UtilityDemand!E24,INDIRECT($D$3&amp;"!E"&amp;ROW(D31))+INDIRECT($D$3&amp;"!G"&amp;ROW(D31)))</f>
        <v>808648.668794611</v>
      </c>
      <c r="F31" s="305">
        <v>0</v>
      </c>
      <c r="G31" s="306">
        <f t="shared" ca="1" si="11"/>
        <v>0</v>
      </c>
      <c r="H31" s="304">
        <f ca="1">IF($D$3="BAU",UtilityDemand!G24,INDIRECT($D$3&amp;"!H"&amp;ROW(G31))+INDIRECT($D$3&amp;"!J"&amp;ROW(G31)))</f>
        <v>222105.00248588528</v>
      </c>
      <c r="I31" s="305">
        <v>0</v>
      </c>
      <c r="J31" s="306">
        <f t="shared" ca="1" si="24"/>
        <v>0</v>
      </c>
      <c r="K31" s="307">
        <f t="shared" ca="1" si="12"/>
        <v>151711.10562668712</v>
      </c>
      <c r="L31" s="307">
        <f t="shared" si="25"/>
        <v>1036.5999999999999</v>
      </c>
      <c r="M31" s="307">
        <v>0</v>
      </c>
      <c r="N31" s="307">
        <f t="shared" ca="1" si="14"/>
        <v>152747.70562668712</v>
      </c>
      <c r="O31" s="306">
        <f t="shared" ca="1" si="15"/>
        <v>808648.668794611</v>
      </c>
      <c r="P31" s="306">
        <f t="shared" si="16"/>
        <v>-19465</v>
      </c>
      <c r="Q31" s="306">
        <f t="shared" si="26"/>
        <v>19465</v>
      </c>
      <c r="R31" s="306">
        <f t="shared" ca="1" si="17"/>
        <v>789183.668794611</v>
      </c>
      <c r="S31" s="818">
        <f t="shared" ca="1" si="18"/>
        <v>222105.00248588528</v>
      </c>
      <c r="T31" s="818">
        <f t="shared" si="19"/>
        <v>0</v>
      </c>
      <c r="U31" s="818">
        <v>0</v>
      </c>
      <c r="V31" s="818">
        <f t="shared" ca="1" si="20"/>
        <v>222105.00248588528</v>
      </c>
      <c r="W31" s="306">
        <f t="shared" si="2"/>
        <v>0</v>
      </c>
      <c r="X31" s="306">
        <f t="shared" ca="1" si="3"/>
        <v>-1361.6171263411916</v>
      </c>
      <c r="Y31" s="306">
        <v>0</v>
      </c>
      <c r="Z31" s="306">
        <v>0</v>
      </c>
      <c r="AA31" s="308">
        <f ca="1">-SUM(W31,X31/OFFSET(GridFootprintbyYear,$A31-$A$19,0)*EF_PurchElec_MTperMWh,Z31)*OFFSET(ExposureCalculations!Price_GHG_Allowance_2010,A31-$A$19,0)*ExposureCalculations!D28</f>
        <v>31415.005882641046</v>
      </c>
      <c r="AB31" s="308">
        <v>0</v>
      </c>
      <c r="AC31" s="308">
        <f t="shared" ca="1" si="4"/>
        <v>-93545.493681192733</v>
      </c>
      <c r="AD31" s="819">
        <f t="shared" ca="1" si="5"/>
        <v>228640.22289638451</v>
      </c>
      <c r="AE31" s="308">
        <v>0</v>
      </c>
      <c r="AF31" s="819">
        <f t="shared" ca="1" si="6"/>
        <v>0</v>
      </c>
      <c r="AG31" s="308">
        <v>0</v>
      </c>
      <c r="AH31" s="308">
        <v>0</v>
      </c>
      <c r="AI31" s="308">
        <v>0</v>
      </c>
      <c r="AJ31" s="308">
        <f t="shared" ca="1" si="7"/>
        <v>135094.72921519179</v>
      </c>
      <c r="AK31" s="309">
        <v>0</v>
      </c>
      <c r="AL31" s="309">
        <v>0</v>
      </c>
      <c r="AM31" s="309">
        <f t="shared" si="21"/>
        <v>0</v>
      </c>
      <c r="AN31" s="310">
        <v>0</v>
      </c>
      <c r="AO31" s="310">
        <f t="shared" si="27"/>
        <v>-30000</v>
      </c>
      <c r="AP31" s="310">
        <f t="shared" si="22"/>
        <v>-30000</v>
      </c>
      <c r="AQ31" s="309">
        <v>0</v>
      </c>
      <c r="AR31" s="311">
        <f t="shared" ca="1" si="8"/>
        <v>136509.73509783283</v>
      </c>
      <c r="AS31" s="870">
        <f t="shared" ca="1" si="23"/>
        <v>-626497.00932808244</v>
      </c>
      <c r="AT31" s="822"/>
      <c r="AU31" s="910">
        <f>Factors!B27</f>
        <v>0.85</v>
      </c>
      <c r="AV31" s="910">
        <f>AU31</f>
        <v>0.85</v>
      </c>
      <c r="AW31" s="1206" t="s">
        <v>833</v>
      </c>
      <c r="AX31" s="35"/>
      <c r="AY31" s="880"/>
    </row>
    <row r="32" spans="1:62">
      <c r="A32" s="303">
        <v>2023</v>
      </c>
      <c r="B32" s="304">
        <f ca="1">IF($D$3="BAU",UtilityDemand!C25,INDIRECT($D$3&amp;"!B"&amp;ROW(A32))+INDIRECT($D$3&amp;"!D"&amp;ROW(A32)))</f>
        <v>153287.73122753916</v>
      </c>
      <c r="C32" s="305">
        <v>0</v>
      </c>
      <c r="D32" s="306">
        <f t="shared" ca="1" si="10"/>
        <v>0</v>
      </c>
      <c r="E32" s="304">
        <f ca="1">IF($D$3="BAU",UtilityDemand!E25,INDIRECT($D$3&amp;"!E"&amp;ROW(D32))+INDIRECT($D$3&amp;"!G"&amp;ROW(D32)))</f>
        <v>817035.26792428643</v>
      </c>
      <c r="F32" s="305">
        <v>0</v>
      </c>
      <c r="G32" s="306">
        <f t="shared" ca="1" si="11"/>
        <v>0</v>
      </c>
      <c r="H32" s="304">
        <f ca="1">IF($D$3="BAU",UtilityDemand!G25,INDIRECT($D$3&amp;"!H"&amp;ROW(G32))+INDIRECT($D$3&amp;"!J"&amp;ROW(G32)))</f>
        <v>225169.537048489</v>
      </c>
      <c r="I32" s="305">
        <v>0</v>
      </c>
      <c r="J32" s="306">
        <f t="shared" ca="1" si="24"/>
        <v>0</v>
      </c>
      <c r="K32" s="307">
        <f t="shared" ca="1" si="12"/>
        <v>153287.73122753916</v>
      </c>
      <c r="L32" s="307">
        <f t="shared" si="25"/>
        <v>1036.5999999999999</v>
      </c>
      <c r="M32" s="307">
        <v>0</v>
      </c>
      <c r="N32" s="307">
        <f t="shared" ca="1" si="14"/>
        <v>154324.33122753917</v>
      </c>
      <c r="O32" s="306">
        <f t="shared" ca="1" si="15"/>
        <v>817035.26792428643</v>
      </c>
      <c r="P32" s="306">
        <f t="shared" si="16"/>
        <v>-19465</v>
      </c>
      <c r="Q32" s="306">
        <f t="shared" si="26"/>
        <v>19465</v>
      </c>
      <c r="R32" s="306">
        <f t="shared" ca="1" si="17"/>
        <v>797570.26792428643</v>
      </c>
      <c r="S32" s="818">
        <f t="shared" ca="1" si="18"/>
        <v>225169.537048489</v>
      </c>
      <c r="T32" s="818">
        <f t="shared" si="19"/>
        <v>0</v>
      </c>
      <c r="U32" s="818">
        <v>0</v>
      </c>
      <c r="V32" s="818">
        <f t="shared" ca="1" si="20"/>
        <v>225169.537048489</v>
      </c>
      <c r="W32" s="306">
        <f t="shared" si="2"/>
        <v>0</v>
      </c>
      <c r="X32" s="306">
        <f t="shared" ca="1" si="3"/>
        <v>-1361.6171263411916</v>
      </c>
      <c r="Y32" s="306">
        <v>0</v>
      </c>
      <c r="Z32" s="306">
        <v>0</v>
      </c>
      <c r="AA32" s="308">
        <f ca="1">-SUM(W32,X32/OFFSET(GridFootprintbyYear,$A32-$A$19,0)*EF_PurchElec_MTperMWh,Z32)*OFFSET(ExposureCalculations!Price_GHG_Allowance_2010,A32-$A$19,0)*ExposureCalculations!D29</f>
        <v>34538.312700814487</v>
      </c>
      <c r="AB32" s="308">
        <v>0</v>
      </c>
      <c r="AC32" s="308">
        <f t="shared" ca="1" si="4"/>
        <v>-94013.221149598699</v>
      </c>
      <c r="AD32" s="819">
        <f t="shared" ca="1" si="5"/>
        <v>229783.42401086641</v>
      </c>
      <c r="AE32" s="308">
        <v>0</v>
      </c>
      <c r="AF32" s="819">
        <f t="shared" ca="1" si="6"/>
        <v>0</v>
      </c>
      <c r="AG32" s="308">
        <v>0</v>
      </c>
      <c r="AH32" s="308">
        <v>0</v>
      </c>
      <c r="AI32" s="308">
        <v>0</v>
      </c>
      <c r="AJ32" s="308">
        <f t="shared" ca="1" si="7"/>
        <v>135770.20286126772</v>
      </c>
      <c r="AK32" s="309">
        <v>0</v>
      </c>
      <c r="AL32" s="309">
        <v>0</v>
      </c>
      <c r="AM32" s="309">
        <f t="shared" si="21"/>
        <v>0</v>
      </c>
      <c r="AN32" s="310">
        <v>0</v>
      </c>
      <c r="AO32" s="310">
        <f t="shared" si="27"/>
        <v>-30000</v>
      </c>
      <c r="AP32" s="310">
        <f t="shared" si="22"/>
        <v>-30000</v>
      </c>
      <c r="AQ32" s="309">
        <v>0</v>
      </c>
      <c r="AR32" s="311">
        <f t="shared" ca="1" si="8"/>
        <v>140308.5155620822</v>
      </c>
      <c r="AS32" s="870">
        <f t="shared" ca="1" si="23"/>
        <v>-486188.49376600026</v>
      </c>
      <c r="AT32" s="822"/>
      <c r="AU32" s="907"/>
      <c r="AV32" s="907"/>
      <c r="AW32" s="35"/>
      <c r="AX32" s="35"/>
      <c r="AY32" s="880"/>
    </row>
    <row r="33" spans="1:51">
      <c r="A33" s="303">
        <v>2024</v>
      </c>
      <c r="B33" s="304">
        <f ca="1">IF($D$3="BAU",UtilityDemand!C26,INDIRECT($D$3&amp;"!B"&amp;ROW(A33))+INDIRECT($D$3&amp;"!D"&amp;ROW(A33)))</f>
        <v>154864.35682839117</v>
      </c>
      <c r="C33" s="305">
        <v>0</v>
      </c>
      <c r="D33" s="306">
        <f t="shared" ca="1" si="10"/>
        <v>0</v>
      </c>
      <c r="E33" s="304">
        <f ca="1">IF($D$3="BAU",UtilityDemand!E26,INDIRECT($D$3&amp;"!E"&amp;ROW(D33))+INDIRECT($D$3&amp;"!G"&amp;ROW(D33)))</f>
        <v>825421.86705396173</v>
      </c>
      <c r="F33" s="305">
        <v>0</v>
      </c>
      <c r="G33" s="306">
        <f t="shared" ca="1" si="11"/>
        <v>0</v>
      </c>
      <c r="H33" s="304">
        <f ca="1">IF($D$3="BAU",UtilityDemand!G26,INDIRECT($D$3&amp;"!H"&amp;ROW(G33))+INDIRECT($D$3&amp;"!J"&amp;ROW(G33)))</f>
        <v>228234.07161109266</v>
      </c>
      <c r="I33" s="305">
        <v>0</v>
      </c>
      <c r="J33" s="306">
        <f t="shared" ca="1" si="24"/>
        <v>0</v>
      </c>
      <c r="K33" s="307">
        <f t="shared" ca="1" si="12"/>
        <v>154864.35682839117</v>
      </c>
      <c r="L33" s="307">
        <f t="shared" si="25"/>
        <v>1036.5999999999999</v>
      </c>
      <c r="M33" s="307">
        <v>0</v>
      </c>
      <c r="N33" s="307">
        <f t="shared" ca="1" si="14"/>
        <v>155900.95682839118</v>
      </c>
      <c r="O33" s="306">
        <f t="shared" ca="1" si="15"/>
        <v>825421.86705396173</v>
      </c>
      <c r="P33" s="306">
        <f t="shared" si="16"/>
        <v>-19465</v>
      </c>
      <c r="Q33" s="306">
        <f t="shared" si="26"/>
        <v>19465</v>
      </c>
      <c r="R33" s="306">
        <f t="shared" ca="1" si="17"/>
        <v>805956.86705396173</v>
      </c>
      <c r="S33" s="818">
        <f t="shared" ca="1" si="18"/>
        <v>228234.07161109266</v>
      </c>
      <c r="T33" s="818">
        <f t="shared" si="19"/>
        <v>0</v>
      </c>
      <c r="U33" s="818">
        <v>0</v>
      </c>
      <c r="V33" s="818">
        <f t="shared" ca="1" si="20"/>
        <v>228234.07161109266</v>
      </c>
      <c r="W33" s="306">
        <f t="shared" si="2"/>
        <v>0</v>
      </c>
      <c r="X33" s="306">
        <f t="shared" ca="1" si="3"/>
        <v>-1361.6171263411916</v>
      </c>
      <c r="Y33" s="306">
        <v>0</v>
      </c>
      <c r="Z33" s="306">
        <v>0</v>
      </c>
      <c r="AA33" s="308">
        <f ca="1">-SUM(W33,X33/OFFSET(GridFootprintbyYear,$A33-$A$19,0)*EF_PurchElec_MTperMWh,Z33)*OFFSET(ExposureCalculations!Price_GHG_Allowance_2010,A33-$A$19,0)*ExposureCalculations!D30</f>
        <v>37764.669867132485</v>
      </c>
      <c r="AB33" s="308">
        <v>0</v>
      </c>
      <c r="AC33" s="308">
        <f t="shared" ca="1" si="4"/>
        <v>-94483.287255346673</v>
      </c>
      <c r="AD33" s="819">
        <f t="shared" ca="1" si="5"/>
        <v>230932.34113092071</v>
      </c>
      <c r="AE33" s="308">
        <v>0</v>
      </c>
      <c r="AF33" s="819">
        <f t="shared" ca="1" si="6"/>
        <v>0</v>
      </c>
      <c r="AG33" s="308">
        <v>0</v>
      </c>
      <c r="AH33" s="308">
        <v>0</v>
      </c>
      <c r="AI33" s="308">
        <v>0</v>
      </c>
      <c r="AJ33" s="308">
        <f t="shared" ca="1" si="7"/>
        <v>136449.05387557403</v>
      </c>
      <c r="AK33" s="309">
        <v>0</v>
      </c>
      <c r="AL33" s="309">
        <v>0</v>
      </c>
      <c r="AM33" s="309">
        <f t="shared" si="21"/>
        <v>0</v>
      </c>
      <c r="AN33" s="310">
        <v>0</v>
      </c>
      <c r="AO33" s="310">
        <f t="shared" si="27"/>
        <v>-30000</v>
      </c>
      <c r="AP33" s="310">
        <f t="shared" si="22"/>
        <v>-30000</v>
      </c>
      <c r="AQ33" s="309">
        <v>0</v>
      </c>
      <c r="AR33" s="311">
        <f t="shared" ca="1" si="8"/>
        <v>144213.72374270653</v>
      </c>
      <c r="AS33" s="870">
        <f t="shared" ca="1" si="23"/>
        <v>-341974.77002329373</v>
      </c>
      <c r="AT33" s="822"/>
      <c r="AU33" s="898">
        <f>AU27*AU31</f>
        <v>9732.5</v>
      </c>
      <c r="AV33" s="898">
        <f>AV27*AV31</f>
        <v>9732.5</v>
      </c>
      <c r="AW33" s="35" t="s">
        <v>666</v>
      </c>
      <c r="AX33" s="35"/>
      <c r="AY33" s="880"/>
    </row>
    <row r="34" spans="1:51">
      <c r="A34" s="303">
        <v>2025</v>
      </c>
      <c r="B34" s="304">
        <f ca="1">IF($D$3="BAU",UtilityDemand!C27,INDIRECT($D$3&amp;"!B"&amp;ROW(A34))+INDIRECT($D$3&amp;"!D"&amp;ROW(A34)))</f>
        <v>156440.98242924322</v>
      </c>
      <c r="C34" s="305">
        <v>0</v>
      </c>
      <c r="D34" s="306">
        <f t="shared" ca="1" si="10"/>
        <v>0</v>
      </c>
      <c r="E34" s="304">
        <f ca="1">IF($D$3="BAU",UtilityDemand!E27,INDIRECT($D$3&amp;"!E"&amp;ROW(D34))+INDIRECT($D$3&amp;"!G"&amp;ROW(D34)))</f>
        <v>833808.46618363715</v>
      </c>
      <c r="F34" s="305">
        <v>0</v>
      </c>
      <c r="G34" s="306">
        <f t="shared" ca="1" si="11"/>
        <v>0</v>
      </c>
      <c r="H34" s="304">
        <f ca="1">IF($D$3="BAU",UtilityDemand!G27,INDIRECT($D$3&amp;"!H"&amp;ROW(G34))+INDIRECT($D$3&amp;"!J"&amp;ROW(G34)))</f>
        <v>231298.6061736964</v>
      </c>
      <c r="I34" s="305">
        <v>0</v>
      </c>
      <c r="J34" s="306">
        <f t="shared" ca="1" si="24"/>
        <v>0</v>
      </c>
      <c r="K34" s="307">
        <f t="shared" ca="1" si="12"/>
        <v>156440.98242924322</v>
      </c>
      <c r="L34" s="307">
        <f t="shared" si="25"/>
        <v>1036.5999999999999</v>
      </c>
      <c r="M34" s="307">
        <v>0</v>
      </c>
      <c r="N34" s="307">
        <f t="shared" ca="1" si="14"/>
        <v>157477.58242924322</v>
      </c>
      <c r="O34" s="306">
        <f t="shared" ca="1" si="15"/>
        <v>833808.46618363715</v>
      </c>
      <c r="P34" s="306">
        <f t="shared" si="16"/>
        <v>-19465</v>
      </c>
      <c r="Q34" s="306">
        <f t="shared" si="26"/>
        <v>19465</v>
      </c>
      <c r="R34" s="306">
        <f t="shared" ca="1" si="17"/>
        <v>814343.46618363715</v>
      </c>
      <c r="S34" s="818">
        <f t="shared" ca="1" si="18"/>
        <v>231298.6061736964</v>
      </c>
      <c r="T34" s="818">
        <f t="shared" si="19"/>
        <v>0</v>
      </c>
      <c r="U34" s="818">
        <v>0</v>
      </c>
      <c r="V34" s="818">
        <f t="shared" ca="1" si="20"/>
        <v>231298.6061736964</v>
      </c>
      <c r="W34" s="306">
        <f t="shared" si="2"/>
        <v>0</v>
      </c>
      <c r="X34" s="306">
        <f t="shared" ca="1" si="3"/>
        <v>-1361.6171263411916</v>
      </c>
      <c r="Y34" s="306">
        <v>0</v>
      </c>
      <c r="Z34" s="306">
        <v>0</v>
      </c>
      <c r="AA34" s="308">
        <f ca="1">-SUM(W34,X34/OFFSET(GridFootprintbyYear,$A34-$A$19,0)*EF_PurchElec_MTperMWh,Z34)*OFFSET(ExposureCalculations!Price_GHG_Allowance_2010,A34-$A$19,0)*ExposureCalculations!D31</f>
        <v>41089.621325193148</v>
      </c>
      <c r="AB34" s="308">
        <v>0</v>
      </c>
      <c r="AC34" s="308">
        <f t="shared" ca="1" si="4"/>
        <v>-94955.703691623392</v>
      </c>
      <c r="AD34" s="819">
        <f t="shared" ca="1" si="5"/>
        <v>232087.0028365753</v>
      </c>
      <c r="AE34" s="308">
        <v>0</v>
      </c>
      <c r="AF34" s="819">
        <f t="shared" ca="1" si="6"/>
        <v>0</v>
      </c>
      <c r="AG34" s="308">
        <v>0</v>
      </c>
      <c r="AH34" s="308">
        <v>0</v>
      </c>
      <c r="AI34" s="308">
        <v>0</v>
      </c>
      <c r="AJ34" s="308">
        <f t="shared" ca="1" si="7"/>
        <v>137131.29914495192</v>
      </c>
      <c r="AK34" s="309">
        <v>0</v>
      </c>
      <c r="AL34" s="309">
        <v>0</v>
      </c>
      <c r="AM34" s="309">
        <f t="shared" si="21"/>
        <v>0</v>
      </c>
      <c r="AN34" s="310">
        <v>0</v>
      </c>
      <c r="AO34" s="310">
        <f t="shared" si="27"/>
        <v>-30000</v>
      </c>
      <c r="AP34" s="310">
        <f t="shared" si="22"/>
        <v>-30000</v>
      </c>
      <c r="AQ34" s="309">
        <v>0</v>
      </c>
      <c r="AR34" s="311">
        <f t="shared" ca="1" si="8"/>
        <v>148220.92047014507</v>
      </c>
      <c r="AS34" s="870">
        <f t="shared" ca="1" si="23"/>
        <v>-193753.84955314867</v>
      </c>
      <c r="AT34" s="822"/>
      <c r="AU34" s="878"/>
      <c r="AV34" s="35"/>
      <c r="AW34" s="879"/>
      <c r="AX34" s="35"/>
      <c r="AY34" s="880"/>
    </row>
    <row r="35" spans="1:51">
      <c r="A35" s="303">
        <v>2026</v>
      </c>
      <c r="B35" s="304">
        <f ca="1">IF($D$3="BAU",UtilityDemand!C28,INDIRECT($D$3&amp;"!B"&amp;ROW(A35))+INDIRECT($D$3&amp;"!D"&amp;ROW(A35)))</f>
        <v>158017.60803009526</v>
      </c>
      <c r="C35" s="305">
        <v>0</v>
      </c>
      <c r="D35" s="306">
        <f t="shared" ca="1" si="10"/>
        <v>0</v>
      </c>
      <c r="E35" s="304">
        <f ca="1">IF($D$3="BAU",UtilityDemand!E28,INDIRECT($D$3&amp;"!E"&amp;ROW(D35))+INDIRECT($D$3&amp;"!G"&amp;ROW(D35)))</f>
        <v>842195.06531331246</v>
      </c>
      <c r="F35" s="305">
        <v>0</v>
      </c>
      <c r="G35" s="306">
        <f t="shared" ca="1" si="11"/>
        <v>0</v>
      </c>
      <c r="H35" s="304">
        <f ca="1">IF($D$3="BAU",UtilityDemand!G28,INDIRECT($D$3&amp;"!H"&amp;ROW(G35))+INDIRECT($D$3&amp;"!J"&amp;ROW(G35)))</f>
        <v>234363.14073630009</v>
      </c>
      <c r="I35" s="305">
        <v>0</v>
      </c>
      <c r="J35" s="306">
        <f t="shared" ca="1" si="24"/>
        <v>0</v>
      </c>
      <c r="K35" s="307">
        <f t="shared" ca="1" si="12"/>
        <v>158017.60803009526</v>
      </c>
      <c r="L35" s="307">
        <f t="shared" si="25"/>
        <v>1036.5999999999999</v>
      </c>
      <c r="M35" s="307">
        <v>0</v>
      </c>
      <c r="N35" s="307">
        <f t="shared" ca="1" si="14"/>
        <v>159054.20803009527</v>
      </c>
      <c r="O35" s="306">
        <f t="shared" ca="1" si="15"/>
        <v>842195.06531331246</v>
      </c>
      <c r="P35" s="306">
        <f t="shared" si="16"/>
        <v>-19465</v>
      </c>
      <c r="Q35" s="306">
        <f t="shared" si="26"/>
        <v>19465</v>
      </c>
      <c r="R35" s="306">
        <f t="shared" ca="1" si="17"/>
        <v>822730.06531331246</v>
      </c>
      <c r="S35" s="818">
        <f t="shared" ca="1" si="18"/>
        <v>234363.14073630009</v>
      </c>
      <c r="T35" s="818">
        <f t="shared" si="19"/>
        <v>0</v>
      </c>
      <c r="U35" s="818">
        <v>0</v>
      </c>
      <c r="V35" s="818">
        <f t="shared" ca="1" si="20"/>
        <v>234363.14073630009</v>
      </c>
      <c r="W35" s="306">
        <f t="shared" si="2"/>
        <v>0</v>
      </c>
      <c r="X35" s="306">
        <f t="shared" ca="1" si="3"/>
        <v>-1361.6171263411916</v>
      </c>
      <c r="Y35" s="306">
        <v>0</v>
      </c>
      <c r="Z35" s="306">
        <v>0</v>
      </c>
      <c r="AA35" s="308">
        <f ca="1">-SUM(W35,X35/OFFSET(GridFootprintbyYear,$A35-$A$19,0)*EF_PurchElec_MTperMWh,Z35)*OFFSET(ExposureCalculations!Price_GHG_Allowance_2010,A35-$A$19,0)*ExposureCalculations!D32</f>
        <v>44848.218897360537</v>
      </c>
      <c r="AB35" s="308">
        <v>0</v>
      </c>
      <c r="AC35" s="308">
        <f t="shared" ca="1" si="4"/>
        <v>-95430.482210081493</v>
      </c>
      <c r="AD35" s="819">
        <f t="shared" ca="1" si="5"/>
        <v>233247.43785075808</v>
      </c>
      <c r="AE35" s="308">
        <v>0</v>
      </c>
      <c r="AF35" s="819">
        <f t="shared" ca="1" si="6"/>
        <v>0</v>
      </c>
      <c r="AG35" s="308">
        <v>0</v>
      </c>
      <c r="AH35" s="308">
        <v>0</v>
      </c>
      <c r="AI35" s="308">
        <v>0</v>
      </c>
      <c r="AJ35" s="308">
        <f t="shared" ca="1" si="7"/>
        <v>137816.95564067661</v>
      </c>
      <c r="AK35" s="309">
        <v>0</v>
      </c>
      <c r="AL35" s="309">
        <v>0</v>
      </c>
      <c r="AM35" s="309">
        <f t="shared" si="21"/>
        <v>0</v>
      </c>
      <c r="AN35" s="310">
        <v>0</v>
      </c>
      <c r="AO35" s="310">
        <f t="shared" si="27"/>
        <v>-30000</v>
      </c>
      <c r="AP35" s="310">
        <f t="shared" si="22"/>
        <v>-30000</v>
      </c>
      <c r="AQ35" s="309">
        <v>0</v>
      </c>
      <c r="AR35" s="311">
        <f t="shared" ca="1" si="8"/>
        <v>152665.17453803716</v>
      </c>
      <c r="AS35" s="870">
        <f t="shared" ca="1" si="23"/>
        <v>-41088.675015111512</v>
      </c>
      <c r="AT35" s="822"/>
      <c r="AU35" s="907"/>
      <c r="AV35" s="35"/>
      <c r="AW35" s="879"/>
      <c r="AX35" s="35"/>
      <c r="AY35" s="880"/>
    </row>
    <row r="36" spans="1:51">
      <c r="A36" s="303">
        <v>2027</v>
      </c>
      <c r="B36" s="304">
        <f ca="1">IF($D$3="BAU",UtilityDemand!C29,INDIRECT($D$3&amp;"!B"&amp;ROW(A36))+INDIRECT($D$3&amp;"!D"&amp;ROW(A36)))</f>
        <v>159594.23363094722</v>
      </c>
      <c r="C36" s="305">
        <v>0</v>
      </c>
      <c r="D36" s="306">
        <f t="shared" ca="1" si="10"/>
        <v>0</v>
      </c>
      <c r="E36" s="304">
        <f ca="1">IF($D$3="BAU",UtilityDemand!E29,INDIRECT($D$3&amp;"!E"&amp;ROW(D36))+INDIRECT($D$3&amp;"!G"&amp;ROW(D36)))</f>
        <v>850581.66444298776</v>
      </c>
      <c r="F36" s="305">
        <v>0</v>
      </c>
      <c r="G36" s="306">
        <f t="shared" ca="1" si="11"/>
        <v>0</v>
      </c>
      <c r="H36" s="304">
        <f ca="1">IF($D$3="BAU",UtilityDemand!G29,INDIRECT($D$3&amp;"!H"&amp;ROW(G36))+INDIRECT($D$3&amp;"!J"&amp;ROW(G36)))</f>
        <v>237427.67529890378</v>
      </c>
      <c r="I36" s="305">
        <v>0</v>
      </c>
      <c r="J36" s="306">
        <f t="shared" ca="1" si="24"/>
        <v>0</v>
      </c>
      <c r="K36" s="307">
        <f t="shared" ca="1" si="12"/>
        <v>159594.23363094722</v>
      </c>
      <c r="L36" s="307">
        <f t="shared" si="25"/>
        <v>1036.5999999999999</v>
      </c>
      <c r="M36" s="307">
        <v>0</v>
      </c>
      <c r="N36" s="307">
        <f t="shared" ca="1" si="14"/>
        <v>160630.83363094722</v>
      </c>
      <c r="O36" s="306">
        <f t="shared" ca="1" si="15"/>
        <v>850581.66444298776</v>
      </c>
      <c r="P36" s="306">
        <f t="shared" si="16"/>
        <v>-19465</v>
      </c>
      <c r="Q36" s="306">
        <f t="shared" si="26"/>
        <v>19465</v>
      </c>
      <c r="R36" s="306">
        <f t="shared" ca="1" si="17"/>
        <v>831116.66444298776</v>
      </c>
      <c r="S36" s="818">
        <f t="shared" ca="1" si="18"/>
        <v>237427.67529890378</v>
      </c>
      <c r="T36" s="818">
        <f t="shared" si="19"/>
        <v>0</v>
      </c>
      <c r="U36" s="818">
        <v>0</v>
      </c>
      <c r="V36" s="818">
        <f t="shared" ca="1" si="20"/>
        <v>237427.67529890378</v>
      </c>
      <c r="W36" s="306">
        <f t="shared" si="2"/>
        <v>0</v>
      </c>
      <c r="X36" s="306">
        <f t="shared" ca="1" si="3"/>
        <v>-1361.6171263411916</v>
      </c>
      <c r="Y36" s="306">
        <v>0</v>
      </c>
      <c r="Z36" s="306">
        <v>0</v>
      </c>
      <c r="AA36" s="308">
        <f ca="1">-SUM(W36,X36/OFFSET(GridFootprintbyYear,$A36-$A$19,0)*EF_PurchElec_MTperMWh,Z36)*OFFSET(ExposureCalculations!Price_GHG_Allowance_2010,A36-$A$19,0)*ExposureCalculations!D33</f>
        <v>48723.507201264758</v>
      </c>
      <c r="AB36" s="308">
        <v>0</v>
      </c>
      <c r="AC36" s="308">
        <f t="shared" ca="1" si="4"/>
        <v>-95907.634621131889</v>
      </c>
      <c r="AD36" s="819">
        <f t="shared" ca="1" si="5"/>
        <v>234413.67504001185</v>
      </c>
      <c r="AE36" s="308">
        <v>0</v>
      </c>
      <c r="AF36" s="819">
        <f t="shared" ca="1" si="6"/>
        <v>0</v>
      </c>
      <c r="AG36" s="308">
        <v>0</v>
      </c>
      <c r="AH36" s="308">
        <v>0</v>
      </c>
      <c r="AI36" s="308">
        <v>0</v>
      </c>
      <c r="AJ36" s="308">
        <f t="shared" ca="1" si="7"/>
        <v>138506.04041887994</v>
      </c>
      <c r="AK36" s="309">
        <v>0</v>
      </c>
      <c r="AL36" s="309">
        <v>0</v>
      </c>
      <c r="AM36" s="309">
        <f t="shared" si="21"/>
        <v>0</v>
      </c>
      <c r="AN36" s="310">
        <v>0</v>
      </c>
      <c r="AO36" s="310">
        <f t="shared" si="27"/>
        <v>-30000</v>
      </c>
      <c r="AP36" s="310">
        <f t="shared" si="22"/>
        <v>-30000</v>
      </c>
      <c r="AQ36" s="309">
        <v>0</v>
      </c>
      <c r="AR36" s="311">
        <f t="shared" ca="1" si="8"/>
        <v>157229.5476201447</v>
      </c>
      <c r="AS36" s="870">
        <f t="shared" ca="1" si="23"/>
        <v>116140.87260503319</v>
      </c>
      <c r="AT36" s="822"/>
      <c r="AU36" s="878"/>
      <c r="AV36" s="35"/>
      <c r="AW36" s="879"/>
      <c r="AX36" s="35"/>
      <c r="AY36" s="880"/>
    </row>
    <row r="37" spans="1:51">
      <c r="A37" s="303">
        <v>2028</v>
      </c>
      <c r="B37" s="304">
        <f ca="1">IF($D$3="BAU",UtilityDemand!C30,INDIRECT($D$3&amp;"!B"&amp;ROW(A37))+INDIRECT($D$3&amp;"!D"&amp;ROW(A37)))</f>
        <v>161170.85923179929</v>
      </c>
      <c r="C37" s="305">
        <v>0</v>
      </c>
      <c r="D37" s="306">
        <f t="shared" ca="1" si="10"/>
        <v>0</v>
      </c>
      <c r="E37" s="304">
        <f ca="1">IF($D$3="BAU",UtilityDemand!E30,INDIRECT($D$3&amp;"!E"&amp;ROW(D37))+INDIRECT($D$3&amp;"!G"&amp;ROW(D37)))</f>
        <v>858968.26357266307</v>
      </c>
      <c r="F37" s="305">
        <v>0</v>
      </c>
      <c r="G37" s="306">
        <f t="shared" ca="1" si="11"/>
        <v>0</v>
      </c>
      <c r="H37" s="304">
        <f ca="1">IF($D$3="BAU",UtilityDemand!G30,INDIRECT($D$3&amp;"!H"&amp;ROW(G37))+INDIRECT($D$3&amp;"!J"&amp;ROW(G37)))</f>
        <v>240492.20986150744</v>
      </c>
      <c r="I37" s="305">
        <v>0</v>
      </c>
      <c r="J37" s="306">
        <f t="shared" ca="1" si="24"/>
        <v>0</v>
      </c>
      <c r="K37" s="307">
        <f t="shared" ca="1" si="12"/>
        <v>161170.85923179929</v>
      </c>
      <c r="L37" s="307">
        <f t="shared" si="25"/>
        <v>1036.5999999999999</v>
      </c>
      <c r="M37" s="307">
        <v>0</v>
      </c>
      <c r="N37" s="307">
        <f t="shared" ca="1" si="14"/>
        <v>162207.45923179929</v>
      </c>
      <c r="O37" s="306">
        <f t="shared" ca="1" si="15"/>
        <v>858968.26357266307</v>
      </c>
      <c r="P37" s="306">
        <f t="shared" si="16"/>
        <v>-19465</v>
      </c>
      <c r="Q37" s="306">
        <f t="shared" si="26"/>
        <v>19465</v>
      </c>
      <c r="R37" s="306">
        <f t="shared" ca="1" si="17"/>
        <v>839503.26357266307</v>
      </c>
      <c r="S37" s="818">
        <f t="shared" ca="1" si="18"/>
        <v>240492.20986150744</v>
      </c>
      <c r="T37" s="818">
        <f t="shared" si="19"/>
        <v>0</v>
      </c>
      <c r="U37" s="818">
        <v>0</v>
      </c>
      <c r="V37" s="818">
        <f t="shared" ca="1" si="20"/>
        <v>240492.20986150744</v>
      </c>
      <c r="W37" s="306">
        <f t="shared" si="2"/>
        <v>0</v>
      </c>
      <c r="X37" s="306">
        <f t="shared" ca="1" si="3"/>
        <v>-1361.6171263411916</v>
      </c>
      <c r="Y37" s="306">
        <v>0</v>
      </c>
      <c r="Z37" s="306">
        <v>0</v>
      </c>
      <c r="AA37" s="308">
        <f ca="1">-SUM(W37,X37/OFFSET(GridFootprintbyYear,$A37-$A$19,0)*EF_PurchElec_MTperMWh,Z37)*OFFSET(ExposureCalculations!Price_GHG_Allowance_2010,A37-$A$19,0)*ExposureCalculations!D34</f>
        <v>52709.820946808861</v>
      </c>
      <c r="AB37" s="308">
        <v>0</v>
      </c>
      <c r="AC37" s="308">
        <f t="shared" ca="1" si="4"/>
        <v>-96387.172794237529</v>
      </c>
      <c r="AD37" s="819">
        <f t="shared" ca="1" si="5"/>
        <v>235585.74341521188</v>
      </c>
      <c r="AE37" s="308">
        <v>0</v>
      </c>
      <c r="AF37" s="819">
        <f t="shared" ca="1" si="6"/>
        <v>0</v>
      </c>
      <c r="AG37" s="308">
        <v>0</v>
      </c>
      <c r="AH37" s="308">
        <v>0</v>
      </c>
      <c r="AI37" s="308">
        <v>0</v>
      </c>
      <c r="AJ37" s="308">
        <f t="shared" ca="1" si="7"/>
        <v>139198.57062097435</v>
      </c>
      <c r="AK37" s="309">
        <v>0</v>
      </c>
      <c r="AL37" s="309">
        <v>0</v>
      </c>
      <c r="AM37" s="309">
        <f t="shared" si="21"/>
        <v>0</v>
      </c>
      <c r="AN37" s="310">
        <v>0</v>
      </c>
      <c r="AO37" s="310">
        <f t="shared" si="27"/>
        <v>-30000</v>
      </c>
      <c r="AP37" s="310">
        <f t="shared" si="22"/>
        <v>-30000</v>
      </c>
      <c r="AQ37" s="309">
        <v>0</v>
      </c>
      <c r="AR37" s="311">
        <f t="shared" ca="1" si="8"/>
        <v>161908.3915677832</v>
      </c>
      <c r="AS37" s="870">
        <f t="shared" ca="1" si="23"/>
        <v>278049.26417281642</v>
      </c>
      <c r="AT37" s="822"/>
      <c r="AU37" s="878"/>
      <c r="AV37" s="35"/>
      <c r="AW37" s="879"/>
      <c r="AX37" s="35"/>
      <c r="AY37" s="880"/>
    </row>
    <row r="38" spans="1:51">
      <c r="A38" s="303">
        <v>2029</v>
      </c>
      <c r="B38" s="304">
        <f ca="1">IF($D$3="BAU",UtilityDemand!C31,INDIRECT($D$3&amp;"!B"&amp;ROW(A38))+INDIRECT($D$3&amp;"!D"&amp;ROW(A38)))</f>
        <v>162747.48483265133</v>
      </c>
      <c r="C38" s="305">
        <v>0</v>
      </c>
      <c r="D38" s="306">
        <f t="shared" ca="1" si="10"/>
        <v>0</v>
      </c>
      <c r="E38" s="304">
        <f ca="1">IF($D$3="BAU",UtilityDemand!E31,INDIRECT($D$3&amp;"!E"&amp;ROW(D38))+INDIRECT($D$3&amp;"!G"&amp;ROW(D38)))</f>
        <v>867354.86270233872</v>
      </c>
      <c r="F38" s="305">
        <v>0</v>
      </c>
      <c r="G38" s="306">
        <f t="shared" ca="1" si="11"/>
        <v>0</v>
      </c>
      <c r="H38" s="304">
        <f ca="1">IF($D$3="BAU",UtilityDemand!G31,INDIRECT($D$3&amp;"!H"&amp;ROW(G38))+INDIRECT($D$3&amp;"!J"&amp;ROW(G38)))</f>
        <v>243556.74442411118</v>
      </c>
      <c r="I38" s="305">
        <v>0</v>
      </c>
      <c r="J38" s="306">
        <f t="shared" ca="1" si="24"/>
        <v>0</v>
      </c>
      <c r="K38" s="307">
        <f t="shared" ca="1" si="12"/>
        <v>162747.48483265133</v>
      </c>
      <c r="L38" s="307">
        <f t="shared" si="25"/>
        <v>1036.5999999999999</v>
      </c>
      <c r="M38" s="307">
        <v>0</v>
      </c>
      <c r="N38" s="307">
        <f t="shared" ca="1" si="14"/>
        <v>163784.08483265134</v>
      </c>
      <c r="O38" s="306">
        <f t="shared" ca="1" si="15"/>
        <v>867354.86270233872</v>
      </c>
      <c r="P38" s="306">
        <f t="shared" si="16"/>
        <v>-19465</v>
      </c>
      <c r="Q38" s="306">
        <f t="shared" si="26"/>
        <v>19465</v>
      </c>
      <c r="R38" s="306">
        <f t="shared" ca="1" si="17"/>
        <v>847889.86270233872</v>
      </c>
      <c r="S38" s="818">
        <f t="shared" ca="1" si="18"/>
        <v>243556.74442411118</v>
      </c>
      <c r="T38" s="818">
        <f t="shared" si="19"/>
        <v>0</v>
      </c>
      <c r="U38" s="818">
        <v>0</v>
      </c>
      <c r="V38" s="818">
        <f t="shared" ca="1" si="20"/>
        <v>243556.74442411118</v>
      </c>
      <c r="W38" s="306">
        <f t="shared" si="2"/>
        <v>0</v>
      </c>
      <c r="X38" s="306">
        <f t="shared" ca="1" si="3"/>
        <v>-1361.6171263411916</v>
      </c>
      <c r="Y38" s="306">
        <v>0</v>
      </c>
      <c r="Z38" s="306">
        <v>0</v>
      </c>
      <c r="AA38" s="308">
        <f ca="1">-SUM(W38,X38/OFFSET(GridFootprintbyYear,$A38-$A$19,0)*EF_PurchElec_MTperMWh,Z38)*OFFSET(ExposureCalculations!Price_GHG_Allowance_2010,A38-$A$19,0)*ExposureCalculations!D35</f>
        <v>56801.525232592205</v>
      </c>
      <c r="AB38" s="308">
        <v>0</v>
      </c>
      <c r="AC38" s="308">
        <f t="shared" ca="1" si="4"/>
        <v>-96869.108658208701</v>
      </c>
      <c r="AD38" s="819">
        <f t="shared" ca="1" si="5"/>
        <v>236763.67213228793</v>
      </c>
      <c r="AE38" s="308">
        <v>0</v>
      </c>
      <c r="AF38" s="819">
        <f t="shared" ca="1" si="6"/>
        <v>0</v>
      </c>
      <c r="AG38" s="308">
        <v>0</v>
      </c>
      <c r="AH38" s="308">
        <v>0</v>
      </c>
      <c r="AI38" s="308">
        <v>0</v>
      </c>
      <c r="AJ38" s="308">
        <f t="shared" ca="1" si="7"/>
        <v>139894.56347407924</v>
      </c>
      <c r="AK38" s="309">
        <v>0</v>
      </c>
      <c r="AL38" s="309">
        <v>0</v>
      </c>
      <c r="AM38" s="309">
        <f t="shared" si="21"/>
        <v>0</v>
      </c>
      <c r="AN38" s="310">
        <v>0</v>
      </c>
      <c r="AO38" s="310">
        <f t="shared" si="27"/>
        <v>-30000</v>
      </c>
      <c r="AP38" s="310">
        <f t="shared" si="22"/>
        <v>-30000</v>
      </c>
      <c r="AQ38" s="309">
        <v>0</v>
      </c>
      <c r="AR38" s="311">
        <f t="shared" ca="1" si="8"/>
        <v>166696.08870667143</v>
      </c>
      <c r="AS38" s="870">
        <f t="shared" ca="1" si="23"/>
        <v>444745.35287948785</v>
      </c>
      <c r="AT38" s="822"/>
      <c r="AU38" s="878"/>
      <c r="AV38" s="35"/>
      <c r="AW38" s="879"/>
      <c r="AX38" s="35"/>
      <c r="AY38" s="880"/>
    </row>
    <row r="39" spans="1:51">
      <c r="A39" s="303">
        <v>2030</v>
      </c>
      <c r="B39" s="304">
        <f ca="1">IF($D$3="BAU",UtilityDemand!C32,INDIRECT($D$3&amp;"!B"&amp;ROW(A39))+INDIRECT($D$3&amp;"!D"&amp;ROW(A39)))</f>
        <v>164324.11043350337</v>
      </c>
      <c r="C39" s="305">
        <v>0</v>
      </c>
      <c r="D39" s="306">
        <f t="shared" ca="1" si="10"/>
        <v>0</v>
      </c>
      <c r="E39" s="304">
        <f ca="1">IF($D$3="BAU",UtilityDemand!E32,INDIRECT($D$3&amp;"!E"&amp;ROW(D39))+INDIRECT($D$3&amp;"!G"&amp;ROW(D39)))</f>
        <v>875741.46183201415</v>
      </c>
      <c r="F39" s="305">
        <v>0</v>
      </c>
      <c r="G39" s="306">
        <f t="shared" ca="1" si="11"/>
        <v>0</v>
      </c>
      <c r="H39" s="304">
        <f ca="1">IF($D$3="BAU",UtilityDemand!G32,INDIRECT($D$3&amp;"!H"&amp;ROW(G39))+INDIRECT($D$3&amp;"!J"&amp;ROW(G39)))</f>
        <v>246621.27898671487</v>
      </c>
      <c r="I39" s="305">
        <v>0</v>
      </c>
      <c r="J39" s="306">
        <f t="shared" ca="1" si="24"/>
        <v>0</v>
      </c>
      <c r="K39" s="307">
        <f t="shared" ca="1" si="12"/>
        <v>164324.11043350337</v>
      </c>
      <c r="L39" s="307">
        <f t="shared" si="25"/>
        <v>1036.5999999999999</v>
      </c>
      <c r="M39" s="307">
        <v>0</v>
      </c>
      <c r="N39" s="307">
        <f t="shared" ca="1" si="14"/>
        <v>165360.71043350338</v>
      </c>
      <c r="O39" s="306">
        <f t="shared" ca="1" si="15"/>
        <v>875741.46183201415</v>
      </c>
      <c r="P39" s="306">
        <f t="shared" si="16"/>
        <v>-19465</v>
      </c>
      <c r="Q39" s="306">
        <f t="shared" si="26"/>
        <v>19465</v>
      </c>
      <c r="R39" s="306">
        <f t="shared" ca="1" si="17"/>
        <v>856276.46183201415</v>
      </c>
      <c r="S39" s="818">
        <f t="shared" ca="1" si="18"/>
        <v>246621.27898671487</v>
      </c>
      <c r="T39" s="818">
        <f t="shared" si="19"/>
        <v>0</v>
      </c>
      <c r="U39" s="818">
        <v>0</v>
      </c>
      <c r="V39" s="818">
        <f t="shared" ca="1" si="20"/>
        <v>246621.27898671487</v>
      </c>
      <c r="W39" s="306">
        <f t="shared" si="2"/>
        <v>0</v>
      </c>
      <c r="X39" s="306">
        <f t="shared" ca="1" si="3"/>
        <v>-1361.6171263411916</v>
      </c>
      <c r="Y39" s="306">
        <v>0</v>
      </c>
      <c r="Z39" s="306">
        <v>0</v>
      </c>
      <c r="AA39" s="308">
        <f ca="1">-SUM(W39,X39/OFFSET(GridFootprintbyYear,$A39-$A$19,0)*EF_PurchElec_MTperMWh,Z39)*OFFSET(ExposureCalculations!Price_GHG_Allowance_2010,A39-$A$19,0)*ExposureCalculations!D36</f>
        <v>60993.014970366814</v>
      </c>
      <c r="AB39" s="308">
        <v>0</v>
      </c>
      <c r="AC39" s="308">
        <f t="shared" ca="1" si="4"/>
        <v>-97353.454201499742</v>
      </c>
      <c r="AD39" s="819">
        <f t="shared" ca="1" si="5"/>
        <v>237947.49049294932</v>
      </c>
      <c r="AE39" s="308">
        <v>0</v>
      </c>
      <c r="AF39" s="819">
        <f t="shared" ca="1" si="6"/>
        <v>0</v>
      </c>
      <c r="AG39" s="308">
        <v>0</v>
      </c>
      <c r="AH39" s="308">
        <v>0</v>
      </c>
      <c r="AI39" s="308">
        <v>0</v>
      </c>
      <c r="AJ39" s="308">
        <f t="shared" ca="1" si="7"/>
        <v>140594.03629144956</v>
      </c>
      <c r="AK39" s="309">
        <v>0</v>
      </c>
      <c r="AL39" s="309">
        <v>0</v>
      </c>
      <c r="AM39" s="309">
        <f t="shared" si="21"/>
        <v>0</v>
      </c>
      <c r="AN39" s="310">
        <v>0</v>
      </c>
      <c r="AO39" s="310">
        <f t="shared" si="27"/>
        <v>-30000</v>
      </c>
      <c r="AP39" s="310">
        <f t="shared" si="22"/>
        <v>-30000</v>
      </c>
      <c r="AQ39" s="309">
        <v>0</v>
      </c>
      <c r="AR39" s="311">
        <f t="shared" ca="1" si="8"/>
        <v>171587.05126181638</v>
      </c>
      <c r="AS39" s="870">
        <f t="shared" ca="1" si="23"/>
        <v>616332.4041413042</v>
      </c>
      <c r="AT39" s="822"/>
      <c r="AU39" s="878"/>
      <c r="AV39" s="35"/>
      <c r="AW39" s="879"/>
      <c r="AX39" s="35"/>
      <c r="AY39" s="880"/>
    </row>
    <row r="40" spans="1:51">
      <c r="A40" s="303">
        <v>2031</v>
      </c>
      <c r="B40" s="304">
        <f ca="1">IF($D$3="BAU",UtilityDemand!C33,INDIRECT($D$3&amp;"!B"&amp;ROW(A40))+INDIRECT($D$3&amp;"!D"&amp;ROW(A40)))</f>
        <v>165900.73603435536</v>
      </c>
      <c r="C40" s="305">
        <v>0</v>
      </c>
      <c r="D40" s="306">
        <f t="shared" ca="1" si="10"/>
        <v>0</v>
      </c>
      <c r="E40" s="304">
        <f ca="1">IF($D$3="BAU",UtilityDemand!E33,INDIRECT($D$3&amp;"!E"&amp;ROW(D40))+INDIRECT($D$3&amp;"!G"&amp;ROW(D40)))</f>
        <v>884128.06096168945</v>
      </c>
      <c r="F40" s="305">
        <v>0</v>
      </c>
      <c r="G40" s="306">
        <f t="shared" ca="1" si="11"/>
        <v>0</v>
      </c>
      <c r="H40" s="304">
        <f ca="1">IF($D$3="BAU",UtilityDemand!G33,INDIRECT($D$3&amp;"!H"&amp;ROW(G40))+INDIRECT($D$3&amp;"!J"&amp;ROW(G40)))</f>
        <v>249685.81354931853</v>
      </c>
      <c r="I40" s="305">
        <v>0</v>
      </c>
      <c r="J40" s="306">
        <f t="shared" ca="1" si="24"/>
        <v>0</v>
      </c>
      <c r="K40" s="307">
        <f t="shared" ca="1" si="12"/>
        <v>165900.73603435536</v>
      </c>
      <c r="L40" s="307">
        <f t="shared" si="25"/>
        <v>1036.5999999999999</v>
      </c>
      <c r="M40" s="307">
        <v>0</v>
      </c>
      <c r="N40" s="307">
        <f t="shared" ca="1" si="14"/>
        <v>166937.33603435536</v>
      </c>
      <c r="O40" s="306">
        <f t="shared" ca="1" si="15"/>
        <v>884128.06096168945</v>
      </c>
      <c r="P40" s="306">
        <f t="shared" si="16"/>
        <v>-19465</v>
      </c>
      <c r="Q40" s="306">
        <f t="shared" si="26"/>
        <v>19465</v>
      </c>
      <c r="R40" s="306">
        <f t="shared" ca="1" si="17"/>
        <v>864663.06096168945</v>
      </c>
      <c r="S40" s="818">
        <f t="shared" ca="1" si="18"/>
        <v>249685.81354931853</v>
      </c>
      <c r="T40" s="818">
        <f t="shared" si="19"/>
        <v>0</v>
      </c>
      <c r="U40" s="818">
        <v>0</v>
      </c>
      <c r="V40" s="818">
        <f t="shared" ca="1" si="20"/>
        <v>249685.81354931853</v>
      </c>
      <c r="W40" s="306">
        <f t="shared" si="2"/>
        <v>0</v>
      </c>
      <c r="X40" s="306">
        <f t="shared" ca="1" si="3"/>
        <v>-1361.6171263411916</v>
      </c>
      <c r="Y40" s="306">
        <v>0</v>
      </c>
      <c r="Z40" s="306">
        <v>0</v>
      </c>
      <c r="AA40" s="308">
        <f ca="1">-SUM(W40,X40/OFFSET(GridFootprintbyYear,$A40-$A$19,0)*EF_PurchElec_MTperMWh,Z40)*OFFSET(ExposureCalculations!Price_GHG_Allowance_2010,A40-$A$19,0)*ExposureCalculations!D37</f>
        <v>65792.673675135928</v>
      </c>
      <c r="AB40" s="308">
        <v>0</v>
      </c>
      <c r="AC40" s="308">
        <f t="shared" ca="1" si="4"/>
        <v>-97840.221472507197</v>
      </c>
      <c r="AD40" s="819">
        <f t="shared" ca="1" si="5"/>
        <v>239137.22794541399</v>
      </c>
      <c r="AE40" s="308">
        <v>0</v>
      </c>
      <c r="AF40" s="819">
        <f t="shared" ca="1" si="6"/>
        <v>0</v>
      </c>
      <c r="AG40" s="308">
        <v>0</v>
      </c>
      <c r="AH40" s="308">
        <v>0</v>
      </c>
      <c r="AI40" s="308">
        <v>0</v>
      </c>
      <c r="AJ40" s="308">
        <f t="shared" ca="1" si="7"/>
        <v>141297.0064729068</v>
      </c>
      <c r="AK40" s="309">
        <v>0</v>
      </c>
      <c r="AL40" s="309">
        <v>0</v>
      </c>
      <c r="AM40" s="309">
        <f t="shared" si="21"/>
        <v>0</v>
      </c>
      <c r="AN40" s="310">
        <v>0</v>
      </c>
      <c r="AO40" s="310">
        <f t="shared" si="27"/>
        <v>-30000</v>
      </c>
      <c r="AP40" s="310">
        <f t="shared" si="22"/>
        <v>-30000</v>
      </c>
      <c r="AQ40" s="309">
        <v>0</v>
      </c>
      <c r="AR40" s="311">
        <f t="shared" ca="1" si="8"/>
        <v>177089.68014804274</v>
      </c>
      <c r="AS40" s="870">
        <f t="shared" ca="1" si="23"/>
        <v>793422.08428934694</v>
      </c>
      <c r="AT40" s="822"/>
      <c r="AU40" s="878"/>
      <c r="AV40" s="35"/>
      <c r="AW40" s="879"/>
      <c r="AX40" s="35"/>
      <c r="AY40" s="880"/>
    </row>
    <row r="41" spans="1:51">
      <c r="A41" s="303">
        <v>2032</v>
      </c>
      <c r="B41" s="304">
        <f ca="1">IF($D$3="BAU",UtilityDemand!C34,INDIRECT($D$3&amp;"!B"&amp;ROW(A41))+INDIRECT($D$3&amp;"!D"&amp;ROW(A41)))</f>
        <v>167477.3616352074</v>
      </c>
      <c r="C41" s="305">
        <v>0</v>
      </c>
      <c r="D41" s="306">
        <f t="shared" ca="1" si="10"/>
        <v>0</v>
      </c>
      <c r="E41" s="304">
        <f ca="1">IF($D$3="BAU",UtilityDemand!E34,INDIRECT($D$3&amp;"!E"&amp;ROW(D41))+INDIRECT($D$3&amp;"!G"&amp;ROW(D41)))</f>
        <v>892514.66009136476</v>
      </c>
      <c r="F41" s="305">
        <v>0</v>
      </c>
      <c r="G41" s="306">
        <f t="shared" ca="1" si="11"/>
        <v>0</v>
      </c>
      <c r="H41" s="304">
        <f ca="1">IF($D$3="BAU",UtilityDemand!G34,INDIRECT($D$3&amp;"!H"&amp;ROW(G41))+INDIRECT($D$3&amp;"!J"&amp;ROW(G41)))</f>
        <v>252750.34811192221</v>
      </c>
      <c r="I41" s="305">
        <v>0</v>
      </c>
      <c r="J41" s="306">
        <f t="shared" ca="1" si="24"/>
        <v>0</v>
      </c>
      <c r="K41" s="307">
        <f t="shared" ca="1" si="12"/>
        <v>167477.3616352074</v>
      </c>
      <c r="L41" s="307">
        <f t="shared" si="25"/>
        <v>1036.5999999999999</v>
      </c>
      <c r="M41" s="307">
        <v>0</v>
      </c>
      <c r="N41" s="307">
        <f t="shared" ca="1" si="14"/>
        <v>168513.96163520741</v>
      </c>
      <c r="O41" s="306">
        <f t="shared" ca="1" si="15"/>
        <v>892514.66009136476</v>
      </c>
      <c r="P41" s="306">
        <f t="shared" si="16"/>
        <v>-19465</v>
      </c>
      <c r="Q41" s="306">
        <f t="shared" si="26"/>
        <v>19465</v>
      </c>
      <c r="R41" s="306">
        <f t="shared" ca="1" si="17"/>
        <v>873049.66009136476</v>
      </c>
      <c r="S41" s="818">
        <f t="shared" ca="1" si="18"/>
        <v>252750.34811192221</v>
      </c>
      <c r="T41" s="818">
        <f t="shared" si="19"/>
        <v>0</v>
      </c>
      <c r="U41" s="818">
        <v>0</v>
      </c>
      <c r="V41" s="818">
        <f t="shared" ca="1" si="20"/>
        <v>252750.34811192221</v>
      </c>
      <c r="W41" s="306">
        <f t="shared" si="2"/>
        <v>0</v>
      </c>
      <c r="X41" s="306">
        <f t="shared" ca="1" si="3"/>
        <v>-1361.6171263411916</v>
      </c>
      <c r="Y41" s="306">
        <v>0</v>
      </c>
      <c r="Z41" s="306">
        <v>0</v>
      </c>
      <c r="AA41" s="308">
        <f ca="1">-SUM(W41,X41/OFFSET(GridFootprintbyYear,$A41-$A$19,0)*EF_PurchElec_MTperMWh,Z41)*OFFSET(ExposureCalculations!Price_GHG_Allowance_2010,A41-$A$19,0)*ExposureCalculations!D38</f>
        <v>70709.824419723591</v>
      </c>
      <c r="AB41" s="308">
        <v>0</v>
      </c>
      <c r="AC41" s="308">
        <f t="shared" ca="1" si="4"/>
        <v>-98329.422579869744</v>
      </c>
      <c r="AD41" s="819">
        <f t="shared" ca="1" si="5"/>
        <v>240332.91408514103</v>
      </c>
      <c r="AE41" s="308">
        <v>0</v>
      </c>
      <c r="AF41" s="819">
        <f t="shared" ca="1" si="6"/>
        <v>0</v>
      </c>
      <c r="AG41" s="308">
        <v>0</v>
      </c>
      <c r="AH41" s="308">
        <v>0</v>
      </c>
      <c r="AI41" s="308">
        <v>0</v>
      </c>
      <c r="AJ41" s="308">
        <f t="shared" ca="1" si="7"/>
        <v>142003.49150527129</v>
      </c>
      <c r="AK41" s="309">
        <v>0</v>
      </c>
      <c r="AL41" s="309">
        <v>0</v>
      </c>
      <c r="AM41" s="309">
        <f t="shared" si="21"/>
        <v>0</v>
      </c>
      <c r="AN41" s="310">
        <v>0</v>
      </c>
      <c r="AO41" s="310">
        <f t="shared" si="27"/>
        <v>-30000</v>
      </c>
      <c r="AP41" s="310">
        <f t="shared" si="22"/>
        <v>-30000</v>
      </c>
      <c r="AQ41" s="309">
        <v>0</v>
      </c>
      <c r="AR41" s="311">
        <f t="shared" ca="1" si="8"/>
        <v>182713.31592499488</v>
      </c>
      <c r="AS41" s="870">
        <f t="shared" ca="1" si="23"/>
        <v>976135.40021434182</v>
      </c>
      <c r="AT41" s="822"/>
      <c r="AU41" s="878"/>
      <c r="AV41" s="35"/>
      <c r="AW41" s="879"/>
      <c r="AX41" s="35"/>
      <c r="AY41" s="880"/>
    </row>
    <row r="42" spans="1:51">
      <c r="A42" s="303">
        <v>2033</v>
      </c>
      <c r="B42" s="304">
        <f ca="1">IF($D$3="BAU",UtilityDemand!C35,INDIRECT($D$3&amp;"!B"&amp;ROW(A42))+INDIRECT($D$3&amp;"!D"&amp;ROW(A42)))</f>
        <v>169053.98723605942</v>
      </c>
      <c r="C42" s="305">
        <v>0</v>
      </c>
      <c r="D42" s="306">
        <f t="shared" ca="1" si="10"/>
        <v>0</v>
      </c>
      <c r="E42" s="304">
        <f ca="1">IF($D$3="BAU",UtilityDemand!E35,INDIRECT($D$3&amp;"!E"&amp;ROW(D42))+INDIRECT($D$3&amp;"!G"&amp;ROW(D42)))</f>
        <v>900901.25922104018</v>
      </c>
      <c r="F42" s="305">
        <v>0</v>
      </c>
      <c r="G42" s="306">
        <f t="shared" ca="1" si="11"/>
        <v>0</v>
      </c>
      <c r="H42" s="304">
        <f ca="1">IF($D$3="BAU",UtilityDemand!G35,INDIRECT($D$3&amp;"!H"&amp;ROW(G42))+INDIRECT($D$3&amp;"!J"&amp;ROW(G42)))</f>
        <v>255814.8826745259</v>
      </c>
      <c r="I42" s="305">
        <v>0</v>
      </c>
      <c r="J42" s="306">
        <f t="shared" ca="1" si="24"/>
        <v>0</v>
      </c>
      <c r="K42" s="307">
        <f t="shared" ca="1" si="12"/>
        <v>169053.98723605942</v>
      </c>
      <c r="L42" s="307">
        <f t="shared" si="25"/>
        <v>1036.5999999999999</v>
      </c>
      <c r="M42" s="307">
        <v>0</v>
      </c>
      <c r="N42" s="307">
        <f t="shared" ca="1" si="14"/>
        <v>170090.58723605942</v>
      </c>
      <c r="O42" s="306">
        <f t="shared" ca="1" si="15"/>
        <v>900901.25922104018</v>
      </c>
      <c r="P42" s="306">
        <f t="shared" si="16"/>
        <v>-19465</v>
      </c>
      <c r="Q42" s="306">
        <f t="shared" si="26"/>
        <v>19465</v>
      </c>
      <c r="R42" s="306">
        <f t="shared" ca="1" si="17"/>
        <v>881436.25922104018</v>
      </c>
      <c r="S42" s="818">
        <f t="shared" ca="1" si="18"/>
        <v>255814.8826745259</v>
      </c>
      <c r="T42" s="818">
        <f t="shared" si="19"/>
        <v>0</v>
      </c>
      <c r="U42" s="818">
        <v>0</v>
      </c>
      <c r="V42" s="818">
        <f t="shared" ca="1" si="20"/>
        <v>255814.8826745259</v>
      </c>
      <c r="W42" s="306">
        <f t="shared" si="2"/>
        <v>0</v>
      </c>
      <c r="X42" s="306">
        <f t="shared" ca="1" si="3"/>
        <v>-1361.6171263411916</v>
      </c>
      <c r="Y42" s="306">
        <v>0</v>
      </c>
      <c r="Z42" s="306">
        <v>0</v>
      </c>
      <c r="AA42" s="308">
        <f ca="1">-SUM(W42,X42/OFFSET(GridFootprintbyYear,$A42-$A$19,0)*EF_PurchElec_MTperMWh,Z42)*OFFSET(ExposureCalculations!Price_GHG_Allowance_2010,A42-$A$19,0)*ExposureCalculations!D39</f>
        <v>75117.75507461511</v>
      </c>
      <c r="AB42" s="308">
        <v>0</v>
      </c>
      <c r="AC42" s="308">
        <f t="shared" ca="1" si="4"/>
        <v>-98821.069692769059</v>
      </c>
      <c r="AD42" s="819">
        <f t="shared" ca="1" si="5"/>
        <v>241534.57865556673</v>
      </c>
      <c r="AE42" s="308">
        <v>0</v>
      </c>
      <c r="AF42" s="819">
        <f t="shared" ca="1" si="6"/>
        <v>0</v>
      </c>
      <c r="AG42" s="308">
        <v>0</v>
      </c>
      <c r="AH42" s="308">
        <v>0</v>
      </c>
      <c r="AI42" s="308">
        <v>0</v>
      </c>
      <c r="AJ42" s="308">
        <f t="shared" ca="1" si="7"/>
        <v>142713.50896279767</v>
      </c>
      <c r="AK42" s="309">
        <v>0</v>
      </c>
      <c r="AL42" s="309">
        <v>0</v>
      </c>
      <c r="AM42" s="309">
        <f t="shared" si="21"/>
        <v>0</v>
      </c>
      <c r="AN42" s="310">
        <v>0</v>
      </c>
      <c r="AO42" s="310">
        <f t="shared" si="27"/>
        <v>-30000</v>
      </c>
      <c r="AP42" s="310">
        <f t="shared" si="22"/>
        <v>-30000</v>
      </c>
      <c r="AQ42" s="309">
        <v>0</v>
      </c>
      <c r="AR42" s="311">
        <f t="shared" ca="1" si="8"/>
        <v>187831.26403741277</v>
      </c>
      <c r="AS42" s="870">
        <f t="shared" ca="1" si="23"/>
        <v>1163966.6642517545</v>
      </c>
      <c r="AT42" s="822"/>
      <c r="AU42" s="878"/>
      <c r="AV42" s="35"/>
      <c r="AW42" s="879"/>
      <c r="AX42" s="35"/>
      <c r="AY42" s="880"/>
    </row>
    <row r="43" spans="1:51">
      <c r="A43" s="303">
        <v>2034</v>
      </c>
      <c r="B43" s="304">
        <f ca="1">IF($D$3="BAU",UtilityDemand!C36,INDIRECT($D$3&amp;"!B"&amp;ROW(A43))+INDIRECT($D$3&amp;"!D"&amp;ROW(A43)))</f>
        <v>170630.61283691146</v>
      </c>
      <c r="C43" s="305">
        <v>0</v>
      </c>
      <c r="D43" s="306">
        <f t="shared" ca="1" si="10"/>
        <v>0</v>
      </c>
      <c r="E43" s="304">
        <f ca="1">IF($D$3="BAU",UtilityDemand!E36,INDIRECT($D$3&amp;"!E"&amp;ROW(D43))+INDIRECT($D$3&amp;"!G"&amp;ROW(D43)))</f>
        <v>909287.85835071537</v>
      </c>
      <c r="F43" s="305">
        <v>0</v>
      </c>
      <c r="G43" s="306">
        <f t="shared" ca="1" si="11"/>
        <v>0</v>
      </c>
      <c r="H43" s="304">
        <f ca="1">IF($D$3="BAU",UtilityDemand!G36,INDIRECT($D$3&amp;"!H"&amp;ROW(G43))+INDIRECT($D$3&amp;"!J"&amp;ROW(G43)))</f>
        <v>258879.41723712959</v>
      </c>
      <c r="I43" s="305">
        <v>0</v>
      </c>
      <c r="J43" s="306">
        <f t="shared" ca="1" si="24"/>
        <v>0</v>
      </c>
      <c r="K43" s="307">
        <f t="shared" ca="1" si="12"/>
        <v>170630.61283691146</v>
      </c>
      <c r="L43" s="307">
        <f t="shared" si="25"/>
        <v>1036.5999999999999</v>
      </c>
      <c r="M43" s="307">
        <v>0</v>
      </c>
      <c r="N43" s="307">
        <f t="shared" ca="1" si="14"/>
        <v>171667.21283691147</v>
      </c>
      <c r="O43" s="306">
        <f t="shared" ca="1" si="15"/>
        <v>909287.85835071537</v>
      </c>
      <c r="P43" s="306">
        <f t="shared" si="16"/>
        <v>-19465</v>
      </c>
      <c r="Q43" s="306">
        <f t="shared" si="26"/>
        <v>19465</v>
      </c>
      <c r="R43" s="306">
        <f t="shared" ca="1" si="17"/>
        <v>889822.85835071537</v>
      </c>
      <c r="S43" s="818">
        <f t="shared" ca="1" si="18"/>
        <v>258879.41723712959</v>
      </c>
      <c r="T43" s="818">
        <f t="shared" si="19"/>
        <v>0</v>
      </c>
      <c r="U43" s="818">
        <v>0</v>
      </c>
      <c r="V43" s="818">
        <f t="shared" ca="1" si="20"/>
        <v>258879.41723712959</v>
      </c>
      <c r="W43" s="306">
        <f t="shared" si="2"/>
        <v>0</v>
      </c>
      <c r="X43" s="306">
        <f t="shared" ca="1" si="3"/>
        <v>-1361.6171263411916</v>
      </c>
      <c r="Y43" s="306">
        <v>0</v>
      </c>
      <c r="Z43" s="306">
        <v>0</v>
      </c>
      <c r="AA43" s="308">
        <f ca="1">-SUM(W43,X43/OFFSET(GridFootprintbyYear,$A43-$A$19,0)*EF_PurchElec_MTperMWh,Z43)*OFFSET(ExposureCalculations!Price_GHG_Allowance_2010,A43-$A$19,0)*ExposureCalculations!D40</f>
        <v>78991.46497565927</v>
      </c>
      <c r="AB43" s="308">
        <v>0</v>
      </c>
      <c r="AC43" s="308">
        <f t="shared" ca="1" si="4"/>
        <v>-99315.175041232913</v>
      </c>
      <c r="AD43" s="819">
        <f t="shared" ca="1" si="5"/>
        <v>242742.25154884456</v>
      </c>
      <c r="AE43" s="308">
        <v>0</v>
      </c>
      <c r="AF43" s="819">
        <f t="shared" ca="1" si="6"/>
        <v>0</v>
      </c>
      <c r="AG43" s="308">
        <v>0</v>
      </c>
      <c r="AH43" s="308">
        <v>0</v>
      </c>
      <c r="AI43" s="308">
        <v>0</v>
      </c>
      <c r="AJ43" s="308">
        <f t="shared" ca="1" si="7"/>
        <v>143427.07650761167</v>
      </c>
      <c r="AK43" s="309">
        <v>0</v>
      </c>
      <c r="AL43" s="309">
        <v>0</v>
      </c>
      <c r="AM43" s="309">
        <f t="shared" si="21"/>
        <v>0</v>
      </c>
      <c r="AN43" s="310">
        <v>0</v>
      </c>
      <c r="AO43" s="310">
        <f t="shared" si="27"/>
        <v>-30000</v>
      </c>
      <c r="AP43" s="310">
        <f t="shared" si="22"/>
        <v>-30000</v>
      </c>
      <c r="AQ43" s="309">
        <v>0</v>
      </c>
      <c r="AR43" s="311">
        <f t="shared" ca="1" si="8"/>
        <v>192418.54148327094</v>
      </c>
      <c r="AS43" s="870">
        <f t="shared" ca="1" si="23"/>
        <v>1356385.2057350255</v>
      </c>
      <c r="AT43" s="822"/>
      <c r="AU43" s="878"/>
      <c r="AV43" s="35"/>
      <c r="AW43" s="879"/>
      <c r="AX43" s="35"/>
      <c r="AY43" s="880"/>
    </row>
    <row r="44" spans="1:51">
      <c r="A44" s="303">
        <v>2035</v>
      </c>
      <c r="B44" s="304">
        <f ca="1">IF($D$3="BAU",UtilityDemand!C37,INDIRECT($D$3&amp;"!B"&amp;ROW(A44))+INDIRECT($D$3&amp;"!D"&amp;ROW(A44)))</f>
        <v>172207.23843776347</v>
      </c>
      <c r="C44" s="305">
        <v>0</v>
      </c>
      <c r="D44" s="306">
        <f t="shared" ca="1" si="10"/>
        <v>0</v>
      </c>
      <c r="E44" s="304">
        <f ca="1">IF($D$3="BAU",UtilityDemand!E37,INDIRECT($D$3&amp;"!E"&amp;ROW(D44))+INDIRECT($D$3&amp;"!G"&amp;ROW(D44)))</f>
        <v>917674.45748039079</v>
      </c>
      <c r="F44" s="305">
        <v>0</v>
      </c>
      <c r="G44" s="306">
        <f t="shared" ca="1" si="11"/>
        <v>0</v>
      </c>
      <c r="H44" s="304">
        <f ca="1">IF($D$3="BAU",UtilityDemand!G37,INDIRECT($D$3&amp;"!H"&amp;ROW(G44))+INDIRECT($D$3&amp;"!J"&amp;ROW(G44)))</f>
        <v>261943.95179973327</v>
      </c>
      <c r="I44" s="305">
        <v>0</v>
      </c>
      <c r="J44" s="306">
        <f t="shared" ca="1" si="24"/>
        <v>0</v>
      </c>
      <c r="K44" s="307">
        <f t="shared" ca="1" si="12"/>
        <v>172207.23843776347</v>
      </c>
      <c r="L44" s="307">
        <f t="shared" si="25"/>
        <v>1036.5999999999999</v>
      </c>
      <c r="M44" s="307">
        <v>0</v>
      </c>
      <c r="N44" s="307">
        <f t="shared" ca="1" si="14"/>
        <v>173243.83843776348</v>
      </c>
      <c r="O44" s="306">
        <f t="shared" ca="1" si="15"/>
        <v>917674.45748039079</v>
      </c>
      <c r="P44" s="306">
        <f t="shared" si="16"/>
        <v>-19465</v>
      </c>
      <c r="Q44" s="306">
        <f t="shared" si="26"/>
        <v>19465</v>
      </c>
      <c r="R44" s="306">
        <f t="shared" ca="1" si="17"/>
        <v>898209.45748039079</v>
      </c>
      <c r="S44" s="818">
        <f t="shared" ca="1" si="18"/>
        <v>261943.95179973327</v>
      </c>
      <c r="T44" s="818">
        <f t="shared" si="19"/>
        <v>0</v>
      </c>
      <c r="U44" s="818">
        <v>0</v>
      </c>
      <c r="V44" s="818">
        <f t="shared" ca="1" si="20"/>
        <v>261943.95179973327</v>
      </c>
      <c r="W44" s="306">
        <f t="shared" si="2"/>
        <v>0</v>
      </c>
      <c r="X44" s="306">
        <f t="shared" ca="1" si="3"/>
        <v>-1361.6171263411916</v>
      </c>
      <c r="Y44" s="306">
        <v>0</v>
      </c>
      <c r="Z44" s="306">
        <v>0</v>
      </c>
      <c r="AA44" s="308">
        <f ca="1">-SUM(W44,X44/OFFSET(GridFootprintbyYear,$A44-$A$19,0)*EF_PurchElec_MTperMWh,Z44)*OFFSET(ExposureCalculations!Price_GHG_Allowance_2010,A44-$A$19,0)*ExposureCalculations!D41</f>
        <v>82944.713287442821</v>
      </c>
      <c r="AB44" s="308">
        <v>0</v>
      </c>
      <c r="AC44" s="308">
        <f t="shared" ca="1" si="4"/>
        <v>-99811.75091643905</v>
      </c>
      <c r="AD44" s="819">
        <f t="shared" ca="1" si="5"/>
        <v>243955.96280658874</v>
      </c>
      <c r="AE44" s="308">
        <v>0</v>
      </c>
      <c r="AF44" s="819">
        <f t="shared" ca="1" si="6"/>
        <v>0</v>
      </c>
      <c r="AG44" s="308">
        <v>0</v>
      </c>
      <c r="AH44" s="308">
        <v>0</v>
      </c>
      <c r="AI44" s="308">
        <v>0</v>
      </c>
      <c r="AJ44" s="308">
        <f t="shared" ca="1" si="7"/>
        <v>144144.21189014969</v>
      </c>
      <c r="AK44" s="309">
        <v>0</v>
      </c>
      <c r="AL44" s="309">
        <v>0</v>
      </c>
      <c r="AM44" s="309">
        <f t="shared" si="21"/>
        <v>0</v>
      </c>
      <c r="AN44" s="310">
        <v>0</v>
      </c>
      <c r="AO44" s="310">
        <f t="shared" si="27"/>
        <v>-30000</v>
      </c>
      <c r="AP44" s="310">
        <f t="shared" si="22"/>
        <v>-30000</v>
      </c>
      <c r="AQ44" s="309">
        <v>0</v>
      </c>
      <c r="AR44" s="311">
        <f t="shared" ca="1" si="8"/>
        <v>197088.92517759249</v>
      </c>
      <c r="AS44" s="870">
        <f t="shared" ca="1" si="23"/>
        <v>1553474.130912618</v>
      </c>
      <c r="AT44" s="822"/>
      <c r="AU44" s="878"/>
      <c r="AV44" s="35"/>
      <c r="AW44" s="879"/>
      <c r="AX44" s="35"/>
      <c r="AY44" s="880"/>
    </row>
    <row r="45" spans="1:51">
      <c r="A45" s="303">
        <v>2036</v>
      </c>
      <c r="B45" s="304">
        <f ca="1">IF($D$3="BAU",UtilityDemand!C38,INDIRECT($D$3&amp;"!B"&amp;ROW(A45))+INDIRECT($D$3&amp;"!D"&amp;ROW(A45)))</f>
        <v>173783.86403861555</v>
      </c>
      <c r="C45" s="305">
        <v>0</v>
      </c>
      <c r="D45" s="306">
        <f t="shared" ca="1" si="10"/>
        <v>0</v>
      </c>
      <c r="E45" s="304">
        <f ca="1">IF($D$3="BAU",UtilityDemand!E38,INDIRECT($D$3&amp;"!E"&amp;ROW(D45))+INDIRECT($D$3&amp;"!G"&amp;ROW(D45)))</f>
        <v>926061.05661006644</v>
      </c>
      <c r="F45" s="305">
        <v>0</v>
      </c>
      <c r="G45" s="306">
        <f t="shared" ca="1" si="11"/>
        <v>0</v>
      </c>
      <c r="H45" s="304">
        <f ca="1">IF($D$3="BAU",UtilityDemand!G38,INDIRECT($D$3&amp;"!H"&amp;ROW(G45))+INDIRECT($D$3&amp;"!J"&amp;ROW(G45)))</f>
        <v>265008.48636233702</v>
      </c>
      <c r="I45" s="305">
        <v>0</v>
      </c>
      <c r="J45" s="306">
        <f t="shared" ca="1" si="24"/>
        <v>0</v>
      </c>
      <c r="K45" s="307">
        <f t="shared" ca="1" si="12"/>
        <v>173783.86403861555</v>
      </c>
      <c r="L45" s="307">
        <f t="shared" si="25"/>
        <v>1036.5999999999999</v>
      </c>
      <c r="M45" s="307">
        <v>0</v>
      </c>
      <c r="N45" s="307">
        <f t="shared" ca="1" si="14"/>
        <v>174820.46403861555</v>
      </c>
      <c r="O45" s="306">
        <f t="shared" ca="1" si="15"/>
        <v>926061.05661006644</v>
      </c>
      <c r="P45" s="306">
        <f t="shared" si="16"/>
        <v>-19465</v>
      </c>
      <c r="Q45" s="306">
        <f t="shared" si="26"/>
        <v>19465</v>
      </c>
      <c r="R45" s="306">
        <f t="shared" ca="1" si="17"/>
        <v>906596.05661006644</v>
      </c>
      <c r="S45" s="818">
        <f t="shared" ca="1" si="18"/>
        <v>265008.48636233702</v>
      </c>
      <c r="T45" s="818">
        <f t="shared" si="19"/>
        <v>0</v>
      </c>
      <c r="U45" s="818">
        <v>0</v>
      </c>
      <c r="V45" s="818">
        <f t="shared" ca="1" si="20"/>
        <v>265008.48636233702</v>
      </c>
      <c r="W45" s="306">
        <f t="shared" si="2"/>
        <v>0</v>
      </c>
      <c r="X45" s="306">
        <f t="shared" ca="1" si="3"/>
        <v>-1361.6171263411916</v>
      </c>
      <c r="Y45" s="306">
        <v>0</v>
      </c>
      <c r="Z45" s="306">
        <v>0</v>
      </c>
      <c r="AA45" s="308">
        <f ca="1">-SUM(W45,X45/OFFSET(GridFootprintbyYear,$A45-$A$19,0)*EF_PurchElec_MTperMWh,Z45)*OFFSET(ExposureCalculations!Price_GHG_Allowance_2010,A45-$A$19,0)*ExposureCalculations!D42</f>
        <v>87569.901935295056</v>
      </c>
      <c r="AB45" s="308">
        <v>0</v>
      </c>
      <c r="AC45" s="308">
        <f t="shared" ca="1" si="4"/>
        <v>-100310.80967102124</v>
      </c>
      <c r="AD45" s="819">
        <f t="shared" ca="1" si="5"/>
        <v>245175.74262062163</v>
      </c>
      <c r="AE45" s="308">
        <v>0</v>
      </c>
      <c r="AF45" s="819">
        <f t="shared" ca="1" si="6"/>
        <v>0</v>
      </c>
      <c r="AG45" s="308">
        <v>0</v>
      </c>
      <c r="AH45" s="308">
        <v>0</v>
      </c>
      <c r="AI45" s="308">
        <v>0</v>
      </c>
      <c r="AJ45" s="308">
        <f t="shared" ca="1" si="7"/>
        <v>144864.93294960039</v>
      </c>
      <c r="AK45" s="309">
        <v>0</v>
      </c>
      <c r="AL45" s="309">
        <v>0</v>
      </c>
      <c r="AM45" s="309">
        <f t="shared" si="21"/>
        <v>0</v>
      </c>
      <c r="AN45" s="310">
        <v>0</v>
      </c>
      <c r="AO45" s="310">
        <f t="shared" si="27"/>
        <v>-30000</v>
      </c>
      <c r="AP45" s="310">
        <f t="shared" si="22"/>
        <v>-30000</v>
      </c>
      <c r="AQ45" s="309">
        <v>0</v>
      </c>
      <c r="AR45" s="311">
        <f t="shared" ca="1" si="8"/>
        <v>202434.83488489545</v>
      </c>
      <c r="AS45" s="870">
        <f t="shared" ca="1" si="23"/>
        <v>1755908.9657975135</v>
      </c>
      <c r="AT45" s="822"/>
      <c r="AU45" s="878"/>
      <c r="AV45" s="35"/>
      <c r="AW45" s="879"/>
      <c r="AX45" s="35"/>
      <c r="AY45" s="880"/>
    </row>
    <row r="46" spans="1:51">
      <c r="A46" s="303">
        <v>2037</v>
      </c>
      <c r="B46" s="304">
        <f ca="1">IF($D$3="BAU",UtilityDemand!C39,INDIRECT($D$3&amp;"!B"&amp;ROW(A46))+INDIRECT($D$3&amp;"!D"&amp;ROW(A46)))</f>
        <v>175360.48963946756</v>
      </c>
      <c r="C46" s="305">
        <v>0</v>
      </c>
      <c r="D46" s="306">
        <f t="shared" ca="1" si="10"/>
        <v>0</v>
      </c>
      <c r="E46" s="304">
        <f ca="1">IF($D$3="BAU",UtilityDemand!E39,INDIRECT($D$3&amp;"!E"&amp;ROW(D46))+INDIRECT($D$3&amp;"!G"&amp;ROW(D46)))</f>
        <v>934447.65573974175</v>
      </c>
      <c r="F46" s="305">
        <v>0</v>
      </c>
      <c r="G46" s="306">
        <f t="shared" ca="1" si="11"/>
        <v>0</v>
      </c>
      <c r="H46" s="304">
        <f ca="1">IF($D$3="BAU",UtilityDemand!G39,INDIRECT($D$3&amp;"!H"&amp;ROW(G46))+INDIRECT($D$3&amp;"!J"&amp;ROW(G46)))</f>
        <v>268073.02092494071</v>
      </c>
      <c r="I46" s="305">
        <v>0</v>
      </c>
      <c r="J46" s="306">
        <f t="shared" ca="1" si="24"/>
        <v>0</v>
      </c>
      <c r="K46" s="307">
        <f t="shared" ca="1" si="12"/>
        <v>175360.48963946756</v>
      </c>
      <c r="L46" s="307">
        <f t="shared" si="25"/>
        <v>1036.5999999999999</v>
      </c>
      <c r="M46" s="307">
        <v>0</v>
      </c>
      <c r="N46" s="307">
        <f t="shared" ca="1" si="14"/>
        <v>176397.08963946757</v>
      </c>
      <c r="O46" s="306">
        <f t="shared" ca="1" si="15"/>
        <v>934447.65573974175</v>
      </c>
      <c r="P46" s="306">
        <f t="shared" si="16"/>
        <v>-19465</v>
      </c>
      <c r="Q46" s="306">
        <f t="shared" si="26"/>
        <v>19465</v>
      </c>
      <c r="R46" s="306">
        <f t="shared" ca="1" si="17"/>
        <v>914982.65573974175</v>
      </c>
      <c r="S46" s="818">
        <f t="shared" ca="1" si="18"/>
        <v>268073.02092494071</v>
      </c>
      <c r="T46" s="818">
        <f t="shared" si="19"/>
        <v>0</v>
      </c>
      <c r="U46" s="818">
        <v>0</v>
      </c>
      <c r="V46" s="818">
        <f t="shared" ca="1" si="20"/>
        <v>268073.02092494071</v>
      </c>
      <c r="W46" s="306">
        <f t="shared" si="2"/>
        <v>0</v>
      </c>
      <c r="X46" s="306">
        <f t="shared" ca="1" si="3"/>
        <v>-1361.6171263411916</v>
      </c>
      <c r="Y46" s="306">
        <v>0</v>
      </c>
      <c r="Z46" s="306">
        <v>0</v>
      </c>
      <c r="AA46" s="308">
        <f ca="1">-SUM(W46,X46/OFFSET(GridFootprintbyYear,$A46-$A$19,0)*EF_PurchElec_MTperMWh,Z46)*OFFSET(ExposureCalculations!Price_GHG_Allowance_2010,A46-$A$19,0)*ExposureCalculations!D43</f>
        <v>92174.985990459216</v>
      </c>
      <c r="AB46" s="308">
        <v>0</v>
      </c>
      <c r="AC46" s="308">
        <f t="shared" ca="1" si="4"/>
        <v>-100812.36371937633</v>
      </c>
      <c r="AD46" s="819">
        <f t="shared" ca="1" si="5"/>
        <v>246401.62133372473</v>
      </c>
      <c r="AE46" s="308">
        <v>0</v>
      </c>
      <c r="AF46" s="819">
        <f t="shared" ca="1" si="6"/>
        <v>0</v>
      </c>
      <c r="AG46" s="308">
        <v>0</v>
      </c>
      <c r="AH46" s="308">
        <v>0</v>
      </c>
      <c r="AI46" s="308">
        <v>0</v>
      </c>
      <c r="AJ46" s="308">
        <f t="shared" ca="1" si="7"/>
        <v>145589.2576143484</v>
      </c>
      <c r="AK46" s="309">
        <v>0</v>
      </c>
      <c r="AL46" s="309">
        <v>0</v>
      </c>
      <c r="AM46" s="309">
        <f t="shared" si="21"/>
        <v>0</v>
      </c>
      <c r="AN46" s="310">
        <v>0</v>
      </c>
      <c r="AO46" s="310">
        <f t="shared" si="27"/>
        <v>-30000</v>
      </c>
      <c r="AP46" s="310">
        <f t="shared" si="22"/>
        <v>-30000</v>
      </c>
      <c r="AQ46" s="309">
        <v>0</v>
      </c>
      <c r="AR46" s="311">
        <f t="shared" ca="1" si="8"/>
        <v>207764.24360480762</v>
      </c>
      <c r="AS46" s="870">
        <f t="shared" ca="1" si="23"/>
        <v>1963673.2094023211</v>
      </c>
      <c r="AT46" s="822"/>
      <c r="AU46" s="878"/>
      <c r="AV46" s="35"/>
      <c r="AW46" s="879"/>
      <c r="AX46" s="35"/>
      <c r="AY46" s="880"/>
    </row>
    <row r="47" spans="1:51">
      <c r="A47" s="303">
        <v>2038</v>
      </c>
      <c r="B47" s="304">
        <f ca="1">IF($D$3="BAU",UtilityDemand!C40,INDIRECT($D$3&amp;"!B"&amp;ROW(A47))+INDIRECT($D$3&amp;"!D"&amp;ROW(A47)))</f>
        <v>176937.1152403196</v>
      </c>
      <c r="C47" s="305">
        <v>0</v>
      </c>
      <c r="D47" s="306">
        <f t="shared" ca="1" si="10"/>
        <v>0</v>
      </c>
      <c r="E47" s="304">
        <f ca="1">IF($D$3="BAU",UtilityDemand!E40,INDIRECT($D$3&amp;"!E"&amp;ROW(D47))+INDIRECT($D$3&amp;"!G"&amp;ROW(D47)))</f>
        <v>942834.25486941705</v>
      </c>
      <c r="F47" s="305">
        <v>0</v>
      </c>
      <c r="G47" s="306">
        <f t="shared" ca="1" si="11"/>
        <v>0</v>
      </c>
      <c r="H47" s="304">
        <f ca="1">IF($D$3="BAU",UtilityDemand!G40,INDIRECT($D$3&amp;"!H"&amp;ROW(G47))+INDIRECT($D$3&amp;"!J"&amp;ROW(G47)))</f>
        <v>271137.55548754439</v>
      </c>
      <c r="I47" s="305">
        <v>0</v>
      </c>
      <c r="J47" s="306">
        <f t="shared" ca="1" si="24"/>
        <v>0</v>
      </c>
      <c r="K47" s="307">
        <f t="shared" ca="1" si="12"/>
        <v>176937.1152403196</v>
      </c>
      <c r="L47" s="307">
        <f t="shared" si="25"/>
        <v>1036.5999999999999</v>
      </c>
      <c r="M47" s="307">
        <v>0</v>
      </c>
      <c r="N47" s="307">
        <f t="shared" ca="1" si="14"/>
        <v>177973.71524031961</v>
      </c>
      <c r="O47" s="306">
        <f t="shared" ca="1" si="15"/>
        <v>942834.25486941705</v>
      </c>
      <c r="P47" s="306">
        <f t="shared" si="16"/>
        <v>-19465</v>
      </c>
      <c r="Q47" s="306">
        <f t="shared" si="26"/>
        <v>19465</v>
      </c>
      <c r="R47" s="306">
        <f t="shared" ca="1" si="17"/>
        <v>923369.25486941705</v>
      </c>
      <c r="S47" s="818">
        <f t="shared" ca="1" si="18"/>
        <v>271137.55548754439</v>
      </c>
      <c r="T47" s="818">
        <f t="shared" si="19"/>
        <v>0</v>
      </c>
      <c r="U47" s="818">
        <v>0</v>
      </c>
      <c r="V47" s="818">
        <f t="shared" ca="1" si="20"/>
        <v>271137.55548754439</v>
      </c>
      <c r="W47" s="306">
        <f t="shared" si="2"/>
        <v>0</v>
      </c>
      <c r="X47" s="306">
        <f t="shared" ca="1" si="3"/>
        <v>-1361.6171263411916</v>
      </c>
      <c r="Y47" s="306">
        <v>0</v>
      </c>
      <c r="Z47" s="306">
        <v>0</v>
      </c>
      <c r="AA47" s="308">
        <f ca="1">-SUM(W47,X47/OFFSET(GridFootprintbyYear,$A47-$A$19,0)*EF_PurchElec_MTperMWh,Z47)*OFFSET(ExposureCalculations!Price_GHG_Allowance_2010,A47-$A$19,0)*ExposureCalculations!D44</f>
        <v>96747.761256872196</v>
      </c>
      <c r="AB47" s="308">
        <v>0</v>
      </c>
      <c r="AC47" s="308">
        <f t="shared" ca="1" si="4"/>
        <v>-101316.42553797319</v>
      </c>
      <c r="AD47" s="819">
        <f t="shared" ca="1" si="5"/>
        <v>247633.62944039327</v>
      </c>
      <c r="AE47" s="308">
        <v>0</v>
      </c>
      <c r="AF47" s="819">
        <f t="shared" ca="1" si="6"/>
        <v>0</v>
      </c>
      <c r="AG47" s="308">
        <v>0</v>
      </c>
      <c r="AH47" s="308">
        <v>0</v>
      </c>
      <c r="AI47" s="308">
        <v>0</v>
      </c>
      <c r="AJ47" s="308">
        <f t="shared" ca="1" si="7"/>
        <v>146317.20390242006</v>
      </c>
      <c r="AK47" s="309">
        <v>0</v>
      </c>
      <c r="AL47" s="309">
        <v>0</v>
      </c>
      <c r="AM47" s="309">
        <f t="shared" si="21"/>
        <v>0</v>
      </c>
      <c r="AN47" s="310">
        <v>0</v>
      </c>
      <c r="AO47" s="310">
        <f t="shared" si="27"/>
        <v>-30000</v>
      </c>
      <c r="AP47" s="310">
        <f t="shared" si="22"/>
        <v>-30000</v>
      </c>
      <c r="AQ47" s="309">
        <v>0</v>
      </c>
      <c r="AR47" s="311">
        <f t="shared" ca="1" si="8"/>
        <v>213064.96515929227</v>
      </c>
      <c r="AS47" s="870">
        <f t="shared" ca="1" si="23"/>
        <v>2176738.1745616132</v>
      </c>
      <c r="AT47" s="822"/>
      <c r="AU47" s="878"/>
      <c r="AV47" s="35"/>
      <c r="AW47" s="879"/>
      <c r="AX47" s="35"/>
      <c r="AY47" s="880"/>
    </row>
    <row r="48" spans="1:51">
      <c r="A48" s="303">
        <v>2039</v>
      </c>
      <c r="B48" s="304">
        <f ca="1">IF($D$3="BAU",UtilityDemand!C41,INDIRECT($D$3&amp;"!B"&amp;ROW(A48))+INDIRECT($D$3&amp;"!D"&amp;ROW(A48)))</f>
        <v>178513.74084117162</v>
      </c>
      <c r="C48" s="305">
        <v>0</v>
      </c>
      <c r="D48" s="306">
        <f t="shared" ca="1" si="10"/>
        <v>0</v>
      </c>
      <c r="E48" s="304">
        <f ca="1">IF($D$3="BAU",UtilityDemand!E41,INDIRECT($D$3&amp;"!E"&amp;ROW(D48))+INDIRECT($D$3&amp;"!G"&amp;ROW(D48)))</f>
        <v>951220.85399909248</v>
      </c>
      <c r="F48" s="305">
        <v>0</v>
      </c>
      <c r="G48" s="306">
        <f t="shared" ca="1" si="11"/>
        <v>0</v>
      </c>
      <c r="H48" s="304">
        <f ca="1">IF($D$3="BAU",UtilityDemand!G41,INDIRECT($D$3&amp;"!H"&amp;ROW(G48))+INDIRECT($D$3&amp;"!J"&amp;ROW(G48)))</f>
        <v>274202.09005014808</v>
      </c>
      <c r="I48" s="305">
        <v>0</v>
      </c>
      <c r="J48" s="306">
        <f t="shared" ca="1" si="24"/>
        <v>0</v>
      </c>
      <c r="K48" s="307">
        <f t="shared" ca="1" si="12"/>
        <v>178513.74084117162</v>
      </c>
      <c r="L48" s="307">
        <f t="shared" si="25"/>
        <v>1036.5999999999999</v>
      </c>
      <c r="M48" s="307">
        <v>0</v>
      </c>
      <c r="N48" s="307">
        <f t="shared" ca="1" si="14"/>
        <v>179550.34084117162</v>
      </c>
      <c r="O48" s="306">
        <f t="shared" ca="1" si="15"/>
        <v>951220.85399909248</v>
      </c>
      <c r="P48" s="306">
        <f t="shared" si="16"/>
        <v>-19465</v>
      </c>
      <c r="Q48" s="306">
        <f t="shared" si="26"/>
        <v>19465</v>
      </c>
      <c r="R48" s="306">
        <f t="shared" ca="1" si="17"/>
        <v>931755.85399909248</v>
      </c>
      <c r="S48" s="818">
        <f t="shared" ca="1" si="18"/>
        <v>274202.09005014808</v>
      </c>
      <c r="T48" s="818">
        <f t="shared" si="19"/>
        <v>0</v>
      </c>
      <c r="U48" s="818">
        <v>0</v>
      </c>
      <c r="V48" s="818">
        <f t="shared" ca="1" si="20"/>
        <v>274202.09005014808</v>
      </c>
      <c r="W48" s="306">
        <f t="shared" si="2"/>
        <v>0</v>
      </c>
      <c r="X48" s="306">
        <f t="shared" ca="1" si="3"/>
        <v>-1361.6171263411916</v>
      </c>
      <c r="Y48" s="306">
        <v>0</v>
      </c>
      <c r="Z48" s="306">
        <v>0</v>
      </c>
      <c r="AA48" s="308">
        <f ca="1">-SUM(W48,X48/OFFSET(GridFootprintbyYear,$A48-$A$19,0)*EF_PurchElec_MTperMWh,Z48)*OFFSET(ExposureCalculations!Price_GHG_Allowance_2010,A48-$A$19,0)*ExposureCalculations!D45</f>
        <v>101278.2815417424</v>
      </c>
      <c r="AB48" s="308">
        <v>0</v>
      </c>
      <c r="AC48" s="308">
        <f t="shared" ca="1" si="4"/>
        <v>-101823.00766566304</v>
      </c>
      <c r="AD48" s="819">
        <f t="shared" ca="1" si="5"/>
        <v>248871.79758759521</v>
      </c>
      <c r="AE48" s="308">
        <v>0</v>
      </c>
      <c r="AF48" s="819">
        <f t="shared" ca="1" si="6"/>
        <v>0</v>
      </c>
      <c r="AG48" s="308">
        <v>0</v>
      </c>
      <c r="AH48" s="308">
        <v>0</v>
      </c>
      <c r="AI48" s="308">
        <v>0</v>
      </c>
      <c r="AJ48" s="308">
        <f t="shared" ca="1" si="7"/>
        <v>147048.78992193216</v>
      </c>
      <c r="AK48" s="309">
        <v>0</v>
      </c>
      <c r="AL48" s="309">
        <v>0</v>
      </c>
      <c r="AM48" s="309">
        <f t="shared" si="21"/>
        <v>0</v>
      </c>
      <c r="AN48" s="310">
        <v>0</v>
      </c>
      <c r="AO48" s="310">
        <f t="shared" si="27"/>
        <v>-30000</v>
      </c>
      <c r="AP48" s="310">
        <f t="shared" si="22"/>
        <v>-30000</v>
      </c>
      <c r="AQ48" s="309">
        <v>0</v>
      </c>
      <c r="AR48" s="311">
        <f t="shared" ca="1" si="8"/>
        <v>218327.07146367454</v>
      </c>
      <c r="AS48" s="870">
        <f t="shared" ca="1" si="23"/>
        <v>2395065.2460252875</v>
      </c>
      <c r="AT48" s="822"/>
      <c r="AU48" s="878"/>
      <c r="AV48" s="35"/>
      <c r="AW48" s="879"/>
      <c r="AX48" s="35"/>
      <c r="AY48" s="880"/>
    </row>
    <row r="49" spans="1:51">
      <c r="A49" s="303">
        <v>2040</v>
      </c>
      <c r="B49" s="304">
        <f ca="1">IF($D$3="BAU",UtilityDemand!C42,INDIRECT($D$3&amp;"!B"&amp;ROW(A49))+INDIRECT($D$3&amp;"!D"&amp;ROW(A49)))</f>
        <v>180090.36644202363</v>
      </c>
      <c r="C49" s="305">
        <v>0</v>
      </c>
      <c r="D49" s="306">
        <f t="shared" ca="1" si="10"/>
        <v>0</v>
      </c>
      <c r="E49" s="304">
        <f ca="1">IF($D$3="BAU",UtilityDemand!E42,INDIRECT($D$3&amp;"!E"&amp;ROW(D49))+INDIRECT($D$3&amp;"!G"&amp;ROW(D49)))</f>
        <v>959607.45312876778</v>
      </c>
      <c r="F49" s="305">
        <v>0</v>
      </c>
      <c r="G49" s="306">
        <f t="shared" ca="1" si="11"/>
        <v>0</v>
      </c>
      <c r="H49" s="304">
        <f ca="1">IF($D$3="BAU",UtilityDemand!G42,INDIRECT($D$3&amp;"!H"&amp;ROW(G49))+INDIRECT($D$3&amp;"!J"&amp;ROW(G49)))</f>
        <v>277266.62461275177</v>
      </c>
      <c r="I49" s="305">
        <v>0</v>
      </c>
      <c r="J49" s="306">
        <f t="shared" ca="1" si="24"/>
        <v>0</v>
      </c>
      <c r="K49" s="307">
        <f t="shared" ca="1" si="12"/>
        <v>180090.36644202363</v>
      </c>
      <c r="L49" s="307">
        <f t="shared" si="25"/>
        <v>1036.5999999999999</v>
      </c>
      <c r="M49" s="307">
        <v>0</v>
      </c>
      <c r="N49" s="307">
        <f t="shared" ca="1" si="14"/>
        <v>181126.96644202364</v>
      </c>
      <c r="O49" s="306">
        <f t="shared" ca="1" si="15"/>
        <v>959607.45312876778</v>
      </c>
      <c r="P49" s="306">
        <f t="shared" si="16"/>
        <v>-19465</v>
      </c>
      <c r="Q49" s="306">
        <f t="shared" si="26"/>
        <v>19465</v>
      </c>
      <c r="R49" s="306">
        <f t="shared" ca="1" si="17"/>
        <v>940142.45312876778</v>
      </c>
      <c r="S49" s="818">
        <f t="shared" ca="1" si="18"/>
        <v>277266.62461275177</v>
      </c>
      <c r="T49" s="818">
        <f t="shared" si="19"/>
        <v>0</v>
      </c>
      <c r="U49" s="818">
        <v>0</v>
      </c>
      <c r="V49" s="818">
        <f t="shared" ca="1" si="20"/>
        <v>277266.62461275177</v>
      </c>
      <c r="W49" s="306">
        <f t="shared" si="2"/>
        <v>0</v>
      </c>
      <c r="X49" s="306">
        <f t="shared" ca="1" si="3"/>
        <v>-1361.6171263411916</v>
      </c>
      <c r="Y49" s="306">
        <v>0</v>
      </c>
      <c r="Z49" s="306">
        <v>0</v>
      </c>
      <c r="AA49" s="308">
        <f ca="1">-SUM(W49,X49/OFFSET(GridFootprintbyYear,$A49-$A$19,0)*EF_PurchElec_MTperMWh,Z49)*OFFSET(ExposureCalculations!Price_GHG_Allowance_2010,A49-$A$19,0)*ExposureCalculations!D46</f>
        <v>106029.72461586694</v>
      </c>
      <c r="AB49" s="308">
        <v>0</v>
      </c>
      <c r="AC49" s="308">
        <f t="shared" ca="1" si="4"/>
        <v>-102332.12270399135</v>
      </c>
      <c r="AD49" s="819">
        <f t="shared" ca="1" si="5"/>
        <v>250116.15657553315</v>
      </c>
      <c r="AE49" s="308">
        <v>0</v>
      </c>
      <c r="AF49" s="819">
        <f t="shared" ca="1" si="6"/>
        <v>0</v>
      </c>
      <c r="AG49" s="308">
        <v>0</v>
      </c>
      <c r="AH49" s="308">
        <v>0</v>
      </c>
      <c r="AI49" s="308">
        <v>0</v>
      </c>
      <c r="AJ49" s="308">
        <f t="shared" ca="1" si="7"/>
        <v>147784.03387154179</v>
      </c>
      <c r="AK49" s="309">
        <v>0</v>
      </c>
      <c r="AL49" s="309">
        <v>0</v>
      </c>
      <c r="AM49" s="309">
        <f t="shared" si="21"/>
        <v>0</v>
      </c>
      <c r="AN49" s="310">
        <v>0</v>
      </c>
      <c r="AO49" s="310">
        <f t="shared" si="27"/>
        <v>-30000</v>
      </c>
      <c r="AP49" s="310">
        <f t="shared" si="22"/>
        <v>-30000</v>
      </c>
      <c r="AQ49" s="309">
        <v>0</v>
      </c>
      <c r="AR49" s="311">
        <f t="shared" ca="1" si="8"/>
        <v>223813.75848740875</v>
      </c>
      <c r="AS49" s="870">
        <f t="shared" ca="1" si="23"/>
        <v>2618879.0045126965</v>
      </c>
      <c r="AT49" s="822"/>
      <c r="AU49" s="878"/>
      <c r="AV49" s="35"/>
      <c r="AW49" s="879"/>
      <c r="AX49" s="35"/>
      <c r="AY49" s="880"/>
    </row>
    <row r="50" spans="1:51">
      <c r="A50" s="303">
        <v>2041</v>
      </c>
      <c r="B50" s="304">
        <f ca="1">IF($D$3="BAU",UtilityDemand!C43,INDIRECT($D$3&amp;"!B"&amp;ROW(A50))+INDIRECT($D$3&amp;"!D"&amp;ROW(A50)))</f>
        <v>181666.99204287567</v>
      </c>
      <c r="C50" s="305">
        <v>0</v>
      </c>
      <c r="D50" s="306">
        <f t="shared" ca="1" si="10"/>
        <v>0</v>
      </c>
      <c r="E50" s="304">
        <f ca="1">IF($D$3="BAU",UtilityDemand!E43,INDIRECT($D$3&amp;"!E"&amp;ROW(D50))+INDIRECT($D$3&amp;"!G"&amp;ROW(D50)))</f>
        <v>967994.0522584432</v>
      </c>
      <c r="F50" s="305">
        <v>0</v>
      </c>
      <c r="G50" s="306">
        <f t="shared" ca="1" si="11"/>
        <v>0</v>
      </c>
      <c r="H50" s="304">
        <f ca="1">IF($D$3="BAU",UtilityDemand!G43,INDIRECT($D$3&amp;"!H"&amp;ROW(G50))+INDIRECT($D$3&amp;"!J"&amp;ROW(G50)))</f>
        <v>280331.15917535545</v>
      </c>
      <c r="I50" s="305">
        <v>0</v>
      </c>
      <c r="J50" s="306">
        <f t="shared" ca="1" si="24"/>
        <v>0</v>
      </c>
      <c r="K50" s="307">
        <f t="shared" ca="1" si="12"/>
        <v>181666.99204287567</v>
      </c>
      <c r="L50" s="307">
        <f t="shared" si="25"/>
        <v>1036.5999999999999</v>
      </c>
      <c r="M50" s="307">
        <v>0</v>
      </c>
      <c r="N50" s="307">
        <f t="shared" ca="1" si="14"/>
        <v>182703.59204287568</v>
      </c>
      <c r="O50" s="306">
        <f t="shared" ca="1" si="15"/>
        <v>967994.0522584432</v>
      </c>
      <c r="P50" s="306">
        <f t="shared" si="16"/>
        <v>-19465</v>
      </c>
      <c r="Q50" s="306">
        <f t="shared" si="26"/>
        <v>19465</v>
      </c>
      <c r="R50" s="306">
        <f t="shared" ca="1" si="17"/>
        <v>948529.0522584432</v>
      </c>
      <c r="S50" s="818">
        <f t="shared" ca="1" si="18"/>
        <v>280331.15917535545</v>
      </c>
      <c r="T50" s="818">
        <f t="shared" si="19"/>
        <v>0</v>
      </c>
      <c r="U50" s="818">
        <v>0</v>
      </c>
      <c r="V50" s="818">
        <f t="shared" ca="1" si="20"/>
        <v>280331.15917535545</v>
      </c>
      <c r="W50" s="306">
        <f t="shared" si="2"/>
        <v>0</v>
      </c>
      <c r="X50" s="306">
        <f t="shared" ca="1" si="3"/>
        <v>-1361.6171263411916</v>
      </c>
      <c r="Y50" s="306">
        <v>0</v>
      </c>
      <c r="Z50" s="306">
        <v>0</v>
      </c>
      <c r="AA50" s="308">
        <f ca="1">-SUM(W50,X50/OFFSET(GridFootprintbyYear,$A50-$A$19,0)*EF_PurchElec_MTperMWh,Z50)*OFFSET(ExposureCalculations!Price_GHG_Allowance_2010,A50-$A$19,0)*ExposureCalculations!D47</f>
        <v>110632.69965499949</v>
      </c>
      <c r="AB50" s="308">
        <v>0</v>
      </c>
      <c r="AC50" s="308">
        <f t="shared" ca="1" si="4"/>
        <v>-102843.78331751128</v>
      </c>
      <c r="AD50" s="819">
        <f t="shared" ca="1" si="5"/>
        <v>251366.73735841076</v>
      </c>
      <c r="AE50" s="308">
        <v>0</v>
      </c>
      <c r="AF50" s="819">
        <f t="shared" ca="1" si="6"/>
        <v>0</v>
      </c>
      <c r="AG50" s="308">
        <v>0</v>
      </c>
      <c r="AH50" s="308">
        <v>0</v>
      </c>
      <c r="AI50" s="308">
        <v>0</v>
      </c>
      <c r="AJ50" s="308">
        <f t="shared" ca="1" si="7"/>
        <v>148522.95404089947</v>
      </c>
      <c r="AK50" s="309">
        <v>0</v>
      </c>
      <c r="AL50" s="309">
        <v>0</v>
      </c>
      <c r="AM50" s="309">
        <f t="shared" si="21"/>
        <v>0</v>
      </c>
      <c r="AN50" s="310">
        <v>0</v>
      </c>
      <c r="AO50" s="310">
        <f t="shared" si="27"/>
        <v>-30000</v>
      </c>
      <c r="AP50" s="310">
        <f t="shared" si="22"/>
        <v>-30000</v>
      </c>
      <c r="AQ50" s="309">
        <v>0</v>
      </c>
      <c r="AR50" s="311">
        <f t="shared" ca="1" si="8"/>
        <v>229155.65369589895</v>
      </c>
      <c r="AS50" s="870">
        <f t="shared" ca="1" si="23"/>
        <v>2848034.6582085956</v>
      </c>
      <c r="AT50" s="822"/>
      <c r="AU50" s="878"/>
      <c r="AV50" s="35"/>
      <c r="AW50" s="879"/>
      <c r="AX50" s="35"/>
      <c r="AY50" s="880"/>
    </row>
    <row r="51" spans="1:51">
      <c r="A51" s="303">
        <v>2042</v>
      </c>
      <c r="B51" s="304">
        <f ca="1">IF($D$3="BAU",UtilityDemand!C44,INDIRECT($D$3&amp;"!B"&amp;ROW(A51))+INDIRECT($D$3&amp;"!D"&amp;ROW(A51)))</f>
        <v>183243.61764372772</v>
      </c>
      <c r="C51" s="305">
        <v>0</v>
      </c>
      <c r="D51" s="306">
        <f t="shared" ca="1" si="10"/>
        <v>0</v>
      </c>
      <c r="E51" s="304">
        <f ca="1">IF($D$3="BAU",UtilityDemand!E44,INDIRECT($D$3&amp;"!E"&amp;ROW(D51))+INDIRECT($D$3&amp;"!G"&amp;ROW(D51)))</f>
        <v>976380.65138811851</v>
      </c>
      <c r="F51" s="305">
        <v>0</v>
      </c>
      <c r="G51" s="306">
        <f t="shared" ca="1" si="11"/>
        <v>0</v>
      </c>
      <c r="H51" s="304">
        <f ca="1">IF($D$3="BAU",UtilityDemand!G44,INDIRECT($D$3&amp;"!H"&amp;ROW(G51))+INDIRECT($D$3&amp;"!J"&amp;ROW(G51)))</f>
        <v>283395.69373795914</v>
      </c>
      <c r="I51" s="305">
        <v>0</v>
      </c>
      <c r="J51" s="306">
        <f t="shared" ca="1" si="24"/>
        <v>0</v>
      </c>
      <c r="K51" s="307">
        <f t="shared" ca="1" si="12"/>
        <v>183243.61764372772</v>
      </c>
      <c r="L51" s="307">
        <f t="shared" si="25"/>
        <v>1036.5999999999999</v>
      </c>
      <c r="M51" s="307">
        <v>0</v>
      </c>
      <c r="N51" s="307">
        <f t="shared" ca="1" si="14"/>
        <v>184280.21764372772</v>
      </c>
      <c r="O51" s="306">
        <f t="shared" ca="1" si="15"/>
        <v>976380.65138811851</v>
      </c>
      <c r="P51" s="306">
        <f t="shared" si="16"/>
        <v>-19465</v>
      </c>
      <c r="Q51" s="306">
        <f t="shared" si="26"/>
        <v>19465</v>
      </c>
      <c r="R51" s="306">
        <f t="shared" ca="1" si="17"/>
        <v>956915.65138811851</v>
      </c>
      <c r="S51" s="818">
        <f t="shared" ca="1" si="18"/>
        <v>283395.69373795914</v>
      </c>
      <c r="T51" s="818">
        <f t="shared" si="19"/>
        <v>0</v>
      </c>
      <c r="U51" s="818">
        <v>0</v>
      </c>
      <c r="V51" s="818">
        <f t="shared" ca="1" si="20"/>
        <v>283395.69373795914</v>
      </c>
      <c r="W51" s="306">
        <f t="shared" si="2"/>
        <v>0</v>
      </c>
      <c r="X51" s="306">
        <f t="shared" ca="1" si="3"/>
        <v>-1361.6171263411916</v>
      </c>
      <c r="Y51" s="306">
        <v>0</v>
      </c>
      <c r="Z51" s="306">
        <v>0</v>
      </c>
      <c r="AA51" s="308">
        <f ca="1">-SUM(W51,X51/OFFSET(GridFootprintbyYear,$A51-$A$19,0)*EF_PurchElec_MTperMWh,Z51)*OFFSET(ExposureCalculations!Price_GHG_Allowance_2010,A51-$A$19,0)*ExposureCalculations!D48</f>
        <v>115056.31078501794</v>
      </c>
      <c r="AB51" s="308">
        <v>0</v>
      </c>
      <c r="AC51" s="308">
        <f t="shared" ca="1" si="4"/>
        <v>-103358.00223409881</v>
      </c>
      <c r="AD51" s="819">
        <f t="shared" ca="1" si="5"/>
        <v>252623.57104520276</v>
      </c>
      <c r="AE51" s="308">
        <v>0</v>
      </c>
      <c r="AF51" s="819">
        <f t="shared" ca="1" si="6"/>
        <v>0</v>
      </c>
      <c r="AG51" s="308">
        <v>0</v>
      </c>
      <c r="AH51" s="308">
        <v>0</v>
      </c>
      <c r="AI51" s="308">
        <v>0</v>
      </c>
      <c r="AJ51" s="308">
        <f t="shared" ca="1" si="7"/>
        <v>149265.56881110393</v>
      </c>
      <c r="AK51" s="309">
        <v>0</v>
      </c>
      <c r="AL51" s="309">
        <v>0</v>
      </c>
      <c r="AM51" s="309">
        <f t="shared" si="21"/>
        <v>0</v>
      </c>
      <c r="AN51" s="310">
        <v>0</v>
      </c>
      <c r="AO51" s="310">
        <f t="shared" si="27"/>
        <v>-30000</v>
      </c>
      <c r="AP51" s="310">
        <f t="shared" si="22"/>
        <v>-30000</v>
      </c>
      <c r="AQ51" s="309">
        <v>0</v>
      </c>
      <c r="AR51" s="311">
        <f t="shared" ca="1" si="8"/>
        <v>234321.87959612184</v>
      </c>
      <c r="AS51" s="870">
        <f t="shared" ca="1" si="23"/>
        <v>3082356.5378047172</v>
      </c>
      <c r="AT51" s="822"/>
      <c r="AU51" s="878"/>
      <c r="AV51" s="35"/>
      <c r="AW51" s="879"/>
      <c r="AX51" s="35"/>
      <c r="AY51" s="880"/>
    </row>
    <row r="52" spans="1:51">
      <c r="A52" s="303">
        <v>2043</v>
      </c>
      <c r="B52" s="304">
        <f ca="1">IF($D$3="BAU",UtilityDemand!C45,INDIRECT($D$3&amp;"!B"&amp;ROW(A52))+INDIRECT($D$3&amp;"!D"&amp;ROW(A52)))</f>
        <v>184820.24324457973</v>
      </c>
      <c r="C52" s="305">
        <v>0</v>
      </c>
      <c r="D52" s="306">
        <f t="shared" ca="1" si="10"/>
        <v>0</v>
      </c>
      <c r="E52" s="304">
        <f ca="1">IF($D$3="BAU",UtilityDemand!E45,INDIRECT($D$3&amp;"!E"&amp;ROW(D52))+INDIRECT($D$3&amp;"!G"&amp;ROW(D52)))</f>
        <v>984767.25051779393</v>
      </c>
      <c r="F52" s="305">
        <v>0</v>
      </c>
      <c r="G52" s="306">
        <f t="shared" ca="1" si="11"/>
        <v>0</v>
      </c>
      <c r="H52" s="304">
        <f ca="1">IF($D$3="BAU",UtilityDemand!G45,INDIRECT($D$3&amp;"!H"&amp;ROW(G52))+INDIRECT($D$3&amp;"!J"&amp;ROW(G52)))</f>
        <v>286460.22830056283</v>
      </c>
      <c r="I52" s="305">
        <v>0</v>
      </c>
      <c r="J52" s="306">
        <f t="shared" ca="1" si="24"/>
        <v>0</v>
      </c>
      <c r="K52" s="307">
        <f t="shared" ca="1" si="12"/>
        <v>184820.24324457973</v>
      </c>
      <c r="L52" s="307">
        <f t="shared" si="25"/>
        <v>1036.5999999999999</v>
      </c>
      <c r="M52" s="307">
        <v>0</v>
      </c>
      <c r="N52" s="307">
        <f t="shared" ca="1" si="14"/>
        <v>185856.84324457974</v>
      </c>
      <c r="O52" s="306">
        <f t="shared" ca="1" si="15"/>
        <v>984767.25051779393</v>
      </c>
      <c r="P52" s="306">
        <f t="shared" si="16"/>
        <v>-19465</v>
      </c>
      <c r="Q52" s="306">
        <f t="shared" si="26"/>
        <v>19465</v>
      </c>
      <c r="R52" s="306">
        <f t="shared" ca="1" si="17"/>
        <v>965302.25051779393</v>
      </c>
      <c r="S52" s="818">
        <f t="shared" ca="1" si="18"/>
        <v>286460.22830056283</v>
      </c>
      <c r="T52" s="818">
        <f t="shared" si="19"/>
        <v>0</v>
      </c>
      <c r="U52" s="818">
        <v>0</v>
      </c>
      <c r="V52" s="818">
        <f t="shared" ca="1" si="20"/>
        <v>286460.22830056283</v>
      </c>
      <c r="W52" s="306">
        <f t="shared" si="2"/>
        <v>0</v>
      </c>
      <c r="X52" s="306">
        <f t="shared" ca="1" si="3"/>
        <v>-1361.6171263411916</v>
      </c>
      <c r="Y52" s="306">
        <v>0</v>
      </c>
      <c r="Z52" s="306">
        <v>0</v>
      </c>
      <c r="AA52" s="308">
        <f ca="1">-SUM(W52,X52/OFFSET(GridFootprintbyYear,$A52-$A$19,0)*EF_PurchElec_MTperMWh,Z52)*OFFSET(ExposureCalculations!Price_GHG_Allowance_2010,A52-$A$19,0)*ExposureCalculations!D49</f>
        <v>120031.80102597548</v>
      </c>
      <c r="AB52" s="308">
        <v>0</v>
      </c>
      <c r="AC52" s="308">
        <f t="shared" ca="1" si="4"/>
        <v>-103874.7922452693</v>
      </c>
      <c r="AD52" s="819">
        <f t="shared" ca="1" si="5"/>
        <v>253886.68890042877</v>
      </c>
      <c r="AE52" s="308">
        <v>0</v>
      </c>
      <c r="AF52" s="819">
        <f t="shared" ca="1" si="6"/>
        <v>0</v>
      </c>
      <c r="AG52" s="308">
        <v>0</v>
      </c>
      <c r="AH52" s="308">
        <v>0</v>
      </c>
      <c r="AI52" s="308">
        <v>0</v>
      </c>
      <c r="AJ52" s="308">
        <f t="shared" ca="1" si="7"/>
        <v>150011.89665515948</v>
      </c>
      <c r="AK52" s="309">
        <v>0</v>
      </c>
      <c r="AL52" s="309">
        <v>0</v>
      </c>
      <c r="AM52" s="309">
        <f t="shared" si="21"/>
        <v>0</v>
      </c>
      <c r="AN52" s="310">
        <v>0</v>
      </c>
      <c r="AO52" s="310">
        <f t="shared" si="27"/>
        <v>-30000</v>
      </c>
      <c r="AP52" s="310">
        <f t="shared" si="22"/>
        <v>-30000</v>
      </c>
      <c r="AQ52" s="309">
        <v>0</v>
      </c>
      <c r="AR52" s="311">
        <f t="shared" ca="1" si="8"/>
        <v>240043.69768113497</v>
      </c>
      <c r="AS52" s="870">
        <f t="shared" ca="1" si="23"/>
        <v>3322400.2354858522</v>
      </c>
      <c r="AT52" s="822"/>
      <c r="AU52" s="878"/>
      <c r="AV52" s="35"/>
      <c r="AW52" s="879"/>
      <c r="AX52" s="35"/>
      <c r="AY52" s="880"/>
    </row>
    <row r="53" spans="1:51">
      <c r="A53" s="303">
        <v>2044</v>
      </c>
      <c r="B53" s="304">
        <f ca="1">IF($D$3="BAU",UtilityDemand!C46,INDIRECT($D$3&amp;"!B"&amp;ROW(A53))+INDIRECT($D$3&amp;"!D"&amp;ROW(A53)))</f>
        <v>186396.86884543177</v>
      </c>
      <c r="C53" s="305">
        <v>0</v>
      </c>
      <c r="D53" s="306">
        <f t="shared" ca="1" si="10"/>
        <v>0</v>
      </c>
      <c r="E53" s="304">
        <f ca="1">IF($D$3="BAU",UtilityDemand!E46,INDIRECT($D$3&amp;"!E"&amp;ROW(D53))+INDIRECT($D$3&amp;"!G"&amp;ROW(D53)))</f>
        <v>993153.84964746935</v>
      </c>
      <c r="F53" s="305">
        <v>0</v>
      </c>
      <c r="G53" s="306">
        <f t="shared" ca="1" si="11"/>
        <v>0</v>
      </c>
      <c r="H53" s="304">
        <f ca="1">IF($D$3="BAU",UtilityDemand!G46,INDIRECT($D$3&amp;"!H"&amp;ROW(G53))+INDIRECT($D$3&amp;"!J"&amp;ROW(G53)))</f>
        <v>289524.76286316651</v>
      </c>
      <c r="I53" s="305">
        <v>0</v>
      </c>
      <c r="J53" s="306">
        <f t="shared" ca="1" si="24"/>
        <v>0</v>
      </c>
      <c r="K53" s="307">
        <f t="shared" ca="1" si="12"/>
        <v>186396.86884543177</v>
      </c>
      <c r="L53" s="307">
        <f t="shared" si="25"/>
        <v>1036.5999999999999</v>
      </c>
      <c r="M53" s="307">
        <v>0</v>
      </c>
      <c r="N53" s="307">
        <f t="shared" ca="1" si="14"/>
        <v>187433.46884543178</v>
      </c>
      <c r="O53" s="306">
        <f t="shared" ca="1" si="15"/>
        <v>993153.84964746935</v>
      </c>
      <c r="P53" s="306">
        <f t="shared" si="16"/>
        <v>-19465</v>
      </c>
      <c r="Q53" s="306">
        <f t="shared" si="26"/>
        <v>19465</v>
      </c>
      <c r="R53" s="306">
        <f t="shared" ca="1" si="17"/>
        <v>973688.84964746935</v>
      </c>
      <c r="S53" s="818">
        <f t="shared" ca="1" si="18"/>
        <v>289524.76286316651</v>
      </c>
      <c r="T53" s="818">
        <f t="shared" si="19"/>
        <v>0</v>
      </c>
      <c r="U53" s="818">
        <v>0</v>
      </c>
      <c r="V53" s="818">
        <f t="shared" ca="1" si="20"/>
        <v>289524.76286316651</v>
      </c>
      <c r="W53" s="306">
        <f t="shared" si="2"/>
        <v>0</v>
      </c>
      <c r="X53" s="306">
        <f t="shared" ca="1" si="3"/>
        <v>-1361.6171263411916</v>
      </c>
      <c r="Y53" s="306">
        <v>0</v>
      </c>
      <c r="Z53" s="306">
        <v>0</v>
      </c>
      <c r="AA53" s="308">
        <f ca="1">-SUM(W53,X53/OFFSET(GridFootprintbyYear,$A53-$A$19,0)*EF_PurchElec_MTperMWh,Z53)*OFFSET(ExposureCalculations!Price_GHG_Allowance_2010,A53-$A$19,0)*ExposureCalculations!D50</f>
        <v>125671.625116451</v>
      </c>
      <c r="AB53" s="308">
        <v>0</v>
      </c>
      <c r="AC53" s="308">
        <f t="shared" ca="1" si="4"/>
        <v>-104394.16620649563</v>
      </c>
      <c r="AD53" s="819">
        <f t="shared" ca="1" si="5"/>
        <v>255156.12234493089</v>
      </c>
      <c r="AE53" s="308">
        <v>0</v>
      </c>
      <c r="AF53" s="819">
        <f t="shared" ca="1" si="6"/>
        <v>0</v>
      </c>
      <c r="AG53" s="308">
        <v>0</v>
      </c>
      <c r="AH53" s="308">
        <v>0</v>
      </c>
      <c r="AI53" s="308">
        <v>0</v>
      </c>
      <c r="AJ53" s="308">
        <f t="shared" ca="1" si="7"/>
        <v>150761.95613843526</v>
      </c>
      <c r="AK53" s="309">
        <v>0</v>
      </c>
      <c r="AL53" s="309">
        <v>0</v>
      </c>
      <c r="AM53" s="309">
        <f t="shared" si="21"/>
        <v>0</v>
      </c>
      <c r="AN53" s="310">
        <v>0</v>
      </c>
      <c r="AO53" s="310">
        <f t="shared" si="27"/>
        <v>-30000</v>
      </c>
      <c r="AP53" s="310">
        <f t="shared" si="22"/>
        <v>-30000</v>
      </c>
      <c r="AQ53" s="309">
        <v>0</v>
      </c>
      <c r="AR53" s="311">
        <f t="shared" ca="1" si="8"/>
        <v>246433.58125488623</v>
      </c>
      <c r="AS53" s="870">
        <f t="shared" ca="1" si="23"/>
        <v>3568833.8167407382</v>
      </c>
      <c r="AT53" s="822"/>
      <c r="AU53" s="878"/>
      <c r="AV53" s="35"/>
      <c r="AW53" s="879"/>
      <c r="AX53" s="35"/>
      <c r="AY53" s="880"/>
    </row>
    <row r="54" spans="1:51">
      <c r="A54" s="303">
        <v>2045</v>
      </c>
      <c r="B54" s="304">
        <f ca="1">IF($D$3="BAU",UtilityDemand!C47,INDIRECT($D$3&amp;"!B"&amp;ROW(A54))+INDIRECT($D$3&amp;"!D"&amp;ROW(A54)))</f>
        <v>187973.49444628376</v>
      </c>
      <c r="C54" s="305">
        <v>0</v>
      </c>
      <c r="D54" s="306">
        <f t="shared" ca="1" si="10"/>
        <v>0</v>
      </c>
      <c r="E54" s="304">
        <f ca="1">IF($D$3="BAU",UtilityDemand!E47,INDIRECT($D$3&amp;"!E"&amp;ROW(D54))+INDIRECT($D$3&amp;"!G"&amp;ROW(D54)))</f>
        <v>1001540.4487771448</v>
      </c>
      <c r="F54" s="305">
        <v>0</v>
      </c>
      <c r="G54" s="306">
        <f t="shared" ca="1" si="11"/>
        <v>0</v>
      </c>
      <c r="H54" s="304">
        <f ca="1">IF($D$3="BAU",UtilityDemand!G47,INDIRECT($D$3&amp;"!H"&amp;ROW(G54))+INDIRECT($D$3&amp;"!J"&amp;ROW(G54)))</f>
        <v>292589.2974257702</v>
      </c>
      <c r="I54" s="305">
        <v>0</v>
      </c>
      <c r="J54" s="306">
        <f t="shared" ca="1" si="24"/>
        <v>0</v>
      </c>
      <c r="K54" s="307">
        <f t="shared" ca="1" si="12"/>
        <v>187973.49444628376</v>
      </c>
      <c r="L54" s="307">
        <f t="shared" si="25"/>
        <v>1036.5999999999999</v>
      </c>
      <c r="M54" s="307">
        <v>0</v>
      </c>
      <c r="N54" s="307">
        <f t="shared" ca="1" si="14"/>
        <v>189010.09444628377</v>
      </c>
      <c r="O54" s="306">
        <f t="shared" ca="1" si="15"/>
        <v>1001540.4487771448</v>
      </c>
      <c r="P54" s="306">
        <f t="shared" si="16"/>
        <v>-19465</v>
      </c>
      <c r="Q54" s="306">
        <f t="shared" si="26"/>
        <v>19465</v>
      </c>
      <c r="R54" s="306">
        <f t="shared" ca="1" si="17"/>
        <v>982075.44877714477</v>
      </c>
      <c r="S54" s="818">
        <f t="shared" ca="1" si="18"/>
        <v>292589.2974257702</v>
      </c>
      <c r="T54" s="818">
        <f t="shared" si="19"/>
        <v>0</v>
      </c>
      <c r="U54" s="818">
        <v>0</v>
      </c>
      <c r="V54" s="818">
        <f t="shared" ca="1" si="20"/>
        <v>292589.2974257702</v>
      </c>
      <c r="W54" s="306">
        <f t="shared" si="2"/>
        <v>0</v>
      </c>
      <c r="X54" s="306">
        <f t="shared" ca="1" si="3"/>
        <v>-1361.6171263411916</v>
      </c>
      <c r="Y54" s="306">
        <v>0</v>
      </c>
      <c r="Z54" s="306">
        <v>0</v>
      </c>
      <c r="AA54" s="308">
        <f ca="1">-SUM(W54,X54/OFFSET(GridFootprintbyYear,$A54-$A$19,0)*EF_PurchElec_MTperMWh,Z54)*OFFSET(ExposureCalculations!Price_GHG_Allowance_2010,A54-$A$19,0)*ExposureCalculations!D51</f>
        <v>132136.90588114591</v>
      </c>
      <c r="AB54" s="308">
        <v>0</v>
      </c>
      <c r="AC54" s="308">
        <f t="shared" ca="1" si="4"/>
        <v>-104916.1370375281</v>
      </c>
      <c r="AD54" s="819">
        <f t="shared" ca="1" si="5"/>
        <v>256431.90295665548</v>
      </c>
      <c r="AE54" s="308">
        <v>0</v>
      </c>
      <c r="AF54" s="819">
        <f t="shared" ca="1" si="6"/>
        <v>0</v>
      </c>
      <c r="AG54" s="308">
        <v>0</v>
      </c>
      <c r="AH54" s="308">
        <v>0</v>
      </c>
      <c r="AI54" s="308">
        <v>0</v>
      </c>
      <c r="AJ54" s="308">
        <f t="shared" ca="1" si="7"/>
        <v>151515.76591912739</v>
      </c>
      <c r="AK54" s="309">
        <v>0</v>
      </c>
      <c r="AL54" s="309">
        <v>0</v>
      </c>
      <c r="AM54" s="309">
        <f t="shared" si="21"/>
        <v>0</v>
      </c>
      <c r="AN54" s="310">
        <v>0</v>
      </c>
      <c r="AO54" s="310">
        <f t="shared" si="27"/>
        <v>-30000</v>
      </c>
      <c r="AP54" s="310">
        <f t="shared" si="22"/>
        <v>-30000</v>
      </c>
      <c r="AQ54" s="309">
        <v>0</v>
      </c>
      <c r="AR54" s="311">
        <f t="shared" ca="1" si="8"/>
        <v>253652.6718002733</v>
      </c>
      <c r="AS54" s="870">
        <f t="shared" ca="1" si="23"/>
        <v>3822486.4885410117</v>
      </c>
      <c r="AT54" s="822"/>
      <c r="AU54" s="878"/>
      <c r="AV54" s="35"/>
      <c r="AW54" s="879"/>
      <c r="AX54" s="35"/>
      <c r="AY54" s="880"/>
    </row>
    <row r="55" spans="1:51">
      <c r="A55" s="303">
        <v>2046</v>
      </c>
      <c r="B55" s="304">
        <f ca="1">IF($D$3="BAU",UtilityDemand!C48,INDIRECT($D$3&amp;"!B"&amp;ROW(A55))+INDIRECT($D$3&amp;"!D"&amp;ROW(A55)))</f>
        <v>189550.12004713583</v>
      </c>
      <c r="C55" s="305">
        <v>0</v>
      </c>
      <c r="D55" s="306">
        <f t="shared" ca="1" si="10"/>
        <v>0</v>
      </c>
      <c r="E55" s="304">
        <f ca="1">IF($D$3="BAU",UtilityDemand!E48,INDIRECT($D$3&amp;"!E"&amp;ROW(D55))+INDIRECT($D$3&amp;"!G"&amp;ROW(D55)))</f>
        <v>1009927.04790682</v>
      </c>
      <c r="F55" s="305">
        <v>0</v>
      </c>
      <c r="G55" s="306">
        <f t="shared" ca="1" si="11"/>
        <v>0</v>
      </c>
      <c r="H55" s="304">
        <f ca="1">IF($D$3="BAU",UtilityDemand!G48,INDIRECT($D$3&amp;"!H"&amp;ROW(G55))+INDIRECT($D$3&amp;"!J"&amp;ROW(G55)))</f>
        <v>295653.83198837389</v>
      </c>
      <c r="I55" s="305">
        <v>0</v>
      </c>
      <c r="J55" s="306">
        <f t="shared" ca="1" si="24"/>
        <v>0</v>
      </c>
      <c r="K55" s="307">
        <f t="shared" ca="1" si="12"/>
        <v>189550.12004713583</v>
      </c>
      <c r="L55" s="307">
        <f t="shared" si="25"/>
        <v>1036.5999999999999</v>
      </c>
      <c r="M55" s="307">
        <v>0</v>
      </c>
      <c r="N55" s="307">
        <f t="shared" ca="1" si="14"/>
        <v>190586.72004713584</v>
      </c>
      <c r="O55" s="306">
        <f t="shared" ca="1" si="15"/>
        <v>1009927.04790682</v>
      </c>
      <c r="P55" s="306">
        <f t="shared" si="16"/>
        <v>-19465</v>
      </c>
      <c r="Q55" s="306">
        <f t="shared" si="26"/>
        <v>19465</v>
      </c>
      <c r="R55" s="306">
        <f t="shared" ca="1" si="17"/>
        <v>990462.04790681996</v>
      </c>
      <c r="S55" s="818">
        <f t="shared" ca="1" si="18"/>
        <v>295653.83198837389</v>
      </c>
      <c r="T55" s="818">
        <f t="shared" si="19"/>
        <v>0</v>
      </c>
      <c r="U55" s="818">
        <v>0</v>
      </c>
      <c r="V55" s="818">
        <f t="shared" ca="1" si="20"/>
        <v>295653.83198837389</v>
      </c>
      <c r="W55" s="306">
        <f t="shared" si="2"/>
        <v>0</v>
      </c>
      <c r="X55" s="306">
        <f t="shared" ca="1" si="3"/>
        <v>-1361.6171263411916</v>
      </c>
      <c r="Y55" s="306">
        <v>0</v>
      </c>
      <c r="Z55" s="306">
        <v>0</v>
      </c>
      <c r="AA55" s="308">
        <f ca="1">-SUM(W55,X55/OFFSET(GridFootprintbyYear,$A55-$A$19,0)*EF_PurchElec_MTperMWh,Z55)*OFFSET(ExposureCalculations!Price_GHG_Allowance_2010,A55-$A$19,0)*ExposureCalculations!D52</f>
        <v>139036.3037570233</v>
      </c>
      <c r="AB55" s="308">
        <v>0</v>
      </c>
      <c r="AC55" s="308">
        <f t="shared" ca="1" si="4"/>
        <v>-105440.71772271571</v>
      </c>
      <c r="AD55" s="819">
        <f t="shared" ca="1" si="5"/>
        <v>257714.06247143866</v>
      </c>
      <c r="AE55" s="308">
        <v>0</v>
      </c>
      <c r="AF55" s="819">
        <f t="shared" ca="1" si="6"/>
        <v>0</v>
      </c>
      <c r="AG55" s="308">
        <v>0</v>
      </c>
      <c r="AH55" s="308">
        <v>0</v>
      </c>
      <c r="AI55" s="308">
        <v>0</v>
      </c>
      <c r="AJ55" s="308">
        <f t="shared" ca="1" si="7"/>
        <v>152273.34474872297</v>
      </c>
      <c r="AK55" s="309">
        <v>0</v>
      </c>
      <c r="AL55" s="309">
        <v>0</v>
      </c>
      <c r="AM55" s="309">
        <f t="shared" si="21"/>
        <v>0</v>
      </c>
      <c r="AN55" s="310">
        <v>0</v>
      </c>
      <c r="AO55" s="310">
        <f t="shared" si="27"/>
        <v>-30000</v>
      </c>
      <c r="AP55" s="310">
        <f t="shared" si="22"/>
        <v>-30000</v>
      </c>
      <c r="AQ55" s="309">
        <v>0</v>
      </c>
      <c r="AR55" s="311">
        <f t="shared" ca="1" si="8"/>
        <v>261309.64850574627</v>
      </c>
      <c r="AS55" s="870">
        <f t="shared" ca="1" si="23"/>
        <v>4083796.1370467581</v>
      </c>
      <c r="AT55" s="822"/>
      <c r="AU55" s="878"/>
      <c r="AV55" s="35"/>
      <c r="AW55" s="879"/>
      <c r="AX55" s="35"/>
      <c r="AY55" s="880"/>
    </row>
    <row r="56" spans="1:51">
      <c r="A56" s="303">
        <v>2047</v>
      </c>
      <c r="B56" s="304">
        <f ca="1">IF($D$3="BAU",UtilityDemand!C49,INDIRECT($D$3&amp;"!B"&amp;ROW(A56))+INDIRECT($D$3&amp;"!D"&amp;ROW(A56)))</f>
        <v>191126.74564798782</v>
      </c>
      <c r="C56" s="305">
        <v>0</v>
      </c>
      <c r="D56" s="306">
        <f t="shared" ca="1" si="10"/>
        <v>0</v>
      </c>
      <c r="E56" s="304">
        <f ca="1">IF($D$3="BAU",UtilityDemand!E49,INDIRECT($D$3&amp;"!E"&amp;ROW(D56))+INDIRECT($D$3&amp;"!G"&amp;ROW(D56)))</f>
        <v>1018313.6470364953</v>
      </c>
      <c r="F56" s="305">
        <v>0</v>
      </c>
      <c r="G56" s="306">
        <f t="shared" ca="1" si="11"/>
        <v>0</v>
      </c>
      <c r="H56" s="304">
        <f ca="1">IF($D$3="BAU",UtilityDemand!G49,INDIRECT($D$3&amp;"!H"&amp;ROW(G56))+INDIRECT($D$3&amp;"!J"&amp;ROW(G56)))</f>
        <v>298718.36655097757</v>
      </c>
      <c r="I56" s="305">
        <v>0</v>
      </c>
      <c r="J56" s="306">
        <f t="shared" ca="1" si="24"/>
        <v>0</v>
      </c>
      <c r="K56" s="307">
        <f t="shared" ca="1" si="12"/>
        <v>191126.74564798782</v>
      </c>
      <c r="L56" s="307">
        <f t="shared" si="25"/>
        <v>1036.5999999999999</v>
      </c>
      <c r="M56" s="307">
        <v>0</v>
      </c>
      <c r="N56" s="307">
        <f t="shared" ca="1" si="14"/>
        <v>192163.34564798782</v>
      </c>
      <c r="O56" s="306">
        <f t="shared" ca="1" si="15"/>
        <v>1018313.6470364953</v>
      </c>
      <c r="P56" s="306">
        <f t="shared" si="16"/>
        <v>-19465</v>
      </c>
      <c r="Q56" s="306">
        <f t="shared" si="26"/>
        <v>19465</v>
      </c>
      <c r="R56" s="306">
        <f t="shared" ca="1" si="17"/>
        <v>998848.64703649527</v>
      </c>
      <c r="S56" s="818">
        <f t="shared" ca="1" si="18"/>
        <v>298718.36655097757</v>
      </c>
      <c r="T56" s="818">
        <f t="shared" si="19"/>
        <v>0</v>
      </c>
      <c r="U56" s="818">
        <v>0</v>
      </c>
      <c r="V56" s="818">
        <f t="shared" ca="1" si="20"/>
        <v>298718.36655097757</v>
      </c>
      <c r="W56" s="306">
        <f t="shared" si="2"/>
        <v>0</v>
      </c>
      <c r="X56" s="306">
        <f t="shared" ca="1" si="3"/>
        <v>-1361.6171263411916</v>
      </c>
      <c r="Y56" s="306">
        <v>0</v>
      </c>
      <c r="Z56" s="306">
        <v>0</v>
      </c>
      <c r="AA56" s="308">
        <f ca="1">-SUM(W56,X56/OFFSET(GridFootprintbyYear,$A56-$A$19,0)*EF_PurchElec_MTperMWh,Z56)*OFFSET(ExposureCalculations!Price_GHG_Allowance_2010,A56-$A$19,0)*ExposureCalculations!D53</f>
        <v>146424.14906116651</v>
      </c>
      <c r="AB56" s="308">
        <v>0</v>
      </c>
      <c r="AC56" s="308">
        <f t="shared" ca="1" si="4"/>
        <v>-105967.92131132926</v>
      </c>
      <c r="AD56" s="819">
        <f t="shared" ca="1" si="5"/>
        <v>259002.63278379579</v>
      </c>
      <c r="AE56" s="308">
        <v>0</v>
      </c>
      <c r="AF56" s="819">
        <f t="shared" ca="1" si="6"/>
        <v>0</v>
      </c>
      <c r="AG56" s="308">
        <v>0</v>
      </c>
      <c r="AH56" s="308">
        <v>0</v>
      </c>
      <c r="AI56" s="308">
        <v>0</v>
      </c>
      <c r="AJ56" s="308">
        <f t="shared" ca="1" si="7"/>
        <v>153034.71147246653</v>
      </c>
      <c r="AK56" s="309">
        <v>0</v>
      </c>
      <c r="AL56" s="309">
        <v>0</v>
      </c>
      <c r="AM56" s="309">
        <f t="shared" si="21"/>
        <v>0</v>
      </c>
      <c r="AN56" s="310">
        <v>0</v>
      </c>
      <c r="AO56" s="310">
        <f t="shared" si="27"/>
        <v>-30000</v>
      </c>
      <c r="AP56" s="310">
        <f t="shared" si="22"/>
        <v>-30000</v>
      </c>
      <c r="AQ56" s="309">
        <v>0</v>
      </c>
      <c r="AR56" s="311">
        <f t="shared" ca="1" si="8"/>
        <v>269458.86053363304</v>
      </c>
      <c r="AS56" s="870">
        <f t="shared" ca="1" si="23"/>
        <v>4353254.9975803914</v>
      </c>
      <c r="AT56" s="822"/>
      <c r="AU56" s="878"/>
      <c r="AV56" s="35"/>
      <c r="AW56" s="879"/>
      <c r="AX56" s="35"/>
      <c r="AY56" s="880"/>
    </row>
    <row r="57" spans="1:51">
      <c r="A57" s="303">
        <v>2048</v>
      </c>
      <c r="B57" s="304">
        <f ca="1">IF($D$3="BAU",UtilityDemand!C50,INDIRECT($D$3&amp;"!B"&amp;ROW(A57))+INDIRECT($D$3&amp;"!D"&amp;ROW(A57)))</f>
        <v>192703.37124883989</v>
      </c>
      <c r="C57" s="305">
        <v>0</v>
      </c>
      <c r="D57" s="306">
        <f t="shared" ca="1" si="10"/>
        <v>0</v>
      </c>
      <c r="E57" s="304">
        <f ca="1">IF($D$3="BAU",UtilityDemand!E50,INDIRECT($D$3&amp;"!E"&amp;ROW(D57))+INDIRECT($D$3&amp;"!G"&amp;ROW(D57)))</f>
        <v>1026700.2461661708</v>
      </c>
      <c r="F57" s="305">
        <v>0</v>
      </c>
      <c r="G57" s="306">
        <f t="shared" ca="1" si="11"/>
        <v>0</v>
      </c>
      <c r="H57" s="304">
        <f ca="1">IF($D$3="BAU",UtilityDemand!G50,INDIRECT($D$3&amp;"!H"&amp;ROW(G57))+INDIRECT($D$3&amp;"!J"&amp;ROW(G57)))</f>
        <v>301782.90111358126</v>
      </c>
      <c r="I57" s="305">
        <v>0</v>
      </c>
      <c r="J57" s="306">
        <f t="shared" ca="1" si="24"/>
        <v>0</v>
      </c>
      <c r="K57" s="307">
        <f t="shared" ca="1" si="12"/>
        <v>192703.37124883989</v>
      </c>
      <c r="L57" s="307">
        <f t="shared" si="25"/>
        <v>1036.5999999999999</v>
      </c>
      <c r="M57" s="307">
        <v>0</v>
      </c>
      <c r="N57" s="307">
        <f t="shared" ca="1" si="14"/>
        <v>193739.97124883989</v>
      </c>
      <c r="O57" s="306">
        <f t="shared" ca="1" si="15"/>
        <v>1026700.2461661708</v>
      </c>
      <c r="P57" s="306">
        <f t="shared" si="16"/>
        <v>-19465</v>
      </c>
      <c r="Q57" s="306">
        <f t="shared" si="26"/>
        <v>19465</v>
      </c>
      <c r="R57" s="306">
        <f t="shared" ca="1" si="17"/>
        <v>1007235.2461661708</v>
      </c>
      <c r="S57" s="818">
        <f t="shared" ca="1" si="18"/>
        <v>301782.90111358126</v>
      </c>
      <c r="T57" s="818">
        <f t="shared" si="19"/>
        <v>0</v>
      </c>
      <c r="U57" s="818">
        <v>0</v>
      </c>
      <c r="V57" s="818">
        <f t="shared" ca="1" si="20"/>
        <v>301782.90111358126</v>
      </c>
      <c r="W57" s="306">
        <f t="shared" si="2"/>
        <v>0</v>
      </c>
      <c r="X57" s="306">
        <f t="shared" ca="1" si="3"/>
        <v>-1361.6171263411916</v>
      </c>
      <c r="Y57" s="306">
        <v>0</v>
      </c>
      <c r="Z57" s="306">
        <v>0</v>
      </c>
      <c r="AA57" s="308">
        <f ca="1">-SUM(W57,X57/OFFSET(GridFootprintbyYear,$A57-$A$19,0)*EF_PurchElec_MTperMWh,Z57)*OFFSET(ExposureCalculations!Price_GHG_Allowance_2010,A57-$A$19,0)*ExposureCalculations!D54</f>
        <v>154359.33905236665</v>
      </c>
      <c r="AB57" s="308">
        <v>0</v>
      </c>
      <c r="AC57" s="308">
        <f t="shared" ca="1" si="4"/>
        <v>-106497.7609178859</v>
      </c>
      <c r="AD57" s="819">
        <f t="shared" ca="1" si="5"/>
        <v>260297.6459477148</v>
      </c>
      <c r="AE57" s="308">
        <v>0</v>
      </c>
      <c r="AF57" s="819">
        <f t="shared" ca="1" si="6"/>
        <v>0</v>
      </c>
      <c r="AG57" s="308">
        <v>0</v>
      </c>
      <c r="AH57" s="308">
        <v>0</v>
      </c>
      <c r="AI57" s="308">
        <v>0</v>
      </c>
      <c r="AJ57" s="308">
        <f t="shared" ca="1" si="7"/>
        <v>153799.8850298289</v>
      </c>
      <c r="AK57" s="309">
        <v>0</v>
      </c>
      <c r="AL57" s="309">
        <v>0</v>
      </c>
      <c r="AM57" s="309">
        <f t="shared" si="21"/>
        <v>0</v>
      </c>
      <c r="AN57" s="310">
        <v>0</v>
      </c>
      <c r="AO57" s="310">
        <f t="shared" si="27"/>
        <v>-30000</v>
      </c>
      <c r="AP57" s="310">
        <f t="shared" si="22"/>
        <v>-30000</v>
      </c>
      <c r="AQ57" s="309">
        <v>0</v>
      </c>
      <c r="AR57" s="311">
        <f t="shared" ca="1" si="8"/>
        <v>278159.22408219555</v>
      </c>
      <c r="AS57" s="870">
        <f t="shared" ca="1" si="23"/>
        <v>4631414.2216625866</v>
      </c>
      <c r="AT57" s="822"/>
      <c r="AU57" s="878"/>
      <c r="AV57" s="35"/>
      <c r="AW57" s="879"/>
      <c r="AX57" s="35"/>
      <c r="AY57" s="880"/>
    </row>
    <row r="58" spans="1:51">
      <c r="A58" s="303">
        <v>2049</v>
      </c>
      <c r="B58" s="304">
        <f ca="1">IF($D$3="BAU",UtilityDemand!C51,INDIRECT($D$3&amp;"!B"&amp;ROW(A58))+INDIRECT($D$3&amp;"!D"&amp;ROW(A58)))</f>
        <v>194279.99684969187</v>
      </c>
      <c r="C58" s="305">
        <v>0</v>
      </c>
      <c r="D58" s="306">
        <f t="shared" ca="1" si="10"/>
        <v>0</v>
      </c>
      <c r="E58" s="304">
        <f ca="1">IF($D$3="BAU",UtilityDemand!E51,INDIRECT($D$3&amp;"!E"&amp;ROW(D58))+INDIRECT($D$3&amp;"!G"&amp;ROW(D58)))</f>
        <v>1035086.8452958462</v>
      </c>
      <c r="F58" s="305">
        <v>0</v>
      </c>
      <c r="G58" s="306">
        <f t="shared" ca="1" si="11"/>
        <v>0</v>
      </c>
      <c r="H58" s="304">
        <f ca="1">IF($D$3="BAU",UtilityDemand!G51,INDIRECT($D$3&amp;"!H"&amp;ROW(G58))+INDIRECT($D$3&amp;"!J"&amp;ROW(G58)))</f>
        <v>304847.43567618495</v>
      </c>
      <c r="I58" s="305">
        <v>0</v>
      </c>
      <c r="J58" s="306">
        <f t="shared" ca="1" si="24"/>
        <v>0</v>
      </c>
      <c r="K58" s="307">
        <f t="shared" ca="1" si="12"/>
        <v>194279.99684969187</v>
      </c>
      <c r="L58" s="307">
        <f t="shared" si="25"/>
        <v>1036.5999999999999</v>
      </c>
      <c r="M58" s="307">
        <v>0</v>
      </c>
      <c r="N58" s="307">
        <f t="shared" ca="1" si="14"/>
        <v>195316.59684969188</v>
      </c>
      <c r="O58" s="306">
        <f t="shared" ca="1" si="15"/>
        <v>1035086.8452958462</v>
      </c>
      <c r="P58" s="306">
        <f t="shared" si="16"/>
        <v>-19465</v>
      </c>
      <c r="Q58" s="306">
        <f t="shared" si="26"/>
        <v>19465</v>
      </c>
      <c r="R58" s="306">
        <f t="shared" ca="1" si="17"/>
        <v>1015621.8452958462</v>
      </c>
      <c r="S58" s="818">
        <f t="shared" ca="1" si="18"/>
        <v>304847.43567618495</v>
      </c>
      <c r="T58" s="818">
        <f t="shared" si="19"/>
        <v>0</v>
      </c>
      <c r="U58" s="818">
        <v>0</v>
      </c>
      <c r="V58" s="818">
        <f t="shared" ca="1" si="20"/>
        <v>304847.43567618495</v>
      </c>
      <c r="W58" s="306">
        <f t="shared" si="2"/>
        <v>0</v>
      </c>
      <c r="X58" s="306">
        <f t="shared" ca="1" si="3"/>
        <v>-1361.6171263411916</v>
      </c>
      <c r="Y58" s="306">
        <v>0</v>
      </c>
      <c r="Z58" s="306">
        <v>0</v>
      </c>
      <c r="AA58" s="308">
        <f ca="1">-SUM(W58,X58/OFFSET(GridFootprintbyYear,$A58-$A$19,0)*EF_PurchElec_MTperMWh,Z58)*OFFSET(ExposureCalculations!Price_GHG_Allowance_2010,A58-$A$19,0)*ExposureCalculations!D55</f>
        <v>162904.8588612818</v>
      </c>
      <c r="AB58" s="308">
        <v>0</v>
      </c>
      <c r="AC58" s="308">
        <f t="shared" ca="1" si="4"/>
        <v>-107030.24972247532</v>
      </c>
      <c r="AD58" s="819">
        <f t="shared" ca="1" si="5"/>
        <v>261599.13417745332</v>
      </c>
      <c r="AE58" s="308">
        <v>0</v>
      </c>
      <c r="AF58" s="819">
        <f t="shared" ca="1" si="6"/>
        <v>0</v>
      </c>
      <c r="AG58" s="308">
        <v>0</v>
      </c>
      <c r="AH58" s="308">
        <v>0</v>
      </c>
      <c r="AI58" s="308">
        <v>0</v>
      </c>
      <c r="AJ58" s="308">
        <f t="shared" ca="1" si="7"/>
        <v>154568.88445497799</v>
      </c>
      <c r="AK58" s="309">
        <v>0</v>
      </c>
      <c r="AL58" s="309">
        <v>0</v>
      </c>
      <c r="AM58" s="309">
        <f t="shared" si="21"/>
        <v>0</v>
      </c>
      <c r="AN58" s="310">
        <v>0</v>
      </c>
      <c r="AO58" s="310">
        <f t="shared" si="27"/>
        <v>-30000</v>
      </c>
      <c r="AP58" s="310">
        <f t="shared" si="22"/>
        <v>-30000</v>
      </c>
      <c r="AQ58" s="309">
        <v>0</v>
      </c>
      <c r="AR58" s="311">
        <f t="shared" ca="1" si="8"/>
        <v>287473.74331625982</v>
      </c>
      <c r="AS58" s="870">
        <f t="shared" ca="1" si="23"/>
        <v>4918887.9649788467</v>
      </c>
      <c r="AT58" s="822"/>
      <c r="AU58" s="881"/>
      <c r="AV58" s="882"/>
      <c r="AW58" s="883"/>
      <c r="AX58" s="882"/>
      <c r="AY58" s="884"/>
    </row>
    <row r="59" spans="1:51">
      <c r="A59" s="303">
        <v>2050</v>
      </c>
      <c r="B59" s="304">
        <f ca="1">IF($D$3="BAU",UtilityDemand!C52,INDIRECT($D$3&amp;"!B"&amp;ROW(A59))+INDIRECT($D$3&amp;"!D"&amp;ROW(A59)))</f>
        <v>195856.62245054395</v>
      </c>
      <c r="C59" s="305">
        <v>0</v>
      </c>
      <c r="D59" s="306">
        <f t="shared" ca="1" si="10"/>
        <v>0</v>
      </c>
      <c r="E59" s="304">
        <f ca="1">IF($D$3="BAU",UtilityDemand!E52,INDIRECT($D$3&amp;"!E"&amp;ROW(D59))+INDIRECT($D$3&amp;"!G"&amp;ROW(D59)))</f>
        <v>1043473.4444255217</v>
      </c>
      <c r="F59" s="305">
        <v>0</v>
      </c>
      <c r="G59" s="306">
        <f t="shared" ca="1" si="11"/>
        <v>0</v>
      </c>
      <c r="H59" s="304">
        <f ca="1">IF($D$3="BAU",UtilityDemand!G52,INDIRECT($D$3&amp;"!H"&amp;ROW(G59))+INDIRECT($D$3&amp;"!J"&amp;ROW(G59)))</f>
        <v>307911.97023878864</v>
      </c>
      <c r="I59" s="305">
        <v>0</v>
      </c>
      <c r="J59" s="306">
        <f t="shared" ca="1" si="24"/>
        <v>0</v>
      </c>
      <c r="K59" s="307">
        <f t="shared" ca="1" si="12"/>
        <v>195856.62245054395</v>
      </c>
      <c r="L59" s="307">
        <f t="shared" si="25"/>
        <v>1036.5999999999999</v>
      </c>
      <c r="M59" s="307">
        <v>0</v>
      </c>
      <c r="N59" s="307">
        <f t="shared" ca="1" si="14"/>
        <v>196893.22245054395</v>
      </c>
      <c r="O59" s="306">
        <f t="shared" ca="1" si="15"/>
        <v>1043473.4444255217</v>
      </c>
      <c r="P59" s="306">
        <f t="shared" si="16"/>
        <v>-19465</v>
      </c>
      <c r="Q59" s="306">
        <f t="shared" si="26"/>
        <v>19465</v>
      </c>
      <c r="R59" s="306">
        <f t="shared" ca="1" si="17"/>
        <v>1024008.4444255217</v>
      </c>
      <c r="S59" s="818">
        <f t="shared" ca="1" si="18"/>
        <v>307911.97023878864</v>
      </c>
      <c r="T59" s="818">
        <f t="shared" si="19"/>
        <v>0</v>
      </c>
      <c r="U59" s="818">
        <v>0</v>
      </c>
      <c r="V59" s="818">
        <f t="shared" ca="1" si="20"/>
        <v>307911.97023878864</v>
      </c>
      <c r="W59" s="306">
        <f t="shared" si="2"/>
        <v>0</v>
      </c>
      <c r="X59" s="306">
        <f t="shared" ca="1" si="3"/>
        <v>-1361.6171263411916</v>
      </c>
      <c r="Y59" s="306">
        <v>0</v>
      </c>
      <c r="Z59" s="306">
        <v>0</v>
      </c>
      <c r="AA59" s="308">
        <f ca="1">-SUM(W59,X59/OFFSET(GridFootprintbyYear,$A59-$A$19,0)*EF_PurchElec_MTperMWh,Z59)*OFFSET(ExposureCalculations!Price_GHG_Allowance_2010,A59-$A$19,0)*ExposureCalculations!D56</f>
        <v>172127.30934265166</v>
      </c>
      <c r="AB59" s="308">
        <v>0</v>
      </c>
      <c r="AC59" s="308">
        <f t="shared" ca="1" si="4"/>
        <v>-107565.40097108769</v>
      </c>
      <c r="AD59" s="819">
        <f t="shared" ca="1" si="5"/>
        <v>262907.12984834064</v>
      </c>
      <c r="AE59" s="308">
        <v>0</v>
      </c>
      <c r="AF59" s="819">
        <f t="shared" ca="1" si="6"/>
        <v>0</v>
      </c>
      <c r="AG59" s="308">
        <v>0</v>
      </c>
      <c r="AH59" s="308">
        <v>0</v>
      </c>
      <c r="AI59" s="308">
        <v>0</v>
      </c>
      <c r="AJ59" s="308">
        <f t="shared" ca="1" si="7"/>
        <v>155341.72887725296</v>
      </c>
      <c r="AK59" s="309">
        <v>0</v>
      </c>
      <c r="AL59" s="309">
        <v>0</v>
      </c>
      <c r="AM59" s="309">
        <f t="shared" si="21"/>
        <v>0</v>
      </c>
      <c r="AN59" s="310">
        <v>0</v>
      </c>
      <c r="AO59" s="310">
        <f t="shared" si="27"/>
        <v>-30000</v>
      </c>
      <c r="AP59" s="310">
        <f t="shared" si="22"/>
        <v>-30000</v>
      </c>
      <c r="AQ59" s="309">
        <v>0</v>
      </c>
      <c r="AR59" s="311">
        <f t="shared" ca="1" si="8"/>
        <v>297469.03821990464</v>
      </c>
      <c r="AS59" s="870">
        <f t="shared" ca="1" si="23"/>
        <v>5216357.0031987512</v>
      </c>
      <c r="AT59" s="823"/>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sheetPr codeName="Sheet38">
    <tabColor rgb="FFA9DA74"/>
  </sheetPr>
  <dimension ref="A1:BK84"/>
  <sheetViews>
    <sheetView workbookViewId="0">
      <pane xSplit="1" topLeftCell="B1" activePane="topRight" state="frozen"/>
      <selection activeCell="K14" sqref="K14"/>
      <selection pane="topRight" activeCell="O3" sqref="O3:O7"/>
    </sheetView>
  </sheetViews>
  <sheetFormatPr defaultRowHeight="15"/>
  <cols>
    <col min="11" max="11" width="12" customWidth="1"/>
    <col min="12" max="12" width="12.85546875" customWidth="1"/>
    <col min="13" max="13" width="12.42578125" customWidth="1"/>
    <col min="15" max="15" width="10" bestFit="1" customWidth="1"/>
    <col min="35" max="36" width="13" customWidth="1"/>
    <col min="38" max="38" width="12.28515625" bestFit="1" customWidth="1"/>
    <col min="40" max="40" width="12.42578125" customWidth="1"/>
    <col min="44" max="44" width="12" customWidth="1"/>
    <col min="45" max="45" width="12.42578125" customWidth="1"/>
    <col min="46" max="46" width="1.7109375" customWidth="1"/>
    <col min="47" max="47" width="11.5703125" bestFit="1" customWidth="1"/>
    <col min="51" max="51" width="10.5703125" customWidth="1"/>
    <col min="54" max="54" width="18.5703125" customWidth="1"/>
    <col min="55" max="55" width="15.5703125" customWidth="1"/>
    <col min="56" max="56" width="11.85546875" customWidth="1"/>
    <col min="57" max="57" width="15.42578125" customWidth="1"/>
    <col min="61" max="61" width="14.5703125" customWidth="1"/>
    <col min="62" max="62" width="14.28515625" customWidth="1"/>
  </cols>
  <sheetData>
    <row r="1" spans="1:50" ht="60">
      <c r="C1" s="257" t="s">
        <v>226</v>
      </c>
      <c r="D1" s="258" t="s">
        <v>964</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2015</v>
      </c>
      <c r="E2" s="266"/>
      <c r="J2" s="267" t="s">
        <v>231</v>
      </c>
      <c r="K2" s="268">
        <f ca="1">NPV(DiscountRate,AA19:AA59)</f>
        <v>230269.45497923152</v>
      </c>
      <c r="L2" s="269">
        <f ca="1">-SUM(OFFSET(W19,0,0,M2-2010+1,4))</f>
        <v>17910.950587373416</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755653.89696615236</v>
      </c>
      <c r="L3" s="277" t="s">
        <v>235</v>
      </c>
      <c r="M3" s="278">
        <f ca="1">-SUM(OFFSET(W19,M2-2010,0,1,4))</f>
        <v>497.52640520481702</v>
      </c>
      <c r="N3" s="272"/>
      <c r="O3" s="1496">
        <f ca="1">AVERAGE(OFFSET(AJ19,0,0,$M$2-2010+1,1))</f>
        <v>58567.61141009313</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497.52640520481714</v>
      </c>
      <c r="M4" s="281">
        <f ca="1">-SUM(OFFSET(W19,M2-2010,0,1,4))/SUM(OFFSET(ExposureCalculations!G16,M2-2010,0,1,3))</f>
        <v>4.5505551533656249E-4</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942</v>
      </c>
      <c r="E5" s="273"/>
      <c r="F5" s="272"/>
      <c r="G5" s="272"/>
      <c r="H5" s="272"/>
      <c r="I5" s="273"/>
      <c r="J5" s="275" t="s">
        <v>238</v>
      </c>
      <c r="K5" s="276">
        <f>NPV(DiscountRate,AL19:AL59)</f>
        <v>-3228284.502126744</v>
      </c>
      <c r="L5" s="277"/>
      <c r="M5" s="272"/>
      <c r="N5" s="272"/>
      <c r="O5" s="1496">
        <f ca="1">AVERAGE(OFFSET(AL19,0,0,$M$2-2010+1,1))</f>
        <v>-103487.80487804877</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-2242361.150181361</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0.30540163089587424</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t="str">
        <f ca="1">IFERROR(COUNTIF(AS19:AS59,"&lt;=0")+1-INDEX(AS19:AS59,COUNTIF(AS19:AS59,"&lt;=0")+1)/INDEX(AR19:AR59,COUNTIF(AS19:AS59,"&lt;=0")+1)-(D2-2010),"Check Calc")</f>
        <v>Check Calc</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-2472630.6051605926</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426.62337235953368</v>
      </c>
      <c r="L13" s="915"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39.730290173388511</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63"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B17" s="264" t="s">
        <v>1003</v>
      </c>
      <c r="BC17" s="914" t="s">
        <v>1015</v>
      </c>
      <c r="BD17" s="914" t="s">
        <v>1016</v>
      </c>
      <c r="BE17" s="914" t="s">
        <v>1017</v>
      </c>
      <c r="BF17" s="264" t="s">
        <v>1018</v>
      </c>
      <c r="BG17" s="264" t="s">
        <v>1019</v>
      </c>
      <c r="BH17" s="264" t="s">
        <v>1020</v>
      </c>
      <c r="BI17" s="264" t="s">
        <v>1021</v>
      </c>
      <c r="BJ17" s="264" t="s">
        <v>1022</v>
      </c>
      <c r="BK17" s="264" t="s">
        <v>1367</v>
      </c>
    </row>
    <row r="18" spans="1:63">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B18" t="s">
        <v>1023</v>
      </c>
      <c r="BC18">
        <v>12000</v>
      </c>
      <c r="BD18">
        <v>3000</v>
      </c>
      <c r="BE18" s="302" t="s">
        <v>1024</v>
      </c>
      <c r="BF18">
        <v>47</v>
      </c>
      <c r="BH18">
        <v>6500</v>
      </c>
      <c r="BI18" s="960">
        <f>BF18*BH18</f>
        <v>305500</v>
      </c>
      <c r="BJ18" s="123">
        <f>BC34</f>
        <v>56886.13</v>
      </c>
      <c r="BK18" s="320">
        <f>BJ18/BF18/8760</f>
        <v>0.13816703099193628</v>
      </c>
    </row>
    <row r="19" spans="1:63">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900">
        <v>2015</v>
      </c>
      <c r="AV19" s="879" t="s">
        <v>776</v>
      </c>
      <c r="AW19" s="879"/>
      <c r="AX19" s="35"/>
      <c r="AY19" s="880"/>
      <c r="BB19" t="s">
        <v>1025</v>
      </c>
      <c r="BC19">
        <v>54000</v>
      </c>
      <c r="BD19">
        <f>BC19/2</f>
        <v>27000</v>
      </c>
      <c r="BE19" s="302" t="s">
        <v>1026</v>
      </c>
      <c r="BF19">
        <v>525</v>
      </c>
      <c r="BG19">
        <v>2500</v>
      </c>
      <c r="BH19">
        <v>7500</v>
      </c>
      <c r="BI19" s="960">
        <f>BF19*BH19</f>
        <v>3937500</v>
      </c>
      <c r="BJ19" s="123">
        <f>BD34</f>
        <v>643602</v>
      </c>
      <c r="BK19" s="320">
        <f>BJ19/BF19/8760</f>
        <v>0.13994390084801042</v>
      </c>
    </row>
    <row r="20" spans="1:63">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v>0</v>
      </c>
      <c r="N20" s="307">
        <f t="shared" ref="N20:N59" ca="1" si="12">K20+L20</f>
        <v>130129.26073503707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878"/>
      <c r="AV20" s="35"/>
      <c r="AW20" s="879"/>
      <c r="AX20" s="35"/>
      <c r="AY20" s="880"/>
    </row>
    <row r="21" spans="1:63">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2">-H21*I21</f>
        <v>0</v>
      </c>
      <c r="K21" s="307">
        <f t="shared" ca="1" si="10"/>
        <v>133825.36797702796</v>
      </c>
      <c r="L21" s="307">
        <f t="shared" si="11"/>
        <v>0</v>
      </c>
      <c r="M21" s="307">
        <v>0</v>
      </c>
      <c r="N21" s="307">
        <f t="shared" ca="1" si="12"/>
        <v>133825.36797702796</v>
      </c>
      <c r="O21" s="306">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0</v>
      </c>
      <c r="Y21" s="306">
        <v>0</v>
      </c>
      <c r="Z21" s="306">
        <v>0</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v>0</v>
      </c>
      <c r="AM21" s="309">
        <f t="shared" si="19"/>
        <v>0</v>
      </c>
      <c r="AN21" s="310">
        <v>0</v>
      </c>
      <c r="AO21" s="310">
        <v>0</v>
      </c>
      <c r="AP21" s="310">
        <f t="shared" si="20"/>
        <v>0</v>
      </c>
      <c r="AQ21" s="309">
        <v>0</v>
      </c>
      <c r="AR21" s="311">
        <f t="shared" ca="1" si="7"/>
        <v>0</v>
      </c>
      <c r="AS21" s="870">
        <f t="shared" ca="1" si="21"/>
        <v>0</v>
      </c>
      <c r="AT21" s="822"/>
      <c r="AU21" s="900">
        <v>25</v>
      </c>
      <c r="AV21" s="35" t="s">
        <v>1052</v>
      </c>
      <c r="AW21" s="879"/>
      <c r="AX21" s="35"/>
      <c r="AY21" s="880"/>
      <c r="BB21" s="953" t="s">
        <v>1027</v>
      </c>
      <c r="BC21" s="954" t="s">
        <v>1051</v>
      </c>
      <c r="BD21" s="954" t="s">
        <v>1028</v>
      </c>
      <c r="BE21" s="914"/>
      <c r="BF21" s="264"/>
      <c r="BG21" s="264"/>
      <c r="BH21" s="264"/>
      <c r="BI21" s="264"/>
      <c r="BJ21" s="264"/>
    </row>
    <row r="22" spans="1:63">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2"/>
        <v>0</v>
      </c>
      <c r="K22" s="307">
        <f t="shared" ca="1" si="10"/>
        <v>135980.03402546333</v>
      </c>
      <c r="L22" s="307">
        <f t="shared" si="11"/>
        <v>0</v>
      </c>
      <c r="M22" s="307">
        <v>0</v>
      </c>
      <c r="N22" s="307">
        <f t="shared" ca="1" si="12"/>
        <v>135980.03402546333</v>
      </c>
      <c r="O22" s="306">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0</v>
      </c>
      <c r="Y22" s="306">
        <v>0</v>
      </c>
      <c r="Z22" s="306">
        <v>0</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v>0</v>
      </c>
      <c r="AM22" s="309">
        <f t="shared" si="19"/>
        <v>0</v>
      </c>
      <c r="AN22" s="310">
        <v>0</v>
      </c>
      <c r="AO22" s="310">
        <v>0</v>
      </c>
      <c r="AP22" s="310">
        <f t="shared" si="20"/>
        <v>0</v>
      </c>
      <c r="AQ22" s="309">
        <v>0</v>
      </c>
      <c r="AR22" s="311">
        <f t="shared" ca="1" si="7"/>
        <v>0</v>
      </c>
      <c r="AS22" s="870">
        <f t="shared" ca="1" si="21"/>
        <v>0</v>
      </c>
      <c r="AT22" s="822"/>
      <c r="AU22" s="878"/>
      <c r="AV22" s="35"/>
      <c r="AW22" s="879"/>
      <c r="AX22" s="35"/>
      <c r="AY22" s="880"/>
      <c r="BB22" s="322" t="s">
        <v>1029</v>
      </c>
      <c r="BC22" s="123">
        <v>3160.19</v>
      </c>
      <c r="BD22" s="123">
        <v>27462.400000000001</v>
      </c>
    </row>
    <row r="23" spans="1:63">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2"/>
        <v>0</v>
      </c>
      <c r="K23" s="307">
        <f t="shared" ca="1" si="10"/>
        <v>137556.65962631535</v>
      </c>
      <c r="L23" s="307">
        <f t="shared" si="11"/>
        <v>0</v>
      </c>
      <c r="M23" s="307">
        <v>0</v>
      </c>
      <c r="N23" s="307">
        <f t="shared" ca="1" si="12"/>
        <v>137556.65962631535</v>
      </c>
      <c r="O23" s="306">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0</v>
      </c>
      <c r="Y23" s="306">
        <v>0</v>
      </c>
      <c r="Z23" s="306">
        <v>0</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f>-AU25</f>
        <v>-4243000</v>
      </c>
      <c r="AM23" s="309">
        <f t="shared" si="19"/>
        <v>-4243000</v>
      </c>
      <c r="AN23" s="310">
        <v>0</v>
      </c>
      <c r="AO23" s="310">
        <v>0</v>
      </c>
      <c r="AP23" s="310">
        <f t="shared" si="20"/>
        <v>0</v>
      </c>
      <c r="AQ23" s="309">
        <v>0</v>
      </c>
      <c r="AR23" s="311">
        <f t="shared" ca="1" si="7"/>
        <v>-4243000</v>
      </c>
      <c r="AS23" s="870">
        <f t="shared" ca="1" si="21"/>
        <v>-4243000</v>
      </c>
      <c r="AT23" s="822"/>
      <c r="AU23" s="898">
        <f>BJ18+BJ19</f>
        <v>700488.13</v>
      </c>
      <c r="AV23" s="35" t="s">
        <v>1053</v>
      </c>
      <c r="AW23" s="879"/>
      <c r="AX23" s="35"/>
      <c r="AY23" s="880"/>
      <c r="BB23" s="322" t="s">
        <v>1030</v>
      </c>
      <c r="BC23" s="123">
        <v>3781.88</v>
      </c>
      <c r="BD23" s="123">
        <v>35561.4</v>
      </c>
    </row>
    <row r="24" spans="1:63">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2"/>
        <v>0</v>
      </c>
      <c r="K24" s="307">
        <f t="shared" ca="1" si="10"/>
        <v>140674.7264207229</v>
      </c>
      <c r="L24" s="307">
        <f t="shared" si="11"/>
        <v>-700.48812999999996</v>
      </c>
      <c r="M24" s="307">
        <f>$AU$23/1000</f>
        <v>700.48812999999996</v>
      </c>
      <c r="N24" s="307">
        <f t="shared" ca="1" si="12"/>
        <v>139974.23829072289</v>
      </c>
      <c r="O24" s="306">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-497.52640520481702</v>
      </c>
      <c r="Y24" s="306">
        <v>0</v>
      </c>
      <c r="Z24" s="306">
        <v>0</v>
      </c>
      <c r="AA24" s="308">
        <f ca="1">-SUM(W24,X24/OFFSET(GridFootprintbyYear,$A24-$A$19,0)*EF_PurchElec_MTperMWh,Z24)*OFFSET(ExposureCalculations!Price_GHG_Allowance_2010,A24-$A$19,0)*ExposureCalculations!D21</f>
        <v>5059.5135670719428</v>
      </c>
      <c r="AB24" s="308">
        <f t="shared" ca="1" si="3"/>
        <v>61044.988312129492</v>
      </c>
      <c r="AC24" s="308">
        <v>0</v>
      </c>
      <c r="AD24" s="819">
        <f t="shared" ca="1" si="4"/>
        <v>0</v>
      </c>
      <c r="AE24" s="308">
        <v>0</v>
      </c>
      <c r="AF24" s="819">
        <f t="shared" ca="1" si="5"/>
        <v>0</v>
      </c>
      <c r="AG24" s="308">
        <v>0</v>
      </c>
      <c r="AH24" s="308">
        <v>0</v>
      </c>
      <c r="AI24" s="308">
        <v>0</v>
      </c>
      <c r="AJ24" s="308">
        <f t="shared" ca="1" si="6"/>
        <v>61044.988312129492</v>
      </c>
      <c r="AK24" s="309">
        <v>0</v>
      </c>
      <c r="AL24" s="309">
        <v>0</v>
      </c>
      <c r="AM24" s="309">
        <f t="shared" si="19"/>
        <v>0</v>
      </c>
      <c r="AN24" s="310">
        <v>0</v>
      </c>
      <c r="AO24" s="310">
        <v>0</v>
      </c>
      <c r="AP24" s="310">
        <f t="shared" si="20"/>
        <v>0</v>
      </c>
      <c r="AQ24" s="309">
        <v>0</v>
      </c>
      <c r="AR24" s="311">
        <f t="shared" ca="1" si="7"/>
        <v>66104.501879201431</v>
      </c>
      <c r="AS24" s="870">
        <f t="shared" ca="1" si="21"/>
        <v>-4176895.4981207987</v>
      </c>
      <c r="AT24" s="822"/>
      <c r="AU24" s="878"/>
      <c r="AV24" s="35"/>
      <c r="AW24" s="879"/>
      <c r="AX24" s="35"/>
      <c r="AY24" s="880"/>
      <c r="BB24" s="322" t="s">
        <v>1031</v>
      </c>
      <c r="BC24" s="123">
        <v>5026.43</v>
      </c>
      <c r="BD24" s="123">
        <v>52574.8</v>
      </c>
    </row>
    <row r="25" spans="1:63">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2"/>
        <v>0</v>
      </c>
      <c r="K25" s="307">
        <f t="shared" ca="1" si="10"/>
        <v>142251.35202157494</v>
      </c>
      <c r="L25" s="307">
        <f t="shared" si="11"/>
        <v>-700.48812999999996</v>
      </c>
      <c r="M25" s="307">
        <f t="shared" ref="M25:M59" si="23">$AU$23/1000</f>
        <v>700.48812999999996</v>
      </c>
      <c r="N25" s="307">
        <f t="shared" ca="1" si="12"/>
        <v>141550.86389157493</v>
      </c>
      <c r="O25" s="306">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-497.52640520481702</v>
      </c>
      <c r="Y25" s="306">
        <v>0</v>
      </c>
      <c r="Z25" s="306">
        <v>0</v>
      </c>
      <c r="AA25" s="308">
        <f ca="1">-SUM(W25,X25/OFFSET(GridFootprintbyYear,$A25-$A$19,0)*EF_PurchElec_MTperMWh,Z25)*OFFSET(ExposureCalculations!Price_GHG_Allowance_2010,A25-$A$19,0)*ExposureCalculations!D22</f>
        <v>5840.2167596991985</v>
      </c>
      <c r="AB25" s="308">
        <f t="shared" ca="1" si="3"/>
        <v>61350.213253690126</v>
      </c>
      <c r="AC25" s="308">
        <v>0</v>
      </c>
      <c r="AD25" s="819">
        <f t="shared" ca="1" si="4"/>
        <v>0</v>
      </c>
      <c r="AE25" s="308">
        <v>0</v>
      </c>
      <c r="AF25" s="819">
        <f t="shared" ca="1" si="5"/>
        <v>0</v>
      </c>
      <c r="AG25" s="308">
        <v>0</v>
      </c>
      <c r="AH25" s="308">
        <v>0</v>
      </c>
      <c r="AI25" s="308">
        <v>0</v>
      </c>
      <c r="AJ25" s="308">
        <f t="shared" ca="1" si="6"/>
        <v>61350.213253690126</v>
      </c>
      <c r="AK25" s="309">
        <v>0</v>
      </c>
      <c r="AL25" s="309">
        <v>0</v>
      </c>
      <c r="AM25" s="309">
        <f t="shared" si="19"/>
        <v>0</v>
      </c>
      <c r="AN25" s="310">
        <v>0</v>
      </c>
      <c r="AO25" s="310">
        <v>0</v>
      </c>
      <c r="AP25" s="310">
        <f t="shared" si="20"/>
        <v>0</v>
      </c>
      <c r="AQ25" s="309">
        <v>0</v>
      </c>
      <c r="AR25" s="311">
        <f t="shared" ca="1" si="7"/>
        <v>67190.430013389327</v>
      </c>
      <c r="AS25" s="870">
        <f t="shared" ca="1" si="21"/>
        <v>-4109705.0681074094</v>
      </c>
      <c r="AT25" s="822"/>
      <c r="AU25" s="921">
        <f>BI18+BI19</f>
        <v>4243000</v>
      </c>
      <c r="AV25" s="35" t="s">
        <v>802</v>
      </c>
      <c r="AW25" s="879"/>
      <c r="AX25" s="35"/>
      <c r="AY25" s="880"/>
      <c r="BB25" s="322" t="s">
        <v>1032</v>
      </c>
      <c r="BC25" s="123">
        <v>5664.2</v>
      </c>
      <c r="BD25" s="123">
        <v>66150.7</v>
      </c>
    </row>
    <row r="26" spans="1:63">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2"/>
        <v>0</v>
      </c>
      <c r="K26" s="307">
        <f t="shared" ca="1" si="10"/>
        <v>143827.97762242699</v>
      </c>
      <c r="L26" s="307">
        <f t="shared" si="11"/>
        <v>-700.48812999999996</v>
      </c>
      <c r="M26" s="307">
        <f t="shared" si="23"/>
        <v>700.48812999999996</v>
      </c>
      <c r="N26" s="307">
        <f t="shared" ca="1" si="12"/>
        <v>143127.48949242698</v>
      </c>
      <c r="O26" s="306">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-497.52640520481702</v>
      </c>
      <c r="Y26" s="306">
        <v>0</v>
      </c>
      <c r="Z26" s="306">
        <v>0</v>
      </c>
      <c r="AA26" s="308">
        <f ca="1">-SUM(W26,X26/OFFSET(GridFootprintbyYear,$A26-$A$19,0)*EF_PurchElec_MTperMWh,Z26)*OFFSET(ExposureCalculations!Price_GHG_Allowance_2010,A26-$A$19,0)*ExposureCalculations!D23</f>
        <v>6657.3300136844582</v>
      </c>
      <c r="AB26" s="308">
        <f t="shared" ca="1" si="3"/>
        <v>61656.96431995857</v>
      </c>
      <c r="AC26" s="308">
        <v>0</v>
      </c>
      <c r="AD26" s="819">
        <f t="shared" ca="1" si="4"/>
        <v>0</v>
      </c>
      <c r="AE26" s="308">
        <v>0</v>
      </c>
      <c r="AF26" s="819">
        <f t="shared" ca="1" si="5"/>
        <v>0</v>
      </c>
      <c r="AG26" s="308">
        <v>0</v>
      </c>
      <c r="AH26" s="308">
        <v>0</v>
      </c>
      <c r="AI26" s="308">
        <v>0</v>
      </c>
      <c r="AJ26" s="308">
        <f t="shared" ca="1" si="6"/>
        <v>61656.96431995857</v>
      </c>
      <c r="AK26" s="309">
        <v>0</v>
      </c>
      <c r="AL26" s="309">
        <v>0</v>
      </c>
      <c r="AM26" s="309">
        <f t="shared" si="19"/>
        <v>0</v>
      </c>
      <c r="AN26" s="310">
        <v>0</v>
      </c>
      <c r="AO26" s="310">
        <v>0</v>
      </c>
      <c r="AP26" s="310">
        <f t="shared" si="20"/>
        <v>0</v>
      </c>
      <c r="AQ26" s="309">
        <v>0</v>
      </c>
      <c r="AR26" s="311">
        <f t="shared" ca="1" si="7"/>
        <v>68314.294333643033</v>
      </c>
      <c r="AS26" s="870">
        <f t="shared" ca="1" si="21"/>
        <v>-4041390.7737737666</v>
      </c>
      <c r="AT26" s="822"/>
      <c r="AU26" s="878"/>
      <c r="AV26" s="35"/>
      <c r="AW26" s="879"/>
      <c r="AX26" s="35"/>
      <c r="AY26" s="880"/>
      <c r="BB26" s="322" t="s">
        <v>1033</v>
      </c>
      <c r="BC26" s="123">
        <v>6287.63</v>
      </c>
      <c r="BD26" s="123">
        <v>79879.5</v>
      </c>
    </row>
    <row r="27" spans="1:63">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2"/>
        <v>0</v>
      </c>
      <c r="K27" s="307">
        <f t="shared" ca="1" si="10"/>
        <v>145404.603223279</v>
      </c>
      <c r="L27" s="307">
        <f t="shared" si="11"/>
        <v>-700.48812999999996</v>
      </c>
      <c r="M27" s="307">
        <f t="shared" si="23"/>
        <v>700.48812999999996</v>
      </c>
      <c r="N27" s="307">
        <f t="shared" ca="1" si="12"/>
        <v>144704.11509327899</v>
      </c>
      <c r="O27" s="306">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-497.52640520481702</v>
      </c>
      <c r="Y27" s="306">
        <v>0</v>
      </c>
      <c r="Z27" s="306">
        <v>0</v>
      </c>
      <c r="AA27" s="308">
        <f ca="1">-SUM(W27,X27/OFFSET(GridFootprintbyYear,$A27-$A$19,0)*EF_PurchElec_MTperMWh,Z27)*OFFSET(ExposureCalculations!Price_GHG_Allowance_2010,A27-$A$19,0)*ExposureCalculations!D24</f>
        <v>7509.7249406250112</v>
      </c>
      <c r="AB27" s="308">
        <f t="shared" ca="1" si="3"/>
        <v>61965.249141558357</v>
      </c>
      <c r="AC27" s="308">
        <v>0</v>
      </c>
      <c r="AD27" s="819">
        <f t="shared" ca="1" si="4"/>
        <v>0</v>
      </c>
      <c r="AE27" s="308">
        <v>0</v>
      </c>
      <c r="AF27" s="819">
        <f t="shared" ca="1" si="5"/>
        <v>0</v>
      </c>
      <c r="AG27" s="308">
        <v>0</v>
      </c>
      <c r="AH27" s="308">
        <v>0</v>
      </c>
      <c r="AI27" s="308">
        <v>0</v>
      </c>
      <c r="AJ27" s="308">
        <f t="shared" ca="1" si="6"/>
        <v>61965.249141558357</v>
      </c>
      <c r="AK27" s="309">
        <v>0</v>
      </c>
      <c r="AL27" s="309">
        <v>0</v>
      </c>
      <c r="AM27" s="309">
        <f t="shared" si="19"/>
        <v>0</v>
      </c>
      <c r="AN27" s="310">
        <v>0</v>
      </c>
      <c r="AO27" s="310">
        <v>0</v>
      </c>
      <c r="AP27" s="310">
        <f t="shared" si="20"/>
        <v>0</v>
      </c>
      <c r="AQ27" s="309">
        <v>0</v>
      </c>
      <c r="AR27" s="311">
        <f t="shared" ca="1" si="7"/>
        <v>69474.974082183369</v>
      </c>
      <c r="AS27" s="870">
        <f t="shared" ca="1" si="21"/>
        <v>-3971915.799691583</v>
      </c>
      <c r="AT27" s="822"/>
      <c r="AU27" s="900"/>
      <c r="AV27" s="35" t="s">
        <v>830</v>
      </c>
      <c r="AW27" s="879"/>
      <c r="AX27" s="35"/>
      <c r="AY27" s="880"/>
      <c r="BB27" s="322" t="s">
        <v>1034</v>
      </c>
      <c r="BC27" s="123">
        <v>6000.65</v>
      </c>
      <c r="BD27" s="123">
        <v>80079.8</v>
      </c>
    </row>
    <row r="28" spans="1:63">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2"/>
        <v>0</v>
      </c>
      <c r="K28" s="307">
        <f t="shared" ca="1" si="10"/>
        <v>146981.22882413102</v>
      </c>
      <c r="L28" s="307">
        <f t="shared" si="11"/>
        <v>-700.48812999999996</v>
      </c>
      <c r="M28" s="307">
        <f t="shared" si="23"/>
        <v>700.48812999999996</v>
      </c>
      <c r="N28" s="307">
        <f t="shared" ca="1" si="12"/>
        <v>146280.740694131</v>
      </c>
      <c r="O28" s="306">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-497.52640520481702</v>
      </c>
      <c r="Y28" s="306">
        <v>0</v>
      </c>
      <c r="Z28" s="306">
        <v>0</v>
      </c>
      <c r="AA28" s="308">
        <f ca="1">-SUM(W28,X28/OFFSET(GridFootprintbyYear,$A28-$A$19,0)*EF_PurchElec_MTperMWh,Z28)*OFFSET(ExposureCalculations!Price_GHG_Allowance_2010,A28-$A$19,0)*ExposureCalculations!D25</f>
        <v>8396.284914101283</v>
      </c>
      <c r="AB28" s="308">
        <f t="shared" ca="1" si="3"/>
        <v>62275.075387266144</v>
      </c>
      <c r="AC28" s="308">
        <v>0</v>
      </c>
      <c r="AD28" s="819">
        <f t="shared" ca="1" si="4"/>
        <v>0</v>
      </c>
      <c r="AE28" s="308">
        <v>0</v>
      </c>
      <c r="AF28" s="819">
        <f t="shared" ca="1" si="5"/>
        <v>0</v>
      </c>
      <c r="AG28" s="308">
        <v>0</v>
      </c>
      <c r="AH28" s="308">
        <v>0</v>
      </c>
      <c r="AI28" s="308">
        <v>0</v>
      </c>
      <c r="AJ28" s="308">
        <f t="shared" ca="1" si="6"/>
        <v>62275.075387266144</v>
      </c>
      <c r="AK28" s="309">
        <v>0</v>
      </c>
      <c r="AL28" s="309">
        <v>0</v>
      </c>
      <c r="AM28" s="309">
        <f t="shared" si="19"/>
        <v>0</v>
      </c>
      <c r="AN28" s="310">
        <v>0</v>
      </c>
      <c r="AO28" s="310">
        <v>0</v>
      </c>
      <c r="AP28" s="310">
        <f t="shared" si="20"/>
        <v>0</v>
      </c>
      <c r="AQ28" s="309">
        <v>0</v>
      </c>
      <c r="AR28" s="311">
        <f t="shared" ca="1" si="7"/>
        <v>70671.360301367429</v>
      </c>
      <c r="AS28" s="870">
        <f t="shared" ca="1" si="21"/>
        <v>-3901244.4393902156</v>
      </c>
      <c r="AT28" s="822"/>
      <c r="AU28" s="878"/>
      <c r="AV28" s="35"/>
      <c r="AW28" s="879"/>
      <c r="AX28" s="35"/>
      <c r="AY28" s="880"/>
      <c r="BB28" s="322" t="s">
        <v>1035</v>
      </c>
      <c r="BC28" s="123">
        <v>6169.67</v>
      </c>
      <c r="BD28" s="123">
        <v>80642.7</v>
      </c>
    </row>
    <row r="29" spans="1:63">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2"/>
        <v>0</v>
      </c>
      <c r="K29" s="307">
        <f t="shared" ca="1" si="10"/>
        <v>148557.85442498306</v>
      </c>
      <c r="L29" s="307">
        <f t="shared" si="11"/>
        <v>-700.48812999999996</v>
      </c>
      <c r="M29" s="307">
        <f t="shared" si="23"/>
        <v>700.48812999999996</v>
      </c>
      <c r="N29" s="307">
        <f t="shared" ca="1" si="12"/>
        <v>147857.36629498305</v>
      </c>
      <c r="O29" s="306">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-497.52640520481702</v>
      </c>
      <c r="Y29" s="306">
        <v>0</v>
      </c>
      <c r="Z29" s="306">
        <v>0</v>
      </c>
      <c r="AA29" s="308">
        <f ca="1">-SUM(W29,X29/OFFSET(GridFootprintbyYear,$A29-$A$19,0)*EF_PurchElec_MTperMWh,Z29)*OFFSET(ExposureCalculations!Price_GHG_Allowance_2010,A29-$A$19,0)*ExposureCalculations!D26</f>
        <v>9315.9053364957999</v>
      </c>
      <c r="AB29" s="308">
        <f t="shared" ca="1" si="3"/>
        <v>62586.450764202462</v>
      </c>
      <c r="AC29" s="308">
        <v>0</v>
      </c>
      <c r="AD29" s="819">
        <f t="shared" ca="1" si="4"/>
        <v>0</v>
      </c>
      <c r="AE29" s="308">
        <v>0</v>
      </c>
      <c r="AF29" s="819">
        <f t="shared" ca="1" si="5"/>
        <v>0</v>
      </c>
      <c r="AG29" s="308">
        <v>0</v>
      </c>
      <c r="AH29" s="308">
        <v>0</v>
      </c>
      <c r="AI29" s="308">
        <v>0</v>
      </c>
      <c r="AJ29" s="308">
        <f t="shared" ca="1" si="6"/>
        <v>62586.450764202462</v>
      </c>
      <c r="AK29" s="309">
        <v>0</v>
      </c>
      <c r="AL29" s="309">
        <v>0</v>
      </c>
      <c r="AM29" s="309">
        <f t="shared" si="19"/>
        <v>0</v>
      </c>
      <c r="AN29" s="310">
        <v>0</v>
      </c>
      <c r="AO29" s="310">
        <v>0</v>
      </c>
      <c r="AP29" s="310">
        <f t="shared" si="20"/>
        <v>0</v>
      </c>
      <c r="AQ29" s="309">
        <v>0</v>
      </c>
      <c r="AR29" s="311">
        <f t="shared" ca="1" si="7"/>
        <v>71902.356100698264</v>
      </c>
      <c r="AS29" s="870">
        <f t="shared" ca="1" si="21"/>
        <v>-3829342.0832895171</v>
      </c>
      <c r="AT29" s="822"/>
      <c r="AU29" s="878"/>
      <c r="AV29" s="35"/>
      <c r="AW29" s="879"/>
      <c r="AX29" s="35"/>
      <c r="AY29" s="880"/>
      <c r="BB29" s="322" t="s">
        <v>1036</v>
      </c>
      <c r="BC29" s="123">
        <v>6111.3</v>
      </c>
      <c r="BD29" s="123">
        <v>73518.2</v>
      </c>
    </row>
    <row r="30" spans="1:63">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2"/>
        <v>0</v>
      </c>
      <c r="K30" s="307">
        <f t="shared" ca="1" si="10"/>
        <v>150134.48002583507</v>
      </c>
      <c r="L30" s="307">
        <f t="shared" si="11"/>
        <v>-700.48812999999996</v>
      </c>
      <c r="M30" s="307">
        <f t="shared" si="23"/>
        <v>700.48812999999996</v>
      </c>
      <c r="N30" s="307">
        <f t="shared" ca="1" si="12"/>
        <v>149433.99189583506</v>
      </c>
      <c r="O30" s="306">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-497.52640520481702</v>
      </c>
      <c r="Y30" s="306">
        <v>0</v>
      </c>
      <c r="Z30" s="306">
        <v>0</v>
      </c>
      <c r="AA30" s="308">
        <f ca="1">-SUM(W30,X30/OFFSET(GridFootprintbyYear,$A30-$A$19,0)*EF_PurchElec_MTperMWh,Z30)*OFFSET(ExposureCalculations!Price_GHG_Allowance_2010,A30-$A$19,0)*ExposureCalculations!D27</f>
        <v>10376.903964090818</v>
      </c>
      <c r="AB30" s="308">
        <f t="shared" ca="1" si="3"/>
        <v>62899.383018023473</v>
      </c>
      <c r="AC30" s="308">
        <v>0</v>
      </c>
      <c r="AD30" s="819">
        <f t="shared" ca="1" si="4"/>
        <v>0</v>
      </c>
      <c r="AE30" s="308">
        <v>0</v>
      </c>
      <c r="AF30" s="819">
        <f t="shared" ca="1" si="5"/>
        <v>0</v>
      </c>
      <c r="AG30" s="308">
        <v>0</v>
      </c>
      <c r="AH30" s="308">
        <v>0</v>
      </c>
      <c r="AI30" s="308">
        <v>0</v>
      </c>
      <c r="AJ30" s="308">
        <f t="shared" ca="1" si="6"/>
        <v>62899.383018023473</v>
      </c>
      <c r="AK30" s="309">
        <v>0</v>
      </c>
      <c r="AL30" s="309">
        <v>0</v>
      </c>
      <c r="AM30" s="309">
        <f t="shared" si="19"/>
        <v>0</v>
      </c>
      <c r="AN30" s="310">
        <v>0</v>
      </c>
      <c r="AO30" s="310">
        <v>0</v>
      </c>
      <c r="AP30" s="310">
        <f t="shared" si="20"/>
        <v>0</v>
      </c>
      <c r="AQ30" s="309">
        <v>0</v>
      </c>
      <c r="AR30" s="311">
        <f t="shared" ca="1" si="7"/>
        <v>73276.286982114296</v>
      </c>
      <c r="AS30" s="870">
        <f t="shared" ca="1" si="21"/>
        <v>-3756065.7963074027</v>
      </c>
      <c r="AT30" s="822"/>
      <c r="AU30" s="878"/>
      <c r="AV30" s="35"/>
      <c r="AW30" s="879"/>
      <c r="AX30" s="35"/>
      <c r="AY30" s="880"/>
      <c r="BB30" s="322" t="s">
        <v>1037</v>
      </c>
      <c r="BC30" s="123">
        <v>5443.74</v>
      </c>
      <c r="BD30" s="123">
        <v>59185.8</v>
      </c>
    </row>
    <row r="31" spans="1:63">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2"/>
        <v>0</v>
      </c>
      <c r="K31" s="307">
        <f t="shared" ca="1" si="10"/>
        <v>151711.10562668712</v>
      </c>
      <c r="L31" s="307">
        <f t="shared" si="11"/>
        <v>-700.48812999999996</v>
      </c>
      <c r="M31" s="307">
        <f t="shared" si="23"/>
        <v>700.48812999999996</v>
      </c>
      <c r="N31" s="307">
        <f t="shared" ca="1" si="12"/>
        <v>151010.6174966871</v>
      </c>
      <c r="O31" s="306">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-497.52640520481702</v>
      </c>
      <c r="Y31" s="306">
        <v>0</v>
      </c>
      <c r="Z31" s="306">
        <v>0</v>
      </c>
      <c r="AA31" s="308">
        <f ca="1">-SUM(W31,X31/OFFSET(GridFootprintbyYear,$A31-$A$19,0)*EF_PurchElec_MTperMWh,Z31)*OFFSET(ExposureCalculations!Price_GHG_Allowance_2010,A31-$A$19,0)*ExposureCalculations!D28</f>
        <v>11478.847205952441</v>
      </c>
      <c r="AB31" s="308">
        <f t="shared" ca="1" si="3"/>
        <v>63213.87993311356</v>
      </c>
      <c r="AC31" s="308">
        <v>0</v>
      </c>
      <c r="AD31" s="819">
        <f t="shared" ca="1" si="4"/>
        <v>0</v>
      </c>
      <c r="AE31" s="308">
        <v>0</v>
      </c>
      <c r="AF31" s="819">
        <f t="shared" ca="1" si="5"/>
        <v>0</v>
      </c>
      <c r="AG31" s="308">
        <v>0</v>
      </c>
      <c r="AH31" s="308">
        <v>0</v>
      </c>
      <c r="AI31" s="308">
        <v>0</v>
      </c>
      <c r="AJ31" s="308">
        <f t="shared" ca="1" si="6"/>
        <v>63213.87993311356</v>
      </c>
      <c r="AK31" s="309">
        <v>0</v>
      </c>
      <c r="AL31" s="309">
        <v>0</v>
      </c>
      <c r="AM31" s="309">
        <f t="shared" si="19"/>
        <v>0</v>
      </c>
      <c r="AN31" s="310">
        <v>0</v>
      </c>
      <c r="AO31" s="310">
        <v>0</v>
      </c>
      <c r="AP31" s="310">
        <f t="shared" si="20"/>
        <v>0</v>
      </c>
      <c r="AQ31" s="309">
        <v>0</v>
      </c>
      <c r="AR31" s="311">
        <f t="shared" ca="1" si="7"/>
        <v>74692.727139066003</v>
      </c>
      <c r="AS31" s="870">
        <f t="shared" ca="1" si="21"/>
        <v>-3681373.0691683367</v>
      </c>
      <c r="AT31" s="822"/>
      <c r="AU31" s="878"/>
      <c r="AV31" s="35"/>
      <c r="AW31" s="879"/>
      <c r="AX31" s="35"/>
      <c r="AY31" s="880"/>
      <c r="BB31" s="322" t="s">
        <v>1038</v>
      </c>
      <c r="BC31" s="123">
        <v>4668.3599999999997</v>
      </c>
      <c r="BD31" s="123">
        <v>45319.7</v>
      </c>
    </row>
    <row r="32" spans="1:63">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2"/>
        <v>0</v>
      </c>
      <c r="K32" s="307">
        <f t="shared" ca="1" si="10"/>
        <v>153287.73122753916</v>
      </c>
      <c r="L32" s="307">
        <f t="shared" si="11"/>
        <v>-700.48812999999996</v>
      </c>
      <c r="M32" s="307">
        <f t="shared" si="23"/>
        <v>700.48812999999996</v>
      </c>
      <c r="N32" s="307">
        <f t="shared" ca="1" si="12"/>
        <v>152587.24309753915</v>
      </c>
      <c r="O32" s="306">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-497.52640520481702</v>
      </c>
      <c r="Y32" s="306">
        <v>0</v>
      </c>
      <c r="Z32" s="306">
        <v>0</v>
      </c>
      <c r="AA32" s="308">
        <f ca="1">-SUM(W32,X32/OFFSET(GridFootprintbyYear,$A32-$A$19,0)*EF_PurchElec_MTperMWh,Z32)*OFFSET(ExposureCalculations!Price_GHG_Allowance_2010,A32-$A$19,0)*ExposureCalculations!D29</f>
        <v>12620.084036435834</v>
      </c>
      <c r="AB32" s="308">
        <f t="shared" ca="1" si="3"/>
        <v>63529.949332779128</v>
      </c>
      <c r="AC32" s="308">
        <v>0</v>
      </c>
      <c r="AD32" s="819">
        <f t="shared" ca="1" si="4"/>
        <v>0</v>
      </c>
      <c r="AE32" s="308">
        <v>0</v>
      </c>
      <c r="AF32" s="819">
        <f t="shared" ca="1" si="5"/>
        <v>0</v>
      </c>
      <c r="AG32" s="308">
        <v>0</v>
      </c>
      <c r="AH32" s="308">
        <v>0</v>
      </c>
      <c r="AI32" s="308">
        <v>0</v>
      </c>
      <c r="AJ32" s="308">
        <f t="shared" ca="1" si="6"/>
        <v>63529.949332779128</v>
      </c>
      <c r="AK32" s="309">
        <v>0</v>
      </c>
      <c r="AL32" s="309">
        <v>0</v>
      </c>
      <c r="AM32" s="309">
        <f t="shared" si="19"/>
        <v>0</v>
      </c>
      <c r="AN32" s="310">
        <v>0</v>
      </c>
      <c r="AO32" s="310">
        <v>0</v>
      </c>
      <c r="AP32" s="310">
        <f t="shared" si="20"/>
        <v>0</v>
      </c>
      <c r="AQ32" s="309">
        <v>0</v>
      </c>
      <c r="AR32" s="311">
        <f t="shared" ca="1" si="7"/>
        <v>76150.033369214958</v>
      </c>
      <c r="AS32" s="870">
        <f t="shared" ca="1" si="21"/>
        <v>-3605223.0357991219</v>
      </c>
      <c r="AT32" s="822"/>
      <c r="AU32" s="878"/>
      <c r="AV32" s="35"/>
      <c r="AW32" s="879"/>
      <c r="AX32" s="35"/>
      <c r="AY32" s="880"/>
      <c r="BB32" s="322" t="s">
        <v>1039</v>
      </c>
      <c r="BC32" s="123">
        <v>2535.2399999999998</v>
      </c>
      <c r="BD32" s="123">
        <v>23951.3</v>
      </c>
    </row>
    <row r="33" spans="1:57">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2"/>
        <v>0</v>
      </c>
      <c r="K33" s="307">
        <f t="shared" ca="1" si="10"/>
        <v>154864.35682839117</v>
      </c>
      <c r="L33" s="307">
        <f t="shared" si="11"/>
        <v>-700.48812999999996</v>
      </c>
      <c r="M33" s="307">
        <f t="shared" si="23"/>
        <v>700.48812999999996</v>
      </c>
      <c r="N33" s="307">
        <f t="shared" ca="1" si="12"/>
        <v>154163.86869839116</v>
      </c>
      <c r="O33" s="306">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-497.52640520481702</v>
      </c>
      <c r="Y33" s="306">
        <v>0</v>
      </c>
      <c r="Z33" s="306">
        <v>0</v>
      </c>
      <c r="AA33" s="308">
        <f ca="1">-SUM(W33,X33/OFFSET(GridFootprintbyYear,$A33-$A$19,0)*EF_PurchElec_MTperMWh,Z33)*OFFSET(ExposureCalculations!Price_GHG_Allowance_2010,A33-$A$19,0)*ExposureCalculations!D30</f>
        <v>13798.974821379417</v>
      </c>
      <c r="AB33" s="308">
        <f t="shared" ca="1" si="3"/>
        <v>63847.599079443018</v>
      </c>
      <c r="AC33" s="308">
        <v>0</v>
      </c>
      <c r="AD33" s="819">
        <f t="shared" ca="1" si="4"/>
        <v>0</v>
      </c>
      <c r="AE33" s="308">
        <v>0</v>
      </c>
      <c r="AF33" s="819">
        <f t="shared" ca="1" si="5"/>
        <v>0</v>
      </c>
      <c r="AG33" s="308">
        <v>0</v>
      </c>
      <c r="AH33" s="308">
        <v>0</v>
      </c>
      <c r="AI33" s="308">
        <v>0</v>
      </c>
      <c r="AJ33" s="308">
        <f t="shared" ca="1" si="6"/>
        <v>63847.599079443018</v>
      </c>
      <c r="AK33" s="309">
        <v>0</v>
      </c>
      <c r="AL33" s="309">
        <v>0</v>
      </c>
      <c r="AM33" s="309">
        <f t="shared" si="19"/>
        <v>0</v>
      </c>
      <c r="AN33" s="310">
        <v>0</v>
      </c>
      <c r="AO33" s="310">
        <v>0</v>
      </c>
      <c r="AP33" s="310">
        <f t="shared" si="20"/>
        <v>0</v>
      </c>
      <c r="AQ33" s="309">
        <v>0</v>
      </c>
      <c r="AR33" s="311">
        <f t="shared" ca="1" si="7"/>
        <v>77646.573900822434</v>
      </c>
      <c r="AS33" s="870">
        <f t="shared" ca="1" si="21"/>
        <v>-3527576.4618982994</v>
      </c>
      <c r="AT33" s="822"/>
      <c r="AU33" s="878"/>
      <c r="AV33" s="35"/>
      <c r="AW33" s="879"/>
      <c r="AX33" s="35"/>
      <c r="AY33" s="880"/>
      <c r="BB33" s="322" t="s">
        <v>1040</v>
      </c>
      <c r="BC33" s="123">
        <v>2036.84</v>
      </c>
      <c r="BD33" s="123">
        <v>19275.7</v>
      </c>
    </row>
    <row r="34" spans="1:57">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2"/>
        <v>0</v>
      </c>
      <c r="K34" s="307">
        <f t="shared" ca="1" si="10"/>
        <v>156440.98242924322</v>
      </c>
      <c r="L34" s="307">
        <f t="shared" si="11"/>
        <v>-700.48812999999996</v>
      </c>
      <c r="M34" s="307">
        <f t="shared" si="23"/>
        <v>700.48812999999996</v>
      </c>
      <c r="N34" s="307">
        <f t="shared" ca="1" si="12"/>
        <v>155740.4942992432</v>
      </c>
      <c r="O34" s="306">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-497.52640520481702</v>
      </c>
      <c r="Y34" s="306">
        <v>0</v>
      </c>
      <c r="Z34" s="306">
        <v>0</v>
      </c>
      <c r="AA34" s="308">
        <f ca="1">-SUM(W34,X34/OFFSET(GridFootprintbyYear,$A34-$A$19,0)*EF_PurchElec_MTperMWh,Z34)*OFFSET(ExposureCalculations!Price_GHG_Allowance_2010,A34-$A$19,0)*ExposureCalculations!D31</f>
        <v>15013.891345567525</v>
      </c>
      <c r="AB34" s="308">
        <f t="shared" ca="1" si="3"/>
        <v>64166.837074840216</v>
      </c>
      <c r="AC34" s="308">
        <v>0</v>
      </c>
      <c r="AD34" s="819">
        <f t="shared" ca="1" si="4"/>
        <v>0</v>
      </c>
      <c r="AE34" s="308">
        <v>0</v>
      </c>
      <c r="AF34" s="819">
        <f t="shared" ca="1" si="5"/>
        <v>0</v>
      </c>
      <c r="AG34" s="308">
        <v>0</v>
      </c>
      <c r="AH34" s="308">
        <v>0</v>
      </c>
      <c r="AI34" s="308">
        <v>0</v>
      </c>
      <c r="AJ34" s="308">
        <f t="shared" ca="1" si="6"/>
        <v>64166.837074840216</v>
      </c>
      <c r="AK34" s="309">
        <v>0</v>
      </c>
      <c r="AL34" s="309">
        <v>0</v>
      </c>
      <c r="AM34" s="309">
        <f t="shared" si="19"/>
        <v>0</v>
      </c>
      <c r="AN34" s="310">
        <v>0</v>
      </c>
      <c r="AO34" s="310">
        <v>0</v>
      </c>
      <c r="AP34" s="310">
        <f t="shared" si="20"/>
        <v>0</v>
      </c>
      <c r="AQ34" s="309">
        <v>0</v>
      </c>
      <c r="AR34" s="311">
        <f t="shared" ca="1" si="7"/>
        <v>79180.728420407744</v>
      </c>
      <c r="AS34" s="870">
        <f t="shared" ca="1" si="21"/>
        <v>-3448395.7334778914</v>
      </c>
      <c r="AT34" s="822"/>
      <c r="AU34" s="878"/>
      <c r="AV34" s="35"/>
      <c r="AW34" s="879"/>
      <c r="AX34" s="35"/>
      <c r="AY34" s="880"/>
      <c r="BC34" s="123">
        <f>SUM(BC22:BC33)</f>
        <v>56886.13</v>
      </c>
      <c r="BD34" s="123">
        <f>SUM(BD22:BD33)</f>
        <v>643602</v>
      </c>
      <c r="BE34" s="955"/>
    </row>
    <row r="35" spans="1:57">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2"/>
        <v>0</v>
      </c>
      <c r="K35" s="307">
        <f t="shared" ca="1" si="10"/>
        <v>158017.60803009526</v>
      </c>
      <c r="L35" s="307">
        <f t="shared" si="11"/>
        <v>-700.48812999999996</v>
      </c>
      <c r="M35" s="307">
        <f t="shared" si="23"/>
        <v>700.48812999999996</v>
      </c>
      <c r="N35" s="307">
        <f t="shared" ca="1" si="12"/>
        <v>157317.11990009525</v>
      </c>
      <c r="O35" s="306">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-497.52640520481702</v>
      </c>
      <c r="Y35" s="306">
        <v>0</v>
      </c>
      <c r="Z35" s="306">
        <v>0</v>
      </c>
      <c r="AA35" s="308">
        <f ca="1">-SUM(W35,X35/OFFSET(GridFootprintbyYear,$A35-$A$19,0)*EF_PurchElec_MTperMWh,Z35)*OFFSET(ExposureCalculations!Price_GHG_Allowance_2010,A35-$A$19,0)*ExposureCalculations!D32</f>
        <v>16387.259455086594</v>
      </c>
      <c r="AB35" s="308">
        <f t="shared" ca="1" si="3"/>
        <v>64487.671260214411</v>
      </c>
      <c r="AC35" s="308">
        <v>0</v>
      </c>
      <c r="AD35" s="819">
        <f t="shared" ca="1" si="4"/>
        <v>0</v>
      </c>
      <c r="AE35" s="308">
        <v>0</v>
      </c>
      <c r="AF35" s="819">
        <f t="shared" ca="1" si="5"/>
        <v>0</v>
      </c>
      <c r="AG35" s="308">
        <v>0</v>
      </c>
      <c r="AH35" s="308">
        <v>0</v>
      </c>
      <c r="AI35" s="308">
        <v>0</v>
      </c>
      <c r="AJ35" s="308">
        <f t="shared" ca="1" si="6"/>
        <v>64487.671260214411</v>
      </c>
      <c r="AK35" s="309">
        <v>0</v>
      </c>
      <c r="AL35" s="309">
        <v>0</v>
      </c>
      <c r="AM35" s="309">
        <f t="shared" si="19"/>
        <v>0</v>
      </c>
      <c r="AN35" s="310">
        <v>0</v>
      </c>
      <c r="AO35" s="310">
        <v>0</v>
      </c>
      <c r="AP35" s="310">
        <f t="shared" si="20"/>
        <v>0</v>
      </c>
      <c r="AQ35" s="309">
        <v>0</v>
      </c>
      <c r="AR35" s="311">
        <f t="shared" ca="1" si="7"/>
        <v>80874.930715301001</v>
      </c>
      <c r="AS35" s="870">
        <f t="shared" ca="1" si="21"/>
        <v>-3367520.8027625903</v>
      </c>
      <c r="AT35" s="822"/>
      <c r="AU35" s="878"/>
      <c r="AV35" s="35"/>
      <c r="AW35" s="879"/>
      <c r="AX35" s="35"/>
      <c r="AY35" s="880"/>
    </row>
    <row r="36" spans="1:57">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2"/>
        <v>0</v>
      </c>
      <c r="K36" s="307">
        <f t="shared" ca="1" si="10"/>
        <v>159594.23363094722</v>
      </c>
      <c r="L36" s="307">
        <f t="shared" si="11"/>
        <v>-700.48812999999996</v>
      </c>
      <c r="M36" s="307">
        <f t="shared" si="23"/>
        <v>700.48812999999996</v>
      </c>
      <c r="N36" s="307">
        <f t="shared" ca="1" si="12"/>
        <v>158893.7455009472</v>
      </c>
      <c r="O36" s="306">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-497.52640520481702</v>
      </c>
      <c r="Y36" s="306">
        <v>0</v>
      </c>
      <c r="Z36" s="306">
        <v>0</v>
      </c>
      <c r="AA36" s="308">
        <f ca="1">-SUM(W36,X36/OFFSET(GridFootprintbyYear,$A36-$A$19,0)*EF_PurchElec_MTperMWh,Z36)*OFFSET(ExposureCalculations!Price_GHG_Allowance_2010,A36-$A$19,0)*ExposureCalculations!D33</f>
        <v>17803.265630151858</v>
      </c>
      <c r="AB36" s="308">
        <f t="shared" ca="1" si="3"/>
        <v>64810.109616515474</v>
      </c>
      <c r="AC36" s="308">
        <v>0</v>
      </c>
      <c r="AD36" s="819">
        <f t="shared" ca="1" si="4"/>
        <v>0</v>
      </c>
      <c r="AE36" s="308">
        <v>0</v>
      </c>
      <c r="AF36" s="819">
        <f t="shared" ca="1" si="5"/>
        <v>0</v>
      </c>
      <c r="AG36" s="308">
        <v>0</v>
      </c>
      <c r="AH36" s="308">
        <v>0</v>
      </c>
      <c r="AI36" s="308">
        <v>0</v>
      </c>
      <c r="AJ36" s="308">
        <f t="shared" ca="1" si="6"/>
        <v>64810.109616515474</v>
      </c>
      <c r="AK36" s="309">
        <v>0</v>
      </c>
      <c r="AL36" s="309">
        <v>0</v>
      </c>
      <c r="AM36" s="309">
        <f t="shared" si="19"/>
        <v>0</v>
      </c>
      <c r="AN36" s="310">
        <v>0</v>
      </c>
      <c r="AO36" s="310">
        <v>0</v>
      </c>
      <c r="AP36" s="310">
        <f t="shared" si="20"/>
        <v>0</v>
      </c>
      <c r="AQ36" s="309">
        <v>0</v>
      </c>
      <c r="AR36" s="311">
        <f t="shared" ca="1" si="7"/>
        <v>82613.375246667332</v>
      </c>
      <c r="AS36" s="870">
        <f t="shared" ca="1" si="21"/>
        <v>-3284907.427515923</v>
      </c>
      <c r="AT36" s="822"/>
      <c r="AU36" s="878"/>
      <c r="AV36" s="35"/>
      <c r="AW36" s="879"/>
      <c r="AX36" s="35"/>
      <c r="AY36" s="880"/>
      <c r="BB36" s="961" t="s">
        <v>1054</v>
      </c>
    </row>
    <row r="37" spans="1:57">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2"/>
        <v>0</v>
      </c>
      <c r="K37" s="307">
        <f t="shared" ca="1" si="10"/>
        <v>161170.85923179929</v>
      </c>
      <c r="L37" s="307">
        <f t="shared" si="11"/>
        <v>-700.48812999999996</v>
      </c>
      <c r="M37" s="307">
        <f t="shared" si="23"/>
        <v>700.48812999999996</v>
      </c>
      <c r="N37" s="307">
        <f t="shared" ca="1" si="12"/>
        <v>160470.37110179928</v>
      </c>
      <c r="O37" s="306">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-497.52640520481702</v>
      </c>
      <c r="Y37" s="306">
        <v>0</v>
      </c>
      <c r="Z37" s="306">
        <v>0</v>
      </c>
      <c r="AA37" s="308">
        <f ca="1">-SUM(W37,X37/OFFSET(GridFootprintbyYear,$A37-$A$19,0)*EF_PurchElec_MTperMWh,Z37)*OFFSET(ExposureCalculations!Price_GHG_Allowance_2010,A37-$A$19,0)*ExposureCalculations!D34</f>
        <v>19259.839809097764</v>
      </c>
      <c r="AB37" s="308">
        <f t="shared" ca="1" si="3"/>
        <v>65134.160164598034</v>
      </c>
      <c r="AC37" s="308">
        <v>0</v>
      </c>
      <c r="AD37" s="819">
        <f t="shared" ca="1" si="4"/>
        <v>0</v>
      </c>
      <c r="AE37" s="308">
        <v>0</v>
      </c>
      <c r="AF37" s="819">
        <f t="shared" ca="1" si="5"/>
        <v>0</v>
      </c>
      <c r="AG37" s="308">
        <v>0</v>
      </c>
      <c r="AH37" s="308">
        <v>0</v>
      </c>
      <c r="AI37" s="308">
        <v>0</v>
      </c>
      <c r="AJ37" s="308">
        <f t="shared" ca="1" si="6"/>
        <v>65134.160164598034</v>
      </c>
      <c r="AK37" s="309">
        <v>0</v>
      </c>
      <c r="AL37" s="309">
        <v>0</v>
      </c>
      <c r="AM37" s="309">
        <f t="shared" si="19"/>
        <v>0</v>
      </c>
      <c r="AN37" s="310">
        <v>0</v>
      </c>
      <c r="AO37" s="310">
        <v>0</v>
      </c>
      <c r="AP37" s="310">
        <f t="shared" si="20"/>
        <v>0</v>
      </c>
      <c r="AQ37" s="309">
        <v>0</v>
      </c>
      <c r="AR37" s="311">
        <f t="shared" ca="1" si="7"/>
        <v>84393.999973695798</v>
      </c>
      <c r="AS37" s="870">
        <f t="shared" ca="1" si="21"/>
        <v>-3200513.4275422273</v>
      </c>
      <c r="AT37" s="822"/>
      <c r="AU37" s="878"/>
      <c r="AV37" s="35"/>
      <c r="AW37" s="879"/>
      <c r="AX37" s="35"/>
      <c r="AY37" s="880"/>
    </row>
    <row r="38" spans="1:57">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2"/>
        <v>0</v>
      </c>
      <c r="K38" s="307">
        <f t="shared" ca="1" si="10"/>
        <v>162747.48483265133</v>
      </c>
      <c r="L38" s="307">
        <f t="shared" si="11"/>
        <v>-700.48812999999996</v>
      </c>
      <c r="M38" s="307">
        <f t="shared" si="23"/>
        <v>700.48812999999996</v>
      </c>
      <c r="N38" s="307">
        <f t="shared" ca="1" si="12"/>
        <v>162046.99670265132</v>
      </c>
      <c r="O38" s="306">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-497.52640520481702</v>
      </c>
      <c r="Y38" s="306">
        <v>0</v>
      </c>
      <c r="Z38" s="306">
        <v>0</v>
      </c>
      <c r="AA38" s="308">
        <f ca="1">-SUM(W38,X38/OFFSET(GridFootprintbyYear,$A38-$A$19,0)*EF_PurchElec_MTperMWh,Z38)*OFFSET(ExposureCalculations!Price_GHG_Allowance_2010,A38-$A$19,0)*ExposureCalculations!D35</f>
        <v>20754.923034098869</v>
      </c>
      <c r="AB38" s="308">
        <f t="shared" ca="1" si="3"/>
        <v>65459.830965421017</v>
      </c>
      <c r="AC38" s="308">
        <v>0</v>
      </c>
      <c r="AD38" s="819">
        <f t="shared" ca="1" si="4"/>
        <v>0</v>
      </c>
      <c r="AE38" s="308">
        <v>0</v>
      </c>
      <c r="AF38" s="819">
        <f t="shared" ca="1" si="5"/>
        <v>0</v>
      </c>
      <c r="AG38" s="308">
        <v>0</v>
      </c>
      <c r="AH38" s="308">
        <v>0</v>
      </c>
      <c r="AI38" s="308">
        <v>0</v>
      </c>
      <c r="AJ38" s="308">
        <f t="shared" ca="1" si="6"/>
        <v>65459.830965421017</v>
      </c>
      <c r="AK38" s="309">
        <v>0</v>
      </c>
      <c r="AL38" s="309">
        <v>0</v>
      </c>
      <c r="AM38" s="309">
        <f t="shared" si="19"/>
        <v>0</v>
      </c>
      <c r="AN38" s="310">
        <v>0</v>
      </c>
      <c r="AO38" s="310">
        <v>0</v>
      </c>
      <c r="AP38" s="310">
        <f t="shared" si="20"/>
        <v>0</v>
      </c>
      <c r="AQ38" s="309">
        <v>0</v>
      </c>
      <c r="AR38" s="311">
        <f t="shared" ca="1" si="7"/>
        <v>86214.753999519889</v>
      </c>
      <c r="AS38" s="870">
        <f t="shared" ca="1" si="21"/>
        <v>-3114298.6735427072</v>
      </c>
      <c r="AT38" s="822"/>
      <c r="AU38" s="878"/>
      <c r="AV38" s="35"/>
      <c r="AW38" s="879"/>
      <c r="AX38" s="35"/>
      <c r="AY38" s="880"/>
    </row>
    <row r="39" spans="1:57">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2"/>
        <v>0</v>
      </c>
      <c r="K39" s="307">
        <f t="shared" ca="1" si="10"/>
        <v>164324.11043350337</v>
      </c>
      <c r="L39" s="307">
        <f t="shared" si="11"/>
        <v>-700.48812999999996</v>
      </c>
      <c r="M39" s="307">
        <f t="shared" si="23"/>
        <v>700.48812999999996</v>
      </c>
      <c r="N39" s="307">
        <f t="shared" ca="1" si="12"/>
        <v>163623.62230350336</v>
      </c>
      <c r="O39" s="306">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-497.52640520481702</v>
      </c>
      <c r="Y39" s="306">
        <v>0</v>
      </c>
      <c r="Z39" s="306">
        <v>0</v>
      </c>
      <c r="AA39" s="308">
        <f ca="1">-SUM(W39,X39/OFFSET(GridFootprintbyYear,$A39-$A$19,0)*EF_PurchElec_MTperMWh,Z39)*OFFSET(ExposureCalculations!Price_GHG_Allowance_2010,A39-$A$19,0)*ExposureCalculations!D36</f>
        <v>22286.467240869762</v>
      </c>
      <c r="AB39" s="308">
        <f t="shared" ca="1" si="3"/>
        <v>65787.130120248112</v>
      </c>
      <c r="AC39" s="308">
        <v>0</v>
      </c>
      <c r="AD39" s="819">
        <f t="shared" ca="1" si="4"/>
        <v>0</v>
      </c>
      <c r="AE39" s="308">
        <v>0</v>
      </c>
      <c r="AF39" s="819">
        <f t="shared" ca="1" si="5"/>
        <v>0</v>
      </c>
      <c r="AG39" s="308">
        <v>0</v>
      </c>
      <c r="AH39" s="308">
        <v>0</v>
      </c>
      <c r="AI39" s="308">
        <v>0</v>
      </c>
      <c r="AJ39" s="308">
        <f t="shared" ca="1" si="6"/>
        <v>65787.130120248112</v>
      </c>
      <c r="AK39" s="309">
        <v>0</v>
      </c>
      <c r="AL39" s="309">
        <v>0</v>
      </c>
      <c r="AM39" s="309">
        <f t="shared" si="19"/>
        <v>0</v>
      </c>
      <c r="AN39" s="310">
        <v>0</v>
      </c>
      <c r="AO39" s="310">
        <v>0</v>
      </c>
      <c r="AP39" s="310">
        <f t="shared" si="20"/>
        <v>0</v>
      </c>
      <c r="AQ39" s="309">
        <v>0</v>
      </c>
      <c r="AR39" s="311">
        <f t="shared" ca="1" si="7"/>
        <v>88073.597361117878</v>
      </c>
      <c r="AS39" s="870">
        <f t="shared" ca="1" si="21"/>
        <v>-3026225.0761815892</v>
      </c>
      <c r="AT39" s="822"/>
      <c r="AU39" s="878"/>
      <c r="AV39" s="35"/>
      <c r="AW39" s="879"/>
      <c r="AX39" s="35"/>
      <c r="AY39" s="880"/>
    </row>
    <row r="40" spans="1:57">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2"/>
        <v>0</v>
      </c>
      <c r="K40" s="307">
        <f t="shared" ca="1" si="10"/>
        <v>165900.73603435536</v>
      </c>
      <c r="L40" s="307">
        <f t="shared" si="11"/>
        <v>-700.48812999999996</v>
      </c>
      <c r="M40" s="307">
        <f t="shared" si="23"/>
        <v>700.48812999999996</v>
      </c>
      <c r="N40" s="307">
        <f t="shared" ca="1" si="12"/>
        <v>165200.24790435535</v>
      </c>
      <c r="O40" s="306">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-497.52640520481702</v>
      </c>
      <c r="Y40" s="306">
        <v>0</v>
      </c>
      <c r="Z40" s="306">
        <v>0</v>
      </c>
      <c r="AA40" s="308">
        <f ca="1">-SUM(W40,X40/OFFSET(GridFootprintbyYear,$A40-$A$19,0)*EF_PurchElec_MTperMWh,Z40)*OFFSET(ExposureCalculations!Price_GHG_Allowance_2010,A40-$A$19,0)*ExposureCalculations!D37</f>
        <v>24040.232594872377</v>
      </c>
      <c r="AB40" s="308">
        <f t="shared" ca="1" si="3"/>
        <v>66116.065770849338</v>
      </c>
      <c r="AC40" s="308">
        <v>0</v>
      </c>
      <c r="AD40" s="819">
        <f t="shared" ca="1" si="4"/>
        <v>0</v>
      </c>
      <c r="AE40" s="308">
        <v>0</v>
      </c>
      <c r="AF40" s="819">
        <f t="shared" ca="1" si="5"/>
        <v>0</v>
      </c>
      <c r="AG40" s="308">
        <v>0</v>
      </c>
      <c r="AH40" s="308">
        <v>0</v>
      </c>
      <c r="AI40" s="308">
        <v>0</v>
      </c>
      <c r="AJ40" s="308">
        <f t="shared" ca="1" si="6"/>
        <v>66116.065770849338</v>
      </c>
      <c r="AK40" s="309">
        <v>0</v>
      </c>
      <c r="AL40" s="309">
        <v>0</v>
      </c>
      <c r="AM40" s="309">
        <f t="shared" si="19"/>
        <v>0</v>
      </c>
      <c r="AN40" s="310">
        <v>0</v>
      </c>
      <c r="AO40" s="310">
        <v>0</v>
      </c>
      <c r="AP40" s="310">
        <f t="shared" si="20"/>
        <v>0</v>
      </c>
      <c r="AQ40" s="309">
        <v>0</v>
      </c>
      <c r="AR40" s="311">
        <f t="shared" ca="1" si="7"/>
        <v>90156.298365721712</v>
      </c>
      <c r="AS40" s="870">
        <f t="shared" ca="1" si="21"/>
        <v>-2936068.7778158672</v>
      </c>
      <c r="AT40" s="822"/>
      <c r="AU40" s="878"/>
      <c r="AV40" s="35"/>
      <c r="AW40" s="879"/>
      <c r="AX40" s="35"/>
      <c r="AY40" s="880"/>
    </row>
    <row r="41" spans="1:57">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2"/>
        <v>0</v>
      </c>
      <c r="K41" s="307">
        <f t="shared" ca="1" si="10"/>
        <v>167477.3616352074</v>
      </c>
      <c r="L41" s="307">
        <f t="shared" si="11"/>
        <v>-700.48812999999996</v>
      </c>
      <c r="M41" s="307">
        <f t="shared" si="23"/>
        <v>700.48812999999996</v>
      </c>
      <c r="N41" s="307">
        <f t="shared" ca="1" si="12"/>
        <v>166776.87350520739</v>
      </c>
      <c r="O41" s="306">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-497.52640520481702</v>
      </c>
      <c r="Y41" s="306">
        <v>0</v>
      </c>
      <c r="Z41" s="306">
        <v>0</v>
      </c>
      <c r="AA41" s="308">
        <f ca="1">-SUM(W41,X41/OFFSET(GridFootprintbyYear,$A41-$A$19,0)*EF_PurchElec_MTperMWh,Z41)*OFFSET(ExposureCalculations!Price_GHG_Allowance_2010,A41-$A$19,0)*ExposureCalculations!D38</f>
        <v>25836.928807396271</v>
      </c>
      <c r="AB41" s="308">
        <f t="shared" ca="1" si="3"/>
        <v>66446.646099703576</v>
      </c>
      <c r="AC41" s="308">
        <v>0</v>
      </c>
      <c r="AD41" s="819">
        <f t="shared" ca="1" si="4"/>
        <v>0</v>
      </c>
      <c r="AE41" s="308">
        <v>0</v>
      </c>
      <c r="AF41" s="819">
        <f t="shared" ca="1" si="5"/>
        <v>0</v>
      </c>
      <c r="AG41" s="308">
        <v>0</v>
      </c>
      <c r="AH41" s="308">
        <v>0</v>
      </c>
      <c r="AI41" s="308">
        <v>0</v>
      </c>
      <c r="AJ41" s="308">
        <f t="shared" ca="1" si="6"/>
        <v>66446.646099703576</v>
      </c>
      <c r="AK41" s="309">
        <v>0</v>
      </c>
      <c r="AL41" s="309">
        <v>0</v>
      </c>
      <c r="AM41" s="309">
        <f t="shared" si="19"/>
        <v>0</v>
      </c>
      <c r="AN41" s="310">
        <v>0</v>
      </c>
      <c r="AO41" s="310">
        <v>0</v>
      </c>
      <c r="AP41" s="310">
        <f t="shared" si="20"/>
        <v>0</v>
      </c>
      <c r="AQ41" s="309">
        <v>0</v>
      </c>
      <c r="AR41" s="311">
        <f t="shared" ca="1" si="7"/>
        <v>92283.574907099843</v>
      </c>
      <c r="AS41" s="870">
        <f t="shared" ca="1" si="21"/>
        <v>-2843785.2029087674</v>
      </c>
      <c r="AT41" s="822"/>
      <c r="AU41" s="878"/>
      <c r="AV41" s="35"/>
      <c r="AW41" s="879"/>
      <c r="AX41" s="35"/>
      <c r="AY41" s="880"/>
    </row>
    <row r="42" spans="1:57">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2"/>
        <v>0</v>
      </c>
      <c r="K42" s="307">
        <f t="shared" ca="1" si="10"/>
        <v>169053.98723605942</v>
      </c>
      <c r="L42" s="307">
        <f t="shared" si="11"/>
        <v>-700.48812999999996</v>
      </c>
      <c r="M42" s="307">
        <f t="shared" si="23"/>
        <v>700.48812999999996</v>
      </c>
      <c r="N42" s="307">
        <f t="shared" ca="1" si="12"/>
        <v>168353.4991060594</v>
      </c>
      <c r="O42" s="306">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-497.52640520481702</v>
      </c>
      <c r="Y42" s="306">
        <v>0</v>
      </c>
      <c r="Z42" s="306">
        <v>0</v>
      </c>
      <c r="AA42" s="308">
        <f ca="1">-SUM(W42,X42/OFFSET(GridFootprintbyYear,$A42-$A$19,0)*EF_PurchElec_MTperMWh,Z42)*OFFSET(ExposureCalculations!Price_GHG_Allowance_2010,A42-$A$19,0)*ExposureCalculations!D39</f>
        <v>27447.559175283375</v>
      </c>
      <c r="AB42" s="308">
        <f t="shared" ca="1" si="3"/>
        <v>66778.879330202079</v>
      </c>
      <c r="AC42" s="308">
        <v>0</v>
      </c>
      <c r="AD42" s="819">
        <f t="shared" ca="1" si="4"/>
        <v>0</v>
      </c>
      <c r="AE42" s="308">
        <v>0</v>
      </c>
      <c r="AF42" s="819">
        <f t="shared" ca="1" si="5"/>
        <v>0</v>
      </c>
      <c r="AG42" s="308">
        <v>0</v>
      </c>
      <c r="AH42" s="308">
        <v>0</v>
      </c>
      <c r="AI42" s="308">
        <v>0</v>
      </c>
      <c r="AJ42" s="308">
        <f t="shared" ca="1" si="6"/>
        <v>66778.879330202079</v>
      </c>
      <c r="AK42" s="309">
        <v>0</v>
      </c>
      <c r="AL42" s="309">
        <v>0</v>
      </c>
      <c r="AM42" s="309">
        <f t="shared" si="19"/>
        <v>0</v>
      </c>
      <c r="AN42" s="310">
        <v>0</v>
      </c>
      <c r="AO42" s="310">
        <v>0</v>
      </c>
      <c r="AP42" s="310">
        <f t="shared" si="20"/>
        <v>0</v>
      </c>
      <c r="AQ42" s="309">
        <v>0</v>
      </c>
      <c r="AR42" s="311">
        <f t="shared" ca="1" si="7"/>
        <v>94226.43850548545</v>
      </c>
      <c r="AS42" s="870">
        <f t="shared" ca="1" si="21"/>
        <v>-2749558.7644032817</v>
      </c>
      <c r="AT42" s="822"/>
      <c r="AU42" s="878"/>
      <c r="AV42" s="35"/>
      <c r="AW42" s="879"/>
      <c r="AX42" s="35"/>
      <c r="AY42" s="880"/>
    </row>
    <row r="43" spans="1:57">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2"/>
        <v>0</v>
      </c>
      <c r="K43" s="307">
        <f t="shared" ca="1" si="10"/>
        <v>170630.61283691146</v>
      </c>
      <c r="L43" s="307">
        <f t="shared" si="11"/>
        <v>-700.48812999999996</v>
      </c>
      <c r="M43" s="307">
        <f t="shared" si="23"/>
        <v>700.48812999999996</v>
      </c>
      <c r="N43" s="307">
        <f t="shared" ca="1" si="12"/>
        <v>169930.12470691145</v>
      </c>
      <c r="O43" s="306">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-497.52640520481702</v>
      </c>
      <c r="Y43" s="306">
        <v>0</v>
      </c>
      <c r="Z43" s="306">
        <v>0</v>
      </c>
      <c r="AA43" s="308">
        <f ca="1">-SUM(W43,X43/OFFSET(GridFootprintbyYear,$A43-$A$19,0)*EF_PurchElec_MTperMWh,Z43)*OFFSET(ExposureCalculations!Price_GHG_Allowance_2010,A43-$A$19,0)*ExposureCalculations!D40</f>
        <v>28862.988611788482</v>
      </c>
      <c r="AB43" s="308">
        <f t="shared" ca="1" si="3"/>
        <v>67112.773726853091</v>
      </c>
      <c r="AC43" s="308">
        <v>0</v>
      </c>
      <c r="AD43" s="819">
        <f t="shared" ca="1" si="4"/>
        <v>0</v>
      </c>
      <c r="AE43" s="308">
        <v>0</v>
      </c>
      <c r="AF43" s="819">
        <f t="shared" ca="1" si="5"/>
        <v>0</v>
      </c>
      <c r="AG43" s="308">
        <v>0</v>
      </c>
      <c r="AH43" s="308">
        <v>0</v>
      </c>
      <c r="AI43" s="308">
        <v>0</v>
      </c>
      <c r="AJ43" s="308">
        <f t="shared" ca="1" si="6"/>
        <v>67112.773726853091</v>
      </c>
      <c r="AK43" s="309">
        <v>0</v>
      </c>
      <c r="AL43" s="309">
        <v>0</v>
      </c>
      <c r="AM43" s="309">
        <f t="shared" si="19"/>
        <v>0</v>
      </c>
      <c r="AN43" s="310">
        <v>0</v>
      </c>
      <c r="AO43" s="310">
        <v>0</v>
      </c>
      <c r="AP43" s="310">
        <f t="shared" si="20"/>
        <v>0</v>
      </c>
      <c r="AQ43" s="309">
        <v>0</v>
      </c>
      <c r="AR43" s="311">
        <f t="shared" ca="1" si="7"/>
        <v>95975.762338641565</v>
      </c>
      <c r="AS43" s="870">
        <f t="shared" ca="1" si="21"/>
        <v>-2653583.0020646402</v>
      </c>
      <c r="AT43" s="822"/>
      <c r="AU43" s="878"/>
      <c r="AV43" s="35"/>
      <c r="AW43" s="879"/>
      <c r="AX43" s="35"/>
      <c r="AY43" s="880"/>
    </row>
    <row r="44" spans="1:57">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2"/>
        <v>0</v>
      </c>
      <c r="K44" s="307">
        <f t="shared" ca="1" si="10"/>
        <v>172207.23843776347</v>
      </c>
      <c r="L44" s="307">
        <f t="shared" si="11"/>
        <v>-700.48812999999996</v>
      </c>
      <c r="M44" s="307">
        <f t="shared" si="23"/>
        <v>700.48812999999996</v>
      </c>
      <c r="N44" s="307">
        <f t="shared" ca="1" si="12"/>
        <v>171506.75030776346</v>
      </c>
      <c r="O44" s="306">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-497.52640520481702</v>
      </c>
      <c r="Y44" s="306">
        <v>0</v>
      </c>
      <c r="Z44" s="306">
        <v>0</v>
      </c>
      <c r="AA44" s="308">
        <f ca="1">-SUM(W44,X44/OFFSET(GridFootprintbyYear,$A44-$A$19,0)*EF_PurchElec_MTperMWh,Z44)*OFFSET(ExposureCalculations!Price_GHG_Allowance_2010,A44-$A$19,0)*ExposureCalculations!D41</f>
        <v>30307.480887475991</v>
      </c>
      <c r="AB44" s="308">
        <f t="shared" ca="1" si="3"/>
        <v>67448.337595487348</v>
      </c>
      <c r="AC44" s="308">
        <v>0</v>
      </c>
      <c r="AD44" s="819">
        <f t="shared" ca="1" si="4"/>
        <v>0</v>
      </c>
      <c r="AE44" s="308">
        <v>0</v>
      </c>
      <c r="AF44" s="819">
        <f t="shared" ca="1" si="5"/>
        <v>0</v>
      </c>
      <c r="AG44" s="308">
        <v>0</v>
      </c>
      <c r="AH44" s="308">
        <v>0</v>
      </c>
      <c r="AI44" s="308">
        <v>0</v>
      </c>
      <c r="AJ44" s="308">
        <f t="shared" ca="1" si="6"/>
        <v>67448.337595487348</v>
      </c>
      <c r="AK44" s="309">
        <v>0</v>
      </c>
      <c r="AL44" s="309">
        <v>0</v>
      </c>
      <c r="AM44" s="309">
        <f t="shared" si="19"/>
        <v>0</v>
      </c>
      <c r="AN44" s="310">
        <v>0</v>
      </c>
      <c r="AO44" s="310">
        <v>0</v>
      </c>
      <c r="AP44" s="310">
        <f t="shared" si="20"/>
        <v>0</v>
      </c>
      <c r="AQ44" s="309">
        <v>0</v>
      </c>
      <c r="AR44" s="311">
        <f t="shared" ca="1" si="7"/>
        <v>97755.818482963339</v>
      </c>
      <c r="AS44" s="870">
        <f t="shared" ca="1" si="21"/>
        <v>-2555827.1835816768</v>
      </c>
      <c r="AT44" s="822"/>
      <c r="AU44" s="878"/>
      <c r="AV44" s="35"/>
      <c r="AW44" s="879"/>
      <c r="AX44" s="35"/>
      <c r="AY44" s="880"/>
    </row>
    <row r="45" spans="1:57">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2"/>
        <v>0</v>
      </c>
      <c r="K45" s="307">
        <f t="shared" ca="1" si="10"/>
        <v>173783.86403861555</v>
      </c>
      <c r="L45" s="307">
        <f t="shared" si="11"/>
        <v>-700.48812999999996</v>
      </c>
      <c r="M45" s="307">
        <f t="shared" si="23"/>
        <v>700.48812999999996</v>
      </c>
      <c r="N45" s="307">
        <f t="shared" ca="1" si="12"/>
        <v>173083.37590861553</v>
      </c>
      <c r="O45" s="306">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-497.52640520481702</v>
      </c>
      <c r="Y45" s="306">
        <v>0</v>
      </c>
      <c r="Z45" s="306">
        <v>0</v>
      </c>
      <c r="AA45" s="308">
        <f ca="1">-SUM(W45,X45/OFFSET(GridFootprintbyYear,$A45-$A$19,0)*EF_PurchElec_MTperMWh,Z45)*OFFSET(ExposureCalculations!Price_GHG_Allowance_2010,A45-$A$19,0)*ExposureCalculations!D42</f>
        <v>31997.495970896318</v>
      </c>
      <c r="AB45" s="308">
        <f t="shared" ca="1" si="3"/>
        <v>67785.579283464773</v>
      </c>
      <c r="AC45" s="308">
        <v>0</v>
      </c>
      <c r="AD45" s="819">
        <f t="shared" ca="1" si="4"/>
        <v>0</v>
      </c>
      <c r="AE45" s="308">
        <v>0</v>
      </c>
      <c r="AF45" s="819">
        <f t="shared" ca="1" si="5"/>
        <v>0</v>
      </c>
      <c r="AG45" s="308">
        <v>0</v>
      </c>
      <c r="AH45" s="308">
        <v>0</v>
      </c>
      <c r="AI45" s="308">
        <v>0</v>
      </c>
      <c r="AJ45" s="308">
        <f t="shared" ca="1" si="6"/>
        <v>67785.579283464773</v>
      </c>
      <c r="AK45" s="309">
        <v>0</v>
      </c>
      <c r="AL45" s="309">
        <v>0</v>
      </c>
      <c r="AM45" s="309">
        <f t="shared" si="19"/>
        <v>0</v>
      </c>
      <c r="AN45" s="310">
        <v>0</v>
      </c>
      <c r="AO45" s="310">
        <v>0</v>
      </c>
      <c r="AP45" s="310">
        <f t="shared" si="20"/>
        <v>0</v>
      </c>
      <c r="AQ45" s="309">
        <v>0</v>
      </c>
      <c r="AR45" s="311">
        <f t="shared" ca="1" si="7"/>
        <v>99783.075254361087</v>
      </c>
      <c r="AS45" s="870">
        <f t="shared" ca="1" si="21"/>
        <v>-2456044.1083273157</v>
      </c>
      <c r="AT45" s="822"/>
      <c r="AU45" s="878"/>
      <c r="AV45" s="35"/>
      <c r="AW45" s="879"/>
      <c r="AX45" s="35"/>
      <c r="AY45" s="880"/>
    </row>
    <row r="46" spans="1:57">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2"/>
        <v>0</v>
      </c>
      <c r="K46" s="307">
        <f t="shared" ca="1" si="10"/>
        <v>175360.48963946756</v>
      </c>
      <c r="L46" s="307">
        <f t="shared" si="11"/>
        <v>-700.48812999999996</v>
      </c>
      <c r="M46" s="307">
        <f t="shared" si="23"/>
        <v>700.48812999999996</v>
      </c>
      <c r="N46" s="307">
        <f t="shared" ca="1" si="12"/>
        <v>174660.00150946755</v>
      </c>
      <c r="O46" s="306">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-497.52640520481702</v>
      </c>
      <c r="Y46" s="306">
        <v>0</v>
      </c>
      <c r="Z46" s="306">
        <v>0</v>
      </c>
      <c r="AA46" s="308">
        <f ca="1">-SUM(W46,X46/OFFSET(GridFootprintbyYear,$A46-$A$19,0)*EF_PurchElec_MTperMWh,Z46)*OFFSET(ExposureCalculations!Price_GHG_Allowance_2010,A46-$A$19,0)*ExposureCalculations!D43</f>
        <v>33680.16496154599</v>
      </c>
      <c r="AB46" s="308">
        <f t="shared" ca="1" si="3"/>
        <v>68124.507179882086</v>
      </c>
      <c r="AC46" s="308">
        <v>0</v>
      </c>
      <c r="AD46" s="819">
        <f t="shared" ca="1" si="4"/>
        <v>0</v>
      </c>
      <c r="AE46" s="308">
        <v>0</v>
      </c>
      <c r="AF46" s="819">
        <f t="shared" ca="1" si="5"/>
        <v>0</v>
      </c>
      <c r="AG46" s="308">
        <v>0</v>
      </c>
      <c r="AH46" s="308">
        <v>0</v>
      </c>
      <c r="AI46" s="308">
        <v>0</v>
      </c>
      <c r="AJ46" s="308">
        <f t="shared" ca="1" si="6"/>
        <v>68124.507179882086</v>
      </c>
      <c r="AK46" s="309">
        <v>0</v>
      </c>
      <c r="AL46" s="309">
        <v>0</v>
      </c>
      <c r="AM46" s="309">
        <f t="shared" si="19"/>
        <v>0</v>
      </c>
      <c r="AN46" s="310">
        <v>0</v>
      </c>
      <c r="AO46" s="310">
        <v>0</v>
      </c>
      <c r="AP46" s="310">
        <f t="shared" si="20"/>
        <v>0</v>
      </c>
      <c r="AQ46" s="309">
        <v>0</v>
      </c>
      <c r="AR46" s="311">
        <f t="shared" ca="1" si="7"/>
        <v>101804.67214142808</v>
      </c>
      <c r="AS46" s="870">
        <f t="shared" ca="1" si="21"/>
        <v>-2354239.4361858875</v>
      </c>
      <c r="AT46" s="822"/>
      <c r="AU46" s="878"/>
      <c r="AV46" s="35"/>
      <c r="AW46" s="879"/>
      <c r="AX46" s="35"/>
      <c r="AY46" s="880"/>
    </row>
    <row r="47" spans="1:57">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2"/>
        <v>0</v>
      </c>
      <c r="K47" s="307">
        <f t="shared" ca="1" si="10"/>
        <v>176937.1152403196</v>
      </c>
      <c r="L47" s="307">
        <f t="shared" si="11"/>
        <v>-700.48812999999996</v>
      </c>
      <c r="M47" s="307">
        <f t="shared" si="23"/>
        <v>700.48812999999996</v>
      </c>
      <c r="N47" s="307">
        <f t="shared" ca="1" si="12"/>
        <v>176236.62711031959</v>
      </c>
      <c r="O47" s="306">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-497.52640520481702</v>
      </c>
      <c r="Y47" s="306">
        <v>0</v>
      </c>
      <c r="Z47" s="306">
        <v>0</v>
      </c>
      <c r="AA47" s="308">
        <f ca="1">-SUM(W47,X47/OFFSET(GridFootprintbyYear,$A47-$A$19,0)*EF_PurchElec_MTperMWh,Z47)*OFFSET(ExposureCalculations!Price_GHG_Allowance_2010,A47-$A$19,0)*ExposureCalculations!D44</f>
        <v>35351.02852230431</v>
      </c>
      <c r="AB47" s="308">
        <f t="shared" ca="1" si="3"/>
        <v>68465.129715781484</v>
      </c>
      <c r="AC47" s="308">
        <v>0</v>
      </c>
      <c r="AD47" s="819">
        <f t="shared" ca="1" si="4"/>
        <v>0</v>
      </c>
      <c r="AE47" s="308">
        <v>0</v>
      </c>
      <c r="AF47" s="819">
        <f t="shared" ca="1" si="5"/>
        <v>0</v>
      </c>
      <c r="AG47" s="308">
        <v>0</v>
      </c>
      <c r="AH47" s="308">
        <v>0</v>
      </c>
      <c r="AI47" s="308">
        <v>0</v>
      </c>
      <c r="AJ47" s="308">
        <f t="shared" ca="1" si="6"/>
        <v>68465.129715781484</v>
      </c>
      <c r="AK47" s="309">
        <v>0</v>
      </c>
      <c r="AL47" s="309">
        <v>0</v>
      </c>
      <c r="AM47" s="309">
        <f t="shared" si="19"/>
        <v>0</v>
      </c>
      <c r="AN47" s="310">
        <v>0</v>
      </c>
      <c r="AO47" s="310">
        <v>0</v>
      </c>
      <c r="AP47" s="310">
        <f t="shared" si="20"/>
        <v>0</v>
      </c>
      <c r="AQ47" s="309">
        <v>0</v>
      </c>
      <c r="AR47" s="311">
        <f t="shared" ca="1" si="7"/>
        <v>103816.1582380858</v>
      </c>
      <c r="AS47" s="870">
        <f t="shared" ca="1" si="21"/>
        <v>-2250423.2779478016</v>
      </c>
      <c r="AT47" s="822"/>
      <c r="AU47" s="878"/>
      <c r="AV47" s="35"/>
      <c r="AW47" s="879"/>
      <c r="AX47" s="35"/>
      <c r="AY47" s="880"/>
    </row>
    <row r="48" spans="1:57">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2"/>
        <v>0</v>
      </c>
      <c r="K48" s="307">
        <f t="shared" ca="1" si="10"/>
        <v>178513.74084117162</v>
      </c>
      <c r="L48" s="307">
        <f t="shared" si="11"/>
        <v>-700.48812999999996</v>
      </c>
      <c r="M48" s="307">
        <f t="shared" si="23"/>
        <v>700.48812999999996</v>
      </c>
      <c r="N48" s="307">
        <f t="shared" ca="1" si="12"/>
        <v>177813.2527111716</v>
      </c>
      <c r="O48" s="306">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-497.52640520481702</v>
      </c>
      <c r="Y48" s="306">
        <v>0</v>
      </c>
      <c r="Z48" s="306">
        <v>0</v>
      </c>
      <c r="AA48" s="308">
        <f ca="1">-SUM(W48,X48/OFFSET(GridFootprintbyYear,$A48-$A$19,0)*EF_PurchElec_MTperMWh,Z48)*OFFSET(ExposureCalculations!Price_GHG_Allowance_2010,A48-$A$19,0)*ExposureCalculations!D45</f>
        <v>37006.452376362206</v>
      </c>
      <c r="AB48" s="308">
        <f t="shared" ca="1" si="3"/>
        <v>68807.455364360387</v>
      </c>
      <c r="AC48" s="308">
        <v>0</v>
      </c>
      <c r="AD48" s="819">
        <f t="shared" ca="1" si="4"/>
        <v>0</v>
      </c>
      <c r="AE48" s="308">
        <v>0</v>
      </c>
      <c r="AF48" s="819">
        <f t="shared" ca="1" si="5"/>
        <v>0</v>
      </c>
      <c r="AG48" s="308">
        <v>0</v>
      </c>
      <c r="AH48" s="308">
        <v>0</v>
      </c>
      <c r="AI48" s="308">
        <v>0</v>
      </c>
      <c r="AJ48" s="308">
        <f t="shared" ca="1" si="6"/>
        <v>68807.455364360387</v>
      </c>
      <c r="AK48" s="309">
        <v>0</v>
      </c>
      <c r="AL48" s="309">
        <v>0</v>
      </c>
      <c r="AM48" s="309">
        <f t="shared" si="19"/>
        <v>0</v>
      </c>
      <c r="AN48" s="310">
        <v>0</v>
      </c>
      <c r="AO48" s="310">
        <v>0</v>
      </c>
      <c r="AP48" s="310">
        <f t="shared" si="20"/>
        <v>0</v>
      </c>
      <c r="AQ48" s="309">
        <v>0</v>
      </c>
      <c r="AR48" s="311">
        <f t="shared" ca="1" si="7"/>
        <v>105813.90774072259</v>
      </c>
      <c r="AS48" s="870">
        <f t="shared" ca="1" si="21"/>
        <v>-2144609.3702070792</v>
      </c>
      <c r="AT48" s="822"/>
      <c r="AU48" s="878"/>
      <c r="AV48" s="35"/>
      <c r="AW48" s="879"/>
      <c r="AX48" s="35"/>
      <c r="AY48" s="880"/>
    </row>
    <row r="49" spans="1:51">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2"/>
        <v>0</v>
      </c>
      <c r="K49" s="307">
        <f t="shared" ca="1" si="10"/>
        <v>180090.36644202363</v>
      </c>
      <c r="L49" s="307">
        <f t="shared" si="11"/>
        <v>-700.48812999999996</v>
      </c>
      <c r="M49" s="307">
        <f t="shared" si="23"/>
        <v>700.48812999999996</v>
      </c>
      <c r="N49" s="307">
        <f t="shared" ca="1" si="12"/>
        <v>179389.87831202362</v>
      </c>
      <c r="O49" s="306">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-497.52640520481702</v>
      </c>
      <c r="Y49" s="306">
        <v>0</v>
      </c>
      <c r="Z49" s="306">
        <v>0</v>
      </c>
      <c r="AA49" s="308">
        <f ca="1">-SUM(W49,X49/OFFSET(GridFootprintbyYear,$A49-$A$19,0)*EF_PurchElec_MTperMWh,Z49)*OFFSET(ExposureCalculations!Price_GHG_Allowance_2010,A49-$A$19,0)*ExposureCalculations!D46</f>
        <v>38742.600039660734</v>
      </c>
      <c r="AB49" s="308">
        <f t="shared" ca="1" si="3"/>
        <v>69151.49264118218</v>
      </c>
      <c r="AC49" s="308">
        <v>0</v>
      </c>
      <c r="AD49" s="819">
        <f t="shared" ca="1" si="4"/>
        <v>0</v>
      </c>
      <c r="AE49" s="308">
        <v>0</v>
      </c>
      <c r="AF49" s="819">
        <f t="shared" ca="1" si="5"/>
        <v>0</v>
      </c>
      <c r="AG49" s="308">
        <v>0</v>
      </c>
      <c r="AH49" s="308">
        <v>0</v>
      </c>
      <c r="AI49" s="308">
        <v>0</v>
      </c>
      <c r="AJ49" s="308">
        <f t="shared" ca="1" si="6"/>
        <v>69151.49264118218</v>
      </c>
      <c r="AK49" s="309">
        <v>0</v>
      </c>
      <c r="AL49" s="309">
        <v>0</v>
      </c>
      <c r="AM49" s="309">
        <f t="shared" si="19"/>
        <v>0</v>
      </c>
      <c r="AN49" s="310">
        <v>0</v>
      </c>
      <c r="AO49" s="310">
        <v>0</v>
      </c>
      <c r="AP49" s="310">
        <f t="shared" si="20"/>
        <v>0</v>
      </c>
      <c r="AQ49" s="309">
        <v>0</v>
      </c>
      <c r="AR49" s="311">
        <f t="shared" ca="1" si="7"/>
        <v>107894.09268084291</v>
      </c>
      <c r="AS49" s="870">
        <f t="shared" ca="1" si="21"/>
        <v>-2036715.2775262364</v>
      </c>
      <c r="AT49" s="822"/>
      <c r="AU49" s="878"/>
      <c r="AV49" s="35"/>
      <c r="AW49" s="879"/>
      <c r="AX49" s="35"/>
      <c r="AY49" s="880"/>
    </row>
    <row r="50" spans="1:51">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2"/>
        <v>0</v>
      </c>
      <c r="K50" s="307">
        <f t="shared" ca="1" si="10"/>
        <v>181666.99204287567</v>
      </c>
      <c r="L50" s="307">
        <f t="shared" si="11"/>
        <v>-700.48812999999996</v>
      </c>
      <c r="M50" s="307">
        <f t="shared" si="23"/>
        <v>700.48812999999996</v>
      </c>
      <c r="N50" s="307">
        <f t="shared" ca="1" si="12"/>
        <v>180966.50391287566</v>
      </c>
      <c r="O50" s="306">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-497.52640520481702</v>
      </c>
      <c r="Y50" s="306">
        <v>0</v>
      </c>
      <c r="Z50" s="306">
        <v>0</v>
      </c>
      <c r="AA50" s="308">
        <f ca="1">-SUM(W50,X50/OFFSET(GridFootprintbyYear,$A50-$A$19,0)*EF_PurchElec_MTperMWh,Z50)*OFFSET(ExposureCalculations!Price_GHG_Allowance_2010,A50-$A$19,0)*ExposureCalculations!D47</f>
        <v>40424.498409006941</v>
      </c>
      <c r="AB50" s="308">
        <f t="shared" ca="1" si="3"/>
        <v>69497.250104388062</v>
      </c>
      <c r="AC50" s="308">
        <v>0</v>
      </c>
      <c r="AD50" s="819">
        <f t="shared" ca="1" si="4"/>
        <v>0</v>
      </c>
      <c r="AE50" s="308">
        <v>0</v>
      </c>
      <c r="AF50" s="819">
        <f t="shared" ca="1" si="5"/>
        <v>0</v>
      </c>
      <c r="AG50" s="308">
        <v>0</v>
      </c>
      <c r="AH50" s="308">
        <v>0</v>
      </c>
      <c r="AI50" s="308">
        <v>0</v>
      </c>
      <c r="AJ50" s="308">
        <f t="shared" ca="1" si="6"/>
        <v>69497.250104388062</v>
      </c>
      <c r="AK50" s="309">
        <v>0</v>
      </c>
      <c r="AL50" s="309">
        <v>0</v>
      </c>
      <c r="AM50" s="309">
        <f t="shared" si="19"/>
        <v>0</v>
      </c>
      <c r="AN50" s="310">
        <v>0</v>
      </c>
      <c r="AO50" s="310">
        <v>0</v>
      </c>
      <c r="AP50" s="310">
        <f t="shared" si="20"/>
        <v>0</v>
      </c>
      <c r="AQ50" s="309">
        <v>0</v>
      </c>
      <c r="AR50" s="311">
        <f t="shared" ca="1" si="7"/>
        <v>109921.748513395</v>
      </c>
      <c r="AS50" s="870">
        <f t="shared" ca="1" si="21"/>
        <v>-1926793.5290128414</v>
      </c>
      <c r="AT50" s="822"/>
      <c r="AU50" s="878"/>
      <c r="AV50" s="35"/>
      <c r="AW50" s="879"/>
      <c r="AX50" s="35"/>
      <c r="AY50" s="880"/>
    </row>
    <row r="51" spans="1:51">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2"/>
        <v>0</v>
      </c>
      <c r="K51" s="307">
        <f t="shared" ca="1" si="10"/>
        <v>183243.61764372772</v>
      </c>
      <c r="L51" s="307">
        <f t="shared" si="11"/>
        <v>-700.48812999999996</v>
      </c>
      <c r="M51" s="307">
        <f t="shared" si="23"/>
        <v>700.48812999999996</v>
      </c>
      <c r="N51" s="307">
        <f t="shared" ca="1" si="12"/>
        <v>182543.1295137277</v>
      </c>
      <c r="O51" s="306">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-497.52640520481702</v>
      </c>
      <c r="Y51" s="306">
        <v>0</v>
      </c>
      <c r="Z51" s="306">
        <v>0</v>
      </c>
      <c r="AA51" s="308">
        <f ca="1">-SUM(W51,X51/OFFSET(GridFootprintbyYear,$A51-$A$19,0)*EF_PurchElec_MTperMWh,Z51)*OFFSET(ExposureCalculations!Price_GHG_Allowance_2010,A51-$A$19,0)*ExposureCalculations!D48</f>
        <v>42040.858324702218</v>
      </c>
      <c r="AB51" s="308">
        <f t="shared" ca="1" si="3"/>
        <v>69844.736354909997</v>
      </c>
      <c r="AC51" s="308">
        <v>0</v>
      </c>
      <c r="AD51" s="819">
        <f t="shared" ca="1" si="4"/>
        <v>0</v>
      </c>
      <c r="AE51" s="308">
        <v>0</v>
      </c>
      <c r="AF51" s="819">
        <f t="shared" ca="1" si="5"/>
        <v>0</v>
      </c>
      <c r="AG51" s="308">
        <v>0</v>
      </c>
      <c r="AH51" s="308">
        <v>0</v>
      </c>
      <c r="AI51" s="308">
        <v>0</v>
      </c>
      <c r="AJ51" s="308">
        <f t="shared" ca="1" si="6"/>
        <v>69844.736354909997</v>
      </c>
      <c r="AK51" s="309">
        <v>0</v>
      </c>
      <c r="AL51" s="309">
        <v>0</v>
      </c>
      <c r="AM51" s="309">
        <f t="shared" si="19"/>
        <v>0</v>
      </c>
      <c r="AN51" s="310">
        <v>0</v>
      </c>
      <c r="AO51" s="310">
        <v>0</v>
      </c>
      <c r="AP51" s="310">
        <f t="shared" si="20"/>
        <v>0</v>
      </c>
      <c r="AQ51" s="309">
        <v>0</v>
      </c>
      <c r="AR51" s="311">
        <f t="shared" ca="1" si="7"/>
        <v>111885.59467961222</v>
      </c>
      <c r="AS51" s="870">
        <f t="shared" ca="1" si="21"/>
        <v>-1814907.9343332292</v>
      </c>
      <c r="AT51" s="822"/>
      <c r="AU51" s="878"/>
      <c r="AV51" s="35"/>
      <c r="AW51" s="879"/>
      <c r="AX51" s="35"/>
      <c r="AY51" s="880"/>
    </row>
    <row r="52" spans="1:51">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2"/>
        <v>0</v>
      </c>
      <c r="K52" s="307">
        <f t="shared" ca="1" si="10"/>
        <v>184820.24324457973</v>
      </c>
      <c r="L52" s="307">
        <f t="shared" si="11"/>
        <v>-700.48812999999996</v>
      </c>
      <c r="M52" s="307">
        <f t="shared" si="23"/>
        <v>700.48812999999996</v>
      </c>
      <c r="N52" s="307">
        <f t="shared" ca="1" si="12"/>
        <v>184119.75511457972</v>
      </c>
      <c r="O52" s="306">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-497.52640520481702</v>
      </c>
      <c r="Y52" s="306">
        <v>0</v>
      </c>
      <c r="Z52" s="306">
        <v>0</v>
      </c>
      <c r="AA52" s="308">
        <f ca="1">-SUM(W52,X52/OFFSET(GridFootprintbyYear,$A52-$A$19,0)*EF_PurchElec_MTperMWh,Z52)*OFFSET(ExposureCalculations!Price_GHG_Allowance_2010,A52-$A$19,0)*ExposureCalculations!D49</f>
        <v>43858.871425321049</v>
      </c>
      <c r="AB52" s="308">
        <f t="shared" ca="1" si="3"/>
        <v>70193.960036684541</v>
      </c>
      <c r="AC52" s="308">
        <v>0</v>
      </c>
      <c r="AD52" s="819">
        <f t="shared" ca="1" si="4"/>
        <v>0</v>
      </c>
      <c r="AE52" s="308">
        <v>0</v>
      </c>
      <c r="AF52" s="819">
        <f t="shared" ca="1" si="5"/>
        <v>0</v>
      </c>
      <c r="AG52" s="308">
        <v>0</v>
      </c>
      <c r="AH52" s="308">
        <v>0</v>
      </c>
      <c r="AI52" s="308">
        <v>0</v>
      </c>
      <c r="AJ52" s="308">
        <f t="shared" ca="1" si="6"/>
        <v>70193.960036684541</v>
      </c>
      <c r="AK52" s="309">
        <v>0</v>
      </c>
      <c r="AL52" s="309">
        <v>0</v>
      </c>
      <c r="AM52" s="309">
        <f t="shared" si="19"/>
        <v>0</v>
      </c>
      <c r="AN52" s="310">
        <v>0</v>
      </c>
      <c r="AO52" s="310">
        <v>0</v>
      </c>
      <c r="AP52" s="310">
        <f t="shared" si="20"/>
        <v>0</v>
      </c>
      <c r="AQ52" s="309">
        <v>0</v>
      </c>
      <c r="AR52" s="311">
        <f t="shared" ca="1" si="7"/>
        <v>114052.83146200559</v>
      </c>
      <c r="AS52" s="870">
        <f t="shared" ca="1" si="21"/>
        <v>-1700855.1028712236</v>
      </c>
      <c r="AT52" s="822"/>
      <c r="AU52" s="878"/>
      <c r="AV52" s="35"/>
      <c r="AW52" s="879"/>
      <c r="AX52" s="35"/>
      <c r="AY52" s="880"/>
    </row>
    <row r="53" spans="1:51">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2"/>
        <v>0</v>
      </c>
      <c r="K53" s="307">
        <f t="shared" ca="1" si="10"/>
        <v>186396.86884543177</v>
      </c>
      <c r="L53" s="307">
        <f t="shared" si="11"/>
        <v>-700.48812999999996</v>
      </c>
      <c r="M53" s="307">
        <f t="shared" si="23"/>
        <v>700.48812999999996</v>
      </c>
      <c r="N53" s="307">
        <f t="shared" ca="1" si="12"/>
        <v>185696.38071543176</v>
      </c>
      <c r="O53" s="306">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-497.52640520481702</v>
      </c>
      <c r="Y53" s="306">
        <v>0</v>
      </c>
      <c r="Z53" s="306">
        <v>0</v>
      </c>
      <c r="AA53" s="308">
        <f ca="1">-SUM(W53,X53/OFFSET(GridFootprintbyYear,$A53-$A$19,0)*EF_PurchElec_MTperMWh,Z53)*OFFSET(ExposureCalculations!Price_GHG_Allowance_2010,A53-$A$19,0)*ExposureCalculations!D50</f>
        <v>45919.627970930698</v>
      </c>
      <c r="AB53" s="308">
        <f t="shared" ca="1" si="3"/>
        <v>70544.929836867959</v>
      </c>
      <c r="AC53" s="308">
        <v>0</v>
      </c>
      <c r="AD53" s="819">
        <f t="shared" ca="1" si="4"/>
        <v>0</v>
      </c>
      <c r="AE53" s="308">
        <v>0</v>
      </c>
      <c r="AF53" s="819">
        <f t="shared" ca="1" si="5"/>
        <v>0</v>
      </c>
      <c r="AG53" s="308">
        <v>0</v>
      </c>
      <c r="AH53" s="308">
        <v>0</v>
      </c>
      <c r="AI53" s="308">
        <v>0</v>
      </c>
      <c r="AJ53" s="308">
        <f t="shared" ca="1" si="6"/>
        <v>70544.929836867959</v>
      </c>
      <c r="AK53" s="309">
        <v>0</v>
      </c>
      <c r="AL53" s="309">
        <v>0</v>
      </c>
      <c r="AM53" s="309">
        <f t="shared" si="19"/>
        <v>0</v>
      </c>
      <c r="AN53" s="310">
        <v>0</v>
      </c>
      <c r="AO53" s="310">
        <v>0</v>
      </c>
      <c r="AP53" s="310">
        <f t="shared" si="20"/>
        <v>0</v>
      </c>
      <c r="AQ53" s="309">
        <v>0</v>
      </c>
      <c r="AR53" s="311">
        <f t="shared" ca="1" si="7"/>
        <v>116464.55780779866</v>
      </c>
      <c r="AS53" s="870">
        <f t="shared" ca="1" si="21"/>
        <v>-1584390.5450634249</v>
      </c>
      <c r="AT53" s="822"/>
      <c r="AU53" s="878"/>
      <c r="AV53" s="35"/>
      <c r="AW53" s="879"/>
      <c r="AX53" s="35"/>
      <c r="AY53" s="880"/>
    </row>
    <row r="54" spans="1:51">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2"/>
        <v>0</v>
      </c>
      <c r="K54" s="307">
        <f t="shared" ca="1" si="10"/>
        <v>187973.49444628376</v>
      </c>
      <c r="L54" s="307">
        <f t="shared" si="11"/>
        <v>-700.48812999999996</v>
      </c>
      <c r="M54" s="307">
        <f t="shared" si="23"/>
        <v>700.48812999999996</v>
      </c>
      <c r="N54" s="307">
        <f t="shared" ca="1" si="12"/>
        <v>187273.00631628375</v>
      </c>
      <c r="O54" s="306">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-497.52640520481702</v>
      </c>
      <c r="Y54" s="306">
        <v>0</v>
      </c>
      <c r="Z54" s="306">
        <v>0</v>
      </c>
      <c r="AA54" s="308">
        <f ca="1">-SUM(W54,X54/OFFSET(GridFootprintbyYear,$A54-$A$19,0)*EF_PurchElec_MTperMWh,Z54)*OFFSET(ExposureCalculations!Price_GHG_Allowance_2010,A54-$A$19,0)*ExposureCalculations!D51</f>
        <v>48282.001236712087</v>
      </c>
      <c r="AB54" s="308">
        <f t="shared" ca="1" si="3"/>
        <v>70897.654486052284</v>
      </c>
      <c r="AC54" s="308">
        <v>0</v>
      </c>
      <c r="AD54" s="819">
        <f t="shared" ca="1" si="4"/>
        <v>0</v>
      </c>
      <c r="AE54" s="308">
        <v>0</v>
      </c>
      <c r="AF54" s="819">
        <f t="shared" ca="1" si="5"/>
        <v>0</v>
      </c>
      <c r="AG54" s="308">
        <v>0</v>
      </c>
      <c r="AH54" s="308">
        <v>0</v>
      </c>
      <c r="AI54" s="308">
        <v>0</v>
      </c>
      <c r="AJ54" s="308">
        <f t="shared" ca="1" si="6"/>
        <v>70897.654486052284</v>
      </c>
      <c r="AK54" s="309">
        <v>0</v>
      </c>
      <c r="AL54" s="309">
        <v>0</v>
      </c>
      <c r="AM54" s="309">
        <f t="shared" si="19"/>
        <v>0</v>
      </c>
      <c r="AN54" s="310">
        <v>0</v>
      </c>
      <c r="AO54" s="310">
        <v>0</v>
      </c>
      <c r="AP54" s="310">
        <f t="shared" si="20"/>
        <v>0</v>
      </c>
      <c r="AQ54" s="309">
        <v>0</v>
      </c>
      <c r="AR54" s="311">
        <f t="shared" ca="1" si="7"/>
        <v>119179.65572276438</v>
      </c>
      <c r="AS54" s="870">
        <f t="shared" ca="1" si="21"/>
        <v>-1465210.8893406605</v>
      </c>
      <c r="AT54" s="822"/>
      <c r="AU54" s="878"/>
      <c r="AV54" s="35"/>
      <c r="AW54" s="879"/>
      <c r="AX54" s="35"/>
      <c r="AY54" s="880"/>
    </row>
    <row r="55" spans="1:51">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2"/>
        <v>0</v>
      </c>
      <c r="K55" s="307">
        <f t="shared" ca="1" si="10"/>
        <v>189550.12004713583</v>
      </c>
      <c r="L55" s="307">
        <f t="shared" si="11"/>
        <v>-700.48812999999996</v>
      </c>
      <c r="M55" s="307">
        <f t="shared" si="23"/>
        <v>700.48812999999996</v>
      </c>
      <c r="N55" s="307">
        <f t="shared" ca="1" si="12"/>
        <v>188849.63191713582</v>
      </c>
      <c r="O55" s="306">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-497.52640520481702</v>
      </c>
      <c r="Y55" s="306">
        <v>0</v>
      </c>
      <c r="Z55" s="306">
        <v>0</v>
      </c>
      <c r="AA55" s="308">
        <f ca="1">-SUM(W55,X55/OFFSET(GridFootprintbyYear,$A55-$A$19,0)*EF_PurchElec_MTperMWh,Z55)*OFFSET(ExposureCalculations!Price_GHG_Allowance_2010,A55-$A$19,0)*ExposureCalculations!D52</f>
        <v>50802.998187218189</v>
      </c>
      <c r="AB55" s="308">
        <f t="shared" ca="1" si="3"/>
        <v>71252.142758482529</v>
      </c>
      <c r="AC55" s="308">
        <v>0</v>
      </c>
      <c r="AD55" s="819">
        <f t="shared" ca="1" si="4"/>
        <v>0</v>
      </c>
      <c r="AE55" s="308">
        <v>0</v>
      </c>
      <c r="AF55" s="819">
        <f t="shared" ca="1" si="5"/>
        <v>0</v>
      </c>
      <c r="AG55" s="308">
        <v>0</v>
      </c>
      <c r="AH55" s="308">
        <v>0</v>
      </c>
      <c r="AI55" s="308">
        <v>0</v>
      </c>
      <c r="AJ55" s="308">
        <f t="shared" ca="1" si="6"/>
        <v>71252.142758482529</v>
      </c>
      <c r="AK55" s="309">
        <v>0</v>
      </c>
      <c r="AL55" s="309">
        <v>0</v>
      </c>
      <c r="AM55" s="309">
        <f t="shared" si="19"/>
        <v>0</v>
      </c>
      <c r="AN55" s="310">
        <v>0</v>
      </c>
      <c r="AO55" s="310">
        <v>0</v>
      </c>
      <c r="AP55" s="310">
        <f t="shared" si="20"/>
        <v>0</v>
      </c>
      <c r="AQ55" s="309">
        <v>0</v>
      </c>
      <c r="AR55" s="311">
        <f t="shared" ca="1" si="7"/>
        <v>122055.14094570072</v>
      </c>
      <c r="AS55" s="870">
        <f t="shared" ca="1" si="21"/>
        <v>-1343155.7483949598</v>
      </c>
      <c r="AT55" s="822"/>
      <c r="AU55" s="878"/>
      <c r="AV55" s="35"/>
      <c r="AW55" s="879"/>
      <c r="AX55" s="35"/>
      <c r="AY55" s="880"/>
    </row>
    <row r="56" spans="1:51">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2"/>
        <v>0</v>
      </c>
      <c r="K56" s="307">
        <f t="shared" ca="1" si="10"/>
        <v>191126.74564798782</v>
      </c>
      <c r="L56" s="307">
        <f t="shared" si="11"/>
        <v>-700.48812999999996</v>
      </c>
      <c r="M56" s="307">
        <f t="shared" si="23"/>
        <v>700.48812999999996</v>
      </c>
      <c r="N56" s="307">
        <f t="shared" ca="1" si="12"/>
        <v>190426.2575179878</v>
      </c>
      <c r="O56" s="306">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-497.52640520481702</v>
      </c>
      <c r="Y56" s="306">
        <v>0</v>
      </c>
      <c r="Z56" s="306">
        <v>0</v>
      </c>
      <c r="AA56" s="308">
        <f ca="1">-SUM(W56,X56/OFFSET(GridFootprintbyYear,$A56-$A$19,0)*EF_PurchElec_MTperMWh,Z56)*OFFSET(ExposureCalculations!Price_GHG_Allowance_2010,A56-$A$19,0)*ExposureCalculations!D53</f>
        <v>53502.470781438933</v>
      </c>
      <c r="AB56" s="308">
        <f t="shared" ca="1" si="3"/>
        <v>71608.40347227492</v>
      </c>
      <c r="AC56" s="308">
        <v>0</v>
      </c>
      <c r="AD56" s="819">
        <f t="shared" ca="1" si="4"/>
        <v>0</v>
      </c>
      <c r="AE56" s="308">
        <v>0</v>
      </c>
      <c r="AF56" s="819">
        <f t="shared" ca="1" si="5"/>
        <v>0</v>
      </c>
      <c r="AG56" s="308">
        <v>0</v>
      </c>
      <c r="AH56" s="308">
        <v>0</v>
      </c>
      <c r="AI56" s="308">
        <v>0</v>
      </c>
      <c r="AJ56" s="308">
        <f t="shared" ca="1" si="6"/>
        <v>71608.40347227492</v>
      </c>
      <c r="AK56" s="309">
        <v>0</v>
      </c>
      <c r="AL56" s="309">
        <v>0</v>
      </c>
      <c r="AM56" s="309">
        <f t="shared" si="19"/>
        <v>0</v>
      </c>
      <c r="AN56" s="310">
        <v>0</v>
      </c>
      <c r="AO56" s="310">
        <v>0</v>
      </c>
      <c r="AP56" s="310">
        <f t="shared" si="20"/>
        <v>0</v>
      </c>
      <c r="AQ56" s="309">
        <v>0</v>
      </c>
      <c r="AR56" s="311">
        <f t="shared" ca="1" si="7"/>
        <v>125110.87425371385</v>
      </c>
      <c r="AS56" s="870">
        <f t="shared" ca="1" si="21"/>
        <v>-1218044.8741412461</v>
      </c>
      <c r="AT56" s="822"/>
      <c r="AU56" s="878"/>
      <c r="AV56" s="35"/>
      <c r="AW56" s="879"/>
      <c r="AX56" s="35"/>
      <c r="AY56" s="880"/>
    </row>
    <row r="57" spans="1:51">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2"/>
        <v>0</v>
      </c>
      <c r="K57" s="307">
        <f t="shared" ca="1" si="10"/>
        <v>192703.37124883989</v>
      </c>
      <c r="L57" s="307">
        <f t="shared" si="11"/>
        <v>-700.48812999999996</v>
      </c>
      <c r="M57" s="307">
        <f t="shared" si="23"/>
        <v>700.48812999999996</v>
      </c>
      <c r="N57" s="307">
        <f t="shared" ca="1" si="12"/>
        <v>192002.88311883988</v>
      </c>
      <c r="O57" s="306">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-497.52640520481702</v>
      </c>
      <c r="Y57" s="306">
        <v>0</v>
      </c>
      <c r="Z57" s="306">
        <v>0</v>
      </c>
      <c r="AA57" s="308">
        <f ca="1">-SUM(W57,X57/OFFSET(GridFootprintbyYear,$A57-$A$19,0)*EF_PurchElec_MTperMWh,Z57)*OFFSET(ExposureCalculations!Price_GHG_Allowance_2010,A57-$A$19,0)*ExposureCalculations!D54</f>
        <v>56401.939710379083</v>
      </c>
      <c r="AB57" s="308">
        <f t="shared" ca="1" si="3"/>
        <v>71966.445489636288</v>
      </c>
      <c r="AC57" s="308">
        <v>0</v>
      </c>
      <c r="AD57" s="819">
        <f t="shared" ca="1" si="4"/>
        <v>0</v>
      </c>
      <c r="AE57" s="308">
        <v>0</v>
      </c>
      <c r="AF57" s="819">
        <f t="shared" ca="1" si="5"/>
        <v>0</v>
      </c>
      <c r="AG57" s="308">
        <v>0</v>
      </c>
      <c r="AH57" s="308">
        <v>0</v>
      </c>
      <c r="AI57" s="308">
        <v>0</v>
      </c>
      <c r="AJ57" s="308">
        <f t="shared" ca="1" si="6"/>
        <v>71966.445489636288</v>
      </c>
      <c r="AK57" s="309">
        <v>0</v>
      </c>
      <c r="AL57" s="309">
        <v>0</v>
      </c>
      <c r="AM57" s="309">
        <f t="shared" si="19"/>
        <v>0</v>
      </c>
      <c r="AN57" s="310">
        <v>0</v>
      </c>
      <c r="AO57" s="310">
        <v>0</v>
      </c>
      <c r="AP57" s="310">
        <f t="shared" si="20"/>
        <v>0</v>
      </c>
      <c r="AQ57" s="309">
        <v>0</v>
      </c>
      <c r="AR57" s="311">
        <f t="shared" ca="1" si="7"/>
        <v>128368.38520001537</v>
      </c>
      <c r="AS57" s="870">
        <f t="shared" ca="1" si="21"/>
        <v>-1089676.4889412308</v>
      </c>
      <c r="AT57" s="822"/>
      <c r="AU57" s="878"/>
      <c r="AV57" s="35"/>
      <c r="AW57" s="879"/>
      <c r="AX57" s="35"/>
      <c r="AY57" s="880"/>
    </row>
    <row r="58" spans="1:51">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2"/>
        <v>0</v>
      </c>
      <c r="K58" s="307">
        <f t="shared" ca="1" si="10"/>
        <v>194279.99684969187</v>
      </c>
      <c r="L58" s="307">
        <f t="shared" si="11"/>
        <v>-700.48812999999996</v>
      </c>
      <c r="M58" s="307">
        <f t="shared" si="23"/>
        <v>700.48812999999996</v>
      </c>
      <c r="N58" s="307">
        <f t="shared" ca="1" si="12"/>
        <v>193579.50871969186</v>
      </c>
      <c r="O58" s="306">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-497.52640520481702</v>
      </c>
      <c r="Y58" s="306">
        <v>0</v>
      </c>
      <c r="Z58" s="306">
        <v>0</v>
      </c>
      <c r="AA58" s="308">
        <f ca="1">-SUM(W58,X58/OFFSET(GridFootprintbyYear,$A58-$A$19,0)*EF_PurchElec_MTperMWh,Z58)*OFFSET(ExposureCalculations!Price_GHG_Allowance_2010,A58-$A$19,0)*ExposureCalculations!D55</f>
        <v>59524.419347926443</v>
      </c>
      <c r="AB58" s="308">
        <f t="shared" ca="1" si="3"/>
        <v>72326.277717084464</v>
      </c>
      <c r="AC58" s="308">
        <v>0</v>
      </c>
      <c r="AD58" s="819">
        <f t="shared" ca="1" si="4"/>
        <v>0</v>
      </c>
      <c r="AE58" s="308">
        <v>0</v>
      </c>
      <c r="AF58" s="819">
        <f t="shared" ca="1" si="5"/>
        <v>0</v>
      </c>
      <c r="AG58" s="308">
        <v>0</v>
      </c>
      <c r="AH58" s="308">
        <v>0</v>
      </c>
      <c r="AI58" s="308">
        <v>0</v>
      </c>
      <c r="AJ58" s="308">
        <f t="shared" ca="1" si="6"/>
        <v>72326.277717084464</v>
      </c>
      <c r="AK58" s="309">
        <v>0</v>
      </c>
      <c r="AL58" s="309">
        <v>0</v>
      </c>
      <c r="AM58" s="309">
        <f t="shared" si="19"/>
        <v>0</v>
      </c>
      <c r="AN58" s="310">
        <v>0</v>
      </c>
      <c r="AO58" s="310">
        <v>0</v>
      </c>
      <c r="AP58" s="310">
        <f t="shared" si="20"/>
        <v>0</v>
      </c>
      <c r="AQ58" s="309">
        <v>0</v>
      </c>
      <c r="AR58" s="311">
        <f t="shared" ca="1" si="7"/>
        <v>131850.6970650109</v>
      </c>
      <c r="AS58" s="870">
        <f t="shared" ca="1" si="21"/>
        <v>-957825.79187621991</v>
      </c>
      <c r="AT58" s="822"/>
      <c r="AU58" s="878"/>
      <c r="AV58" s="35"/>
      <c r="AW58" s="879"/>
      <c r="AX58" s="35"/>
      <c r="AY58" s="880"/>
    </row>
    <row r="59" spans="1:51">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2"/>
        <v>0</v>
      </c>
      <c r="K59" s="307">
        <f t="shared" ca="1" si="10"/>
        <v>195856.62245054395</v>
      </c>
      <c r="L59" s="307">
        <f t="shared" si="11"/>
        <v>-700.48812999999996</v>
      </c>
      <c r="M59" s="307">
        <f t="shared" si="23"/>
        <v>700.48812999999996</v>
      </c>
      <c r="N59" s="307">
        <f t="shared" ca="1" si="12"/>
        <v>195156.13432054393</v>
      </c>
      <c r="O59" s="306">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-497.52640520481702</v>
      </c>
      <c r="Y59" s="306">
        <v>0</v>
      </c>
      <c r="Z59" s="306">
        <v>0</v>
      </c>
      <c r="AA59" s="308">
        <f ca="1">-SUM(W59,X59/OFFSET(GridFootprintbyYear,$A59-$A$19,0)*EF_PurchElec_MTperMWh,Z59)*OFFSET(ExposureCalculations!Price_GHG_Allowance_2010,A59-$A$19,0)*ExposureCalculations!D56</f>
        <v>62894.245230996021</v>
      </c>
      <c r="AB59" s="308">
        <f t="shared" ca="1" si="3"/>
        <v>72687.909105669882</v>
      </c>
      <c r="AC59" s="308">
        <v>0</v>
      </c>
      <c r="AD59" s="819">
        <f t="shared" ca="1" si="4"/>
        <v>0</v>
      </c>
      <c r="AE59" s="308">
        <v>0</v>
      </c>
      <c r="AF59" s="819">
        <f t="shared" ca="1" si="5"/>
        <v>0</v>
      </c>
      <c r="AG59" s="308">
        <v>0</v>
      </c>
      <c r="AH59" s="308">
        <v>0</v>
      </c>
      <c r="AI59" s="308">
        <v>0</v>
      </c>
      <c r="AJ59" s="308">
        <f t="shared" ca="1" si="6"/>
        <v>72687.909105669882</v>
      </c>
      <c r="AK59" s="309">
        <v>0</v>
      </c>
      <c r="AL59" s="309">
        <v>0</v>
      </c>
      <c r="AM59" s="309">
        <f t="shared" si="19"/>
        <v>0</v>
      </c>
      <c r="AN59" s="310">
        <v>0</v>
      </c>
      <c r="AO59" s="310">
        <v>0</v>
      </c>
      <c r="AP59" s="310">
        <f t="shared" si="20"/>
        <v>0</v>
      </c>
      <c r="AQ59" s="309">
        <v>0</v>
      </c>
      <c r="AR59" s="311">
        <f t="shared" ca="1" si="7"/>
        <v>135582.1543366659</v>
      </c>
      <c r="AS59" s="870">
        <f t="shared" ca="1" si="21"/>
        <v>-822243.63753955404</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legacyDrawing r:id="rId3"/>
</worksheet>
</file>

<file path=xl/worksheets/sheet46.xml><?xml version="1.0" encoding="utf-8"?>
<worksheet xmlns="http://schemas.openxmlformats.org/spreadsheetml/2006/main" xmlns:r="http://schemas.openxmlformats.org/officeDocument/2006/relationships">
  <sheetPr codeName="Sheet39">
    <tabColor rgb="FFA9DA74"/>
  </sheetPr>
  <dimension ref="A1:BK84"/>
  <sheetViews>
    <sheetView workbookViewId="0">
      <pane xSplit="1" topLeftCell="B1" activePane="topRight" state="frozen"/>
      <selection activeCell="K14" sqref="K14"/>
      <selection pane="topRight" activeCell="O3" sqref="O3:O7"/>
    </sheetView>
  </sheetViews>
  <sheetFormatPr defaultRowHeight="15"/>
  <cols>
    <col min="11" max="11" width="12" customWidth="1"/>
    <col min="12" max="12" width="12.85546875" customWidth="1"/>
    <col min="13" max="13" width="12.42578125" customWidth="1"/>
    <col min="35" max="36" width="13" customWidth="1"/>
    <col min="38" max="38" width="10.7109375" bestFit="1" customWidth="1"/>
    <col min="40" max="40" width="12.42578125" customWidth="1"/>
    <col min="44" max="44" width="10.85546875" customWidth="1"/>
    <col min="45" max="45" width="10.140625" customWidth="1"/>
    <col min="46" max="46" width="1.7109375" customWidth="1"/>
    <col min="47" max="47" width="10" bestFit="1" customWidth="1"/>
    <col min="51" max="51" width="10.5703125" customWidth="1"/>
    <col min="55" max="55" width="10.5703125" customWidth="1"/>
    <col min="61" max="63" width="13.42578125" customWidth="1"/>
  </cols>
  <sheetData>
    <row r="1" spans="1:50" ht="60">
      <c r="C1" s="257" t="s">
        <v>226</v>
      </c>
      <c r="D1" s="258" t="s">
        <v>837</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2012</v>
      </c>
      <c r="E2" s="266"/>
      <c r="J2" s="267" t="s">
        <v>231</v>
      </c>
      <c r="K2" s="268">
        <f ca="1">NPV(DiscountRate,AA19:AA59)</f>
        <v>19488.030748925976</v>
      </c>
      <c r="L2" s="269">
        <f ca="1">-SUM(OFFSET(W19,0,0,M2-2010+1,4))</f>
        <v>1642.1482626622546</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65443.36693694898</v>
      </c>
      <c r="L3" s="277" t="s">
        <v>235</v>
      </c>
      <c r="M3" s="278">
        <f ca="1">-SUM(OFFSET(W19,M2-2010,0,1,4))</f>
        <v>42.106365709288561</v>
      </c>
      <c r="N3" s="272"/>
      <c r="O3" s="1496">
        <f ca="1">AVERAGE(OFFSET(AJ19,0,0,$M$2-2010+1,1))</f>
        <v>4572.7902073219238</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42.106365709288582</v>
      </c>
      <c r="M4" s="281">
        <f ca="1">-SUM(OFFSET(W19,M2-2010,0,1,4))/SUM(OFFSET(ExposureCalculations!G16,M2-2010,0,1,3))</f>
        <v>3.8511994029547352E-5</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688</v>
      </c>
      <c r="E5" s="273"/>
      <c r="F5" s="272"/>
      <c r="G5" s="272"/>
      <c r="H5" s="272"/>
      <c r="I5" s="273"/>
      <c r="J5" s="275" t="s">
        <v>238</v>
      </c>
      <c r="K5" s="276">
        <f>NPV(DiscountRate,AL19:AL59)</f>
        <v>-69075.206328813685</v>
      </c>
      <c r="L5" s="277"/>
      <c r="M5" s="272"/>
      <c r="N5" s="272"/>
      <c r="O5" s="1496">
        <f ca="1">AVERAGE(OFFSET(AL19,0,0,$M$2-2010+1,1))</f>
        <v>-2995.1219512195121</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15856.191357061272</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1.2295496778045394</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f ca="1">IFERROR(IF(K8&lt;0,"",IRR(AR19:AR59)),"")</f>
        <v>7.6654843757139893E-2</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12.173625155844137</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-3631.8393918647034</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6.1336299893506787</v>
      </c>
      <c r="L13" s="908"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32.912350172409127</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63"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A17" s="264" t="s">
        <v>1003</v>
      </c>
      <c r="BB17" s="914" t="s">
        <v>1004</v>
      </c>
      <c r="BC17" s="914" t="s">
        <v>1005</v>
      </c>
      <c r="BD17" s="914" t="s">
        <v>1006</v>
      </c>
      <c r="BE17" s="914" t="s">
        <v>1007</v>
      </c>
      <c r="BF17" s="914" t="s">
        <v>1008</v>
      </c>
      <c r="BG17" s="914" t="s">
        <v>1009</v>
      </c>
      <c r="BH17" s="914" t="s">
        <v>1010</v>
      </c>
      <c r="BI17" s="914" t="s">
        <v>1011</v>
      </c>
      <c r="BJ17" s="914" t="s">
        <v>1012</v>
      </c>
      <c r="BK17" s="264" t="s">
        <v>1013</v>
      </c>
    </row>
    <row r="18" spans="1:63">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A18" t="s">
        <v>1014</v>
      </c>
      <c r="BB18">
        <v>575</v>
      </c>
      <c r="BC18">
        <v>275</v>
      </c>
      <c r="BD18">
        <v>94</v>
      </c>
      <c r="BE18" s="347">
        <v>685.02970041172614</v>
      </c>
      <c r="BF18" s="347">
        <v>225.40345066248901</v>
      </c>
      <c r="BG18" s="347">
        <f>BE18-BF18</f>
        <v>459.6262497492371</v>
      </c>
      <c r="BH18" s="347">
        <v>600</v>
      </c>
      <c r="BI18" s="951">
        <f>BH18*BD18</f>
        <v>56400</v>
      </c>
      <c r="BJ18" s="952">
        <v>5000</v>
      </c>
      <c r="BK18" s="948">
        <f>BJ18+BI18</f>
        <v>61400</v>
      </c>
    </row>
    <row r="19" spans="1:63">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900">
        <v>2012</v>
      </c>
      <c r="AV19" s="879" t="s">
        <v>776</v>
      </c>
      <c r="AW19" s="879"/>
      <c r="AX19" s="35"/>
      <c r="AY19" s="880"/>
    </row>
    <row r="20" spans="1:63">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v>0</v>
      </c>
      <c r="N20" s="307">
        <f t="shared" ref="N20:N59" ca="1" si="12">K20+L20</f>
        <v>130129.26073503707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f>-AU29</f>
        <v>-61400</v>
      </c>
      <c r="AM20" s="309">
        <f t="shared" ref="AM20:AM59" si="19">SUM(AK20:AL20)</f>
        <v>-61400</v>
      </c>
      <c r="AN20" s="310">
        <v>0</v>
      </c>
      <c r="AO20" s="310">
        <v>0</v>
      </c>
      <c r="AP20" s="310">
        <f t="shared" ref="AP20:AP59" si="20">SUM(AN20:AO20)</f>
        <v>0</v>
      </c>
      <c r="AQ20" s="309">
        <v>0</v>
      </c>
      <c r="AR20" s="311">
        <f t="shared" ca="1" si="7"/>
        <v>-61400</v>
      </c>
      <c r="AS20" s="870">
        <f t="shared" ref="AS20:AS59" ca="1" si="21">AR20+AS19</f>
        <v>-61400</v>
      </c>
      <c r="AT20" s="822"/>
      <c r="AU20" s="878"/>
      <c r="AV20" s="35"/>
      <c r="AW20" s="879"/>
      <c r="AX20" s="35"/>
      <c r="AY20" s="880"/>
      <c r="BA20" t="s">
        <v>1048</v>
      </c>
    </row>
    <row r="21" spans="1:63">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2">-H21*I21</f>
        <v>0</v>
      </c>
      <c r="K21" s="307">
        <f t="shared" ca="1" si="10"/>
        <v>133825.36797702796</v>
      </c>
      <c r="L21" s="307">
        <f t="shared" si="11"/>
        <v>0</v>
      </c>
      <c r="M21" s="307">
        <v>0</v>
      </c>
      <c r="N21" s="307">
        <f t="shared" ca="1" si="12"/>
        <v>133825.36797702796</v>
      </c>
      <c r="O21" s="306">
        <f t="shared" ca="1" si="13"/>
        <v>713508.44544344163</v>
      </c>
      <c r="P21" s="306">
        <f t="shared" si="14"/>
        <v>-390.68231228685153</v>
      </c>
      <c r="Q21" s="306">
        <f>$AU$27</f>
        <v>390.68231228685153</v>
      </c>
      <c r="R21" s="306">
        <f t="shared" ca="1" si="15"/>
        <v>713117.76313115482</v>
      </c>
      <c r="S21" s="818">
        <f t="shared" ca="1" si="16"/>
        <v>188515.56027382973</v>
      </c>
      <c r="T21" s="818">
        <f t="shared" si="17"/>
        <v>0</v>
      </c>
      <c r="U21" s="818">
        <v>0</v>
      </c>
      <c r="V21" s="818">
        <f t="shared" ca="1" si="18"/>
        <v>188515.56027382973</v>
      </c>
      <c r="W21" s="306">
        <f t="shared" si="1"/>
        <v>0</v>
      </c>
      <c r="X21" s="306">
        <f t="shared" ca="1" si="2"/>
        <v>-42.106365709288561</v>
      </c>
      <c r="Y21" s="306">
        <v>0</v>
      </c>
      <c r="Z21" s="306">
        <v>0</v>
      </c>
      <c r="AA21" s="308">
        <f ca="1">-SUM(W21,X21/OFFSET(GridFootprintbyYear,$A21-$A$19,0)*EF_PurchElec_MTperMWh,Z21)*OFFSET(ExposureCalculations!Price_GHG_Allowance_2010,A21-$A$19,0)*ExposureCalculations!D18</f>
        <v>0</v>
      </c>
      <c r="AB21" s="308">
        <f t="shared" ca="1" si="3"/>
        <v>0</v>
      </c>
      <c r="AC21" s="308">
        <v>0</v>
      </c>
      <c r="AD21" s="819">
        <f t="shared" ca="1" si="4"/>
        <v>4365.7750911300864</v>
      </c>
      <c r="AE21" s="308">
        <v>0</v>
      </c>
      <c r="AF21" s="819">
        <f t="shared" ca="1" si="5"/>
        <v>0</v>
      </c>
      <c r="AG21" s="308">
        <v>0</v>
      </c>
      <c r="AH21" s="308">
        <v>0</v>
      </c>
      <c r="AI21" s="308">
        <v>0</v>
      </c>
      <c r="AJ21" s="308">
        <f ca="1">SUM(AB21:AI21)</f>
        <v>4365.7750911300864</v>
      </c>
      <c r="AK21" s="309">
        <v>0</v>
      </c>
      <c r="AL21" s="309">
        <v>0</v>
      </c>
      <c r="AM21" s="309">
        <f t="shared" si="19"/>
        <v>0</v>
      </c>
      <c r="AN21" s="310">
        <v>0</v>
      </c>
      <c r="AO21" s="310">
        <f>$AU$31*$AL$20</f>
        <v>0</v>
      </c>
      <c r="AP21" s="310">
        <f t="shared" si="20"/>
        <v>0</v>
      </c>
      <c r="AQ21" s="309">
        <v>0</v>
      </c>
      <c r="AR21" s="311">
        <f t="shared" ca="1" si="7"/>
        <v>4365.7750911300864</v>
      </c>
      <c r="AS21" s="870">
        <f t="shared" ca="1" si="21"/>
        <v>-57034.224908869917</v>
      </c>
      <c r="AT21" s="822"/>
      <c r="AU21" s="900">
        <v>25</v>
      </c>
      <c r="AV21" s="35" t="s">
        <v>782</v>
      </c>
      <c r="AW21" s="879"/>
      <c r="AX21" s="35"/>
      <c r="AY21" s="880"/>
    </row>
    <row r="22" spans="1:63">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2"/>
        <v>0</v>
      </c>
      <c r="K22" s="307">
        <f t="shared" ca="1" si="10"/>
        <v>135980.03402546333</v>
      </c>
      <c r="L22" s="307">
        <f t="shared" si="11"/>
        <v>0</v>
      </c>
      <c r="M22" s="307">
        <v>0</v>
      </c>
      <c r="N22" s="307">
        <f t="shared" ca="1" si="12"/>
        <v>135980.03402546333</v>
      </c>
      <c r="O22" s="306">
        <f t="shared" ca="1" si="13"/>
        <v>724969.83513341204</v>
      </c>
      <c r="P22" s="306">
        <f t="shared" si="14"/>
        <v>-390.68231228685153</v>
      </c>
      <c r="Q22" s="306">
        <f t="shared" ref="Q22:Q59" si="23">$AU$27</f>
        <v>390.68231228685153</v>
      </c>
      <c r="R22" s="306">
        <f t="shared" ca="1" si="15"/>
        <v>724579.15282112523</v>
      </c>
      <c r="S22" s="818">
        <f t="shared" ca="1" si="16"/>
        <v>192383.03026898397</v>
      </c>
      <c r="T22" s="818">
        <f t="shared" si="17"/>
        <v>0</v>
      </c>
      <c r="U22" s="818">
        <v>0</v>
      </c>
      <c r="V22" s="818">
        <f t="shared" ca="1" si="18"/>
        <v>192383.03026898397</v>
      </c>
      <c r="W22" s="306">
        <f t="shared" si="1"/>
        <v>0</v>
      </c>
      <c r="X22" s="306">
        <f t="shared" ca="1" si="2"/>
        <v>-42.106365709288561</v>
      </c>
      <c r="Y22" s="306">
        <v>0</v>
      </c>
      <c r="Z22" s="306">
        <v>0</v>
      </c>
      <c r="AA22" s="308">
        <f ca="1">-SUM(W22,X22/OFFSET(GridFootprintbyYear,$A22-$A$19,0)*EF_PurchElec_MTperMWh,Z22)*OFFSET(ExposureCalculations!Price_GHG_Allowance_2010,A22-$A$19,0)*ExposureCalculations!D19</f>
        <v>0</v>
      </c>
      <c r="AB22" s="308">
        <f t="shared" ca="1" si="3"/>
        <v>0</v>
      </c>
      <c r="AC22" s="308">
        <v>0</v>
      </c>
      <c r="AD22" s="819">
        <f t="shared" ca="1" si="4"/>
        <v>4387.6039665857361</v>
      </c>
      <c r="AE22" s="308">
        <v>0</v>
      </c>
      <c r="AF22" s="819">
        <f t="shared" ca="1" si="5"/>
        <v>0</v>
      </c>
      <c r="AG22" s="308">
        <v>0</v>
      </c>
      <c r="AH22" s="308">
        <v>0</v>
      </c>
      <c r="AI22" s="308">
        <v>0</v>
      </c>
      <c r="AJ22" s="308">
        <f t="shared" ca="1" si="6"/>
        <v>4387.6039665857361</v>
      </c>
      <c r="AK22" s="309">
        <v>0</v>
      </c>
      <c r="AL22" s="309">
        <v>0</v>
      </c>
      <c r="AM22" s="309">
        <f t="shared" si="19"/>
        <v>0</v>
      </c>
      <c r="AN22" s="310">
        <v>0</v>
      </c>
      <c r="AO22" s="310">
        <f t="shared" ref="AO22:AO59" si="24">$AU$31*$AL$20</f>
        <v>0</v>
      </c>
      <c r="AP22" s="310">
        <f t="shared" si="20"/>
        <v>0</v>
      </c>
      <c r="AQ22" s="309">
        <v>0</v>
      </c>
      <c r="AR22" s="311">
        <f t="shared" ca="1" si="7"/>
        <v>4387.6039665857361</v>
      </c>
      <c r="AS22" s="870">
        <f t="shared" ca="1" si="21"/>
        <v>-52646.620942284178</v>
      </c>
      <c r="AT22" s="822"/>
      <c r="AU22" s="878"/>
      <c r="AV22" s="35"/>
      <c r="AW22" s="879"/>
      <c r="AX22" s="35"/>
      <c r="AY22" s="880"/>
    </row>
    <row r="23" spans="1:63">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2"/>
        <v>0</v>
      </c>
      <c r="K23" s="307">
        <f t="shared" ca="1" si="10"/>
        <v>137556.65962631535</v>
      </c>
      <c r="L23" s="307">
        <f t="shared" si="11"/>
        <v>0</v>
      </c>
      <c r="M23" s="307">
        <v>0</v>
      </c>
      <c r="N23" s="307">
        <f t="shared" ca="1" si="12"/>
        <v>137556.65962631535</v>
      </c>
      <c r="O23" s="306">
        <f t="shared" ca="1" si="13"/>
        <v>733356.43426308746</v>
      </c>
      <c r="P23" s="306">
        <f t="shared" si="14"/>
        <v>-390.68231228685153</v>
      </c>
      <c r="Q23" s="306">
        <f t="shared" si="23"/>
        <v>390.68231228685153</v>
      </c>
      <c r="R23" s="306">
        <f t="shared" ca="1" si="15"/>
        <v>732965.75195080065</v>
      </c>
      <c r="S23" s="818">
        <f t="shared" ca="1" si="16"/>
        <v>195447.56483158763</v>
      </c>
      <c r="T23" s="818">
        <f t="shared" si="17"/>
        <v>0</v>
      </c>
      <c r="U23" s="818">
        <v>0</v>
      </c>
      <c r="V23" s="818">
        <f t="shared" ca="1" si="18"/>
        <v>195447.56483158763</v>
      </c>
      <c r="W23" s="306">
        <f t="shared" si="1"/>
        <v>0</v>
      </c>
      <c r="X23" s="306">
        <f t="shared" ca="1" si="2"/>
        <v>-42.106365709288561</v>
      </c>
      <c r="Y23" s="306">
        <v>0</v>
      </c>
      <c r="Z23" s="306">
        <v>0</v>
      </c>
      <c r="AA23" s="308">
        <f ca="1">-SUM(W23,X23/OFFSET(GridFootprintbyYear,$A23-$A$19,0)*EF_PurchElec_MTperMWh,Z23)*OFFSET(ExposureCalculations!Price_GHG_Allowance_2010,A23-$A$19,0)*ExposureCalculations!D20</f>
        <v>0</v>
      </c>
      <c r="AB23" s="308">
        <f t="shared" ca="1" si="3"/>
        <v>0</v>
      </c>
      <c r="AC23" s="308">
        <v>0</v>
      </c>
      <c r="AD23" s="819">
        <f t="shared" ca="1" si="4"/>
        <v>4409.5419864186642</v>
      </c>
      <c r="AE23" s="308">
        <v>0</v>
      </c>
      <c r="AF23" s="819">
        <f t="shared" ca="1" si="5"/>
        <v>0</v>
      </c>
      <c r="AG23" s="308">
        <v>0</v>
      </c>
      <c r="AH23" s="308">
        <v>0</v>
      </c>
      <c r="AI23" s="308">
        <v>0</v>
      </c>
      <c r="AJ23" s="308">
        <f t="shared" ca="1" si="6"/>
        <v>4409.5419864186642</v>
      </c>
      <c r="AK23" s="309">
        <v>0</v>
      </c>
      <c r="AL23" s="309">
        <v>0</v>
      </c>
      <c r="AM23" s="309">
        <f t="shared" si="19"/>
        <v>0</v>
      </c>
      <c r="AN23" s="310">
        <v>0</v>
      </c>
      <c r="AO23" s="310">
        <f t="shared" si="24"/>
        <v>0</v>
      </c>
      <c r="AP23" s="310">
        <f t="shared" si="20"/>
        <v>0</v>
      </c>
      <c r="AQ23" s="309">
        <v>0</v>
      </c>
      <c r="AR23" s="311">
        <f t="shared" ca="1" si="7"/>
        <v>4409.5419864186642</v>
      </c>
      <c r="AS23" s="870">
        <f t="shared" ca="1" si="21"/>
        <v>-48237.078955865516</v>
      </c>
      <c r="AT23" s="822"/>
      <c r="AU23" s="898">
        <f>BG18</f>
        <v>459.6262497492371</v>
      </c>
      <c r="AV23" s="35" t="s">
        <v>1050</v>
      </c>
      <c r="AW23" s="879"/>
      <c r="AX23" s="35"/>
      <c r="AY23" s="880"/>
    </row>
    <row r="24" spans="1:63">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2"/>
        <v>0</v>
      </c>
      <c r="K24" s="307">
        <f t="shared" ca="1" si="10"/>
        <v>140674.7264207229</v>
      </c>
      <c r="L24" s="307">
        <f t="shared" si="11"/>
        <v>0</v>
      </c>
      <c r="M24" s="307">
        <v>0</v>
      </c>
      <c r="N24" s="307">
        <f t="shared" ca="1" si="12"/>
        <v>140674.7264207229</v>
      </c>
      <c r="O24" s="306">
        <f t="shared" ca="1" si="13"/>
        <v>749942.47488688328</v>
      </c>
      <c r="P24" s="306">
        <f t="shared" si="14"/>
        <v>-390.68231228685153</v>
      </c>
      <c r="Q24" s="306">
        <f t="shared" si="23"/>
        <v>390.68231228685153</v>
      </c>
      <c r="R24" s="306">
        <f t="shared" ca="1" si="15"/>
        <v>749551.79257459647</v>
      </c>
      <c r="S24" s="818">
        <f t="shared" ca="1" si="16"/>
        <v>200653.26054765948</v>
      </c>
      <c r="T24" s="818">
        <f t="shared" si="17"/>
        <v>0</v>
      </c>
      <c r="U24" s="818">
        <v>0</v>
      </c>
      <c r="V24" s="818">
        <f t="shared" ca="1" si="18"/>
        <v>200653.26054765948</v>
      </c>
      <c r="W24" s="306">
        <f t="shared" si="1"/>
        <v>0</v>
      </c>
      <c r="X24" s="306">
        <f t="shared" ca="1" si="2"/>
        <v>-42.106365709288561</v>
      </c>
      <c r="Y24" s="306">
        <v>0</v>
      </c>
      <c r="Z24" s="306">
        <v>0</v>
      </c>
      <c r="AA24" s="308">
        <f ca="1">-SUM(W24,X24/OFFSET(GridFootprintbyYear,$A24-$A$19,0)*EF_PurchElec_MTperMWh,Z24)*OFFSET(ExposureCalculations!Price_GHG_Allowance_2010,A24-$A$19,0)*ExposureCalculations!D21</f>
        <v>428.19381310734025</v>
      </c>
      <c r="AB24" s="308">
        <f t="shared" ca="1" si="3"/>
        <v>0</v>
      </c>
      <c r="AC24" s="308">
        <v>0</v>
      </c>
      <c r="AD24" s="819">
        <f t="shared" ca="1" si="4"/>
        <v>4431.5896963507566</v>
      </c>
      <c r="AE24" s="308">
        <v>0</v>
      </c>
      <c r="AF24" s="819">
        <f t="shared" ca="1" si="5"/>
        <v>0</v>
      </c>
      <c r="AG24" s="308">
        <v>0</v>
      </c>
      <c r="AH24" s="308">
        <v>0</v>
      </c>
      <c r="AI24" s="308">
        <v>0</v>
      </c>
      <c r="AJ24" s="308">
        <f t="shared" ca="1" si="6"/>
        <v>4431.5896963507566</v>
      </c>
      <c r="AK24" s="309">
        <v>0</v>
      </c>
      <c r="AL24" s="309">
        <v>0</v>
      </c>
      <c r="AM24" s="309">
        <f t="shared" si="19"/>
        <v>0</v>
      </c>
      <c r="AN24" s="310">
        <v>0</v>
      </c>
      <c r="AO24" s="310">
        <f t="shared" si="24"/>
        <v>0</v>
      </c>
      <c r="AP24" s="310">
        <f t="shared" si="20"/>
        <v>0</v>
      </c>
      <c r="AQ24" s="309">
        <v>0</v>
      </c>
      <c r="AR24" s="311">
        <f t="shared" ca="1" si="7"/>
        <v>4859.7835094580969</v>
      </c>
      <c r="AS24" s="870">
        <f t="shared" ca="1" si="21"/>
        <v>-43377.295446407421</v>
      </c>
      <c r="AT24" s="822"/>
      <c r="AU24" s="878"/>
      <c r="AV24" s="35"/>
      <c r="AW24" s="879"/>
      <c r="AX24" s="35"/>
      <c r="AY24" s="880"/>
    </row>
    <row r="25" spans="1:63">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2"/>
        <v>0</v>
      </c>
      <c r="K25" s="307">
        <f t="shared" ca="1" si="10"/>
        <v>142251.35202157494</v>
      </c>
      <c r="L25" s="307">
        <f t="shared" si="11"/>
        <v>0</v>
      </c>
      <c r="M25" s="307">
        <v>0</v>
      </c>
      <c r="N25" s="307">
        <f t="shared" ca="1" si="12"/>
        <v>142251.35202157494</v>
      </c>
      <c r="O25" s="306">
        <f t="shared" ca="1" si="13"/>
        <v>758329.0740165587</v>
      </c>
      <c r="P25" s="306">
        <f t="shared" si="14"/>
        <v>-390.68231228685153</v>
      </c>
      <c r="Q25" s="306">
        <f t="shared" si="23"/>
        <v>390.68231228685153</v>
      </c>
      <c r="R25" s="306">
        <f t="shared" ca="1" si="15"/>
        <v>757938.3917042719</v>
      </c>
      <c r="S25" s="818">
        <f t="shared" ca="1" si="16"/>
        <v>203717.79511026316</v>
      </c>
      <c r="T25" s="818">
        <f t="shared" si="17"/>
        <v>0</v>
      </c>
      <c r="U25" s="818">
        <v>0</v>
      </c>
      <c r="V25" s="818">
        <f t="shared" ca="1" si="18"/>
        <v>203717.79511026316</v>
      </c>
      <c r="W25" s="306">
        <f t="shared" si="1"/>
        <v>0</v>
      </c>
      <c r="X25" s="306">
        <f t="shared" ca="1" si="2"/>
        <v>-42.106365709288561</v>
      </c>
      <c r="Y25" s="306">
        <v>0</v>
      </c>
      <c r="Z25" s="306">
        <v>0</v>
      </c>
      <c r="AA25" s="308">
        <f ca="1">-SUM(W25,X25/OFFSET(GridFootprintbyYear,$A25-$A$19,0)*EF_PurchElec_MTperMWh,Z25)*OFFSET(ExposureCalculations!Price_GHG_Allowance_2010,A25-$A$19,0)*ExposureCalculations!D22</f>
        <v>494.26583219070881</v>
      </c>
      <c r="AB25" s="308">
        <f t="shared" ca="1" si="3"/>
        <v>0</v>
      </c>
      <c r="AC25" s="308">
        <v>0</v>
      </c>
      <c r="AD25" s="819">
        <f t="shared" ca="1" si="4"/>
        <v>4453.7476448325096</v>
      </c>
      <c r="AE25" s="308">
        <v>0</v>
      </c>
      <c r="AF25" s="819">
        <f t="shared" ca="1" si="5"/>
        <v>0</v>
      </c>
      <c r="AG25" s="308">
        <v>0</v>
      </c>
      <c r="AH25" s="308">
        <v>0</v>
      </c>
      <c r="AI25" s="308">
        <v>0</v>
      </c>
      <c r="AJ25" s="308">
        <f t="shared" ca="1" si="6"/>
        <v>4453.7476448325096</v>
      </c>
      <c r="AK25" s="309">
        <v>0</v>
      </c>
      <c r="AL25" s="309">
        <v>0</v>
      </c>
      <c r="AM25" s="309">
        <f t="shared" si="19"/>
        <v>0</v>
      </c>
      <c r="AN25" s="310">
        <v>0</v>
      </c>
      <c r="AO25" s="310">
        <f t="shared" si="24"/>
        <v>0</v>
      </c>
      <c r="AP25" s="310">
        <f t="shared" si="20"/>
        <v>0</v>
      </c>
      <c r="AQ25" s="309">
        <v>0</v>
      </c>
      <c r="AR25" s="311">
        <f t="shared" ca="1" si="7"/>
        <v>4948.013477023218</v>
      </c>
      <c r="AS25" s="870">
        <f t="shared" ca="1" si="21"/>
        <v>-38429.281969384203</v>
      </c>
      <c r="AT25" s="822"/>
      <c r="AU25" s="922">
        <f>Factors!B27</f>
        <v>0.85</v>
      </c>
      <c r="AV25" s="35" t="s">
        <v>833</v>
      </c>
      <c r="AW25" s="879"/>
      <c r="AX25" s="35"/>
      <c r="AY25" s="880"/>
    </row>
    <row r="26" spans="1:63">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2"/>
        <v>0</v>
      </c>
      <c r="K26" s="307">
        <f t="shared" ca="1" si="10"/>
        <v>143827.97762242699</v>
      </c>
      <c r="L26" s="307">
        <f t="shared" si="11"/>
        <v>0</v>
      </c>
      <c r="M26" s="307">
        <v>0</v>
      </c>
      <c r="N26" s="307">
        <f t="shared" ca="1" si="12"/>
        <v>143827.97762242699</v>
      </c>
      <c r="O26" s="306">
        <f t="shared" ca="1" si="13"/>
        <v>766715.67314623413</v>
      </c>
      <c r="P26" s="306">
        <f t="shared" si="14"/>
        <v>-390.68231228685153</v>
      </c>
      <c r="Q26" s="306">
        <f t="shared" si="23"/>
        <v>390.68231228685153</v>
      </c>
      <c r="R26" s="306">
        <f t="shared" ca="1" si="15"/>
        <v>766324.99083394732</v>
      </c>
      <c r="S26" s="818">
        <f t="shared" ca="1" si="16"/>
        <v>206782.32967286685</v>
      </c>
      <c r="T26" s="818">
        <f t="shared" si="17"/>
        <v>0</v>
      </c>
      <c r="U26" s="818">
        <v>0</v>
      </c>
      <c r="V26" s="818">
        <f t="shared" ca="1" si="18"/>
        <v>206782.32967286685</v>
      </c>
      <c r="W26" s="306">
        <f t="shared" si="1"/>
        <v>0</v>
      </c>
      <c r="X26" s="306">
        <f t="shared" ca="1" si="2"/>
        <v>-42.106365709288561</v>
      </c>
      <c r="Y26" s="306">
        <v>0</v>
      </c>
      <c r="Z26" s="306">
        <v>0</v>
      </c>
      <c r="AA26" s="308">
        <f ca="1">-SUM(W26,X26/OFFSET(GridFootprintbyYear,$A26-$A$19,0)*EF_PurchElec_MTperMWh,Z26)*OFFSET(ExposureCalculations!Price_GHG_Allowance_2010,A26-$A$19,0)*ExposureCalculations!D23</f>
        <v>563.41928643610981</v>
      </c>
      <c r="AB26" s="308">
        <f t="shared" ca="1" si="3"/>
        <v>0</v>
      </c>
      <c r="AC26" s="308">
        <v>0</v>
      </c>
      <c r="AD26" s="819">
        <f t="shared" ca="1" si="4"/>
        <v>4476.0163830566726</v>
      </c>
      <c r="AE26" s="308">
        <v>0</v>
      </c>
      <c r="AF26" s="819">
        <f t="shared" ca="1" si="5"/>
        <v>0</v>
      </c>
      <c r="AG26" s="308">
        <v>0</v>
      </c>
      <c r="AH26" s="308">
        <v>0</v>
      </c>
      <c r="AI26" s="308">
        <v>0</v>
      </c>
      <c r="AJ26" s="308">
        <f t="shared" ca="1" si="6"/>
        <v>4476.0163830566726</v>
      </c>
      <c r="AK26" s="309">
        <v>0</v>
      </c>
      <c r="AL26" s="309">
        <v>0</v>
      </c>
      <c r="AM26" s="309">
        <f t="shared" si="19"/>
        <v>0</v>
      </c>
      <c r="AN26" s="310">
        <v>0</v>
      </c>
      <c r="AO26" s="310">
        <f t="shared" si="24"/>
        <v>0</v>
      </c>
      <c r="AP26" s="310">
        <f t="shared" si="20"/>
        <v>0</v>
      </c>
      <c r="AQ26" s="309">
        <v>0</v>
      </c>
      <c r="AR26" s="311">
        <f t="shared" ca="1" si="7"/>
        <v>5039.4356694927828</v>
      </c>
      <c r="AS26" s="870">
        <f t="shared" ca="1" si="21"/>
        <v>-33389.846299891418</v>
      </c>
      <c r="AT26" s="822"/>
      <c r="AU26" s="878"/>
      <c r="AV26" s="35"/>
      <c r="AW26" s="879"/>
      <c r="AX26" s="35"/>
      <c r="AY26" s="880"/>
    </row>
    <row r="27" spans="1:63">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2"/>
        <v>0</v>
      </c>
      <c r="K27" s="307">
        <f t="shared" ca="1" si="10"/>
        <v>145404.603223279</v>
      </c>
      <c r="L27" s="307">
        <f t="shared" si="11"/>
        <v>0</v>
      </c>
      <c r="M27" s="307">
        <v>0</v>
      </c>
      <c r="N27" s="307">
        <f t="shared" ca="1" si="12"/>
        <v>145404.603223279</v>
      </c>
      <c r="O27" s="306">
        <f t="shared" ca="1" si="13"/>
        <v>775102.27227590943</v>
      </c>
      <c r="P27" s="306">
        <f t="shared" si="14"/>
        <v>-390.68231228685153</v>
      </c>
      <c r="Q27" s="306">
        <f t="shared" si="23"/>
        <v>390.68231228685153</v>
      </c>
      <c r="R27" s="306">
        <f t="shared" ca="1" si="15"/>
        <v>774711.58996362262</v>
      </c>
      <c r="S27" s="818">
        <f t="shared" ca="1" si="16"/>
        <v>209846.86423547054</v>
      </c>
      <c r="T27" s="818">
        <f t="shared" si="17"/>
        <v>0</v>
      </c>
      <c r="U27" s="818">
        <v>0</v>
      </c>
      <c r="V27" s="818">
        <f t="shared" ca="1" si="18"/>
        <v>209846.86423547054</v>
      </c>
      <c r="W27" s="306">
        <f t="shared" si="1"/>
        <v>0</v>
      </c>
      <c r="X27" s="306">
        <f t="shared" ca="1" si="2"/>
        <v>-42.106365709288561</v>
      </c>
      <c r="Y27" s="306">
        <v>0</v>
      </c>
      <c r="Z27" s="306">
        <v>0</v>
      </c>
      <c r="AA27" s="308">
        <f ca="1">-SUM(W27,X27/OFFSET(GridFootprintbyYear,$A27-$A$19,0)*EF_PurchElec_MTperMWh,Z27)*OFFSET(ExposureCalculations!Price_GHG_Allowance_2010,A27-$A$19,0)*ExposureCalculations!D24</f>
        <v>635.55867873173247</v>
      </c>
      <c r="AB27" s="308">
        <f t="shared" ca="1" si="3"/>
        <v>0</v>
      </c>
      <c r="AC27" s="308">
        <v>0</v>
      </c>
      <c r="AD27" s="819">
        <f t="shared" ca="1" si="4"/>
        <v>4498.3964649719546</v>
      </c>
      <c r="AE27" s="308">
        <v>0</v>
      </c>
      <c r="AF27" s="819">
        <f t="shared" ca="1" si="5"/>
        <v>0</v>
      </c>
      <c r="AG27" s="308">
        <v>0</v>
      </c>
      <c r="AH27" s="308">
        <v>0</v>
      </c>
      <c r="AI27" s="308">
        <v>0</v>
      </c>
      <c r="AJ27" s="308">
        <f t="shared" ca="1" si="6"/>
        <v>4498.3964649719546</v>
      </c>
      <c r="AK27" s="309">
        <v>0</v>
      </c>
      <c r="AL27" s="309">
        <v>0</v>
      </c>
      <c r="AM27" s="309">
        <f t="shared" si="19"/>
        <v>0</v>
      </c>
      <c r="AN27" s="310">
        <v>0</v>
      </c>
      <c r="AO27" s="310">
        <f t="shared" si="24"/>
        <v>0</v>
      </c>
      <c r="AP27" s="310">
        <f t="shared" si="20"/>
        <v>0</v>
      </c>
      <c r="AQ27" s="309">
        <v>0</v>
      </c>
      <c r="AR27" s="311">
        <f t="shared" ca="1" si="7"/>
        <v>5133.9551437036871</v>
      </c>
      <c r="AS27" s="870">
        <f t="shared" ca="1" si="21"/>
        <v>-28255.891156187732</v>
      </c>
      <c r="AT27" s="822"/>
      <c r="AU27" s="898">
        <f>AU23*AU25</f>
        <v>390.68231228685153</v>
      </c>
      <c r="AV27" s="35" t="s">
        <v>845</v>
      </c>
      <c r="AW27" s="879"/>
      <c r="AX27" s="35"/>
      <c r="AY27" s="880"/>
    </row>
    <row r="28" spans="1:63">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2"/>
        <v>0</v>
      </c>
      <c r="K28" s="307">
        <f t="shared" ca="1" si="10"/>
        <v>146981.22882413102</v>
      </c>
      <c r="L28" s="307">
        <f t="shared" si="11"/>
        <v>0</v>
      </c>
      <c r="M28" s="307">
        <v>0</v>
      </c>
      <c r="N28" s="307">
        <f t="shared" ca="1" si="12"/>
        <v>146981.22882413102</v>
      </c>
      <c r="O28" s="306">
        <f t="shared" ca="1" si="13"/>
        <v>783488.87140558485</v>
      </c>
      <c r="P28" s="306">
        <f t="shared" si="14"/>
        <v>-390.68231228685153</v>
      </c>
      <c r="Q28" s="306">
        <f t="shared" si="23"/>
        <v>390.68231228685153</v>
      </c>
      <c r="R28" s="306">
        <f t="shared" ca="1" si="15"/>
        <v>783098.18909329805</v>
      </c>
      <c r="S28" s="818">
        <f t="shared" ca="1" si="16"/>
        <v>212911.39879807425</v>
      </c>
      <c r="T28" s="818">
        <f t="shared" si="17"/>
        <v>0</v>
      </c>
      <c r="U28" s="818">
        <v>0</v>
      </c>
      <c r="V28" s="818">
        <f t="shared" ca="1" si="18"/>
        <v>212911.39879807425</v>
      </c>
      <c r="W28" s="306">
        <f t="shared" si="1"/>
        <v>0</v>
      </c>
      <c r="X28" s="306">
        <f t="shared" ca="1" si="2"/>
        <v>-42.106365709288561</v>
      </c>
      <c r="Y28" s="306">
        <v>0</v>
      </c>
      <c r="Z28" s="306">
        <v>0</v>
      </c>
      <c r="AA28" s="308">
        <f ca="1">-SUM(W28,X28/OFFSET(GridFootprintbyYear,$A28-$A$19,0)*EF_PurchElec_MTperMWh,Z28)*OFFSET(ExposureCalculations!Price_GHG_Allowance_2010,A28-$A$19,0)*ExposureCalculations!D25</f>
        <v>710.58950739909028</v>
      </c>
      <c r="AB28" s="308">
        <f t="shared" ca="1" si="3"/>
        <v>0</v>
      </c>
      <c r="AC28" s="308">
        <v>0</v>
      </c>
      <c r="AD28" s="819">
        <f t="shared" ca="1" si="4"/>
        <v>4520.8884472968148</v>
      </c>
      <c r="AE28" s="308">
        <v>0</v>
      </c>
      <c r="AF28" s="819">
        <f t="shared" ca="1" si="5"/>
        <v>0</v>
      </c>
      <c r="AG28" s="308">
        <v>0</v>
      </c>
      <c r="AH28" s="308">
        <v>0</v>
      </c>
      <c r="AI28" s="308">
        <v>0</v>
      </c>
      <c r="AJ28" s="308">
        <f t="shared" ca="1" si="6"/>
        <v>4520.8884472968148</v>
      </c>
      <c r="AK28" s="309">
        <v>0</v>
      </c>
      <c r="AL28" s="309">
        <v>0</v>
      </c>
      <c r="AM28" s="309">
        <f t="shared" si="19"/>
        <v>0</v>
      </c>
      <c r="AN28" s="310">
        <v>0</v>
      </c>
      <c r="AO28" s="310">
        <f t="shared" si="24"/>
        <v>0</v>
      </c>
      <c r="AP28" s="310">
        <f t="shared" si="20"/>
        <v>0</v>
      </c>
      <c r="AQ28" s="309">
        <v>0</v>
      </c>
      <c r="AR28" s="311">
        <f t="shared" ca="1" si="7"/>
        <v>5231.4779546959053</v>
      </c>
      <c r="AS28" s="870">
        <f t="shared" ca="1" si="21"/>
        <v>-23024.413201491829</v>
      </c>
      <c r="AT28" s="822"/>
      <c r="AU28" s="878"/>
      <c r="AV28" s="35"/>
      <c r="AW28" s="879"/>
      <c r="AX28" s="35"/>
      <c r="AY28" s="880"/>
    </row>
    <row r="29" spans="1:63">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2"/>
        <v>0</v>
      </c>
      <c r="K29" s="307">
        <f t="shared" ca="1" si="10"/>
        <v>148557.85442498306</v>
      </c>
      <c r="L29" s="307">
        <f t="shared" si="11"/>
        <v>0</v>
      </c>
      <c r="M29" s="307">
        <v>0</v>
      </c>
      <c r="N29" s="307">
        <f t="shared" ca="1" si="12"/>
        <v>148557.85442498306</v>
      </c>
      <c r="O29" s="306">
        <f t="shared" ca="1" si="13"/>
        <v>791875.47053526016</v>
      </c>
      <c r="P29" s="306">
        <f t="shared" si="14"/>
        <v>-390.68231228685153</v>
      </c>
      <c r="Q29" s="306">
        <f t="shared" si="23"/>
        <v>390.68231228685153</v>
      </c>
      <c r="R29" s="306">
        <f t="shared" ca="1" si="15"/>
        <v>791484.78822297335</v>
      </c>
      <c r="S29" s="818">
        <f t="shared" ca="1" si="16"/>
        <v>215975.93336067794</v>
      </c>
      <c r="T29" s="818">
        <f t="shared" si="17"/>
        <v>0</v>
      </c>
      <c r="U29" s="818">
        <v>0</v>
      </c>
      <c r="V29" s="818">
        <f t="shared" ca="1" si="18"/>
        <v>215975.93336067794</v>
      </c>
      <c r="W29" s="306">
        <f t="shared" si="1"/>
        <v>0</v>
      </c>
      <c r="X29" s="306">
        <f t="shared" ca="1" si="2"/>
        <v>-42.106365709288561</v>
      </c>
      <c r="Y29" s="306">
        <v>0</v>
      </c>
      <c r="Z29" s="306">
        <v>0</v>
      </c>
      <c r="AA29" s="308">
        <f ca="1">-SUM(W29,X29/OFFSET(GridFootprintbyYear,$A29-$A$19,0)*EF_PurchElec_MTperMWh,Z29)*OFFSET(ExposureCalculations!Price_GHG_Allowance_2010,A29-$A$19,0)*ExposureCalculations!D26</f>
        <v>788.41828877428838</v>
      </c>
      <c r="AB29" s="308">
        <f t="shared" ca="1" si="3"/>
        <v>0</v>
      </c>
      <c r="AC29" s="308">
        <v>0</v>
      </c>
      <c r="AD29" s="819">
        <f t="shared" ca="1" si="4"/>
        <v>4543.4928895332978</v>
      </c>
      <c r="AE29" s="308">
        <v>0</v>
      </c>
      <c r="AF29" s="819">
        <f t="shared" ca="1" si="5"/>
        <v>0</v>
      </c>
      <c r="AG29" s="308">
        <v>0</v>
      </c>
      <c r="AH29" s="308">
        <v>0</v>
      </c>
      <c r="AI29" s="308">
        <v>0</v>
      </c>
      <c r="AJ29" s="308">
        <f t="shared" ca="1" si="6"/>
        <v>4543.4928895332978</v>
      </c>
      <c r="AK29" s="309">
        <v>0</v>
      </c>
      <c r="AL29" s="309">
        <v>0</v>
      </c>
      <c r="AM29" s="309">
        <f t="shared" si="19"/>
        <v>0</v>
      </c>
      <c r="AN29" s="310">
        <v>0</v>
      </c>
      <c r="AO29" s="310">
        <f t="shared" si="24"/>
        <v>0</v>
      </c>
      <c r="AP29" s="310">
        <f t="shared" si="20"/>
        <v>0</v>
      </c>
      <c r="AQ29" s="309">
        <v>0</v>
      </c>
      <c r="AR29" s="311">
        <f t="shared" ca="1" si="7"/>
        <v>5331.9111783075859</v>
      </c>
      <c r="AS29" s="870">
        <f t="shared" ca="1" si="21"/>
        <v>-17692.502023184243</v>
      </c>
      <c r="AT29" s="822"/>
      <c r="AU29" s="921">
        <f>AU46</f>
        <v>61400</v>
      </c>
      <c r="AV29" s="35" t="s">
        <v>846</v>
      </c>
      <c r="AW29" s="879"/>
      <c r="AX29" s="35"/>
      <c r="AY29" s="880"/>
    </row>
    <row r="30" spans="1:63">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2"/>
        <v>0</v>
      </c>
      <c r="K30" s="307">
        <f t="shared" ca="1" si="10"/>
        <v>150134.48002583507</v>
      </c>
      <c r="L30" s="307">
        <f t="shared" si="11"/>
        <v>0</v>
      </c>
      <c r="M30" s="307">
        <v>0</v>
      </c>
      <c r="N30" s="307">
        <f t="shared" ca="1" si="12"/>
        <v>150134.48002583507</v>
      </c>
      <c r="O30" s="306">
        <f t="shared" ca="1" si="13"/>
        <v>800262.06966493546</v>
      </c>
      <c r="P30" s="306">
        <f t="shared" si="14"/>
        <v>-390.68231228685153</v>
      </c>
      <c r="Q30" s="306">
        <f t="shared" si="23"/>
        <v>390.68231228685153</v>
      </c>
      <c r="R30" s="306">
        <f t="shared" ca="1" si="15"/>
        <v>799871.38735264866</v>
      </c>
      <c r="S30" s="818">
        <f t="shared" ca="1" si="16"/>
        <v>219040.46792328163</v>
      </c>
      <c r="T30" s="818">
        <f t="shared" si="17"/>
        <v>0</v>
      </c>
      <c r="U30" s="818">
        <v>0</v>
      </c>
      <c r="V30" s="818">
        <f t="shared" ca="1" si="18"/>
        <v>219040.46792328163</v>
      </c>
      <c r="W30" s="306">
        <f t="shared" si="1"/>
        <v>0</v>
      </c>
      <c r="X30" s="306">
        <f t="shared" ca="1" si="2"/>
        <v>-42.106365709288561</v>
      </c>
      <c r="Y30" s="306">
        <v>0</v>
      </c>
      <c r="Z30" s="306">
        <v>0</v>
      </c>
      <c r="AA30" s="308">
        <f ca="1">-SUM(W30,X30/OFFSET(GridFootprintbyYear,$A30-$A$19,0)*EF_PurchElec_MTperMWh,Z30)*OFFSET(ExposureCalculations!Price_GHG_Allowance_2010,A30-$A$19,0)*ExposureCalculations!D27</f>
        <v>878.21210828458709</v>
      </c>
      <c r="AB30" s="308">
        <f t="shared" ca="1" si="3"/>
        <v>0</v>
      </c>
      <c r="AC30" s="308">
        <v>0</v>
      </c>
      <c r="AD30" s="819">
        <f t="shared" ca="1" si="4"/>
        <v>4566.210353980965</v>
      </c>
      <c r="AE30" s="308">
        <v>0</v>
      </c>
      <c r="AF30" s="819">
        <f t="shared" ca="1" si="5"/>
        <v>0</v>
      </c>
      <c r="AG30" s="308">
        <v>0</v>
      </c>
      <c r="AH30" s="308">
        <v>0</v>
      </c>
      <c r="AI30" s="308">
        <v>0</v>
      </c>
      <c r="AJ30" s="308">
        <f t="shared" ca="1" si="6"/>
        <v>4566.210353980965</v>
      </c>
      <c r="AK30" s="309">
        <v>0</v>
      </c>
      <c r="AL30" s="309">
        <v>0</v>
      </c>
      <c r="AM30" s="309">
        <f t="shared" si="19"/>
        <v>0</v>
      </c>
      <c r="AN30" s="310">
        <v>0</v>
      </c>
      <c r="AO30" s="310">
        <f t="shared" si="24"/>
        <v>0</v>
      </c>
      <c r="AP30" s="310">
        <f t="shared" si="20"/>
        <v>0</v>
      </c>
      <c r="AQ30" s="309">
        <v>0</v>
      </c>
      <c r="AR30" s="311">
        <f t="shared" ca="1" si="7"/>
        <v>5444.422462265552</v>
      </c>
      <c r="AS30" s="870">
        <f t="shared" ca="1" si="21"/>
        <v>-12248.07956091869</v>
      </c>
      <c r="AT30" s="822"/>
      <c r="AU30" s="878"/>
      <c r="AV30" s="35"/>
      <c r="AW30" s="879"/>
      <c r="AX30" s="35"/>
      <c r="AY30" s="880"/>
    </row>
    <row r="31" spans="1:63">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2"/>
        <v>0</v>
      </c>
      <c r="K31" s="307">
        <f t="shared" ca="1" si="10"/>
        <v>151711.10562668712</v>
      </c>
      <c r="L31" s="307">
        <f t="shared" si="11"/>
        <v>0</v>
      </c>
      <c r="M31" s="307">
        <v>0</v>
      </c>
      <c r="N31" s="307">
        <f t="shared" ca="1" si="12"/>
        <v>151711.10562668712</v>
      </c>
      <c r="O31" s="306">
        <f t="shared" ca="1" si="13"/>
        <v>808648.668794611</v>
      </c>
      <c r="P31" s="306">
        <f t="shared" si="14"/>
        <v>-390.68231228685153</v>
      </c>
      <c r="Q31" s="306">
        <f t="shared" si="23"/>
        <v>390.68231228685153</v>
      </c>
      <c r="R31" s="306">
        <f t="shared" ca="1" si="15"/>
        <v>808257.9864823242</v>
      </c>
      <c r="S31" s="818">
        <f t="shared" ca="1" si="16"/>
        <v>222105.00248588528</v>
      </c>
      <c r="T31" s="818">
        <f t="shared" si="17"/>
        <v>0</v>
      </c>
      <c r="U31" s="818">
        <v>0</v>
      </c>
      <c r="V31" s="818">
        <f t="shared" ca="1" si="18"/>
        <v>222105.00248588528</v>
      </c>
      <c r="W31" s="306">
        <f t="shared" si="1"/>
        <v>0</v>
      </c>
      <c r="X31" s="306">
        <f t="shared" ca="1" si="2"/>
        <v>-42.106365709288561</v>
      </c>
      <c r="Y31" s="306">
        <v>0</v>
      </c>
      <c r="Z31" s="306">
        <v>0</v>
      </c>
      <c r="AA31" s="308">
        <f ca="1">-SUM(W31,X31/OFFSET(GridFootprintbyYear,$A31-$A$19,0)*EF_PurchElec_MTperMWh,Z31)*OFFSET(ExposureCalculations!Price_GHG_Allowance_2010,A31-$A$19,0)*ExposureCalculations!D28</f>
        <v>971.4711286045308</v>
      </c>
      <c r="AB31" s="308">
        <f t="shared" ca="1" si="3"/>
        <v>0</v>
      </c>
      <c r="AC31" s="308">
        <v>0</v>
      </c>
      <c r="AD31" s="819">
        <f t="shared" ca="1" si="4"/>
        <v>4589.0414057508669</v>
      </c>
      <c r="AE31" s="308">
        <v>0</v>
      </c>
      <c r="AF31" s="819">
        <f t="shared" ca="1" si="5"/>
        <v>0</v>
      </c>
      <c r="AG31" s="308">
        <v>0</v>
      </c>
      <c r="AH31" s="308">
        <v>0</v>
      </c>
      <c r="AI31" s="308">
        <v>0</v>
      </c>
      <c r="AJ31" s="308">
        <f t="shared" ca="1" si="6"/>
        <v>4589.0414057508669</v>
      </c>
      <c r="AK31" s="309">
        <v>0</v>
      </c>
      <c r="AL31" s="309">
        <v>0</v>
      </c>
      <c r="AM31" s="309">
        <f t="shared" si="19"/>
        <v>0</v>
      </c>
      <c r="AN31" s="310">
        <v>0</v>
      </c>
      <c r="AO31" s="310">
        <f t="shared" si="24"/>
        <v>0</v>
      </c>
      <c r="AP31" s="310">
        <f t="shared" si="20"/>
        <v>0</v>
      </c>
      <c r="AQ31" s="309">
        <v>0</v>
      </c>
      <c r="AR31" s="311">
        <f t="shared" ca="1" si="7"/>
        <v>5560.5125343553973</v>
      </c>
      <c r="AS31" s="870">
        <f t="shared" ca="1" si="21"/>
        <v>-6687.5670265632925</v>
      </c>
      <c r="AT31" s="822"/>
      <c r="AU31" s="901">
        <v>0</v>
      </c>
      <c r="AV31" s="959" t="s">
        <v>847</v>
      </c>
      <c r="AW31" s="879"/>
      <c r="AX31" s="35"/>
      <c r="AY31" s="880"/>
    </row>
    <row r="32" spans="1:63">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2"/>
        <v>0</v>
      </c>
      <c r="K32" s="307">
        <f t="shared" ca="1" si="10"/>
        <v>153287.73122753916</v>
      </c>
      <c r="L32" s="307">
        <f t="shared" si="11"/>
        <v>0</v>
      </c>
      <c r="M32" s="307">
        <v>0</v>
      </c>
      <c r="N32" s="307">
        <f t="shared" ca="1" si="12"/>
        <v>153287.73122753916</v>
      </c>
      <c r="O32" s="306">
        <f t="shared" ca="1" si="13"/>
        <v>817035.26792428643</v>
      </c>
      <c r="P32" s="306">
        <f t="shared" si="14"/>
        <v>-390.68231228685153</v>
      </c>
      <c r="Q32" s="306">
        <f t="shared" si="23"/>
        <v>390.68231228685153</v>
      </c>
      <c r="R32" s="306">
        <f t="shared" ca="1" si="15"/>
        <v>816644.58561199962</v>
      </c>
      <c r="S32" s="818">
        <f t="shared" ca="1" si="16"/>
        <v>225169.537048489</v>
      </c>
      <c r="T32" s="818">
        <f t="shared" si="17"/>
        <v>0</v>
      </c>
      <c r="U32" s="818">
        <v>0</v>
      </c>
      <c r="V32" s="818">
        <f t="shared" ca="1" si="18"/>
        <v>225169.537048489</v>
      </c>
      <c r="W32" s="306">
        <f t="shared" si="1"/>
        <v>0</v>
      </c>
      <c r="X32" s="306">
        <f t="shared" ca="1" si="2"/>
        <v>-42.106365709288561</v>
      </c>
      <c r="Y32" s="306">
        <v>0</v>
      </c>
      <c r="Z32" s="306">
        <v>0</v>
      </c>
      <c r="AA32" s="308">
        <f ca="1">-SUM(W32,X32/OFFSET(GridFootprintbyYear,$A32-$A$19,0)*EF_PurchElec_MTperMWh,Z32)*OFFSET(ExposureCalculations!Price_GHG_Allowance_2010,A32-$A$19,0)*ExposureCalculations!D29</f>
        <v>1068.055621090836</v>
      </c>
      <c r="AB32" s="308">
        <f t="shared" ca="1" si="3"/>
        <v>0</v>
      </c>
      <c r="AC32" s="308">
        <v>0</v>
      </c>
      <c r="AD32" s="819">
        <f t="shared" ca="1" si="4"/>
        <v>4611.9866127796213</v>
      </c>
      <c r="AE32" s="308">
        <v>0</v>
      </c>
      <c r="AF32" s="819">
        <f t="shared" ca="1" si="5"/>
        <v>0</v>
      </c>
      <c r="AG32" s="308">
        <v>0</v>
      </c>
      <c r="AH32" s="308">
        <v>0</v>
      </c>
      <c r="AI32" s="308">
        <v>0</v>
      </c>
      <c r="AJ32" s="308">
        <f t="shared" ca="1" si="6"/>
        <v>4611.9866127796213</v>
      </c>
      <c r="AK32" s="309">
        <v>0</v>
      </c>
      <c r="AL32" s="309">
        <v>0</v>
      </c>
      <c r="AM32" s="309">
        <f t="shared" si="19"/>
        <v>0</v>
      </c>
      <c r="AN32" s="310">
        <v>0</v>
      </c>
      <c r="AO32" s="310">
        <f t="shared" si="24"/>
        <v>0</v>
      </c>
      <c r="AP32" s="310">
        <f t="shared" si="20"/>
        <v>0</v>
      </c>
      <c r="AQ32" s="309">
        <v>0</v>
      </c>
      <c r="AR32" s="311">
        <f t="shared" ca="1" si="7"/>
        <v>5680.0422338704575</v>
      </c>
      <c r="AS32" s="870">
        <f t="shared" ca="1" si="21"/>
        <v>-1007.524792692835</v>
      </c>
      <c r="AT32" s="822"/>
      <c r="AU32" s="878"/>
      <c r="AV32" s="35"/>
      <c r="AW32" s="879"/>
      <c r="AX32" s="35"/>
      <c r="AY32" s="880"/>
    </row>
    <row r="33" spans="1:51">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2"/>
        <v>0</v>
      </c>
      <c r="K33" s="307">
        <f t="shared" ca="1" si="10"/>
        <v>154864.35682839117</v>
      </c>
      <c r="L33" s="307">
        <f t="shared" si="11"/>
        <v>0</v>
      </c>
      <c r="M33" s="307">
        <v>0</v>
      </c>
      <c r="N33" s="307">
        <f t="shared" ca="1" si="12"/>
        <v>154864.35682839117</v>
      </c>
      <c r="O33" s="306">
        <f t="shared" ca="1" si="13"/>
        <v>825421.86705396173</v>
      </c>
      <c r="P33" s="306">
        <f t="shared" si="14"/>
        <v>-390.68231228685153</v>
      </c>
      <c r="Q33" s="306">
        <f t="shared" si="23"/>
        <v>390.68231228685153</v>
      </c>
      <c r="R33" s="306">
        <f t="shared" ca="1" si="15"/>
        <v>825031.18474167492</v>
      </c>
      <c r="S33" s="818">
        <f t="shared" ca="1" si="16"/>
        <v>228234.07161109266</v>
      </c>
      <c r="T33" s="818">
        <f t="shared" si="17"/>
        <v>0</v>
      </c>
      <c r="U33" s="818">
        <v>0</v>
      </c>
      <c r="V33" s="818">
        <f t="shared" ca="1" si="18"/>
        <v>228234.07161109266</v>
      </c>
      <c r="W33" s="306">
        <f t="shared" si="1"/>
        <v>0</v>
      </c>
      <c r="X33" s="306">
        <f t="shared" ca="1" si="2"/>
        <v>-42.106365709288561</v>
      </c>
      <c r="Y33" s="306">
        <v>0</v>
      </c>
      <c r="Z33" s="306">
        <v>0</v>
      </c>
      <c r="AA33" s="308">
        <f ca="1">-SUM(W33,X33/OFFSET(GridFootprintbyYear,$A33-$A$19,0)*EF_PurchElec_MTperMWh,Z33)*OFFSET(ExposureCalculations!Price_GHG_Allowance_2010,A33-$A$19,0)*ExposureCalculations!D30</f>
        <v>1167.8268211776131</v>
      </c>
      <c r="AB33" s="308">
        <f t="shared" ca="1" si="3"/>
        <v>0</v>
      </c>
      <c r="AC33" s="308">
        <v>0</v>
      </c>
      <c r="AD33" s="819">
        <f t="shared" ca="1" si="4"/>
        <v>4635.0465458435183</v>
      </c>
      <c r="AE33" s="308">
        <v>0</v>
      </c>
      <c r="AF33" s="819">
        <f t="shared" ca="1" si="5"/>
        <v>0</v>
      </c>
      <c r="AG33" s="308">
        <v>0</v>
      </c>
      <c r="AH33" s="308">
        <v>0</v>
      </c>
      <c r="AI33" s="308">
        <v>0</v>
      </c>
      <c r="AJ33" s="308">
        <f t="shared" ca="1" si="6"/>
        <v>4635.0465458435183</v>
      </c>
      <c r="AK33" s="309">
        <v>0</v>
      </c>
      <c r="AL33" s="309">
        <v>0</v>
      </c>
      <c r="AM33" s="309">
        <f t="shared" si="19"/>
        <v>0</v>
      </c>
      <c r="AN33" s="310">
        <v>0</v>
      </c>
      <c r="AO33" s="310">
        <f t="shared" si="24"/>
        <v>0</v>
      </c>
      <c r="AP33" s="310">
        <f t="shared" si="20"/>
        <v>0</v>
      </c>
      <c r="AQ33" s="309">
        <v>0</v>
      </c>
      <c r="AR33" s="311">
        <f t="shared" ca="1" si="7"/>
        <v>5802.8733670211313</v>
      </c>
      <c r="AS33" s="870">
        <f t="shared" ca="1" si="21"/>
        <v>4795.3485743282963</v>
      </c>
      <c r="AT33" s="822"/>
      <c r="AU33" s="878" t="s">
        <v>849</v>
      </c>
      <c r="AV33" s="35"/>
      <c r="AW33" s="879"/>
      <c r="AX33" s="35"/>
      <c r="AY33" s="880"/>
    </row>
    <row r="34" spans="1:51">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2"/>
        <v>0</v>
      </c>
      <c r="K34" s="307">
        <f t="shared" ca="1" si="10"/>
        <v>156440.98242924322</v>
      </c>
      <c r="L34" s="307">
        <f t="shared" si="11"/>
        <v>0</v>
      </c>
      <c r="M34" s="307">
        <v>0</v>
      </c>
      <c r="N34" s="307">
        <f t="shared" ca="1" si="12"/>
        <v>156440.98242924322</v>
      </c>
      <c r="O34" s="306">
        <f t="shared" ca="1" si="13"/>
        <v>833808.46618363715</v>
      </c>
      <c r="P34" s="306">
        <f t="shared" si="14"/>
        <v>-390.68231228685153</v>
      </c>
      <c r="Q34" s="306">
        <f t="shared" si="23"/>
        <v>390.68231228685153</v>
      </c>
      <c r="R34" s="306">
        <f t="shared" ca="1" si="15"/>
        <v>833417.78387135034</v>
      </c>
      <c r="S34" s="818">
        <f t="shared" ca="1" si="16"/>
        <v>231298.6061736964</v>
      </c>
      <c r="T34" s="818">
        <f t="shared" si="17"/>
        <v>0</v>
      </c>
      <c r="U34" s="818">
        <v>0</v>
      </c>
      <c r="V34" s="818">
        <f t="shared" ca="1" si="18"/>
        <v>231298.6061736964</v>
      </c>
      <c r="W34" s="306">
        <f t="shared" si="1"/>
        <v>0</v>
      </c>
      <c r="X34" s="306">
        <f t="shared" ca="1" si="2"/>
        <v>-42.106365709288561</v>
      </c>
      <c r="Y34" s="306">
        <v>0</v>
      </c>
      <c r="Z34" s="306">
        <v>0</v>
      </c>
      <c r="AA34" s="308">
        <f ca="1">-SUM(W34,X34/OFFSET(GridFootprintbyYear,$A34-$A$19,0)*EF_PurchElec_MTperMWh,Z34)*OFFSET(ExposureCalculations!Price_GHG_Allowance_2010,A34-$A$19,0)*ExposureCalculations!D31</f>
        <v>1270.6469307005696</v>
      </c>
      <c r="AB34" s="308">
        <f t="shared" ca="1" si="3"/>
        <v>0</v>
      </c>
      <c r="AC34" s="308">
        <v>0</v>
      </c>
      <c r="AD34" s="819">
        <f t="shared" ca="1" si="4"/>
        <v>4658.2217785727362</v>
      </c>
      <c r="AE34" s="308">
        <v>0</v>
      </c>
      <c r="AF34" s="819">
        <f t="shared" ca="1" si="5"/>
        <v>0</v>
      </c>
      <c r="AG34" s="308">
        <v>0</v>
      </c>
      <c r="AH34" s="308">
        <v>0</v>
      </c>
      <c r="AI34" s="308">
        <v>0</v>
      </c>
      <c r="AJ34" s="308">
        <f t="shared" ca="1" si="6"/>
        <v>4658.2217785727362</v>
      </c>
      <c r="AK34" s="309">
        <v>0</v>
      </c>
      <c r="AL34" s="309">
        <v>0</v>
      </c>
      <c r="AM34" s="309">
        <f t="shared" si="19"/>
        <v>0</v>
      </c>
      <c r="AN34" s="310">
        <v>0</v>
      </c>
      <c r="AO34" s="310">
        <f t="shared" si="24"/>
        <v>0</v>
      </c>
      <c r="AP34" s="310">
        <f t="shared" si="20"/>
        <v>0</v>
      </c>
      <c r="AQ34" s="309">
        <v>0</v>
      </c>
      <c r="AR34" s="311">
        <f t="shared" ca="1" si="7"/>
        <v>5928.8687092733053</v>
      </c>
      <c r="AS34" s="870">
        <f t="shared" ca="1" si="21"/>
        <v>10724.217283601602</v>
      </c>
      <c r="AT34" s="822"/>
      <c r="AU34" s="907"/>
      <c r="AV34" s="35"/>
      <c r="AW34" s="879"/>
      <c r="AX34" s="35"/>
      <c r="AY34" s="880"/>
    </row>
    <row r="35" spans="1:51">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2"/>
        <v>0</v>
      </c>
      <c r="K35" s="307">
        <f t="shared" ca="1" si="10"/>
        <v>158017.60803009526</v>
      </c>
      <c r="L35" s="307">
        <f t="shared" si="11"/>
        <v>0</v>
      </c>
      <c r="M35" s="307">
        <v>0</v>
      </c>
      <c r="N35" s="307">
        <f t="shared" ca="1" si="12"/>
        <v>158017.60803009526</v>
      </c>
      <c r="O35" s="306">
        <f t="shared" ca="1" si="13"/>
        <v>842195.06531331246</v>
      </c>
      <c r="P35" s="306">
        <f t="shared" si="14"/>
        <v>-390.68231228685153</v>
      </c>
      <c r="Q35" s="306">
        <f t="shared" si="23"/>
        <v>390.68231228685153</v>
      </c>
      <c r="R35" s="306">
        <f t="shared" ca="1" si="15"/>
        <v>841804.38300102565</v>
      </c>
      <c r="S35" s="818">
        <f t="shared" ca="1" si="16"/>
        <v>234363.14073630009</v>
      </c>
      <c r="T35" s="818">
        <f t="shared" si="17"/>
        <v>0</v>
      </c>
      <c r="U35" s="818">
        <v>0</v>
      </c>
      <c r="V35" s="818">
        <f t="shared" ca="1" si="18"/>
        <v>234363.14073630009</v>
      </c>
      <c r="W35" s="306">
        <f t="shared" si="1"/>
        <v>0</v>
      </c>
      <c r="X35" s="306">
        <f t="shared" ca="1" si="2"/>
        <v>-42.106365709288561</v>
      </c>
      <c r="Y35" s="306">
        <v>0</v>
      </c>
      <c r="Z35" s="306">
        <v>0</v>
      </c>
      <c r="AA35" s="308">
        <f ca="1">-SUM(W35,X35/OFFSET(GridFootprintbyYear,$A35-$A$19,0)*EF_PurchElec_MTperMWh,Z35)*OFFSET(ExposureCalculations!Price_GHG_Allowance_2010,A35-$A$19,0)*ExposureCalculations!D32</f>
        <v>1386.8770227478014</v>
      </c>
      <c r="AB35" s="308">
        <f t="shared" ca="1" si="3"/>
        <v>0</v>
      </c>
      <c r="AC35" s="308">
        <v>0</v>
      </c>
      <c r="AD35" s="819">
        <f t="shared" ca="1" si="4"/>
        <v>4681.5128874655975</v>
      </c>
      <c r="AE35" s="308">
        <v>0</v>
      </c>
      <c r="AF35" s="819">
        <f t="shared" ca="1" si="5"/>
        <v>0</v>
      </c>
      <c r="AG35" s="308">
        <v>0</v>
      </c>
      <c r="AH35" s="308">
        <v>0</v>
      </c>
      <c r="AI35" s="308">
        <v>0</v>
      </c>
      <c r="AJ35" s="308">
        <f t="shared" ca="1" si="6"/>
        <v>4681.5128874655975</v>
      </c>
      <c r="AK35" s="309">
        <v>0</v>
      </c>
      <c r="AL35" s="309">
        <v>0</v>
      </c>
      <c r="AM35" s="309">
        <f t="shared" si="19"/>
        <v>0</v>
      </c>
      <c r="AN35" s="310">
        <v>0</v>
      </c>
      <c r="AO35" s="310">
        <f t="shared" si="24"/>
        <v>0</v>
      </c>
      <c r="AP35" s="310">
        <f t="shared" si="20"/>
        <v>0</v>
      </c>
      <c r="AQ35" s="309">
        <v>0</v>
      </c>
      <c r="AR35" s="311">
        <f t="shared" ca="1" si="7"/>
        <v>6068.3899102133992</v>
      </c>
      <c r="AS35" s="870">
        <f t="shared" ca="1" si="21"/>
        <v>16792.607193815002</v>
      </c>
      <c r="AT35" s="822"/>
      <c r="AU35" s="907" t="s">
        <v>966</v>
      </c>
      <c r="AV35" s="35"/>
      <c r="AW35" s="879"/>
      <c r="AX35" s="35"/>
      <c r="AY35" s="880"/>
    </row>
    <row r="36" spans="1:51">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2"/>
        <v>0</v>
      </c>
      <c r="K36" s="307">
        <f t="shared" ca="1" si="10"/>
        <v>159594.23363094722</v>
      </c>
      <c r="L36" s="307">
        <f t="shared" si="11"/>
        <v>0</v>
      </c>
      <c r="M36" s="307">
        <v>0</v>
      </c>
      <c r="N36" s="307">
        <f t="shared" ca="1" si="12"/>
        <v>159594.23363094722</v>
      </c>
      <c r="O36" s="306">
        <f t="shared" ca="1" si="13"/>
        <v>850581.66444298776</v>
      </c>
      <c r="P36" s="306">
        <f t="shared" si="14"/>
        <v>-390.68231228685153</v>
      </c>
      <c r="Q36" s="306">
        <f t="shared" si="23"/>
        <v>390.68231228685153</v>
      </c>
      <c r="R36" s="306">
        <f t="shared" ca="1" si="15"/>
        <v>850190.98213070096</v>
      </c>
      <c r="S36" s="818">
        <f t="shared" ca="1" si="16"/>
        <v>237427.67529890378</v>
      </c>
      <c r="T36" s="818">
        <f t="shared" si="17"/>
        <v>0</v>
      </c>
      <c r="U36" s="818">
        <v>0</v>
      </c>
      <c r="V36" s="818">
        <f t="shared" ca="1" si="18"/>
        <v>237427.67529890378</v>
      </c>
      <c r="W36" s="306">
        <f t="shared" si="1"/>
        <v>0</v>
      </c>
      <c r="X36" s="306">
        <f t="shared" ca="1" si="2"/>
        <v>-42.106365709288561</v>
      </c>
      <c r="Y36" s="306">
        <v>0</v>
      </c>
      <c r="Z36" s="306">
        <v>0</v>
      </c>
      <c r="AA36" s="308">
        <f ca="1">-SUM(W36,X36/OFFSET(GridFootprintbyYear,$A36-$A$19,0)*EF_PurchElec_MTperMWh,Z36)*OFFSET(ExposureCalculations!Price_GHG_Allowance_2010,A36-$A$19,0)*ExposureCalculations!D33</f>
        <v>1506.7156347896364</v>
      </c>
      <c r="AB36" s="308">
        <f t="shared" ca="1" si="3"/>
        <v>0</v>
      </c>
      <c r="AC36" s="308">
        <v>0</v>
      </c>
      <c r="AD36" s="819">
        <f t="shared" ca="1" si="4"/>
        <v>4704.9204519029254</v>
      </c>
      <c r="AE36" s="308">
        <v>0</v>
      </c>
      <c r="AF36" s="819">
        <f t="shared" ca="1" si="5"/>
        <v>0</v>
      </c>
      <c r="AG36" s="308">
        <v>0</v>
      </c>
      <c r="AH36" s="308">
        <v>0</v>
      </c>
      <c r="AI36" s="308">
        <v>0</v>
      </c>
      <c r="AJ36" s="308">
        <f t="shared" ca="1" si="6"/>
        <v>4704.9204519029254</v>
      </c>
      <c r="AK36" s="309">
        <v>0</v>
      </c>
      <c r="AL36" s="309">
        <v>0</v>
      </c>
      <c r="AM36" s="309">
        <f t="shared" si="19"/>
        <v>0</v>
      </c>
      <c r="AN36" s="310">
        <v>0</v>
      </c>
      <c r="AO36" s="310">
        <f t="shared" si="24"/>
        <v>0</v>
      </c>
      <c r="AP36" s="310">
        <f t="shared" si="20"/>
        <v>0</v>
      </c>
      <c r="AQ36" s="309">
        <v>0</v>
      </c>
      <c r="AR36" s="311">
        <f t="shared" ca="1" si="7"/>
        <v>6211.6360866925615</v>
      </c>
      <c r="AS36" s="870">
        <f t="shared" ca="1" si="21"/>
        <v>23004.243280507562</v>
      </c>
      <c r="AT36" s="822"/>
      <c r="AU36" s="878"/>
      <c r="AV36" t="s">
        <v>838</v>
      </c>
      <c r="AW36" s="879"/>
      <c r="AX36" s="35"/>
      <c r="AY36" s="880"/>
    </row>
    <row r="37" spans="1:51">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2"/>
        <v>0</v>
      </c>
      <c r="K37" s="307">
        <f t="shared" ca="1" si="10"/>
        <v>161170.85923179929</v>
      </c>
      <c r="L37" s="307">
        <f t="shared" si="11"/>
        <v>0</v>
      </c>
      <c r="M37" s="307">
        <v>0</v>
      </c>
      <c r="N37" s="307">
        <f t="shared" ca="1" si="12"/>
        <v>161170.85923179929</v>
      </c>
      <c r="O37" s="306">
        <f t="shared" ca="1" si="13"/>
        <v>858968.26357266307</v>
      </c>
      <c r="P37" s="306">
        <f t="shared" si="14"/>
        <v>-390.68231228685153</v>
      </c>
      <c r="Q37" s="306">
        <f t="shared" si="23"/>
        <v>390.68231228685153</v>
      </c>
      <c r="R37" s="306">
        <f t="shared" ca="1" si="15"/>
        <v>858577.58126037626</v>
      </c>
      <c r="S37" s="818">
        <f t="shared" ca="1" si="16"/>
        <v>240492.20986150744</v>
      </c>
      <c r="T37" s="818">
        <f t="shared" si="17"/>
        <v>0</v>
      </c>
      <c r="U37" s="818">
        <v>0</v>
      </c>
      <c r="V37" s="818">
        <f t="shared" ca="1" si="18"/>
        <v>240492.20986150744</v>
      </c>
      <c r="W37" s="306">
        <f t="shared" si="1"/>
        <v>0</v>
      </c>
      <c r="X37" s="306">
        <f t="shared" ca="1" si="2"/>
        <v>-42.106365709288561</v>
      </c>
      <c r="Y37" s="306">
        <v>0</v>
      </c>
      <c r="Z37" s="306">
        <v>0</v>
      </c>
      <c r="AA37" s="308">
        <f ca="1">-SUM(W37,X37/OFFSET(GridFootprintbyYear,$A37-$A$19,0)*EF_PurchElec_MTperMWh,Z37)*OFFSET(ExposureCalculations!Price_GHG_Allowance_2010,A37-$A$19,0)*ExposureCalculations!D34</f>
        <v>1629.9875745697066</v>
      </c>
      <c r="AB37" s="308">
        <f t="shared" ca="1" si="3"/>
        <v>0</v>
      </c>
      <c r="AC37" s="308">
        <v>0</v>
      </c>
      <c r="AD37" s="819">
        <f t="shared" ca="1" si="4"/>
        <v>4728.4450541624392</v>
      </c>
      <c r="AE37" s="308">
        <v>0</v>
      </c>
      <c r="AF37" s="819">
        <f t="shared" ca="1" si="5"/>
        <v>0</v>
      </c>
      <c r="AG37" s="308">
        <v>0</v>
      </c>
      <c r="AH37" s="308">
        <v>0</v>
      </c>
      <c r="AI37" s="308">
        <v>0</v>
      </c>
      <c r="AJ37" s="308">
        <f t="shared" ca="1" si="6"/>
        <v>4728.4450541624392</v>
      </c>
      <c r="AK37" s="309">
        <v>0</v>
      </c>
      <c r="AL37" s="309">
        <v>0</v>
      </c>
      <c r="AM37" s="309">
        <f t="shared" si="19"/>
        <v>0</v>
      </c>
      <c r="AN37" s="310">
        <v>0</v>
      </c>
      <c r="AO37" s="310">
        <f t="shared" si="24"/>
        <v>0</v>
      </c>
      <c r="AP37" s="310">
        <f t="shared" si="20"/>
        <v>0</v>
      </c>
      <c r="AQ37" s="309">
        <v>0</v>
      </c>
      <c r="AR37" s="311">
        <f t="shared" ca="1" si="7"/>
        <v>6358.4326287321455</v>
      </c>
      <c r="AS37" s="870">
        <f t="shared" ca="1" si="21"/>
        <v>29362.675909239708</v>
      </c>
      <c r="AT37" s="822"/>
      <c r="AU37" s="920"/>
      <c r="AV37" t="s">
        <v>839</v>
      </c>
      <c r="AW37" s="879"/>
      <c r="AX37" s="35"/>
      <c r="AY37" s="880"/>
    </row>
    <row r="38" spans="1:51">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2"/>
        <v>0</v>
      </c>
      <c r="K38" s="307">
        <f t="shared" ca="1" si="10"/>
        <v>162747.48483265133</v>
      </c>
      <c r="L38" s="307">
        <f t="shared" si="11"/>
        <v>0</v>
      </c>
      <c r="M38" s="307">
        <v>0</v>
      </c>
      <c r="N38" s="307">
        <f t="shared" ca="1" si="12"/>
        <v>162747.48483265133</v>
      </c>
      <c r="O38" s="306">
        <f t="shared" ca="1" si="13"/>
        <v>867354.86270233872</v>
      </c>
      <c r="P38" s="306">
        <f t="shared" si="14"/>
        <v>-390.68231228685153</v>
      </c>
      <c r="Q38" s="306">
        <f t="shared" si="23"/>
        <v>390.68231228685153</v>
      </c>
      <c r="R38" s="306">
        <f t="shared" ca="1" si="15"/>
        <v>866964.18039005192</v>
      </c>
      <c r="S38" s="818">
        <f t="shared" ca="1" si="16"/>
        <v>243556.74442411118</v>
      </c>
      <c r="T38" s="818">
        <f t="shared" si="17"/>
        <v>0</v>
      </c>
      <c r="U38" s="818">
        <v>0</v>
      </c>
      <c r="V38" s="818">
        <f t="shared" ca="1" si="18"/>
        <v>243556.74442411118</v>
      </c>
      <c r="W38" s="306">
        <f t="shared" si="1"/>
        <v>0</v>
      </c>
      <c r="X38" s="306">
        <f t="shared" ca="1" si="2"/>
        <v>-42.106365709288561</v>
      </c>
      <c r="Y38" s="306">
        <v>0</v>
      </c>
      <c r="Z38" s="306">
        <v>0</v>
      </c>
      <c r="AA38" s="308">
        <f ca="1">-SUM(W38,X38/OFFSET(GridFootprintbyYear,$A38-$A$19,0)*EF_PurchElec_MTperMWh,Z38)*OFFSET(ExposureCalculations!Price_GHG_Allowance_2010,A38-$A$19,0)*ExposureCalculations!D35</f>
        <v>1756.5185895653899</v>
      </c>
      <c r="AB38" s="308">
        <f t="shared" ca="1" si="3"/>
        <v>0</v>
      </c>
      <c r="AC38" s="308">
        <v>0</v>
      </c>
      <c r="AD38" s="819">
        <f t="shared" ca="1" si="4"/>
        <v>4752.0872794332508</v>
      </c>
      <c r="AE38" s="308">
        <v>0</v>
      </c>
      <c r="AF38" s="819">
        <f t="shared" ca="1" si="5"/>
        <v>0</v>
      </c>
      <c r="AG38" s="308">
        <v>0</v>
      </c>
      <c r="AH38" s="308">
        <v>0</v>
      </c>
      <c r="AI38" s="308">
        <v>0</v>
      </c>
      <c r="AJ38" s="308">
        <f t="shared" ca="1" si="6"/>
        <v>4752.0872794332508</v>
      </c>
      <c r="AK38" s="309">
        <v>0</v>
      </c>
      <c r="AL38" s="309">
        <v>0</v>
      </c>
      <c r="AM38" s="309">
        <f t="shared" si="19"/>
        <v>0</v>
      </c>
      <c r="AN38" s="310">
        <v>0</v>
      </c>
      <c r="AO38" s="310">
        <f t="shared" si="24"/>
        <v>0</v>
      </c>
      <c r="AP38" s="310">
        <f t="shared" si="20"/>
        <v>0</v>
      </c>
      <c r="AQ38" s="309">
        <v>0</v>
      </c>
      <c r="AR38" s="311">
        <f t="shared" ca="1" si="7"/>
        <v>6508.6058689986403</v>
      </c>
      <c r="AS38" s="870">
        <f t="shared" ca="1" si="21"/>
        <v>35871.28177823835</v>
      </c>
      <c r="AT38" s="822"/>
      <c r="AU38" s="918"/>
      <c r="AV38" t="s">
        <v>842</v>
      </c>
      <c r="AW38" s="879"/>
      <c r="AX38" s="35"/>
      <c r="AY38" s="880"/>
    </row>
    <row r="39" spans="1:51">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2"/>
        <v>0</v>
      </c>
      <c r="K39" s="307">
        <f t="shared" ca="1" si="10"/>
        <v>164324.11043350337</v>
      </c>
      <c r="L39" s="307">
        <f t="shared" si="11"/>
        <v>0</v>
      </c>
      <c r="M39" s="307">
        <v>0</v>
      </c>
      <c r="N39" s="307">
        <f t="shared" ca="1" si="12"/>
        <v>164324.11043350337</v>
      </c>
      <c r="O39" s="306">
        <f t="shared" ca="1" si="13"/>
        <v>875741.46183201415</v>
      </c>
      <c r="P39" s="306">
        <f t="shared" si="14"/>
        <v>-390.68231228685153</v>
      </c>
      <c r="Q39" s="306">
        <f t="shared" si="23"/>
        <v>390.68231228685153</v>
      </c>
      <c r="R39" s="306">
        <f t="shared" ca="1" si="15"/>
        <v>875350.77951972734</v>
      </c>
      <c r="S39" s="818">
        <f t="shared" ca="1" si="16"/>
        <v>246621.27898671487</v>
      </c>
      <c r="T39" s="818">
        <f t="shared" si="17"/>
        <v>0</v>
      </c>
      <c r="U39" s="818">
        <v>0</v>
      </c>
      <c r="V39" s="818">
        <f t="shared" ca="1" si="18"/>
        <v>246621.27898671487</v>
      </c>
      <c r="W39" s="306">
        <f t="shared" si="1"/>
        <v>0</v>
      </c>
      <c r="X39" s="306">
        <f t="shared" ca="1" si="2"/>
        <v>-42.106365709288561</v>
      </c>
      <c r="Y39" s="306">
        <v>0</v>
      </c>
      <c r="Z39" s="306">
        <v>0</v>
      </c>
      <c r="AA39" s="308">
        <f ca="1">-SUM(W39,X39/OFFSET(GridFootprintbyYear,$A39-$A$19,0)*EF_PurchElec_MTperMWh,Z39)*OFFSET(ExposureCalculations!Price_GHG_Allowance_2010,A39-$A$19,0)*ExposureCalculations!D36</f>
        <v>1886.1353491898158</v>
      </c>
      <c r="AB39" s="308">
        <f t="shared" ca="1" si="3"/>
        <v>0</v>
      </c>
      <c r="AC39" s="308">
        <v>0</v>
      </c>
      <c r="AD39" s="819">
        <f t="shared" ca="1" si="4"/>
        <v>4775.8477158304167</v>
      </c>
      <c r="AE39" s="308">
        <v>0</v>
      </c>
      <c r="AF39" s="819">
        <f t="shared" ca="1" si="5"/>
        <v>0</v>
      </c>
      <c r="AG39" s="308">
        <v>0</v>
      </c>
      <c r="AH39" s="308">
        <v>0</v>
      </c>
      <c r="AI39" s="308">
        <v>0</v>
      </c>
      <c r="AJ39" s="308">
        <f t="shared" ca="1" si="6"/>
        <v>4775.8477158304167</v>
      </c>
      <c r="AK39" s="309">
        <v>0</v>
      </c>
      <c r="AL39" s="309">
        <v>0</v>
      </c>
      <c r="AM39" s="309">
        <f t="shared" si="19"/>
        <v>0</v>
      </c>
      <c r="AN39" s="310">
        <v>0</v>
      </c>
      <c r="AO39" s="310">
        <f t="shared" si="24"/>
        <v>0</v>
      </c>
      <c r="AP39" s="310">
        <f t="shared" si="20"/>
        <v>0</v>
      </c>
      <c r="AQ39" s="309">
        <v>0</v>
      </c>
      <c r="AR39" s="311">
        <f t="shared" ca="1" si="7"/>
        <v>6661.983065020233</v>
      </c>
      <c r="AS39" s="870">
        <f t="shared" ca="1" si="21"/>
        <v>42533.264843258585</v>
      </c>
      <c r="AT39" s="822"/>
      <c r="AU39" s="918"/>
      <c r="AV39" t="s">
        <v>840</v>
      </c>
      <c r="AW39" s="879"/>
      <c r="AX39" s="35"/>
      <c r="AY39" s="880"/>
    </row>
    <row r="40" spans="1:51">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2"/>
        <v>0</v>
      </c>
      <c r="K40" s="307">
        <f t="shared" ca="1" si="10"/>
        <v>165900.73603435536</v>
      </c>
      <c r="L40" s="307">
        <f t="shared" si="11"/>
        <v>0</v>
      </c>
      <c r="M40" s="307">
        <v>0</v>
      </c>
      <c r="N40" s="307">
        <f t="shared" ca="1" si="12"/>
        <v>165900.73603435536</v>
      </c>
      <c r="O40" s="306">
        <f t="shared" ca="1" si="13"/>
        <v>884128.06096168945</v>
      </c>
      <c r="P40" s="306">
        <f t="shared" si="14"/>
        <v>-390.68231228685153</v>
      </c>
      <c r="Q40" s="306">
        <f t="shared" si="23"/>
        <v>390.68231228685153</v>
      </c>
      <c r="R40" s="306">
        <f t="shared" ca="1" si="15"/>
        <v>883737.37864940264</v>
      </c>
      <c r="S40" s="818">
        <f t="shared" ca="1" si="16"/>
        <v>249685.81354931853</v>
      </c>
      <c r="T40" s="818">
        <f t="shared" si="17"/>
        <v>0</v>
      </c>
      <c r="U40" s="818">
        <v>0</v>
      </c>
      <c r="V40" s="818">
        <f t="shared" ca="1" si="18"/>
        <v>249685.81354931853</v>
      </c>
      <c r="W40" s="306">
        <f t="shared" si="1"/>
        <v>0</v>
      </c>
      <c r="X40" s="306">
        <f t="shared" ca="1" si="2"/>
        <v>-42.106365709288561</v>
      </c>
      <c r="Y40" s="306">
        <v>0</v>
      </c>
      <c r="Z40" s="306">
        <v>0</v>
      </c>
      <c r="AA40" s="308">
        <f ca="1">-SUM(W40,X40/OFFSET(GridFootprintbyYear,$A40-$A$19,0)*EF_PurchElec_MTperMWh,Z40)*OFFSET(ExposureCalculations!Price_GHG_Allowance_2010,A40-$A$19,0)*ExposureCalculations!D37</f>
        <v>2034.5589998571897</v>
      </c>
      <c r="AB40" s="308">
        <f t="shared" ca="1" si="3"/>
        <v>0</v>
      </c>
      <c r="AC40" s="308">
        <v>0</v>
      </c>
      <c r="AD40" s="819">
        <f t="shared" ca="1" si="4"/>
        <v>4799.726954409568</v>
      </c>
      <c r="AE40" s="308">
        <v>0</v>
      </c>
      <c r="AF40" s="819">
        <f t="shared" ca="1" si="5"/>
        <v>0</v>
      </c>
      <c r="AG40" s="308">
        <v>0</v>
      </c>
      <c r="AH40" s="308">
        <v>0</v>
      </c>
      <c r="AI40" s="308">
        <v>0</v>
      </c>
      <c r="AJ40" s="308">
        <f t="shared" ca="1" si="6"/>
        <v>4799.726954409568</v>
      </c>
      <c r="AK40" s="309">
        <v>0</v>
      </c>
      <c r="AL40" s="309">
        <v>0</v>
      </c>
      <c r="AM40" s="309">
        <f t="shared" si="19"/>
        <v>0</v>
      </c>
      <c r="AN40" s="310">
        <v>0</v>
      </c>
      <c r="AO40" s="310">
        <f t="shared" si="24"/>
        <v>0</v>
      </c>
      <c r="AP40" s="310">
        <f t="shared" si="20"/>
        <v>0</v>
      </c>
      <c r="AQ40" s="309">
        <v>0</v>
      </c>
      <c r="AR40" s="311">
        <f t="shared" ca="1" si="7"/>
        <v>6834.2859542667575</v>
      </c>
      <c r="AS40" s="870">
        <f t="shared" ca="1" si="21"/>
        <v>49367.550797525342</v>
      </c>
      <c r="AT40" s="822"/>
      <c r="AU40" s="918">
        <f>BC18</f>
        <v>275</v>
      </c>
      <c r="AV40" t="s">
        <v>1049</v>
      </c>
      <c r="AW40" s="879"/>
      <c r="AX40" s="35"/>
      <c r="AY40" s="880"/>
    </row>
    <row r="41" spans="1:51">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2"/>
        <v>0</v>
      </c>
      <c r="K41" s="307">
        <f t="shared" ca="1" si="10"/>
        <v>167477.3616352074</v>
      </c>
      <c r="L41" s="307">
        <f t="shared" si="11"/>
        <v>0</v>
      </c>
      <c r="M41" s="307">
        <v>0</v>
      </c>
      <c r="N41" s="307">
        <f t="shared" ca="1" si="12"/>
        <v>167477.3616352074</v>
      </c>
      <c r="O41" s="306">
        <f t="shared" ca="1" si="13"/>
        <v>892514.66009136476</v>
      </c>
      <c r="P41" s="306">
        <f t="shared" si="14"/>
        <v>-390.68231228685153</v>
      </c>
      <c r="Q41" s="306">
        <f t="shared" si="23"/>
        <v>390.68231228685153</v>
      </c>
      <c r="R41" s="306">
        <f t="shared" ca="1" si="15"/>
        <v>892123.97777907795</v>
      </c>
      <c r="S41" s="818">
        <f t="shared" ca="1" si="16"/>
        <v>252750.34811192221</v>
      </c>
      <c r="T41" s="818">
        <f t="shared" si="17"/>
        <v>0</v>
      </c>
      <c r="U41" s="818">
        <v>0</v>
      </c>
      <c r="V41" s="818">
        <f t="shared" ca="1" si="18"/>
        <v>252750.34811192221</v>
      </c>
      <c r="W41" s="306">
        <f t="shared" si="1"/>
        <v>0</v>
      </c>
      <c r="X41" s="306">
        <f t="shared" ca="1" si="2"/>
        <v>-42.106365709288561</v>
      </c>
      <c r="Y41" s="306">
        <v>0</v>
      </c>
      <c r="Z41" s="306">
        <v>0</v>
      </c>
      <c r="AA41" s="308">
        <f ca="1">-SUM(W41,X41/OFFSET(GridFootprintbyYear,$A41-$A$19,0)*EF_PurchElec_MTperMWh,Z41)*OFFSET(ExposureCalculations!Price_GHG_Allowance_2010,A41-$A$19,0)*ExposureCalculations!D38</f>
        <v>2186.615950004149</v>
      </c>
      <c r="AB41" s="308">
        <f t="shared" ca="1" si="3"/>
        <v>0</v>
      </c>
      <c r="AC41" s="308">
        <v>0</v>
      </c>
      <c r="AD41" s="819">
        <f t="shared" ca="1" si="4"/>
        <v>4823.7255891816149</v>
      </c>
      <c r="AE41" s="308">
        <v>0</v>
      </c>
      <c r="AF41" s="819">
        <f t="shared" ca="1" si="5"/>
        <v>0</v>
      </c>
      <c r="AG41" s="308">
        <v>0</v>
      </c>
      <c r="AH41" s="308">
        <v>0</v>
      </c>
      <c r="AI41" s="308">
        <v>0</v>
      </c>
      <c r="AJ41" s="308">
        <f t="shared" ca="1" si="6"/>
        <v>4823.7255891816149</v>
      </c>
      <c r="AK41" s="309">
        <v>0</v>
      </c>
      <c r="AL41" s="309">
        <v>0</v>
      </c>
      <c r="AM41" s="309">
        <f t="shared" si="19"/>
        <v>0</v>
      </c>
      <c r="AN41" s="310">
        <v>0</v>
      </c>
      <c r="AO41" s="310">
        <f t="shared" si="24"/>
        <v>0</v>
      </c>
      <c r="AP41" s="310">
        <f t="shared" si="20"/>
        <v>0</v>
      </c>
      <c r="AQ41" s="309">
        <v>0</v>
      </c>
      <c r="AR41" s="311">
        <f t="shared" ca="1" si="7"/>
        <v>7010.3415391857634</v>
      </c>
      <c r="AS41" s="870">
        <f t="shared" ca="1" si="21"/>
        <v>56377.892336711106</v>
      </c>
      <c r="AT41" s="822"/>
      <c r="AU41" s="918">
        <f>BD18</f>
        <v>94</v>
      </c>
      <c r="AV41" t="s">
        <v>841</v>
      </c>
      <c r="AW41" s="879"/>
      <c r="AX41" s="35"/>
      <c r="AY41" s="880"/>
    </row>
    <row r="42" spans="1:51">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2"/>
        <v>0</v>
      </c>
      <c r="K42" s="307">
        <f t="shared" ca="1" si="10"/>
        <v>169053.98723605942</v>
      </c>
      <c r="L42" s="307">
        <f t="shared" si="11"/>
        <v>0</v>
      </c>
      <c r="M42" s="307">
        <v>0</v>
      </c>
      <c r="N42" s="307">
        <f t="shared" ca="1" si="12"/>
        <v>169053.98723605942</v>
      </c>
      <c r="O42" s="306">
        <f t="shared" ca="1" si="13"/>
        <v>900901.25922104018</v>
      </c>
      <c r="P42" s="306">
        <f t="shared" si="14"/>
        <v>-390.68231228685153</v>
      </c>
      <c r="Q42" s="306">
        <f t="shared" si="23"/>
        <v>390.68231228685153</v>
      </c>
      <c r="R42" s="306">
        <f t="shared" ca="1" si="15"/>
        <v>900510.57690875337</v>
      </c>
      <c r="S42" s="818">
        <f t="shared" ca="1" si="16"/>
        <v>255814.8826745259</v>
      </c>
      <c r="T42" s="818">
        <f t="shared" si="17"/>
        <v>0</v>
      </c>
      <c r="U42" s="818">
        <v>0</v>
      </c>
      <c r="V42" s="818">
        <f t="shared" ca="1" si="18"/>
        <v>255814.8826745259</v>
      </c>
      <c r="W42" s="306">
        <f t="shared" si="1"/>
        <v>0</v>
      </c>
      <c r="X42" s="306">
        <f t="shared" ca="1" si="2"/>
        <v>-42.106365709288561</v>
      </c>
      <c r="Y42" s="306">
        <v>0</v>
      </c>
      <c r="Z42" s="306">
        <v>0</v>
      </c>
      <c r="AA42" s="308">
        <f ca="1">-SUM(W42,X42/OFFSET(GridFootprintbyYear,$A42-$A$19,0)*EF_PurchElec_MTperMWh,Z42)*OFFSET(ExposureCalculations!Price_GHG_Allowance_2010,A42-$A$19,0)*ExposureCalculations!D39</f>
        <v>2322.9258836745475</v>
      </c>
      <c r="AB42" s="308">
        <f t="shared" ca="1" si="3"/>
        <v>0</v>
      </c>
      <c r="AC42" s="308">
        <v>0</v>
      </c>
      <c r="AD42" s="819">
        <f t="shared" ca="1" si="4"/>
        <v>4847.8442171275219</v>
      </c>
      <c r="AE42" s="308">
        <v>0</v>
      </c>
      <c r="AF42" s="819">
        <f t="shared" ca="1" si="5"/>
        <v>0</v>
      </c>
      <c r="AG42" s="308">
        <v>0</v>
      </c>
      <c r="AH42" s="308">
        <v>0</v>
      </c>
      <c r="AI42" s="308">
        <v>0</v>
      </c>
      <c r="AJ42" s="308">
        <f t="shared" ca="1" si="6"/>
        <v>4847.8442171275219</v>
      </c>
      <c r="AK42" s="309">
        <v>0</v>
      </c>
      <c r="AL42" s="309">
        <v>0</v>
      </c>
      <c r="AM42" s="309">
        <f t="shared" si="19"/>
        <v>0</v>
      </c>
      <c r="AN42" s="310">
        <v>0</v>
      </c>
      <c r="AO42" s="310">
        <f t="shared" si="24"/>
        <v>0</v>
      </c>
      <c r="AP42" s="310">
        <f t="shared" si="20"/>
        <v>0</v>
      </c>
      <c r="AQ42" s="309">
        <v>0</v>
      </c>
      <c r="AR42" s="311">
        <f t="shared" ca="1" si="7"/>
        <v>7170.7701008020695</v>
      </c>
      <c r="AS42" s="870">
        <f t="shared" ca="1" si="21"/>
        <v>63548.662437513172</v>
      </c>
      <c r="AT42" s="822"/>
      <c r="AU42" s="878"/>
      <c r="AW42" s="879"/>
      <c r="AX42" s="35"/>
      <c r="AY42" s="880"/>
    </row>
    <row r="43" spans="1:51">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2"/>
        <v>0</v>
      </c>
      <c r="K43" s="307">
        <f t="shared" ca="1" si="10"/>
        <v>170630.61283691146</v>
      </c>
      <c r="L43" s="307">
        <f t="shared" si="11"/>
        <v>0</v>
      </c>
      <c r="M43" s="307">
        <v>0</v>
      </c>
      <c r="N43" s="307">
        <f t="shared" ca="1" si="12"/>
        <v>170630.61283691146</v>
      </c>
      <c r="O43" s="306">
        <f t="shared" ca="1" si="13"/>
        <v>909287.85835071537</v>
      </c>
      <c r="P43" s="306">
        <f t="shared" si="14"/>
        <v>-390.68231228685153</v>
      </c>
      <c r="Q43" s="306">
        <f t="shared" si="23"/>
        <v>390.68231228685153</v>
      </c>
      <c r="R43" s="306">
        <f t="shared" ca="1" si="15"/>
        <v>908897.17603842856</v>
      </c>
      <c r="S43" s="818">
        <f t="shared" ca="1" si="16"/>
        <v>258879.41723712959</v>
      </c>
      <c r="T43" s="818">
        <f t="shared" si="17"/>
        <v>0</v>
      </c>
      <c r="U43" s="818">
        <v>0</v>
      </c>
      <c r="V43" s="818">
        <f t="shared" ca="1" si="18"/>
        <v>258879.41723712959</v>
      </c>
      <c r="W43" s="306">
        <f t="shared" si="1"/>
        <v>0</v>
      </c>
      <c r="X43" s="306">
        <f t="shared" ca="1" si="2"/>
        <v>-42.106365709288561</v>
      </c>
      <c r="Y43" s="306">
        <v>0</v>
      </c>
      <c r="Z43" s="306">
        <v>0</v>
      </c>
      <c r="AA43" s="308">
        <f ca="1">-SUM(W43,X43/OFFSET(GridFootprintbyYear,$A43-$A$19,0)*EF_PurchElec_MTperMWh,Z43)*OFFSET(ExposureCalculations!Price_GHG_Allowance_2010,A43-$A$19,0)*ExposureCalculations!D40</f>
        <v>2442.7156855135895</v>
      </c>
      <c r="AB43" s="308">
        <f t="shared" ca="1" si="3"/>
        <v>0</v>
      </c>
      <c r="AC43" s="308">
        <v>0</v>
      </c>
      <c r="AD43" s="819">
        <f t="shared" ca="1" si="4"/>
        <v>4872.0834382131607</v>
      </c>
      <c r="AE43" s="308">
        <v>0</v>
      </c>
      <c r="AF43" s="819">
        <f t="shared" ca="1" si="5"/>
        <v>0</v>
      </c>
      <c r="AG43" s="308">
        <v>0</v>
      </c>
      <c r="AH43" s="308">
        <v>0</v>
      </c>
      <c r="AI43" s="308">
        <v>0</v>
      </c>
      <c r="AJ43" s="308">
        <f t="shared" ca="1" si="6"/>
        <v>4872.0834382131607</v>
      </c>
      <c r="AK43" s="309">
        <v>0</v>
      </c>
      <c r="AL43" s="309">
        <v>0</v>
      </c>
      <c r="AM43" s="309">
        <f t="shared" si="19"/>
        <v>0</v>
      </c>
      <c r="AN43" s="310">
        <v>0</v>
      </c>
      <c r="AO43" s="310">
        <f t="shared" si="24"/>
        <v>0</v>
      </c>
      <c r="AP43" s="310">
        <f t="shared" si="20"/>
        <v>0</v>
      </c>
      <c r="AQ43" s="309">
        <v>0</v>
      </c>
      <c r="AR43" s="311">
        <f t="shared" ca="1" si="7"/>
        <v>7314.7991237267506</v>
      </c>
      <c r="AS43" s="870">
        <f t="shared" ca="1" si="21"/>
        <v>70863.461561239921</v>
      </c>
      <c r="AT43" s="822"/>
      <c r="AU43" s="878"/>
      <c r="AW43" s="879"/>
      <c r="AX43" s="35"/>
      <c r="AY43" s="880"/>
    </row>
    <row r="44" spans="1:51">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2"/>
        <v>0</v>
      </c>
      <c r="K44" s="307">
        <f t="shared" ca="1" si="10"/>
        <v>172207.23843776347</v>
      </c>
      <c r="L44" s="307">
        <f t="shared" si="11"/>
        <v>0</v>
      </c>
      <c r="M44" s="307">
        <v>0</v>
      </c>
      <c r="N44" s="307">
        <f t="shared" ca="1" si="12"/>
        <v>172207.23843776347</v>
      </c>
      <c r="O44" s="306">
        <f t="shared" ca="1" si="13"/>
        <v>917674.45748039079</v>
      </c>
      <c r="P44" s="306">
        <f t="shared" si="14"/>
        <v>-390.68231228685153</v>
      </c>
      <c r="Q44" s="306">
        <f t="shared" si="23"/>
        <v>390.68231228685153</v>
      </c>
      <c r="R44" s="306">
        <f t="shared" ca="1" si="15"/>
        <v>917283.77516810398</v>
      </c>
      <c r="S44" s="818">
        <f t="shared" ca="1" si="16"/>
        <v>261943.95179973327</v>
      </c>
      <c r="T44" s="818">
        <f t="shared" si="17"/>
        <v>0</v>
      </c>
      <c r="U44" s="818">
        <v>0</v>
      </c>
      <c r="V44" s="818">
        <f t="shared" ca="1" si="18"/>
        <v>261943.95179973327</v>
      </c>
      <c r="W44" s="306">
        <f t="shared" si="1"/>
        <v>0</v>
      </c>
      <c r="X44" s="306">
        <f t="shared" ca="1" si="2"/>
        <v>-42.106365709288561</v>
      </c>
      <c r="Y44" s="306">
        <v>0</v>
      </c>
      <c r="Z44" s="306">
        <v>0</v>
      </c>
      <c r="AA44" s="308">
        <f ca="1">-SUM(W44,X44/OFFSET(GridFootprintbyYear,$A44-$A$19,0)*EF_PurchElec_MTperMWh,Z44)*OFFSET(ExposureCalculations!Price_GHG_Allowance_2010,A44-$A$19,0)*ExposureCalculations!D41</f>
        <v>2564.9651166755443</v>
      </c>
      <c r="AB44" s="308">
        <f t="shared" ca="1" si="3"/>
        <v>0</v>
      </c>
      <c r="AC44" s="308">
        <v>0</v>
      </c>
      <c r="AD44" s="819">
        <f t="shared" ca="1" si="4"/>
        <v>4896.4438554042254</v>
      </c>
      <c r="AE44" s="308">
        <v>0</v>
      </c>
      <c r="AF44" s="819">
        <f t="shared" ca="1" si="5"/>
        <v>0</v>
      </c>
      <c r="AG44" s="308">
        <v>0</v>
      </c>
      <c r="AH44" s="308">
        <v>0</v>
      </c>
      <c r="AI44" s="308">
        <v>0</v>
      </c>
      <c r="AJ44" s="308">
        <f t="shared" ca="1" si="6"/>
        <v>4896.4438554042254</v>
      </c>
      <c r="AK44" s="309">
        <v>0</v>
      </c>
      <c r="AL44" s="309">
        <v>0</v>
      </c>
      <c r="AM44" s="309">
        <f t="shared" si="19"/>
        <v>0</v>
      </c>
      <c r="AN44" s="310">
        <v>0</v>
      </c>
      <c r="AO44" s="310">
        <f t="shared" si="24"/>
        <v>0</v>
      </c>
      <c r="AP44" s="310">
        <f t="shared" si="20"/>
        <v>0</v>
      </c>
      <c r="AQ44" s="309">
        <v>0</v>
      </c>
      <c r="AR44" s="311">
        <f t="shared" ca="1" si="7"/>
        <v>7461.4089720797692</v>
      </c>
      <c r="AS44" s="870">
        <f t="shared" ca="1" si="21"/>
        <v>78324.870533319685</v>
      </c>
      <c r="AT44" s="822"/>
      <c r="AU44" s="899">
        <f>BJ18</f>
        <v>5000</v>
      </c>
      <c r="AV44" s="123" t="str">
        <f>AU38&amp;" "&amp;AV38</f>
        <v xml:space="preserve"> Gallon storage Tank</v>
      </c>
      <c r="AW44" s="879"/>
      <c r="AX44" s="35"/>
      <c r="AY44" s="880"/>
    </row>
    <row r="45" spans="1:51">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2"/>
        <v>0</v>
      </c>
      <c r="K45" s="307">
        <f t="shared" ca="1" si="10"/>
        <v>173783.86403861555</v>
      </c>
      <c r="L45" s="307">
        <f t="shared" si="11"/>
        <v>0</v>
      </c>
      <c r="M45" s="307">
        <v>0</v>
      </c>
      <c r="N45" s="307">
        <f t="shared" ca="1" si="12"/>
        <v>173783.86403861555</v>
      </c>
      <c r="O45" s="306">
        <f t="shared" ca="1" si="13"/>
        <v>926061.05661006644</v>
      </c>
      <c r="P45" s="306">
        <f t="shared" si="14"/>
        <v>-390.68231228685153</v>
      </c>
      <c r="Q45" s="306">
        <f t="shared" si="23"/>
        <v>390.68231228685153</v>
      </c>
      <c r="R45" s="306">
        <f t="shared" ca="1" si="15"/>
        <v>925670.37429777964</v>
      </c>
      <c r="S45" s="818">
        <f t="shared" ca="1" si="16"/>
        <v>265008.48636233702</v>
      </c>
      <c r="T45" s="818">
        <f t="shared" si="17"/>
        <v>0</v>
      </c>
      <c r="U45" s="818">
        <v>0</v>
      </c>
      <c r="V45" s="818">
        <f t="shared" ca="1" si="18"/>
        <v>265008.48636233702</v>
      </c>
      <c r="W45" s="306">
        <f t="shared" si="1"/>
        <v>0</v>
      </c>
      <c r="X45" s="306">
        <f t="shared" ca="1" si="2"/>
        <v>-42.106365709288561</v>
      </c>
      <c r="Y45" s="306">
        <v>0</v>
      </c>
      <c r="Z45" s="306">
        <v>0</v>
      </c>
      <c r="AA45" s="308">
        <f ca="1">-SUM(W45,X45/OFFSET(GridFootprintbyYear,$A45-$A$19,0)*EF_PurchElec_MTperMWh,Z45)*OFFSET(ExposureCalculations!Price_GHG_Allowance_2010,A45-$A$19,0)*ExposureCalculations!D42</f>
        <v>2707.9934914759033</v>
      </c>
      <c r="AB45" s="308">
        <f t="shared" ca="1" si="3"/>
        <v>0</v>
      </c>
      <c r="AC45" s="308">
        <v>0</v>
      </c>
      <c r="AD45" s="819">
        <f t="shared" ca="1" si="4"/>
        <v>4920.9260746812452</v>
      </c>
      <c r="AE45" s="308">
        <v>0</v>
      </c>
      <c r="AF45" s="819">
        <f t="shared" ca="1" si="5"/>
        <v>0</v>
      </c>
      <c r="AG45" s="308">
        <v>0</v>
      </c>
      <c r="AH45" s="308">
        <v>0</v>
      </c>
      <c r="AI45" s="308">
        <v>0</v>
      </c>
      <c r="AJ45" s="308">
        <f t="shared" ca="1" si="6"/>
        <v>4920.9260746812452</v>
      </c>
      <c r="AK45" s="309">
        <v>0</v>
      </c>
      <c r="AL45" s="309">
        <f>AL20</f>
        <v>-61400</v>
      </c>
      <c r="AM45" s="309">
        <f t="shared" si="19"/>
        <v>-61400</v>
      </c>
      <c r="AN45" s="310">
        <v>0</v>
      </c>
      <c r="AO45" s="310">
        <f t="shared" si="24"/>
        <v>0</v>
      </c>
      <c r="AP45" s="310">
        <f t="shared" si="20"/>
        <v>0</v>
      </c>
      <c r="AQ45" s="309">
        <v>0</v>
      </c>
      <c r="AR45" s="311">
        <f t="shared" ca="1" si="7"/>
        <v>-53771.08043384285</v>
      </c>
      <c r="AS45" s="870">
        <f t="shared" ca="1" si="21"/>
        <v>24553.790099476835</v>
      </c>
      <c r="AT45" s="822"/>
      <c r="AU45" s="899">
        <f>BH18</f>
        <v>600</v>
      </c>
      <c r="AV45" t="s">
        <v>843</v>
      </c>
      <c r="AW45" s="879"/>
      <c r="AX45" s="35"/>
      <c r="AY45" s="880"/>
    </row>
    <row r="46" spans="1:51">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2"/>
        <v>0</v>
      </c>
      <c r="K46" s="307">
        <f t="shared" ca="1" si="10"/>
        <v>175360.48963946756</v>
      </c>
      <c r="L46" s="307">
        <f t="shared" si="11"/>
        <v>0</v>
      </c>
      <c r="M46" s="307">
        <v>0</v>
      </c>
      <c r="N46" s="307">
        <f t="shared" ca="1" si="12"/>
        <v>175360.48963946756</v>
      </c>
      <c r="O46" s="306">
        <f t="shared" ca="1" si="13"/>
        <v>934447.65573974175</v>
      </c>
      <c r="P46" s="306">
        <f t="shared" si="14"/>
        <v>-390.68231228685153</v>
      </c>
      <c r="Q46" s="306">
        <f t="shared" si="23"/>
        <v>390.68231228685153</v>
      </c>
      <c r="R46" s="306">
        <f t="shared" ca="1" si="15"/>
        <v>934056.97342745494</v>
      </c>
      <c r="S46" s="818">
        <f t="shared" ca="1" si="16"/>
        <v>268073.02092494071</v>
      </c>
      <c r="T46" s="818">
        <f t="shared" si="17"/>
        <v>0</v>
      </c>
      <c r="U46" s="818">
        <v>0</v>
      </c>
      <c r="V46" s="818">
        <f t="shared" ca="1" si="18"/>
        <v>268073.02092494071</v>
      </c>
      <c r="W46" s="306">
        <f t="shared" si="1"/>
        <v>0</v>
      </c>
      <c r="X46" s="306">
        <f t="shared" ca="1" si="2"/>
        <v>-42.106365709288561</v>
      </c>
      <c r="Y46" s="306">
        <v>0</v>
      </c>
      <c r="Z46" s="306">
        <v>0</v>
      </c>
      <c r="AA46" s="308">
        <f ca="1">-SUM(W46,X46/OFFSET(GridFootprintbyYear,$A46-$A$19,0)*EF_PurchElec_MTperMWh,Z46)*OFFSET(ExposureCalculations!Price_GHG_Allowance_2010,A46-$A$19,0)*ExposureCalculations!D43</f>
        <v>2850.4001560202855</v>
      </c>
      <c r="AB46" s="308">
        <f t="shared" ca="1" si="3"/>
        <v>0</v>
      </c>
      <c r="AC46" s="308">
        <v>0</v>
      </c>
      <c r="AD46" s="819">
        <f t="shared" ca="1" si="4"/>
        <v>4945.5307050546508</v>
      </c>
      <c r="AE46" s="308">
        <v>0</v>
      </c>
      <c r="AF46" s="819">
        <f t="shared" ca="1" si="5"/>
        <v>0</v>
      </c>
      <c r="AG46" s="308">
        <v>0</v>
      </c>
      <c r="AH46" s="308">
        <v>0</v>
      </c>
      <c r="AI46" s="308">
        <v>0</v>
      </c>
      <c r="AJ46" s="308">
        <f t="shared" ca="1" si="6"/>
        <v>4945.5307050546508</v>
      </c>
      <c r="AK46" s="309">
        <v>0</v>
      </c>
      <c r="AL46" s="309">
        <v>0</v>
      </c>
      <c r="AM46" s="309">
        <f t="shared" si="19"/>
        <v>0</v>
      </c>
      <c r="AN46" s="310">
        <v>0</v>
      </c>
      <c r="AO46" s="310">
        <f t="shared" si="24"/>
        <v>0</v>
      </c>
      <c r="AP46" s="310">
        <f t="shared" si="20"/>
        <v>0</v>
      </c>
      <c r="AQ46" s="309">
        <v>0</v>
      </c>
      <c r="AR46" s="311">
        <f t="shared" ca="1" si="7"/>
        <v>7795.9308610749358</v>
      </c>
      <c r="AS46" s="870">
        <f t="shared" ca="1" si="21"/>
        <v>32349.720960551771</v>
      </c>
      <c r="AT46" s="822"/>
      <c r="AU46" s="917">
        <f>AU41*AU45+AU44</f>
        <v>61400</v>
      </c>
      <c r="AV46" t="s">
        <v>844</v>
      </c>
      <c r="AW46" s="879"/>
      <c r="AX46" s="35"/>
      <c r="AY46" s="880"/>
    </row>
    <row r="47" spans="1:51">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2"/>
        <v>0</v>
      </c>
      <c r="K47" s="307">
        <f t="shared" ca="1" si="10"/>
        <v>176937.1152403196</v>
      </c>
      <c r="L47" s="307">
        <f t="shared" si="11"/>
        <v>0</v>
      </c>
      <c r="M47" s="307">
        <v>0</v>
      </c>
      <c r="N47" s="307">
        <f t="shared" ca="1" si="12"/>
        <v>176937.1152403196</v>
      </c>
      <c r="O47" s="306">
        <f t="shared" ca="1" si="13"/>
        <v>942834.25486941705</v>
      </c>
      <c r="P47" s="306">
        <f t="shared" si="14"/>
        <v>-390.68231228685153</v>
      </c>
      <c r="Q47" s="306">
        <f t="shared" si="23"/>
        <v>390.68231228685153</v>
      </c>
      <c r="R47" s="306">
        <f t="shared" ca="1" si="15"/>
        <v>942443.57255713025</v>
      </c>
      <c r="S47" s="818">
        <f t="shared" ca="1" si="16"/>
        <v>271137.55548754439</v>
      </c>
      <c r="T47" s="818">
        <f t="shared" si="17"/>
        <v>0</v>
      </c>
      <c r="U47" s="818">
        <v>0</v>
      </c>
      <c r="V47" s="818">
        <f t="shared" ca="1" si="18"/>
        <v>271137.55548754439</v>
      </c>
      <c r="W47" s="306">
        <f t="shared" si="1"/>
        <v>0</v>
      </c>
      <c r="X47" s="306">
        <f t="shared" ca="1" si="2"/>
        <v>-42.106365709288561</v>
      </c>
      <c r="Y47" s="306">
        <v>0</v>
      </c>
      <c r="Z47" s="306">
        <v>0</v>
      </c>
      <c r="AA47" s="308">
        <f ca="1">-SUM(W47,X47/OFFSET(GridFootprintbyYear,$A47-$A$19,0)*EF_PurchElec_MTperMWh,Z47)*OFFSET(ExposureCalculations!Price_GHG_Allowance_2010,A47-$A$19,0)*ExposureCalculations!D44</f>
        <v>2991.8077102799457</v>
      </c>
      <c r="AB47" s="308">
        <f t="shared" ca="1" si="3"/>
        <v>0</v>
      </c>
      <c r="AC47" s="308">
        <v>0</v>
      </c>
      <c r="AD47" s="819">
        <f t="shared" ca="1" si="4"/>
        <v>4970.2583585799221</v>
      </c>
      <c r="AE47" s="308">
        <v>0</v>
      </c>
      <c r="AF47" s="819">
        <f t="shared" ca="1" si="5"/>
        <v>0</v>
      </c>
      <c r="AG47" s="308">
        <v>0</v>
      </c>
      <c r="AH47" s="308">
        <v>0</v>
      </c>
      <c r="AI47" s="308">
        <v>0</v>
      </c>
      <c r="AJ47" s="308">
        <f t="shared" ca="1" si="6"/>
        <v>4970.2583585799221</v>
      </c>
      <c r="AK47" s="309">
        <v>0</v>
      </c>
      <c r="AL47" s="309">
        <v>0</v>
      </c>
      <c r="AM47" s="309">
        <f t="shared" si="19"/>
        <v>0</v>
      </c>
      <c r="AN47" s="310">
        <v>0</v>
      </c>
      <c r="AO47" s="310">
        <f t="shared" si="24"/>
        <v>0</v>
      </c>
      <c r="AP47" s="310">
        <f t="shared" si="20"/>
        <v>0</v>
      </c>
      <c r="AQ47" s="309">
        <v>0</v>
      </c>
      <c r="AR47" s="311">
        <f t="shared" ca="1" si="7"/>
        <v>7962.0660688598673</v>
      </c>
      <c r="AS47" s="870">
        <f t="shared" ca="1" si="21"/>
        <v>40311.787029411636</v>
      </c>
      <c r="AT47" s="822"/>
      <c r="AU47" s="878"/>
      <c r="AV47" s="35"/>
      <c r="AW47" s="879"/>
      <c r="AX47" s="35"/>
      <c r="AY47" s="880"/>
    </row>
    <row r="48" spans="1:51">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2"/>
        <v>0</v>
      </c>
      <c r="K48" s="307">
        <f t="shared" ca="1" si="10"/>
        <v>178513.74084117162</v>
      </c>
      <c r="L48" s="307">
        <f t="shared" si="11"/>
        <v>0</v>
      </c>
      <c r="M48" s="307">
        <v>0</v>
      </c>
      <c r="N48" s="307">
        <f t="shared" ca="1" si="12"/>
        <v>178513.74084117162</v>
      </c>
      <c r="O48" s="306">
        <f t="shared" ca="1" si="13"/>
        <v>951220.85399909248</v>
      </c>
      <c r="P48" s="306">
        <f t="shared" si="14"/>
        <v>-390.68231228685153</v>
      </c>
      <c r="Q48" s="306">
        <f t="shared" si="23"/>
        <v>390.68231228685153</v>
      </c>
      <c r="R48" s="306">
        <f t="shared" ca="1" si="15"/>
        <v>950830.17168680567</v>
      </c>
      <c r="S48" s="818">
        <f t="shared" ca="1" si="16"/>
        <v>274202.09005014808</v>
      </c>
      <c r="T48" s="818">
        <f t="shared" si="17"/>
        <v>0</v>
      </c>
      <c r="U48" s="818">
        <v>0</v>
      </c>
      <c r="V48" s="818">
        <f t="shared" ca="1" si="18"/>
        <v>274202.09005014808</v>
      </c>
      <c r="W48" s="306">
        <f t="shared" si="1"/>
        <v>0</v>
      </c>
      <c r="X48" s="306">
        <f t="shared" ca="1" si="2"/>
        <v>-42.106365709288561</v>
      </c>
      <c r="Y48" s="306">
        <v>0</v>
      </c>
      <c r="Z48" s="306">
        <v>0</v>
      </c>
      <c r="AA48" s="308">
        <f ca="1">-SUM(W48,X48/OFFSET(GridFootprintbyYear,$A48-$A$19,0)*EF_PurchElec_MTperMWh,Z48)*OFFSET(ExposureCalculations!Price_GHG_Allowance_2010,A48-$A$19,0)*ExposureCalculations!D45</f>
        <v>3131.9085802511522</v>
      </c>
      <c r="AB48" s="308">
        <f t="shared" ca="1" si="3"/>
        <v>0</v>
      </c>
      <c r="AC48" s="308">
        <v>0</v>
      </c>
      <c r="AD48" s="819">
        <f t="shared" ca="1" si="4"/>
        <v>4995.1096503728222</v>
      </c>
      <c r="AE48" s="308">
        <v>0</v>
      </c>
      <c r="AF48" s="819">
        <f t="shared" ca="1" si="5"/>
        <v>0</v>
      </c>
      <c r="AG48" s="308">
        <v>0</v>
      </c>
      <c r="AH48" s="308">
        <v>0</v>
      </c>
      <c r="AI48" s="308">
        <v>0</v>
      </c>
      <c r="AJ48" s="308">
        <f t="shared" ca="1" si="6"/>
        <v>4995.1096503728222</v>
      </c>
      <c r="AK48" s="309">
        <v>0</v>
      </c>
      <c r="AL48" s="309">
        <v>0</v>
      </c>
      <c r="AM48" s="309">
        <f t="shared" si="19"/>
        <v>0</v>
      </c>
      <c r="AN48" s="310">
        <v>0</v>
      </c>
      <c r="AO48" s="310">
        <f t="shared" si="24"/>
        <v>0</v>
      </c>
      <c r="AP48" s="310">
        <f t="shared" si="20"/>
        <v>0</v>
      </c>
      <c r="AQ48" s="309">
        <v>0</v>
      </c>
      <c r="AR48" s="311">
        <f t="shared" ca="1" si="7"/>
        <v>8127.0182306239749</v>
      </c>
      <c r="AS48" s="870">
        <f t="shared" ca="1" si="21"/>
        <v>48438.80526003561</v>
      </c>
      <c r="AT48" s="822"/>
      <c r="AU48" s="878"/>
      <c r="AV48" s="35"/>
      <c r="AW48" s="879"/>
      <c r="AX48" s="35"/>
      <c r="AY48" s="880"/>
    </row>
    <row r="49" spans="1:51">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2"/>
        <v>0</v>
      </c>
      <c r="K49" s="307">
        <f t="shared" ca="1" si="10"/>
        <v>180090.36644202363</v>
      </c>
      <c r="L49" s="307">
        <f t="shared" si="11"/>
        <v>0</v>
      </c>
      <c r="M49" s="307">
        <v>0</v>
      </c>
      <c r="N49" s="307">
        <f t="shared" ca="1" si="12"/>
        <v>180090.36644202363</v>
      </c>
      <c r="O49" s="306">
        <f t="shared" ca="1" si="13"/>
        <v>959607.45312876778</v>
      </c>
      <c r="P49" s="306">
        <f t="shared" si="14"/>
        <v>-390.68231228685153</v>
      </c>
      <c r="Q49" s="306">
        <f t="shared" si="23"/>
        <v>390.68231228685153</v>
      </c>
      <c r="R49" s="306">
        <f t="shared" ca="1" si="15"/>
        <v>959216.77081648097</v>
      </c>
      <c r="S49" s="818">
        <f t="shared" ca="1" si="16"/>
        <v>277266.62461275177</v>
      </c>
      <c r="T49" s="818">
        <f t="shared" si="17"/>
        <v>0</v>
      </c>
      <c r="U49" s="818">
        <v>0</v>
      </c>
      <c r="V49" s="818">
        <f t="shared" ca="1" si="18"/>
        <v>277266.62461275177</v>
      </c>
      <c r="W49" s="306">
        <f t="shared" si="1"/>
        <v>0</v>
      </c>
      <c r="X49" s="306">
        <f t="shared" ca="1" si="2"/>
        <v>-42.106365709288561</v>
      </c>
      <c r="Y49" s="306">
        <v>0</v>
      </c>
      <c r="Z49" s="306">
        <v>0</v>
      </c>
      <c r="AA49" s="308">
        <f ca="1">-SUM(W49,X49/OFFSET(GridFootprintbyYear,$A49-$A$19,0)*EF_PurchElec_MTperMWh,Z49)*OFFSET(ExposureCalculations!Price_GHG_Allowance_2010,A49-$A$19,0)*ExposureCalculations!D46</f>
        <v>3278.8412207530769</v>
      </c>
      <c r="AB49" s="308">
        <f t="shared" ca="1" si="3"/>
        <v>0</v>
      </c>
      <c r="AC49" s="308">
        <v>0</v>
      </c>
      <c r="AD49" s="819">
        <f t="shared" ca="1" si="4"/>
        <v>5020.0851986246853</v>
      </c>
      <c r="AE49" s="308">
        <v>0</v>
      </c>
      <c r="AF49" s="819">
        <f t="shared" ca="1" si="5"/>
        <v>0</v>
      </c>
      <c r="AG49" s="308">
        <v>0</v>
      </c>
      <c r="AH49" s="308">
        <v>0</v>
      </c>
      <c r="AI49" s="308">
        <v>0</v>
      </c>
      <c r="AJ49" s="308">
        <f t="shared" ca="1" si="6"/>
        <v>5020.0851986246853</v>
      </c>
      <c r="AK49" s="309">
        <v>0</v>
      </c>
      <c r="AL49" s="309">
        <v>0</v>
      </c>
      <c r="AM49" s="309">
        <f t="shared" si="19"/>
        <v>0</v>
      </c>
      <c r="AN49" s="310">
        <v>0</v>
      </c>
      <c r="AO49" s="310">
        <f t="shared" si="24"/>
        <v>0</v>
      </c>
      <c r="AP49" s="310">
        <f t="shared" si="20"/>
        <v>0</v>
      </c>
      <c r="AQ49" s="309">
        <v>0</v>
      </c>
      <c r="AR49" s="311">
        <f t="shared" ca="1" si="7"/>
        <v>8298.9264193777617</v>
      </c>
      <c r="AS49" s="870">
        <f t="shared" ca="1" si="21"/>
        <v>56737.731679413373</v>
      </c>
      <c r="AT49" s="822"/>
      <c r="AU49" s="878"/>
      <c r="AV49" s="35"/>
      <c r="AW49" s="879"/>
      <c r="AX49" s="35"/>
      <c r="AY49" s="880"/>
    </row>
    <row r="50" spans="1:51">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2"/>
        <v>0</v>
      </c>
      <c r="K50" s="307">
        <f t="shared" ca="1" si="10"/>
        <v>181666.99204287567</v>
      </c>
      <c r="L50" s="307">
        <f t="shared" si="11"/>
        <v>0</v>
      </c>
      <c r="M50" s="307">
        <v>0</v>
      </c>
      <c r="N50" s="307">
        <f t="shared" ca="1" si="12"/>
        <v>181666.99204287567</v>
      </c>
      <c r="O50" s="306">
        <f t="shared" ca="1" si="13"/>
        <v>967994.0522584432</v>
      </c>
      <c r="P50" s="306">
        <f t="shared" si="14"/>
        <v>-390.68231228685153</v>
      </c>
      <c r="Q50" s="306">
        <f t="shared" si="23"/>
        <v>390.68231228685153</v>
      </c>
      <c r="R50" s="306">
        <f t="shared" ca="1" si="15"/>
        <v>967603.3699461564</v>
      </c>
      <c r="S50" s="818">
        <f t="shared" ca="1" si="16"/>
        <v>280331.15917535545</v>
      </c>
      <c r="T50" s="818">
        <f t="shared" si="17"/>
        <v>0</v>
      </c>
      <c r="U50" s="818">
        <v>0</v>
      </c>
      <c r="V50" s="818">
        <f t="shared" ca="1" si="18"/>
        <v>280331.15917535545</v>
      </c>
      <c r="W50" s="306">
        <f t="shared" si="1"/>
        <v>0</v>
      </c>
      <c r="X50" s="306">
        <f t="shared" ca="1" si="2"/>
        <v>-42.106365709288561</v>
      </c>
      <c r="Y50" s="306">
        <v>0</v>
      </c>
      <c r="Z50" s="306">
        <v>0</v>
      </c>
      <c r="AA50" s="308">
        <f ca="1">-SUM(W50,X50/OFFSET(GridFootprintbyYear,$A50-$A$19,0)*EF_PurchElec_MTperMWh,Z50)*OFFSET(ExposureCalculations!Price_GHG_Allowance_2010,A50-$A$19,0)*ExposureCalculations!D47</f>
        <v>3421.1826665229623</v>
      </c>
      <c r="AB50" s="308">
        <f t="shared" ca="1" si="3"/>
        <v>0</v>
      </c>
      <c r="AC50" s="308">
        <v>0</v>
      </c>
      <c r="AD50" s="819">
        <f t="shared" ca="1" si="4"/>
        <v>5045.1856246178077</v>
      </c>
      <c r="AE50" s="308">
        <v>0</v>
      </c>
      <c r="AF50" s="819">
        <f t="shared" ca="1" si="5"/>
        <v>0</v>
      </c>
      <c r="AG50" s="308">
        <v>0</v>
      </c>
      <c r="AH50" s="308">
        <v>0</v>
      </c>
      <c r="AI50" s="308">
        <v>0</v>
      </c>
      <c r="AJ50" s="308">
        <f t="shared" ca="1" si="6"/>
        <v>5045.1856246178077</v>
      </c>
      <c r="AK50" s="309">
        <v>0</v>
      </c>
      <c r="AL50" s="309">
        <v>0</v>
      </c>
      <c r="AM50" s="309">
        <f t="shared" si="19"/>
        <v>0</v>
      </c>
      <c r="AN50" s="310">
        <v>0</v>
      </c>
      <c r="AO50" s="310">
        <f t="shared" si="24"/>
        <v>0</v>
      </c>
      <c r="AP50" s="310">
        <f t="shared" si="20"/>
        <v>0</v>
      </c>
      <c r="AQ50" s="309">
        <v>0</v>
      </c>
      <c r="AR50" s="311">
        <f t="shared" ca="1" si="7"/>
        <v>8466.3682911407705</v>
      </c>
      <c r="AS50" s="870">
        <f t="shared" ca="1" si="21"/>
        <v>65204.099970554147</v>
      </c>
      <c r="AT50" s="822"/>
      <c r="AU50" s="878"/>
      <c r="AV50" s="35"/>
      <c r="AW50" s="879"/>
      <c r="AX50" s="35"/>
      <c r="AY50" s="880"/>
    </row>
    <row r="51" spans="1:51">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2"/>
        <v>0</v>
      </c>
      <c r="K51" s="307">
        <f t="shared" ca="1" si="10"/>
        <v>183243.61764372772</v>
      </c>
      <c r="L51" s="307">
        <f t="shared" si="11"/>
        <v>0</v>
      </c>
      <c r="M51" s="307">
        <v>0</v>
      </c>
      <c r="N51" s="307">
        <f t="shared" ca="1" si="12"/>
        <v>183243.61764372772</v>
      </c>
      <c r="O51" s="306">
        <f t="shared" ca="1" si="13"/>
        <v>976380.65138811851</v>
      </c>
      <c r="P51" s="306">
        <f t="shared" si="14"/>
        <v>-390.68231228685153</v>
      </c>
      <c r="Q51" s="306">
        <f t="shared" si="23"/>
        <v>390.68231228685153</v>
      </c>
      <c r="R51" s="306">
        <f t="shared" ca="1" si="15"/>
        <v>975989.9690758317</v>
      </c>
      <c r="S51" s="818">
        <f t="shared" ca="1" si="16"/>
        <v>283395.69373795914</v>
      </c>
      <c r="T51" s="818">
        <f t="shared" si="17"/>
        <v>0</v>
      </c>
      <c r="U51" s="818">
        <v>0</v>
      </c>
      <c r="V51" s="818">
        <f t="shared" ca="1" si="18"/>
        <v>283395.69373795914</v>
      </c>
      <c r="W51" s="306">
        <f t="shared" si="1"/>
        <v>0</v>
      </c>
      <c r="X51" s="306">
        <f t="shared" ca="1" si="2"/>
        <v>-42.106365709288561</v>
      </c>
      <c r="Y51" s="306">
        <v>0</v>
      </c>
      <c r="Z51" s="306">
        <v>0</v>
      </c>
      <c r="AA51" s="308">
        <f ca="1">-SUM(W51,X51/OFFSET(GridFootprintbyYear,$A51-$A$19,0)*EF_PurchElec_MTperMWh,Z51)*OFFSET(ExposureCalculations!Price_GHG_Allowance_2010,A51-$A$19,0)*ExposureCalculations!D48</f>
        <v>3557.9774999551341</v>
      </c>
      <c r="AB51" s="308">
        <f t="shared" ca="1" si="3"/>
        <v>0</v>
      </c>
      <c r="AC51" s="308">
        <v>0</v>
      </c>
      <c r="AD51" s="819">
        <f t="shared" ca="1" si="4"/>
        <v>5070.4115527408958</v>
      </c>
      <c r="AE51" s="308">
        <v>0</v>
      </c>
      <c r="AF51" s="819">
        <f t="shared" ca="1" si="5"/>
        <v>0</v>
      </c>
      <c r="AG51" s="308">
        <v>0</v>
      </c>
      <c r="AH51" s="308">
        <v>0</v>
      </c>
      <c r="AI51" s="308">
        <v>0</v>
      </c>
      <c r="AJ51" s="308">
        <f t="shared" ca="1" si="6"/>
        <v>5070.4115527408958</v>
      </c>
      <c r="AK51" s="309">
        <v>0</v>
      </c>
      <c r="AL51" s="309">
        <v>0</v>
      </c>
      <c r="AM51" s="309">
        <f t="shared" si="19"/>
        <v>0</v>
      </c>
      <c r="AN51" s="310">
        <v>0</v>
      </c>
      <c r="AO51" s="310">
        <f t="shared" si="24"/>
        <v>0</v>
      </c>
      <c r="AP51" s="310">
        <f t="shared" si="20"/>
        <v>0</v>
      </c>
      <c r="AQ51" s="309">
        <v>0</v>
      </c>
      <c r="AR51" s="311">
        <f t="shared" ca="1" si="7"/>
        <v>8628.3890526960295</v>
      </c>
      <c r="AS51" s="870">
        <f t="shared" ca="1" si="21"/>
        <v>73832.489023250178</v>
      </c>
      <c r="AT51" s="822"/>
      <c r="AU51" s="878"/>
      <c r="AV51" s="35"/>
      <c r="AW51" s="879"/>
      <c r="AX51" s="35"/>
      <c r="AY51" s="880"/>
    </row>
    <row r="52" spans="1:51">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2"/>
        <v>0</v>
      </c>
      <c r="K52" s="307">
        <f t="shared" ca="1" si="10"/>
        <v>184820.24324457973</v>
      </c>
      <c r="L52" s="307">
        <f t="shared" si="11"/>
        <v>0</v>
      </c>
      <c r="M52" s="307">
        <v>0</v>
      </c>
      <c r="N52" s="307">
        <f t="shared" ca="1" si="12"/>
        <v>184820.24324457973</v>
      </c>
      <c r="O52" s="306">
        <f t="shared" ca="1" si="13"/>
        <v>984767.25051779393</v>
      </c>
      <c r="P52" s="306">
        <f t="shared" si="14"/>
        <v>-390.68231228685153</v>
      </c>
      <c r="Q52" s="306">
        <f t="shared" si="23"/>
        <v>390.68231228685153</v>
      </c>
      <c r="R52" s="306">
        <f t="shared" ca="1" si="15"/>
        <v>984376.56820550712</v>
      </c>
      <c r="S52" s="818">
        <f t="shared" ca="1" si="16"/>
        <v>286460.22830056283</v>
      </c>
      <c r="T52" s="818">
        <f t="shared" si="17"/>
        <v>0</v>
      </c>
      <c r="U52" s="818">
        <v>0</v>
      </c>
      <c r="V52" s="818">
        <f t="shared" ca="1" si="18"/>
        <v>286460.22830056283</v>
      </c>
      <c r="W52" s="306">
        <f t="shared" si="1"/>
        <v>0</v>
      </c>
      <c r="X52" s="306">
        <f t="shared" ca="1" si="2"/>
        <v>-42.106365709288561</v>
      </c>
      <c r="Y52" s="306">
        <v>0</v>
      </c>
      <c r="Z52" s="306">
        <v>0</v>
      </c>
      <c r="AA52" s="308">
        <f ca="1">-SUM(W52,X52/OFFSET(GridFootprintbyYear,$A52-$A$19,0)*EF_PurchElec_MTperMWh,Z52)*OFFSET(ExposureCalculations!Price_GHG_Allowance_2010,A52-$A$19,0)*ExposureCalculations!D49</f>
        <v>3711.8385285922391</v>
      </c>
      <c r="AB52" s="308">
        <f t="shared" ca="1" si="3"/>
        <v>0</v>
      </c>
      <c r="AC52" s="308">
        <v>0</v>
      </c>
      <c r="AD52" s="819">
        <f t="shared" ca="1" si="4"/>
        <v>5095.7636105045995</v>
      </c>
      <c r="AE52" s="308">
        <v>0</v>
      </c>
      <c r="AF52" s="819">
        <f t="shared" ca="1" si="5"/>
        <v>0</v>
      </c>
      <c r="AG52" s="308">
        <v>0</v>
      </c>
      <c r="AH52" s="308">
        <v>0</v>
      </c>
      <c r="AI52" s="308">
        <v>0</v>
      </c>
      <c r="AJ52" s="308">
        <f t="shared" ca="1" si="6"/>
        <v>5095.7636105045995</v>
      </c>
      <c r="AK52" s="309">
        <v>0</v>
      </c>
      <c r="AL52" s="309">
        <v>0</v>
      </c>
      <c r="AM52" s="309">
        <f t="shared" si="19"/>
        <v>0</v>
      </c>
      <c r="AN52" s="310">
        <v>0</v>
      </c>
      <c r="AO52" s="310">
        <f t="shared" si="24"/>
        <v>0</v>
      </c>
      <c r="AP52" s="310">
        <f t="shared" si="20"/>
        <v>0</v>
      </c>
      <c r="AQ52" s="309">
        <v>0</v>
      </c>
      <c r="AR52" s="311">
        <f t="shared" ca="1" si="7"/>
        <v>8807.6021390968381</v>
      </c>
      <c r="AS52" s="870">
        <f t="shared" ca="1" si="21"/>
        <v>82640.091162347017</v>
      </c>
      <c r="AT52" s="822"/>
      <c r="AU52" s="878"/>
      <c r="AV52" s="35"/>
      <c r="AW52" s="879"/>
      <c r="AX52" s="35"/>
      <c r="AY52" s="880"/>
    </row>
    <row r="53" spans="1:51">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2"/>
        <v>0</v>
      </c>
      <c r="K53" s="307">
        <f t="shared" ca="1" si="10"/>
        <v>186396.86884543177</v>
      </c>
      <c r="L53" s="307">
        <f t="shared" si="11"/>
        <v>0</v>
      </c>
      <c r="M53" s="307">
        <v>0</v>
      </c>
      <c r="N53" s="307">
        <f t="shared" ca="1" si="12"/>
        <v>186396.86884543177</v>
      </c>
      <c r="O53" s="306">
        <f t="shared" ca="1" si="13"/>
        <v>993153.84964746935</v>
      </c>
      <c r="P53" s="306">
        <f t="shared" si="14"/>
        <v>-390.68231228685153</v>
      </c>
      <c r="Q53" s="306">
        <f t="shared" si="23"/>
        <v>390.68231228685153</v>
      </c>
      <c r="R53" s="306">
        <f t="shared" ca="1" si="15"/>
        <v>992763.16733518254</v>
      </c>
      <c r="S53" s="818">
        <f t="shared" ca="1" si="16"/>
        <v>289524.76286316651</v>
      </c>
      <c r="T53" s="818">
        <f t="shared" si="17"/>
        <v>0</v>
      </c>
      <c r="U53" s="818">
        <v>0</v>
      </c>
      <c r="V53" s="818">
        <f t="shared" ca="1" si="18"/>
        <v>289524.76286316651</v>
      </c>
      <c r="W53" s="306">
        <f t="shared" si="1"/>
        <v>0</v>
      </c>
      <c r="X53" s="306">
        <f t="shared" ca="1" si="2"/>
        <v>-42.106365709288561</v>
      </c>
      <c r="Y53" s="306">
        <v>0</v>
      </c>
      <c r="Z53" s="306">
        <v>0</v>
      </c>
      <c r="AA53" s="308">
        <f ca="1">-SUM(W53,X53/OFFSET(GridFootprintbyYear,$A53-$A$19,0)*EF_PurchElec_MTperMWh,Z53)*OFFSET(ExposureCalculations!Price_GHG_Allowance_2010,A53-$A$19,0)*ExposureCalculations!D50</f>
        <v>3886.2432794547167</v>
      </c>
      <c r="AB53" s="308">
        <f t="shared" ca="1" si="3"/>
        <v>0</v>
      </c>
      <c r="AC53" s="308">
        <v>0</v>
      </c>
      <c r="AD53" s="819">
        <f t="shared" ca="1" si="4"/>
        <v>5121.2424285571224</v>
      </c>
      <c r="AE53" s="308">
        <v>0</v>
      </c>
      <c r="AF53" s="819">
        <f t="shared" ca="1" si="5"/>
        <v>0</v>
      </c>
      <c r="AG53" s="308">
        <v>0</v>
      </c>
      <c r="AH53" s="308">
        <v>0</v>
      </c>
      <c r="AI53" s="308">
        <v>0</v>
      </c>
      <c r="AJ53" s="308">
        <f t="shared" ca="1" si="6"/>
        <v>5121.2424285571224</v>
      </c>
      <c r="AK53" s="309">
        <v>0</v>
      </c>
      <c r="AL53" s="309">
        <v>0</v>
      </c>
      <c r="AM53" s="309">
        <f t="shared" si="19"/>
        <v>0</v>
      </c>
      <c r="AN53" s="310">
        <v>0</v>
      </c>
      <c r="AO53" s="310">
        <f t="shared" si="24"/>
        <v>0</v>
      </c>
      <c r="AP53" s="310">
        <f t="shared" si="20"/>
        <v>0</v>
      </c>
      <c r="AQ53" s="309">
        <v>0</v>
      </c>
      <c r="AR53" s="311">
        <f t="shared" ca="1" si="7"/>
        <v>9007.4857080118381</v>
      </c>
      <c r="AS53" s="870">
        <f t="shared" ca="1" si="21"/>
        <v>91647.576870358855</v>
      </c>
      <c r="AT53" s="822"/>
      <c r="AU53" s="878"/>
      <c r="AV53" s="35"/>
      <c r="AW53" s="879"/>
      <c r="AX53" s="35"/>
      <c r="AY53" s="880"/>
    </row>
    <row r="54" spans="1:51">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2"/>
        <v>0</v>
      </c>
      <c r="K54" s="307">
        <f t="shared" ca="1" si="10"/>
        <v>187973.49444628376</v>
      </c>
      <c r="L54" s="307">
        <f t="shared" si="11"/>
        <v>0</v>
      </c>
      <c r="M54" s="307">
        <v>0</v>
      </c>
      <c r="N54" s="307">
        <f t="shared" ca="1" si="12"/>
        <v>187973.49444628376</v>
      </c>
      <c r="O54" s="306">
        <f t="shared" ca="1" si="13"/>
        <v>1001540.4487771448</v>
      </c>
      <c r="P54" s="306">
        <f t="shared" si="14"/>
        <v>-390.68231228685153</v>
      </c>
      <c r="Q54" s="306">
        <f t="shared" si="23"/>
        <v>390.68231228685153</v>
      </c>
      <c r="R54" s="306">
        <f t="shared" ca="1" si="15"/>
        <v>1001149.766464858</v>
      </c>
      <c r="S54" s="818">
        <f t="shared" ca="1" si="16"/>
        <v>292589.2974257702</v>
      </c>
      <c r="T54" s="818">
        <f t="shared" si="17"/>
        <v>0</v>
      </c>
      <c r="U54" s="818">
        <v>0</v>
      </c>
      <c r="V54" s="818">
        <f t="shared" ca="1" si="18"/>
        <v>292589.2974257702</v>
      </c>
      <c r="W54" s="306">
        <f t="shared" si="1"/>
        <v>0</v>
      </c>
      <c r="X54" s="306">
        <f t="shared" ca="1" si="2"/>
        <v>-42.106365709288561</v>
      </c>
      <c r="Y54" s="306">
        <v>0</v>
      </c>
      <c r="Z54" s="306">
        <v>0</v>
      </c>
      <c r="AA54" s="308">
        <f ca="1">-SUM(W54,X54/OFFSET(GridFootprintbyYear,$A54-$A$19,0)*EF_PurchElec_MTperMWh,Z54)*OFFSET(ExposureCalculations!Price_GHG_Allowance_2010,A54-$A$19,0)*ExposureCalculations!D51</f>
        <v>4086.1742813678479</v>
      </c>
      <c r="AB54" s="308">
        <f t="shared" ca="1" si="3"/>
        <v>0</v>
      </c>
      <c r="AC54" s="308">
        <v>0</v>
      </c>
      <c r="AD54" s="819">
        <f t="shared" ca="1" si="4"/>
        <v>5146.8486406999073</v>
      </c>
      <c r="AE54" s="308">
        <v>0</v>
      </c>
      <c r="AF54" s="819">
        <f t="shared" ca="1" si="5"/>
        <v>0</v>
      </c>
      <c r="AG54" s="308">
        <v>0</v>
      </c>
      <c r="AH54" s="308">
        <v>0</v>
      </c>
      <c r="AI54" s="308">
        <v>0</v>
      </c>
      <c r="AJ54" s="308">
        <f t="shared" ca="1" si="6"/>
        <v>5146.8486406999073</v>
      </c>
      <c r="AK54" s="309">
        <v>0</v>
      </c>
      <c r="AL54" s="309">
        <v>0</v>
      </c>
      <c r="AM54" s="309">
        <f t="shared" si="19"/>
        <v>0</v>
      </c>
      <c r="AN54" s="310">
        <v>0</v>
      </c>
      <c r="AO54" s="310">
        <f t="shared" si="24"/>
        <v>0</v>
      </c>
      <c r="AP54" s="310">
        <f t="shared" si="20"/>
        <v>0</v>
      </c>
      <c r="AQ54" s="309">
        <v>0</v>
      </c>
      <c r="AR54" s="311">
        <f t="shared" ca="1" si="7"/>
        <v>9233.0229220677556</v>
      </c>
      <c r="AS54" s="870">
        <f t="shared" ca="1" si="21"/>
        <v>100880.59979242661</v>
      </c>
      <c r="AT54" s="822"/>
      <c r="AU54" s="878"/>
      <c r="AV54" s="35"/>
      <c r="AW54" s="879"/>
      <c r="AX54" s="35"/>
      <c r="AY54" s="880"/>
    </row>
    <row r="55" spans="1:51">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2"/>
        <v>0</v>
      </c>
      <c r="K55" s="307">
        <f t="shared" ca="1" si="10"/>
        <v>189550.12004713583</v>
      </c>
      <c r="L55" s="307">
        <f t="shared" si="11"/>
        <v>0</v>
      </c>
      <c r="M55" s="307">
        <v>0</v>
      </c>
      <c r="N55" s="307">
        <f t="shared" ca="1" si="12"/>
        <v>189550.12004713583</v>
      </c>
      <c r="O55" s="306">
        <f t="shared" ca="1" si="13"/>
        <v>1009927.04790682</v>
      </c>
      <c r="P55" s="306">
        <f t="shared" si="14"/>
        <v>-390.68231228685153</v>
      </c>
      <c r="Q55" s="306">
        <f t="shared" si="23"/>
        <v>390.68231228685153</v>
      </c>
      <c r="R55" s="306">
        <f t="shared" ca="1" si="15"/>
        <v>1009536.3655945332</v>
      </c>
      <c r="S55" s="818">
        <f t="shared" ca="1" si="16"/>
        <v>295653.83198837389</v>
      </c>
      <c r="T55" s="818">
        <f t="shared" si="17"/>
        <v>0</v>
      </c>
      <c r="U55" s="818">
        <v>0</v>
      </c>
      <c r="V55" s="818">
        <f t="shared" ca="1" si="18"/>
        <v>295653.83198837389</v>
      </c>
      <c r="W55" s="306">
        <f t="shared" si="1"/>
        <v>0</v>
      </c>
      <c r="X55" s="306">
        <f t="shared" ca="1" si="2"/>
        <v>-42.106365709288561</v>
      </c>
      <c r="Y55" s="306">
        <v>0</v>
      </c>
      <c r="Z55" s="306">
        <v>0</v>
      </c>
      <c r="AA55" s="308">
        <f ca="1">-SUM(W55,X55/OFFSET(GridFootprintbyYear,$A55-$A$19,0)*EF_PurchElec_MTperMWh,Z55)*OFFSET(ExposureCalculations!Price_GHG_Allowance_2010,A55-$A$19,0)*ExposureCalculations!D52</f>
        <v>4299.5298308211732</v>
      </c>
      <c r="AB55" s="308">
        <f t="shared" ca="1" si="3"/>
        <v>0</v>
      </c>
      <c r="AC55" s="308">
        <v>0</v>
      </c>
      <c r="AD55" s="819">
        <f t="shared" ca="1" si="4"/>
        <v>5172.5828839034039</v>
      </c>
      <c r="AE55" s="308">
        <v>0</v>
      </c>
      <c r="AF55" s="819">
        <f t="shared" ca="1" si="5"/>
        <v>0</v>
      </c>
      <c r="AG55" s="308">
        <v>0</v>
      </c>
      <c r="AH55" s="308">
        <v>0</v>
      </c>
      <c r="AI55" s="308">
        <v>0</v>
      </c>
      <c r="AJ55" s="308">
        <f t="shared" ca="1" si="6"/>
        <v>5172.5828839034039</v>
      </c>
      <c r="AK55" s="309">
        <v>0</v>
      </c>
      <c r="AL55" s="309">
        <v>0</v>
      </c>
      <c r="AM55" s="309">
        <f t="shared" si="19"/>
        <v>0</v>
      </c>
      <c r="AN55" s="310">
        <v>0</v>
      </c>
      <c r="AO55" s="310">
        <f t="shared" si="24"/>
        <v>0</v>
      </c>
      <c r="AP55" s="310">
        <f t="shared" si="20"/>
        <v>0</v>
      </c>
      <c r="AQ55" s="309">
        <v>0</v>
      </c>
      <c r="AR55" s="311">
        <f t="shared" ca="1" si="7"/>
        <v>9472.112714724577</v>
      </c>
      <c r="AS55" s="870">
        <f t="shared" ca="1" si="21"/>
        <v>110352.71250715118</v>
      </c>
      <c r="AT55" s="822"/>
      <c r="AU55" s="878"/>
      <c r="AV55" s="35"/>
      <c r="AW55" s="879"/>
      <c r="AX55" s="35"/>
      <c r="AY55" s="880"/>
    </row>
    <row r="56" spans="1:51">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2"/>
        <v>0</v>
      </c>
      <c r="K56" s="307">
        <f t="shared" ca="1" si="10"/>
        <v>191126.74564798782</v>
      </c>
      <c r="L56" s="307">
        <f t="shared" si="11"/>
        <v>0</v>
      </c>
      <c r="M56" s="307">
        <v>0</v>
      </c>
      <c r="N56" s="307">
        <f t="shared" ca="1" si="12"/>
        <v>191126.74564798782</v>
      </c>
      <c r="O56" s="306">
        <f t="shared" ca="1" si="13"/>
        <v>1018313.6470364953</v>
      </c>
      <c r="P56" s="306">
        <f t="shared" si="14"/>
        <v>-390.68231228685153</v>
      </c>
      <c r="Q56" s="306">
        <f t="shared" si="23"/>
        <v>390.68231228685153</v>
      </c>
      <c r="R56" s="306">
        <f t="shared" ca="1" si="15"/>
        <v>1017922.9647242085</v>
      </c>
      <c r="S56" s="818">
        <f t="shared" ca="1" si="16"/>
        <v>298718.36655097757</v>
      </c>
      <c r="T56" s="818">
        <f t="shared" si="17"/>
        <v>0</v>
      </c>
      <c r="U56" s="818">
        <v>0</v>
      </c>
      <c r="V56" s="818">
        <f t="shared" ca="1" si="18"/>
        <v>298718.36655097757</v>
      </c>
      <c r="W56" s="306">
        <f t="shared" si="1"/>
        <v>0</v>
      </c>
      <c r="X56" s="306">
        <f t="shared" ca="1" si="2"/>
        <v>-42.106365709288561</v>
      </c>
      <c r="Y56" s="306">
        <v>0</v>
      </c>
      <c r="Z56" s="306">
        <v>0</v>
      </c>
      <c r="AA56" s="308">
        <f ca="1">-SUM(W56,X56/OFFSET(GridFootprintbyYear,$A56-$A$19,0)*EF_PurchElec_MTperMWh,Z56)*OFFSET(ExposureCalculations!Price_GHG_Allowance_2010,A56-$A$19,0)*ExposureCalculations!D53</f>
        <v>4527.9900272758068</v>
      </c>
      <c r="AB56" s="308">
        <f t="shared" ca="1" si="3"/>
        <v>0</v>
      </c>
      <c r="AC56" s="308">
        <v>0</v>
      </c>
      <c r="AD56" s="819">
        <f t="shared" ca="1" si="4"/>
        <v>5198.4457983229195</v>
      </c>
      <c r="AE56" s="308">
        <v>0</v>
      </c>
      <c r="AF56" s="819">
        <f t="shared" ca="1" si="5"/>
        <v>0</v>
      </c>
      <c r="AG56" s="308">
        <v>0</v>
      </c>
      <c r="AH56" s="308">
        <v>0</v>
      </c>
      <c r="AI56" s="308">
        <v>0</v>
      </c>
      <c r="AJ56" s="308">
        <f t="shared" ca="1" si="6"/>
        <v>5198.4457983229195</v>
      </c>
      <c r="AK56" s="309">
        <v>0</v>
      </c>
      <c r="AL56" s="309">
        <v>0</v>
      </c>
      <c r="AM56" s="309">
        <f t="shared" si="19"/>
        <v>0</v>
      </c>
      <c r="AN56" s="310">
        <v>0</v>
      </c>
      <c r="AO56" s="310">
        <f t="shared" si="24"/>
        <v>0</v>
      </c>
      <c r="AP56" s="310">
        <f t="shared" si="20"/>
        <v>0</v>
      </c>
      <c r="AQ56" s="309">
        <v>0</v>
      </c>
      <c r="AR56" s="311">
        <f t="shared" ca="1" si="7"/>
        <v>9726.4358255987263</v>
      </c>
      <c r="AS56" s="870">
        <f t="shared" ca="1" si="21"/>
        <v>120079.14833274992</v>
      </c>
      <c r="AT56" s="822"/>
      <c r="AU56" s="878"/>
      <c r="AV56" s="35"/>
      <c r="AW56" s="879"/>
      <c r="AX56" s="35"/>
      <c r="AY56" s="880"/>
    </row>
    <row r="57" spans="1:51">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2"/>
        <v>0</v>
      </c>
      <c r="K57" s="307">
        <f t="shared" ca="1" si="10"/>
        <v>192703.37124883989</v>
      </c>
      <c r="L57" s="307">
        <f t="shared" si="11"/>
        <v>0</v>
      </c>
      <c r="M57" s="307">
        <v>0</v>
      </c>
      <c r="N57" s="307">
        <f t="shared" ca="1" si="12"/>
        <v>192703.37124883989</v>
      </c>
      <c r="O57" s="306">
        <f t="shared" ca="1" si="13"/>
        <v>1026700.2461661708</v>
      </c>
      <c r="P57" s="306">
        <f t="shared" si="14"/>
        <v>-390.68231228685153</v>
      </c>
      <c r="Q57" s="306">
        <f t="shared" si="23"/>
        <v>390.68231228685153</v>
      </c>
      <c r="R57" s="306">
        <f t="shared" ca="1" si="15"/>
        <v>1026309.563853884</v>
      </c>
      <c r="S57" s="818">
        <f t="shared" ca="1" si="16"/>
        <v>301782.90111358126</v>
      </c>
      <c r="T57" s="818">
        <f t="shared" si="17"/>
        <v>0</v>
      </c>
      <c r="U57" s="818">
        <v>0</v>
      </c>
      <c r="V57" s="818">
        <f t="shared" ca="1" si="18"/>
        <v>301782.90111358126</v>
      </c>
      <c r="W57" s="306">
        <f t="shared" si="1"/>
        <v>0</v>
      </c>
      <c r="X57" s="306">
        <f t="shared" ca="1" si="2"/>
        <v>-42.106365709288561</v>
      </c>
      <c r="Y57" s="306">
        <v>0</v>
      </c>
      <c r="Z57" s="306">
        <v>0</v>
      </c>
      <c r="AA57" s="308">
        <f ca="1">-SUM(W57,X57/OFFSET(GridFootprintbyYear,$A57-$A$19,0)*EF_PurchElec_MTperMWh,Z57)*OFFSET(ExposureCalculations!Price_GHG_Allowance_2010,A57-$A$19,0)*ExposureCalculations!D54</f>
        <v>4773.376197351371</v>
      </c>
      <c r="AB57" s="308">
        <f t="shared" ca="1" si="3"/>
        <v>0</v>
      </c>
      <c r="AC57" s="308">
        <v>0</v>
      </c>
      <c r="AD57" s="819">
        <f t="shared" ca="1" si="4"/>
        <v>5224.4380273145352</v>
      </c>
      <c r="AE57" s="308">
        <v>0</v>
      </c>
      <c r="AF57" s="819">
        <f t="shared" ca="1" si="5"/>
        <v>0</v>
      </c>
      <c r="AG57" s="308">
        <v>0</v>
      </c>
      <c r="AH57" s="308">
        <v>0</v>
      </c>
      <c r="AI57" s="308">
        <v>0</v>
      </c>
      <c r="AJ57" s="308">
        <f t="shared" ca="1" si="6"/>
        <v>5224.4380273145352</v>
      </c>
      <c r="AK57" s="309">
        <v>0</v>
      </c>
      <c r="AL57" s="309">
        <v>0</v>
      </c>
      <c r="AM57" s="309">
        <f t="shared" si="19"/>
        <v>0</v>
      </c>
      <c r="AN57" s="310">
        <v>0</v>
      </c>
      <c r="AO57" s="310">
        <f t="shared" si="24"/>
        <v>0</v>
      </c>
      <c r="AP57" s="310">
        <f t="shared" si="20"/>
        <v>0</v>
      </c>
      <c r="AQ57" s="309">
        <v>0</v>
      </c>
      <c r="AR57" s="311">
        <f t="shared" ca="1" si="7"/>
        <v>9997.8142246659063</v>
      </c>
      <c r="AS57" s="870">
        <f t="shared" ca="1" si="21"/>
        <v>130076.96255741583</v>
      </c>
      <c r="AT57" s="822"/>
      <c r="AU57" s="878"/>
      <c r="AV57" s="35"/>
      <c r="AW57" s="879"/>
      <c r="AX57" s="35"/>
      <c r="AY57" s="880"/>
    </row>
    <row r="58" spans="1:51">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2"/>
        <v>0</v>
      </c>
      <c r="K58" s="307">
        <f t="shared" ca="1" si="10"/>
        <v>194279.99684969187</v>
      </c>
      <c r="L58" s="307">
        <f t="shared" si="11"/>
        <v>0</v>
      </c>
      <c r="M58" s="307">
        <v>0</v>
      </c>
      <c r="N58" s="307">
        <f t="shared" ca="1" si="12"/>
        <v>194279.99684969187</v>
      </c>
      <c r="O58" s="306">
        <f t="shared" ca="1" si="13"/>
        <v>1035086.8452958462</v>
      </c>
      <c r="P58" s="306">
        <f t="shared" si="14"/>
        <v>-390.68231228685153</v>
      </c>
      <c r="Q58" s="306">
        <f t="shared" si="23"/>
        <v>390.68231228685153</v>
      </c>
      <c r="R58" s="306">
        <f t="shared" ca="1" si="15"/>
        <v>1034696.1629835594</v>
      </c>
      <c r="S58" s="818">
        <f t="shared" ca="1" si="16"/>
        <v>304847.43567618495</v>
      </c>
      <c r="T58" s="818">
        <f t="shared" si="17"/>
        <v>0</v>
      </c>
      <c r="U58" s="818">
        <v>0</v>
      </c>
      <c r="V58" s="818">
        <f t="shared" ca="1" si="18"/>
        <v>304847.43567618495</v>
      </c>
      <c r="W58" s="306">
        <f t="shared" si="1"/>
        <v>0</v>
      </c>
      <c r="X58" s="306">
        <f t="shared" ca="1" si="2"/>
        <v>-42.106365709288561</v>
      </c>
      <c r="Y58" s="306">
        <v>0</v>
      </c>
      <c r="Z58" s="306">
        <v>0</v>
      </c>
      <c r="AA58" s="308">
        <f ca="1">-SUM(W58,X58/OFFSET(GridFootprintbyYear,$A58-$A$19,0)*EF_PurchElec_MTperMWh,Z58)*OFFSET(ExposureCalculations!Price_GHG_Allowance_2010,A58-$A$19,0)*ExposureCalculations!D55</f>
        <v>5037.6360801695519</v>
      </c>
      <c r="AB58" s="308">
        <f t="shared" ca="1" si="3"/>
        <v>0</v>
      </c>
      <c r="AC58" s="308">
        <v>0</v>
      </c>
      <c r="AD58" s="819">
        <f t="shared" ca="1" si="4"/>
        <v>5250.5602174511068</v>
      </c>
      <c r="AE58" s="308">
        <v>0</v>
      </c>
      <c r="AF58" s="819">
        <f t="shared" ca="1" si="5"/>
        <v>0</v>
      </c>
      <c r="AG58" s="308">
        <v>0</v>
      </c>
      <c r="AH58" s="308">
        <v>0</v>
      </c>
      <c r="AI58" s="308">
        <v>0</v>
      </c>
      <c r="AJ58" s="308">
        <f t="shared" ca="1" si="6"/>
        <v>5250.5602174511068</v>
      </c>
      <c r="AK58" s="309">
        <v>0</v>
      </c>
      <c r="AL58" s="309">
        <v>0</v>
      </c>
      <c r="AM58" s="309">
        <f t="shared" si="19"/>
        <v>0</v>
      </c>
      <c r="AN58" s="310">
        <v>0</v>
      </c>
      <c r="AO58" s="310">
        <f t="shared" si="24"/>
        <v>0</v>
      </c>
      <c r="AP58" s="310">
        <f t="shared" si="20"/>
        <v>0</v>
      </c>
      <c r="AQ58" s="309">
        <v>0</v>
      </c>
      <c r="AR58" s="311">
        <f t="shared" ca="1" si="7"/>
        <v>10288.19629762066</v>
      </c>
      <c r="AS58" s="870">
        <f t="shared" ca="1" si="21"/>
        <v>140365.15885503648</v>
      </c>
      <c r="AT58" s="822"/>
      <c r="AU58" s="878"/>
      <c r="AV58" s="35"/>
      <c r="AW58" s="879"/>
      <c r="AX58" s="35"/>
      <c r="AY58" s="880"/>
    </row>
    <row r="59" spans="1:51">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2"/>
        <v>0</v>
      </c>
      <c r="K59" s="307">
        <f t="shared" ca="1" si="10"/>
        <v>195856.62245054395</v>
      </c>
      <c r="L59" s="307">
        <f t="shared" si="11"/>
        <v>0</v>
      </c>
      <c r="M59" s="307">
        <v>0</v>
      </c>
      <c r="N59" s="307">
        <f t="shared" ca="1" si="12"/>
        <v>195856.62245054395</v>
      </c>
      <c r="O59" s="306">
        <f t="shared" ca="1" si="13"/>
        <v>1043473.4444255217</v>
      </c>
      <c r="P59" s="306">
        <f t="shared" si="14"/>
        <v>-390.68231228685153</v>
      </c>
      <c r="Q59" s="306">
        <f t="shared" si="23"/>
        <v>390.68231228685153</v>
      </c>
      <c r="R59" s="306">
        <f t="shared" ca="1" si="15"/>
        <v>1043082.7621132348</v>
      </c>
      <c r="S59" s="818">
        <f t="shared" ca="1" si="16"/>
        <v>307911.97023878864</v>
      </c>
      <c r="T59" s="818">
        <f t="shared" si="17"/>
        <v>0</v>
      </c>
      <c r="U59" s="818">
        <v>0</v>
      </c>
      <c r="V59" s="818">
        <f t="shared" ca="1" si="18"/>
        <v>307911.97023878864</v>
      </c>
      <c r="W59" s="306">
        <f t="shared" si="1"/>
        <v>0</v>
      </c>
      <c r="X59" s="306">
        <f t="shared" ca="1" si="2"/>
        <v>-42.106365709288561</v>
      </c>
      <c r="Y59" s="306">
        <v>0</v>
      </c>
      <c r="Z59" s="306">
        <v>0</v>
      </c>
      <c r="AA59" s="308">
        <f ca="1">-SUM(W59,X59/OFFSET(GridFootprintbyYear,$A59-$A$19,0)*EF_PurchElec_MTperMWh,Z59)*OFFSET(ExposureCalculations!Price_GHG_Allowance_2010,A59-$A$19,0)*ExposureCalculations!D56</f>
        <v>5322.8292267538845</v>
      </c>
      <c r="AB59" s="308">
        <f t="shared" ca="1" si="3"/>
        <v>0</v>
      </c>
      <c r="AC59" s="308">
        <v>0</v>
      </c>
      <c r="AD59" s="819">
        <f t="shared" ca="1" si="4"/>
        <v>5276.8130185383625</v>
      </c>
      <c r="AE59" s="308">
        <v>0</v>
      </c>
      <c r="AF59" s="819">
        <f t="shared" ca="1" si="5"/>
        <v>0</v>
      </c>
      <c r="AG59" s="308">
        <v>0</v>
      </c>
      <c r="AH59" s="308">
        <v>0</v>
      </c>
      <c r="AI59" s="308">
        <v>0</v>
      </c>
      <c r="AJ59" s="308">
        <f t="shared" ca="1" si="6"/>
        <v>5276.8130185383625</v>
      </c>
      <c r="AK59" s="309">
        <v>0</v>
      </c>
      <c r="AL59" s="309">
        <v>0</v>
      </c>
      <c r="AM59" s="309">
        <f t="shared" si="19"/>
        <v>0</v>
      </c>
      <c r="AN59" s="310">
        <v>0</v>
      </c>
      <c r="AO59" s="310">
        <f t="shared" si="24"/>
        <v>0</v>
      </c>
      <c r="AP59" s="310">
        <f t="shared" si="20"/>
        <v>0</v>
      </c>
      <c r="AQ59" s="309">
        <v>0</v>
      </c>
      <c r="AR59" s="311">
        <f t="shared" ca="1" si="7"/>
        <v>10599.642245292247</v>
      </c>
      <c r="AS59" s="870">
        <f t="shared" ca="1" si="21"/>
        <v>150964.80110032874</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sheetPr codeName="Sheet40">
    <tabColor rgb="FFA9DA74"/>
  </sheetPr>
  <dimension ref="A1:AY84"/>
  <sheetViews>
    <sheetView workbookViewId="0">
      <pane xSplit="1" topLeftCell="D1" activePane="topRight" state="frozen"/>
      <selection activeCell="K14" sqref="K14"/>
      <selection pane="topRight" activeCell="O3" sqref="O3:O7"/>
    </sheetView>
  </sheetViews>
  <sheetFormatPr defaultRowHeight="15"/>
  <cols>
    <col min="11" max="11" width="12" customWidth="1"/>
    <col min="12" max="12" width="12.85546875" customWidth="1"/>
    <col min="13" max="13" width="12.42578125" customWidth="1"/>
    <col min="15" max="15" width="10" bestFit="1" customWidth="1"/>
    <col min="35" max="36" width="13" customWidth="1"/>
    <col min="38" max="38" width="12.28515625" bestFit="1" customWidth="1"/>
    <col min="39" max="39" width="11.7109375" customWidth="1"/>
    <col min="40" max="40" width="12.42578125" customWidth="1"/>
    <col min="41" max="41" width="10" bestFit="1" customWidth="1"/>
    <col min="42" max="42" width="11.140625" customWidth="1"/>
    <col min="44" max="45" width="12.28515625" customWidth="1"/>
    <col min="46" max="46" width="1.7109375" customWidth="1"/>
    <col min="47" max="47" width="11.7109375" customWidth="1"/>
    <col min="51" max="51" width="10.5703125" customWidth="1"/>
  </cols>
  <sheetData>
    <row r="1" spans="1:50" ht="60">
      <c r="C1" s="257" t="s">
        <v>226</v>
      </c>
      <c r="D1" s="258" t="s">
        <v>935</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2020</v>
      </c>
      <c r="E2" s="266"/>
      <c r="J2" s="267" t="s">
        <v>231</v>
      </c>
      <c r="K2" s="268">
        <f ca="1">NPV(DiscountRate,AA19:AA59)</f>
        <v>195579.35209406272</v>
      </c>
      <c r="L2" s="269">
        <f ca="1">-SUM(OFFSET(W19,0,0,M2-2010+1,4))</f>
        <v>14501.614126302708</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542986.87078075868</v>
      </c>
      <c r="L3" s="277" t="s">
        <v>235</v>
      </c>
      <c r="M3" s="278">
        <f ca="1">-SUM(OFFSET(W19,M2-2010,0,1,4))</f>
        <v>404.64391015628252</v>
      </c>
      <c r="N3" s="272"/>
      <c r="O3" s="1496">
        <f ca="1">AVERAGE(OFFSET(AJ19,0,0,$M$2-2010+1,1))</f>
        <v>47806.758666057853</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467.79400407428091</v>
      </c>
      <c r="M4" s="281">
        <f ca="1">-SUM(OFFSET(W19,M2-2010,0,1,4))/SUM(OFFSET(ExposureCalculations!G16,M2-2010,0,1,3))</f>
        <v>3.7010185014836686E-4</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942</v>
      </c>
      <c r="E5" s="273"/>
      <c r="F5" s="272"/>
      <c r="G5" s="272"/>
      <c r="H5" s="272"/>
      <c r="I5" s="273"/>
      <c r="J5" s="275" t="s">
        <v>238</v>
      </c>
      <c r="K5" s="276">
        <f>NPV(DiscountRate,AL19:AL59)</f>
        <v>-1745104.6315127783</v>
      </c>
      <c r="L5" s="277"/>
      <c r="M5" s="272"/>
      <c r="N5" s="272"/>
      <c r="O5" s="1496">
        <f ca="1">AVERAGE(OFFSET(AL19,0,0,$M$2-2010+1,1))</f>
        <v>-73525.85365853658</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 ca="1">NPV(DiscountRate,AO19:AO59)</f>
        <v>-1581958.7162655224</v>
      </c>
      <c r="L7" s="272"/>
      <c r="M7" s="272"/>
      <c r="N7" s="272"/>
      <c r="O7" s="1496">
        <f ca="1">AVERAGE(OFFSET(AO19,0,0,$M$2-2010+1,1))</f>
        <v>-157895.73048780486</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-2588497.1249034782</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-0.48329050199104018</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t="str">
        <f ca="1">IFERROR(COUNTIF(AS19:AS59,"&lt;=0")+1-INDEX(AS19:AS59,COUNTIF(AS19:AS59,"&lt;=0")+1)/INDEX(AR19:AR59,COUNTIF(AS19:AS59,"&lt;=0")+1)-(D2-2010),"Check Calc")</f>
        <v>Check Calc</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-2784076.4769975408</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679.0247248054161</v>
      </c>
      <c r="L13" s="915"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47.700994146724312</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1">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900">
        <v>2020</v>
      </c>
      <c r="AV19" s="879" t="s">
        <v>776</v>
      </c>
      <c r="AW19" s="879"/>
      <c r="AX19" s="35"/>
      <c r="AY19" s="880"/>
    </row>
    <row r="20" spans="1:51">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v>0</v>
      </c>
      <c r="N20" s="307">
        <f t="shared" ref="N20:N59" ca="1" si="12">K20+L20</f>
        <v>130129.26073503707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878"/>
      <c r="AV20" s="35"/>
      <c r="AW20" s="879"/>
      <c r="AX20" s="35"/>
      <c r="AY20" s="880"/>
    </row>
    <row r="21" spans="1:51">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2">-H21*I21</f>
        <v>0</v>
      </c>
      <c r="K21" s="307">
        <f t="shared" ca="1" si="10"/>
        <v>133825.36797702796</v>
      </c>
      <c r="L21" s="307">
        <f t="shared" si="11"/>
        <v>0</v>
      </c>
      <c r="M21" s="307">
        <v>0</v>
      </c>
      <c r="N21" s="307">
        <f t="shared" ca="1" si="12"/>
        <v>133825.36797702796</v>
      </c>
      <c r="O21" s="306">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0</v>
      </c>
      <c r="Y21" s="306">
        <v>0</v>
      </c>
      <c r="Z21" s="306">
        <v>0</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v>0</v>
      </c>
      <c r="AM21" s="309">
        <f t="shared" si="19"/>
        <v>0</v>
      </c>
      <c r="AN21" s="310">
        <v>0</v>
      </c>
      <c r="AO21" s="310">
        <v>0</v>
      </c>
      <c r="AP21" s="310">
        <f t="shared" si="20"/>
        <v>0</v>
      </c>
      <c r="AQ21" s="309">
        <v>0</v>
      </c>
      <c r="AR21" s="311">
        <f t="shared" ca="1" si="7"/>
        <v>0</v>
      </c>
      <c r="AS21" s="870">
        <f t="shared" ca="1" si="21"/>
        <v>0</v>
      </c>
      <c r="AT21" s="822"/>
      <c r="AU21" s="898">
        <v>1000</v>
      </c>
      <c r="AV21" s="35" t="s">
        <v>946</v>
      </c>
      <c r="AW21" s="879"/>
      <c r="AX21" s="35"/>
      <c r="AY21" s="880"/>
    </row>
    <row r="22" spans="1:51">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2"/>
        <v>0</v>
      </c>
      <c r="K22" s="307">
        <f t="shared" ca="1" si="10"/>
        <v>135980.03402546333</v>
      </c>
      <c r="L22" s="307">
        <f t="shared" si="11"/>
        <v>0</v>
      </c>
      <c r="M22" s="307">
        <v>0</v>
      </c>
      <c r="N22" s="307">
        <f t="shared" ca="1" si="12"/>
        <v>135980.03402546333</v>
      </c>
      <c r="O22" s="306">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0</v>
      </c>
      <c r="Y22" s="306">
        <v>0</v>
      </c>
      <c r="Z22" s="306">
        <v>0</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v>0</v>
      </c>
      <c r="AM22" s="309">
        <f t="shared" si="19"/>
        <v>0</v>
      </c>
      <c r="AN22" s="310">
        <v>0</v>
      </c>
      <c r="AO22" s="310">
        <v>0</v>
      </c>
      <c r="AP22" s="310">
        <f t="shared" si="20"/>
        <v>0</v>
      </c>
      <c r="AQ22" s="309">
        <v>0</v>
      </c>
      <c r="AR22" s="311">
        <f t="shared" ca="1" si="7"/>
        <v>0</v>
      </c>
      <c r="AS22" s="870">
        <f t="shared" ca="1" si="21"/>
        <v>0</v>
      </c>
      <c r="AT22" s="822"/>
      <c r="AU22" s="878"/>
      <c r="AV22" s="35"/>
      <c r="AW22" s="879"/>
      <c r="AX22" s="35"/>
      <c r="AY22" s="880"/>
    </row>
    <row r="23" spans="1:51">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2"/>
        <v>0</v>
      </c>
      <c r="K23" s="307">
        <f t="shared" ca="1" si="10"/>
        <v>137556.65962631535</v>
      </c>
      <c r="L23" s="307">
        <f t="shared" si="11"/>
        <v>0</v>
      </c>
      <c r="M23" s="307">
        <v>0</v>
      </c>
      <c r="N23" s="307">
        <f t="shared" ca="1" si="12"/>
        <v>137556.65962631535</v>
      </c>
      <c r="O23" s="306">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0</v>
      </c>
      <c r="Y23" s="306">
        <v>0</v>
      </c>
      <c r="Z23" s="306">
        <v>0</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v>0</v>
      </c>
      <c r="AM23" s="309">
        <f t="shared" si="19"/>
        <v>0</v>
      </c>
      <c r="AN23" s="310">
        <v>0</v>
      </c>
      <c r="AO23" s="310">
        <v>0</v>
      </c>
      <c r="AP23" s="310">
        <f t="shared" si="20"/>
        <v>0</v>
      </c>
      <c r="AQ23" s="309">
        <v>0</v>
      </c>
      <c r="AR23" s="311">
        <f t="shared" ca="1" si="7"/>
        <v>0</v>
      </c>
      <c r="AS23" s="870">
        <f t="shared" ca="1" si="21"/>
        <v>0</v>
      </c>
      <c r="AT23" s="822"/>
      <c r="AU23" s="901">
        <f>'Dish Stirling SAM'!B73/100</f>
        <v>8.7042800000000004E-2</v>
      </c>
      <c r="AV23" s="35" t="s">
        <v>1368</v>
      </c>
      <c r="AW23" s="879"/>
      <c r="AX23" s="35"/>
      <c r="AY23" s="880"/>
    </row>
    <row r="24" spans="1:51">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2"/>
        <v>0</v>
      </c>
      <c r="K24" s="307">
        <f t="shared" ca="1" si="10"/>
        <v>140674.7264207229</v>
      </c>
      <c r="L24" s="307">
        <f t="shared" si="11"/>
        <v>0</v>
      </c>
      <c r="M24" s="307">
        <v>0</v>
      </c>
      <c r="N24" s="307">
        <f t="shared" ca="1" si="12"/>
        <v>140674.7264207229</v>
      </c>
      <c r="O24" s="306">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0</v>
      </c>
      <c r="Y24" s="306">
        <v>0</v>
      </c>
      <c r="Z24" s="306">
        <v>0</v>
      </c>
      <c r="AA24" s="308">
        <f ca="1">-SUM(W24,X24/OFFSET(GridFootprintbyYear,$A24-$A$19,0)*EF_PurchElec_MTperMWh,Z24)*OFFSET(ExposureCalculations!Price_GHG_Allowance_2010,A24-$A$19,0)*ExposureCalculations!D21</f>
        <v>0</v>
      </c>
      <c r="AB24" s="308">
        <f t="shared" ca="1" si="3"/>
        <v>0</v>
      </c>
      <c r="AC24" s="308">
        <v>0</v>
      </c>
      <c r="AD24" s="819">
        <f t="shared" ca="1" si="4"/>
        <v>0</v>
      </c>
      <c r="AE24" s="308">
        <v>0</v>
      </c>
      <c r="AF24" s="819">
        <f t="shared" ca="1" si="5"/>
        <v>0</v>
      </c>
      <c r="AG24" s="308">
        <v>0</v>
      </c>
      <c r="AH24" s="308">
        <v>0</v>
      </c>
      <c r="AI24" s="308">
        <v>0</v>
      </c>
      <c r="AJ24" s="308">
        <f t="shared" ca="1" si="6"/>
        <v>0</v>
      </c>
      <c r="AK24" s="309">
        <v>0</v>
      </c>
      <c r="AL24" s="309">
        <v>0</v>
      </c>
      <c r="AM24" s="309">
        <f t="shared" si="19"/>
        <v>0</v>
      </c>
      <c r="AN24" s="310">
        <v>0</v>
      </c>
      <c r="AO24" s="310">
        <v>0</v>
      </c>
      <c r="AP24" s="310">
        <f t="shared" si="20"/>
        <v>0</v>
      </c>
      <c r="AQ24" s="309">
        <v>0</v>
      </c>
      <c r="AR24" s="311">
        <f t="shared" ca="1" si="7"/>
        <v>0</v>
      </c>
      <c r="AS24" s="870">
        <f t="shared" ca="1" si="21"/>
        <v>0</v>
      </c>
      <c r="AT24" s="822"/>
      <c r="AU24" s="878"/>
      <c r="AV24" s="35"/>
      <c r="AW24" s="879"/>
      <c r="AX24" s="35"/>
      <c r="AY24" s="880"/>
    </row>
    <row r="25" spans="1:51">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2"/>
        <v>0</v>
      </c>
      <c r="K25" s="307">
        <f t="shared" ca="1" si="10"/>
        <v>142251.35202157494</v>
      </c>
      <c r="L25" s="307">
        <f t="shared" si="11"/>
        <v>0</v>
      </c>
      <c r="M25" s="307">
        <v>0</v>
      </c>
      <c r="N25" s="307">
        <f t="shared" ca="1" si="12"/>
        <v>142251.35202157494</v>
      </c>
      <c r="O25" s="306">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0</v>
      </c>
      <c r="Y25" s="306">
        <v>0</v>
      </c>
      <c r="Z25" s="306">
        <v>0</v>
      </c>
      <c r="AA25" s="308">
        <f ca="1">-SUM(W25,X25/OFFSET(GridFootprintbyYear,$A25-$A$19,0)*EF_PurchElec_MTperMWh,Z25)*OFFSET(ExposureCalculations!Price_GHG_Allowance_2010,A25-$A$19,0)*ExposureCalculations!D22</f>
        <v>0</v>
      </c>
      <c r="AB25" s="308">
        <f t="shared" ca="1" si="3"/>
        <v>0</v>
      </c>
      <c r="AC25" s="308">
        <v>0</v>
      </c>
      <c r="AD25" s="819">
        <f t="shared" ca="1" si="4"/>
        <v>0</v>
      </c>
      <c r="AE25" s="308">
        <v>0</v>
      </c>
      <c r="AF25" s="819">
        <f t="shared" ca="1" si="5"/>
        <v>0</v>
      </c>
      <c r="AG25" s="308">
        <v>0</v>
      </c>
      <c r="AH25" s="308">
        <v>0</v>
      </c>
      <c r="AI25" s="308">
        <v>0</v>
      </c>
      <c r="AJ25" s="308">
        <f t="shared" ca="1" si="6"/>
        <v>0</v>
      </c>
      <c r="AK25" s="309">
        <v>0</v>
      </c>
      <c r="AL25" s="309">
        <v>0</v>
      </c>
      <c r="AM25" s="309">
        <f t="shared" si="19"/>
        <v>0</v>
      </c>
      <c r="AN25" s="310">
        <v>0</v>
      </c>
      <c r="AO25" s="310">
        <v>0</v>
      </c>
      <c r="AP25" s="310">
        <f t="shared" si="20"/>
        <v>0</v>
      </c>
      <c r="AQ25" s="309">
        <v>0</v>
      </c>
      <c r="AR25" s="311">
        <f t="shared" ca="1" si="7"/>
        <v>0</v>
      </c>
      <c r="AS25" s="870">
        <f t="shared" ca="1" si="21"/>
        <v>0</v>
      </c>
      <c r="AT25" s="822"/>
      <c r="AU25" s="898">
        <f>AU21*8760*AU23</f>
        <v>762494.92800000007</v>
      </c>
      <c r="AV25" s="35" t="s">
        <v>947</v>
      </c>
      <c r="AW25" s="879"/>
      <c r="AX25" s="35"/>
      <c r="AY25" s="880"/>
    </row>
    <row r="26" spans="1:51">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2"/>
        <v>0</v>
      </c>
      <c r="K26" s="307">
        <f t="shared" ca="1" si="10"/>
        <v>143827.97762242699</v>
      </c>
      <c r="L26" s="307">
        <f t="shared" si="11"/>
        <v>0</v>
      </c>
      <c r="M26" s="307">
        <v>0</v>
      </c>
      <c r="N26" s="307">
        <f t="shared" ca="1" si="12"/>
        <v>143827.97762242699</v>
      </c>
      <c r="O26" s="306">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0</v>
      </c>
      <c r="Y26" s="306">
        <v>0</v>
      </c>
      <c r="Z26" s="306">
        <v>0</v>
      </c>
      <c r="AA26" s="308">
        <f ca="1">-SUM(W26,X26/OFFSET(GridFootprintbyYear,$A26-$A$19,0)*EF_PurchElec_MTperMWh,Z26)*OFFSET(ExposureCalculations!Price_GHG_Allowance_2010,A26-$A$19,0)*ExposureCalculations!D23</f>
        <v>0</v>
      </c>
      <c r="AB26" s="308">
        <f t="shared" ca="1" si="3"/>
        <v>0</v>
      </c>
      <c r="AC26" s="308">
        <v>0</v>
      </c>
      <c r="AD26" s="819">
        <f t="shared" ca="1" si="4"/>
        <v>0</v>
      </c>
      <c r="AE26" s="308">
        <v>0</v>
      </c>
      <c r="AF26" s="819">
        <f t="shared" ca="1" si="5"/>
        <v>0</v>
      </c>
      <c r="AG26" s="308">
        <v>0</v>
      </c>
      <c r="AH26" s="308">
        <v>0</v>
      </c>
      <c r="AI26" s="308">
        <v>0</v>
      </c>
      <c r="AJ26" s="308">
        <f t="shared" ca="1" si="6"/>
        <v>0</v>
      </c>
      <c r="AK26" s="309">
        <v>0</v>
      </c>
      <c r="AL26" s="309">
        <v>0</v>
      </c>
      <c r="AM26" s="309">
        <f t="shared" si="19"/>
        <v>0</v>
      </c>
      <c r="AN26" s="310">
        <v>0</v>
      </c>
      <c r="AO26" s="310">
        <v>0</v>
      </c>
      <c r="AP26" s="310">
        <f t="shared" si="20"/>
        <v>0</v>
      </c>
      <c r="AQ26" s="309">
        <v>0</v>
      </c>
      <c r="AR26" s="311">
        <f t="shared" ca="1" si="7"/>
        <v>0</v>
      </c>
      <c r="AS26" s="870">
        <f t="shared" ca="1" si="21"/>
        <v>0</v>
      </c>
      <c r="AT26" s="822"/>
      <c r="AU26" s="878"/>
      <c r="AV26" s="35"/>
      <c r="AW26" s="879"/>
      <c r="AX26" s="35"/>
      <c r="AY26" s="880"/>
    </row>
    <row r="27" spans="1:51">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2"/>
        <v>0</v>
      </c>
      <c r="K27" s="307">
        <f t="shared" ca="1" si="10"/>
        <v>145404.603223279</v>
      </c>
      <c r="L27" s="307">
        <f t="shared" si="11"/>
        <v>0</v>
      </c>
      <c r="M27" s="307">
        <v>0</v>
      </c>
      <c r="N27" s="307">
        <f t="shared" ca="1" si="12"/>
        <v>145404.603223279</v>
      </c>
      <c r="O27" s="306">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0</v>
      </c>
      <c r="Y27" s="306">
        <v>0</v>
      </c>
      <c r="Z27" s="306">
        <v>0</v>
      </c>
      <c r="AA27" s="308">
        <f ca="1">-SUM(W27,X27/OFFSET(GridFootprintbyYear,$A27-$A$19,0)*EF_PurchElec_MTperMWh,Z27)*OFFSET(ExposureCalculations!Price_GHG_Allowance_2010,A27-$A$19,0)*ExposureCalculations!D24</f>
        <v>0</v>
      </c>
      <c r="AB27" s="308">
        <f t="shared" ca="1" si="3"/>
        <v>0</v>
      </c>
      <c r="AC27" s="308">
        <v>0</v>
      </c>
      <c r="AD27" s="819">
        <f t="shared" ca="1" si="4"/>
        <v>0</v>
      </c>
      <c r="AE27" s="308">
        <v>0</v>
      </c>
      <c r="AF27" s="819">
        <f t="shared" ca="1" si="5"/>
        <v>0</v>
      </c>
      <c r="AG27" s="308">
        <v>0</v>
      </c>
      <c r="AH27" s="308">
        <v>0</v>
      </c>
      <c r="AI27" s="308">
        <v>0</v>
      </c>
      <c r="AJ27" s="308">
        <f t="shared" ca="1" si="6"/>
        <v>0</v>
      </c>
      <c r="AK27" s="309">
        <v>0</v>
      </c>
      <c r="AL27" s="309">
        <v>0</v>
      </c>
      <c r="AM27" s="309">
        <f t="shared" si="19"/>
        <v>0</v>
      </c>
      <c r="AN27" s="310">
        <v>0</v>
      </c>
      <c r="AO27" s="310">
        <v>0</v>
      </c>
      <c r="AP27" s="310">
        <f t="shared" si="20"/>
        <v>0</v>
      </c>
      <c r="AQ27" s="309">
        <v>0</v>
      </c>
      <c r="AR27" s="311">
        <f t="shared" ca="1" si="7"/>
        <v>0</v>
      </c>
      <c r="AS27" s="870">
        <f t="shared" ca="1" si="21"/>
        <v>0</v>
      </c>
      <c r="AT27" s="822"/>
      <c r="AU27" s="902">
        <f>'Dish Stirling SAM'!B75</f>
        <v>3014560</v>
      </c>
      <c r="AV27" s="35" t="s">
        <v>802</v>
      </c>
      <c r="AW27" s="879"/>
      <c r="AX27" s="35"/>
      <c r="AY27" s="880"/>
    </row>
    <row r="28" spans="1:51">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2"/>
        <v>0</v>
      </c>
      <c r="K28" s="307">
        <f t="shared" ca="1" si="10"/>
        <v>146981.22882413102</v>
      </c>
      <c r="L28" s="307">
        <f t="shared" si="11"/>
        <v>0</v>
      </c>
      <c r="M28" s="307">
        <v>0</v>
      </c>
      <c r="N28" s="307">
        <f t="shared" ca="1" si="12"/>
        <v>146981.22882413102</v>
      </c>
      <c r="O28" s="306">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0</v>
      </c>
      <c r="Y28" s="306">
        <v>0</v>
      </c>
      <c r="Z28" s="306">
        <v>0</v>
      </c>
      <c r="AA28" s="308">
        <f ca="1">-SUM(W28,X28/OFFSET(GridFootprintbyYear,$A28-$A$19,0)*EF_PurchElec_MTperMWh,Z28)*OFFSET(ExposureCalculations!Price_GHG_Allowance_2010,A28-$A$19,0)*ExposureCalculations!D25</f>
        <v>0</v>
      </c>
      <c r="AB28" s="308">
        <f t="shared" ca="1" si="3"/>
        <v>0</v>
      </c>
      <c r="AC28" s="308">
        <v>0</v>
      </c>
      <c r="AD28" s="819">
        <f t="shared" ca="1" si="4"/>
        <v>0</v>
      </c>
      <c r="AE28" s="308">
        <v>0</v>
      </c>
      <c r="AF28" s="819">
        <f t="shared" ca="1" si="5"/>
        <v>0</v>
      </c>
      <c r="AG28" s="308">
        <v>0</v>
      </c>
      <c r="AH28" s="308">
        <v>0</v>
      </c>
      <c r="AI28" s="308">
        <v>0</v>
      </c>
      <c r="AJ28" s="308">
        <f t="shared" ca="1" si="6"/>
        <v>0</v>
      </c>
      <c r="AK28" s="309">
        <v>0</v>
      </c>
      <c r="AL28" s="309">
        <f>-AU27</f>
        <v>-3014560</v>
      </c>
      <c r="AM28" s="309">
        <f t="shared" si="19"/>
        <v>-3014560</v>
      </c>
      <c r="AN28" s="310">
        <v>0</v>
      </c>
      <c r="AO28" s="310">
        <v>0</v>
      </c>
      <c r="AP28" s="310">
        <f t="shared" si="20"/>
        <v>0</v>
      </c>
      <c r="AQ28" s="309">
        <v>0</v>
      </c>
      <c r="AR28" s="311">
        <f t="shared" ca="1" si="7"/>
        <v>-3014560</v>
      </c>
      <c r="AS28" s="870">
        <f t="shared" ca="1" si="21"/>
        <v>-3014560</v>
      </c>
      <c r="AT28" s="822"/>
      <c r="AU28" s="878"/>
      <c r="AV28" s="35"/>
      <c r="AW28" s="879"/>
      <c r="AX28" s="35"/>
      <c r="AY28" s="880"/>
    </row>
    <row r="29" spans="1:51">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2"/>
        <v>0</v>
      </c>
      <c r="K29" s="307">
        <f t="shared" ca="1" si="10"/>
        <v>148557.85442498306</v>
      </c>
      <c r="L29" s="307">
        <f t="shared" ca="1" si="11"/>
        <v>-762.495</v>
      </c>
      <c r="M29" s="307">
        <f ca="1">OFFSET('Dish Stirling SAM'!$C$2,0,DishStirling!A29-DishStirling!$A$29)/1000</f>
        <v>762.495</v>
      </c>
      <c r="N29" s="307">
        <f t="shared" ca="1" si="12"/>
        <v>147795.35942498306</v>
      </c>
      <c r="O29" s="306">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-541.56720162645297</v>
      </c>
      <c r="Y29" s="306">
        <v>0</v>
      </c>
      <c r="Z29" s="306">
        <v>0</v>
      </c>
      <c r="AA29" s="308">
        <f ca="1">-SUM(W29,X29/OFFSET(GridFootprintbyYear,$A29-$A$19,0)*EF_PurchElec_MTperMWh,Z29)*OFFSET(ExposureCalculations!Price_GHG_Allowance_2010,A29-$A$19,0)*ExposureCalculations!D26</f>
        <v>10140.54476490753</v>
      </c>
      <c r="AB29" s="308">
        <f t="shared" ca="1" si="3"/>
        <v>68126.573073337524</v>
      </c>
      <c r="AC29" s="308">
        <v>0</v>
      </c>
      <c r="AD29" s="819">
        <f t="shared" ca="1" si="4"/>
        <v>0</v>
      </c>
      <c r="AE29" s="308">
        <v>0</v>
      </c>
      <c r="AF29" s="819">
        <f t="shared" ca="1" si="5"/>
        <v>0</v>
      </c>
      <c r="AG29" s="308">
        <v>0</v>
      </c>
      <c r="AH29" s="308">
        <v>0</v>
      </c>
      <c r="AI29" s="308">
        <v>0</v>
      </c>
      <c r="AJ29" s="308">
        <f t="shared" ca="1" si="6"/>
        <v>68126.573073337524</v>
      </c>
      <c r="AK29" s="309">
        <v>0</v>
      </c>
      <c r="AL29" s="309">
        <v>0</v>
      </c>
      <c r="AM29" s="309">
        <f t="shared" si="19"/>
        <v>0</v>
      </c>
      <c r="AN29" s="310">
        <v>0</v>
      </c>
      <c r="AO29" s="310">
        <f ca="1">-OFFSET('Dish Stirling SAM'!$C$13,0,DishStirling!A29-DishStirling!$A$29)</f>
        <v>-140970.62</v>
      </c>
      <c r="AP29" s="310">
        <f t="shared" ca="1" si="20"/>
        <v>-140970.62</v>
      </c>
      <c r="AQ29" s="309">
        <v>0</v>
      </c>
      <c r="AR29" s="311">
        <f t="shared" ca="1" si="7"/>
        <v>-62703.502161754936</v>
      </c>
      <c r="AS29" s="870">
        <f t="shared" ca="1" si="21"/>
        <v>-3077263.5021617548</v>
      </c>
      <c r="AT29" s="822"/>
      <c r="AU29" s="900" t="s">
        <v>948</v>
      </c>
      <c r="AV29" s="35" t="s">
        <v>830</v>
      </c>
      <c r="AW29" s="879"/>
      <c r="AX29" s="35"/>
      <c r="AY29" s="880"/>
    </row>
    <row r="30" spans="1:51">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2"/>
        <v>0</v>
      </c>
      <c r="K30" s="307">
        <f t="shared" ca="1" si="10"/>
        <v>150134.48002583507</v>
      </c>
      <c r="L30" s="307">
        <f t="shared" ca="1" si="11"/>
        <v>-754.87</v>
      </c>
      <c r="M30" s="307">
        <f ca="1">OFFSET('Dish Stirling SAM'!$C$2,0,DishStirling!A30-DishStirling!$A$29)/1000</f>
        <v>754.87</v>
      </c>
      <c r="N30" s="307">
        <f t="shared" ca="1" si="12"/>
        <v>149379.61002583508</v>
      </c>
      <c r="O30" s="306">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-536.15149409735216</v>
      </c>
      <c r="Y30" s="306">
        <v>0</v>
      </c>
      <c r="Z30" s="306">
        <v>0</v>
      </c>
      <c r="AA30" s="308">
        <f ca="1">-SUM(W30,X30/OFFSET(GridFootprintbyYear,$A30-$A$19,0)*EF_PurchElec_MTperMWh,Z30)*OFFSET(ExposureCalculations!Price_GHG_Allowance_2010,A30-$A$19,0)*ExposureCalculations!D27</f>
        <v>11182.507111681158</v>
      </c>
      <c r="AB30" s="308">
        <f t="shared" ca="1" si="3"/>
        <v>67782.529389634889</v>
      </c>
      <c r="AC30" s="308">
        <v>0</v>
      </c>
      <c r="AD30" s="819">
        <f t="shared" ca="1" si="4"/>
        <v>0</v>
      </c>
      <c r="AE30" s="308">
        <v>0</v>
      </c>
      <c r="AF30" s="819">
        <f t="shared" ca="1" si="5"/>
        <v>0</v>
      </c>
      <c r="AG30" s="308">
        <v>0</v>
      </c>
      <c r="AH30" s="308">
        <v>0</v>
      </c>
      <c r="AI30" s="308">
        <v>0</v>
      </c>
      <c r="AJ30" s="308">
        <f t="shared" ca="1" si="6"/>
        <v>67782.529389634889</v>
      </c>
      <c r="AK30" s="309">
        <v>0</v>
      </c>
      <c r="AL30" s="309">
        <v>0</v>
      </c>
      <c r="AM30" s="309">
        <f t="shared" si="19"/>
        <v>0</v>
      </c>
      <c r="AN30" s="310">
        <v>0</v>
      </c>
      <c r="AO30" s="310">
        <f ca="1">-OFFSET('Dish Stirling SAM'!$C$13,0,DishStirling!A30-DishStirling!$A$29)</f>
        <v>-144489.42000000001</v>
      </c>
      <c r="AP30" s="310">
        <f t="shared" ca="1" si="20"/>
        <v>-144489.42000000001</v>
      </c>
      <c r="AQ30" s="309">
        <v>0</v>
      </c>
      <c r="AR30" s="311">
        <f t="shared" ca="1" si="7"/>
        <v>-65524.383498683965</v>
      </c>
      <c r="AS30" s="870">
        <f t="shared" ca="1" si="21"/>
        <v>-3142787.8856604388</v>
      </c>
      <c r="AT30" s="822"/>
      <c r="AU30" s="878"/>
      <c r="AV30" s="35"/>
      <c r="AW30" s="879"/>
      <c r="AX30" s="35"/>
      <c r="AY30" s="880"/>
    </row>
    <row r="31" spans="1:51">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2"/>
        <v>0</v>
      </c>
      <c r="K31" s="307">
        <f t="shared" ca="1" si="10"/>
        <v>151711.10562668712</v>
      </c>
      <c r="L31" s="307">
        <f t="shared" ca="1" si="11"/>
        <v>-747.32100000000003</v>
      </c>
      <c r="M31" s="307">
        <f ca="1">OFFSET('Dish Stirling SAM'!$C$2,0,DishStirling!A31-DishStirling!$A$29)/1000</f>
        <v>747.32100000000003</v>
      </c>
      <c r="N31" s="307">
        <f t="shared" ca="1" si="12"/>
        <v>150963.78462668712</v>
      </c>
      <c r="O31" s="306">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-530.78976607936113</v>
      </c>
      <c r="Y31" s="306">
        <v>0</v>
      </c>
      <c r="Z31" s="306">
        <v>0</v>
      </c>
      <c r="AA31" s="308">
        <f ca="1">-SUM(W31,X31/OFFSET(GridFootprintbyYear,$A31-$A$19,0)*EF_PurchElec_MTperMWh,Z31)*OFFSET(ExposureCalculations!Price_GHG_Allowance_2010,A31-$A$19,0)*ExposureCalculations!D28</f>
        <v>12246.293984738308</v>
      </c>
      <c r="AB31" s="308">
        <f t="shared" ca="1" si="3"/>
        <v>67440.200543432991</v>
      </c>
      <c r="AC31" s="308">
        <v>0</v>
      </c>
      <c r="AD31" s="819">
        <f t="shared" ca="1" si="4"/>
        <v>0</v>
      </c>
      <c r="AE31" s="308">
        <v>0</v>
      </c>
      <c r="AF31" s="819">
        <f t="shared" ca="1" si="5"/>
        <v>0</v>
      </c>
      <c r="AG31" s="308">
        <v>0</v>
      </c>
      <c r="AH31" s="308">
        <v>0</v>
      </c>
      <c r="AI31" s="308">
        <v>0</v>
      </c>
      <c r="AJ31" s="308">
        <f t="shared" ca="1" si="6"/>
        <v>67440.200543432991</v>
      </c>
      <c r="AK31" s="309">
        <v>0</v>
      </c>
      <c r="AL31" s="309">
        <v>0</v>
      </c>
      <c r="AM31" s="309">
        <f t="shared" si="19"/>
        <v>0</v>
      </c>
      <c r="AN31" s="310">
        <v>0</v>
      </c>
      <c r="AO31" s="310">
        <f ca="1">-OFFSET('Dish Stirling SAM'!$C$13,0,DishStirling!A31-DishStirling!$A$29)</f>
        <v>-148096.1</v>
      </c>
      <c r="AP31" s="310">
        <f t="shared" ca="1" si="20"/>
        <v>-148096.1</v>
      </c>
      <c r="AQ31" s="309">
        <v>0</v>
      </c>
      <c r="AR31" s="311">
        <f t="shared" ca="1" si="7"/>
        <v>-68409.605471828705</v>
      </c>
      <c r="AS31" s="870">
        <f t="shared" ca="1" si="21"/>
        <v>-3211197.4911322673</v>
      </c>
      <c r="AT31" s="822"/>
      <c r="AU31" s="878"/>
      <c r="AV31" s="35"/>
      <c r="AW31" s="879"/>
      <c r="AX31" s="35"/>
      <c r="AY31" s="880"/>
    </row>
    <row r="32" spans="1:51">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2"/>
        <v>0</v>
      </c>
      <c r="K32" s="307">
        <f t="shared" ca="1" si="10"/>
        <v>153287.73122753916</v>
      </c>
      <c r="L32" s="307">
        <f t="shared" ca="1" si="11"/>
        <v>-739.84799999999996</v>
      </c>
      <c r="M32" s="307">
        <f ca="1">OFFSET('Dish Stirling SAM'!$C$2,0,DishStirling!A32-DishStirling!$A$29)/1000</f>
        <v>739.84799999999996</v>
      </c>
      <c r="N32" s="307">
        <f t="shared" ca="1" si="12"/>
        <v>152547.88322753916</v>
      </c>
      <c r="O32" s="306">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-525.48201757247966</v>
      </c>
      <c r="Y32" s="306">
        <v>0</v>
      </c>
      <c r="Z32" s="306">
        <v>0</v>
      </c>
      <c r="AA32" s="308">
        <f ca="1">-SUM(W32,X32/OFFSET(GridFootprintbyYear,$A32-$A$19,0)*EF_PurchElec_MTperMWh,Z32)*OFFSET(ExposureCalculations!Price_GHG_Allowance_2010,A32-$A$19,0)*ExposureCalculations!D29</f>
        <v>13329.196504998561</v>
      </c>
      <c r="AB32" s="308">
        <f t="shared" ca="1" si="3"/>
        <v>67099.646576392348</v>
      </c>
      <c r="AC32" s="308">
        <v>0</v>
      </c>
      <c r="AD32" s="819">
        <f t="shared" ca="1" si="4"/>
        <v>0</v>
      </c>
      <c r="AE32" s="308">
        <v>0</v>
      </c>
      <c r="AF32" s="819">
        <f t="shared" ca="1" si="5"/>
        <v>0</v>
      </c>
      <c r="AG32" s="308">
        <v>0</v>
      </c>
      <c r="AH32" s="308">
        <v>0</v>
      </c>
      <c r="AI32" s="308">
        <v>0</v>
      </c>
      <c r="AJ32" s="308">
        <f t="shared" ca="1" si="6"/>
        <v>67099.646576392348</v>
      </c>
      <c r="AK32" s="309">
        <v>0</v>
      </c>
      <c r="AL32" s="309">
        <v>0</v>
      </c>
      <c r="AM32" s="309">
        <f t="shared" si="19"/>
        <v>0</v>
      </c>
      <c r="AN32" s="310">
        <v>0</v>
      </c>
      <c r="AO32" s="310">
        <f ca="1">-OFFSET('Dish Stirling SAM'!$C$13,0,DishStirling!A32-DishStirling!$A$29)</f>
        <v>-151792.87</v>
      </c>
      <c r="AP32" s="310">
        <f t="shared" ca="1" si="20"/>
        <v>-151792.87</v>
      </c>
      <c r="AQ32" s="309">
        <v>0</v>
      </c>
      <c r="AR32" s="311">
        <f t="shared" ca="1" si="7"/>
        <v>-71364.026918609088</v>
      </c>
      <c r="AS32" s="870">
        <f t="shared" ca="1" si="21"/>
        <v>-3282561.5180508764</v>
      </c>
      <c r="AT32" s="822"/>
      <c r="AU32" s="878"/>
      <c r="AV32" s="35"/>
      <c r="AW32" s="879"/>
      <c r="AX32" s="35"/>
      <c r="AY32" s="880"/>
    </row>
    <row r="33" spans="1:51">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2"/>
        <v>0</v>
      </c>
      <c r="K33" s="307">
        <f t="shared" ca="1" si="10"/>
        <v>154864.35682839117</v>
      </c>
      <c r="L33" s="307">
        <f t="shared" ca="1" si="11"/>
        <v>-732.44899999999996</v>
      </c>
      <c r="M33" s="307">
        <f ca="1">OFFSET('Dish Stirling SAM'!$C$2,0,DishStirling!A33-DishStirling!$A$29)/1000</f>
        <v>732.44899999999996</v>
      </c>
      <c r="N33" s="307">
        <f t="shared" ca="1" si="12"/>
        <v>154131.90782839118</v>
      </c>
      <c r="O33" s="306">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-520.22682806325781</v>
      </c>
      <c r="Y33" s="306">
        <v>0</v>
      </c>
      <c r="Z33" s="306">
        <v>0</v>
      </c>
      <c r="AA33" s="308">
        <f ca="1">-SUM(W33,X33/OFFSET(GridFootprintbyYear,$A33-$A$19,0)*EF_PurchElec_MTperMWh,Z33)*OFFSET(ExposureCalculations!Price_GHG_Allowance_2010,A33-$A$19,0)*ExposureCalculations!D30</f>
        <v>14428.574698252962</v>
      </c>
      <c r="AB33" s="308">
        <f t="shared" ca="1" si="3"/>
        <v>66760.745964587521</v>
      </c>
      <c r="AC33" s="308">
        <v>0</v>
      </c>
      <c r="AD33" s="819">
        <f t="shared" ca="1" si="4"/>
        <v>0</v>
      </c>
      <c r="AE33" s="308">
        <v>0</v>
      </c>
      <c r="AF33" s="819">
        <f t="shared" ca="1" si="5"/>
        <v>0</v>
      </c>
      <c r="AG33" s="308">
        <v>0</v>
      </c>
      <c r="AH33" s="308">
        <v>0</v>
      </c>
      <c r="AI33" s="308">
        <v>0</v>
      </c>
      <c r="AJ33" s="308">
        <f t="shared" ca="1" si="6"/>
        <v>66760.745964587521</v>
      </c>
      <c r="AK33" s="309">
        <v>0</v>
      </c>
      <c r="AL33" s="309">
        <v>0</v>
      </c>
      <c r="AM33" s="309">
        <f t="shared" si="19"/>
        <v>0</v>
      </c>
      <c r="AN33" s="310">
        <v>0</v>
      </c>
      <c r="AO33" s="310">
        <f ca="1">-OFFSET('Dish Stirling SAM'!$C$13,0,DishStirling!A33-DishStirling!$A$29)</f>
        <v>-155581.98000000001</v>
      </c>
      <c r="AP33" s="310">
        <f t="shared" ca="1" si="20"/>
        <v>-155581.98000000001</v>
      </c>
      <c r="AQ33" s="309">
        <v>0</v>
      </c>
      <c r="AR33" s="311">
        <f t="shared" ca="1" si="7"/>
        <v>-74392.659337159523</v>
      </c>
      <c r="AS33" s="870">
        <f t="shared" ca="1" si="21"/>
        <v>-3356954.1773880362</v>
      </c>
      <c r="AT33" s="822"/>
      <c r="AU33" s="878"/>
      <c r="AV33" s="35"/>
      <c r="AW33" s="879"/>
      <c r="AX33" s="35"/>
      <c r="AY33" s="880"/>
    </row>
    <row r="34" spans="1:51">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2"/>
        <v>0</v>
      </c>
      <c r="K34" s="307">
        <f t="shared" ca="1" si="10"/>
        <v>156440.98242924322</v>
      </c>
      <c r="L34" s="307">
        <f t="shared" ca="1" si="11"/>
        <v>-725.125</v>
      </c>
      <c r="M34" s="307">
        <f ca="1">OFFSET('Dish Stirling SAM'!$C$2,0,DishStirling!A34-DishStirling!$A$29)/1000</f>
        <v>725.125</v>
      </c>
      <c r="N34" s="307">
        <f t="shared" ca="1" si="12"/>
        <v>155715.85742924322</v>
      </c>
      <c r="O34" s="306">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-515.02490780842061</v>
      </c>
      <c r="Y34" s="306">
        <v>0</v>
      </c>
      <c r="Z34" s="306">
        <v>0</v>
      </c>
      <c r="AA34" s="308">
        <f ca="1">-SUM(W34,X34/OFFSET(GridFootprintbyYear,$A34-$A$19,0)*EF_PurchElec_MTperMWh,Z34)*OFFSET(ExposureCalculations!Price_GHG_Allowance_2010,A34-$A$19,0)*ExposureCalculations!D31</f>
        <v>15541.944960515819</v>
      </c>
      <c r="AB34" s="308">
        <f t="shared" ca="1" si="3"/>
        <v>66423.649082952368</v>
      </c>
      <c r="AC34" s="308">
        <v>0</v>
      </c>
      <c r="AD34" s="819">
        <f t="shared" ca="1" si="4"/>
        <v>0</v>
      </c>
      <c r="AE34" s="308">
        <v>0</v>
      </c>
      <c r="AF34" s="819">
        <f t="shared" ca="1" si="5"/>
        <v>0</v>
      </c>
      <c r="AG34" s="308">
        <v>0</v>
      </c>
      <c r="AH34" s="308">
        <v>0</v>
      </c>
      <c r="AI34" s="308">
        <v>0</v>
      </c>
      <c r="AJ34" s="308">
        <f t="shared" ca="1" si="6"/>
        <v>66423.649082952368</v>
      </c>
      <c r="AK34" s="309">
        <v>0</v>
      </c>
      <c r="AL34" s="309">
        <v>0</v>
      </c>
      <c r="AM34" s="309">
        <f t="shared" si="19"/>
        <v>0</v>
      </c>
      <c r="AN34" s="310">
        <v>0</v>
      </c>
      <c r="AO34" s="310">
        <f ca="1">-OFFSET('Dish Stirling SAM'!$C$13,0,DishStirling!A34-DishStirling!$A$29)</f>
        <v>-159465.72</v>
      </c>
      <c r="AP34" s="310">
        <f t="shared" ca="1" si="20"/>
        <v>-159465.72</v>
      </c>
      <c r="AQ34" s="309">
        <v>0</v>
      </c>
      <c r="AR34" s="311">
        <f t="shared" ca="1" si="7"/>
        <v>-77500.125956531818</v>
      </c>
      <c r="AS34" s="870">
        <f t="shared" ca="1" si="21"/>
        <v>-3434454.3033445678</v>
      </c>
      <c r="AT34" s="822"/>
      <c r="AU34" s="878"/>
      <c r="AV34" s="35"/>
      <c r="AW34" s="879"/>
      <c r="AX34" s="35"/>
      <c r="AY34" s="880"/>
    </row>
    <row r="35" spans="1:51">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2"/>
        <v>0</v>
      </c>
      <c r="K35" s="307">
        <f t="shared" ca="1" si="10"/>
        <v>158017.60803009526</v>
      </c>
      <c r="L35" s="307">
        <f t="shared" ca="1" si="11"/>
        <v>-717.87400000000002</v>
      </c>
      <c r="M35" s="307">
        <f ca="1">OFFSET('Dish Stirling SAM'!$C$2,0,DishStirling!A35-DishStirling!$A$29)/1000</f>
        <v>717.87400000000002</v>
      </c>
      <c r="N35" s="307">
        <f t="shared" ca="1" si="12"/>
        <v>157299.73403009525</v>
      </c>
      <c r="O35" s="306">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-509.87483629451771</v>
      </c>
      <c r="Y35" s="306">
        <v>0</v>
      </c>
      <c r="Z35" s="306">
        <v>0</v>
      </c>
      <c r="AA35" s="308">
        <f ca="1">-SUM(W35,X35/OFFSET(GridFootprintbyYear,$A35-$A$19,0)*EF_PurchElec_MTperMWh,Z35)*OFFSET(ExposureCalculations!Price_GHG_Allowance_2010,A35-$A$19,0)*ExposureCalculations!D32</f>
        <v>16793.985494173663</v>
      </c>
      <c r="AB35" s="308">
        <f t="shared" ca="1" si="3"/>
        <v>66088.232670345416</v>
      </c>
      <c r="AC35" s="308">
        <v>0</v>
      </c>
      <c r="AD35" s="819">
        <f t="shared" ca="1" si="4"/>
        <v>0</v>
      </c>
      <c r="AE35" s="308">
        <v>0</v>
      </c>
      <c r="AF35" s="819">
        <f t="shared" ca="1" si="5"/>
        <v>0</v>
      </c>
      <c r="AG35" s="308">
        <v>0</v>
      </c>
      <c r="AH35" s="308">
        <v>0</v>
      </c>
      <c r="AI35" s="308">
        <v>0</v>
      </c>
      <c r="AJ35" s="308">
        <f t="shared" ca="1" si="6"/>
        <v>66088.232670345416</v>
      </c>
      <c r="AK35" s="309">
        <v>0</v>
      </c>
      <c r="AL35" s="309">
        <v>0</v>
      </c>
      <c r="AM35" s="309">
        <f t="shared" si="19"/>
        <v>0</v>
      </c>
      <c r="AN35" s="310">
        <v>0</v>
      </c>
      <c r="AO35" s="310">
        <f ca="1">-OFFSET('Dish Stirling SAM'!$C$13,0,DishStirling!A35-DishStirling!$A$29)</f>
        <v>-163446.48000000001</v>
      </c>
      <c r="AP35" s="310">
        <f t="shared" ca="1" si="20"/>
        <v>-163446.48000000001</v>
      </c>
      <c r="AQ35" s="309">
        <v>0</v>
      </c>
      <c r="AR35" s="311">
        <f t="shared" ca="1" si="7"/>
        <v>-80564.261835480924</v>
      </c>
      <c r="AS35" s="870">
        <f t="shared" ca="1" si="21"/>
        <v>-3515018.5651800488</v>
      </c>
      <c r="AT35" s="822"/>
      <c r="AU35" s="878"/>
      <c r="AV35" s="35"/>
      <c r="AW35" s="879"/>
      <c r="AX35" s="35"/>
      <c r="AY35" s="880"/>
    </row>
    <row r="36" spans="1:51">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2"/>
        <v>0</v>
      </c>
      <c r="K36" s="307">
        <f t="shared" ca="1" si="10"/>
        <v>159594.23363094722</v>
      </c>
      <c r="L36" s="307">
        <f t="shared" ca="1" si="11"/>
        <v>-710.69500000000005</v>
      </c>
      <c r="M36" s="307">
        <f ca="1">OFFSET('Dish Stirling SAM'!$C$2,0,DishStirling!A36-DishStirling!$A$29)/1000</f>
        <v>710.69500000000005</v>
      </c>
      <c r="N36" s="307">
        <f t="shared" ca="1" si="12"/>
        <v>158883.53863094721</v>
      </c>
      <c r="O36" s="306">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-504.77590326482402</v>
      </c>
      <c r="Y36" s="306">
        <v>0</v>
      </c>
      <c r="Z36" s="306">
        <v>0</v>
      </c>
      <c r="AA36" s="308">
        <f ca="1">-SUM(W36,X36/OFFSET(GridFootprintbyYear,$A36-$A$19,0)*EF_PurchElec_MTperMWh,Z36)*OFFSET(ExposureCalculations!Price_GHG_Allowance_2010,A36-$A$19,0)*ExposureCalculations!D33</f>
        <v>18062.678473967539</v>
      </c>
      <c r="AB36" s="308">
        <f t="shared" ca="1" si="3"/>
        <v>65754.463039808354</v>
      </c>
      <c r="AC36" s="308">
        <v>0</v>
      </c>
      <c r="AD36" s="819">
        <f t="shared" ca="1" si="4"/>
        <v>0</v>
      </c>
      <c r="AE36" s="308">
        <v>0</v>
      </c>
      <c r="AF36" s="819">
        <f t="shared" ca="1" si="5"/>
        <v>0</v>
      </c>
      <c r="AG36" s="308">
        <v>0</v>
      </c>
      <c r="AH36" s="308">
        <v>0</v>
      </c>
      <c r="AI36" s="308">
        <v>0</v>
      </c>
      <c r="AJ36" s="308">
        <f t="shared" ca="1" si="6"/>
        <v>65754.463039808354</v>
      </c>
      <c r="AK36" s="309">
        <v>0</v>
      </c>
      <c r="AL36" s="309">
        <v>0</v>
      </c>
      <c r="AM36" s="309">
        <f t="shared" si="19"/>
        <v>0</v>
      </c>
      <c r="AN36" s="310">
        <v>0</v>
      </c>
      <c r="AO36" s="310">
        <f ca="1">-OFFSET('Dish Stirling SAM'!$C$13,0,DishStirling!A36-DishStirling!$A$29)</f>
        <v>-167526.67000000001</v>
      </c>
      <c r="AP36" s="310">
        <f t="shared" ca="1" si="20"/>
        <v>-167526.67000000001</v>
      </c>
      <c r="AQ36" s="309">
        <v>0</v>
      </c>
      <c r="AR36" s="311">
        <f t="shared" ca="1" si="7"/>
        <v>-83709.528486224124</v>
      </c>
      <c r="AS36" s="870">
        <f t="shared" ca="1" si="21"/>
        <v>-3598728.0936662732</v>
      </c>
      <c r="AT36" s="822"/>
      <c r="AU36" s="878"/>
      <c r="AV36" s="35"/>
      <c r="AW36" s="879"/>
      <c r="AX36" s="35"/>
      <c r="AY36" s="880"/>
    </row>
    <row r="37" spans="1:51">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2"/>
        <v>0</v>
      </c>
      <c r="K37" s="307">
        <f t="shared" ca="1" si="10"/>
        <v>161170.85923179929</v>
      </c>
      <c r="L37" s="307">
        <f t="shared" ca="1" si="11"/>
        <v>-703.58799999999997</v>
      </c>
      <c r="M37" s="307">
        <f ca="1">OFFSET('Dish Stirling SAM'!$C$2,0,DishStirling!A37-DishStirling!$A$29)/1000</f>
        <v>703.58799999999997</v>
      </c>
      <c r="N37" s="307">
        <f t="shared" ca="1" si="12"/>
        <v>160467.2712317993</v>
      </c>
      <c r="O37" s="306">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-499.72810871933945</v>
      </c>
      <c r="Y37" s="306">
        <v>0</v>
      </c>
      <c r="Z37" s="306">
        <v>0</v>
      </c>
      <c r="AA37" s="308">
        <f ca="1">-SUM(W37,X37/OFFSET(GridFootprintbyYear,$A37-$A$19,0)*EF_PurchElec_MTperMWh,Z37)*OFFSET(ExposureCalculations!Price_GHG_Allowance_2010,A37-$A$19,0)*ExposureCalculations!D34</f>
        <v>19345.070374859137</v>
      </c>
      <c r="AB37" s="308">
        <f t="shared" ca="1" si="3"/>
        <v>65422.398352259304</v>
      </c>
      <c r="AC37" s="308">
        <v>0</v>
      </c>
      <c r="AD37" s="819">
        <f t="shared" ca="1" si="4"/>
        <v>0</v>
      </c>
      <c r="AE37" s="308">
        <v>0</v>
      </c>
      <c r="AF37" s="819">
        <f t="shared" ca="1" si="5"/>
        <v>0</v>
      </c>
      <c r="AG37" s="308">
        <v>0</v>
      </c>
      <c r="AH37" s="308">
        <v>0</v>
      </c>
      <c r="AI37" s="308">
        <v>0</v>
      </c>
      <c r="AJ37" s="308">
        <f t="shared" ca="1" si="6"/>
        <v>65422.398352259304</v>
      </c>
      <c r="AK37" s="309">
        <v>0</v>
      </c>
      <c r="AL37" s="309">
        <v>0</v>
      </c>
      <c r="AM37" s="309">
        <f t="shared" si="19"/>
        <v>0</v>
      </c>
      <c r="AN37" s="310">
        <v>0</v>
      </c>
      <c r="AO37" s="310">
        <f ca="1">-OFFSET('Dish Stirling SAM'!$C$13,0,DishStirling!A37-DishStirling!$A$29)</f>
        <v>-171708.77</v>
      </c>
      <c r="AP37" s="310">
        <f t="shared" ca="1" si="20"/>
        <v>-171708.77</v>
      </c>
      <c r="AQ37" s="309">
        <v>0</v>
      </c>
      <c r="AR37" s="311">
        <f t="shared" ca="1" si="7"/>
        <v>-86941.301272881552</v>
      </c>
      <c r="AS37" s="870">
        <f t="shared" ca="1" si="21"/>
        <v>-3685669.3949391549</v>
      </c>
      <c r="AT37" s="822"/>
      <c r="AU37" s="878"/>
      <c r="AV37" s="35"/>
      <c r="AW37" s="879"/>
      <c r="AX37" s="35"/>
      <c r="AY37" s="880"/>
    </row>
    <row r="38" spans="1:51">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2"/>
        <v>0</v>
      </c>
      <c r="K38" s="307">
        <f t="shared" ca="1" si="10"/>
        <v>162747.48483265133</v>
      </c>
      <c r="L38" s="307">
        <f t="shared" ca="1" si="11"/>
        <v>-696.55200000000002</v>
      </c>
      <c r="M38" s="307">
        <f ca="1">OFFSET('Dish Stirling SAM'!$C$2,0,DishStirling!A38-DishStirling!$A$29)/1000</f>
        <v>696.55200000000002</v>
      </c>
      <c r="N38" s="307">
        <f t="shared" ca="1" si="12"/>
        <v>162050.93283265134</v>
      </c>
      <c r="O38" s="306">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-494.73074240133911</v>
      </c>
      <c r="Y38" s="306">
        <v>0</v>
      </c>
      <c r="Z38" s="306">
        <v>0</v>
      </c>
      <c r="AA38" s="308">
        <f ca="1">-SUM(W38,X38/OFFSET(GridFootprintbyYear,$A38-$A$19,0)*EF_PurchElec_MTperMWh,Z38)*OFFSET(ExposureCalculations!Price_GHG_Allowance_2010,A38-$A$19,0)*ExposureCalculations!D35</f>
        <v>20638.298537974708</v>
      </c>
      <c r="AB38" s="308">
        <f t="shared" ca="1" si="3"/>
        <v>65092.004026714836</v>
      </c>
      <c r="AC38" s="308">
        <v>0</v>
      </c>
      <c r="AD38" s="819">
        <f t="shared" ca="1" si="4"/>
        <v>0</v>
      </c>
      <c r="AE38" s="308">
        <v>0</v>
      </c>
      <c r="AF38" s="819">
        <f t="shared" ca="1" si="5"/>
        <v>0</v>
      </c>
      <c r="AG38" s="308">
        <v>0</v>
      </c>
      <c r="AH38" s="308">
        <v>0</v>
      </c>
      <c r="AI38" s="308">
        <v>0</v>
      </c>
      <c r="AJ38" s="308">
        <f t="shared" ca="1" si="6"/>
        <v>65092.004026714836</v>
      </c>
      <c r="AK38" s="309">
        <v>0</v>
      </c>
      <c r="AL38" s="309">
        <v>0</v>
      </c>
      <c r="AM38" s="309">
        <f t="shared" si="19"/>
        <v>0</v>
      </c>
      <c r="AN38" s="310">
        <v>0</v>
      </c>
      <c r="AO38" s="310">
        <f ca="1">-OFFSET('Dish Stirling SAM'!$C$13,0,DishStirling!A38-DishStirling!$A$29)</f>
        <v>-175995.34</v>
      </c>
      <c r="AP38" s="310">
        <f t="shared" ca="1" si="20"/>
        <v>-175995.34</v>
      </c>
      <c r="AQ38" s="309">
        <v>0</v>
      </c>
      <c r="AR38" s="311">
        <f t="shared" ca="1" si="7"/>
        <v>-90265.037435310456</v>
      </c>
      <c r="AS38" s="870">
        <f t="shared" ca="1" si="21"/>
        <v>-3775934.4323744653</v>
      </c>
      <c r="AT38" s="822"/>
      <c r="AU38" s="878"/>
      <c r="AV38" s="35"/>
      <c r="AW38" s="879"/>
      <c r="AX38" s="35"/>
      <c r="AY38" s="880"/>
    </row>
    <row r="39" spans="1:51">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2"/>
        <v>0</v>
      </c>
      <c r="K39" s="307">
        <f t="shared" ca="1" si="10"/>
        <v>164324.11043350337</v>
      </c>
      <c r="L39" s="307">
        <f t="shared" ca="1" si="11"/>
        <v>-689.58699999999999</v>
      </c>
      <c r="M39" s="307">
        <f ca="1">OFFSET('Dish Stirling SAM'!$C$2,0,DishStirling!A39-DishStirling!$A$29)/1000</f>
        <v>689.58699999999999</v>
      </c>
      <c r="N39" s="307">
        <f t="shared" ca="1" si="12"/>
        <v>163634.52343350337</v>
      </c>
      <c r="O39" s="306">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-489.78380431082275</v>
      </c>
      <c r="Y39" s="306">
        <v>0</v>
      </c>
      <c r="Z39" s="306">
        <v>0</v>
      </c>
      <c r="AA39" s="308">
        <f ca="1">-SUM(W39,X39/OFFSET(GridFootprintbyYear,$A39-$A$19,0)*EF_PurchElec_MTperMWh,Z39)*OFFSET(ExposureCalculations!Price_GHG_Allowance_2010,A39-$A$19,0)*ExposureCalculations!D36</f>
        <v>21939.640983252146</v>
      </c>
      <c r="AB39" s="308">
        <f t="shared" ca="1" si="3"/>
        <v>64763.338242764425</v>
      </c>
      <c r="AC39" s="308">
        <v>0</v>
      </c>
      <c r="AD39" s="819">
        <f t="shared" ca="1" si="4"/>
        <v>0</v>
      </c>
      <c r="AE39" s="308">
        <v>0</v>
      </c>
      <c r="AF39" s="819">
        <f t="shared" ca="1" si="5"/>
        <v>0</v>
      </c>
      <c r="AG39" s="308">
        <v>0</v>
      </c>
      <c r="AH39" s="308">
        <v>0</v>
      </c>
      <c r="AI39" s="308">
        <v>0</v>
      </c>
      <c r="AJ39" s="308">
        <f t="shared" ca="1" si="6"/>
        <v>64763.338242764425</v>
      </c>
      <c r="AK39" s="309">
        <v>0</v>
      </c>
      <c r="AL39" s="309">
        <v>0</v>
      </c>
      <c r="AM39" s="309">
        <f t="shared" si="19"/>
        <v>0</v>
      </c>
      <c r="AN39" s="310">
        <v>0</v>
      </c>
      <c r="AO39" s="310">
        <f ca="1">-OFFSET('Dish Stirling SAM'!$C$13,0,DishStirling!A39-DishStirling!$A$29)</f>
        <v>-180388.99</v>
      </c>
      <c r="AP39" s="310">
        <f t="shared" ca="1" si="20"/>
        <v>-180388.99</v>
      </c>
      <c r="AQ39" s="309">
        <v>0</v>
      </c>
      <c r="AR39" s="311">
        <f t="shared" ca="1" si="7"/>
        <v>-93686.01077398342</v>
      </c>
      <c r="AS39" s="870">
        <f t="shared" ca="1" si="21"/>
        <v>-3869620.4431484486</v>
      </c>
      <c r="AT39" s="822"/>
      <c r="AU39" s="878"/>
      <c r="AV39" s="35"/>
      <c r="AW39" s="879"/>
      <c r="AX39" s="35"/>
      <c r="AY39" s="880"/>
    </row>
    <row r="40" spans="1:51">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2"/>
        <v>0</v>
      </c>
      <c r="K40" s="307">
        <f t="shared" ca="1" si="10"/>
        <v>165900.73603435536</v>
      </c>
      <c r="L40" s="307">
        <f t="shared" ca="1" si="11"/>
        <v>-682.69100000000003</v>
      </c>
      <c r="M40" s="307">
        <f ca="1">OFFSET('Dish Stirling SAM'!$C$2,0,DishStirling!A40-DishStirling!$A$29)/1000</f>
        <v>682.69100000000003</v>
      </c>
      <c r="N40" s="307">
        <f t="shared" ca="1" si="12"/>
        <v>165218.04503435537</v>
      </c>
      <c r="O40" s="306">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-484.88587393434028</v>
      </c>
      <c r="Y40" s="306">
        <v>0</v>
      </c>
      <c r="Z40" s="306">
        <v>0</v>
      </c>
      <c r="AA40" s="308">
        <f ca="1">-SUM(W40,X40/OFFSET(GridFootprintbyYear,$A40-$A$19,0)*EF_PurchElec_MTperMWh,Z40)*OFFSET(ExposureCalculations!Price_GHG_Allowance_2010,A40-$A$19,0)*ExposureCalculations!D37</f>
        <v>23429.448305463819</v>
      </c>
      <c r="AB40" s="308">
        <f t="shared" ca="1" si="3"/>
        <v>64436.271114496842</v>
      </c>
      <c r="AC40" s="308">
        <v>0</v>
      </c>
      <c r="AD40" s="819">
        <f t="shared" ca="1" si="4"/>
        <v>0</v>
      </c>
      <c r="AE40" s="308">
        <v>0</v>
      </c>
      <c r="AF40" s="819">
        <f t="shared" ca="1" si="5"/>
        <v>0</v>
      </c>
      <c r="AG40" s="308">
        <v>0</v>
      </c>
      <c r="AH40" s="308">
        <v>0</v>
      </c>
      <c r="AI40" s="308">
        <v>0</v>
      </c>
      <c r="AJ40" s="308">
        <f t="shared" ca="1" si="6"/>
        <v>64436.271114496842</v>
      </c>
      <c r="AK40" s="309">
        <v>0</v>
      </c>
      <c r="AL40" s="309">
        <v>0</v>
      </c>
      <c r="AM40" s="309">
        <f t="shared" si="19"/>
        <v>0</v>
      </c>
      <c r="AN40" s="310">
        <v>0</v>
      </c>
      <c r="AO40" s="310">
        <f ca="1">-OFFSET('Dish Stirling SAM'!$C$13,0,DishStirling!A40-DishStirling!$A$29)</f>
        <v>-184892.38</v>
      </c>
      <c r="AP40" s="310">
        <f t="shared" ca="1" si="20"/>
        <v>-184892.38</v>
      </c>
      <c r="AQ40" s="309">
        <v>0</v>
      </c>
      <c r="AR40" s="311">
        <f t="shared" ca="1" si="7"/>
        <v>-97026.660580039344</v>
      </c>
      <c r="AS40" s="870">
        <f t="shared" ca="1" si="21"/>
        <v>-3966647.1037284881</v>
      </c>
      <c r="AT40" s="822"/>
      <c r="AU40" s="878"/>
      <c r="AV40" s="35"/>
      <c r="AW40" s="879"/>
      <c r="AX40" s="35"/>
      <c r="AY40" s="880"/>
    </row>
    <row r="41" spans="1:51">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2"/>
        <v>0</v>
      </c>
      <c r="K41" s="307">
        <f t="shared" ca="1" si="10"/>
        <v>167477.3616352074</v>
      </c>
      <c r="L41" s="307">
        <f t="shared" ca="1" si="11"/>
        <v>-675.86400000000003</v>
      </c>
      <c r="M41" s="307">
        <f ca="1">OFFSET('Dish Stirling SAM'!$C$2,0,DishStirling!A41-DishStirling!$A$29)/1000</f>
        <v>675.86400000000003</v>
      </c>
      <c r="N41" s="307">
        <f t="shared" ca="1" si="12"/>
        <v>166801.4976352074</v>
      </c>
      <c r="O41" s="306">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-480.03695127189161</v>
      </c>
      <c r="Y41" s="306">
        <v>0</v>
      </c>
      <c r="Z41" s="306">
        <v>0</v>
      </c>
      <c r="AA41" s="308">
        <f ca="1">-SUM(W41,X41/OFFSET(GridFootprintbyYear,$A41-$A$19,0)*EF_PurchElec_MTperMWh,Z41)*OFFSET(ExposureCalculations!Price_GHG_Allowance_2010,A41-$A$19,0)*ExposureCalculations!D38</f>
        <v>24928.688015715663</v>
      </c>
      <c r="AB41" s="308">
        <f t="shared" ca="1" si="3"/>
        <v>64110.859408181641</v>
      </c>
      <c r="AC41" s="308">
        <v>0</v>
      </c>
      <c r="AD41" s="819">
        <f t="shared" ca="1" si="4"/>
        <v>0</v>
      </c>
      <c r="AE41" s="308">
        <v>0</v>
      </c>
      <c r="AF41" s="819">
        <f t="shared" ca="1" si="5"/>
        <v>0</v>
      </c>
      <c r="AG41" s="308">
        <v>0</v>
      </c>
      <c r="AH41" s="308">
        <v>0</v>
      </c>
      <c r="AI41" s="308">
        <v>0</v>
      </c>
      <c r="AJ41" s="308">
        <f t="shared" ca="1" si="6"/>
        <v>64110.859408181641</v>
      </c>
      <c r="AK41" s="309">
        <v>0</v>
      </c>
      <c r="AL41" s="309">
        <v>0</v>
      </c>
      <c r="AM41" s="309">
        <f t="shared" si="19"/>
        <v>0</v>
      </c>
      <c r="AN41" s="310">
        <v>0</v>
      </c>
      <c r="AO41" s="310">
        <f ca="1">-OFFSET('Dish Stirling SAM'!$C$13,0,DishStirling!A41-DishStirling!$A$29)</f>
        <v>-189508.26</v>
      </c>
      <c r="AP41" s="310">
        <f t="shared" ca="1" si="20"/>
        <v>-189508.26</v>
      </c>
      <c r="AQ41" s="309">
        <v>0</v>
      </c>
      <c r="AR41" s="311">
        <f t="shared" ca="1" si="7"/>
        <v>-100468.7125761027</v>
      </c>
      <c r="AS41" s="870">
        <f t="shared" ca="1" si="21"/>
        <v>-4067115.8163045906</v>
      </c>
      <c r="AT41" s="822"/>
      <c r="AU41" s="878"/>
      <c r="AV41" s="35"/>
      <c r="AW41" s="879"/>
      <c r="AX41" s="35"/>
      <c r="AY41" s="880"/>
    </row>
    <row r="42" spans="1:51">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2"/>
        <v>0</v>
      </c>
      <c r="K42" s="307">
        <f t="shared" ca="1" si="10"/>
        <v>169053.98723605942</v>
      </c>
      <c r="L42" s="307">
        <f t="shared" ca="1" si="11"/>
        <v>-669.10500000000002</v>
      </c>
      <c r="M42" s="307">
        <f ca="1">OFFSET('Dish Stirling SAM'!$C$2,0,DishStirling!A42-DishStirling!$A$29)/1000</f>
        <v>669.10500000000002</v>
      </c>
      <c r="N42" s="307">
        <f t="shared" ca="1" si="12"/>
        <v>168384.88223605941</v>
      </c>
      <c r="O42" s="306">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-475.23632606675164</v>
      </c>
      <c r="Y42" s="306">
        <v>0</v>
      </c>
      <c r="Z42" s="306">
        <v>0</v>
      </c>
      <c r="AA42" s="308">
        <f ca="1">-SUM(W42,X42/OFFSET(GridFootprintbyYear,$A42-$A$19,0)*EF_PurchElec_MTperMWh,Z42)*OFFSET(ExposureCalculations!Price_GHG_Allowance_2010,A42-$A$19,0)*ExposureCalculations!D39</f>
        <v>26217.859083462248</v>
      </c>
      <c r="AB42" s="308">
        <f t="shared" ca="1" si="3"/>
        <v>63787.065248678613</v>
      </c>
      <c r="AC42" s="308">
        <v>0</v>
      </c>
      <c r="AD42" s="819">
        <f t="shared" ca="1" si="4"/>
        <v>0</v>
      </c>
      <c r="AE42" s="308">
        <v>0</v>
      </c>
      <c r="AF42" s="819">
        <f t="shared" ca="1" si="5"/>
        <v>0</v>
      </c>
      <c r="AG42" s="308">
        <v>0</v>
      </c>
      <c r="AH42" s="308">
        <v>0</v>
      </c>
      <c r="AI42" s="308">
        <v>0</v>
      </c>
      <c r="AJ42" s="308">
        <f t="shared" ca="1" si="6"/>
        <v>63787.065248678613</v>
      </c>
      <c r="AK42" s="309">
        <v>0</v>
      </c>
      <c r="AL42" s="309">
        <v>0</v>
      </c>
      <c r="AM42" s="309">
        <f t="shared" si="19"/>
        <v>0</v>
      </c>
      <c r="AN42" s="310">
        <v>0</v>
      </c>
      <c r="AO42" s="310">
        <f ca="1">-OFFSET('Dish Stirling SAM'!$C$13,0,DishStirling!A42-DishStirling!$A$29)</f>
        <v>-194239.44</v>
      </c>
      <c r="AP42" s="310">
        <f t="shared" ca="1" si="20"/>
        <v>-194239.44</v>
      </c>
      <c r="AQ42" s="309">
        <v>0</v>
      </c>
      <c r="AR42" s="311">
        <f t="shared" ca="1" si="7"/>
        <v>-104234.51566785914</v>
      </c>
      <c r="AS42" s="870">
        <f t="shared" ca="1" si="21"/>
        <v>-4171350.3319724496</v>
      </c>
      <c r="AT42" s="822"/>
      <c r="AU42" s="878"/>
      <c r="AV42" s="35"/>
      <c r="AW42" s="879"/>
      <c r="AX42" s="35"/>
      <c r="AY42" s="880"/>
    </row>
    <row r="43" spans="1:51">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2"/>
        <v>0</v>
      </c>
      <c r="K43" s="307">
        <f t="shared" ca="1" si="10"/>
        <v>170630.61283691146</v>
      </c>
      <c r="L43" s="307">
        <f t="shared" ca="1" si="11"/>
        <v>-662.41399999999999</v>
      </c>
      <c r="M43" s="307">
        <f ca="1">OFFSET('Dish Stirling SAM'!$C$2,0,DishStirling!A43-DishStirling!$A$29)/1000</f>
        <v>662.41399999999999</v>
      </c>
      <c r="N43" s="307">
        <f t="shared" ca="1" si="12"/>
        <v>169968.19883691147</v>
      </c>
      <c r="O43" s="306">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-470.48399831892038</v>
      </c>
      <c r="Y43" s="306">
        <v>0</v>
      </c>
      <c r="Z43" s="306">
        <v>0</v>
      </c>
      <c r="AA43" s="308">
        <f ca="1">-SUM(W43,X43/OFFSET(GridFootprintbyYear,$A43-$A$19,0)*EF_PurchElec_MTperMWh,Z43)*OFFSET(ExposureCalculations!Price_GHG_Allowance_2010,A43-$A$19,0)*ExposureCalculations!D40</f>
        <v>27294.17804451484</v>
      </c>
      <c r="AB43" s="308">
        <f t="shared" ca="1" si="3"/>
        <v>63464.945359601836</v>
      </c>
      <c r="AC43" s="308">
        <v>0</v>
      </c>
      <c r="AD43" s="819">
        <f t="shared" ca="1" si="4"/>
        <v>0</v>
      </c>
      <c r="AE43" s="308">
        <v>0</v>
      </c>
      <c r="AF43" s="819">
        <f t="shared" ca="1" si="5"/>
        <v>0</v>
      </c>
      <c r="AG43" s="308">
        <v>0</v>
      </c>
      <c r="AH43" s="308">
        <v>0</v>
      </c>
      <c r="AI43" s="308">
        <v>0</v>
      </c>
      <c r="AJ43" s="308">
        <f t="shared" ca="1" si="6"/>
        <v>63464.945359601836</v>
      </c>
      <c r="AK43" s="309">
        <v>0</v>
      </c>
      <c r="AL43" s="309">
        <v>0</v>
      </c>
      <c r="AM43" s="309">
        <f t="shared" si="19"/>
        <v>0</v>
      </c>
      <c r="AN43" s="310">
        <v>0</v>
      </c>
      <c r="AO43" s="310">
        <f ca="1">-OFFSET('Dish Stirling SAM'!$C$13,0,DishStirling!A43-DishStirling!$A$29)</f>
        <v>-199088.81</v>
      </c>
      <c r="AP43" s="310">
        <f t="shared" ca="1" si="20"/>
        <v>-199088.81</v>
      </c>
      <c r="AQ43" s="309">
        <v>0</v>
      </c>
      <c r="AR43" s="311">
        <f t="shared" ca="1" si="7"/>
        <v>-108329.68659588332</v>
      </c>
      <c r="AS43" s="870">
        <f t="shared" ca="1" si="21"/>
        <v>-4279680.0185683332</v>
      </c>
      <c r="AT43" s="822"/>
      <c r="AU43" s="878"/>
      <c r="AV43" s="35"/>
      <c r="AW43" s="879"/>
      <c r="AX43" s="35"/>
      <c r="AY43" s="880"/>
    </row>
    <row r="44" spans="1:51">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2"/>
        <v>0</v>
      </c>
      <c r="K44" s="307">
        <f t="shared" ca="1" si="10"/>
        <v>172207.23843776347</v>
      </c>
      <c r="L44" s="307">
        <f t="shared" ca="1" si="11"/>
        <v>-655.79</v>
      </c>
      <c r="M44" s="307">
        <f ca="1">OFFSET('Dish Stirling SAM'!$C$2,0,DishStirling!A44-DishStirling!$A$29)/1000</f>
        <v>655.79</v>
      </c>
      <c r="N44" s="307">
        <f t="shared" ca="1" si="12"/>
        <v>171551.44843776347</v>
      </c>
      <c r="O44" s="306">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-465.77925777167263</v>
      </c>
      <c r="Y44" s="306">
        <v>0</v>
      </c>
      <c r="Z44" s="306">
        <v>0</v>
      </c>
      <c r="AA44" s="308">
        <f ca="1">-SUM(W44,X44/OFFSET(GridFootprintbyYear,$A44-$A$19,0)*EF_PurchElec_MTperMWh,Z44)*OFFSET(ExposureCalculations!Price_GHG_Allowance_2010,A44-$A$19,0)*ExposureCalculations!D41</f>
        <v>28373.561292463128</v>
      </c>
      <c r="AB44" s="308">
        <f t="shared" ca="1" si="3"/>
        <v>63144.460865803172</v>
      </c>
      <c r="AC44" s="308">
        <v>0</v>
      </c>
      <c r="AD44" s="819">
        <f t="shared" ca="1" si="4"/>
        <v>0</v>
      </c>
      <c r="AE44" s="308">
        <v>0</v>
      </c>
      <c r="AF44" s="819">
        <f t="shared" ca="1" si="5"/>
        <v>0</v>
      </c>
      <c r="AG44" s="308">
        <v>0</v>
      </c>
      <c r="AH44" s="308">
        <v>0</v>
      </c>
      <c r="AI44" s="308">
        <v>0</v>
      </c>
      <c r="AJ44" s="308">
        <f t="shared" ca="1" si="6"/>
        <v>63144.460865803172</v>
      </c>
      <c r="AK44" s="309">
        <v>0</v>
      </c>
      <c r="AL44" s="309">
        <v>0</v>
      </c>
      <c r="AM44" s="309">
        <f t="shared" si="19"/>
        <v>0</v>
      </c>
      <c r="AN44" s="310">
        <v>0</v>
      </c>
      <c r="AO44" s="310">
        <f ca="1">-OFFSET('Dish Stirling SAM'!$C$13,0,DishStirling!A44-DishStirling!$A$29)</f>
        <v>-204059.32</v>
      </c>
      <c r="AP44" s="310">
        <f t="shared" ca="1" si="20"/>
        <v>-204059.32</v>
      </c>
      <c r="AQ44" s="309">
        <v>0</v>
      </c>
      <c r="AR44" s="311">
        <f t="shared" ca="1" si="7"/>
        <v>-112541.2978417337</v>
      </c>
      <c r="AS44" s="870">
        <f t="shared" ca="1" si="21"/>
        <v>-4392221.3164100666</v>
      </c>
      <c r="AT44" s="822"/>
      <c r="AU44" s="878"/>
      <c r="AV44" s="35"/>
      <c r="AW44" s="879"/>
      <c r="AX44" s="35"/>
      <c r="AY44" s="880"/>
    </row>
    <row r="45" spans="1:51">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2"/>
        <v>0</v>
      </c>
      <c r="K45" s="307">
        <f t="shared" ca="1" si="10"/>
        <v>173783.86403861555</v>
      </c>
      <c r="L45" s="307">
        <f t="shared" ca="1" si="11"/>
        <v>-649.23199999999997</v>
      </c>
      <c r="M45" s="307">
        <f ca="1">OFFSET('Dish Stirling SAM'!$C$2,0,DishStirling!A45-DishStirling!$A$29)/1000</f>
        <v>649.23199999999997</v>
      </c>
      <c r="N45" s="307">
        <f t="shared" ca="1" si="12"/>
        <v>173134.63203861556</v>
      </c>
      <c r="O45" s="306">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-461.12139416828342</v>
      </c>
      <c r="Y45" s="306">
        <v>0</v>
      </c>
      <c r="Z45" s="306">
        <v>0</v>
      </c>
      <c r="AA45" s="308">
        <f ca="1">-SUM(W45,X45/OFFSET(GridFootprintbyYear,$A45-$A$19,0)*EF_PurchElec_MTperMWh,Z45)*OFFSET(ExposureCalculations!Price_GHG_Allowance_2010,A45-$A$19,0)*ExposureCalculations!D42</f>
        <v>29656.174622369344</v>
      </c>
      <c r="AB45" s="308">
        <f t="shared" ca="1" si="3"/>
        <v>62825.571661524664</v>
      </c>
      <c r="AC45" s="308">
        <v>0</v>
      </c>
      <c r="AD45" s="819">
        <f t="shared" ca="1" si="4"/>
        <v>0</v>
      </c>
      <c r="AE45" s="308">
        <v>0</v>
      </c>
      <c r="AF45" s="819">
        <f t="shared" ca="1" si="5"/>
        <v>0</v>
      </c>
      <c r="AG45" s="308">
        <v>0</v>
      </c>
      <c r="AH45" s="308">
        <v>0</v>
      </c>
      <c r="AI45" s="308">
        <v>0</v>
      </c>
      <c r="AJ45" s="308">
        <f t="shared" ca="1" si="6"/>
        <v>62825.571661524664</v>
      </c>
      <c r="AK45" s="309">
        <v>0</v>
      </c>
      <c r="AL45" s="309">
        <v>0</v>
      </c>
      <c r="AM45" s="309">
        <f t="shared" si="19"/>
        <v>0</v>
      </c>
      <c r="AN45" s="310">
        <v>0</v>
      </c>
      <c r="AO45" s="310">
        <f ca="1">-OFFSET('Dish Stirling SAM'!$C$13,0,DishStirling!A45-DishStirling!$A$29)</f>
        <v>-209153.98</v>
      </c>
      <c r="AP45" s="310">
        <f t="shared" ca="1" si="20"/>
        <v>-209153.98</v>
      </c>
      <c r="AQ45" s="309">
        <v>0</v>
      </c>
      <c r="AR45" s="311">
        <f t="shared" ca="1" si="7"/>
        <v>-116672.233716106</v>
      </c>
      <c r="AS45" s="870">
        <f t="shared" ca="1" si="21"/>
        <v>-4508893.5501261726</v>
      </c>
      <c r="AT45" s="822"/>
      <c r="AU45" s="878"/>
      <c r="AV45" s="35"/>
      <c r="AW45" s="879"/>
      <c r="AX45" s="35"/>
      <c r="AY45" s="880"/>
    </row>
    <row r="46" spans="1:51">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2"/>
        <v>0</v>
      </c>
      <c r="K46" s="307">
        <f t="shared" ca="1" si="10"/>
        <v>175360.48963946756</v>
      </c>
      <c r="L46" s="307">
        <f t="shared" ca="1" si="11"/>
        <v>-642.74</v>
      </c>
      <c r="M46" s="307">
        <f ca="1">OFFSET('Dish Stirling SAM'!$C$2,0,DishStirling!A46-DishStirling!$A$29)/1000</f>
        <v>642.74</v>
      </c>
      <c r="N46" s="307">
        <f t="shared" ca="1" si="12"/>
        <v>174717.74963946757</v>
      </c>
      <c r="O46" s="306">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-456.51040750875268</v>
      </c>
      <c r="Y46" s="306">
        <v>0</v>
      </c>
      <c r="Z46" s="306">
        <v>0</v>
      </c>
      <c r="AA46" s="308">
        <f ca="1">-SUM(W46,X46/OFFSET(GridFootprintbyYear,$A46-$A$19,0)*EF_PurchElec_MTperMWh,Z46)*OFFSET(ExposureCalculations!Price_GHG_Allowance_2010,A46-$A$19,0)*ExposureCalculations!D43</f>
        <v>30903.57752012739</v>
      </c>
      <c r="AB46" s="308">
        <f t="shared" ca="1" si="3"/>
        <v>62508.333645564293</v>
      </c>
      <c r="AC46" s="308">
        <v>0</v>
      </c>
      <c r="AD46" s="819">
        <f t="shared" ca="1" si="4"/>
        <v>0</v>
      </c>
      <c r="AE46" s="308">
        <v>0</v>
      </c>
      <c r="AF46" s="819">
        <f t="shared" ca="1" si="5"/>
        <v>0</v>
      </c>
      <c r="AG46" s="308">
        <v>0</v>
      </c>
      <c r="AH46" s="308">
        <v>0</v>
      </c>
      <c r="AI46" s="308">
        <v>0</v>
      </c>
      <c r="AJ46" s="308">
        <f t="shared" ca="1" si="6"/>
        <v>62508.333645564293</v>
      </c>
      <c r="AK46" s="309">
        <v>0</v>
      </c>
      <c r="AL46" s="309">
        <v>0</v>
      </c>
      <c r="AM46" s="309">
        <f t="shared" si="19"/>
        <v>0</v>
      </c>
      <c r="AN46" s="310">
        <v>0</v>
      </c>
      <c r="AO46" s="310">
        <f ca="1">-OFFSET('Dish Stirling SAM'!$C$13,0,DishStirling!A46-DishStirling!$A$29)</f>
        <v>-214375.92</v>
      </c>
      <c r="AP46" s="310">
        <f t="shared" ca="1" si="20"/>
        <v>-214375.92</v>
      </c>
      <c r="AQ46" s="309">
        <v>0</v>
      </c>
      <c r="AR46" s="311">
        <f t="shared" ca="1" si="7"/>
        <v>-120964.00883430833</v>
      </c>
      <c r="AS46" s="870">
        <f t="shared" ca="1" si="21"/>
        <v>-4629857.5589604806</v>
      </c>
      <c r="AT46" s="822"/>
      <c r="AU46" s="878"/>
      <c r="AV46" s="35"/>
      <c r="AW46" s="879"/>
      <c r="AX46" s="35"/>
      <c r="AY46" s="880"/>
    </row>
    <row r="47" spans="1:51">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2"/>
        <v>0</v>
      </c>
      <c r="K47" s="307">
        <f t="shared" ca="1" si="10"/>
        <v>176937.1152403196</v>
      </c>
      <c r="L47" s="307">
        <f t="shared" ca="1" si="11"/>
        <v>-636.31200000000001</v>
      </c>
      <c r="M47" s="307">
        <f ca="1">OFFSET('Dish Stirling SAM'!$C$2,0,DishStirling!A47-DishStirling!$A$29)/1000</f>
        <v>636.31200000000001</v>
      </c>
      <c r="N47" s="307">
        <f t="shared" ca="1" si="12"/>
        <v>176300.8032403196</v>
      </c>
      <c r="O47" s="306">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-451.94487727963008</v>
      </c>
      <c r="Y47" s="306">
        <v>0</v>
      </c>
      <c r="Z47" s="306">
        <v>0</v>
      </c>
      <c r="AA47" s="308">
        <f ca="1">-SUM(W47,X47/OFFSET(GridFootprintbyYear,$A47-$A$19,0)*EF_PurchElec_MTperMWh,Z47)*OFFSET(ExposureCalculations!Price_GHG_Allowance_2010,A47-$A$19,0)*ExposureCalculations!D44</f>
        <v>32112.298121432126</v>
      </c>
      <c r="AB47" s="308">
        <f t="shared" ca="1" si="3"/>
        <v>62192.607917151072</v>
      </c>
      <c r="AC47" s="308">
        <v>0</v>
      </c>
      <c r="AD47" s="819">
        <f t="shared" ca="1" si="4"/>
        <v>0</v>
      </c>
      <c r="AE47" s="308">
        <v>0</v>
      </c>
      <c r="AF47" s="819">
        <f t="shared" ca="1" si="5"/>
        <v>0</v>
      </c>
      <c r="AG47" s="308">
        <v>0</v>
      </c>
      <c r="AH47" s="308">
        <v>0</v>
      </c>
      <c r="AI47" s="308">
        <v>0</v>
      </c>
      <c r="AJ47" s="308">
        <f t="shared" ca="1" si="6"/>
        <v>62192.607917151072</v>
      </c>
      <c r="AK47" s="309">
        <v>0</v>
      </c>
      <c r="AL47" s="309">
        <v>0</v>
      </c>
      <c r="AM47" s="309">
        <f t="shared" si="19"/>
        <v>0</v>
      </c>
      <c r="AN47" s="310">
        <v>0</v>
      </c>
      <c r="AO47" s="310">
        <f ca="1">-OFFSET('Dish Stirling SAM'!$C$13,0,DishStirling!A47-DishStirling!$A$29)</f>
        <v>-219728.3</v>
      </c>
      <c r="AP47" s="310">
        <f t="shared" ca="1" si="20"/>
        <v>-219728.3</v>
      </c>
      <c r="AQ47" s="309">
        <v>0</v>
      </c>
      <c r="AR47" s="311">
        <f t="shared" ca="1" si="7"/>
        <v>-125423.39396141679</v>
      </c>
      <c r="AS47" s="870">
        <f t="shared" ca="1" si="21"/>
        <v>-4755280.9529218972</v>
      </c>
      <c r="AT47" s="822"/>
      <c r="AU47" s="878"/>
      <c r="AV47" s="35"/>
      <c r="AW47" s="879"/>
      <c r="AX47" s="35"/>
      <c r="AY47" s="880"/>
    </row>
    <row r="48" spans="1:51">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2"/>
        <v>0</v>
      </c>
      <c r="K48" s="307">
        <f t="shared" ca="1" si="10"/>
        <v>178513.74084117162</v>
      </c>
      <c r="L48" s="307">
        <f t="shared" ca="1" si="11"/>
        <v>-629.94899999999996</v>
      </c>
      <c r="M48" s="307">
        <f ca="1">OFFSET('Dish Stirling SAM'!$C$2,0,DishStirling!A48-DishStirling!$A$29)/1000</f>
        <v>629.94899999999996</v>
      </c>
      <c r="N48" s="307">
        <f t="shared" ca="1" si="12"/>
        <v>177883.79184117162</v>
      </c>
      <c r="O48" s="306">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-447.42551373764076</v>
      </c>
      <c r="Y48" s="306">
        <v>0</v>
      </c>
      <c r="Z48" s="306">
        <v>0</v>
      </c>
      <c r="AA48" s="308">
        <f ca="1">-SUM(W48,X48/OFFSET(GridFootprintbyYear,$A48-$A$19,0)*EF_PurchElec_MTperMWh,Z48)*OFFSET(ExposureCalculations!Price_GHG_Allowance_2010,A48-$A$19,0)*ExposureCalculations!D45</f>
        <v>33279.90392647624</v>
      </c>
      <c r="AB48" s="308">
        <f t="shared" ca="1" si="3"/>
        <v>61878.547034513576</v>
      </c>
      <c r="AC48" s="308">
        <v>0</v>
      </c>
      <c r="AD48" s="819">
        <f t="shared" ca="1" si="4"/>
        <v>0</v>
      </c>
      <c r="AE48" s="308">
        <v>0</v>
      </c>
      <c r="AF48" s="819">
        <f t="shared" ca="1" si="5"/>
        <v>0</v>
      </c>
      <c r="AG48" s="308">
        <v>0</v>
      </c>
      <c r="AH48" s="308">
        <v>0</v>
      </c>
      <c r="AI48" s="308">
        <v>0</v>
      </c>
      <c r="AJ48" s="308">
        <f t="shared" ca="1" si="6"/>
        <v>61878.547034513576</v>
      </c>
      <c r="AK48" s="309">
        <v>0</v>
      </c>
      <c r="AL48" s="309">
        <v>0</v>
      </c>
      <c r="AM48" s="309">
        <f t="shared" si="19"/>
        <v>0</v>
      </c>
      <c r="AN48" s="310">
        <v>0</v>
      </c>
      <c r="AO48" s="310">
        <f ca="1">-OFFSET('Dish Stirling SAM'!$C$13,0,DishStirling!A48-DishStirling!$A$29)</f>
        <v>-225214.39</v>
      </c>
      <c r="AP48" s="310">
        <f t="shared" ca="1" si="20"/>
        <v>-225214.39</v>
      </c>
      <c r="AQ48" s="309">
        <v>0</v>
      </c>
      <c r="AR48" s="311">
        <f t="shared" ca="1" si="7"/>
        <v>-130055.93903901021</v>
      </c>
      <c r="AS48" s="870">
        <f t="shared" ca="1" si="21"/>
        <v>-4885336.8919609077</v>
      </c>
      <c r="AT48" s="822"/>
      <c r="AU48" s="878"/>
      <c r="AV48" s="35"/>
      <c r="AW48" s="879"/>
      <c r="AX48" s="35"/>
      <c r="AY48" s="880"/>
    </row>
    <row r="49" spans="1:51">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2"/>
        <v>0</v>
      </c>
      <c r="K49" s="307">
        <f t="shared" ca="1" si="10"/>
        <v>180090.36644202363</v>
      </c>
      <c r="L49" s="307">
        <f t="shared" ca="1" si="11"/>
        <v>-623.65</v>
      </c>
      <c r="M49" s="307">
        <f ca="1">OFFSET('Dish Stirling SAM'!$C$2,0,DishStirling!A49-DishStirling!$A$29)/1000</f>
        <v>623.65</v>
      </c>
      <c r="N49" s="307">
        <f t="shared" ca="1" si="12"/>
        <v>179466.71644202364</v>
      </c>
      <c r="O49" s="306">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-442.95160662605963</v>
      </c>
      <c r="Y49" s="306">
        <v>0</v>
      </c>
      <c r="Z49" s="306">
        <v>0</v>
      </c>
      <c r="AA49" s="308">
        <f ca="1">-SUM(W49,X49/OFFSET(GridFootprintbyYear,$A49-$A$19,0)*EF_PurchElec_MTperMWh,Z49)*OFFSET(ExposureCalculations!Price_GHG_Allowance_2010,A49-$A$19,0)*ExposureCalculations!D46</f>
        <v>34492.83646638583</v>
      </c>
      <c r="AB49" s="308">
        <f t="shared" ca="1" si="3"/>
        <v>61566.108744302728</v>
      </c>
      <c r="AC49" s="308">
        <v>0</v>
      </c>
      <c r="AD49" s="819">
        <f t="shared" ca="1" si="4"/>
        <v>0</v>
      </c>
      <c r="AE49" s="308">
        <v>0</v>
      </c>
      <c r="AF49" s="819">
        <f t="shared" ca="1" si="5"/>
        <v>0</v>
      </c>
      <c r="AG49" s="308">
        <v>0</v>
      </c>
      <c r="AH49" s="308">
        <v>0</v>
      </c>
      <c r="AI49" s="308">
        <v>0</v>
      </c>
      <c r="AJ49" s="308">
        <f t="shared" ca="1" si="6"/>
        <v>61566.108744302728</v>
      </c>
      <c r="AK49" s="309">
        <v>0</v>
      </c>
      <c r="AL49" s="309">
        <v>0</v>
      </c>
      <c r="AM49" s="309">
        <f t="shared" si="19"/>
        <v>0</v>
      </c>
      <c r="AN49" s="310">
        <v>0</v>
      </c>
      <c r="AO49" s="310">
        <f ca="1">-OFFSET('Dish Stirling SAM'!$C$13,0,DishStirling!A49-DishStirling!$A$29)</f>
        <v>-230837.52</v>
      </c>
      <c r="AP49" s="310">
        <f t="shared" ca="1" si="20"/>
        <v>-230837.52</v>
      </c>
      <c r="AQ49" s="309">
        <v>0</v>
      </c>
      <c r="AR49" s="311">
        <f t="shared" ca="1" si="7"/>
        <v>-134778.57478931145</v>
      </c>
      <c r="AS49" s="870">
        <f t="shared" ca="1" si="21"/>
        <v>-5020115.4667502195</v>
      </c>
      <c r="AT49" s="822"/>
      <c r="AU49" s="878"/>
      <c r="AV49" s="35"/>
      <c r="AW49" s="879"/>
      <c r="AX49" s="35"/>
      <c r="AY49" s="880"/>
    </row>
    <row r="50" spans="1:51">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2"/>
        <v>0</v>
      </c>
      <c r="K50" s="307">
        <f t="shared" ca="1" si="10"/>
        <v>181666.99204287567</v>
      </c>
      <c r="L50" s="307">
        <f t="shared" ca="1" si="11"/>
        <v>-617.41300000000001</v>
      </c>
      <c r="M50" s="307">
        <f ca="1">OFFSET('Dish Stirling SAM'!$C$2,0,DishStirling!A50-DishStirling!$A$29)/1000</f>
        <v>617.41300000000001</v>
      </c>
      <c r="N50" s="307">
        <f t="shared" ca="1" si="12"/>
        <v>181049.57904287567</v>
      </c>
      <c r="O50" s="306">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-438.52173543143653</v>
      </c>
      <c r="Y50" s="306">
        <v>0</v>
      </c>
      <c r="Z50" s="306">
        <v>0</v>
      </c>
      <c r="AA50" s="308">
        <f ca="1">-SUM(W50,X50/OFFSET(GridFootprintbyYear,$A50-$A$19,0)*EF_PurchElec_MTperMWh,Z50)*OFFSET(ExposureCalculations!Price_GHG_Allowance_2010,A50-$A$19,0)*ExposureCalculations!D47</f>
        <v>35630.312302651299</v>
      </c>
      <c r="AB50" s="308">
        <f t="shared" ca="1" si="3"/>
        <v>61255.150288842939</v>
      </c>
      <c r="AC50" s="308">
        <v>0</v>
      </c>
      <c r="AD50" s="819">
        <f t="shared" ca="1" si="4"/>
        <v>0</v>
      </c>
      <c r="AE50" s="308">
        <v>0</v>
      </c>
      <c r="AF50" s="819">
        <f t="shared" ca="1" si="5"/>
        <v>0</v>
      </c>
      <c r="AG50" s="308">
        <v>0</v>
      </c>
      <c r="AH50" s="308">
        <v>0</v>
      </c>
      <c r="AI50" s="308">
        <v>0</v>
      </c>
      <c r="AJ50" s="308">
        <f t="shared" ca="1" si="6"/>
        <v>61255.150288842939</v>
      </c>
      <c r="AK50" s="309">
        <v>0</v>
      </c>
      <c r="AL50" s="309">
        <v>0</v>
      </c>
      <c r="AM50" s="309">
        <f t="shared" si="19"/>
        <v>0</v>
      </c>
      <c r="AN50" s="310">
        <v>0</v>
      </c>
      <c r="AO50" s="310">
        <f ca="1">-OFFSET('Dish Stirling SAM'!$C$13,0,DishStirling!A50-DishStirling!$A$29)</f>
        <v>-236601.13</v>
      </c>
      <c r="AP50" s="310">
        <f t="shared" ca="1" si="20"/>
        <v>-236601.13</v>
      </c>
      <c r="AQ50" s="309">
        <v>0</v>
      </c>
      <c r="AR50" s="311">
        <f t="shared" ca="1" si="7"/>
        <v>-139715.66740850577</v>
      </c>
      <c r="AS50" s="870">
        <f t="shared" ca="1" si="21"/>
        <v>-5159831.1341587249</v>
      </c>
      <c r="AT50" s="822"/>
      <c r="AU50" s="878"/>
      <c r="AV50" s="35"/>
      <c r="AW50" s="879"/>
      <c r="AX50" s="35"/>
      <c r="AY50" s="880"/>
    </row>
    <row r="51" spans="1:51">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2"/>
        <v>0</v>
      </c>
      <c r="K51" s="307">
        <f t="shared" ca="1" si="10"/>
        <v>183243.61764372772</v>
      </c>
      <c r="L51" s="307">
        <f t="shared" ca="1" si="11"/>
        <v>-611.23900000000003</v>
      </c>
      <c r="M51" s="307">
        <f ca="1">OFFSET('Dish Stirling SAM'!$C$2,0,DishStirling!A51-DishStirling!$A$29)/1000</f>
        <v>611.23900000000003</v>
      </c>
      <c r="N51" s="307">
        <f t="shared" ca="1" si="12"/>
        <v>182632.37864372772</v>
      </c>
      <c r="O51" s="306">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-434.13661041049642</v>
      </c>
      <c r="Y51" s="306">
        <v>0</v>
      </c>
      <c r="Z51" s="306">
        <v>0</v>
      </c>
      <c r="AA51" s="308">
        <f ca="1">-SUM(W51,X51/OFFSET(GridFootprintbyYear,$A51-$A$19,0)*EF_PurchElec_MTperMWh,Z51)*OFFSET(ExposureCalculations!Price_GHG_Allowance_2010,A51-$A$19,0)*ExposureCalculations!D48</f>
        <v>36684.436325184644</v>
      </c>
      <c r="AB51" s="308">
        <f t="shared" ca="1" si="3"/>
        <v>60945.824742010736</v>
      </c>
      <c r="AC51" s="308">
        <v>0</v>
      </c>
      <c r="AD51" s="819">
        <f t="shared" ca="1" si="4"/>
        <v>0</v>
      </c>
      <c r="AE51" s="308">
        <v>0</v>
      </c>
      <c r="AF51" s="819">
        <f t="shared" ca="1" si="5"/>
        <v>0</v>
      </c>
      <c r="AG51" s="308">
        <v>0</v>
      </c>
      <c r="AH51" s="308">
        <v>0</v>
      </c>
      <c r="AI51" s="308">
        <v>0</v>
      </c>
      <c r="AJ51" s="308">
        <f t="shared" ca="1" si="6"/>
        <v>60945.824742010736</v>
      </c>
      <c r="AK51" s="309">
        <v>0</v>
      </c>
      <c r="AL51" s="309">
        <v>0</v>
      </c>
      <c r="AM51" s="309">
        <f t="shared" si="19"/>
        <v>0</v>
      </c>
      <c r="AN51" s="310">
        <v>0</v>
      </c>
      <c r="AO51" s="310">
        <f ca="1">-OFFSET('Dish Stirling SAM'!$C$13,0,DishStirling!A51-DishStirling!$A$29)</f>
        <v>-242508.71</v>
      </c>
      <c r="AP51" s="310">
        <f t="shared" ca="1" si="20"/>
        <v>-242508.71</v>
      </c>
      <c r="AQ51" s="309">
        <v>0</v>
      </c>
      <c r="AR51" s="311">
        <f t="shared" ca="1" si="7"/>
        <v>-144878.4489328046</v>
      </c>
      <c r="AS51" s="870">
        <f t="shared" ca="1" si="21"/>
        <v>-5304709.5830915291</v>
      </c>
      <c r="AT51" s="822"/>
      <c r="AU51" s="878"/>
      <c r="AV51" s="35"/>
      <c r="AW51" s="879"/>
      <c r="AX51" s="35"/>
      <c r="AY51" s="880"/>
    </row>
    <row r="52" spans="1:51">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2"/>
        <v>0</v>
      </c>
      <c r="K52" s="307">
        <f t="shared" ca="1" si="10"/>
        <v>184820.24324457973</v>
      </c>
      <c r="L52" s="307">
        <f t="shared" ca="1" si="11"/>
        <v>-605.12699999999995</v>
      </c>
      <c r="M52" s="307">
        <f ca="1">OFFSET('Dish Stirling SAM'!$C$2,0,DishStirling!A52-DishStirling!$A$29)/1000</f>
        <v>605.12699999999995</v>
      </c>
      <c r="N52" s="307">
        <f t="shared" ca="1" si="12"/>
        <v>184215.11624457972</v>
      </c>
      <c r="O52" s="306">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-429.79552130651422</v>
      </c>
      <c r="Y52" s="306">
        <v>0</v>
      </c>
      <c r="Z52" s="306">
        <v>0</v>
      </c>
      <c r="AA52" s="308">
        <f ca="1">-SUM(W52,X52/OFFSET(GridFootprintbyYear,$A52-$A$19,0)*EF_PurchElec_MTperMWh,Z52)*OFFSET(ExposureCalculations!Price_GHG_Allowance_2010,A52-$A$19,0)*ExposureCalculations!D49</f>
        <v>37888.132792471799</v>
      </c>
      <c r="AB52" s="308">
        <f t="shared" ca="1" si="3"/>
        <v>60638.087407874853</v>
      </c>
      <c r="AC52" s="308">
        <v>0</v>
      </c>
      <c r="AD52" s="819">
        <f t="shared" ca="1" si="4"/>
        <v>0</v>
      </c>
      <c r="AE52" s="308">
        <v>0</v>
      </c>
      <c r="AF52" s="819">
        <f t="shared" ca="1" si="5"/>
        <v>0</v>
      </c>
      <c r="AG52" s="308">
        <v>0</v>
      </c>
      <c r="AH52" s="308">
        <v>0</v>
      </c>
      <c r="AI52" s="308">
        <v>0</v>
      </c>
      <c r="AJ52" s="308">
        <f t="shared" ca="1" si="6"/>
        <v>60638.087407874853</v>
      </c>
      <c r="AK52" s="309">
        <v>0</v>
      </c>
      <c r="AL52" s="309">
        <v>0</v>
      </c>
      <c r="AM52" s="309">
        <f t="shared" si="19"/>
        <v>0</v>
      </c>
      <c r="AN52" s="310">
        <v>0</v>
      </c>
      <c r="AO52" s="310">
        <f ca="1">-OFFSET('Dish Stirling SAM'!$C$13,0,DishStirling!A52-DishStirling!$A$29)</f>
        <v>-248563.88</v>
      </c>
      <c r="AP52" s="310">
        <f t="shared" ca="1" si="20"/>
        <v>-248563.88</v>
      </c>
      <c r="AQ52" s="309">
        <v>0</v>
      </c>
      <c r="AR52" s="311">
        <f t="shared" ca="1" si="7"/>
        <v>-150037.65979965334</v>
      </c>
      <c r="AS52" s="870">
        <f t="shared" ca="1" si="21"/>
        <v>-5454747.2428911822</v>
      </c>
      <c r="AT52" s="822"/>
      <c r="AU52" s="878"/>
      <c r="AV52" s="35"/>
      <c r="AW52" s="879"/>
      <c r="AX52" s="35"/>
      <c r="AY52" s="880"/>
    </row>
    <row r="53" spans="1:51">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2"/>
        <v>0</v>
      </c>
      <c r="K53" s="307">
        <f t="shared" ca="1" si="10"/>
        <v>186396.86884543177</v>
      </c>
      <c r="L53" s="307">
        <f t="shared" ca="1" si="11"/>
        <v>-599.07500000000005</v>
      </c>
      <c r="M53" s="307">
        <f ca="1">OFFSET('Dish Stirling SAM'!$C$2,0,DishStirling!A53-DishStirling!$A$29)/1000</f>
        <v>599.07500000000005</v>
      </c>
      <c r="N53" s="307">
        <f t="shared" ca="1" si="12"/>
        <v>185797.79384543176</v>
      </c>
      <c r="O53" s="306">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-425.49704760603981</v>
      </c>
      <c r="Y53" s="306">
        <v>0</v>
      </c>
      <c r="Z53" s="306">
        <v>0</v>
      </c>
      <c r="AA53" s="308">
        <f ca="1">-SUM(W53,X53/OFFSET(GridFootprintbyYear,$A53-$A$19,0)*EF_PurchElec_MTperMWh,Z53)*OFFSET(ExposureCalculations!Price_GHG_Allowance_2010,A53-$A$19,0)*ExposureCalculations!D50</f>
        <v>39271.616389395938</v>
      </c>
      <c r="AB53" s="308">
        <f t="shared" ca="1" si="3"/>
        <v>60331.791549446636</v>
      </c>
      <c r="AC53" s="308">
        <v>0</v>
      </c>
      <c r="AD53" s="819">
        <f t="shared" ca="1" si="4"/>
        <v>0</v>
      </c>
      <c r="AE53" s="308">
        <v>0</v>
      </c>
      <c r="AF53" s="819">
        <f t="shared" ca="1" si="5"/>
        <v>0</v>
      </c>
      <c r="AG53" s="308">
        <v>0</v>
      </c>
      <c r="AH53" s="308">
        <v>0</v>
      </c>
      <c r="AI53" s="308">
        <v>0</v>
      </c>
      <c r="AJ53" s="308">
        <f t="shared" ca="1" si="6"/>
        <v>60331.791549446636</v>
      </c>
      <c r="AK53" s="309">
        <v>0</v>
      </c>
      <c r="AL53" s="309">
        <v>0</v>
      </c>
      <c r="AM53" s="309">
        <f t="shared" si="19"/>
        <v>0</v>
      </c>
      <c r="AN53" s="310">
        <v>0</v>
      </c>
      <c r="AO53" s="310">
        <f ca="1">-OFFSET('Dish Stirling SAM'!$C$13,0,DishStirling!A53-DishStirling!$A$29)</f>
        <v>-254770.32</v>
      </c>
      <c r="AP53" s="310">
        <f t="shared" ca="1" si="20"/>
        <v>-254770.32</v>
      </c>
      <c r="AQ53" s="309">
        <v>0</v>
      </c>
      <c r="AR53" s="311">
        <f t="shared" ca="1" si="7"/>
        <v>-155166.91206115743</v>
      </c>
      <c r="AS53" s="870">
        <f t="shared" ca="1" si="21"/>
        <v>-5609914.1549523398</v>
      </c>
      <c r="AT53" s="822"/>
      <c r="AU53" s="878"/>
      <c r="AV53" s="35"/>
      <c r="AW53" s="879"/>
      <c r="AX53" s="35"/>
      <c r="AY53" s="880"/>
    </row>
    <row r="54" spans="1:51">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2"/>
        <v>0</v>
      </c>
      <c r="K54" s="307">
        <f t="shared" ca="1" si="10"/>
        <v>187973.49444628376</v>
      </c>
      <c r="L54" s="307">
        <f t="shared" ca="1" si="11"/>
        <v>-593.08500000000004</v>
      </c>
      <c r="M54" s="307">
        <f ca="1">OFFSET('Dish Stirling SAM'!$C$2,0,DishStirling!A54-DishStirling!$A$29)/1000</f>
        <v>593.08500000000004</v>
      </c>
      <c r="N54" s="307">
        <f t="shared" ca="1" si="12"/>
        <v>187380.40944628377</v>
      </c>
      <c r="O54" s="306">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-421.24260982252321</v>
      </c>
      <c r="Y54" s="306">
        <v>0</v>
      </c>
      <c r="Z54" s="306">
        <v>0</v>
      </c>
      <c r="AA54" s="308">
        <f ca="1">-SUM(W54,X54/OFFSET(GridFootprintbyYear,$A54-$A$19,0)*EF_PurchElec_MTperMWh,Z54)*OFFSET(ExposureCalculations!Price_GHG_Allowance_2010,A54-$A$19,0)*ExposureCalculations!D51</f>
        <v>40879.109119915265</v>
      </c>
      <c r="AB54" s="308">
        <f t="shared" ca="1" si="3"/>
        <v>60027.191910961184</v>
      </c>
      <c r="AC54" s="308">
        <v>0</v>
      </c>
      <c r="AD54" s="819">
        <f t="shared" ca="1" si="4"/>
        <v>0</v>
      </c>
      <c r="AE54" s="308">
        <v>0</v>
      </c>
      <c r="AF54" s="819">
        <f t="shared" ca="1" si="5"/>
        <v>0</v>
      </c>
      <c r="AG54" s="308">
        <v>0</v>
      </c>
      <c r="AH54" s="308">
        <v>0</v>
      </c>
      <c r="AI54" s="308">
        <v>0</v>
      </c>
      <c r="AJ54" s="308">
        <f t="shared" ca="1" si="6"/>
        <v>60027.191910961184</v>
      </c>
      <c r="AK54" s="309">
        <v>0</v>
      </c>
      <c r="AL54" s="309">
        <v>0</v>
      </c>
      <c r="AM54" s="309">
        <f t="shared" si="19"/>
        <v>0</v>
      </c>
      <c r="AN54" s="310">
        <v>0</v>
      </c>
      <c r="AO54" s="310">
        <f ca="1">-OFFSET('Dish Stirling SAM'!$C$13,0,DishStirling!A54-DishStirling!$A$29)</f>
        <v>-261131.8</v>
      </c>
      <c r="AP54" s="310">
        <f t="shared" ca="1" si="20"/>
        <v>-261131.8</v>
      </c>
      <c r="AQ54" s="309">
        <v>0</v>
      </c>
      <c r="AR54" s="311">
        <f t="shared" ca="1" si="7"/>
        <v>-160225.49896912352</v>
      </c>
      <c r="AS54" s="870">
        <f t="shared" ca="1" si="21"/>
        <v>-5770139.6539214635</v>
      </c>
      <c r="AT54" s="822"/>
      <c r="AU54" s="878"/>
      <c r="AV54" s="35"/>
      <c r="AW54" s="879"/>
      <c r="AX54" s="35"/>
      <c r="AY54" s="880"/>
    </row>
    <row r="55" spans="1:51">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2"/>
        <v>0</v>
      </c>
      <c r="K55" s="307">
        <f t="shared" ca="1" si="10"/>
        <v>189550.12004713583</v>
      </c>
      <c r="L55" s="307">
        <f t="shared" ca="1" si="11"/>
        <v>-587.154</v>
      </c>
      <c r="M55" s="307">
        <f ca="1">OFFSET('Dish Stirling SAM'!$C$2,0,DishStirling!A55-DishStirling!$A$29)/1000</f>
        <v>587.154</v>
      </c>
      <c r="N55" s="307">
        <f t="shared" ca="1" si="12"/>
        <v>188962.96604713582</v>
      </c>
      <c r="O55" s="306">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-417.0300771857892</v>
      </c>
      <c r="Y55" s="306">
        <v>0</v>
      </c>
      <c r="Z55" s="306">
        <v>0</v>
      </c>
      <c r="AA55" s="308">
        <f ca="1">-SUM(W55,X55/OFFSET(GridFootprintbyYear,$A55-$A$19,0)*EF_PurchElec_MTperMWh,Z55)*OFFSET(ExposureCalculations!Price_GHG_Allowance_2010,A55-$A$19,0)*ExposureCalculations!D52</f>
        <v>42583.424786395612</v>
      </c>
      <c r="AB55" s="308">
        <f t="shared" ca="1" si="3"/>
        <v>59724.039334134119</v>
      </c>
      <c r="AC55" s="308">
        <v>0</v>
      </c>
      <c r="AD55" s="819">
        <f t="shared" ca="1" si="4"/>
        <v>0</v>
      </c>
      <c r="AE55" s="308">
        <v>0</v>
      </c>
      <c r="AF55" s="819">
        <f t="shared" ca="1" si="5"/>
        <v>0</v>
      </c>
      <c r="AG55" s="308">
        <v>0</v>
      </c>
      <c r="AH55" s="308">
        <v>0</v>
      </c>
      <c r="AI55" s="308">
        <v>0</v>
      </c>
      <c r="AJ55" s="308">
        <f t="shared" ca="1" si="6"/>
        <v>59724.039334134119</v>
      </c>
      <c r="AK55" s="309">
        <v>0</v>
      </c>
      <c r="AL55" s="309">
        <v>0</v>
      </c>
      <c r="AM55" s="309">
        <f t="shared" si="19"/>
        <v>0</v>
      </c>
      <c r="AN55" s="310">
        <v>0</v>
      </c>
      <c r="AO55" s="310">
        <f ca="1">-OFFSET('Dish Stirling SAM'!$C$13,0,DishStirling!A55-DishStirling!$A$29)</f>
        <v>-267652.21000000002</v>
      </c>
      <c r="AP55" s="310">
        <f t="shared" ca="1" si="20"/>
        <v>-267652.21000000002</v>
      </c>
      <c r="AQ55" s="309">
        <v>0</v>
      </c>
      <c r="AR55" s="311">
        <f t="shared" ca="1" si="7"/>
        <v>-165344.74587947028</v>
      </c>
      <c r="AS55" s="870">
        <f t="shared" ca="1" si="21"/>
        <v>-5935484.3998009339</v>
      </c>
      <c r="AT55" s="822"/>
      <c r="AU55" s="878"/>
      <c r="AV55" s="35"/>
      <c r="AW55" s="879"/>
      <c r="AX55" s="35"/>
      <c r="AY55" s="880"/>
    </row>
    <row r="56" spans="1:51">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2"/>
        <v>0</v>
      </c>
      <c r="K56" s="307">
        <f t="shared" ca="1" si="10"/>
        <v>191126.74564798782</v>
      </c>
      <c r="L56" s="307">
        <f t="shared" ca="1" si="11"/>
        <v>-581.28200000000004</v>
      </c>
      <c r="M56" s="307">
        <f ca="1">OFFSET('Dish Stirling SAM'!$C$2,0,DishStirling!A56-DishStirling!$A$29)/1000</f>
        <v>581.28200000000004</v>
      </c>
      <c r="N56" s="307">
        <f t="shared" ca="1" si="12"/>
        <v>190545.46364798781</v>
      </c>
      <c r="O56" s="306">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-412.85944969583778</v>
      </c>
      <c r="Y56" s="306">
        <v>0</v>
      </c>
      <c r="Z56" s="306">
        <v>0</v>
      </c>
      <c r="AA56" s="308">
        <f ca="1">-SUM(W56,X56/OFFSET(GridFootprintbyYear,$A56-$A$19,0)*EF_PurchElec_MTperMWh,Z56)*OFFSET(ExposureCalculations!Price_GHG_Allowance_2010,A56-$A$19,0)*ExposureCalculations!D53</f>
        <v>44397.644854847706</v>
      </c>
      <c r="AB56" s="308">
        <f t="shared" ca="1" si="3"/>
        <v>59422.385911337165</v>
      </c>
      <c r="AC56" s="308">
        <v>0</v>
      </c>
      <c r="AD56" s="819">
        <f t="shared" ca="1" si="4"/>
        <v>0</v>
      </c>
      <c r="AE56" s="308">
        <v>0</v>
      </c>
      <c r="AF56" s="819">
        <f t="shared" ca="1" si="5"/>
        <v>0</v>
      </c>
      <c r="AG56" s="308">
        <v>0</v>
      </c>
      <c r="AH56" s="308">
        <v>0</v>
      </c>
      <c r="AI56" s="308">
        <v>0</v>
      </c>
      <c r="AJ56" s="308">
        <f t="shared" ca="1" si="6"/>
        <v>59422.385911337165</v>
      </c>
      <c r="AK56" s="309">
        <v>0</v>
      </c>
      <c r="AL56" s="309">
        <v>0</v>
      </c>
      <c r="AM56" s="309">
        <f t="shared" si="19"/>
        <v>0</v>
      </c>
      <c r="AN56" s="310">
        <v>0</v>
      </c>
      <c r="AO56" s="310">
        <f ca="1">-OFFSET('Dish Stirling SAM'!$C$13,0,DishStirling!A56-DishStirling!$A$29)</f>
        <v>-274335.51</v>
      </c>
      <c r="AP56" s="310">
        <f t="shared" ca="1" si="20"/>
        <v>-274335.51</v>
      </c>
      <c r="AQ56" s="309">
        <v>0</v>
      </c>
      <c r="AR56" s="311">
        <f t="shared" ca="1" si="7"/>
        <v>-170515.47923381513</v>
      </c>
      <c r="AS56" s="870">
        <f t="shared" ca="1" si="21"/>
        <v>-6105999.8790347492</v>
      </c>
      <c r="AT56" s="822"/>
      <c r="AU56" s="878"/>
      <c r="AV56" s="35"/>
      <c r="AW56" s="879"/>
      <c r="AX56" s="35"/>
      <c r="AY56" s="880"/>
    </row>
    <row r="57" spans="1:51">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2"/>
        <v>0</v>
      </c>
      <c r="K57" s="307">
        <f t="shared" ca="1" si="10"/>
        <v>192703.37124883989</v>
      </c>
      <c r="L57" s="307">
        <f t="shared" ca="1" si="11"/>
        <v>-575.47</v>
      </c>
      <c r="M57" s="307">
        <f ca="1">OFFSET('Dish Stirling SAM'!$C$2,0,DishStirling!A57-DishStirling!$A$29)/1000</f>
        <v>575.47</v>
      </c>
      <c r="N57" s="307">
        <f t="shared" ca="1" si="12"/>
        <v>192127.90124883989</v>
      </c>
      <c r="O57" s="306">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-408.73143760939399</v>
      </c>
      <c r="Y57" s="306">
        <v>0</v>
      </c>
      <c r="Z57" s="306">
        <v>0</v>
      </c>
      <c r="AA57" s="308">
        <f ca="1">-SUM(W57,X57/OFFSET(GridFootprintbyYear,$A57-$A$19,0)*EF_PurchElec_MTperMWh,Z57)*OFFSET(ExposureCalculations!Price_GHG_Allowance_2010,A57-$A$19,0)*ExposureCalculations!D54</f>
        <v>46335.723412089588</v>
      </c>
      <c r="AB57" s="308">
        <f t="shared" ca="1" si="3"/>
        <v>59122.387107289025</v>
      </c>
      <c r="AC57" s="308">
        <v>0</v>
      </c>
      <c r="AD57" s="819">
        <f t="shared" ca="1" si="4"/>
        <v>0</v>
      </c>
      <c r="AE57" s="308">
        <v>0</v>
      </c>
      <c r="AF57" s="819">
        <f t="shared" ca="1" si="5"/>
        <v>0</v>
      </c>
      <c r="AG57" s="308">
        <v>0</v>
      </c>
      <c r="AH57" s="308">
        <v>0</v>
      </c>
      <c r="AI57" s="308">
        <v>0</v>
      </c>
      <c r="AJ57" s="308">
        <f t="shared" ca="1" si="6"/>
        <v>59122.387107289025</v>
      </c>
      <c r="AK57" s="309">
        <v>0</v>
      </c>
      <c r="AL57" s="309">
        <v>0</v>
      </c>
      <c r="AM57" s="309">
        <f t="shared" si="19"/>
        <v>0</v>
      </c>
      <c r="AN57" s="310">
        <v>0</v>
      </c>
      <c r="AO57" s="310">
        <f ca="1">-OFFSET('Dish Stirling SAM'!$C$13,0,DishStirling!A57-DishStirling!$A$29)</f>
        <v>-281185.77</v>
      </c>
      <c r="AP57" s="310">
        <f t="shared" ca="1" si="20"/>
        <v>-281185.77</v>
      </c>
      <c r="AQ57" s="309">
        <v>0</v>
      </c>
      <c r="AR57" s="311">
        <f t="shared" ca="1" si="7"/>
        <v>-175727.6594806214</v>
      </c>
      <c r="AS57" s="870">
        <f t="shared" ca="1" si="21"/>
        <v>-6281727.5385153703</v>
      </c>
      <c r="AT57" s="822"/>
      <c r="AU57" s="878"/>
      <c r="AV57" s="35"/>
      <c r="AW57" s="879"/>
      <c r="AX57" s="35"/>
      <c r="AY57" s="880"/>
    </row>
    <row r="58" spans="1:51">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2"/>
        <v>0</v>
      </c>
      <c r="K58" s="307">
        <f t="shared" ca="1" si="10"/>
        <v>194279.99684969187</v>
      </c>
      <c r="L58" s="307">
        <f t="shared" ca="1" si="11"/>
        <v>-569.71500000000003</v>
      </c>
      <c r="M58" s="307">
        <f ca="1">OFFSET('Dish Stirling SAM'!$C$2,0,DishStirling!A58-DishStirling!$A$29)/1000</f>
        <v>569.71500000000003</v>
      </c>
      <c r="N58" s="307">
        <f t="shared" ca="1" si="12"/>
        <v>193710.28184969188</v>
      </c>
      <c r="O58" s="306">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-404.64391015628252</v>
      </c>
      <c r="Y58" s="306">
        <v>0</v>
      </c>
      <c r="Z58" s="306">
        <v>0</v>
      </c>
      <c r="AA58" s="308">
        <f ca="1">-SUM(W58,X58/OFFSET(GridFootprintbyYear,$A58-$A$19,0)*EF_PurchElec_MTperMWh,Z58)*OFFSET(ExposureCalculations!Price_GHG_Allowance_2010,A58-$A$19,0)*ExposureCalculations!D55</f>
        <v>48411.890389640022</v>
      </c>
      <c r="AB58" s="308">
        <f t="shared" ca="1" si="3"/>
        <v>58823.788077021061</v>
      </c>
      <c r="AC58" s="308">
        <v>0</v>
      </c>
      <c r="AD58" s="819">
        <f t="shared" ca="1" si="4"/>
        <v>0</v>
      </c>
      <c r="AE58" s="308">
        <v>0</v>
      </c>
      <c r="AF58" s="819">
        <f t="shared" ca="1" si="5"/>
        <v>0</v>
      </c>
      <c r="AG58" s="308">
        <v>0</v>
      </c>
      <c r="AH58" s="308">
        <v>0</v>
      </c>
      <c r="AI58" s="308">
        <v>0</v>
      </c>
      <c r="AJ58" s="308">
        <f t="shared" ca="1" si="6"/>
        <v>58823.788077021061</v>
      </c>
      <c r="AK58" s="309">
        <v>0</v>
      </c>
      <c r="AL58" s="309">
        <v>0</v>
      </c>
      <c r="AM58" s="309">
        <f t="shared" si="19"/>
        <v>0</v>
      </c>
      <c r="AN58" s="310">
        <v>0</v>
      </c>
      <c r="AO58" s="310">
        <f ca="1">-OFFSET('Dish Stirling SAM'!$C$13,0,DishStirling!A58-DishStirling!$A$29)</f>
        <v>-288207.17</v>
      </c>
      <c r="AP58" s="310">
        <f t="shared" ca="1" si="20"/>
        <v>-288207.17</v>
      </c>
      <c r="AQ58" s="309">
        <v>0</v>
      </c>
      <c r="AR58" s="311">
        <f t="shared" ca="1" si="7"/>
        <v>-180971.49153333891</v>
      </c>
      <c r="AS58" s="870">
        <f t="shared" ca="1" si="21"/>
        <v>-6462699.0300487094</v>
      </c>
      <c r="AT58" s="822"/>
      <c r="AU58" s="878"/>
      <c r="AV58" s="35"/>
      <c r="AW58" s="879"/>
      <c r="AX58" s="35"/>
      <c r="AY58" s="880"/>
    </row>
    <row r="59" spans="1:51">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2"/>
        <v>0</v>
      </c>
      <c r="K59" s="307">
        <f t="shared" ca="1" si="10"/>
        <v>195856.62245054395</v>
      </c>
      <c r="L59" s="307">
        <f t="shared" ca="1" si="11"/>
        <v>-569.71500000000003</v>
      </c>
      <c r="M59" s="307">
        <f ca="1">M58</f>
        <v>569.71500000000003</v>
      </c>
      <c r="N59" s="307">
        <f t="shared" ca="1" si="12"/>
        <v>195286.90745054395</v>
      </c>
      <c r="O59" s="306">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-404.64391015628252</v>
      </c>
      <c r="Y59" s="306">
        <v>0</v>
      </c>
      <c r="Z59" s="306">
        <v>0</v>
      </c>
      <c r="AA59" s="308">
        <f ca="1">-SUM(W59,X59/OFFSET(GridFootprintbyYear,$A59-$A$19,0)*EF_PurchElec_MTperMWh,Z59)*OFFSET(ExposureCalculations!Price_GHG_Allowance_2010,A59-$A$19,0)*ExposureCalculations!D56</f>
        <v>51152.608284421462</v>
      </c>
      <c r="AB59" s="308">
        <f t="shared" ca="1" si="3"/>
        <v>59117.907017406164</v>
      </c>
      <c r="AC59" s="308">
        <v>0</v>
      </c>
      <c r="AD59" s="819">
        <f t="shared" ca="1" si="4"/>
        <v>0</v>
      </c>
      <c r="AE59" s="308">
        <v>0</v>
      </c>
      <c r="AF59" s="819">
        <f t="shared" ca="1" si="5"/>
        <v>0</v>
      </c>
      <c r="AG59" s="308">
        <v>0</v>
      </c>
      <c r="AH59" s="308">
        <v>0</v>
      </c>
      <c r="AI59" s="308">
        <v>0</v>
      </c>
      <c r="AJ59" s="308">
        <f t="shared" ca="1" si="6"/>
        <v>59117.907017406164</v>
      </c>
      <c r="AK59" s="309">
        <v>0</v>
      </c>
      <c r="AL59" s="309">
        <v>0</v>
      </c>
      <c r="AM59" s="309">
        <f t="shared" si="19"/>
        <v>0</v>
      </c>
      <c r="AN59" s="310">
        <v>0</v>
      </c>
      <c r="AO59" s="310">
        <f ca="1">AO58</f>
        <v>-288207.17</v>
      </c>
      <c r="AP59" s="310">
        <f t="shared" ca="1" si="20"/>
        <v>-288207.17</v>
      </c>
      <c r="AQ59" s="309">
        <v>0</v>
      </c>
      <c r="AR59" s="311">
        <f t="shared" ca="1" si="7"/>
        <v>-177936.65469817235</v>
      </c>
      <c r="AS59" s="870">
        <f t="shared" ca="1" si="21"/>
        <v>-6640635.6847468819</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sheetPr codeName="Sheet41"/>
  <dimension ref="A1:AF75"/>
  <sheetViews>
    <sheetView topLeftCell="A50" workbookViewId="0">
      <selection activeCell="B79" sqref="B79"/>
    </sheetView>
  </sheetViews>
  <sheetFormatPr defaultRowHeight="12"/>
  <cols>
    <col min="1" max="1" width="46.5703125" style="938" bestFit="1" customWidth="1"/>
    <col min="2" max="32" width="12.42578125" style="939" bestFit="1" customWidth="1"/>
    <col min="33" max="16384" width="9.140625" style="939"/>
  </cols>
  <sheetData>
    <row r="1" spans="1:32" s="938" customFormat="1">
      <c r="B1" s="938">
        <v>0</v>
      </c>
      <c r="C1" s="938">
        <v>1</v>
      </c>
      <c r="D1" s="938">
        <v>2</v>
      </c>
      <c r="E1" s="938">
        <v>3</v>
      </c>
      <c r="F1" s="938">
        <v>4</v>
      </c>
      <c r="G1" s="938">
        <v>5</v>
      </c>
      <c r="H1" s="938">
        <v>6</v>
      </c>
      <c r="I1" s="938">
        <v>7</v>
      </c>
      <c r="J1" s="938">
        <v>8</v>
      </c>
      <c r="K1" s="938">
        <v>9</v>
      </c>
      <c r="L1" s="938">
        <v>10</v>
      </c>
      <c r="M1" s="938">
        <v>11</v>
      </c>
      <c r="N1" s="938">
        <v>12</v>
      </c>
      <c r="O1" s="938">
        <v>13</v>
      </c>
      <c r="P1" s="938">
        <v>14</v>
      </c>
      <c r="Q1" s="938">
        <v>15</v>
      </c>
      <c r="R1" s="938">
        <v>16</v>
      </c>
      <c r="S1" s="938">
        <v>17</v>
      </c>
      <c r="T1" s="938">
        <v>18</v>
      </c>
      <c r="U1" s="938">
        <v>19</v>
      </c>
      <c r="V1" s="938">
        <v>20</v>
      </c>
      <c r="W1" s="938">
        <v>21</v>
      </c>
      <c r="X1" s="938">
        <v>22</v>
      </c>
      <c r="Y1" s="938">
        <v>23</v>
      </c>
      <c r="Z1" s="938">
        <v>24</v>
      </c>
      <c r="AA1" s="938">
        <v>25</v>
      </c>
      <c r="AB1" s="938">
        <v>26</v>
      </c>
      <c r="AC1" s="938">
        <v>27</v>
      </c>
      <c r="AD1" s="938">
        <v>28</v>
      </c>
      <c r="AE1" s="938">
        <v>29</v>
      </c>
      <c r="AF1" s="938">
        <v>30</v>
      </c>
    </row>
    <row r="2" spans="1:32">
      <c r="A2" s="938" t="s">
        <v>873</v>
      </c>
      <c r="B2" s="939">
        <v>0</v>
      </c>
      <c r="C2" s="940">
        <v>762495</v>
      </c>
      <c r="D2" s="940">
        <v>754870</v>
      </c>
      <c r="E2" s="940">
        <v>747321</v>
      </c>
      <c r="F2" s="940">
        <v>739848</v>
      </c>
      <c r="G2" s="940">
        <v>732449</v>
      </c>
      <c r="H2" s="940">
        <v>725125</v>
      </c>
      <c r="I2" s="940">
        <v>717874</v>
      </c>
      <c r="J2" s="940">
        <v>710695</v>
      </c>
      <c r="K2" s="940">
        <v>703588</v>
      </c>
      <c r="L2" s="940">
        <v>696552</v>
      </c>
      <c r="M2" s="940">
        <v>689587</v>
      </c>
      <c r="N2" s="940">
        <v>682691</v>
      </c>
      <c r="O2" s="940">
        <v>675864</v>
      </c>
      <c r="P2" s="940">
        <v>669105</v>
      </c>
      <c r="Q2" s="940">
        <v>662414</v>
      </c>
      <c r="R2" s="940">
        <v>655790</v>
      </c>
      <c r="S2" s="940">
        <v>649232</v>
      </c>
      <c r="T2" s="940">
        <v>642740</v>
      </c>
      <c r="U2" s="940">
        <v>636312</v>
      </c>
      <c r="V2" s="940">
        <v>629949</v>
      </c>
      <c r="W2" s="940">
        <v>623650</v>
      </c>
      <c r="X2" s="940">
        <v>617413</v>
      </c>
      <c r="Y2" s="940">
        <v>611239</v>
      </c>
      <c r="Z2" s="940">
        <v>605127</v>
      </c>
      <c r="AA2" s="940">
        <v>599075</v>
      </c>
      <c r="AB2" s="940">
        <v>593085</v>
      </c>
      <c r="AC2" s="940">
        <v>587154</v>
      </c>
      <c r="AD2" s="940">
        <v>581282</v>
      </c>
      <c r="AE2" s="940">
        <v>575470</v>
      </c>
      <c r="AF2" s="940">
        <v>569715</v>
      </c>
    </row>
    <row r="3" spans="1:32">
      <c r="A3" s="938" t="s">
        <v>874</v>
      </c>
      <c r="B3" s="939">
        <v>0</v>
      </c>
      <c r="C3" s="941">
        <v>64812.06</v>
      </c>
      <c r="D3" s="941">
        <v>65768.039999999994</v>
      </c>
      <c r="E3" s="941">
        <v>66738.11</v>
      </c>
      <c r="F3" s="941">
        <v>67722.5</v>
      </c>
      <c r="G3" s="941">
        <v>68721.41</v>
      </c>
      <c r="H3" s="941">
        <v>69735.05</v>
      </c>
      <c r="I3" s="941">
        <v>70763.64</v>
      </c>
      <c r="J3" s="941">
        <v>71807.41</v>
      </c>
      <c r="K3" s="941">
        <v>72866.559999999998</v>
      </c>
      <c r="L3" s="941">
        <v>73941.350000000006</v>
      </c>
      <c r="M3" s="941">
        <v>75031.98</v>
      </c>
      <c r="N3" s="941">
        <v>76138.7</v>
      </c>
      <c r="O3" s="941">
        <v>77261.75</v>
      </c>
      <c r="P3" s="941">
        <v>78401.36</v>
      </c>
      <c r="Q3" s="941">
        <v>79557.78</v>
      </c>
      <c r="R3" s="941">
        <v>80731.259999999995</v>
      </c>
      <c r="S3" s="941">
        <v>81922.039999999994</v>
      </c>
      <c r="T3" s="941">
        <v>83130.39</v>
      </c>
      <c r="U3" s="941">
        <v>84356.57</v>
      </c>
      <c r="V3" s="941">
        <v>85600.83</v>
      </c>
      <c r="W3" s="941">
        <v>86863.44</v>
      </c>
      <c r="X3" s="941">
        <v>88144.67</v>
      </c>
      <c r="Y3" s="941">
        <v>89444.81</v>
      </c>
      <c r="Z3" s="941">
        <v>90764.12</v>
      </c>
      <c r="AA3" s="941">
        <v>92102.89</v>
      </c>
      <c r="AB3" s="941">
        <v>93461.41</v>
      </c>
      <c r="AC3" s="941">
        <v>94839.96</v>
      </c>
      <c r="AD3" s="941">
        <v>96238.85</v>
      </c>
      <c r="AE3" s="941">
        <v>97658.37</v>
      </c>
      <c r="AF3" s="941">
        <v>99098.84</v>
      </c>
    </row>
    <row r="5" spans="1:32">
      <c r="A5" s="938" t="s">
        <v>875</v>
      </c>
    </row>
    <row r="6" spans="1:32">
      <c r="A6" s="938" t="s">
        <v>876</v>
      </c>
      <c r="B6" s="939">
        <v>0</v>
      </c>
      <c r="C6" s="939">
        <v>0</v>
      </c>
      <c r="D6" s="939">
        <v>0</v>
      </c>
      <c r="E6" s="939">
        <v>0</v>
      </c>
      <c r="F6" s="939">
        <v>0</v>
      </c>
      <c r="G6" s="939">
        <v>0</v>
      </c>
      <c r="H6" s="939">
        <v>0</v>
      </c>
      <c r="I6" s="939">
        <v>0</v>
      </c>
      <c r="J6" s="939">
        <v>0</v>
      </c>
      <c r="K6" s="939">
        <v>0</v>
      </c>
      <c r="L6" s="939">
        <v>0</v>
      </c>
      <c r="M6" s="939">
        <v>0</v>
      </c>
      <c r="N6" s="939">
        <v>0</v>
      </c>
      <c r="O6" s="939">
        <v>0</v>
      </c>
      <c r="P6" s="939">
        <v>0</v>
      </c>
      <c r="Q6" s="939">
        <v>0</v>
      </c>
      <c r="R6" s="939">
        <v>0</v>
      </c>
      <c r="S6" s="939">
        <v>0</v>
      </c>
      <c r="T6" s="939">
        <v>0</v>
      </c>
      <c r="U6" s="939">
        <v>0</v>
      </c>
      <c r="V6" s="939">
        <v>0</v>
      </c>
      <c r="W6" s="939">
        <v>0</v>
      </c>
      <c r="X6" s="939">
        <v>0</v>
      </c>
      <c r="Y6" s="939">
        <v>0</v>
      </c>
      <c r="Z6" s="939">
        <v>0</v>
      </c>
      <c r="AA6" s="939">
        <v>0</v>
      </c>
      <c r="AB6" s="939">
        <v>0</v>
      </c>
      <c r="AC6" s="939">
        <v>0</v>
      </c>
      <c r="AD6" s="939">
        <v>0</v>
      </c>
      <c r="AE6" s="939">
        <v>0</v>
      </c>
      <c r="AF6" s="939">
        <v>0</v>
      </c>
    </row>
    <row r="7" spans="1:32">
      <c r="A7" s="938" t="s">
        <v>877</v>
      </c>
      <c r="B7" s="939">
        <v>0</v>
      </c>
      <c r="C7" s="940">
        <v>50000</v>
      </c>
      <c r="D7" s="940">
        <v>51250</v>
      </c>
      <c r="E7" s="941">
        <v>52531.25</v>
      </c>
      <c r="F7" s="941">
        <v>53844.53</v>
      </c>
      <c r="G7" s="941">
        <v>55190.64</v>
      </c>
      <c r="H7" s="941">
        <v>56570.41</v>
      </c>
      <c r="I7" s="941">
        <v>57984.67</v>
      </c>
      <c r="J7" s="941">
        <v>59434.29</v>
      </c>
      <c r="K7" s="941">
        <v>60920.14</v>
      </c>
      <c r="L7" s="941">
        <v>62443.15</v>
      </c>
      <c r="M7" s="941">
        <v>64004.23</v>
      </c>
      <c r="N7" s="941">
        <v>65604.33</v>
      </c>
      <c r="O7" s="941">
        <v>67244.44</v>
      </c>
      <c r="P7" s="941">
        <v>68925.55</v>
      </c>
      <c r="Q7" s="941">
        <v>70648.69</v>
      </c>
      <c r="R7" s="941">
        <v>72414.91</v>
      </c>
      <c r="S7" s="941">
        <v>74225.279999999999</v>
      </c>
      <c r="T7" s="941">
        <v>76080.91</v>
      </c>
      <c r="U7" s="941">
        <v>77982.94</v>
      </c>
      <c r="V7" s="941">
        <v>79932.509999999995</v>
      </c>
      <c r="W7" s="941">
        <v>81930.820000000007</v>
      </c>
      <c r="X7" s="941">
        <v>83979.09</v>
      </c>
      <c r="Y7" s="941">
        <v>86078.57</v>
      </c>
      <c r="Z7" s="941">
        <v>88230.53</v>
      </c>
      <c r="AA7" s="941">
        <v>90436.3</v>
      </c>
      <c r="AB7" s="941">
        <v>92697.2</v>
      </c>
      <c r="AC7" s="941">
        <v>95014.64</v>
      </c>
      <c r="AD7" s="940">
        <v>97390</v>
      </c>
      <c r="AE7" s="941">
        <v>99824.75</v>
      </c>
      <c r="AF7" s="941">
        <v>102320.37</v>
      </c>
    </row>
    <row r="8" spans="1:32">
      <c r="A8" s="938" t="s">
        <v>878</v>
      </c>
      <c r="B8" s="939">
        <v>0</v>
      </c>
      <c r="C8" s="939">
        <v>533.75</v>
      </c>
      <c r="D8" s="939">
        <v>541.62</v>
      </c>
      <c r="E8" s="939">
        <v>549.61</v>
      </c>
      <c r="F8" s="939">
        <v>557.71</v>
      </c>
      <c r="G8" s="939">
        <v>565.94000000000005</v>
      </c>
      <c r="H8" s="939">
        <v>574.29</v>
      </c>
      <c r="I8" s="939">
        <v>582.76</v>
      </c>
      <c r="J8" s="939">
        <v>591.36</v>
      </c>
      <c r="K8" s="939">
        <v>600.08000000000004</v>
      </c>
      <c r="L8" s="939">
        <v>608.92999999999995</v>
      </c>
      <c r="M8" s="939">
        <v>617.91</v>
      </c>
      <c r="N8" s="939">
        <v>627.02</v>
      </c>
      <c r="O8" s="939">
        <v>636.27</v>
      </c>
      <c r="P8" s="939">
        <v>645.66</v>
      </c>
      <c r="Q8" s="939">
        <v>655.17999999999995</v>
      </c>
      <c r="R8" s="939">
        <v>664.85</v>
      </c>
      <c r="S8" s="939">
        <v>674.65</v>
      </c>
      <c r="T8" s="939">
        <v>684.6</v>
      </c>
      <c r="U8" s="939">
        <v>694.7</v>
      </c>
      <c r="V8" s="939">
        <v>704.95</v>
      </c>
      <c r="W8" s="939">
        <v>715.35</v>
      </c>
      <c r="X8" s="939">
        <v>725.9</v>
      </c>
      <c r="Y8" s="939">
        <v>736.6</v>
      </c>
      <c r="Z8" s="939">
        <v>747.47</v>
      </c>
      <c r="AA8" s="939">
        <v>758.49</v>
      </c>
      <c r="AB8" s="939">
        <v>769.68</v>
      </c>
      <c r="AC8" s="939">
        <v>781.03</v>
      </c>
      <c r="AD8" s="939">
        <v>792.56</v>
      </c>
      <c r="AE8" s="939">
        <v>804.25</v>
      </c>
      <c r="AF8" s="939">
        <v>816.11</v>
      </c>
    </row>
    <row r="9" spans="1:32">
      <c r="A9" s="938" t="s">
        <v>879</v>
      </c>
      <c r="B9" s="939">
        <v>0</v>
      </c>
      <c r="C9" s="939">
        <v>0</v>
      </c>
      <c r="D9" s="939">
        <v>0</v>
      </c>
      <c r="E9" s="939">
        <v>0</v>
      </c>
      <c r="F9" s="939">
        <v>0</v>
      </c>
      <c r="G9" s="939">
        <v>0</v>
      </c>
      <c r="H9" s="939">
        <v>0</v>
      </c>
      <c r="I9" s="939">
        <v>0</v>
      </c>
      <c r="J9" s="939">
        <v>0</v>
      </c>
      <c r="K9" s="939">
        <v>0</v>
      </c>
      <c r="L9" s="939">
        <v>0</v>
      </c>
      <c r="M9" s="939">
        <v>0</v>
      </c>
      <c r="N9" s="939">
        <v>0</v>
      </c>
      <c r="O9" s="939">
        <v>0</v>
      </c>
      <c r="P9" s="939">
        <v>0</v>
      </c>
      <c r="Q9" s="939">
        <v>0</v>
      </c>
      <c r="R9" s="939">
        <v>0</v>
      </c>
      <c r="S9" s="939">
        <v>0</v>
      </c>
      <c r="T9" s="939">
        <v>0</v>
      </c>
      <c r="U9" s="939">
        <v>0</v>
      </c>
      <c r="V9" s="939">
        <v>0</v>
      </c>
      <c r="W9" s="939">
        <v>0</v>
      </c>
      <c r="X9" s="939">
        <v>0</v>
      </c>
      <c r="Y9" s="939">
        <v>0</v>
      </c>
      <c r="Z9" s="939">
        <v>0</v>
      </c>
      <c r="AA9" s="939">
        <v>0</v>
      </c>
      <c r="AB9" s="939">
        <v>0</v>
      </c>
      <c r="AC9" s="939">
        <v>0</v>
      </c>
      <c r="AD9" s="939">
        <v>0</v>
      </c>
      <c r="AE9" s="939">
        <v>0</v>
      </c>
      <c r="AF9" s="939">
        <v>0</v>
      </c>
    </row>
    <row r="10" spans="1:32">
      <c r="A10" s="938" t="s">
        <v>880</v>
      </c>
      <c r="B10" s="939">
        <v>0</v>
      </c>
      <c r="C10" s="941">
        <v>30145.63</v>
      </c>
      <c r="D10" s="941">
        <v>30899.27</v>
      </c>
      <c r="E10" s="941">
        <v>31671.75</v>
      </c>
      <c r="F10" s="941">
        <v>32463.54</v>
      </c>
      <c r="G10" s="941">
        <v>33275.129999999997</v>
      </c>
      <c r="H10" s="941">
        <v>34107.01</v>
      </c>
      <c r="I10" s="941">
        <v>34959.68</v>
      </c>
      <c r="J10" s="941">
        <v>35833.68</v>
      </c>
      <c r="K10" s="941">
        <v>36729.519999999997</v>
      </c>
      <c r="L10" s="941">
        <v>37647.760000000002</v>
      </c>
      <c r="M10" s="941">
        <v>38588.949999999997</v>
      </c>
      <c r="N10" s="941">
        <v>39553.67</v>
      </c>
      <c r="O10" s="941">
        <v>40542.51</v>
      </c>
      <c r="P10" s="941">
        <v>41556.080000000002</v>
      </c>
      <c r="Q10" s="941">
        <v>42594.98</v>
      </c>
      <c r="R10" s="941">
        <v>43659.85</v>
      </c>
      <c r="S10" s="941">
        <v>44751.35</v>
      </c>
      <c r="T10" s="941">
        <v>45870.13</v>
      </c>
      <c r="U10" s="941">
        <v>47016.89</v>
      </c>
      <c r="V10" s="941">
        <v>48192.31</v>
      </c>
      <c r="W10" s="941">
        <v>49397.120000000003</v>
      </c>
      <c r="X10" s="941">
        <v>50632.05</v>
      </c>
      <c r="Y10" s="941">
        <v>51897.85</v>
      </c>
      <c r="Z10" s="941">
        <v>53195.29</v>
      </c>
      <c r="AA10" s="941">
        <v>54525.17</v>
      </c>
      <c r="AB10" s="941">
        <v>55888.3</v>
      </c>
      <c r="AC10" s="941">
        <v>57285.51</v>
      </c>
      <c r="AD10" s="941">
        <v>58717.65</v>
      </c>
      <c r="AE10" s="941">
        <v>60185.59</v>
      </c>
      <c r="AF10" s="941">
        <v>61690.23</v>
      </c>
    </row>
    <row r="11" spans="1:32">
      <c r="A11" s="938" t="s">
        <v>881</v>
      </c>
      <c r="B11" s="939">
        <v>0</v>
      </c>
      <c r="C11" s="941">
        <v>60291.25</v>
      </c>
      <c r="D11" s="941">
        <v>61798.53</v>
      </c>
      <c r="E11" s="941">
        <v>63343.5</v>
      </c>
      <c r="F11" s="941">
        <v>64927.08</v>
      </c>
      <c r="G11" s="941">
        <v>66550.259999999995</v>
      </c>
      <c r="H11" s="941">
        <v>68214.02</v>
      </c>
      <c r="I11" s="941">
        <v>69919.37</v>
      </c>
      <c r="J11" s="941">
        <v>71667.350000000006</v>
      </c>
      <c r="K11" s="941">
        <v>73459.03</v>
      </c>
      <c r="L11" s="941">
        <v>75295.509999999995</v>
      </c>
      <c r="M11" s="941">
        <v>77177.899999999994</v>
      </c>
      <c r="N11" s="941">
        <v>79107.350000000006</v>
      </c>
      <c r="O11" s="941">
        <v>81085.03</v>
      </c>
      <c r="P11" s="941">
        <v>83112.160000000003</v>
      </c>
      <c r="Q11" s="941">
        <v>85189.96</v>
      </c>
      <c r="R11" s="941">
        <v>87319.71</v>
      </c>
      <c r="S11" s="941">
        <v>89502.7</v>
      </c>
      <c r="T11" s="941">
        <v>91740.27</v>
      </c>
      <c r="U11" s="941">
        <v>94033.77</v>
      </c>
      <c r="V11" s="941">
        <v>96384.62</v>
      </c>
      <c r="W11" s="941">
        <v>98794.23</v>
      </c>
      <c r="X11" s="941">
        <v>101264.09</v>
      </c>
      <c r="Y11" s="941">
        <v>103795.69</v>
      </c>
      <c r="Z11" s="941">
        <v>106390.59</v>
      </c>
      <c r="AA11" s="941">
        <v>109050.35</v>
      </c>
      <c r="AB11" s="941">
        <v>111776.61</v>
      </c>
      <c r="AC11" s="941">
        <v>114571.02</v>
      </c>
      <c r="AD11" s="941">
        <v>117435.3</v>
      </c>
      <c r="AE11" s="941">
        <v>120371.18</v>
      </c>
      <c r="AF11" s="941">
        <v>123380.46</v>
      </c>
    </row>
    <row r="12" spans="1:32">
      <c r="A12" s="938" t="s">
        <v>882</v>
      </c>
      <c r="B12" s="939">
        <v>0</v>
      </c>
      <c r="C12" s="939">
        <v>0</v>
      </c>
      <c r="D12" s="939">
        <v>0</v>
      </c>
      <c r="E12" s="939">
        <v>0</v>
      </c>
      <c r="F12" s="939">
        <v>0</v>
      </c>
      <c r="G12" s="939">
        <v>0</v>
      </c>
      <c r="H12" s="939">
        <v>0</v>
      </c>
      <c r="I12" s="939">
        <v>0</v>
      </c>
      <c r="J12" s="939">
        <v>0</v>
      </c>
      <c r="K12" s="939">
        <v>0</v>
      </c>
      <c r="L12" s="939">
        <v>0</v>
      </c>
      <c r="M12" s="939">
        <v>0</v>
      </c>
      <c r="N12" s="939">
        <v>0</v>
      </c>
      <c r="O12" s="939">
        <v>0</v>
      </c>
      <c r="P12" s="939">
        <v>0</v>
      </c>
      <c r="Q12" s="939">
        <v>0</v>
      </c>
      <c r="R12" s="939">
        <v>0</v>
      </c>
      <c r="S12" s="939">
        <v>0</v>
      </c>
      <c r="T12" s="939">
        <v>0</v>
      </c>
      <c r="U12" s="939">
        <v>0</v>
      </c>
      <c r="V12" s="939">
        <v>0</v>
      </c>
      <c r="W12" s="939">
        <v>0</v>
      </c>
      <c r="X12" s="939">
        <v>0</v>
      </c>
      <c r="Y12" s="939">
        <v>0</v>
      </c>
      <c r="Z12" s="939">
        <v>0</v>
      </c>
      <c r="AA12" s="939">
        <v>0</v>
      </c>
      <c r="AB12" s="939">
        <v>0</v>
      </c>
      <c r="AC12" s="939">
        <v>0</v>
      </c>
      <c r="AD12" s="939">
        <v>0</v>
      </c>
      <c r="AE12" s="939">
        <v>0</v>
      </c>
      <c r="AF12" s="939">
        <v>0</v>
      </c>
    </row>
    <row r="13" spans="1:32">
      <c r="A13" s="938" t="s">
        <v>883</v>
      </c>
      <c r="B13" s="939">
        <v>0</v>
      </c>
      <c r="C13" s="941">
        <v>140970.62</v>
      </c>
      <c r="D13" s="941">
        <v>144489.42000000001</v>
      </c>
      <c r="E13" s="941">
        <v>148096.1</v>
      </c>
      <c r="F13" s="941">
        <v>151792.87</v>
      </c>
      <c r="G13" s="941">
        <v>155581.98000000001</v>
      </c>
      <c r="H13" s="941">
        <v>159465.72</v>
      </c>
      <c r="I13" s="941">
        <v>163446.48000000001</v>
      </c>
      <c r="J13" s="941">
        <v>167526.67000000001</v>
      </c>
      <c r="K13" s="941">
        <v>171708.77</v>
      </c>
      <c r="L13" s="941">
        <v>175995.34</v>
      </c>
      <c r="M13" s="941">
        <v>180388.99</v>
      </c>
      <c r="N13" s="941">
        <v>184892.38</v>
      </c>
      <c r="O13" s="941">
        <v>189508.26</v>
      </c>
      <c r="P13" s="941">
        <v>194239.44</v>
      </c>
      <c r="Q13" s="941">
        <v>199088.81</v>
      </c>
      <c r="R13" s="941">
        <v>204059.32</v>
      </c>
      <c r="S13" s="941">
        <v>209153.98</v>
      </c>
      <c r="T13" s="941">
        <v>214375.92</v>
      </c>
      <c r="U13" s="941">
        <v>219728.3</v>
      </c>
      <c r="V13" s="941">
        <v>225214.39</v>
      </c>
      <c r="W13" s="941">
        <v>230837.52</v>
      </c>
      <c r="X13" s="941">
        <v>236601.13</v>
      </c>
      <c r="Y13" s="941">
        <v>242508.71</v>
      </c>
      <c r="Z13" s="941">
        <v>248563.88</v>
      </c>
      <c r="AA13" s="941">
        <v>254770.32</v>
      </c>
      <c r="AB13" s="941">
        <v>261131.8</v>
      </c>
      <c r="AC13" s="941">
        <v>267652.21000000002</v>
      </c>
      <c r="AD13" s="941">
        <v>274335.51</v>
      </c>
      <c r="AE13" s="941">
        <v>281185.77</v>
      </c>
      <c r="AF13" s="941">
        <v>288207.17</v>
      </c>
    </row>
    <row r="15" spans="1:32">
      <c r="A15" s="938" t="s">
        <v>884</v>
      </c>
      <c r="B15" s="939">
        <v>0</v>
      </c>
      <c r="C15" s="941">
        <v>-140970.62</v>
      </c>
      <c r="D15" s="941">
        <v>-144489.42000000001</v>
      </c>
      <c r="E15" s="941">
        <v>-148096.1</v>
      </c>
      <c r="F15" s="941">
        <v>-151792.87</v>
      </c>
      <c r="G15" s="941">
        <v>-155581.98000000001</v>
      </c>
      <c r="H15" s="941">
        <v>-159465.72</v>
      </c>
      <c r="I15" s="941">
        <v>-163446.48000000001</v>
      </c>
      <c r="J15" s="941">
        <v>-167526.67000000001</v>
      </c>
      <c r="K15" s="941">
        <v>-171708.77</v>
      </c>
      <c r="L15" s="941">
        <v>-175995.34</v>
      </c>
      <c r="M15" s="941">
        <v>-180388.99</v>
      </c>
      <c r="N15" s="941">
        <v>-184892.38</v>
      </c>
      <c r="O15" s="941">
        <v>-189508.26</v>
      </c>
      <c r="P15" s="941">
        <v>-194239.44</v>
      </c>
      <c r="Q15" s="941">
        <v>-199088.81</v>
      </c>
      <c r="R15" s="941">
        <v>-204059.32</v>
      </c>
      <c r="S15" s="941">
        <v>-209153.98</v>
      </c>
      <c r="T15" s="941">
        <v>-214375.92</v>
      </c>
      <c r="U15" s="941">
        <v>-219728.3</v>
      </c>
      <c r="V15" s="941">
        <v>-225214.39</v>
      </c>
      <c r="W15" s="941">
        <v>-230837.52</v>
      </c>
      <c r="X15" s="941">
        <v>-236601.13</v>
      </c>
      <c r="Y15" s="941">
        <v>-242508.71</v>
      </c>
      <c r="Z15" s="941">
        <v>-248563.88</v>
      </c>
      <c r="AA15" s="941">
        <v>-254770.32</v>
      </c>
      <c r="AB15" s="941">
        <v>-261131.8</v>
      </c>
      <c r="AC15" s="941">
        <v>-267652.21000000002</v>
      </c>
      <c r="AD15" s="941">
        <v>-274335.51</v>
      </c>
      <c r="AE15" s="941">
        <v>-281185.77</v>
      </c>
      <c r="AF15" s="941">
        <v>-288207.17</v>
      </c>
    </row>
    <row r="17" spans="1:32">
      <c r="A17" s="938" t="s">
        <v>885</v>
      </c>
    </row>
    <row r="18" spans="1:32">
      <c r="A18" s="938" t="s">
        <v>886</v>
      </c>
      <c r="B18" s="939">
        <v>0</v>
      </c>
      <c r="C18" s="941">
        <v>-3014562.54</v>
      </c>
      <c r="D18" s="941">
        <v>-2796376.03</v>
      </c>
      <c r="E18" s="941">
        <v>-2562916.4700000002</v>
      </c>
      <c r="F18" s="941">
        <v>-2313114.73</v>
      </c>
      <c r="G18" s="941">
        <v>-2045826.88</v>
      </c>
      <c r="H18" s="941">
        <v>-1759828.87</v>
      </c>
      <c r="I18" s="941">
        <v>-1453811.01</v>
      </c>
      <c r="J18" s="941">
        <v>-1126371.8899999999</v>
      </c>
      <c r="K18" s="941">
        <v>-776012.04</v>
      </c>
      <c r="L18" s="940">
        <v>-401127</v>
      </c>
      <c r="M18" s="939">
        <v>0</v>
      </c>
      <c r="N18" s="939">
        <v>0</v>
      </c>
      <c r="O18" s="939">
        <v>0</v>
      </c>
      <c r="P18" s="939">
        <v>0</v>
      </c>
      <c r="Q18" s="939">
        <v>0</v>
      </c>
      <c r="R18" s="939">
        <v>0</v>
      </c>
      <c r="S18" s="939">
        <v>0</v>
      </c>
      <c r="T18" s="939">
        <v>0</v>
      </c>
      <c r="U18" s="939">
        <v>0</v>
      </c>
      <c r="V18" s="939">
        <v>0</v>
      </c>
      <c r="W18" s="939">
        <v>0</v>
      </c>
      <c r="X18" s="939">
        <v>0</v>
      </c>
      <c r="Y18" s="939">
        <v>0</v>
      </c>
      <c r="Z18" s="939">
        <v>0</v>
      </c>
      <c r="AA18" s="939">
        <v>0</v>
      </c>
      <c r="AB18" s="939">
        <v>0</v>
      </c>
      <c r="AC18" s="939">
        <v>0</v>
      </c>
      <c r="AD18" s="939">
        <v>0</v>
      </c>
      <c r="AE18" s="939">
        <v>0</v>
      </c>
      <c r="AF18" s="939">
        <v>0</v>
      </c>
    </row>
    <row r="19" spans="1:32">
      <c r="A19" s="938" t="s">
        <v>887</v>
      </c>
      <c r="B19" s="939">
        <v>0</v>
      </c>
      <c r="C19" s="941">
        <v>211019.38</v>
      </c>
      <c r="D19" s="941">
        <v>195746.32</v>
      </c>
      <c r="E19" s="941">
        <v>179404.15</v>
      </c>
      <c r="F19" s="941">
        <v>161918.03</v>
      </c>
      <c r="G19" s="941">
        <v>143207.88</v>
      </c>
      <c r="H19" s="941">
        <v>123188.02</v>
      </c>
      <c r="I19" s="941">
        <v>101766.77</v>
      </c>
      <c r="J19" s="941">
        <v>78846.03</v>
      </c>
      <c r="K19" s="941">
        <v>54320.84</v>
      </c>
      <c r="L19" s="941">
        <v>28078.89</v>
      </c>
      <c r="M19" s="939">
        <v>0</v>
      </c>
      <c r="N19" s="939">
        <v>0</v>
      </c>
      <c r="O19" s="939">
        <v>0</v>
      </c>
      <c r="P19" s="939">
        <v>0</v>
      </c>
      <c r="Q19" s="939">
        <v>0</v>
      </c>
      <c r="R19" s="939">
        <v>0</v>
      </c>
      <c r="S19" s="939">
        <v>0</v>
      </c>
      <c r="T19" s="939">
        <v>0</v>
      </c>
      <c r="U19" s="939">
        <v>0</v>
      </c>
      <c r="V19" s="939">
        <v>0</v>
      </c>
      <c r="W19" s="939">
        <v>0</v>
      </c>
      <c r="X19" s="939">
        <v>0</v>
      </c>
      <c r="Y19" s="939">
        <v>0</v>
      </c>
      <c r="Z19" s="939">
        <v>0</v>
      </c>
      <c r="AA19" s="939">
        <v>0</v>
      </c>
      <c r="AB19" s="939">
        <v>0</v>
      </c>
      <c r="AC19" s="939">
        <v>0</v>
      </c>
      <c r="AD19" s="939">
        <v>0</v>
      </c>
      <c r="AE19" s="939">
        <v>0</v>
      </c>
      <c r="AF19" s="939">
        <v>0</v>
      </c>
    </row>
    <row r="20" spans="1:32">
      <c r="A20" s="938" t="s">
        <v>888</v>
      </c>
      <c r="B20" s="939">
        <v>0</v>
      </c>
      <c r="C20" s="941">
        <v>218186.51</v>
      </c>
      <c r="D20" s="941">
        <v>233459.56</v>
      </c>
      <c r="E20" s="941">
        <v>249801.73</v>
      </c>
      <c r="F20" s="941">
        <v>267287.84999999998</v>
      </c>
      <c r="G20" s="940">
        <v>285998</v>
      </c>
      <c r="H20" s="941">
        <v>306017.87</v>
      </c>
      <c r="I20" s="941">
        <v>327439.12</v>
      </c>
      <c r="J20" s="941">
        <v>350359.85</v>
      </c>
      <c r="K20" s="941">
        <v>374885.04</v>
      </c>
      <c r="L20" s="940">
        <v>401127</v>
      </c>
      <c r="M20" s="939">
        <v>0</v>
      </c>
      <c r="N20" s="939">
        <v>0</v>
      </c>
      <c r="O20" s="939">
        <v>0</v>
      </c>
      <c r="P20" s="939">
        <v>0</v>
      </c>
      <c r="Q20" s="939">
        <v>0</v>
      </c>
      <c r="R20" s="939">
        <v>0</v>
      </c>
      <c r="S20" s="939">
        <v>0</v>
      </c>
      <c r="T20" s="939">
        <v>0</v>
      </c>
      <c r="U20" s="939">
        <v>0</v>
      </c>
      <c r="V20" s="939">
        <v>0</v>
      </c>
      <c r="W20" s="939">
        <v>0</v>
      </c>
      <c r="X20" s="939">
        <v>0</v>
      </c>
      <c r="Y20" s="939">
        <v>0</v>
      </c>
      <c r="Z20" s="939">
        <v>0</v>
      </c>
      <c r="AA20" s="939">
        <v>0</v>
      </c>
      <c r="AB20" s="939">
        <v>0</v>
      </c>
      <c r="AC20" s="939">
        <v>0</v>
      </c>
      <c r="AD20" s="939">
        <v>0</v>
      </c>
      <c r="AE20" s="939">
        <v>0</v>
      </c>
      <c r="AF20" s="939">
        <v>0</v>
      </c>
    </row>
    <row r="21" spans="1:32">
      <c r="A21" s="938" t="s">
        <v>889</v>
      </c>
      <c r="B21" s="939">
        <v>0</v>
      </c>
      <c r="C21" s="941">
        <v>429205.89</v>
      </c>
      <c r="D21" s="941">
        <v>429205.89</v>
      </c>
      <c r="E21" s="941">
        <v>429205.89</v>
      </c>
      <c r="F21" s="941">
        <v>429205.89</v>
      </c>
      <c r="G21" s="941">
        <v>429205.89</v>
      </c>
      <c r="H21" s="941">
        <v>429205.89</v>
      </c>
      <c r="I21" s="941">
        <v>429205.89</v>
      </c>
      <c r="J21" s="941">
        <v>429205.89</v>
      </c>
      <c r="K21" s="941">
        <v>429205.89</v>
      </c>
      <c r="L21" s="941">
        <v>429205.89</v>
      </c>
      <c r="M21" s="939">
        <v>0</v>
      </c>
      <c r="N21" s="939">
        <v>0</v>
      </c>
      <c r="O21" s="939">
        <v>0</v>
      </c>
      <c r="P21" s="939">
        <v>0</v>
      </c>
      <c r="Q21" s="939">
        <v>0</v>
      </c>
      <c r="R21" s="939">
        <v>0</v>
      </c>
      <c r="S21" s="939">
        <v>0</v>
      </c>
      <c r="T21" s="939">
        <v>0</v>
      </c>
      <c r="U21" s="939">
        <v>0</v>
      </c>
      <c r="V21" s="939">
        <v>0</v>
      </c>
      <c r="W21" s="939">
        <v>0</v>
      </c>
      <c r="X21" s="939">
        <v>0</v>
      </c>
      <c r="Y21" s="939">
        <v>0</v>
      </c>
      <c r="Z21" s="939">
        <v>0</v>
      </c>
      <c r="AA21" s="939">
        <v>0</v>
      </c>
      <c r="AB21" s="939">
        <v>0</v>
      </c>
      <c r="AC21" s="939">
        <v>0</v>
      </c>
      <c r="AD21" s="939">
        <v>0</v>
      </c>
      <c r="AE21" s="939">
        <v>0</v>
      </c>
      <c r="AF21" s="939">
        <v>0</v>
      </c>
    </row>
    <row r="23" spans="1:32">
      <c r="A23" s="938" t="s">
        <v>890</v>
      </c>
      <c r="B23" s="939">
        <v>0</v>
      </c>
      <c r="C23" s="939">
        <v>0</v>
      </c>
      <c r="D23" s="939">
        <v>0</v>
      </c>
      <c r="E23" s="939">
        <v>0</v>
      </c>
      <c r="F23" s="939">
        <v>0</v>
      </c>
      <c r="G23" s="939">
        <v>0</v>
      </c>
      <c r="H23" s="939">
        <v>0</v>
      </c>
      <c r="I23" s="939">
        <v>0</v>
      </c>
      <c r="J23" s="939">
        <v>0</v>
      </c>
      <c r="K23" s="939">
        <v>0</v>
      </c>
      <c r="L23" s="939">
        <v>0</v>
      </c>
      <c r="M23" s="939">
        <v>0</v>
      </c>
      <c r="N23" s="939">
        <v>0</v>
      </c>
      <c r="O23" s="939">
        <v>0</v>
      </c>
      <c r="P23" s="939">
        <v>0</v>
      </c>
      <c r="Q23" s="939">
        <v>0</v>
      </c>
      <c r="R23" s="939">
        <v>0</v>
      </c>
      <c r="S23" s="939">
        <v>0</v>
      </c>
      <c r="T23" s="939">
        <v>0</v>
      </c>
      <c r="U23" s="939">
        <v>0</v>
      </c>
      <c r="V23" s="939">
        <v>0</v>
      </c>
      <c r="W23" s="939">
        <v>0</v>
      </c>
      <c r="X23" s="939">
        <v>0</v>
      </c>
      <c r="Y23" s="939">
        <v>0</v>
      </c>
      <c r="Z23" s="939">
        <v>0</v>
      </c>
      <c r="AA23" s="939">
        <v>0</v>
      </c>
      <c r="AB23" s="939">
        <v>0</v>
      </c>
      <c r="AC23" s="939">
        <v>0</v>
      </c>
      <c r="AD23" s="939">
        <v>0</v>
      </c>
      <c r="AE23" s="939">
        <v>0</v>
      </c>
      <c r="AF23" s="939">
        <v>0</v>
      </c>
    </row>
    <row r="24" spans="1:32">
      <c r="A24" s="938" t="s">
        <v>891</v>
      </c>
      <c r="B24" s="939">
        <v>0</v>
      </c>
      <c r="C24" s="939">
        <v>0</v>
      </c>
      <c r="D24" s="939">
        <v>0</v>
      </c>
      <c r="E24" s="939">
        <v>0</v>
      </c>
      <c r="F24" s="939">
        <v>0</v>
      </c>
      <c r="G24" s="939">
        <v>0</v>
      </c>
      <c r="H24" s="939">
        <v>0</v>
      </c>
      <c r="I24" s="939">
        <v>0</v>
      </c>
      <c r="J24" s="939">
        <v>0</v>
      </c>
      <c r="K24" s="939">
        <v>0</v>
      </c>
      <c r="L24" s="939">
        <v>0</v>
      </c>
      <c r="M24" s="939">
        <v>0</v>
      </c>
      <c r="N24" s="939">
        <v>0</v>
      </c>
      <c r="O24" s="939">
        <v>0</v>
      </c>
      <c r="P24" s="939">
        <v>0</v>
      </c>
      <c r="Q24" s="939">
        <v>0</v>
      </c>
      <c r="R24" s="939">
        <v>0</v>
      </c>
      <c r="S24" s="939">
        <v>0</v>
      </c>
      <c r="T24" s="939">
        <v>0</v>
      </c>
      <c r="U24" s="939">
        <v>0</v>
      </c>
      <c r="V24" s="939">
        <v>0</v>
      </c>
      <c r="W24" s="939">
        <v>0</v>
      </c>
      <c r="X24" s="939">
        <v>0</v>
      </c>
      <c r="Y24" s="939">
        <v>0</v>
      </c>
      <c r="Z24" s="939">
        <v>0</v>
      </c>
      <c r="AA24" s="939">
        <v>0</v>
      </c>
      <c r="AB24" s="939">
        <v>0</v>
      </c>
      <c r="AC24" s="939">
        <v>0</v>
      </c>
      <c r="AD24" s="939">
        <v>0</v>
      </c>
      <c r="AE24" s="939">
        <v>0</v>
      </c>
      <c r="AF24" s="939">
        <v>0</v>
      </c>
    </row>
    <row r="25" spans="1:32">
      <c r="A25" s="938" t="s">
        <v>892</v>
      </c>
      <c r="B25" s="939">
        <v>0</v>
      </c>
      <c r="C25" s="939">
        <v>0</v>
      </c>
      <c r="D25" s="939">
        <v>0</v>
      </c>
      <c r="E25" s="939">
        <v>0</v>
      </c>
      <c r="F25" s="939">
        <v>0</v>
      </c>
      <c r="G25" s="939">
        <v>0</v>
      </c>
      <c r="H25" s="939">
        <v>0</v>
      </c>
      <c r="I25" s="939">
        <v>0</v>
      </c>
      <c r="J25" s="939">
        <v>0</v>
      </c>
      <c r="K25" s="939">
        <v>0</v>
      </c>
      <c r="L25" s="939">
        <v>0</v>
      </c>
      <c r="M25" s="939">
        <v>0</v>
      </c>
      <c r="N25" s="939">
        <v>0</v>
      </c>
      <c r="O25" s="939">
        <v>0</v>
      </c>
      <c r="P25" s="939">
        <v>0</v>
      </c>
      <c r="Q25" s="939">
        <v>0</v>
      </c>
      <c r="R25" s="939">
        <v>0</v>
      </c>
      <c r="S25" s="939">
        <v>0</v>
      </c>
      <c r="T25" s="939">
        <v>0</v>
      </c>
      <c r="U25" s="939">
        <v>0</v>
      </c>
      <c r="V25" s="939">
        <v>0</v>
      </c>
      <c r="W25" s="939">
        <v>0</v>
      </c>
      <c r="X25" s="939">
        <v>0</v>
      </c>
      <c r="Y25" s="939">
        <v>0</v>
      </c>
      <c r="Z25" s="939">
        <v>0</v>
      </c>
      <c r="AA25" s="939">
        <v>0</v>
      </c>
      <c r="AB25" s="939">
        <v>0</v>
      </c>
      <c r="AC25" s="939">
        <v>0</v>
      </c>
      <c r="AD25" s="939">
        <v>0</v>
      </c>
      <c r="AE25" s="939">
        <v>0</v>
      </c>
      <c r="AF25" s="939">
        <v>0</v>
      </c>
    </row>
    <row r="26" spans="1:32">
      <c r="A26" s="938" t="s">
        <v>893</v>
      </c>
      <c r="B26" s="939">
        <v>0</v>
      </c>
      <c r="C26" s="939">
        <v>0</v>
      </c>
      <c r="D26" s="939">
        <v>0</v>
      </c>
      <c r="E26" s="939">
        <v>0</v>
      </c>
      <c r="F26" s="939">
        <v>0</v>
      </c>
      <c r="G26" s="939">
        <v>0</v>
      </c>
      <c r="H26" s="939">
        <v>0</v>
      </c>
      <c r="I26" s="939">
        <v>0</v>
      </c>
      <c r="J26" s="939">
        <v>0</v>
      </c>
      <c r="K26" s="939">
        <v>0</v>
      </c>
      <c r="L26" s="939">
        <v>0</v>
      </c>
      <c r="M26" s="939">
        <v>0</v>
      </c>
      <c r="N26" s="939">
        <v>0</v>
      </c>
      <c r="O26" s="939">
        <v>0</v>
      </c>
      <c r="P26" s="939">
        <v>0</v>
      </c>
      <c r="Q26" s="939">
        <v>0</v>
      </c>
      <c r="R26" s="939">
        <v>0</v>
      </c>
      <c r="S26" s="939">
        <v>0</v>
      </c>
      <c r="T26" s="939">
        <v>0</v>
      </c>
      <c r="U26" s="939">
        <v>0</v>
      </c>
      <c r="V26" s="939">
        <v>0</v>
      </c>
      <c r="W26" s="939">
        <v>0</v>
      </c>
      <c r="X26" s="939">
        <v>0</v>
      </c>
      <c r="Y26" s="939">
        <v>0</v>
      </c>
      <c r="Z26" s="939">
        <v>0</v>
      </c>
      <c r="AA26" s="939">
        <v>0</v>
      </c>
      <c r="AB26" s="939">
        <v>0</v>
      </c>
      <c r="AC26" s="939">
        <v>0</v>
      </c>
      <c r="AD26" s="939">
        <v>0</v>
      </c>
      <c r="AE26" s="939">
        <v>0</v>
      </c>
      <c r="AF26" s="939">
        <v>0</v>
      </c>
    </row>
    <row r="27" spans="1:32">
      <c r="A27" s="938" t="s">
        <v>894</v>
      </c>
      <c r="B27" s="939">
        <v>0</v>
      </c>
      <c r="C27" s="939">
        <v>0</v>
      </c>
      <c r="D27" s="939">
        <v>0</v>
      </c>
      <c r="E27" s="939">
        <v>0</v>
      </c>
      <c r="F27" s="939">
        <v>0</v>
      </c>
      <c r="G27" s="939">
        <v>0</v>
      </c>
      <c r="H27" s="939">
        <v>0</v>
      </c>
      <c r="I27" s="939">
        <v>0</v>
      </c>
      <c r="J27" s="939">
        <v>0</v>
      </c>
      <c r="K27" s="939">
        <v>0</v>
      </c>
      <c r="L27" s="939">
        <v>0</v>
      </c>
      <c r="M27" s="939">
        <v>0</v>
      </c>
      <c r="N27" s="939">
        <v>0</v>
      </c>
      <c r="O27" s="939">
        <v>0</v>
      </c>
      <c r="P27" s="939">
        <v>0</v>
      </c>
      <c r="Q27" s="939">
        <v>0</v>
      </c>
      <c r="R27" s="939">
        <v>0</v>
      </c>
      <c r="S27" s="939">
        <v>0</v>
      </c>
      <c r="T27" s="939">
        <v>0</v>
      </c>
      <c r="U27" s="939">
        <v>0</v>
      </c>
      <c r="V27" s="939">
        <v>0</v>
      </c>
      <c r="W27" s="939">
        <v>0</v>
      </c>
      <c r="X27" s="939">
        <v>0</v>
      </c>
      <c r="Y27" s="939">
        <v>0</v>
      </c>
      <c r="Z27" s="939">
        <v>0</v>
      </c>
      <c r="AA27" s="939">
        <v>0</v>
      </c>
      <c r="AB27" s="939">
        <v>0</v>
      </c>
      <c r="AC27" s="939">
        <v>0</v>
      </c>
      <c r="AD27" s="939">
        <v>0</v>
      </c>
      <c r="AE27" s="939">
        <v>0</v>
      </c>
      <c r="AF27" s="939">
        <v>0</v>
      </c>
    </row>
    <row r="28" spans="1:32">
      <c r="A28" s="938" t="s">
        <v>895</v>
      </c>
      <c r="B28" s="939">
        <v>0</v>
      </c>
      <c r="C28" s="939">
        <v>0</v>
      </c>
      <c r="D28" s="939">
        <v>0</v>
      </c>
      <c r="E28" s="939">
        <v>0</v>
      </c>
      <c r="F28" s="939">
        <v>0</v>
      </c>
      <c r="G28" s="939">
        <v>0</v>
      </c>
      <c r="H28" s="939">
        <v>0</v>
      </c>
      <c r="I28" s="939">
        <v>0</v>
      </c>
      <c r="J28" s="939">
        <v>0</v>
      </c>
      <c r="K28" s="939">
        <v>0</v>
      </c>
      <c r="L28" s="939">
        <v>0</v>
      </c>
      <c r="M28" s="939">
        <v>0</v>
      </c>
      <c r="N28" s="939">
        <v>0</v>
      </c>
      <c r="O28" s="939">
        <v>0</v>
      </c>
      <c r="P28" s="939">
        <v>0</v>
      </c>
      <c r="Q28" s="939">
        <v>0</v>
      </c>
      <c r="R28" s="939">
        <v>0</v>
      </c>
      <c r="S28" s="939">
        <v>0</v>
      </c>
      <c r="T28" s="939">
        <v>0</v>
      </c>
      <c r="U28" s="939">
        <v>0</v>
      </c>
      <c r="V28" s="939">
        <v>0</v>
      </c>
      <c r="W28" s="939">
        <v>0</v>
      </c>
      <c r="X28" s="939">
        <v>0</v>
      </c>
      <c r="Y28" s="939">
        <v>0</v>
      </c>
      <c r="Z28" s="939">
        <v>0</v>
      </c>
      <c r="AA28" s="939">
        <v>0</v>
      </c>
      <c r="AB28" s="939">
        <v>0</v>
      </c>
      <c r="AC28" s="939">
        <v>0</v>
      </c>
      <c r="AD28" s="939">
        <v>0</v>
      </c>
      <c r="AE28" s="939">
        <v>0</v>
      </c>
      <c r="AF28" s="939">
        <v>0</v>
      </c>
    </row>
    <row r="29" spans="1:32">
      <c r="A29" s="938" t="s">
        <v>896</v>
      </c>
      <c r="B29" s="939">
        <v>0</v>
      </c>
      <c r="C29" s="939">
        <v>0</v>
      </c>
      <c r="D29" s="939">
        <v>0</v>
      </c>
      <c r="E29" s="939">
        <v>0</v>
      </c>
      <c r="F29" s="939">
        <v>0</v>
      </c>
      <c r="G29" s="939">
        <v>0</v>
      </c>
      <c r="H29" s="939">
        <v>0</v>
      </c>
      <c r="I29" s="939">
        <v>0</v>
      </c>
      <c r="J29" s="939">
        <v>0</v>
      </c>
      <c r="K29" s="939">
        <v>0</v>
      </c>
      <c r="L29" s="939">
        <v>0</v>
      </c>
      <c r="M29" s="939">
        <v>0</v>
      </c>
      <c r="N29" s="939">
        <v>0</v>
      </c>
      <c r="O29" s="939">
        <v>0</v>
      </c>
      <c r="P29" s="939">
        <v>0</v>
      </c>
      <c r="Q29" s="939">
        <v>0</v>
      </c>
      <c r="R29" s="939">
        <v>0</v>
      </c>
      <c r="S29" s="939">
        <v>0</v>
      </c>
      <c r="T29" s="939">
        <v>0</v>
      </c>
      <c r="U29" s="939">
        <v>0</v>
      </c>
      <c r="V29" s="939">
        <v>0</v>
      </c>
      <c r="W29" s="939">
        <v>0</v>
      </c>
      <c r="X29" s="939">
        <v>0</v>
      </c>
      <c r="Y29" s="939">
        <v>0</v>
      </c>
      <c r="Z29" s="939">
        <v>0</v>
      </c>
      <c r="AA29" s="939">
        <v>0</v>
      </c>
      <c r="AB29" s="939">
        <v>0</v>
      </c>
      <c r="AC29" s="939">
        <v>0</v>
      </c>
      <c r="AD29" s="939">
        <v>0</v>
      </c>
      <c r="AE29" s="939">
        <v>0</v>
      </c>
      <c r="AF29" s="939">
        <v>0</v>
      </c>
    </row>
    <row r="30" spans="1:32">
      <c r="A30" s="938" t="s">
        <v>897</v>
      </c>
      <c r="B30" s="939">
        <v>0</v>
      </c>
      <c r="C30" s="939">
        <v>0</v>
      </c>
      <c r="D30" s="939">
        <v>0</v>
      </c>
      <c r="E30" s="939">
        <v>0</v>
      </c>
      <c r="F30" s="939">
        <v>0</v>
      </c>
      <c r="G30" s="939">
        <v>0</v>
      </c>
      <c r="H30" s="939">
        <v>0</v>
      </c>
      <c r="I30" s="939">
        <v>0</v>
      </c>
      <c r="J30" s="939">
        <v>0</v>
      </c>
      <c r="K30" s="939">
        <v>0</v>
      </c>
      <c r="L30" s="939">
        <v>0</v>
      </c>
      <c r="M30" s="939">
        <v>0</v>
      </c>
      <c r="N30" s="939">
        <v>0</v>
      </c>
      <c r="O30" s="939">
        <v>0</v>
      </c>
      <c r="P30" s="939">
        <v>0</v>
      </c>
      <c r="Q30" s="939">
        <v>0</v>
      </c>
      <c r="R30" s="939">
        <v>0</v>
      </c>
      <c r="S30" s="939">
        <v>0</v>
      </c>
      <c r="T30" s="939">
        <v>0</v>
      </c>
      <c r="U30" s="939">
        <v>0</v>
      </c>
      <c r="V30" s="939">
        <v>0</v>
      </c>
      <c r="W30" s="939">
        <v>0</v>
      </c>
      <c r="X30" s="939">
        <v>0</v>
      </c>
      <c r="Y30" s="939">
        <v>0</v>
      </c>
      <c r="Z30" s="939">
        <v>0</v>
      </c>
      <c r="AA30" s="939">
        <v>0</v>
      </c>
      <c r="AB30" s="939">
        <v>0</v>
      </c>
      <c r="AC30" s="939">
        <v>0</v>
      </c>
      <c r="AD30" s="939">
        <v>0</v>
      </c>
      <c r="AE30" s="939">
        <v>0</v>
      </c>
      <c r="AF30" s="939">
        <v>0</v>
      </c>
    </row>
    <row r="31" spans="1:32">
      <c r="A31" s="938" t="s">
        <v>898</v>
      </c>
      <c r="B31" s="939">
        <v>0</v>
      </c>
      <c r="C31" s="939">
        <v>0</v>
      </c>
      <c r="D31" s="939">
        <v>0</v>
      </c>
      <c r="E31" s="939">
        <v>0</v>
      </c>
      <c r="F31" s="939">
        <v>0</v>
      </c>
      <c r="G31" s="939">
        <v>0</v>
      </c>
      <c r="H31" s="939">
        <v>0</v>
      </c>
      <c r="I31" s="939">
        <v>0</v>
      </c>
      <c r="J31" s="939">
        <v>0</v>
      </c>
      <c r="K31" s="939">
        <v>0</v>
      </c>
      <c r="L31" s="939">
        <v>0</v>
      </c>
      <c r="M31" s="939">
        <v>0</v>
      </c>
      <c r="N31" s="939">
        <v>0</v>
      </c>
      <c r="O31" s="939">
        <v>0</v>
      </c>
      <c r="P31" s="939">
        <v>0</v>
      </c>
      <c r="Q31" s="939">
        <v>0</v>
      </c>
      <c r="R31" s="939">
        <v>0</v>
      </c>
      <c r="S31" s="939">
        <v>0</v>
      </c>
      <c r="T31" s="939">
        <v>0</v>
      </c>
      <c r="U31" s="939">
        <v>0</v>
      </c>
      <c r="V31" s="939">
        <v>0</v>
      </c>
      <c r="W31" s="939">
        <v>0</v>
      </c>
      <c r="X31" s="939">
        <v>0</v>
      </c>
      <c r="Y31" s="939">
        <v>0</v>
      </c>
      <c r="Z31" s="939">
        <v>0</v>
      </c>
      <c r="AA31" s="939">
        <v>0</v>
      </c>
      <c r="AB31" s="939">
        <v>0</v>
      </c>
      <c r="AC31" s="939">
        <v>0</v>
      </c>
      <c r="AD31" s="939">
        <v>0</v>
      </c>
      <c r="AE31" s="939">
        <v>0</v>
      </c>
      <c r="AF31" s="939">
        <v>0</v>
      </c>
    </row>
    <row r="32" spans="1:32">
      <c r="A32" s="938" t="s">
        <v>899</v>
      </c>
      <c r="B32" s="939">
        <v>0</v>
      </c>
      <c r="C32" s="939">
        <v>0</v>
      </c>
      <c r="D32" s="939">
        <v>0</v>
      </c>
      <c r="E32" s="939">
        <v>0</v>
      </c>
      <c r="F32" s="939">
        <v>0</v>
      </c>
      <c r="G32" s="939">
        <v>0</v>
      </c>
      <c r="H32" s="939">
        <v>0</v>
      </c>
      <c r="I32" s="939">
        <v>0</v>
      </c>
      <c r="J32" s="939">
        <v>0</v>
      </c>
      <c r="K32" s="939">
        <v>0</v>
      </c>
      <c r="L32" s="939">
        <v>0</v>
      </c>
      <c r="M32" s="939">
        <v>0</v>
      </c>
      <c r="N32" s="939">
        <v>0</v>
      </c>
      <c r="O32" s="939">
        <v>0</v>
      </c>
      <c r="P32" s="939">
        <v>0</v>
      </c>
      <c r="Q32" s="939">
        <v>0</v>
      </c>
      <c r="R32" s="939">
        <v>0</v>
      </c>
      <c r="S32" s="939">
        <v>0</v>
      </c>
      <c r="T32" s="939">
        <v>0</v>
      </c>
      <c r="U32" s="939">
        <v>0</v>
      </c>
      <c r="V32" s="939">
        <v>0</v>
      </c>
      <c r="W32" s="939">
        <v>0</v>
      </c>
      <c r="X32" s="939">
        <v>0</v>
      </c>
      <c r="Y32" s="939">
        <v>0</v>
      </c>
      <c r="Z32" s="939">
        <v>0</v>
      </c>
      <c r="AA32" s="939">
        <v>0</v>
      </c>
      <c r="AB32" s="939">
        <v>0</v>
      </c>
      <c r="AC32" s="939">
        <v>0</v>
      </c>
      <c r="AD32" s="939">
        <v>0</v>
      </c>
      <c r="AE32" s="939">
        <v>0</v>
      </c>
      <c r="AF32" s="939">
        <v>0</v>
      </c>
    </row>
    <row r="33" spans="1:32">
      <c r="A33" s="938" t="s">
        <v>900</v>
      </c>
      <c r="B33" s="939">
        <v>0</v>
      </c>
      <c r="C33" s="939">
        <v>0</v>
      </c>
      <c r="D33" s="939">
        <v>0</v>
      </c>
      <c r="E33" s="939">
        <v>0</v>
      </c>
      <c r="F33" s="939">
        <v>0</v>
      </c>
      <c r="G33" s="939">
        <v>0</v>
      </c>
      <c r="H33" s="939">
        <v>0</v>
      </c>
      <c r="I33" s="939">
        <v>0</v>
      </c>
      <c r="J33" s="939">
        <v>0</v>
      </c>
      <c r="K33" s="939">
        <v>0</v>
      </c>
      <c r="L33" s="939">
        <v>0</v>
      </c>
      <c r="M33" s="939">
        <v>0</v>
      </c>
      <c r="N33" s="939">
        <v>0</v>
      </c>
      <c r="O33" s="939">
        <v>0</v>
      </c>
      <c r="P33" s="939">
        <v>0</v>
      </c>
      <c r="Q33" s="939">
        <v>0</v>
      </c>
      <c r="R33" s="939">
        <v>0</v>
      </c>
      <c r="S33" s="939">
        <v>0</v>
      </c>
      <c r="T33" s="939">
        <v>0</v>
      </c>
      <c r="U33" s="939">
        <v>0</v>
      </c>
      <c r="V33" s="939">
        <v>0</v>
      </c>
      <c r="W33" s="939">
        <v>0</v>
      </c>
      <c r="X33" s="939">
        <v>0</v>
      </c>
      <c r="Y33" s="939">
        <v>0</v>
      </c>
      <c r="Z33" s="939">
        <v>0</v>
      </c>
      <c r="AA33" s="939">
        <v>0</v>
      </c>
      <c r="AB33" s="939">
        <v>0</v>
      </c>
      <c r="AC33" s="939">
        <v>0</v>
      </c>
      <c r="AD33" s="939">
        <v>0</v>
      </c>
      <c r="AE33" s="939">
        <v>0</v>
      </c>
      <c r="AF33" s="939">
        <v>0</v>
      </c>
    </row>
    <row r="34" spans="1:32">
      <c r="A34" s="938" t="s">
        <v>901</v>
      </c>
      <c r="B34" s="939">
        <v>0</v>
      </c>
      <c r="C34" s="939">
        <v>0</v>
      </c>
      <c r="D34" s="939">
        <v>0</v>
      </c>
      <c r="E34" s="939">
        <v>0</v>
      </c>
      <c r="F34" s="939">
        <v>0</v>
      </c>
      <c r="G34" s="939">
        <v>0</v>
      </c>
      <c r="H34" s="939">
        <v>0</v>
      </c>
      <c r="I34" s="939">
        <v>0</v>
      </c>
      <c r="J34" s="939">
        <v>0</v>
      </c>
      <c r="K34" s="939">
        <v>0</v>
      </c>
      <c r="L34" s="939">
        <v>0</v>
      </c>
      <c r="M34" s="939">
        <v>0</v>
      </c>
      <c r="N34" s="939">
        <v>0</v>
      </c>
      <c r="O34" s="939">
        <v>0</v>
      </c>
      <c r="P34" s="939">
        <v>0</v>
      </c>
      <c r="Q34" s="939">
        <v>0</v>
      </c>
      <c r="R34" s="939">
        <v>0</v>
      </c>
      <c r="S34" s="939">
        <v>0</v>
      </c>
      <c r="T34" s="939">
        <v>0</v>
      </c>
      <c r="U34" s="939">
        <v>0</v>
      </c>
      <c r="V34" s="939">
        <v>0</v>
      </c>
      <c r="W34" s="939">
        <v>0</v>
      </c>
      <c r="X34" s="939">
        <v>0</v>
      </c>
      <c r="Y34" s="939">
        <v>0</v>
      </c>
      <c r="Z34" s="939">
        <v>0</v>
      </c>
      <c r="AA34" s="939">
        <v>0</v>
      </c>
      <c r="AB34" s="939">
        <v>0</v>
      </c>
      <c r="AC34" s="939">
        <v>0</v>
      </c>
      <c r="AD34" s="939">
        <v>0</v>
      </c>
      <c r="AE34" s="939">
        <v>0</v>
      </c>
      <c r="AF34" s="939">
        <v>0</v>
      </c>
    </row>
    <row r="35" spans="1:32">
      <c r="A35" s="938" t="s">
        <v>902</v>
      </c>
      <c r="B35" s="939">
        <v>0</v>
      </c>
      <c r="C35" s="939">
        <v>0</v>
      </c>
      <c r="D35" s="939">
        <v>0</v>
      </c>
      <c r="E35" s="939">
        <v>0</v>
      </c>
      <c r="F35" s="939">
        <v>0</v>
      </c>
      <c r="G35" s="939">
        <v>0</v>
      </c>
      <c r="H35" s="939">
        <v>0</v>
      </c>
      <c r="I35" s="939">
        <v>0</v>
      </c>
      <c r="J35" s="939">
        <v>0</v>
      </c>
      <c r="K35" s="939">
        <v>0</v>
      </c>
      <c r="L35" s="939">
        <v>0</v>
      </c>
      <c r="M35" s="939">
        <v>0</v>
      </c>
      <c r="N35" s="939">
        <v>0</v>
      </c>
      <c r="O35" s="939">
        <v>0</v>
      </c>
      <c r="P35" s="939">
        <v>0</v>
      </c>
      <c r="Q35" s="939">
        <v>0</v>
      </c>
      <c r="R35" s="939">
        <v>0</v>
      </c>
      <c r="S35" s="939">
        <v>0</v>
      </c>
      <c r="T35" s="939">
        <v>0</v>
      </c>
      <c r="U35" s="939">
        <v>0</v>
      </c>
      <c r="V35" s="939">
        <v>0</v>
      </c>
      <c r="W35" s="939">
        <v>0</v>
      </c>
      <c r="X35" s="939">
        <v>0</v>
      </c>
      <c r="Y35" s="939">
        <v>0</v>
      </c>
      <c r="Z35" s="939">
        <v>0</v>
      </c>
      <c r="AA35" s="939">
        <v>0</v>
      </c>
      <c r="AB35" s="939">
        <v>0</v>
      </c>
      <c r="AC35" s="939">
        <v>0</v>
      </c>
      <c r="AD35" s="939">
        <v>0</v>
      </c>
      <c r="AE35" s="939">
        <v>0</v>
      </c>
      <c r="AF35" s="939">
        <v>0</v>
      </c>
    </row>
    <row r="36" spans="1:32">
      <c r="A36" s="938" t="s">
        <v>903</v>
      </c>
      <c r="B36" s="939">
        <v>0</v>
      </c>
      <c r="C36" s="939">
        <v>0</v>
      </c>
      <c r="D36" s="939">
        <v>0</v>
      </c>
      <c r="E36" s="939">
        <v>0</v>
      </c>
      <c r="F36" s="939">
        <v>0</v>
      </c>
      <c r="G36" s="939">
        <v>0</v>
      </c>
      <c r="H36" s="939">
        <v>0</v>
      </c>
      <c r="I36" s="939">
        <v>0</v>
      </c>
      <c r="J36" s="939">
        <v>0</v>
      </c>
      <c r="K36" s="939">
        <v>0</v>
      </c>
      <c r="L36" s="939">
        <v>0</v>
      </c>
      <c r="M36" s="939">
        <v>0</v>
      </c>
      <c r="N36" s="939">
        <v>0</v>
      </c>
      <c r="O36" s="939">
        <v>0</v>
      </c>
      <c r="P36" s="939">
        <v>0</v>
      </c>
      <c r="Q36" s="939">
        <v>0</v>
      </c>
      <c r="R36" s="939">
        <v>0</v>
      </c>
      <c r="S36" s="939">
        <v>0</v>
      </c>
      <c r="T36" s="939">
        <v>0</v>
      </c>
      <c r="U36" s="939">
        <v>0</v>
      </c>
      <c r="V36" s="939">
        <v>0</v>
      </c>
      <c r="W36" s="939">
        <v>0</v>
      </c>
      <c r="X36" s="939">
        <v>0</v>
      </c>
      <c r="Y36" s="939">
        <v>0</v>
      </c>
      <c r="Z36" s="939">
        <v>0</v>
      </c>
      <c r="AA36" s="939">
        <v>0</v>
      </c>
      <c r="AB36" s="939">
        <v>0</v>
      </c>
      <c r="AC36" s="939">
        <v>0</v>
      </c>
      <c r="AD36" s="939">
        <v>0</v>
      </c>
      <c r="AE36" s="939">
        <v>0</v>
      </c>
      <c r="AF36" s="939">
        <v>0</v>
      </c>
    </row>
    <row r="37" spans="1:32">
      <c r="A37" s="938" t="s">
        <v>904</v>
      </c>
      <c r="B37" s="939">
        <v>0</v>
      </c>
      <c r="C37" s="939">
        <v>0</v>
      </c>
      <c r="D37" s="939">
        <v>0</v>
      </c>
      <c r="E37" s="939">
        <v>0</v>
      </c>
      <c r="F37" s="939">
        <v>0</v>
      </c>
      <c r="G37" s="939">
        <v>0</v>
      </c>
      <c r="H37" s="939">
        <v>0</v>
      </c>
      <c r="I37" s="939">
        <v>0</v>
      </c>
      <c r="J37" s="939">
        <v>0</v>
      </c>
      <c r="K37" s="939">
        <v>0</v>
      </c>
      <c r="L37" s="939">
        <v>0</v>
      </c>
      <c r="M37" s="939">
        <v>0</v>
      </c>
      <c r="N37" s="939">
        <v>0</v>
      </c>
      <c r="O37" s="939">
        <v>0</v>
      </c>
      <c r="P37" s="939">
        <v>0</v>
      </c>
      <c r="Q37" s="939">
        <v>0</v>
      </c>
      <c r="R37" s="939">
        <v>0</v>
      </c>
      <c r="S37" s="939">
        <v>0</v>
      </c>
      <c r="T37" s="939">
        <v>0</v>
      </c>
      <c r="U37" s="939">
        <v>0</v>
      </c>
      <c r="V37" s="939">
        <v>0</v>
      </c>
      <c r="W37" s="939">
        <v>0</v>
      </c>
      <c r="X37" s="939">
        <v>0</v>
      </c>
      <c r="Y37" s="939">
        <v>0</v>
      </c>
      <c r="Z37" s="939">
        <v>0</v>
      </c>
      <c r="AA37" s="939">
        <v>0</v>
      </c>
      <c r="AB37" s="939">
        <v>0</v>
      </c>
      <c r="AC37" s="939">
        <v>0</v>
      </c>
      <c r="AD37" s="939">
        <v>0</v>
      </c>
      <c r="AE37" s="939">
        <v>0</v>
      </c>
      <c r="AF37" s="939">
        <v>0</v>
      </c>
    </row>
    <row r="38" spans="1:32">
      <c r="A38" s="938" t="s">
        <v>905</v>
      </c>
      <c r="B38" s="939">
        <v>0</v>
      </c>
      <c r="C38" s="939">
        <v>0</v>
      </c>
      <c r="D38" s="939">
        <v>0</v>
      </c>
      <c r="E38" s="939">
        <v>0</v>
      </c>
      <c r="F38" s="939">
        <v>0</v>
      </c>
      <c r="G38" s="939">
        <v>0</v>
      </c>
      <c r="H38" s="939">
        <v>0</v>
      </c>
      <c r="I38" s="939">
        <v>0</v>
      </c>
      <c r="J38" s="939">
        <v>0</v>
      </c>
      <c r="K38" s="939">
        <v>0</v>
      </c>
      <c r="L38" s="939">
        <v>0</v>
      </c>
      <c r="M38" s="939">
        <v>0</v>
      </c>
      <c r="N38" s="939">
        <v>0</v>
      </c>
      <c r="O38" s="939">
        <v>0</v>
      </c>
      <c r="P38" s="939">
        <v>0</v>
      </c>
      <c r="Q38" s="939">
        <v>0</v>
      </c>
      <c r="R38" s="939">
        <v>0</v>
      </c>
      <c r="S38" s="939">
        <v>0</v>
      </c>
      <c r="T38" s="939">
        <v>0</v>
      </c>
      <c r="U38" s="939">
        <v>0</v>
      </c>
      <c r="V38" s="939">
        <v>0</v>
      </c>
      <c r="W38" s="939">
        <v>0</v>
      </c>
      <c r="X38" s="939">
        <v>0</v>
      </c>
      <c r="Y38" s="939">
        <v>0</v>
      </c>
      <c r="Z38" s="939">
        <v>0</v>
      </c>
      <c r="AA38" s="939">
        <v>0</v>
      </c>
      <c r="AB38" s="939">
        <v>0</v>
      </c>
      <c r="AC38" s="939">
        <v>0</v>
      </c>
      <c r="AD38" s="939">
        <v>0</v>
      </c>
      <c r="AE38" s="939">
        <v>0</v>
      </c>
      <c r="AF38" s="939">
        <v>0</v>
      </c>
    </row>
    <row r="39" spans="1:32">
      <c r="A39" s="938" t="s">
        <v>906</v>
      </c>
      <c r="B39" s="939">
        <v>0</v>
      </c>
      <c r="C39" s="939">
        <v>0</v>
      </c>
      <c r="D39" s="939">
        <v>0</v>
      </c>
      <c r="E39" s="939">
        <v>0</v>
      </c>
      <c r="F39" s="939">
        <v>0</v>
      </c>
      <c r="G39" s="939">
        <v>0</v>
      </c>
      <c r="H39" s="939">
        <v>0</v>
      </c>
      <c r="I39" s="939">
        <v>0</v>
      </c>
      <c r="J39" s="939">
        <v>0</v>
      </c>
      <c r="K39" s="939">
        <v>0</v>
      </c>
      <c r="L39" s="939">
        <v>0</v>
      </c>
      <c r="M39" s="939">
        <v>0</v>
      </c>
      <c r="N39" s="939">
        <v>0</v>
      </c>
      <c r="O39" s="939">
        <v>0</v>
      </c>
      <c r="P39" s="939">
        <v>0</v>
      </c>
      <c r="Q39" s="939">
        <v>0</v>
      </c>
      <c r="R39" s="939">
        <v>0</v>
      </c>
      <c r="S39" s="939">
        <v>0</v>
      </c>
      <c r="T39" s="939">
        <v>0</v>
      </c>
      <c r="U39" s="939">
        <v>0</v>
      </c>
      <c r="V39" s="939">
        <v>0</v>
      </c>
      <c r="W39" s="939">
        <v>0</v>
      </c>
      <c r="X39" s="939">
        <v>0</v>
      </c>
      <c r="Y39" s="939">
        <v>0</v>
      </c>
      <c r="Z39" s="939">
        <v>0</v>
      </c>
      <c r="AA39" s="939">
        <v>0</v>
      </c>
      <c r="AB39" s="939">
        <v>0</v>
      </c>
      <c r="AC39" s="939">
        <v>0</v>
      </c>
      <c r="AD39" s="939">
        <v>0</v>
      </c>
      <c r="AE39" s="939">
        <v>0</v>
      </c>
      <c r="AF39" s="939">
        <v>0</v>
      </c>
    </row>
    <row r="40" spans="1:32">
      <c r="A40" s="938" t="s">
        <v>907</v>
      </c>
      <c r="B40" s="939">
        <v>0</v>
      </c>
      <c r="C40" s="939">
        <v>0</v>
      </c>
      <c r="D40" s="939">
        <v>0</v>
      </c>
      <c r="E40" s="939">
        <v>0</v>
      </c>
      <c r="F40" s="939">
        <v>0</v>
      </c>
      <c r="G40" s="939">
        <v>0</v>
      </c>
      <c r="H40" s="939">
        <v>0</v>
      </c>
      <c r="I40" s="939">
        <v>0</v>
      </c>
      <c r="J40" s="939">
        <v>0</v>
      </c>
      <c r="K40" s="939">
        <v>0</v>
      </c>
      <c r="L40" s="939">
        <v>0</v>
      </c>
      <c r="M40" s="939">
        <v>0</v>
      </c>
      <c r="N40" s="939">
        <v>0</v>
      </c>
      <c r="O40" s="939">
        <v>0</v>
      </c>
      <c r="P40" s="939">
        <v>0</v>
      </c>
      <c r="Q40" s="939">
        <v>0</v>
      </c>
      <c r="R40" s="939">
        <v>0</v>
      </c>
      <c r="S40" s="939">
        <v>0</v>
      </c>
      <c r="T40" s="939">
        <v>0</v>
      </c>
      <c r="U40" s="939">
        <v>0</v>
      </c>
      <c r="V40" s="939">
        <v>0</v>
      </c>
      <c r="W40" s="939">
        <v>0</v>
      </c>
      <c r="X40" s="939">
        <v>0</v>
      </c>
      <c r="Y40" s="939">
        <v>0</v>
      </c>
      <c r="Z40" s="939">
        <v>0</v>
      </c>
      <c r="AA40" s="939">
        <v>0</v>
      </c>
      <c r="AB40" s="939">
        <v>0</v>
      </c>
      <c r="AC40" s="939">
        <v>0</v>
      </c>
      <c r="AD40" s="939">
        <v>0</v>
      </c>
      <c r="AE40" s="939">
        <v>0</v>
      </c>
      <c r="AF40" s="939">
        <v>0</v>
      </c>
    </row>
    <row r="41" spans="1:32">
      <c r="A41" s="938" t="s">
        <v>908</v>
      </c>
      <c r="B41" s="939">
        <v>0</v>
      </c>
      <c r="C41" s="939">
        <v>0</v>
      </c>
      <c r="D41" s="939">
        <v>0</v>
      </c>
      <c r="E41" s="939">
        <v>0</v>
      </c>
      <c r="F41" s="939">
        <v>0</v>
      </c>
      <c r="G41" s="939">
        <v>0</v>
      </c>
      <c r="H41" s="939">
        <v>0</v>
      </c>
      <c r="I41" s="939">
        <v>0</v>
      </c>
      <c r="J41" s="939">
        <v>0</v>
      </c>
      <c r="K41" s="939">
        <v>0</v>
      </c>
      <c r="L41" s="939">
        <v>0</v>
      </c>
      <c r="M41" s="939">
        <v>0</v>
      </c>
      <c r="N41" s="939">
        <v>0</v>
      </c>
      <c r="O41" s="939">
        <v>0</v>
      </c>
      <c r="P41" s="939">
        <v>0</v>
      </c>
      <c r="Q41" s="939">
        <v>0</v>
      </c>
      <c r="R41" s="939">
        <v>0</v>
      </c>
      <c r="S41" s="939">
        <v>0</v>
      </c>
      <c r="T41" s="939">
        <v>0</v>
      </c>
      <c r="U41" s="939">
        <v>0</v>
      </c>
      <c r="V41" s="939">
        <v>0</v>
      </c>
      <c r="W41" s="939">
        <v>0</v>
      </c>
      <c r="X41" s="939">
        <v>0</v>
      </c>
      <c r="Y41" s="939">
        <v>0</v>
      </c>
      <c r="Z41" s="939">
        <v>0</v>
      </c>
      <c r="AA41" s="939">
        <v>0</v>
      </c>
      <c r="AB41" s="939">
        <v>0</v>
      </c>
      <c r="AC41" s="939">
        <v>0</v>
      </c>
      <c r="AD41" s="939">
        <v>0</v>
      </c>
      <c r="AE41" s="939">
        <v>0</v>
      </c>
      <c r="AF41" s="939">
        <v>0</v>
      </c>
    </row>
    <row r="43" spans="1:32">
      <c r="A43" s="938" t="s">
        <v>909</v>
      </c>
      <c r="C43" s="941">
        <v>148689.64000000001</v>
      </c>
    </row>
    <row r="45" spans="1:32">
      <c r="A45" s="938" t="s">
        <v>910</v>
      </c>
    </row>
    <row r="46" spans="1:32">
      <c r="A46" s="938" t="s">
        <v>911</v>
      </c>
      <c r="B46" s="939">
        <v>0</v>
      </c>
      <c r="C46" s="939">
        <v>35</v>
      </c>
      <c r="D46" s="939">
        <v>26</v>
      </c>
      <c r="E46" s="939">
        <v>15.6</v>
      </c>
      <c r="F46" s="939">
        <v>11.01</v>
      </c>
      <c r="G46" s="939">
        <v>11.01</v>
      </c>
      <c r="H46" s="939">
        <v>1.38</v>
      </c>
      <c r="I46" s="939">
        <v>0</v>
      </c>
      <c r="J46" s="939">
        <v>0</v>
      </c>
      <c r="K46" s="939">
        <v>0</v>
      </c>
      <c r="L46" s="939">
        <v>0</v>
      </c>
      <c r="M46" s="939">
        <v>0</v>
      </c>
      <c r="N46" s="939">
        <v>0</v>
      </c>
      <c r="O46" s="939">
        <v>0</v>
      </c>
      <c r="P46" s="939">
        <v>0</v>
      </c>
      <c r="Q46" s="939">
        <v>0</v>
      </c>
      <c r="R46" s="939">
        <v>0</v>
      </c>
      <c r="S46" s="939">
        <v>0</v>
      </c>
      <c r="T46" s="939">
        <v>0</v>
      </c>
      <c r="U46" s="939">
        <v>0</v>
      </c>
      <c r="V46" s="939">
        <v>0</v>
      </c>
      <c r="W46" s="939">
        <v>0</v>
      </c>
      <c r="X46" s="939">
        <v>0</v>
      </c>
      <c r="Y46" s="939">
        <v>0</v>
      </c>
      <c r="Z46" s="939">
        <v>0</v>
      </c>
      <c r="AA46" s="939">
        <v>0</v>
      </c>
      <c r="AB46" s="939">
        <v>0</v>
      </c>
      <c r="AC46" s="939">
        <v>0</v>
      </c>
      <c r="AD46" s="939">
        <v>0</v>
      </c>
      <c r="AE46" s="939">
        <v>0</v>
      </c>
      <c r="AF46" s="939">
        <v>0</v>
      </c>
    </row>
    <row r="47" spans="1:32">
      <c r="A47" s="938" t="s">
        <v>912</v>
      </c>
      <c r="B47" s="939">
        <v>0</v>
      </c>
      <c r="C47" s="941">
        <v>1055096.8899999999</v>
      </c>
      <c r="D47" s="941">
        <v>783786.26</v>
      </c>
      <c r="E47" s="941">
        <v>470271.76</v>
      </c>
      <c r="F47" s="941">
        <v>331903.34000000003</v>
      </c>
      <c r="G47" s="941">
        <v>331903.34000000003</v>
      </c>
      <c r="H47" s="941">
        <v>41600.959999999999</v>
      </c>
      <c r="I47" s="939">
        <v>0</v>
      </c>
      <c r="J47" s="939">
        <v>0</v>
      </c>
      <c r="K47" s="939">
        <v>0</v>
      </c>
      <c r="L47" s="939">
        <v>0</v>
      </c>
      <c r="M47" s="939">
        <v>0</v>
      </c>
      <c r="N47" s="939">
        <v>0</v>
      </c>
      <c r="O47" s="939">
        <v>0</v>
      </c>
      <c r="P47" s="939">
        <v>0</v>
      </c>
      <c r="Q47" s="939">
        <v>0</v>
      </c>
      <c r="R47" s="939">
        <v>0</v>
      </c>
      <c r="S47" s="939">
        <v>0</v>
      </c>
      <c r="T47" s="939">
        <v>0</v>
      </c>
      <c r="U47" s="939">
        <v>0</v>
      </c>
      <c r="V47" s="939">
        <v>0</v>
      </c>
      <c r="W47" s="939">
        <v>0</v>
      </c>
      <c r="X47" s="939">
        <v>0</v>
      </c>
      <c r="Y47" s="939">
        <v>0</v>
      </c>
      <c r="Z47" s="939">
        <v>0</v>
      </c>
      <c r="AA47" s="939">
        <v>0</v>
      </c>
      <c r="AB47" s="939">
        <v>0</v>
      </c>
      <c r="AC47" s="939">
        <v>0</v>
      </c>
      <c r="AD47" s="939">
        <v>0</v>
      </c>
      <c r="AE47" s="939">
        <v>0</v>
      </c>
      <c r="AF47" s="939">
        <v>0</v>
      </c>
    </row>
    <row r="48" spans="1:32">
      <c r="A48" s="938" t="s">
        <v>913</v>
      </c>
      <c r="B48" s="939">
        <v>0</v>
      </c>
      <c r="C48" s="939">
        <v>0</v>
      </c>
      <c r="D48" s="939">
        <v>0</v>
      </c>
      <c r="E48" s="939">
        <v>0</v>
      </c>
      <c r="F48" s="939">
        <v>0</v>
      </c>
      <c r="G48" s="939">
        <v>0</v>
      </c>
      <c r="H48" s="939">
        <v>0</v>
      </c>
      <c r="I48" s="939">
        <v>0</v>
      </c>
      <c r="J48" s="939">
        <v>0</v>
      </c>
      <c r="K48" s="939">
        <v>0</v>
      </c>
      <c r="L48" s="939">
        <v>0</v>
      </c>
      <c r="M48" s="939">
        <v>0</v>
      </c>
      <c r="N48" s="939">
        <v>0</v>
      </c>
      <c r="O48" s="939">
        <v>0</v>
      </c>
      <c r="P48" s="939">
        <v>0</v>
      </c>
      <c r="Q48" s="939">
        <v>0</v>
      </c>
      <c r="R48" s="939">
        <v>0</v>
      </c>
      <c r="S48" s="939">
        <v>0</v>
      </c>
      <c r="T48" s="939">
        <v>0</v>
      </c>
      <c r="U48" s="939">
        <v>0</v>
      </c>
      <c r="V48" s="939">
        <v>0</v>
      </c>
      <c r="W48" s="939">
        <v>0</v>
      </c>
      <c r="X48" s="939">
        <v>0</v>
      </c>
      <c r="Y48" s="939">
        <v>0</v>
      </c>
      <c r="Z48" s="939">
        <v>0</v>
      </c>
      <c r="AA48" s="939">
        <v>0</v>
      </c>
      <c r="AB48" s="939">
        <v>0</v>
      </c>
      <c r="AC48" s="939">
        <v>0</v>
      </c>
      <c r="AD48" s="939">
        <v>0</v>
      </c>
      <c r="AE48" s="939">
        <v>0</v>
      </c>
      <c r="AF48" s="939">
        <v>0</v>
      </c>
    </row>
    <row r="49" spans="1:32">
      <c r="A49" s="938" t="s">
        <v>914</v>
      </c>
      <c r="B49" s="939">
        <v>0</v>
      </c>
      <c r="C49" s="941">
        <v>-1555776.53</v>
      </c>
      <c r="D49" s="940">
        <v>-1124022</v>
      </c>
      <c r="E49" s="941">
        <v>-797772.01</v>
      </c>
      <c r="F49" s="941">
        <v>-645614.24</v>
      </c>
      <c r="G49" s="941">
        <v>-630693.18999999994</v>
      </c>
      <c r="H49" s="941">
        <v>-324254.71000000002</v>
      </c>
      <c r="I49" s="941">
        <v>-265213.25</v>
      </c>
      <c r="J49" s="941">
        <v>-246372.7</v>
      </c>
      <c r="K49" s="941">
        <v>-226029.62</v>
      </c>
      <c r="L49" s="941">
        <v>-204074.23</v>
      </c>
      <c r="M49" s="941">
        <v>-180388.99</v>
      </c>
      <c r="N49" s="941">
        <v>-184892.38</v>
      </c>
      <c r="O49" s="941">
        <v>-189508.26</v>
      </c>
      <c r="P49" s="941">
        <v>-194239.44</v>
      </c>
      <c r="Q49" s="941">
        <v>-199088.81</v>
      </c>
      <c r="R49" s="941">
        <v>-204059.32</v>
      </c>
      <c r="S49" s="941">
        <v>-209153.98</v>
      </c>
      <c r="T49" s="941">
        <v>-214375.92</v>
      </c>
      <c r="U49" s="941">
        <v>-219728.3</v>
      </c>
      <c r="V49" s="941">
        <v>-225214.39</v>
      </c>
      <c r="W49" s="941">
        <v>-230837.52</v>
      </c>
      <c r="X49" s="941">
        <v>-236601.13</v>
      </c>
      <c r="Y49" s="941">
        <v>-242508.71</v>
      </c>
      <c r="Z49" s="941">
        <v>-248563.88</v>
      </c>
      <c r="AA49" s="941">
        <v>-254770.32</v>
      </c>
      <c r="AB49" s="941">
        <v>-261131.8</v>
      </c>
      <c r="AC49" s="941">
        <v>-267652.21000000002</v>
      </c>
      <c r="AD49" s="941">
        <v>-274335.51</v>
      </c>
      <c r="AE49" s="941">
        <v>-281185.77</v>
      </c>
      <c r="AF49" s="941">
        <v>-288207.17</v>
      </c>
    </row>
    <row r="50" spans="1:32">
      <c r="A50" s="938" t="s">
        <v>915</v>
      </c>
      <c r="B50" s="939">
        <v>0</v>
      </c>
      <c r="C50" s="941">
        <v>-124462.12</v>
      </c>
      <c r="D50" s="941">
        <v>-89921.76</v>
      </c>
      <c r="E50" s="941">
        <v>-63821.760000000002</v>
      </c>
      <c r="F50" s="941">
        <v>-51649.14</v>
      </c>
      <c r="G50" s="941">
        <v>-50455.46</v>
      </c>
      <c r="H50" s="941">
        <v>-25940.38</v>
      </c>
      <c r="I50" s="941">
        <v>-21217.06</v>
      </c>
      <c r="J50" s="941">
        <v>-19709.82</v>
      </c>
      <c r="K50" s="941">
        <v>-18082.37</v>
      </c>
      <c r="L50" s="941">
        <v>-16325.94</v>
      </c>
      <c r="M50" s="941">
        <v>-14431.12</v>
      </c>
      <c r="N50" s="941">
        <v>-14791.39</v>
      </c>
      <c r="O50" s="941">
        <v>-15160.66</v>
      </c>
      <c r="P50" s="941">
        <v>-15539.16</v>
      </c>
      <c r="Q50" s="941">
        <v>-15927.1</v>
      </c>
      <c r="R50" s="941">
        <v>-16324.75</v>
      </c>
      <c r="S50" s="941">
        <v>-16732.32</v>
      </c>
      <c r="T50" s="941">
        <v>-17150.07</v>
      </c>
      <c r="U50" s="941">
        <v>-17578.259999999998</v>
      </c>
      <c r="V50" s="941">
        <v>-18017.150000000001</v>
      </c>
      <c r="W50" s="940">
        <v>-18467</v>
      </c>
      <c r="X50" s="941">
        <v>-18928.09</v>
      </c>
      <c r="Y50" s="941">
        <v>-19400.7</v>
      </c>
      <c r="Z50" s="941">
        <v>-19885.11</v>
      </c>
      <c r="AA50" s="941">
        <v>-20381.63</v>
      </c>
      <c r="AB50" s="941">
        <v>-20890.54</v>
      </c>
      <c r="AC50" s="941">
        <v>-21412.18</v>
      </c>
      <c r="AD50" s="941">
        <v>-21946.84</v>
      </c>
      <c r="AE50" s="941">
        <v>-22494.86</v>
      </c>
      <c r="AF50" s="941">
        <v>-23056.57</v>
      </c>
    </row>
    <row r="51" spans="1:32">
      <c r="A51" s="938" t="s">
        <v>916</v>
      </c>
      <c r="B51" s="939">
        <v>0</v>
      </c>
      <c r="C51" s="941">
        <v>124462.12</v>
      </c>
      <c r="D51" s="941">
        <v>89921.76</v>
      </c>
      <c r="E51" s="941">
        <v>63821.760000000002</v>
      </c>
      <c r="F51" s="941">
        <v>51649.14</v>
      </c>
      <c r="G51" s="941">
        <v>50455.46</v>
      </c>
      <c r="H51" s="941">
        <v>25940.38</v>
      </c>
      <c r="I51" s="941">
        <v>21217.06</v>
      </c>
      <c r="J51" s="941">
        <v>19709.82</v>
      </c>
      <c r="K51" s="941">
        <v>18082.37</v>
      </c>
      <c r="L51" s="941">
        <v>16325.94</v>
      </c>
      <c r="M51" s="941">
        <v>14431.12</v>
      </c>
      <c r="N51" s="941">
        <v>14791.39</v>
      </c>
      <c r="O51" s="941">
        <v>15160.66</v>
      </c>
      <c r="P51" s="941">
        <v>15539.16</v>
      </c>
      <c r="Q51" s="941">
        <v>15927.1</v>
      </c>
      <c r="R51" s="941">
        <v>16324.75</v>
      </c>
      <c r="S51" s="941">
        <v>16732.32</v>
      </c>
      <c r="T51" s="941">
        <v>17150.07</v>
      </c>
      <c r="U51" s="941">
        <v>17578.259999999998</v>
      </c>
      <c r="V51" s="941">
        <v>18017.150000000001</v>
      </c>
      <c r="W51" s="940">
        <v>18467</v>
      </c>
      <c r="X51" s="941">
        <v>18928.09</v>
      </c>
      <c r="Y51" s="941">
        <v>19400.7</v>
      </c>
      <c r="Z51" s="941">
        <v>19885.11</v>
      </c>
      <c r="AA51" s="941">
        <v>20381.63</v>
      </c>
      <c r="AB51" s="941">
        <v>20890.54</v>
      </c>
      <c r="AC51" s="941">
        <v>21412.18</v>
      </c>
      <c r="AD51" s="941">
        <v>21946.84</v>
      </c>
      <c r="AE51" s="941">
        <v>22494.86</v>
      </c>
      <c r="AF51" s="941">
        <v>23056.57</v>
      </c>
    </row>
    <row r="53" spans="1:32">
      <c r="A53" s="938" t="s">
        <v>917</v>
      </c>
    </row>
    <row r="54" spans="1:32">
      <c r="A54" s="938" t="s">
        <v>918</v>
      </c>
      <c r="B54" s="939">
        <v>0</v>
      </c>
      <c r="C54" s="939">
        <v>35</v>
      </c>
      <c r="D54" s="939">
        <v>26</v>
      </c>
      <c r="E54" s="939">
        <v>15.6</v>
      </c>
      <c r="F54" s="939">
        <v>11.01</v>
      </c>
      <c r="G54" s="939">
        <v>11.01</v>
      </c>
      <c r="H54" s="939">
        <v>1.38</v>
      </c>
      <c r="I54" s="939">
        <v>0</v>
      </c>
      <c r="J54" s="939">
        <v>0</v>
      </c>
      <c r="K54" s="939">
        <v>0</v>
      </c>
      <c r="L54" s="939">
        <v>0</v>
      </c>
      <c r="M54" s="939">
        <v>0</v>
      </c>
      <c r="N54" s="939">
        <v>0</v>
      </c>
      <c r="O54" s="939">
        <v>0</v>
      </c>
      <c r="P54" s="939">
        <v>0</v>
      </c>
      <c r="Q54" s="939">
        <v>0</v>
      </c>
      <c r="R54" s="939">
        <v>0</v>
      </c>
      <c r="S54" s="939">
        <v>0</v>
      </c>
      <c r="T54" s="939">
        <v>0</v>
      </c>
      <c r="U54" s="939">
        <v>0</v>
      </c>
      <c r="V54" s="939">
        <v>0</v>
      </c>
      <c r="W54" s="939">
        <v>0</v>
      </c>
      <c r="X54" s="939">
        <v>0</v>
      </c>
      <c r="Y54" s="939">
        <v>0</v>
      </c>
      <c r="Z54" s="939">
        <v>0</v>
      </c>
      <c r="AA54" s="939">
        <v>0</v>
      </c>
      <c r="AB54" s="939">
        <v>0</v>
      </c>
      <c r="AC54" s="939">
        <v>0</v>
      </c>
      <c r="AD54" s="939">
        <v>0</v>
      </c>
      <c r="AE54" s="939">
        <v>0</v>
      </c>
      <c r="AF54" s="939">
        <v>0</v>
      </c>
    </row>
    <row r="55" spans="1:32">
      <c r="A55" s="938" t="s">
        <v>919</v>
      </c>
      <c r="B55" s="939">
        <v>0</v>
      </c>
      <c r="C55" s="941">
        <v>1055096.8899999999</v>
      </c>
      <c r="D55" s="941">
        <v>783786.26</v>
      </c>
      <c r="E55" s="941">
        <v>470271.76</v>
      </c>
      <c r="F55" s="941">
        <v>331903.34000000003</v>
      </c>
      <c r="G55" s="941">
        <v>331903.34000000003</v>
      </c>
      <c r="H55" s="941">
        <v>41600.959999999999</v>
      </c>
      <c r="I55" s="939">
        <v>0</v>
      </c>
      <c r="J55" s="939">
        <v>0</v>
      </c>
      <c r="K55" s="939">
        <v>0</v>
      </c>
      <c r="L55" s="939">
        <v>0</v>
      </c>
      <c r="M55" s="939">
        <v>0</v>
      </c>
      <c r="N55" s="939">
        <v>0</v>
      </c>
      <c r="O55" s="939">
        <v>0</v>
      </c>
      <c r="P55" s="939">
        <v>0</v>
      </c>
      <c r="Q55" s="939">
        <v>0</v>
      </c>
      <c r="R55" s="939">
        <v>0</v>
      </c>
      <c r="S55" s="939">
        <v>0</v>
      </c>
      <c r="T55" s="939">
        <v>0</v>
      </c>
      <c r="U55" s="939">
        <v>0</v>
      </c>
      <c r="V55" s="939">
        <v>0</v>
      </c>
      <c r="W55" s="939">
        <v>0</v>
      </c>
      <c r="X55" s="939">
        <v>0</v>
      </c>
      <c r="Y55" s="939">
        <v>0</v>
      </c>
      <c r="Z55" s="939">
        <v>0</v>
      </c>
      <c r="AA55" s="939">
        <v>0</v>
      </c>
      <c r="AB55" s="939">
        <v>0</v>
      </c>
      <c r="AC55" s="939">
        <v>0</v>
      </c>
      <c r="AD55" s="939">
        <v>0</v>
      </c>
      <c r="AE55" s="939">
        <v>0</v>
      </c>
      <c r="AF55" s="939">
        <v>0</v>
      </c>
    </row>
    <row r="56" spans="1:32">
      <c r="A56" s="938" t="s">
        <v>920</v>
      </c>
      <c r="B56" s="939">
        <v>0</v>
      </c>
      <c r="C56" s="941">
        <v>-1431314.41</v>
      </c>
      <c r="D56" s="941">
        <v>-1034100.24</v>
      </c>
      <c r="E56" s="941">
        <v>-733950.25</v>
      </c>
      <c r="F56" s="941">
        <v>-593965.1</v>
      </c>
      <c r="G56" s="941">
        <v>-580237.74</v>
      </c>
      <c r="H56" s="941">
        <v>-298314.33</v>
      </c>
      <c r="I56" s="941">
        <v>-243996.19</v>
      </c>
      <c r="J56" s="941">
        <v>-226662.89</v>
      </c>
      <c r="K56" s="941">
        <v>-207947.25</v>
      </c>
      <c r="L56" s="941">
        <v>-187748.29</v>
      </c>
      <c r="M56" s="941">
        <v>-165957.87</v>
      </c>
      <c r="N56" s="941">
        <v>-170100.99</v>
      </c>
      <c r="O56" s="941">
        <v>-174347.6</v>
      </c>
      <c r="P56" s="941">
        <v>-178700.29</v>
      </c>
      <c r="Q56" s="941">
        <v>-183161.71</v>
      </c>
      <c r="R56" s="941">
        <v>-187734.57</v>
      </c>
      <c r="S56" s="941">
        <v>-192421.67</v>
      </c>
      <c r="T56" s="941">
        <v>-197225.85</v>
      </c>
      <c r="U56" s="941">
        <v>-202150.04</v>
      </c>
      <c r="V56" s="941">
        <v>-207197.24</v>
      </c>
      <c r="W56" s="941">
        <v>-212370.52</v>
      </c>
      <c r="X56" s="941">
        <v>-217673.04</v>
      </c>
      <c r="Y56" s="941">
        <v>-223108.02</v>
      </c>
      <c r="Z56" s="941">
        <v>-228678.77</v>
      </c>
      <c r="AA56" s="941">
        <v>-234388.69</v>
      </c>
      <c r="AB56" s="941">
        <v>-240241.26</v>
      </c>
      <c r="AC56" s="941">
        <v>-246240.03</v>
      </c>
      <c r="AD56" s="941">
        <v>-252388.66</v>
      </c>
      <c r="AE56" s="941">
        <v>-258690.91</v>
      </c>
      <c r="AF56" s="941">
        <v>-265150.59999999998</v>
      </c>
    </row>
    <row r="57" spans="1:32">
      <c r="A57" s="938" t="s">
        <v>921</v>
      </c>
      <c r="B57" s="939">
        <v>0</v>
      </c>
      <c r="C57" s="941">
        <v>-1431314.41</v>
      </c>
      <c r="D57" s="941">
        <v>-1034100.24</v>
      </c>
      <c r="E57" s="941">
        <v>-733950.25</v>
      </c>
      <c r="F57" s="941">
        <v>-593965.1</v>
      </c>
      <c r="G57" s="941">
        <v>-580237.74</v>
      </c>
      <c r="H57" s="941">
        <v>-298314.33</v>
      </c>
      <c r="I57" s="941">
        <v>-243996.19</v>
      </c>
      <c r="J57" s="941">
        <v>-226662.89</v>
      </c>
      <c r="K57" s="941">
        <v>-207947.25</v>
      </c>
      <c r="L57" s="941">
        <v>-187748.29</v>
      </c>
      <c r="M57" s="941">
        <v>-165957.87</v>
      </c>
      <c r="N57" s="941">
        <v>-170100.99</v>
      </c>
      <c r="O57" s="941">
        <v>-174347.6</v>
      </c>
      <c r="P57" s="941">
        <v>-178700.29</v>
      </c>
      <c r="Q57" s="941">
        <v>-183161.71</v>
      </c>
      <c r="R57" s="941">
        <v>-187734.57</v>
      </c>
      <c r="S57" s="941">
        <v>-192421.67</v>
      </c>
      <c r="T57" s="941">
        <v>-197225.85</v>
      </c>
      <c r="U57" s="941">
        <v>-202150.04</v>
      </c>
      <c r="V57" s="941">
        <v>-207197.24</v>
      </c>
      <c r="W57" s="941">
        <v>-212370.52</v>
      </c>
      <c r="X57" s="941">
        <v>-217673.04</v>
      </c>
      <c r="Y57" s="941">
        <v>-223108.02</v>
      </c>
      <c r="Z57" s="941">
        <v>-228678.77</v>
      </c>
      <c r="AA57" s="941">
        <v>-234388.69</v>
      </c>
      <c r="AB57" s="941">
        <v>-240241.26</v>
      </c>
      <c r="AC57" s="941">
        <v>-246240.03</v>
      </c>
      <c r="AD57" s="941">
        <v>-252388.66</v>
      </c>
      <c r="AE57" s="941">
        <v>-258690.91</v>
      </c>
      <c r="AF57" s="941">
        <v>-265150.59999999998</v>
      </c>
    </row>
    <row r="58" spans="1:32">
      <c r="A58" s="938" t="s">
        <v>922</v>
      </c>
      <c r="B58" s="939">
        <v>0</v>
      </c>
      <c r="C58" s="941">
        <v>-500960.04</v>
      </c>
      <c r="D58" s="941">
        <v>-361935.08</v>
      </c>
      <c r="E58" s="941">
        <v>-256882.59</v>
      </c>
      <c r="F58" s="941">
        <v>-207887.78</v>
      </c>
      <c r="G58" s="941">
        <v>-203083.21</v>
      </c>
      <c r="H58" s="941">
        <v>-104410.02</v>
      </c>
      <c r="I58" s="941">
        <v>-85398.67</v>
      </c>
      <c r="J58" s="941">
        <v>-79332.009999999995</v>
      </c>
      <c r="K58" s="941">
        <v>-72781.539999999994</v>
      </c>
      <c r="L58" s="941">
        <v>-65711.899999999994</v>
      </c>
      <c r="M58" s="941">
        <v>-58085.25</v>
      </c>
      <c r="N58" s="941">
        <v>-59535.35</v>
      </c>
      <c r="O58" s="941">
        <v>-61021.66</v>
      </c>
      <c r="P58" s="941">
        <v>-62545.1</v>
      </c>
      <c r="Q58" s="941">
        <v>-64106.6</v>
      </c>
      <c r="R58" s="941">
        <v>-65707.100000000006</v>
      </c>
      <c r="S58" s="941">
        <v>-67347.58</v>
      </c>
      <c r="T58" s="941">
        <v>-69029.05</v>
      </c>
      <c r="U58" s="941">
        <v>-70752.509999999995</v>
      </c>
      <c r="V58" s="941">
        <v>-72519.03</v>
      </c>
      <c r="W58" s="941">
        <v>-74329.679999999993</v>
      </c>
      <c r="X58" s="941">
        <v>-76185.56</v>
      </c>
      <c r="Y58" s="941">
        <v>-78087.81</v>
      </c>
      <c r="Z58" s="941">
        <v>-80037.570000000007</v>
      </c>
      <c r="AA58" s="941">
        <v>-82036.039999999994</v>
      </c>
      <c r="AB58" s="941">
        <v>-84084.44</v>
      </c>
      <c r="AC58" s="941">
        <v>-86184.01</v>
      </c>
      <c r="AD58" s="941">
        <v>-88336.03</v>
      </c>
      <c r="AE58" s="941">
        <v>-90541.82</v>
      </c>
      <c r="AF58" s="941">
        <v>-92802.71</v>
      </c>
    </row>
    <row r="59" spans="1:32">
      <c r="A59" s="938" t="s">
        <v>923</v>
      </c>
      <c r="B59" s="939">
        <v>0</v>
      </c>
      <c r="C59" s="941">
        <v>500960.04</v>
      </c>
      <c r="D59" s="941">
        <v>361935.08</v>
      </c>
      <c r="E59" s="941">
        <v>256882.59</v>
      </c>
      <c r="F59" s="941">
        <v>207887.78</v>
      </c>
      <c r="G59" s="941">
        <v>203083.21</v>
      </c>
      <c r="H59" s="941">
        <v>104410.02</v>
      </c>
      <c r="I59" s="941">
        <v>85398.67</v>
      </c>
      <c r="J59" s="941">
        <v>79332.009999999995</v>
      </c>
      <c r="K59" s="941">
        <v>72781.539999999994</v>
      </c>
      <c r="L59" s="941">
        <v>65711.899999999994</v>
      </c>
      <c r="M59" s="941">
        <v>58085.25</v>
      </c>
      <c r="N59" s="941">
        <v>59535.35</v>
      </c>
      <c r="O59" s="941">
        <v>61021.66</v>
      </c>
      <c r="P59" s="941">
        <v>62545.1</v>
      </c>
      <c r="Q59" s="941">
        <v>64106.6</v>
      </c>
      <c r="R59" s="941">
        <v>65707.100000000006</v>
      </c>
      <c r="S59" s="941">
        <v>67347.58</v>
      </c>
      <c r="T59" s="941">
        <v>69029.05</v>
      </c>
      <c r="U59" s="941">
        <v>70752.509999999995</v>
      </c>
      <c r="V59" s="941">
        <v>72519.03</v>
      </c>
      <c r="W59" s="941">
        <v>74329.679999999993</v>
      </c>
      <c r="X59" s="941">
        <v>76185.56</v>
      </c>
      <c r="Y59" s="941">
        <v>78087.81</v>
      </c>
      <c r="Z59" s="941">
        <v>80037.570000000007</v>
      </c>
      <c r="AA59" s="941">
        <v>82036.039999999994</v>
      </c>
      <c r="AB59" s="941">
        <v>84084.44</v>
      </c>
      <c r="AC59" s="941">
        <v>86184.01</v>
      </c>
      <c r="AD59" s="941">
        <v>88336.03</v>
      </c>
      <c r="AE59" s="941">
        <v>90541.82</v>
      </c>
      <c r="AF59" s="941">
        <v>92802.71</v>
      </c>
    </row>
    <row r="61" spans="1:32">
      <c r="A61" s="938" t="s">
        <v>924</v>
      </c>
      <c r="B61" s="939">
        <v>0</v>
      </c>
      <c r="C61" s="941">
        <v>55245.66</v>
      </c>
      <c r="D61" s="941">
        <v>-121838.46</v>
      </c>
      <c r="E61" s="941">
        <v>-256597.64</v>
      </c>
      <c r="F61" s="941">
        <v>-321461.83</v>
      </c>
      <c r="G61" s="941">
        <v>-331249.2</v>
      </c>
      <c r="H61" s="941">
        <v>-458321.22</v>
      </c>
      <c r="I61" s="941">
        <v>-486036.64</v>
      </c>
      <c r="J61" s="941">
        <v>-497690.73</v>
      </c>
      <c r="K61" s="941">
        <v>-510050.75</v>
      </c>
      <c r="L61" s="941">
        <v>-523163.39</v>
      </c>
      <c r="M61" s="941">
        <v>-107872.61</v>
      </c>
      <c r="N61" s="941">
        <v>-110565.64</v>
      </c>
      <c r="O61" s="941">
        <v>-113325.94</v>
      </c>
      <c r="P61" s="941">
        <v>-116155.19</v>
      </c>
      <c r="Q61" s="941">
        <v>-119055.11</v>
      </c>
      <c r="R61" s="941">
        <v>-122027.47</v>
      </c>
      <c r="S61" s="941">
        <v>-125074.08</v>
      </c>
      <c r="T61" s="941">
        <v>-128196.8</v>
      </c>
      <c r="U61" s="941">
        <v>-131397.51999999999</v>
      </c>
      <c r="V61" s="941">
        <v>-134678.20000000001</v>
      </c>
      <c r="W61" s="941">
        <v>-138040.84</v>
      </c>
      <c r="X61" s="941">
        <v>-141487.47</v>
      </c>
      <c r="Y61" s="941">
        <v>-145020.21</v>
      </c>
      <c r="Z61" s="941">
        <v>-148641.20000000001</v>
      </c>
      <c r="AA61" s="941">
        <v>-152352.65</v>
      </c>
      <c r="AB61" s="941">
        <v>-156156.82</v>
      </c>
      <c r="AC61" s="941">
        <v>-160056.01999999999</v>
      </c>
      <c r="AD61" s="941">
        <v>-164052.63</v>
      </c>
      <c r="AE61" s="941">
        <v>-168149.09</v>
      </c>
      <c r="AF61" s="941">
        <v>-172347.89</v>
      </c>
    </row>
    <row r="62" spans="1:32">
      <c r="A62" s="938" t="s">
        <v>925</v>
      </c>
      <c r="B62" s="939">
        <v>0</v>
      </c>
      <c r="C62" s="941">
        <v>94003.27</v>
      </c>
      <c r="D62" s="941">
        <v>-82509.17</v>
      </c>
      <c r="E62" s="941">
        <v>-216688.25</v>
      </c>
      <c r="F62" s="941">
        <v>-280963.78000000003</v>
      </c>
      <c r="G62" s="941">
        <v>-290153.8</v>
      </c>
      <c r="H62" s="941">
        <v>-416619.66</v>
      </c>
      <c r="I62" s="941">
        <v>-443719.98</v>
      </c>
      <c r="J62" s="941">
        <v>-454749.9</v>
      </c>
      <c r="K62" s="941">
        <v>-466476.55</v>
      </c>
      <c r="L62" s="941">
        <v>-478946.46</v>
      </c>
      <c r="M62" s="941">
        <v>-63003.49</v>
      </c>
      <c r="N62" s="941">
        <v>-65034.7</v>
      </c>
      <c r="O62" s="941">
        <v>-67123.41</v>
      </c>
      <c r="P62" s="941">
        <v>-69271.17</v>
      </c>
      <c r="Q62" s="941">
        <v>-71479.56</v>
      </c>
      <c r="R62" s="941">
        <v>-73750.179999999993</v>
      </c>
      <c r="S62" s="941">
        <v>-76084.7</v>
      </c>
      <c r="T62" s="941">
        <v>-78484.820000000007</v>
      </c>
      <c r="U62" s="941">
        <v>-80952.3</v>
      </c>
      <c r="V62" s="941">
        <v>-83488.91</v>
      </c>
      <c r="W62" s="941">
        <v>-86096.5</v>
      </c>
      <c r="X62" s="941">
        <v>-88776.960000000006</v>
      </c>
      <c r="Y62" s="941">
        <v>-91532.22</v>
      </c>
      <c r="Z62" s="941">
        <v>-94364.26</v>
      </c>
      <c r="AA62" s="941">
        <v>-97275.12</v>
      </c>
      <c r="AB62" s="941">
        <v>-100266.9</v>
      </c>
      <c r="AC62" s="941">
        <v>-103341.72</v>
      </c>
      <c r="AD62" s="941">
        <v>-106501.8</v>
      </c>
      <c r="AE62" s="941">
        <v>-109749.38</v>
      </c>
      <c r="AF62" s="941">
        <v>-113086.78</v>
      </c>
    </row>
    <row r="64" spans="1:32">
      <c r="A64" s="938" t="s">
        <v>926</v>
      </c>
      <c r="B64" s="941">
        <v>-3014562.54</v>
      </c>
      <c r="C64" s="941">
        <v>438379.36</v>
      </c>
      <c r="D64" s="941">
        <v>268006.69</v>
      </c>
      <c r="E64" s="941">
        <v>140397.17000000001</v>
      </c>
      <c r="F64" s="941">
        <v>83151.06</v>
      </c>
      <c r="G64" s="941">
        <v>81482.52</v>
      </c>
      <c r="H64" s="941">
        <v>-36935.360000000001</v>
      </c>
      <c r="I64" s="941">
        <v>-55424.34</v>
      </c>
      <c r="J64" s="941">
        <v>-57240.12</v>
      </c>
      <c r="K64" s="941">
        <v>-59107.64</v>
      </c>
      <c r="L64" s="941">
        <v>-61028.29</v>
      </c>
      <c r="M64" s="941">
        <v>-63003.49</v>
      </c>
      <c r="N64" s="941">
        <v>-65034.7</v>
      </c>
      <c r="O64" s="941">
        <v>-67123.41</v>
      </c>
      <c r="P64" s="941">
        <v>-69271.17</v>
      </c>
      <c r="Q64" s="941">
        <v>-71479.56</v>
      </c>
      <c r="R64" s="941">
        <v>-73750.179999999993</v>
      </c>
      <c r="S64" s="941">
        <v>-76084.7</v>
      </c>
      <c r="T64" s="941">
        <v>-78484.820000000007</v>
      </c>
      <c r="U64" s="941">
        <v>-80952.3</v>
      </c>
      <c r="V64" s="941">
        <v>-83488.91</v>
      </c>
      <c r="W64" s="941">
        <v>-86096.5</v>
      </c>
      <c r="X64" s="941">
        <v>-88776.960000000006</v>
      </c>
      <c r="Y64" s="941">
        <v>-91532.22</v>
      </c>
      <c r="Z64" s="941">
        <v>-94364.26</v>
      </c>
      <c r="AA64" s="941">
        <v>-97275.12</v>
      </c>
      <c r="AB64" s="941">
        <v>-100266.9</v>
      </c>
      <c r="AC64" s="941">
        <v>-103341.72</v>
      </c>
      <c r="AD64" s="941">
        <v>-106501.8</v>
      </c>
      <c r="AE64" s="941">
        <v>-109749.38</v>
      </c>
      <c r="AF64" s="941">
        <v>-113086.78</v>
      </c>
    </row>
    <row r="65" spans="1:32">
      <c r="A65" s="938" t="s">
        <v>927</v>
      </c>
      <c r="B65" s="941">
        <v>-3014562.54</v>
      </c>
      <c r="C65" s="941">
        <v>-2576183.1800000002</v>
      </c>
      <c r="D65" s="941">
        <v>-2308176.4900000002</v>
      </c>
      <c r="E65" s="941">
        <v>-2167779.3199999998</v>
      </c>
      <c r="F65" s="941">
        <v>-2084628.26</v>
      </c>
      <c r="G65" s="941">
        <v>-2003145.73</v>
      </c>
      <c r="H65" s="941">
        <v>-2040081.09</v>
      </c>
      <c r="I65" s="941">
        <v>-2095505.43</v>
      </c>
      <c r="J65" s="941">
        <v>-2152745.5499999998</v>
      </c>
      <c r="K65" s="941">
        <v>-2211853.19</v>
      </c>
      <c r="L65" s="941">
        <v>-2272881.48</v>
      </c>
      <c r="M65" s="941">
        <v>-2335884.9700000002</v>
      </c>
      <c r="N65" s="941">
        <v>-2400919.66</v>
      </c>
      <c r="O65" s="941">
        <v>-2468043.08</v>
      </c>
      <c r="P65" s="941">
        <v>-2537314.25</v>
      </c>
      <c r="Q65" s="941">
        <v>-2608793.81</v>
      </c>
      <c r="R65" s="941">
        <v>-2682543.9900000002</v>
      </c>
      <c r="S65" s="941">
        <v>-2758628.69</v>
      </c>
      <c r="T65" s="941">
        <v>-2837113.51</v>
      </c>
      <c r="U65" s="941">
        <v>-2918065.81</v>
      </c>
      <c r="V65" s="941">
        <v>-3001554.72</v>
      </c>
      <c r="W65" s="941">
        <v>-3087651.22</v>
      </c>
      <c r="X65" s="941">
        <v>-3176428.18</v>
      </c>
      <c r="Y65" s="941">
        <v>-3267960.39</v>
      </c>
      <c r="Z65" s="941">
        <v>-3362324.65</v>
      </c>
      <c r="AA65" s="941">
        <v>-3459599.77</v>
      </c>
      <c r="AB65" s="941">
        <v>-3559866.67</v>
      </c>
      <c r="AC65" s="941">
        <v>-3663208.39</v>
      </c>
      <c r="AD65" s="941">
        <v>-3769710.19</v>
      </c>
      <c r="AE65" s="941">
        <v>-3879459.57</v>
      </c>
      <c r="AF65" s="941">
        <v>-3992546.36</v>
      </c>
    </row>
    <row r="67" spans="1:32">
      <c r="A67" s="938" t="s">
        <v>928</v>
      </c>
      <c r="B67" s="941">
        <v>-3014562.54</v>
      </c>
      <c r="C67" s="941">
        <v>522679.8</v>
      </c>
      <c r="D67" s="941">
        <v>354411.36</v>
      </c>
      <c r="E67" s="941">
        <v>228958.64</v>
      </c>
      <c r="F67" s="941">
        <v>173923.20000000001</v>
      </c>
      <c r="G67" s="941">
        <v>174520.54</v>
      </c>
      <c r="H67" s="941">
        <v>58425.15</v>
      </c>
      <c r="I67" s="941">
        <v>42316.66</v>
      </c>
      <c r="J67" s="941">
        <v>42940.83</v>
      </c>
      <c r="K67" s="941">
        <v>43574.21</v>
      </c>
      <c r="L67" s="941">
        <v>44216.92</v>
      </c>
      <c r="M67" s="941">
        <v>44869.120000000003</v>
      </c>
      <c r="N67" s="941">
        <v>45530.94</v>
      </c>
      <c r="O67" s="941">
        <v>46202.53</v>
      </c>
      <c r="P67" s="941">
        <v>46884.01</v>
      </c>
      <c r="Q67" s="941">
        <v>47575.55</v>
      </c>
      <c r="R67" s="941">
        <v>48277.29</v>
      </c>
      <c r="S67" s="941">
        <v>48989.38</v>
      </c>
      <c r="T67" s="941">
        <v>49711.97</v>
      </c>
      <c r="U67" s="941">
        <v>50445.23</v>
      </c>
      <c r="V67" s="941">
        <v>51189.29</v>
      </c>
      <c r="W67" s="941">
        <v>51944.34</v>
      </c>
      <c r="X67" s="941">
        <v>52710.51</v>
      </c>
      <c r="Y67" s="941">
        <v>53487.99</v>
      </c>
      <c r="Z67" s="941">
        <v>54276.94</v>
      </c>
      <c r="AA67" s="941">
        <v>55077.53</v>
      </c>
      <c r="AB67" s="941">
        <v>55889.919999999998</v>
      </c>
      <c r="AC67" s="941">
        <v>56714.3</v>
      </c>
      <c r="AD67" s="941">
        <v>57550.83</v>
      </c>
      <c r="AE67" s="941">
        <v>58399.71</v>
      </c>
      <c r="AF67" s="941">
        <v>59261.1</v>
      </c>
    </row>
    <row r="68" spans="1:32">
      <c r="A68" s="938" t="s">
        <v>929</v>
      </c>
      <c r="B68" s="941">
        <v>-3014562.54</v>
      </c>
      <c r="C68" s="941">
        <v>-2491882.7400000002</v>
      </c>
      <c r="D68" s="941">
        <v>-2137471.38</v>
      </c>
      <c r="E68" s="941">
        <v>-1908512.74</v>
      </c>
      <c r="F68" s="941">
        <v>-1734589.55</v>
      </c>
      <c r="G68" s="940">
        <v>-1560069</v>
      </c>
      <c r="H68" s="941">
        <v>-1501643.86</v>
      </c>
      <c r="I68" s="941">
        <v>-1459327.2</v>
      </c>
      <c r="J68" s="941">
        <v>-1416386.37</v>
      </c>
      <c r="K68" s="941">
        <v>-1372812.17</v>
      </c>
      <c r="L68" s="941">
        <v>-1328595.24</v>
      </c>
      <c r="M68" s="941">
        <v>-1283726.1200000001</v>
      </c>
      <c r="N68" s="941">
        <v>-1238195.17</v>
      </c>
      <c r="O68" s="941">
        <v>-1191992.6499999999</v>
      </c>
      <c r="P68" s="941">
        <v>-1145108.6299999999</v>
      </c>
      <c r="Q68" s="941">
        <v>-1097533.08</v>
      </c>
      <c r="R68" s="941">
        <v>-1049255.79</v>
      </c>
      <c r="S68" s="941">
        <v>-1000266.41</v>
      </c>
      <c r="T68" s="941">
        <v>-950554.43</v>
      </c>
      <c r="U68" s="941">
        <v>-900109.21</v>
      </c>
      <c r="V68" s="941">
        <v>-848919.91</v>
      </c>
      <c r="W68" s="941">
        <v>-796975.58</v>
      </c>
      <c r="X68" s="941">
        <v>-744265.06</v>
      </c>
      <c r="Y68" s="941">
        <v>-690777.07</v>
      </c>
      <c r="Z68" s="941">
        <v>-636500.13</v>
      </c>
      <c r="AA68" s="941">
        <v>-581422.6</v>
      </c>
      <c r="AB68" s="941">
        <v>-525532.68000000005</v>
      </c>
      <c r="AC68" s="941">
        <v>-468818.38</v>
      </c>
      <c r="AD68" s="941">
        <v>-411267.55</v>
      </c>
      <c r="AE68" s="941">
        <v>-352867.84000000003</v>
      </c>
      <c r="AF68" s="941">
        <v>-293606.73</v>
      </c>
    </row>
    <row r="71" spans="1:32">
      <c r="A71" s="938" t="s">
        <v>930</v>
      </c>
    </row>
    <row r="73" spans="1:32">
      <c r="A73" s="938" t="s">
        <v>777</v>
      </c>
      <c r="B73" s="939">
        <v>8.7042800000000007</v>
      </c>
    </row>
    <row r="74" spans="1:32">
      <c r="A74" s="938" t="s">
        <v>934</v>
      </c>
      <c r="B74" s="939">
        <v>762495</v>
      </c>
    </row>
    <row r="75" spans="1:32">
      <c r="A75" s="938" t="s">
        <v>931</v>
      </c>
      <c r="B75" s="939">
        <v>3014560</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sheetPr codeName="Sheet42">
    <tabColor rgb="FFA9DA74"/>
  </sheetPr>
  <dimension ref="A1:AY84"/>
  <sheetViews>
    <sheetView workbookViewId="0">
      <pane xSplit="1" topLeftCell="D1" activePane="topRight" state="frozen"/>
      <selection activeCell="K14" sqref="K14"/>
      <selection pane="topRight" activeCell="O3" sqref="O3:O7"/>
    </sheetView>
  </sheetViews>
  <sheetFormatPr defaultRowHeight="15"/>
  <cols>
    <col min="11" max="11" width="12" customWidth="1"/>
    <col min="12" max="12" width="12.85546875" customWidth="1"/>
    <col min="13" max="13" width="12.42578125" customWidth="1"/>
    <col min="15" max="15" width="10" bestFit="1" customWidth="1"/>
    <col min="35" max="36" width="13" customWidth="1"/>
    <col min="38" max="38" width="12.28515625" bestFit="1" customWidth="1"/>
    <col min="39" max="39" width="10.85546875" customWidth="1"/>
    <col min="40" max="40" width="12.42578125" customWidth="1"/>
    <col min="41" max="41" width="10" bestFit="1" customWidth="1"/>
    <col min="44" max="44" width="10.85546875" customWidth="1"/>
    <col min="45" max="45" width="10.140625" customWidth="1"/>
    <col min="46" max="46" width="1.7109375" customWidth="1"/>
    <col min="47" max="47" width="11.85546875" customWidth="1"/>
    <col min="51" max="51" width="10.5703125" customWidth="1"/>
  </cols>
  <sheetData>
    <row r="1" spans="1:50" ht="60">
      <c r="C1" s="257" t="s">
        <v>226</v>
      </c>
      <c r="D1" s="258" t="s">
        <v>943</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2010</v>
      </c>
      <c r="E2" s="266"/>
      <c r="J2" s="267" t="s">
        <v>231</v>
      </c>
      <c r="K2" s="268">
        <f ca="1">NPV(DiscountRate,AA19:AA59)</f>
        <v>258144.5841940442</v>
      </c>
      <c r="L2" s="269">
        <f ca="1">-SUM(OFFSET(W19,0,0,M2-2010+1,4))</f>
        <v>19059.999883027256</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687200.08525298478</v>
      </c>
      <c r="L3" s="277" t="s">
        <v>235</v>
      </c>
      <c r="M3" s="278">
        <f ca="1">-SUM(OFFSET(W19,M2-2010,0,1,4))</f>
        <v>614.83870590410481</v>
      </c>
      <c r="N3" s="272"/>
      <c r="O3" s="1496">
        <f ca="1">AVERAGE(OFFSET(AJ19,0,0,$M$2-2010+1,1))</f>
        <v>63085.013269827519</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464.87804592749404</v>
      </c>
      <c r="M4" s="281">
        <f ca="1">-SUM(OFFSET(W19,M2-2010,0,1,4))/SUM(OFFSET(ExposureCalculations!G16,M2-2010,0,1,3))</f>
        <v>5.6235355799633992E-4</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942</v>
      </c>
      <c r="E5" s="273"/>
      <c r="F5" s="272"/>
      <c r="G5" s="272"/>
      <c r="H5" s="272"/>
      <c r="I5" s="273"/>
      <c r="J5" s="275" t="s">
        <v>238</v>
      </c>
      <c r="K5" s="276">
        <f>NPV(DiscountRate,AL19:AL59)</f>
        <v>-4607198.7207384082</v>
      </c>
      <c r="L5" s="277"/>
      <c r="M5" s="272"/>
      <c r="N5" s="272"/>
      <c r="O5" s="1496">
        <f ca="1">AVERAGE(OFFSET(AL19,0,0,$M$2-2010+1,1))</f>
        <v>-194113.41463414635</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 ca="1">NPV(DiscountRate,AO19:AO59)</f>
        <v>-1152558.8230570205</v>
      </c>
      <c r="L7" s="272"/>
      <c r="M7" s="272"/>
      <c r="N7" s="272"/>
      <c r="O7" s="1496">
        <f ca="1">AVERAGE(OFFSET(AO19,0,0,$M$2-2010+1,1))</f>
        <v>-112102.06560975609</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-4814412.8743484002</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-4.49761701567718E-2</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t="str">
        <f ca="1">IFERROR(COUNTIF(AS19:AS59,"&lt;=0")+1-INDEX(AS19:AS59,COUNTIF(AS19:AS59,"&lt;=0")+1)/INDEX(AR19:AR59,COUNTIF(AS19:AS59,"&lt;=0")+1)-(D2-2010),"Check Calc")</f>
        <v>Check Calc</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-5072557.4585424447</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980.91361256231767</v>
      </c>
      <c r="L13" s="915"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49.919106627120811</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1">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900">
        <v>2020</v>
      </c>
      <c r="AV19" s="879" t="s">
        <v>776</v>
      </c>
      <c r="AW19" s="879"/>
      <c r="AX19" s="35"/>
      <c r="AY19" s="880"/>
    </row>
    <row r="20" spans="1:51">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v>0</v>
      </c>
      <c r="N20" s="307">
        <f t="shared" ref="N20:N59" ca="1" si="12">K20+L20</f>
        <v>130129.26073503707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878"/>
      <c r="AV20" s="35"/>
      <c r="AW20" s="879"/>
      <c r="AX20" s="35"/>
      <c r="AY20" s="880"/>
    </row>
    <row r="21" spans="1:51">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2">-H21*I21</f>
        <v>0</v>
      </c>
      <c r="K21" s="307">
        <f t="shared" ca="1" si="10"/>
        <v>133825.36797702796</v>
      </c>
      <c r="L21" s="307">
        <f t="shared" si="11"/>
        <v>0</v>
      </c>
      <c r="M21" s="307">
        <v>0</v>
      </c>
      <c r="N21" s="307">
        <f t="shared" ca="1" si="12"/>
        <v>133825.36797702796</v>
      </c>
      <c r="O21" s="306">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0</v>
      </c>
      <c r="Y21" s="306">
        <v>0</v>
      </c>
      <c r="Z21" s="306">
        <v>0</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v>0</v>
      </c>
      <c r="AM21" s="309">
        <f t="shared" si="19"/>
        <v>0</v>
      </c>
      <c r="AN21" s="310">
        <v>0</v>
      </c>
      <c r="AO21" s="310">
        <v>0</v>
      </c>
      <c r="AP21" s="310">
        <f t="shared" si="20"/>
        <v>0</v>
      </c>
      <c r="AQ21" s="309">
        <v>0</v>
      </c>
      <c r="AR21" s="311">
        <f t="shared" ca="1" si="7"/>
        <v>0</v>
      </c>
      <c r="AS21" s="870">
        <f t="shared" ca="1" si="21"/>
        <v>0</v>
      </c>
      <c r="AT21" s="822"/>
      <c r="AU21" s="898">
        <f>AU25/8760/AU23</f>
        <v>889.99929964463638</v>
      </c>
      <c r="AV21" s="35" t="s">
        <v>946</v>
      </c>
      <c r="AW21" s="879"/>
      <c r="AX21" s="35"/>
      <c r="AY21" s="880"/>
    </row>
    <row r="22" spans="1:51">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2"/>
        <v>0</v>
      </c>
      <c r="K22" s="307">
        <f t="shared" ca="1" si="10"/>
        <v>135980.03402546333</v>
      </c>
      <c r="L22" s="307">
        <f t="shared" si="11"/>
        <v>0</v>
      </c>
      <c r="M22" s="307">
        <v>0</v>
      </c>
      <c r="N22" s="307">
        <f t="shared" ca="1" si="12"/>
        <v>135980.03402546333</v>
      </c>
      <c r="O22" s="306">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0</v>
      </c>
      <c r="Y22" s="306">
        <v>0</v>
      </c>
      <c r="Z22" s="306">
        <v>0</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v>0</v>
      </c>
      <c r="AM22" s="309">
        <f t="shared" si="19"/>
        <v>0</v>
      </c>
      <c r="AN22" s="310">
        <v>0</v>
      </c>
      <c r="AO22" s="310">
        <v>0</v>
      </c>
      <c r="AP22" s="310">
        <f t="shared" si="20"/>
        <v>0</v>
      </c>
      <c r="AQ22" s="309">
        <v>0</v>
      </c>
      <c r="AR22" s="311">
        <f t="shared" ca="1" si="7"/>
        <v>0</v>
      </c>
      <c r="AS22" s="870">
        <f t="shared" ca="1" si="21"/>
        <v>0</v>
      </c>
      <c r="AT22" s="822"/>
      <c r="AU22" s="878"/>
      <c r="AV22" s="35"/>
      <c r="AW22" s="879"/>
      <c r="AX22" s="35"/>
      <c r="AY22" s="880"/>
    </row>
    <row r="23" spans="1:51">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2"/>
        <v>0</v>
      </c>
      <c r="K23" s="307">
        <f t="shared" ca="1" si="10"/>
        <v>137556.65962631535</v>
      </c>
      <c r="L23" s="307">
        <f t="shared" si="11"/>
        <v>0</v>
      </c>
      <c r="M23" s="307">
        <v>0</v>
      </c>
      <c r="N23" s="307">
        <f t="shared" ca="1" si="12"/>
        <v>137556.65962631535</v>
      </c>
      <c r="O23" s="306">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0</v>
      </c>
      <c r="Y23" s="306">
        <v>0</v>
      </c>
      <c r="Z23" s="306">
        <v>0</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v>0</v>
      </c>
      <c r="AM23" s="309">
        <f t="shared" si="19"/>
        <v>0</v>
      </c>
      <c r="AN23" s="310">
        <v>0</v>
      </c>
      <c r="AO23" s="310">
        <v>0</v>
      </c>
      <c r="AP23" s="310">
        <f t="shared" si="20"/>
        <v>0</v>
      </c>
      <c r="AQ23" s="309">
        <v>0</v>
      </c>
      <c r="AR23" s="311">
        <f t="shared" ca="1" si="7"/>
        <v>0</v>
      </c>
      <c r="AS23" s="870">
        <f t="shared" ca="1" si="21"/>
        <v>0</v>
      </c>
      <c r="AT23" s="822"/>
      <c r="AU23" s="901">
        <f>'Parabolic Trough SAM'!B74/100</f>
        <v>0.11103300000000001</v>
      </c>
      <c r="AV23" s="35" t="s">
        <v>777</v>
      </c>
      <c r="AW23" s="879"/>
      <c r="AX23" s="35"/>
      <c r="AY23" s="880"/>
    </row>
    <row r="24" spans="1:51">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2"/>
        <v>0</v>
      </c>
      <c r="K24" s="307">
        <f t="shared" ca="1" si="10"/>
        <v>140674.7264207229</v>
      </c>
      <c r="L24" s="307">
        <f t="shared" si="11"/>
        <v>0</v>
      </c>
      <c r="M24" s="307">
        <v>0</v>
      </c>
      <c r="N24" s="307">
        <f t="shared" ca="1" si="12"/>
        <v>140674.7264207229</v>
      </c>
      <c r="O24" s="306">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0</v>
      </c>
      <c r="Y24" s="306">
        <v>0</v>
      </c>
      <c r="Z24" s="306">
        <v>0</v>
      </c>
      <c r="AA24" s="308">
        <f ca="1">-SUM(W24,X24/OFFSET(GridFootprintbyYear,$A24-$A$19,0)*EF_PurchElec_MTperMWh,Z24)*OFFSET(ExposureCalculations!Price_GHG_Allowance_2010,A24-$A$19,0)*ExposureCalculations!D21</f>
        <v>0</v>
      </c>
      <c r="AB24" s="308">
        <f t="shared" ca="1" si="3"/>
        <v>0</v>
      </c>
      <c r="AC24" s="308">
        <v>0</v>
      </c>
      <c r="AD24" s="819">
        <f t="shared" ca="1" si="4"/>
        <v>0</v>
      </c>
      <c r="AE24" s="308">
        <v>0</v>
      </c>
      <c r="AF24" s="819">
        <f t="shared" ca="1" si="5"/>
        <v>0</v>
      </c>
      <c r="AG24" s="308">
        <v>0</v>
      </c>
      <c r="AH24" s="308">
        <v>0</v>
      </c>
      <c r="AI24" s="308">
        <v>0</v>
      </c>
      <c r="AJ24" s="308">
        <f t="shared" ca="1" si="6"/>
        <v>0</v>
      </c>
      <c r="AK24" s="309">
        <v>0</v>
      </c>
      <c r="AL24" s="309">
        <v>0</v>
      </c>
      <c r="AM24" s="309">
        <f t="shared" si="19"/>
        <v>0</v>
      </c>
      <c r="AN24" s="310">
        <v>0</v>
      </c>
      <c r="AO24" s="310">
        <v>0</v>
      </c>
      <c r="AP24" s="310">
        <f t="shared" si="20"/>
        <v>0</v>
      </c>
      <c r="AQ24" s="309">
        <v>0</v>
      </c>
      <c r="AR24" s="311">
        <f t="shared" ca="1" si="7"/>
        <v>0</v>
      </c>
      <c r="AS24" s="870">
        <f t="shared" ca="1" si="21"/>
        <v>0</v>
      </c>
      <c r="AT24" s="822"/>
      <c r="AU24" s="878"/>
      <c r="AV24" s="35"/>
      <c r="AW24" s="879"/>
      <c r="AX24" s="35"/>
      <c r="AY24" s="880"/>
    </row>
    <row r="25" spans="1:51">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2"/>
        <v>0</v>
      </c>
      <c r="K25" s="307">
        <f t="shared" ca="1" si="10"/>
        <v>142251.35202157494</v>
      </c>
      <c r="L25" s="307">
        <f t="shared" si="11"/>
        <v>0</v>
      </c>
      <c r="M25" s="307">
        <v>0</v>
      </c>
      <c r="N25" s="307">
        <f t="shared" ca="1" si="12"/>
        <v>142251.35202157494</v>
      </c>
      <c r="O25" s="306">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0</v>
      </c>
      <c r="Y25" s="306">
        <v>0</v>
      </c>
      <c r="Z25" s="306">
        <v>0</v>
      </c>
      <c r="AA25" s="308">
        <f ca="1">-SUM(W25,X25/OFFSET(GridFootprintbyYear,$A25-$A$19,0)*EF_PurchElec_MTperMWh,Z25)*OFFSET(ExposureCalculations!Price_GHG_Allowance_2010,A25-$A$19,0)*ExposureCalculations!D22</f>
        <v>0</v>
      </c>
      <c r="AB25" s="308">
        <f t="shared" ca="1" si="3"/>
        <v>0</v>
      </c>
      <c r="AC25" s="308">
        <v>0</v>
      </c>
      <c r="AD25" s="819">
        <f t="shared" ca="1" si="4"/>
        <v>0</v>
      </c>
      <c r="AE25" s="308">
        <v>0</v>
      </c>
      <c r="AF25" s="819">
        <f t="shared" ca="1" si="5"/>
        <v>0</v>
      </c>
      <c r="AG25" s="308">
        <v>0</v>
      </c>
      <c r="AH25" s="308">
        <v>0</v>
      </c>
      <c r="AI25" s="308">
        <v>0</v>
      </c>
      <c r="AJ25" s="308">
        <f t="shared" ca="1" si="6"/>
        <v>0</v>
      </c>
      <c r="AK25" s="309">
        <v>0</v>
      </c>
      <c r="AL25" s="309">
        <v>0</v>
      </c>
      <c r="AM25" s="309">
        <f t="shared" si="19"/>
        <v>0</v>
      </c>
      <c r="AN25" s="310">
        <v>0</v>
      </c>
      <c r="AO25" s="310">
        <v>0</v>
      </c>
      <c r="AP25" s="310">
        <f t="shared" si="20"/>
        <v>0</v>
      </c>
      <c r="AQ25" s="309">
        <v>0</v>
      </c>
      <c r="AR25" s="311">
        <f t="shared" ca="1" si="7"/>
        <v>0</v>
      </c>
      <c r="AS25" s="870">
        <f t="shared" ca="1" si="21"/>
        <v>0</v>
      </c>
      <c r="AT25" s="822"/>
      <c r="AU25" s="898">
        <f>'Parabolic Trough SAM'!C2</f>
        <v>865657</v>
      </c>
      <c r="AV25" s="35" t="s">
        <v>947</v>
      </c>
      <c r="AW25" s="879"/>
      <c r="AX25" s="35"/>
      <c r="AY25" s="880"/>
    </row>
    <row r="26" spans="1:51">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2"/>
        <v>0</v>
      </c>
      <c r="K26" s="307">
        <f t="shared" ca="1" si="10"/>
        <v>143827.97762242699</v>
      </c>
      <c r="L26" s="307">
        <f t="shared" si="11"/>
        <v>0</v>
      </c>
      <c r="M26" s="307">
        <v>0</v>
      </c>
      <c r="N26" s="307">
        <f t="shared" ca="1" si="12"/>
        <v>143827.97762242699</v>
      </c>
      <c r="O26" s="306">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0</v>
      </c>
      <c r="Y26" s="306">
        <v>0</v>
      </c>
      <c r="Z26" s="306">
        <v>0</v>
      </c>
      <c r="AA26" s="308">
        <f ca="1">-SUM(W26,X26/OFFSET(GridFootprintbyYear,$A26-$A$19,0)*EF_PurchElec_MTperMWh,Z26)*OFFSET(ExposureCalculations!Price_GHG_Allowance_2010,A26-$A$19,0)*ExposureCalculations!D23</f>
        <v>0</v>
      </c>
      <c r="AB26" s="308">
        <f t="shared" ca="1" si="3"/>
        <v>0</v>
      </c>
      <c r="AC26" s="308">
        <v>0</v>
      </c>
      <c r="AD26" s="819">
        <f t="shared" ca="1" si="4"/>
        <v>0</v>
      </c>
      <c r="AE26" s="308">
        <v>0</v>
      </c>
      <c r="AF26" s="819">
        <f t="shared" ca="1" si="5"/>
        <v>0</v>
      </c>
      <c r="AG26" s="308">
        <v>0</v>
      </c>
      <c r="AH26" s="308">
        <v>0</v>
      </c>
      <c r="AI26" s="308">
        <v>0</v>
      </c>
      <c r="AJ26" s="308">
        <f t="shared" ca="1" si="6"/>
        <v>0</v>
      </c>
      <c r="AK26" s="309">
        <v>0</v>
      </c>
      <c r="AL26" s="309">
        <v>0</v>
      </c>
      <c r="AM26" s="309">
        <f t="shared" si="19"/>
        <v>0</v>
      </c>
      <c r="AN26" s="310">
        <v>0</v>
      </c>
      <c r="AO26" s="310">
        <v>0</v>
      </c>
      <c r="AP26" s="310">
        <f t="shared" si="20"/>
        <v>0</v>
      </c>
      <c r="AQ26" s="309">
        <v>0</v>
      </c>
      <c r="AR26" s="311">
        <f t="shared" ca="1" si="7"/>
        <v>0</v>
      </c>
      <c r="AS26" s="870">
        <f t="shared" ca="1" si="21"/>
        <v>0</v>
      </c>
      <c r="AT26" s="822"/>
      <c r="AU26" s="878"/>
      <c r="AV26" s="35"/>
      <c r="AW26" s="879"/>
      <c r="AX26" s="35"/>
      <c r="AY26" s="880"/>
    </row>
    <row r="27" spans="1:51">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2"/>
        <v>0</v>
      </c>
      <c r="K27" s="307">
        <f t="shared" ca="1" si="10"/>
        <v>145404.603223279</v>
      </c>
      <c r="L27" s="307">
        <f t="shared" si="11"/>
        <v>0</v>
      </c>
      <c r="M27" s="307">
        <v>0</v>
      </c>
      <c r="N27" s="307">
        <f t="shared" ca="1" si="12"/>
        <v>145404.603223279</v>
      </c>
      <c r="O27" s="306">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0</v>
      </c>
      <c r="Y27" s="306">
        <v>0</v>
      </c>
      <c r="Z27" s="306">
        <v>0</v>
      </c>
      <c r="AA27" s="308">
        <f ca="1">-SUM(W27,X27/OFFSET(GridFootprintbyYear,$A27-$A$19,0)*EF_PurchElec_MTperMWh,Z27)*OFFSET(ExposureCalculations!Price_GHG_Allowance_2010,A27-$A$19,0)*ExposureCalculations!D24</f>
        <v>0</v>
      </c>
      <c r="AB27" s="308">
        <f t="shared" ca="1" si="3"/>
        <v>0</v>
      </c>
      <c r="AC27" s="308">
        <v>0</v>
      </c>
      <c r="AD27" s="819">
        <f t="shared" ca="1" si="4"/>
        <v>0</v>
      </c>
      <c r="AE27" s="308">
        <v>0</v>
      </c>
      <c r="AF27" s="819">
        <f t="shared" ca="1" si="5"/>
        <v>0</v>
      </c>
      <c r="AG27" s="308">
        <v>0</v>
      </c>
      <c r="AH27" s="308">
        <v>0</v>
      </c>
      <c r="AI27" s="308">
        <v>0</v>
      </c>
      <c r="AJ27" s="308">
        <f t="shared" ca="1" si="6"/>
        <v>0</v>
      </c>
      <c r="AK27" s="309">
        <v>0</v>
      </c>
      <c r="AL27" s="309">
        <v>0</v>
      </c>
      <c r="AM27" s="309">
        <f t="shared" si="19"/>
        <v>0</v>
      </c>
      <c r="AN27" s="310">
        <v>0</v>
      </c>
      <c r="AO27" s="310">
        <v>0</v>
      </c>
      <c r="AP27" s="310">
        <f t="shared" si="20"/>
        <v>0</v>
      </c>
      <c r="AQ27" s="309">
        <v>0</v>
      </c>
      <c r="AR27" s="311">
        <f t="shared" ca="1" si="7"/>
        <v>0</v>
      </c>
      <c r="AS27" s="870">
        <f t="shared" ca="1" si="21"/>
        <v>0</v>
      </c>
      <c r="AT27" s="822"/>
      <c r="AU27" s="902">
        <f>'Parabolic Trough SAM'!B72</f>
        <v>7958650</v>
      </c>
      <c r="AV27" s="35" t="s">
        <v>802</v>
      </c>
      <c r="AW27" s="879"/>
      <c r="AX27" s="35"/>
      <c r="AY27" s="880"/>
    </row>
    <row r="28" spans="1:51">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2"/>
        <v>0</v>
      </c>
      <c r="K28" s="307">
        <f t="shared" ca="1" si="10"/>
        <v>146981.22882413102</v>
      </c>
      <c r="L28" s="307">
        <f t="shared" si="11"/>
        <v>0</v>
      </c>
      <c r="M28" s="307">
        <v>0</v>
      </c>
      <c r="N28" s="307">
        <f t="shared" ca="1" si="12"/>
        <v>146981.22882413102</v>
      </c>
      <c r="O28" s="306">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0</v>
      </c>
      <c r="Y28" s="306">
        <v>0</v>
      </c>
      <c r="Z28" s="306">
        <v>0</v>
      </c>
      <c r="AA28" s="308">
        <f ca="1">-SUM(W28,X28/OFFSET(GridFootprintbyYear,$A28-$A$19,0)*EF_PurchElec_MTperMWh,Z28)*OFFSET(ExposureCalculations!Price_GHG_Allowance_2010,A28-$A$19,0)*ExposureCalculations!D25</f>
        <v>0</v>
      </c>
      <c r="AB28" s="308">
        <f t="shared" ca="1" si="3"/>
        <v>0</v>
      </c>
      <c r="AC28" s="308">
        <v>0</v>
      </c>
      <c r="AD28" s="819">
        <f t="shared" ca="1" si="4"/>
        <v>0</v>
      </c>
      <c r="AE28" s="308">
        <v>0</v>
      </c>
      <c r="AF28" s="819">
        <f t="shared" ca="1" si="5"/>
        <v>0</v>
      </c>
      <c r="AG28" s="308">
        <v>0</v>
      </c>
      <c r="AH28" s="308">
        <v>0</v>
      </c>
      <c r="AI28" s="308">
        <v>0</v>
      </c>
      <c r="AJ28" s="308">
        <f t="shared" ca="1" si="6"/>
        <v>0</v>
      </c>
      <c r="AK28" s="309">
        <v>0</v>
      </c>
      <c r="AL28" s="309">
        <f>-AU27</f>
        <v>-7958650</v>
      </c>
      <c r="AM28" s="309">
        <f t="shared" si="19"/>
        <v>-7958650</v>
      </c>
      <c r="AN28" s="310">
        <v>0</v>
      </c>
      <c r="AO28" s="310">
        <v>0</v>
      </c>
      <c r="AP28" s="310">
        <f t="shared" si="20"/>
        <v>0</v>
      </c>
      <c r="AQ28" s="309">
        <v>0</v>
      </c>
      <c r="AR28" s="311">
        <f t="shared" ca="1" si="7"/>
        <v>-7958650</v>
      </c>
      <c r="AS28" s="870">
        <f t="shared" ca="1" si="21"/>
        <v>-7958650</v>
      </c>
      <c r="AT28" s="822"/>
      <c r="AU28" s="878"/>
      <c r="AV28" s="35"/>
      <c r="AW28" s="879"/>
      <c r="AX28" s="35"/>
      <c r="AY28" s="880"/>
    </row>
    <row r="29" spans="1:51">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2"/>
        <v>0</v>
      </c>
      <c r="K29" s="307">
        <f t="shared" ca="1" si="10"/>
        <v>148557.85442498306</v>
      </c>
      <c r="L29" s="307">
        <f t="shared" ca="1" si="11"/>
        <v>-865.65700000000004</v>
      </c>
      <c r="M29" s="307">
        <f ca="1">OFFSET('Parabolic Trough SAM'!$C$2,0,Parabolic!A29-Parabolic!$A$29)/1000</f>
        <v>865.65700000000004</v>
      </c>
      <c r="N29" s="307">
        <f t="shared" ca="1" si="12"/>
        <v>147692.19742498305</v>
      </c>
      <c r="O29" s="306">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-614.83870590410481</v>
      </c>
      <c r="Y29" s="306">
        <v>0</v>
      </c>
      <c r="Z29" s="306">
        <v>0</v>
      </c>
      <c r="AA29" s="308">
        <f ca="1">-SUM(W29,X29/OFFSET(GridFootprintbyYear,$A29-$A$19,0)*EF_PurchElec_MTperMWh,Z29)*OFFSET(ExposureCalculations!Price_GHG_Allowance_2010,A29-$A$19,0)*ExposureCalculations!D26</f>
        <v>11512.512947043007</v>
      </c>
      <c r="AB29" s="308">
        <f t="shared" ca="1" si="3"/>
        <v>77343.779128972834</v>
      </c>
      <c r="AC29" s="308">
        <v>0</v>
      </c>
      <c r="AD29" s="819">
        <f t="shared" ca="1" si="4"/>
        <v>0</v>
      </c>
      <c r="AE29" s="308">
        <v>0</v>
      </c>
      <c r="AF29" s="819">
        <f t="shared" ca="1" si="5"/>
        <v>0</v>
      </c>
      <c r="AG29" s="308">
        <v>0</v>
      </c>
      <c r="AH29" s="308">
        <v>0</v>
      </c>
      <c r="AI29" s="308">
        <v>0</v>
      </c>
      <c r="AJ29" s="308">
        <f t="shared" ca="1" si="6"/>
        <v>77343.779128972834</v>
      </c>
      <c r="AK29" s="309">
        <v>0</v>
      </c>
      <c r="AL29" s="309">
        <v>0</v>
      </c>
      <c r="AM29" s="309">
        <f t="shared" si="19"/>
        <v>0</v>
      </c>
      <c r="AN29" s="310">
        <v>0</v>
      </c>
      <c r="AO29" s="310">
        <f ca="1">-OFFSET('Parabolic Trough SAM'!$C$13,0,Parabolic!A29-Parabolic!$A$29)</f>
        <v>-104690.24000000001</v>
      </c>
      <c r="AP29" s="310">
        <f t="shared" ca="1" si="20"/>
        <v>-104690.24000000001</v>
      </c>
      <c r="AQ29" s="309">
        <v>0</v>
      </c>
      <c r="AR29" s="311">
        <f t="shared" ca="1" si="7"/>
        <v>-15833.94792398416</v>
      </c>
      <c r="AS29" s="870">
        <f t="shared" ca="1" si="21"/>
        <v>-7974483.9479239844</v>
      </c>
      <c r="AT29" s="822"/>
      <c r="AU29" s="900" t="s">
        <v>948</v>
      </c>
      <c r="AV29" s="35" t="s">
        <v>830</v>
      </c>
      <c r="AW29" s="879"/>
      <c r="AX29" s="35"/>
      <c r="AY29" s="880"/>
    </row>
    <row r="30" spans="1:51">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2"/>
        <v>0</v>
      </c>
      <c r="K30" s="307">
        <f t="shared" ca="1" si="10"/>
        <v>150134.48002583507</v>
      </c>
      <c r="L30" s="307">
        <f t="shared" ca="1" si="11"/>
        <v>-865.65700000000004</v>
      </c>
      <c r="M30" s="307">
        <f ca="1">OFFSET('Parabolic Trough SAM'!$C$2,0,Parabolic!A30-Parabolic!$A$29)/1000</f>
        <v>865.65700000000004</v>
      </c>
      <c r="N30" s="307">
        <f t="shared" ca="1" si="12"/>
        <v>149268.82302583507</v>
      </c>
      <c r="O30" s="306">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-614.83870590410481</v>
      </c>
      <c r="Y30" s="306">
        <v>0</v>
      </c>
      <c r="Z30" s="306">
        <v>0</v>
      </c>
      <c r="AA30" s="308">
        <f ca="1">-SUM(W30,X30/OFFSET(GridFootprintbyYear,$A30-$A$19,0)*EF_PurchElec_MTperMWh,Z30)*OFFSET(ExposureCalculations!Price_GHG_Allowance_2010,A30-$A$19,0)*ExposureCalculations!D27</f>
        <v>12823.685613120904</v>
      </c>
      <c r="AB30" s="308">
        <f t="shared" ca="1" si="3"/>
        <v>77730.4980246177</v>
      </c>
      <c r="AC30" s="308">
        <v>0</v>
      </c>
      <c r="AD30" s="819">
        <f t="shared" ca="1" si="4"/>
        <v>0</v>
      </c>
      <c r="AE30" s="308">
        <v>0</v>
      </c>
      <c r="AF30" s="819">
        <f t="shared" ca="1" si="5"/>
        <v>0</v>
      </c>
      <c r="AG30" s="308">
        <v>0</v>
      </c>
      <c r="AH30" s="308">
        <v>0</v>
      </c>
      <c r="AI30" s="308">
        <v>0</v>
      </c>
      <c r="AJ30" s="308">
        <f t="shared" ca="1" si="6"/>
        <v>77730.4980246177</v>
      </c>
      <c r="AK30" s="309">
        <v>0</v>
      </c>
      <c r="AL30" s="309">
        <v>0</v>
      </c>
      <c r="AM30" s="309">
        <f t="shared" si="19"/>
        <v>0</v>
      </c>
      <c r="AN30" s="310">
        <v>0</v>
      </c>
      <c r="AO30" s="310">
        <f ca="1">-OFFSET('Parabolic Trough SAM'!$C$13,0,Parabolic!A30-Parabolic!$A$29)</f>
        <v>-107307.5</v>
      </c>
      <c r="AP30" s="310">
        <f t="shared" ca="1" si="20"/>
        <v>-107307.5</v>
      </c>
      <c r="AQ30" s="309">
        <v>0</v>
      </c>
      <c r="AR30" s="311">
        <f t="shared" ca="1" si="7"/>
        <v>-16753.316362261394</v>
      </c>
      <c r="AS30" s="870">
        <f t="shared" ca="1" si="21"/>
        <v>-7991237.2642862462</v>
      </c>
      <c r="AT30" s="822"/>
      <c r="AU30" s="878"/>
      <c r="AV30" s="35"/>
      <c r="AW30" s="879"/>
      <c r="AX30" s="35"/>
      <c r="AY30" s="880"/>
    </row>
    <row r="31" spans="1:51">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2"/>
        <v>0</v>
      </c>
      <c r="K31" s="307">
        <f t="shared" ca="1" si="10"/>
        <v>151711.10562668712</v>
      </c>
      <c r="L31" s="307">
        <f t="shared" ca="1" si="11"/>
        <v>-865.65700000000004</v>
      </c>
      <c r="M31" s="307">
        <f ca="1">OFFSET('Parabolic Trough SAM'!$C$2,0,Parabolic!A31-Parabolic!$A$29)/1000</f>
        <v>865.65700000000004</v>
      </c>
      <c r="N31" s="307">
        <f t="shared" ca="1" si="12"/>
        <v>150845.44862668711</v>
      </c>
      <c r="O31" s="306">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-614.83870590410481</v>
      </c>
      <c r="Y31" s="306">
        <v>0</v>
      </c>
      <c r="Z31" s="306">
        <v>0</v>
      </c>
      <c r="AA31" s="308">
        <f ca="1">-SUM(W31,X31/OFFSET(GridFootprintbyYear,$A31-$A$19,0)*EF_PurchElec_MTperMWh,Z31)*OFFSET(ExposureCalculations!Price_GHG_Allowance_2010,A31-$A$19,0)*ExposureCalculations!D28</f>
        <v>14185.457269294731</v>
      </c>
      <c r="AB31" s="308">
        <f t="shared" ca="1" si="3"/>
        <v>78119.150514740759</v>
      </c>
      <c r="AC31" s="308">
        <v>0</v>
      </c>
      <c r="AD31" s="819">
        <f t="shared" ca="1" si="4"/>
        <v>0</v>
      </c>
      <c r="AE31" s="308">
        <v>0</v>
      </c>
      <c r="AF31" s="819">
        <f t="shared" ca="1" si="5"/>
        <v>0</v>
      </c>
      <c r="AG31" s="308">
        <v>0</v>
      </c>
      <c r="AH31" s="308">
        <v>0</v>
      </c>
      <c r="AI31" s="308">
        <v>0</v>
      </c>
      <c r="AJ31" s="308">
        <f t="shared" ca="1" si="6"/>
        <v>78119.150514740759</v>
      </c>
      <c r="AK31" s="309">
        <v>0</v>
      </c>
      <c r="AL31" s="309">
        <v>0</v>
      </c>
      <c r="AM31" s="309">
        <f t="shared" si="19"/>
        <v>0</v>
      </c>
      <c r="AN31" s="310">
        <v>0</v>
      </c>
      <c r="AO31" s="310">
        <f ca="1">-OFFSET('Parabolic Trough SAM'!$C$13,0,Parabolic!A31-Parabolic!$A$29)</f>
        <v>-109990.19</v>
      </c>
      <c r="AP31" s="310">
        <f t="shared" ca="1" si="20"/>
        <v>-109990.19</v>
      </c>
      <c r="AQ31" s="309">
        <v>0</v>
      </c>
      <c r="AR31" s="311">
        <f t="shared" ca="1" si="7"/>
        <v>-17685.582215964518</v>
      </c>
      <c r="AS31" s="870">
        <f t="shared" ca="1" si="21"/>
        <v>-8008922.8465022109</v>
      </c>
      <c r="AT31" s="822"/>
      <c r="AU31" s="878"/>
      <c r="AV31" s="35"/>
      <c r="AW31" s="879"/>
      <c r="AX31" s="35"/>
      <c r="AY31" s="880"/>
    </row>
    <row r="32" spans="1:51">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2"/>
        <v>0</v>
      </c>
      <c r="K32" s="307">
        <f t="shared" ca="1" si="10"/>
        <v>153287.73122753916</v>
      </c>
      <c r="L32" s="307">
        <f t="shared" ca="1" si="11"/>
        <v>-865.65700000000004</v>
      </c>
      <c r="M32" s="307">
        <f ca="1">OFFSET('Parabolic Trough SAM'!$C$2,0,Parabolic!A32-Parabolic!$A$29)/1000</f>
        <v>865.65700000000004</v>
      </c>
      <c r="N32" s="307">
        <f t="shared" ca="1" si="12"/>
        <v>152422.07422753915</v>
      </c>
      <c r="O32" s="306">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-614.83870590410481</v>
      </c>
      <c r="Y32" s="306">
        <v>0</v>
      </c>
      <c r="Z32" s="306">
        <v>0</v>
      </c>
      <c r="AA32" s="308">
        <f ca="1">-SUM(W32,X32/OFFSET(GridFootprintbyYear,$A32-$A$19,0)*EF_PurchElec_MTperMWh,Z32)*OFFSET(ExposureCalculations!Price_GHG_Allowance_2010,A32-$A$19,0)*ExposureCalculations!D29</f>
        <v>15595.787592758974</v>
      </c>
      <c r="AB32" s="308">
        <f t="shared" ca="1" si="3"/>
        <v>78509.746267314462</v>
      </c>
      <c r="AC32" s="308">
        <v>0</v>
      </c>
      <c r="AD32" s="819">
        <f t="shared" ca="1" si="4"/>
        <v>0</v>
      </c>
      <c r="AE32" s="308">
        <v>0</v>
      </c>
      <c r="AF32" s="819">
        <f t="shared" ca="1" si="5"/>
        <v>0</v>
      </c>
      <c r="AG32" s="308">
        <v>0</v>
      </c>
      <c r="AH32" s="308">
        <v>0</v>
      </c>
      <c r="AI32" s="308">
        <v>0</v>
      </c>
      <c r="AJ32" s="308">
        <f t="shared" ca="1" si="6"/>
        <v>78509.746267314462</v>
      </c>
      <c r="AK32" s="309">
        <v>0</v>
      </c>
      <c r="AL32" s="309">
        <v>0</v>
      </c>
      <c r="AM32" s="309">
        <f t="shared" si="19"/>
        <v>0</v>
      </c>
      <c r="AN32" s="310">
        <v>0</v>
      </c>
      <c r="AO32" s="310">
        <f ca="1">-OFFSET('Parabolic Trough SAM'!$C$13,0,Parabolic!A32-Parabolic!$A$29)</f>
        <v>-112739.94</v>
      </c>
      <c r="AP32" s="310">
        <f t="shared" ca="1" si="20"/>
        <v>-112739.94</v>
      </c>
      <c r="AQ32" s="309">
        <v>0</v>
      </c>
      <c r="AR32" s="311">
        <f t="shared" ca="1" si="7"/>
        <v>-18634.406139926563</v>
      </c>
      <c r="AS32" s="870">
        <f t="shared" ca="1" si="21"/>
        <v>-8027557.2526421379</v>
      </c>
      <c r="AT32" s="822"/>
      <c r="AU32" s="878"/>
      <c r="AV32" s="35"/>
      <c r="AW32" s="879"/>
      <c r="AX32" s="35"/>
      <c r="AY32" s="880"/>
    </row>
    <row r="33" spans="1:51">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2"/>
        <v>0</v>
      </c>
      <c r="K33" s="307">
        <f t="shared" ca="1" si="10"/>
        <v>154864.35682839117</v>
      </c>
      <c r="L33" s="307">
        <f t="shared" ca="1" si="11"/>
        <v>-865.65700000000004</v>
      </c>
      <c r="M33" s="307">
        <f ca="1">OFFSET('Parabolic Trough SAM'!$C$2,0,Parabolic!A33-Parabolic!$A$29)/1000</f>
        <v>865.65700000000004</v>
      </c>
      <c r="N33" s="307">
        <f t="shared" ca="1" si="12"/>
        <v>153998.69982839117</v>
      </c>
      <c r="O33" s="306">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-614.83870590410481</v>
      </c>
      <c r="Y33" s="306">
        <v>0</v>
      </c>
      <c r="Z33" s="306">
        <v>0</v>
      </c>
      <c r="AA33" s="308">
        <f ca="1">-SUM(W33,X33/OFFSET(GridFootprintbyYear,$A33-$A$19,0)*EF_PurchElec_MTperMWh,Z33)*OFFSET(ExposureCalculations!Price_GHG_Allowance_2010,A33-$A$19,0)*ExposureCalculations!D30</f>
        <v>17052.650338201795</v>
      </c>
      <c r="AB33" s="308">
        <f t="shared" ca="1" si="3"/>
        <v>78902.294998651021</v>
      </c>
      <c r="AC33" s="308">
        <v>0</v>
      </c>
      <c r="AD33" s="819">
        <f t="shared" ca="1" si="4"/>
        <v>0</v>
      </c>
      <c r="AE33" s="308">
        <v>0</v>
      </c>
      <c r="AF33" s="819">
        <f t="shared" ca="1" si="5"/>
        <v>0</v>
      </c>
      <c r="AG33" s="308">
        <v>0</v>
      </c>
      <c r="AH33" s="308">
        <v>0</v>
      </c>
      <c r="AI33" s="308">
        <v>0</v>
      </c>
      <c r="AJ33" s="308">
        <f t="shared" ca="1" si="6"/>
        <v>78902.294998651021</v>
      </c>
      <c r="AK33" s="309">
        <v>0</v>
      </c>
      <c r="AL33" s="309">
        <v>0</v>
      </c>
      <c r="AM33" s="309">
        <f t="shared" si="19"/>
        <v>0</v>
      </c>
      <c r="AN33" s="310">
        <v>0</v>
      </c>
      <c r="AO33" s="310">
        <f ca="1">-OFFSET('Parabolic Trough SAM'!$C$13,0,Parabolic!A33-Parabolic!$A$29)</f>
        <v>-115558.44</v>
      </c>
      <c r="AP33" s="310">
        <f t="shared" ca="1" si="20"/>
        <v>-115558.44</v>
      </c>
      <c r="AQ33" s="309">
        <v>0</v>
      </c>
      <c r="AR33" s="311">
        <f t="shared" ca="1" si="7"/>
        <v>-19603.494663147183</v>
      </c>
      <c r="AS33" s="870">
        <f t="shared" ca="1" si="21"/>
        <v>-8047160.7473052852</v>
      </c>
      <c r="AT33" s="822"/>
      <c r="AU33" s="878"/>
      <c r="AV33" s="35"/>
      <c r="AW33" s="879"/>
      <c r="AX33" s="35"/>
      <c r="AY33" s="880"/>
    </row>
    <row r="34" spans="1:51">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2"/>
        <v>0</v>
      </c>
      <c r="K34" s="307">
        <f t="shared" ca="1" si="10"/>
        <v>156440.98242924322</v>
      </c>
      <c r="L34" s="307">
        <f t="shared" ca="1" si="11"/>
        <v>-865.65700000000004</v>
      </c>
      <c r="M34" s="307">
        <f ca="1">OFFSET('Parabolic Trough SAM'!$C$2,0,Parabolic!A34-Parabolic!$A$29)/1000</f>
        <v>865.65700000000004</v>
      </c>
      <c r="N34" s="307">
        <f t="shared" ca="1" si="12"/>
        <v>155575.32542924321</v>
      </c>
      <c r="O34" s="306">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-614.83870590410481</v>
      </c>
      <c r="Y34" s="306">
        <v>0</v>
      </c>
      <c r="Z34" s="306">
        <v>0</v>
      </c>
      <c r="AA34" s="308">
        <f ca="1">-SUM(W34,X34/OFFSET(GridFootprintbyYear,$A34-$A$19,0)*EF_PurchElec_MTperMWh,Z34)*OFFSET(ExposureCalculations!Price_GHG_Allowance_2010,A34-$A$19,0)*ExposureCalculations!D31</f>
        <v>18554.033371743142</v>
      </c>
      <c r="AB34" s="308">
        <f t="shared" ca="1" si="3"/>
        <v>79296.806473644261</v>
      </c>
      <c r="AC34" s="308">
        <v>0</v>
      </c>
      <c r="AD34" s="819">
        <f t="shared" ca="1" si="4"/>
        <v>0</v>
      </c>
      <c r="AE34" s="308">
        <v>0</v>
      </c>
      <c r="AF34" s="819">
        <f t="shared" ca="1" si="5"/>
        <v>0</v>
      </c>
      <c r="AG34" s="308">
        <v>0</v>
      </c>
      <c r="AH34" s="308">
        <v>0</v>
      </c>
      <c r="AI34" s="308">
        <v>0</v>
      </c>
      <c r="AJ34" s="308">
        <f t="shared" ca="1" si="6"/>
        <v>79296.806473644261</v>
      </c>
      <c r="AK34" s="309">
        <v>0</v>
      </c>
      <c r="AL34" s="309">
        <v>0</v>
      </c>
      <c r="AM34" s="309">
        <f t="shared" si="19"/>
        <v>0</v>
      </c>
      <c r="AN34" s="310">
        <v>0</v>
      </c>
      <c r="AO34" s="310">
        <f ca="1">-OFFSET('Parabolic Trough SAM'!$C$13,0,Parabolic!A34-Parabolic!$A$29)</f>
        <v>-118447.4</v>
      </c>
      <c r="AP34" s="310">
        <f t="shared" ca="1" si="20"/>
        <v>-118447.4</v>
      </c>
      <c r="AQ34" s="309">
        <v>0</v>
      </c>
      <c r="AR34" s="311">
        <f t="shared" ca="1" si="7"/>
        <v>-20596.560154612584</v>
      </c>
      <c r="AS34" s="870">
        <f t="shared" ca="1" si="21"/>
        <v>-8067757.3074598974</v>
      </c>
      <c r="AT34" s="822"/>
      <c r="AU34" s="878"/>
      <c r="AV34" s="35"/>
      <c r="AW34" s="879"/>
      <c r="AX34" s="35"/>
      <c r="AY34" s="880"/>
    </row>
    <row r="35" spans="1:51">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2"/>
        <v>0</v>
      </c>
      <c r="K35" s="307">
        <f t="shared" ca="1" si="10"/>
        <v>158017.60803009526</v>
      </c>
      <c r="L35" s="307">
        <f t="shared" ca="1" si="11"/>
        <v>-865.65700000000004</v>
      </c>
      <c r="M35" s="307">
        <f ca="1">OFFSET('Parabolic Trough SAM'!$C$2,0,Parabolic!A35-Parabolic!$A$29)/1000</f>
        <v>865.65700000000004</v>
      </c>
      <c r="N35" s="307">
        <f t="shared" ca="1" si="12"/>
        <v>157151.95103009525</v>
      </c>
      <c r="O35" s="306">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-614.83870590410481</v>
      </c>
      <c r="Y35" s="306">
        <v>0</v>
      </c>
      <c r="Z35" s="306">
        <v>0</v>
      </c>
      <c r="AA35" s="308">
        <f ca="1">-SUM(W35,X35/OFFSET(GridFootprintbyYear,$A35-$A$19,0)*EF_PurchElec_MTperMWh,Z35)*OFFSET(ExposureCalculations!Price_GHG_Allowance_2010,A35-$A$19,0)*ExposureCalculations!D32</f>
        <v>20251.229464961663</v>
      </c>
      <c r="AB35" s="308">
        <f t="shared" ca="1" si="3"/>
        <v>79693.290506012476</v>
      </c>
      <c r="AC35" s="308">
        <v>0</v>
      </c>
      <c r="AD35" s="819">
        <f t="shared" ca="1" si="4"/>
        <v>0</v>
      </c>
      <c r="AE35" s="308">
        <v>0</v>
      </c>
      <c r="AF35" s="819">
        <f t="shared" ca="1" si="5"/>
        <v>0</v>
      </c>
      <c r="AG35" s="308">
        <v>0</v>
      </c>
      <c r="AH35" s="308">
        <v>0</v>
      </c>
      <c r="AI35" s="308">
        <v>0</v>
      </c>
      <c r="AJ35" s="308">
        <f t="shared" ca="1" si="6"/>
        <v>79693.290506012476</v>
      </c>
      <c r="AK35" s="309">
        <v>0</v>
      </c>
      <c r="AL35" s="309">
        <v>0</v>
      </c>
      <c r="AM35" s="309">
        <f t="shared" si="19"/>
        <v>0</v>
      </c>
      <c r="AN35" s="310">
        <v>0</v>
      </c>
      <c r="AO35" s="310">
        <f ca="1">-OFFSET('Parabolic Trough SAM'!$C$13,0,Parabolic!A35-Parabolic!$A$29)</f>
        <v>-121408.59</v>
      </c>
      <c r="AP35" s="310">
        <f t="shared" ca="1" si="20"/>
        <v>-121408.59</v>
      </c>
      <c r="AQ35" s="309">
        <v>0</v>
      </c>
      <c r="AR35" s="311">
        <f t="shared" ca="1" si="7"/>
        <v>-21464.070029025854</v>
      </c>
      <c r="AS35" s="870">
        <f t="shared" ca="1" si="21"/>
        <v>-8089221.3774889233</v>
      </c>
      <c r="AT35" s="822"/>
      <c r="AU35" s="878"/>
      <c r="AV35" s="35"/>
      <c r="AW35" s="879"/>
      <c r="AX35" s="35"/>
      <c r="AY35" s="880"/>
    </row>
    <row r="36" spans="1:51">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2"/>
        <v>0</v>
      </c>
      <c r="K36" s="307">
        <f t="shared" ca="1" si="10"/>
        <v>159594.23363094722</v>
      </c>
      <c r="L36" s="307">
        <f t="shared" ca="1" si="11"/>
        <v>-865.65700000000004</v>
      </c>
      <c r="M36" s="307">
        <f ca="1">OFFSET('Parabolic Trough SAM'!$C$2,0,Parabolic!A36-Parabolic!$A$29)/1000</f>
        <v>865.65700000000004</v>
      </c>
      <c r="N36" s="307">
        <f t="shared" ca="1" si="12"/>
        <v>158728.57663094721</v>
      </c>
      <c r="O36" s="306">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-614.83870590410481</v>
      </c>
      <c r="Y36" s="306">
        <v>0</v>
      </c>
      <c r="Z36" s="306">
        <v>0</v>
      </c>
      <c r="AA36" s="308">
        <f ca="1">-SUM(W36,X36/OFFSET(GridFootprintbyYear,$A36-$A$19,0)*EF_PurchElec_MTperMWh,Z36)*OFFSET(ExposureCalculations!Price_GHG_Allowance_2010,A36-$A$19,0)*ExposureCalculations!D33</f>
        <v>22001.117300303671</v>
      </c>
      <c r="AB36" s="308">
        <f t="shared" ca="1" si="3"/>
        <v>80091.756958542523</v>
      </c>
      <c r="AC36" s="308">
        <v>0</v>
      </c>
      <c r="AD36" s="819">
        <f t="shared" ca="1" si="4"/>
        <v>0</v>
      </c>
      <c r="AE36" s="308">
        <v>0</v>
      </c>
      <c r="AF36" s="819">
        <f t="shared" ca="1" si="5"/>
        <v>0</v>
      </c>
      <c r="AG36" s="308">
        <v>0</v>
      </c>
      <c r="AH36" s="308">
        <v>0</v>
      </c>
      <c r="AI36" s="308">
        <v>0</v>
      </c>
      <c r="AJ36" s="308">
        <f t="shared" ca="1" si="6"/>
        <v>80091.756958542523</v>
      </c>
      <c r="AK36" s="309">
        <v>0</v>
      </c>
      <c r="AL36" s="309">
        <v>0</v>
      </c>
      <c r="AM36" s="309">
        <f t="shared" si="19"/>
        <v>0</v>
      </c>
      <c r="AN36" s="310">
        <v>0</v>
      </c>
      <c r="AO36" s="310">
        <f ca="1">-OFFSET('Parabolic Trough SAM'!$C$13,0,Parabolic!A36-Parabolic!$A$29)</f>
        <v>-124443.8</v>
      </c>
      <c r="AP36" s="310">
        <f t="shared" ca="1" si="20"/>
        <v>-124443.8</v>
      </c>
      <c r="AQ36" s="309">
        <v>0</v>
      </c>
      <c r="AR36" s="311">
        <f t="shared" ca="1" si="7"/>
        <v>-22350.925741153813</v>
      </c>
      <c r="AS36" s="870">
        <f t="shared" ca="1" si="21"/>
        <v>-8111572.303230077</v>
      </c>
      <c r="AT36" s="822"/>
      <c r="AU36" s="878"/>
      <c r="AV36" s="35"/>
      <c r="AW36" s="879"/>
      <c r="AX36" s="35"/>
      <c r="AY36" s="880"/>
    </row>
    <row r="37" spans="1:51">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2"/>
        <v>0</v>
      </c>
      <c r="K37" s="307">
        <f t="shared" ca="1" si="10"/>
        <v>161170.85923179929</v>
      </c>
      <c r="L37" s="307">
        <f t="shared" ca="1" si="11"/>
        <v>-865.65700000000004</v>
      </c>
      <c r="M37" s="307">
        <f ca="1">OFFSET('Parabolic Trough SAM'!$C$2,0,Parabolic!A37-Parabolic!$A$29)/1000</f>
        <v>865.65700000000004</v>
      </c>
      <c r="N37" s="307">
        <f t="shared" ca="1" si="12"/>
        <v>160305.20223179928</v>
      </c>
      <c r="O37" s="306">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-614.83870590410481</v>
      </c>
      <c r="Y37" s="306">
        <v>0</v>
      </c>
      <c r="Z37" s="306">
        <v>0</v>
      </c>
      <c r="AA37" s="308">
        <f ca="1">-SUM(W37,X37/OFFSET(GridFootprintbyYear,$A37-$A$19,0)*EF_PurchElec_MTperMWh,Z37)*OFFSET(ExposureCalculations!Price_GHG_Allowance_2010,A37-$A$19,0)*ExposureCalculations!D34</f>
        <v>23801.138713976703</v>
      </c>
      <c r="AB37" s="308">
        <f t="shared" ca="1" si="3"/>
        <v>80492.215743335211</v>
      </c>
      <c r="AC37" s="308">
        <v>0</v>
      </c>
      <c r="AD37" s="819">
        <f t="shared" ca="1" si="4"/>
        <v>0</v>
      </c>
      <c r="AE37" s="308">
        <v>0</v>
      </c>
      <c r="AF37" s="819">
        <f t="shared" ca="1" si="5"/>
        <v>0</v>
      </c>
      <c r="AG37" s="308">
        <v>0</v>
      </c>
      <c r="AH37" s="308">
        <v>0</v>
      </c>
      <c r="AI37" s="308">
        <v>0</v>
      </c>
      <c r="AJ37" s="308">
        <f t="shared" ca="1" si="6"/>
        <v>80492.215743335211</v>
      </c>
      <c r="AK37" s="309">
        <v>0</v>
      </c>
      <c r="AL37" s="309">
        <v>0</v>
      </c>
      <c r="AM37" s="309">
        <f t="shared" si="19"/>
        <v>0</v>
      </c>
      <c r="AN37" s="310">
        <v>0</v>
      </c>
      <c r="AO37" s="310">
        <f ca="1">-OFFSET('Parabolic Trough SAM'!$C$13,0,Parabolic!A37-Parabolic!$A$29)</f>
        <v>-127554.9</v>
      </c>
      <c r="AP37" s="310">
        <f t="shared" ca="1" si="20"/>
        <v>-127554.9</v>
      </c>
      <c r="AQ37" s="309">
        <v>0</v>
      </c>
      <c r="AR37" s="311">
        <f t="shared" ca="1" si="7"/>
        <v>-23261.54554268808</v>
      </c>
      <c r="AS37" s="870">
        <f t="shared" ca="1" si="21"/>
        <v>-8134833.8487727651</v>
      </c>
      <c r="AT37" s="822"/>
      <c r="AU37" s="878"/>
      <c r="AV37" s="35"/>
      <c r="AW37" s="879"/>
      <c r="AX37" s="35"/>
      <c r="AY37" s="880"/>
    </row>
    <row r="38" spans="1:51">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2"/>
        <v>0</v>
      </c>
      <c r="K38" s="307">
        <f t="shared" ca="1" si="10"/>
        <v>162747.48483265133</v>
      </c>
      <c r="L38" s="307">
        <f t="shared" ca="1" si="11"/>
        <v>-865.65700000000004</v>
      </c>
      <c r="M38" s="307">
        <f ca="1">OFFSET('Parabolic Trough SAM'!$C$2,0,Parabolic!A38-Parabolic!$A$29)/1000</f>
        <v>865.65700000000004</v>
      </c>
      <c r="N38" s="307">
        <f t="shared" ca="1" si="12"/>
        <v>161881.82783265132</v>
      </c>
      <c r="O38" s="306">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-614.83870590410481</v>
      </c>
      <c r="Y38" s="306">
        <v>0</v>
      </c>
      <c r="Z38" s="306">
        <v>0</v>
      </c>
      <c r="AA38" s="308">
        <f ca="1">-SUM(W38,X38/OFFSET(GridFootprintbyYear,$A38-$A$19,0)*EF_PurchElec_MTperMWh,Z38)*OFFSET(ExposureCalculations!Price_GHG_Allowance_2010,A38-$A$19,0)*ExposureCalculations!D35</f>
        <v>25648.749264215119</v>
      </c>
      <c r="AB38" s="308">
        <f t="shared" ca="1" si="3"/>
        <v>80894.676822051886</v>
      </c>
      <c r="AC38" s="308">
        <v>0</v>
      </c>
      <c r="AD38" s="819">
        <f t="shared" ca="1" si="4"/>
        <v>0</v>
      </c>
      <c r="AE38" s="308">
        <v>0</v>
      </c>
      <c r="AF38" s="819">
        <f t="shared" ca="1" si="5"/>
        <v>0</v>
      </c>
      <c r="AG38" s="308">
        <v>0</v>
      </c>
      <c r="AH38" s="308">
        <v>0</v>
      </c>
      <c r="AI38" s="308">
        <v>0</v>
      </c>
      <c r="AJ38" s="308">
        <f t="shared" ca="1" si="6"/>
        <v>80894.676822051886</v>
      </c>
      <c r="AK38" s="309">
        <v>0</v>
      </c>
      <c r="AL38" s="309">
        <v>0</v>
      </c>
      <c r="AM38" s="309">
        <f t="shared" si="19"/>
        <v>0</v>
      </c>
      <c r="AN38" s="310">
        <v>0</v>
      </c>
      <c r="AO38" s="310">
        <f ca="1">-OFFSET('Parabolic Trough SAM'!$C$13,0,Parabolic!A38-Parabolic!$A$29)</f>
        <v>-130743.77</v>
      </c>
      <c r="AP38" s="310">
        <f t="shared" ca="1" si="20"/>
        <v>-130743.77</v>
      </c>
      <c r="AQ38" s="309">
        <v>0</v>
      </c>
      <c r="AR38" s="311">
        <f t="shared" ca="1" si="7"/>
        <v>-24200.343913732999</v>
      </c>
      <c r="AS38" s="870">
        <f t="shared" ca="1" si="21"/>
        <v>-8159034.1926864982</v>
      </c>
      <c r="AT38" s="822"/>
      <c r="AU38" s="878"/>
      <c r="AV38" s="35"/>
      <c r="AW38" s="879"/>
      <c r="AX38" s="35"/>
      <c r="AY38" s="880"/>
    </row>
    <row r="39" spans="1:51">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2"/>
        <v>0</v>
      </c>
      <c r="K39" s="307">
        <f t="shared" ca="1" si="10"/>
        <v>164324.11043350337</v>
      </c>
      <c r="L39" s="307">
        <f t="shared" ca="1" si="11"/>
        <v>-865.65700000000004</v>
      </c>
      <c r="M39" s="307">
        <f ca="1">OFFSET('Parabolic Trough SAM'!$C$2,0,Parabolic!A39-Parabolic!$A$29)/1000</f>
        <v>865.65700000000004</v>
      </c>
      <c r="N39" s="307">
        <f t="shared" ca="1" si="12"/>
        <v>163458.45343350337</v>
      </c>
      <c r="O39" s="306">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-614.83870590410481</v>
      </c>
      <c r="Y39" s="306">
        <v>0</v>
      </c>
      <c r="Z39" s="306">
        <v>0</v>
      </c>
      <c r="AA39" s="308">
        <f ca="1">-SUM(W39,X39/OFFSET(GridFootprintbyYear,$A39-$A$19,0)*EF_PurchElec_MTperMWh,Z39)*OFFSET(ExposureCalculations!Price_GHG_Allowance_2010,A39-$A$19,0)*ExposureCalculations!D36</f>
        <v>27541.41797139317</v>
      </c>
      <c r="AB39" s="308">
        <f t="shared" ca="1" si="3"/>
        <v>81299.150206162129</v>
      </c>
      <c r="AC39" s="308">
        <v>0</v>
      </c>
      <c r="AD39" s="819">
        <f t="shared" ca="1" si="4"/>
        <v>0</v>
      </c>
      <c r="AE39" s="308">
        <v>0</v>
      </c>
      <c r="AF39" s="819">
        <f t="shared" ca="1" si="5"/>
        <v>0</v>
      </c>
      <c r="AG39" s="308">
        <v>0</v>
      </c>
      <c r="AH39" s="308">
        <v>0</v>
      </c>
      <c r="AI39" s="308">
        <v>0</v>
      </c>
      <c r="AJ39" s="308">
        <f t="shared" ca="1" si="6"/>
        <v>81299.150206162129</v>
      </c>
      <c r="AK39" s="309">
        <v>0</v>
      </c>
      <c r="AL39" s="309">
        <v>0</v>
      </c>
      <c r="AM39" s="309">
        <f t="shared" si="19"/>
        <v>0</v>
      </c>
      <c r="AN39" s="310">
        <v>0</v>
      </c>
      <c r="AO39" s="310">
        <f ca="1">-OFFSET('Parabolic Trough SAM'!$C$13,0,Parabolic!A39-Parabolic!$A$29)</f>
        <v>-134012.35999999999</v>
      </c>
      <c r="AP39" s="310">
        <f t="shared" ca="1" si="20"/>
        <v>-134012.35999999999</v>
      </c>
      <c r="AQ39" s="309">
        <v>0</v>
      </c>
      <c r="AR39" s="311">
        <f t="shared" ca="1" si="7"/>
        <v>-25171.791822444691</v>
      </c>
      <c r="AS39" s="870">
        <f t="shared" ca="1" si="21"/>
        <v>-8184205.9845089428</v>
      </c>
      <c r="AT39" s="822"/>
      <c r="AU39" s="878"/>
      <c r="AV39" s="35"/>
      <c r="AW39" s="879"/>
      <c r="AX39" s="35"/>
      <c r="AY39" s="880"/>
    </row>
    <row r="40" spans="1:51">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2"/>
        <v>0</v>
      </c>
      <c r="K40" s="307">
        <f t="shared" ca="1" si="10"/>
        <v>165900.73603435536</v>
      </c>
      <c r="L40" s="307">
        <f t="shared" ca="1" si="11"/>
        <v>-865.65700000000004</v>
      </c>
      <c r="M40" s="307">
        <f ca="1">OFFSET('Parabolic Trough SAM'!$C$2,0,Parabolic!A40-Parabolic!$A$29)/1000</f>
        <v>865.65700000000004</v>
      </c>
      <c r="N40" s="307">
        <f t="shared" ca="1" si="12"/>
        <v>165035.07903435535</v>
      </c>
      <c r="O40" s="306">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-614.83870590410481</v>
      </c>
      <c r="Y40" s="306">
        <v>0</v>
      </c>
      <c r="Z40" s="306">
        <v>0</v>
      </c>
      <c r="AA40" s="308">
        <f ca="1">-SUM(W40,X40/OFFSET(GridFootprintbyYear,$A40-$A$19,0)*EF_PurchElec_MTperMWh,Z40)*OFFSET(ExposureCalculations!Price_GHG_Allowance_2010,A40-$A$19,0)*ExposureCalculations!D37</f>
        <v>29708.705595595802</v>
      </c>
      <c r="AB40" s="308">
        <f t="shared" ca="1" si="3"/>
        <v>81705.645957192915</v>
      </c>
      <c r="AC40" s="308">
        <v>0</v>
      </c>
      <c r="AD40" s="819">
        <f t="shared" ca="1" si="4"/>
        <v>0</v>
      </c>
      <c r="AE40" s="308">
        <v>0</v>
      </c>
      <c r="AF40" s="819">
        <f t="shared" ca="1" si="5"/>
        <v>0</v>
      </c>
      <c r="AG40" s="308">
        <v>0</v>
      </c>
      <c r="AH40" s="308">
        <v>0</v>
      </c>
      <c r="AI40" s="308">
        <v>0</v>
      </c>
      <c r="AJ40" s="308">
        <f t="shared" ca="1" si="6"/>
        <v>81705.645957192915</v>
      </c>
      <c r="AK40" s="309">
        <v>0</v>
      </c>
      <c r="AL40" s="309">
        <v>0</v>
      </c>
      <c r="AM40" s="309">
        <f t="shared" si="19"/>
        <v>0</v>
      </c>
      <c r="AN40" s="310">
        <v>0</v>
      </c>
      <c r="AO40" s="310">
        <f ca="1">-OFFSET('Parabolic Trough SAM'!$C$13,0,Parabolic!A40-Parabolic!$A$29)</f>
        <v>-137362.67000000001</v>
      </c>
      <c r="AP40" s="310">
        <f t="shared" ca="1" si="20"/>
        <v>-137362.67000000001</v>
      </c>
      <c r="AQ40" s="309">
        <v>0</v>
      </c>
      <c r="AR40" s="311">
        <f t="shared" ca="1" si="7"/>
        <v>-25948.318447211292</v>
      </c>
      <c r="AS40" s="870">
        <f t="shared" ca="1" si="21"/>
        <v>-8210154.3029561546</v>
      </c>
      <c r="AT40" s="822"/>
      <c r="AU40" s="878"/>
      <c r="AV40" s="35"/>
      <c r="AW40" s="879"/>
      <c r="AX40" s="35"/>
      <c r="AY40" s="880"/>
    </row>
    <row r="41" spans="1:51">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2"/>
        <v>0</v>
      </c>
      <c r="K41" s="307">
        <f t="shared" ca="1" si="10"/>
        <v>167477.3616352074</v>
      </c>
      <c r="L41" s="307">
        <f t="shared" ca="1" si="11"/>
        <v>-865.65700000000004</v>
      </c>
      <c r="M41" s="307">
        <f ca="1">OFFSET('Parabolic Trough SAM'!$C$2,0,Parabolic!A41-Parabolic!$A$29)/1000</f>
        <v>865.65700000000004</v>
      </c>
      <c r="N41" s="307">
        <f t="shared" ca="1" si="12"/>
        <v>166611.7046352074</v>
      </c>
      <c r="O41" s="306">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-614.83870590410481</v>
      </c>
      <c r="Y41" s="306">
        <v>0</v>
      </c>
      <c r="Z41" s="306">
        <v>0</v>
      </c>
      <c r="AA41" s="308">
        <f ca="1">-SUM(W41,X41/OFFSET(GridFootprintbyYear,$A41-$A$19,0)*EF_PurchElec_MTperMWh,Z41)*OFFSET(ExposureCalculations!Price_GHG_Allowance_2010,A41-$A$19,0)*ExposureCalculations!D38</f>
        <v>31929.046792876048</v>
      </c>
      <c r="AB41" s="308">
        <f t="shared" ca="1" si="3"/>
        <v>82114.174186978882</v>
      </c>
      <c r="AC41" s="308">
        <v>0</v>
      </c>
      <c r="AD41" s="819">
        <f t="shared" ca="1" si="4"/>
        <v>0</v>
      </c>
      <c r="AE41" s="308">
        <v>0</v>
      </c>
      <c r="AF41" s="819">
        <f t="shared" ca="1" si="5"/>
        <v>0</v>
      </c>
      <c r="AG41" s="308">
        <v>0</v>
      </c>
      <c r="AH41" s="308">
        <v>0</v>
      </c>
      <c r="AI41" s="308">
        <v>0</v>
      </c>
      <c r="AJ41" s="308">
        <f t="shared" ca="1" si="6"/>
        <v>82114.174186978882</v>
      </c>
      <c r="AK41" s="309">
        <v>0</v>
      </c>
      <c r="AL41" s="309">
        <v>0</v>
      </c>
      <c r="AM41" s="309">
        <f t="shared" si="19"/>
        <v>0</v>
      </c>
      <c r="AN41" s="310">
        <v>0</v>
      </c>
      <c r="AO41" s="310">
        <f ca="1">-OFFSET('Parabolic Trough SAM'!$C$13,0,Parabolic!A41-Parabolic!$A$29)</f>
        <v>-140796.74</v>
      </c>
      <c r="AP41" s="310">
        <f t="shared" ca="1" si="20"/>
        <v>-140796.74</v>
      </c>
      <c r="AQ41" s="309">
        <v>0</v>
      </c>
      <c r="AR41" s="311">
        <f t="shared" ca="1" si="7"/>
        <v>-26753.51902014506</v>
      </c>
      <c r="AS41" s="870">
        <f t="shared" ca="1" si="21"/>
        <v>-8236907.8219762994</v>
      </c>
      <c r="AT41" s="822"/>
      <c r="AU41" s="878"/>
      <c r="AV41" s="35"/>
      <c r="AW41" s="879"/>
      <c r="AX41" s="35"/>
      <c r="AY41" s="880"/>
    </row>
    <row r="42" spans="1:51">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2"/>
        <v>0</v>
      </c>
      <c r="K42" s="307">
        <f t="shared" ca="1" si="10"/>
        <v>169053.98723605942</v>
      </c>
      <c r="L42" s="307">
        <f t="shared" ca="1" si="11"/>
        <v>-865.65700000000004</v>
      </c>
      <c r="M42" s="307">
        <f ca="1">OFFSET('Parabolic Trough SAM'!$C$2,0,Parabolic!A42-Parabolic!$A$29)/1000</f>
        <v>865.65700000000004</v>
      </c>
      <c r="N42" s="307">
        <f t="shared" ca="1" si="12"/>
        <v>168188.33023605941</v>
      </c>
      <c r="O42" s="306">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-614.83870590410481</v>
      </c>
      <c r="Y42" s="306">
        <v>0</v>
      </c>
      <c r="Z42" s="306">
        <v>0</v>
      </c>
      <c r="AA42" s="308">
        <f ca="1">-SUM(W42,X42/OFFSET(GridFootprintbyYear,$A42-$A$19,0)*EF_PurchElec_MTperMWh,Z42)*OFFSET(ExposureCalculations!Price_GHG_Allowance_2010,A42-$A$19,0)*ExposureCalculations!D39</f>
        <v>33919.449474466164</v>
      </c>
      <c r="AB42" s="308">
        <f t="shared" ca="1" si="3"/>
        <v>82524.745057913751</v>
      </c>
      <c r="AC42" s="308">
        <v>0</v>
      </c>
      <c r="AD42" s="819">
        <f t="shared" ca="1" si="4"/>
        <v>0</v>
      </c>
      <c r="AE42" s="308">
        <v>0</v>
      </c>
      <c r="AF42" s="819">
        <f t="shared" ca="1" si="5"/>
        <v>0</v>
      </c>
      <c r="AG42" s="308">
        <v>0</v>
      </c>
      <c r="AH42" s="308">
        <v>0</v>
      </c>
      <c r="AI42" s="308">
        <v>0</v>
      </c>
      <c r="AJ42" s="308">
        <f t="shared" ca="1" si="6"/>
        <v>82524.745057913751</v>
      </c>
      <c r="AK42" s="309">
        <v>0</v>
      </c>
      <c r="AL42" s="309">
        <v>0</v>
      </c>
      <c r="AM42" s="309">
        <f t="shared" si="19"/>
        <v>0</v>
      </c>
      <c r="AN42" s="310">
        <v>0</v>
      </c>
      <c r="AO42" s="310">
        <f ca="1">-OFFSET('Parabolic Trough SAM'!$C$13,0,Parabolic!A42-Parabolic!$A$29)</f>
        <v>-144316.66</v>
      </c>
      <c r="AP42" s="310">
        <f t="shared" ca="1" si="20"/>
        <v>-144316.66</v>
      </c>
      <c r="AQ42" s="309">
        <v>0</v>
      </c>
      <c r="AR42" s="311">
        <f t="shared" ca="1" si="7"/>
        <v>-27872.465467620088</v>
      </c>
      <c r="AS42" s="870">
        <f t="shared" ca="1" si="21"/>
        <v>-8264780.2874439191</v>
      </c>
      <c r="AT42" s="822"/>
      <c r="AU42" s="878"/>
      <c r="AV42" s="35"/>
      <c r="AW42" s="879"/>
      <c r="AX42" s="35"/>
      <c r="AY42" s="880"/>
    </row>
    <row r="43" spans="1:51">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2"/>
        <v>0</v>
      </c>
      <c r="K43" s="307">
        <f t="shared" ca="1" si="10"/>
        <v>170630.61283691146</v>
      </c>
      <c r="L43" s="307">
        <f t="shared" ca="1" si="11"/>
        <v>-865.65700000000004</v>
      </c>
      <c r="M43" s="307">
        <f ca="1">OFFSET('Parabolic Trough SAM'!$C$2,0,Parabolic!A43-Parabolic!$A$29)/1000</f>
        <v>865.65700000000004</v>
      </c>
      <c r="N43" s="307">
        <f t="shared" ca="1" si="12"/>
        <v>169764.95583691145</v>
      </c>
      <c r="O43" s="306">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-614.83870590410481</v>
      </c>
      <c r="Y43" s="306">
        <v>0</v>
      </c>
      <c r="Z43" s="306">
        <v>0</v>
      </c>
      <c r="AA43" s="308">
        <f ca="1">-SUM(W43,X43/OFFSET(GridFootprintbyYear,$A43-$A$19,0)*EF_PurchElec_MTperMWh,Z43)*OFFSET(ExposureCalculations!Price_GHG_Allowance_2010,A43-$A$19,0)*ExposureCalculations!D40</f>
        <v>35668.624581425785</v>
      </c>
      <c r="AB43" s="308">
        <f t="shared" ca="1" si="3"/>
        <v>82937.368783203332</v>
      </c>
      <c r="AC43" s="308">
        <v>0</v>
      </c>
      <c r="AD43" s="819">
        <f t="shared" ca="1" si="4"/>
        <v>0</v>
      </c>
      <c r="AE43" s="308">
        <v>0</v>
      </c>
      <c r="AF43" s="819">
        <f t="shared" ca="1" si="5"/>
        <v>0</v>
      </c>
      <c r="AG43" s="308">
        <v>0</v>
      </c>
      <c r="AH43" s="308">
        <v>0</v>
      </c>
      <c r="AI43" s="308">
        <v>0</v>
      </c>
      <c r="AJ43" s="308">
        <f t="shared" ca="1" si="6"/>
        <v>82937.368783203332</v>
      </c>
      <c r="AK43" s="309">
        <v>0</v>
      </c>
      <c r="AL43" s="309">
        <v>0</v>
      </c>
      <c r="AM43" s="309">
        <f t="shared" si="19"/>
        <v>0</v>
      </c>
      <c r="AN43" s="310">
        <v>0</v>
      </c>
      <c r="AO43" s="310">
        <f ca="1">-OFFSET('Parabolic Trough SAM'!$C$13,0,Parabolic!A43-Parabolic!$A$29)</f>
        <v>-147924.57</v>
      </c>
      <c r="AP43" s="310">
        <f t="shared" ca="1" si="20"/>
        <v>-147924.57</v>
      </c>
      <c r="AQ43" s="309">
        <v>0</v>
      </c>
      <c r="AR43" s="311">
        <f t="shared" ca="1" si="7"/>
        <v>-29318.57663537089</v>
      </c>
      <c r="AS43" s="870">
        <f t="shared" ca="1" si="21"/>
        <v>-8294098.8640792901</v>
      </c>
      <c r="AT43" s="822"/>
      <c r="AU43" s="878"/>
      <c r="AV43" s="35"/>
      <c r="AW43" s="879"/>
      <c r="AX43" s="35"/>
      <c r="AY43" s="880"/>
    </row>
    <row r="44" spans="1:51">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2"/>
        <v>0</v>
      </c>
      <c r="K44" s="307">
        <f t="shared" ca="1" si="10"/>
        <v>172207.23843776347</v>
      </c>
      <c r="L44" s="307">
        <f t="shared" ca="1" si="11"/>
        <v>-865.65700000000004</v>
      </c>
      <c r="M44" s="307">
        <f ca="1">OFFSET('Parabolic Trough SAM'!$C$2,0,Parabolic!A44-Parabolic!$A$29)/1000</f>
        <v>865.65700000000004</v>
      </c>
      <c r="N44" s="307">
        <f t="shared" ca="1" si="12"/>
        <v>171341.58143776347</v>
      </c>
      <c r="O44" s="306">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-614.83870590410481</v>
      </c>
      <c r="Y44" s="306">
        <v>0</v>
      </c>
      <c r="Z44" s="306">
        <v>0</v>
      </c>
      <c r="AA44" s="308">
        <f ca="1">-SUM(W44,X44/OFFSET(GridFootprintbyYear,$A44-$A$19,0)*EF_PurchElec_MTperMWh,Z44)*OFFSET(ExposureCalculations!Price_GHG_Allowance_2010,A44-$A$19,0)*ExposureCalculations!D41</f>
        <v>37453.715286524282</v>
      </c>
      <c r="AB44" s="308">
        <f t="shared" ca="1" si="3"/>
        <v>83352.055627119335</v>
      </c>
      <c r="AC44" s="308">
        <v>0</v>
      </c>
      <c r="AD44" s="819">
        <f t="shared" ca="1" si="4"/>
        <v>0</v>
      </c>
      <c r="AE44" s="308">
        <v>0</v>
      </c>
      <c r="AF44" s="819">
        <f t="shared" ca="1" si="5"/>
        <v>0</v>
      </c>
      <c r="AG44" s="308">
        <v>0</v>
      </c>
      <c r="AH44" s="308">
        <v>0</v>
      </c>
      <c r="AI44" s="308">
        <v>0</v>
      </c>
      <c r="AJ44" s="308">
        <f t="shared" ca="1" si="6"/>
        <v>83352.055627119335</v>
      </c>
      <c r="AK44" s="309">
        <v>0</v>
      </c>
      <c r="AL44" s="309">
        <v>0</v>
      </c>
      <c r="AM44" s="309">
        <f t="shared" si="19"/>
        <v>0</v>
      </c>
      <c r="AN44" s="310">
        <v>0</v>
      </c>
      <c r="AO44" s="310">
        <f ca="1">-OFFSET('Parabolic Trough SAM'!$C$13,0,Parabolic!A44-Parabolic!$A$29)</f>
        <v>-151622.69</v>
      </c>
      <c r="AP44" s="310">
        <f t="shared" ca="1" si="20"/>
        <v>-151622.69</v>
      </c>
      <c r="AQ44" s="309">
        <v>0</v>
      </c>
      <c r="AR44" s="311">
        <f t="shared" ca="1" si="7"/>
        <v>-30816.919086356385</v>
      </c>
      <c r="AS44" s="870">
        <f t="shared" ca="1" si="21"/>
        <v>-8324915.7831656467</v>
      </c>
      <c r="AT44" s="822"/>
      <c r="AU44" s="878"/>
      <c r="AV44" s="35"/>
      <c r="AW44" s="879"/>
      <c r="AX44" s="35"/>
      <c r="AY44" s="880"/>
    </row>
    <row r="45" spans="1:51">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2"/>
        <v>0</v>
      </c>
      <c r="K45" s="307">
        <f t="shared" ca="1" si="10"/>
        <v>173783.86403861555</v>
      </c>
      <c r="L45" s="307">
        <f t="shared" ca="1" si="11"/>
        <v>-865.65700000000004</v>
      </c>
      <c r="M45" s="307">
        <f ca="1">OFFSET('Parabolic Trough SAM'!$C$2,0,Parabolic!A45-Parabolic!$A$29)/1000</f>
        <v>865.65700000000004</v>
      </c>
      <c r="N45" s="307">
        <f t="shared" ca="1" si="12"/>
        <v>172918.20703861554</v>
      </c>
      <c r="O45" s="306">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-614.83870590410481</v>
      </c>
      <c r="Y45" s="306">
        <v>0</v>
      </c>
      <c r="Z45" s="306">
        <v>0</v>
      </c>
      <c r="AA45" s="308">
        <f ca="1">-SUM(W45,X45/OFFSET(GridFootprintbyYear,$A45-$A$19,0)*EF_PurchElec_MTperMWh,Z45)*OFFSET(ExposureCalculations!Price_GHG_Allowance_2010,A45-$A$19,0)*ExposureCalculations!D42</f>
        <v>39542.220893419275</v>
      </c>
      <c r="AB45" s="308">
        <f t="shared" ca="1" si="3"/>
        <v>83768.815905254916</v>
      </c>
      <c r="AC45" s="308">
        <v>0</v>
      </c>
      <c r="AD45" s="819">
        <f t="shared" ca="1" si="4"/>
        <v>0</v>
      </c>
      <c r="AE45" s="308">
        <v>0</v>
      </c>
      <c r="AF45" s="819">
        <f t="shared" ca="1" si="5"/>
        <v>0</v>
      </c>
      <c r="AG45" s="308">
        <v>0</v>
      </c>
      <c r="AH45" s="308">
        <v>0</v>
      </c>
      <c r="AI45" s="308">
        <v>0</v>
      </c>
      <c r="AJ45" s="308">
        <f t="shared" ca="1" si="6"/>
        <v>83768.815905254916</v>
      </c>
      <c r="AK45" s="309">
        <v>0</v>
      </c>
      <c r="AL45" s="309">
        <v>0</v>
      </c>
      <c r="AM45" s="309">
        <f t="shared" si="19"/>
        <v>0</v>
      </c>
      <c r="AN45" s="310">
        <v>0</v>
      </c>
      <c r="AO45" s="310">
        <f ca="1">-OFFSET('Parabolic Trough SAM'!$C$13,0,Parabolic!A45-Parabolic!$A$29)</f>
        <v>-155413.25</v>
      </c>
      <c r="AP45" s="310">
        <f t="shared" ca="1" si="20"/>
        <v>-155413.25</v>
      </c>
      <c r="AQ45" s="309">
        <v>0</v>
      </c>
      <c r="AR45" s="311">
        <f t="shared" ca="1" si="7"/>
        <v>-32102.213201325809</v>
      </c>
      <c r="AS45" s="870">
        <f t="shared" ca="1" si="21"/>
        <v>-8357017.9963669721</v>
      </c>
      <c r="AT45" s="822"/>
      <c r="AU45" s="878"/>
      <c r="AV45" s="35"/>
      <c r="AW45" s="879"/>
      <c r="AX45" s="35"/>
      <c r="AY45" s="880"/>
    </row>
    <row r="46" spans="1:51">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2"/>
        <v>0</v>
      </c>
      <c r="K46" s="307">
        <f t="shared" ca="1" si="10"/>
        <v>175360.48963946756</v>
      </c>
      <c r="L46" s="307">
        <f t="shared" ca="1" si="11"/>
        <v>-865.65700000000004</v>
      </c>
      <c r="M46" s="307">
        <f ca="1">OFFSET('Parabolic Trough SAM'!$C$2,0,Parabolic!A46-Parabolic!$A$29)/1000</f>
        <v>865.65700000000004</v>
      </c>
      <c r="N46" s="307">
        <f t="shared" ca="1" si="12"/>
        <v>174494.83263946755</v>
      </c>
      <c r="O46" s="306">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-614.83870590410481</v>
      </c>
      <c r="Y46" s="306">
        <v>0</v>
      </c>
      <c r="Z46" s="306">
        <v>0</v>
      </c>
      <c r="AA46" s="308">
        <f ca="1">-SUM(W46,X46/OFFSET(GridFootprintbyYear,$A46-$A$19,0)*EF_PurchElec_MTperMWh,Z46)*OFFSET(ExposureCalculations!Price_GHG_Allowance_2010,A46-$A$19,0)*ExposureCalculations!D43</f>
        <v>41621.648264214018</v>
      </c>
      <c r="AB46" s="308">
        <f t="shared" ca="1" si="3"/>
        <v>84187.659984781174</v>
      </c>
      <c r="AC46" s="308">
        <v>0</v>
      </c>
      <c r="AD46" s="819">
        <f t="shared" ca="1" si="4"/>
        <v>0</v>
      </c>
      <c r="AE46" s="308">
        <v>0</v>
      </c>
      <c r="AF46" s="819">
        <f t="shared" ca="1" si="5"/>
        <v>0</v>
      </c>
      <c r="AG46" s="308">
        <v>0</v>
      </c>
      <c r="AH46" s="308">
        <v>0</v>
      </c>
      <c r="AI46" s="308">
        <v>0</v>
      </c>
      <c r="AJ46" s="308">
        <f t="shared" ca="1" si="6"/>
        <v>84187.659984781174</v>
      </c>
      <c r="AK46" s="309">
        <v>0</v>
      </c>
      <c r="AL46" s="309">
        <v>0</v>
      </c>
      <c r="AM46" s="309">
        <f t="shared" si="19"/>
        <v>0</v>
      </c>
      <c r="AN46" s="310">
        <v>0</v>
      </c>
      <c r="AO46" s="310">
        <f ca="1">-OFFSET('Parabolic Trough SAM'!$C$13,0,Parabolic!A46-Parabolic!$A$29)</f>
        <v>-159298.59</v>
      </c>
      <c r="AP46" s="310">
        <f t="shared" ca="1" si="20"/>
        <v>-159298.59</v>
      </c>
      <c r="AQ46" s="309">
        <v>0</v>
      </c>
      <c r="AR46" s="311">
        <f t="shared" ca="1" si="7"/>
        <v>-33489.281751004804</v>
      </c>
      <c r="AS46" s="870">
        <f t="shared" ca="1" si="21"/>
        <v>-8390507.2781179771</v>
      </c>
      <c r="AT46" s="822"/>
      <c r="AU46" s="878"/>
      <c r="AV46" s="35"/>
      <c r="AW46" s="879"/>
      <c r="AX46" s="35"/>
      <c r="AY46" s="880"/>
    </row>
    <row r="47" spans="1:51">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2"/>
        <v>0</v>
      </c>
      <c r="K47" s="307">
        <f t="shared" ca="1" si="10"/>
        <v>176937.1152403196</v>
      </c>
      <c r="L47" s="307">
        <f t="shared" ca="1" si="11"/>
        <v>-865.65700000000004</v>
      </c>
      <c r="M47" s="307">
        <f ca="1">OFFSET('Parabolic Trough SAM'!$C$2,0,Parabolic!A47-Parabolic!$A$29)/1000</f>
        <v>865.65700000000004</v>
      </c>
      <c r="N47" s="307">
        <f t="shared" ca="1" si="12"/>
        <v>176071.4582403196</v>
      </c>
      <c r="O47" s="306">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-614.83870590410481</v>
      </c>
      <c r="Y47" s="306">
        <v>0</v>
      </c>
      <c r="Z47" s="306">
        <v>0</v>
      </c>
      <c r="AA47" s="308">
        <f ca="1">-SUM(W47,X47/OFFSET(GridFootprintbyYear,$A47-$A$19,0)*EF_PurchElec_MTperMWh,Z47)*OFFSET(ExposureCalculations!Price_GHG_Allowance_2010,A47-$A$19,0)*ExposureCalculations!D44</f>
        <v>43686.486589761895</v>
      </c>
      <c r="AB47" s="308">
        <f t="shared" ca="1" si="3"/>
        <v>84608.598284705062</v>
      </c>
      <c r="AC47" s="308">
        <v>0</v>
      </c>
      <c r="AD47" s="819">
        <f t="shared" ca="1" si="4"/>
        <v>0</v>
      </c>
      <c r="AE47" s="308">
        <v>0</v>
      </c>
      <c r="AF47" s="819">
        <f t="shared" ca="1" si="5"/>
        <v>0</v>
      </c>
      <c r="AG47" s="308">
        <v>0</v>
      </c>
      <c r="AH47" s="308">
        <v>0</v>
      </c>
      <c r="AI47" s="308">
        <v>0</v>
      </c>
      <c r="AJ47" s="308">
        <f t="shared" ca="1" si="6"/>
        <v>84608.598284705062</v>
      </c>
      <c r="AK47" s="309">
        <v>0</v>
      </c>
      <c r="AL47" s="309">
        <v>0</v>
      </c>
      <c r="AM47" s="309">
        <f t="shared" si="19"/>
        <v>0</v>
      </c>
      <c r="AN47" s="310">
        <v>0</v>
      </c>
      <c r="AO47" s="310">
        <f ca="1">-OFFSET('Parabolic Trough SAM'!$C$13,0,Parabolic!A47-Parabolic!$A$29)</f>
        <v>-163281.04999999999</v>
      </c>
      <c r="AP47" s="310">
        <f t="shared" ca="1" si="20"/>
        <v>-163281.04999999999</v>
      </c>
      <c r="AQ47" s="309">
        <v>0</v>
      </c>
      <c r="AR47" s="311">
        <f t="shared" ca="1" si="7"/>
        <v>-34985.965125533025</v>
      </c>
      <c r="AS47" s="870">
        <f t="shared" ca="1" si="21"/>
        <v>-8425493.2432435099</v>
      </c>
      <c r="AT47" s="822"/>
      <c r="AU47" s="878"/>
      <c r="AV47" s="35"/>
      <c r="AW47" s="879"/>
      <c r="AX47" s="35"/>
      <c r="AY47" s="880"/>
    </row>
    <row r="48" spans="1:51">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2"/>
        <v>0</v>
      </c>
      <c r="K48" s="307">
        <f t="shared" ca="1" si="10"/>
        <v>178513.74084117162</v>
      </c>
      <c r="L48" s="307">
        <f t="shared" ca="1" si="11"/>
        <v>-865.65700000000004</v>
      </c>
      <c r="M48" s="307">
        <f ca="1">OFFSET('Parabolic Trough SAM'!$C$2,0,Parabolic!A48-Parabolic!$A$29)/1000</f>
        <v>865.65700000000004</v>
      </c>
      <c r="N48" s="307">
        <f t="shared" ca="1" si="12"/>
        <v>177648.08384117161</v>
      </c>
      <c r="O48" s="306">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-614.83870590410481</v>
      </c>
      <c r="Y48" s="306">
        <v>0</v>
      </c>
      <c r="Z48" s="306">
        <v>0</v>
      </c>
      <c r="AA48" s="308">
        <f ca="1">-SUM(W48,X48/OFFSET(GridFootprintbyYear,$A48-$A$19,0)*EF_PurchElec_MTperMWh,Z48)*OFFSET(ExposureCalculations!Price_GHG_Allowance_2010,A48-$A$19,0)*ExposureCalculations!D45</f>
        <v>45732.244663110258</v>
      </c>
      <c r="AB48" s="308">
        <f t="shared" ca="1" si="3"/>
        <v>85031.641276128576</v>
      </c>
      <c r="AC48" s="308">
        <v>0</v>
      </c>
      <c r="AD48" s="819">
        <f t="shared" ca="1" si="4"/>
        <v>0</v>
      </c>
      <c r="AE48" s="308">
        <v>0</v>
      </c>
      <c r="AF48" s="819">
        <f t="shared" ca="1" si="5"/>
        <v>0</v>
      </c>
      <c r="AG48" s="308">
        <v>0</v>
      </c>
      <c r="AH48" s="308">
        <v>0</v>
      </c>
      <c r="AI48" s="308">
        <v>0</v>
      </c>
      <c r="AJ48" s="308">
        <f t="shared" ca="1" si="6"/>
        <v>85031.641276128576</v>
      </c>
      <c r="AK48" s="309">
        <v>0</v>
      </c>
      <c r="AL48" s="309">
        <v>0</v>
      </c>
      <c r="AM48" s="309">
        <f t="shared" si="19"/>
        <v>0</v>
      </c>
      <c r="AN48" s="310">
        <v>0</v>
      </c>
      <c r="AO48" s="310">
        <f ca="1">-OFFSET('Parabolic Trough SAM'!$C$13,0,Parabolic!A48-Parabolic!$A$29)</f>
        <v>-167363.07999999999</v>
      </c>
      <c r="AP48" s="310">
        <f t="shared" ca="1" si="20"/>
        <v>-167363.07999999999</v>
      </c>
      <c r="AQ48" s="309">
        <v>0</v>
      </c>
      <c r="AR48" s="311">
        <f t="shared" ca="1" si="7"/>
        <v>-36599.194060761161</v>
      </c>
      <c r="AS48" s="870">
        <f t="shared" ca="1" si="21"/>
        <v>-8462092.4373042714</v>
      </c>
      <c r="AT48" s="822"/>
      <c r="AU48" s="878"/>
      <c r="AV48" s="35"/>
      <c r="AW48" s="879"/>
      <c r="AX48" s="35"/>
      <c r="AY48" s="880"/>
    </row>
    <row r="49" spans="1:51">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2"/>
        <v>0</v>
      </c>
      <c r="K49" s="307">
        <f t="shared" ca="1" si="10"/>
        <v>180090.36644202363</v>
      </c>
      <c r="L49" s="307">
        <f t="shared" ca="1" si="11"/>
        <v>-865.65700000000004</v>
      </c>
      <c r="M49" s="307">
        <f ca="1">OFFSET('Parabolic Trough SAM'!$C$2,0,Parabolic!A49-Parabolic!$A$29)/1000</f>
        <v>865.65700000000004</v>
      </c>
      <c r="N49" s="307">
        <f t="shared" ca="1" si="12"/>
        <v>179224.70944202362</v>
      </c>
      <c r="O49" s="306">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-614.83870590410481</v>
      </c>
      <c r="Y49" s="306">
        <v>0</v>
      </c>
      <c r="Z49" s="306">
        <v>0</v>
      </c>
      <c r="AA49" s="308">
        <f ca="1">-SUM(W49,X49/OFFSET(GridFootprintbyYear,$A49-$A$19,0)*EF_PurchElec_MTperMWh,Z49)*OFFSET(ExposureCalculations!Price_GHG_Allowance_2010,A49-$A$19,0)*ExposureCalculations!D46</f>
        <v>47877.76050185546</v>
      </c>
      <c r="AB49" s="308">
        <f t="shared" ca="1" si="3"/>
        <v>85456.799482509217</v>
      </c>
      <c r="AC49" s="308">
        <v>0</v>
      </c>
      <c r="AD49" s="819">
        <f t="shared" ca="1" si="4"/>
        <v>0</v>
      </c>
      <c r="AE49" s="308">
        <v>0</v>
      </c>
      <c r="AF49" s="819">
        <f t="shared" ca="1" si="5"/>
        <v>0</v>
      </c>
      <c r="AG49" s="308">
        <v>0</v>
      </c>
      <c r="AH49" s="308">
        <v>0</v>
      </c>
      <c r="AI49" s="308">
        <v>0</v>
      </c>
      <c r="AJ49" s="308">
        <f t="shared" ca="1" si="6"/>
        <v>85456.799482509217</v>
      </c>
      <c r="AK49" s="309">
        <v>0</v>
      </c>
      <c r="AL49" s="309">
        <v>0</v>
      </c>
      <c r="AM49" s="309">
        <f t="shared" si="19"/>
        <v>0</v>
      </c>
      <c r="AN49" s="310">
        <v>0</v>
      </c>
      <c r="AO49" s="310">
        <f ca="1">-OFFSET('Parabolic Trough SAM'!$C$13,0,Parabolic!A49-Parabolic!$A$29)</f>
        <v>-171547.15</v>
      </c>
      <c r="AP49" s="310">
        <f t="shared" ca="1" si="20"/>
        <v>-171547.15</v>
      </c>
      <c r="AQ49" s="309">
        <v>0</v>
      </c>
      <c r="AR49" s="311">
        <f t="shared" ca="1" si="7"/>
        <v>-38212.590015635331</v>
      </c>
      <c r="AS49" s="870">
        <f t="shared" ca="1" si="21"/>
        <v>-8500305.0273199063</v>
      </c>
      <c r="AT49" s="822"/>
      <c r="AU49" s="878"/>
      <c r="AV49" s="35"/>
      <c r="AW49" s="879"/>
      <c r="AX49" s="35"/>
      <c r="AY49" s="880"/>
    </row>
    <row r="50" spans="1:51">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2"/>
        <v>0</v>
      </c>
      <c r="K50" s="307">
        <f t="shared" ca="1" si="10"/>
        <v>181666.99204287567</v>
      </c>
      <c r="L50" s="307">
        <f t="shared" ca="1" si="11"/>
        <v>-865.65700000000004</v>
      </c>
      <c r="M50" s="307">
        <f ca="1">OFFSET('Parabolic Trough SAM'!$C$2,0,Parabolic!A50-Parabolic!$A$29)/1000</f>
        <v>865.65700000000004</v>
      </c>
      <c r="N50" s="307">
        <f t="shared" ca="1" si="12"/>
        <v>180801.33504287567</v>
      </c>
      <c r="O50" s="306">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-614.83870590410481</v>
      </c>
      <c r="Y50" s="306">
        <v>0</v>
      </c>
      <c r="Z50" s="306">
        <v>0</v>
      </c>
      <c r="AA50" s="308">
        <f ca="1">-SUM(W50,X50/OFFSET(GridFootprintbyYear,$A50-$A$19,0)*EF_PurchElec_MTperMWh,Z50)*OFFSET(ExposureCalculations!Price_GHG_Allowance_2010,A50-$A$19,0)*ExposureCalculations!D47</f>
        <v>49956.235545698291</v>
      </c>
      <c r="AB50" s="308">
        <f t="shared" ca="1" si="3"/>
        <v>85884.083479921726</v>
      </c>
      <c r="AC50" s="308">
        <v>0</v>
      </c>
      <c r="AD50" s="819">
        <f t="shared" ca="1" si="4"/>
        <v>0</v>
      </c>
      <c r="AE50" s="308">
        <v>0</v>
      </c>
      <c r="AF50" s="819">
        <f t="shared" ca="1" si="5"/>
        <v>0</v>
      </c>
      <c r="AG50" s="308">
        <v>0</v>
      </c>
      <c r="AH50" s="308">
        <v>0</v>
      </c>
      <c r="AI50" s="308">
        <v>0</v>
      </c>
      <c r="AJ50" s="308">
        <f t="shared" ca="1" si="6"/>
        <v>85884.083479921726</v>
      </c>
      <c r="AK50" s="309">
        <v>0</v>
      </c>
      <c r="AL50" s="309">
        <v>0</v>
      </c>
      <c r="AM50" s="309">
        <f t="shared" si="19"/>
        <v>0</v>
      </c>
      <c r="AN50" s="310">
        <v>0</v>
      </c>
      <c r="AO50" s="310">
        <f ca="1">-OFFSET('Parabolic Trough SAM'!$C$13,0,Parabolic!A50-Parabolic!$A$29)</f>
        <v>-175835.83</v>
      </c>
      <c r="AP50" s="310">
        <f t="shared" ca="1" si="20"/>
        <v>-175835.83</v>
      </c>
      <c r="AQ50" s="309">
        <v>0</v>
      </c>
      <c r="AR50" s="311">
        <f t="shared" ca="1" si="7"/>
        <v>-39995.510974379984</v>
      </c>
      <c r="AS50" s="870">
        <f t="shared" ca="1" si="21"/>
        <v>-8540300.5382942855</v>
      </c>
      <c r="AT50" s="822"/>
      <c r="AU50" s="878"/>
      <c r="AV50" s="35"/>
      <c r="AW50" s="879"/>
      <c r="AX50" s="35"/>
      <c r="AY50" s="880"/>
    </row>
    <row r="51" spans="1:51">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2"/>
        <v>0</v>
      </c>
      <c r="K51" s="307">
        <f t="shared" ca="1" si="10"/>
        <v>183243.61764372772</v>
      </c>
      <c r="L51" s="307">
        <f t="shared" ca="1" si="11"/>
        <v>-865.65700000000004</v>
      </c>
      <c r="M51" s="307">
        <f ca="1">OFFSET('Parabolic Trough SAM'!$C$2,0,Parabolic!A51-Parabolic!$A$29)/1000</f>
        <v>865.65700000000004</v>
      </c>
      <c r="N51" s="307">
        <f t="shared" ca="1" si="12"/>
        <v>182377.96064372771</v>
      </c>
      <c r="O51" s="306">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-614.83870590410481</v>
      </c>
      <c r="Y51" s="306">
        <v>0</v>
      </c>
      <c r="Z51" s="306">
        <v>0</v>
      </c>
      <c r="AA51" s="308">
        <f ca="1">-SUM(W51,X51/OFFSET(GridFootprintbyYear,$A51-$A$19,0)*EF_PurchElec_MTperMWh,Z51)*OFFSET(ExposureCalculations!Price_GHG_Allowance_2010,A51-$A$19,0)*ExposureCalculations!D48</f>
        <v>51953.718751503693</v>
      </c>
      <c r="AB51" s="308">
        <f t="shared" ca="1" si="3"/>
        <v>86313.503897321323</v>
      </c>
      <c r="AC51" s="308">
        <v>0</v>
      </c>
      <c r="AD51" s="819">
        <f t="shared" ca="1" si="4"/>
        <v>0</v>
      </c>
      <c r="AE51" s="308">
        <v>0</v>
      </c>
      <c r="AF51" s="819">
        <f t="shared" ca="1" si="5"/>
        <v>0</v>
      </c>
      <c r="AG51" s="308">
        <v>0</v>
      </c>
      <c r="AH51" s="308">
        <v>0</v>
      </c>
      <c r="AI51" s="308">
        <v>0</v>
      </c>
      <c r="AJ51" s="308">
        <f t="shared" ca="1" si="6"/>
        <v>86313.503897321323</v>
      </c>
      <c r="AK51" s="309">
        <v>0</v>
      </c>
      <c r="AL51" s="309">
        <v>0</v>
      </c>
      <c r="AM51" s="309">
        <f t="shared" si="19"/>
        <v>0</v>
      </c>
      <c r="AN51" s="310">
        <v>0</v>
      </c>
      <c r="AO51" s="310">
        <f ca="1">-OFFSET('Parabolic Trough SAM'!$C$13,0,Parabolic!A51-Parabolic!$A$29)</f>
        <v>-180231.73</v>
      </c>
      <c r="AP51" s="310">
        <f t="shared" ca="1" si="20"/>
        <v>-180231.73</v>
      </c>
      <c r="AQ51" s="309">
        <v>0</v>
      </c>
      <c r="AR51" s="311">
        <f t="shared" ca="1" si="7"/>
        <v>-41964.50735117498</v>
      </c>
      <c r="AS51" s="870">
        <f t="shared" ca="1" si="21"/>
        <v>-8582265.0456454605</v>
      </c>
      <c r="AT51" s="822"/>
      <c r="AU51" s="878"/>
      <c r="AV51" s="35"/>
      <c r="AW51" s="879"/>
      <c r="AX51" s="35"/>
      <c r="AY51" s="880"/>
    </row>
    <row r="52" spans="1:51">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2"/>
        <v>0</v>
      </c>
      <c r="K52" s="307">
        <f t="shared" ca="1" si="10"/>
        <v>184820.24324457973</v>
      </c>
      <c r="L52" s="307">
        <f t="shared" ca="1" si="11"/>
        <v>-865.65700000000004</v>
      </c>
      <c r="M52" s="307">
        <f ca="1">OFFSET('Parabolic Trough SAM'!$C$2,0,Parabolic!A52-Parabolic!$A$29)/1000</f>
        <v>865.65700000000004</v>
      </c>
      <c r="N52" s="307">
        <f t="shared" ca="1" si="12"/>
        <v>183954.58624457972</v>
      </c>
      <c r="O52" s="306">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-614.83870590410481</v>
      </c>
      <c r="Y52" s="306">
        <v>0</v>
      </c>
      <c r="Z52" s="306">
        <v>0</v>
      </c>
      <c r="AA52" s="308">
        <f ca="1">-SUM(W52,X52/OFFSET(GridFootprintbyYear,$A52-$A$19,0)*EF_PurchElec_MTperMWh,Z52)*OFFSET(ExposureCalculations!Price_GHG_Allowance_2010,A52-$A$19,0)*ExposureCalculations!D49</f>
        <v>54200.403169471479</v>
      </c>
      <c r="AB52" s="308">
        <f t="shared" ca="1" si="3"/>
        <v>86745.071416807928</v>
      </c>
      <c r="AC52" s="308">
        <v>0</v>
      </c>
      <c r="AD52" s="819">
        <f t="shared" ca="1" si="4"/>
        <v>0</v>
      </c>
      <c r="AE52" s="308">
        <v>0</v>
      </c>
      <c r="AF52" s="819">
        <f t="shared" ca="1" si="5"/>
        <v>0</v>
      </c>
      <c r="AG52" s="308">
        <v>0</v>
      </c>
      <c r="AH52" s="308">
        <v>0</v>
      </c>
      <c r="AI52" s="308">
        <v>0</v>
      </c>
      <c r="AJ52" s="308">
        <f t="shared" ca="1" si="6"/>
        <v>86745.071416807928</v>
      </c>
      <c r="AK52" s="309">
        <v>0</v>
      </c>
      <c r="AL52" s="309">
        <v>0</v>
      </c>
      <c r="AM52" s="309">
        <f t="shared" si="19"/>
        <v>0</v>
      </c>
      <c r="AN52" s="310">
        <v>0</v>
      </c>
      <c r="AO52" s="310">
        <f ca="1">-OFFSET('Parabolic Trough SAM'!$C$13,0,Parabolic!A52-Parabolic!$A$29)</f>
        <v>-184737.52</v>
      </c>
      <c r="AP52" s="310">
        <f t="shared" ca="1" si="20"/>
        <v>-184737.52</v>
      </c>
      <c r="AQ52" s="309">
        <v>0</v>
      </c>
      <c r="AR52" s="311">
        <f t="shared" ca="1" si="7"/>
        <v>-43792.045413720567</v>
      </c>
      <c r="AS52" s="870">
        <f t="shared" ca="1" si="21"/>
        <v>-8626057.0910591818</v>
      </c>
      <c r="AT52" s="822"/>
      <c r="AU52" s="878"/>
      <c r="AV52" s="35"/>
      <c r="AW52" s="879"/>
      <c r="AX52" s="35"/>
      <c r="AY52" s="880"/>
    </row>
    <row r="53" spans="1:51">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2"/>
        <v>0</v>
      </c>
      <c r="K53" s="307">
        <f t="shared" ca="1" si="10"/>
        <v>186396.86884543177</v>
      </c>
      <c r="L53" s="307">
        <f t="shared" ca="1" si="11"/>
        <v>-865.65700000000004</v>
      </c>
      <c r="M53" s="307">
        <f ca="1">OFFSET('Parabolic Trough SAM'!$C$2,0,Parabolic!A53-Parabolic!$A$29)/1000</f>
        <v>865.65700000000004</v>
      </c>
      <c r="N53" s="307">
        <f t="shared" ca="1" si="12"/>
        <v>185531.21184543177</v>
      </c>
      <c r="O53" s="306">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-614.83870590410481</v>
      </c>
      <c r="Y53" s="306">
        <v>0</v>
      </c>
      <c r="Z53" s="306">
        <v>0</v>
      </c>
      <c r="AA53" s="308">
        <f ca="1">-SUM(W53,X53/OFFSET(GridFootprintbyYear,$A53-$A$19,0)*EF_PurchElec_MTperMWh,Z53)*OFFSET(ExposureCalculations!Price_GHG_Allowance_2010,A53-$A$19,0)*ExposureCalculations!D50</f>
        <v>56747.06777748248</v>
      </c>
      <c r="AB53" s="308">
        <f t="shared" ca="1" si="3"/>
        <v>87178.796773891954</v>
      </c>
      <c r="AC53" s="308">
        <v>0</v>
      </c>
      <c r="AD53" s="819">
        <f t="shared" ca="1" si="4"/>
        <v>0</v>
      </c>
      <c r="AE53" s="308">
        <v>0</v>
      </c>
      <c r="AF53" s="819">
        <f t="shared" ca="1" si="5"/>
        <v>0</v>
      </c>
      <c r="AG53" s="308">
        <v>0</v>
      </c>
      <c r="AH53" s="308">
        <v>0</v>
      </c>
      <c r="AI53" s="308">
        <v>0</v>
      </c>
      <c r="AJ53" s="308">
        <f t="shared" ca="1" si="6"/>
        <v>87178.796773891954</v>
      </c>
      <c r="AK53" s="309">
        <v>0</v>
      </c>
      <c r="AL53" s="309">
        <v>0</v>
      </c>
      <c r="AM53" s="309">
        <f t="shared" si="19"/>
        <v>0</v>
      </c>
      <c r="AN53" s="310">
        <v>0</v>
      </c>
      <c r="AO53" s="310">
        <f ca="1">-OFFSET('Parabolic Trough SAM'!$C$13,0,Parabolic!A53-Parabolic!$A$29)</f>
        <v>-189355.96</v>
      </c>
      <c r="AP53" s="310">
        <f t="shared" ca="1" si="20"/>
        <v>-189355.96</v>
      </c>
      <c r="AQ53" s="309">
        <v>0</v>
      </c>
      <c r="AR53" s="311">
        <f t="shared" ca="1" si="7"/>
        <v>-45430.095448625565</v>
      </c>
      <c r="AS53" s="870">
        <f t="shared" ca="1" si="21"/>
        <v>-8671487.186507808</v>
      </c>
      <c r="AT53" s="822"/>
      <c r="AU53" s="878"/>
      <c r="AV53" s="35"/>
      <c r="AW53" s="879"/>
      <c r="AX53" s="35"/>
      <c r="AY53" s="880"/>
    </row>
    <row r="54" spans="1:51">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2"/>
        <v>0</v>
      </c>
      <c r="K54" s="307">
        <f t="shared" ca="1" si="10"/>
        <v>187973.49444628376</v>
      </c>
      <c r="L54" s="307">
        <f t="shared" ca="1" si="11"/>
        <v>-865.65700000000004</v>
      </c>
      <c r="M54" s="307">
        <f ca="1">OFFSET('Parabolic Trough SAM'!$C$2,0,Parabolic!A54-Parabolic!$A$29)/1000</f>
        <v>865.65700000000004</v>
      </c>
      <c r="N54" s="307">
        <f t="shared" ca="1" si="12"/>
        <v>187107.83744628375</v>
      </c>
      <c r="O54" s="306">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-614.83870590410481</v>
      </c>
      <c r="Y54" s="306">
        <v>0</v>
      </c>
      <c r="Z54" s="306">
        <v>0</v>
      </c>
      <c r="AA54" s="308">
        <f ca="1">-SUM(W54,X54/OFFSET(GridFootprintbyYear,$A54-$A$19,0)*EF_PurchElec_MTperMWh,Z54)*OFFSET(ExposureCalculations!Price_GHG_Allowance_2010,A54-$A$19,0)*ExposureCalculations!D51</f>
        <v>59666.467645309676</v>
      </c>
      <c r="AB54" s="308">
        <f t="shared" ca="1" si="3"/>
        <v>87614.690757761404</v>
      </c>
      <c r="AC54" s="308">
        <v>0</v>
      </c>
      <c r="AD54" s="819">
        <f t="shared" ca="1" si="4"/>
        <v>0</v>
      </c>
      <c r="AE54" s="308">
        <v>0</v>
      </c>
      <c r="AF54" s="819">
        <f t="shared" ca="1" si="5"/>
        <v>0</v>
      </c>
      <c r="AG54" s="308">
        <v>0</v>
      </c>
      <c r="AH54" s="308">
        <v>0</v>
      </c>
      <c r="AI54" s="308">
        <v>0</v>
      </c>
      <c r="AJ54" s="308">
        <f t="shared" ca="1" si="6"/>
        <v>87614.690757761404</v>
      </c>
      <c r="AK54" s="309">
        <v>0</v>
      </c>
      <c r="AL54" s="309">
        <v>0</v>
      </c>
      <c r="AM54" s="309">
        <f t="shared" si="19"/>
        <v>0</v>
      </c>
      <c r="AN54" s="310">
        <v>0</v>
      </c>
      <c r="AO54" s="310">
        <f ca="1">-OFFSET('Parabolic Trough SAM'!$C$13,0,Parabolic!A54-Parabolic!$A$29)</f>
        <v>-194089.86</v>
      </c>
      <c r="AP54" s="310">
        <f t="shared" ca="1" si="20"/>
        <v>-194089.86</v>
      </c>
      <c r="AQ54" s="309">
        <v>0</v>
      </c>
      <c r="AR54" s="311">
        <f t="shared" ca="1" si="7"/>
        <v>-46808.701596928906</v>
      </c>
      <c r="AS54" s="870">
        <f t="shared" ca="1" si="21"/>
        <v>-8718295.8881047368</v>
      </c>
      <c r="AT54" s="822"/>
      <c r="AU54" s="878"/>
      <c r="AV54" s="35"/>
      <c r="AW54" s="879"/>
      <c r="AX54" s="35"/>
      <c r="AY54" s="880"/>
    </row>
    <row r="55" spans="1:51">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2"/>
        <v>0</v>
      </c>
      <c r="K55" s="307">
        <f t="shared" ca="1" si="10"/>
        <v>189550.12004713583</v>
      </c>
      <c r="L55" s="307">
        <f t="shared" ca="1" si="11"/>
        <v>-865.65700000000004</v>
      </c>
      <c r="M55" s="307">
        <f ca="1">OFFSET('Parabolic Trough SAM'!$C$2,0,Parabolic!A55-Parabolic!$A$29)/1000</f>
        <v>865.65700000000004</v>
      </c>
      <c r="N55" s="307">
        <f t="shared" ca="1" si="12"/>
        <v>188684.46304713583</v>
      </c>
      <c r="O55" s="306">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-614.83870590410481</v>
      </c>
      <c r="Y55" s="306">
        <v>0</v>
      </c>
      <c r="Z55" s="306">
        <v>0</v>
      </c>
      <c r="AA55" s="308">
        <f ca="1">-SUM(W55,X55/OFFSET(GridFootprintbyYear,$A55-$A$19,0)*EF_PurchElec_MTperMWh,Z55)*OFFSET(ExposureCalculations!Price_GHG_Allowance_2010,A55-$A$19,0)*ExposureCalculations!D52</f>
        <v>62781.893251713976</v>
      </c>
      <c r="AB55" s="308">
        <f t="shared" ca="1" si="3"/>
        <v>88052.76421155018</v>
      </c>
      <c r="AC55" s="308">
        <v>0</v>
      </c>
      <c r="AD55" s="819">
        <f t="shared" ca="1" si="4"/>
        <v>0</v>
      </c>
      <c r="AE55" s="308">
        <v>0</v>
      </c>
      <c r="AF55" s="819">
        <f t="shared" ca="1" si="5"/>
        <v>0</v>
      </c>
      <c r="AG55" s="308">
        <v>0</v>
      </c>
      <c r="AH55" s="308">
        <v>0</v>
      </c>
      <c r="AI55" s="308">
        <v>0</v>
      </c>
      <c r="AJ55" s="308">
        <f t="shared" ca="1" si="6"/>
        <v>88052.76421155018</v>
      </c>
      <c r="AK55" s="309">
        <v>0</v>
      </c>
      <c r="AL55" s="309">
        <v>0</v>
      </c>
      <c r="AM55" s="309">
        <f t="shared" si="19"/>
        <v>0</v>
      </c>
      <c r="AN55" s="310">
        <v>0</v>
      </c>
      <c r="AO55" s="310">
        <f ca="1">-OFFSET('Parabolic Trough SAM'!$C$13,0,Parabolic!A55-Parabolic!$A$29)</f>
        <v>-198942.11</v>
      </c>
      <c r="AP55" s="310">
        <f t="shared" ca="1" si="20"/>
        <v>-198942.11</v>
      </c>
      <c r="AQ55" s="309">
        <v>0</v>
      </c>
      <c r="AR55" s="311">
        <f t="shared" ca="1" si="7"/>
        <v>-48107.452536735829</v>
      </c>
      <c r="AS55" s="870">
        <f t="shared" ca="1" si="21"/>
        <v>-8766403.3406414725</v>
      </c>
      <c r="AT55" s="822"/>
      <c r="AU55" s="878"/>
      <c r="AV55" s="35"/>
      <c r="AW55" s="879"/>
      <c r="AX55" s="35"/>
      <c r="AY55" s="880"/>
    </row>
    <row r="56" spans="1:51">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2"/>
        <v>0</v>
      </c>
      <c r="K56" s="307">
        <f t="shared" ca="1" si="10"/>
        <v>191126.74564798782</v>
      </c>
      <c r="L56" s="307">
        <f t="shared" ca="1" si="11"/>
        <v>-865.65700000000004</v>
      </c>
      <c r="M56" s="307">
        <f ca="1">OFFSET('Parabolic Trough SAM'!$C$2,0,Parabolic!A56-Parabolic!$A$29)/1000</f>
        <v>865.65700000000004</v>
      </c>
      <c r="N56" s="307">
        <f t="shared" ca="1" si="12"/>
        <v>190261.08864798781</v>
      </c>
      <c r="O56" s="306">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-614.83870590410481</v>
      </c>
      <c r="Y56" s="306">
        <v>0</v>
      </c>
      <c r="Z56" s="306">
        <v>0</v>
      </c>
      <c r="AA56" s="308">
        <f ca="1">-SUM(W56,X56/OFFSET(GridFootprintbyYear,$A56-$A$19,0)*EF_PurchElec_MTperMWh,Z56)*OFFSET(ExposureCalculations!Price_GHG_Allowance_2010,A56-$A$19,0)*ExposureCalculations!D53</f>
        <v>66117.877471025946</v>
      </c>
      <c r="AB56" s="308">
        <f t="shared" ca="1" si="3"/>
        <v>88493.028032607923</v>
      </c>
      <c r="AC56" s="308">
        <v>0</v>
      </c>
      <c r="AD56" s="819">
        <f t="shared" ca="1" si="4"/>
        <v>0</v>
      </c>
      <c r="AE56" s="308">
        <v>0</v>
      </c>
      <c r="AF56" s="819">
        <f t="shared" ca="1" si="5"/>
        <v>0</v>
      </c>
      <c r="AG56" s="308">
        <v>0</v>
      </c>
      <c r="AH56" s="308">
        <v>0</v>
      </c>
      <c r="AI56" s="308">
        <v>0</v>
      </c>
      <c r="AJ56" s="308">
        <f t="shared" ca="1" si="6"/>
        <v>88493.028032607923</v>
      </c>
      <c r="AK56" s="309">
        <v>0</v>
      </c>
      <c r="AL56" s="309">
        <v>0</v>
      </c>
      <c r="AM56" s="309">
        <f t="shared" si="19"/>
        <v>0</v>
      </c>
      <c r="AN56" s="310">
        <v>0</v>
      </c>
      <c r="AO56" s="310">
        <f ca="1">-OFFSET('Parabolic Trough SAM'!$C$13,0,Parabolic!A56-Parabolic!$A$29)</f>
        <v>-203915.66</v>
      </c>
      <c r="AP56" s="310">
        <f t="shared" ca="1" si="20"/>
        <v>-203915.66</v>
      </c>
      <c r="AQ56" s="309">
        <v>0</v>
      </c>
      <c r="AR56" s="311">
        <f t="shared" ca="1" si="7"/>
        <v>-49304.754496366135</v>
      </c>
      <c r="AS56" s="870">
        <f t="shared" ca="1" si="21"/>
        <v>-8815708.0951378383</v>
      </c>
      <c r="AT56" s="822"/>
      <c r="AU56" s="878"/>
      <c r="AV56" s="35"/>
      <c r="AW56" s="879"/>
      <c r="AX56" s="35"/>
      <c r="AY56" s="880"/>
    </row>
    <row r="57" spans="1:51">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2"/>
        <v>0</v>
      </c>
      <c r="K57" s="307">
        <f t="shared" ca="1" si="10"/>
        <v>192703.37124883989</v>
      </c>
      <c r="L57" s="307">
        <f t="shared" ca="1" si="11"/>
        <v>-865.65700000000004</v>
      </c>
      <c r="M57" s="307">
        <f ca="1">OFFSET('Parabolic Trough SAM'!$C$2,0,Parabolic!A57-Parabolic!$A$29)/1000</f>
        <v>865.65700000000004</v>
      </c>
      <c r="N57" s="307">
        <f t="shared" ca="1" si="12"/>
        <v>191837.71424883988</v>
      </c>
      <c r="O57" s="306">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-614.83870590410481</v>
      </c>
      <c r="Y57" s="306">
        <v>0</v>
      </c>
      <c r="Z57" s="306">
        <v>0</v>
      </c>
      <c r="AA57" s="308">
        <f ca="1">-SUM(W57,X57/OFFSET(GridFootprintbyYear,$A57-$A$19,0)*EF_PurchElec_MTperMWh,Z57)*OFFSET(ExposureCalculations!Price_GHG_Allowance_2010,A57-$A$19,0)*ExposureCalculations!D54</f>
        <v>69701.01538175621</v>
      </c>
      <c r="AB57" s="308">
        <f t="shared" ca="1" si="3"/>
        <v>88935.493172770948</v>
      </c>
      <c r="AC57" s="308">
        <v>0</v>
      </c>
      <c r="AD57" s="819">
        <f t="shared" ca="1" si="4"/>
        <v>0</v>
      </c>
      <c r="AE57" s="308">
        <v>0</v>
      </c>
      <c r="AF57" s="819">
        <f t="shared" ca="1" si="5"/>
        <v>0</v>
      </c>
      <c r="AG57" s="308">
        <v>0</v>
      </c>
      <c r="AH57" s="308">
        <v>0</v>
      </c>
      <c r="AI57" s="308">
        <v>0</v>
      </c>
      <c r="AJ57" s="308">
        <f t="shared" ca="1" si="6"/>
        <v>88935.493172770948</v>
      </c>
      <c r="AK57" s="309">
        <v>0</v>
      </c>
      <c r="AL57" s="309">
        <v>0</v>
      </c>
      <c r="AM57" s="309">
        <f t="shared" si="19"/>
        <v>0</v>
      </c>
      <c r="AN57" s="310">
        <v>0</v>
      </c>
      <c r="AO57" s="310">
        <f ca="1">-OFFSET('Parabolic Trough SAM'!$C$13,0,Parabolic!A57-Parabolic!$A$29)</f>
        <v>-209013.55</v>
      </c>
      <c r="AP57" s="310">
        <f t="shared" ca="1" si="20"/>
        <v>-209013.55</v>
      </c>
      <c r="AQ57" s="309">
        <v>0</v>
      </c>
      <c r="AR57" s="311">
        <f t="shared" ca="1" si="7"/>
        <v>-50377.041445472831</v>
      </c>
      <c r="AS57" s="870">
        <f t="shared" ca="1" si="21"/>
        <v>-8866085.1365833115</v>
      </c>
      <c r="AT57" s="822"/>
      <c r="AU57" s="878"/>
      <c r="AV57" s="35"/>
      <c r="AW57" s="879"/>
      <c r="AX57" s="35"/>
      <c r="AY57" s="880"/>
    </row>
    <row r="58" spans="1:51">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2"/>
        <v>0</v>
      </c>
      <c r="K58" s="307">
        <f t="shared" ca="1" si="10"/>
        <v>194279.99684969187</v>
      </c>
      <c r="L58" s="307">
        <f t="shared" ca="1" si="11"/>
        <v>-865.65700000000004</v>
      </c>
      <c r="M58" s="307">
        <f ca="1">OFFSET('Parabolic Trough SAM'!$C$2,0,Parabolic!A58-Parabolic!$A$29)/1000</f>
        <v>865.65700000000004</v>
      </c>
      <c r="N58" s="307">
        <f t="shared" ca="1" si="12"/>
        <v>193414.33984969187</v>
      </c>
      <c r="O58" s="306">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-614.83870590410481</v>
      </c>
      <c r="Y58" s="306">
        <v>0</v>
      </c>
      <c r="Z58" s="306">
        <v>0</v>
      </c>
      <c r="AA58" s="308">
        <f ca="1">-SUM(W58,X58/OFFSET(GridFootprintbyYear,$A58-$A$19,0)*EF_PurchElec_MTperMWh,Z58)*OFFSET(ExposureCalculations!Price_GHG_Allowance_2010,A58-$A$19,0)*ExposureCalculations!D55</f>
        <v>73559.747942435468</v>
      </c>
      <c r="AB58" s="308">
        <f t="shared" ca="1" si="3"/>
        <v>89380.170638634794</v>
      </c>
      <c r="AC58" s="308">
        <v>0</v>
      </c>
      <c r="AD58" s="819">
        <f t="shared" ca="1" si="4"/>
        <v>0</v>
      </c>
      <c r="AE58" s="308">
        <v>0</v>
      </c>
      <c r="AF58" s="819">
        <f t="shared" ca="1" si="5"/>
        <v>0</v>
      </c>
      <c r="AG58" s="308">
        <v>0</v>
      </c>
      <c r="AH58" s="308">
        <v>0</v>
      </c>
      <c r="AI58" s="308">
        <v>0</v>
      </c>
      <c r="AJ58" s="308">
        <f t="shared" ca="1" si="6"/>
        <v>89380.170638634794</v>
      </c>
      <c r="AK58" s="309">
        <v>0</v>
      </c>
      <c r="AL58" s="309">
        <v>0</v>
      </c>
      <c r="AM58" s="309">
        <f t="shared" si="19"/>
        <v>0</v>
      </c>
      <c r="AN58" s="310">
        <v>0</v>
      </c>
      <c r="AO58" s="310">
        <f ca="1">-OFFSET('Parabolic Trough SAM'!$C$13,0,Parabolic!A58-Parabolic!$A$29)</f>
        <v>-214238.89</v>
      </c>
      <c r="AP58" s="310">
        <f t="shared" ca="1" si="20"/>
        <v>-214238.89</v>
      </c>
      <c r="AQ58" s="309">
        <v>0</v>
      </c>
      <c r="AR58" s="311">
        <f t="shared" ca="1" si="7"/>
        <v>-51298.971418929752</v>
      </c>
      <c r="AS58" s="870">
        <f t="shared" ca="1" si="21"/>
        <v>-8917384.1080022417</v>
      </c>
      <c r="AT58" s="822"/>
      <c r="AU58" s="878"/>
      <c r="AV58" s="35"/>
      <c r="AW58" s="879"/>
      <c r="AX58" s="35"/>
      <c r="AY58" s="880"/>
    </row>
    <row r="59" spans="1:51">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2"/>
        <v>0</v>
      </c>
      <c r="K59" s="307">
        <f t="shared" ca="1" si="10"/>
        <v>195856.62245054395</v>
      </c>
      <c r="L59" s="307">
        <f t="shared" ca="1" si="11"/>
        <v>-865.65700000000004</v>
      </c>
      <c r="M59" s="307">
        <f ca="1">M58</f>
        <v>865.65700000000004</v>
      </c>
      <c r="N59" s="307">
        <f t="shared" ca="1" si="12"/>
        <v>194990.96545054394</v>
      </c>
      <c r="O59" s="306">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-614.83870590410481</v>
      </c>
      <c r="Y59" s="306">
        <v>0</v>
      </c>
      <c r="Z59" s="306">
        <v>0</v>
      </c>
      <c r="AA59" s="308">
        <f ca="1">-SUM(W59,X59/OFFSET(GridFootprintbyYear,$A59-$A$19,0)*EF_PurchElec_MTperMWh,Z59)*OFFSET(ExposureCalculations!Price_GHG_Allowance_2010,A59-$A$19,0)*ExposureCalculations!D56</f>
        <v>77724.148793111352</v>
      </c>
      <c r="AB59" s="308">
        <f t="shared" ca="1" si="3"/>
        <v>89827.071491827955</v>
      </c>
      <c r="AC59" s="308">
        <v>0</v>
      </c>
      <c r="AD59" s="819">
        <f t="shared" ca="1" si="4"/>
        <v>0</v>
      </c>
      <c r="AE59" s="308">
        <v>0</v>
      </c>
      <c r="AF59" s="819">
        <f t="shared" ca="1" si="5"/>
        <v>0</v>
      </c>
      <c r="AG59" s="308">
        <v>0</v>
      </c>
      <c r="AH59" s="308">
        <v>0</v>
      </c>
      <c r="AI59" s="308">
        <v>0</v>
      </c>
      <c r="AJ59" s="308">
        <f t="shared" ca="1" si="6"/>
        <v>89827.071491827955</v>
      </c>
      <c r="AK59" s="309">
        <v>0</v>
      </c>
      <c r="AL59" s="309">
        <v>0</v>
      </c>
      <c r="AM59" s="309">
        <f t="shared" si="19"/>
        <v>0</v>
      </c>
      <c r="AN59" s="310">
        <v>0</v>
      </c>
      <c r="AO59" s="310">
        <f ca="1">-OFFSET('Parabolic Trough SAM'!$C$13,0,Parabolic!A59-Parabolic!$A$29)</f>
        <v>0</v>
      </c>
      <c r="AP59" s="310">
        <f t="shared" ca="1" si="20"/>
        <v>0</v>
      </c>
      <c r="AQ59" s="309">
        <v>0</v>
      </c>
      <c r="AR59" s="311">
        <f t="shared" ca="1" si="7"/>
        <v>167551.22028493931</v>
      </c>
      <c r="AS59" s="870">
        <f t="shared" ca="1" si="21"/>
        <v>-8749832.8877173029</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sheetPr codeName="Sheet4"/>
  <dimension ref="A1:T147"/>
  <sheetViews>
    <sheetView workbookViewId="0">
      <selection sqref="A1:N1"/>
    </sheetView>
  </sheetViews>
  <sheetFormatPr defaultRowHeight="15"/>
  <cols>
    <col min="1" max="1" width="29.5703125" customWidth="1"/>
    <col min="2" max="2" width="13.28515625" customWidth="1"/>
    <col min="3" max="3" width="14.28515625" customWidth="1"/>
    <col min="7" max="7" width="41" customWidth="1"/>
    <col min="8" max="8" width="16" bestFit="1" customWidth="1"/>
    <col min="9" max="9" width="19.42578125" customWidth="1"/>
    <col min="10" max="13" width="16" bestFit="1" customWidth="1"/>
    <col min="14" max="14" width="15.85546875" bestFit="1" customWidth="1"/>
    <col min="15" max="15" width="19.5703125" customWidth="1"/>
  </cols>
  <sheetData>
    <row r="1" spans="1:15" ht="21">
      <c r="A1" s="1520" t="s">
        <v>67</v>
      </c>
      <c r="B1" s="1520"/>
      <c r="C1" s="1520"/>
      <c r="D1" s="1520"/>
      <c r="E1" s="1520"/>
      <c r="F1" s="1520"/>
      <c r="G1" s="1520"/>
      <c r="H1" s="1520"/>
      <c r="I1" s="1520"/>
      <c r="J1" s="1520"/>
      <c r="K1" s="1520"/>
      <c r="L1" s="1520"/>
      <c r="M1" s="1520"/>
      <c r="N1" s="1520"/>
    </row>
    <row r="2" spans="1:15">
      <c r="G2" s="383" t="s">
        <v>406</v>
      </c>
    </row>
    <row r="3" spans="1:15">
      <c r="A3" s="105"/>
      <c r="B3" s="106"/>
      <c r="C3" s="106"/>
      <c r="D3" s="106"/>
      <c r="E3" s="107"/>
      <c r="F3" s="107"/>
      <c r="G3" s="1521" t="s">
        <v>68</v>
      </c>
      <c r="H3" s="108" t="s">
        <v>69</v>
      </c>
      <c r="I3" s="108" t="s">
        <v>33</v>
      </c>
      <c r="J3" s="108" t="s">
        <v>34</v>
      </c>
      <c r="K3" s="108" t="s">
        <v>70</v>
      </c>
      <c r="L3" s="108" t="s">
        <v>71</v>
      </c>
      <c r="M3" s="108" t="s">
        <v>72</v>
      </c>
      <c r="N3" s="108" t="s">
        <v>7</v>
      </c>
    </row>
    <row r="4" spans="1:15">
      <c r="A4" s="109">
        <v>0.45400000000000001</v>
      </c>
      <c r="B4" s="110" t="s">
        <v>73</v>
      </c>
      <c r="C4" s="107"/>
      <c r="D4" s="107"/>
      <c r="E4" s="107"/>
      <c r="F4" s="107"/>
      <c r="G4" s="1522"/>
      <c r="H4" s="108" t="s">
        <v>74</v>
      </c>
      <c r="I4" s="108" t="s">
        <v>74</v>
      </c>
      <c r="J4" s="108" t="s">
        <v>74</v>
      </c>
      <c r="K4" s="108" t="s">
        <v>74</v>
      </c>
      <c r="L4" s="108" t="s">
        <v>74</v>
      </c>
      <c r="M4" s="108" t="s">
        <v>74</v>
      </c>
      <c r="N4" s="108" t="s">
        <v>75</v>
      </c>
    </row>
    <row r="5" spans="1:15">
      <c r="A5" s="109">
        <v>1E-3</v>
      </c>
      <c r="B5" s="110" t="s">
        <v>76</v>
      </c>
      <c r="C5" s="107"/>
      <c r="D5" s="107"/>
      <c r="E5" s="107"/>
      <c r="F5" s="107"/>
      <c r="G5" s="111" t="s">
        <v>77</v>
      </c>
      <c r="H5" s="112"/>
      <c r="I5" s="112"/>
      <c r="J5" s="112"/>
      <c r="K5" s="113"/>
      <c r="L5" s="113"/>
      <c r="M5" s="114"/>
      <c r="N5" s="158">
        <v>9.4E-2</v>
      </c>
    </row>
    <row r="6" spans="1:15">
      <c r="A6" s="110">
        <v>9.9999999999999995E-7</v>
      </c>
      <c r="B6" s="110" t="s">
        <v>78</v>
      </c>
      <c r="C6" s="107"/>
      <c r="D6" s="107"/>
      <c r="E6" s="107"/>
      <c r="F6" s="107"/>
      <c r="G6" s="111" t="s">
        <v>79</v>
      </c>
      <c r="H6" s="112"/>
      <c r="I6" s="116"/>
      <c r="J6" s="116"/>
      <c r="K6" s="117"/>
      <c r="L6" s="117"/>
      <c r="M6" s="118"/>
      <c r="N6" s="158">
        <v>7.1999999999999995E-2</v>
      </c>
    </row>
    <row r="7" spans="1:15">
      <c r="A7" s="109">
        <v>2000</v>
      </c>
      <c r="B7" s="110" t="s">
        <v>80</v>
      </c>
      <c r="C7" s="107"/>
      <c r="D7" s="107"/>
      <c r="E7" s="107"/>
      <c r="F7" s="107"/>
      <c r="G7" s="111" t="s">
        <v>81</v>
      </c>
      <c r="H7" s="112"/>
      <c r="I7" s="112"/>
      <c r="J7" s="112"/>
      <c r="K7" s="113"/>
      <c r="L7" s="113"/>
      <c r="M7" s="114"/>
      <c r="N7" s="115">
        <v>10.1</v>
      </c>
      <c r="O7" t="s">
        <v>367</v>
      </c>
    </row>
    <row r="8" spans="1:15">
      <c r="A8" s="109">
        <v>0.90720000000000001</v>
      </c>
      <c r="B8" s="110" t="s">
        <v>82</v>
      </c>
      <c r="C8" s="107"/>
      <c r="D8" s="107"/>
      <c r="E8" s="107"/>
      <c r="F8" s="107"/>
      <c r="G8" s="111" t="s">
        <v>83</v>
      </c>
      <c r="H8" s="112"/>
      <c r="I8" s="116"/>
      <c r="J8" s="116"/>
      <c r="K8" s="117"/>
      <c r="L8" s="117"/>
      <c r="M8" s="118"/>
      <c r="N8" s="115"/>
    </row>
    <row r="9" spans="1:15">
      <c r="A9" s="109">
        <v>2.8320000000000001E-2</v>
      </c>
      <c r="B9" s="110" t="s">
        <v>84</v>
      </c>
      <c r="C9" s="107"/>
      <c r="D9" s="107"/>
      <c r="E9" s="107"/>
      <c r="F9" s="107"/>
      <c r="G9" s="111" t="s">
        <v>85</v>
      </c>
      <c r="H9" s="112"/>
      <c r="I9" s="112"/>
      <c r="J9" s="112"/>
      <c r="K9" s="113"/>
      <c r="L9" s="113"/>
      <c r="M9" s="114"/>
      <c r="N9" s="158">
        <v>5.2999999999999999E-2</v>
      </c>
    </row>
    <row r="10" spans="1:15">
      <c r="A10" s="109">
        <v>3.785412</v>
      </c>
      <c r="B10" s="110" t="s">
        <v>86</v>
      </c>
      <c r="C10" s="107"/>
      <c r="D10" s="107"/>
      <c r="E10" s="107"/>
      <c r="F10" s="107"/>
      <c r="G10" s="111" t="s">
        <v>87</v>
      </c>
      <c r="H10" s="112"/>
      <c r="I10" s="112"/>
      <c r="J10" s="112"/>
      <c r="K10" s="113"/>
      <c r="L10" s="113"/>
      <c r="M10" s="114"/>
      <c r="N10" s="115"/>
    </row>
    <row r="11" spans="1:15">
      <c r="A11" s="109">
        <v>0.159</v>
      </c>
      <c r="B11" s="110" t="s">
        <v>88</v>
      </c>
      <c r="C11" s="107"/>
      <c r="D11" s="107"/>
      <c r="E11" s="107"/>
      <c r="F11" s="107"/>
      <c r="G11" s="111" t="s">
        <v>89</v>
      </c>
      <c r="H11" s="112"/>
      <c r="I11" s="116"/>
      <c r="J11" s="116"/>
      <c r="K11" s="117"/>
      <c r="L11" s="117"/>
      <c r="M11" s="118"/>
      <c r="N11" s="115"/>
    </row>
    <row r="12" spans="1:15">
      <c r="A12" s="123">
        <v>1000</v>
      </c>
      <c r="B12" t="s">
        <v>92</v>
      </c>
      <c r="D12" s="107"/>
      <c r="E12" s="107"/>
      <c r="F12" s="107"/>
      <c r="G12" s="119" t="s">
        <v>90</v>
      </c>
      <c r="H12" s="108" t="s">
        <v>74</v>
      </c>
      <c r="I12" s="108" t="s">
        <v>74</v>
      </c>
      <c r="J12" s="108" t="s">
        <v>74</v>
      </c>
      <c r="K12" s="120"/>
      <c r="L12" s="120"/>
      <c r="M12" s="120"/>
      <c r="N12" s="121"/>
    </row>
    <row r="13" spans="1:15">
      <c r="A13" s="123">
        <v>1000000</v>
      </c>
      <c r="B13" t="s">
        <v>93</v>
      </c>
      <c r="D13" s="107"/>
      <c r="E13" s="107"/>
      <c r="F13" s="107"/>
      <c r="G13" s="38"/>
      <c r="H13" s="112"/>
      <c r="I13" s="112"/>
      <c r="J13" s="112"/>
      <c r="K13" s="113"/>
      <c r="L13" s="113"/>
      <c r="M13" s="114"/>
      <c r="N13" s="158">
        <f ca="1">EF_PurchElec_MTperMWh/BTU_Electric_per_kWh*1000</f>
        <v>0.20816433913481006</v>
      </c>
    </row>
    <row r="14" spans="1:15">
      <c r="A14" s="123">
        <v>1000</v>
      </c>
      <c r="B14" t="s">
        <v>94</v>
      </c>
      <c r="D14" s="107"/>
      <c r="E14" s="107"/>
      <c r="F14" s="107"/>
      <c r="G14" s="339" t="s">
        <v>90</v>
      </c>
      <c r="H14" s="108" t="s">
        <v>336</v>
      </c>
      <c r="I14" s="108" t="s">
        <v>336</v>
      </c>
      <c r="J14" s="108" t="s">
        <v>336</v>
      </c>
      <c r="K14" s="120"/>
      <c r="L14" s="120"/>
      <c r="M14" s="120"/>
      <c r="N14" s="108" t="s">
        <v>336</v>
      </c>
    </row>
    <row r="15" spans="1:15">
      <c r="A15" s="123">
        <v>1000000</v>
      </c>
      <c r="B15" t="s">
        <v>95</v>
      </c>
      <c r="D15" s="107"/>
      <c r="E15" s="107"/>
      <c r="F15" s="107"/>
      <c r="G15" s="340"/>
      <c r="H15" s="112"/>
      <c r="I15" s="112"/>
      <c r="J15" s="112"/>
      <c r="K15" s="113"/>
      <c r="L15" s="113"/>
      <c r="M15" s="114"/>
      <c r="N15" s="158">
        <f ca="1">'GHG Emissions'!J12/UtilityDemand!C11</f>
        <v>0.71025672512797189</v>
      </c>
    </row>
    <row r="16" spans="1:15">
      <c r="A16" s="124">
        <v>2000</v>
      </c>
      <c r="B16" t="s">
        <v>96</v>
      </c>
      <c r="D16" s="107"/>
      <c r="E16" s="107"/>
      <c r="F16" s="107"/>
      <c r="G16" s="119" t="s">
        <v>673</v>
      </c>
      <c r="H16" s="108" t="s">
        <v>74</v>
      </c>
      <c r="I16" s="108" t="s">
        <v>74</v>
      </c>
      <c r="J16" s="108" t="s">
        <v>74</v>
      </c>
      <c r="K16" s="120"/>
      <c r="L16" s="120"/>
      <c r="M16" s="120"/>
      <c r="N16" s="121"/>
    </row>
    <row r="17" spans="1:14">
      <c r="A17" s="124">
        <v>2204.6</v>
      </c>
      <c r="B17" t="s">
        <v>97</v>
      </c>
      <c r="F17" s="107"/>
      <c r="G17" s="38" t="s">
        <v>9</v>
      </c>
      <c r="H17" s="112"/>
      <c r="I17" s="112"/>
      <c r="J17" s="112"/>
      <c r="K17" s="113"/>
      <c r="L17" s="113"/>
      <c r="M17" s="114"/>
      <c r="N17" s="158">
        <f>'2009 Inventory'!C11/UtilityDemand!E11</f>
        <v>0.10777648330895695</v>
      </c>
    </row>
    <row r="18" spans="1:14">
      <c r="A18" s="123">
        <v>10</v>
      </c>
      <c r="B18" t="s">
        <v>98</v>
      </c>
      <c r="F18" s="107"/>
      <c r="G18" s="38" t="s">
        <v>674</v>
      </c>
      <c r="H18" s="112"/>
      <c r="I18" s="112"/>
      <c r="J18" s="112"/>
      <c r="K18" s="113"/>
      <c r="L18" s="113"/>
      <c r="M18" s="114"/>
      <c r="N18" s="158">
        <f>'2009 Inventory'!C12/UtilityDemand!G11</f>
        <v>0.11878437102256738</v>
      </c>
    </row>
    <row r="19" spans="1:14">
      <c r="A19" s="123">
        <v>1000</v>
      </c>
      <c r="B19" t="s">
        <v>100</v>
      </c>
      <c r="F19" s="107"/>
      <c r="G19" s="119" t="s">
        <v>91</v>
      </c>
      <c r="H19" s="121" t="s">
        <v>32</v>
      </c>
      <c r="I19" s="121" t="s">
        <v>33</v>
      </c>
      <c r="J19" s="121" t="s">
        <v>34</v>
      </c>
      <c r="K19" s="120"/>
      <c r="L19" s="120"/>
      <c r="M19" s="120"/>
      <c r="N19" s="121"/>
    </row>
    <row r="20" spans="1:14">
      <c r="A20" s="123">
        <v>124000</v>
      </c>
      <c r="B20" t="s">
        <v>101</v>
      </c>
      <c r="F20" s="107"/>
      <c r="G20" s="111"/>
      <c r="H20" s="122">
        <v>1</v>
      </c>
      <c r="I20" s="122">
        <v>23</v>
      </c>
      <c r="J20" s="122">
        <v>296</v>
      </c>
      <c r="K20" s="122"/>
      <c r="L20" s="122"/>
      <c r="M20" s="114"/>
      <c r="N20" s="111"/>
    </row>
    <row r="21" spans="1:14">
      <c r="A21" s="125" t="s">
        <v>102</v>
      </c>
      <c r="B21" s="126"/>
      <c r="C21" s="126"/>
      <c r="D21" s="126"/>
      <c r="E21" s="126"/>
    </row>
    <row r="23" spans="1:14">
      <c r="A23" t="s">
        <v>103</v>
      </c>
      <c r="B23" s="123">
        <v>3412</v>
      </c>
      <c r="C23" s="137" t="s">
        <v>104</v>
      </c>
      <c r="D23" s="107"/>
      <c r="E23" s="107"/>
      <c r="G23" s="827"/>
      <c r="H23" s="827"/>
      <c r="I23" s="827"/>
      <c r="J23" s="827"/>
      <c r="K23" s="827"/>
      <c r="L23" s="827"/>
      <c r="M23" s="827"/>
      <c r="N23" s="827"/>
    </row>
    <row r="24" spans="1:14">
      <c r="A24" t="s">
        <v>9</v>
      </c>
      <c r="B24" s="123">
        <v>1175</v>
      </c>
      <c r="C24" s="137" t="s">
        <v>99</v>
      </c>
      <c r="D24" s="107"/>
      <c r="E24" s="107"/>
      <c r="G24" s="827"/>
      <c r="H24" s="827"/>
      <c r="I24" s="827"/>
      <c r="J24" s="827"/>
      <c r="K24" s="827"/>
      <c r="L24" s="827"/>
      <c r="M24" s="827"/>
      <c r="N24" s="827"/>
    </row>
    <row r="25" spans="1:14">
      <c r="A25" t="s">
        <v>10</v>
      </c>
      <c r="B25" s="123">
        <v>12000</v>
      </c>
      <c r="C25" s="137" t="s">
        <v>105</v>
      </c>
      <c r="D25" s="107"/>
      <c r="E25" s="107"/>
      <c r="G25" s="827"/>
      <c r="H25" s="827"/>
      <c r="I25" s="827"/>
      <c r="J25" s="827"/>
      <c r="K25" s="827"/>
      <c r="L25" s="827"/>
      <c r="M25" s="827"/>
      <c r="N25" s="827"/>
    </row>
    <row r="26" spans="1:14">
      <c r="B26" s="123"/>
      <c r="C26" s="137"/>
      <c r="D26" s="107"/>
      <c r="E26" s="107"/>
      <c r="G26" s="827"/>
      <c r="H26" s="827"/>
      <c r="I26" s="827"/>
      <c r="J26" s="827"/>
      <c r="K26" s="827"/>
      <c r="L26" s="827"/>
      <c r="M26" s="827"/>
      <c r="N26" s="827"/>
    </row>
    <row r="27" spans="1:14">
      <c r="A27" t="s">
        <v>836</v>
      </c>
      <c r="B27" s="320">
        <v>0.85</v>
      </c>
      <c r="C27" s="137"/>
      <c r="D27" s="107"/>
      <c r="E27" s="107"/>
      <c r="G27" s="827"/>
      <c r="H27" s="827"/>
      <c r="I27" s="827"/>
      <c r="J27" s="827"/>
      <c r="K27" s="827"/>
      <c r="L27" s="827"/>
      <c r="M27" s="827"/>
      <c r="N27" s="827"/>
    </row>
    <row r="28" spans="1:14">
      <c r="G28" t="s">
        <v>361</v>
      </c>
    </row>
    <row r="29" spans="1:14">
      <c r="A29" s="105" t="s">
        <v>106</v>
      </c>
      <c r="B29" s="381" t="s">
        <v>404</v>
      </c>
      <c r="C29" s="106"/>
      <c r="D29" s="127"/>
      <c r="E29" s="127"/>
      <c r="F29" s="107"/>
      <c r="G29" s="126" t="s">
        <v>362</v>
      </c>
      <c r="H29" s="126" t="s">
        <v>363</v>
      </c>
      <c r="I29" s="126" t="s">
        <v>364</v>
      </c>
    </row>
    <row r="30" spans="1:14" ht="15" customHeight="1">
      <c r="A30" s="107" t="s">
        <v>107</v>
      </c>
      <c r="B30" s="128">
        <v>1.8814390095546862E-2</v>
      </c>
      <c r="C30" s="107" t="s">
        <v>1554</v>
      </c>
      <c r="D30" s="129"/>
      <c r="E30" s="129"/>
      <c r="F30" s="107"/>
      <c r="G30" t="s">
        <v>973</v>
      </c>
      <c r="H30" s="1526" t="s">
        <v>366</v>
      </c>
      <c r="I30" s="1526"/>
    </row>
    <row r="31" spans="1:14">
      <c r="A31" s="107" t="s">
        <v>108</v>
      </c>
      <c r="B31" s="130">
        <f>B30</f>
        <v>1.8814390095546862E-2</v>
      </c>
      <c r="C31" s="107"/>
      <c r="D31" s="129"/>
      <c r="E31" s="129"/>
      <c r="F31" s="107"/>
      <c r="G31" t="s">
        <v>974</v>
      </c>
      <c r="H31" s="1526"/>
      <c r="I31" s="1526"/>
    </row>
    <row r="32" spans="1:14">
      <c r="A32" s="107" t="s">
        <v>360</v>
      </c>
      <c r="B32" s="130">
        <v>0.01</v>
      </c>
      <c r="C32" s="107"/>
      <c r="D32" s="129"/>
      <c r="E32" s="129"/>
      <c r="F32" s="107"/>
      <c r="G32" t="s">
        <v>975</v>
      </c>
      <c r="H32" s="1526"/>
      <c r="I32" s="1526"/>
    </row>
    <row r="33" spans="1:14">
      <c r="A33" s="107"/>
      <c r="B33" s="107"/>
      <c r="C33" s="107"/>
      <c r="D33" s="129"/>
      <c r="E33" s="129"/>
      <c r="G33" t="s">
        <v>26</v>
      </c>
      <c r="H33" s="1526"/>
      <c r="I33" s="1526"/>
    </row>
    <row r="34" spans="1:14">
      <c r="A34" s="132" t="s">
        <v>109</v>
      </c>
      <c r="B34" s="107"/>
      <c r="C34" s="107"/>
      <c r="D34" s="129"/>
      <c r="E34" s="129"/>
      <c r="G34" s="126" t="s">
        <v>365</v>
      </c>
      <c r="H34" s="126" t="s">
        <v>363</v>
      </c>
      <c r="I34" s="126" t="s">
        <v>364</v>
      </c>
    </row>
    <row r="35" spans="1:14">
      <c r="A35" s="133" t="s">
        <v>110</v>
      </c>
      <c r="B35" s="134"/>
      <c r="C35" s="107"/>
      <c r="D35" s="107"/>
      <c r="E35" s="107"/>
      <c r="G35" t="s">
        <v>973</v>
      </c>
      <c r="H35" s="347"/>
      <c r="I35" s="347"/>
    </row>
    <row r="36" spans="1:14">
      <c r="A36" s="133" t="s">
        <v>103</v>
      </c>
      <c r="B36" s="134"/>
      <c r="C36" s="107"/>
      <c r="D36" s="107"/>
      <c r="E36" s="107"/>
      <c r="G36" t="s">
        <v>974</v>
      </c>
      <c r="H36" s="347"/>
      <c r="I36" s="347"/>
    </row>
    <row r="37" spans="1:14">
      <c r="A37" s="133" t="s">
        <v>9</v>
      </c>
      <c r="B37" s="134">
        <v>0.09</v>
      </c>
      <c r="C37" s="107"/>
      <c r="D37" s="107"/>
      <c r="E37" s="107"/>
      <c r="G37" t="s">
        <v>975</v>
      </c>
      <c r="H37" s="347"/>
      <c r="I37" s="347"/>
    </row>
    <row r="38" spans="1:14">
      <c r="A38" s="107"/>
      <c r="B38" s="107"/>
      <c r="C38" s="107"/>
      <c r="D38" s="107"/>
      <c r="E38" s="107"/>
      <c r="G38" t="s">
        <v>26</v>
      </c>
      <c r="H38" s="347"/>
      <c r="I38" s="347"/>
    </row>
    <row r="39" spans="1:14">
      <c r="A39" s="135" t="s">
        <v>111</v>
      </c>
      <c r="B39" s="381" t="s">
        <v>404</v>
      </c>
      <c r="C39" s="106"/>
      <c r="D39" s="106"/>
      <c r="E39" s="106"/>
      <c r="G39" s="126"/>
      <c r="H39" s="126" t="s">
        <v>363</v>
      </c>
      <c r="I39" s="126" t="s">
        <v>364</v>
      </c>
    </row>
    <row r="40" spans="1:14">
      <c r="A40" s="133" t="s">
        <v>1553</v>
      </c>
      <c r="B40" s="136">
        <v>7.4999999999999997E-2</v>
      </c>
      <c r="C40" s="107"/>
      <c r="D40" s="107"/>
      <c r="E40" s="107"/>
      <c r="G40" t="s">
        <v>973</v>
      </c>
      <c r="H40" s="347"/>
      <c r="I40" s="347"/>
    </row>
    <row r="41" spans="1:14">
      <c r="A41" s="133" t="s">
        <v>107</v>
      </c>
      <c r="B41" s="1302">
        <f>Inflation</f>
        <v>1.8814390095546862E-2</v>
      </c>
      <c r="C41" s="1303"/>
      <c r="E41" s="107"/>
      <c r="G41" t="s">
        <v>974</v>
      </c>
      <c r="H41" s="347"/>
      <c r="I41" s="347"/>
    </row>
    <row r="42" spans="1:14">
      <c r="A42" s="107" t="s">
        <v>2961</v>
      </c>
      <c r="B42" s="136">
        <f>B40-B41</f>
        <v>5.6185609904453135E-2</v>
      </c>
      <c r="C42" s="107"/>
      <c r="D42" s="107"/>
      <c r="E42" s="107"/>
      <c r="G42" t="s">
        <v>975</v>
      </c>
      <c r="H42" s="347"/>
      <c r="I42" s="347"/>
      <c r="K42" s="320"/>
      <c r="L42" s="320"/>
    </row>
    <row r="43" spans="1:14">
      <c r="A43" t="s">
        <v>334</v>
      </c>
      <c r="B43">
        <v>2009</v>
      </c>
      <c r="G43" t="s">
        <v>26</v>
      </c>
      <c r="H43" s="351"/>
      <c r="I43" s="351"/>
      <c r="K43" s="320"/>
      <c r="L43" s="320"/>
    </row>
    <row r="44" spans="1:14">
      <c r="A44" t="s">
        <v>335</v>
      </c>
      <c r="B44">
        <v>2010</v>
      </c>
      <c r="H44" s="107"/>
      <c r="I44" s="107"/>
      <c r="K44" s="320"/>
      <c r="L44" s="320"/>
    </row>
    <row r="45" spans="1:14">
      <c r="H45" s="107"/>
      <c r="I45" s="131"/>
      <c r="J45" s="107"/>
      <c r="K45" s="320"/>
      <c r="L45" s="320"/>
      <c r="M45" s="107"/>
      <c r="N45" s="131"/>
    </row>
    <row r="46" spans="1:14">
      <c r="J46" s="107"/>
      <c r="K46" s="107"/>
      <c r="L46" s="107"/>
      <c r="M46" s="107"/>
      <c r="N46" s="131"/>
    </row>
    <row r="47" spans="1:14" ht="15.75">
      <c r="A47" s="135" t="s">
        <v>648</v>
      </c>
      <c r="B47" s="381"/>
      <c r="C47" s="106"/>
      <c r="D47" s="106"/>
      <c r="E47" s="106"/>
      <c r="G47" s="1220"/>
      <c r="H47" s="1221"/>
      <c r="I47" s="1221"/>
    </row>
    <row r="48" spans="1:14">
      <c r="A48" t="s">
        <v>937</v>
      </c>
      <c r="G48" s="1523"/>
      <c r="H48" s="1524"/>
      <c r="I48" s="1525"/>
    </row>
    <row r="49" spans="1:20">
      <c r="A49" t="s">
        <v>936</v>
      </c>
      <c r="G49" s="1523"/>
      <c r="H49" s="1524"/>
      <c r="I49" s="1525"/>
      <c r="J49" s="1221"/>
      <c r="K49" s="1221"/>
      <c r="L49" s="1221"/>
      <c r="M49" s="1221"/>
      <c r="N49" s="1221"/>
      <c r="O49" s="1221"/>
      <c r="P49" s="827"/>
      <c r="Q49" s="827"/>
      <c r="R49" s="827"/>
      <c r="S49" s="827"/>
      <c r="T49" s="827"/>
    </row>
    <row r="50" spans="1:20">
      <c r="A50" t="s">
        <v>938</v>
      </c>
      <c r="G50" s="1222"/>
      <c r="H50" s="1524"/>
      <c r="I50" s="1525"/>
      <c r="J50" s="1519"/>
      <c r="K50" s="1519"/>
      <c r="L50" s="1519"/>
      <c r="M50" s="1519"/>
      <c r="N50" s="1519"/>
      <c r="O50" s="1518"/>
      <c r="P50" s="827"/>
      <c r="Q50" s="1519"/>
      <c r="R50" s="1519"/>
      <c r="S50" s="827"/>
      <c r="T50" s="827"/>
    </row>
    <row r="51" spans="1:20">
      <c r="A51" t="s">
        <v>941</v>
      </c>
      <c r="G51" s="1222"/>
      <c r="H51" s="1224"/>
      <c r="I51" s="1225"/>
      <c r="J51" s="1519"/>
      <c r="K51" s="1519"/>
      <c r="L51" s="1519"/>
      <c r="M51" s="1519"/>
      <c r="N51" s="1519"/>
      <c r="O51" s="1518"/>
      <c r="P51" s="827"/>
      <c r="Q51" s="1519"/>
      <c r="R51" s="1519"/>
      <c r="S51" s="827"/>
      <c r="T51" s="827"/>
    </row>
    <row r="52" spans="1:20">
      <c r="A52" t="s">
        <v>687</v>
      </c>
      <c r="G52" s="1222"/>
      <c r="H52" s="1224"/>
      <c r="I52" s="1225"/>
      <c r="J52" s="1223"/>
      <c r="K52" s="1223"/>
      <c r="L52" s="1223"/>
      <c r="M52" s="1223"/>
      <c r="N52" s="1223"/>
      <c r="O52" s="1223"/>
      <c r="P52" s="827"/>
      <c r="Q52" s="1223"/>
      <c r="R52" s="1223"/>
      <c r="S52" s="827"/>
      <c r="T52" s="827"/>
    </row>
    <row r="53" spans="1:20">
      <c r="A53" t="s">
        <v>942</v>
      </c>
      <c r="G53" s="1222"/>
      <c r="H53" s="1224"/>
      <c r="I53" s="1225"/>
      <c r="J53" s="1226"/>
      <c r="K53" s="1226"/>
      <c r="L53" s="1226"/>
      <c r="M53" s="1227"/>
      <c r="N53" s="1228"/>
      <c r="O53" s="1229"/>
      <c r="P53" s="827"/>
      <c r="Q53" s="1230"/>
      <c r="R53" s="1230"/>
      <c r="S53" s="827"/>
      <c r="T53" s="827"/>
    </row>
    <row r="54" spans="1:20">
      <c r="A54" t="s">
        <v>939</v>
      </c>
      <c r="G54" s="1231"/>
      <c r="H54" s="1232"/>
      <c r="I54" s="1233"/>
      <c r="J54" s="1226"/>
      <c r="K54" s="1226"/>
      <c r="L54" s="1226"/>
      <c r="M54" s="1227"/>
      <c r="N54" s="1228"/>
      <c r="O54" s="1229"/>
      <c r="P54" s="827"/>
      <c r="Q54" s="1230"/>
      <c r="R54" s="1230"/>
      <c r="S54" s="827"/>
      <c r="T54" s="827"/>
    </row>
    <row r="55" spans="1:20">
      <c r="A55" t="s">
        <v>940</v>
      </c>
      <c r="G55" s="827"/>
      <c r="H55" s="827"/>
      <c r="I55" s="827"/>
      <c r="J55" s="1226"/>
      <c r="K55" s="1226"/>
      <c r="L55" s="1226"/>
      <c r="M55" s="1227"/>
      <c r="N55" s="1228"/>
      <c r="O55" s="1229"/>
      <c r="P55" s="827"/>
      <c r="Q55" s="1230"/>
      <c r="R55" s="1230"/>
      <c r="S55" s="827"/>
      <c r="T55" s="827"/>
    </row>
    <row r="56" spans="1:20">
      <c r="A56" t="s">
        <v>651</v>
      </c>
      <c r="G56" s="827"/>
      <c r="H56" s="827"/>
      <c r="I56" s="827"/>
      <c r="J56" s="1226"/>
      <c r="K56" s="1226"/>
      <c r="L56" s="1226"/>
      <c r="M56" s="1226"/>
      <c r="N56" s="1226"/>
      <c r="O56" s="1234"/>
      <c r="P56" s="827"/>
      <c r="Q56" s="827"/>
      <c r="R56" s="827"/>
      <c r="S56" s="827"/>
      <c r="T56" s="827"/>
    </row>
    <row r="57" spans="1:20">
      <c r="G57" s="827"/>
      <c r="H57" s="827"/>
      <c r="I57" s="827"/>
      <c r="J57" s="827"/>
      <c r="K57" s="827"/>
      <c r="L57" s="827"/>
      <c r="M57" s="827"/>
      <c r="N57" s="827"/>
      <c r="O57" s="827"/>
      <c r="P57" s="827"/>
      <c r="Q57" s="827"/>
      <c r="R57" s="827"/>
      <c r="S57" s="827"/>
      <c r="T57" s="827"/>
    </row>
    <row r="58" spans="1:20">
      <c r="A58" s="135" t="s">
        <v>725</v>
      </c>
      <c r="B58" s="381"/>
      <c r="C58" s="106"/>
      <c r="D58" s="106"/>
      <c r="E58" s="106"/>
      <c r="G58" s="827"/>
      <c r="H58" s="827"/>
      <c r="I58" s="827"/>
      <c r="J58" s="827"/>
      <c r="K58" s="827"/>
      <c r="L58" s="827"/>
      <c r="M58" s="827"/>
      <c r="N58" s="827"/>
      <c r="O58" s="827"/>
      <c r="P58" s="827"/>
      <c r="Q58" s="827"/>
      <c r="R58" s="827"/>
      <c r="S58" s="827"/>
      <c r="T58" s="827"/>
    </row>
    <row r="59" spans="1:20">
      <c r="A59" s="886">
        <v>0</v>
      </c>
      <c r="J59" s="827"/>
      <c r="K59" s="827"/>
      <c r="L59" s="827"/>
      <c r="M59" s="827"/>
      <c r="N59" s="827"/>
      <c r="O59" s="827"/>
      <c r="P59" s="827"/>
      <c r="Q59" s="827"/>
      <c r="R59" s="827"/>
      <c r="S59" s="827"/>
      <c r="T59" s="827"/>
    </row>
    <row r="60" spans="1:20">
      <c r="A60" s="886">
        <v>5.0000000000000001E-3</v>
      </c>
      <c r="J60" s="827"/>
      <c r="K60" s="827"/>
      <c r="L60" s="827"/>
      <c r="M60" s="827"/>
      <c r="N60" s="827"/>
      <c r="O60" s="827"/>
      <c r="P60" s="827"/>
      <c r="Q60" s="827"/>
      <c r="R60" s="827"/>
      <c r="S60" s="827"/>
      <c r="T60" s="827"/>
    </row>
    <row r="61" spans="1:20">
      <c r="A61" s="886">
        <v>0.01</v>
      </c>
    </row>
    <row r="62" spans="1:20">
      <c r="A62" s="886">
        <v>1.4999999999999999E-2</v>
      </c>
    </row>
    <row r="63" spans="1:20">
      <c r="A63" s="886">
        <v>0.02</v>
      </c>
    </row>
    <row r="64" spans="1:20">
      <c r="A64" s="886">
        <v>2.5000000000000001E-2</v>
      </c>
    </row>
    <row r="72" spans="1:3">
      <c r="A72" s="383" t="s">
        <v>763</v>
      </c>
    </row>
    <row r="73" spans="1:3" hidden="1"/>
    <row r="74" spans="1:3" ht="26.25" hidden="1" thickBot="1">
      <c r="A74" s="889" t="s">
        <v>727</v>
      </c>
      <c r="B74" s="890" t="s">
        <v>728</v>
      </c>
      <c r="C74" s="890" t="s">
        <v>729</v>
      </c>
    </row>
    <row r="75" spans="1:3" ht="26.25" hidden="1" thickBot="1">
      <c r="A75" s="891" t="s">
        <v>730</v>
      </c>
      <c r="B75" s="892" t="s">
        <v>731</v>
      </c>
      <c r="C75" s="892">
        <v>12.545</v>
      </c>
    </row>
    <row r="76" spans="1:3" ht="26.25" hidden="1" thickBot="1">
      <c r="A76" s="891" t="s">
        <v>730</v>
      </c>
      <c r="B76" s="892" t="s">
        <v>732</v>
      </c>
      <c r="C76" s="892">
        <v>1000</v>
      </c>
    </row>
    <row r="77" spans="1:3" ht="39" hidden="1" thickBot="1">
      <c r="A77" s="891" t="s">
        <v>730</v>
      </c>
      <c r="B77" s="892" t="s">
        <v>733</v>
      </c>
      <c r="C77" s="892">
        <v>12545</v>
      </c>
    </row>
    <row r="78" spans="1:3" ht="39" hidden="1" thickBot="1">
      <c r="A78" s="891" t="s">
        <v>730</v>
      </c>
      <c r="B78" s="892" t="s">
        <v>734</v>
      </c>
      <c r="C78" s="892">
        <v>12545000</v>
      </c>
    </row>
    <row r="79" spans="1:3" ht="15.75" hidden="1" thickBot="1">
      <c r="A79" s="891" t="s">
        <v>730</v>
      </c>
      <c r="B79" s="892" t="s">
        <v>735</v>
      </c>
      <c r="C79" s="892">
        <v>25090</v>
      </c>
    </row>
    <row r="80" spans="1:3" ht="26.25" hidden="1" thickBot="1">
      <c r="A80" s="891" t="s">
        <v>736</v>
      </c>
      <c r="B80" s="892" t="s">
        <v>731</v>
      </c>
      <c r="C80" s="892">
        <v>12.465</v>
      </c>
    </row>
    <row r="81" spans="1:3" ht="26.25" hidden="1" thickBot="1">
      <c r="A81" s="891" t="s">
        <v>736</v>
      </c>
      <c r="B81" s="892" t="s">
        <v>732</v>
      </c>
      <c r="C81" s="892">
        <v>1000</v>
      </c>
    </row>
    <row r="82" spans="1:3" ht="39" hidden="1" thickBot="1">
      <c r="A82" s="891" t="s">
        <v>736</v>
      </c>
      <c r="B82" s="892" t="s">
        <v>733</v>
      </c>
      <c r="C82" s="892">
        <v>12465</v>
      </c>
    </row>
    <row r="83" spans="1:3" ht="39" hidden="1" thickBot="1">
      <c r="A83" s="891" t="s">
        <v>736</v>
      </c>
      <c r="B83" s="892" t="s">
        <v>734</v>
      </c>
      <c r="C83" s="892">
        <v>12465000</v>
      </c>
    </row>
    <row r="84" spans="1:3" ht="15.75" hidden="1" thickBot="1">
      <c r="A84" s="891" t="s">
        <v>736</v>
      </c>
      <c r="B84" s="892" t="s">
        <v>735</v>
      </c>
      <c r="C84" s="892">
        <v>24930</v>
      </c>
    </row>
    <row r="85" spans="1:3" ht="26.25" hidden="1" thickBot="1">
      <c r="A85" s="891" t="s">
        <v>737</v>
      </c>
      <c r="B85" s="892" t="s">
        <v>731</v>
      </c>
      <c r="C85" s="892">
        <v>12.4</v>
      </c>
    </row>
    <row r="86" spans="1:3" ht="26.25" hidden="1" thickBot="1">
      <c r="A86" s="891" t="s">
        <v>737</v>
      </c>
      <c r="B86" s="892" t="s">
        <v>732</v>
      </c>
      <c r="C86" s="892">
        <v>1000</v>
      </c>
    </row>
    <row r="87" spans="1:3" ht="39" hidden="1" thickBot="1">
      <c r="A87" s="891" t="s">
        <v>737</v>
      </c>
      <c r="B87" s="892" t="s">
        <v>733</v>
      </c>
      <c r="C87" s="892">
        <v>12400</v>
      </c>
    </row>
    <row r="88" spans="1:3" ht="39" thickBot="1">
      <c r="A88" s="891" t="s">
        <v>737</v>
      </c>
      <c r="B88" s="892" t="s">
        <v>734</v>
      </c>
      <c r="C88" s="892">
        <v>12400000</v>
      </c>
    </row>
    <row r="89" spans="1:3" ht="15.75" thickBot="1">
      <c r="A89" s="891" t="s">
        <v>737</v>
      </c>
      <c r="B89" s="892" t="s">
        <v>735</v>
      </c>
      <c r="C89" s="892">
        <v>24800</v>
      </c>
    </row>
    <row r="90" spans="1:3" ht="26.25" thickBot="1">
      <c r="A90" s="891" t="s">
        <v>353</v>
      </c>
      <c r="B90" s="892" t="s">
        <v>732</v>
      </c>
      <c r="C90" s="892">
        <v>1000</v>
      </c>
    </row>
    <row r="91" spans="1:3" ht="15.75" thickBot="1">
      <c r="A91" s="891" t="s">
        <v>353</v>
      </c>
      <c r="B91" s="892" t="s">
        <v>738</v>
      </c>
      <c r="C91" s="892">
        <v>138.69049999999999</v>
      </c>
    </row>
    <row r="92" spans="1:3" ht="15.75" thickBot="1">
      <c r="A92" s="891" t="s">
        <v>353</v>
      </c>
      <c r="B92" s="892" t="s">
        <v>739</v>
      </c>
      <c r="C92" s="892">
        <v>36.06</v>
      </c>
    </row>
    <row r="93" spans="1:3" ht="26.25" thickBot="1">
      <c r="A93" s="891" t="s">
        <v>740</v>
      </c>
      <c r="B93" s="892" t="s">
        <v>732</v>
      </c>
      <c r="C93" s="892">
        <v>1000</v>
      </c>
    </row>
    <row r="94" spans="1:3" ht="15.75" thickBot="1">
      <c r="A94" s="891" t="s">
        <v>741</v>
      </c>
      <c r="B94" s="892" t="s">
        <v>742</v>
      </c>
      <c r="C94" s="892">
        <v>12</v>
      </c>
    </row>
    <row r="95" spans="1:3" ht="26.25" thickBot="1">
      <c r="A95" s="891" t="s">
        <v>743</v>
      </c>
      <c r="B95" s="892" t="s">
        <v>732</v>
      </c>
      <c r="C95" s="892">
        <v>1000</v>
      </c>
    </row>
    <row r="96" spans="1:3" ht="15.75" thickBot="1">
      <c r="A96" s="891" t="s">
        <v>743</v>
      </c>
      <c r="B96" s="892" t="s">
        <v>744</v>
      </c>
      <c r="C96" s="892">
        <v>100</v>
      </c>
    </row>
    <row r="97" spans="1:3" ht="26.25" thickBot="1">
      <c r="A97" s="891" t="s">
        <v>745</v>
      </c>
      <c r="B97" s="892" t="s">
        <v>732</v>
      </c>
      <c r="C97" s="892">
        <v>1000</v>
      </c>
    </row>
    <row r="98" spans="1:3" ht="26.25" thickBot="1">
      <c r="A98" s="891" t="s">
        <v>745</v>
      </c>
      <c r="B98" s="892" t="s">
        <v>731</v>
      </c>
      <c r="C98" s="892">
        <v>1.194</v>
      </c>
    </row>
    <row r="99" spans="1:3" ht="39" thickBot="1">
      <c r="A99" s="891" t="s">
        <v>745</v>
      </c>
      <c r="B99" s="892" t="s">
        <v>733</v>
      </c>
      <c r="C99" s="892">
        <v>1194</v>
      </c>
    </row>
    <row r="100" spans="1:3" ht="39" thickBot="1">
      <c r="A100" s="891" t="s">
        <v>745</v>
      </c>
      <c r="B100" s="892" t="s">
        <v>734</v>
      </c>
      <c r="C100" s="892">
        <v>1194000</v>
      </c>
    </row>
    <row r="101" spans="1:3" ht="15.75" thickBot="1">
      <c r="A101" s="891" t="s">
        <v>745</v>
      </c>
      <c r="B101" s="892" t="s">
        <v>744</v>
      </c>
      <c r="C101" s="892">
        <v>100</v>
      </c>
    </row>
    <row r="102" spans="1:3" ht="39" thickBot="1">
      <c r="A102" s="891" t="s">
        <v>746</v>
      </c>
      <c r="B102" s="892" t="s">
        <v>747</v>
      </c>
      <c r="C102" s="892">
        <v>3.4119999999999999</v>
      </c>
    </row>
    <row r="103" spans="1:3" ht="26.25" thickBot="1">
      <c r="A103" s="891" t="s">
        <v>746</v>
      </c>
      <c r="B103" s="892" t="s">
        <v>748</v>
      </c>
      <c r="C103" s="892">
        <v>3412</v>
      </c>
    </row>
    <row r="104" spans="1:3" ht="26.25" thickBot="1">
      <c r="A104" s="891" t="s">
        <v>746</v>
      </c>
      <c r="B104" s="892" t="s">
        <v>732</v>
      </c>
      <c r="C104" s="892">
        <v>1000</v>
      </c>
    </row>
    <row r="105" spans="1:3" ht="39" thickBot="1">
      <c r="A105" s="891" t="s">
        <v>749</v>
      </c>
      <c r="B105" s="892" t="s">
        <v>747</v>
      </c>
      <c r="C105" s="892">
        <v>3.4119999999999999</v>
      </c>
    </row>
    <row r="106" spans="1:3" ht="26.25" thickBot="1">
      <c r="A106" s="891" t="s">
        <v>749</v>
      </c>
      <c r="B106" s="892" t="s">
        <v>748</v>
      </c>
      <c r="C106" s="892">
        <v>3412</v>
      </c>
    </row>
    <row r="107" spans="1:3" ht="26.25" thickBot="1">
      <c r="A107" s="891" t="s">
        <v>749</v>
      </c>
      <c r="B107" s="892" t="s">
        <v>732</v>
      </c>
      <c r="C107" s="892">
        <v>1000</v>
      </c>
    </row>
    <row r="108" spans="1:3" ht="26.25" thickBot="1">
      <c r="A108" s="891" t="s">
        <v>750</v>
      </c>
      <c r="B108" s="892" t="s">
        <v>732</v>
      </c>
      <c r="C108" s="892">
        <v>1000</v>
      </c>
    </row>
    <row r="109" spans="1:3" ht="15.75" thickBot="1">
      <c r="A109" s="891" t="s">
        <v>750</v>
      </c>
      <c r="B109" s="892" t="s">
        <v>738</v>
      </c>
      <c r="C109" s="892">
        <v>138.69049999999999</v>
      </c>
    </row>
    <row r="110" spans="1:3" ht="15.75" thickBot="1">
      <c r="A110" s="891" t="s">
        <v>750</v>
      </c>
      <c r="B110" s="892" t="s">
        <v>739</v>
      </c>
      <c r="C110" s="892">
        <v>36.06</v>
      </c>
    </row>
    <row r="111" spans="1:3" ht="26.25" thickBot="1">
      <c r="A111" s="891" t="s">
        <v>751</v>
      </c>
      <c r="B111" s="892" t="s">
        <v>732</v>
      </c>
      <c r="C111" s="892">
        <v>1000</v>
      </c>
    </row>
    <row r="112" spans="1:3" ht="15.75" thickBot="1">
      <c r="A112" s="891" t="s">
        <v>751</v>
      </c>
      <c r="B112" s="892" t="s">
        <v>738</v>
      </c>
      <c r="C112" s="892">
        <v>138.69049999999999</v>
      </c>
    </row>
    <row r="113" spans="1:3" ht="15.75" thickBot="1">
      <c r="A113" s="891" t="s">
        <v>751</v>
      </c>
      <c r="B113" s="892" t="s">
        <v>739</v>
      </c>
      <c r="C113" s="892">
        <v>36.06</v>
      </c>
    </row>
    <row r="114" spans="1:3" ht="26.25" thickBot="1">
      <c r="A114" s="891" t="s">
        <v>752</v>
      </c>
      <c r="B114" s="892" t="s">
        <v>732</v>
      </c>
      <c r="C114" s="892">
        <v>1000</v>
      </c>
    </row>
    <row r="115" spans="1:3" ht="15.75" thickBot="1">
      <c r="A115" s="891" t="s">
        <v>752</v>
      </c>
      <c r="B115" s="892" t="s">
        <v>738</v>
      </c>
      <c r="C115" s="892">
        <v>138.69049999999999</v>
      </c>
    </row>
    <row r="116" spans="1:3" ht="15.75" thickBot="1">
      <c r="A116" s="891" t="s">
        <v>752</v>
      </c>
      <c r="B116" s="892" t="s">
        <v>739</v>
      </c>
      <c r="C116" s="892">
        <v>36.06</v>
      </c>
    </row>
    <row r="117" spans="1:3" ht="26.25" thickBot="1">
      <c r="A117" s="891" t="s">
        <v>753</v>
      </c>
      <c r="B117" s="892" t="s">
        <v>732</v>
      </c>
      <c r="C117" s="892">
        <v>1000</v>
      </c>
    </row>
    <row r="118" spans="1:3" ht="15.75" hidden="1" thickBot="1">
      <c r="A118" s="891" t="s">
        <v>753</v>
      </c>
      <c r="B118" s="892" t="s">
        <v>738</v>
      </c>
      <c r="C118" s="892">
        <v>149.69049999999999</v>
      </c>
    </row>
    <row r="119" spans="1:3" ht="15.75" hidden="1" thickBot="1">
      <c r="A119" s="891" t="s">
        <v>753</v>
      </c>
      <c r="B119" s="892" t="s">
        <v>739</v>
      </c>
      <c r="C119" s="892">
        <v>38.92</v>
      </c>
    </row>
    <row r="120" spans="1:3" ht="26.25" hidden="1" thickBot="1">
      <c r="A120" s="891" t="s">
        <v>754</v>
      </c>
      <c r="B120" s="892" t="s">
        <v>732</v>
      </c>
      <c r="C120" s="892">
        <v>1000</v>
      </c>
    </row>
    <row r="121" spans="1:3" ht="15.75" hidden="1" thickBot="1">
      <c r="A121" s="891" t="s">
        <v>754</v>
      </c>
      <c r="B121" s="892" t="s">
        <v>738</v>
      </c>
      <c r="C121" s="892">
        <v>135</v>
      </c>
    </row>
    <row r="122" spans="1:3" ht="15.75" hidden="1" thickBot="1">
      <c r="A122" s="891" t="s">
        <v>754</v>
      </c>
      <c r="B122" s="892" t="s">
        <v>739</v>
      </c>
      <c r="C122" s="892">
        <v>35.1</v>
      </c>
    </row>
    <row r="123" spans="1:3" ht="26.25" hidden="1" thickBot="1">
      <c r="A123" s="891" t="s">
        <v>755</v>
      </c>
      <c r="B123" s="892" t="s">
        <v>732</v>
      </c>
      <c r="C123" s="892">
        <v>1000</v>
      </c>
    </row>
    <row r="124" spans="1:3" ht="39" hidden="1" thickBot="1">
      <c r="A124" s="891" t="s">
        <v>755</v>
      </c>
      <c r="B124" s="892" t="s">
        <v>756</v>
      </c>
      <c r="C124" s="892">
        <v>2518.5</v>
      </c>
    </row>
    <row r="125" spans="1:3" ht="15.75" hidden="1" thickBot="1">
      <c r="A125" s="891" t="s">
        <v>755</v>
      </c>
      <c r="B125" s="892" t="s">
        <v>738</v>
      </c>
      <c r="C125" s="892">
        <v>91.647599999999997</v>
      </c>
    </row>
    <row r="126" spans="1:3" ht="26.25" thickBot="1">
      <c r="A126" s="891" t="s">
        <v>755</v>
      </c>
      <c r="B126" s="892" t="s">
        <v>757</v>
      </c>
      <c r="C126" s="892">
        <v>2.5185</v>
      </c>
    </row>
    <row r="127" spans="1:3" ht="15.75" thickBot="1">
      <c r="A127" s="891" t="s">
        <v>755</v>
      </c>
      <c r="B127" s="892" t="s">
        <v>739</v>
      </c>
      <c r="C127" s="892">
        <v>23.827999999999999</v>
      </c>
    </row>
    <row r="128" spans="1:3" ht="26.25" thickBot="1">
      <c r="A128" s="891" t="s">
        <v>85</v>
      </c>
      <c r="B128" s="892" t="s">
        <v>732</v>
      </c>
      <c r="C128" s="892">
        <v>1000</v>
      </c>
    </row>
    <row r="129" spans="1:3" ht="26.25" thickBot="1">
      <c r="A129" s="891" t="s">
        <v>85</v>
      </c>
      <c r="B129" s="892" t="s">
        <v>758</v>
      </c>
      <c r="C129" s="892">
        <v>102.9</v>
      </c>
    </row>
    <row r="130" spans="1:3" ht="15.75" thickBot="1">
      <c r="A130" s="891" t="s">
        <v>85</v>
      </c>
      <c r="B130" s="892" t="s">
        <v>759</v>
      </c>
      <c r="C130" s="892">
        <v>100</v>
      </c>
    </row>
    <row r="131" spans="1:3" ht="39" thickBot="1">
      <c r="A131" s="891" t="s">
        <v>85</v>
      </c>
      <c r="B131" s="892" t="s">
        <v>756</v>
      </c>
      <c r="C131" s="892">
        <v>1029</v>
      </c>
    </row>
    <row r="132" spans="1:3" ht="26.25" thickBot="1">
      <c r="A132" s="891" t="s">
        <v>85</v>
      </c>
      <c r="B132" s="892" t="s">
        <v>757</v>
      </c>
      <c r="C132" s="892">
        <v>1.0289999999999999</v>
      </c>
    </row>
    <row r="133" spans="1:3" ht="26.25" thickBot="1">
      <c r="A133" s="891" t="s">
        <v>85</v>
      </c>
      <c r="B133" s="892" t="s">
        <v>760</v>
      </c>
      <c r="C133" s="892">
        <v>1029000</v>
      </c>
    </row>
    <row r="134" spans="1:3" ht="15.75" thickBot="1">
      <c r="A134" s="891" t="s">
        <v>85</v>
      </c>
      <c r="B134" s="892" t="s">
        <v>761</v>
      </c>
      <c r="C134" s="892">
        <v>36.338999999999999</v>
      </c>
    </row>
    <row r="135" spans="1:3" ht="26.25" thickBot="1">
      <c r="A135" s="891" t="s">
        <v>87</v>
      </c>
      <c r="B135" s="892" t="s">
        <v>732</v>
      </c>
      <c r="C135" s="892">
        <v>1000</v>
      </c>
    </row>
    <row r="136" spans="1:3" ht="39" thickBot="1">
      <c r="A136" s="891" t="s">
        <v>87</v>
      </c>
      <c r="B136" s="892" t="s">
        <v>756</v>
      </c>
      <c r="C136" s="892">
        <v>2518.5</v>
      </c>
    </row>
    <row r="137" spans="1:3" ht="15.75" thickBot="1">
      <c r="A137" s="891" t="s">
        <v>87</v>
      </c>
      <c r="B137" s="892" t="s">
        <v>738</v>
      </c>
      <c r="C137" s="892">
        <v>91.647599999999997</v>
      </c>
    </row>
    <row r="138" spans="1:3" ht="26.25" thickBot="1">
      <c r="A138" s="891" t="s">
        <v>87</v>
      </c>
      <c r="B138" s="892" t="s">
        <v>757</v>
      </c>
      <c r="C138" s="892">
        <v>2.5185</v>
      </c>
    </row>
    <row r="139" spans="1:3" ht="15.75" thickBot="1">
      <c r="A139" s="891" t="s">
        <v>87</v>
      </c>
      <c r="B139" s="892" t="s">
        <v>739</v>
      </c>
      <c r="C139" s="892">
        <v>23.827999999999999</v>
      </c>
    </row>
    <row r="140" spans="1:3" ht="26.25" thickBot="1">
      <c r="A140" s="891" t="s">
        <v>762</v>
      </c>
      <c r="B140" s="892" t="s">
        <v>732</v>
      </c>
      <c r="C140" s="892">
        <v>1000</v>
      </c>
    </row>
    <row r="141" spans="1:3" ht="15.75" thickBot="1">
      <c r="A141" s="891" t="s">
        <v>762</v>
      </c>
      <c r="B141" s="892" t="s">
        <v>735</v>
      </c>
      <c r="C141" s="892">
        <v>15380</v>
      </c>
    </row>
    <row r="143" spans="1:3">
      <c r="A143" s="893" t="s">
        <v>767</v>
      </c>
    </row>
    <row r="144" spans="1:3">
      <c r="A144" s="893"/>
    </row>
    <row r="145" spans="1:1">
      <c r="A145" s="894" t="s">
        <v>764</v>
      </c>
    </row>
    <row r="146" spans="1:1">
      <c r="A146" s="894" t="s">
        <v>765</v>
      </c>
    </row>
    <row r="147" spans="1:1">
      <c r="A147" s="894" t="s">
        <v>766</v>
      </c>
    </row>
  </sheetData>
  <mergeCells count="14">
    <mergeCell ref="O50:O51"/>
    <mergeCell ref="Q50:Q51"/>
    <mergeCell ref="R50:R51"/>
    <mergeCell ref="A1:N1"/>
    <mergeCell ref="G3:G4"/>
    <mergeCell ref="G48:G49"/>
    <mergeCell ref="H48:H50"/>
    <mergeCell ref="I48:I50"/>
    <mergeCell ref="J50:J51"/>
    <mergeCell ref="K50:K51"/>
    <mergeCell ref="L50:L51"/>
    <mergeCell ref="M50:M51"/>
    <mergeCell ref="N50:N51"/>
    <mergeCell ref="H30:I33"/>
  </mergeCells>
  <hyperlinks>
    <hyperlink ref="B29" location="FAQ!A1" display="Return to FAQs"/>
    <hyperlink ref="B39" location="FAQ!A1" display="Return to FAQs"/>
    <hyperlink ref="G2" location="FAQ!A1" display="Return to FAQ"/>
    <hyperlink ref="A72" r:id="rId1"/>
  </hyperlinks>
  <pageMargins left="0.7" right="0.7" top="0.75" bottom="0.75" header="0.3" footer="0.3"/>
  <drawing r:id="rId2"/>
  <legacyDrawing r:id="rId3"/>
</worksheet>
</file>

<file path=xl/worksheets/sheet50.xml><?xml version="1.0" encoding="utf-8"?>
<worksheet xmlns="http://schemas.openxmlformats.org/spreadsheetml/2006/main" xmlns:r="http://schemas.openxmlformats.org/officeDocument/2006/relationships">
  <sheetPr codeName="Sheet43"/>
  <dimension ref="A1:AF76"/>
  <sheetViews>
    <sheetView workbookViewId="0">
      <selection activeCell="A73" sqref="A73"/>
    </sheetView>
  </sheetViews>
  <sheetFormatPr defaultRowHeight="15"/>
  <cols>
    <col min="1" max="1" width="46.5703125" bestFit="1" customWidth="1"/>
    <col min="3" max="12" width="12.42578125" bestFit="1" customWidth="1"/>
  </cols>
  <sheetData>
    <row r="1" spans="1:32">
      <c r="B1">
        <v>0</v>
      </c>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row>
    <row r="2" spans="1:32">
      <c r="A2" t="s">
        <v>873</v>
      </c>
      <c r="B2">
        <v>0</v>
      </c>
      <c r="C2" s="123">
        <v>865657</v>
      </c>
      <c r="D2" s="123">
        <v>865657</v>
      </c>
      <c r="E2" s="123">
        <v>865657</v>
      </c>
      <c r="F2" s="123">
        <v>865657</v>
      </c>
      <c r="G2" s="123">
        <v>865657</v>
      </c>
      <c r="H2" s="123">
        <v>865657</v>
      </c>
      <c r="I2" s="123">
        <v>865657</v>
      </c>
      <c r="J2" s="123">
        <v>865657</v>
      </c>
      <c r="K2" s="123">
        <v>865657</v>
      </c>
      <c r="L2" s="123">
        <v>865657</v>
      </c>
      <c r="M2" s="123">
        <v>865657</v>
      </c>
      <c r="N2" s="123">
        <v>865657</v>
      </c>
      <c r="O2" s="123">
        <v>865657</v>
      </c>
      <c r="P2" s="123">
        <v>865657</v>
      </c>
      <c r="Q2" s="123">
        <v>865657</v>
      </c>
      <c r="R2" s="123">
        <v>865657</v>
      </c>
      <c r="S2" s="123">
        <v>865657</v>
      </c>
      <c r="T2" s="123">
        <v>865657</v>
      </c>
      <c r="U2" s="123">
        <v>865657</v>
      </c>
      <c r="V2" s="123">
        <v>865657</v>
      </c>
      <c r="W2" s="123">
        <v>865657</v>
      </c>
      <c r="X2" s="123">
        <v>865657</v>
      </c>
      <c r="Y2" s="123">
        <v>865657</v>
      </c>
      <c r="Z2" s="123">
        <v>865657</v>
      </c>
      <c r="AA2" s="123">
        <v>865657</v>
      </c>
      <c r="AB2" s="123">
        <v>865657</v>
      </c>
      <c r="AC2" s="123">
        <v>865657</v>
      </c>
      <c r="AD2" s="123">
        <v>865657</v>
      </c>
      <c r="AE2" s="123">
        <v>865657</v>
      </c>
      <c r="AF2" s="123">
        <v>865657</v>
      </c>
    </row>
    <row r="3" spans="1:32">
      <c r="A3" t="s">
        <v>874</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row>
    <row r="5" spans="1:32">
      <c r="A5" t="s">
        <v>875</v>
      </c>
    </row>
    <row r="6" spans="1:32">
      <c r="A6" t="s">
        <v>876</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row>
    <row r="7" spans="1:32">
      <c r="A7" t="s">
        <v>877</v>
      </c>
      <c r="B7">
        <v>0</v>
      </c>
      <c r="C7" s="123">
        <v>62300</v>
      </c>
      <c r="D7" s="942">
        <v>63857.5</v>
      </c>
      <c r="E7" s="942">
        <v>65453.94</v>
      </c>
      <c r="F7" s="942">
        <v>67090.289999999994</v>
      </c>
      <c r="G7" s="942">
        <v>68767.539999999994</v>
      </c>
      <c r="H7" s="942">
        <v>70486.73</v>
      </c>
      <c r="I7" s="942">
        <v>72248.899999999994</v>
      </c>
      <c r="J7" s="942">
        <v>74055.12</v>
      </c>
      <c r="K7" s="942">
        <v>75906.5</v>
      </c>
      <c r="L7" s="942">
        <v>77804.160000000003</v>
      </c>
      <c r="M7" s="942">
        <v>79749.27</v>
      </c>
      <c r="N7" s="123">
        <v>81743</v>
      </c>
      <c r="O7" s="942">
        <v>83786.570000000007</v>
      </c>
      <c r="P7" s="942">
        <v>85881.24</v>
      </c>
      <c r="Q7" s="942">
        <v>88028.27</v>
      </c>
      <c r="R7" s="942">
        <v>90228.98</v>
      </c>
      <c r="S7" s="942">
        <v>92484.7</v>
      </c>
      <c r="T7" s="942">
        <v>94796.82</v>
      </c>
      <c r="U7" s="942">
        <v>97166.74</v>
      </c>
      <c r="V7" s="942">
        <v>99595.91</v>
      </c>
      <c r="W7" s="942">
        <v>102085.8</v>
      </c>
      <c r="X7" s="942">
        <v>104637.95</v>
      </c>
      <c r="Y7" s="942">
        <v>107253.9</v>
      </c>
      <c r="Z7" s="942">
        <v>109935.25</v>
      </c>
      <c r="AA7" s="942">
        <v>112683.63</v>
      </c>
      <c r="AB7" s="942">
        <v>115500.72</v>
      </c>
      <c r="AC7" s="942">
        <v>118388.24</v>
      </c>
      <c r="AD7" s="942">
        <v>121347.94</v>
      </c>
      <c r="AE7" s="942">
        <v>124381.64</v>
      </c>
      <c r="AF7" s="942">
        <v>127491.18</v>
      </c>
    </row>
    <row r="8" spans="1:32">
      <c r="A8" t="s">
        <v>878</v>
      </c>
      <c r="B8">
        <v>0</v>
      </c>
      <c r="C8" s="942">
        <v>2596.9699999999998</v>
      </c>
      <c r="D8" s="942">
        <v>2661.9</v>
      </c>
      <c r="E8" s="942">
        <v>2728.44</v>
      </c>
      <c r="F8" s="942">
        <v>2796.65</v>
      </c>
      <c r="G8" s="942">
        <v>2866.57</v>
      </c>
      <c r="H8" s="942">
        <v>2938.24</v>
      </c>
      <c r="I8" s="942">
        <v>3011.69</v>
      </c>
      <c r="J8" s="942">
        <v>3086.98</v>
      </c>
      <c r="K8" s="942">
        <v>3164.16</v>
      </c>
      <c r="L8" s="942">
        <v>3243.26</v>
      </c>
      <c r="M8" s="942">
        <v>3324.34</v>
      </c>
      <c r="N8" s="942">
        <v>3407.45</v>
      </c>
      <c r="O8" s="942">
        <v>3492.64</v>
      </c>
      <c r="P8" s="942">
        <v>3579.95</v>
      </c>
      <c r="Q8" s="942">
        <v>3669.45</v>
      </c>
      <c r="R8" s="942">
        <v>3761.19</v>
      </c>
      <c r="S8" s="942">
        <v>3855.22</v>
      </c>
      <c r="T8" s="942">
        <v>3951.6</v>
      </c>
      <c r="U8" s="942">
        <v>4050.39</v>
      </c>
      <c r="V8" s="942">
        <v>4151.6499999999996</v>
      </c>
      <c r="W8" s="942">
        <v>4255.4399999999996</v>
      </c>
      <c r="X8" s="942">
        <v>4361.83</v>
      </c>
      <c r="Y8" s="942">
        <v>4470.87</v>
      </c>
      <c r="Z8" s="942">
        <v>4582.6400000000003</v>
      </c>
      <c r="AA8" s="942">
        <v>4697.21</v>
      </c>
      <c r="AB8" s="942">
        <v>4814.6400000000003</v>
      </c>
      <c r="AC8" s="942">
        <v>4935.01</v>
      </c>
      <c r="AD8" s="942">
        <v>5058.38</v>
      </c>
      <c r="AE8" s="942">
        <v>5184.84</v>
      </c>
      <c r="AF8" s="942">
        <v>5314.46</v>
      </c>
    </row>
    <row r="9" spans="1:32">
      <c r="A9" t="s">
        <v>879</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row>
    <row r="10" spans="1:32">
      <c r="A10" t="s">
        <v>880</v>
      </c>
      <c r="B10">
        <v>0</v>
      </c>
      <c r="C10" s="942">
        <v>39793.269999999997</v>
      </c>
      <c r="D10" s="942">
        <v>40788.1</v>
      </c>
      <c r="E10" s="942">
        <v>41807.81</v>
      </c>
      <c r="F10" s="123">
        <v>42853</v>
      </c>
      <c r="G10" s="942">
        <v>43924.33</v>
      </c>
      <c r="H10" s="942">
        <v>45022.43</v>
      </c>
      <c r="I10" s="123">
        <v>46148</v>
      </c>
      <c r="J10" s="942">
        <v>47301.7</v>
      </c>
      <c r="K10" s="942">
        <v>48484.24</v>
      </c>
      <c r="L10" s="942">
        <v>49696.34</v>
      </c>
      <c r="M10" s="942">
        <v>50938.75</v>
      </c>
      <c r="N10" s="942">
        <v>52212.22</v>
      </c>
      <c r="O10" s="942">
        <v>53517.53</v>
      </c>
      <c r="P10" s="942">
        <v>54855.46</v>
      </c>
      <c r="Q10" s="942">
        <v>56226.85</v>
      </c>
      <c r="R10" s="942">
        <v>57632.52</v>
      </c>
      <c r="S10" s="942">
        <v>59073.34</v>
      </c>
      <c r="T10" s="942">
        <v>60550.17</v>
      </c>
      <c r="U10" s="942">
        <v>62063.92</v>
      </c>
      <c r="V10" s="942">
        <v>63615.519999999997</v>
      </c>
      <c r="W10" s="942">
        <v>65205.91</v>
      </c>
      <c r="X10" s="942">
        <v>66836.06</v>
      </c>
      <c r="Y10" s="942">
        <v>68506.960000000006</v>
      </c>
      <c r="Z10" s="942">
        <v>70219.63</v>
      </c>
      <c r="AA10" s="942">
        <v>71975.12</v>
      </c>
      <c r="AB10" s="942">
        <v>73774.5</v>
      </c>
      <c r="AC10" s="942">
        <v>75618.86</v>
      </c>
      <c r="AD10" s="942">
        <v>77509.34</v>
      </c>
      <c r="AE10" s="942">
        <v>79447.070000000007</v>
      </c>
      <c r="AF10" s="942">
        <v>81433.25</v>
      </c>
    </row>
    <row r="11" spans="1:32">
      <c r="A11" t="s">
        <v>881</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row>
    <row r="12" spans="1:32">
      <c r="A12" t="s">
        <v>882</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row>
    <row r="13" spans="1:32">
      <c r="A13" t="s">
        <v>883</v>
      </c>
      <c r="B13">
        <v>0</v>
      </c>
      <c r="C13" s="942">
        <v>104690.24000000001</v>
      </c>
      <c r="D13" s="942">
        <v>107307.5</v>
      </c>
      <c r="E13" s="942">
        <v>109990.19</v>
      </c>
      <c r="F13" s="942">
        <v>112739.94</v>
      </c>
      <c r="G13" s="942">
        <v>115558.44</v>
      </c>
      <c r="H13" s="942">
        <v>118447.4</v>
      </c>
      <c r="I13" s="942">
        <v>121408.59</v>
      </c>
      <c r="J13" s="942">
        <v>124443.8</v>
      </c>
      <c r="K13" s="942">
        <v>127554.9</v>
      </c>
      <c r="L13" s="942">
        <v>130743.77</v>
      </c>
      <c r="M13" s="942">
        <v>134012.35999999999</v>
      </c>
      <c r="N13" s="942">
        <v>137362.67000000001</v>
      </c>
      <c r="O13" s="942">
        <v>140796.74</v>
      </c>
      <c r="P13" s="942">
        <v>144316.66</v>
      </c>
      <c r="Q13" s="942">
        <v>147924.57</v>
      </c>
      <c r="R13" s="942">
        <v>151622.69</v>
      </c>
      <c r="S13" s="942">
        <v>155413.25</v>
      </c>
      <c r="T13" s="942">
        <v>159298.59</v>
      </c>
      <c r="U13" s="942">
        <v>163281.04999999999</v>
      </c>
      <c r="V13" s="942">
        <v>167363.07999999999</v>
      </c>
      <c r="W13" s="942">
        <v>171547.15</v>
      </c>
      <c r="X13" s="942">
        <v>175835.83</v>
      </c>
      <c r="Y13" s="942">
        <v>180231.73</v>
      </c>
      <c r="Z13" s="942">
        <v>184737.52</v>
      </c>
      <c r="AA13" s="942">
        <v>189355.96</v>
      </c>
      <c r="AB13" s="942">
        <v>194089.86</v>
      </c>
      <c r="AC13" s="942">
        <v>198942.11</v>
      </c>
      <c r="AD13" s="942">
        <v>203915.66</v>
      </c>
      <c r="AE13" s="942">
        <v>209013.55</v>
      </c>
      <c r="AF13" s="942">
        <v>214238.89</v>
      </c>
    </row>
    <row r="15" spans="1:32">
      <c r="A15" t="s">
        <v>884</v>
      </c>
      <c r="B15">
        <v>0</v>
      </c>
      <c r="C15" s="942">
        <v>-104690.24000000001</v>
      </c>
      <c r="D15" s="942">
        <v>-107307.5</v>
      </c>
      <c r="E15" s="942">
        <v>-109990.19</v>
      </c>
      <c r="F15" s="942">
        <v>-112739.94</v>
      </c>
      <c r="G15" s="942">
        <v>-115558.44</v>
      </c>
      <c r="H15" s="942">
        <v>-118447.4</v>
      </c>
      <c r="I15" s="942">
        <v>-121408.59</v>
      </c>
      <c r="J15" s="942">
        <v>-124443.8</v>
      </c>
      <c r="K15" s="942">
        <v>-127554.9</v>
      </c>
      <c r="L15" s="942">
        <v>-130743.77</v>
      </c>
      <c r="M15" s="942">
        <v>-134012.35999999999</v>
      </c>
      <c r="N15" s="942">
        <v>-137362.67000000001</v>
      </c>
      <c r="O15" s="942">
        <v>-140796.74</v>
      </c>
      <c r="P15" s="942">
        <v>-144316.66</v>
      </c>
      <c r="Q15" s="942">
        <v>-147924.57</v>
      </c>
      <c r="R15" s="942">
        <v>-151622.69</v>
      </c>
      <c r="S15" s="942">
        <v>-155413.25</v>
      </c>
      <c r="T15" s="942">
        <v>-159298.59</v>
      </c>
      <c r="U15" s="942">
        <v>-163281.04999999999</v>
      </c>
      <c r="V15" s="942">
        <v>-167363.07999999999</v>
      </c>
      <c r="W15" s="942">
        <v>-171547.15</v>
      </c>
      <c r="X15" s="942">
        <v>-175835.83</v>
      </c>
      <c r="Y15" s="942">
        <v>-180231.73</v>
      </c>
      <c r="Z15" s="942">
        <v>-184737.52</v>
      </c>
      <c r="AA15" s="942">
        <v>-189355.96</v>
      </c>
      <c r="AB15" s="942">
        <v>-194089.86</v>
      </c>
      <c r="AC15" s="942">
        <v>-198942.11</v>
      </c>
      <c r="AD15" s="942">
        <v>-203915.66</v>
      </c>
      <c r="AE15" s="942">
        <v>-209013.55</v>
      </c>
      <c r="AF15" s="942">
        <v>-214238.89</v>
      </c>
    </row>
    <row r="17" spans="1:32">
      <c r="A17" t="s">
        <v>885</v>
      </c>
    </row>
    <row r="18" spans="1:32">
      <c r="A18" t="s">
        <v>886</v>
      </c>
      <c r="B18">
        <v>0</v>
      </c>
      <c r="C18" s="942">
        <v>-3183461.74</v>
      </c>
      <c r="D18" s="942">
        <v>-2941938.99</v>
      </c>
      <c r="E18" s="942">
        <v>-2685924.89</v>
      </c>
      <c r="F18" s="942">
        <v>-2414549.9300000002</v>
      </c>
      <c r="G18" s="942">
        <v>-2126892.48</v>
      </c>
      <c r="H18" s="942">
        <v>-1821975.59</v>
      </c>
      <c r="I18" s="942">
        <v>-1498763.68</v>
      </c>
      <c r="J18" s="942">
        <v>-1156159.05</v>
      </c>
      <c r="K18" s="942">
        <v>-792998.15</v>
      </c>
      <c r="L18" s="942">
        <v>-408047.59</v>
      </c>
      <c r="M18">
        <v>0</v>
      </c>
      <c r="N18">
        <v>0</v>
      </c>
      <c r="O18">
        <v>0</v>
      </c>
      <c r="P18">
        <v>0</v>
      </c>
      <c r="Q18">
        <v>0</v>
      </c>
      <c r="R18">
        <v>0</v>
      </c>
      <c r="S18">
        <v>0</v>
      </c>
      <c r="T18">
        <v>0</v>
      </c>
      <c r="U18">
        <v>0</v>
      </c>
      <c r="V18">
        <v>0</v>
      </c>
      <c r="W18">
        <v>0</v>
      </c>
      <c r="X18">
        <v>0</v>
      </c>
      <c r="Y18">
        <v>0</v>
      </c>
      <c r="Z18">
        <v>0</v>
      </c>
      <c r="AA18">
        <v>0</v>
      </c>
      <c r="AB18">
        <v>0</v>
      </c>
      <c r="AC18">
        <v>0</v>
      </c>
      <c r="AD18">
        <v>0</v>
      </c>
      <c r="AE18">
        <v>0</v>
      </c>
      <c r="AF18">
        <v>0</v>
      </c>
    </row>
    <row r="19" spans="1:32">
      <c r="A19" t="s">
        <v>887</v>
      </c>
      <c r="B19">
        <v>0</v>
      </c>
      <c r="C19" s="942">
        <v>191007.7</v>
      </c>
      <c r="D19" s="942">
        <v>176516.34</v>
      </c>
      <c r="E19" s="942">
        <v>161155.49</v>
      </c>
      <c r="F19" s="123">
        <v>144873</v>
      </c>
      <c r="G19" s="942">
        <v>127613.55</v>
      </c>
      <c r="H19" s="942">
        <v>109318.54</v>
      </c>
      <c r="I19" s="942">
        <v>89925.82</v>
      </c>
      <c r="J19" s="942">
        <v>69369.539999999994</v>
      </c>
      <c r="K19" s="942">
        <v>47579.89</v>
      </c>
      <c r="L19" s="942">
        <v>24482.86</v>
      </c>
      <c r="M19">
        <v>0</v>
      </c>
      <c r="N19">
        <v>0</v>
      </c>
      <c r="O19">
        <v>0</v>
      </c>
      <c r="P19">
        <v>0</v>
      </c>
      <c r="Q19">
        <v>0</v>
      </c>
      <c r="R19">
        <v>0</v>
      </c>
      <c r="S19">
        <v>0</v>
      </c>
      <c r="T19">
        <v>0</v>
      </c>
      <c r="U19">
        <v>0</v>
      </c>
      <c r="V19">
        <v>0</v>
      </c>
      <c r="W19">
        <v>0</v>
      </c>
      <c r="X19">
        <v>0</v>
      </c>
      <c r="Y19">
        <v>0</v>
      </c>
      <c r="Z19">
        <v>0</v>
      </c>
      <c r="AA19">
        <v>0</v>
      </c>
      <c r="AB19">
        <v>0</v>
      </c>
      <c r="AC19">
        <v>0</v>
      </c>
      <c r="AD19">
        <v>0</v>
      </c>
      <c r="AE19">
        <v>0</v>
      </c>
      <c r="AF19">
        <v>0</v>
      </c>
    </row>
    <row r="20" spans="1:32">
      <c r="A20" t="s">
        <v>888</v>
      </c>
      <c r="B20">
        <v>0</v>
      </c>
      <c r="C20" s="942">
        <v>241522.74</v>
      </c>
      <c r="D20" s="942">
        <v>256014.11</v>
      </c>
      <c r="E20" s="942">
        <v>271374.95</v>
      </c>
      <c r="F20" s="942">
        <v>287657.45</v>
      </c>
      <c r="G20" s="942">
        <v>304916.90000000002</v>
      </c>
      <c r="H20" s="942">
        <v>323211.90999999997</v>
      </c>
      <c r="I20" s="942">
        <v>342604.63</v>
      </c>
      <c r="J20" s="942">
        <v>363160.9</v>
      </c>
      <c r="K20" s="942">
        <v>384950.56</v>
      </c>
      <c r="L20" s="942">
        <v>408047.59</v>
      </c>
      <c r="M20">
        <v>0</v>
      </c>
      <c r="N20">
        <v>0</v>
      </c>
      <c r="O20">
        <v>0</v>
      </c>
      <c r="P20">
        <v>0</v>
      </c>
      <c r="Q20">
        <v>0</v>
      </c>
      <c r="R20">
        <v>0</v>
      </c>
      <c r="S20">
        <v>0</v>
      </c>
      <c r="T20">
        <v>0</v>
      </c>
      <c r="U20">
        <v>0</v>
      </c>
      <c r="V20">
        <v>0</v>
      </c>
      <c r="W20">
        <v>0</v>
      </c>
      <c r="X20">
        <v>0</v>
      </c>
      <c r="Y20">
        <v>0</v>
      </c>
      <c r="Z20">
        <v>0</v>
      </c>
      <c r="AA20">
        <v>0</v>
      </c>
      <c r="AB20">
        <v>0</v>
      </c>
      <c r="AC20">
        <v>0</v>
      </c>
      <c r="AD20">
        <v>0</v>
      </c>
      <c r="AE20">
        <v>0</v>
      </c>
      <c r="AF20">
        <v>0</v>
      </c>
    </row>
    <row r="21" spans="1:32">
      <c r="A21" t="s">
        <v>889</v>
      </c>
      <c r="B21">
        <v>0</v>
      </c>
      <c r="C21" s="942">
        <v>432530.45</v>
      </c>
      <c r="D21" s="942">
        <v>432530.45</v>
      </c>
      <c r="E21" s="942">
        <v>432530.45</v>
      </c>
      <c r="F21" s="942">
        <v>432530.45</v>
      </c>
      <c r="G21" s="942">
        <v>432530.45</v>
      </c>
      <c r="H21" s="942">
        <v>432530.45</v>
      </c>
      <c r="I21" s="942">
        <v>432530.45</v>
      </c>
      <c r="J21" s="942">
        <v>432530.45</v>
      </c>
      <c r="K21" s="942">
        <v>432530.45</v>
      </c>
      <c r="L21" s="942">
        <v>432530.45</v>
      </c>
      <c r="M21">
        <v>0</v>
      </c>
      <c r="N21">
        <v>0</v>
      </c>
      <c r="O21">
        <v>0</v>
      </c>
      <c r="P21">
        <v>0</v>
      </c>
      <c r="Q21">
        <v>0</v>
      </c>
      <c r="R21">
        <v>0</v>
      </c>
      <c r="S21">
        <v>0</v>
      </c>
      <c r="T21">
        <v>0</v>
      </c>
      <c r="U21">
        <v>0</v>
      </c>
      <c r="V21">
        <v>0</v>
      </c>
      <c r="W21">
        <v>0</v>
      </c>
      <c r="X21">
        <v>0</v>
      </c>
      <c r="Y21">
        <v>0</v>
      </c>
      <c r="Z21">
        <v>0</v>
      </c>
      <c r="AA21">
        <v>0</v>
      </c>
      <c r="AB21">
        <v>0</v>
      </c>
      <c r="AC21">
        <v>0</v>
      </c>
      <c r="AD21">
        <v>0</v>
      </c>
      <c r="AE21">
        <v>0</v>
      </c>
      <c r="AF21">
        <v>0</v>
      </c>
    </row>
    <row r="23" spans="1:32">
      <c r="A23" t="s">
        <v>890</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row>
    <row r="24" spans="1:32">
      <c r="A24" t="s">
        <v>891</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row>
    <row r="25" spans="1:32">
      <c r="A25" t="s">
        <v>892</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row>
    <row r="26" spans="1:32">
      <c r="A26" t="s">
        <v>893</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row>
    <row r="27" spans="1:32">
      <c r="A27" t="s">
        <v>894</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row>
    <row r="28" spans="1:32">
      <c r="A28" t="s">
        <v>895</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row>
    <row r="29" spans="1:32">
      <c r="A29" t="s">
        <v>896</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row>
    <row r="30" spans="1:32">
      <c r="A30" t="s">
        <v>897</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row>
    <row r="31" spans="1:32">
      <c r="A31" t="s">
        <v>898</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row>
    <row r="32" spans="1:32">
      <c r="A32" t="s">
        <v>899</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row>
    <row r="33" spans="1:32">
      <c r="A33" t="s">
        <v>900</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row>
    <row r="34" spans="1:32">
      <c r="A34" t="s">
        <v>901</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row>
    <row r="35" spans="1:32">
      <c r="A35" t="s">
        <v>902</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row>
    <row r="36" spans="1:32">
      <c r="A36" t="s">
        <v>903</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row>
    <row r="37" spans="1:32">
      <c r="A37" t="s">
        <v>904</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row>
    <row r="38" spans="1:32">
      <c r="A38" t="s">
        <v>905</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row>
    <row r="39" spans="1:32">
      <c r="A39" t="s">
        <v>906</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row>
    <row r="40" spans="1:32">
      <c r="A40" t="s">
        <v>907</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row>
    <row r="41" spans="1:32">
      <c r="A41" t="s">
        <v>908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row>
    <row r="43" spans="1:32">
      <c r="A43" t="s">
        <v>909</v>
      </c>
      <c r="C43" s="942">
        <v>390995.7</v>
      </c>
    </row>
    <row r="45" spans="1:32">
      <c r="A45" t="s">
        <v>910</v>
      </c>
    </row>
    <row r="46" spans="1:32">
      <c r="A46" t="s">
        <v>911</v>
      </c>
      <c r="B46">
        <v>0</v>
      </c>
      <c r="C46">
        <v>35</v>
      </c>
      <c r="D46">
        <v>26</v>
      </c>
      <c r="E46">
        <v>15.6</v>
      </c>
      <c r="F46">
        <v>11.01</v>
      </c>
      <c r="G46">
        <v>11.01</v>
      </c>
      <c r="H46">
        <v>1.38</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row>
    <row r="47" spans="1:32">
      <c r="A47" t="s">
        <v>912</v>
      </c>
      <c r="B47">
        <v>0</v>
      </c>
      <c r="C47" s="942">
        <v>2785529.02</v>
      </c>
      <c r="D47" s="942">
        <v>2069250.13</v>
      </c>
      <c r="E47" s="942">
        <v>1241550.08</v>
      </c>
      <c r="F47" s="942">
        <v>876247.84</v>
      </c>
      <c r="G47" s="942">
        <v>876247.84</v>
      </c>
      <c r="H47" s="942">
        <v>109829.43</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row>
    <row r="48" spans="1:32">
      <c r="A48" t="s">
        <v>913</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row>
    <row r="49" spans="1:32">
      <c r="A49" t="s">
        <v>914</v>
      </c>
      <c r="B49">
        <v>0</v>
      </c>
      <c r="C49" s="942">
        <v>-3472222.66</v>
      </c>
      <c r="D49" s="942">
        <v>-2353073.9700000002</v>
      </c>
      <c r="E49" s="942">
        <v>-1512695.76</v>
      </c>
      <c r="F49" s="942">
        <v>-1133860.78</v>
      </c>
      <c r="G49" s="942">
        <v>-1119419.83</v>
      </c>
      <c r="H49" s="942">
        <v>-337595.37</v>
      </c>
      <c r="I49" s="942">
        <v>-211334.41</v>
      </c>
      <c r="J49" s="942">
        <v>-193813.34</v>
      </c>
      <c r="K49" s="942">
        <v>-175134.78</v>
      </c>
      <c r="L49" s="942">
        <v>-155226.62</v>
      </c>
      <c r="M49" s="942">
        <v>-134012.35999999999</v>
      </c>
      <c r="N49" s="942">
        <v>-137362.67000000001</v>
      </c>
      <c r="O49" s="942">
        <v>-140796.74</v>
      </c>
      <c r="P49" s="942">
        <v>-144316.66</v>
      </c>
      <c r="Q49" s="942">
        <v>-147924.57</v>
      </c>
      <c r="R49" s="942">
        <v>-151622.69</v>
      </c>
      <c r="S49" s="942">
        <v>-155413.25</v>
      </c>
      <c r="T49" s="942">
        <v>-159298.59</v>
      </c>
      <c r="U49" s="942">
        <v>-163281.04999999999</v>
      </c>
      <c r="V49" s="942">
        <v>-167363.07999999999</v>
      </c>
      <c r="W49" s="942">
        <v>-171547.15</v>
      </c>
      <c r="X49" s="942">
        <v>-175835.83</v>
      </c>
      <c r="Y49" s="942">
        <v>-180231.73</v>
      </c>
      <c r="Z49" s="942">
        <v>-184737.52</v>
      </c>
      <c r="AA49" s="942">
        <v>-189355.96</v>
      </c>
      <c r="AB49" s="942">
        <v>-194089.86</v>
      </c>
      <c r="AC49" s="942">
        <v>-198942.11</v>
      </c>
      <c r="AD49" s="942">
        <v>-203915.66</v>
      </c>
      <c r="AE49" s="942">
        <v>-209013.55</v>
      </c>
      <c r="AF49" s="942">
        <v>-214238.89</v>
      </c>
    </row>
    <row r="50" spans="1:32">
      <c r="A50" t="s">
        <v>915</v>
      </c>
      <c r="B50">
        <v>0</v>
      </c>
      <c r="C50" s="942">
        <v>-277777.81</v>
      </c>
      <c r="D50" s="942">
        <v>-188245.92</v>
      </c>
      <c r="E50" s="942">
        <v>-121015.66</v>
      </c>
      <c r="F50" s="942">
        <v>-90708.86</v>
      </c>
      <c r="G50" s="942">
        <v>-89553.59</v>
      </c>
      <c r="H50" s="942">
        <v>-27007.63</v>
      </c>
      <c r="I50" s="942">
        <v>-16906.75</v>
      </c>
      <c r="J50" s="942">
        <v>-15505.07</v>
      </c>
      <c r="K50" s="942">
        <v>-14010.78</v>
      </c>
      <c r="L50" s="942">
        <v>-12418.13</v>
      </c>
      <c r="M50" s="942">
        <v>-10720.99</v>
      </c>
      <c r="N50" s="942">
        <v>-10989.01</v>
      </c>
      <c r="O50" s="942">
        <v>-11263.74</v>
      </c>
      <c r="P50" s="942">
        <v>-11545.33</v>
      </c>
      <c r="Q50" s="942">
        <v>-11833.97</v>
      </c>
      <c r="R50" s="942">
        <v>-12129.81</v>
      </c>
      <c r="S50" s="942">
        <v>-12433.06</v>
      </c>
      <c r="T50" s="942">
        <v>-12743.89</v>
      </c>
      <c r="U50" s="942">
        <v>-13062.48</v>
      </c>
      <c r="V50" s="942">
        <v>-13389.05</v>
      </c>
      <c r="W50" s="942">
        <v>-13723.77</v>
      </c>
      <c r="X50" s="942">
        <v>-14066.87</v>
      </c>
      <c r="Y50" s="942">
        <v>-14418.54</v>
      </c>
      <c r="Z50" s="123">
        <v>-14779</v>
      </c>
      <c r="AA50" s="942">
        <v>-15148.48</v>
      </c>
      <c r="AB50" s="942">
        <v>-15527.19</v>
      </c>
      <c r="AC50" s="942">
        <v>-15915.37</v>
      </c>
      <c r="AD50" s="942">
        <v>-16313.25</v>
      </c>
      <c r="AE50" s="942">
        <v>-16721.080000000002</v>
      </c>
      <c r="AF50" s="942">
        <v>-17139.11</v>
      </c>
    </row>
    <row r="51" spans="1:32">
      <c r="A51" t="s">
        <v>916</v>
      </c>
      <c r="B51">
        <v>0</v>
      </c>
      <c r="C51" s="942">
        <v>277777.81</v>
      </c>
      <c r="D51" s="942">
        <v>188245.92</v>
      </c>
      <c r="E51" s="942">
        <v>121015.66</v>
      </c>
      <c r="F51" s="942">
        <v>90708.86</v>
      </c>
      <c r="G51" s="942">
        <v>89553.59</v>
      </c>
      <c r="H51" s="942">
        <v>27007.63</v>
      </c>
      <c r="I51" s="942">
        <v>16906.75</v>
      </c>
      <c r="J51" s="942">
        <v>15505.07</v>
      </c>
      <c r="K51" s="942">
        <v>14010.78</v>
      </c>
      <c r="L51" s="942">
        <v>12418.13</v>
      </c>
      <c r="M51" s="942">
        <v>10720.99</v>
      </c>
      <c r="N51" s="942">
        <v>10989.01</v>
      </c>
      <c r="O51" s="942">
        <v>11263.74</v>
      </c>
      <c r="P51" s="942">
        <v>11545.33</v>
      </c>
      <c r="Q51" s="942">
        <v>11833.97</v>
      </c>
      <c r="R51" s="942">
        <v>12129.81</v>
      </c>
      <c r="S51" s="942">
        <v>12433.06</v>
      </c>
      <c r="T51" s="942">
        <v>12743.89</v>
      </c>
      <c r="U51" s="942">
        <v>13062.48</v>
      </c>
      <c r="V51" s="942">
        <v>13389.05</v>
      </c>
      <c r="W51" s="942">
        <v>13723.77</v>
      </c>
      <c r="X51" s="942">
        <v>14066.87</v>
      </c>
      <c r="Y51" s="942">
        <v>14418.54</v>
      </c>
      <c r="Z51" s="123">
        <v>14779</v>
      </c>
      <c r="AA51" s="942">
        <v>15148.48</v>
      </c>
      <c r="AB51" s="942">
        <v>15527.19</v>
      </c>
      <c r="AC51" s="942">
        <v>15915.37</v>
      </c>
      <c r="AD51" s="942">
        <v>16313.25</v>
      </c>
      <c r="AE51" s="942">
        <v>16721.080000000002</v>
      </c>
      <c r="AF51" s="942">
        <v>17139.11</v>
      </c>
    </row>
    <row r="53" spans="1:32">
      <c r="A53" t="s">
        <v>917</v>
      </c>
    </row>
    <row r="54" spans="1:32">
      <c r="A54" t="s">
        <v>918</v>
      </c>
      <c r="B54">
        <v>0</v>
      </c>
      <c r="C54">
        <v>35</v>
      </c>
      <c r="D54">
        <v>26</v>
      </c>
      <c r="E54">
        <v>15.6</v>
      </c>
      <c r="F54">
        <v>11.01</v>
      </c>
      <c r="G54">
        <v>11.01</v>
      </c>
      <c r="H54">
        <v>1.38</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row>
    <row r="55" spans="1:32">
      <c r="A55" t="s">
        <v>919</v>
      </c>
      <c r="B55">
        <v>0</v>
      </c>
      <c r="C55" s="942">
        <v>2785529.02</v>
      </c>
      <c r="D55" s="942">
        <v>2069250.13</v>
      </c>
      <c r="E55" s="942">
        <v>1241550.08</v>
      </c>
      <c r="F55" s="942">
        <v>876247.84</v>
      </c>
      <c r="G55" s="942">
        <v>876247.84</v>
      </c>
      <c r="H55" s="942">
        <v>109829.43</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row>
    <row r="56" spans="1:32">
      <c r="A56" t="s">
        <v>920</v>
      </c>
      <c r="B56">
        <v>0</v>
      </c>
      <c r="C56" s="942">
        <v>-3194444.85</v>
      </c>
      <c r="D56" s="942">
        <v>-2164828.0499999998</v>
      </c>
      <c r="E56" s="942">
        <v>-1391680.1</v>
      </c>
      <c r="F56" s="942">
        <v>-1043151.92</v>
      </c>
      <c r="G56" s="942">
        <v>-1029866.25</v>
      </c>
      <c r="H56" s="942">
        <v>-310587.74</v>
      </c>
      <c r="I56" s="942">
        <v>-194427.65</v>
      </c>
      <c r="J56" s="942">
        <v>-178308.28</v>
      </c>
      <c r="K56" s="123">
        <v>-161124</v>
      </c>
      <c r="L56" s="942">
        <v>-142808.49</v>
      </c>
      <c r="M56" s="942">
        <v>-123291.37</v>
      </c>
      <c r="N56" s="942">
        <v>-126373.66</v>
      </c>
      <c r="O56" s="123">
        <v>-129533</v>
      </c>
      <c r="P56" s="942">
        <v>-132771.32</v>
      </c>
      <c r="Q56" s="942">
        <v>-136090.60999999999</v>
      </c>
      <c r="R56" s="942">
        <v>-139492.87</v>
      </c>
      <c r="S56" s="942">
        <v>-142980.19</v>
      </c>
      <c r="T56" s="942">
        <v>-146554.70000000001</v>
      </c>
      <c r="U56" s="942">
        <v>-150218.57</v>
      </c>
      <c r="V56" s="942">
        <v>-153974.03</v>
      </c>
      <c r="W56" s="942">
        <v>-157823.38</v>
      </c>
      <c r="X56" s="942">
        <v>-161768.97</v>
      </c>
      <c r="Y56" s="942">
        <v>-165813.19</v>
      </c>
      <c r="Z56" s="942">
        <v>-169958.52</v>
      </c>
      <c r="AA56" s="942">
        <v>-174207.48</v>
      </c>
      <c r="AB56" s="942">
        <v>-178562.67</v>
      </c>
      <c r="AC56" s="942">
        <v>-183026.74</v>
      </c>
      <c r="AD56" s="942">
        <v>-187602.41</v>
      </c>
      <c r="AE56" s="942">
        <v>-192292.47</v>
      </c>
      <c r="AF56" s="942">
        <v>-197099.78</v>
      </c>
    </row>
    <row r="57" spans="1:32">
      <c r="A57" t="s">
        <v>921</v>
      </c>
      <c r="B57">
        <v>0</v>
      </c>
      <c r="C57" s="942">
        <v>-3194444.85</v>
      </c>
      <c r="D57" s="942">
        <v>-2164828.0499999998</v>
      </c>
      <c r="E57" s="942">
        <v>-1391680.1</v>
      </c>
      <c r="F57" s="942">
        <v>-1043151.92</v>
      </c>
      <c r="G57" s="942">
        <v>-1029866.25</v>
      </c>
      <c r="H57" s="942">
        <v>-310587.74</v>
      </c>
      <c r="I57" s="942">
        <v>-194427.65</v>
      </c>
      <c r="J57" s="942">
        <v>-178308.28</v>
      </c>
      <c r="K57" s="123">
        <v>-161124</v>
      </c>
      <c r="L57" s="942">
        <v>-142808.49</v>
      </c>
      <c r="M57" s="942">
        <v>-123291.37</v>
      </c>
      <c r="N57" s="942">
        <v>-126373.66</v>
      </c>
      <c r="O57" s="123">
        <v>-129533</v>
      </c>
      <c r="P57" s="942">
        <v>-132771.32</v>
      </c>
      <c r="Q57" s="942">
        <v>-136090.60999999999</v>
      </c>
      <c r="R57" s="942">
        <v>-139492.87</v>
      </c>
      <c r="S57" s="942">
        <v>-142980.19</v>
      </c>
      <c r="T57" s="942">
        <v>-146554.70000000001</v>
      </c>
      <c r="U57" s="942">
        <v>-150218.57</v>
      </c>
      <c r="V57" s="942">
        <v>-153974.03</v>
      </c>
      <c r="W57" s="942">
        <v>-157823.38</v>
      </c>
      <c r="X57" s="942">
        <v>-161768.97</v>
      </c>
      <c r="Y57" s="942">
        <v>-165813.19</v>
      </c>
      <c r="Z57" s="942">
        <v>-169958.52</v>
      </c>
      <c r="AA57" s="942">
        <v>-174207.48</v>
      </c>
      <c r="AB57" s="942">
        <v>-178562.67</v>
      </c>
      <c r="AC57" s="942">
        <v>-183026.74</v>
      </c>
      <c r="AD57" s="942">
        <v>-187602.41</v>
      </c>
      <c r="AE57" s="942">
        <v>-192292.47</v>
      </c>
      <c r="AF57" s="942">
        <v>-197099.78</v>
      </c>
    </row>
    <row r="58" spans="1:32">
      <c r="A58" t="s">
        <v>922</v>
      </c>
      <c r="B58">
        <v>0</v>
      </c>
      <c r="C58" s="942">
        <v>-1118055.7</v>
      </c>
      <c r="D58" s="942">
        <v>-757689.82</v>
      </c>
      <c r="E58" s="942">
        <v>-487088.03</v>
      </c>
      <c r="F58" s="942">
        <v>-365103.17</v>
      </c>
      <c r="G58" s="942">
        <v>-360453.19</v>
      </c>
      <c r="H58" s="942">
        <v>-108705.71</v>
      </c>
      <c r="I58" s="942">
        <v>-68049.679999999993</v>
      </c>
      <c r="J58" s="942">
        <v>-62407.9</v>
      </c>
      <c r="K58" s="942">
        <v>-56393.4</v>
      </c>
      <c r="L58" s="942">
        <v>-49982.97</v>
      </c>
      <c r="M58" s="942">
        <v>-43151.98</v>
      </c>
      <c r="N58" s="942">
        <v>-44230.78</v>
      </c>
      <c r="O58" s="942">
        <v>-45336.55</v>
      </c>
      <c r="P58" s="942">
        <v>-46469.96</v>
      </c>
      <c r="Q58" s="942">
        <v>-47631.71</v>
      </c>
      <c r="R58" s="942">
        <v>-48822.51</v>
      </c>
      <c r="S58" s="942">
        <v>-50043.07</v>
      </c>
      <c r="T58" s="942">
        <v>-51294.14</v>
      </c>
      <c r="U58" s="942">
        <v>-52576.5</v>
      </c>
      <c r="V58" s="942">
        <v>-53890.91</v>
      </c>
      <c r="W58" s="942">
        <v>-55238.18</v>
      </c>
      <c r="X58" s="942">
        <v>-56619.14</v>
      </c>
      <c r="Y58" s="942">
        <v>-58034.62</v>
      </c>
      <c r="Z58" s="942">
        <v>-59485.48</v>
      </c>
      <c r="AA58" s="942">
        <v>-60972.62</v>
      </c>
      <c r="AB58" s="942">
        <v>-62496.93</v>
      </c>
      <c r="AC58" s="942">
        <v>-64059.360000000001</v>
      </c>
      <c r="AD58" s="942">
        <v>-65660.84</v>
      </c>
      <c r="AE58" s="942">
        <v>-67302.36</v>
      </c>
      <c r="AF58" s="942">
        <v>-68984.92</v>
      </c>
    </row>
    <row r="59" spans="1:32">
      <c r="A59" t="s">
        <v>923</v>
      </c>
      <c r="B59">
        <v>0</v>
      </c>
      <c r="C59" s="942">
        <v>1118055.7</v>
      </c>
      <c r="D59" s="942">
        <v>757689.82</v>
      </c>
      <c r="E59" s="942">
        <v>487088.03</v>
      </c>
      <c r="F59" s="942">
        <v>365103.17</v>
      </c>
      <c r="G59" s="942">
        <v>360453.19</v>
      </c>
      <c r="H59" s="942">
        <v>108705.71</v>
      </c>
      <c r="I59" s="942">
        <v>68049.679999999993</v>
      </c>
      <c r="J59" s="942">
        <v>62407.9</v>
      </c>
      <c r="K59" s="942">
        <v>56393.4</v>
      </c>
      <c r="L59" s="942">
        <v>49982.97</v>
      </c>
      <c r="M59" s="942">
        <v>43151.98</v>
      </c>
      <c r="N59" s="942">
        <v>44230.78</v>
      </c>
      <c r="O59" s="942">
        <v>45336.55</v>
      </c>
      <c r="P59" s="942">
        <v>46469.96</v>
      </c>
      <c r="Q59" s="942">
        <v>47631.71</v>
      </c>
      <c r="R59" s="942">
        <v>48822.51</v>
      </c>
      <c r="S59" s="942">
        <v>50043.07</v>
      </c>
      <c r="T59" s="942">
        <v>51294.14</v>
      </c>
      <c r="U59" s="942">
        <v>52576.5</v>
      </c>
      <c r="V59" s="942">
        <v>53890.91</v>
      </c>
      <c r="W59" s="942">
        <v>55238.18</v>
      </c>
      <c r="X59" s="942">
        <v>56619.14</v>
      </c>
      <c r="Y59" s="942">
        <v>58034.62</v>
      </c>
      <c r="Z59" s="942">
        <v>59485.48</v>
      </c>
      <c r="AA59" s="942">
        <v>60972.62</v>
      </c>
      <c r="AB59" s="942">
        <v>62496.93</v>
      </c>
      <c r="AC59" s="942">
        <v>64059.360000000001</v>
      </c>
      <c r="AD59" s="942">
        <v>65660.84</v>
      </c>
      <c r="AE59" s="942">
        <v>67302.36</v>
      </c>
      <c r="AF59" s="942">
        <v>68984.92</v>
      </c>
    </row>
    <row r="61" spans="1:32">
      <c r="A61" t="s">
        <v>924</v>
      </c>
      <c r="B61" s="942">
        <v>-4775192.5999999996</v>
      </c>
      <c r="C61" s="942">
        <v>858612.82</v>
      </c>
      <c r="D61" s="942">
        <v>406097.79</v>
      </c>
      <c r="E61" s="942">
        <v>65583.06</v>
      </c>
      <c r="F61" s="942">
        <v>-89458.35</v>
      </c>
      <c r="G61" s="942">
        <v>-98082.11</v>
      </c>
      <c r="H61" s="942">
        <v>-415264.51</v>
      </c>
      <c r="I61" s="942">
        <v>-468982.6</v>
      </c>
      <c r="J61" s="942">
        <v>-479061.28</v>
      </c>
      <c r="K61" s="942">
        <v>-489681.16</v>
      </c>
      <c r="L61" s="942">
        <v>-500873.11</v>
      </c>
      <c r="M61" s="942">
        <v>-80139.39</v>
      </c>
      <c r="N61" s="942">
        <v>-82142.880000000005</v>
      </c>
      <c r="O61" s="942">
        <v>-84196.45</v>
      </c>
      <c r="P61" s="942">
        <v>-86301.36</v>
      </c>
      <c r="Q61" s="942">
        <v>-88458.89</v>
      </c>
      <c r="R61" s="942">
        <v>-90670.37</v>
      </c>
      <c r="S61" s="942">
        <v>-92937.13</v>
      </c>
      <c r="T61" s="942">
        <v>-95260.55</v>
      </c>
      <c r="U61" s="942">
        <v>-97642.07</v>
      </c>
      <c r="V61" s="942">
        <v>-100083.12</v>
      </c>
      <c r="W61" s="942">
        <v>-102585.2</v>
      </c>
      <c r="X61" s="942">
        <v>-105149.83</v>
      </c>
      <c r="Y61" s="942">
        <v>-107778.57</v>
      </c>
      <c r="Z61" s="942">
        <v>-110473.04</v>
      </c>
      <c r="AA61" s="942">
        <v>-113234.86</v>
      </c>
      <c r="AB61" s="942">
        <v>-116065.74</v>
      </c>
      <c r="AC61" s="942">
        <v>-118967.38</v>
      </c>
      <c r="AD61" s="942">
        <v>-121941.56</v>
      </c>
      <c r="AE61" s="942">
        <v>-124990.1</v>
      </c>
      <c r="AF61" s="942">
        <v>-128114.85</v>
      </c>
    </row>
    <row r="62" spans="1:32">
      <c r="A62" t="s">
        <v>925</v>
      </c>
      <c r="B62" s="942">
        <v>-4775192.5999999996</v>
      </c>
      <c r="C62" s="942">
        <v>858612.82</v>
      </c>
      <c r="D62" s="942">
        <v>406097.79</v>
      </c>
      <c r="E62" s="942">
        <v>65583.06</v>
      </c>
      <c r="F62" s="942">
        <v>-89458.35</v>
      </c>
      <c r="G62" s="942">
        <v>-98082.11</v>
      </c>
      <c r="H62" s="942">
        <v>-415264.51</v>
      </c>
      <c r="I62" s="942">
        <v>-468982.6</v>
      </c>
      <c r="J62" s="942">
        <v>-479061.28</v>
      </c>
      <c r="K62" s="942">
        <v>-489681.16</v>
      </c>
      <c r="L62" s="942">
        <v>-500873.11</v>
      </c>
      <c r="M62" s="942">
        <v>-80139.39</v>
      </c>
      <c r="N62" s="942">
        <v>-82142.880000000005</v>
      </c>
      <c r="O62" s="942">
        <v>-84196.45</v>
      </c>
      <c r="P62" s="942">
        <v>-86301.36</v>
      </c>
      <c r="Q62" s="942">
        <v>-88458.89</v>
      </c>
      <c r="R62" s="942">
        <v>-90670.37</v>
      </c>
      <c r="S62" s="942">
        <v>-92937.13</v>
      </c>
      <c r="T62" s="942">
        <v>-95260.55</v>
      </c>
      <c r="U62" s="942">
        <v>-97642.07</v>
      </c>
      <c r="V62" s="942">
        <v>-100083.12</v>
      </c>
      <c r="W62" s="942">
        <v>-102585.2</v>
      </c>
      <c r="X62" s="942">
        <v>-105149.83</v>
      </c>
      <c r="Y62" s="942">
        <v>-107778.57</v>
      </c>
      <c r="Z62" s="942">
        <v>-110473.04</v>
      </c>
      <c r="AA62" s="942">
        <v>-113234.86</v>
      </c>
      <c r="AB62" s="942">
        <v>-116065.74</v>
      </c>
      <c r="AC62" s="942">
        <v>-118967.38</v>
      </c>
      <c r="AD62" s="942">
        <v>-121941.56</v>
      </c>
      <c r="AE62" s="942">
        <v>-124990.1</v>
      </c>
      <c r="AF62" s="942">
        <v>-128114.85</v>
      </c>
    </row>
    <row r="64" spans="1:32">
      <c r="A64" t="s">
        <v>926</v>
      </c>
      <c r="B64" s="942">
        <v>-7958654.3399999999</v>
      </c>
      <c r="C64" s="942">
        <v>1214358.17</v>
      </c>
      <c r="D64" s="942">
        <v>767668.67</v>
      </c>
      <c r="E64" s="123">
        <v>433329</v>
      </c>
      <c r="F64" s="942">
        <v>284833.15000000002</v>
      </c>
      <c r="G64" s="942">
        <v>283147.69</v>
      </c>
      <c r="H64" s="942">
        <v>-26680.12</v>
      </c>
      <c r="I64" s="942">
        <v>-72602.33</v>
      </c>
      <c r="J64" s="942">
        <v>-74417.39</v>
      </c>
      <c r="K64" s="942">
        <v>-76277.83</v>
      </c>
      <c r="L64" s="942">
        <v>-78184.77</v>
      </c>
      <c r="M64" s="942">
        <v>-80139.39</v>
      </c>
      <c r="N64" s="942">
        <v>-82142.880000000005</v>
      </c>
      <c r="O64" s="942">
        <v>-84196.45</v>
      </c>
      <c r="P64" s="942">
        <v>-86301.36</v>
      </c>
      <c r="Q64" s="942">
        <v>-88458.89</v>
      </c>
      <c r="R64" s="942">
        <v>-90670.37</v>
      </c>
      <c r="S64" s="942">
        <v>-92937.13</v>
      </c>
      <c r="T64" s="942">
        <v>-95260.55</v>
      </c>
      <c r="U64" s="942">
        <v>-97642.07</v>
      </c>
      <c r="V64" s="942">
        <v>-100083.12</v>
      </c>
      <c r="W64" s="942">
        <v>-102585.2</v>
      </c>
      <c r="X64" s="942">
        <v>-105149.83</v>
      </c>
      <c r="Y64" s="942">
        <v>-107778.57</v>
      </c>
      <c r="Z64" s="942">
        <v>-110473.04</v>
      </c>
      <c r="AA64" s="942">
        <v>-113234.86</v>
      </c>
      <c r="AB64" s="942">
        <v>-116065.74</v>
      </c>
      <c r="AC64" s="942">
        <v>-118967.38</v>
      </c>
      <c r="AD64" s="942">
        <v>-121941.56</v>
      </c>
      <c r="AE64" s="942">
        <v>-124990.1</v>
      </c>
      <c r="AF64" s="942">
        <v>-128114.86</v>
      </c>
    </row>
    <row r="65" spans="1:32">
      <c r="A65" t="s">
        <v>927</v>
      </c>
      <c r="B65" s="942">
        <v>-7958654.3399999999</v>
      </c>
      <c r="C65" s="942">
        <v>-6744296.1699999999</v>
      </c>
      <c r="D65" s="942">
        <v>-5976627.5</v>
      </c>
      <c r="E65" s="942">
        <v>-5543298.5</v>
      </c>
      <c r="F65" s="942">
        <v>-5258465.3600000003</v>
      </c>
      <c r="G65" s="942">
        <v>-4975317.67</v>
      </c>
      <c r="H65" s="942">
        <v>-5001997.79</v>
      </c>
      <c r="I65" s="942">
        <v>-5074600.12</v>
      </c>
      <c r="J65" s="942">
        <v>-5149017.51</v>
      </c>
      <c r="K65" s="942">
        <v>-5225295.34</v>
      </c>
      <c r="L65" s="942">
        <v>-5303480.1100000003</v>
      </c>
      <c r="M65" s="942">
        <v>-5383619.5099999998</v>
      </c>
      <c r="N65" s="942">
        <v>-5465762.3799999999</v>
      </c>
      <c r="O65" s="942">
        <v>-5549958.8300000001</v>
      </c>
      <c r="P65" s="942">
        <v>-5636260.1900000004</v>
      </c>
      <c r="Q65" s="942">
        <v>-5724719.0899999999</v>
      </c>
      <c r="R65" s="942">
        <v>-5815389.46</v>
      </c>
      <c r="S65" s="942">
        <v>-5908326.5800000001</v>
      </c>
      <c r="T65" s="942">
        <v>-6003587.1399999997</v>
      </c>
      <c r="U65" s="942">
        <v>-6101229.21</v>
      </c>
      <c r="V65" s="942">
        <v>-6201312.3300000001</v>
      </c>
      <c r="W65" s="942">
        <v>-6303897.5199999996</v>
      </c>
      <c r="X65" s="942">
        <v>-6409047.3499999996</v>
      </c>
      <c r="Y65" s="942">
        <v>-6516825.9299999997</v>
      </c>
      <c r="Z65" s="942">
        <v>-6627298.96</v>
      </c>
      <c r="AA65" s="942">
        <v>-6740533.8300000001</v>
      </c>
      <c r="AB65" s="942">
        <v>-6856599.5599999996</v>
      </c>
      <c r="AC65" s="942">
        <v>-6975566.9400000004</v>
      </c>
      <c r="AD65" s="942">
        <v>-7097508.5099999998</v>
      </c>
      <c r="AE65" s="942">
        <v>-7222498.6100000003</v>
      </c>
      <c r="AF65" s="942">
        <v>-7350613.46</v>
      </c>
    </row>
    <row r="67" spans="1:32">
      <c r="A67" t="s">
        <v>928</v>
      </c>
      <c r="B67" s="942">
        <v>-7958654.3399999999</v>
      </c>
      <c r="C67" s="942">
        <v>1276962.94</v>
      </c>
      <c r="D67" s="942">
        <v>831838.55</v>
      </c>
      <c r="E67" s="942">
        <v>499103.13</v>
      </c>
      <c r="F67" s="942">
        <v>352251.63</v>
      </c>
      <c r="G67" s="942">
        <v>352251.63</v>
      </c>
      <c r="H67" s="942">
        <v>44151.43</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row>
    <row r="68" spans="1:32">
      <c r="A68" t="s">
        <v>929</v>
      </c>
      <c r="B68" s="942">
        <v>-7958654.3399999999</v>
      </c>
      <c r="C68" s="942">
        <v>-6681691.4000000004</v>
      </c>
      <c r="D68" s="942">
        <v>-5849852.8499999996</v>
      </c>
      <c r="E68" s="942">
        <v>-5350749.72</v>
      </c>
      <c r="F68" s="942">
        <v>-4998498.09</v>
      </c>
      <c r="G68" s="942">
        <v>-4646246.46</v>
      </c>
      <c r="H68" s="942">
        <v>-4602095.03</v>
      </c>
      <c r="I68" s="942">
        <v>-4602095.03</v>
      </c>
      <c r="J68" s="942">
        <v>-4602095.03</v>
      </c>
      <c r="K68" s="942">
        <v>-4602095.03</v>
      </c>
      <c r="L68" s="942">
        <v>-4602095.03</v>
      </c>
      <c r="M68" s="942">
        <v>-4602095.03</v>
      </c>
      <c r="N68" s="942">
        <v>-4602095.03</v>
      </c>
      <c r="O68" s="942">
        <v>-4602095.03</v>
      </c>
      <c r="P68" s="942">
        <v>-4602095.03</v>
      </c>
      <c r="Q68" s="942">
        <v>-4602095.03</v>
      </c>
      <c r="R68" s="942">
        <v>-4602095.03</v>
      </c>
      <c r="S68" s="942">
        <v>-4602095.03</v>
      </c>
      <c r="T68" s="942">
        <v>-4602095.03</v>
      </c>
      <c r="U68" s="942">
        <v>-4602095.03</v>
      </c>
      <c r="V68" s="942">
        <v>-4602095.03</v>
      </c>
      <c r="W68" s="942">
        <v>-4602095.03</v>
      </c>
      <c r="X68" s="942">
        <v>-4602095.03</v>
      </c>
      <c r="Y68" s="942">
        <v>-4602095.03</v>
      </c>
      <c r="Z68" s="942">
        <v>-4602095.03</v>
      </c>
      <c r="AA68" s="942">
        <v>-4602095.03</v>
      </c>
      <c r="AB68" s="942">
        <v>-4602095.03</v>
      </c>
      <c r="AC68" s="942">
        <v>-4602095.03</v>
      </c>
      <c r="AD68" s="942">
        <v>-4602095.03</v>
      </c>
      <c r="AE68" s="942">
        <v>-4602095.03</v>
      </c>
      <c r="AF68" s="942">
        <v>-4602095.03</v>
      </c>
    </row>
    <row r="70" spans="1:32">
      <c r="A70" t="s">
        <v>930</v>
      </c>
    </row>
    <row r="72" spans="1:32">
      <c r="A72" t="s">
        <v>931</v>
      </c>
      <c r="B72">
        <v>7958650</v>
      </c>
    </row>
    <row r="73" spans="1:32">
      <c r="A73" t="s">
        <v>934</v>
      </c>
      <c r="B73">
        <v>865657</v>
      </c>
    </row>
    <row r="74" spans="1:32">
      <c r="A74" t="s">
        <v>777</v>
      </c>
      <c r="B74">
        <v>11.103300000000001</v>
      </c>
    </row>
    <row r="75" spans="1:32">
      <c r="A75" t="s">
        <v>932</v>
      </c>
      <c r="B75">
        <v>8942.31</v>
      </c>
    </row>
    <row r="76" spans="1:32">
      <c r="A76" t="s">
        <v>933</v>
      </c>
      <c r="B76">
        <v>7.8093899999999996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Sheet44">
    <tabColor rgb="FFA9DA74"/>
  </sheetPr>
  <dimension ref="A1:BD84"/>
  <sheetViews>
    <sheetView workbookViewId="0">
      <pane xSplit="1" topLeftCell="B1" activePane="topRight" state="frozen"/>
      <selection activeCell="W19" sqref="W19"/>
      <selection pane="topRight" activeCell="K5" sqref="K5"/>
    </sheetView>
  </sheetViews>
  <sheetFormatPr defaultRowHeight="15"/>
  <cols>
    <col min="11" max="11" width="12" customWidth="1"/>
    <col min="12" max="12" width="12.85546875" customWidth="1"/>
    <col min="13" max="13" width="12.42578125" customWidth="1"/>
    <col min="35" max="36" width="13" customWidth="1"/>
    <col min="38" max="38" width="10.7109375" bestFit="1" customWidth="1"/>
    <col min="39" max="39" width="10.42578125" customWidth="1"/>
    <col min="40" max="40" width="12.42578125" customWidth="1"/>
    <col min="44" max="44" width="10.85546875" customWidth="1"/>
    <col min="45" max="45" width="12.28515625" customWidth="1"/>
    <col min="46" max="46" width="1.7109375" customWidth="1"/>
    <col min="47" max="47" width="12.5703125" bestFit="1" customWidth="1"/>
    <col min="51" max="51" width="10.5703125" customWidth="1"/>
    <col min="54" max="54" width="14.140625" customWidth="1"/>
    <col min="56" max="56" width="10.5703125" customWidth="1"/>
  </cols>
  <sheetData>
    <row r="1" spans="1:50" ht="60">
      <c r="C1" s="257" t="s">
        <v>226</v>
      </c>
      <c r="D1" s="258" t="s">
        <v>794</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2012</v>
      </c>
      <c r="E2" s="266"/>
      <c r="J2" s="267" t="s">
        <v>231</v>
      </c>
      <c r="K2" s="268">
        <f ca="1">NPV(DiscountRate,AA19:AA59)</f>
        <v>1809262.0810417845</v>
      </c>
      <c r="L2" s="269">
        <f ca="1">-SUM(OFFSET(W19,0,0,M2-2010+1,4))</f>
        <v>148530.31215928003</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5580709.0698782019</v>
      </c>
      <c r="L3" s="277" t="s">
        <v>235</v>
      </c>
      <c r="M3" s="278">
        <f ca="1">-SUM(OFFSET(W19,M2-2010,0,1,4))</f>
        <v>4498.4759306586811</v>
      </c>
      <c r="N3" s="272"/>
      <c r="O3" s="1496">
        <f ca="1">AVERAGE(OFFSET(AJ19,0,0,$M$2-2010+1,1))</f>
        <v>416111.48859620211</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3808.4695425456416</v>
      </c>
      <c r="M4" s="281">
        <f ca="1">-SUM(OFFSET(W19,M2-2010,0,1,4))/SUM(OFFSET(ExposureCalculations!G16,M2-2010,0,1,3))</f>
        <v>4.114467617075109E-3</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683</v>
      </c>
      <c r="E5" s="273"/>
      <c r="F5" s="272"/>
      <c r="G5" s="272"/>
      <c r="H5" s="272"/>
      <c r="I5" s="273"/>
      <c r="J5" s="275" t="s">
        <v>238</v>
      </c>
      <c r="K5" s="276">
        <f>NPV(DiscountRate,AL19:AL59)</f>
        <v>-675002.01624247886</v>
      </c>
      <c r="L5" s="277"/>
      <c r="M5" s="272"/>
      <c r="N5" s="272"/>
      <c r="O5" s="1496">
        <f ca="1">AVERAGE(OFFSET(AL19,0,0,$M$2-2010+1,1))</f>
        <v>-29268.292682926829</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6714969.1346775051</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10.948072706593676</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f ca="1">IFERROR(IF(K8&lt;0,"",IRR(AR19:AR59)),"")</f>
        <v>0.5694629862057734</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1.8630369059494107</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4905707.0536357202</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-97.677702400310238</v>
      </c>
      <c r="L13" s="824"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36.024279718290806</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6"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B17" s="825" t="s">
        <v>799</v>
      </c>
      <c r="BC17" s="264" t="s">
        <v>800</v>
      </c>
      <c r="BD17" s="264" t="s">
        <v>801</v>
      </c>
    </row>
    <row r="18" spans="1:56">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6">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878" t="s">
        <v>795</v>
      </c>
      <c r="AV19" s="879"/>
      <c r="AW19" s="879"/>
      <c r="AX19" s="35"/>
      <c r="AY19" s="880"/>
      <c r="BB19" s="904">
        <f ca="1">E19*$AU$21</f>
        <v>61691.491361670771</v>
      </c>
      <c r="BC19" s="904">
        <f ca="1">E19*$AU$23</f>
        <v>34273.050756483768</v>
      </c>
      <c r="BD19" s="904">
        <f ca="1">BB19-BC19</f>
        <v>27418.440605187003</v>
      </c>
    </row>
    <row r="20" spans="1:56">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f ca="1">-G20/E20</f>
        <v>0</v>
      </c>
      <c r="G20" s="306">
        <v>0</v>
      </c>
      <c r="H20" s="304">
        <f ca="1">IF($D$3="BAU",UtilityDemand!G13,INDIRECT($D$3&amp;"!H"&amp;ROW(G20))+INDIRECT($D$3&amp;"!J"&amp;ROW(G20)))</f>
        <v>182506.92912520736</v>
      </c>
      <c r="I20" s="305">
        <v>0</v>
      </c>
      <c r="J20" s="306">
        <f ca="1">-H20*I20</f>
        <v>0</v>
      </c>
      <c r="K20" s="307">
        <f t="shared" ref="K20:K59" ca="1" si="9">IF($D$3="BAU",B20+D20,INDIRECT($D$3&amp;"!B"&amp;ROW(A20))+INDIRECT($D$3&amp;"!D"&amp;ROW(A20))+INDIRECT($D$3&amp;"!L"&amp;ROW(A20))+D20)</f>
        <v>130129.26073503707</v>
      </c>
      <c r="L20" s="307">
        <f t="shared" ref="L20:L59" si="10">-M20</f>
        <v>0</v>
      </c>
      <c r="M20" s="307">
        <v>0</v>
      </c>
      <c r="N20" s="307">
        <f t="shared" ref="N20:N59" ca="1" si="11">K20+L20</f>
        <v>130129.26073503707</v>
      </c>
      <c r="O20" s="306">
        <f t="shared" ref="O20:O59" ca="1" si="12">IF($D$3="BAU",E20+G20,INDIRECT($D$3&amp;"!E"&amp;ROW(A20))+INDIRECT($D$3&amp;"!G"&amp;ROW(A20))+INDIRECT($D$3&amp;"!P"&amp;ROW(A20))+G20)</f>
        <v>693847.61425935081</v>
      </c>
      <c r="P20" s="306">
        <f t="shared" ref="P20:P59" si="13">-Q20</f>
        <v>0</v>
      </c>
      <c r="Q20" s="306">
        <v>0</v>
      </c>
      <c r="R20" s="306">
        <f t="shared" ref="R20:R59" ca="1" si="14">O20+P20</f>
        <v>693847.61425935081</v>
      </c>
      <c r="S20" s="818">
        <f t="shared" ref="S20:S59" ca="1" si="15">IF($D$3="BAU",H20+J20,INDIRECT($D$3&amp;"!H"&amp;ROW(A20))+INDIRECT($D$3&amp;"!J"&amp;ROW(A20))+INDIRECT($D$3&amp;"!T"&amp;ROW(A20))+J20)</f>
        <v>182506.92912520736</v>
      </c>
      <c r="T20" s="818">
        <f t="shared" ref="T20:T59" si="16">-U20</f>
        <v>0</v>
      </c>
      <c r="U20" s="818">
        <v>0</v>
      </c>
      <c r="V20" s="818">
        <f t="shared" ref="V20:V59" ca="1" si="17">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f>-AU25</f>
        <v>-600000</v>
      </c>
      <c r="AM20" s="309">
        <f t="shared" ref="AM20:AM59" si="18">SUM(AK20:AL20)</f>
        <v>-600000</v>
      </c>
      <c r="AN20" s="310">
        <v>0</v>
      </c>
      <c r="AO20" s="310">
        <v>0</v>
      </c>
      <c r="AP20" s="310">
        <f t="shared" ref="AP20:AP59" si="19">SUM(AN20:AO20)</f>
        <v>0</v>
      </c>
      <c r="AQ20" s="309">
        <v>0</v>
      </c>
      <c r="AR20" s="311">
        <f t="shared" ca="1" si="7"/>
        <v>-600000</v>
      </c>
      <c r="AS20" s="870">
        <f t="shared" ref="AS20:AS59" ca="1" si="20">AR20+AS19</f>
        <v>-600000</v>
      </c>
      <c r="AT20" s="822"/>
      <c r="AU20" s="878"/>
      <c r="AV20" s="35"/>
      <c r="AW20" s="879"/>
      <c r="AX20" s="35"/>
      <c r="AY20" s="880"/>
      <c r="BB20" s="304">
        <f t="shared" ref="BB20:BB59" ca="1" si="21">E20*$AU$21</f>
        <v>62446.285283341567</v>
      </c>
      <c r="BC20" s="304">
        <f t="shared" ref="BC20:BC59" ca="1" si="22">E20*$AU$23</f>
        <v>34692.380712967541</v>
      </c>
      <c r="BD20" s="304">
        <f t="shared" ref="BD20:BD59" ca="1" si="23">BB20-BC20</f>
        <v>27753.904570374027</v>
      </c>
    </row>
    <row r="21" spans="1:56">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f t="shared" ref="F21:F59" ca="1" si="24">-G21/E21</f>
        <v>0.04</v>
      </c>
      <c r="G21" s="306">
        <f t="shared" ref="G21:G59" ca="1" si="25">-BD21</f>
        <v>-28540.337817737665</v>
      </c>
      <c r="H21" s="304">
        <f ca="1">IF($D$3="BAU",UtilityDemand!G14,INDIRECT($D$3&amp;"!H"&amp;ROW(G21))+INDIRECT($D$3&amp;"!J"&amp;ROW(G21)))</f>
        <v>188515.56027382973</v>
      </c>
      <c r="I21" s="305">
        <v>0</v>
      </c>
      <c r="J21" s="306">
        <f t="shared" ref="J21:J59" ca="1" si="26">-H21*I21</f>
        <v>0</v>
      </c>
      <c r="K21" s="307">
        <f t="shared" ca="1" si="9"/>
        <v>133825.36797702796</v>
      </c>
      <c r="L21" s="307">
        <f t="shared" si="10"/>
        <v>0</v>
      </c>
      <c r="M21" s="307">
        <v>0</v>
      </c>
      <c r="N21" s="307">
        <f t="shared" ca="1" si="11"/>
        <v>133825.36797702796</v>
      </c>
      <c r="O21" s="306">
        <f t="shared" ca="1" si="12"/>
        <v>684968.10762570391</v>
      </c>
      <c r="P21" s="306">
        <f t="shared" si="13"/>
        <v>0</v>
      </c>
      <c r="Q21" s="306">
        <v>0</v>
      </c>
      <c r="R21" s="306">
        <f t="shared" ca="1" si="14"/>
        <v>684968.10762570391</v>
      </c>
      <c r="S21" s="818">
        <f t="shared" ca="1" si="15"/>
        <v>188515.56027382973</v>
      </c>
      <c r="T21" s="818">
        <f t="shared" si="16"/>
        <v>0</v>
      </c>
      <c r="U21" s="818">
        <v>0</v>
      </c>
      <c r="V21" s="818">
        <f t="shared" ca="1" si="17"/>
        <v>188515.56027382973</v>
      </c>
      <c r="W21" s="306">
        <f t="shared" si="1"/>
        <v>0</v>
      </c>
      <c r="X21" s="306">
        <f t="shared" ca="1" si="2"/>
        <v>-3075.9772424453963</v>
      </c>
      <c r="Y21" s="306">
        <v>0</v>
      </c>
      <c r="Z21" s="306">
        <v>0</v>
      </c>
      <c r="AA21" s="308">
        <f ca="1">-SUM(W21,X21/OFFSET(GridFootprintbyYear,$A21-$A$19,0)*EF_PurchElec_MTperMWh,Z21)*OFFSET(ExposureCalculations!Price_GHG_Allowance_2010,A21-$A$19,0)*ExposureCalculations!D18</f>
        <v>0</v>
      </c>
      <c r="AB21" s="308">
        <f t="shared" ca="1" si="3"/>
        <v>0</v>
      </c>
      <c r="AC21" s="308">
        <v>0</v>
      </c>
      <c r="AD21" s="819">
        <f t="shared" ca="1" si="4"/>
        <v>318930.98821845633</v>
      </c>
      <c r="AE21" s="308">
        <v>0</v>
      </c>
      <c r="AF21" s="819">
        <f t="shared" ca="1" si="5"/>
        <v>0</v>
      </c>
      <c r="AG21" s="308">
        <v>0</v>
      </c>
      <c r="AH21" s="308">
        <v>0</v>
      </c>
      <c r="AI21" s="308">
        <v>0</v>
      </c>
      <c r="AJ21" s="308">
        <f ca="1">SUM(AB21:AI21)</f>
        <v>318930.98821845633</v>
      </c>
      <c r="AK21" s="309">
        <v>0</v>
      </c>
      <c r="AL21" s="309">
        <v>0</v>
      </c>
      <c r="AM21" s="309">
        <f t="shared" si="18"/>
        <v>0</v>
      </c>
      <c r="AN21" s="310">
        <v>0</v>
      </c>
      <c r="AO21" s="310">
        <v>0</v>
      </c>
      <c r="AP21" s="310">
        <f t="shared" si="19"/>
        <v>0</v>
      </c>
      <c r="AQ21" s="309">
        <v>0</v>
      </c>
      <c r="AR21" s="311">
        <f t="shared" ca="1" si="7"/>
        <v>318930.98821845633</v>
      </c>
      <c r="AS21" s="870">
        <f t="shared" ca="1" si="20"/>
        <v>-281069.01178154367</v>
      </c>
      <c r="AT21" s="822"/>
      <c r="AU21" s="901">
        <v>0.09</v>
      </c>
      <c r="AV21" s="35" t="s">
        <v>797</v>
      </c>
      <c r="AW21" s="879"/>
      <c r="AX21" s="35"/>
      <c r="AY21" s="880"/>
      <c r="BB21" s="304">
        <f t="shared" ca="1" si="21"/>
        <v>64215.760089909745</v>
      </c>
      <c r="BC21" s="304">
        <f t="shared" ca="1" si="22"/>
        <v>35675.42227217208</v>
      </c>
      <c r="BD21" s="304">
        <f t="shared" ca="1" si="23"/>
        <v>28540.337817737665</v>
      </c>
    </row>
    <row r="22" spans="1:56">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f t="shared" ca="1" si="24"/>
        <v>3.9999999999999987E-2</v>
      </c>
      <c r="G22" s="306">
        <f t="shared" ca="1" si="25"/>
        <v>-28998.793405336473</v>
      </c>
      <c r="H22" s="304">
        <f ca="1">IF($D$3="BAU",UtilityDemand!G15,INDIRECT($D$3&amp;"!H"&amp;ROW(G22))+INDIRECT($D$3&amp;"!J"&amp;ROW(G22)))</f>
        <v>192383.03026898397</v>
      </c>
      <c r="I22" s="305">
        <v>0</v>
      </c>
      <c r="J22" s="306">
        <f t="shared" ca="1" si="26"/>
        <v>0</v>
      </c>
      <c r="K22" s="307">
        <f t="shared" ca="1" si="9"/>
        <v>135980.03402546333</v>
      </c>
      <c r="L22" s="307">
        <f t="shared" si="10"/>
        <v>0</v>
      </c>
      <c r="M22" s="307">
        <v>0</v>
      </c>
      <c r="N22" s="307">
        <f t="shared" ca="1" si="11"/>
        <v>135980.03402546333</v>
      </c>
      <c r="O22" s="306">
        <f t="shared" ca="1" si="12"/>
        <v>695971.04172807559</v>
      </c>
      <c r="P22" s="306">
        <f t="shared" si="13"/>
        <v>0</v>
      </c>
      <c r="Q22" s="306">
        <v>0</v>
      </c>
      <c r="R22" s="306">
        <f t="shared" ca="1" si="14"/>
        <v>695971.04172807559</v>
      </c>
      <c r="S22" s="818">
        <f t="shared" ca="1" si="15"/>
        <v>192383.03026898397</v>
      </c>
      <c r="T22" s="818">
        <f t="shared" si="16"/>
        <v>0</v>
      </c>
      <c r="U22" s="818">
        <v>0</v>
      </c>
      <c r="V22" s="818">
        <f t="shared" ca="1" si="17"/>
        <v>192383.03026898397</v>
      </c>
      <c r="W22" s="306">
        <f t="shared" si="1"/>
        <v>0</v>
      </c>
      <c r="X22" s="306">
        <f t="shared" ca="1" si="2"/>
        <v>-3125.3879734301372</v>
      </c>
      <c r="Y22" s="306">
        <v>0</v>
      </c>
      <c r="Z22" s="306">
        <v>0</v>
      </c>
      <c r="AA22" s="308">
        <f ca="1">-SUM(W22,X22/OFFSET(GridFootprintbyYear,$A22-$A$19,0)*EF_PurchElec_MTperMWh,Z22)*OFFSET(ExposureCalculations!Price_GHG_Allowance_2010,A22-$A$19,0)*ExposureCalculations!D19</f>
        <v>0</v>
      </c>
      <c r="AB22" s="308">
        <f t="shared" ca="1" si="3"/>
        <v>0</v>
      </c>
      <c r="AC22" s="308">
        <v>0</v>
      </c>
      <c r="AD22" s="819">
        <f t="shared" ca="1" si="4"/>
        <v>325674.38291916944</v>
      </c>
      <c r="AE22" s="308">
        <v>0</v>
      </c>
      <c r="AF22" s="819">
        <f t="shared" ca="1" si="5"/>
        <v>0</v>
      </c>
      <c r="AG22" s="308">
        <v>0</v>
      </c>
      <c r="AH22" s="308">
        <v>0</v>
      </c>
      <c r="AI22" s="308">
        <v>0</v>
      </c>
      <c r="AJ22" s="308">
        <f t="shared" ca="1" si="6"/>
        <v>325674.38291916944</v>
      </c>
      <c r="AK22" s="309">
        <v>0</v>
      </c>
      <c r="AL22" s="309">
        <v>0</v>
      </c>
      <c r="AM22" s="309">
        <f t="shared" si="18"/>
        <v>0</v>
      </c>
      <c r="AN22" s="310">
        <v>0</v>
      </c>
      <c r="AO22" s="310">
        <v>0</v>
      </c>
      <c r="AP22" s="310">
        <f t="shared" si="19"/>
        <v>0</v>
      </c>
      <c r="AQ22" s="309">
        <v>0</v>
      </c>
      <c r="AR22" s="311">
        <f t="shared" ca="1" si="7"/>
        <v>325674.38291916944</v>
      </c>
      <c r="AS22" s="870">
        <f t="shared" ca="1" si="20"/>
        <v>44605.371137625771</v>
      </c>
      <c r="AT22" s="822"/>
      <c r="AU22" s="878"/>
      <c r="AV22" s="35"/>
      <c r="AW22" s="879"/>
      <c r="AX22" s="35"/>
      <c r="AY22" s="880"/>
      <c r="BB22" s="304">
        <f t="shared" ca="1" si="21"/>
        <v>65247.28516200708</v>
      </c>
      <c r="BC22" s="304">
        <f t="shared" ca="1" si="22"/>
        <v>36248.491756670606</v>
      </c>
      <c r="BD22" s="304">
        <f t="shared" ca="1" si="23"/>
        <v>28998.793405336473</v>
      </c>
    </row>
    <row r="23" spans="1:56">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f t="shared" ca="1" si="24"/>
        <v>4.0000000000000008E-2</v>
      </c>
      <c r="G23" s="306">
        <f t="shared" ca="1" si="25"/>
        <v>-29334.257370523505</v>
      </c>
      <c r="H23" s="304">
        <f ca="1">IF($D$3="BAU",UtilityDemand!G16,INDIRECT($D$3&amp;"!H"&amp;ROW(G23))+INDIRECT($D$3&amp;"!J"&amp;ROW(G23)))</f>
        <v>195447.56483158763</v>
      </c>
      <c r="I23" s="305">
        <v>0</v>
      </c>
      <c r="J23" s="306">
        <f t="shared" ca="1" si="26"/>
        <v>0</v>
      </c>
      <c r="K23" s="307">
        <f t="shared" ca="1" si="9"/>
        <v>137556.65962631535</v>
      </c>
      <c r="L23" s="307">
        <f t="shared" si="10"/>
        <v>0</v>
      </c>
      <c r="M23" s="307">
        <v>0</v>
      </c>
      <c r="N23" s="307">
        <f t="shared" ca="1" si="11"/>
        <v>137556.65962631535</v>
      </c>
      <c r="O23" s="306">
        <f t="shared" ca="1" si="12"/>
        <v>704022.17689256393</v>
      </c>
      <c r="P23" s="306">
        <f t="shared" si="13"/>
        <v>0</v>
      </c>
      <c r="Q23" s="306">
        <v>0</v>
      </c>
      <c r="R23" s="306">
        <f t="shared" ca="1" si="14"/>
        <v>704022.17689256393</v>
      </c>
      <c r="S23" s="818">
        <f t="shared" ca="1" si="15"/>
        <v>195447.56483158763</v>
      </c>
      <c r="T23" s="818">
        <f t="shared" si="16"/>
        <v>0</v>
      </c>
      <c r="U23" s="818">
        <v>0</v>
      </c>
      <c r="V23" s="818">
        <f t="shared" ca="1" si="17"/>
        <v>195447.56483158763</v>
      </c>
      <c r="W23" s="306">
        <f t="shared" si="1"/>
        <v>0</v>
      </c>
      <c r="X23" s="306">
        <f t="shared" ca="1" si="2"/>
        <v>-3161.5430998748739</v>
      </c>
      <c r="Y23" s="306">
        <v>0</v>
      </c>
      <c r="Z23" s="306">
        <v>0</v>
      </c>
      <c r="AA23" s="308">
        <f ca="1">-SUM(W23,X23/OFFSET(GridFootprintbyYear,$A23-$A$19,0)*EF_PurchElec_MTperMWh,Z23)*OFFSET(ExposureCalculations!Price_GHG_Allowance_2010,A23-$A$19,0)*ExposureCalculations!D20</f>
        <v>0</v>
      </c>
      <c r="AB23" s="308">
        <f t="shared" ca="1" si="3"/>
        <v>0</v>
      </c>
      <c r="AC23" s="308">
        <v>0</v>
      </c>
      <c r="AD23" s="819">
        <f t="shared" ca="1" si="4"/>
        <v>331089.05995406612</v>
      </c>
      <c r="AE23" s="308">
        <v>0</v>
      </c>
      <c r="AF23" s="819">
        <f t="shared" ca="1" si="5"/>
        <v>0</v>
      </c>
      <c r="AG23" s="308">
        <v>0</v>
      </c>
      <c r="AH23" s="308">
        <v>0</v>
      </c>
      <c r="AI23" s="308">
        <v>0</v>
      </c>
      <c r="AJ23" s="308">
        <f t="shared" ca="1" si="6"/>
        <v>331089.05995406612</v>
      </c>
      <c r="AK23" s="309">
        <v>0</v>
      </c>
      <c r="AL23" s="309">
        <v>0</v>
      </c>
      <c r="AM23" s="309">
        <f t="shared" si="18"/>
        <v>0</v>
      </c>
      <c r="AN23" s="310">
        <v>0</v>
      </c>
      <c r="AO23" s="310">
        <v>0</v>
      </c>
      <c r="AP23" s="310">
        <f t="shared" si="19"/>
        <v>0</v>
      </c>
      <c r="AQ23" s="309">
        <v>0</v>
      </c>
      <c r="AR23" s="311">
        <f t="shared" ca="1" si="7"/>
        <v>331089.05995406612</v>
      </c>
      <c r="AS23" s="870">
        <f t="shared" ca="1" si="20"/>
        <v>375694.43109169189</v>
      </c>
      <c r="AT23" s="822"/>
      <c r="AU23" s="901">
        <v>0.05</v>
      </c>
      <c r="AV23" s="35" t="s">
        <v>798</v>
      </c>
      <c r="AW23" s="879"/>
      <c r="AX23" s="35"/>
      <c r="AY23" s="880"/>
      <c r="BB23" s="304">
        <f t="shared" ca="1" si="21"/>
        <v>66002.079083677876</v>
      </c>
      <c r="BC23" s="304">
        <f t="shared" ca="1" si="22"/>
        <v>36667.821713154372</v>
      </c>
      <c r="BD23" s="304">
        <f t="shared" ca="1" si="23"/>
        <v>29334.257370523505</v>
      </c>
    </row>
    <row r="24" spans="1:56">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f t="shared" ca="1" si="24"/>
        <v>3.9999999999999987E-2</v>
      </c>
      <c r="G24" s="306">
        <f t="shared" ca="1" si="25"/>
        <v>-29997.698995475323</v>
      </c>
      <c r="H24" s="304">
        <f ca="1">IF($D$3="BAU",UtilityDemand!G17,INDIRECT($D$3&amp;"!H"&amp;ROW(G24))+INDIRECT($D$3&amp;"!J"&amp;ROW(G24)))</f>
        <v>200653.26054765948</v>
      </c>
      <c r="I24" s="305">
        <v>0</v>
      </c>
      <c r="J24" s="306">
        <f t="shared" ca="1" si="26"/>
        <v>0</v>
      </c>
      <c r="K24" s="307">
        <f t="shared" ca="1" si="9"/>
        <v>140674.7264207229</v>
      </c>
      <c r="L24" s="307">
        <f t="shared" si="10"/>
        <v>0</v>
      </c>
      <c r="M24" s="307">
        <v>0</v>
      </c>
      <c r="N24" s="307">
        <f t="shared" ca="1" si="11"/>
        <v>140674.7264207229</v>
      </c>
      <c r="O24" s="306">
        <f t="shared" ca="1" si="12"/>
        <v>719944.77589140797</v>
      </c>
      <c r="P24" s="306">
        <f t="shared" si="13"/>
        <v>0</v>
      </c>
      <c r="Q24" s="306">
        <v>0</v>
      </c>
      <c r="R24" s="306">
        <f t="shared" ca="1" si="14"/>
        <v>719944.77589140797</v>
      </c>
      <c r="S24" s="818">
        <f t="shared" ca="1" si="15"/>
        <v>200653.26054765948</v>
      </c>
      <c r="T24" s="818">
        <f t="shared" si="16"/>
        <v>0</v>
      </c>
      <c r="U24" s="818">
        <v>0</v>
      </c>
      <c r="V24" s="818">
        <f t="shared" ca="1" si="17"/>
        <v>200653.26054765948</v>
      </c>
      <c r="W24" s="306">
        <f t="shared" si="1"/>
        <v>0</v>
      </c>
      <c r="X24" s="306">
        <f t="shared" ca="1" si="2"/>
        <v>-3233.0465050929606</v>
      </c>
      <c r="Y24" s="306">
        <v>0</v>
      </c>
      <c r="Z24" s="306">
        <v>0</v>
      </c>
      <c r="AA24" s="308">
        <f ca="1">-SUM(W24,X24/OFFSET(GridFootprintbyYear,$A24-$A$19,0)*EF_PurchElec_MTperMWh,Z24)*OFFSET(ExposureCalculations!Price_GHG_Allowance_2010,A24-$A$19,0)*ExposureCalculations!D21</f>
        <v>32877.938707109228</v>
      </c>
      <c r="AB24" s="308">
        <f t="shared" ca="1" si="3"/>
        <v>0</v>
      </c>
      <c r="AC24" s="308">
        <v>0</v>
      </c>
      <c r="AD24" s="819">
        <f t="shared" ca="1" si="4"/>
        <v>340270.05984589568</v>
      </c>
      <c r="AE24" s="308">
        <v>0</v>
      </c>
      <c r="AF24" s="819">
        <f t="shared" ca="1" si="5"/>
        <v>0</v>
      </c>
      <c r="AG24" s="308">
        <v>0</v>
      </c>
      <c r="AH24" s="308">
        <v>0</v>
      </c>
      <c r="AI24" s="308">
        <v>0</v>
      </c>
      <c r="AJ24" s="308">
        <f t="shared" ca="1" si="6"/>
        <v>340270.05984589568</v>
      </c>
      <c r="AK24" s="309">
        <v>0</v>
      </c>
      <c r="AL24" s="309">
        <v>0</v>
      </c>
      <c r="AM24" s="309">
        <f t="shared" si="18"/>
        <v>0</v>
      </c>
      <c r="AN24" s="310">
        <v>0</v>
      </c>
      <c r="AO24" s="310">
        <v>0</v>
      </c>
      <c r="AP24" s="310">
        <f t="shared" si="19"/>
        <v>0</v>
      </c>
      <c r="AQ24" s="309">
        <v>0</v>
      </c>
      <c r="AR24" s="311">
        <f t="shared" ca="1" si="7"/>
        <v>373147.99855300493</v>
      </c>
      <c r="AS24" s="870">
        <f t="shared" ca="1" si="20"/>
        <v>748842.42964469688</v>
      </c>
      <c r="AT24" s="822"/>
      <c r="AU24" s="878"/>
      <c r="AV24" s="35"/>
      <c r="AW24" s="879"/>
      <c r="AX24" s="35"/>
      <c r="AY24" s="880"/>
      <c r="BB24" s="304">
        <f t="shared" ca="1" si="21"/>
        <v>67494.822739819487</v>
      </c>
      <c r="BC24" s="304">
        <f t="shared" ca="1" si="22"/>
        <v>37497.123744344164</v>
      </c>
      <c r="BD24" s="304">
        <f t="shared" ca="1" si="23"/>
        <v>29997.698995475323</v>
      </c>
    </row>
    <row r="25" spans="1:56">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f t="shared" ca="1" si="24"/>
        <v>3.9999999999999987E-2</v>
      </c>
      <c r="G25" s="306">
        <f t="shared" ca="1" si="25"/>
        <v>-30333.162960662339</v>
      </c>
      <c r="H25" s="304">
        <f ca="1">IF($D$3="BAU",UtilityDemand!G18,INDIRECT($D$3&amp;"!H"&amp;ROW(G25))+INDIRECT($D$3&amp;"!J"&amp;ROW(G25)))</f>
        <v>203717.79511026316</v>
      </c>
      <c r="I25" s="305">
        <v>0</v>
      </c>
      <c r="J25" s="306">
        <f t="shared" ca="1" si="26"/>
        <v>0</v>
      </c>
      <c r="K25" s="307">
        <f t="shared" ca="1" si="9"/>
        <v>142251.35202157494</v>
      </c>
      <c r="L25" s="307">
        <f t="shared" si="10"/>
        <v>0</v>
      </c>
      <c r="M25" s="307">
        <v>0</v>
      </c>
      <c r="N25" s="307">
        <f t="shared" ca="1" si="11"/>
        <v>142251.35202157494</v>
      </c>
      <c r="O25" s="306">
        <f t="shared" ca="1" si="12"/>
        <v>727995.91105589631</v>
      </c>
      <c r="P25" s="306">
        <f t="shared" si="13"/>
        <v>0</v>
      </c>
      <c r="Q25" s="306">
        <v>0</v>
      </c>
      <c r="R25" s="306">
        <f t="shared" ca="1" si="14"/>
        <v>727995.91105589631</v>
      </c>
      <c r="S25" s="818">
        <f t="shared" ca="1" si="15"/>
        <v>203717.79511026316</v>
      </c>
      <c r="T25" s="818">
        <f t="shared" si="16"/>
        <v>0</v>
      </c>
      <c r="U25" s="818">
        <v>0</v>
      </c>
      <c r="V25" s="818">
        <f t="shared" ca="1" si="17"/>
        <v>203717.79511026316</v>
      </c>
      <c r="W25" s="306">
        <f t="shared" si="1"/>
        <v>0</v>
      </c>
      <c r="X25" s="306">
        <f t="shared" ca="1" si="2"/>
        <v>-3269.2016315376959</v>
      </c>
      <c r="Y25" s="306">
        <v>0</v>
      </c>
      <c r="Z25" s="306">
        <v>0</v>
      </c>
      <c r="AA25" s="308">
        <f ca="1">-SUM(W25,X25/OFFSET(GridFootprintbyYear,$A25-$A$19,0)*EF_PurchElec_MTperMWh,Z25)*OFFSET(ExposureCalculations!Price_GHG_Allowance_2010,A25-$A$19,0)*ExposureCalculations!D22</f>
        <v>38375.543407555328</v>
      </c>
      <c r="AB25" s="308">
        <f t="shared" ca="1" si="3"/>
        <v>0</v>
      </c>
      <c r="AC25" s="308">
        <v>0</v>
      </c>
      <c r="AD25" s="819">
        <f t="shared" ca="1" si="4"/>
        <v>345795.67297425686</v>
      </c>
      <c r="AE25" s="308">
        <v>0</v>
      </c>
      <c r="AF25" s="819">
        <f t="shared" ca="1" si="5"/>
        <v>0</v>
      </c>
      <c r="AG25" s="308">
        <v>0</v>
      </c>
      <c r="AH25" s="308">
        <v>0</v>
      </c>
      <c r="AI25" s="308">
        <v>0</v>
      </c>
      <c r="AJ25" s="308">
        <f t="shared" ca="1" si="6"/>
        <v>345795.67297425686</v>
      </c>
      <c r="AK25" s="309">
        <v>0</v>
      </c>
      <c r="AL25" s="309">
        <v>0</v>
      </c>
      <c r="AM25" s="309">
        <f t="shared" si="18"/>
        <v>0</v>
      </c>
      <c r="AN25" s="310">
        <v>0</v>
      </c>
      <c r="AO25" s="310">
        <v>0</v>
      </c>
      <c r="AP25" s="310">
        <f t="shared" si="19"/>
        <v>0</v>
      </c>
      <c r="AQ25" s="309">
        <v>0</v>
      </c>
      <c r="AR25" s="311">
        <f t="shared" ca="1" si="7"/>
        <v>384171.21638181218</v>
      </c>
      <c r="AS25" s="870">
        <f t="shared" ca="1" si="20"/>
        <v>1133013.6460265091</v>
      </c>
      <c r="AT25" s="822"/>
      <c r="AU25" s="902">
        <v>600000</v>
      </c>
      <c r="AV25" s="35" t="s">
        <v>1369</v>
      </c>
      <c r="AW25" s="879"/>
      <c r="AX25" s="35"/>
      <c r="AY25" s="880"/>
      <c r="BB25" s="304">
        <f t="shared" ca="1" si="21"/>
        <v>68249.616661490276</v>
      </c>
      <c r="BC25" s="304">
        <f t="shared" ca="1" si="22"/>
        <v>37916.453700827937</v>
      </c>
      <c r="BD25" s="304">
        <f t="shared" ca="1" si="23"/>
        <v>30333.162960662339</v>
      </c>
    </row>
    <row r="26" spans="1:56">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f t="shared" ca="1" si="24"/>
        <v>3.9999999999999987E-2</v>
      </c>
      <c r="G26" s="306">
        <f t="shared" ca="1" si="25"/>
        <v>-30668.626925849356</v>
      </c>
      <c r="H26" s="304">
        <f ca="1">IF($D$3="BAU",UtilityDemand!G19,INDIRECT($D$3&amp;"!H"&amp;ROW(G26))+INDIRECT($D$3&amp;"!J"&amp;ROW(G26)))</f>
        <v>206782.32967286685</v>
      </c>
      <c r="I26" s="305">
        <v>0</v>
      </c>
      <c r="J26" s="306">
        <f t="shared" ca="1" si="26"/>
        <v>0</v>
      </c>
      <c r="K26" s="307">
        <f t="shared" ca="1" si="9"/>
        <v>143827.97762242699</v>
      </c>
      <c r="L26" s="307">
        <f t="shared" si="10"/>
        <v>0</v>
      </c>
      <c r="M26" s="307">
        <v>0</v>
      </c>
      <c r="N26" s="307">
        <f t="shared" ca="1" si="11"/>
        <v>143827.97762242699</v>
      </c>
      <c r="O26" s="306">
        <f t="shared" ca="1" si="12"/>
        <v>736047.04622038477</v>
      </c>
      <c r="P26" s="306">
        <f t="shared" si="13"/>
        <v>0</v>
      </c>
      <c r="Q26" s="306">
        <v>0</v>
      </c>
      <c r="R26" s="306">
        <f t="shared" ca="1" si="14"/>
        <v>736047.04622038477</v>
      </c>
      <c r="S26" s="818">
        <f t="shared" ca="1" si="15"/>
        <v>206782.32967286685</v>
      </c>
      <c r="T26" s="818">
        <f t="shared" si="16"/>
        <v>0</v>
      </c>
      <c r="U26" s="818">
        <v>0</v>
      </c>
      <c r="V26" s="818">
        <f t="shared" ca="1" si="17"/>
        <v>206782.32967286685</v>
      </c>
      <c r="W26" s="306">
        <f t="shared" si="1"/>
        <v>0</v>
      </c>
      <c r="X26" s="306">
        <f t="shared" ca="1" si="2"/>
        <v>-3305.3567579824307</v>
      </c>
      <c r="Y26" s="306">
        <v>0</v>
      </c>
      <c r="Z26" s="306">
        <v>0</v>
      </c>
      <c r="AA26" s="308">
        <f ca="1">-SUM(W26,X26/OFFSET(GridFootprintbyYear,$A26-$A$19,0)*EF_PurchElec_MTperMWh,Z26)*OFFSET(ExposureCalculations!Price_GHG_Allowance_2010,A26-$A$19,0)*ExposureCalculations!D23</f>
        <v>44228.508317648877</v>
      </c>
      <c r="AB26" s="308">
        <f t="shared" ca="1" si="3"/>
        <v>0</v>
      </c>
      <c r="AC26" s="308">
        <v>0</v>
      </c>
      <c r="AD26" s="819">
        <f t="shared" ca="1" si="4"/>
        <v>351368.03548240557</v>
      </c>
      <c r="AE26" s="308">
        <v>0</v>
      </c>
      <c r="AF26" s="819">
        <f t="shared" ca="1" si="5"/>
        <v>0</v>
      </c>
      <c r="AG26" s="308">
        <v>0</v>
      </c>
      <c r="AH26" s="308">
        <v>0</v>
      </c>
      <c r="AI26" s="308">
        <v>0</v>
      </c>
      <c r="AJ26" s="308">
        <f t="shared" ca="1" si="6"/>
        <v>351368.03548240557</v>
      </c>
      <c r="AK26" s="309">
        <v>0</v>
      </c>
      <c r="AL26" s="309">
        <v>0</v>
      </c>
      <c r="AM26" s="309">
        <f t="shared" si="18"/>
        <v>0</v>
      </c>
      <c r="AN26" s="310">
        <v>0</v>
      </c>
      <c r="AO26" s="310">
        <v>0</v>
      </c>
      <c r="AP26" s="310">
        <f t="shared" si="19"/>
        <v>0</v>
      </c>
      <c r="AQ26" s="309">
        <v>0</v>
      </c>
      <c r="AR26" s="311">
        <f t="shared" ca="1" si="7"/>
        <v>395596.54380005447</v>
      </c>
      <c r="AS26" s="870">
        <f t="shared" ca="1" si="20"/>
        <v>1528610.1898265635</v>
      </c>
      <c r="AT26" s="822"/>
      <c r="AU26" s="878"/>
      <c r="AV26" s="35"/>
      <c r="AW26" s="879"/>
      <c r="AX26" s="35"/>
      <c r="AY26" s="880"/>
      <c r="BB26" s="304">
        <f t="shared" ca="1" si="21"/>
        <v>69004.410583161065</v>
      </c>
      <c r="BC26" s="304">
        <f t="shared" ca="1" si="22"/>
        <v>38335.783657311709</v>
      </c>
      <c r="BD26" s="304">
        <f t="shared" ca="1" si="23"/>
        <v>30668.626925849356</v>
      </c>
    </row>
    <row r="27" spans="1:56">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f t="shared" ca="1" si="24"/>
        <v>3.9999999999999987E-2</v>
      </c>
      <c r="G27" s="306">
        <f t="shared" ca="1" si="25"/>
        <v>-31004.090891036365</v>
      </c>
      <c r="H27" s="304">
        <f ca="1">IF($D$3="BAU",UtilityDemand!G20,INDIRECT($D$3&amp;"!H"&amp;ROW(G27))+INDIRECT($D$3&amp;"!J"&amp;ROW(G27)))</f>
        <v>209846.86423547054</v>
      </c>
      <c r="I27" s="305">
        <v>0</v>
      </c>
      <c r="J27" s="306">
        <f t="shared" ca="1" si="26"/>
        <v>0</v>
      </c>
      <c r="K27" s="307">
        <f t="shared" ca="1" si="9"/>
        <v>145404.603223279</v>
      </c>
      <c r="L27" s="307">
        <f t="shared" si="10"/>
        <v>0</v>
      </c>
      <c r="M27" s="307">
        <v>0</v>
      </c>
      <c r="N27" s="307">
        <f t="shared" ca="1" si="11"/>
        <v>145404.603223279</v>
      </c>
      <c r="O27" s="306">
        <f t="shared" ca="1" si="12"/>
        <v>744098.18138487311</v>
      </c>
      <c r="P27" s="306">
        <f t="shared" si="13"/>
        <v>0</v>
      </c>
      <c r="Q27" s="306">
        <v>0</v>
      </c>
      <c r="R27" s="306">
        <f t="shared" ca="1" si="14"/>
        <v>744098.18138487311</v>
      </c>
      <c r="S27" s="818">
        <f t="shared" ca="1" si="15"/>
        <v>209846.86423547054</v>
      </c>
      <c r="T27" s="818">
        <f t="shared" si="16"/>
        <v>0</v>
      </c>
      <c r="U27" s="818">
        <v>0</v>
      </c>
      <c r="V27" s="818">
        <f t="shared" ca="1" si="17"/>
        <v>209846.86423547054</v>
      </c>
      <c r="W27" s="306">
        <f t="shared" si="1"/>
        <v>0</v>
      </c>
      <c r="X27" s="306">
        <f t="shared" ca="1" si="2"/>
        <v>-3341.5118844271651</v>
      </c>
      <c r="Y27" s="306">
        <v>0</v>
      </c>
      <c r="Z27" s="306">
        <v>0</v>
      </c>
      <c r="AA27" s="308">
        <f ca="1">-SUM(W27,X27/OFFSET(GridFootprintbyYear,$A27-$A$19,0)*EF_PurchElec_MTperMWh,Z27)*OFFSET(ExposureCalculations!Price_GHG_Allowance_2010,A27-$A$19,0)*ExposureCalculations!D24</f>
        <v>50437.192630102036</v>
      </c>
      <c r="AB27" s="308">
        <f t="shared" ca="1" si="3"/>
        <v>0</v>
      </c>
      <c r="AC27" s="308">
        <v>0</v>
      </c>
      <c r="AD27" s="819">
        <f t="shared" ca="1" si="4"/>
        <v>356987.47672381124</v>
      </c>
      <c r="AE27" s="308">
        <v>0</v>
      </c>
      <c r="AF27" s="819">
        <f t="shared" ca="1" si="5"/>
        <v>0</v>
      </c>
      <c r="AG27" s="308">
        <v>0</v>
      </c>
      <c r="AH27" s="308">
        <v>0</v>
      </c>
      <c r="AI27" s="308">
        <v>0</v>
      </c>
      <c r="AJ27" s="308">
        <f t="shared" ca="1" si="6"/>
        <v>356987.47672381124</v>
      </c>
      <c r="AK27" s="309">
        <v>0</v>
      </c>
      <c r="AL27" s="309">
        <v>0</v>
      </c>
      <c r="AM27" s="309">
        <f t="shared" si="18"/>
        <v>0</v>
      </c>
      <c r="AN27" s="310">
        <v>0</v>
      </c>
      <c r="AO27" s="310">
        <v>0</v>
      </c>
      <c r="AP27" s="310">
        <f t="shared" si="19"/>
        <v>0</v>
      </c>
      <c r="AQ27" s="309">
        <v>0</v>
      </c>
      <c r="AR27" s="311">
        <f t="shared" ca="1" si="7"/>
        <v>407424.66935391328</v>
      </c>
      <c r="AS27" s="870">
        <f t="shared" ca="1" si="20"/>
        <v>1936034.8591804767</v>
      </c>
      <c r="AT27" s="822"/>
      <c r="AU27" s="900">
        <v>2012</v>
      </c>
      <c r="AV27" s="35" t="s">
        <v>776</v>
      </c>
      <c r="AW27" s="879"/>
      <c r="AX27" s="35"/>
      <c r="AY27" s="880"/>
      <c r="BB27" s="304">
        <f t="shared" ca="1" si="21"/>
        <v>69759.20450483184</v>
      </c>
      <c r="BC27" s="304">
        <f t="shared" ca="1" si="22"/>
        <v>38755.113613795475</v>
      </c>
      <c r="BD27" s="304">
        <f t="shared" ca="1" si="23"/>
        <v>31004.090891036365</v>
      </c>
    </row>
    <row r="28" spans="1:56">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f t="shared" ca="1" si="24"/>
        <v>3.9999999999999987E-2</v>
      </c>
      <c r="G28" s="306">
        <f t="shared" ca="1" si="25"/>
        <v>-31339.554856223382</v>
      </c>
      <c r="H28" s="304">
        <f ca="1">IF($D$3="BAU",UtilityDemand!G21,INDIRECT($D$3&amp;"!H"&amp;ROW(G28))+INDIRECT($D$3&amp;"!J"&amp;ROW(G28)))</f>
        <v>212911.39879807425</v>
      </c>
      <c r="I28" s="305">
        <v>0</v>
      </c>
      <c r="J28" s="306">
        <f t="shared" ca="1" si="26"/>
        <v>0</v>
      </c>
      <c r="K28" s="307">
        <f t="shared" ca="1" si="9"/>
        <v>146981.22882413102</v>
      </c>
      <c r="L28" s="307">
        <f t="shared" si="10"/>
        <v>0</v>
      </c>
      <c r="M28" s="307">
        <v>0</v>
      </c>
      <c r="N28" s="307">
        <f t="shared" ca="1" si="11"/>
        <v>146981.22882413102</v>
      </c>
      <c r="O28" s="306">
        <f t="shared" ca="1" si="12"/>
        <v>752149.31654936145</v>
      </c>
      <c r="P28" s="306">
        <f t="shared" si="13"/>
        <v>0</v>
      </c>
      <c r="Q28" s="306">
        <v>0</v>
      </c>
      <c r="R28" s="306">
        <f t="shared" ca="1" si="14"/>
        <v>752149.31654936145</v>
      </c>
      <c r="S28" s="818">
        <f t="shared" ca="1" si="15"/>
        <v>212911.39879807425</v>
      </c>
      <c r="T28" s="818">
        <f t="shared" si="16"/>
        <v>0</v>
      </c>
      <c r="U28" s="818">
        <v>0</v>
      </c>
      <c r="V28" s="818">
        <f t="shared" ca="1" si="17"/>
        <v>212911.39879807425</v>
      </c>
      <c r="W28" s="306">
        <f t="shared" si="1"/>
        <v>0</v>
      </c>
      <c r="X28" s="306">
        <f t="shared" ca="1" si="2"/>
        <v>-3377.6670108718999</v>
      </c>
      <c r="Y28" s="306">
        <v>0</v>
      </c>
      <c r="Z28" s="306">
        <v>0</v>
      </c>
      <c r="AA28" s="308">
        <f ca="1">-SUM(W28,X28/OFFSET(GridFootprintbyYear,$A28-$A$19,0)*EF_PurchElec_MTperMWh,Z28)*OFFSET(ExposureCalculations!Price_GHG_Allowance_2010,A28-$A$19,0)*ExposureCalculations!D25</f>
        <v>57001.707389915086</v>
      </c>
      <c r="AB28" s="308">
        <f t="shared" ca="1" si="3"/>
        <v>0</v>
      </c>
      <c r="AC28" s="308">
        <v>0</v>
      </c>
      <c r="AD28" s="819">
        <f t="shared" ca="1" si="4"/>
        <v>362654.32817674411</v>
      </c>
      <c r="AE28" s="308">
        <v>0</v>
      </c>
      <c r="AF28" s="819">
        <f t="shared" ca="1" si="5"/>
        <v>0</v>
      </c>
      <c r="AG28" s="308">
        <v>0</v>
      </c>
      <c r="AH28" s="308">
        <v>0</v>
      </c>
      <c r="AI28" s="308">
        <v>0</v>
      </c>
      <c r="AJ28" s="308">
        <f t="shared" ca="1" si="6"/>
        <v>362654.32817674411</v>
      </c>
      <c r="AK28" s="309">
        <v>0</v>
      </c>
      <c r="AL28" s="309">
        <v>0</v>
      </c>
      <c r="AM28" s="309">
        <f t="shared" si="18"/>
        <v>0</v>
      </c>
      <c r="AN28" s="310">
        <v>0</v>
      </c>
      <c r="AO28" s="310">
        <v>0</v>
      </c>
      <c r="AP28" s="310">
        <f t="shared" si="19"/>
        <v>0</v>
      </c>
      <c r="AQ28" s="309">
        <v>0</v>
      </c>
      <c r="AR28" s="311">
        <f t="shared" ca="1" si="7"/>
        <v>419656.03556665918</v>
      </c>
      <c r="AS28" s="870">
        <f t="shared" ca="1" si="20"/>
        <v>2355690.8947471362</v>
      </c>
      <c r="AT28" s="822"/>
      <c r="AU28" s="878"/>
      <c r="AV28" s="35"/>
      <c r="AW28" s="879"/>
      <c r="AX28" s="35"/>
      <c r="AY28" s="880"/>
      <c r="BB28" s="304">
        <f t="shared" ca="1" si="21"/>
        <v>70513.998426502629</v>
      </c>
      <c r="BC28" s="304">
        <f t="shared" ca="1" si="22"/>
        <v>39174.443570279247</v>
      </c>
      <c r="BD28" s="304">
        <f t="shared" ca="1" si="23"/>
        <v>31339.554856223382</v>
      </c>
    </row>
    <row r="29" spans="1:56">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f t="shared" ca="1" si="24"/>
        <v>0.04</v>
      </c>
      <c r="G29" s="306">
        <f t="shared" ca="1" si="25"/>
        <v>-31675.018821410406</v>
      </c>
      <c r="H29" s="304">
        <f ca="1">IF($D$3="BAU",UtilityDemand!G22,INDIRECT($D$3&amp;"!H"&amp;ROW(G29))+INDIRECT($D$3&amp;"!J"&amp;ROW(G29)))</f>
        <v>215975.93336067794</v>
      </c>
      <c r="I29" s="305">
        <v>0</v>
      </c>
      <c r="J29" s="306">
        <f t="shared" ca="1" si="26"/>
        <v>0</v>
      </c>
      <c r="K29" s="307">
        <f t="shared" ca="1" si="9"/>
        <v>148557.85442498306</v>
      </c>
      <c r="L29" s="307">
        <f t="shared" si="10"/>
        <v>0</v>
      </c>
      <c r="M29" s="307">
        <v>0</v>
      </c>
      <c r="N29" s="307">
        <f t="shared" ca="1" si="11"/>
        <v>148557.85442498306</v>
      </c>
      <c r="O29" s="306">
        <f t="shared" ca="1" si="12"/>
        <v>760200.45171384979</v>
      </c>
      <c r="P29" s="306">
        <f t="shared" si="13"/>
        <v>0</v>
      </c>
      <c r="Q29" s="306">
        <v>0</v>
      </c>
      <c r="R29" s="306">
        <f t="shared" ca="1" si="14"/>
        <v>760200.45171384979</v>
      </c>
      <c r="S29" s="818">
        <f t="shared" ca="1" si="15"/>
        <v>215975.93336067794</v>
      </c>
      <c r="T29" s="818">
        <f t="shared" si="16"/>
        <v>0</v>
      </c>
      <c r="U29" s="818">
        <v>0</v>
      </c>
      <c r="V29" s="818">
        <f t="shared" ca="1" si="17"/>
        <v>215975.93336067794</v>
      </c>
      <c r="W29" s="306">
        <f t="shared" si="1"/>
        <v>0</v>
      </c>
      <c r="X29" s="306">
        <f t="shared" ca="1" si="2"/>
        <v>-3413.8221373166357</v>
      </c>
      <c r="Y29" s="306">
        <v>0</v>
      </c>
      <c r="Z29" s="306">
        <v>0</v>
      </c>
      <c r="AA29" s="308">
        <f ca="1">-SUM(W29,X29/OFFSET(GridFootprintbyYear,$A29-$A$19,0)*EF_PurchElec_MTperMWh,Z29)*OFFSET(ExposureCalculations!Price_GHG_Allowance_2010,A29-$A$19,0)*ExposureCalculations!D26</f>
        <v>63921.921598881265</v>
      </c>
      <c r="AB29" s="308">
        <f t="shared" ca="1" si="3"/>
        <v>0</v>
      </c>
      <c r="AC29" s="308">
        <v>0</v>
      </c>
      <c r="AD29" s="819">
        <f t="shared" ca="1" si="4"/>
        <v>368368.92345728818</v>
      </c>
      <c r="AE29" s="308">
        <v>0</v>
      </c>
      <c r="AF29" s="819">
        <f t="shared" ca="1" si="5"/>
        <v>0</v>
      </c>
      <c r="AG29" s="308">
        <v>0</v>
      </c>
      <c r="AH29" s="308">
        <v>0</v>
      </c>
      <c r="AI29" s="308">
        <v>0</v>
      </c>
      <c r="AJ29" s="308">
        <f t="shared" ca="1" si="6"/>
        <v>368368.92345728818</v>
      </c>
      <c r="AK29" s="309">
        <v>0</v>
      </c>
      <c r="AL29" s="309">
        <v>0</v>
      </c>
      <c r="AM29" s="309">
        <f t="shared" si="18"/>
        <v>0</v>
      </c>
      <c r="AN29" s="310">
        <v>0</v>
      </c>
      <c r="AO29" s="310">
        <v>0</v>
      </c>
      <c r="AP29" s="310">
        <f t="shared" si="19"/>
        <v>0</v>
      </c>
      <c r="AQ29" s="309">
        <v>0</v>
      </c>
      <c r="AR29" s="311">
        <f t="shared" ca="1" si="7"/>
        <v>432290.84505616943</v>
      </c>
      <c r="AS29" s="870">
        <f t="shared" ca="1" si="20"/>
        <v>2787981.7398033058</v>
      </c>
      <c r="AT29" s="822"/>
      <c r="AU29" s="900">
        <v>25</v>
      </c>
      <c r="AV29" s="35" t="s">
        <v>803</v>
      </c>
      <c r="AW29" s="879"/>
      <c r="AX29" s="35"/>
      <c r="AY29" s="880"/>
      <c r="BB29" s="304">
        <f t="shared" ca="1" si="21"/>
        <v>71268.792348173418</v>
      </c>
      <c r="BC29" s="304">
        <f t="shared" ca="1" si="22"/>
        <v>39593.773526763012</v>
      </c>
      <c r="BD29" s="304">
        <f t="shared" ca="1" si="23"/>
        <v>31675.018821410406</v>
      </c>
    </row>
    <row r="30" spans="1:56">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f t="shared" ca="1" si="24"/>
        <v>3.9999999999999994E-2</v>
      </c>
      <c r="G30" s="306">
        <f t="shared" ca="1" si="25"/>
        <v>-32010.482786597415</v>
      </c>
      <c r="H30" s="304">
        <f ca="1">IF($D$3="BAU",UtilityDemand!G23,INDIRECT($D$3&amp;"!H"&amp;ROW(G30))+INDIRECT($D$3&amp;"!J"&amp;ROW(G30)))</f>
        <v>219040.46792328163</v>
      </c>
      <c r="I30" s="305">
        <v>0</v>
      </c>
      <c r="J30" s="306">
        <f t="shared" ca="1" si="26"/>
        <v>0</v>
      </c>
      <c r="K30" s="307">
        <f t="shared" ca="1" si="9"/>
        <v>150134.48002583507</v>
      </c>
      <c r="L30" s="307">
        <f t="shared" si="10"/>
        <v>0</v>
      </c>
      <c r="M30" s="307">
        <v>0</v>
      </c>
      <c r="N30" s="307">
        <f t="shared" ca="1" si="11"/>
        <v>150134.48002583507</v>
      </c>
      <c r="O30" s="306">
        <f t="shared" ca="1" si="12"/>
        <v>768251.58687833801</v>
      </c>
      <c r="P30" s="306">
        <f t="shared" si="13"/>
        <v>0</v>
      </c>
      <c r="Q30" s="306">
        <v>0</v>
      </c>
      <c r="R30" s="306">
        <f t="shared" ca="1" si="14"/>
        <v>768251.58687833801</v>
      </c>
      <c r="S30" s="818">
        <f t="shared" ca="1" si="15"/>
        <v>219040.46792328163</v>
      </c>
      <c r="T30" s="818">
        <f t="shared" si="16"/>
        <v>0</v>
      </c>
      <c r="U30" s="818">
        <v>0</v>
      </c>
      <c r="V30" s="818">
        <f t="shared" ca="1" si="17"/>
        <v>219040.46792328163</v>
      </c>
      <c r="W30" s="306">
        <f t="shared" si="1"/>
        <v>0</v>
      </c>
      <c r="X30" s="306">
        <f t="shared" ca="1" si="2"/>
        <v>-3449.9772637613701</v>
      </c>
      <c r="Y30" s="306">
        <v>0</v>
      </c>
      <c r="Z30" s="306">
        <v>0</v>
      </c>
      <c r="AA30" s="308">
        <f ca="1">-SUM(W30,X30/OFFSET(GridFootprintbyYear,$A30-$A$19,0)*EF_PurchElec_MTperMWh,Z30)*OFFSET(ExposureCalculations!Price_GHG_Allowance_2010,A30-$A$19,0)*ExposureCalculations!D27</f>
        <v>71956.146186071681</v>
      </c>
      <c r="AB30" s="308">
        <f t="shared" ca="1" si="3"/>
        <v>0</v>
      </c>
      <c r="AC30" s="308">
        <v>0</v>
      </c>
      <c r="AD30" s="819">
        <f t="shared" ca="1" si="4"/>
        <v>374131.59833243315</v>
      </c>
      <c r="AE30" s="308">
        <v>0</v>
      </c>
      <c r="AF30" s="819">
        <f t="shared" ca="1" si="5"/>
        <v>0</v>
      </c>
      <c r="AG30" s="308">
        <v>0</v>
      </c>
      <c r="AH30" s="308">
        <v>0</v>
      </c>
      <c r="AI30" s="308">
        <v>0</v>
      </c>
      <c r="AJ30" s="308">
        <f t="shared" ca="1" si="6"/>
        <v>374131.59833243315</v>
      </c>
      <c r="AK30" s="309">
        <v>0</v>
      </c>
      <c r="AL30" s="309">
        <v>0</v>
      </c>
      <c r="AM30" s="309">
        <f t="shared" si="18"/>
        <v>0</v>
      </c>
      <c r="AN30" s="310">
        <v>0</v>
      </c>
      <c r="AO30" s="310">
        <v>0</v>
      </c>
      <c r="AP30" s="310">
        <f t="shared" si="19"/>
        <v>0</v>
      </c>
      <c r="AQ30" s="309">
        <v>0</v>
      </c>
      <c r="AR30" s="311">
        <f t="shared" ca="1" si="7"/>
        <v>446087.74451850483</v>
      </c>
      <c r="AS30" s="870">
        <f t="shared" ca="1" si="20"/>
        <v>3234069.4843218108</v>
      </c>
      <c r="AT30" s="822"/>
      <c r="AU30" s="878"/>
      <c r="AV30" s="35"/>
      <c r="AW30" s="879"/>
      <c r="AX30" s="35"/>
      <c r="AY30" s="880"/>
      <c r="BB30" s="304">
        <f t="shared" ca="1" si="21"/>
        <v>72023.586269844192</v>
      </c>
      <c r="BC30" s="304">
        <f t="shared" ca="1" si="22"/>
        <v>40013.103483246778</v>
      </c>
      <c r="BD30" s="304">
        <f t="shared" ca="1" si="23"/>
        <v>32010.482786597415</v>
      </c>
    </row>
    <row r="31" spans="1:56">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f t="shared" ca="1" si="24"/>
        <v>3.9999999999999987E-2</v>
      </c>
      <c r="G31" s="306">
        <f t="shared" ca="1" si="25"/>
        <v>-32345.946751784431</v>
      </c>
      <c r="H31" s="304">
        <f ca="1">IF($D$3="BAU",UtilityDemand!G24,INDIRECT($D$3&amp;"!H"&amp;ROW(G31))+INDIRECT($D$3&amp;"!J"&amp;ROW(G31)))</f>
        <v>222105.00248588528</v>
      </c>
      <c r="I31" s="305">
        <v>0</v>
      </c>
      <c r="J31" s="306">
        <f t="shared" ca="1" si="26"/>
        <v>0</v>
      </c>
      <c r="K31" s="307">
        <f t="shared" ca="1" si="9"/>
        <v>151711.10562668712</v>
      </c>
      <c r="L31" s="307">
        <f t="shared" si="10"/>
        <v>0</v>
      </c>
      <c r="M31" s="307">
        <v>0</v>
      </c>
      <c r="N31" s="307">
        <f t="shared" ca="1" si="11"/>
        <v>151711.10562668712</v>
      </c>
      <c r="O31" s="306">
        <f t="shared" ca="1" si="12"/>
        <v>776302.72204282659</v>
      </c>
      <c r="P31" s="306">
        <f t="shared" si="13"/>
        <v>0</v>
      </c>
      <c r="Q31" s="306">
        <v>0</v>
      </c>
      <c r="R31" s="306">
        <f t="shared" ca="1" si="14"/>
        <v>776302.72204282659</v>
      </c>
      <c r="S31" s="818">
        <f t="shared" ca="1" si="15"/>
        <v>222105.00248588528</v>
      </c>
      <c r="T31" s="818">
        <f t="shared" si="16"/>
        <v>0</v>
      </c>
      <c r="U31" s="818">
        <v>0</v>
      </c>
      <c r="V31" s="818">
        <f t="shared" ca="1" si="17"/>
        <v>222105.00248588528</v>
      </c>
      <c r="W31" s="306">
        <f t="shared" si="1"/>
        <v>0</v>
      </c>
      <c r="X31" s="306">
        <f t="shared" ca="1" si="2"/>
        <v>-3486.1323902061049</v>
      </c>
      <c r="Y31" s="306">
        <v>0</v>
      </c>
      <c r="Z31" s="306">
        <v>0</v>
      </c>
      <c r="AA31" s="308">
        <f ca="1">-SUM(W31,X31/OFFSET(GridFootprintbyYear,$A31-$A$19,0)*EF_PurchElec_MTperMWh,Z31)*OFFSET(ExposureCalculations!Price_GHG_Allowance_2010,A31-$A$19,0)*ExposureCalculations!D28</f>
        <v>80431.471833990217</v>
      </c>
      <c r="AB31" s="308">
        <f t="shared" ca="1" si="3"/>
        <v>0</v>
      </c>
      <c r="AC31" s="308">
        <v>0</v>
      </c>
      <c r="AD31" s="819">
        <f t="shared" ca="1" si="4"/>
        <v>379942.69073324307</v>
      </c>
      <c r="AE31" s="308">
        <v>0</v>
      </c>
      <c r="AF31" s="819">
        <f t="shared" ca="1" si="5"/>
        <v>0</v>
      </c>
      <c r="AG31" s="308">
        <v>0</v>
      </c>
      <c r="AH31" s="308">
        <v>0</v>
      </c>
      <c r="AI31" s="308">
        <v>0</v>
      </c>
      <c r="AJ31" s="308">
        <f t="shared" ca="1" si="6"/>
        <v>379942.69073324307</v>
      </c>
      <c r="AK31" s="309">
        <v>0</v>
      </c>
      <c r="AL31" s="309">
        <v>0</v>
      </c>
      <c r="AM31" s="309">
        <f t="shared" si="18"/>
        <v>0</v>
      </c>
      <c r="AN31" s="310">
        <v>0</v>
      </c>
      <c r="AO31" s="310">
        <v>0</v>
      </c>
      <c r="AP31" s="310">
        <f t="shared" si="19"/>
        <v>0</v>
      </c>
      <c r="AQ31" s="309">
        <v>0</v>
      </c>
      <c r="AR31" s="311">
        <f t="shared" ca="1" si="7"/>
        <v>460374.16256723332</v>
      </c>
      <c r="AS31" s="870">
        <f t="shared" ca="1" si="20"/>
        <v>3694443.646889044</v>
      </c>
      <c r="AT31" s="822"/>
      <c r="AU31" s="878"/>
      <c r="AV31" s="35"/>
      <c r="AW31" s="879"/>
      <c r="AX31" s="35"/>
      <c r="AY31" s="880"/>
      <c r="BB31" s="304">
        <f t="shared" ca="1" si="21"/>
        <v>72778.380191514982</v>
      </c>
      <c r="BC31" s="304">
        <f t="shared" ca="1" si="22"/>
        <v>40432.43343973055</v>
      </c>
      <c r="BD31" s="304">
        <f t="shared" ca="1" si="23"/>
        <v>32345.946751784431</v>
      </c>
    </row>
    <row r="32" spans="1:56">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f t="shared" ca="1" si="24"/>
        <v>3.9999999999999987E-2</v>
      </c>
      <c r="G32" s="306">
        <f t="shared" ca="1" si="25"/>
        <v>-32681.410716971448</v>
      </c>
      <c r="H32" s="304">
        <f ca="1">IF($D$3="BAU",UtilityDemand!G25,INDIRECT($D$3&amp;"!H"&amp;ROW(G32))+INDIRECT($D$3&amp;"!J"&amp;ROW(G32)))</f>
        <v>225169.537048489</v>
      </c>
      <c r="I32" s="305">
        <v>0</v>
      </c>
      <c r="J32" s="306">
        <f t="shared" ca="1" si="26"/>
        <v>0</v>
      </c>
      <c r="K32" s="307">
        <f t="shared" ca="1" si="9"/>
        <v>153287.73122753916</v>
      </c>
      <c r="L32" s="307">
        <f t="shared" si="10"/>
        <v>0</v>
      </c>
      <c r="M32" s="307">
        <v>0</v>
      </c>
      <c r="N32" s="307">
        <f t="shared" ca="1" si="11"/>
        <v>153287.73122753916</v>
      </c>
      <c r="O32" s="306">
        <f t="shared" ca="1" si="12"/>
        <v>784353.85720731493</v>
      </c>
      <c r="P32" s="306">
        <f t="shared" si="13"/>
        <v>0</v>
      </c>
      <c r="Q32" s="306">
        <v>0</v>
      </c>
      <c r="R32" s="306">
        <f t="shared" ca="1" si="14"/>
        <v>784353.85720731493</v>
      </c>
      <c r="S32" s="818">
        <f t="shared" ca="1" si="15"/>
        <v>225169.537048489</v>
      </c>
      <c r="T32" s="818">
        <f t="shared" si="16"/>
        <v>0</v>
      </c>
      <c r="U32" s="818">
        <v>0</v>
      </c>
      <c r="V32" s="818">
        <f t="shared" ca="1" si="17"/>
        <v>225169.537048489</v>
      </c>
      <c r="W32" s="306">
        <f t="shared" si="1"/>
        <v>0</v>
      </c>
      <c r="X32" s="306">
        <f t="shared" ca="1" si="2"/>
        <v>-3522.2875166508402</v>
      </c>
      <c r="Y32" s="306">
        <v>0</v>
      </c>
      <c r="Z32" s="306">
        <v>0</v>
      </c>
      <c r="AA32" s="308">
        <f ca="1">-SUM(W32,X32/OFFSET(GridFootprintbyYear,$A32-$A$19,0)*EF_PurchElec_MTperMWh,Z32)*OFFSET(ExposureCalculations!Price_GHG_Allowance_2010,A32-$A$19,0)*ExposureCalculations!D29</f>
        <v>89345.136249247065</v>
      </c>
      <c r="AB32" s="308">
        <f t="shared" ca="1" si="3"/>
        <v>0</v>
      </c>
      <c r="AC32" s="308">
        <v>0</v>
      </c>
      <c r="AD32" s="819">
        <f t="shared" ca="1" si="4"/>
        <v>385802.54076810298</v>
      </c>
      <c r="AE32" s="308">
        <v>0</v>
      </c>
      <c r="AF32" s="819">
        <f t="shared" ca="1" si="5"/>
        <v>0</v>
      </c>
      <c r="AG32" s="308">
        <v>0</v>
      </c>
      <c r="AH32" s="308">
        <v>0</v>
      </c>
      <c r="AI32" s="308">
        <v>0</v>
      </c>
      <c r="AJ32" s="308">
        <f t="shared" ca="1" si="6"/>
        <v>385802.54076810298</v>
      </c>
      <c r="AK32" s="309">
        <v>0</v>
      </c>
      <c r="AL32" s="309">
        <v>0</v>
      </c>
      <c r="AM32" s="309">
        <f t="shared" si="18"/>
        <v>0</v>
      </c>
      <c r="AN32" s="310">
        <v>0</v>
      </c>
      <c r="AO32" s="310">
        <v>0</v>
      </c>
      <c r="AP32" s="310">
        <f t="shared" si="19"/>
        <v>0</v>
      </c>
      <c r="AQ32" s="309">
        <v>0</v>
      </c>
      <c r="AR32" s="311">
        <f t="shared" ca="1" si="7"/>
        <v>475147.67701735004</v>
      </c>
      <c r="AS32" s="870">
        <f t="shared" ca="1" si="20"/>
        <v>4169591.3239063942</v>
      </c>
      <c r="AT32" s="822"/>
      <c r="AU32" s="878"/>
      <c r="AV32" s="35"/>
      <c r="AW32" s="879"/>
      <c r="AX32" s="35"/>
      <c r="AY32" s="880"/>
      <c r="BB32" s="304">
        <f t="shared" ca="1" si="21"/>
        <v>73533.174113185771</v>
      </c>
      <c r="BC32" s="304">
        <f t="shared" ca="1" si="22"/>
        <v>40851.763396214323</v>
      </c>
      <c r="BD32" s="304">
        <f t="shared" ca="1" si="23"/>
        <v>32681.410716971448</v>
      </c>
    </row>
    <row r="33" spans="1:56">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f t="shared" ca="1" si="24"/>
        <v>0.04</v>
      </c>
      <c r="G33" s="306">
        <f t="shared" ca="1" si="25"/>
        <v>-33016.874682158472</v>
      </c>
      <c r="H33" s="304">
        <f ca="1">IF($D$3="BAU",UtilityDemand!G26,INDIRECT($D$3&amp;"!H"&amp;ROW(G33))+INDIRECT($D$3&amp;"!J"&amp;ROW(G33)))</f>
        <v>228234.07161109266</v>
      </c>
      <c r="I33" s="305">
        <v>0</v>
      </c>
      <c r="J33" s="306">
        <f t="shared" ca="1" si="26"/>
        <v>0</v>
      </c>
      <c r="K33" s="307">
        <f t="shared" ca="1" si="9"/>
        <v>154864.35682839117</v>
      </c>
      <c r="L33" s="307">
        <f t="shared" si="10"/>
        <v>0</v>
      </c>
      <c r="M33" s="307">
        <v>0</v>
      </c>
      <c r="N33" s="307">
        <f t="shared" ca="1" si="11"/>
        <v>154864.35682839117</v>
      </c>
      <c r="O33" s="306">
        <f t="shared" ca="1" si="12"/>
        <v>792404.99237180327</v>
      </c>
      <c r="P33" s="306">
        <f t="shared" si="13"/>
        <v>0</v>
      </c>
      <c r="Q33" s="306">
        <v>0</v>
      </c>
      <c r="R33" s="306">
        <f t="shared" ca="1" si="14"/>
        <v>792404.99237180327</v>
      </c>
      <c r="S33" s="818">
        <f t="shared" ca="1" si="15"/>
        <v>228234.07161109266</v>
      </c>
      <c r="T33" s="818">
        <f t="shared" si="16"/>
        <v>0</v>
      </c>
      <c r="U33" s="818">
        <v>0</v>
      </c>
      <c r="V33" s="818">
        <f t="shared" ca="1" si="17"/>
        <v>228234.07161109266</v>
      </c>
      <c r="W33" s="306">
        <f t="shared" si="1"/>
        <v>0</v>
      </c>
      <c r="X33" s="306">
        <f t="shared" ca="1" si="2"/>
        <v>-3558.4426430955759</v>
      </c>
      <c r="Y33" s="306">
        <v>0</v>
      </c>
      <c r="Z33" s="306">
        <v>0</v>
      </c>
      <c r="AA33" s="308">
        <f ca="1">-SUM(W33,X33/OFFSET(GridFootprintbyYear,$A33-$A$19,0)*EF_PurchElec_MTperMWh,Z33)*OFFSET(ExposureCalculations!Price_GHG_Allowance_2010,A33-$A$19,0)*ExposureCalculations!D30</f>
        <v>98693.978694828198</v>
      </c>
      <c r="AB33" s="308">
        <f t="shared" ca="1" si="3"/>
        <v>0</v>
      </c>
      <c r="AC33" s="308">
        <v>0</v>
      </c>
      <c r="AD33" s="819">
        <f t="shared" ca="1" si="4"/>
        <v>391711.49073604314</v>
      </c>
      <c r="AE33" s="308">
        <v>0</v>
      </c>
      <c r="AF33" s="819">
        <f t="shared" ca="1" si="5"/>
        <v>0</v>
      </c>
      <c r="AG33" s="308">
        <v>0</v>
      </c>
      <c r="AH33" s="308">
        <v>0</v>
      </c>
      <c r="AI33" s="308">
        <v>0</v>
      </c>
      <c r="AJ33" s="308">
        <f t="shared" ca="1" si="6"/>
        <v>391711.49073604314</v>
      </c>
      <c r="AK33" s="309">
        <v>0</v>
      </c>
      <c r="AL33" s="309">
        <v>0</v>
      </c>
      <c r="AM33" s="309">
        <f t="shared" si="18"/>
        <v>0</v>
      </c>
      <c r="AN33" s="310">
        <v>0</v>
      </c>
      <c r="AO33" s="310">
        <v>0</v>
      </c>
      <c r="AP33" s="310">
        <f t="shared" si="19"/>
        <v>0</v>
      </c>
      <c r="AQ33" s="309">
        <v>0</v>
      </c>
      <c r="AR33" s="311">
        <f t="shared" ca="1" si="7"/>
        <v>490405.46943087131</v>
      </c>
      <c r="AS33" s="870">
        <f t="shared" ca="1" si="20"/>
        <v>4659996.793337265</v>
      </c>
      <c r="AT33" s="822"/>
      <c r="AU33" s="878"/>
      <c r="AV33" s="35"/>
      <c r="AW33" s="879"/>
      <c r="AX33" s="35"/>
      <c r="AY33" s="880"/>
      <c r="BB33" s="304">
        <f t="shared" ca="1" si="21"/>
        <v>74287.96803485656</v>
      </c>
      <c r="BC33" s="304">
        <f t="shared" ca="1" si="22"/>
        <v>41271.093352698088</v>
      </c>
      <c r="BD33" s="304">
        <f t="shared" ca="1" si="23"/>
        <v>33016.874682158472</v>
      </c>
    </row>
    <row r="34" spans="1:56">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f t="shared" ca="1" si="24"/>
        <v>3.9999999999999987E-2</v>
      </c>
      <c r="G34" s="306">
        <f t="shared" ca="1" si="25"/>
        <v>-33352.338647345474</v>
      </c>
      <c r="H34" s="304">
        <f ca="1">IF($D$3="BAU",UtilityDemand!G27,INDIRECT($D$3&amp;"!H"&amp;ROW(G34))+INDIRECT($D$3&amp;"!J"&amp;ROW(G34)))</f>
        <v>231298.6061736964</v>
      </c>
      <c r="I34" s="305">
        <v>0</v>
      </c>
      <c r="J34" s="306">
        <f t="shared" ca="1" si="26"/>
        <v>0</v>
      </c>
      <c r="K34" s="307">
        <f t="shared" ca="1" si="9"/>
        <v>156440.98242924322</v>
      </c>
      <c r="L34" s="307">
        <f t="shared" si="10"/>
        <v>0</v>
      </c>
      <c r="M34" s="307">
        <v>0</v>
      </c>
      <c r="N34" s="307">
        <f t="shared" ca="1" si="11"/>
        <v>156440.98242924322</v>
      </c>
      <c r="O34" s="306">
        <f t="shared" ca="1" si="12"/>
        <v>800456.12753629172</v>
      </c>
      <c r="P34" s="306">
        <f t="shared" si="13"/>
        <v>0</v>
      </c>
      <c r="Q34" s="306">
        <v>0</v>
      </c>
      <c r="R34" s="306">
        <f t="shared" ca="1" si="14"/>
        <v>800456.12753629172</v>
      </c>
      <c r="S34" s="818">
        <f t="shared" ca="1" si="15"/>
        <v>231298.6061736964</v>
      </c>
      <c r="T34" s="818">
        <f t="shared" si="16"/>
        <v>0</v>
      </c>
      <c r="U34" s="818">
        <v>0</v>
      </c>
      <c r="V34" s="818">
        <f t="shared" ca="1" si="17"/>
        <v>231298.6061736964</v>
      </c>
      <c r="W34" s="306">
        <f t="shared" si="1"/>
        <v>0</v>
      </c>
      <c r="X34" s="306">
        <f t="shared" ca="1" si="2"/>
        <v>-3594.5977695403094</v>
      </c>
      <c r="Y34" s="306">
        <v>0</v>
      </c>
      <c r="Z34" s="306">
        <v>0</v>
      </c>
      <c r="AA34" s="308">
        <f ca="1">-SUM(W34,X34/OFFSET(GridFootprintbyYear,$A34-$A$19,0)*EF_PurchElec_MTperMWh,Z34)*OFFSET(ExposureCalculations!Price_GHG_Allowance_2010,A34-$A$19,0)*ExposureCalculations!D31</f>
        <v>108474.44432759333</v>
      </c>
      <c r="AB34" s="308">
        <f t="shared" ca="1" si="3"/>
        <v>0</v>
      </c>
      <c r="AC34" s="308">
        <v>0</v>
      </c>
      <c r="AD34" s="819">
        <f t="shared" ca="1" si="4"/>
        <v>397669.88514014328</v>
      </c>
      <c r="AE34" s="308">
        <v>0</v>
      </c>
      <c r="AF34" s="819">
        <f t="shared" ca="1" si="5"/>
        <v>0</v>
      </c>
      <c r="AG34" s="308">
        <v>0</v>
      </c>
      <c r="AH34" s="308">
        <v>0</v>
      </c>
      <c r="AI34" s="308">
        <v>0</v>
      </c>
      <c r="AJ34" s="308">
        <f t="shared" ca="1" si="6"/>
        <v>397669.88514014328</v>
      </c>
      <c r="AK34" s="309">
        <v>0</v>
      </c>
      <c r="AL34" s="309">
        <v>0</v>
      </c>
      <c r="AM34" s="309">
        <f t="shared" si="18"/>
        <v>0</v>
      </c>
      <c r="AN34" s="310">
        <v>0</v>
      </c>
      <c r="AO34" s="310">
        <v>0</v>
      </c>
      <c r="AP34" s="310">
        <f t="shared" si="19"/>
        <v>0</v>
      </c>
      <c r="AQ34" s="309">
        <v>0</v>
      </c>
      <c r="AR34" s="311">
        <f t="shared" ca="1" si="7"/>
        <v>506144.32946773659</v>
      </c>
      <c r="AS34" s="870">
        <f t="shared" ca="1" si="20"/>
        <v>5166141.1228050012</v>
      </c>
      <c r="AT34" s="822"/>
      <c r="AU34" s="878"/>
      <c r="AV34" s="35"/>
      <c r="AW34" s="879"/>
      <c r="AX34" s="35"/>
      <c r="AY34" s="880"/>
      <c r="BB34" s="304">
        <f t="shared" ca="1" si="21"/>
        <v>75042.761956527334</v>
      </c>
      <c r="BC34" s="304">
        <f t="shared" ca="1" si="22"/>
        <v>41690.423309181861</v>
      </c>
      <c r="BD34" s="304">
        <f t="shared" ca="1" si="23"/>
        <v>33352.338647345474</v>
      </c>
    </row>
    <row r="35" spans="1:56">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f t="shared" ca="1" si="24"/>
        <v>0.04</v>
      </c>
      <c r="G35" s="306">
        <f t="shared" ca="1" si="25"/>
        <v>-33687.802612532498</v>
      </c>
      <c r="H35" s="304">
        <f ca="1">IF($D$3="BAU",UtilityDemand!G28,INDIRECT($D$3&amp;"!H"&amp;ROW(G35))+INDIRECT($D$3&amp;"!J"&amp;ROW(G35)))</f>
        <v>234363.14073630009</v>
      </c>
      <c r="I35" s="305">
        <v>0</v>
      </c>
      <c r="J35" s="306">
        <f t="shared" ca="1" si="26"/>
        <v>0</v>
      </c>
      <c r="K35" s="307">
        <f t="shared" ca="1" si="9"/>
        <v>158017.60803009526</v>
      </c>
      <c r="L35" s="307">
        <f t="shared" si="10"/>
        <v>0</v>
      </c>
      <c r="M35" s="307">
        <v>0</v>
      </c>
      <c r="N35" s="307">
        <f t="shared" ca="1" si="11"/>
        <v>158017.60803009526</v>
      </c>
      <c r="O35" s="306">
        <f t="shared" ca="1" si="12"/>
        <v>808507.26270077995</v>
      </c>
      <c r="P35" s="306">
        <f t="shared" si="13"/>
        <v>0</v>
      </c>
      <c r="Q35" s="306">
        <v>0</v>
      </c>
      <c r="R35" s="306">
        <f t="shared" ca="1" si="14"/>
        <v>808507.26270077995</v>
      </c>
      <c r="S35" s="818">
        <f t="shared" ca="1" si="15"/>
        <v>234363.14073630009</v>
      </c>
      <c r="T35" s="818">
        <f t="shared" si="16"/>
        <v>0</v>
      </c>
      <c r="U35" s="818">
        <v>0</v>
      </c>
      <c r="V35" s="818">
        <f t="shared" ca="1" si="17"/>
        <v>234363.14073630009</v>
      </c>
      <c r="W35" s="306">
        <f t="shared" si="1"/>
        <v>0</v>
      </c>
      <c r="X35" s="306">
        <f t="shared" ca="1" si="2"/>
        <v>-3630.7528959850451</v>
      </c>
      <c r="Y35" s="306">
        <v>0</v>
      </c>
      <c r="Z35" s="306">
        <v>0</v>
      </c>
      <c r="AA35" s="308">
        <f ca="1">-SUM(W35,X35/OFFSET(GridFootprintbyYear,$A35-$A$19,0)*EF_PurchElec_MTperMWh,Z35)*OFFSET(ExposureCalculations!Price_GHG_Allowance_2010,A35-$A$19,0)*ExposureCalculations!D32</f>
        <v>119587.80298167359</v>
      </c>
      <c r="AB35" s="308">
        <f t="shared" ca="1" si="3"/>
        <v>0</v>
      </c>
      <c r="AC35" s="308">
        <v>0</v>
      </c>
      <c r="AD35" s="819">
        <f t="shared" ca="1" si="4"/>
        <v>403678.07070101617</v>
      </c>
      <c r="AE35" s="308">
        <v>0</v>
      </c>
      <c r="AF35" s="819">
        <f t="shared" ca="1" si="5"/>
        <v>0</v>
      </c>
      <c r="AG35" s="308">
        <v>0</v>
      </c>
      <c r="AH35" s="308">
        <v>0</v>
      </c>
      <c r="AI35" s="308">
        <v>0</v>
      </c>
      <c r="AJ35" s="308">
        <f t="shared" ca="1" si="6"/>
        <v>403678.07070101617</v>
      </c>
      <c r="AK35" s="309">
        <v>0</v>
      </c>
      <c r="AL35" s="309">
        <v>0</v>
      </c>
      <c r="AM35" s="309">
        <f t="shared" si="18"/>
        <v>0</v>
      </c>
      <c r="AN35" s="310">
        <v>0</v>
      </c>
      <c r="AO35" s="310">
        <v>0</v>
      </c>
      <c r="AP35" s="310">
        <f t="shared" si="19"/>
        <v>0</v>
      </c>
      <c r="AQ35" s="309">
        <v>0</v>
      </c>
      <c r="AR35" s="311">
        <f t="shared" ca="1" si="7"/>
        <v>523265.87368268974</v>
      </c>
      <c r="AS35" s="870">
        <f t="shared" ca="1" si="20"/>
        <v>5689406.9964876911</v>
      </c>
      <c r="AT35" s="822"/>
      <c r="AU35" s="878"/>
      <c r="AV35" s="35"/>
      <c r="AW35" s="879"/>
      <c r="AX35" s="35"/>
      <c r="AY35" s="880"/>
      <c r="BB35" s="304">
        <f t="shared" ca="1" si="21"/>
        <v>75797.555878198124</v>
      </c>
      <c r="BC35" s="304">
        <f t="shared" ca="1" si="22"/>
        <v>42109.753265665626</v>
      </c>
      <c r="BD35" s="304">
        <f t="shared" ca="1" si="23"/>
        <v>33687.802612532498</v>
      </c>
    </row>
    <row r="36" spans="1:56">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f t="shared" ca="1" si="24"/>
        <v>3.9999999999999994E-2</v>
      </c>
      <c r="G36" s="306">
        <f t="shared" ca="1" si="25"/>
        <v>-34023.266577719507</v>
      </c>
      <c r="H36" s="304">
        <f ca="1">IF($D$3="BAU",UtilityDemand!G29,INDIRECT($D$3&amp;"!H"&amp;ROW(G36))+INDIRECT($D$3&amp;"!J"&amp;ROW(G36)))</f>
        <v>237427.67529890378</v>
      </c>
      <c r="I36" s="305">
        <v>0</v>
      </c>
      <c r="J36" s="306">
        <f t="shared" ca="1" si="26"/>
        <v>0</v>
      </c>
      <c r="K36" s="307">
        <f t="shared" ca="1" si="9"/>
        <v>159594.23363094722</v>
      </c>
      <c r="L36" s="307">
        <f t="shared" si="10"/>
        <v>0</v>
      </c>
      <c r="M36" s="307">
        <v>0</v>
      </c>
      <c r="N36" s="307">
        <f t="shared" ca="1" si="11"/>
        <v>159594.23363094722</v>
      </c>
      <c r="O36" s="306">
        <f t="shared" ca="1" si="12"/>
        <v>816558.39786526829</v>
      </c>
      <c r="P36" s="306">
        <f t="shared" si="13"/>
        <v>0</v>
      </c>
      <c r="Q36" s="306">
        <v>0</v>
      </c>
      <c r="R36" s="306">
        <f t="shared" ca="1" si="14"/>
        <v>816558.39786526829</v>
      </c>
      <c r="S36" s="818">
        <f t="shared" ca="1" si="15"/>
        <v>237427.67529890378</v>
      </c>
      <c r="T36" s="818">
        <f t="shared" si="16"/>
        <v>0</v>
      </c>
      <c r="U36" s="818">
        <v>0</v>
      </c>
      <c r="V36" s="818">
        <f t="shared" ca="1" si="17"/>
        <v>237427.67529890378</v>
      </c>
      <c r="W36" s="306">
        <f t="shared" si="1"/>
        <v>0</v>
      </c>
      <c r="X36" s="306">
        <f t="shared" ca="1" si="2"/>
        <v>-3666.9080224297791</v>
      </c>
      <c r="Y36" s="306">
        <v>0</v>
      </c>
      <c r="Z36" s="306">
        <v>0</v>
      </c>
      <c r="AA36" s="308">
        <f ca="1">-SUM(W36,X36/OFFSET(GridFootprintbyYear,$A36-$A$19,0)*EF_PurchElec_MTperMWh,Z36)*OFFSET(ExposureCalculations!Price_GHG_Allowance_2010,A36-$A$19,0)*ExposureCalculations!D33</f>
        <v>131215.02071387976</v>
      </c>
      <c r="AB36" s="308">
        <f t="shared" ca="1" si="3"/>
        <v>0</v>
      </c>
      <c r="AC36" s="308">
        <v>0</v>
      </c>
      <c r="AD36" s="819">
        <f t="shared" ca="1" si="4"/>
        <v>409736.39637036924</v>
      </c>
      <c r="AE36" s="308">
        <v>0</v>
      </c>
      <c r="AF36" s="819">
        <f t="shared" ca="1" si="5"/>
        <v>0</v>
      </c>
      <c r="AG36" s="308">
        <v>0</v>
      </c>
      <c r="AH36" s="308">
        <v>0</v>
      </c>
      <c r="AI36" s="308">
        <v>0</v>
      </c>
      <c r="AJ36" s="308">
        <f t="shared" ca="1" si="6"/>
        <v>409736.39637036924</v>
      </c>
      <c r="AK36" s="309">
        <v>0</v>
      </c>
      <c r="AL36" s="309">
        <v>0</v>
      </c>
      <c r="AM36" s="309">
        <f t="shared" si="18"/>
        <v>0</v>
      </c>
      <c r="AN36" s="310">
        <v>0</v>
      </c>
      <c r="AO36" s="310">
        <v>0</v>
      </c>
      <c r="AP36" s="310">
        <f t="shared" si="19"/>
        <v>0</v>
      </c>
      <c r="AQ36" s="309">
        <v>0</v>
      </c>
      <c r="AR36" s="311">
        <f t="shared" ca="1" si="7"/>
        <v>540951.41708424897</v>
      </c>
      <c r="AS36" s="870">
        <f t="shared" ca="1" si="20"/>
        <v>6230358.4135719398</v>
      </c>
      <c r="AT36" s="822"/>
      <c r="AU36" s="878"/>
      <c r="AV36" s="35"/>
      <c r="AW36" s="879"/>
      <c r="AX36" s="35"/>
      <c r="AY36" s="880"/>
      <c r="BB36" s="304">
        <f t="shared" ca="1" si="21"/>
        <v>76552.349799868898</v>
      </c>
      <c r="BC36" s="304">
        <f t="shared" ca="1" si="22"/>
        <v>42529.083222149391</v>
      </c>
      <c r="BD36" s="304">
        <f t="shared" ca="1" si="23"/>
        <v>34023.266577719507</v>
      </c>
    </row>
    <row r="37" spans="1:56">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f t="shared" ca="1" si="24"/>
        <v>3.9999999999999994E-2</v>
      </c>
      <c r="G37" s="306">
        <f t="shared" ca="1" si="25"/>
        <v>-34358.730542906516</v>
      </c>
      <c r="H37" s="304">
        <f ca="1">IF($D$3="BAU",UtilityDemand!G30,INDIRECT($D$3&amp;"!H"&amp;ROW(G37))+INDIRECT($D$3&amp;"!J"&amp;ROW(G37)))</f>
        <v>240492.20986150744</v>
      </c>
      <c r="I37" s="305">
        <v>0</v>
      </c>
      <c r="J37" s="306">
        <f t="shared" ca="1" si="26"/>
        <v>0</v>
      </c>
      <c r="K37" s="307">
        <f t="shared" ca="1" si="9"/>
        <v>161170.85923179929</v>
      </c>
      <c r="L37" s="307">
        <f t="shared" si="10"/>
        <v>0</v>
      </c>
      <c r="M37" s="307">
        <v>0</v>
      </c>
      <c r="N37" s="307">
        <f t="shared" ca="1" si="11"/>
        <v>161170.85923179929</v>
      </c>
      <c r="O37" s="306">
        <f t="shared" ca="1" si="12"/>
        <v>824609.53302975651</v>
      </c>
      <c r="P37" s="306">
        <f t="shared" si="13"/>
        <v>0</v>
      </c>
      <c r="Q37" s="306">
        <v>0</v>
      </c>
      <c r="R37" s="306">
        <f t="shared" ca="1" si="14"/>
        <v>824609.53302975651</v>
      </c>
      <c r="S37" s="818">
        <f t="shared" ca="1" si="15"/>
        <v>240492.20986150744</v>
      </c>
      <c r="T37" s="818">
        <f t="shared" si="16"/>
        <v>0</v>
      </c>
      <c r="U37" s="818">
        <v>0</v>
      </c>
      <c r="V37" s="818">
        <f t="shared" ca="1" si="17"/>
        <v>240492.20986150744</v>
      </c>
      <c r="W37" s="306">
        <f t="shared" si="1"/>
        <v>0</v>
      </c>
      <c r="X37" s="306">
        <f t="shared" ca="1" si="2"/>
        <v>-3703.0631488745134</v>
      </c>
      <c r="Y37" s="306">
        <v>0</v>
      </c>
      <c r="Z37" s="306">
        <v>0</v>
      </c>
      <c r="AA37" s="308">
        <f ca="1">-SUM(W37,X37/OFFSET(GridFootprintbyYear,$A37-$A$19,0)*EF_PurchElec_MTperMWh,Z37)*OFFSET(ExposureCalculations!Price_GHG_Allowance_2010,A37-$A$19,0)*ExposureCalculations!D34</f>
        <v>143349.98565741605</v>
      </c>
      <c r="AB37" s="308">
        <f t="shared" ca="1" si="3"/>
        <v>0</v>
      </c>
      <c r="AC37" s="308">
        <v>0</v>
      </c>
      <c r="AD37" s="819">
        <f t="shared" ca="1" si="4"/>
        <v>415845.21334464825</v>
      </c>
      <c r="AE37" s="308">
        <v>0</v>
      </c>
      <c r="AF37" s="819">
        <f t="shared" ca="1" si="5"/>
        <v>0</v>
      </c>
      <c r="AG37" s="308">
        <v>0</v>
      </c>
      <c r="AH37" s="308">
        <v>0</v>
      </c>
      <c r="AI37" s="308">
        <v>0</v>
      </c>
      <c r="AJ37" s="308">
        <f t="shared" ca="1" si="6"/>
        <v>415845.21334464825</v>
      </c>
      <c r="AK37" s="309">
        <v>0</v>
      </c>
      <c r="AL37" s="309">
        <v>0</v>
      </c>
      <c r="AM37" s="309">
        <f t="shared" si="18"/>
        <v>0</v>
      </c>
      <c r="AN37" s="310">
        <v>0</v>
      </c>
      <c r="AO37" s="310">
        <v>0</v>
      </c>
      <c r="AP37" s="310">
        <f t="shared" si="19"/>
        <v>0</v>
      </c>
      <c r="AQ37" s="309">
        <v>0</v>
      </c>
      <c r="AR37" s="311">
        <f t="shared" ca="1" si="7"/>
        <v>559195.1990020643</v>
      </c>
      <c r="AS37" s="870">
        <f t="shared" ca="1" si="20"/>
        <v>6789553.6125740036</v>
      </c>
      <c r="AT37" s="822"/>
      <c r="AU37" s="878"/>
      <c r="AV37" s="35"/>
      <c r="AW37" s="879"/>
      <c r="AX37" s="35"/>
      <c r="AY37" s="880"/>
      <c r="BB37" s="304">
        <f t="shared" ca="1" si="21"/>
        <v>77307.143721539673</v>
      </c>
      <c r="BC37" s="304">
        <f t="shared" ca="1" si="22"/>
        <v>42948.413178633156</v>
      </c>
      <c r="BD37" s="304">
        <f t="shared" ca="1" si="23"/>
        <v>34358.730542906516</v>
      </c>
    </row>
    <row r="38" spans="1:56">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f t="shared" ca="1" si="24"/>
        <v>3.9999999999999987E-2</v>
      </c>
      <c r="G38" s="306">
        <f t="shared" ca="1" si="25"/>
        <v>-34694.19450809354</v>
      </c>
      <c r="H38" s="304">
        <f ca="1">IF($D$3="BAU",UtilityDemand!G31,INDIRECT($D$3&amp;"!H"&amp;ROW(G38))+INDIRECT($D$3&amp;"!J"&amp;ROW(G38)))</f>
        <v>243556.74442411118</v>
      </c>
      <c r="I38" s="305">
        <v>0</v>
      </c>
      <c r="J38" s="306">
        <f t="shared" ca="1" si="26"/>
        <v>0</v>
      </c>
      <c r="K38" s="307">
        <f t="shared" ca="1" si="9"/>
        <v>162747.48483265133</v>
      </c>
      <c r="L38" s="307">
        <f t="shared" si="10"/>
        <v>0</v>
      </c>
      <c r="M38" s="307">
        <v>0</v>
      </c>
      <c r="N38" s="307">
        <f t="shared" ca="1" si="11"/>
        <v>162747.48483265133</v>
      </c>
      <c r="O38" s="306">
        <f t="shared" ca="1" si="12"/>
        <v>832660.6681942452</v>
      </c>
      <c r="P38" s="306">
        <f t="shared" si="13"/>
        <v>0</v>
      </c>
      <c r="Q38" s="306">
        <v>0</v>
      </c>
      <c r="R38" s="306">
        <f t="shared" ca="1" si="14"/>
        <v>832660.6681942452</v>
      </c>
      <c r="S38" s="818">
        <f t="shared" ca="1" si="15"/>
        <v>243556.74442411118</v>
      </c>
      <c r="T38" s="818">
        <f t="shared" si="16"/>
        <v>0</v>
      </c>
      <c r="U38" s="818">
        <v>0</v>
      </c>
      <c r="V38" s="818">
        <f t="shared" ca="1" si="17"/>
        <v>243556.74442411118</v>
      </c>
      <c r="W38" s="306">
        <f t="shared" si="1"/>
        <v>0</v>
      </c>
      <c r="X38" s="306">
        <f t="shared" ca="1" si="2"/>
        <v>-3739.2182753192492</v>
      </c>
      <c r="Y38" s="306">
        <v>0</v>
      </c>
      <c r="Z38" s="306">
        <v>0</v>
      </c>
      <c r="AA38" s="308">
        <f ca="1">-SUM(W38,X38/OFFSET(GridFootprintbyYear,$A38-$A$19,0)*EF_PurchElec_MTperMWh,Z38)*OFFSET(ExposureCalculations!Price_GHG_Allowance_2010,A38-$A$19,0)*ExposureCalculations!D35</f>
        <v>155986.06767413343</v>
      </c>
      <c r="AB38" s="308">
        <f t="shared" ca="1" si="3"/>
        <v>0</v>
      </c>
      <c r="AC38" s="308">
        <v>0</v>
      </c>
      <c r="AD38" s="819">
        <f t="shared" ca="1" si="4"/>
        <v>422004.87507876102</v>
      </c>
      <c r="AE38" s="308">
        <v>0</v>
      </c>
      <c r="AF38" s="819">
        <f t="shared" ca="1" si="5"/>
        <v>0</v>
      </c>
      <c r="AG38" s="308">
        <v>0</v>
      </c>
      <c r="AH38" s="308">
        <v>0</v>
      </c>
      <c r="AI38" s="308">
        <v>0</v>
      </c>
      <c r="AJ38" s="308">
        <f t="shared" ca="1" si="6"/>
        <v>422004.87507876102</v>
      </c>
      <c r="AK38" s="309">
        <v>0</v>
      </c>
      <c r="AL38" s="309">
        <v>0</v>
      </c>
      <c r="AM38" s="309">
        <f t="shared" si="18"/>
        <v>0</v>
      </c>
      <c r="AN38" s="310">
        <v>0</v>
      </c>
      <c r="AO38" s="310">
        <v>0</v>
      </c>
      <c r="AP38" s="310">
        <f t="shared" si="19"/>
        <v>0</v>
      </c>
      <c r="AQ38" s="309">
        <v>0</v>
      </c>
      <c r="AR38" s="311">
        <f t="shared" ca="1" si="7"/>
        <v>577990.94275289448</v>
      </c>
      <c r="AS38" s="870">
        <f t="shared" ca="1" si="20"/>
        <v>7367544.5553268977</v>
      </c>
      <c r="AT38" s="822"/>
      <c r="AU38" s="878"/>
      <c r="AV38" s="35"/>
      <c r="AW38" s="879"/>
      <c r="AX38" s="35"/>
      <c r="AY38" s="880"/>
      <c r="BB38" s="304">
        <f t="shared" ca="1" si="21"/>
        <v>78061.937643210476</v>
      </c>
      <c r="BC38" s="304">
        <f t="shared" ca="1" si="22"/>
        <v>43367.743135116936</v>
      </c>
      <c r="BD38" s="304">
        <f t="shared" ca="1" si="23"/>
        <v>34694.19450809354</v>
      </c>
    </row>
    <row r="39" spans="1:56">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f t="shared" ca="1" si="24"/>
        <v>3.9999999999999987E-2</v>
      </c>
      <c r="G39" s="306">
        <f t="shared" ca="1" si="25"/>
        <v>-35029.658473280557</v>
      </c>
      <c r="H39" s="304">
        <f ca="1">IF($D$3="BAU",UtilityDemand!G32,INDIRECT($D$3&amp;"!H"&amp;ROW(G39))+INDIRECT($D$3&amp;"!J"&amp;ROW(G39)))</f>
        <v>246621.27898671487</v>
      </c>
      <c r="I39" s="305">
        <v>0</v>
      </c>
      <c r="J39" s="306">
        <f t="shared" ca="1" si="26"/>
        <v>0</v>
      </c>
      <c r="K39" s="307">
        <f t="shared" ca="1" si="9"/>
        <v>164324.11043350337</v>
      </c>
      <c r="L39" s="307">
        <f t="shared" si="10"/>
        <v>0</v>
      </c>
      <c r="M39" s="307">
        <v>0</v>
      </c>
      <c r="N39" s="307">
        <f t="shared" ca="1" si="11"/>
        <v>164324.11043350337</v>
      </c>
      <c r="O39" s="306">
        <f t="shared" ca="1" si="12"/>
        <v>840711.80335873354</v>
      </c>
      <c r="P39" s="306">
        <f t="shared" si="13"/>
        <v>0</v>
      </c>
      <c r="Q39" s="306">
        <v>0</v>
      </c>
      <c r="R39" s="306">
        <f t="shared" ca="1" si="14"/>
        <v>840711.80335873354</v>
      </c>
      <c r="S39" s="818">
        <f t="shared" ca="1" si="15"/>
        <v>246621.27898671487</v>
      </c>
      <c r="T39" s="818">
        <f t="shared" si="16"/>
        <v>0</v>
      </c>
      <c r="U39" s="818">
        <v>0</v>
      </c>
      <c r="V39" s="818">
        <f t="shared" ca="1" si="17"/>
        <v>246621.27898671487</v>
      </c>
      <c r="W39" s="306">
        <f t="shared" si="1"/>
        <v>0</v>
      </c>
      <c r="X39" s="306">
        <f t="shared" ca="1" si="2"/>
        <v>-3775.3734017639845</v>
      </c>
      <c r="Y39" s="306">
        <v>0</v>
      </c>
      <c r="Z39" s="306">
        <v>0</v>
      </c>
      <c r="AA39" s="308">
        <f ca="1">-SUM(W39,X39/OFFSET(GridFootprintbyYear,$A39-$A$19,0)*EF_PurchElec_MTperMWh,Z39)*OFFSET(ExposureCalculations!Price_GHG_Allowance_2010,A39-$A$19,0)*ExposureCalculations!D36</f>
        <v>169116.1207932797</v>
      </c>
      <c r="AB39" s="308">
        <f t="shared" ca="1" si="3"/>
        <v>0</v>
      </c>
      <c r="AC39" s="308">
        <v>0</v>
      </c>
      <c r="AD39" s="819">
        <f t="shared" ca="1" si="4"/>
        <v>428215.73729988118</v>
      </c>
      <c r="AE39" s="308">
        <v>0</v>
      </c>
      <c r="AF39" s="819">
        <f t="shared" ca="1" si="5"/>
        <v>0</v>
      </c>
      <c r="AG39" s="308">
        <v>0</v>
      </c>
      <c r="AH39" s="308">
        <v>0</v>
      </c>
      <c r="AI39" s="308">
        <v>0</v>
      </c>
      <c r="AJ39" s="308">
        <f t="shared" ca="1" si="6"/>
        <v>428215.73729988118</v>
      </c>
      <c r="AK39" s="309">
        <v>0</v>
      </c>
      <c r="AL39" s="309">
        <v>0</v>
      </c>
      <c r="AM39" s="309">
        <f t="shared" si="18"/>
        <v>0</v>
      </c>
      <c r="AN39" s="310">
        <v>0</v>
      </c>
      <c r="AO39" s="310">
        <v>0</v>
      </c>
      <c r="AP39" s="310">
        <f t="shared" si="19"/>
        <v>0</v>
      </c>
      <c r="AQ39" s="309">
        <v>0</v>
      </c>
      <c r="AR39" s="311">
        <f t="shared" ca="1" si="7"/>
        <v>597331.8580931609</v>
      </c>
      <c r="AS39" s="870">
        <f t="shared" ca="1" si="20"/>
        <v>7964876.4134200588</v>
      </c>
      <c r="AT39" s="822"/>
      <c r="AU39" s="878"/>
      <c r="AV39" s="35"/>
      <c r="AW39" s="879"/>
      <c r="AX39" s="35"/>
      <c r="AY39" s="880"/>
      <c r="BB39" s="304">
        <f t="shared" ca="1" si="21"/>
        <v>78816.731564881266</v>
      </c>
      <c r="BC39" s="304">
        <f t="shared" ca="1" si="22"/>
        <v>43787.073091600709</v>
      </c>
      <c r="BD39" s="304">
        <f t="shared" ca="1" si="23"/>
        <v>35029.658473280557</v>
      </c>
    </row>
    <row r="40" spans="1:56">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f t="shared" ca="1" si="24"/>
        <v>0.04</v>
      </c>
      <c r="G40" s="306">
        <f t="shared" ca="1" si="25"/>
        <v>-35365.122438467581</v>
      </c>
      <c r="H40" s="304">
        <f ca="1">IF($D$3="BAU",UtilityDemand!G33,INDIRECT($D$3&amp;"!H"&amp;ROW(G40))+INDIRECT($D$3&amp;"!J"&amp;ROW(G40)))</f>
        <v>249685.81354931853</v>
      </c>
      <c r="I40" s="305">
        <v>0</v>
      </c>
      <c r="J40" s="306">
        <f t="shared" ca="1" si="26"/>
        <v>0</v>
      </c>
      <c r="K40" s="307">
        <f t="shared" ca="1" si="9"/>
        <v>165900.73603435536</v>
      </c>
      <c r="L40" s="307">
        <f t="shared" si="10"/>
        <v>0</v>
      </c>
      <c r="M40" s="307">
        <v>0</v>
      </c>
      <c r="N40" s="307">
        <f t="shared" ca="1" si="11"/>
        <v>165900.73603435536</v>
      </c>
      <c r="O40" s="306">
        <f t="shared" ca="1" si="12"/>
        <v>848762.93852322188</v>
      </c>
      <c r="P40" s="306">
        <f t="shared" si="13"/>
        <v>0</v>
      </c>
      <c r="Q40" s="306">
        <v>0</v>
      </c>
      <c r="R40" s="306">
        <f t="shared" ca="1" si="14"/>
        <v>848762.93852322188</v>
      </c>
      <c r="S40" s="818">
        <f t="shared" ca="1" si="15"/>
        <v>249685.81354931853</v>
      </c>
      <c r="T40" s="818">
        <f t="shared" si="16"/>
        <v>0</v>
      </c>
      <c r="U40" s="818">
        <v>0</v>
      </c>
      <c r="V40" s="818">
        <f t="shared" ca="1" si="17"/>
        <v>249685.81354931853</v>
      </c>
      <c r="W40" s="306">
        <f t="shared" si="1"/>
        <v>0</v>
      </c>
      <c r="X40" s="306">
        <f t="shared" ca="1" si="2"/>
        <v>-3811.5285282087202</v>
      </c>
      <c r="Y40" s="306">
        <v>0</v>
      </c>
      <c r="Z40" s="306">
        <v>0</v>
      </c>
      <c r="AA40" s="308">
        <f ca="1">-SUM(W40,X40/OFFSET(GridFootprintbyYear,$A40-$A$19,0)*EF_PurchElec_MTperMWh,Z40)*OFFSET(ExposureCalculations!Price_GHG_Allowance_2010,A40-$A$19,0)*ExposureCalculations!D37</f>
        <v>184171.19453671575</v>
      </c>
      <c r="AB40" s="308">
        <f t="shared" ca="1" si="3"/>
        <v>0</v>
      </c>
      <c r="AC40" s="308">
        <v>0</v>
      </c>
      <c r="AD40" s="819">
        <f t="shared" ca="1" si="4"/>
        <v>434478.15802133561</v>
      </c>
      <c r="AE40" s="308">
        <v>0</v>
      </c>
      <c r="AF40" s="819">
        <f t="shared" ca="1" si="5"/>
        <v>0</v>
      </c>
      <c r="AG40" s="308">
        <v>0</v>
      </c>
      <c r="AH40" s="308">
        <v>0</v>
      </c>
      <c r="AI40" s="308">
        <v>0</v>
      </c>
      <c r="AJ40" s="308">
        <f t="shared" ca="1" si="6"/>
        <v>434478.15802133561</v>
      </c>
      <c r="AK40" s="309">
        <v>0</v>
      </c>
      <c r="AL40" s="309">
        <v>0</v>
      </c>
      <c r="AM40" s="309">
        <f t="shared" si="18"/>
        <v>0</v>
      </c>
      <c r="AN40" s="310">
        <v>0</v>
      </c>
      <c r="AO40" s="310">
        <v>0</v>
      </c>
      <c r="AP40" s="310">
        <f t="shared" si="19"/>
        <v>0</v>
      </c>
      <c r="AQ40" s="309">
        <v>0</v>
      </c>
      <c r="AR40" s="311">
        <f t="shared" ca="1" si="7"/>
        <v>618649.35255805135</v>
      </c>
      <c r="AS40" s="870">
        <f t="shared" ca="1" si="20"/>
        <v>8583525.765978111</v>
      </c>
      <c r="AT40" s="822"/>
      <c r="AU40" s="878"/>
      <c r="AV40" s="35"/>
      <c r="AW40" s="879"/>
      <c r="AX40" s="35"/>
      <c r="AY40" s="880"/>
      <c r="BB40" s="304">
        <f t="shared" ca="1" si="21"/>
        <v>79571.525486552055</v>
      </c>
      <c r="BC40" s="304">
        <f t="shared" ca="1" si="22"/>
        <v>44206.403048084474</v>
      </c>
      <c r="BD40" s="304">
        <f t="shared" ca="1" si="23"/>
        <v>35365.122438467581</v>
      </c>
    </row>
    <row r="41" spans="1:56">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f t="shared" ca="1" si="24"/>
        <v>0.04</v>
      </c>
      <c r="G41" s="306">
        <f t="shared" ca="1" si="25"/>
        <v>-35700.58640365459</v>
      </c>
      <c r="H41" s="304">
        <f ca="1">IF($D$3="BAU",UtilityDemand!G34,INDIRECT($D$3&amp;"!H"&amp;ROW(G41))+INDIRECT($D$3&amp;"!J"&amp;ROW(G41)))</f>
        <v>252750.34811192221</v>
      </c>
      <c r="I41" s="305">
        <v>0</v>
      </c>
      <c r="J41" s="306">
        <f t="shared" ca="1" si="26"/>
        <v>0</v>
      </c>
      <c r="K41" s="307">
        <f t="shared" ca="1" si="9"/>
        <v>167477.3616352074</v>
      </c>
      <c r="L41" s="307">
        <f t="shared" si="10"/>
        <v>0</v>
      </c>
      <c r="M41" s="307">
        <v>0</v>
      </c>
      <c r="N41" s="307">
        <f t="shared" ca="1" si="11"/>
        <v>167477.3616352074</v>
      </c>
      <c r="O41" s="306">
        <f t="shared" ca="1" si="12"/>
        <v>856814.07368771022</v>
      </c>
      <c r="P41" s="306">
        <f t="shared" si="13"/>
        <v>0</v>
      </c>
      <c r="Q41" s="306">
        <v>0</v>
      </c>
      <c r="R41" s="306">
        <f t="shared" ca="1" si="14"/>
        <v>856814.07368771022</v>
      </c>
      <c r="S41" s="818">
        <f t="shared" ca="1" si="15"/>
        <v>252750.34811192221</v>
      </c>
      <c r="T41" s="818">
        <f t="shared" si="16"/>
        <v>0</v>
      </c>
      <c r="U41" s="818">
        <v>0</v>
      </c>
      <c r="V41" s="818">
        <f t="shared" ca="1" si="17"/>
        <v>252750.34811192221</v>
      </c>
      <c r="W41" s="306">
        <f t="shared" si="1"/>
        <v>0</v>
      </c>
      <c r="X41" s="306">
        <f t="shared" ca="1" si="2"/>
        <v>-3847.6836546534541</v>
      </c>
      <c r="Y41" s="306">
        <v>0</v>
      </c>
      <c r="Z41" s="306">
        <v>0</v>
      </c>
      <c r="AA41" s="308">
        <f ca="1">-SUM(W41,X41/OFFSET(GridFootprintbyYear,$A41-$A$19,0)*EF_PurchElec_MTperMWh,Z41)*OFFSET(ExposureCalculations!Price_GHG_Allowance_2010,A41-$A$19,0)*ExposureCalculations!D38</f>
        <v>199813.17095670223</v>
      </c>
      <c r="AB41" s="308">
        <f t="shared" ca="1" si="3"/>
        <v>0</v>
      </c>
      <c r="AC41" s="308">
        <v>0</v>
      </c>
      <c r="AD41" s="819">
        <f t="shared" ca="1" si="4"/>
        <v>440792.49755657191</v>
      </c>
      <c r="AE41" s="308">
        <v>0</v>
      </c>
      <c r="AF41" s="819">
        <f t="shared" ca="1" si="5"/>
        <v>0</v>
      </c>
      <c r="AG41" s="308">
        <v>0</v>
      </c>
      <c r="AH41" s="308">
        <v>0</v>
      </c>
      <c r="AI41" s="308">
        <v>0</v>
      </c>
      <c r="AJ41" s="308">
        <f t="shared" ca="1" si="6"/>
        <v>440792.49755657191</v>
      </c>
      <c r="AK41" s="309">
        <v>0</v>
      </c>
      <c r="AL41" s="309">
        <v>0</v>
      </c>
      <c r="AM41" s="309">
        <f t="shared" si="18"/>
        <v>0</v>
      </c>
      <c r="AN41" s="310">
        <v>0</v>
      </c>
      <c r="AO41" s="310">
        <v>0</v>
      </c>
      <c r="AP41" s="310">
        <f t="shared" si="19"/>
        <v>0</v>
      </c>
      <c r="AQ41" s="309">
        <v>0</v>
      </c>
      <c r="AR41" s="311">
        <f t="shared" ca="1" si="7"/>
        <v>640605.66851327417</v>
      </c>
      <c r="AS41" s="870">
        <f t="shared" ca="1" si="20"/>
        <v>9224131.4344913848</v>
      </c>
      <c r="AT41" s="822"/>
      <c r="AU41" s="878"/>
      <c r="AV41" s="35"/>
      <c r="AW41" s="879"/>
      <c r="AX41" s="35"/>
      <c r="AY41" s="880"/>
      <c r="BB41" s="304">
        <f t="shared" ca="1" si="21"/>
        <v>80326.319408222829</v>
      </c>
      <c r="BC41" s="304">
        <f t="shared" ca="1" si="22"/>
        <v>44625.733004568239</v>
      </c>
      <c r="BD41" s="304">
        <f t="shared" ca="1" si="23"/>
        <v>35700.58640365459</v>
      </c>
    </row>
    <row r="42" spans="1:56">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f t="shared" ca="1" si="24"/>
        <v>0.04</v>
      </c>
      <c r="G42" s="306">
        <f t="shared" ca="1" si="25"/>
        <v>-36036.050368841607</v>
      </c>
      <c r="H42" s="304">
        <f ca="1">IF($D$3="BAU",UtilityDemand!G35,INDIRECT($D$3&amp;"!H"&amp;ROW(G42))+INDIRECT($D$3&amp;"!J"&amp;ROW(G42)))</f>
        <v>255814.8826745259</v>
      </c>
      <c r="I42" s="305">
        <v>0</v>
      </c>
      <c r="J42" s="306">
        <f t="shared" ca="1" si="26"/>
        <v>0</v>
      </c>
      <c r="K42" s="307">
        <f t="shared" ca="1" si="9"/>
        <v>169053.98723605942</v>
      </c>
      <c r="L42" s="307">
        <f t="shared" si="10"/>
        <v>0</v>
      </c>
      <c r="M42" s="307">
        <v>0</v>
      </c>
      <c r="N42" s="307">
        <f t="shared" ca="1" si="11"/>
        <v>169053.98723605942</v>
      </c>
      <c r="O42" s="306">
        <f t="shared" ca="1" si="12"/>
        <v>864865.20885219856</v>
      </c>
      <c r="P42" s="306">
        <f t="shared" si="13"/>
        <v>0</v>
      </c>
      <c r="Q42" s="306">
        <v>0</v>
      </c>
      <c r="R42" s="306">
        <f t="shared" ca="1" si="14"/>
        <v>864865.20885219856</v>
      </c>
      <c r="S42" s="818">
        <f t="shared" ca="1" si="15"/>
        <v>255814.8826745259</v>
      </c>
      <c r="T42" s="818">
        <f t="shared" si="16"/>
        <v>0</v>
      </c>
      <c r="U42" s="818">
        <v>0</v>
      </c>
      <c r="V42" s="818">
        <f t="shared" ca="1" si="17"/>
        <v>255814.8826745259</v>
      </c>
      <c r="W42" s="306">
        <f t="shared" si="1"/>
        <v>0</v>
      </c>
      <c r="X42" s="306">
        <f t="shared" ca="1" si="2"/>
        <v>-3883.8387810981894</v>
      </c>
      <c r="Y42" s="306">
        <v>0</v>
      </c>
      <c r="Z42" s="306">
        <v>0</v>
      </c>
      <c r="AA42" s="308">
        <f ca="1">-SUM(W42,X42/OFFSET(GridFootprintbyYear,$A42-$A$19,0)*EF_PurchElec_MTperMWh,Z42)*OFFSET(ExposureCalculations!Price_GHG_Allowance_2010,A42-$A$19,0)*ExposureCalculations!D39</f>
        <v>214263.79314996989</v>
      </c>
      <c r="AB42" s="308">
        <f t="shared" ca="1" si="3"/>
        <v>0</v>
      </c>
      <c r="AC42" s="308">
        <v>0</v>
      </c>
      <c r="AD42" s="819">
        <f t="shared" ca="1" si="4"/>
        <v>447159.11853321025</v>
      </c>
      <c r="AE42" s="308">
        <v>0</v>
      </c>
      <c r="AF42" s="819">
        <f t="shared" ca="1" si="5"/>
        <v>0</v>
      </c>
      <c r="AG42" s="308">
        <v>0</v>
      </c>
      <c r="AH42" s="308">
        <v>0</v>
      </c>
      <c r="AI42" s="308">
        <v>0</v>
      </c>
      <c r="AJ42" s="308">
        <f t="shared" ca="1" si="6"/>
        <v>447159.11853321025</v>
      </c>
      <c r="AK42" s="309">
        <v>0</v>
      </c>
      <c r="AL42" s="309">
        <v>0</v>
      </c>
      <c r="AM42" s="309">
        <f t="shared" si="18"/>
        <v>0</v>
      </c>
      <c r="AN42" s="310">
        <v>0</v>
      </c>
      <c r="AO42" s="310">
        <v>0</v>
      </c>
      <c r="AP42" s="310">
        <f t="shared" si="19"/>
        <v>0</v>
      </c>
      <c r="AQ42" s="309">
        <v>0</v>
      </c>
      <c r="AR42" s="311">
        <f t="shared" ca="1" si="7"/>
        <v>661422.91168318014</v>
      </c>
      <c r="AS42" s="870">
        <f t="shared" ca="1" si="20"/>
        <v>9885554.3461745642</v>
      </c>
      <c r="AT42" s="822"/>
      <c r="AU42" s="878"/>
      <c r="AV42" s="35"/>
      <c r="AW42" s="879"/>
      <c r="AX42" s="35"/>
      <c r="AY42" s="880"/>
      <c r="BB42" s="304">
        <f t="shared" ca="1" si="21"/>
        <v>81081.113329893618</v>
      </c>
      <c r="BC42" s="304">
        <f t="shared" ca="1" si="22"/>
        <v>45045.062961052012</v>
      </c>
      <c r="BD42" s="304">
        <f t="shared" ca="1" si="23"/>
        <v>36036.050368841607</v>
      </c>
    </row>
    <row r="43" spans="1:56">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f t="shared" ca="1" si="24"/>
        <v>3.9999999999999994E-2</v>
      </c>
      <c r="G43" s="306">
        <f t="shared" ca="1" si="25"/>
        <v>-36371.514334028609</v>
      </c>
      <c r="H43" s="304">
        <f ca="1">IF($D$3="BAU",UtilityDemand!G36,INDIRECT($D$3&amp;"!H"&amp;ROW(G43))+INDIRECT($D$3&amp;"!J"&amp;ROW(G43)))</f>
        <v>258879.41723712959</v>
      </c>
      <c r="I43" s="305">
        <v>0</v>
      </c>
      <c r="J43" s="306">
        <f t="shared" ca="1" si="26"/>
        <v>0</v>
      </c>
      <c r="K43" s="307">
        <f t="shared" ca="1" si="9"/>
        <v>170630.61283691146</v>
      </c>
      <c r="L43" s="307">
        <f t="shared" si="10"/>
        <v>0</v>
      </c>
      <c r="M43" s="307">
        <v>0</v>
      </c>
      <c r="N43" s="307">
        <f t="shared" ca="1" si="11"/>
        <v>170630.61283691146</v>
      </c>
      <c r="O43" s="306">
        <f t="shared" ca="1" si="12"/>
        <v>872916.34401668678</v>
      </c>
      <c r="P43" s="306">
        <f t="shared" si="13"/>
        <v>0</v>
      </c>
      <c r="Q43" s="306">
        <v>0</v>
      </c>
      <c r="R43" s="306">
        <f t="shared" ca="1" si="14"/>
        <v>872916.34401668678</v>
      </c>
      <c r="S43" s="818">
        <f t="shared" ca="1" si="15"/>
        <v>258879.41723712959</v>
      </c>
      <c r="T43" s="818">
        <f t="shared" si="16"/>
        <v>0</v>
      </c>
      <c r="U43" s="818">
        <v>0</v>
      </c>
      <c r="V43" s="818">
        <f t="shared" ca="1" si="17"/>
        <v>258879.41723712959</v>
      </c>
      <c r="W43" s="306">
        <f t="shared" si="1"/>
        <v>0</v>
      </c>
      <c r="X43" s="306">
        <f t="shared" ca="1" si="2"/>
        <v>-3919.9939075429229</v>
      </c>
      <c r="Y43" s="306">
        <v>0</v>
      </c>
      <c r="Z43" s="306">
        <v>0</v>
      </c>
      <c r="AA43" s="308">
        <f ca="1">-SUM(W43,X43/OFFSET(GridFootprintbyYear,$A43-$A$19,0)*EF_PurchElec_MTperMWh,Z43)*OFFSET(ExposureCalculations!Price_GHG_Allowance_2010,A43-$A$19,0)*ExposureCalculations!D40</f>
        <v>227410.52199051436</v>
      </c>
      <c r="AB43" s="308">
        <f t="shared" ca="1" si="3"/>
        <v>0</v>
      </c>
      <c r="AC43" s="308">
        <v>0</v>
      </c>
      <c r="AD43" s="819">
        <f t="shared" ca="1" si="4"/>
        <v>453578.38590717589</v>
      </c>
      <c r="AE43" s="308">
        <v>0</v>
      </c>
      <c r="AF43" s="819">
        <f t="shared" ca="1" si="5"/>
        <v>0</v>
      </c>
      <c r="AG43" s="308">
        <v>0</v>
      </c>
      <c r="AH43" s="308">
        <v>0</v>
      </c>
      <c r="AI43" s="308">
        <v>0</v>
      </c>
      <c r="AJ43" s="308">
        <f t="shared" ca="1" si="6"/>
        <v>453578.38590717589</v>
      </c>
      <c r="AK43" s="309">
        <v>0</v>
      </c>
      <c r="AL43" s="309">
        <v>0</v>
      </c>
      <c r="AM43" s="309">
        <f t="shared" si="18"/>
        <v>0</v>
      </c>
      <c r="AN43" s="310">
        <v>0</v>
      </c>
      <c r="AO43" s="310">
        <v>0</v>
      </c>
      <c r="AP43" s="310">
        <f t="shared" si="19"/>
        <v>0</v>
      </c>
      <c r="AQ43" s="309">
        <v>0</v>
      </c>
      <c r="AR43" s="311">
        <f t="shared" ca="1" si="7"/>
        <v>680988.90789769031</v>
      </c>
      <c r="AS43" s="870">
        <f t="shared" ca="1" si="20"/>
        <v>10566543.254072255</v>
      </c>
      <c r="AT43" s="822"/>
      <c r="AU43" s="878"/>
      <c r="AV43" s="35"/>
      <c r="AW43" s="879"/>
      <c r="AX43" s="35"/>
      <c r="AY43" s="880"/>
      <c r="BB43" s="304">
        <f t="shared" ca="1" si="21"/>
        <v>81835.907251564378</v>
      </c>
      <c r="BC43" s="304">
        <f t="shared" ca="1" si="22"/>
        <v>45464.39291753577</v>
      </c>
      <c r="BD43" s="304">
        <f t="shared" ca="1" si="23"/>
        <v>36371.514334028609</v>
      </c>
    </row>
    <row r="44" spans="1:56">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f t="shared" ca="1" si="24"/>
        <v>3.9999999999999994E-2</v>
      </c>
      <c r="G44" s="306">
        <f t="shared" ca="1" si="25"/>
        <v>-36706.978299215625</v>
      </c>
      <c r="H44" s="304">
        <f ca="1">IF($D$3="BAU",UtilityDemand!G37,INDIRECT($D$3&amp;"!H"&amp;ROW(G44))+INDIRECT($D$3&amp;"!J"&amp;ROW(G44)))</f>
        <v>261943.95179973327</v>
      </c>
      <c r="I44" s="305">
        <v>0</v>
      </c>
      <c r="J44" s="306">
        <f t="shared" ca="1" si="26"/>
        <v>0</v>
      </c>
      <c r="K44" s="307">
        <f t="shared" ca="1" si="9"/>
        <v>172207.23843776347</v>
      </c>
      <c r="L44" s="307">
        <f t="shared" si="10"/>
        <v>0</v>
      </c>
      <c r="M44" s="307">
        <v>0</v>
      </c>
      <c r="N44" s="307">
        <f t="shared" ca="1" si="11"/>
        <v>172207.23843776347</v>
      </c>
      <c r="O44" s="306">
        <f t="shared" ca="1" si="12"/>
        <v>880967.47918117512</v>
      </c>
      <c r="P44" s="306">
        <f t="shared" si="13"/>
        <v>0</v>
      </c>
      <c r="Q44" s="306">
        <v>0</v>
      </c>
      <c r="R44" s="306">
        <f t="shared" ca="1" si="14"/>
        <v>880967.47918117512</v>
      </c>
      <c r="S44" s="818">
        <f t="shared" ca="1" si="15"/>
        <v>261943.95179973327</v>
      </c>
      <c r="T44" s="818">
        <f t="shared" si="16"/>
        <v>0</v>
      </c>
      <c r="U44" s="818">
        <v>0</v>
      </c>
      <c r="V44" s="818">
        <f t="shared" ca="1" si="17"/>
        <v>261943.95179973327</v>
      </c>
      <c r="W44" s="306">
        <f t="shared" si="1"/>
        <v>0</v>
      </c>
      <c r="X44" s="306">
        <f t="shared" ca="1" si="2"/>
        <v>-3956.1490339876577</v>
      </c>
      <c r="Y44" s="306">
        <v>0</v>
      </c>
      <c r="Z44" s="306">
        <v>0</v>
      </c>
      <c r="AA44" s="308">
        <f ca="1">-SUM(W44,X44/OFFSET(GridFootprintbyYear,$A44-$A$19,0)*EF_PurchElec_MTperMWh,Z44)*OFFSET(ExposureCalculations!Price_GHG_Allowance_2010,A44-$A$19,0)*ExposureCalculations!D41</f>
        <v>240994.06580486492</v>
      </c>
      <c r="AB44" s="308">
        <f t="shared" ca="1" si="3"/>
        <v>0</v>
      </c>
      <c r="AC44" s="308">
        <v>0</v>
      </c>
      <c r="AD44" s="819">
        <f t="shared" ca="1" si="4"/>
        <v>460050.66697691794</v>
      </c>
      <c r="AE44" s="308">
        <v>0</v>
      </c>
      <c r="AF44" s="819">
        <f t="shared" ca="1" si="5"/>
        <v>0</v>
      </c>
      <c r="AG44" s="308">
        <v>0</v>
      </c>
      <c r="AH44" s="308">
        <v>0</v>
      </c>
      <c r="AI44" s="308">
        <v>0</v>
      </c>
      <c r="AJ44" s="308">
        <f t="shared" ca="1" si="6"/>
        <v>460050.66697691794</v>
      </c>
      <c r="AK44" s="309">
        <v>0</v>
      </c>
      <c r="AL44" s="309">
        <v>0</v>
      </c>
      <c r="AM44" s="309">
        <f t="shared" si="18"/>
        <v>0</v>
      </c>
      <c r="AN44" s="310">
        <v>0</v>
      </c>
      <c r="AO44" s="310">
        <v>0</v>
      </c>
      <c r="AP44" s="310">
        <f t="shared" si="19"/>
        <v>0</v>
      </c>
      <c r="AQ44" s="309">
        <v>0</v>
      </c>
      <c r="AR44" s="311">
        <f t="shared" ca="1" si="7"/>
        <v>701044.73278178286</v>
      </c>
      <c r="AS44" s="870">
        <f t="shared" ca="1" si="20"/>
        <v>11267587.986854037</v>
      </c>
      <c r="AT44" s="822"/>
      <c r="AU44" s="878"/>
      <c r="AV44" s="35"/>
      <c r="AW44" s="879"/>
      <c r="AX44" s="35"/>
      <c r="AY44" s="880"/>
      <c r="BB44" s="304">
        <f t="shared" ca="1" si="21"/>
        <v>82590.701173235168</v>
      </c>
      <c r="BC44" s="304">
        <f t="shared" ca="1" si="22"/>
        <v>45883.722874019542</v>
      </c>
      <c r="BD44" s="304">
        <f t="shared" ca="1" si="23"/>
        <v>36706.978299215625</v>
      </c>
    </row>
    <row r="45" spans="1:56">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f t="shared" ca="1" si="24"/>
        <v>3.9999999999999994E-2</v>
      </c>
      <c r="G45" s="306">
        <f t="shared" ca="1" si="25"/>
        <v>-37042.442264402649</v>
      </c>
      <c r="H45" s="304">
        <f ca="1">IF($D$3="BAU",UtilityDemand!G38,INDIRECT($D$3&amp;"!H"&amp;ROW(G45))+INDIRECT($D$3&amp;"!J"&amp;ROW(G45)))</f>
        <v>265008.48636233702</v>
      </c>
      <c r="I45" s="305">
        <v>0</v>
      </c>
      <c r="J45" s="306">
        <f t="shared" ca="1" si="26"/>
        <v>0</v>
      </c>
      <c r="K45" s="307">
        <f t="shared" ca="1" si="9"/>
        <v>173783.86403861555</v>
      </c>
      <c r="L45" s="307">
        <f t="shared" si="10"/>
        <v>0</v>
      </c>
      <c r="M45" s="307">
        <v>0</v>
      </c>
      <c r="N45" s="307">
        <f t="shared" ca="1" si="11"/>
        <v>173783.86403861555</v>
      </c>
      <c r="O45" s="306">
        <f t="shared" ca="1" si="12"/>
        <v>889018.61434566381</v>
      </c>
      <c r="P45" s="306">
        <f t="shared" si="13"/>
        <v>0</v>
      </c>
      <c r="Q45" s="306">
        <v>0</v>
      </c>
      <c r="R45" s="306">
        <f t="shared" ca="1" si="14"/>
        <v>889018.61434566381</v>
      </c>
      <c r="S45" s="818">
        <f t="shared" ca="1" si="15"/>
        <v>265008.48636233702</v>
      </c>
      <c r="T45" s="818">
        <f t="shared" si="16"/>
        <v>0</v>
      </c>
      <c r="U45" s="818">
        <v>0</v>
      </c>
      <c r="V45" s="818">
        <f t="shared" ca="1" si="17"/>
        <v>265008.48636233702</v>
      </c>
      <c r="W45" s="306">
        <f t="shared" si="1"/>
        <v>0</v>
      </c>
      <c r="X45" s="306">
        <f t="shared" ca="1" si="2"/>
        <v>-3992.3041604323935</v>
      </c>
      <c r="Y45" s="306">
        <v>0</v>
      </c>
      <c r="Z45" s="306">
        <v>0</v>
      </c>
      <c r="AA45" s="308">
        <f ca="1">-SUM(W45,X45/OFFSET(GridFootprintbyYear,$A45-$A$19,0)*EF_PurchElec_MTperMWh,Z45)*OFFSET(ExposureCalculations!Price_GHG_Allowance_2010,A45-$A$19,0)*ExposureCalculations!D42</f>
        <v>256757.70160468121</v>
      </c>
      <c r="AB45" s="308">
        <f t="shared" ca="1" si="3"/>
        <v>0</v>
      </c>
      <c r="AC45" s="308">
        <v>0</v>
      </c>
      <c r="AD45" s="819">
        <f t="shared" ca="1" si="4"/>
        <v>466576.33139770979</v>
      </c>
      <c r="AE45" s="308">
        <v>0</v>
      </c>
      <c r="AF45" s="819">
        <f t="shared" ca="1" si="5"/>
        <v>0</v>
      </c>
      <c r="AG45" s="308">
        <v>0</v>
      </c>
      <c r="AH45" s="308">
        <v>0</v>
      </c>
      <c r="AI45" s="308">
        <v>0</v>
      </c>
      <c r="AJ45" s="308">
        <f t="shared" ca="1" si="6"/>
        <v>466576.33139770979</v>
      </c>
      <c r="AK45" s="309">
        <v>0</v>
      </c>
      <c r="AL45" s="309">
        <f>-AU25</f>
        <v>-600000</v>
      </c>
      <c r="AM45" s="309">
        <f t="shared" si="18"/>
        <v>-600000</v>
      </c>
      <c r="AN45" s="310">
        <v>0</v>
      </c>
      <c r="AO45" s="310">
        <v>0</v>
      </c>
      <c r="AP45" s="310">
        <f t="shared" si="19"/>
        <v>0</v>
      </c>
      <c r="AQ45" s="309">
        <v>0</v>
      </c>
      <c r="AR45" s="311">
        <f t="shared" ca="1" si="7"/>
        <v>123334.03300239099</v>
      </c>
      <c r="AS45" s="870">
        <f t="shared" ca="1" si="20"/>
        <v>11390922.019856429</v>
      </c>
      <c r="AT45" s="822"/>
      <c r="AU45" s="878"/>
      <c r="AV45" s="35"/>
      <c r="AW45" s="879"/>
      <c r="AX45" s="35"/>
      <c r="AY45" s="880"/>
      <c r="BB45" s="304">
        <f t="shared" ca="1" si="21"/>
        <v>83345.495094905971</v>
      </c>
      <c r="BC45" s="304">
        <f t="shared" ca="1" si="22"/>
        <v>46303.052830503322</v>
      </c>
      <c r="BD45" s="304">
        <f t="shared" ca="1" si="23"/>
        <v>37042.442264402649</v>
      </c>
    </row>
    <row r="46" spans="1:56">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f t="shared" ca="1" si="24"/>
        <v>0.04</v>
      </c>
      <c r="G46" s="306">
        <f t="shared" ca="1" si="25"/>
        <v>-37377.906229589673</v>
      </c>
      <c r="H46" s="304">
        <f ca="1">IF($D$3="BAU",UtilityDemand!G39,INDIRECT($D$3&amp;"!H"&amp;ROW(G46))+INDIRECT($D$3&amp;"!J"&amp;ROW(G46)))</f>
        <v>268073.02092494071</v>
      </c>
      <c r="I46" s="305">
        <v>0</v>
      </c>
      <c r="J46" s="306">
        <f t="shared" ca="1" si="26"/>
        <v>0</v>
      </c>
      <c r="K46" s="307">
        <f t="shared" ca="1" si="9"/>
        <v>175360.48963946756</v>
      </c>
      <c r="L46" s="307">
        <f t="shared" si="10"/>
        <v>0</v>
      </c>
      <c r="M46" s="307">
        <v>0</v>
      </c>
      <c r="N46" s="307">
        <f t="shared" ca="1" si="11"/>
        <v>175360.48963946756</v>
      </c>
      <c r="O46" s="306">
        <f t="shared" ca="1" si="12"/>
        <v>897069.74951015203</v>
      </c>
      <c r="P46" s="306">
        <f t="shared" si="13"/>
        <v>0</v>
      </c>
      <c r="Q46" s="306">
        <v>0</v>
      </c>
      <c r="R46" s="306">
        <f t="shared" ca="1" si="14"/>
        <v>897069.74951015203</v>
      </c>
      <c r="S46" s="818">
        <f t="shared" ca="1" si="15"/>
        <v>268073.02092494071</v>
      </c>
      <c r="T46" s="818">
        <f t="shared" si="16"/>
        <v>0</v>
      </c>
      <c r="U46" s="818">
        <v>0</v>
      </c>
      <c r="V46" s="818">
        <f t="shared" ca="1" si="17"/>
        <v>268073.02092494071</v>
      </c>
      <c r="W46" s="306">
        <f t="shared" si="1"/>
        <v>0</v>
      </c>
      <c r="X46" s="306">
        <f t="shared" ca="1" si="2"/>
        <v>-4028.4592868771292</v>
      </c>
      <c r="Y46" s="306">
        <v>0</v>
      </c>
      <c r="Z46" s="306">
        <v>0</v>
      </c>
      <c r="AA46" s="308">
        <f ca="1">-SUM(W46,X46/OFFSET(GridFootprintbyYear,$A46-$A$19,0)*EF_PurchElec_MTperMWh,Z46)*OFFSET(ExposureCalculations!Price_GHG_Allowance_2010,A46-$A$19,0)*ExposureCalculations!D43</f>
        <v>272707.48226325499</v>
      </c>
      <c r="AB46" s="308">
        <f t="shared" ca="1" si="3"/>
        <v>0</v>
      </c>
      <c r="AC46" s="308">
        <v>0</v>
      </c>
      <c r="AD46" s="819">
        <f t="shared" ca="1" si="4"/>
        <v>473155.75119603518</v>
      </c>
      <c r="AE46" s="308">
        <v>0</v>
      </c>
      <c r="AF46" s="819">
        <f t="shared" ca="1" si="5"/>
        <v>0</v>
      </c>
      <c r="AG46" s="308">
        <v>0</v>
      </c>
      <c r="AH46" s="308">
        <v>0</v>
      </c>
      <c r="AI46" s="308">
        <v>0</v>
      </c>
      <c r="AJ46" s="308">
        <f t="shared" ca="1" si="6"/>
        <v>473155.75119603518</v>
      </c>
      <c r="AK46" s="309">
        <v>0</v>
      </c>
      <c r="AL46" s="309">
        <v>0</v>
      </c>
      <c r="AM46" s="309">
        <f t="shared" si="18"/>
        <v>0</v>
      </c>
      <c r="AN46" s="310">
        <v>0</v>
      </c>
      <c r="AO46" s="310">
        <v>0</v>
      </c>
      <c r="AP46" s="310">
        <f t="shared" si="19"/>
        <v>0</v>
      </c>
      <c r="AQ46" s="309">
        <v>0</v>
      </c>
      <c r="AR46" s="311">
        <f t="shared" ca="1" si="7"/>
        <v>745863.23345929012</v>
      </c>
      <c r="AS46" s="870">
        <f t="shared" ca="1" si="20"/>
        <v>12136785.253315719</v>
      </c>
      <c r="AT46" s="822"/>
      <c r="AU46" s="878"/>
      <c r="AV46" s="35"/>
      <c r="AW46" s="879"/>
      <c r="AX46" s="35"/>
      <c r="AY46" s="880"/>
      <c r="BB46" s="304">
        <f t="shared" ca="1" si="21"/>
        <v>84100.28901657676</v>
      </c>
      <c r="BC46" s="304">
        <f t="shared" ca="1" si="22"/>
        <v>46722.382786987087</v>
      </c>
      <c r="BD46" s="304">
        <f t="shared" ca="1" si="23"/>
        <v>37377.906229589673</v>
      </c>
    </row>
    <row r="47" spans="1:56">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f t="shared" ca="1" si="24"/>
        <v>0.04</v>
      </c>
      <c r="G47" s="306">
        <f t="shared" ca="1" si="25"/>
        <v>-37713.370194776682</v>
      </c>
      <c r="H47" s="304">
        <f ca="1">IF($D$3="BAU",UtilityDemand!G40,INDIRECT($D$3&amp;"!H"&amp;ROW(G47))+INDIRECT($D$3&amp;"!J"&amp;ROW(G47)))</f>
        <v>271137.55548754439</v>
      </c>
      <c r="I47" s="305">
        <v>0</v>
      </c>
      <c r="J47" s="306">
        <f t="shared" ca="1" si="26"/>
        <v>0</v>
      </c>
      <c r="K47" s="307">
        <f t="shared" ca="1" si="9"/>
        <v>176937.1152403196</v>
      </c>
      <c r="L47" s="307">
        <f t="shared" si="10"/>
        <v>0</v>
      </c>
      <c r="M47" s="307">
        <v>0</v>
      </c>
      <c r="N47" s="307">
        <f t="shared" ca="1" si="11"/>
        <v>176937.1152403196</v>
      </c>
      <c r="O47" s="306">
        <f t="shared" ca="1" si="12"/>
        <v>905120.88467464037</v>
      </c>
      <c r="P47" s="306">
        <f t="shared" si="13"/>
        <v>0</v>
      </c>
      <c r="Q47" s="306">
        <v>0</v>
      </c>
      <c r="R47" s="306">
        <f t="shared" ca="1" si="14"/>
        <v>905120.88467464037</v>
      </c>
      <c r="S47" s="818">
        <f t="shared" ca="1" si="15"/>
        <v>271137.55548754439</v>
      </c>
      <c r="T47" s="818">
        <f t="shared" si="16"/>
        <v>0</v>
      </c>
      <c r="U47" s="818">
        <v>0</v>
      </c>
      <c r="V47" s="818">
        <f t="shared" ca="1" si="17"/>
        <v>271137.55548754439</v>
      </c>
      <c r="W47" s="306">
        <f t="shared" si="1"/>
        <v>0</v>
      </c>
      <c r="X47" s="306">
        <f t="shared" ca="1" si="2"/>
        <v>-4064.6144133218636</v>
      </c>
      <c r="Y47" s="306">
        <v>0</v>
      </c>
      <c r="Z47" s="306">
        <v>0</v>
      </c>
      <c r="AA47" s="308">
        <f ca="1">-SUM(W47,X47/OFFSET(GridFootprintbyYear,$A47-$A$19,0)*EF_PurchElec_MTperMWh,Z47)*OFFSET(ExposureCalculations!Price_GHG_Allowance_2010,A47-$A$19,0)*ExposureCalculations!D44</f>
        <v>288805.37506016018</v>
      </c>
      <c r="AB47" s="308">
        <f t="shared" ca="1" si="3"/>
        <v>0</v>
      </c>
      <c r="AC47" s="308">
        <v>0</v>
      </c>
      <c r="AD47" s="819">
        <f t="shared" ca="1" si="4"/>
        <v>479789.30078405864</v>
      </c>
      <c r="AE47" s="308">
        <v>0</v>
      </c>
      <c r="AF47" s="819">
        <f t="shared" ca="1" si="5"/>
        <v>0</v>
      </c>
      <c r="AG47" s="308">
        <v>0</v>
      </c>
      <c r="AH47" s="308">
        <v>0</v>
      </c>
      <c r="AI47" s="308">
        <v>0</v>
      </c>
      <c r="AJ47" s="308">
        <f t="shared" ca="1" si="6"/>
        <v>479789.30078405864</v>
      </c>
      <c r="AK47" s="309">
        <v>0</v>
      </c>
      <c r="AL47" s="309">
        <v>0</v>
      </c>
      <c r="AM47" s="309">
        <f t="shared" si="18"/>
        <v>0</v>
      </c>
      <c r="AN47" s="310">
        <v>0</v>
      </c>
      <c r="AO47" s="310">
        <v>0</v>
      </c>
      <c r="AP47" s="310">
        <f t="shared" si="19"/>
        <v>0</v>
      </c>
      <c r="AQ47" s="309">
        <v>0</v>
      </c>
      <c r="AR47" s="311">
        <f t="shared" ca="1" si="7"/>
        <v>768594.67584421881</v>
      </c>
      <c r="AS47" s="870">
        <f t="shared" ca="1" si="20"/>
        <v>12905379.929159937</v>
      </c>
      <c r="AT47" s="822"/>
      <c r="AU47" s="878"/>
      <c r="AV47" s="35"/>
      <c r="AW47" s="879"/>
      <c r="AX47" s="35"/>
      <c r="AY47" s="880"/>
      <c r="BB47" s="304">
        <f t="shared" ca="1" si="21"/>
        <v>84855.082938247535</v>
      </c>
      <c r="BC47" s="304">
        <f t="shared" ca="1" si="22"/>
        <v>47141.712743470853</v>
      </c>
      <c r="BD47" s="304">
        <f t="shared" ca="1" si="23"/>
        <v>37713.370194776682</v>
      </c>
    </row>
    <row r="48" spans="1:56">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f t="shared" ca="1" si="24"/>
        <v>0.04</v>
      </c>
      <c r="G48" s="306">
        <f t="shared" ca="1" si="25"/>
        <v>-38048.834159963699</v>
      </c>
      <c r="H48" s="304">
        <f ca="1">IF($D$3="BAU",UtilityDemand!G41,INDIRECT($D$3&amp;"!H"&amp;ROW(G48))+INDIRECT($D$3&amp;"!J"&amp;ROW(G48)))</f>
        <v>274202.09005014808</v>
      </c>
      <c r="I48" s="305">
        <v>0</v>
      </c>
      <c r="J48" s="306">
        <f t="shared" ca="1" si="26"/>
        <v>0</v>
      </c>
      <c r="K48" s="307">
        <f t="shared" ca="1" si="9"/>
        <v>178513.74084117162</v>
      </c>
      <c r="L48" s="307">
        <f t="shared" si="10"/>
        <v>0</v>
      </c>
      <c r="M48" s="307">
        <v>0</v>
      </c>
      <c r="N48" s="307">
        <f t="shared" ca="1" si="11"/>
        <v>178513.74084117162</v>
      </c>
      <c r="O48" s="306">
        <f t="shared" ca="1" si="12"/>
        <v>913172.01983912883</v>
      </c>
      <c r="P48" s="306">
        <f t="shared" si="13"/>
        <v>0</v>
      </c>
      <c r="Q48" s="306">
        <v>0</v>
      </c>
      <c r="R48" s="306">
        <f t="shared" ca="1" si="14"/>
        <v>913172.01983912883</v>
      </c>
      <c r="S48" s="818">
        <f t="shared" ca="1" si="15"/>
        <v>274202.09005014808</v>
      </c>
      <c r="T48" s="818">
        <f t="shared" si="16"/>
        <v>0</v>
      </c>
      <c r="U48" s="818">
        <v>0</v>
      </c>
      <c r="V48" s="818">
        <f t="shared" ca="1" si="17"/>
        <v>274202.09005014808</v>
      </c>
      <c r="W48" s="306">
        <f t="shared" si="1"/>
        <v>0</v>
      </c>
      <c r="X48" s="306">
        <f t="shared" ca="1" si="2"/>
        <v>-4100.7695397665984</v>
      </c>
      <c r="Y48" s="306">
        <v>0</v>
      </c>
      <c r="Z48" s="306">
        <v>0</v>
      </c>
      <c r="AA48" s="308">
        <f ca="1">-SUM(W48,X48/OFFSET(GridFootprintbyYear,$A48-$A$19,0)*EF_PurchElec_MTperMWh,Z48)*OFFSET(ExposureCalculations!Price_GHG_Allowance_2010,A48-$A$19,0)*ExposureCalculations!D45</f>
        <v>305018.85144635959</v>
      </c>
      <c r="AB48" s="308">
        <f t="shared" ca="1" si="3"/>
        <v>0</v>
      </c>
      <c r="AC48" s="308">
        <v>0</v>
      </c>
      <c r="AD48" s="819">
        <f t="shared" ca="1" si="4"/>
        <v>486477.35697418259</v>
      </c>
      <c r="AE48" s="308">
        <v>0</v>
      </c>
      <c r="AF48" s="819">
        <f t="shared" ca="1" si="5"/>
        <v>0</v>
      </c>
      <c r="AG48" s="308">
        <v>0</v>
      </c>
      <c r="AH48" s="308">
        <v>0</v>
      </c>
      <c r="AI48" s="308">
        <v>0</v>
      </c>
      <c r="AJ48" s="308">
        <f t="shared" ca="1" si="6"/>
        <v>486477.35697418259</v>
      </c>
      <c r="AK48" s="309">
        <v>0</v>
      </c>
      <c r="AL48" s="309">
        <v>0</v>
      </c>
      <c r="AM48" s="309">
        <f t="shared" si="18"/>
        <v>0</v>
      </c>
      <c r="AN48" s="310">
        <v>0</v>
      </c>
      <c r="AO48" s="310">
        <v>0</v>
      </c>
      <c r="AP48" s="310">
        <f t="shared" si="19"/>
        <v>0</v>
      </c>
      <c r="AQ48" s="309">
        <v>0</v>
      </c>
      <c r="AR48" s="311">
        <f t="shared" ca="1" si="7"/>
        <v>791496.20842054219</v>
      </c>
      <c r="AS48" s="870">
        <f t="shared" ca="1" si="20"/>
        <v>13696876.13758048</v>
      </c>
      <c r="AT48" s="822"/>
      <c r="AU48" s="878"/>
      <c r="AV48" s="35"/>
      <c r="AW48" s="879"/>
      <c r="AX48" s="35"/>
      <c r="AY48" s="880"/>
      <c r="BB48" s="304">
        <f t="shared" ca="1" si="21"/>
        <v>85609.876859918324</v>
      </c>
      <c r="BC48" s="304">
        <f t="shared" ca="1" si="22"/>
        <v>47561.042699954625</v>
      </c>
      <c r="BD48" s="304">
        <f t="shared" ca="1" si="23"/>
        <v>38048.834159963699</v>
      </c>
    </row>
    <row r="49" spans="1:56">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f t="shared" ca="1" si="24"/>
        <v>3.9999999999999994E-2</v>
      </c>
      <c r="G49" s="306">
        <f t="shared" ca="1" si="25"/>
        <v>-38384.298125150708</v>
      </c>
      <c r="H49" s="304">
        <f ca="1">IF($D$3="BAU",UtilityDemand!G42,INDIRECT($D$3&amp;"!H"&amp;ROW(G49))+INDIRECT($D$3&amp;"!J"&amp;ROW(G49)))</f>
        <v>277266.62461275177</v>
      </c>
      <c r="I49" s="305">
        <v>0</v>
      </c>
      <c r="J49" s="306">
        <f t="shared" ca="1" si="26"/>
        <v>0</v>
      </c>
      <c r="K49" s="307">
        <f t="shared" ca="1" si="9"/>
        <v>180090.36644202363</v>
      </c>
      <c r="L49" s="307">
        <f t="shared" si="10"/>
        <v>0</v>
      </c>
      <c r="M49" s="307">
        <v>0</v>
      </c>
      <c r="N49" s="307">
        <f t="shared" ca="1" si="11"/>
        <v>180090.36644202363</v>
      </c>
      <c r="O49" s="306">
        <f t="shared" ca="1" si="12"/>
        <v>921223.15500361705</v>
      </c>
      <c r="P49" s="306">
        <f t="shared" si="13"/>
        <v>0</v>
      </c>
      <c r="Q49" s="306">
        <v>0</v>
      </c>
      <c r="R49" s="306">
        <f t="shared" ca="1" si="14"/>
        <v>921223.15500361705</v>
      </c>
      <c r="S49" s="818">
        <f t="shared" ca="1" si="15"/>
        <v>277266.62461275177</v>
      </c>
      <c r="T49" s="818">
        <f t="shared" si="16"/>
        <v>0</v>
      </c>
      <c r="U49" s="818">
        <v>0</v>
      </c>
      <c r="V49" s="818">
        <f t="shared" ca="1" si="17"/>
        <v>277266.62461275177</v>
      </c>
      <c r="W49" s="306">
        <f t="shared" si="1"/>
        <v>0</v>
      </c>
      <c r="X49" s="306">
        <f t="shared" ca="1" si="2"/>
        <v>-4136.9246662113328</v>
      </c>
      <c r="Y49" s="306">
        <v>0</v>
      </c>
      <c r="Z49" s="306">
        <v>0</v>
      </c>
      <c r="AA49" s="308">
        <f ca="1">-SUM(W49,X49/OFFSET(GridFootprintbyYear,$A49-$A$19,0)*EF_PurchElec_MTperMWh,Z49)*OFFSET(ExposureCalculations!Price_GHG_Allowance_2010,A49-$A$19,0)*ExposureCalculations!D46</f>
        <v>322144.14362842118</v>
      </c>
      <c r="AB49" s="308">
        <f t="shared" ca="1" si="3"/>
        <v>0</v>
      </c>
      <c r="AC49" s="308">
        <v>0</v>
      </c>
      <c r="AD49" s="819">
        <f t="shared" ca="1" si="4"/>
        <v>493220.29899368808</v>
      </c>
      <c r="AE49" s="308">
        <v>0</v>
      </c>
      <c r="AF49" s="819">
        <f t="shared" ca="1" si="5"/>
        <v>0</v>
      </c>
      <c r="AG49" s="308">
        <v>0</v>
      </c>
      <c r="AH49" s="308">
        <v>0</v>
      </c>
      <c r="AI49" s="308">
        <v>0</v>
      </c>
      <c r="AJ49" s="308">
        <f t="shared" ca="1" si="6"/>
        <v>493220.29899368808</v>
      </c>
      <c r="AK49" s="309">
        <v>0</v>
      </c>
      <c r="AL49" s="309">
        <v>0</v>
      </c>
      <c r="AM49" s="309">
        <f t="shared" si="18"/>
        <v>0</v>
      </c>
      <c r="AN49" s="310">
        <v>0</v>
      </c>
      <c r="AO49" s="310">
        <v>0</v>
      </c>
      <c r="AP49" s="310">
        <f t="shared" si="19"/>
        <v>0</v>
      </c>
      <c r="AQ49" s="309">
        <v>0</v>
      </c>
      <c r="AR49" s="311">
        <f t="shared" ca="1" si="7"/>
        <v>815364.44262210932</v>
      </c>
      <c r="AS49" s="870">
        <f t="shared" ca="1" si="20"/>
        <v>14512240.580202591</v>
      </c>
      <c r="AT49" s="822"/>
      <c r="AU49" s="878"/>
      <c r="AV49" s="35"/>
      <c r="AW49" s="879"/>
      <c r="AX49" s="35"/>
      <c r="AY49" s="880"/>
      <c r="BB49" s="304">
        <f t="shared" ca="1" si="21"/>
        <v>86364.670781589099</v>
      </c>
      <c r="BC49" s="304">
        <f t="shared" ca="1" si="22"/>
        <v>47980.372656438391</v>
      </c>
      <c r="BD49" s="304">
        <f t="shared" ca="1" si="23"/>
        <v>38384.298125150708</v>
      </c>
    </row>
    <row r="50" spans="1:56">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f t="shared" ca="1" si="24"/>
        <v>3.9999999999999994E-2</v>
      </c>
      <c r="G50" s="306">
        <f t="shared" ca="1" si="25"/>
        <v>-38719.762090337725</v>
      </c>
      <c r="H50" s="304">
        <f ca="1">IF($D$3="BAU",UtilityDemand!G43,INDIRECT($D$3&amp;"!H"&amp;ROW(G50))+INDIRECT($D$3&amp;"!J"&amp;ROW(G50)))</f>
        <v>280331.15917535545</v>
      </c>
      <c r="I50" s="305">
        <v>0</v>
      </c>
      <c r="J50" s="306">
        <f t="shared" ca="1" si="26"/>
        <v>0</v>
      </c>
      <c r="K50" s="307">
        <f t="shared" ca="1" si="9"/>
        <v>181666.99204287567</v>
      </c>
      <c r="L50" s="307">
        <f t="shared" si="10"/>
        <v>0</v>
      </c>
      <c r="M50" s="307">
        <v>0</v>
      </c>
      <c r="N50" s="307">
        <f t="shared" ca="1" si="11"/>
        <v>181666.99204287567</v>
      </c>
      <c r="O50" s="306">
        <f t="shared" ca="1" si="12"/>
        <v>929274.29016810551</v>
      </c>
      <c r="P50" s="306">
        <f t="shared" si="13"/>
        <v>0</v>
      </c>
      <c r="Q50" s="306">
        <v>0</v>
      </c>
      <c r="R50" s="306">
        <f t="shared" ca="1" si="14"/>
        <v>929274.29016810551</v>
      </c>
      <c r="S50" s="818">
        <f t="shared" ca="1" si="15"/>
        <v>280331.15917535545</v>
      </c>
      <c r="T50" s="818">
        <f t="shared" si="16"/>
        <v>0</v>
      </c>
      <c r="U50" s="818">
        <v>0</v>
      </c>
      <c r="V50" s="818">
        <f t="shared" ca="1" si="17"/>
        <v>280331.15917535545</v>
      </c>
      <c r="W50" s="306">
        <f t="shared" si="1"/>
        <v>0</v>
      </c>
      <c r="X50" s="306">
        <f t="shared" ca="1" si="2"/>
        <v>-4173.0797926560681</v>
      </c>
      <c r="Y50" s="306">
        <v>0</v>
      </c>
      <c r="Z50" s="306">
        <v>0</v>
      </c>
      <c r="AA50" s="308">
        <f ca="1">-SUM(W50,X50/OFFSET(GridFootprintbyYear,$A50-$A$19,0)*EF_PurchElec_MTperMWh,Z50)*OFFSET(ExposureCalculations!Price_GHG_Allowance_2010,A50-$A$19,0)*ExposureCalculations!D47</f>
        <v>339066.74233589187</v>
      </c>
      <c r="AB50" s="308">
        <f t="shared" ca="1" si="3"/>
        <v>0</v>
      </c>
      <c r="AC50" s="308">
        <v>0</v>
      </c>
      <c r="AD50" s="819">
        <f t="shared" ca="1" si="4"/>
        <v>500018.50849946431</v>
      </c>
      <c r="AE50" s="308">
        <v>0</v>
      </c>
      <c r="AF50" s="819">
        <f t="shared" ca="1" si="5"/>
        <v>0</v>
      </c>
      <c r="AG50" s="308">
        <v>0</v>
      </c>
      <c r="AH50" s="308">
        <v>0</v>
      </c>
      <c r="AI50" s="308">
        <v>0</v>
      </c>
      <c r="AJ50" s="308">
        <f t="shared" ca="1" si="6"/>
        <v>500018.50849946431</v>
      </c>
      <c r="AK50" s="309">
        <v>0</v>
      </c>
      <c r="AL50" s="309">
        <v>0</v>
      </c>
      <c r="AM50" s="309">
        <f t="shared" si="18"/>
        <v>0</v>
      </c>
      <c r="AN50" s="310">
        <v>0</v>
      </c>
      <c r="AO50" s="310">
        <v>0</v>
      </c>
      <c r="AP50" s="310">
        <f t="shared" si="19"/>
        <v>0</v>
      </c>
      <c r="AQ50" s="309">
        <v>0</v>
      </c>
      <c r="AR50" s="311">
        <f t="shared" ca="1" si="7"/>
        <v>839085.25083535619</v>
      </c>
      <c r="AS50" s="870">
        <f t="shared" ca="1" si="20"/>
        <v>15351325.831037946</v>
      </c>
      <c r="AT50" s="822"/>
      <c r="AU50" s="878"/>
      <c r="AV50" s="35"/>
      <c r="AW50" s="879"/>
      <c r="AX50" s="35"/>
      <c r="AY50" s="880"/>
      <c r="BB50" s="304">
        <f t="shared" ca="1" si="21"/>
        <v>87119.464703259888</v>
      </c>
      <c r="BC50" s="304">
        <f t="shared" ca="1" si="22"/>
        <v>48399.702612922163</v>
      </c>
      <c r="BD50" s="304">
        <f t="shared" ca="1" si="23"/>
        <v>38719.762090337725</v>
      </c>
    </row>
    <row r="51" spans="1:56">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f t="shared" ca="1" si="24"/>
        <v>3.9999999999999994E-2</v>
      </c>
      <c r="G51" s="306">
        <f t="shared" ca="1" si="25"/>
        <v>-39055.226055524734</v>
      </c>
      <c r="H51" s="304">
        <f ca="1">IF($D$3="BAU",UtilityDemand!G44,INDIRECT($D$3&amp;"!H"&amp;ROW(G51))+INDIRECT($D$3&amp;"!J"&amp;ROW(G51)))</f>
        <v>283395.69373795914</v>
      </c>
      <c r="I51" s="305">
        <v>0</v>
      </c>
      <c r="J51" s="306">
        <f t="shared" ca="1" si="26"/>
        <v>0</v>
      </c>
      <c r="K51" s="307">
        <f t="shared" ca="1" si="9"/>
        <v>183243.61764372772</v>
      </c>
      <c r="L51" s="307">
        <f t="shared" si="10"/>
        <v>0</v>
      </c>
      <c r="M51" s="307">
        <v>0</v>
      </c>
      <c r="N51" s="307">
        <f t="shared" ca="1" si="11"/>
        <v>183243.61764372772</v>
      </c>
      <c r="O51" s="306">
        <f t="shared" ca="1" si="12"/>
        <v>937325.42533259373</v>
      </c>
      <c r="P51" s="306">
        <f t="shared" si="13"/>
        <v>0</v>
      </c>
      <c r="Q51" s="306">
        <v>0</v>
      </c>
      <c r="R51" s="306">
        <f t="shared" ca="1" si="14"/>
        <v>937325.42533259373</v>
      </c>
      <c r="S51" s="818">
        <f t="shared" ca="1" si="15"/>
        <v>283395.69373795914</v>
      </c>
      <c r="T51" s="818">
        <f t="shared" si="16"/>
        <v>0</v>
      </c>
      <c r="U51" s="818">
        <v>0</v>
      </c>
      <c r="V51" s="818">
        <f t="shared" ca="1" si="17"/>
        <v>283395.69373795914</v>
      </c>
      <c r="W51" s="306">
        <f t="shared" si="1"/>
        <v>0</v>
      </c>
      <c r="X51" s="306">
        <f t="shared" ca="1" si="2"/>
        <v>-4209.2349191008025</v>
      </c>
      <c r="Y51" s="306">
        <v>0</v>
      </c>
      <c r="Z51" s="306">
        <v>0</v>
      </c>
      <c r="AA51" s="308">
        <f ca="1">-SUM(W51,X51/OFFSET(GridFootprintbyYear,$A51-$A$19,0)*EF_PurchElec_MTperMWh,Z51)*OFFSET(ExposureCalculations!Price_GHG_Allowance_2010,A51-$A$19,0)*ExposureCalculations!D48</f>
        <v>355679.31076232437</v>
      </c>
      <c r="AB51" s="308">
        <f t="shared" ca="1" si="3"/>
        <v>0</v>
      </c>
      <c r="AC51" s="308">
        <v>0</v>
      </c>
      <c r="AD51" s="819">
        <f t="shared" ca="1" si="4"/>
        <v>506872.36959282338</v>
      </c>
      <c r="AE51" s="308">
        <v>0</v>
      </c>
      <c r="AF51" s="819">
        <f t="shared" ca="1" si="5"/>
        <v>0</v>
      </c>
      <c r="AG51" s="308">
        <v>0</v>
      </c>
      <c r="AH51" s="308">
        <v>0</v>
      </c>
      <c r="AI51" s="308">
        <v>0</v>
      </c>
      <c r="AJ51" s="308">
        <f t="shared" ca="1" si="6"/>
        <v>506872.36959282338</v>
      </c>
      <c r="AK51" s="309">
        <v>0</v>
      </c>
      <c r="AL51" s="309">
        <v>0</v>
      </c>
      <c r="AM51" s="309">
        <f t="shared" si="18"/>
        <v>0</v>
      </c>
      <c r="AN51" s="310">
        <v>0</v>
      </c>
      <c r="AO51" s="310">
        <v>0</v>
      </c>
      <c r="AP51" s="310">
        <f t="shared" si="19"/>
        <v>0</v>
      </c>
      <c r="AQ51" s="309">
        <v>0</v>
      </c>
      <c r="AR51" s="311">
        <f t="shared" ca="1" si="7"/>
        <v>862551.68035514769</v>
      </c>
      <c r="AS51" s="870">
        <f t="shared" ca="1" si="20"/>
        <v>16213877.511393094</v>
      </c>
      <c r="AT51" s="822"/>
      <c r="AU51" s="878"/>
      <c r="AV51" s="35"/>
      <c r="AW51" s="879"/>
      <c r="AX51" s="35"/>
      <c r="AY51" s="880"/>
      <c r="BB51" s="304">
        <f t="shared" ca="1" si="21"/>
        <v>87874.258624930662</v>
      </c>
      <c r="BC51" s="304">
        <f t="shared" ca="1" si="22"/>
        <v>48819.032569405928</v>
      </c>
      <c r="BD51" s="304">
        <f t="shared" ca="1" si="23"/>
        <v>39055.226055524734</v>
      </c>
    </row>
    <row r="52" spans="1:56">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f t="shared" ca="1" si="24"/>
        <v>3.9999999999999994E-2</v>
      </c>
      <c r="G52" s="306">
        <f t="shared" ca="1" si="25"/>
        <v>-39390.690020711751</v>
      </c>
      <c r="H52" s="304">
        <f ca="1">IF($D$3="BAU",UtilityDemand!G45,INDIRECT($D$3&amp;"!H"&amp;ROW(G52))+INDIRECT($D$3&amp;"!J"&amp;ROW(G52)))</f>
        <v>286460.22830056283</v>
      </c>
      <c r="I52" s="305">
        <v>0</v>
      </c>
      <c r="J52" s="306">
        <f t="shared" ca="1" si="26"/>
        <v>0</v>
      </c>
      <c r="K52" s="307">
        <f t="shared" ca="1" si="9"/>
        <v>184820.24324457973</v>
      </c>
      <c r="L52" s="307">
        <f t="shared" si="10"/>
        <v>0</v>
      </c>
      <c r="M52" s="307">
        <v>0</v>
      </c>
      <c r="N52" s="307">
        <f t="shared" ca="1" si="11"/>
        <v>184820.24324457973</v>
      </c>
      <c r="O52" s="306">
        <f t="shared" ca="1" si="12"/>
        <v>945376.56049708219</v>
      </c>
      <c r="P52" s="306">
        <f t="shared" si="13"/>
        <v>0</v>
      </c>
      <c r="Q52" s="306">
        <v>0</v>
      </c>
      <c r="R52" s="306">
        <f t="shared" ca="1" si="14"/>
        <v>945376.56049708219</v>
      </c>
      <c r="S52" s="818">
        <f t="shared" ca="1" si="15"/>
        <v>286460.22830056283</v>
      </c>
      <c r="T52" s="818">
        <f t="shared" si="16"/>
        <v>0</v>
      </c>
      <c r="U52" s="818">
        <v>0</v>
      </c>
      <c r="V52" s="818">
        <f t="shared" ca="1" si="17"/>
        <v>286460.22830056283</v>
      </c>
      <c r="W52" s="306">
        <f t="shared" si="1"/>
        <v>0</v>
      </c>
      <c r="X52" s="306">
        <f t="shared" ca="1" si="2"/>
        <v>-4245.3900455455369</v>
      </c>
      <c r="Y52" s="306">
        <v>0</v>
      </c>
      <c r="Z52" s="306">
        <v>0</v>
      </c>
      <c r="AA52" s="308">
        <f ca="1">-SUM(W52,X52/OFFSET(GridFootprintbyYear,$A52-$A$19,0)*EF_PurchElec_MTperMWh,Z52)*OFFSET(ExposureCalculations!Price_GHG_Allowance_2010,A52-$A$19,0)*ExposureCalculations!D49</f>
        <v>374247.50568016042</v>
      </c>
      <c r="AB52" s="308">
        <f t="shared" ca="1" si="3"/>
        <v>0</v>
      </c>
      <c r="AC52" s="308">
        <v>0</v>
      </c>
      <c r="AD52" s="819">
        <f t="shared" ca="1" si="4"/>
        <v>513782.26883440372</v>
      </c>
      <c r="AE52" s="308">
        <v>0</v>
      </c>
      <c r="AF52" s="819">
        <f t="shared" ca="1" si="5"/>
        <v>0</v>
      </c>
      <c r="AG52" s="308">
        <v>0</v>
      </c>
      <c r="AH52" s="308">
        <v>0</v>
      </c>
      <c r="AI52" s="308">
        <v>0</v>
      </c>
      <c r="AJ52" s="308">
        <f t="shared" ca="1" si="6"/>
        <v>513782.26883440372</v>
      </c>
      <c r="AK52" s="309">
        <v>0</v>
      </c>
      <c r="AL52" s="309">
        <v>0</v>
      </c>
      <c r="AM52" s="309">
        <f t="shared" si="18"/>
        <v>0</v>
      </c>
      <c r="AN52" s="310">
        <v>0</v>
      </c>
      <c r="AO52" s="310">
        <v>0</v>
      </c>
      <c r="AP52" s="310">
        <f t="shared" si="19"/>
        <v>0</v>
      </c>
      <c r="AQ52" s="309">
        <v>0</v>
      </c>
      <c r="AR52" s="311">
        <f t="shared" ca="1" si="7"/>
        <v>888029.77451456408</v>
      </c>
      <c r="AS52" s="870">
        <f t="shared" ca="1" si="20"/>
        <v>17101907.28590766</v>
      </c>
      <c r="AT52" s="822"/>
      <c r="AU52" s="878"/>
      <c r="AV52" s="35"/>
      <c r="AW52" s="879"/>
      <c r="AX52" s="35"/>
      <c r="AY52" s="880"/>
      <c r="BB52" s="304">
        <f t="shared" ca="1" si="21"/>
        <v>88629.052546601451</v>
      </c>
      <c r="BC52" s="304">
        <f t="shared" ca="1" si="22"/>
        <v>49238.362525889701</v>
      </c>
      <c r="BD52" s="304">
        <f t="shared" ca="1" si="23"/>
        <v>39390.690020711751</v>
      </c>
    </row>
    <row r="53" spans="1:56">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f t="shared" ca="1" si="24"/>
        <v>3.9999999999999994E-2</v>
      </c>
      <c r="G53" s="306">
        <f t="shared" ca="1" si="25"/>
        <v>-39726.153985898767</v>
      </c>
      <c r="H53" s="304">
        <f ca="1">IF($D$3="BAU",UtilityDemand!G46,INDIRECT($D$3&amp;"!H"&amp;ROW(G53))+INDIRECT($D$3&amp;"!J"&amp;ROW(G53)))</f>
        <v>289524.76286316651</v>
      </c>
      <c r="I53" s="305">
        <v>0</v>
      </c>
      <c r="J53" s="306">
        <f t="shared" ca="1" si="26"/>
        <v>0</v>
      </c>
      <c r="K53" s="307">
        <f t="shared" ca="1" si="9"/>
        <v>186396.86884543177</v>
      </c>
      <c r="L53" s="307">
        <f t="shared" si="10"/>
        <v>0</v>
      </c>
      <c r="M53" s="307">
        <v>0</v>
      </c>
      <c r="N53" s="307">
        <f t="shared" ca="1" si="11"/>
        <v>186396.86884543177</v>
      </c>
      <c r="O53" s="306">
        <f t="shared" ca="1" si="12"/>
        <v>953427.69566157064</v>
      </c>
      <c r="P53" s="306">
        <f t="shared" si="13"/>
        <v>0</v>
      </c>
      <c r="Q53" s="306">
        <v>0</v>
      </c>
      <c r="R53" s="306">
        <f t="shared" ca="1" si="14"/>
        <v>953427.69566157064</v>
      </c>
      <c r="S53" s="818">
        <f t="shared" ca="1" si="15"/>
        <v>289524.76286316651</v>
      </c>
      <c r="T53" s="818">
        <f t="shared" si="16"/>
        <v>0</v>
      </c>
      <c r="U53" s="818">
        <v>0</v>
      </c>
      <c r="V53" s="818">
        <f t="shared" ca="1" si="17"/>
        <v>289524.76286316651</v>
      </c>
      <c r="W53" s="306">
        <f t="shared" si="1"/>
        <v>0</v>
      </c>
      <c r="X53" s="306">
        <f t="shared" ca="1" si="2"/>
        <v>-4281.5451719902721</v>
      </c>
      <c r="Y53" s="306">
        <v>0</v>
      </c>
      <c r="Z53" s="306">
        <v>0</v>
      </c>
      <c r="AA53" s="308">
        <f ca="1">-SUM(W53,X53/OFFSET(GridFootprintbyYear,$A53-$A$19,0)*EF_PurchElec_MTperMWh,Z53)*OFFSET(ExposureCalculations!Price_GHG_Allowance_2010,A53-$A$19,0)*ExposureCalculations!D50</f>
        <v>395168.8983373465</v>
      </c>
      <c r="AB53" s="308">
        <f t="shared" ca="1" si="3"/>
        <v>0</v>
      </c>
      <c r="AC53" s="308">
        <v>0</v>
      </c>
      <c r="AD53" s="819">
        <f t="shared" ca="1" si="4"/>
        <v>520748.59525915998</v>
      </c>
      <c r="AE53" s="308">
        <v>0</v>
      </c>
      <c r="AF53" s="819">
        <f t="shared" ca="1" si="5"/>
        <v>0</v>
      </c>
      <c r="AG53" s="308">
        <v>0</v>
      </c>
      <c r="AH53" s="308">
        <v>0</v>
      </c>
      <c r="AI53" s="308">
        <v>0</v>
      </c>
      <c r="AJ53" s="308">
        <f t="shared" ca="1" si="6"/>
        <v>520748.59525915998</v>
      </c>
      <c r="AK53" s="309">
        <v>0</v>
      </c>
      <c r="AL53" s="309">
        <v>0</v>
      </c>
      <c r="AM53" s="309">
        <f t="shared" si="18"/>
        <v>0</v>
      </c>
      <c r="AN53" s="310">
        <v>0</v>
      </c>
      <c r="AO53" s="310">
        <v>0</v>
      </c>
      <c r="AP53" s="310">
        <f t="shared" si="19"/>
        <v>0</v>
      </c>
      <c r="AQ53" s="309">
        <v>0</v>
      </c>
      <c r="AR53" s="311">
        <f t="shared" ca="1" si="7"/>
        <v>915917.49359650654</v>
      </c>
      <c r="AS53" s="870">
        <f t="shared" ca="1" si="20"/>
        <v>18017824.779504165</v>
      </c>
      <c r="AT53" s="822"/>
      <c r="AU53" s="878"/>
      <c r="AV53" s="35"/>
      <c r="AW53" s="879"/>
      <c r="AX53" s="35"/>
      <c r="AY53" s="880"/>
      <c r="BB53" s="304">
        <f t="shared" ca="1" si="21"/>
        <v>89383.846468272241</v>
      </c>
      <c r="BC53" s="304">
        <f t="shared" ca="1" si="22"/>
        <v>49657.692482373473</v>
      </c>
      <c r="BD53" s="304">
        <f t="shared" ca="1" si="23"/>
        <v>39726.153985898767</v>
      </c>
    </row>
    <row r="54" spans="1:56">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f t="shared" ca="1" si="24"/>
        <v>0.04</v>
      </c>
      <c r="G54" s="306">
        <f t="shared" ca="1" si="25"/>
        <v>-40061.617951085791</v>
      </c>
      <c r="H54" s="304">
        <f ca="1">IF($D$3="BAU",UtilityDemand!G47,INDIRECT($D$3&amp;"!H"&amp;ROW(G54))+INDIRECT($D$3&amp;"!J"&amp;ROW(G54)))</f>
        <v>292589.2974257702</v>
      </c>
      <c r="I54" s="305">
        <v>0</v>
      </c>
      <c r="J54" s="306">
        <f t="shared" ca="1" si="26"/>
        <v>0</v>
      </c>
      <c r="K54" s="307">
        <f t="shared" ca="1" si="9"/>
        <v>187973.49444628376</v>
      </c>
      <c r="L54" s="307">
        <f t="shared" si="10"/>
        <v>0</v>
      </c>
      <c r="M54" s="307">
        <v>0</v>
      </c>
      <c r="N54" s="307">
        <f t="shared" ca="1" si="11"/>
        <v>187973.49444628376</v>
      </c>
      <c r="O54" s="306">
        <f t="shared" ca="1" si="12"/>
        <v>961478.83082605898</v>
      </c>
      <c r="P54" s="306">
        <f t="shared" si="13"/>
        <v>0</v>
      </c>
      <c r="Q54" s="306">
        <v>0</v>
      </c>
      <c r="R54" s="306">
        <f t="shared" ca="1" si="14"/>
        <v>961478.83082605898</v>
      </c>
      <c r="S54" s="818">
        <f t="shared" ca="1" si="15"/>
        <v>292589.2974257702</v>
      </c>
      <c r="T54" s="818">
        <f t="shared" si="16"/>
        <v>0</v>
      </c>
      <c r="U54" s="818">
        <v>0</v>
      </c>
      <c r="V54" s="818">
        <f t="shared" ca="1" si="17"/>
        <v>292589.2974257702</v>
      </c>
      <c r="W54" s="306">
        <f t="shared" si="1"/>
        <v>0</v>
      </c>
      <c r="X54" s="306">
        <f t="shared" ca="1" si="2"/>
        <v>-4317.7002984350074</v>
      </c>
      <c r="Y54" s="306">
        <v>0</v>
      </c>
      <c r="Z54" s="306">
        <v>0</v>
      </c>
      <c r="AA54" s="308">
        <f ca="1">-SUM(W54,X54/OFFSET(GridFootprintbyYear,$A54-$A$19,0)*EF_PurchElec_MTperMWh,Z54)*OFFSET(ExposureCalculations!Price_GHG_Allowance_2010,A54-$A$19,0)*ExposureCalculations!D51</f>
        <v>419007.33100381139</v>
      </c>
      <c r="AB54" s="308">
        <f t="shared" ca="1" si="3"/>
        <v>0</v>
      </c>
      <c r="AC54" s="308">
        <v>0</v>
      </c>
      <c r="AD54" s="819">
        <f t="shared" ca="1" si="4"/>
        <v>527771.74039144302</v>
      </c>
      <c r="AE54" s="308">
        <v>0</v>
      </c>
      <c r="AF54" s="819">
        <f t="shared" ca="1" si="5"/>
        <v>0</v>
      </c>
      <c r="AG54" s="308">
        <v>0</v>
      </c>
      <c r="AH54" s="308">
        <v>0</v>
      </c>
      <c r="AI54" s="308">
        <v>0</v>
      </c>
      <c r="AJ54" s="308">
        <f t="shared" ca="1" si="6"/>
        <v>527771.74039144302</v>
      </c>
      <c r="AK54" s="309">
        <v>0</v>
      </c>
      <c r="AL54" s="309">
        <v>0</v>
      </c>
      <c r="AM54" s="309">
        <f t="shared" si="18"/>
        <v>0</v>
      </c>
      <c r="AN54" s="310">
        <v>0</v>
      </c>
      <c r="AO54" s="310">
        <v>0</v>
      </c>
      <c r="AP54" s="310">
        <f t="shared" si="19"/>
        <v>0</v>
      </c>
      <c r="AQ54" s="309">
        <v>0</v>
      </c>
      <c r="AR54" s="311">
        <f t="shared" ca="1" si="7"/>
        <v>946779.07139525446</v>
      </c>
      <c r="AS54" s="870">
        <f t="shared" ca="1" si="20"/>
        <v>18964603.850899421</v>
      </c>
      <c r="AT54" s="822"/>
      <c r="AU54" s="878"/>
      <c r="AV54" s="35"/>
      <c r="AW54" s="879"/>
      <c r="AX54" s="35"/>
      <c r="AY54" s="880"/>
      <c r="BB54" s="304">
        <f t="shared" ca="1" si="21"/>
        <v>90138.64038994303</v>
      </c>
      <c r="BC54" s="304">
        <f t="shared" ca="1" si="22"/>
        <v>50077.022438857239</v>
      </c>
      <c r="BD54" s="304">
        <f t="shared" ca="1" si="23"/>
        <v>40061.617951085791</v>
      </c>
    </row>
    <row r="55" spans="1:56">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f t="shared" ca="1" si="24"/>
        <v>3.9999999999999987E-2</v>
      </c>
      <c r="G55" s="306">
        <f t="shared" ca="1" si="25"/>
        <v>-40397.081916272786</v>
      </c>
      <c r="H55" s="304">
        <f ca="1">IF($D$3="BAU",UtilityDemand!G48,INDIRECT($D$3&amp;"!H"&amp;ROW(G55))+INDIRECT($D$3&amp;"!J"&amp;ROW(G55)))</f>
        <v>295653.83198837389</v>
      </c>
      <c r="I55" s="305">
        <v>0</v>
      </c>
      <c r="J55" s="306">
        <f t="shared" ca="1" si="26"/>
        <v>0</v>
      </c>
      <c r="K55" s="307">
        <f t="shared" ca="1" si="9"/>
        <v>189550.12004713583</v>
      </c>
      <c r="L55" s="307">
        <f t="shared" si="10"/>
        <v>0</v>
      </c>
      <c r="M55" s="307">
        <v>0</v>
      </c>
      <c r="N55" s="307">
        <f t="shared" ca="1" si="11"/>
        <v>189550.12004713583</v>
      </c>
      <c r="O55" s="306">
        <f t="shared" ca="1" si="12"/>
        <v>969529.96599054721</v>
      </c>
      <c r="P55" s="306">
        <f t="shared" si="13"/>
        <v>0</v>
      </c>
      <c r="Q55" s="306">
        <v>0</v>
      </c>
      <c r="R55" s="306">
        <f t="shared" ca="1" si="14"/>
        <v>969529.96599054721</v>
      </c>
      <c r="S55" s="818">
        <f t="shared" ca="1" si="15"/>
        <v>295653.83198837389</v>
      </c>
      <c r="T55" s="818">
        <f t="shared" si="16"/>
        <v>0</v>
      </c>
      <c r="U55" s="818">
        <v>0</v>
      </c>
      <c r="V55" s="818">
        <f t="shared" ca="1" si="17"/>
        <v>295653.83198837389</v>
      </c>
      <c r="W55" s="306">
        <f t="shared" si="1"/>
        <v>0</v>
      </c>
      <c r="X55" s="306">
        <f t="shared" ca="1" si="2"/>
        <v>-4353.8554248797409</v>
      </c>
      <c r="Y55" s="306">
        <v>0</v>
      </c>
      <c r="Z55" s="306">
        <v>0</v>
      </c>
      <c r="AA55" s="308">
        <f ca="1">-SUM(W55,X55/OFFSET(GridFootprintbyYear,$A55-$A$19,0)*EF_PurchElec_MTperMWh,Z55)*OFFSET(ExposureCalculations!Price_GHG_Allowance_2010,A55-$A$19,0)*ExposureCalculations!D52</f>
        <v>444577.22634142119</v>
      </c>
      <c r="AB55" s="308">
        <f t="shared" ca="1" si="3"/>
        <v>0</v>
      </c>
      <c r="AC55" s="308">
        <v>0</v>
      </c>
      <c r="AD55" s="819">
        <f t="shared" ca="1" si="4"/>
        <v>534852.09826016694</v>
      </c>
      <c r="AE55" s="308">
        <v>0</v>
      </c>
      <c r="AF55" s="819">
        <f t="shared" ca="1" si="5"/>
        <v>0</v>
      </c>
      <c r="AG55" s="308">
        <v>0</v>
      </c>
      <c r="AH55" s="308">
        <v>0</v>
      </c>
      <c r="AI55" s="308">
        <v>0</v>
      </c>
      <c r="AJ55" s="308">
        <f t="shared" ca="1" si="6"/>
        <v>534852.09826016694</v>
      </c>
      <c r="AK55" s="309">
        <v>0</v>
      </c>
      <c r="AL55" s="309">
        <v>0</v>
      </c>
      <c r="AM55" s="309">
        <f t="shared" si="18"/>
        <v>0</v>
      </c>
      <c r="AN55" s="310">
        <v>0</v>
      </c>
      <c r="AO55" s="310">
        <v>0</v>
      </c>
      <c r="AP55" s="310">
        <f t="shared" si="19"/>
        <v>0</v>
      </c>
      <c r="AQ55" s="309">
        <v>0</v>
      </c>
      <c r="AR55" s="311">
        <f t="shared" ca="1" si="7"/>
        <v>979429.32460158807</v>
      </c>
      <c r="AS55" s="870">
        <f t="shared" ca="1" si="20"/>
        <v>19944033.175501008</v>
      </c>
      <c r="AT55" s="822"/>
      <c r="AU55" s="878"/>
      <c r="AV55" s="35"/>
      <c r="AW55" s="879"/>
      <c r="AX55" s="35"/>
      <c r="AY55" s="880"/>
      <c r="BB55" s="304">
        <f t="shared" ca="1" si="21"/>
        <v>90893.43431161379</v>
      </c>
      <c r="BC55" s="304">
        <f t="shared" ca="1" si="22"/>
        <v>50496.352395341004</v>
      </c>
      <c r="BD55" s="304">
        <f t="shared" ca="1" si="23"/>
        <v>40397.081916272786</v>
      </c>
    </row>
    <row r="56" spans="1:56">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f t="shared" ca="1" si="24"/>
        <v>3.9999999999999987E-2</v>
      </c>
      <c r="G56" s="306">
        <f t="shared" ca="1" si="25"/>
        <v>-40732.545881459795</v>
      </c>
      <c r="H56" s="304">
        <f ca="1">IF($D$3="BAU",UtilityDemand!G49,INDIRECT($D$3&amp;"!H"&amp;ROW(G56))+INDIRECT($D$3&amp;"!J"&amp;ROW(G56)))</f>
        <v>298718.36655097757</v>
      </c>
      <c r="I56" s="305">
        <v>0</v>
      </c>
      <c r="J56" s="306">
        <f t="shared" ca="1" si="26"/>
        <v>0</v>
      </c>
      <c r="K56" s="307">
        <f t="shared" ca="1" si="9"/>
        <v>191126.74564798782</v>
      </c>
      <c r="L56" s="307">
        <f t="shared" si="10"/>
        <v>0</v>
      </c>
      <c r="M56" s="307">
        <v>0</v>
      </c>
      <c r="N56" s="307">
        <f t="shared" ca="1" si="11"/>
        <v>191126.74564798782</v>
      </c>
      <c r="O56" s="306">
        <f t="shared" ca="1" si="12"/>
        <v>977581.10115503543</v>
      </c>
      <c r="P56" s="306">
        <f t="shared" si="13"/>
        <v>0</v>
      </c>
      <c r="Q56" s="306">
        <v>0</v>
      </c>
      <c r="R56" s="306">
        <f t="shared" ca="1" si="14"/>
        <v>977581.10115503543</v>
      </c>
      <c r="S56" s="818">
        <f t="shared" ca="1" si="15"/>
        <v>298718.36655097757</v>
      </c>
      <c r="T56" s="818">
        <f t="shared" si="16"/>
        <v>0</v>
      </c>
      <c r="U56" s="818">
        <v>0</v>
      </c>
      <c r="V56" s="818">
        <f t="shared" ca="1" si="17"/>
        <v>298718.36655097757</v>
      </c>
      <c r="W56" s="306">
        <f t="shared" si="1"/>
        <v>0</v>
      </c>
      <c r="X56" s="306">
        <f t="shared" ca="1" si="2"/>
        <v>-4390.0105513244744</v>
      </c>
      <c r="Y56" s="306">
        <v>0</v>
      </c>
      <c r="Z56" s="306">
        <v>0</v>
      </c>
      <c r="AA56" s="308">
        <f ca="1">-SUM(W56,X56/OFFSET(GridFootprintbyYear,$A56-$A$19,0)*EF_PurchElec_MTperMWh,Z56)*OFFSET(ExposureCalculations!Price_GHG_Allowance_2010,A56-$A$19,0)*ExposureCalculations!D53</f>
        <v>472088.33299160184</v>
      </c>
      <c r="AB56" s="308">
        <f t="shared" ca="1" si="3"/>
        <v>0</v>
      </c>
      <c r="AC56" s="308">
        <v>0</v>
      </c>
      <c r="AD56" s="819">
        <f t="shared" ca="1" si="4"/>
        <v>541990.06541406864</v>
      </c>
      <c r="AE56" s="308">
        <v>0</v>
      </c>
      <c r="AF56" s="819">
        <f t="shared" ca="1" si="5"/>
        <v>0</v>
      </c>
      <c r="AG56" s="308">
        <v>0</v>
      </c>
      <c r="AH56" s="308">
        <v>0</v>
      </c>
      <c r="AI56" s="308">
        <v>0</v>
      </c>
      <c r="AJ56" s="308">
        <f t="shared" ca="1" si="6"/>
        <v>541990.06541406864</v>
      </c>
      <c r="AK56" s="309">
        <v>0</v>
      </c>
      <c r="AL56" s="309">
        <v>0</v>
      </c>
      <c r="AM56" s="309">
        <f t="shared" si="18"/>
        <v>0</v>
      </c>
      <c r="AN56" s="310">
        <v>0</v>
      </c>
      <c r="AO56" s="310">
        <v>0</v>
      </c>
      <c r="AP56" s="310">
        <f t="shared" si="19"/>
        <v>0</v>
      </c>
      <c r="AQ56" s="309">
        <v>0</v>
      </c>
      <c r="AR56" s="311">
        <f t="shared" ca="1" si="7"/>
        <v>1014078.3984056704</v>
      </c>
      <c r="AS56" s="870">
        <f t="shared" ca="1" si="20"/>
        <v>20958111.573906679</v>
      </c>
      <c r="AT56" s="822"/>
      <c r="AU56" s="878"/>
      <c r="AV56" s="35"/>
      <c r="AW56" s="879"/>
      <c r="AX56" s="35"/>
      <c r="AY56" s="880"/>
      <c r="BB56" s="304">
        <f t="shared" ca="1" si="21"/>
        <v>91648.228233284564</v>
      </c>
      <c r="BC56" s="304">
        <f t="shared" ca="1" si="22"/>
        <v>50915.682351824769</v>
      </c>
      <c r="BD56" s="304">
        <f t="shared" ca="1" si="23"/>
        <v>40732.545881459795</v>
      </c>
    </row>
    <row r="57" spans="1:56">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f t="shared" ca="1" si="24"/>
        <v>3.9999999999999994E-2</v>
      </c>
      <c r="G57" s="306">
        <f t="shared" ca="1" si="25"/>
        <v>-41068.009846646826</v>
      </c>
      <c r="H57" s="304">
        <f ca="1">IF($D$3="BAU",UtilityDemand!G50,INDIRECT($D$3&amp;"!H"&amp;ROW(G57))+INDIRECT($D$3&amp;"!J"&amp;ROW(G57)))</f>
        <v>301782.90111358126</v>
      </c>
      <c r="I57" s="305">
        <v>0</v>
      </c>
      <c r="J57" s="306">
        <f t="shared" ca="1" si="26"/>
        <v>0</v>
      </c>
      <c r="K57" s="307">
        <f t="shared" ca="1" si="9"/>
        <v>192703.37124883989</v>
      </c>
      <c r="L57" s="307">
        <f t="shared" si="10"/>
        <v>0</v>
      </c>
      <c r="M57" s="307">
        <v>0</v>
      </c>
      <c r="N57" s="307">
        <f t="shared" ca="1" si="11"/>
        <v>192703.37124883989</v>
      </c>
      <c r="O57" s="306">
        <f t="shared" ca="1" si="12"/>
        <v>985632.236319524</v>
      </c>
      <c r="P57" s="306">
        <f t="shared" si="13"/>
        <v>0</v>
      </c>
      <c r="Q57" s="306">
        <v>0</v>
      </c>
      <c r="R57" s="306">
        <f t="shared" ca="1" si="14"/>
        <v>985632.236319524</v>
      </c>
      <c r="S57" s="818">
        <f t="shared" ca="1" si="15"/>
        <v>301782.90111358126</v>
      </c>
      <c r="T57" s="818">
        <f t="shared" si="16"/>
        <v>0</v>
      </c>
      <c r="U57" s="818">
        <v>0</v>
      </c>
      <c r="V57" s="818">
        <f t="shared" ca="1" si="17"/>
        <v>301782.90111358126</v>
      </c>
      <c r="W57" s="306">
        <f t="shared" si="1"/>
        <v>0</v>
      </c>
      <c r="X57" s="306">
        <f t="shared" ca="1" si="2"/>
        <v>-4426.1656777692115</v>
      </c>
      <c r="Y57" s="306">
        <v>0</v>
      </c>
      <c r="Z57" s="306">
        <v>0</v>
      </c>
      <c r="AA57" s="308">
        <f ca="1">-SUM(W57,X57/OFFSET(GridFootprintbyYear,$A57-$A$19,0)*EF_PurchElec_MTperMWh,Z57)*OFFSET(ExposureCalculations!Price_GHG_Allowance_2010,A57-$A$19,0)*ExposureCalculations!D54</f>
        <v>501771.01575727831</v>
      </c>
      <c r="AB57" s="308">
        <f t="shared" ca="1" si="3"/>
        <v>0</v>
      </c>
      <c r="AC57" s="308">
        <v>0</v>
      </c>
      <c r="AD57" s="819">
        <f t="shared" ca="1" si="4"/>
        <v>549186.04093705327</v>
      </c>
      <c r="AE57" s="308">
        <v>0</v>
      </c>
      <c r="AF57" s="819">
        <f t="shared" ca="1" si="5"/>
        <v>0</v>
      </c>
      <c r="AG57" s="308">
        <v>0</v>
      </c>
      <c r="AH57" s="308">
        <v>0</v>
      </c>
      <c r="AI57" s="308">
        <v>0</v>
      </c>
      <c r="AJ57" s="308">
        <f t="shared" ca="1" si="6"/>
        <v>549186.04093705327</v>
      </c>
      <c r="AK57" s="309">
        <v>0</v>
      </c>
      <c r="AL57" s="309">
        <v>0</v>
      </c>
      <c r="AM57" s="309">
        <f t="shared" si="18"/>
        <v>0</v>
      </c>
      <c r="AN57" s="310">
        <v>0</v>
      </c>
      <c r="AO57" s="310">
        <v>0</v>
      </c>
      <c r="AP57" s="310">
        <f t="shared" si="19"/>
        <v>0</v>
      </c>
      <c r="AQ57" s="309">
        <v>0</v>
      </c>
      <c r="AR57" s="311">
        <f t="shared" ca="1" si="7"/>
        <v>1050957.0566943316</v>
      </c>
      <c r="AS57" s="870">
        <f t="shared" ca="1" si="20"/>
        <v>22009068.630601011</v>
      </c>
      <c r="AT57" s="822"/>
      <c r="AU57" s="878"/>
      <c r="AV57" s="35"/>
      <c r="AW57" s="879"/>
      <c r="AX57" s="35"/>
      <c r="AY57" s="880"/>
      <c r="BB57" s="304">
        <f t="shared" ca="1" si="21"/>
        <v>92403.022154955368</v>
      </c>
      <c r="BC57" s="304">
        <f t="shared" ca="1" si="22"/>
        <v>51335.012308308542</v>
      </c>
      <c r="BD57" s="304">
        <f t="shared" ca="1" si="23"/>
        <v>41068.009846646826</v>
      </c>
    </row>
    <row r="58" spans="1:56">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f t="shared" ca="1" si="24"/>
        <v>3.9999999999999994E-2</v>
      </c>
      <c r="G58" s="306">
        <f t="shared" ca="1" si="25"/>
        <v>-41403.473811833843</v>
      </c>
      <c r="H58" s="304">
        <f ca="1">IF($D$3="BAU",UtilityDemand!G51,INDIRECT($D$3&amp;"!H"&amp;ROW(G58))+INDIRECT($D$3&amp;"!J"&amp;ROW(G58)))</f>
        <v>304847.43567618495</v>
      </c>
      <c r="I58" s="305">
        <v>0</v>
      </c>
      <c r="J58" s="306">
        <f t="shared" ca="1" si="26"/>
        <v>0</v>
      </c>
      <c r="K58" s="307">
        <f t="shared" ca="1" si="9"/>
        <v>194279.99684969187</v>
      </c>
      <c r="L58" s="307">
        <f t="shared" si="10"/>
        <v>0</v>
      </c>
      <c r="M58" s="307">
        <v>0</v>
      </c>
      <c r="N58" s="307">
        <f t="shared" ca="1" si="11"/>
        <v>194279.99684969187</v>
      </c>
      <c r="O58" s="306">
        <f t="shared" ca="1" si="12"/>
        <v>993683.37148401234</v>
      </c>
      <c r="P58" s="306">
        <f t="shared" si="13"/>
        <v>0</v>
      </c>
      <c r="Q58" s="306">
        <v>0</v>
      </c>
      <c r="R58" s="306">
        <f t="shared" ca="1" si="14"/>
        <v>993683.37148401234</v>
      </c>
      <c r="S58" s="818">
        <f t="shared" ca="1" si="15"/>
        <v>304847.43567618495</v>
      </c>
      <c r="T58" s="818">
        <f t="shared" si="16"/>
        <v>0</v>
      </c>
      <c r="U58" s="818">
        <v>0</v>
      </c>
      <c r="V58" s="818">
        <f t="shared" ca="1" si="17"/>
        <v>304847.43567618495</v>
      </c>
      <c r="W58" s="306">
        <f t="shared" si="1"/>
        <v>0</v>
      </c>
      <c r="X58" s="306">
        <f t="shared" ca="1" si="2"/>
        <v>-4462.3208042139468</v>
      </c>
      <c r="Y58" s="306">
        <v>0</v>
      </c>
      <c r="Z58" s="306">
        <v>0</v>
      </c>
      <c r="AA58" s="308">
        <f ca="1">-SUM(W58,X58/OFFSET(GridFootprintbyYear,$A58-$A$19,0)*EF_PurchElec_MTperMWh,Z58)*OFFSET(ExposureCalculations!Price_GHG_Allowance_2010,A58-$A$19,0)*ExposureCalculations!D55</f>
        <v>533875.29191673861</v>
      </c>
      <c r="AB58" s="308">
        <f t="shared" ca="1" si="3"/>
        <v>0</v>
      </c>
      <c r="AC58" s="308">
        <v>0</v>
      </c>
      <c r="AD58" s="819">
        <f t="shared" ca="1" si="4"/>
        <v>556440.42646363203</v>
      </c>
      <c r="AE58" s="308">
        <v>0</v>
      </c>
      <c r="AF58" s="819">
        <f t="shared" ca="1" si="5"/>
        <v>0</v>
      </c>
      <c r="AG58" s="308">
        <v>0</v>
      </c>
      <c r="AH58" s="308">
        <v>0</v>
      </c>
      <c r="AI58" s="308">
        <v>0</v>
      </c>
      <c r="AJ58" s="308">
        <f t="shared" ca="1" si="6"/>
        <v>556440.42646363203</v>
      </c>
      <c r="AK58" s="309">
        <v>0</v>
      </c>
      <c r="AL58" s="309">
        <v>0</v>
      </c>
      <c r="AM58" s="309">
        <f t="shared" si="18"/>
        <v>0</v>
      </c>
      <c r="AN58" s="310">
        <v>0</v>
      </c>
      <c r="AO58" s="310">
        <v>0</v>
      </c>
      <c r="AP58" s="310">
        <f t="shared" si="19"/>
        <v>0</v>
      </c>
      <c r="AQ58" s="309">
        <v>0</v>
      </c>
      <c r="AR58" s="311">
        <f t="shared" ca="1" si="7"/>
        <v>1090315.7183803706</v>
      </c>
      <c r="AS58" s="870">
        <f t="shared" ca="1" si="20"/>
        <v>23099384.34898138</v>
      </c>
      <c r="AT58" s="822"/>
      <c r="AU58" s="878"/>
      <c r="AV58" s="35"/>
      <c r="AW58" s="879"/>
      <c r="AX58" s="35"/>
      <c r="AY58" s="880"/>
      <c r="BB58" s="304">
        <f t="shared" ca="1" si="21"/>
        <v>93157.816076626157</v>
      </c>
      <c r="BC58" s="304">
        <f t="shared" ca="1" si="22"/>
        <v>51754.342264792314</v>
      </c>
      <c r="BD58" s="304">
        <f t="shared" ca="1" si="23"/>
        <v>41403.473811833843</v>
      </c>
    </row>
    <row r="59" spans="1:56">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f t="shared" ca="1" si="24"/>
        <v>3.9999999999999994E-2</v>
      </c>
      <c r="G59" s="306">
        <f t="shared" ca="1" si="25"/>
        <v>-41738.937777020859</v>
      </c>
      <c r="H59" s="304">
        <f ca="1">IF($D$3="BAU",UtilityDemand!G52,INDIRECT($D$3&amp;"!H"&amp;ROW(G59))+INDIRECT($D$3&amp;"!J"&amp;ROW(G59)))</f>
        <v>307911.97023878864</v>
      </c>
      <c r="I59" s="305">
        <v>0</v>
      </c>
      <c r="J59" s="306">
        <f t="shared" ca="1" si="26"/>
        <v>0</v>
      </c>
      <c r="K59" s="307">
        <f t="shared" ca="1" si="9"/>
        <v>195856.62245054395</v>
      </c>
      <c r="L59" s="307">
        <f t="shared" si="10"/>
        <v>0</v>
      </c>
      <c r="M59" s="307">
        <v>0</v>
      </c>
      <c r="N59" s="307">
        <f t="shared" ca="1" si="11"/>
        <v>195856.62245054395</v>
      </c>
      <c r="O59" s="306">
        <f t="shared" ca="1" si="12"/>
        <v>1001734.5066485008</v>
      </c>
      <c r="P59" s="306">
        <f t="shared" si="13"/>
        <v>0</v>
      </c>
      <c r="Q59" s="306">
        <v>0</v>
      </c>
      <c r="R59" s="306">
        <f t="shared" ca="1" si="14"/>
        <v>1001734.5066485008</v>
      </c>
      <c r="S59" s="818">
        <f t="shared" ca="1" si="15"/>
        <v>307911.97023878864</v>
      </c>
      <c r="T59" s="818">
        <f t="shared" si="16"/>
        <v>0</v>
      </c>
      <c r="U59" s="818">
        <v>0</v>
      </c>
      <c r="V59" s="818">
        <f t="shared" ca="1" si="17"/>
        <v>307911.97023878864</v>
      </c>
      <c r="W59" s="306">
        <f t="shared" si="1"/>
        <v>0</v>
      </c>
      <c r="X59" s="306">
        <f t="shared" ca="1" si="2"/>
        <v>-4498.4759306586811</v>
      </c>
      <c r="Y59" s="306">
        <v>0</v>
      </c>
      <c r="Z59" s="306">
        <v>0</v>
      </c>
      <c r="AA59" s="308">
        <f ca="1">-SUM(W59,X59/OFFSET(GridFootprintbyYear,$A59-$A$19,0)*EF_PurchElec_MTperMWh,Z59)*OFFSET(ExposureCalculations!Price_GHG_Allowance_2010,A59-$A$19,0)*ExposureCalculations!D56</f>
        <v>568669.8140817408</v>
      </c>
      <c r="AB59" s="308">
        <f t="shared" ca="1" si="3"/>
        <v>0</v>
      </c>
      <c r="AC59" s="308">
        <v>0</v>
      </c>
      <c r="AD59" s="819">
        <f t="shared" ca="1" si="4"/>
        <v>563753.62619445322</v>
      </c>
      <c r="AE59" s="308">
        <v>0</v>
      </c>
      <c r="AF59" s="819">
        <f t="shared" ca="1" si="5"/>
        <v>0</v>
      </c>
      <c r="AG59" s="308">
        <v>0</v>
      </c>
      <c r="AH59" s="308">
        <v>0</v>
      </c>
      <c r="AI59" s="308">
        <v>0</v>
      </c>
      <c r="AJ59" s="308">
        <f t="shared" ca="1" si="6"/>
        <v>563753.62619445322</v>
      </c>
      <c r="AK59" s="309">
        <v>0</v>
      </c>
      <c r="AL59" s="309">
        <v>0</v>
      </c>
      <c r="AM59" s="309">
        <f t="shared" si="18"/>
        <v>0</v>
      </c>
      <c r="AN59" s="310">
        <v>0</v>
      </c>
      <c r="AO59" s="310">
        <v>0</v>
      </c>
      <c r="AP59" s="310">
        <f t="shared" si="19"/>
        <v>0</v>
      </c>
      <c r="AQ59" s="309">
        <v>0</v>
      </c>
      <c r="AR59" s="311">
        <f t="shared" ca="1" si="7"/>
        <v>1132423.4402761939</v>
      </c>
      <c r="AS59" s="870">
        <f t="shared" ca="1" si="20"/>
        <v>24231807.789257575</v>
      </c>
      <c r="AT59" s="823"/>
      <c r="AU59" s="881"/>
      <c r="AV59" s="882"/>
      <c r="AW59" s="883"/>
      <c r="AX59" s="882"/>
      <c r="AY59" s="884"/>
      <c r="BB59" s="304">
        <f t="shared" ca="1" si="21"/>
        <v>93912.609998296946</v>
      </c>
      <c r="BC59" s="304">
        <f t="shared" ca="1" si="22"/>
        <v>52173.672221276087</v>
      </c>
      <c r="BD59" s="304">
        <f t="shared" ca="1" si="23"/>
        <v>41738.937777020859</v>
      </c>
    </row>
    <row r="60" spans="1:56">
      <c r="AJ60" s="264"/>
    </row>
    <row r="61" spans="1:56">
      <c r="AJ61" s="264"/>
    </row>
    <row r="62" spans="1:56">
      <c r="AJ62" s="264"/>
    </row>
    <row r="63" spans="1:56">
      <c r="AJ63" s="264"/>
    </row>
    <row r="64" spans="1:56">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sheetPr codeName="Sheet47">
    <tabColor rgb="FFA9DA74"/>
  </sheetPr>
  <dimension ref="A1:BH84"/>
  <sheetViews>
    <sheetView workbookViewId="0">
      <pane xSplit="1" topLeftCell="B1" activePane="topRight" state="frozen"/>
      <selection activeCell="K14" sqref="K14"/>
      <selection pane="topRight" activeCell="O3" sqref="O3:O7"/>
    </sheetView>
  </sheetViews>
  <sheetFormatPr defaultRowHeight="15"/>
  <cols>
    <col min="11" max="11" width="12" customWidth="1"/>
    <col min="12" max="12" width="12.85546875" customWidth="1"/>
    <col min="13" max="13" width="12.42578125" customWidth="1"/>
    <col min="15" max="15" width="10" bestFit="1" customWidth="1"/>
    <col min="28" max="28" width="9.28515625" bestFit="1" customWidth="1"/>
    <col min="35" max="36" width="13" customWidth="1"/>
    <col min="38" max="38" width="11.5703125" bestFit="1" customWidth="1"/>
    <col min="39" max="39" width="12" customWidth="1"/>
    <col min="40" max="40" width="12.42578125" customWidth="1"/>
    <col min="44" max="44" width="13.28515625" customWidth="1"/>
    <col min="45" max="45" width="12" customWidth="1"/>
    <col min="46" max="46" width="1.7109375" customWidth="1"/>
    <col min="47" max="47" width="9.7109375" customWidth="1"/>
    <col min="51" max="51" width="10.5703125" customWidth="1"/>
    <col min="55" max="55" width="18.140625" bestFit="1" customWidth="1"/>
    <col min="56" max="56" width="11.5703125" bestFit="1" customWidth="1"/>
    <col min="57" max="57" width="20" bestFit="1" customWidth="1"/>
    <col min="58" max="58" width="13.7109375" customWidth="1"/>
    <col min="59" max="59" width="10.5703125" customWidth="1"/>
    <col min="60" max="60" width="10.140625" bestFit="1" customWidth="1"/>
  </cols>
  <sheetData>
    <row r="1" spans="1:50" ht="60">
      <c r="C1" s="257" t="s">
        <v>226</v>
      </c>
      <c r="D1" s="258" t="s">
        <v>804</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2010</v>
      </c>
      <c r="E2" s="266"/>
      <c r="J2" s="267" t="s">
        <v>231</v>
      </c>
      <c r="K2" s="268">
        <f ca="1">NPV(DiscountRate,AA19:AA59)</f>
        <v>1097146.5314629725</v>
      </c>
      <c r="L2" s="269">
        <f ca="1">-SUM(OFFSET(W19,0,0,M2-2010+1,4))</f>
        <v>90574.56553820199</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4104846.433104442</v>
      </c>
      <c r="L3" s="277" t="s">
        <v>235</v>
      </c>
      <c r="M3" s="278">
        <f ca="1">-SUM(OFFSET(W19,M2-2010,0,1,4))</f>
        <v>2370.5244355181135</v>
      </c>
      <c r="N3" s="272"/>
      <c r="O3" s="1496">
        <f ca="1">AVERAGE(OFFSET(AJ19,0,0,$M$2-2010+1,1))</f>
        <v>294586.91530670295</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2209.1357448341951</v>
      </c>
      <c r="M4" s="281">
        <f ca="1">-SUM(OFFSET(W19,M2-2010,0,1,4))/SUM(OFFSET(ExposureCalculations!G16,M2-2010,0,1,3))</f>
        <v>2.1681667693165584E-3</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683</v>
      </c>
      <c r="E5" s="273"/>
      <c r="F5" s="272"/>
      <c r="G5" s="272"/>
      <c r="H5" s="272"/>
      <c r="I5" s="273"/>
      <c r="J5" s="275" t="s">
        <v>238</v>
      </c>
      <c r="K5" s="276">
        <f>NPV(DiscountRate,AL19:AL59)</f>
        <v>-5165376.0048345923</v>
      </c>
      <c r="L5" s="277"/>
      <c r="M5" s="272"/>
      <c r="N5" s="272"/>
      <c r="O5" s="1496">
        <f ca="1">AVERAGE(OFFSET(AL19,0,0,$M$2-2010+1,1))</f>
        <v>-154878.04878048779</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36616.959732821393</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f ca="1">IFERROR((K8-K5)/-K5,"No Capital")</f>
        <v>1.0070889243490793</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f ca="1">IFERROR(IF(K8&lt;0,"",IRR(AR19:AR59)),"")</f>
        <v>5.6697807800137362E-2</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20.79891125388605</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-1060529.5717301511</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33.389665773120427</v>
      </c>
      <c r="L13" s="824"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34.542512501488524</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60"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B17" s="927" t="s">
        <v>824</v>
      </c>
      <c r="BC17" s="927" t="s">
        <v>826</v>
      </c>
      <c r="BD17" s="927" t="s">
        <v>735</v>
      </c>
      <c r="BE17" s="927" t="s">
        <v>827</v>
      </c>
      <c r="BF17" s="927" t="s">
        <v>825</v>
      </c>
      <c r="BG17" s="927" t="s">
        <v>867</v>
      </c>
      <c r="BH17" s="927" t="s">
        <v>868</v>
      </c>
    </row>
    <row r="18" spans="1:60">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B18" s="928"/>
      <c r="BC18" s="928"/>
      <c r="BD18" s="928"/>
      <c r="BE18" s="928"/>
      <c r="BF18" s="928"/>
      <c r="BG18" s="928"/>
      <c r="BH18" s="928"/>
    </row>
    <row r="19" spans="1:60">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ca="1">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ca="1">-SUM(D19,L19)*OFFSET(Price_PE_MWh,A19-$A$19+3,0)</f>
        <v>0</v>
      </c>
      <c r="AC19" s="308">
        <v>0</v>
      </c>
      <c r="AD19" s="819">
        <f t="shared" ref="AD19:AD59" ca="1" si="2">-SUM(G19,P19)*OFFSET(Price_PS_mmbtu,A19-$A$19+3,0)</f>
        <v>0</v>
      </c>
      <c r="AE19" s="308">
        <v>0</v>
      </c>
      <c r="AF19" s="819">
        <f t="shared" ref="AF19:AF59" ca="1" si="3">-SUM(J19,T19)*OFFSET(Price_PCW_mmbtu,A19-$A$19+3,0)</f>
        <v>0</v>
      </c>
      <c r="AG19" s="308">
        <v>0</v>
      </c>
      <c r="AH19" s="308">
        <v>0</v>
      </c>
      <c r="AI19" s="308">
        <v>0</v>
      </c>
      <c r="AJ19" s="308">
        <f t="shared" ref="AJ19:AJ59" ca="1" si="4">SUM(AB19:AI19)</f>
        <v>0</v>
      </c>
      <c r="AK19" s="309">
        <v>0</v>
      </c>
      <c r="AL19" s="309">
        <v>0</v>
      </c>
      <c r="AM19" s="309">
        <f>SUM(AK19:AL19)</f>
        <v>0</v>
      </c>
      <c r="AN19" s="310">
        <v>0</v>
      </c>
      <c r="AO19" s="310">
        <v>0</v>
      </c>
      <c r="AP19" s="310">
        <f>SUM(AN19:AO19)</f>
        <v>0</v>
      </c>
      <c r="AQ19" s="309">
        <v>0</v>
      </c>
      <c r="AR19" s="311">
        <f t="shared" ref="AR19:AR59" ca="1" si="5">SUM(AA19,AJ19,AM19,AP19,AQ19)</f>
        <v>0</v>
      </c>
      <c r="AS19" s="870">
        <f ca="1">AR19</f>
        <v>0</v>
      </c>
      <c r="AT19" s="822"/>
      <c r="AU19" s="935" t="s">
        <v>870</v>
      </c>
      <c r="AV19" s="879" t="s">
        <v>776</v>
      </c>
      <c r="AW19" s="879"/>
      <c r="AX19" s="35"/>
      <c r="AY19" s="880"/>
      <c r="BB19" s="928">
        <v>2012</v>
      </c>
      <c r="BC19" s="928" t="s">
        <v>805</v>
      </c>
      <c r="BD19" s="928">
        <v>320</v>
      </c>
      <c r="BE19" s="928" t="s">
        <v>813</v>
      </c>
      <c r="BF19" s="929">
        <f>BD19*2*$AU$27</f>
        <v>1600000</v>
      </c>
      <c r="BG19" s="930">
        <f>$AU$29</f>
        <v>0.75</v>
      </c>
      <c r="BH19" s="931">
        <f>(BD19*2)*8760*BG19</f>
        <v>4204800</v>
      </c>
    </row>
    <row r="20" spans="1:60">
      <c r="A20" s="303">
        <v>2011</v>
      </c>
      <c r="B20" s="304">
        <f ca="1">IF($D$3="BAU",UtilityDemand!C13,INDIRECT($D$3&amp;"!B"&amp;ROW(A20))+INDIRECT($D$3&amp;"!D"&amp;ROW(A20)))</f>
        <v>130129.26073503707</v>
      </c>
      <c r="C20" s="305">
        <v>0</v>
      </c>
      <c r="D20" s="306">
        <f t="shared" ref="D20:D59" ca="1" si="6">-B20*C20</f>
        <v>0</v>
      </c>
      <c r="E20" s="304">
        <f ca="1">IF($D$3="BAU",UtilityDemand!E13,INDIRECT($D$3&amp;"!E"&amp;ROW(D20))+INDIRECT($D$3&amp;"!G"&amp;ROW(D20)))</f>
        <v>693847.61425935081</v>
      </c>
      <c r="F20" s="305">
        <v>0</v>
      </c>
      <c r="G20" s="306">
        <f t="shared" ref="G20:G59" ca="1" si="7">-E20*F20</f>
        <v>0</v>
      </c>
      <c r="H20" s="304">
        <f ca="1">IF($D$3="BAU",UtilityDemand!G13,INDIRECT($D$3&amp;"!H"&amp;ROW(G20))+INDIRECT($D$3&amp;"!J"&amp;ROW(G20)))</f>
        <v>182506.92912520736</v>
      </c>
      <c r="I20" s="305">
        <v>0</v>
      </c>
      <c r="J20" s="306">
        <f ca="1">-H20*I20</f>
        <v>0</v>
      </c>
      <c r="K20" s="307">
        <f t="shared" ref="K20:K59" ca="1" si="8">IF($D$3="BAU",B20+D20,INDIRECT($D$3&amp;"!B"&amp;ROW(A20))+INDIRECT($D$3&amp;"!D"&amp;ROW(A20))+INDIRECT($D$3&amp;"!L"&amp;ROW(A20))+D20)</f>
        <v>130129.26073503707</v>
      </c>
      <c r="L20" s="307">
        <f>-M20</f>
        <v>0</v>
      </c>
      <c r="M20" s="307">
        <v>0</v>
      </c>
      <c r="N20" s="307">
        <f ca="1">K20+L20</f>
        <v>130129.26073503707</v>
      </c>
      <c r="O20" s="306">
        <f t="shared" ref="O20:O59" ca="1" si="9">IF($D$3="BAU",E20+G20,INDIRECT($D$3&amp;"!E"&amp;ROW(A20))+INDIRECT($D$3&amp;"!G"&amp;ROW(A20))+INDIRECT($D$3&amp;"!P"&amp;ROW(A20))+G20)</f>
        <v>693847.61425935081</v>
      </c>
      <c r="P20" s="306">
        <f t="shared" ref="P20:P59" si="10">-Q20</f>
        <v>0</v>
      </c>
      <c r="Q20" s="306">
        <v>0</v>
      </c>
      <c r="R20" s="306">
        <f t="shared" ref="R20:R59" ca="1" si="11">O20+P20</f>
        <v>693847.61425935081</v>
      </c>
      <c r="S20" s="818">
        <f t="shared" ref="S20:S59" ca="1" si="12">IF($D$3="BAU",H20+J20,INDIRECT($D$3&amp;"!H"&amp;ROW(A20))+INDIRECT($D$3&amp;"!J"&amp;ROW(A20))+INDIRECT($D$3&amp;"!T"&amp;ROW(A20))+J20)</f>
        <v>182506.92912520736</v>
      </c>
      <c r="T20" s="818">
        <f t="shared" ref="T20:T59" si="13">-U20</f>
        <v>0</v>
      </c>
      <c r="U20" s="818">
        <v>0</v>
      </c>
      <c r="V20" s="818">
        <f t="shared" ref="V20:V59" ca="1" si="14">S20+T20</f>
        <v>182506.92912520736</v>
      </c>
      <c r="W20" s="306">
        <f t="shared" si="1"/>
        <v>0</v>
      </c>
      <c r="X20" s="306">
        <f ca="1">SUM(D20,L20)*OFFSET(GridFootprintbyYear,$A20-$A$19,0)+SUM(G20,P20)*Emissions_factor_PurchSteam+SUM(J20,T20)*Emissions_factor_PurchCooling</f>
        <v>0</v>
      </c>
      <c r="Y20" s="306">
        <v>0</v>
      </c>
      <c r="Z20" s="306">
        <v>0</v>
      </c>
      <c r="AA20" s="308">
        <f ca="1">-SUM(W20,X20/OFFSET(GridFootprintbyYear,$A20-$A$19,0)*EF_PurchElec_MTperMWh,Z20)*OFFSET(ExposureCalculations!Price_GHG_Allowance_2010,A20-$A$19,0)*ExposureCalculations!D17</f>
        <v>0</v>
      </c>
      <c r="AB20" s="308">
        <f ca="1">-SUM(D20,L20)*OFFSET(Price_PE_MWh,A20-$A$19+3,0)</f>
        <v>0</v>
      </c>
      <c r="AC20" s="308">
        <v>0</v>
      </c>
      <c r="AD20" s="819">
        <f t="shared" ca="1" si="2"/>
        <v>0</v>
      </c>
      <c r="AE20" s="308">
        <v>0</v>
      </c>
      <c r="AF20" s="819">
        <f t="shared" ca="1" si="3"/>
        <v>0</v>
      </c>
      <c r="AG20" s="308">
        <v>0</v>
      </c>
      <c r="AH20" s="308">
        <v>0</v>
      </c>
      <c r="AI20" s="308">
        <v>0</v>
      </c>
      <c r="AJ20" s="308">
        <f t="shared" ca="1" si="4"/>
        <v>0</v>
      </c>
      <c r="AK20" s="309">
        <v>0</v>
      </c>
      <c r="AL20" s="309">
        <v>0</v>
      </c>
      <c r="AM20" s="309">
        <f t="shared" ref="AM20:AM59" si="15">SUM(AK20:AL20)</f>
        <v>0</v>
      </c>
      <c r="AN20" s="310">
        <v>0</v>
      </c>
      <c r="AO20" s="310">
        <v>0</v>
      </c>
      <c r="AP20" s="310">
        <f t="shared" ref="AP20:AP59" si="16">SUM(AN20:AO20)</f>
        <v>0</v>
      </c>
      <c r="AQ20" s="309">
        <v>0</v>
      </c>
      <c r="AR20" s="311">
        <f t="shared" ca="1" si="5"/>
        <v>0</v>
      </c>
      <c r="AS20" s="870">
        <f t="shared" ref="AS20:AS59" ca="1" si="17">AR20+AS19</f>
        <v>0</v>
      </c>
      <c r="AT20" s="822"/>
      <c r="AU20" s="878"/>
      <c r="AV20" s="35"/>
      <c r="AW20" s="879"/>
      <c r="AX20" s="35"/>
      <c r="AY20" s="880"/>
      <c r="BB20" s="928">
        <v>2012</v>
      </c>
      <c r="BC20" s="928" t="s">
        <v>806</v>
      </c>
      <c r="BD20" s="928">
        <v>140</v>
      </c>
      <c r="BE20" s="928" t="s">
        <v>814</v>
      </c>
      <c r="BF20" s="929">
        <f>BD20*$AU$27</f>
        <v>350000</v>
      </c>
      <c r="BG20" s="930">
        <f t="shared" ref="BG20:BG26" si="18">$AU$29</f>
        <v>0.75</v>
      </c>
      <c r="BH20" s="931">
        <f t="shared" ref="BH20:BH26" si="19">BD20*8760*BG20</f>
        <v>919800</v>
      </c>
    </row>
    <row r="21" spans="1:60">
      <c r="A21" s="303">
        <v>2012</v>
      </c>
      <c r="B21" s="304">
        <f ca="1">IF($D$3="BAU",UtilityDemand!C14,INDIRECT($D$3&amp;"!B"&amp;ROW(A21))+INDIRECT($D$3&amp;"!D"&amp;ROW(A21)))</f>
        <v>133825.36797702796</v>
      </c>
      <c r="C21" s="305">
        <v>0</v>
      </c>
      <c r="D21" s="306">
        <f t="shared" ca="1" si="6"/>
        <v>0</v>
      </c>
      <c r="E21" s="304">
        <f ca="1">IF($D$3="BAU",UtilityDemand!E14,INDIRECT($D$3&amp;"!E"&amp;ROW(D21))+INDIRECT($D$3&amp;"!G"&amp;ROW(D21)))</f>
        <v>713508.44544344163</v>
      </c>
      <c r="F21" s="305">
        <v>0</v>
      </c>
      <c r="G21" s="306">
        <f t="shared" ca="1" si="7"/>
        <v>0</v>
      </c>
      <c r="H21" s="304">
        <f ca="1">IF($D$3="BAU",UtilityDemand!G14,INDIRECT($D$3&amp;"!H"&amp;ROW(G21))+INDIRECT($D$3&amp;"!J"&amp;ROW(G21)))</f>
        <v>188515.56027382973</v>
      </c>
      <c r="I21" s="305">
        <v>0</v>
      </c>
      <c r="J21" s="306">
        <f t="shared" ref="J21:J59" ca="1" si="20">-H21*I21</f>
        <v>0</v>
      </c>
      <c r="K21" s="307">
        <f t="shared" ca="1" si="8"/>
        <v>133825.36797702796</v>
      </c>
      <c r="L21" s="307">
        <f>-VLOOKUP(A21,$BB$32:$BE$40,4,TRUE)*$AU$23/1000</f>
        <v>-6438.6</v>
      </c>
      <c r="M21" s="307">
        <f>VLOOKUP(A21,$BB$32:$BE$40,4,TRUE)*$AU$25/1000</f>
        <v>5150.88</v>
      </c>
      <c r="N21" s="307">
        <f ca="1">K21+L21+M21</f>
        <v>132537.64797702795</v>
      </c>
      <c r="O21" s="306">
        <f t="shared" ca="1" si="9"/>
        <v>713508.44544344163</v>
      </c>
      <c r="P21" s="306">
        <f t="shared" si="10"/>
        <v>0</v>
      </c>
      <c r="Q21" s="306">
        <v>0</v>
      </c>
      <c r="R21" s="306">
        <f t="shared" ca="1" si="11"/>
        <v>713508.44544344163</v>
      </c>
      <c r="S21" s="818">
        <f t="shared" ca="1" si="12"/>
        <v>188515.56027382973</v>
      </c>
      <c r="T21" s="818">
        <f t="shared" si="13"/>
        <v>0</v>
      </c>
      <c r="U21" s="818">
        <v>0</v>
      </c>
      <c r="V21" s="818">
        <f t="shared" ca="1" si="14"/>
        <v>188515.56027382973</v>
      </c>
      <c r="W21" s="306">
        <f t="shared" si="1"/>
        <v>0</v>
      </c>
      <c r="X21" s="306">
        <f t="shared" ref="X21:X59" ca="1" si="21">SUM(D21,L21,M21)*OFFSET(GridFootprintbyYear,$A21-$A$19,0)+SUM(G21,P21)*Emissions_factor_PurchSteam+SUM(J21,T21)*Emissions_factor_PurchCooling</f>
        <v>-914.61179008179215</v>
      </c>
      <c r="Y21" s="306">
        <v>0</v>
      </c>
      <c r="Z21" s="306">
        <v>0</v>
      </c>
      <c r="AA21" s="308">
        <f ca="1">-SUM(W21,X21/OFFSET(GridFootprintbyYear,$A21-$A$19,0)*EF_PurchElec_MTperMWh,Z21)*OFFSET(ExposureCalculations!Price_GHG_Allowance_2010,A21-$A$19,0)*ExposureCalculations!D18</f>
        <v>0</v>
      </c>
      <c r="AB21" s="308">
        <f t="shared" ref="AB21:AB59" ca="1" si="22">-SUM(D21,L21,M21)*OFFSET(Price_PE_MWh,A21-$A$19+3,0)</f>
        <v>110553.49840499999</v>
      </c>
      <c r="AC21" s="308">
        <v>0</v>
      </c>
      <c r="AD21" s="819">
        <f t="shared" ca="1" si="2"/>
        <v>0</v>
      </c>
      <c r="AE21" s="308">
        <v>0</v>
      </c>
      <c r="AF21" s="819">
        <f t="shared" ca="1" si="3"/>
        <v>0</v>
      </c>
      <c r="AG21" s="308">
        <v>0</v>
      </c>
      <c r="AH21" s="308">
        <v>0</v>
      </c>
      <c r="AI21" s="308">
        <v>0</v>
      </c>
      <c r="AJ21" s="308">
        <f ca="1">SUM(AB21:AI21)</f>
        <v>110553.49840499999</v>
      </c>
      <c r="AK21" s="309">
        <v>0</v>
      </c>
      <c r="AL21" s="309">
        <f>-VLOOKUP(A21,$BB$32:$BE$40,2,FALSE)</f>
        <v>-2450000</v>
      </c>
      <c r="AM21" s="309">
        <f t="shared" si="15"/>
        <v>-2450000</v>
      </c>
      <c r="AN21" s="310">
        <v>0</v>
      </c>
      <c r="AO21" s="310">
        <v>0</v>
      </c>
      <c r="AP21" s="310">
        <f t="shared" si="16"/>
        <v>0</v>
      </c>
      <c r="AQ21" s="309">
        <v>0</v>
      </c>
      <c r="AR21" s="311">
        <f t="shared" ca="1" si="5"/>
        <v>-2339446.5015949998</v>
      </c>
      <c r="AS21" s="870">
        <f t="shared" ca="1" si="17"/>
        <v>-2339446.5015949998</v>
      </c>
      <c r="AT21" s="822"/>
      <c r="AU21" s="900">
        <v>20</v>
      </c>
      <c r="AV21" s="35" t="s">
        <v>782</v>
      </c>
      <c r="AW21" s="879"/>
      <c r="AX21" s="35"/>
      <c r="AY21" s="880"/>
      <c r="BB21" s="928">
        <v>2012</v>
      </c>
      <c r="BC21" s="928" t="s">
        <v>807</v>
      </c>
      <c r="BD21" s="928">
        <v>200</v>
      </c>
      <c r="BE21" s="928" t="s">
        <v>815</v>
      </c>
      <c r="BF21" s="929">
        <f t="shared" ref="BF21:BF26" si="23">BD21*$AU$27</f>
        <v>500000</v>
      </c>
      <c r="BG21" s="930">
        <f t="shared" si="18"/>
        <v>0.75</v>
      </c>
      <c r="BH21" s="931">
        <f t="shared" si="19"/>
        <v>1314000</v>
      </c>
    </row>
    <row r="22" spans="1:60">
      <c r="A22" s="303">
        <v>2013</v>
      </c>
      <c r="B22" s="304">
        <f ca="1">IF($D$3="BAU",UtilityDemand!C15,INDIRECT($D$3&amp;"!B"&amp;ROW(A22))+INDIRECT($D$3&amp;"!D"&amp;ROW(A22)))</f>
        <v>135980.03402546333</v>
      </c>
      <c r="C22" s="305">
        <v>0</v>
      </c>
      <c r="D22" s="306">
        <f t="shared" ca="1" si="6"/>
        <v>0</v>
      </c>
      <c r="E22" s="304">
        <f ca="1">IF($D$3="BAU",UtilityDemand!E15,INDIRECT($D$3&amp;"!E"&amp;ROW(D22))+INDIRECT($D$3&amp;"!G"&amp;ROW(D22)))</f>
        <v>724969.83513341204</v>
      </c>
      <c r="F22" s="305">
        <v>0</v>
      </c>
      <c r="G22" s="306">
        <f t="shared" ca="1" si="7"/>
        <v>0</v>
      </c>
      <c r="H22" s="304">
        <f ca="1">IF($D$3="BAU",UtilityDemand!G15,INDIRECT($D$3&amp;"!H"&amp;ROW(G22))+INDIRECT($D$3&amp;"!J"&amp;ROW(G22)))</f>
        <v>192383.03026898397</v>
      </c>
      <c r="I22" s="305">
        <v>0</v>
      </c>
      <c r="J22" s="306">
        <f t="shared" ca="1" si="20"/>
        <v>0</v>
      </c>
      <c r="K22" s="307">
        <f t="shared" ca="1" si="8"/>
        <v>135980.03402546333</v>
      </c>
      <c r="L22" s="307">
        <f t="shared" ref="L22:L59" si="24">-VLOOKUP(A22,$BB$32:$BE$40,4,TRUE)*$AU$23/1000</f>
        <v>-13731.3</v>
      </c>
      <c r="M22" s="307">
        <f t="shared" ref="M22:M59" si="25">VLOOKUP(A22,$BB$32:$BE$40,4,TRUE)*$AU$25/1000</f>
        <v>10985.04</v>
      </c>
      <c r="N22" s="307">
        <f t="shared" ref="N22:N59" ca="1" si="26">K22+L22+M22</f>
        <v>133233.77402546332</v>
      </c>
      <c r="O22" s="306">
        <f t="shared" ca="1" si="9"/>
        <v>724969.83513341204</v>
      </c>
      <c r="P22" s="306">
        <f t="shared" si="10"/>
        <v>0</v>
      </c>
      <c r="Q22" s="306">
        <v>0</v>
      </c>
      <c r="R22" s="306">
        <f t="shared" ca="1" si="11"/>
        <v>724969.83513341204</v>
      </c>
      <c r="S22" s="818">
        <f t="shared" ca="1" si="12"/>
        <v>192383.03026898397</v>
      </c>
      <c r="T22" s="818">
        <f t="shared" si="13"/>
        <v>0</v>
      </c>
      <c r="U22" s="818">
        <v>0</v>
      </c>
      <c r="V22" s="818">
        <f t="shared" ca="1" si="14"/>
        <v>192383.03026898397</v>
      </c>
      <c r="W22" s="306">
        <f t="shared" si="1"/>
        <v>0</v>
      </c>
      <c r="X22" s="306">
        <f t="shared" ca="1" si="21"/>
        <v>-1950.549633949943</v>
      </c>
      <c r="Y22" s="306">
        <v>0</v>
      </c>
      <c r="Z22" s="306">
        <v>0</v>
      </c>
      <c r="AA22" s="308">
        <f ca="1">-SUM(W22,X22/OFFSET(GridFootprintbyYear,$A22-$A$19,0)*EF_PurchElec_MTperMWh,Z22)*OFFSET(ExposureCalculations!Price_GHG_Allowance_2010,A22-$A$19,0)*ExposureCalculations!D19</f>
        <v>0</v>
      </c>
      <c r="AB22" s="308">
        <f t="shared" ca="1" si="22"/>
        <v>236951.11808651229</v>
      </c>
      <c r="AC22" s="308">
        <v>0</v>
      </c>
      <c r="AD22" s="819">
        <f t="shared" ca="1" si="2"/>
        <v>0</v>
      </c>
      <c r="AE22" s="308">
        <v>0</v>
      </c>
      <c r="AF22" s="819">
        <f t="shared" ca="1" si="3"/>
        <v>0</v>
      </c>
      <c r="AG22" s="308">
        <v>0</v>
      </c>
      <c r="AH22" s="308">
        <v>0</v>
      </c>
      <c r="AI22" s="308">
        <v>0</v>
      </c>
      <c r="AJ22" s="308">
        <f t="shared" ca="1" si="4"/>
        <v>236951.11808651229</v>
      </c>
      <c r="AK22" s="309">
        <v>0</v>
      </c>
      <c r="AL22" s="309">
        <f t="shared" ref="AL22:AL29" si="27">-VLOOKUP(A22,$BB$32:$BE$40,2,FALSE)</f>
        <v>-2775000</v>
      </c>
      <c r="AM22" s="309">
        <f t="shared" si="15"/>
        <v>-2775000</v>
      </c>
      <c r="AN22" s="310">
        <v>0</v>
      </c>
      <c r="AO22" s="310">
        <v>0</v>
      </c>
      <c r="AP22" s="310">
        <f t="shared" si="16"/>
        <v>0</v>
      </c>
      <c r="AQ22" s="309">
        <v>0</v>
      </c>
      <c r="AR22" s="311">
        <f t="shared" ca="1" si="5"/>
        <v>-2538048.8819134878</v>
      </c>
      <c r="AS22" s="870">
        <f t="shared" ca="1" si="17"/>
        <v>-4877495.3835084876</v>
      </c>
      <c r="AT22" s="822"/>
      <c r="AU22" s="878"/>
      <c r="AV22" s="35"/>
      <c r="AW22" s="879"/>
      <c r="AX22" s="35"/>
      <c r="AY22" s="880"/>
      <c r="BB22" s="928">
        <v>2013</v>
      </c>
      <c r="BC22" s="928" t="s">
        <v>808</v>
      </c>
      <c r="BD22" s="928">
        <v>580</v>
      </c>
      <c r="BE22" s="928" t="s">
        <v>816</v>
      </c>
      <c r="BF22" s="929">
        <f t="shared" si="23"/>
        <v>1450000</v>
      </c>
      <c r="BG22" s="930">
        <f t="shared" si="18"/>
        <v>0.75</v>
      </c>
      <c r="BH22" s="931">
        <f t="shared" si="19"/>
        <v>3810600</v>
      </c>
    </row>
    <row r="23" spans="1:60">
      <c r="A23" s="303">
        <v>2014</v>
      </c>
      <c r="B23" s="304">
        <f ca="1">IF($D$3="BAU",UtilityDemand!C16,INDIRECT($D$3&amp;"!B"&amp;ROW(A23))+INDIRECT($D$3&amp;"!D"&amp;ROW(A23)))</f>
        <v>137556.65962631535</v>
      </c>
      <c r="C23" s="305">
        <v>0</v>
      </c>
      <c r="D23" s="306">
        <f t="shared" ca="1" si="6"/>
        <v>0</v>
      </c>
      <c r="E23" s="304">
        <f ca="1">IF($D$3="BAU",UtilityDemand!E16,INDIRECT($D$3&amp;"!E"&amp;ROW(D23))+INDIRECT($D$3&amp;"!G"&amp;ROW(D23)))</f>
        <v>733356.43426308746</v>
      </c>
      <c r="F23" s="305">
        <v>0</v>
      </c>
      <c r="G23" s="306">
        <f t="shared" ca="1" si="7"/>
        <v>0</v>
      </c>
      <c r="H23" s="304">
        <f ca="1">IF($D$3="BAU",UtilityDemand!G16,INDIRECT($D$3&amp;"!H"&amp;ROW(G23))+INDIRECT($D$3&amp;"!J"&amp;ROW(G23)))</f>
        <v>195447.56483158763</v>
      </c>
      <c r="I23" s="305">
        <v>0</v>
      </c>
      <c r="J23" s="306">
        <f t="shared" ca="1" si="20"/>
        <v>0</v>
      </c>
      <c r="K23" s="307">
        <f t="shared" ca="1" si="8"/>
        <v>137556.65962631535</v>
      </c>
      <c r="L23" s="307">
        <f t="shared" si="24"/>
        <v>-16687.8</v>
      </c>
      <c r="M23" s="307">
        <f t="shared" si="25"/>
        <v>13350.24</v>
      </c>
      <c r="N23" s="307">
        <f t="shared" ca="1" si="26"/>
        <v>134219.09962631535</v>
      </c>
      <c r="O23" s="306">
        <f t="shared" ca="1" si="9"/>
        <v>733356.43426308746</v>
      </c>
      <c r="P23" s="306">
        <f t="shared" si="10"/>
        <v>0</v>
      </c>
      <c r="Q23" s="306">
        <v>0</v>
      </c>
      <c r="R23" s="306">
        <f t="shared" ca="1" si="11"/>
        <v>733356.43426308746</v>
      </c>
      <c r="S23" s="818">
        <f t="shared" ca="1" si="12"/>
        <v>195447.56483158763</v>
      </c>
      <c r="T23" s="818">
        <f t="shared" si="13"/>
        <v>0</v>
      </c>
      <c r="U23" s="818">
        <v>0</v>
      </c>
      <c r="V23" s="818">
        <f t="shared" ca="1" si="14"/>
        <v>195447.56483158763</v>
      </c>
      <c r="W23" s="306">
        <f t="shared" si="1"/>
        <v>0</v>
      </c>
      <c r="X23" s="306">
        <f t="shared" ca="1" si="21"/>
        <v>-2370.5244355181135</v>
      </c>
      <c r="Y23" s="306">
        <v>0</v>
      </c>
      <c r="Z23" s="306">
        <v>0</v>
      </c>
      <c r="AA23" s="308">
        <f ca="1">-SUM(W23,X23/OFFSET(GridFootprintbyYear,$A23-$A$19,0)*EF_PurchElec_MTperMWh,Z23)*OFFSET(ExposureCalculations!Price_GHG_Allowance_2010,A23-$A$19,0)*ExposureCalculations!D20</f>
        <v>0</v>
      </c>
      <c r="AB23" s="308">
        <f t="shared" ca="1" si="22"/>
        <v>289409.14791360765</v>
      </c>
      <c r="AC23" s="308">
        <v>0</v>
      </c>
      <c r="AD23" s="819">
        <f t="shared" ca="1" si="2"/>
        <v>0</v>
      </c>
      <c r="AE23" s="308">
        <v>0</v>
      </c>
      <c r="AF23" s="819">
        <f t="shared" ca="1" si="3"/>
        <v>0</v>
      </c>
      <c r="AG23" s="308">
        <v>0</v>
      </c>
      <c r="AH23" s="308">
        <v>0</v>
      </c>
      <c r="AI23" s="308">
        <v>0</v>
      </c>
      <c r="AJ23" s="308">
        <f t="shared" ca="1" si="4"/>
        <v>289409.14791360765</v>
      </c>
      <c r="AK23" s="309">
        <v>0</v>
      </c>
      <c r="AL23" s="309">
        <f t="shared" si="27"/>
        <v>-1125000</v>
      </c>
      <c r="AM23" s="309">
        <f t="shared" si="15"/>
        <v>-1125000</v>
      </c>
      <c r="AN23" s="310">
        <v>0</v>
      </c>
      <c r="AO23" s="310">
        <v>0</v>
      </c>
      <c r="AP23" s="310">
        <f t="shared" si="16"/>
        <v>0</v>
      </c>
      <c r="AQ23" s="309">
        <v>0</v>
      </c>
      <c r="AR23" s="311">
        <f t="shared" ca="1" si="5"/>
        <v>-835590.85208639235</v>
      </c>
      <c r="AS23" s="870">
        <f t="shared" ca="1" si="17"/>
        <v>-5713086.2355948798</v>
      </c>
      <c r="AT23" s="822"/>
      <c r="AU23" s="936">
        <v>1</v>
      </c>
      <c r="AV23" s="35" t="s">
        <v>820</v>
      </c>
      <c r="AW23" s="879"/>
      <c r="AX23" s="35"/>
      <c r="AY23" s="880"/>
      <c r="BB23" s="928">
        <v>2013</v>
      </c>
      <c r="BC23" s="928" t="s">
        <v>812</v>
      </c>
      <c r="BD23" s="928">
        <v>530</v>
      </c>
      <c r="BE23" s="928" t="s">
        <v>816</v>
      </c>
      <c r="BF23" s="929">
        <f t="shared" si="23"/>
        <v>1325000</v>
      </c>
      <c r="BG23" s="930">
        <f t="shared" si="18"/>
        <v>0.75</v>
      </c>
      <c r="BH23" s="931">
        <f t="shared" si="19"/>
        <v>3482100</v>
      </c>
    </row>
    <row r="24" spans="1:60">
      <c r="A24" s="303">
        <v>2015</v>
      </c>
      <c r="B24" s="304">
        <f ca="1">IF($D$3="BAU",UtilityDemand!C17,INDIRECT($D$3&amp;"!B"&amp;ROW(A24))+INDIRECT($D$3&amp;"!D"&amp;ROW(A24)))</f>
        <v>140674.7264207229</v>
      </c>
      <c r="C24" s="305">
        <v>0</v>
      </c>
      <c r="D24" s="306">
        <f t="shared" ca="1" si="6"/>
        <v>0</v>
      </c>
      <c r="E24" s="304">
        <f ca="1">IF($D$3="BAU",UtilityDemand!E17,INDIRECT($D$3&amp;"!E"&amp;ROW(D24))+INDIRECT($D$3&amp;"!G"&amp;ROW(D24)))</f>
        <v>749942.47488688328</v>
      </c>
      <c r="F24" s="305">
        <v>0</v>
      </c>
      <c r="G24" s="306">
        <f t="shared" ca="1" si="7"/>
        <v>0</v>
      </c>
      <c r="H24" s="304">
        <f ca="1">IF($D$3="BAU",UtilityDemand!G17,INDIRECT($D$3&amp;"!H"&amp;ROW(G24))+INDIRECT($D$3&amp;"!J"&amp;ROW(G24)))</f>
        <v>200653.26054765948</v>
      </c>
      <c r="I24" s="305">
        <v>0</v>
      </c>
      <c r="J24" s="306">
        <f t="shared" ca="1" si="20"/>
        <v>0</v>
      </c>
      <c r="K24" s="307">
        <f t="shared" ca="1" si="8"/>
        <v>140674.7264207229</v>
      </c>
      <c r="L24" s="307">
        <f t="shared" si="24"/>
        <v>-16687.8</v>
      </c>
      <c r="M24" s="307">
        <f t="shared" si="25"/>
        <v>13350.24</v>
      </c>
      <c r="N24" s="307">
        <f t="shared" ca="1" si="26"/>
        <v>137337.1664207229</v>
      </c>
      <c r="O24" s="306">
        <f t="shared" ca="1" si="9"/>
        <v>749942.47488688328</v>
      </c>
      <c r="P24" s="306">
        <f t="shared" si="10"/>
        <v>0</v>
      </c>
      <c r="Q24" s="306">
        <v>0</v>
      </c>
      <c r="R24" s="306">
        <f t="shared" ca="1" si="11"/>
        <v>749942.47488688328</v>
      </c>
      <c r="S24" s="818">
        <f t="shared" ca="1" si="12"/>
        <v>200653.26054765948</v>
      </c>
      <c r="T24" s="818">
        <f t="shared" si="13"/>
        <v>0</v>
      </c>
      <c r="U24" s="818">
        <v>0</v>
      </c>
      <c r="V24" s="818">
        <f t="shared" ca="1" si="14"/>
        <v>200653.26054765948</v>
      </c>
      <c r="W24" s="306">
        <f t="shared" si="1"/>
        <v>0</v>
      </c>
      <c r="X24" s="306">
        <f t="shared" ca="1" si="21"/>
        <v>-2370.5244355181135</v>
      </c>
      <c r="Y24" s="306">
        <v>0</v>
      </c>
      <c r="Z24" s="306">
        <v>0</v>
      </c>
      <c r="AA24" s="308">
        <f ca="1">-SUM(W24,X24/OFFSET(GridFootprintbyYear,$A24-$A$19,0)*EF_PurchElec_MTperMWh,Z24)*OFFSET(ExposureCalculations!Price_GHG_Allowance_2010,A24-$A$19,0)*ExposureCalculations!D21</f>
        <v>24106.661309045492</v>
      </c>
      <c r="AB24" s="308">
        <f t="shared" ca="1" si="22"/>
        <v>290856.19365317567</v>
      </c>
      <c r="AC24" s="308">
        <v>0</v>
      </c>
      <c r="AD24" s="819">
        <f t="shared" ca="1" si="2"/>
        <v>0</v>
      </c>
      <c r="AE24" s="308">
        <v>0</v>
      </c>
      <c r="AF24" s="819">
        <f t="shared" ca="1" si="3"/>
        <v>0</v>
      </c>
      <c r="AG24" s="308">
        <v>0</v>
      </c>
      <c r="AH24" s="308">
        <v>0</v>
      </c>
      <c r="AI24" s="308">
        <v>0</v>
      </c>
      <c r="AJ24" s="308">
        <f t="shared" ca="1" si="4"/>
        <v>290856.19365317567</v>
      </c>
      <c r="AK24" s="309">
        <v>0</v>
      </c>
      <c r="AL24" s="309">
        <f t="shared" si="27"/>
        <v>0</v>
      </c>
      <c r="AM24" s="309">
        <f t="shared" si="15"/>
        <v>0</v>
      </c>
      <c r="AN24" s="310">
        <v>0</v>
      </c>
      <c r="AO24" s="310">
        <v>0</v>
      </c>
      <c r="AP24" s="310">
        <f t="shared" si="16"/>
        <v>0</v>
      </c>
      <c r="AQ24" s="309">
        <v>0</v>
      </c>
      <c r="AR24" s="311">
        <f t="shared" ca="1" si="5"/>
        <v>314962.85496222117</v>
      </c>
      <c r="AS24" s="870">
        <f t="shared" ca="1" si="17"/>
        <v>-5398123.3806326585</v>
      </c>
      <c r="AT24" s="822"/>
      <c r="AU24" s="878"/>
      <c r="AV24" s="35"/>
      <c r="AW24" s="879"/>
      <c r="AX24" s="35"/>
      <c r="AY24" s="880"/>
      <c r="BB24" s="928">
        <v>2014</v>
      </c>
      <c r="BC24" s="928" t="s">
        <v>809</v>
      </c>
      <c r="BD24" s="928">
        <v>300</v>
      </c>
      <c r="BE24" s="928" t="s">
        <v>817</v>
      </c>
      <c r="BF24" s="929">
        <f t="shared" si="23"/>
        <v>750000</v>
      </c>
      <c r="BG24" s="930">
        <f t="shared" si="18"/>
        <v>0.75</v>
      </c>
      <c r="BH24" s="931">
        <f t="shared" si="19"/>
        <v>1971000</v>
      </c>
    </row>
    <row r="25" spans="1:60">
      <c r="A25" s="303">
        <v>2016</v>
      </c>
      <c r="B25" s="304">
        <f ca="1">IF($D$3="BAU",UtilityDemand!C18,INDIRECT($D$3&amp;"!B"&amp;ROW(A25))+INDIRECT($D$3&amp;"!D"&amp;ROW(A25)))</f>
        <v>142251.35202157494</v>
      </c>
      <c r="C25" s="305">
        <v>0</v>
      </c>
      <c r="D25" s="306">
        <f t="shared" ca="1" si="6"/>
        <v>0</v>
      </c>
      <c r="E25" s="304">
        <f ca="1">IF($D$3="BAU",UtilityDemand!E18,INDIRECT($D$3&amp;"!E"&amp;ROW(D25))+INDIRECT($D$3&amp;"!G"&amp;ROW(D25)))</f>
        <v>758329.0740165587</v>
      </c>
      <c r="F25" s="305">
        <v>0</v>
      </c>
      <c r="G25" s="306">
        <f t="shared" ca="1" si="7"/>
        <v>0</v>
      </c>
      <c r="H25" s="304">
        <f ca="1">IF($D$3="BAU",UtilityDemand!G18,INDIRECT($D$3&amp;"!H"&amp;ROW(G25))+INDIRECT($D$3&amp;"!J"&amp;ROW(G25)))</f>
        <v>203717.79511026316</v>
      </c>
      <c r="I25" s="305">
        <v>0</v>
      </c>
      <c r="J25" s="306">
        <f t="shared" ca="1" si="20"/>
        <v>0</v>
      </c>
      <c r="K25" s="307">
        <f t="shared" ca="1" si="8"/>
        <v>142251.35202157494</v>
      </c>
      <c r="L25" s="307">
        <f t="shared" si="24"/>
        <v>-16687.8</v>
      </c>
      <c r="M25" s="307">
        <f t="shared" si="25"/>
        <v>13350.24</v>
      </c>
      <c r="N25" s="307">
        <f t="shared" ca="1" si="26"/>
        <v>138913.79202157495</v>
      </c>
      <c r="O25" s="306">
        <f t="shared" ca="1" si="9"/>
        <v>758329.0740165587</v>
      </c>
      <c r="P25" s="306">
        <f t="shared" si="10"/>
        <v>0</v>
      </c>
      <c r="Q25" s="306">
        <v>0</v>
      </c>
      <c r="R25" s="306">
        <f t="shared" ca="1" si="11"/>
        <v>758329.0740165587</v>
      </c>
      <c r="S25" s="818">
        <f t="shared" ca="1" si="12"/>
        <v>203717.79511026316</v>
      </c>
      <c r="T25" s="818">
        <f t="shared" si="13"/>
        <v>0</v>
      </c>
      <c r="U25" s="818">
        <v>0</v>
      </c>
      <c r="V25" s="818">
        <f t="shared" ca="1" si="14"/>
        <v>203717.79511026316</v>
      </c>
      <c r="W25" s="306">
        <f t="shared" si="1"/>
        <v>0</v>
      </c>
      <c r="X25" s="306">
        <f t="shared" ca="1" si="21"/>
        <v>-2370.5244355181135</v>
      </c>
      <c r="Y25" s="306">
        <v>0</v>
      </c>
      <c r="Z25" s="306">
        <v>0</v>
      </c>
      <c r="AA25" s="308">
        <f ca="1">-SUM(W25,X25/OFFSET(GridFootprintbyYear,$A25-$A$19,0)*EF_PurchElec_MTperMWh,Z25)*OFFSET(ExposureCalculations!Price_GHG_Allowance_2010,A25-$A$19,0)*ExposureCalculations!D22</f>
        <v>27826.4156289153</v>
      </c>
      <c r="AB25" s="308">
        <f t="shared" ca="1" si="22"/>
        <v>292310.47462144151</v>
      </c>
      <c r="AC25" s="308">
        <v>0</v>
      </c>
      <c r="AD25" s="819">
        <f t="shared" ca="1" si="2"/>
        <v>0</v>
      </c>
      <c r="AE25" s="308">
        <v>0</v>
      </c>
      <c r="AF25" s="819">
        <f t="shared" ca="1" si="3"/>
        <v>0</v>
      </c>
      <c r="AG25" s="308">
        <v>0</v>
      </c>
      <c r="AH25" s="308">
        <v>0</v>
      </c>
      <c r="AI25" s="308">
        <v>0</v>
      </c>
      <c r="AJ25" s="308">
        <f t="shared" ca="1" si="4"/>
        <v>292310.47462144151</v>
      </c>
      <c r="AK25" s="309">
        <v>0</v>
      </c>
      <c r="AL25" s="309">
        <f t="shared" si="27"/>
        <v>0</v>
      </c>
      <c r="AM25" s="309">
        <f t="shared" si="15"/>
        <v>0</v>
      </c>
      <c r="AN25" s="310">
        <v>0</v>
      </c>
      <c r="AO25" s="310">
        <v>0</v>
      </c>
      <c r="AP25" s="310">
        <f t="shared" si="16"/>
        <v>0</v>
      </c>
      <c r="AQ25" s="309">
        <v>0</v>
      </c>
      <c r="AR25" s="311">
        <f t="shared" ca="1" si="5"/>
        <v>320136.89025035681</v>
      </c>
      <c r="AS25" s="870">
        <f t="shared" ca="1" si="17"/>
        <v>-5077986.4903823016</v>
      </c>
      <c r="AT25" s="822"/>
      <c r="AU25" s="900">
        <v>0.8</v>
      </c>
      <c r="AV25" s="35" t="s">
        <v>821</v>
      </c>
      <c r="AW25" s="879"/>
      <c r="AX25" s="35"/>
      <c r="AY25" s="880"/>
      <c r="BB25" s="928">
        <v>2014</v>
      </c>
      <c r="BC25" s="928" t="s">
        <v>810</v>
      </c>
      <c r="BD25" s="928">
        <v>110</v>
      </c>
      <c r="BE25" s="928" t="s">
        <v>818</v>
      </c>
      <c r="BF25" s="929">
        <f t="shared" si="23"/>
        <v>275000</v>
      </c>
      <c r="BG25" s="930">
        <f t="shared" si="18"/>
        <v>0.75</v>
      </c>
      <c r="BH25" s="931">
        <f t="shared" si="19"/>
        <v>722700</v>
      </c>
    </row>
    <row r="26" spans="1:60">
      <c r="A26" s="303">
        <v>2017</v>
      </c>
      <c r="B26" s="304">
        <f ca="1">IF($D$3="BAU",UtilityDemand!C19,INDIRECT($D$3&amp;"!B"&amp;ROW(A26))+INDIRECT($D$3&amp;"!D"&amp;ROW(A26)))</f>
        <v>143827.97762242699</v>
      </c>
      <c r="C26" s="305">
        <v>0</v>
      </c>
      <c r="D26" s="306">
        <f t="shared" ca="1" si="6"/>
        <v>0</v>
      </c>
      <c r="E26" s="304">
        <f ca="1">IF($D$3="BAU",UtilityDemand!E19,INDIRECT($D$3&amp;"!E"&amp;ROW(D26))+INDIRECT($D$3&amp;"!G"&amp;ROW(D26)))</f>
        <v>766715.67314623413</v>
      </c>
      <c r="F26" s="305">
        <v>0</v>
      </c>
      <c r="G26" s="306">
        <f t="shared" ca="1" si="7"/>
        <v>0</v>
      </c>
      <c r="H26" s="304">
        <f ca="1">IF($D$3="BAU",UtilityDemand!G19,INDIRECT($D$3&amp;"!H"&amp;ROW(G26))+INDIRECT($D$3&amp;"!J"&amp;ROW(G26)))</f>
        <v>206782.32967286685</v>
      </c>
      <c r="I26" s="305">
        <v>0</v>
      </c>
      <c r="J26" s="306">
        <f t="shared" ca="1" si="20"/>
        <v>0</v>
      </c>
      <c r="K26" s="307">
        <f t="shared" ca="1" si="8"/>
        <v>143827.97762242699</v>
      </c>
      <c r="L26" s="307">
        <f t="shared" si="24"/>
        <v>-16687.8</v>
      </c>
      <c r="M26" s="307">
        <f t="shared" si="25"/>
        <v>13350.24</v>
      </c>
      <c r="N26" s="307">
        <f t="shared" ca="1" si="26"/>
        <v>140490.41762242699</v>
      </c>
      <c r="O26" s="306">
        <f t="shared" ca="1" si="9"/>
        <v>766715.67314623413</v>
      </c>
      <c r="P26" s="306">
        <f t="shared" si="10"/>
        <v>0</v>
      </c>
      <c r="Q26" s="306">
        <v>0</v>
      </c>
      <c r="R26" s="306">
        <f t="shared" ca="1" si="11"/>
        <v>766715.67314623413</v>
      </c>
      <c r="S26" s="818">
        <f t="shared" ca="1" si="12"/>
        <v>206782.32967286685</v>
      </c>
      <c r="T26" s="818">
        <f t="shared" si="13"/>
        <v>0</v>
      </c>
      <c r="U26" s="818">
        <v>0</v>
      </c>
      <c r="V26" s="818">
        <f t="shared" ca="1" si="14"/>
        <v>206782.32967286685</v>
      </c>
      <c r="W26" s="306">
        <f t="shared" si="1"/>
        <v>0</v>
      </c>
      <c r="X26" s="306">
        <f t="shared" ca="1" si="21"/>
        <v>-2370.5244355181135</v>
      </c>
      <c r="Y26" s="306">
        <v>0</v>
      </c>
      <c r="Z26" s="306">
        <v>0</v>
      </c>
      <c r="AA26" s="308">
        <f ca="1">-SUM(W26,X26/OFFSET(GridFootprintbyYear,$A26-$A$19,0)*EF_PurchElec_MTperMWh,Z26)*OFFSET(ExposureCalculations!Price_GHG_Allowance_2010,A26-$A$19,0)*ExposureCalculations!D23</f>
        <v>31719.650068121351</v>
      </c>
      <c r="AB26" s="308">
        <f t="shared" ca="1" si="22"/>
        <v>293772.02699454862</v>
      </c>
      <c r="AC26" s="308">
        <v>0</v>
      </c>
      <c r="AD26" s="819">
        <f t="shared" ca="1" si="2"/>
        <v>0</v>
      </c>
      <c r="AE26" s="308">
        <v>0</v>
      </c>
      <c r="AF26" s="819">
        <f t="shared" ca="1" si="3"/>
        <v>0</v>
      </c>
      <c r="AG26" s="308">
        <v>0</v>
      </c>
      <c r="AH26" s="308">
        <v>0</v>
      </c>
      <c r="AI26" s="308">
        <v>0</v>
      </c>
      <c r="AJ26" s="308">
        <f t="shared" ca="1" si="4"/>
        <v>293772.02699454862</v>
      </c>
      <c r="AK26" s="309">
        <v>0</v>
      </c>
      <c r="AL26" s="309">
        <f t="shared" si="27"/>
        <v>0</v>
      </c>
      <c r="AM26" s="309">
        <f t="shared" si="15"/>
        <v>0</v>
      </c>
      <c r="AN26" s="310">
        <v>0</v>
      </c>
      <c r="AO26" s="310">
        <v>0</v>
      </c>
      <c r="AP26" s="310">
        <f t="shared" si="16"/>
        <v>0</v>
      </c>
      <c r="AQ26" s="309">
        <v>0</v>
      </c>
      <c r="AR26" s="311">
        <f t="shared" ca="1" si="5"/>
        <v>325491.67706267</v>
      </c>
      <c r="AS26" s="870">
        <f t="shared" ca="1" si="17"/>
        <v>-4752494.8133196319</v>
      </c>
      <c r="AT26" s="822"/>
      <c r="AU26" s="878"/>
      <c r="AV26" s="35"/>
      <c r="AW26" s="879"/>
      <c r="AX26" s="35"/>
      <c r="AY26" s="880"/>
      <c r="BB26" s="928">
        <v>2014</v>
      </c>
      <c r="BC26" s="928" t="s">
        <v>811</v>
      </c>
      <c r="BD26" s="928">
        <v>40</v>
      </c>
      <c r="BE26" s="928" t="s">
        <v>819</v>
      </c>
      <c r="BF26" s="929">
        <f t="shared" si="23"/>
        <v>100000</v>
      </c>
      <c r="BG26" s="930">
        <f t="shared" si="18"/>
        <v>0.75</v>
      </c>
      <c r="BH26" s="931">
        <f t="shared" si="19"/>
        <v>262800</v>
      </c>
    </row>
    <row r="27" spans="1:60">
      <c r="A27" s="303">
        <v>2018</v>
      </c>
      <c r="B27" s="304">
        <f ca="1">IF($D$3="BAU",UtilityDemand!C20,INDIRECT($D$3&amp;"!B"&amp;ROW(A27))+INDIRECT($D$3&amp;"!D"&amp;ROW(A27)))</f>
        <v>145404.603223279</v>
      </c>
      <c r="C27" s="305">
        <v>0</v>
      </c>
      <c r="D27" s="306">
        <f t="shared" ca="1" si="6"/>
        <v>0</v>
      </c>
      <c r="E27" s="304">
        <f ca="1">IF($D$3="BAU",UtilityDemand!E20,INDIRECT($D$3&amp;"!E"&amp;ROW(D27))+INDIRECT($D$3&amp;"!G"&amp;ROW(D27)))</f>
        <v>775102.27227590943</v>
      </c>
      <c r="F27" s="305">
        <v>0</v>
      </c>
      <c r="G27" s="306">
        <f t="shared" ca="1" si="7"/>
        <v>0</v>
      </c>
      <c r="H27" s="304">
        <f ca="1">IF($D$3="BAU",UtilityDemand!G20,INDIRECT($D$3&amp;"!H"&amp;ROW(G27))+INDIRECT($D$3&amp;"!J"&amp;ROW(G27)))</f>
        <v>209846.86423547054</v>
      </c>
      <c r="I27" s="305">
        <v>0</v>
      </c>
      <c r="J27" s="306">
        <f t="shared" ca="1" si="20"/>
        <v>0</v>
      </c>
      <c r="K27" s="307">
        <f t="shared" ca="1" si="8"/>
        <v>145404.603223279</v>
      </c>
      <c r="L27" s="307">
        <f t="shared" si="24"/>
        <v>-16687.8</v>
      </c>
      <c r="M27" s="307">
        <f t="shared" si="25"/>
        <v>13350.24</v>
      </c>
      <c r="N27" s="307">
        <f t="shared" ca="1" si="26"/>
        <v>142067.043223279</v>
      </c>
      <c r="O27" s="306">
        <f t="shared" ca="1" si="9"/>
        <v>775102.27227590943</v>
      </c>
      <c r="P27" s="306">
        <f t="shared" si="10"/>
        <v>0</v>
      </c>
      <c r="Q27" s="306">
        <v>0</v>
      </c>
      <c r="R27" s="306">
        <f t="shared" ca="1" si="11"/>
        <v>775102.27227590943</v>
      </c>
      <c r="S27" s="818">
        <f t="shared" ca="1" si="12"/>
        <v>209846.86423547054</v>
      </c>
      <c r="T27" s="818">
        <f t="shared" si="13"/>
        <v>0</v>
      </c>
      <c r="U27" s="818">
        <v>0</v>
      </c>
      <c r="V27" s="818">
        <f t="shared" ca="1" si="14"/>
        <v>209846.86423547054</v>
      </c>
      <c r="W27" s="306">
        <f t="shared" si="1"/>
        <v>0</v>
      </c>
      <c r="X27" s="306">
        <f t="shared" ca="1" si="21"/>
        <v>-2370.5244355181135</v>
      </c>
      <c r="Y27" s="306">
        <v>0</v>
      </c>
      <c r="Z27" s="306">
        <v>0</v>
      </c>
      <c r="AA27" s="308">
        <f ca="1">-SUM(W27,X27/OFFSET(GridFootprintbyYear,$A27-$A$19,0)*EF_PurchElec_MTperMWh,Z27)*OFFSET(ExposureCalculations!Price_GHG_Allowance_2010,A27-$A$19,0)*ExposureCalculations!D24</f>
        <v>35780.988284315979</v>
      </c>
      <c r="AB27" s="308">
        <f t="shared" ca="1" si="22"/>
        <v>295240.88712952135</v>
      </c>
      <c r="AC27" s="308">
        <v>0</v>
      </c>
      <c r="AD27" s="819">
        <f t="shared" ca="1" si="2"/>
        <v>0</v>
      </c>
      <c r="AE27" s="308">
        <v>0</v>
      </c>
      <c r="AF27" s="819">
        <f t="shared" ca="1" si="3"/>
        <v>0</v>
      </c>
      <c r="AG27" s="308">
        <v>0</v>
      </c>
      <c r="AH27" s="308">
        <v>0</v>
      </c>
      <c r="AI27" s="308">
        <v>0</v>
      </c>
      <c r="AJ27" s="308">
        <f t="shared" ca="1" si="4"/>
        <v>295240.88712952135</v>
      </c>
      <c r="AK27" s="309">
        <v>0</v>
      </c>
      <c r="AL27" s="309">
        <f t="shared" si="27"/>
        <v>0</v>
      </c>
      <c r="AM27" s="309">
        <f t="shared" si="15"/>
        <v>0</v>
      </c>
      <c r="AN27" s="310">
        <v>0</v>
      </c>
      <c r="AO27" s="310">
        <v>0</v>
      </c>
      <c r="AP27" s="310">
        <f t="shared" si="16"/>
        <v>0</v>
      </c>
      <c r="AQ27" s="309">
        <v>0</v>
      </c>
      <c r="AR27" s="311">
        <f t="shared" ca="1" si="5"/>
        <v>331021.87541383732</v>
      </c>
      <c r="AS27" s="870">
        <f t="shared" ca="1" si="17"/>
        <v>-4421472.9379057949</v>
      </c>
      <c r="AT27" s="822"/>
      <c r="AU27" s="902">
        <v>2500</v>
      </c>
      <c r="AV27" s="35" t="s">
        <v>822</v>
      </c>
      <c r="AW27" s="879"/>
      <c r="AX27" s="35"/>
      <c r="AY27" s="880"/>
      <c r="BB27" s="928"/>
      <c r="BC27" s="928"/>
      <c r="BD27" s="928"/>
      <c r="BE27" s="928"/>
      <c r="BF27" s="928"/>
      <c r="BG27" s="928"/>
      <c r="BH27" s="928"/>
    </row>
    <row r="28" spans="1:60">
      <c r="A28" s="303">
        <v>2019</v>
      </c>
      <c r="B28" s="304">
        <f ca="1">IF($D$3="BAU",UtilityDemand!C21,INDIRECT($D$3&amp;"!B"&amp;ROW(A28))+INDIRECT($D$3&amp;"!D"&amp;ROW(A28)))</f>
        <v>146981.22882413102</v>
      </c>
      <c r="C28" s="305">
        <v>0</v>
      </c>
      <c r="D28" s="306">
        <f t="shared" ca="1" si="6"/>
        <v>0</v>
      </c>
      <c r="E28" s="304">
        <f ca="1">IF($D$3="BAU",UtilityDemand!E21,INDIRECT($D$3&amp;"!E"&amp;ROW(D28))+INDIRECT($D$3&amp;"!G"&amp;ROW(D28)))</f>
        <v>783488.87140558485</v>
      </c>
      <c r="F28" s="305">
        <v>0</v>
      </c>
      <c r="G28" s="306">
        <f t="shared" ca="1" si="7"/>
        <v>0</v>
      </c>
      <c r="H28" s="304">
        <f ca="1">IF($D$3="BAU",UtilityDemand!G21,INDIRECT($D$3&amp;"!H"&amp;ROW(G28))+INDIRECT($D$3&amp;"!J"&amp;ROW(G28)))</f>
        <v>212911.39879807425</v>
      </c>
      <c r="I28" s="305">
        <v>0</v>
      </c>
      <c r="J28" s="306">
        <f t="shared" ca="1" si="20"/>
        <v>0</v>
      </c>
      <c r="K28" s="307">
        <f t="shared" ca="1" si="8"/>
        <v>146981.22882413102</v>
      </c>
      <c r="L28" s="307">
        <f t="shared" si="24"/>
        <v>-16687.8</v>
      </c>
      <c r="M28" s="307">
        <f t="shared" si="25"/>
        <v>13350.24</v>
      </c>
      <c r="N28" s="307">
        <f t="shared" ca="1" si="26"/>
        <v>143643.66882413102</v>
      </c>
      <c r="O28" s="306">
        <f t="shared" ca="1" si="9"/>
        <v>783488.87140558485</v>
      </c>
      <c r="P28" s="306">
        <f t="shared" si="10"/>
        <v>0</v>
      </c>
      <c r="Q28" s="306">
        <v>0</v>
      </c>
      <c r="R28" s="306">
        <f t="shared" ca="1" si="11"/>
        <v>783488.87140558485</v>
      </c>
      <c r="S28" s="818">
        <f t="shared" ca="1" si="12"/>
        <v>212911.39879807425</v>
      </c>
      <c r="T28" s="818">
        <f t="shared" si="13"/>
        <v>0</v>
      </c>
      <c r="U28" s="818">
        <v>0</v>
      </c>
      <c r="V28" s="818">
        <f t="shared" ca="1" si="14"/>
        <v>212911.39879807425</v>
      </c>
      <c r="W28" s="306">
        <f t="shared" si="1"/>
        <v>0</v>
      </c>
      <c r="X28" s="306">
        <f t="shared" ca="1" si="21"/>
        <v>-2370.5244355181135</v>
      </c>
      <c r="Y28" s="306">
        <v>0</v>
      </c>
      <c r="Z28" s="306">
        <v>0</v>
      </c>
      <c r="AA28" s="308">
        <f ca="1">-SUM(W28,X28/OFFSET(GridFootprintbyYear,$A28-$A$19,0)*EF_PurchElec_MTperMWh,Z28)*OFFSET(ExposureCalculations!Price_GHG_Allowance_2010,A28-$A$19,0)*ExposureCalculations!D25</f>
        <v>40005.10997653575</v>
      </c>
      <c r="AB28" s="308">
        <f t="shared" ca="1" si="22"/>
        <v>296717.09156516899</v>
      </c>
      <c r="AC28" s="308">
        <v>0</v>
      </c>
      <c r="AD28" s="819">
        <f t="shared" ca="1" si="2"/>
        <v>0</v>
      </c>
      <c r="AE28" s="308">
        <v>0</v>
      </c>
      <c r="AF28" s="819">
        <f t="shared" ca="1" si="3"/>
        <v>0</v>
      </c>
      <c r="AG28" s="308">
        <v>0</v>
      </c>
      <c r="AH28" s="308">
        <v>0</v>
      </c>
      <c r="AI28" s="308">
        <v>0</v>
      </c>
      <c r="AJ28" s="308">
        <f t="shared" ca="1" si="4"/>
        <v>296717.09156516899</v>
      </c>
      <c r="AK28" s="309">
        <v>0</v>
      </c>
      <c r="AL28" s="309">
        <f t="shared" si="27"/>
        <v>0</v>
      </c>
      <c r="AM28" s="309">
        <f t="shared" si="15"/>
        <v>0</v>
      </c>
      <c r="AN28" s="310">
        <v>0</v>
      </c>
      <c r="AO28" s="310">
        <v>0</v>
      </c>
      <c r="AP28" s="310">
        <f t="shared" si="16"/>
        <v>0</v>
      </c>
      <c r="AQ28" s="309">
        <v>0</v>
      </c>
      <c r="AR28" s="311">
        <f t="shared" ca="1" si="5"/>
        <v>336722.20154170471</v>
      </c>
      <c r="AS28" s="870">
        <f t="shared" ca="1" si="17"/>
        <v>-4084750.7363640903</v>
      </c>
      <c r="AT28" s="822"/>
      <c r="AU28" s="878"/>
      <c r="AV28" s="35"/>
      <c r="AW28" s="879"/>
      <c r="AX28" s="35"/>
      <c r="AY28" s="880"/>
      <c r="BB28" s="928"/>
      <c r="BC28" s="928" t="s">
        <v>7</v>
      </c>
      <c r="BD28" s="931">
        <f>BD19*2+SUM(BD20:BD26)</f>
        <v>2540</v>
      </c>
      <c r="BE28" s="928" t="s">
        <v>823</v>
      </c>
      <c r="BF28" s="929">
        <f>SUM(BF19:BF26)</f>
        <v>6350000</v>
      </c>
      <c r="BG28" s="928"/>
      <c r="BH28" s="931">
        <f>SUM(BH19:BH26)</f>
        <v>16687800</v>
      </c>
    </row>
    <row r="29" spans="1:60">
      <c r="A29" s="303">
        <v>2020</v>
      </c>
      <c r="B29" s="304">
        <f ca="1">IF($D$3="BAU",UtilityDemand!C22,INDIRECT($D$3&amp;"!B"&amp;ROW(A29))+INDIRECT($D$3&amp;"!D"&amp;ROW(A29)))</f>
        <v>148557.85442498306</v>
      </c>
      <c r="C29" s="305">
        <v>0</v>
      </c>
      <c r="D29" s="306">
        <f t="shared" ca="1" si="6"/>
        <v>0</v>
      </c>
      <c r="E29" s="304">
        <f ca="1">IF($D$3="BAU",UtilityDemand!E22,INDIRECT($D$3&amp;"!E"&amp;ROW(D29))+INDIRECT($D$3&amp;"!G"&amp;ROW(D29)))</f>
        <v>791875.47053526016</v>
      </c>
      <c r="F29" s="305">
        <v>0</v>
      </c>
      <c r="G29" s="306">
        <f t="shared" ca="1" si="7"/>
        <v>0</v>
      </c>
      <c r="H29" s="304">
        <f ca="1">IF($D$3="BAU",UtilityDemand!G22,INDIRECT($D$3&amp;"!H"&amp;ROW(G29))+INDIRECT($D$3&amp;"!J"&amp;ROW(G29)))</f>
        <v>215975.93336067794</v>
      </c>
      <c r="I29" s="305">
        <v>0</v>
      </c>
      <c r="J29" s="306">
        <f t="shared" ca="1" si="20"/>
        <v>0</v>
      </c>
      <c r="K29" s="307">
        <f t="shared" ca="1" si="8"/>
        <v>148557.85442498306</v>
      </c>
      <c r="L29" s="307">
        <f t="shared" si="24"/>
        <v>-16687.8</v>
      </c>
      <c r="M29" s="307">
        <f t="shared" si="25"/>
        <v>13350.24</v>
      </c>
      <c r="N29" s="307">
        <f t="shared" ca="1" si="26"/>
        <v>145220.29442498306</v>
      </c>
      <c r="O29" s="306">
        <f t="shared" ca="1" si="9"/>
        <v>791875.47053526016</v>
      </c>
      <c r="P29" s="306">
        <f t="shared" si="10"/>
        <v>0</v>
      </c>
      <c r="Q29" s="306">
        <v>0</v>
      </c>
      <c r="R29" s="306">
        <f t="shared" ca="1" si="11"/>
        <v>791875.47053526016</v>
      </c>
      <c r="S29" s="818">
        <f t="shared" ca="1" si="12"/>
        <v>215975.93336067794</v>
      </c>
      <c r="T29" s="818">
        <f t="shared" si="13"/>
        <v>0</v>
      </c>
      <c r="U29" s="818">
        <v>0</v>
      </c>
      <c r="V29" s="818">
        <f t="shared" ca="1" si="14"/>
        <v>215975.93336067794</v>
      </c>
      <c r="W29" s="306">
        <f t="shared" si="1"/>
        <v>0</v>
      </c>
      <c r="X29" s="306">
        <f t="shared" ca="1" si="21"/>
        <v>-2370.5244355181135</v>
      </c>
      <c r="Y29" s="306">
        <v>0</v>
      </c>
      <c r="Z29" s="306">
        <v>0</v>
      </c>
      <c r="AA29" s="308">
        <f ca="1">-SUM(W29,X29/OFFSET(GridFootprintbyYear,$A29-$A$19,0)*EF_PurchElec_MTperMWh,Z29)*OFFSET(ExposureCalculations!Price_GHG_Allowance_2010,A29-$A$19,0)*ExposureCalculations!D26</f>
        <v>44386.752156492526</v>
      </c>
      <c r="AB29" s="308">
        <f t="shared" ca="1" si="22"/>
        <v>298200.67702299473</v>
      </c>
      <c r="AC29" s="308">
        <v>0</v>
      </c>
      <c r="AD29" s="819">
        <f t="shared" ca="1" si="2"/>
        <v>0</v>
      </c>
      <c r="AE29" s="308">
        <v>0</v>
      </c>
      <c r="AF29" s="819">
        <f t="shared" ca="1" si="3"/>
        <v>0</v>
      </c>
      <c r="AG29" s="308">
        <v>0</v>
      </c>
      <c r="AH29" s="308">
        <v>0</v>
      </c>
      <c r="AI29" s="308">
        <v>0</v>
      </c>
      <c r="AJ29" s="308">
        <f t="shared" ca="1" si="4"/>
        <v>298200.67702299473</v>
      </c>
      <c r="AK29" s="309">
        <v>0</v>
      </c>
      <c r="AL29" s="309">
        <f t="shared" si="27"/>
        <v>0</v>
      </c>
      <c r="AM29" s="309">
        <f t="shared" si="15"/>
        <v>0</v>
      </c>
      <c r="AN29" s="310">
        <v>0</v>
      </c>
      <c r="AO29" s="310">
        <v>0</v>
      </c>
      <c r="AP29" s="310">
        <f t="shared" si="16"/>
        <v>0</v>
      </c>
      <c r="AQ29" s="309">
        <v>0</v>
      </c>
      <c r="AR29" s="311">
        <f t="shared" ca="1" si="5"/>
        <v>342587.42917948728</v>
      </c>
      <c r="AS29" s="870">
        <f t="shared" ca="1" si="17"/>
        <v>-3742163.3071846031</v>
      </c>
      <c r="AT29" s="822"/>
      <c r="AU29" s="937">
        <v>0.75</v>
      </c>
      <c r="AV29" s="35" t="s">
        <v>867</v>
      </c>
      <c r="AW29" s="879"/>
      <c r="AX29" s="35"/>
      <c r="AY29" s="880"/>
    </row>
    <row r="30" spans="1:60">
      <c r="A30" s="303">
        <v>2021</v>
      </c>
      <c r="B30" s="304">
        <f ca="1">IF($D$3="BAU",UtilityDemand!C23,INDIRECT($D$3&amp;"!B"&amp;ROW(A30))+INDIRECT($D$3&amp;"!D"&amp;ROW(A30)))</f>
        <v>150134.48002583507</v>
      </c>
      <c r="C30" s="305">
        <v>0</v>
      </c>
      <c r="D30" s="306">
        <f t="shared" ca="1" si="6"/>
        <v>0</v>
      </c>
      <c r="E30" s="304">
        <f ca="1">IF($D$3="BAU",UtilityDemand!E23,INDIRECT($D$3&amp;"!E"&amp;ROW(D30))+INDIRECT($D$3&amp;"!G"&amp;ROW(D30)))</f>
        <v>800262.06966493546</v>
      </c>
      <c r="F30" s="305">
        <v>0</v>
      </c>
      <c r="G30" s="306">
        <f t="shared" ca="1" si="7"/>
        <v>0</v>
      </c>
      <c r="H30" s="304">
        <f ca="1">IF($D$3="BAU",UtilityDemand!G23,INDIRECT($D$3&amp;"!H"&amp;ROW(G30))+INDIRECT($D$3&amp;"!J"&amp;ROW(G30)))</f>
        <v>219040.46792328163</v>
      </c>
      <c r="I30" s="305">
        <v>0</v>
      </c>
      <c r="J30" s="306">
        <f t="shared" ca="1" si="20"/>
        <v>0</v>
      </c>
      <c r="K30" s="307">
        <f t="shared" ca="1" si="8"/>
        <v>150134.48002583507</v>
      </c>
      <c r="L30" s="307">
        <f t="shared" si="24"/>
        <v>-16687.8</v>
      </c>
      <c r="M30" s="307">
        <f t="shared" si="25"/>
        <v>13350.24</v>
      </c>
      <c r="N30" s="307">
        <f t="shared" ca="1" si="26"/>
        <v>146796.92002583508</v>
      </c>
      <c r="O30" s="306">
        <f t="shared" ca="1" si="9"/>
        <v>800262.06966493546</v>
      </c>
      <c r="P30" s="306">
        <f t="shared" si="10"/>
        <v>0</v>
      </c>
      <c r="Q30" s="306">
        <v>0</v>
      </c>
      <c r="R30" s="306">
        <f t="shared" ca="1" si="11"/>
        <v>800262.06966493546</v>
      </c>
      <c r="S30" s="818">
        <f t="shared" ca="1" si="12"/>
        <v>219040.46792328163</v>
      </c>
      <c r="T30" s="818">
        <f t="shared" si="13"/>
        <v>0</v>
      </c>
      <c r="U30" s="818">
        <v>0</v>
      </c>
      <c r="V30" s="818">
        <f t="shared" ca="1" si="14"/>
        <v>219040.46792328163</v>
      </c>
      <c r="W30" s="306">
        <f t="shared" si="1"/>
        <v>0</v>
      </c>
      <c r="X30" s="306">
        <f t="shared" ca="1" si="21"/>
        <v>-2370.5244355181135</v>
      </c>
      <c r="Y30" s="306">
        <v>0</v>
      </c>
      <c r="Z30" s="306">
        <v>0</v>
      </c>
      <c r="AA30" s="308">
        <f ca="1">-SUM(W30,X30/OFFSET(GridFootprintbyYear,$A30-$A$19,0)*EF_PurchElec_MTperMWh,Z30)*OFFSET(ExposureCalculations!Price_GHG_Allowance_2010,A30-$A$19,0)*ExposureCalculations!D27</f>
        <v>49442.00781016938</v>
      </c>
      <c r="AB30" s="308">
        <f t="shared" ca="1" si="22"/>
        <v>299691.68040810968</v>
      </c>
      <c r="AC30" s="308">
        <v>0</v>
      </c>
      <c r="AD30" s="819">
        <f t="shared" ca="1" si="2"/>
        <v>0</v>
      </c>
      <c r="AE30" s="308">
        <v>0</v>
      </c>
      <c r="AF30" s="819">
        <f t="shared" ca="1" si="3"/>
        <v>0</v>
      </c>
      <c r="AG30" s="308">
        <v>0</v>
      </c>
      <c r="AH30" s="308">
        <v>0</v>
      </c>
      <c r="AI30" s="308">
        <v>0</v>
      </c>
      <c r="AJ30" s="308">
        <f t="shared" ca="1" si="4"/>
        <v>299691.68040810968</v>
      </c>
      <c r="AK30" s="309">
        <v>0</v>
      </c>
      <c r="AL30" s="309">
        <v>0</v>
      </c>
      <c r="AM30" s="309">
        <f t="shared" si="15"/>
        <v>0</v>
      </c>
      <c r="AN30" s="310">
        <v>0</v>
      </c>
      <c r="AO30" s="310">
        <v>0</v>
      </c>
      <c r="AP30" s="310">
        <f t="shared" si="16"/>
        <v>0</v>
      </c>
      <c r="AQ30" s="309">
        <v>0</v>
      </c>
      <c r="AR30" s="311">
        <f t="shared" ca="1" si="5"/>
        <v>349133.68821827904</v>
      </c>
      <c r="AS30" s="870">
        <f t="shared" ca="1" si="17"/>
        <v>-3393029.6189663243</v>
      </c>
      <c r="AT30" s="822"/>
      <c r="AU30" s="878"/>
      <c r="AV30" s="35"/>
      <c r="AW30" s="879"/>
      <c r="AX30" s="35"/>
      <c r="AY30" s="880"/>
      <c r="BB30" s="1680" t="s">
        <v>866</v>
      </c>
      <c r="BC30" s="1680"/>
      <c r="BD30" s="1680"/>
      <c r="BE30" s="1680"/>
    </row>
    <row r="31" spans="1:60">
      <c r="A31" s="303">
        <v>2022</v>
      </c>
      <c r="B31" s="304">
        <f ca="1">IF($D$3="BAU",UtilityDemand!C24,INDIRECT($D$3&amp;"!B"&amp;ROW(A31))+INDIRECT($D$3&amp;"!D"&amp;ROW(A31)))</f>
        <v>151711.10562668712</v>
      </c>
      <c r="C31" s="305">
        <v>0</v>
      </c>
      <c r="D31" s="306">
        <f t="shared" ca="1" si="6"/>
        <v>0</v>
      </c>
      <c r="E31" s="304">
        <f ca="1">IF($D$3="BAU",UtilityDemand!E24,INDIRECT($D$3&amp;"!E"&amp;ROW(D31))+INDIRECT($D$3&amp;"!G"&amp;ROW(D31)))</f>
        <v>808648.668794611</v>
      </c>
      <c r="F31" s="305">
        <v>0</v>
      </c>
      <c r="G31" s="306">
        <f t="shared" ca="1" si="7"/>
        <v>0</v>
      </c>
      <c r="H31" s="304">
        <f ca="1">IF($D$3="BAU",UtilityDemand!G24,INDIRECT($D$3&amp;"!H"&amp;ROW(G31))+INDIRECT($D$3&amp;"!J"&amp;ROW(G31)))</f>
        <v>222105.00248588528</v>
      </c>
      <c r="I31" s="305">
        <v>0</v>
      </c>
      <c r="J31" s="306">
        <f t="shared" ca="1" si="20"/>
        <v>0</v>
      </c>
      <c r="K31" s="307">
        <f t="shared" ca="1" si="8"/>
        <v>151711.10562668712</v>
      </c>
      <c r="L31" s="307">
        <f t="shared" si="24"/>
        <v>-16687.8</v>
      </c>
      <c r="M31" s="307">
        <f t="shared" si="25"/>
        <v>13350.24</v>
      </c>
      <c r="N31" s="307">
        <f t="shared" ca="1" si="26"/>
        <v>148373.54562668712</v>
      </c>
      <c r="O31" s="306">
        <f t="shared" ca="1" si="9"/>
        <v>808648.668794611</v>
      </c>
      <c r="P31" s="306">
        <f t="shared" si="10"/>
        <v>0</v>
      </c>
      <c r="Q31" s="306">
        <v>0</v>
      </c>
      <c r="R31" s="306">
        <f t="shared" ca="1" si="11"/>
        <v>808648.668794611</v>
      </c>
      <c r="S31" s="818">
        <f t="shared" ca="1" si="12"/>
        <v>222105.00248588528</v>
      </c>
      <c r="T31" s="818">
        <f t="shared" si="13"/>
        <v>0</v>
      </c>
      <c r="U31" s="818">
        <v>0</v>
      </c>
      <c r="V31" s="818">
        <f t="shared" ca="1" si="14"/>
        <v>222105.00248588528</v>
      </c>
      <c r="W31" s="306">
        <f t="shared" si="1"/>
        <v>0</v>
      </c>
      <c r="X31" s="306">
        <f t="shared" ca="1" si="21"/>
        <v>-2370.5244355181135</v>
      </c>
      <c r="Y31" s="306">
        <v>0</v>
      </c>
      <c r="Z31" s="306">
        <v>0</v>
      </c>
      <c r="AA31" s="308">
        <f ca="1">-SUM(W31,X31/OFFSET(GridFootprintbyYear,$A31-$A$19,0)*EF_PurchElec_MTperMWh,Z31)*OFFSET(ExposureCalculations!Price_GHG_Allowance_2010,A31-$A$19,0)*ExposureCalculations!D28</f>
        <v>54692.349006254575</v>
      </c>
      <c r="AB31" s="308">
        <f t="shared" ca="1" si="22"/>
        <v>301190.13881015009</v>
      </c>
      <c r="AC31" s="308">
        <v>0</v>
      </c>
      <c r="AD31" s="819">
        <f t="shared" ca="1" si="2"/>
        <v>0</v>
      </c>
      <c r="AE31" s="308">
        <v>0</v>
      </c>
      <c r="AF31" s="819">
        <f t="shared" ca="1" si="3"/>
        <v>0</v>
      </c>
      <c r="AG31" s="308">
        <v>0</v>
      </c>
      <c r="AH31" s="308">
        <v>0</v>
      </c>
      <c r="AI31" s="308">
        <v>0</v>
      </c>
      <c r="AJ31" s="308">
        <f t="shared" ca="1" si="4"/>
        <v>301190.13881015009</v>
      </c>
      <c r="AK31" s="309">
        <v>0</v>
      </c>
      <c r="AL31" s="309">
        <v>0</v>
      </c>
      <c r="AM31" s="309">
        <f t="shared" si="15"/>
        <v>0</v>
      </c>
      <c r="AN31" s="310">
        <v>0</v>
      </c>
      <c r="AO31" s="310">
        <v>0</v>
      </c>
      <c r="AP31" s="310">
        <f t="shared" si="16"/>
        <v>0</v>
      </c>
      <c r="AQ31" s="309">
        <v>0</v>
      </c>
      <c r="AR31" s="311">
        <f t="shared" ca="1" si="5"/>
        <v>355882.48781640467</v>
      </c>
      <c r="AS31" s="870">
        <f t="shared" ca="1" si="17"/>
        <v>-3037147.1311499197</v>
      </c>
      <c r="AT31" s="822"/>
      <c r="AU31" s="935" t="s">
        <v>872</v>
      </c>
      <c r="AV31" s="35" t="s">
        <v>871</v>
      </c>
      <c r="AW31" s="879"/>
      <c r="AX31" s="35"/>
      <c r="AY31" s="880"/>
      <c r="BB31" s="932" t="s">
        <v>359</v>
      </c>
      <c r="BC31" s="932" t="s">
        <v>825</v>
      </c>
      <c r="BD31" s="933" t="s">
        <v>868</v>
      </c>
      <c r="BE31" s="934" t="s">
        <v>869</v>
      </c>
    </row>
    <row r="32" spans="1:60">
      <c r="A32" s="303">
        <v>2023</v>
      </c>
      <c r="B32" s="304">
        <f ca="1">IF($D$3="BAU",UtilityDemand!C25,INDIRECT($D$3&amp;"!B"&amp;ROW(A32))+INDIRECT($D$3&amp;"!D"&amp;ROW(A32)))</f>
        <v>153287.73122753916</v>
      </c>
      <c r="C32" s="305">
        <v>0</v>
      </c>
      <c r="D32" s="306">
        <f t="shared" ca="1" si="6"/>
        <v>0</v>
      </c>
      <c r="E32" s="304">
        <f ca="1">IF($D$3="BAU",UtilityDemand!E25,INDIRECT($D$3&amp;"!E"&amp;ROW(D32))+INDIRECT($D$3&amp;"!G"&amp;ROW(D32)))</f>
        <v>817035.26792428643</v>
      </c>
      <c r="F32" s="305">
        <v>0</v>
      </c>
      <c r="G32" s="306">
        <f t="shared" ca="1" si="7"/>
        <v>0</v>
      </c>
      <c r="H32" s="304">
        <f ca="1">IF($D$3="BAU",UtilityDemand!G25,INDIRECT($D$3&amp;"!H"&amp;ROW(G32))+INDIRECT($D$3&amp;"!J"&amp;ROW(G32)))</f>
        <v>225169.537048489</v>
      </c>
      <c r="I32" s="305">
        <v>0</v>
      </c>
      <c r="J32" s="306">
        <f t="shared" ca="1" si="20"/>
        <v>0</v>
      </c>
      <c r="K32" s="307">
        <f t="shared" ca="1" si="8"/>
        <v>153287.73122753916</v>
      </c>
      <c r="L32" s="307">
        <f t="shared" si="24"/>
        <v>-16687.8</v>
      </c>
      <c r="M32" s="307">
        <f t="shared" si="25"/>
        <v>13350.24</v>
      </c>
      <c r="N32" s="307">
        <f t="shared" ca="1" si="26"/>
        <v>149950.17122753916</v>
      </c>
      <c r="O32" s="306">
        <f t="shared" ca="1" si="9"/>
        <v>817035.26792428643</v>
      </c>
      <c r="P32" s="306">
        <f t="shared" si="10"/>
        <v>0</v>
      </c>
      <c r="Q32" s="306">
        <v>0</v>
      </c>
      <c r="R32" s="306">
        <f t="shared" ca="1" si="11"/>
        <v>817035.26792428643</v>
      </c>
      <c r="S32" s="818">
        <f t="shared" ca="1" si="12"/>
        <v>225169.537048489</v>
      </c>
      <c r="T32" s="818">
        <f t="shared" si="13"/>
        <v>0</v>
      </c>
      <c r="U32" s="818">
        <v>0</v>
      </c>
      <c r="V32" s="818">
        <f t="shared" ca="1" si="14"/>
        <v>225169.537048489</v>
      </c>
      <c r="W32" s="306">
        <f t="shared" si="1"/>
        <v>0</v>
      </c>
      <c r="X32" s="306">
        <f t="shared" ca="1" si="21"/>
        <v>-2370.5244355181135</v>
      </c>
      <c r="Y32" s="306">
        <v>0</v>
      </c>
      <c r="Z32" s="306">
        <v>0</v>
      </c>
      <c r="AA32" s="308">
        <f ca="1">-SUM(W32,X32/OFFSET(GridFootprintbyYear,$A32-$A$19,0)*EF_PurchElec_MTperMWh,Z32)*OFFSET(ExposureCalculations!Price_GHG_Allowance_2010,A32-$A$19,0)*ExposureCalculations!D29</f>
        <v>60129.90923436029</v>
      </c>
      <c r="AB32" s="308">
        <f t="shared" ca="1" si="22"/>
        <v>302696.08950420085</v>
      </c>
      <c r="AC32" s="308">
        <v>0</v>
      </c>
      <c r="AD32" s="819">
        <f t="shared" ca="1" si="2"/>
        <v>0</v>
      </c>
      <c r="AE32" s="308">
        <v>0</v>
      </c>
      <c r="AF32" s="819">
        <f t="shared" ca="1" si="3"/>
        <v>0</v>
      </c>
      <c r="AG32" s="308">
        <v>0</v>
      </c>
      <c r="AH32" s="308">
        <v>0</v>
      </c>
      <c r="AI32" s="308">
        <v>0</v>
      </c>
      <c r="AJ32" s="308">
        <f t="shared" ca="1" si="4"/>
        <v>302696.08950420085</v>
      </c>
      <c r="AK32" s="309">
        <v>0</v>
      </c>
      <c r="AL32" s="309">
        <v>0</v>
      </c>
      <c r="AM32" s="309">
        <f t="shared" si="15"/>
        <v>0</v>
      </c>
      <c r="AN32" s="310">
        <v>0</v>
      </c>
      <c r="AO32" s="310">
        <v>0</v>
      </c>
      <c r="AP32" s="310">
        <f t="shared" si="16"/>
        <v>0</v>
      </c>
      <c r="AQ32" s="309">
        <v>0</v>
      </c>
      <c r="AR32" s="311">
        <f t="shared" ca="1" si="5"/>
        <v>362825.99873856112</v>
      </c>
      <c r="AS32" s="870">
        <f t="shared" ca="1" si="17"/>
        <v>-2674321.1324113584</v>
      </c>
      <c r="AT32" s="822"/>
      <c r="AU32" s="878"/>
      <c r="AV32" s="35"/>
      <c r="AW32" s="879"/>
      <c r="AX32" s="35"/>
      <c r="AY32" s="880"/>
      <c r="BB32" s="928">
        <v>2012</v>
      </c>
      <c r="BC32" s="929">
        <f t="shared" ref="BC32:BC40" si="28">SUMIF($BB$19:$BB$26,BB32,$BF$19:$BF$26)</f>
        <v>2450000</v>
      </c>
      <c r="BD32" s="931">
        <f>SUMIF($BB$19:$BB$26,BB32,$BH$19:$BH$26)</f>
        <v>6438600</v>
      </c>
      <c r="BE32" s="931">
        <f>BD32</f>
        <v>6438600</v>
      </c>
    </row>
    <row r="33" spans="1:57">
      <c r="A33" s="303">
        <v>2024</v>
      </c>
      <c r="B33" s="304">
        <f ca="1">IF($D$3="BAU",UtilityDemand!C26,INDIRECT($D$3&amp;"!B"&amp;ROW(A33))+INDIRECT($D$3&amp;"!D"&amp;ROW(A33)))</f>
        <v>154864.35682839117</v>
      </c>
      <c r="C33" s="305">
        <v>0</v>
      </c>
      <c r="D33" s="306">
        <f t="shared" ca="1" si="6"/>
        <v>0</v>
      </c>
      <c r="E33" s="304">
        <f ca="1">IF($D$3="BAU",UtilityDemand!E26,INDIRECT($D$3&amp;"!E"&amp;ROW(D33))+INDIRECT($D$3&amp;"!G"&amp;ROW(D33)))</f>
        <v>825421.86705396173</v>
      </c>
      <c r="F33" s="305">
        <v>0</v>
      </c>
      <c r="G33" s="306">
        <f t="shared" ca="1" si="7"/>
        <v>0</v>
      </c>
      <c r="H33" s="304">
        <f ca="1">IF($D$3="BAU",UtilityDemand!G26,INDIRECT($D$3&amp;"!H"&amp;ROW(G33))+INDIRECT($D$3&amp;"!J"&amp;ROW(G33)))</f>
        <v>228234.07161109266</v>
      </c>
      <c r="I33" s="305">
        <v>0</v>
      </c>
      <c r="J33" s="306">
        <f t="shared" ca="1" si="20"/>
        <v>0</v>
      </c>
      <c r="K33" s="307">
        <f t="shared" ca="1" si="8"/>
        <v>154864.35682839117</v>
      </c>
      <c r="L33" s="307">
        <f t="shared" si="24"/>
        <v>-16687.8</v>
      </c>
      <c r="M33" s="307">
        <f t="shared" si="25"/>
        <v>13350.24</v>
      </c>
      <c r="N33" s="307">
        <f t="shared" ca="1" si="26"/>
        <v>151526.79682839118</v>
      </c>
      <c r="O33" s="306">
        <f t="shared" ca="1" si="9"/>
        <v>825421.86705396173</v>
      </c>
      <c r="P33" s="306">
        <f t="shared" si="10"/>
        <v>0</v>
      </c>
      <c r="Q33" s="306">
        <v>0</v>
      </c>
      <c r="R33" s="306">
        <f t="shared" ca="1" si="11"/>
        <v>825421.86705396173</v>
      </c>
      <c r="S33" s="818">
        <f t="shared" ca="1" si="12"/>
        <v>228234.07161109266</v>
      </c>
      <c r="T33" s="818">
        <f t="shared" si="13"/>
        <v>0</v>
      </c>
      <c r="U33" s="818">
        <v>0</v>
      </c>
      <c r="V33" s="818">
        <f t="shared" ca="1" si="14"/>
        <v>228234.07161109266</v>
      </c>
      <c r="W33" s="306">
        <f t="shared" si="1"/>
        <v>0</v>
      </c>
      <c r="X33" s="306">
        <f t="shared" ca="1" si="21"/>
        <v>-2370.5244355181135</v>
      </c>
      <c r="Y33" s="306">
        <v>0</v>
      </c>
      <c r="Z33" s="306">
        <v>0</v>
      </c>
      <c r="AA33" s="308">
        <f ca="1">-SUM(W33,X33/OFFSET(GridFootprintbyYear,$A33-$A$19,0)*EF_PurchElec_MTperMWh,Z33)*OFFSET(ExposureCalculations!Price_GHG_Allowance_2010,A33-$A$19,0)*ExposureCalculations!D30</f>
        <v>65746.876260191711</v>
      </c>
      <c r="AB33" s="308">
        <f t="shared" ca="1" si="22"/>
        <v>304209.56995172182</v>
      </c>
      <c r="AC33" s="308">
        <v>0</v>
      </c>
      <c r="AD33" s="819">
        <f t="shared" ca="1" si="2"/>
        <v>0</v>
      </c>
      <c r="AE33" s="308">
        <v>0</v>
      </c>
      <c r="AF33" s="819">
        <f t="shared" ca="1" si="3"/>
        <v>0</v>
      </c>
      <c r="AG33" s="308">
        <v>0</v>
      </c>
      <c r="AH33" s="308">
        <v>0</v>
      </c>
      <c r="AI33" s="308">
        <v>0</v>
      </c>
      <c r="AJ33" s="308">
        <f t="shared" ca="1" si="4"/>
        <v>304209.56995172182</v>
      </c>
      <c r="AK33" s="309">
        <v>0</v>
      </c>
      <c r="AL33" s="309">
        <v>0</v>
      </c>
      <c r="AM33" s="309">
        <f t="shared" si="15"/>
        <v>0</v>
      </c>
      <c r="AN33" s="310">
        <v>0</v>
      </c>
      <c r="AO33" s="310">
        <v>0</v>
      </c>
      <c r="AP33" s="310">
        <f t="shared" si="16"/>
        <v>0</v>
      </c>
      <c r="AQ33" s="309">
        <v>0</v>
      </c>
      <c r="AR33" s="311">
        <f t="shared" ca="1" si="5"/>
        <v>369956.44621191354</v>
      </c>
      <c r="AS33" s="870">
        <f t="shared" ca="1" si="17"/>
        <v>-2304364.6861994448</v>
      </c>
      <c r="AT33" s="822"/>
      <c r="AU33" s="878"/>
      <c r="AV33" s="35"/>
      <c r="AW33" s="879"/>
      <c r="AX33" s="35"/>
      <c r="AY33" s="880"/>
      <c r="BB33" s="928">
        <v>2013</v>
      </c>
      <c r="BC33" s="929">
        <f t="shared" si="28"/>
        <v>2775000</v>
      </c>
      <c r="BD33" s="931">
        <f t="shared" ref="BD33:BD40" si="29">SUMIF($BB$19:$BB$26,BB33,$BH$19:$BH$26)</f>
        <v>7292700</v>
      </c>
      <c r="BE33" s="931">
        <f>BE32+BD33</f>
        <v>13731300</v>
      </c>
    </row>
    <row r="34" spans="1:57">
      <c r="A34" s="303">
        <v>2025</v>
      </c>
      <c r="B34" s="304">
        <f ca="1">IF($D$3="BAU",UtilityDemand!C27,INDIRECT($D$3&amp;"!B"&amp;ROW(A34))+INDIRECT($D$3&amp;"!D"&amp;ROW(A34)))</f>
        <v>156440.98242924322</v>
      </c>
      <c r="C34" s="305">
        <v>0</v>
      </c>
      <c r="D34" s="306">
        <f t="shared" ca="1" si="6"/>
        <v>0</v>
      </c>
      <c r="E34" s="304">
        <f ca="1">IF($D$3="BAU",UtilityDemand!E27,INDIRECT($D$3&amp;"!E"&amp;ROW(D34))+INDIRECT($D$3&amp;"!G"&amp;ROW(D34)))</f>
        <v>833808.46618363715</v>
      </c>
      <c r="F34" s="305">
        <v>0</v>
      </c>
      <c r="G34" s="306">
        <f t="shared" ca="1" si="7"/>
        <v>0</v>
      </c>
      <c r="H34" s="304">
        <f ca="1">IF($D$3="BAU",UtilityDemand!G27,INDIRECT($D$3&amp;"!H"&amp;ROW(G34))+INDIRECT($D$3&amp;"!J"&amp;ROW(G34)))</f>
        <v>231298.6061736964</v>
      </c>
      <c r="I34" s="305">
        <v>0</v>
      </c>
      <c r="J34" s="306">
        <f t="shared" ca="1" si="20"/>
        <v>0</v>
      </c>
      <c r="K34" s="307">
        <f t="shared" ca="1" si="8"/>
        <v>156440.98242924322</v>
      </c>
      <c r="L34" s="307">
        <f t="shared" si="24"/>
        <v>-16687.8</v>
      </c>
      <c r="M34" s="307">
        <f t="shared" si="25"/>
        <v>13350.24</v>
      </c>
      <c r="N34" s="307">
        <f t="shared" ca="1" si="26"/>
        <v>153103.42242924322</v>
      </c>
      <c r="O34" s="306">
        <f t="shared" ca="1" si="9"/>
        <v>833808.46618363715</v>
      </c>
      <c r="P34" s="306">
        <f t="shared" si="10"/>
        <v>0</v>
      </c>
      <c r="Q34" s="306">
        <v>0</v>
      </c>
      <c r="R34" s="306">
        <f t="shared" ca="1" si="11"/>
        <v>833808.46618363715</v>
      </c>
      <c r="S34" s="818">
        <f t="shared" ca="1" si="12"/>
        <v>231298.6061736964</v>
      </c>
      <c r="T34" s="818">
        <f t="shared" si="13"/>
        <v>0</v>
      </c>
      <c r="U34" s="818">
        <v>0</v>
      </c>
      <c r="V34" s="818">
        <f t="shared" ca="1" si="14"/>
        <v>231298.6061736964</v>
      </c>
      <c r="W34" s="306">
        <f t="shared" si="1"/>
        <v>0</v>
      </c>
      <c r="X34" s="306">
        <f t="shared" ca="1" si="21"/>
        <v>-2370.5244355181135</v>
      </c>
      <c r="Y34" s="306">
        <v>0</v>
      </c>
      <c r="Z34" s="306">
        <v>0</v>
      </c>
      <c r="AA34" s="308">
        <f ca="1">-SUM(W34,X34/OFFSET(GridFootprintbyYear,$A34-$A$19,0)*EF_PurchElec_MTperMWh,Z34)*OFFSET(ExposureCalculations!Price_GHG_Allowance_2010,A34-$A$19,0)*ExposureCalculations!D31</f>
        <v>71535.492256396028</v>
      </c>
      <c r="AB34" s="308">
        <f t="shared" ca="1" si="22"/>
        <v>305730.61780148034</v>
      </c>
      <c r="AC34" s="308">
        <v>0</v>
      </c>
      <c r="AD34" s="819">
        <f t="shared" ca="1" si="2"/>
        <v>0</v>
      </c>
      <c r="AE34" s="308">
        <v>0</v>
      </c>
      <c r="AF34" s="819">
        <f t="shared" ca="1" si="3"/>
        <v>0</v>
      </c>
      <c r="AG34" s="308">
        <v>0</v>
      </c>
      <c r="AH34" s="308">
        <v>0</v>
      </c>
      <c r="AI34" s="308">
        <v>0</v>
      </c>
      <c r="AJ34" s="308">
        <f t="shared" ca="1" si="4"/>
        <v>305730.61780148034</v>
      </c>
      <c r="AK34" s="309">
        <v>0</v>
      </c>
      <c r="AL34" s="309">
        <v>0</v>
      </c>
      <c r="AM34" s="309">
        <f t="shared" si="15"/>
        <v>0</v>
      </c>
      <c r="AN34" s="310">
        <v>0</v>
      </c>
      <c r="AO34" s="310">
        <v>0</v>
      </c>
      <c r="AP34" s="310">
        <f t="shared" si="16"/>
        <v>0</v>
      </c>
      <c r="AQ34" s="309">
        <v>0</v>
      </c>
      <c r="AR34" s="311">
        <f t="shared" ca="1" si="5"/>
        <v>377266.11005787639</v>
      </c>
      <c r="AS34" s="870">
        <f t="shared" ca="1" si="17"/>
        <v>-1927098.5761415684</v>
      </c>
      <c r="AT34" s="822"/>
      <c r="AU34" s="878"/>
      <c r="AV34" s="35"/>
      <c r="AW34" s="879"/>
      <c r="AX34" s="35"/>
      <c r="AY34" s="880"/>
      <c r="BB34" s="928">
        <v>2014</v>
      </c>
      <c r="BC34" s="929">
        <f t="shared" si="28"/>
        <v>1125000</v>
      </c>
      <c r="BD34" s="931">
        <f t="shared" si="29"/>
        <v>2956500</v>
      </c>
      <c r="BE34" s="931">
        <f t="shared" ref="BE34:BE40" si="30">BE33+BD34</f>
        <v>16687800</v>
      </c>
    </row>
    <row r="35" spans="1:57">
      <c r="A35" s="303">
        <v>2026</v>
      </c>
      <c r="B35" s="304">
        <f ca="1">IF($D$3="BAU",UtilityDemand!C28,INDIRECT($D$3&amp;"!B"&amp;ROW(A35))+INDIRECT($D$3&amp;"!D"&amp;ROW(A35)))</f>
        <v>158017.60803009526</v>
      </c>
      <c r="C35" s="305">
        <v>0</v>
      </c>
      <c r="D35" s="306">
        <f t="shared" ca="1" si="6"/>
        <v>0</v>
      </c>
      <c r="E35" s="304">
        <f ca="1">IF($D$3="BAU",UtilityDemand!E28,INDIRECT($D$3&amp;"!E"&amp;ROW(D35))+INDIRECT($D$3&amp;"!G"&amp;ROW(D35)))</f>
        <v>842195.06531331246</v>
      </c>
      <c r="F35" s="305">
        <v>0</v>
      </c>
      <c r="G35" s="306">
        <f t="shared" ca="1" si="7"/>
        <v>0</v>
      </c>
      <c r="H35" s="304">
        <f ca="1">IF($D$3="BAU",UtilityDemand!G28,INDIRECT($D$3&amp;"!H"&amp;ROW(G35))+INDIRECT($D$3&amp;"!J"&amp;ROW(G35)))</f>
        <v>234363.14073630009</v>
      </c>
      <c r="I35" s="305">
        <v>0</v>
      </c>
      <c r="J35" s="306">
        <f t="shared" ca="1" si="20"/>
        <v>0</v>
      </c>
      <c r="K35" s="307">
        <f t="shared" ca="1" si="8"/>
        <v>158017.60803009526</v>
      </c>
      <c r="L35" s="307">
        <f t="shared" si="24"/>
        <v>-16687.8</v>
      </c>
      <c r="M35" s="307">
        <f t="shared" si="25"/>
        <v>13350.24</v>
      </c>
      <c r="N35" s="307">
        <f t="shared" ca="1" si="26"/>
        <v>154680.04803009526</v>
      </c>
      <c r="O35" s="306">
        <f t="shared" ca="1" si="9"/>
        <v>842195.06531331246</v>
      </c>
      <c r="P35" s="306">
        <f t="shared" si="10"/>
        <v>0</v>
      </c>
      <c r="Q35" s="306">
        <v>0</v>
      </c>
      <c r="R35" s="306">
        <f t="shared" ca="1" si="11"/>
        <v>842195.06531331246</v>
      </c>
      <c r="S35" s="818">
        <f t="shared" ca="1" si="12"/>
        <v>234363.14073630009</v>
      </c>
      <c r="T35" s="818">
        <f t="shared" si="13"/>
        <v>0</v>
      </c>
      <c r="U35" s="818">
        <v>0</v>
      </c>
      <c r="V35" s="818">
        <f t="shared" ca="1" si="14"/>
        <v>234363.14073630009</v>
      </c>
      <c r="W35" s="306">
        <f t="shared" si="1"/>
        <v>0</v>
      </c>
      <c r="X35" s="306">
        <f t="shared" ca="1" si="21"/>
        <v>-2370.5244355181135</v>
      </c>
      <c r="Y35" s="306">
        <v>0</v>
      </c>
      <c r="Z35" s="306">
        <v>0</v>
      </c>
      <c r="AA35" s="308">
        <f ca="1">-SUM(W35,X35/OFFSET(GridFootprintbyYear,$A35-$A$19,0)*EF_PurchElec_MTperMWh,Z35)*OFFSET(ExposureCalculations!Price_GHG_Allowance_2010,A35-$A$19,0)*ExposureCalculations!D32</f>
        <v>78079.069900754504</v>
      </c>
      <c r="AB35" s="308">
        <f t="shared" ca="1" si="22"/>
        <v>307259.27089048771</v>
      </c>
      <c r="AC35" s="308">
        <v>0</v>
      </c>
      <c r="AD35" s="819">
        <f t="shared" ca="1" si="2"/>
        <v>0</v>
      </c>
      <c r="AE35" s="308">
        <v>0</v>
      </c>
      <c r="AF35" s="819">
        <f t="shared" ca="1" si="3"/>
        <v>0</v>
      </c>
      <c r="AG35" s="308">
        <v>0</v>
      </c>
      <c r="AH35" s="308">
        <v>0</v>
      </c>
      <c r="AI35" s="308">
        <v>0</v>
      </c>
      <c r="AJ35" s="308">
        <f t="shared" ca="1" si="4"/>
        <v>307259.27089048771</v>
      </c>
      <c r="AK35" s="309">
        <v>0</v>
      </c>
      <c r="AL35" s="309">
        <v>0</v>
      </c>
      <c r="AM35" s="309">
        <f t="shared" si="15"/>
        <v>0</v>
      </c>
      <c r="AN35" s="310">
        <v>0</v>
      </c>
      <c r="AO35" s="310">
        <v>0</v>
      </c>
      <c r="AP35" s="310">
        <f t="shared" si="16"/>
        <v>0</v>
      </c>
      <c r="AQ35" s="309">
        <v>0</v>
      </c>
      <c r="AR35" s="311">
        <f t="shared" ca="1" si="5"/>
        <v>385338.3407912422</v>
      </c>
      <c r="AS35" s="870">
        <f t="shared" ca="1" si="17"/>
        <v>-1541760.2353503262</v>
      </c>
      <c r="AT35" s="822"/>
      <c r="AU35" s="878"/>
      <c r="AV35" s="35"/>
      <c r="AW35" s="879"/>
      <c r="AX35" s="35"/>
      <c r="AY35" s="880"/>
      <c r="BB35" s="928">
        <v>2015</v>
      </c>
      <c r="BC35" s="929">
        <f t="shared" si="28"/>
        <v>0</v>
      </c>
      <c r="BD35" s="931">
        <f t="shared" si="29"/>
        <v>0</v>
      </c>
      <c r="BE35" s="931">
        <f t="shared" si="30"/>
        <v>16687800</v>
      </c>
    </row>
    <row r="36" spans="1:57">
      <c r="A36" s="303">
        <v>2027</v>
      </c>
      <c r="B36" s="304">
        <f ca="1">IF($D$3="BAU",UtilityDemand!C29,INDIRECT($D$3&amp;"!B"&amp;ROW(A36))+INDIRECT($D$3&amp;"!D"&amp;ROW(A36)))</f>
        <v>159594.23363094722</v>
      </c>
      <c r="C36" s="305">
        <v>0</v>
      </c>
      <c r="D36" s="306">
        <f t="shared" ca="1" si="6"/>
        <v>0</v>
      </c>
      <c r="E36" s="304">
        <f ca="1">IF($D$3="BAU",UtilityDemand!E29,INDIRECT($D$3&amp;"!E"&amp;ROW(D36))+INDIRECT($D$3&amp;"!G"&amp;ROW(D36)))</f>
        <v>850581.66444298776</v>
      </c>
      <c r="F36" s="305">
        <v>0</v>
      </c>
      <c r="G36" s="306">
        <f t="shared" ca="1" si="7"/>
        <v>0</v>
      </c>
      <c r="H36" s="304">
        <f ca="1">IF($D$3="BAU",UtilityDemand!G29,INDIRECT($D$3&amp;"!H"&amp;ROW(G36))+INDIRECT($D$3&amp;"!J"&amp;ROW(G36)))</f>
        <v>237427.67529890378</v>
      </c>
      <c r="I36" s="305">
        <v>0</v>
      </c>
      <c r="J36" s="306">
        <f t="shared" ca="1" si="20"/>
        <v>0</v>
      </c>
      <c r="K36" s="307">
        <f t="shared" ca="1" si="8"/>
        <v>159594.23363094722</v>
      </c>
      <c r="L36" s="307">
        <f t="shared" si="24"/>
        <v>-16687.8</v>
      </c>
      <c r="M36" s="307">
        <f t="shared" si="25"/>
        <v>13350.24</v>
      </c>
      <c r="N36" s="307">
        <f t="shared" ca="1" si="26"/>
        <v>156256.67363094722</v>
      </c>
      <c r="O36" s="306">
        <f t="shared" ca="1" si="9"/>
        <v>850581.66444298776</v>
      </c>
      <c r="P36" s="306">
        <f t="shared" si="10"/>
        <v>0</v>
      </c>
      <c r="Q36" s="306">
        <v>0</v>
      </c>
      <c r="R36" s="306">
        <f t="shared" ca="1" si="11"/>
        <v>850581.66444298776</v>
      </c>
      <c r="S36" s="818">
        <f t="shared" ca="1" si="12"/>
        <v>237427.67529890378</v>
      </c>
      <c r="T36" s="818">
        <f t="shared" si="13"/>
        <v>0</v>
      </c>
      <c r="U36" s="818">
        <v>0</v>
      </c>
      <c r="V36" s="818">
        <f t="shared" ca="1" si="14"/>
        <v>237427.67529890378</v>
      </c>
      <c r="W36" s="306">
        <f t="shared" si="1"/>
        <v>0</v>
      </c>
      <c r="X36" s="306">
        <f t="shared" ca="1" si="21"/>
        <v>-2370.5244355181135</v>
      </c>
      <c r="Y36" s="306">
        <v>0</v>
      </c>
      <c r="Z36" s="306">
        <v>0</v>
      </c>
      <c r="AA36" s="308">
        <f ca="1">-SUM(W36,X36/OFFSET(GridFootprintbyYear,$A36-$A$19,0)*EF_PurchElec_MTperMWh,Z36)*OFFSET(ExposureCalculations!Price_GHG_Allowance_2010,A36-$A$19,0)*ExposureCalculations!D33</f>
        <v>84825.801739951858</v>
      </c>
      <c r="AB36" s="308">
        <f t="shared" ca="1" si="22"/>
        <v>308795.56724494015</v>
      </c>
      <c r="AC36" s="308">
        <v>0</v>
      </c>
      <c r="AD36" s="819">
        <f t="shared" ca="1" si="2"/>
        <v>0</v>
      </c>
      <c r="AE36" s="308">
        <v>0</v>
      </c>
      <c r="AF36" s="819">
        <f t="shared" ca="1" si="3"/>
        <v>0</v>
      </c>
      <c r="AG36" s="308">
        <v>0</v>
      </c>
      <c r="AH36" s="308">
        <v>0</v>
      </c>
      <c r="AI36" s="308">
        <v>0</v>
      </c>
      <c r="AJ36" s="308">
        <f t="shared" ca="1" si="4"/>
        <v>308795.56724494015</v>
      </c>
      <c r="AK36" s="309">
        <v>0</v>
      </c>
      <c r="AL36" s="309">
        <v>0</v>
      </c>
      <c r="AM36" s="309">
        <f t="shared" si="15"/>
        <v>0</v>
      </c>
      <c r="AN36" s="310">
        <v>0</v>
      </c>
      <c r="AO36" s="310">
        <v>0</v>
      </c>
      <c r="AP36" s="310">
        <f t="shared" si="16"/>
        <v>0</v>
      </c>
      <c r="AQ36" s="309">
        <v>0</v>
      </c>
      <c r="AR36" s="311">
        <f t="shared" ca="1" si="5"/>
        <v>393621.36898489203</v>
      </c>
      <c r="AS36" s="870">
        <f t="shared" ca="1" si="17"/>
        <v>-1148138.8663654341</v>
      </c>
      <c r="AT36" s="822"/>
      <c r="AU36" s="878"/>
      <c r="AV36" s="35"/>
      <c r="AW36" s="879"/>
      <c r="AX36" s="35"/>
      <c r="AY36" s="880"/>
      <c r="BB36" s="928">
        <v>2016</v>
      </c>
      <c r="BC36" s="929">
        <f t="shared" si="28"/>
        <v>0</v>
      </c>
      <c r="BD36" s="931">
        <f t="shared" si="29"/>
        <v>0</v>
      </c>
      <c r="BE36" s="931">
        <f t="shared" si="30"/>
        <v>16687800</v>
      </c>
    </row>
    <row r="37" spans="1:57">
      <c r="A37" s="303">
        <v>2028</v>
      </c>
      <c r="B37" s="304">
        <f ca="1">IF($D$3="BAU",UtilityDemand!C30,INDIRECT($D$3&amp;"!B"&amp;ROW(A37))+INDIRECT($D$3&amp;"!D"&amp;ROW(A37)))</f>
        <v>161170.85923179929</v>
      </c>
      <c r="C37" s="305">
        <v>0</v>
      </c>
      <c r="D37" s="306">
        <f t="shared" ca="1" si="6"/>
        <v>0</v>
      </c>
      <c r="E37" s="304">
        <f ca="1">IF($D$3="BAU",UtilityDemand!E30,INDIRECT($D$3&amp;"!E"&amp;ROW(D37))+INDIRECT($D$3&amp;"!G"&amp;ROW(D37)))</f>
        <v>858968.26357266307</v>
      </c>
      <c r="F37" s="305">
        <v>0</v>
      </c>
      <c r="G37" s="306">
        <f t="shared" ca="1" si="7"/>
        <v>0</v>
      </c>
      <c r="H37" s="304">
        <f ca="1">IF($D$3="BAU",UtilityDemand!G30,INDIRECT($D$3&amp;"!H"&amp;ROW(G37))+INDIRECT($D$3&amp;"!J"&amp;ROW(G37)))</f>
        <v>240492.20986150744</v>
      </c>
      <c r="I37" s="305">
        <v>0</v>
      </c>
      <c r="J37" s="306">
        <f t="shared" ca="1" si="20"/>
        <v>0</v>
      </c>
      <c r="K37" s="307">
        <f t="shared" ca="1" si="8"/>
        <v>161170.85923179929</v>
      </c>
      <c r="L37" s="307">
        <f t="shared" si="24"/>
        <v>-16687.8</v>
      </c>
      <c r="M37" s="307">
        <f t="shared" si="25"/>
        <v>13350.24</v>
      </c>
      <c r="N37" s="307">
        <f t="shared" ca="1" si="26"/>
        <v>157833.29923179929</v>
      </c>
      <c r="O37" s="306">
        <f t="shared" ca="1" si="9"/>
        <v>858968.26357266307</v>
      </c>
      <c r="P37" s="306">
        <f t="shared" si="10"/>
        <v>0</v>
      </c>
      <c r="Q37" s="306">
        <v>0</v>
      </c>
      <c r="R37" s="306">
        <f t="shared" ca="1" si="11"/>
        <v>858968.26357266307</v>
      </c>
      <c r="S37" s="818">
        <f t="shared" ca="1" si="12"/>
        <v>240492.20986150744</v>
      </c>
      <c r="T37" s="818">
        <f t="shared" si="13"/>
        <v>0</v>
      </c>
      <c r="U37" s="818">
        <v>0</v>
      </c>
      <c r="V37" s="818">
        <f t="shared" ca="1" si="14"/>
        <v>240492.20986150744</v>
      </c>
      <c r="W37" s="306">
        <f t="shared" si="1"/>
        <v>0</v>
      </c>
      <c r="X37" s="306">
        <f t="shared" ca="1" si="21"/>
        <v>-2370.5244355181135</v>
      </c>
      <c r="Y37" s="306">
        <v>0</v>
      </c>
      <c r="Z37" s="306">
        <v>0</v>
      </c>
      <c r="AA37" s="308">
        <f ca="1">-SUM(W37,X37/OFFSET(GridFootprintbyYear,$A37-$A$19,0)*EF_PurchElec_MTperMWh,Z37)*OFFSET(ExposureCalculations!Price_GHG_Allowance_2010,A37-$A$19,0)*ExposureCalculations!D34</f>
        <v>91765.824716048111</v>
      </c>
      <c r="AB37" s="308">
        <f t="shared" ca="1" si="22"/>
        <v>310339.54508116475</v>
      </c>
      <c r="AC37" s="308">
        <v>0</v>
      </c>
      <c r="AD37" s="819">
        <f t="shared" ca="1" si="2"/>
        <v>0</v>
      </c>
      <c r="AE37" s="308">
        <v>0</v>
      </c>
      <c r="AF37" s="819">
        <f t="shared" ca="1" si="3"/>
        <v>0</v>
      </c>
      <c r="AG37" s="308">
        <v>0</v>
      </c>
      <c r="AH37" s="308">
        <v>0</v>
      </c>
      <c r="AI37" s="308">
        <v>0</v>
      </c>
      <c r="AJ37" s="308">
        <f t="shared" ca="1" si="4"/>
        <v>310339.54508116475</v>
      </c>
      <c r="AK37" s="309">
        <v>0</v>
      </c>
      <c r="AL37" s="309">
        <v>0</v>
      </c>
      <c r="AM37" s="309">
        <f t="shared" si="15"/>
        <v>0</v>
      </c>
      <c r="AN37" s="310">
        <v>0</v>
      </c>
      <c r="AO37" s="310">
        <v>0</v>
      </c>
      <c r="AP37" s="310">
        <f t="shared" si="16"/>
        <v>0</v>
      </c>
      <c r="AQ37" s="309">
        <v>0</v>
      </c>
      <c r="AR37" s="311">
        <f t="shared" ca="1" si="5"/>
        <v>402105.36979721289</v>
      </c>
      <c r="AS37" s="870">
        <f t="shared" ca="1" si="17"/>
        <v>-746033.49656822125</v>
      </c>
      <c r="AT37" s="822"/>
      <c r="AU37" s="878"/>
      <c r="AV37" s="35"/>
      <c r="AW37" s="879"/>
      <c r="AX37" s="35"/>
      <c r="AY37" s="880"/>
      <c r="BB37" s="928">
        <v>2017</v>
      </c>
      <c r="BC37" s="929">
        <f t="shared" si="28"/>
        <v>0</v>
      </c>
      <c r="BD37" s="931">
        <f t="shared" si="29"/>
        <v>0</v>
      </c>
      <c r="BE37" s="931">
        <f t="shared" si="30"/>
        <v>16687800</v>
      </c>
    </row>
    <row r="38" spans="1:57">
      <c r="A38" s="303">
        <v>2029</v>
      </c>
      <c r="B38" s="304">
        <f ca="1">IF($D$3="BAU",UtilityDemand!C31,INDIRECT($D$3&amp;"!B"&amp;ROW(A38))+INDIRECT($D$3&amp;"!D"&amp;ROW(A38)))</f>
        <v>162747.48483265133</v>
      </c>
      <c r="C38" s="305">
        <v>0</v>
      </c>
      <c r="D38" s="306">
        <f t="shared" ca="1" si="6"/>
        <v>0</v>
      </c>
      <c r="E38" s="304">
        <f ca="1">IF($D$3="BAU",UtilityDemand!E31,INDIRECT($D$3&amp;"!E"&amp;ROW(D38))+INDIRECT($D$3&amp;"!G"&amp;ROW(D38)))</f>
        <v>867354.86270233872</v>
      </c>
      <c r="F38" s="305">
        <v>0</v>
      </c>
      <c r="G38" s="306">
        <f t="shared" ca="1" si="7"/>
        <v>0</v>
      </c>
      <c r="H38" s="304">
        <f ca="1">IF($D$3="BAU",UtilityDemand!G31,INDIRECT($D$3&amp;"!H"&amp;ROW(G38))+INDIRECT($D$3&amp;"!J"&amp;ROW(G38)))</f>
        <v>243556.74442411118</v>
      </c>
      <c r="I38" s="305">
        <v>0</v>
      </c>
      <c r="J38" s="306">
        <f t="shared" ca="1" si="20"/>
        <v>0</v>
      </c>
      <c r="K38" s="307">
        <f t="shared" ca="1" si="8"/>
        <v>162747.48483265133</v>
      </c>
      <c r="L38" s="307">
        <f t="shared" si="24"/>
        <v>-16687.8</v>
      </c>
      <c r="M38" s="307">
        <f t="shared" si="25"/>
        <v>13350.24</v>
      </c>
      <c r="N38" s="307">
        <f t="shared" ca="1" si="26"/>
        <v>159409.92483265133</v>
      </c>
      <c r="O38" s="306">
        <f t="shared" ca="1" si="9"/>
        <v>867354.86270233872</v>
      </c>
      <c r="P38" s="306">
        <f t="shared" si="10"/>
        <v>0</v>
      </c>
      <c r="Q38" s="306">
        <v>0</v>
      </c>
      <c r="R38" s="306">
        <f t="shared" ca="1" si="11"/>
        <v>867354.86270233872</v>
      </c>
      <c r="S38" s="818">
        <f t="shared" ca="1" si="12"/>
        <v>243556.74442411118</v>
      </c>
      <c r="T38" s="818">
        <f t="shared" si="13"/>
        <v>0</v>
      </c>
      <c r="U38" s="818">
        <v>0</v>
      </c>
      <c r="V38" s="818">
        <f t="shared" ca="1" si="14"/>
        <v>243556.74442411118</v>
      </c>
      <c r="W38" s="306">
        <f t="shared" si="1"/>
        <v>0</v>
      </c>
      <c r="X38" s="306">
        <f t="shared" ca="1" si="21"/>
        <v>-2370.5244355181135</v>
      </c>
      <c r="Y38" s="306">
        <v>0</v>
      </c>
      <c r="Z38" s="306">
        <v>0</v>
      </c>
      <c r="AA38" s="308">
        <f ca="1">-SUM(W38,X38/OFFSET(GridFootprintbyYear,$A38-$A$19,0)*EF_PurchElec_MTperMWh,Z38)*OFFSET(ExposureCalculations!Price_GHG_Allowance_2010,A38-$A$19,0)*ExposureCalculations!D35</f>
        <v>98889.328676685793</v>
      </c>
      <c r="AB38" s="308">
        <f t="shared" ca="1" si="22"/>
        <v>311891.24280657055</v>
      </c>
      <c r="AC38" s="308">
        <v>0</v>
      </c>
      <c r="AD38" s="819">
        <f t="shared" ca="1" si="2"/>
        <v>0</v>
      </c>
      <c r="AE38" s="308">
        <v>0</v>
      </c>
      <c r="AF38" s="819">
        <f t="shared" ca="1" si="3"/>
        <v>0</v>
      </c>
      <c r="AG38" s="308">
        <v>0</v>
      </c>
      <c r="AH38" s="308">
        <v>0</v>
      </c>
      <c r="AI38" s="308">
        <v>0</v>
      </c>
      <c r="AJ38" s="308">
        <f t="shared" ca="1" si="4"/>
        <v>311891.24280657055</v>
      </c>
      <c r="AK38" s="309">
        <v>0</v>
      </c>
      <c r="AL38" s="309">
        <v>0</v>
      </c>
      <c r="AM38" s="309">
        <f t="shared" si="15"/>
        <v>0</v>
      </c>
      <c r="AN38" s="310">
        <v>0</v>
      </c>
      <c r="AO38" s="310">
        <v>0</v>
      </c>
      <c r="AP38" s="310">
        <f t="shared" si="16"/>
        <v>0</v>
      </c>
      <c r="AQ38" s="309">
        <v>0</v>
      </c>
      <c r="AR38" s="311">
        <f t="shared" ca="1" si="5"/>
        <v>410780.57148325635</v>
      </c>
      <c r="AS38" s="870">
        <f t="shared" ca="1" si="17"/>
        <v>-335252.9250849649</v>
      </c>
      <c r="AT38" s="822"/>
      <c r="AU38" s="878"/>
      <c r="AV38" s="35"/>
      <c r="AW38" s="879"/>
      <c r="AX38" s="35"/>
      <c r="AY38" s="880"/>
      <c r="BB38" s="928">
        <v>2018</v>
      </c>
      <c r="BC38" s="929">
        <f t="shared" si="28"/>
        <v>0</v>
      </c>
      <c r="BD38" s="931">
        <f t="shared" si="29"/>
        <v>0</v>
      </c>
      <c r="BE38" s="931">
        <f t="shared" si="30"/>
        <v>16687800</v>
      </c>
    </row>
    <row r="39" spans="1:57">
      <c r="A39" s="303">
        <v>2030</v>
      </c>
      <c r="B39" s="304">
        <f ca="1">IF($D$3="BAU",UtilityDemand!C32,INDIRECT($D$3&amp;"!B"&amp;ROW(A39))+INDIRECT($D$3&amp;"!D"&amp;ROW(A39)))</f>
        <v>164324.11043350337</v>
      </c>
      <c r="C39" s="305">
        <v>0</v>
      </c>
      <c r="D39" s="306">
        <f t="shared" ca="1" si="6"/>
        <v>0</v>
      </c>
      <c r="E39" s="304">
        <f ca="1">IF($D$3="BAU",UtilityDemand!E32,INDIRECT($D$3&amp;"!E"&amp;ROW(D39))+INDIRECT($D$3&amp;"!G"&amp;ROW(D39)))</f>
        <v>875741.46183201415</v>
      </c>
      <c r="F39" s="305">
        <v>0</v>
      </c>
      <c r="G39" s="306">
        <f t="shared" ca="1" si="7"/>
        <v>0</v>
      </c>
      <c r="H39" s="304">
        <f ca="1">IF($D$3="BAU",UtilityDemand!G32,INDIRECT($D$3&amp;"!H"&amp;ROW(G39))+INDIRECT($D$3&amp;"!J"&amp;ROW(G39)))</f>
        <v>246621.27898671487</v>
      </c>
      <c r="I39" s="305">
        <v>0</v>
      </c>
      <c r="J39" s="306">
        <f t="shared" ca="1" si="20"/>
        <v>0</v>
      </c>
      <c r="K39" s="307">
        <f t="shared" ca="1" si="8"/>
        <v>164324.11043350337</v>
      </c>
      <c r="L39" s="307">
        <f t="shared" si="24"/>
        <v>-16687.8</v>
      </c>
      <c r="M39" s="307">
        <f t="shared" si="25"/>
        <v>13350.24</v>
      </c>
      <c r="N39" s="307">
        <f t="shared" ca="1" si="26"/>
        <v>160986.55043350338</v>
      </c>
      <c r="O39" s="306">
        <f t="shared" ca="1" si="9"/>
        <v>875741.46183201415</v>
      </c>
      <c r="P39" s="306">
        <f t="shared" si="10"/>
        <v>0</v>
      </c>
      <c r="Q39" s="306">
        <v>0</v>
      </c>
      <c r="R39" s="306">
        <f t="shared" ca="1" si="11"/>
        <v>875741.46183201415</v>
      </c>
      <c r="S39" s="818">
        <f t="shared" ca="1" si="12"/>
        <v>246621.27898671487</v>
      </c>
      <c r="T39" s="818">
        <f t="shared" si="13"/>
        <v>0</v>
      </c>
      <c r="U39" s="818">
        <v>0</v>
      </c>
      <c r="V39" s="818">
        <f t="shared" ca="1" si="14"/>
        <v>246621.27898671487</v>
      </c>
      <c r="W39" s="306">
        <f t="shared" si="1"/>
        <v>0</v>
      </c>
      <c r="X39" s="306">
        <f t="shared" ca="1" si="21"/>
        <v>-2370.5244355181135</v>
      </c>
      <c r="Y39" s="306">
        <v>0</v>
      </c>
      <c r="Z39" s="306">
        <v>0</v>
      </c>
      <c r="AA39" s="308">
        <f ca="1">-SUM(W39,X39/OFFSET(GridFootprintbyYear,$A39-$A$19,0)*EF_PurchElec_MTperMWh,Z39)*OFFSET(ExposureCalculations!Price_GHG_Allowance_2010,A39-$A$19,0)*ExposureCalculations!D36</f>
        <v>106186.55537309001</v>
      </c>
      <c r="AB39" s="308">
        <f t="shared" ca="1" si="22"/>
        <v>313450.69902060338</v>
      </c>
      <c r="AC39" s="308">
        <v>0</v>
      </c>
      <c r="AD39" s="819">
        <f t="shared" ca="1" si="2"/>
        <v>0</v>
      </c>
      <c r="AE39" s="308">
        <v>0</v>
      </c>
      <c r="AF39" s="819">
        <f t="shared" ca="1" si="3"/>
        <v>0</v>
      </c>
      <c r="AG39" s="308">
        <v>0</v>
      </c>
      <c r="AH39" s="308">
        <v>0</v>
      </c>
      <c r="AI39" s="308">
        <v>0</v>
      </c>
      <c r="AJ39" s="308">
        <f t="shared" ca="1" si="4"/>
        <v>313450.69902060338</v>
      </c>
      <c r="AK39" s="309">
        <v>0</v>
      </c>
      <c r="AL39" s="309">
        <v>0</v>
      </c>
      <c r="AM39" s="309">
        <f t="shared" si="15"/>
        <v>0</v>
      </c>
      <c r="AN39" s="310">
        <v>0</v>
      </c>
      <c r="AO39" s="310">
        <v>0</v>
      </c>
      <c r="AP39" s="310">
        <f t="shared" si="16"/>
        <v>0</v>
      </c>
      <c r="AQ39" s="309">
        <v>0</v>
      </c>
      <c r="AR39" s="311">
        <f t="shared" ca="1" si="5"/>
        <v>419637.25439369341</v>
      </c>
      <c r="AS39" s="870">
        <f t="shared" ca="1" si="17"/>
        <v>84384.329308728513</v>
      </c>
      <c r="AT39" s="822"/>
      <c r="AU39" s="878"/>
      <c r="AV39" s="35"/>
      <c r="AW39" s="879"/>
      <c r="AX39" s="35"/>
      <c r="AY39" s="880"/>
      <c r="BB39" s="928">
        <v>2019</v>
      </c>
      <c r="BC39" s="929">
        <f t="shared" si="28"/>
        <v>0</v>
      </c>
      <c r="BD39" s="931">
        <f t="shared" si="29"/>
        <v>0</v>
      </c>
      <c r="BE39" s="931">
        <f t="shared" si="30"/>
        <v>16687800</v>
      </c>
    </row>
    <row r="40" spans="1:57">
      <c r="A40" s="303">
        <v>2031</v>
      </c>
      <c r="B40" s="304">
        <f ca="1">IF($D$3="BAU",UtilityDemand!C33,INDIRECT($D$3&amp;"!B"&amp;ROW(A40))+INDIRECT($D$3&amp;"!D"&amp;ROW(A40)))</f>
        <v>165900.73603435536</v>
      </c>
      <c r="C40" s="305">
        <v>0</v>
      </c>
      <c r="D40" s="306">
        <f t="shared" ca="1" si="6"/>
        <v>0</v>
      </c>
      <c r="E40" s="304">
        <f ca="1">IF($D$3="BAU",UtilityDemand!E33,INDIRECT($D$3&amp;"!E"&amp;ROW(D40))+INDIRECT($D$3&amp;"!G"&amp;ROW(D40)))</f>
        <v>884128.06096168945</v>
      </c>
      <c r="F40" s="305">
        <v>0</v>
      </c>
      <c r="G40" s="306">
        <f t="shared" ca="1" si="7"/>
        <v>0</v>
      </c>
      <c r="H40" s="304">
        <f ca="1">IF($D$3="BAU",UtilityDemand!G33,INDIRECT($D$3&amp;"!H"&amp;ROW(G40))+INDIRECT($D$3&amp;"!J"&amp;ROW(G40)))</f>
        <v>249685.81354931853</v>
      </c>
      <c r="I40" s="305">
        <v>0</v>
      </c>
      <c r="J40" s="306">
        <f t="shared" ca="1" si="20"/>
        <v>0</v>
      </c>
      <c r="K40" s="307">
        <f t="shared" ca="1" si="8"/>
        <v>165900.73603435536</v>
      </c>
      <c r="L40" s="307">
        <f t="shared" si="24"/>
        <v>-16687.8</v>
      </c>
      <c r="M40" s="307">
        <f t="shared" si="25"/>
        <v>13350.24</v>
      </c>
      <c r="N40" s="307">
        <f t="shared" ca="1" si="26"/>
        <v>162563.17603435536</v>
      </c>
      <c r="O40" s="306">
        <f t="shared" ca="1" si="9"/>
        <v>884128.06096168945</v>
      </c>
      <c r="P40" s="306">
        <f t="shared" si="10"/>
        <v>0</v>
      </c>
      <c r="Q40" s="306">
        <v>0</v>
      </c>
      <c r="R40" s="306">
        <f t="shared" ca="1" si="11"/>
        <v>884128.06096168945</v>
      </c>
      <c r="S40" s="818">
        <f t="shared" ca="1" si="12"/>
        <v>249685.81354931853</v>
      </c>
      <c r="T40" s="818">
        <f t="shared" si="13"/>
        <v>0</v>
      </c>
      <c r="U40" s="818">
        <v>0</v>
      </c>
      <c r="V40" s="818">
        <f t="shared" ca="1" si="14"/>
        <v>249685.81354931853</v>
      </c>
      <c r="W40" s="306">
        <f t="shared" si="1"/>
        <v>0</v>
      </c>
      <c r="X40" s="306">
        <f t="shared" ca="1" si="21"/>
        <v>-2370.5244355181135</v>
      </c>
      <c r="Y40" s="306">
        <v>0</v>
      </c>
      <c r="Z40" s="306">
        <v>0</v>
      </c>
      <c r="AA40" s="308">
        <f ca="1">-SUM(W40,X40/OFFSET(GridFootprintbyYear,$A40-$A$19,0)*EF_PurchElec_MTperMWh,Z40)*OFFSET(ExposureCalculations!Price_GHG_Allowance_2010,A40-$A$19,0)*ExposureCalculations!D37</f>
        <v>114542.58147007036</v>
      </c>
      <c r="AB40" s="308">
        <f t="shared" ca="1" si="22"/>
        <v>315017.95251570625</v>
      </c>
      <c r="AC40" s="308">
        <v>0</v>
      </c>
      <c r="AD40" s="819">
        <f t="shared" ca="1" si="2"/>
        <v>0</v>
      </c>
      <c r="AE40" s="308">
        <v>0</v>
      </c>
      <c r="AF40" s="819">
        <f t="shared" ca="1" si="3"/>
        <v>0</v>
      </c>
      <c r="AG40" s="308">
        <v>0</v>
      </c>
      <c r="AH40" s="308">
        <v>0</v>
      </c>
      <c r="AI40" s="308">
        <v>0</v>
      </c>
      <c r="AJ40" s="308">
        <f t="shared" ca="1" si="4"/>
        <v>315017.95251570625</v>
      </c>
      <c r="AK40" s="309">
        <v>0</v>
      </c>
      <c r="AL40" s="309">
        <v>0</v>
      </c>
      <c r="AM40" s="309">
        <f t="shared" si="15"/>
        <v>0</v>
      </c>
      <c r="AN40" s="310">
        <v>0</v>
      </c>
      <c r="AO40" s="310">
        <v>0</v>
      </c>
      <c r="AP40" s="310">
        <f t="shared" si="16"/>
        <v>0</v>
      </c>
      <c r="AQ40" s="309">
        <v>0</v>
      </c>
      <c r="AR40" s="311">
        <f t="shared" ca="1" si="5"/>
        <v>429560.53398577659</v>
      </c>
      <c r="AS40" s="870">
        <f t="shared" ca="1" si="17"/>
        <v>513944.86329450511</v>
      </c>
      <c r="AT40" s="822"/>
      <c r="AU40" s="878"/>
      <c r="AV40" s="35"/>
      <c r="AW40" s="879"/>
      <c r="AX40" s="35"/>
      <c r="AY40" s="880"/>
      <c r="BB40" s="928">
        <v>2020</v>
      </c>
      <c r="BC40" s="929">
        <f t="shared" si="28"/>
        <v>0</v>
      </c>
      <c r="BD40" s="931">
        <f t="shared" si="29"/>
        <v>0</v>
      </c>
      <c r="BE40" s="931">
        <f t="shared" si="30"/>
        <v>16687800</v>
      </c>
    </row>
    <row r="41" spans="1:57">
      <c r="A41" s="303">
        <v>2032</v>
      </c>
      <c r="B41" s="304">
        <f ca="1">IF($D$3="BAU",UtilityDemand!C34,INDIRECT($D$3&amp;"!B"&amp;ROW(A41))+INDIRECT($D$3&amp;"!D"&amp;ROW(A41)))</f>
        <v>167477.3616352074</v>
      </c>
      <c r="C41" s="305">
        <v>0</v>
      </c>
      <c r="D41" s="306">
        <f t="shared" ca="1" si="6"/>
        <v>0</v>
      </c>
      <c r="E41" s="304">
        <f ca="1">IF($D$3="BAU",UtilityDemand!E34,INDIRECT($D$3&amp;"!E"&amp;ROW(D41))+INDIRECT($D$3&amp;"!G"&amp;ROW(D41)))</f>
        <v>892514.66009136476</v>
      </c>
      <c r="F41" s="305">
        <v>0</v>
      </c>
      <c r="G41" s="306">
        <f t="shared" ca="1" si="7"/>
        <v>0</v>
      </c>
      <c r="H41" s="304">
        <f ca="1">IF($D$3="BAU",UtilityDemand!G34,INDIRECT($D$3&amp;"!H"&amp;ROW(G41))+INDIRECT($D$3&amp;"!J"&amp;ROW(G41)))</f>
        <v>252750.34811192221</v>
      </c>
      <c r="I41" s="305">
        <v>0</v>
      </c>
      <c r="J41" s="306">
        <f t="shared" ca="1" si="20"/>
        <v>0</v>
      </c>
      <c r="K41" s="307">
        <f t="shared" ca="1" si="8"/>
        <v>167477.3616352074</v>
      </c>
      <c r="L41" s="307">
        <f t="shared" si="24"/>
        <v>-16687.8</v>
      </c>
      <c r="M41" s="307">
        <f t="shared" si="25"/>
        <v>13350.24</v>
      </c>
      <c r="N41" s="307">
        <f t="shared" ca="1" si="26"/>
        <v>164139.8016352074</v>
      </c>
      <c r="O41" s="306">
        <f t="shared" ca="1" si="9"/>
        <v>892514.66009136476</v>
      </c>
      <c r="P41" s="306">
        <f t="shared" si="10"/>
        <v>0</v>
      </c>
      <c r="Q41" s="306">
        <v>0</v>
      </c>
      <c r="R41" s="306">
        <f t="shared" ca="1" si="11"/>
        <v>892514.66009136476</v>
      </c>
      <c r="S41" s="818">
        <f t="shared" ca="1" si="12"/>
        <v>252750.34811192221</v>
      </c>
      <c r="T41" s="818">
        <f t="shared" si="13"/>
        <v>0</v>
      </c>
      <c r="U41" s="818">
        <v>0</v>
      </c>
      <c r="V41" s="818">
        <f t="shared" ca="1" si="14"/>
        <v>252750.34811192221</v>
      </c>
      <c r="W41" s="306">
        <f t="shared" si="1"/>
        <v>0</v>
      </c>
      <c r="X41" s="306">
        <f t="shared" ca="1" si="21"/>
        <v>-2370.5244355181135</v>
      </c>
      <c r="Y41" s="306">
        <v>0</v>
      </c>
      <c r="Z41" s="306">
        <v>0</v>
      </c>
      <c r="AA41" s="308">
        <f ca="1">-SUM(W41,X41/OFFSET(GridFootprintbyYear,$A41-$A$19,0)*EF_PurchElec_MTperMWh,Z41)*OFFSET(ExposureCalculations!Price_GHG_Allowance_2010,A41-$A$19,0)*ExposureCalculations!D38</f>
        <v>123103.15680925742</v>
      </c>
      <c r="AB41" s="308">
        <f t="shared" ca="1" si="22"/>
        <v>316593.04227828479</v>
      </c>
      <c r="AC41" s="308">
        <v>0</v>
      </c>
      <c r="AD41" s="819">
        <f t="shared" ca="1" si="2"/>
        <v>0</v>
      </c>
      <c r="AE41" s="308">
        <v>0</v>
      </c>
      <c r="AF41" s="819">
        <f t="shared" ca="1" si="3"/>
        <v>0</v>
      </c>
      <c r="AG41" s="308">
        <v>0</v>
      </c>
      <c r="AH41" s="308">
        <v>0</v>
      </c>
      <c r="AI41" s="308">
        <v>0</v>
      </c>
      <c r="AJ41" s="308">
        <f t="shared" ca="1" si="4"/>
        <v>316593.04227828479</v>
      </c>
      <c r="AK41" s="309">
        <v>0</v>
      </c>
      <c r="AL41" s="309">
        <v>0</v>
      </c>
      <c r="AM41" s="309">
        <f t="shared" si="15"/>
        <v>0</v>
      </c>
      <c r="AN41" s="310">
        <v>0</v>
      </c>
      <c r="AO41" s="310">
        <v>0</v>
      </c>
      <c r="AP41" s="310">
        <f t="shared" si="16"/>
        <v>0</v>
      </c>
      <c r="AQ41" s="309">
        <v>0</v>
      </c>
      <c r="AR41" s="311">
        <f t="shared" ca="1" si="5"/>
        <v>439696.19908754219</v>
      </c>
      <c r="AS41" s="870">
        <f t="shared" ca="1" si="17"/>
        <v>953641.0623820473</v>
      </c>
      <c r="AT41" s="822"/>
      <c r="AU41" s="878"/>
      <c r="AV41" s="35"/>
      <c r="AW41" s="879"/>
      <c r="AX41" s="35"/>
      <c r="AY41" s="880"/>
    </row>
    <row r="42" spans="1:57">
      <c r="A42" s="303">
        <v>2033</v>
      </c>
      <c r="B42" s="304">
        <f ca="1">IF($D$3="BAU",UtilityDemand!C35,INDIRECT($D$3&amp;"!B"&amp;ROW(A42))+INDIRECT($D$3&amp;"!D"&amp;ROW(A42)))</f>
        <v>169053.98723605942</v>
      </c>
      <c r="C42" s="305">
        <v>0</v>
      </c>
      <c r="D42" s="306">
        <f t="shared" ca="1" si="6"/>
        <v>0</v>
      </c>
      <c r="E42" s="304">
        <f ca="1">IF($D$3="BAU",UtilityDemand!E35,INDIRECT($D$3&amp;"!E"&amp;ROW(D42))+INDIRECT($D$3&amp;"!G"&amp;ROW(D42)))</f>
        <v>900901.25922104018</v>
      </c>
      <c r="F42" s="305">
        <v>0</v>
      </c>
      <c r="G42" s="306">
        <f t="shared" ca="1" si="7"/>
        <v>0</v>
      </c>
      <c r="H42" s="304">
        <f ca="1">IF($D$3="BAU",UtilityDemand!G35,INDIRECT($D$3&amp;"!H"&amp;ROW(G42))+INDIRECT($D$3&amp;"!J"&amp;ROW(G42)))</f>
        <v>255814.8826745259</v>
      </c>
      <c r="I42" s="305">
        <v>0</v>
      </c>
      <c r="J42" s="306">
        <f t="shared" ca="1" si="20"/>
        <v>0</v>
      </c>
      <c r="K42" s="307">
        <f t="shared" ca="1" si="8"/>
        <v>169053.98723605942</v>
      </c>
      <c r="L42" s="307">
        <f t="shared" si="24"/>
        <v>-16687.8</v>
      </c>
      <c r="M42" s="307">
        <f t="shared" si="25"/>
        <v>13350.24</v>
      </c>
      <c r="N42" s="307">
        <f t="shared" ca="1" si="26"/>
        <v>165716.42723605942</v>
      </c>
      <c r="O42" s="306">
        <f t="shared" ca="1" si="9"/>
        <v>900901.25922104018</v>
      </c>
      <c r="P42" s="306">
        <f t="shared" si="10"/>
        <v>0</v>
      </c>
      <c r="Q42" s="306">
        <v>0</v>
      </c>
      <c r="R42" s="306">
        <f t="shared" ca="1" si="11"/>
        <v>900901.25922104018</v>
      </c>
      <c r="S42" s="818">
        <f t="shared" ca="1" si="12"/>
        <v>255814.8826745259</v>
      </c>
      <c r="T42" s="818">
        <f t="shared" si="13"/>
        <v>0</v>
      </c>
      <c r="U42" s="818">
        <v>0</v>
      </c>
      <c r="V42" s="818">
        <f t="shared" ca="1" si="14"/>
        <v>255814.8826745259</v>
      </c>
      <c r="W42" s="306">
        <f t="shared" si="1"/>
        <v>0</v>
      </c>
      <c r="X42" s="306">
        <f t="shared" ca="1" si="21"/>
        <v>-2370.5244355181135</v>
      </c>
      <c r="Y42" s="306">
        <v>0</v>
      </c>
      <c r="Z42" s="306">
        <v>0</v>
      </c>
      <c r="AA42" s="308">
        <f ca="1">-SUM(W42,X42/OFFSET(GridFootprintbyYear,$A42-$A$19,0)*EF_PurchElec_MTperMWh,Z42)*OFFSET(ExposureCalculations!Price_GHG_Allowance_2010,A42-$A$19,0)*ExposureCalculations!D39</f>
        <v>130777.19903841737</v>
      </c>
      <c r="AB42" s="308">
        <f t="shared" ca="1" si="22"/>
        <v>318176.00748967612</v>
      </c>
      <c r="AC42" s="308">
        <v>0</v>
      </c>
      <c r="AD42" s="819">
        <f t="shared" ca="1" si="2"/>
        <v>0</v>
      </c>
      <c r="AE42" s="308">
        <v>0</v>
      </c>
      <c r="AF42" s="819">
        <f t="shared" ca="1" si="3"/>
        <v>0</v>
      </c>
      <c r="AG42" s="308">
        <v>0</v>
      </c>
      <c r="AH42" s="308">
        <v>0</v>
      </c>
      <c r="AI42" s="308">
        <v>0</v>
      </c>
      <c r="AJ42" s="308">
        <f t="shared" ca="1" si="4"/>
        <v>318176.00748967612</v>
      </c>
      <c r="AK42" s="309">
        <v>0</v>
      </c>
      <c r="AL42" s="309">
        <v>0</v>
      </c>
      <c r="AM42" s="309">
        <f t="shared" si="15"/>
        <v>0</v>
      </c>
      <c r="AN42" s="310">
        <v>0</v>
      </c>
      <c r="AO42" s="310">
        <v>0</v>
      </c>
      <c r="AP42" s="310">
        <f t="shared" si="16"/>
        <v>0</v>
      </c>
      <c r="AQ42" s="309">
        <v>0</v>
      </c>
      <c r="AR42" s="311">
        <f t="shared" ca="1" si="5"/>
        <v>448953.20652809349</v>
      </c>
      <c r="AS42" s="870">
        <f t="shared" ca="1" si="17"/>
        <v>1402594.2689101407</v>
      </c>
      <c r="AT42" s="822"/>
      <c r="AU42" s="878"/>
      <c r="AV42" s="35"/>
      <c r="AW42" s="879"/>
      <c r="AX42" s="35"/>
      <c r="AY42" s="880"/>
    </row>
    <row r="43" spans="1:57">
      <c r="A43" s="303">
        <v>2034</v>
      </c>
      <c r="B43" s="304">
        <f ca="1">IF($D$3="BAU",UtilityDemand!C36,INDIRECT($D$3&amp;"!B"&amp;ROW(A43))+INDIRECT($D$3&amp;"!D"&amp;ROW(A43)))</f>
        <v>170630.61283691146</v>
      </c>
      <c r="C43" s="305">
        <v>0</v>
      </c>
      <c r="D43" s="306">
        <f t="shared" ca="1" si="6"/>
        <v>0</v>
      </c>
      <c r="E43" s="304">
        <f ca="1">IF($D$3="BAU",UtilityDemand!E36,INDIRECT($D$3&amp;"!E"&amp;ROW(D43))+INDIRECT($D$3&amp;"!G"&amp;ROW(D43)))</f>
        <v>909287.85835071537</v>
      </c>
      <c r="F43" s="305">
        <v>0</v>
      </c>
      <c r="G43" s="306">
        <f t="shared" ca="1" si="7"/>
        <v>0</v>
      </c>
      <c r="H43" s="304">
        <f ca="1">IF($D$3="BAU",UtilityDemand!G36,INDIRECT($D$3&amp;"!H"&amp;ROW(G43))+INDIRECT($D$3&amp;"!J"&amp;ROW(G43)))</f>
        <v>258879.41723712959</v>
      </c>
      <c r="I43" s="305">
        <v>0</v>
      </c>
      <c r="J43" s="306">
        <f t="shared" ca="1" si="20"/>
        <v>0</v>
      </c>
      <c r="K43" s="307">
        <f t="shared" ca="1" si="8"/>
        <v>170630.61283691146</v>
      </c>
      <c r="L43" s="307">
        <f t="shared" si="24"/>
        <v>-16687.8</v>
      </c>
      <c r="M43" s="307">
        <f t="shared" si="25"/>
        <v>13350.24</v>
      </c>
      <c r="N43" s="307">
        <f t="shared" ca="1" si="26"/>
        <v>167293.05283691146</v>
      </c>
      <c r="O43" s="306">
        <f t="shared" ca="1" si="9"/>
        <v>909287.85835071537</v>
      </c>
      <c r="P43" s="306">
        <f t="shared" si="10"/>
        <v>0</v>
      </c>
      <c r="Q43" s="306">
        <v>0</v>
      </c>
      <c r="R43" s="306">
        <f t="shared" ca="1" si="11"/>
        <v>909287.85835071537</v>
      </c>
      <c r="S43" s="818">
        <f t="shared" ca="1" si="12"/>
        <v>258879.41723712959</v>
      </c>
      <c r="T43" s="818">
        <f t="shared" si="13"/>
        <v>0</v>
      </c>
      <c r="U43" s="818">
        <v>0</v>
      </c>
      <c r="V43" s="818">
        <f t="shared" ca="1" si="14"/>
        <v>258879.41723712959</v>
      </c>
      <c r="W43" s="306">
        <f t="shared" si="1"/>
        <v>0</v>
      </c>
      <c r="X43" s="306">
        <f t="shared" ca="1" si="21"/>
        <v>-2370.5244355181135</v>
      </c>
      <c r="Y43" s="306">
        <v>0</v>
      </c>
      <c r="Z43" s="306">
        <v>0</v>
      </c>
      <c r="AA43" s="308">
        <f ca="1">-SUM(W43,X43/OFFSET(GridFootprintbyYear,$A43-$A$19,0)*EF_PurchElec_MTperMWh,Z43)*OFFSET(ExposureCalculations!Price_GHG_Allowance_2010,A43-$A$19,0)*ExposureCalculations!D40</f>
        <v>137521.18293733362</v>
      </c>
      <c r="AB43" s="308">
        <f t="shared" ca="1" si="22"/>
        <v>319766.88752712455</v>
      </c>
      <c r="AC43" s="308">
        <v>0</v>
      </c>
      <c r="AD43" s="819">
        <f t="shared" ca="1" si="2"/>
        <v>0</v>
      </c>
      <c r="AE43" s="308">
        <v>0</v>
      </c>
      <c r="AF43" s="819">
        <f t="shared" ca="1" si="3"/>
        <v>0</v>
      </c>
      <c r="AG43" s="308">
        <v>0</v>
      </c>
      <c r="AH43" s="308">
        <v>0</v>
      </c>
      <c r="AI43" s="308">
        <v>0</v>
      </c>
      <c r="AJ43" s="308">
        <f t="shared" ca="1" si="4"/>
        <v>319766.88752712455</v>
      </c>
      <c r="AK43" s="309">
        <v>0</v>
      </c>
      <c r="AL43" s="309">
        <v>0</v>
      </c>
      <c r="AM43" s="309">
        <f t="shared" si="15"/>
        <v>0</v>
      </c>
      <c r="AN43" s="310">
        <v>0</v>
      </c>
      <c r="AO43" s="310">
        <v>0</v>
      </c>
      <c r="AP43" s="310">
        <f t="shared" si="16"/>
        <v>0</v>
      </c>
      <c r="AQ43" s="309">
        <v>0</v>
      </c>
      <c r="AR43" s="311">
        <f t="shared" ca="1" si="5"/>
        <v>457288.0704644582</v>
      </c>
      <c r="AS43" s="870">
        <f t="shared" ca="1" si="17"/>
        <v>1859882.339374599</v>
      </c>
      <c r="AT43" s="822"/>
      <c r="AU43" s="878"/>
      <c r="AV43" s="35"/>
      <c r="AW43" s="879"/>
      <c r="AX43" s="35"/>
      <c r="AY43" s="880"/>
    </row>
    <row r="44" spans="1:57">
      <c r="A44" s="303">
        <v>2035</v>
      </c>
      <c r="B44" s="304">
        <f ca="1">IF($D$3="BAU",UtilityDemand!C37,INDIRECT($D$3&amp;"!B"&amp;ROW(A44))+INDIRECT($D$3&amp;"!D"&amp;ROW(A44)))</f>
        <v>172207.23843776347</v>
      </c>
      <c r="C44" s="305">
        <v>0</v>
      </c>
      <c r="D44" s="306">
        <f t="shared" ca="1" si="6"/>
        <v>0</v>
      </c>
      <c r="E44" s="304">
        <f ca="1">IF($D$3="BAU",UtilityDemand!E37,INDIRECT($D$3&amp;"!E"&amp;ROW(D44))+INDIRECT($D$3&amp;"!G"&amp;ROW(D44)))</f>
        <v>917674.45748039079</v>
      </c>
      <c r="F44" s="305">
        <v>0</v>
      </c>
      <c r="G44" s="306">
        <f t="shared" ca="1" si="7"/>
        <v>0</v>
      </c>
      <c r="H44" s="304">
        <f ca="1">IF($D$3="BAU",UtilityDemand!G37,INDIRECT($D$3&amp;"!H"&amp;ROW(G44))+INDIRECT($D$3&amp;"!J"&amp;ROW(G44)))</f>
        <v>261943.95179973327</v>
      </c>
      <c r="I44" s="305">
        <v>0</v>
      </c>
      <c r="J44" s="306">
        <f t="shared" ca="1" si="20"/>
        <v>0</v>
      </c>
      <c r="K44" s="307">
        <f t="shared" ca="1" si="8"/>
        <v>172207.23843776347</v>
      </c>
      <c r="L44" s="307">
        <f t="shared" si="24"/>
        <v>-16687.8</v>
      </c>
      <c r="M44" s="307">
        <f t="shared" si="25"/>
        <v>13350.24</v>
      </c>
      <c r="N44" s="307">
        <f t="shared" ca="1" si="26"/>
        <v>168869.67843776348</v>
      </c>
      <c r="O44" s="306">
        <f t="shared" ca="1" si="9"/>
        <v>917674.45748039079</v>
      </c>
      <c r="P44" s="306">
        <f t="shared" si="10"/>
        <v>0</v>
      </c>
      <c r="Q44" s="306">
        <v>0</v>
      </c>
      <c r="R44" s="306">
        <f t="shared" ca="1" si="11"/>
        <v>917674.45748039079</v>
      </c>
      <c r="S44" s="818">
        <f t="shared" ca="1" si="12"/>
        <v>261943.95179973327</v>
      </c>
      <c r="T44" s="818">
        <f t="shared" si="13"/>
        <v>0</v>
      </c>
      <c r="U44" s="818">
        <v>0</v>
      </c>
      <c r="V44" s="818">
        <f t="shared" ca="1" si="14"/>
        <v>261943.95179973327</v>
      </c>
      <c r="W44" s="306">
        <f t="shared" si="1"/>
        <v>0</v>
      </c>
      <c r="X44" s="306">
        <f t="shared" ca="1" si="21"/>
        <v>-2370.5244355181135</v>
      </c>
      <c r="Y44" s="306">
        <v>0</v>
      </c>
      <c r="Z44" s="306">
        <v>0</v>
      </c>
      <c r="AA44" s="308">
        <f ca="1">-SUM(W44,X44/OFFSET(GridFootprintbyYear,$A44-$A$19,0)*EF_PurchElec_MTperMWh,Z44)*OFFSET(ExposureCalculations!Price_GHG_Allowance_2010,A44-$A$19,0)*ExposureCalculations!D41</f>
        <v>144403.64023128324</v>
      </c>
      <c r="AB44" s="308">
        <f t="shared" ca="1" si="22"/>
        <v>321365.7219647601</v>
      </c>
      <c r="AC44" s="308">
        <v>0</v>
      </c>
      <c r="AD44" s="819">
        <f t="shared" ca="1" si="2"/>
        <v>0</v>
      </c>
      <c r="AE44" s="308">
        <v>0</v>
      </c>
      <c r="AF44" s="819">
        <f t="shared" ca="1" si="3"/>
        <v>0</v>
      </c>
      <c r="AG44" s="308">
        <v>0</v>
      </c>
      <c r="AH44" s="308">
        <v>0</v>
      </c>
      <c r="AI44" s="308">
        <v>0</v>
      </c>
      <c r="AJ44" s="308">
        <f t="shared" ca="1" si="4"/>
        <v>321365.7219647601</v>
      </c>
      <c r="AK44" s="309">
        <v>0</v>
      </c>
      <c r="AL44" s="309">
        <v>0</v>
      </c>
      <c r="AM44" s="309">
        <f t="shared" si="15"/>
        <v>0</v>
      </c>
      <c r="AN44" s="310">
        <v>0</v>
      </c>
      <c r="AO44" s="310">
        <v>0</v>
      </c>
      <c r="AP44" s="310">
        <f t="shared" si="16"/>
        <v>0</v>
      </c>
      <c r="AQ44" s="309">
        <v>0</v>
      </c>
      <c r="AR44" s="311">
        <f t="shared" ca="1" si="5"/>
        <v>465769.36219604337</v>
      </c>
      <c r="AS44" s="870">
        <f t="shared" ca="1" si="17"/>
        <v>2325651.7015706422</v>
      </c>
      <c r="AT44" s="822"/>
      <c r="AU44" s="878"/>
      <c r="AV44" s="35"/>
      <c r="AW44" s="879"/>
      <c r="AX44" s="35"/>
      <c r="AY44" s="880"/>
    </row>
    <row r="45" spans="1:57">
      <c r="A45" s="303">
        <v>2036</v>
      </c>
      <c r="B45" s="304">
        <f ca="1">IF($D$3="BAU",UtilityDemand!C38,INDIRECT($D$3&amp;"!B"&amp;ROW(A45))+INDIRECT($D$3&amp;"!D"&amp;ROW(A45)))</f>
        <v>173783.86403861555</v>
      </c>
      <c r="C45" s="305">
        <v>0</v>
      </c>
      <c r="D45" s="306">
        <f t="shared" ca="1" si="6"/>
        <v>0</v>
      </c>
      <c r="E45" s="304">
        <f ca="1">IF($D$3="BAU",UtilityDemand!E38,INDIRECT($D$3&amp;"!E"&amp;ROW(D45))+INDIRECT($D$3&amp;"!G"&amp;ROW(D45)))</f>
        <v>926061.05661006644</v>
      </c>
      <c r="F45" s="305">
        <v>0</v>
      </c>
      <c r="G45" s="306">
        <f t="shared" ca="1" si="7"/>
        <v>0</v>
      </c>
      <c r="H45" s="304">
        <f ca="1">IF($D$3="BAU",UtilityDemand!G38,INDIRECT($D$3&amp;"!H"&amp;ROW(G45))+INDIRECT($D$3&amp;"!J"&amp;ROW(G45)))</f>
        <v>265008.48636233702</v>
      </c>
      <c r="I45" s="305">
        <v>0</v>
      </c>
      <c r="J45" s="306">
        <f t="shared" ca="1" si="20"/>
        <v>0</v>
      </c>
      <c r="K45" s="307">
        <f t="shared" ca="1" si="8"/>
        <v>173783.86403861555</v>
      </c>
      <c r="L45" s="307">
        <f t="shared" si="24"/>
        <v>-16687.8</v>
      </c>
      <c r="M45" s="307">
        <f t="shared" si="25"/>
        <v>13350.24</v>
      </c>
      <c r="N45" s="307">
        <f t="shared" ca="1" si="26"/>
        <v>170446.30403861555</v>
      </c>
      <c r="O45" s="306">
        <f t="shared" ca="1" si="9"/>
        <v>926061.05661006644</v>
      </c>
      <c r="P45" s="306">
        <f t="shared" si="10"/>
        <v>0</v>
      </c>
      <c r="Q45" s="306">
        <v>0</v>
      </c>
      <c r="R45" s="306">
        <f t="shared" ca="1" si="11"/>
        <v>926061.05661006644</v>
      </c>
      <c r="S45" s="818">
        <f t="shared" ca="1" si="12"/>
        <v>265008.48636233702</v>
      </c>
      <c r="T45" s="818">
        <f t="shared" si="13"/>
        <v>0</v>
      </c>
      <c r="U45" s="818">
        <v>0</v>
      </c>
      <c r="V45" s="818">
        <f t="shared" ca="1" si="14"/>
        <v>265008.48636233702</v>
      </c>
      <c r="W45" s="306">
        <f t="shared" si="1"/>
        <v>0</v>
      </c>
      <c r="X45" s="306">
        <f t="shared" ca="1" si="21"/>
        <v>-2370.5244355181135</v>
      </c>
      <c r="Y45" s="306">
        <v>0</v>
      </c>
      <c r="Z45" s="306">
        <v>0</v>
      </c>
      <c r="AA45" s="308">
        <f ca="1">-SUM(W45,X45/OFFSET(GridFootprintbyYear,$A45-$A$19,0)*EF_PurchElec_MTperMWh,Z45)*OFFSET(ExposureCalculations!Price_GHG_Allowance_2010,A45-$A$19,0)*ExposureCalculations!D42</f>
        <v>152455.92049165015</v>
      </c>
      <c r="AB45" s="308">
        <f t="shared" ca="1" si="22"/>
        <v>322972.55057458387</v>
      </c>
      <c r="AC45" s="308">
        <v>0</v>
      </c>
      <c r="AD45" s="819">
        <f t="shared" ca="1" si="2"/>
        <v>0</v>
      </c>
      <c r="AE45" s="308">
        <v>0</v>
      </c>
      <c r="AF45" s="819">
        <f t="shared" ca="1" si="3"/>
        <v>0</v>
      </c>
      <c r="AG45" s="308">
        <v>0</v>
      </c>
      <c r="AH45" s="308">
        <v>0</v>
      </c>
      <c r="AI45" s="308">
        <v>0</v>
      </c>
      <c r="AJ45" s="308">
        <f t="shared" ca="1" si="4"/>
        <v>322972.55057458387</v>
      </c>
      <c r="AK45" s="309">
        <v>0</v>
      </c>
      <c r="AL45" s="309">
        <v>0</v>
      </c>
      <c r="AM45" s="309">
        <f t="shared" si="15"/>
        <v>0</v>
      </c>
      <c r="AN45" s="310">
        <v>0</v>
      </c>
      <c r="AO45" s="310">
        <v>0</v>
      </c>
      <c r="AP45" s="310">
        <f t="shared" si="16"/>
        <v>0</v>
      </c>
      <c r="AQ45" s="309">
        <v>0</v>
      </c>
      <c r="AR45" s="311">
        <f t="shared" ca="1" si="5"/>
        <v>475428.47106623405</v>
      </c>
      <c r="AS45" s="870">
        <f t="shared" ca="1" si="17"/>
        <v>2801080.1726368763</v>
      </c>
      <c r="AT45" s="822"/>
      <c r="AU45" s="878"/>
      <c r="AV45" s="35"/>
      <c r="AW45" s="879"/>
      <c r="AX45" s="35"/>
      <c r="AY45" s="880"/>
    </row>
    <row r="46" spans="1:57">
      <c r="A46" s="303">
        <v>2037</v>
      </c>
      <c r="B46" s="304">
        <f ca="1">IF($D$3="BAU",UtilityDemand!C39,INDIRECT($D$3&amp;"!B"&amp;ROW(A46))+INDIRECT($D$3&amp;"!D"&amp;ROW(A46)))</f>
        <v>175360.48963946756</v>
      </c>
      <c r="C46" s="305">
        <v>0</v>
      </c>
      <c r="D46" s="306">
        <f t="shared" ca="1" si="6"/>
        <v>0</v>
      </c>
      <c r="E46" s="304">
        <f ca="1">IF($D$3="BAU",UtilityDemand!E39,INDIRECT($D$3&amp;"!E"&amp;ROW(D46))+INDIRECT($D$3&amp;"!G"&amp;ROW(D46)))</f>
        <v>934447.65573974175</v>
      </c>
      <c r="F46" s="305">
        <v>0</v>
      </c>
      <c r="G46" s="306">
        <f t="shared" ca="1" si="7"/>
        <v>0</v>
      </c>
      <c r="H46" s="304">
        <f ca="1">IF($D$3="BAU",UtilityDemand!G39,INDIRECT($D$3&amp;"!H"&amp;ROW(G46))+INDIRECT($D$3&amp;"!J"&amp;ROW(G46)))</f>
        <v>268073.02092494071</v>
      </c>
      <c r="I46" s="305">
        <v>0</v>
      </c>
      <c r="J46" s="306">
        <f t="shared" ca="1" si="20"/>
        <v>0</v>
      </c>
      <c r="K46" s="307">
        <f t="shared" ca="1" si="8"/>
        <v>175360.48963946756</v>
      </c>
      <c r="L46" s="307">
        <f t="shared" si="24"/>
        <v>-16687.8</v>
      </c>
      <c r="M46" s="307">
        <f t="shared" si="25"/>
        <v>13350.24</v>
      </c>
      <c r="N46" s="307">
        <f t="shared" ca="1" si="26"/>
        <v>172022.92963946756</v>
      </c>
      <c r="O46" s="306">
        <f t="shared" ca="1" si="9"/>
        <v>934447.65573974175</v>
      </c>
      <c r="P46" s="306">
        <f t="shared" si="10"/>
        <v>0</v>
      </c>
      <c r="Q46" s="306">
        <v>0</v>
      </c>
      <c r="R46" s="306">
        <f t="shared" ca="1" si="11"/>
        <v>934447.65573974175</v>
      </c>
      <c r="S46" s="818">
        <f t="shared" ca="1" si="12"/>
        <v>268073.02092494071</v>
      </c>
      <c r="T46" s="818">
        <f t="shared" si="13"/>
        <v>0</v>
      </c>
      <c r="U46" s="818">
        <v>0</v>
      </c>
      <c r="V46" s="818">
        <f t="shared" ca="1" si="14"/>
        <v>268073.02092494071</v>
      </c>
      <c r="W46" s="306">
        <f t="shared" si="1"/>
        <v>0</v>
      </c>
      <c r="X46" s="306">
        <f t="shared" ca="1" si="21"/>
        <v>-2370.5244355181135</v>
      </c>
      <c r="Y46" s="306">
        <v>0</v>
      </c>
      <c r="Z46" s="306">
        <v>0</v>
      </c>
      <c r="AA46" s="308">
        <f ca="1">-SUM(W46,X46/OFFSET(GridFootprintbyYear,$A46-$A$19,0)*EF_PurchElec_MTperMWh,Z46)*OFFSET(ExposureCalculations!Price_GHG_Allowance_2010,A46-$A$19,0)*ExposureCalculations!D43</f>
        <v>160473.19940889996</v>
      </c>
      <c r="AB46" s="308">
        <f t="shared" ca="1" si="22"/>
        <v>324587.41332745674</v>
      </c>
      <c r="AC46" s="308">
        <v>0</v>
      </c>
      <c r="AD46" s="819">
        <f t="shared" ca="1" si="2"/>
        <v>0</v>
      </c>
      <c r="AE46" s="308">
        <v>0</v>
      </c>
      <c r="AF46" s="819">
        <f t="shared" ca="1" si="3"/>
        <v>0</v>
      </c>
      <c r="AG46" s="308">
        <v>0</v>
      </c>
      <c r="AH46" s="308">
        <v>0</v>
      </c>
      <c r="AI46" s="308">
        <v>0</v>
      </c>
      <c r="AJ46" s="308">
        <f t="shared" ca="1" si="4"/>
        <v>324587.41332745674</v>
      </c>
      <c r="AK46" s="309">
        <v>0</v>
      </c>
      <c r="AL46" s="309">
        <v>0</v>
      </c>
      <c r="AM46" s="309">
        <f t="shared" si="15"/>
        <v>0</v>
      </c>
      <c r="AN46" s="310">
        <v>0</v>
      </c>
      <c r="AO46" s="310">
        <v>0</v>
      </c>
      <c r="AP46" s="310">
        <f t="shared" si="16"/>
        <v>0</v>
      </c>
      <c r="AQ46" s="309">
        <v>0</v>
      </c>
      <c r="AR46" s="311">
        <f t="shared" ca="1" si="5"/>
        <v>485060.61273635668</v>
      </c>
      <c r="AS46" s="870">
        <f t="shared" ca="1" si="17"/>
        <v>3286140.7853732333</v>
      </c>
      <c r="AT46" s="822"/>
      <c r="AU46" s="878"/>
      <c r="AV46" s="35"/>
      <c r="AW46" s="879"/>
      <c r="AX46" s="35"/>
      <c r="AY46" s="880"/>
    </row>
    <row r="47" spans="1:57">
      <c r="A47" s="303">
        <v>2038</v>
      </c>
      <c r="B47" s="304">
        <f ca="1">IF($D$3="BAU",UtilityDemand!C40,INDIRECT($D$3&amp;"!B"&amp;ROW(A47))+INDIRECT($D$3&amp;"!D"&amp;ROW(A47)))</f>
        <v>176937.1152403196</v>
      </c>
      <c r="C47" s="305">
        <v>0</v>
      </c>
      <c r="D47" s="306">
        <f t="shared" ca="1" si="6"/>
        <v>0</v>
      </c>
      <c r="E47" s="304">
        <f ca="1">IF($D$3="BAU",UtilityDemand!E40,INDIRECT($D$3&amp;"!E"&amp;ROW(D47))+INDIRECT($D$3&amp;"!G"&amp;ROW(D47)))</f>
        <v>942834.25486941705</v>
      </c>
      <c r="F47" s="305">
        <v>0</v>
      </c>
      <c r="G47" s="306">
        <f t="shared" ca="1" si="7"/>
        <v>0</v>
      </c>
      <c r="H47" s="304">
        <f ca="1">IF($D$3="BAU",UtilityDemand!G40,INDIRECT($D$3&amp;"!H"&amp;ROW(G47))+INDIRECT($D$3&amp;"!J"&amp;ROW(G47)))</f>
        <v>271137.55548754439</v>
      </c>
      <c r="I47" s="305">
        <v>0</v>
      </c>
      <c r="J47" s="306">
        <f t="shared" ca="1" si="20"/>
        <v>0</v>
      </c>
      <c r="K47" s="307">
        <f t="shared" ca="1" si="8"/>
        <v>176937.1152403196</v>
      </c>
      <c r="L47" s="307">
        <f t="shared" si="24"/>
        <v>-16687.8</v>
      </c>
      <c r="M47" s="307">
        <f t="shared" si="25"/>
        <v>13350.24</v>
      </c>
      <c r="N47" s="307">
        <f t="shared" ca="1" si="26"/>
        <v>173599.55524031961</v>
      </c>
      <c r="O47" s="306">
        <f t="shared" ca="1" si="9"/>
        <v>942834.25486941705</v>
      </c>
      <c r="P47" s="306">
        <f t="shared" si="10"/>
        <v>0</v>
      </c>
      <c r="Q47" s="306">
        <v>0</v>
      </c>
      <c r="R47" s="306">
        <f t="shared" ca="1" si="11"/>
        <v>942834.25486941705</v>
      </c>
      <c r="S47" s="818">
        <f t="shared" ca="1" si="12"/>
        <v>271137.55548754439</v>
      </c>
      <c r="T47" s="818">
        <f t="shared" si="13"/>
        <v>0</v>
      </c>
      <c r="U47" s="818">
        <v>0</v>
      </c>
      <c r="V47" s="818">
        <f t="shared" ca="1" si="14"/>
        <v>271137.55548754439</v>
      </c>
      <c r="W47" s="306">
        <f t="shared" si="1"/>
        <v>0</v>
      </c>
      <c r="X47" s="306">
        <f t="shared" ca="1" si="21"/>
        <v>-2370.5244355181135</v>
      </c>
      <c r="Y47" s="306">
        <v>0</v>
      </c>
      <c r="Z47" s="306">
        <v>0</v>
      </c>
      <c r="AA47" s="308">
        <f ca="1">-SUM(W47,X47/OFFSET(GridFootprintbyYear,$A47-$A$19,0)*EF_PurchElec_MTperMWh,Z47)*OFFSET(ExposureCalculations!Price_GHG_Allowance_2010,A47-$A$19,0)*ExposureCalculations!D44</f>
        <v>168434.22993463423</v>
      </c>
      <c r="AB47" s="308">
        <f t="shared" ca="1" si="22"/>
        <v>326210.3503940939</v>
      </c>
      <c r="AC47" s="308">
        <v>0</v>
      </c>
      <c r="AD47" s="819">
        <f t="shared" ca="1" si="2"/>
        <v>0</v>
      </c>
      <c r="AE47" s="308">
        <v>0</v>
      </c>
      <c r="AF47" s="819">
        <f t="shared" ca="1" si="3"/>
        <v>0</v>
      </c>
      <c r="AG47" s="308">
        <v>0</v>
      </c>
      <c r="AH47" s="308">
        <v>0</v>
      </c>
      <c r="AI47" s="308">
        <v>0</v>
      </c>
      <c r="AJ47" s="308">
        <f t="shared" ca="1" si="4"/>
        <v>326210.3503940939</v>
      </c>
      <c r="AK47" s="309">
        <v>0</v>
      </c>
      <c r="AL47" s="309">
        <v>0</v>
      </c>
      <c r="AM47" s="309">
        <f t="shared" si="15"/>
        <v>0</v>
      </c>
      <c r="AN47" s="310">
        <v>0</v>
      </c>
      <c r="AO47" s="310">
        <v>0</v>
      </c>
      <c r="AP47" s="310">
        <f t="shared" si="16"/>
        <v>0</v>
      </c>
      <c r="AQ47" s="309">
        <v>0</v>
      </c>
      <c r="AR47" s="311">
        <f t="shared" ca="1" si="5"/>
        <v>494644.58032872813</v>
      </c>
      <c r="AS47" s="870">
        <f t="shared" ca="1" si="17"/>
        <v>3780785.3657019613</v>
      </c>
      <c r="AT47" s="822"/>
      <c r="AU47" s="878"/>
      <c r="AV47" s="35"/>
      <c r="AW47" s="879"/>
      <c r="AX47" s="35"/>
      <c r="AY47" s="880"/>
    </row>
    <row r="48" spans="1:57">
      <c r="A48" s="303">
        <v>2039</v>
      </c>
      <c r="B48" s="304">
        <f ca="1">IF($D$3="BAU",UtilityDemand!C41,INDIRECT($D$3&amp;"!B"&amp;ROW(A48))+INDIRECT($D$3&amp;"!D"&amp;ROW(A48)))</f>
        <v>178513.74084117162</v>
      </c>
      <c r="C48" s="305">
        <v>0</v>
      </c>
      <c r="D48" s="306">
        <f t="shared" ca="1" si="6"/>
        <v>0</v>
      </c>
      <c r="E48" s="304">
        <f ca="1">IF($D$3="BAU",UtilityDemand!E41,INDIRECT($D$3&amp;"!E"&amp;ROW(D48))+INDIRECT($D$3&amp;"!G"&amp;ROW(D48)))</f>
        <v>951220.85399909248</v>
      </c>
      <c r="F48" s="305">
        <v>0</v>
      </c>
      <c r="G48" s="306">
        <f t="shared" ca="1" si="7"/>
        <v>0</v>
      </c>
      <c r="H48" s="304">
        <f ca="1">IF($D$3="BAU",UtilityDemand!G41,INDIRECT($D$3&amp;"!H"&amp;ROW(G48))+INDIRECT($D$3&amp;"!J"&amp;ROW(G48)))</f>
        <v>274202.09005014808</v>
      </c>
      <c r="I48" s="305">
        <v>0</v>
      </c>
      <c r="J48" s="306">
        <f t="shared" ca="1" si="20"/>
        <v>0</v>
      </c>
      <c r="K48" s="307">
        <f t="shared" ca="1" si="8"/>
        <v>178513.74084117162</v>
      </c>
      <c r="L48" s="307">
        <f t="shared" si="24"/>
        <v>-16687.8</v>
      </c>
      <c r="M48" s="307">
        <f t="shared" si="25"/>
        <v>13350.24</v>
      </c>
      <c r="N48" s="307">
        <f t="shared" ca="1" si="26"/>
        <v>175176.18084117162</v>
      </c>
      <c r="O48" s="306">
        <f t="shared" ca="1" si="9"/>
        <v>951220.85399909248</v>
      </c>
      <c r="P48" s="306">
        <f t="shared" si="10"/>
        <v>0</v>
      </c>
      <c r="Q48" s="306">
        <v>0</v>
      </c>
      <c r="R48" s="306">
        <f t="shared" ca="1" si="11"/>
        <v>951220.85399909248</v>
      </c>
      <c r="S48" s="818">
        <f t="shared" ca="1" si="12"/>
        <v>274202.09005014808</v>
      </c>
      <c r="T48" s="818">
        <f t="shared" si="13"/>
        <v>0</v>
      </c>
      <c r="U48" s="818">
        <v>0</v>
      </c>
      <c r="V48" s="818">
        <f t="shared" ca="1" si="14"/>
        <v>274202.09005014808</v>
      </c>
      <c r="W48" s="306">
        <f t="shared" si="1"/>
        <v>0</v>
      </c>
      <c r="X48" s="306">
        <f t="shared" ca="1" si="21"/>
        <v>-2370.5244355181135</v>
      </c>
      <c r="Y48" s="306">
        <v>0</v>
      </c>
      <c r="Z48" s="306">
        <v>0</v>
      </c>
      <c r="AA48" s="308">
        <f ca="1">-SUM(W48,X48/OFFSET(GridFootprintbyYear,$A48-$A$19,0)*EF_PurchElec_MTperMWh,Z48)*OFFSET(ExposureCalculations!Price_GHG_Allowance_2010,A48-$A$19,0)*ExposureCalculations!D45</f>
        <v>176321.69611960655</v>
      </c>
      <c r="AB48" s="308">
        <f t="shared" ca="1" si="22"/>
        <v>327841.40214606439</v>
      </c>
      <c r="AC48" s="308">
        <v>0</v>
      </c>
      <c r="AD48" s="819">
        <f t="shared" ca="1" si="2"/>
        <v>0</v>
      </c>
      <c r="AE48" s="308">
        <v>0</v>
      </c>
      <c r="AF48" s="819">
        <f t="shared" ca="1" si="3"/>
        <v>0</v>
      </c>
      <c r="AG48" s="308">
        <v>0</v>
      </c>
      <c r="AH48" s="308">
        <v>0</v>
      </c>
      <c r="AI48" s="308">
        <v>0</v>
      </c>
      <c r="AJ48" s="308">
        <f t="shared" ca="1" si="4"/>
        <v>327841.40214606439</v>
      </c>
      <c r="AK48" s="309">
        <v>0</v>
      </c>
      <c r="AL48" s="309">
        <v>0</v>
      </c>
      <c r="AM48" s="309">
        <f t="shared" si="15"/>
        <v>0</v>
      </c>
      <c r="AN48" s="310">
        <v>0</v>
      </c>
      <c r="AO48" s="310">
        <v>0</v>
      </c>
      <c r="AP48" s="310">
        <f t="shared" si="16"/>
        <v>0</v>
      </c>
      <c r="AQ48" s="309">
        <v>0</v>
      </c>
      <c r="AR48" s="311">
        <f t="shared" ca="1" si="5"/>
        <v>504163.09826567094</v>
      </c>
      <c r="AS48" s="870">
        <f t="shared" ca="1" si="17"/>
        <v>4284948.4639676325</v>
      </c>
      <c r="AT48" s="822"/>
      <c r="AU48" s="878"/>
      <c r="AV48" s="35"/>
      <c r="AW48" s="879"/>
      <c r="AX48" s="35"/>
      <c r="AY48" s="880"/>
    </row>
    <row r="49" spans="1:51">
      <c r="A49" s="303">
        <v>2040</v>
      </c>
      <c r="B49" s="304">
        <f ca="1">IF($D$3="BAU",UtilityDemand!C42,INDIRECT($D$3&amp;"!B"&amp;ROW(A49))+INDIRECT($D$3&amp;"!D"&amp;ROW(A49)))</f>
        <v>180090.36644202363</v>
      </c>
      <c r="C49" s="305">
        <v>0</v>
      </c>
      <c r="D49" s="306">
        <f t="shared" ca="1" si="6"/>
        <v>0</v>
      </c>
      <c r="E49" s="304">
        <f ca="1">IF($D$3="BAU",UtilityDemand!E42,INDIRECT($D$3&amp;"!E"&amp;ROW(D49))+INDIRECT($D$3&amp;"!G"&amp;ROW(D49)))</f>
        <v>959607.45312876778</v>
      </c>
      <c r="F49" s="305">
        <v>0</v>
      </c>
      <c r="G49" s="306">
        <f t="shared" ca="1" si="7"/>
        <v>0</v>
      </c>
      <c r="H49" s="304">
        <f ca="1">IF($D$3="BAU",UtilityDemand!G42,INDIRECT($D$3&amp;"!H"&amp;ROW(G49))+INDIRECT($D$3&amp;"!J"&amp;ROW(G49)))</f>
        <v>277266.62461275177</v>
      </c>
      <c r="I49" s="305">
        <v>0</v>
      </c>
      <c r="J49" s="306">
        <f t="shared" ca="1" si="20"/>
        <v>0</v>
      </c>
      <c r="K49" s="307">
        <f t="shared" ca="1" si="8"/>
        <v>180090.36644202363</v>
      </c>
      <c r="L49" s="307">
        <f t="shared" si="24"/>
        <v>-16687.8</v>
      </c>
      <c r="M49" s="307">
        <f t="shared" si="25"/>
        <v>13350.24</v>
      </c>
      <c r="N49" s="307">
        <f t="shared" ca="1" si="26"/>
        <v>176752.80644202363</v>
      </c>
      <c r="O49" s="306">
        <f t="shared" ca="1" si="9"/>
        <v>959607.45312876778</v>
      </c>
      <c r="P49" s="306">
        <f t="shared" si="10"/>
        <v>0</v>
      </c>
      <c r="Q49" s="306">
        <v>0</v>
      </c>
      <c r="R49" s="306">
        <f t="shared" ca="1" si="11"/>
        <v>959607.45312876778</v>
      </c>
      <c r="S49" s="818">
        <f t="shared" ca="1" si="12"/>
        <v>277266.62461275177</v>
      </c>
      <c r="T49" s="818">
        <f t="shared" si="13"/>
        <v>0</v>
      </c>
      <c r="U49" s="818">
        <v>0</v>
      </c>
      <c r="V49" s="818">
        <f t="shared" ca="1" si="14"/>
        <v>277266.62461275177</v>
      </c>
      <c r="W49" s="306">
        <f t="shared" si="1"/>
        <v>0</v>
      </c>
      <c r="X49" s="306">
        <f t="shared" ca="1" si="21"/>
        <v>-2370.5244355181135</v>
      </c>
      <c r="Y49" s="306">
        <v>0</v>
      </c>
      <c r="Z49" s="306">
        <v>0</v>
      </c>
      <c r="AA49" s="308">
        <f ca="1">-SUM(W49,X49/OFFSET(GridFootprintbyYear,$A49-$A$19,0)*EF_PurchElec_MTperMWh,Z49)*OFFSET(ExposureCalculations!Price_GHG_Allowance_2010,A49-$A$19,0)*ExposureCalculations!D46</f>
        <v>184593.78060891634</v>
      </c>
      <c r="AB49" s="308">
        <f t="shared" ca="1" si="22"/>
        <v>329480.60915679467</v>
      </c>
      <c r="AC49" s="308">
        <v>0</v>
      </c>
      <c r="AD49" s="819">
        <f t="shared" ca="1" si="2"/>
        <v>0</v>
      </c>
      <c r="AE49" s="308">
        <v>0</v>
      </c>
      <c r="AF49" s="819">
        <f t="shared" ca="1" si="3"/>
        <v>0</v>
      </c>
      <c r="AG49" s="308">
        <v>0</v>
      </c>
      <c r="AH49" s="308">
        <v>0</v>
      </c>
      <c r="AI49" s="308">
        <v>0</v>
      </c>
      <c r="AJ49" s="308">
        <f t="shared" ca="1" si="4"/>
        <v>329480.60915679467</v>
      </c>
      <c r="AK49" s="309">
        <v>0</v>
      </c>
      <c r="AL49" s="309">
        <v>0</v>
      </c>
      <c r="AM49" s="309">
        <f t="shared" si="15"/>
        <v>0</v>
      </c>
      <c r="AN49" s="310">
        <v>0</v>
      </c>
      <c r="AO49" s="310">
        <v>0</v>
      </c>
      <c r="AP49" s="310">
        <f t="shared" si="16"/>
        <v>0</v>
      </c>
      <c r="AQ49" s="309">
        <v>0</v>
      </c>
      <c r="AR49" s="311">
        <f t="shared" ca="1" si="5"/>
        <v>514074.38976571104</v>
      </c>
      <c r="AS49" s="870">
        <f t="shared" ca="1" si="17"/>
        <v>4799022.853733344</v>
      </c>
      <c r="AT49" s="822"/>
      <c r="AU49" s="878"/>
      <c r="AV49" s="35"/>
      <c r="AW49" s="879"/>
      <c r="AX49" s="35"/>
      <c r="AY49" s="880"/>
    </row>
    <row r="50" spans="1:51">
      <c r="A50" s="303">
        <v>2041</v>
      </c>
      <c r="B50" s="304">
        <f ca="1">IF($D$3="BAU",UtilityDemand!C43,INDIRECT($D$3&amp;"!B"&amp;ROW(A50))+INDIRECT($D$3&amp;"!D"&amp;ROW(A50)))</f>
        <v>181666.99204287567</v>
      </c>
      <c r="C50" s="305">
        <v>0</v>
      </c>
      <c r="D50" s="306">
        <f t="shared" ca="1" si="6"/>
        <v>0</v>
      </c>
      <c r="E50" s="304">
        <f ca="1">IF($D$3="BAU",UtilityDemand!E43,INDIRECT($D$3&amp;"!E"&amp;ROW(D50))+INDIRECT($D$3&amp;"!G"&amp;ROW(D50)))</f>
        <v>967994.0522584432</v>
      </c>
      <c r="F50" s="305">
        <v>0</v>
      </c>
      <c r="G50" s="306">
        <f t="shared" ca="1" si="7"/>
        <v>0</v>
      </c>
      <c r="H50" s="304">
        <f ca="1">IF($D$3="BAU",UtilityDemand!G43,INDIRECT($D$3&amp;"!H"&amp;ROW(G50))+INDIRECT($D$3&amp;"!J"&amp;ROW(G50)))</f>
        <v>280331.15917535545</v>
      </c>
      <c r="I50" s="305">
        <v>0</v>
      </c>
      <c r="J50" s="306">
        <f t="shared" ca="1" si="20"/>
        <v>0</v>
      </c>
      <c r="K50" s="307">
        <f t="shared" ca="1" si="8"/>
        <v>181666.99204287567</v>
      </c>
      <c r="L50" s="307">
        <f t="shared" si="24"/>
        <v>-16687.8</v>
      </c>
      <c r="M50" s="307">
        <f t="shared" si="25"/>
        <v>13350.24</v>
      </c>
      <c r="N50" s="307">
        <f t="shared" ca="1" si="26"/>
        <v>178329.43204287568</v>
      </c>
      <c r="O50" s="306">
        <f t="shared" ca="1" si="9"/>
        <v>967994.0522584432</v>
      </c>
      <c r="P50" s="306">
        <f t="shared" si="10"/>
        <v>0</v>
      </c>
      <c r="Q50" s="306">
        <v>0</v>
      </c>
      <c r="R50" s="306">
        <f t="shared" ca="1" si="11"/>
        <v>967994.0522584432</v>
      </c>
      <c r="S50" s="818">
        <f t="shared" ca="1" si="12"/>
        <v>280331.15917535545</v>
      </c>
      <c r="T50" s="818">
        <f t="shared" si="13"/>
        <v>0</v>
      </c>
      <c r="U50" s="818">
        <v>0</v>
      </c>
      <c r="V50" s="818">
        <f t="shared" ca="1" si="14"/>
        <v>280331.15917535545</v>
      </c>
      <c r="W50" s="306">
        <f t="shared" si="1"/>
        <v>0</v>
      </c>
      <c r="X50" s="306">
        <f t="shared" ca="1" si="21"/>
        <v>-2370.5244355181135</v>
      </c>
      <c r="Y50" s="306">
        <v>0</v>
      </c>
      <c r="Z50" s="306">
        <v>0</v>
      </c>
      <c r="AA50" s="308">
        <f ca="1">-SUM(W50,X50/OFFSET(GridFootprintbyYear,$A50-$A$19,0)*EF_PurchElec_MTperMWh,Z50)*OFFSET(ExposureCalculations!Price_GHG_Allowance_2010,A50-$A$19,0)*ExposureCalculations!D47</f>
        <v>192607.38780822052</v>
      </c>
      <c r="AB50" s="308">
        <f t="shared" ca="1" si="22"/>
        <v>331128.01220257854</v>
      </c>
      <c r="AC50" s="308">
        <v>0</v>
      </c>
      <c r="AD50" s="819">
        <f t="shared" ca="1" si="2"/>
        <v>0</v>
      </c>
      <c r="AE50" s="308">
        <v>0</v>
      </c>
      <c r="AF50" s="819">
        <f t="shared" ca="1" si="3"/>
        <v>0</v>
      </c>
      <c r="AG50" s="308">
        <v>0</v>
      </c>
      <c r="AH50" s="308">
        <v>0</v>
      </c>
      <c r="AI50" s="308">
        <v>0</v>
      </c>
      <c r="AJ50" s="308">
        <f t="shared" ca="1" si="4"/>
        <v>331128.01220257854</v>
      </c>
      <c r="AK50" s="309">
        <v>0</v>
      </c>
      <c r="AL50" s="309">
        <v>0</v>
      </c>
      <c r="AM50" s="309">
        <f t="shared" si="15"/>
        <v>0</v>
      </c>
      <c r="AN50" s="310">
        <v>0</v>
      </c>
      <c r="AO50" s="310">
        <v>0</v>
      </c>
      <c r="AP50" s="310">
        <f t="shared" si="16"/>
        <v>0</v>
      </c>
      <c r="AQ50" s="309">
        <v>0</v>
      </c>
      <c r="AR50" s="311">
        <f t="shared" ca="1" si="5"/>
        <v>523735.40001079906</v>
      </c>
      <c r="AS50" s="870">
        <f t="shared" ca="1" si="17"/>
        <v>5322758.2537441431</v>
      </c>
      <c r="AT50" s="822"/>
      <c r="AU50" s="878"/>
      <c r="AV50" s="35"/>
      <c r="AW50" s="879"/>
      <c r="AX50" s="35"/>
      <c r="AY50" s="880"/>
    </row>
    <row r="51" spans="1:51">
      <c r="A51" s="303">
        <v>2042</v>
      </c>
      <c r="B51" s="304">
        <f ca="1">IF($D$3="BAU",UtilityDemand!C44,INDIRECT($D$3&amp;"!B"&amp;ROW(A51))+INDIRECT($D$3&amp;"!D"&amp;ROW(A51)))</f>
        <v>183243.61764372772</v>
      </c>
      <c r="C51" s="305">
        <v>0</v>
      </c>
      <c r="D51" s="306">
        <f t="shared" ca="1" si="6"/>
        <v>0</v>
      </c>
      <c r="E51" s="304">
        <f ca="1">IF($D$3="BAU",UtilityDemand!E44,INDIRECT($D$3&amp;"!E"&amp;ROW(D51))+INDIRECT($D$3&amp;"!G"&amp;ROW(D51)))</f>
        <v>976380.65138811851</v>
      </c>
      <c r="F51" s="305">
        <v>0</v>
      </c>
      <c r="G51" s="306">
        <f t="shared" ca="1" si="7"/>
        <v>0</v>
      </c>
      <c r="H51" s="304">
        <f ca="1">IF($D$3="BAU",UtilityDemand!G44,INDIRECT($D$3&amp;"!H"&amp;ROW(G51))+INDIRECT($D$3&amp;"!J"&amp;ROW(G51)))</f>
        <v>283395.69373795914</v>
      </c>
      <c r="I51" s="305">
        <v>0</v>
      </c>
      <c r="J51" s="306">
        <f t="shared" ca="1" si="20"/>
        <v>0</v>
      </c>
      <c r="K51" s="307">
        <f t="shared" ca="1" si="8"/>
        <v>183243.61764372772</v>
      </c>
      <c r="L51" s="307">
        <f t="shared" si="24"/>
        <v>-16687.8</v>
      </c>
      <c r="M51" s="307">
        <f t="shared" si="25"/>
        <v>13350.24</v>
      </c>
      <c r="N51" s="307">
        <f t="shared" ca="1" si="26"/>
        <v>179906.05764372772</v>
      </c>
      <c r="O51" s="306">
        <f t="shared" ca="1" si="9"/>
        <v>976380.65138811851</v>
      </c>
      <c r="P51" s="306">
        <f t="shared" si="10"/>
        <v>0</v>
      </c>
      <c r="Q51" s="306">
        <v>0</v>
      </c>
      <c r="R51" s="306">
        <f t="shared" ca="1" si="11"/>
        <v>976380.65138811851</v>
      </c>
      <c r="S51" s="818">
        <f t="shared" ca="1" si="12"/>
        <v>283395.69373795914</v>
      </c>
      <c r="T51" s="818">
        <f t="shared" si="13"/>
        <v>0</v>
      </c>
      <c r="U51" s="818">
        <v>0</v>
      </c>
      <c r="V51" s="818">
        <f t="shared" ca="1" si="14"/>
        <v>283395.69373795914</v>
      </c>
      <c r="W51" s="306">
        <f t="shared" si="1"/>
        <v>0</v>
      </c>
      <c r="X51" s="306">
        <f t="shared" ca="1" si="21"/>
        <v>-2370.5244355181135</v>
      </c>
      <c r="Y51" s="306">
        <v>0</v>
      </c>
      <c r="Z51" s="306">
        <v>0</v>
      </c>
      <c r="AA51" s="308">
        <f ca="1">-SUM(W51,X51/OFFSET(GridFootprintbyYear,$A51-$A$19,0)*EF_PurchElec_MTperMWh,Z51)*OFFSET(ExposureCalculations!Price_GHG_Allowance_2010,A51-$A$19,0)*ExposureCalculations!D48</f>
        <v>200308.72915747069</v>
      </c>
      <c r="AB51" s="308">
        <f t="shared" ca="1" si="22"/>
        <v>332783.65226359136</v>
      </c>
      <c r="AC51" s="308">
        <v>0</v>
      </c>
      <c r="AD51" s="819">
        <f t="shared" ca="1" si="2"/>
        <v>0</v>
      </c>
      <c r="AE51" s="308">
        <v>0</v>
      </c>
      <c r="AF51" s="819">
        <f t="shared" ca="1" si="3"/>
        <v>0</v>
      </c>
      <c r="AG51" s="308">
        <v>0</v>
      </c>
      <c r="AH51" s="308">
        <v>0</v>
      </c>
      <c r="AI51" s="308">
        <v>0</v>
      </c>
      <c r="AJ51" s="308">
        <f t="shared" ca="1" si="4"/>
        <v>332783.65226359136</v>
      </c>
      <c r="AK51" s="309">
        <v>0</v>
      </c>
      <c r="AL51" s="309">
        <v>0</v>
      </c>
      <c r="AM51" s="309">
        <f t="shared" si="15"/>
        <v>0</v>
      </c>
      <c r="AN51" s="310">
        <v>0</v>
      </c>
      <c r="AO51" s="310">
        <v>0</v>
      </c>
      <c r="AP51" s="310">
        <f t="shared" si="16"/>
        <v>0</v>
      </c>
      <c r="AQ51" s="309">
        <v>0</v>
      </c>
      <c r="AR51" s="311">
        <f t="shared" ca="1" si="5"/>
        <v>533092.38142106205</v>
      </c>
      <c r="AS51" s="870">
        <f t="shared" ca="1" si="17"/>
        <v>5855850.6351652052</v>
      </c>
      <c r="AT51" s="822"/>
      <c r="AU51" s="878"/>
      <c r="AV51" s="35"/>
      <c r="AW51" s="879"/>
      <c r="AX51" s="35"/>
      <c r="AY51" s="880"/>
    </row>
    <row r="52" spans="1:51">
      <c r="A52" s="303">
        <v>2043</v>
      </c>
      <c r="B52" s="304">
        <f ca="1">IF($D$3="BAU",UtilityDemand!C45,INDIRECT($D$3&amp;"!B"&amp;ROW(A52))+INDIRECT($D$3&amp;"!D"&amp;ROW(A52)))</f>
        <v>184820.24324457973</v>
      </c>
      <c r="C52" s="305">
        <v>0</v>
      </c>
      <c r="D52" s="306">
        <f t="shared" ca="1" si="6"/>
        <v>0</v>
      </c>
      <c r="E52" s="304">
        <f ca="1">IF($D$3="BAU",UtilityDemand!E45,INDIRECT($D$3&amp;"!E"&amp;ROW(D52))+INDIRECT($D$3&amp;"!G"&amp;ROW(D52)))</f>
        <v>984767.25051779393</v>
      </c>
      <c r="F52" s="305">
        <v>0</v>
      </c>
      <c r="G52" s="306">
        <f t="shared" ca="1" si="7"/>
        <v>0</v>
      </c>
      <c r="H52" s="304">
        <f ca="1">IF($D$3="BAU",UtilityDemand!G45,INDIRECT($D$3&amp;"!H"&amp;ROW(G52))+INDIRECT($D$3&amp;"!J"&amp;ROW(G52)))</f>
        <v>286460.22830056283</v>
      </c>
      <c r="I52" s="305">
        <v>0</v>
      </c>
      <c r="J52" s="306">
        <f t="shared" ca="1" si="20"/>
        <v>0</v>
      </c>
      <c r="K52" s="307">
        <f t="shared" ca="1" si="8"/>
        <v>184820.24324457973</v>
      </c>
      <c r="L52" s="307">
        <f t="shared" si="24"/>
        <v>-16687.8</v>
      </c>
      <c r="M52" s="307">
        <f t="shared" si="25"/>
        <v>13350.24</v>
      </c>
      <c r="N52" s="307">
        <f t="shared" ca="1" si="26"/>
        <v>181482.68324457973</v>
      </c>
      <c r="O52" s="306">
        <f t="shared" ca="1" si="9"/>
        <v>984767.25051779393</v>
      </c>
      <c r="P52" s="306">
        <f t="shared" si="10"/>
        <v>0</v>
      </c>
      <c r="Q52" s="306">
        <v>0</v>
      </c>
      <c r="R52" s="306">
        <f t="shared" ca="1" si="11"/>
        <v>984767.25051779393</v>
      </c>
      <c r="S52" s="818">
        <f t="shared" ca="1" si="12"/>
        <v>286460.22830056283</v>
      </c>
      <c r="T52" s="818">
        <f t="shared" si="13"/>
        <v>0</v>
      </c>
      <c r="U52" s="818">
        <v>0</v>
      </c>
      <c r="V52" s="818">
        <f t="shared" ca="1" si="14"/>
        <v>286460.22830056283</v>
      </c>
      <c r="W52" s="306">
        <f t="shared" si="1"/>
        <v>0</v>
      </c>
      <c r="X52" s="306">
        <f t="shared" ca="1" si="21"/>
        <v>-2370.5244355181135</v>
      </c>
      <c r="Y52" s="306">
        <v>0</v>
      </c>
      <c r="Z52" s="306">
        <v>0</v>
      </c>
      <c r="AA52" s="308">
        <f ca="1">-SUM(W52,X52/OFFSET(GridFootprintbyYear,$A52-$A$19,0)*EF_PurchElec_MTperMWh,Z52)*OFFSET(ExposureCalculations!Price_GHG_Allowance_2010,A52-$A$19,0)*ExposureCalculations!D49</f>
        <v>208970.87137549996</v>
      </c>
      <c r="AB52" s="308">
        <f t="shared" ca="1" si="22"/>
        <v>334447.5705249093</v>
      </c>
      <c r="AC52" s="308">
        <v>0</v>
      </c>
      <c r="AD52" s="819">
        <f t="shared" ca="1" si="2"/>
        <v>0</v>
      </c>
      <c r="AE52" s="308">
        <v>0</v>
      </c>
      <c r="AF52" s="819">
        <f t="shared" ca="1" si="3"/>
        <v>0</v>
      </c>
      <c r="AG52" s="308">
        <v>0</v>
      </c>
      <c r="AH52" s="308">
        <v>0</v>
      </c>
      <c r="AI52" s="308">
        <v>0</v>
      </c>
      <c r="AJ52" s="308">
        <f t="shared" ca="1" si="4"/>
        <v>334447.5705249093</v>
      </c>
      <c r="AK52" s="309">
        <v>0</v>
      </c>
      <c r="AL52" s="309">
        <v>0</v>
      </c>
      <c r="AM52" s="309">
        <f t="shared" si="15"/>
        <v>0</v>
      </c>
      <c r="AN52" s="310">
        <v>0</v>
      </c>
      <c r="AO52" s="310">
        <v>0</v>
      </c>
      <c r="AP52" s="310">
        <f t="shared" si="16"/>
        <v>0</v>
      </c>
      <c r="AQ52" s="309">
        <v>0</v>
      </c>
      <c r="AR52" s="311">
        <f t="shared" ca="1" si="5"/>
        <v>543418.44190040929</v>
      </c>
      <c r="AS52" s="870">
        <f t="shared" ca="1" si="17"/>
        <v>6399269.077065615</v>
      </c>
      <c r="AT52" s="822"/>
      <c r="AU52" s="878"/>
      <c r="AV52" s="35"/>
      <c r="AW52" s="879"/>
      <c r="AX52" s="35"/>
      <c r="AY52" s="880"/>
    </row>
    <row r="53" spans="1:51">
      <c r="A53" s="303">
        <v>2044</v>
      </c>
      <c r="B53" s="304">
        <f ca="1">IF($D$3="BAU",UtilityDemand!C46,INDIRECT($D$3&amp;"!B"&amp;ROW(A53))+INDIRECT($D$3&amp;"!D"&amp;ROW(A53)))</f>
        <v>186396.86884543177</v>
      </c>
      <c r="C53" s="305">
        <v>0</v>
      </c>
      <c r="D53" s="306">
        <f t="shared" ca="1" si="6"/>
        <v>0</v>
      </c>
      <c r="E53" s="304">
        <f ca="1">IF($D$3="BAU",UtilityDemand!E46,INDIRECT($D$3&amp;"!E"&amp;ROW(D53))+INDIRECT($D$3&amp;"!G"&amp;ROW(D53)))</f>
        <v>993153.84964746935</v>
      </c>
      <c r="F53" s="305">
        <v>0</v>
      </c>
      <c r="G53" s="306">
        <f t="shared" ca="1" si="7"/>
        <v>0</v>
      </c>
      <c r="H53" s="304">
        <f ca="1">IF($D$3="BAU",UtilityDemand!G46,INDIRECT($D$3&amp;"!H"&amp;ROW(G53))+INDIRECT($D$3&amp;"!J"&amp;ROW(G53)))</f>
        <v>289524.76286316651</v>
      </c>
      <c r="I53" s="305">
        <v>0</v>
      </c>
      <c r="J53" s="306">
        <f t="shared" ca="1" si="20"/>
        <v>0</v>
      </c>
      <c r="K53" s="307">
        <f t="shared" ca="1" si="8"/>
        <v>186396.86884543177</v>
      </c>
      <c r="L53" s="307">
        <f t="shared" si="24"/>
        <v>-16687.8</v>
      </c>
      <c r="M53" s="307">
        <f t="shared" si="25"/>
        <v>13350.24</v>
      </c>
      <c r="N53" s="307">
        <f t="shared" ca="1" si="26"/>
        <v>183059.30884543178</v>
      </c>
      <c r="O53" s="306">
        <f t="shared" ca="1" si="9"/>
        <v>993153.84964746935</v>
      </c>
      <c r="P53" s="306">
        <f t="shared" si="10"/>
        <v>0</v>
      </c>
      <c r="Q53" s="306">
        <v>0</v>
      </c>
      <c r="R53" s="306">
        <f t="shared" ca="1" si="11"/>
        <v>993153.84964746935</v>
      </c>
      <c r="S53" s="818">
        <f t="shared" ca="1" si="12"/>
        <v>289524.76286316651</v>
      </c>
      <c r="T53" s="818">
        <f t="shared" si="13"/>
        <v>0</v>
      </c>
      <c r="U53" s="818">
        <v>0</v>
      </c>
      <c r="V53" s="818">
        <f t="shared" ca="1" si="14"/>
        <v>289524.76286316651</v>
      </c>
      <c r="W53" s="306">
        <f t="shared" si="1"/>
        <v>0</v>
      </c>
      <c r="X53" s="306">
        <f t="shared" ca="1" si="21"/>
        <v>-2370.5244355181135</v>
      </c>
      <c r="Y53" s="306">
        <v>0</v>
      </c>
      <c r="Z53" s="306">
        <v>0</v>
      </c>
      <c r="AA53" s="308">
        <f ca="1">-SUM(W53,X53/OFFSET(GridFootprintbyYear,$A53-$A$19,0)*EF_PurchElec_MTperMWh,Z53)*OFFSET(ExposureCalculations!Price_GHG_Allowance_2010,A53-$A$19,0)*ExposureCalculations!D50</f>
        <v>218789.59395166262</v>
      </c>
      <c r="AB53" s="308">
        <f t="shared" ca="1" si="22"/>
        <v>336119.8083775338</v>
      </c>
      <c r="AC53" s="308">
        <v>0</v>
      </c>
      <c r="AD53" s="819">
        <f t="shared" ca="1" si="2"/>
        <v>0</v>
      </c>
      <c r="AE53" s="308">
        <v>0</v>
      </c>
      <c r="AF53" s="819">
        <f t="shared" ca="1" si="3"/>
        <v>0</v>
      </c>
      <c r="AG53" s="308">
        <v>0</v>
      </c>
      <c r="AH53" s="308">
        <v>0</v>
      </c>
      <c r="AI53" s="308">
        <v>0</v>
      </c>
      <c r="AJ53" s="308">
        <f t="shared" ca="1" si="4"/>
        <v>336119.8083775338</v>
      </c>
      <c r="AK53" s="309">
        <v>0</v>
      </c>
      <c r="AL53" s="309">
        <v>0</v>
      </c>
      <c r="AM53" s="309">
        <f t="shared" si="15"/>
        <v>0</v>
      </c>
      <c r="AN53" s="310">
        <v>0</v>
      </c>
      <c r="AO53" s="310">
        <v>0</v>
      </c>
      <c r="AP53" s="310">
        <f t="shared" si="16"/>
        <v>0</v>
      </c>
      <c r="AQ53" s="309">
        <v>0</v>
      </c>
      <c r="AR53" s="311">
        <f t="shared" ca="1" si="5"/>
        <v>554909.40232919645</v>
      </c>
      <c r="AS53" s="870">
        <f t="shared" ca="1" si="17"/>
        <v>6954178.4793948112</v>
      </c>
      <c r="AT53" s="822"/>
      <c r="AU53" s="878"/>
      <c r="AV53" s="35"/>
      <c r="AW53" s="879"/>
      <c r="AX53" s="35"/>
      <c r="AY53" s="880"/>
    </row>
    <row r="54" spans="1:51">
      <c r="A54" s="303">
        <v>2045</v>
      </c>
      <c r="B54" s="304">
        <f ca="1">IF($D$3="BAU",UtilityDemand!C47,INDIRECT($D$3&amp;"!B"&amp;ROW(A54))+INDIRECT($D$3&amp;"!D"&amp;ROW(A54)))</f>
        <v>187973.49444628376</v>
      </c>
      <c r="C54" s="305">
        <v>0</v>
      </c>
      <c r="D54" s="306">
        <f t="shared" ca="1" si="6"/>
        <v>0</v>
      </c>
      <c r="E54" s="304">
        <f ca="1">IF($D$3="BAU",UtilityDemand!E47,INDIRECT($D$3&amp;"!E"&amp;ROW(D54))+INDIRECT($D$3&amp;"!G"&amp;ROW(D54)))</f>
        <v>1001540.4487771448</v>
      </c>
      <c r="F54" s="305">
        <v>0</v>
      </c>
      <c r="G54" s="306">
        <f t="shared" ca="1" si="7"/>
        <v>0</v>
      </c>
      <c r="H54" s="304">
        <f ca="1">IF($D$3="BAU",UtilityDemand!G47,INDIRECT($D$3&amp;"!H"&amp;ROW(G54))+INDIRECT($D$3&amp;"!J"&amp;ROW(G54)))</f>
        <v>292589.2974257702</v>
      </c>
      <c r="I54" s="305">
        <v>0</v>
      </c>
      <c r="J54" s="306">
        <f t="shared" ca="1" si="20"/>
        <v>0</v>
      </c>
      <c r="K54" s="307">
        <f t="shared" ca="1" si="8"/>
        <v>187973.49444628376</v>
      </c>
      <c r="L54" s="307">
        <f t="shared" si="24"/>
        <v>-16687.8</v>
      </c>
      <c r="M54" s="307">
        <f t="shared" si="25"/>
        <v>13350.24</v>
      </c>
      <c r="N54" s="307">
        <f t="shared" ca="1" si="26"/>
        <v>184635.93444628376</v>
      </c>
      <c r="O54" s="306">
        <f t="shared" ca="1" si="9"/>
        <v>1001540.4487771448</v>
      </c>
      <c r="P54" s="306">
        <f t="shared" si="10"/>
        <v>0</v>
      </c>
      <c r="Q54" s="306">
        <v>0</v>
      </c>
      <c r="R54" s="306">
        <f t="shared" ca="1" si="11"/>
        <v>1001540.4487771448</v>
      </c>
      <c r="S54" s="818">
        <f t="shared" ca="1" si="12"/>
        <v>292589.2974257702</v>
      </c>
      <c r="T54" s="818">
        <f t="shared" si="13"/>
        <v>0</v>
      </c>
      <c r="U54" s="818">
        <v>0</v>
      </c>
      <c r="V54" s="818">
        <f t="shared" ca="1" si="14"/>
        <v>292589.2974257702</v>
      </c>
      <c r="W54" s="306">
        <f t="shared" si="1"/>
        <v>0</v>
      </c>
      <c r="X54" s="306">
        <f t="shared" ca="1" si="21"/>
        <v>-2370.5244355181135</v>
      </c>
      <c r="Y54" s="306">
        <v>0</v>
      </c>
      <c r="Z54" s="306">
        <v>0</v>
      </c>
      <c r="AA54" s="308">
        <f ca="1">-SUM(W54,X54/OFFSET(GridFootprintbyYear,$A54-$A$19,0)*EF_PurchElec_MTperMWh,Z54)*OFFSET(ExposureCalculations!Price_GHG_Allowance_2010,A54-$A$19,0)*ExposureCalculations!D51</f>
        <v>230045.40569102977</v>
      </c>
      <c r="AB54" s="308">
        <f t="shared" ca="1" si="22"/>
        <v>337800.40741942142</v>
      </c>
      <c r="AC54" s="308">
        <v>0</v>
      </c>
      <c r="AD54" s="819">
        <f t="shared" ca="1" si="2"/>
        <v>0</v>
      </c>
      <c r="AE54" s="308">
        <v>0</v>
      </c>
      <c r="AF54" s="819">
        <f t="shared" ca="1" si="3"/>
        <v>0</v>
      </c>
      <c r="AG54" s="308">
        <v>0</v>
      </c>
      <c r="AH54" s="308">
        <v>0</v>
      </c>
      <c r="AI54" s="308">
        <v>0</v>
      </c>
      <c r="AJ54" s="308">
        <f t="shared" ca="1" si="4"/>
        <v>337800.40741942142</v>
      </c>
      <c r="AK54" s="309">
        <v>0</v>
      </c>
      <c r="AL54" s="309">
        <v>0</v>
      </c>
      <c r="AM54" s="309">
        <f t="shared" si="15"/>
        <v>0</v>
      </c>
      <c r="AN54" s="310">
        <v>0</v>
      </c>
      <c r="AO54" s="310">
        <v>0</v>
      </c>
      <c r="AP54" s="310">
        <f t="shared" si="16"/>
        <v>0</v>
      </c>
      <c r="AQ54" s="309">
        <v>0</v>
      </c>
      <c r="AR54" s="311">
        <f t="shared" ca="1" si="5"/>
        <v>567845.81311045121</v>
      </c>
      <c r="AS54" s="870">
        <f t="shared" ca="1" si="17"/>
        <v>7522024.2925052624</v>
      </c>
      <c r="AT54" s="822"/>
      <c r="AU54" s="878"/>
      <c r="AV54" s="35"/>
      <c r="AW54" s="879"/>
      <c r="AX54" s="35"/>
      <c r="AY54" s="880"/>
    </row>
    <row r="55" spans="1:51">
      <c r="A55" s="303">
        <v>2046</v>
      </c>
      <c r="B55" s="304">
        <f ca="1">IF($D$3="BAU",UtilityDemand!C48,INDIRECT($D$3&amp;"!B"&amp;ROW(A55))+INDIRECT($D$3&amp;"!D"&amp;ROW(A55)))</f>
        <v>189550.12004713583</v>
      </c>
      <c r="C55" s="305">
        <v>0</v>
      </c>
      <c r="D55" s="306">
        <f t="shared" ca="1" si="6"/>
        <v>0</v>
      </c>
      <c r="E55" s="304">
        <f ca="1">IF($D$3="BAU",UtilityDemand!E48,INDIRECT($D$3&amp;"!E"&amp;ROW(D55))+INDIRECT($D$3&amp;"!G"&amp;ROW(D55)))</f>
        <v>1009927.04790682</v>
      </c>
      <c r="F55" s="305">
        <v>0</v>
      </c>
      <c r="G55" s="306">
        <f t="shared" ca="1" si="7"/>
        <v>0</v>
      </c>
      <c r="H55" s="304">
        <f ca="1">IF($D$3="BAU",UtilityDemand!G48,INDIRECT($D$3&amp;"!H"&amp;ROW(G55))+INDIRECT($D$3&amp;"!J"&amp;ROW(G55)))</f>
        <v>295653.83198837389</v>
      </c>
      <c r="I55" s="305">
        <v>0</v>
      </c>
      <c r="J55" s="306">
        <f t="shared" ca="1" si="20"/>
        <v>0</v>
      </c>
      <c r="K55" s="307">
        <f t="shared" ca="1" si="8"/>
        <v>189550.12004713583</v>
      </c>
      <c r="L55" s="307">
        <f t="shared" si="24"/>
        <v>-16687.8</v>
      </c>
      <c r="M55" s="307">
        <f t="shared" si="25"/>
        <v>13350.24</v>
      </c>
      <c r="N55" s="307">
        <f t="shared" ca="1" si="26"/>
        <v>186212.56004713583</v>
      </c>
      <c r="O55" s="306">
        <f t="shared" ca="1" si="9"/>
        <v>1009927.04790682</v>
      </c>
      <c r="P55" s="306">
        <f t="shared" si="10"/>
        <v>0</v>
      </c>
      <c r="Q55" s="306">
        <v>0</v>
      </c>
      <c r="R55" s="306">
        <f t="shared" ca="1" si="11"/>
        <v>1009927.04790682</v>
      </c>
      <c r="S55" s="818">
        <f t="shared" ca="1" si="12"/>
        <v>295653.83198837389</v>
      </c>
      <c r="T55" s="818">
        <f t="shared" si="13"/>
        <v>0</v>
      </c>
      <c r="U55" s="818">
        <v>0</v>
      </c>
      <c r="V55" s="818">
        <f t="shared" ca="1" si="14"/>
        <v>295653.83198837389</v>
      </c>
      <c r="W55" s="306">
        <f t="shared" si="1"/>
        <v>0</v>
      </c>
      <c r="X55" s="306">
        <f t="shared" ca="1" si="21"/>
        <v>-2370.5244355181135</v>
      </c>
      <c r="Y55" s="306">
        <v>0</v>
      </c>
      <c r="Z55" s="306">
        <v>0</v>
      </c>
      <c r="AA55" s="308">
        <f ca="1">-SUM(W55,X55/OFFSET(GridFootprintbyYear,$A55-$A$19,0)*EF_PurchElec_MTperMWh,Z55)*OFFSET(ExposureCalculations!Price_GHG_Allowance_2010,A55-$A$19,0)*ExposureCalculations!D52</f>
        <v>242056.99906682491</v>
      </c>
      <c r="AB55" s="308">
        <f t="shared" ca="1" si="22"/>
        <v>339489.40945651842</v>
      </c>
      <c r="AC55" s="308">
        <v>0</v>
      </c>
      <c r="AD55" s="819">
        <f t="shared" ca="1" si="2"/>
        <v>0</v>
      </c>
      <c r="AE55" s="308">
        <v>0</v>
      </c>
      <c r="AF55" s="819">
        <f t="shared" ca="1" si="3"/>
        <v>0</v>
      </c>
      <c r="AG55" s="308">
        <v>0</v>
      </c>
      <c r="AH55" s="308">
        <v>0</v>
      </c>
      <c r="AI55" s="308">
        <v>0</v>
      </c>
      <c r="AJ55" s="308">
        <f t="shared" ca="1" si="4"/>
        <v>339489.40945651842</v>
      </c>
      <c r="AK55" s="309">
        <v>0</v>
      </c>
      <c r="AL55" s="309">
        <v>0</v>
      </c>
      <c r="AM55" s="309">
        <f t="shared" si="15"/>
        <v>0</v>
      </c>
      <c r="AN55" s="310">
        <v>0</v>
      </c>
      <c r="AO55" s="310">
        <v>0</v>
      </c>
      <c r="AP55" s="310">
        <f t="shared" si="16"/>
        <v>0</v>
      </c>
      <c r="AQ55" s="309">
        <v>0</v>
      </c>
      <c r="AR55" s="311">
        <f t="shared" ca="1" si="5"/>
        <v>581546.40852334327</v>
      </c>
      <c r="AS55" s="870">
        <f t="shared" ca="1" si="17"/>
        <v>8103570.7010286059</v>
      </c>
      <c r="AT55" s="822"/>
      <c r="AU55" s="878"/>
      <c r="AV55" s="35"/>
      <c r="AW55" s="879"/>
      <c r="AX55" s="35"/>
      <c r="AY55" s="880"/>
    </row>
    <row r="56" spans="1:51">
      <c r="A56" s="303">
        <v>2047</v>
      </c>
      <c r="B56" s="304">
        <f ca="1">IF($D$3="BAU",UtilityDemand!C49,INDIRECT($D$3&amp;"!B"&amp;ROW(A56))+INDIRECT($D$3&amp;"!D"&amp;ROW(A56)))</f>
        <v>191126.74564798782</v>
      </c>
      <c r="C56" s="305">
        <v>0</v>
      </c>
      <c r="D56" s="306">
        <f t="shared" ca="1" si="6"/>
        <v>0</v>
      </c>
      <c r="E56" s="304">
        <f ca="1">IF($D$3="BAU",UtilityDemand!E49,INDIRECT($D$3&amp;"!E"&amp;ROW(D56))+INDIRECT($D$3&amp;"!G"&amp;ROW(D56)))</f>
        <v>1018313.6470364953</v>
      </c>
      <c r="F56" s="305">
        <v>0</v>
      </c>
      <c r="G56" s="306">
        <f t="shared" ca="1" si="7"/>
        <v>0</v>
      </c>
      <c r="H56" s="304">
        <f ca="1">IF($D$3="BAU",UtilityDemand!G49,INDIRECT($D$3&amp;"!H"&amp;ROW(G56))+INDIRECT($D$3&amp;"!J"&amp;ROW(G56)))</f>
        <v>298718.36655097757</v>
      </c>
      <c r="I56" s="305">
        <v>0</v>
      </c>
      <c r="J56" s="306">
        <f t="shared" ca="1" si="20"/>
        <v>0</v>
      </c>
      <c r="K56" s="307">
        <f t="shared" ca="1" si="8"/>
        <v>191126.74564798782</v>
      </c>
      <c r="L56" s="307">
        <f t="shared" si="24"/>
        <v>-16687.8</v>
      </c>
      <c r="M56" s="307">
        <f t="shared" si="25"/>
        <v>13350.24</v>
      </c>
      <c r="N56" s="307">
        <f t="shared" ca="1" si="26"/>
        <v>187789.18564798782</v>
      </c>
      <c r="O56" s="306">
        <f t="shared" ca="1" si="9"/>
        <v>1018313.6470364953</v>
      </c>
      <c r="P56" s="306">
        <f t="shared" si="10"/>
        <v>0</v>
      </c>
      <c r="Q56" s="306">
        <v>0</v>
      </c>
      <c r="R56" s="306">
        <f t="shared" ca="1" si="11"/>
        <v>1018313.6470364953</v>
      </c>
      <c r="S56" s="818">
        <f t="shared" ca="1" si="12"/>
        <v>298718.36655097757</v>
      </c>
      <c r="T56" s="818">
        <f t="shared" si="13"/>
        <v>0</v>
      </c>
      <c r="U56" s="818">
        <v>0</v>
      </c>
      <c r="V56" s="818">
        <f t="shared" ca="1" si="14"/>
        <v>298718.36655097757</v>
      </c>
      <c r="W56" s="306">
        <f t="shared" si="1"/>
        <v>0</v>
      </c>
      <c r="X56" s="306">
        <f t="shared" ca="1" si="21"/>
        <v>-2370.5244355181135</v>
      </c>
      <c r="Y56" s="306">
        <v>0</v>
      </c>
      <c r="Z56" s="306">
        <v>0</v>
      </c>
      <c r="AA56" s="308">
        <f ca="1">-SUM(W56,X56/OFFSET(GridFootprintbyYear,$A56-$A$19,0)*EF_PurchElec_MTperMWh,Z56)*OFFSET(ExposureCalculations!Price_GHG_Allowance_2010,A56-$A$19,0)*ExposureCalculations!D53</f>
        <v>254918.96112686349</v>
      </c>
      <c r="AB56" s="308">
        <f t="shared" ca="1" si="22"/>
        <v>341186.85650380095</v>
      </c>
      <c r="AC56" s="308">
        <v>0</v>
      </c>
      <c r="AD56" s="819">
        <f t="shared" ca="1" si="2"/>
        <v>0</v>
      </c>
      <c r="AE56" s="308">
        <v>0</v>
      </c>
      <c r="AF56" s="819">
        <f t="shared" ca="1" si="3"/>
        <v>0</v>
      </c>
      <c r="AG56" s="308">
        <v>0</v>
      </c>
      <c r="AH56" s="308">
        <v>0</v>
      </c>
      <c r="AI56" s="308">
        <v>0</v>
      </c>
      <c r="AJ56" s="308">
        <f t="shared" ca="1" si="4"/>
        <v>341186.85650380095</v>
      </c>
      <c r="AK56" s="309">
        <v>0</v>
      </c>
      <c r="AL56" s="309">
        <v>0</v>
      </c>
      <c r="AM56" s="309">
        <f t="shared" si="15"/>
        <v>0</v>
      </c>
      <c r="AN56" s="310">
        <v>0</v>
      </c>
      <c r="AO56" s="310">
        <v>0</v>
      </c>
      <c r="AP56" s="310">
        <f t="shared" si="16"/>
        <v>0</v>
      </c>
      <c r="AQ56" s="309">
        <v>0</v>
      </c>
      <c r="AR56" s="311">
        <f t="shared" ca="1" si="5"/>
        <v>596105.81763066445</v>
      </c>
      <c r="AS56" s="870">
        <f t="shared" ca="1" si="17"/>
        <v>8699676.5186592713</v>
      </c>
      <c r="AT56" s="822"/>
      <c r="AU56" s="878"/>
      <c r="AV56" s="35"/>
      <c r="AW56" s="879"/>
      <c r="AX56" s="35"/>
      <c r="AY56" s="880"/>
    </row>
    <row r="57" spans="1:51">
      <c r="A57" s="303">
        <v>2048</v>
      </c>
      <c r="B57" s="304">
        <f ca="1">IF($D$3="BAU",UtilityDemand!C50,INDIRECT($D$3&amp;"!B"&amp;ROW(A57))+INDIRECT($D$3&amp;"!D"&amp;ROW(A57)))</f>
        <v>192703.37124883989</v>
      </c>
      <c r="C57" s="305">
        <v>0</v>
      </c>
      <c r="D57" s="306">
        <f t="shared" ca="1" si="6"/>
        <v>0</v>
      </c>
      <c r="E57" s="304">
        <f ca="1">IF($D$3="BAU",UtilityDemand!E50,INDIRECT($D$3&amp;"!E"&amp;ROW(D57))+INDIRECT($D$3&amp;"!G"&amp;ROW(D57)))</f>
        <v>1026700.2461661708</v>
      </c>
      <c r="F57" s="305">
        <v>0</v>
      </c>
      <c r="G57" s="306">
        <f t="shared" ca="1" si="7"/>
        <v>0</v>
      </c>
      <c r="H57" s="304">
        <f ca="1">IF($D$3="BAU",UtilityDemand!G50,INDIRECT($D$3&amp;"!H"&amp;ROW(G57))+INDIRECT($D$3&amp;"!J"&amp;ROW(G57)))</f>
        <v>301782.90111358126</v>
      </c>
      <c r="I57" s="305">
        <v>0</v>
      </c>
      <c r="J57" s="306">
        <f t="shared" ca="1" si="20"/>
        <v>0</v>
      </c>
      <c r="K57" s="307">
        <f t="shared" ca="1" si="8"/>
        <v>192703.37124883989</v>
      </c>
      <c r="L57" s="307">
        <f t="shared" si="24"/>
        <v>-16687.8</v>
      </c>
      <c r="M57" s="307">
        <f t="shared" si="25"/>
        <v>13350.24</v>
      </c>
      <c r="N57" s="307">
        <f t="shared" ca="1" si="26"/>
        <v>189365.81124883989</v>
      </c>
      <c r="O57" s="306">
        <f t="shared" ca="1" si="9"/>
        <v>1026700.2461661708</v>
      </c>
      <c r="P57" s="306">
        <f t="shared" si="10"/>
        <v>0</v>
      </c>
      <c r="Q57" s="306">
        <v>0</v>
      </c>
      <c r="R57" s="306">
        <f t="shared" ca="1" si="11"/>
        <v>1026700.2461661708</v>
      </c>
      <c r="S57" s="818">
        <f t="shared" ca="1" si="12"/>
        <v>301782.90111358126</v>
      </c>
      <c r="T57" s="818">
        <f t="shared" si="13"/>
        <v>0</v>
      </c>
      <c r="U57" s="818">
        <v>0</v>
      </c>
      <c r="V57" s="818">
        <f t="shared" ca="1" si="14"/>
        <v>301782.90111358126</v>
      </c>
      <c r="W57" s="306">
        <f t="shared" si="1"/>
        <v>0</v>
      </c>
      <c r="X57" s="306">
        <f t="shared" ca="1" si="21"/>
        <v>-2370.5244355181135</v>
      </c>
      <c r="Y57" s="306">
        <v>0</v>
      </c>
      <c r="Z57" s="306">
        <v>0</v>
      </c>
      <c r="AA57" s="308">
        <f ca="1">-SUM(W57,X57/OFFSET(GridFootprintbyYear,$A57-$A$19,0)*EF_PurchElec_MTperMWh,Z57)*OFFSET(ExposureCalculations!Price_GHG_Allowance_2010,A57-$A$19,0)*ExposureCalculations!D54</f>
        <v>268733.82979347958</v>
      </c>
      <c r="AB57" s="308">
        <f t="shared" ca="1" si="22"/>
        <v>342892.79078631994</v>
      </c>
      <c r="AC57" s="308">
        <v>0</v>
      </c>
      <c r="AD57" s="819">
        <f t="shared" ca="1" si="2"/>
        <v>0</v>
      </c>
      <c r="AE57" s="308">
        <v>0</v>
      </c>
      <c r="AF57" s="819">
        <f t="shared" ca="1" si="3"/>
        <v>0</v>
      </c>
      <c r="AG57" s="308">
        <v>0</v>
      </c>
      <c r="AH57" s="308">
        <v>0</v>
      </c>
      <c r="AI57" s="308">
        <v>0</v>
      </c>
      <c r="AJ57" s="308">
        <f t="shared" ca="1" si="4"/>
        <v>342892.79078631994</v>
      </c>
      <c r="AK57" s="309">
        <v>0</v>
      </c>
      <c r="AL57" s="309">
        <v>0</v>
      </c>
      <c r="AM57" s="309">
        <f t="shared" si="15"/>
        <v>0</v>
      </c>
      <c r="AN57" s="310">
        <v>0</v>
      </c>
      <c r="AO57" s="310">
        <v>0</v>
      </c>
      <c r="AP57" s="310">
        <f t="shared" si="16"/>
        <v>0</v>
      </c>
      <c r="AQ57" s="309">
        <v>0</v>
      </c>
      <c r="AR57" s="311">
        <f t="shared" ca="1" si="5"/>
        <v>611626.62057979952</v>
      </c>
      <c r="AS57" s="870">
        <f t="shared" ca="1" si="17"/>
        <v>9311303.1392390709</v>
      </c>
      <c r="AT57" s="822"/>
      <c r="AU57" s="878"/>
      <c r="AV57" s="35"/>
      <c r="AW57" s="879"/>
      <c r="AX57" s="35"/>
      <c r="AY57" s="880"/>
    </row>
    <row r="58" spans="1:51">
      <c r="A58" s="303">
        <v>2049</v>
      </c>
      <c r="B58" s="304">
        <f ca="1">IF($D$3="BAU",UtilityDemand!C51,INDIRECT($D$3&amp;"!B"&amp;ROW(A58))+INDIRECT($D$3&amp;"!D"&amp;ROW(A58)))</f>
        <v>194279.99684969187</v>
      </c>
      <c r="C58" s="305">
        <v>0</v>
      </c>
      <c r="D58" s="306">
        <f t="shared" ca="1" si="6"/>
        <v>0</v>
      </c>
      <c r="E58" s="304">
        <f ca="1">IF($D$3="BAU",UtilityDemand!E51,INDIRECT($D$3&amp;"!E"&amp;ROW(D58))+INDIRECT($D$3&amp;"!G"&amp;ROW(D58)))</f>
        <v>1035086.8452958462</v>
      </c>
      <c r="F58" s="305">
        <v>0</v>
      </c>
      <c r="G58" s="306">
        <f t="shared" ca="1" si="7"/>
        <v>0</v>
      </c>
      <c r="H58" s="304">
        <f ca="1">IF($D$3="BAU",UtilityDemand!G51,INDIRECT($D$3&amp;"!H"&amp;ROW(G58))+INDIRECT($D$3&amp;"!J"&amp;ROW(G58)))</f>
        <v>304847.43567618495</v>
      </c>
      <c r="I58" s="305">
        <v>0</v>
      </c>
      <c r="J58" s="306">
        <f t="shared" ca="1" si="20"/>
        <v>0</v>
      </c>
      <c r="K58" s="307">
        <f t="shared" ca="1" si="8"/>
        <v>194279.99684969187</v>
      </c>
      <c r="L58" s="307">
        <f t="shared" si="24"/>
        <v>-16687.8</v>
      </c>
      <c r="M58" s="307">
        <f t="shared" si="25"/>
        <v>13350.24</v>
      </c>
      <c r="N58" s="307">
        <f t="shared" ca="1" si="26"/>
        <v>190942.43684969188</v>
      </c>
      <c r="O58" s="306">
        <f t="shared" ca="1" si="9"/>
        <v>1035086.8452958462</v>
      </c>
      <c r="P58" s="306">
        <f t="shared" si="10"/>
        <v>0</v>
      </c>
      <c r="Q58" s="306">
        <v>0</v>
      </c>
      <c r="R58" s="306">
        <f t="shared" ca="1" si="11"/>
        <v>1035086.8452958462</v>
      </c>
      <c r="S58" s="818">
        <f t="shared" ca="1" si="12"/>
        <v>304847.43567618495</v>
      </c>
      <c r="T58" s="818">
        <f t="shared" si="13"/>
        <v>0</v>
      </c>
      <c r="U58" s="818">
        <v>0</v>
      </c>
      <c r="V58" s="818">
        <f t="shared" ca="1" si="14"/>
        <v>304847.43567618495</v>
      </c>
      <c r="W58" s="306">
        <f t="shared" si="1"/>
        <v>0</v>
      </c>
      <c r="X58" s="306">
        <f t="shared" ca="1" si="21"/>
        <v>-2370.5244355181135</v>
      </c>
      <c r="Y58" s="306">
        <v>0</v>
      </c>
      <c r="Z58" s="306">
        <v>0</v>
      </c>
      <c r="AA58" s="308">
        <f ca="1">-SUM(W58,X58/OFFSET(GridFootprintbyYear,$A58-$A$19,0)*EF_PurchElec_MTperMWh,Z58)*OFFSET(ExposureCalculations!Price_GHG_Allowance_2010,A58-$A$19,0)*ExposureCalculations!D55</f>
        <v>283611.25982087001</v>
      </c>
      <c r="AB58" s="308">
        <f t="shared" ca="1" si="22"/>
        <v>344607.25474025146</v>
      </c>
      <c r="AC58" s="308">
        <v>0</v>
      </c>
      <c r="AD58" s="819">
        <f t="shared" ca="1" si="2"/>
        <v>0</v>
      </c>
      <c r="AE58" s="308">
        <v>0</v>
      </c>
      <c r="AF58" s="819">
        <f t="shared" ca="1" si="3"/>
        <v>0</v>
      </c>
      <c r="AG58" s="308">
        <v>0</v>
      </c>
      <c r="AH58" s="308">
        <v>0</v>
      </c>
      <c r="AI58" s="308">
        <v>0</v>
      </c>
      <c r="AJ58" s="308">
        <f t="shared" ca="1" si="4"/>
        <v>344607.25474025146</v>
      </c>
      <c r="AK58" s="309">
        <v>0</v>
      </c>
      <c r="AL58" s="309">
        <v>0</v>
      </c>
      <c r="AM58" s="309">
        <f t="shared" si="15"/>
        <v>0</v>
      </c>
      <c r="AN58" s="310">
        <v>0</v>
      </c>
      <c r="AO58" s="310">
        <v>0</v>
      </c>
      <c r="AP58" s="310">
        <f t="shared" si="16"/>
        <v>0</v>
      </c>
      <c r="AQ58" s="309">
        <v>0</v>
      </c>
      <c r="AR58" s="311">
        <f t="shared" ca="1" si="5"/>
        <v>628218.51456112147</v>
      </c>
      <c r="AS58" s="870">
        <f t="shared" ca="1" si="17"/>
        <v>9939521.6538001932</v>
      </c>
      <c r="AT58" s="822"/>
      <c r="AU58" s="878"/>
      <c r="AV58" s="35"/>
      <c r="AW58" s="879"/>
      <c r="AX58" s="35"/>
      <c r="AY58" s="880"/>
    </row>
    <row r="59" spans="1:51">
      <c r="A59" s="303">
        <v>2050</v>
      </c>
      <c r="B59" s="304">
        <f ca="1">IF($D$3="BAU",UtilityDemand!C52,INDIRECT($D$3&amp;"!B"&amp;ROW(A59))+INDIRECT($D$3&amp;"!D"&amp;ROW(A59)))</f>
        <v>195856.62245054395</v>
      </c>
      <c r="C59" s="305">
        <v>0</v>
      </c>
      <c r="D59" s="306">
        <f t="shared" ca="1" si="6"/>
        <v>0</v>
      </c>
      <c r="E59" s="304">
        <f ca="1">IF($D$3="BAU",UtilityDemand!E52,INDIRECT($D$3&amp;"!E"&amp;ROW(D59))+INDIRECT($D$3&amp;"!G"&amp;ROW(D59)))</f>
        <v>1043473.4444255217</v>
      </c>
      <c r="F59" s="305">
        <v>0</v>
      </c>
      <c r="G59" s="306">
        <f t="shared" ca="1" si="7"/>
        <v>0</v>
      </c>
      <c r="H59" s="304">
        <f ca="1">IF($D$3="BAU",UtilityDemand!G52,INDIRECT($D$3&amp;"!H"&amp;ROW(G59))+INDIRECT($D$3&amp;"!J"&amp;ROW(G59)))</f>
        <v>307911.97023878864</v>
      </c>
      <c r="I59" s="305">
        <v>0</v>
      </c>
      <c r="J59" s="306">
        <f t="shared" ca="1" si="20"/>
        <v>0</v>
      </c>
      <c r="K59" s="307">
        <f t="shared" ca="1" si="8"/>
        <v>195856.62245054395</v>
      </c>
      <c r="L59" s="307">
        <f t="shared" si="24"/>
        <v>-16687.8</v>
      </c>
      <c r="M59" s="307">
        <f t="shared" si="25"/>
        <v>13350.24</v>
      </c>
      <c r="N59" s="307">
        <f t="shared" ca="1" si="26"/>
        <v>192519.06245054395</v>
      </c>
      <c r="O59" s="306">
        <f t="shared" ca="1" si="9"/>
        <v>1043473.4444255217</v>
      </c>
      <c r="P59" s="306">
        <f t="shared" si="10"/>
        <v>0</v>
      </c>
      <c r="Q59" s="306">
        <v>0</v>
      </c>
      <c r="R59" s="306">
        <f t="shared" ca="1" si="11"/>
        <v>1043473.4444255217</v>
      </c>
      <c r="S59" s="818">
        <f t="shared" ca="1" si="12"/>
        <v>307911.97023878864</v>
      </c>
      <c r="T59" s="818">
        <f t="shared" si="13"/>
        <v>0</v>
      </c>
      <c r="U59" s="818">
        <v>0</v>
      </c>
      <c r="V59" s="818">
        <f t="shared" ca="1" si="14"/>
        <v>307911.97023878864</v>
      </c>
      <c r="W59" s="306">
        <f t="shared" si="1"/>
        <v>0</v>
      </c>
      <c r="X59" s="306">
        <f t="shared" ca="1" si="21"/>
        <v>-2370.5244355181135</v>
      </c>
      <c r="Y59" s="306">
        <v>0</v>
      </c>
      <c r="Z59" s="306">
        <v>0</v>
      </c>
      <c r="AA59" s="308">
        <f ca="1">-SUM(W59,X59/OFFSET(GridFootprintbyYear,$A59-$A$19,0)*EF_PurchElec_MTperMWh,Z59)*OFFSET(ExposureCalculations!Price_GHG_Allowance_2010,A59-$A$19,0)*ExposureCalculations!D56</f>
        <v>299667.20080347836</v>
      </c>
      <c r="AB59" s="308">
        <f t="shared" ca="1" si="22"/>
        <v>346330.29101395269</v>
      </c>
      <c r="AC59" s="308">
        <v>0</v>
      </c>
      <c r="AD59" s="819">
        <f t="shared" ca="1" si="2"/>
        <v>0</v>
      </c>
      <c r="AE59" s="308">
        <v>0</v>
      </c>
      <c r="AF59" s="819">
        <f t="shared" ca="1" si="3"/>
        <v>0</v>
      </c>
      <c r="AG59" s="308">
        <v>0</v>
      </c>
      <c r="AH59" s="308">
        <v>0</v>
      </c>
      <c r="AI59" s="308">
        <v>0</v>
      </c>
      <c r="AJ59" s="308">
        <f t="shared" ca="1" si="4"/>
        <v>346330.29101395269</v>
      </c>
      <c r="AK59" s="309">
        <v>0</v>
      </c>
      <c r="AL59" s="309">
        <v>0</v>
      </c>
      <c r="AM59" s="309">
        <f t="shared" si="15"/>
        <v>0</v>
      </c>
      <c r="AN59" s="310">
        <v>0</v>
      </c>
      <c r="AO59" s="310">
        <v>0</v>
      </c>
      <c r="AP59" s="310">
        <f t="shared" si="16"/>
        <v>0</v>
      </c>
      <c r="AQ59" s="309">
        <v>0</v>
      </c>
      <c r="AR59" s="311">
        <f t="shared" ca="1" si="5"/>
        <v>645997.49181743106</v>
      </c>
      <c r="AS59" s="870">
        <f t="shared" ca="1" si="17"/>
        <v>10585519.145617625</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1">
    <mergeCell ref="W16:AA16"/>
    <mergeCell ref="D3:F3"/>
    <mergeCell ref="B16:J16"/>
    <mergeCell ref="K16:N16"/>
    <mergeCell ref="O16:R16"/>
    <mergeCell ref="S16:V16"/>
    <mergeCell ref="BB30:BE30"/>
    <mergeCell ref="AB16:AJ16"/>
    <mergeCell ref="AK16:AP16"/>
    <mergeCell ref="AR16:AS16"/>
    <mergeCell ref="AU17:AY17"/>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sheetPr codeName="Sheet48">
    <tabColor rgb="FFA9DA74"/>
  </sheetPr>
  <dimension ref="A1:BT84"/>
  <sheetViews>
    <sheetView workbookViewId="0">
      <pane xSplit="1" topLeftCell="AW1" activePane="topRight" state="frozen"/>
      <selection activeCell="K14" sqref="K14"/>
      <selection pane="topRight" activeCell="BC18" sqref="BC18"/>
    </sheetView>
  </sheetViews>
  <sheetFormatPr defaultRowHeight="15"/>
  <cols>
    <col min="11" max="11" width="12" customWidth="1"/>
    <col min="12" max="12" width="12.85546875" customWidth="1"/>
    <col min="13" max="13" width="12.42578125" customWidth="1"/>
    <col min="35" max="36" width="13" customWidth="1"/>
    <col min="40" max="40" width="12.42578125" customWidth="1"/>
    <col min="41" max="41" width="10" bestFit="1" customWidth="1"/>
    <col min="44" max="44" width="10.85546875" customWidth="1"/>
    <col min="45" max="45" width="10.85546875" bestFit="1" customWidth="1"/>
    <col min="46" max="46" width="1.7109375" customWidth="1"/>
    <col min="47" max="47" width="13.5703125" bestFit="1" customWidth="1"/>
    <col min="51" max="51" width="10.5703125" customWidth="1"/>
    <col min="54" max="54" width="11.85546875" bestFit="1" customWidth="1"/>
    <col min="67" max="67" width="12.7109375" bestFit="1" customWidth="1"/>
    <col min="72" max="72" width="11.85546875" bestFit="1" customWidth="1"/>
  </cols>
  <sheetData>
    <row r="1" spans="1:70" ht="60">
      <c r="C1" s="257" t="s">
        <v>226</v>
      </c>
      <c r="D1" s="258" t="s">
        <v>967</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70">
      <c r="C2" s="257" t="s">
        <v>230</v>
      </c>
      <c r="D2" s="265">
        <v>2010</v>
      </c>
      <c r="E2" s="266"/>
      <c r="J2" s="267" t="s">
        <v>231</v>
      </c>
      <c r="K2" s="268">
        <f ca="1">NPV(DiscountRate,AA19:AA59)</f>
        <v>399166.7181206125</v>
      </c>
      <c r="L2" s="269">
        <f ca="1">-SUM(OFFSET(W19,0,0,M2-2010+1,4))</f>
        <v>33147.097907592033</v>
      </c>
      <c r="M2" s="270">
        <v>2050</v>
      </c>
      <c r="N2" s="271"/>
      <c r="O2" s="1492"/>
      <c r="P2" s="271"/>
      <c r="Q2" s="271"/>
      <c r="R2" s="271"/>
      <c r="S2" s="271"/>
      <c r="T2" s="271"/>
      <c r="U2" s="271"/>
      <c r="V2" s="271"/>
      <c r="W2" s="271"/>
      <c r="X2" s="271"/>
      <c r="Y2" s="271"/>
      <c r="Z2" s="271"/>
      <c r="AA2" s="271"/>
      <c r="AB2" s="259"/>
      <c r="AC2" s="259"/>
      <c r="AD2" s="259"/>
      <c r="AE2" s="259"/>
      <c r="AF2" s="259"/>
      <c r="AG2" s="259"/>
      <c r="AH2" s="259"/>
      <c r="AJ2" s="264"/>
      <c r="BL2" t="s">
        <v>2983</v>
      </c>
    </row>
    <row r="3" spans="1:70">
      <c r="A3" s="272"/>
      <c r="B3" s="273"/>
      <c r="C3" s="274" t="s">
        <v>232</v>
      </c>
      <c r="D3" s="1635" t="s">
        <v>233</v>
      </c>
      <c r="E3" s="1635"/>
      <c r="F3" s="1635"/>
      <c r="G3" s="273"/>
      <c r="H3" s="273"/>
      <c r="I3" s="273"/>
      <c r="J3" s="275" t="s">
        <v>234</v>
      </c>
      <c r="K3" s="276">
        <f ca="1">NPV(DiscountRate,AJ19:AJ59)</f>
        <v>0</v>
      </c>
      <c r="L3" s="277" t="s">
        <v>235</v>
      </c>
      <c r="M3" s="278">
        <f ca="1">-SUM(OFFSET(W19,M2-2010,0,1,4))</f>
        <v>877.22881651838861</v>
      </c>
      <c r="N3" s="272"/>
      <c r="O3" s="1496">
        <f ca="1">AVERAGE(OFFSET(AJ19,0,0,$M$2-2010+1,1))</f>
        <v>0</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c r="BL3" t="s">
        <v>457</v>
      </c>
    </row>
    <row r="4" spans="1:70">
      <c r="A4" s="272"/>
      <c r="B4" s="273"/>
      <c r="C4" s="273"/>
      <c r="D4" s="280" t="s">
        <v>236</v>
      </c>
      <c r="E4" s="273"/>
      <c r="F4" s="272"/>
      <c r="G4" s="272"/>
      <c r="H4" s="272"/>
      <c r="I4" s="273"/>
      <c r="J4" s="275" t="s">
        <v>237</v>
      </c>
      <c r="K4" s="276">
        <f>NPV(DiscountRate,AK19:AK59)</f>
        <v>0</v>
      </c>
      <c r="L4" s="278">
        <f ca="1">L2/(2050-D2+1)</f>
        <v>808.46580262419593</v>
      </c>
      <c r="M4" s="281">
        <f ca="1">-SUM(OFFSET(W19,M2-2010,0,1,4))/SUM(OFFSET(ExposureCalculations!G16,M2-2010,0,1,3))</f>
        <v>8.023449750461471E-4</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c r="BL4" t="s">
        <v>459</v>
      </c>
    </row>
    <row r="5" spans="1:70">
      <c r="A5" s="272"/>
      <c r="B5" s="273"/>
      <c r="C5" s="814" t="s">
        <v>649</v>
      </c>
      <c r="D5" s="885" t="s">
        <v>941</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c r="BL5" t="s">
        <v>460</v>
      </c>
      <c r="BN5" t="s">
        <v>472</v>
      </c>
      <c r="BO5" t="s">
        <v>472</v>
      </c>
    </row>
    <row r="6" spans="1:70">
      <c r="A6" s="272"/>
      <c r="B6" s="273"/>
      <c r="C6" s="273"/>
      <c r="D6" s="273"/>
      <c r="E6" s="273"/>
      <c r="F6" s="272"/>
      <c r="G6" s="272"/>
      <c r="H6" s="272"/>
      <c r="I6" s="273"/>
      <c r="J6" s="275" t="s">
        <v>239</v>
      </c>
      <c r="K6" s="276">
        <f ca="1">NPV(DiscountRate,AN19:AN59)</f>
        <v>2575070.3111933446</v>
      </c>
      <c r="L6" s="277"/>
      <c r="M6" s="272"/>
      <c r="N6" s="272"/>
      <c r="O6" s="1496">
        <f ca="1">AVERAGE(OFFSET(AN19,0,0,$M$2-2010+1,1))</f>
        <v>177917.63102318</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c r="BM6" t="s">
        <v>2981</v>
      </c>
      <c r="BN6" t="s">
        <v>424</v>
      </c>
      <c r="BO6" t="s">
        <v>424</v>
      </c>
    </row>
    <row r="7" spans="1:7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c r="BL7" t="s">
        <v>478</v>
      </c>
      <c r="BM7" t="s">
        <v>537</v>
      </c>
      <c r="BN7" t="s">
        <v>532</v>
      </c>
      <c r="BO7" t="s">
        <v>532</v>
      </c>
      <c r="BR7" t="s">
        <v>473</v>
      </c>
    </row>
    <row r="8" spans="1:70">
      <c r="A8" s="272"/>
      <c r="B8" s="282"/>
      <c r="C8" s="282"/>
      <c r="D8" s="282"/>
      <c r="E8" s="282"/>
      <c r="F8" s="272"/>
      <c r="G8" s="272"/>
      <c r="H8" s="272"/>
      <c r="I8" s="273"/>
      <c r="J8" s="283" t="s">
        <v>241</v>
      </c>
      <c r="K8" s="276">
        <f ca="1">NPV(DiscountRate,AR19:AR59)</f>
        <v>2974237.0293139569</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c r="BM8" t="s">
        <v>2982</v>
      </c>
      <c r="BN8" t="s">
        <v>2986</v>
      </c>
      <c r="BO8" t="s">
        <v>2987</v>
      </c>
    </row>
    <row r="9" spans="1:70">
      <c r="A9" s="272"/>
      <c r="B9" s="282"/>
      <c r="C9" s="282"/>
      <c r="D9" s="282"/>
      <c r="E9" s="282"/>
      <c r="F9" s="272"/>
      <c r="G9" s="272"/>
      <c r="H9" s="272"/>
      <c r="I9" s="273"/>
      <c r="J9" s="283" t="s">
        <v>242</v>
      </c>
      <c r="K9" s="286" t="str">
        <f ca="1">IFERROR((K8-K5)/-K5,"No Capital")</f>
        <v>No Capital</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c r="BL9">
        <v>1990</v>
      </c>
      <c r="BM9">
        <v>4.9318145195470101E-3</v>
      </c>
      <c r="BN9">
        <v>9.7526985335898435E-4</v>
      </c>
      <c r="BR9" t="s">
        <v>537</v>
      </c>
    </row>
    <row r="10" spans="1:7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c r="BL10">
        <v>1991</v>
      </c>
      <c r="BM10">
        <v>4.6708756821653395E-3</v>
      </c>
      <c r="BN10">
        <v>9.236690113848501E-4</v>
      </c>
      <c r="BR10" t="s">
        <v>2987</v>
      </c>
    </row>
    <row r="11" spans="1:70">
      <c r="A11" s="272"/>
      <c r="B11" s="282"/>
      <c r="C11" s="282"/>
      <c r="D11" s="282"/>
      <c r="E11" s="282"/>
      <c r="F11" s="272"/>
      <c r="G11" s="272"/>
      <c r="H11" s="272"/>
      <c r="I11" s="273"/>
      <c r="J11" s="283" t="s">
        <v>244</v>
      </c>
      <c r="K11" s="288">
        <f ca="1">IFERROR(COUNTIF(AS19:AS59,"&lt;=0")+1-INDEX(AS19:AS59,COUNTIF(AS19:AS59,"&lt;=0")+1)/INDEX(AR19:AR59,COUNTIF(AS19:AS59,"&lt;=0")+1)-(D2-2010),"Check Calc")</f>
        <v>1</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c r="BL11">
        <v>1992</v>
      </c>
      <c r="BM11">
        <v>4.5640801094182495E-3</v>
      </c>
      <c r="BN11">
        <v>9.0208653048582852E-4</v>
      </c>
    </row>
    <row r="12" spans="1:70">
      <c r="A12" s="272"/>
      <c r="B12" s="317"/>
      <c r="C12" s="282"/>
      <c r="D12" s="282"/>
      <c r="E12" s="282"/>
      <c r="F12" s="272"/>
      <c r="G12" s="272"/>
      <c r="H12" s="272"/>
      <c r="I12" s="273"/>
      <c r="J12" s="283" t="s">
        <v>245</v>
      </c>
      <c r="K12" s="276">
        <f ca="1">K8-K2</f>
        <v>2575070.3111933442</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c r="BL12">
        <v>1993</v>
      </c>
      <c r="BM12">
        <v>4.5582278910121206E-3</v>
      </c>
      <c r="BN12">
        <v>9.0000387355373686E-4</v>
      </c>
    </row>
    <row r="13" spans="1:70">
      <c r="A13" s="272"/>
      <c r="B13" s="282"/>
      <c r="C13" s="282"/>
      <c r="D13" s="282"/>
      <c r="E13" s="282"/>
      <c r="F13" s="272"/>
      <c r="G13" s="272"/>
      <c r="H13" s="272"/>
      <c r="I13" s="273"/>
      <c r="J13" s="275" t="s">
        <v>246</v>
      </c>
      <c r="K13" s="276">
        <f ca="1">IFERROR(IF(L2&lt;0,99999.4,K12/SUM(NPV(DiscountRate,W19:W59),NPV(DiscountRate,X19:X59),NPV(DiscountRate,Y19:Y59),NPV(DiscountRate,Z19:Z59))),"")</f>
        <v>-220.06822112410663</v>
      </c>
      <c r="L13" s="915"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c r="BL13">
        <v>1994</v>
      </c>
      <c r="BM13">
        <v>4.4439145344336304E-3</v>
      </c>
      <c r="BN13">
        <v>8.7653040927663758E-4</v>
      </c>
    </row>
    <row r="14" spans="1:70">
      <c r="A14" s="272"/>
      <c r="B14" s="282"/>
      <c r="C14" s="282"/>
      <c r="D14" s="282"/>
      <c r="E14" s="282"/>
      <c r="F14" s="272"/>
      <c r="G14" s="272"/>
      <c r="H14" s="272"/>
      <c r="I14" s="273"/>
      <c r="J14" s="275" t="s">
        <v>247</v>
      </c>
      <c r="K14" s="276">
        <f ca="1">IFERROR(IF(L2&lt;0,"",-K2/SUM(NPV(DiscountRate,W19:W59),NPV(DiscountRate,X19:X59),NPV(DiscountRate,Y19:Y59),NPV(DiscountRate,Z19:Z59))),"")</f>
        <v>34.113208174126356</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c r="BL14">
        <v>1995</v>
      </c>
      <c r="BM14">
        <v>4.3819272452293801E-3</v>
      </c>
      <c r="BN14">
        <v>8.6385878072841617E-4</v>
      </c>
    </row>
    <row r="15" spans="1:7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c r="BL15">
        <v>1996</v>
      </c>
      <c r="BM15">
        <v>4.1830424724034103E-3</v>
      </c>
      <c r="BN15">
        <v>8.2422550307960731E-4</v>
      </c>
    </row>
    <row r="16" spans="1:7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c r="BL16">
        <v>1997</v>
      </c>
      <c r="BM16">
        <v>4.1660000000000004E-3</v>
      </c>
      <c r="BN16">
        <v>8.2086745914792571E-4</v>
      </c>
    </row>
    <row r="17" spans="1:72"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A17" t="s">
        <v>2980</v>
      </c>
      <c r="BL17">
        <v>1998</v>
      </c>
      <c r="BM17">
        <v>4.1225074029003399E-3</v>
      </c>
      <c r="BN17">
        <v>8.1229769014337866E-4</v>
      </c>
    </row>
    <row r="18" spans="1:72">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A18" s="1502">
        <v>14</v>
      </c>
      <c r="BB18" t="s">
        <v>2977</v>
      </c>
      <c r="BC18" s="383" t="s">
        <v>2976</v>
      </c>
      <c r="BL18">
        <v>1999</v>
      </c>
      <c r="BM18">
        <v>4.0494676838549199E-3</v>
      </c>
      <c r="BN18">
        <v>7.9790596460576658E-4</v>
      </c>
    </row>
    <row r="19" spans="1:72">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f ca="1">-Z19*$AU$25</f>
        <v>0</v>
      </c>
      <c r="AO19" s="310">
        <v>0</v>
      </c>
      <c r="AP19" s="310">
        <f ca="1">SUM(AN19:AO19)</f>
        <v>0</v>
      </c>
      <c r="AQ19" s="309">
        <v>0</v>
      </c>
      <c r="AR19" s="311">
        <f t="shared" ref="AR19:AR59" ca="1" si="7">SUM(AA19,AJ19,AM19,AP19,AQ19)</f>
        <v>0</v>
      </c>
      <c r="AS19" s="870">
        <f ca="1">AR19</f>
        <v>0</v>
      </c>
      <c r="AT19" s="822"/>
      <c r="AU19" s="878"/>
      <c r="AV19" s="879"/>
      <c r="AW19" s="879"/>
      <c r="AX19" s="35"/>
      <c r="AY19" s="880"/>
      <c r="BL19">
        <v>2000</v>
      </c>
      <c r="BM19">
        <v>3.9420000000000002E-3</v>
      </c>
      <c r="BN19">
        <v>7.7673056264069196E-4</v>
      </c>
    </row>
    <row r="20" spans="1:72">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v>0</v>
      </c>
      <c r="N20" s="307">
        <f t="shared" ref="N20:N59" ca="1" si="12">K20+L20</f>
        <v>130129.26073503707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f ca="1">-'GHG Emissions'!P12*$AU$20*$AU$21</f>
        <v>-561.67481273159069</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f t="shared" ref="AN20:AN59" ca="1" si="20">-Z20*$AU$25</f>
        <v>123606.77688805692</v>
      </c>
      <c r="AO20" s="310">
        <f>-$AU$27</f>
        <v>0</v>
      </c>
      <c r="AP20" s="310">
        <f t="shared" ref="AP20:AP59" ca="1" si="21">SUM(AN20:AO20)</f>
        <v>123606.77688805692</v>
      </c>
      <c r="AQ20" s="309">
        <v>0</v>
      </c>
      <c r="AR20" s="311">
        <f t="shared" ca="1" si="7"/>
        <v>123606.77688805692</v>
      </c>
      <c r="AS20" s="870">
        <f t="shared" ref="AS20:AS59" ca="1" si="22">AR20+AS19</f>
        <v>123606.77688805692</v>
      </c>
      <c r="AT20" s="822"/>
      <c r="AU20" s="1265">
        <v>0.2</v>
      </c>
      <c r="AV20" s="35" t="s">
        <v>1477</v>
      </c>
      <c r="AW20" s="879"/>
      <c r="AX20" s="35"/>
      <c r="AY20" s="880"/>
      <c r="BA20" t="s">
        <v>2979</v>
      </c>
      <c r="BL20">
        <v>2001</v>
      </c>
      <c r="BM20">
        <v>3.9399999999999999E-3</v>
      </c>
      <c r="BN20">
        <v>7.7633648320759164E-4</v>
      </c>
    </row>
    <row r="21" spans="1:72">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3">-H21*I21</f>
        <v>0</v>
      </c>
      <c r="K21" s="307">
        <f t="shared" ca="1" si="10"/>
        <v>133825.36797702796</v>
      </c>
      <c r="L21" s="307">
        <f t="shared" si="11"/>
        <v>0</v>
      </c>
      <c r="M21" s="307">
        <v>0</v>
      </c>
      <c r="N21" s="307">
        <f t="shared" ca="1" si="12"/>
        <v>133825.36797702796</v>
      </c>
      <c r="O21" s="306">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0</v>
      </c>
      <c r="Y21" s="306">
        <v>0</v>
      </c>
      <c r="Z21" s="306">
        <f ca="1">-'GHG Emissions'!P13*$AU$20*$AU$21</f>
        <v>-563.47528677760192</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v>0</v>
      </c>
      <c r="AM21" s="309">
        <f t="shared" si="19"/>
        <v>0</v>
      </c>
      <c r="AN21" s="310">
        <f t="shared" ca="1" si="20"/>
        <v>124003.00400854273</v>
      </c>
      <c r="AO21" s="310">
        <f>-$AU$27</f>
        <v>0</v>
      </c>
      <c r="AP21" s="310">
        <f t="shared" ca="1" si="21"/>
        <v>124003.00400854273</v>
      </c>
      <c r="AQ21" s="309">
        <v>0</v>
      </c>
      <c r="AR21" s="311">
        <f t="shared" ca="1" si="7"/>
        <v>124003.00400854273</v>
      </c>
      <c r="AS21" s="870">
        <f t="shared" ca="1" si="22"/>
        <v>247609.78089659964</v>
      </c>
      <c r="AT21" s="822"/>
      <c r="AU21" s="1265">
        <v>0.1</v>
      </c>
      <c r="AV21" s="35" t="s">
        <v>1478</v>
      </c>
      <c r="AW21" s="879"/>
      <c r="AX21" s="35"/>
      <c r="AY21" s="880"/>
      <c r="BA21" s="912">
        <f>704.8/123.4</f>
        <v>5.7115072933549422</v>
      </c>
      <c r="BB21" t="s">
        <v>2977</v>
      </c>
      <c r="BC21" s="383" t="s">
        <v>2978</v>
      </c>
      <c r="BL21">
        <v>2002</v>
      </c>
      <c r="BM21">
        <v>3.9399999999999999E-3</v>
      </c>
      <c r="BN21">
        <v>7.7633648320759164E-4</v>
      </c>
    </row>
    <row r="22" spans="1:72">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3"/>
        <v>0</v>
      </c>
      <c r="K22" s="307">
        <f t="shared" ca="1" si="10"/>
        <v>135980.03402546333</v>
      </c>
      <c r="L22" s="307">
        <f t="shared" si="11"/>
        <v>0</v>
      </c>
      <c r="M22" s="307">
        <v>0</v>
      </c>
      <c r="N22" s="307">
        <f t="shared" ca="1" si="12"/>
        <v>135980.03402546333</v>
      </c>
      <c r="O22" s="306">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0</v>
      </c>
      <c r="Y22" s="306">
        <v>0</v>
      </c>
      <c r="Z22" s="306">
        <f ca="1">-'GHG Emissions'!P14*$AU$20*$AU$21</f>
        <v>-564.85683910426201</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v>0</v>
      </c>
      <c r="AM22" s="309">
        <f t="shared" si="19"/>
        <v>0</v>
      </c>
      <c r="AN22" s="310">
        <f t="shared" ca="1" si="20"/>
        <v>124307.03977146068</v>
      </c>
      <c r="AO22" s="310">
        <f>-$AU$27</f>
        <v>0</v>
      </c>
      <c r="AP22" s="310">
        <f t="shared" ca="1" si="21"/>
        <v>124307.03977146068</v>
      </c>
      <c r="AQ22" s="309">
        <v>0</v>
      </c>
      <c r="AR22" s="311">
        <f t="shared" ca="1" si="7"/>
        <v>124307.03977146068</v>
      </c>
      <c r="AS22" s="870">
        <f t="shared" ca="1" si="22"/>
        <v>371916.82066806033</v>
      </c>
      <c r="AT22" s="822"/>
      <c r="AU22" s="1265">
        <v>0.15</v>
      </c>
      <c r="AV22" s="35" t="s">
        <v>1479</v>
      </c>
      <c r="AW22" s="879"/>
      <c r="AX22" s="35"/>
      <c r="AY22" s="880"/>
      <c r="BL22">
        <v>2003</v>
      </c>
      <c r="BM22">
        <v>3.9399999999999999E-3</v>
      </c>
      <c r="BN22">
        <v>7.7633648320759164E-4</v>
      </c>
    </row>
    <row r="23" spans="1:72">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3"/>
        <v>0</v>
      </c>
      <c r="K23" s="307">
        <f t="shared" ca="1" si="10"/>
        <v>137556.65962631535</v>
      </c>
      <c r="L23" s="307">
        <f t="shared" si="11"/>
        <v>0</v>
      </c>
      <c r="M23" s="307">
        <v>0</v>
      </c>
      <c r="N23" s="307">
        <f t="shared" ca="1" si="12"/>
        <v>137556.65962631535</v>
      </c>
      <c r="O23" s="306">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0</v>
      </c>
      <c r="Y23" s="306">
        <v>0</v>
      </c>
      <c r="Z23" s="306">
        <f ca="1">-'GHG Emissions'!P15*$AU$20*$AU$21</f>
        <v>-566.02154159217173</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v>0</v>
      </c>
      <c r="AM23" s="309">
        <f t="shared" si="19"/>
        <v>0</v>
      </c>
      <c r="AN23" s="310">
        <f t="shared" ca="1" si="20"/>
        <v>124563.3537761138</v>
      </c>
      <c r="AO23" s="310">
        <f>-$AU$27</f>
        <v>0</v>
      </c>
      <c r="AP23" s="310">
        <f t="shared" ca="1" si="21"/>
        <v>124563.3537761138</v>
      </c>
      <c r="AQ23" s="309">
        <v>0</v>
      </c>
      <c r="AR23" s="311">
        <f t="shared" ca="1" si="7"/>
        <v>124563.3537761138</v>
      </c>
      <c r="AS23" s="870">
        <f t="shared" ca="1" si="22"/>
        <v>496480.17444417416</v>
      </c>
      <c r="AT23" s="822"/>
      <c r="AU23" s="878"/>
      <c r="AV23" s="35"/>
      <c r="AW23" s="879"/>
      <c r="AX23" s="35"/>
      <c r="AY23" s="880"/>
      <c r="BL23">
        <v>2004</v>
      </c>
      <c r="BM23">
        <v>3.9399999999999999E-3</v>
      </c>
      <c r="BN23">
        <v>7.7633648320759164E-4</v>
      </c>
    </row>
    <row r="24" spans="1:72">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3"/>
        <v>0</v>
      </c>
      <c r="K24" s="307">
        <f t="shared" ca="1" si="10"/>
        <v>140674.7264207229</v>
      </c>
      <c r="L24" s="307">
        <f t="shared" si="11"/>
        <v>0</v>
      </c>
      <c r="M24" s="307">
        <v>0</v>
      </c>
      <c r="N24" s="307">
        <f t="shared" ca="1" si="12"/>
        <v>140674.7264207229</v>
      </c>
      <c r="O24" s="306">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0</v>
      </c>
      <c r="Y24" s="306">
        <v>0</v>
      </c>
      <c r="Z24" s="306">
        <f ca="1">-'GHG Emissions'!P16*$AU$20*$AU$21</f>
        <v>-567.04766508302907</v>
      </c>
      <c r="AA24" s="308">
        <f ca="1">-SUM(W24,X24/OFFSET(GridFootprintbyYear,$A24-$A$19,0)*EF_PurchElec_MTperMWh,Z24)*OFFSET(ExposureCalculations!Price_GHG_Allowance_2010,A24-$A$19,0)*ExposureCalculations!D21</f>
        <v>5766.4986715287514</v>
      </c>
      <c r="AB24" s="308">
        <f t="shared" ca="1" si="3"/>
        <v>0</v>
      </c>
      <c r="AC24" s="308">
        <v>0</v>
      </c>
      <c r="AD24" s="819">
        <f t="shared" ca="1" si="4"/>
        <v>0</v>
      </c>
      <c r="AE24" s="308">
        <v>0</v>
      </c>
      <c r="AF24" s="819">
        <f t="shared" ca="1" si="5"/>
        <v>0</v>
      </c>
      <c r="AG24" s="308">
        <v>0</v>
      </c>
      <c r="AH24" s="308">
        <v>0</v>
      </c>
      <c r="AI24" s="308">
        <v>0</v>
      </c>
      <c r="AJ24" s="308">
        <f t="shared" ca="1" si="6"/>
        <v>0</v>
      </c>
      <c r="AK24" s="309">
        <v>0</v>
      </c>
      <c r="AL24" s="309">
        <v>0</v>
      </c>
      <c r="AM24" s="309">
        <f t="shared" si="19"/>
        <v>0</v>
      </c>
      <c r="AN24" s="310">
        <f t="shared" ca="1" si="20"/>
        <v>124789.17094740043</v>
      </c>
      <c r="AO24" s="310">
        <f>-$AU$27</f>
        <v>0</v>
      </c>
      <c r="AP24" s="310">
        <f t="shared" ca="1" si="21"/>
        <v>124789.17094740043</v>
      </c>
      <c r="AQ24" s="309">
        <v>0</v>
      </c>
      <c r="AR24" s="311">
        <f t="shared" ca="1" si="7"/>
        <v>130555.66961892918</v>
      </c>
      <c r="AS24" s="870">
        <f t="shared" ca="1" si="22"/>
        <v>627035.84406310332</v>
      </c>
      <c r="AT24" s="822"/>
      <c r="AU24" s="1261">
        <v>6132510</v>
      </c>
      <c r="AV24" s="827" t="s">
        <v>1480</v>
      </c>
      <c r="AW24" s="879"/>
      <c r="AX24" s="35"/>
      <c r="AY24" s="880"/>
      <c r="BL24">
        <v>2005</v>
      </c>
      <c r="BM24">
        <v>3.9399999999999999E-3</v>
      </c>
      <c r="BN24">
        <v>7.7633648320759164E-4</v>
      </c>
    </row>
    <row r="25" spans="1:72">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3"/>
        <v>0</v>
      </c>
      <c r="K25" s="307">
        <f t="shared" ca="1" si="10"/>
        <v>142251.35202157494</v>
      </c>
      <c r="L25" s="307">
        <f t="shared" si="11"/>
        <v>0</v>
      </c>
      <c r="M25" s="307">
        <v>0</v>
      </c>
      <c r="N25" s="307">
        <f t="shared" ca="1" si="12"/>
        <v>142251.35202157494</v>
      </c>
      <c r="O25" s="306">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0</v>
      </c>
      <c r="Y25" s="306">
        <v>0</v>
      </c>
      <c r="Z25" s="306">
        <f ca="1">-'GHG Emissions'!P17*$AU$20*$AU$22</f>
        <v>-851.96302744449406</v>
      </c>
      <c r="AA25" s="308">
        <f ca="1">-SUM(W25,X25/OFFSET(GridFootprintbyYear,$A25-$A$19,0)*EF_PurchElec_MTperMWh,Z25)*OFFSET(ExposureCalculations!Price_GHG_Allowance_2010,A25-$A$19,0)*ExposureCalculations!D22</f>
        <v>10000.773224241382</v>
      </c>
      <c r="AB25" s="308">
        <f t="shared" ca="1" si="3"/>
        <v>0</v>
      </c>
      <c r="AC25" s="308">
        <v>0</v>
      </c>
      <c r="AD25" s="819">
        <f t="shared" ca="1" si="4"/>
        <v>0</v>
      </c>
      <c r="AE25" s="308">
        <v>0</v>
      </c>
      <c r="AF25" s="819">
        <f t="shared" ca="1" si="5"/>
        <v>0</v>
      </c>
      <c r="AG25" s="308">
        <v>0</v>
      </c>
      <c r="AH25" s="308">
        <v>0</v>
      </c>
      <c r="AI25" s="308">
        <v>0</v>
      </c>
      <c r="AJ25" s="308">
        <f t="shared" ca="1" si="6"/>
        <v>0</v>
      </c>
      <c r="AK25" s="309">
        <v>0</v>
      </c>
      <c r="AL25" s="309">
        <v>0</v>
      </c>
      <c r="AM25" s="309">
        <f t="shared" si="19"/>
        <v>0</v>
      </c>
      <c r="AN25" s="310">
        <f t="shared" ca="1" si="20"/>
        <v>187489.9879132183</v>
      </c>
      <c r="AO25" s="310">
        <f>-$AU$28</f>
        <v>0</v>
      </c>
      <c r="AP25" s="310">
        <f t="shared" ca="1" si="21"/>
        <v>187489.9879132183</v>
      </c>
      <c r="AQ25" s="309">
        <v>0</v>
      </c>
      <c r="AR25" s="311">
        <f t="shared" ca="1" si="7"/>
        <v>197490.76113745969</v>
      </c>
      <c r="AS25" s="870">
        <f t="shared" ca="1" si="22"/>
        <v>824526.60520056298</v>
      </c>
      <c r="AT25" s="822"/>
      <c r="AU25" s="1260">
        <f ca="1">AU24/'GHG Emissions'!P11</f>
        <v>220.06822112410669</v>
      </c>
      <c r="AV25" s="827" t="s">
        <v>1481</v>
      </c>
      <c r="AW25" s="879"/>
      <c r="AX25" s="35"/>
      <c r="AY25" s="880"/>
      <c r="BL25">
        <v>2006</v>
      </c>
      <c r="BM25">
        <v>3.9399999999999999E-3</v>
      </c>
      <c r="BN25">
        <v>7.7633648320759164E-4</v>
      </c>
    </row>
    <row r="26" spans="1:72">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3"/>
        <v>0</v>
      </c>
      <c r="K26" s="307">
        <f t="shared" ca="1" si="10"/>
        <v>143827.97762242699</v>
      </c>
      <c r="L26" s="307">
        <f t="shared" si="11"/>
        <v>0</v>
      </c>
      <c r="M26" s="307">
        <v>0</v>
      </c>
      <c r="N26" s="307">
        <f t="shared" ca="1" si="12"/>
        <v>143827.97762242699</v>
      </c>
      <c r="O26" s="306">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0</v>
      </c>
      <c r="Y26" s="306">
        <v>0</v>
      </c>
      <c r="Z26" s="306">
        <f ca="1">-'GHG Emissions'!P18*$AU$20*$AU$22</f>
        <v>-853.24267117910142</v>
      </c>
      <c r="AA26" s="308">
        <f ca="1">-SUM(W26,X26/OFFSET(GridFootprintbyYear,$A26-$A$19,0)*EF_PurchElec_MTperMWh,Z26)*OFFSET(ExposureCalculations!Price_GHG_Allowance_2010,A26-$A$19,0)*ExposureCalculations!D23</f>
        <v>11417.118738569285</v>
      </c>
      <c r="AB26" s="308">
        <f t="shared" ca="1" si="3"/>
        <v>0</v>
      </c>
      <c r="AC26" s="308">
        <v>0</v>
      </c>
      <c r="AD26" s="819">
        <f t="shared" ca="1" si="4"/>
        <v>0</v>
      </c>
      <c r="AE26" s="308">
        <v>0</v>
      </c>
      <c r="AF26" s="819">
        <f t="shared" ca="1" si="5"/>
        <v>0</v>
      </c>
      <c r="AG26" s="308">
        <v>0</v>
      </c>
      <c r="AH26" s="308">
        <v>0</v>
      </c>
      <c r="AI26" s="308">
        <v>0</v>
      </c>
      <c r="AJ26" s="308">
        <f t="shared" ca="1" si="6"/>
        <v>0</v>
      </c>
      <c r="AK26" s="309">
        <v>0</v>
      </c>
      <c r="AL26" s="309">
        <v>0</v>
      </c>
      <c r="AM26" s="309">
        <f t="shared" si="19"/>
        <v>0</v>
      </c>
      <c r="AN26" s="310">
        <f t="shared" ca="1" si="20"/>
        <v>187771.59683356594</v>
      </c>
      <c r="AO26" s="310">
        <f t="shared" ref="AO26:AO59" si="24">-$AU$28</f>
        <v>0</v>
      </c>
      <c r="AP26" s="310">
        <f t="shared" ca="1" si="21"/>
        <v>187771.59683356594</v>
      </c>
      <c r="AQ26" s="309">
        <v>0</v>
      </c>
      <c r="AR26" s="311">
        <f t="shared" ca="1" si="7"/>
        <v>199188.71557213523</v>
      </c>
      <c r="AS26" s="870">
        <f t="shared" ca="1" si="22"/>
        <v>1023715.3207726981</v>
      </c>
      <c r="AT26" s="822"/>
      <c r="AU26" s="878"/>
      <c r="AV26" s="827"/>
      <c r="AW26" s="879"/>
      <c r="AX26" s="35"/>
      <c r="AY26" s="880"/>
      <c r="BL26">
        <v>2007</v>
      </c>
      <c r="BM26">
        <v>3.9399999999999999E-3</v>
      </c>
      <c r="BN26">
        <v>7.7633648320759164E-4</v>
      </c>
    </row>
    <row r="27" spans="1:72">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3"/>
        <v>0</v>
      </c>
      <c r="K27" s="307">
        <f t="shared" ca="1" si="10"/>
        <v>145404.603223279</v>
      </c>
      <c r="L27" s="307">
        <f t="shared" si="11"/>
        <v>0</v>
      </c>
      <c r="M27" s="307">
        <v>0</v>
      </c>
      <c r="N27" s="307">
        <f t="shared" ca="1" si="12"/>
        <v>145404.603223279</v>
      </c>
      <c r="O27" s="306">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0</v>
      </c>
      <c r="Y27" s="306">
        <v>0</v>
      </c>
      <c r="Z27" s="306">
        <f ca="1">-'GHG Emissions'!P19*$AU$20*$AU$22</f>
        <v>-854.43373452629135</v>
      </c>
      <c r="AA27" s="308">
        <f ca="1">-SUM(W27,X27/OFFSET(GridFootprintbyYear,$A27-$A$19,0)*EF_PurchElec_MTperMWh,Z27)*OFFSET(ExposureCalculations!Price_GHG_Allowance_2010,A27-$A$19,0)*ExposureCalculations!D24</f>
        <v>12896.928201513143</v>
      </c>
      <c r="AB27" s="308">
        <f t="shared" ca="1" si="3"/>
        <v>0</v>
      </c>
      <c r="AC27" s="308">
        <v>0</v>
      </c>
      <c r="AD27" s="819">
        <f t="shared" ca="1" si="4"/>
        <v>0</v>
      </c>
      <c r="AE27" s="308">
        <v>0</v>
      </c>
      <c r="AF27" s="819">
        <f t="shared" ca="1" si="5"/>
        <v>0</v>
      </c>
      <c r="AG27" s="308">
        <v>0</v>
      </c>
      <c r="AH27" s="308">
        <v>0</v>
      </c>
      <c r="AI27" s="308">
        <v>0</v>
      </c>
      <c r="AJ27" s="308">
        <f t="shared" ca="1" si="6"/>
        <v>0</v>
      </c>
      <c r="AK27" s="309">
        <v>0</v>
      </c>
      <c r="AL27" s="309">
        <v>0</v>
      </c>
      <c r="AM27" s="309">
        <f t="shared" si="19"/>
        <v>0</v>
      </c>
      <c r="AN27" s="310">
        <f t="shared" ca="1" si="20"/>
        <v>188033.71202562816</v>
      </c>
      <c r="AO27" s="310">
        <f t="shared" si="24"/>
        <v>0</v>
      </c>
      <c r="AP27" s="310">
        <f t="shared" ca="1" si="21"/>
        <v>188033.71202562816</v>
      </c>
      <c r="AQ27" s="309">
        <v>0</v>
      </c>
      <c r="AR27" s="311">
        <f t="shared" ca="1" si="7"/>
        <v>200930.6402271413</v>
      </c>
      <c r="AS27" s="870">
        <f t="shared" ca="1" si="22"/>
        <v>1224645.9609998395</v>
      </c>
      <c r="AT27" s="822"/>
      <c r="AU27" s="1261"/>
      <c r="AV27" s="827"/>
      <c r="AW27" s="879"/>
      <c r="AX27" s="35"/>
      <c r="AY27" s="880"/>
      <c r="BL27" s="1216">
        <v>2008</v>
      </c>
      <c r="BM27" s="1216">
        <v>3.9399999999999999E-3</v>
      </c>
      <c r="BN27" s="1216">
        <v>7.7633648320759164E-4</v>
      </c>
      <c r="BO27" s="1503">
        <v>28492289</v>
      </c>
      <c r="BP27" s="1503">
        <f t="shared" ref="BP27:BP28" si="25">BO27*BN27</f>
        <v>22119.603440794348</v>
      </c>
      <c r="BQ27" t="s">
        <v>2988</v>
      </c>
      <c r="BR27">
        <v>3695870</v>
      </c>
    </row>
    <row r="28" spans="1:72">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3"/>
        <v>0</v>
      </c>
      <c r="K28" s="307">
        <f t="shared" ca="1" si="10"/>
        <v>146981.22882413102</v>
      </c>
      <c r="L28" s="307">
        <f t="shared" si="11"/>
        <v>0</v>
      </c>
      <c r="M28" s="307">
        <v>0</v>
      </c>
      <c r="N28" s="307">
        <f t="shared" ca="1" si="12"/>
        <v>146981.22882413102</v>
      </c>
      <c r="O28" s="306">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0</v>
      </c>
      <c r="Y28" s="306">
        <v>0</v>
      </c>
      <c r="Z28" s="306">
        <f ca="1">-'GHG Emissions'!P20*$AU$20*$AU$22</f>
        <v>-855.55240567912927</v>
      </c>
      <c r="AA28" s="308">
        <f ca="1">-SUM(W28,X28/OFFSET(GridFootprintbyYear,$A28-$A$19,0)*EF_PurchElec_MTperMWh,Z28)*OFFSET(ExposureCalculations!Price_GHG_Allowance_2010,A28-$A$19,0)*ExposureCalculations!D25</f>
        <v>14438.352782641783</v>
      </c>
      <c r="AB28" s="308">
        <f t="shared" ca="1" si="3"/>
        <v>0</v>
      </c>
      <c r="AC28" s="308">
        <v>0</v>
      </c>
      <c r="AD28" s="819">
        <f t="shared" ca="1" si="4"/>
        <v>0</v>
      </c>
      <c r="AE28" s="308">
        <v>0</v>
      </c>
      <c r="AF28" s="819">
        <f t="shared" ca="1" si="5"/>
        <v>0</v>
      </c>
      <c r="AG28" s="308">
        <v>0</v>
      </c>
      <c r="AH28" s="308">
        <v>0</v>
      </c>
      <c r="AI28" s="308">
        <v>0</v>
      </c>
      <c r="AJ28" s="308">
        <f t="shared" ca="1" si="6"/>
        <v>0</v>
      </c>
      <c r="AK28" s="309">
        <v>0</v>
      </c>
      <c r="AL28" s="309">
        <v>0</v>
      </c>
      <c r="AM28" s="309">
        <f t="shared" si="19"/>
        <v>0</v>
      </c>
      <c r="AN28" s="310">
        <f t="shared" ca="1" si="20"/>
        <v>188279.89599625603</v>
      </c>
      <c r="AO28" s="310">
        <f t="shared" si="24"/>
        <v>0</v>
      </c>
      <c r="AP28" s="310">
        <f t="shared" ca="1" si="21"/>
        <v>188279.89599625603</v>
      </c>
      <c r="AQ28" s="309">
        <v>0</v>
      </c>
      <c r="AR28" s="311">
        <f t="shared" ca="1" si="7"/>
        <v>202718.2487788978</v>
      </c>
      <c r="AS28" s="870">
        <f t="shared" ca="1" si="22"/>
        <v>1427364.2097787373</v>
      </c>
      <c r="AT28" s="822"/>
      <c r="AU28" s="1261"/>
      <c r="AV28" s="827"/>
      <c r="AW28" s="879"/>
      <c r="AX28" s="35"/>
      <c r="AY28" s="880"/>
      <c r="BL28" s="1216">
        <v>2009</v>
      </c>
      <c r="BM28" s="1216">
        <v>3.9399999999999999E-3</v>
      </c>
      <c r="BN28" s="1216">
        <v>7.7633648320759164E-4</v>
      </c>
      <c r="BO28" s="1503">
        <v>31343141</v>
      </c>
      <c r="BP28" s="1503">
        <f t="shared" si="25"/>
        <v>24332.823856619678</v>
      </c>
      <c r="BR28">
        <v>4005081</v>
      </c>
      <c r="BT28" s="912">
        <f>BP28*14</f>
        <v>340659.53399267548</v>
      </c>
    </row>
    <row r="29" spans="1:72">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3"/>
        <v>0</v>
      </c>
      <c r="K29" s="307">
        <f t="shared" ca="1" si="10"/>
        <v>148557.85442498306</v>
      </c>
      <c r="L29" s="307">
        <f t="shared" si="11"/>
        <v>0</v>
      </c>
      <c r="M29" s="307">
        <v>0</v>
      </c>
      <c r="N29" s="307">
        <f t="shared" ca="1" si="12"/>
        <v>148557.85442498306</v>
      </c>
      <c r="O29" s="306">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0</v>
      </c>
      <c r="Y29" s="306">
        <v>0</v>
      </c>
      <c r="Z29" s="306">
        <f ca="1">-'GHG Emissions'!P21*$AU$20*$AU$22</f>
        <v>-856.61047116245152</v>
      </c>
      <c r="AA29" s="308">
        <f ca="1">-SUM(W29,X29/OFFSET(GridFootprintbyYear,$A29-$A$19,0)*EF_PurchElec_MTperMWh,Z29)*OFFSET(ExposureCalculations!Price_GHG_Allowance_2010,A29-$A$19,0)*ExposureCalculations!D26</f>
        <v>16039.554837929236</v>
      </c>
      <c r="AB29" s="308">
        <f t="shared" ca="1" si="3"/>
        <v>0</v>
      </c>
      <c r="AC29" s="308">
        <v>0</v>
      </c>
      <c r="AD29" s="819">
        <f t="shared" ca="1" si="4"/>
        <v>0</v>
      </c>
      <c r="AE29" s="308">
        <v>0</v>
      </c>
      <c r="AF29" s="819">
        <f t="shared" ca="1" si="5"/>
        <v>0</v>
      </c>
      <c r="AG29" s="308">
        <v>0</v>
      </c>
      <c r="AH29" s="308">
        <v>0</v>
      </c>
      <c r="AI29" s="308">
        <v>0</v>
      </c>
      <c r="AJ29" s="308">
        <f t="shared" ca="1" si="6"/>
        <v>0</v>
      </c>
      <c r="AK29" s="309">
        <v>0</v>
      </c>
      <c r="AL29" s="309">
        <v>0</v>
      </c>
      <c r="AM29" s="309">
        <f t="shared" si="19"/>
        <v>0</v>
      </c>
      <c r="AN29" s="310">
        <f t="shared" ca="1" si="20"/>
        <v>188512.74258500358</v>
      </c>
      <c r="AO29" s="310">
        <f t="shared" si="24"/>
        <v>0</v>
      </c>
      <c r="AP29" s="310">
        <f t="shared" ca="1" si="21"/>
        <v>188512.74258500358</v>
      </c>
      <c r="AQ29" s="309">
        <v>0</v>
      </c>
      <c r="AR29" s="311">
        <f t="shared" ca="1" si="7"/>
        <v>204552.29742293281</v>
      </c>
      <c r="AS29" s="870">
        <f t="shared" ca="1" si="22"/>
        <v>1631916.5072016702</v>
      </c>
      <c r="AT29" s="822"/>
      <c r="AU29" s="878"/>
      <c r="AV29" s="35"/>
      <c r="AW29" s="879"/>
      <c r="AX29" s="35"/>
      <c r="AY29" s="880"/>
      <c r="BL29">
        <v>2010</v>
      </c>
      <c r="BM29">
        <v>3.9399999999999999E-3</v>
      </c>
      <c r="BN29">
        <v>7.7633648320759164E-4</v>
      </c>
      <c r="BO29" s="123">
        <v>31970003.82</v>
      </c>
      <c r="BP29" s="123">
        <f>BO29*BN29</f>
        <v>24819.480333752072</v>
      </c>
    </row>
    <row r="30" spans="1:72">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3"/>
        <v>0</v>
      </c>
      <c r="K30" s="307">
        <f t="shared" ca="1" si="10"/>
        <v>150134.48002583507</v>
      </c>
      <c r="L30" s="307">
        <f t="shared" si="11"/>
        <v>0</v>
      </c>
      <c r="M30" s="307">
        <v>0</v>
      </c>
      <c r="N30" s="307">
        <f t="shared" ca="1" si="12"/>
        <v>150134.48002583507</v>
      </c>
      <c r="O30" s="306">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0</v>
      </c>
      <c r="Y30" s="306">
        <v>0</v>
      </c>
      <c r="Z30" s="306">
        <f ca="1">-'GHG Emissions'!P22*$AU$20*$AU$22</f>
        <v>-857.61682885044911</v>
      </c>
      <c r="AA30" s="308">
        <f ca="1">-SUM(W30,X30/OFFSET(GridFootprintbyYear,$A30-$A$19,0)*EF_PurchElec_MTperMWh,Z30)*OFFSET(ExposureCalculations!Price_GHG_Allowance_2010,A30-$A$19,0)*ExposureCalculations!D27</f>
        <v>17887.306840137651</v>
      </c>
      <c r="AB30" s="308">
        <f t="shared" ca="1" si="3"/>
        <v>0</v>
      </c>
      <c r="AC30" s="308">
        <v>0</v>
      </c>
      <c r="AD30" s="819">
        <f t="shared" ca="1" si="4"/>
        <v>0</v>
      </c>
      <c r="AE30" s="308">
        <v>0</v>
      </c>
      <c r="AF30" s="819">
        <f t="shared" ca="1" si="5"/>
        <v>0</v>
      </c>
      <c r="AG30" s="308">
        <v>0</v>
      </c>
      <c r="AH30" s="308">
        <v>0</v>
      </c>
      <c r="AI30" s="308">
        <v>0</v>
      </c>
      <c r="AJ30" s="308">
        <f t="shared" ca="1" si="6"/>
        <v>0</v>
      </c>
      <c r="AK30" s="309">
        <v>0</v>
      </c>
      <c r="AL30" s="309">
        <v>0</v>
      </c>
      <c r="AM30" s="309">
        <f t="shared" si="19"/>
        <v>0</v>
      </c>
      <c r="AN30" s="310">
        <f t="shared" ca="1" si="20"/>
        <v>188734.2099312158</v>
      </c>
      <c r="AO30" s="310">
        <f t="shared" si="24"/>
        <v>0</v>
      </c>
      <c r="AP30" s="310">
        <f t="shared" ca="1" si="21"/>
        <v>188734.2099312158</v>
      </c>
      <c r="AQ30" s="309">
        <v>0</v>
      </c>
      <c r="AR30" s="311">
        <f t="shared" ca="1" si="7"/>
        <v>206621.51677135343</v>
      </c>
      <c r="AS30" s="870">
        <f t="shared" ca="1" si="22"/>
        <v>1838538.0239730235</v>
      </c>
      <c r="AT30" s="822"/>
      <c r="AU30" s="878"/>
      <c r="AV30" s="35"/>
      <c r="AW30" s="879"/>
      <c r="AX30" s="35"/>
      <c r="AY30" s="880"/>
      <c r="BL30">
        <v>2011</v>
      </c>
      <c r="BM30">
        <v>3.9399999999999999E-3</v>
      </c>
      <c r="BN30">
        <v>7.7633648320759164E-4</v>
      </c>
      <c r="BO30" s="123">
        <v>32609403.896400001</v>
      </c>
    </row>
    <row r="31" spans="1:72">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3"/>
        <v>0</v>
      </c>
      <c r="K31" s="307">
        <f t="shared" ca="1" si="10"/>
        <v>151711.10562668712</v>
      </c>
      <c r="L31" s="307">
        <f t="shared" si="11"/>
        <v>0</v>
      </c>
      <c r="M31" s="307">
        <v>0</v>
      </c>
      <c r="N31" s="307">
        <f t="shared" ca="1" si="12"/>
        <v>151711.10562668712</v>
      </c>
      <c r="O31" s="306">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0</v>
      </c>
      <c r="Y31" s="306">
        <v>0</v>
      </c>
      <c r="Z31" s="306">
        <f ca="1">-'GHG Emissions'!P23*$AU$20*$AU$22</f>
        <v>-858.5783915062716</v>
      </c>
      <c r="AA31" s="308">
        <f ca="1">-SUM(W31,X31/OFFSET(GridFootprintbyYear,$A31-$A$19,0)*EF_PurchElec_MTperMWh,Z31)*OFFSET(ExposureCalculations!Price_GHG_Allowance_2010,A31-$A$19,0)*ExposureCalculations!D28</f>
        <v>19808.979116144983</v>
      </c>
      <c r="AB31" s="308">
        <f t="shared" ca="1" si="3"/>
        <v>0</v>
      </c>
      <c r="AC31" s="308">
        <v>0</v>
      </c>
      <c r="AD31" s="819">
        <f t="shared" ca="1" si="4"/>
        <v>0</v>
      </c>
      <c r="AE31" s="308">
        <v>0</v>
      </c>
      <c r="AF31" s="819">
        <f t="shared" ca="1" si="5"/>
        <v>0</v>
      </c>
      <c r="AG31" s="308">
        <v>0</v>
      </c>
      <c r="AH31" s="308">
        <v>0</v>
      </c>
      <c r="AI31" s="308">
        <v>0</v>
      </c>
      <c r="AJ31" s="308">
        <f t="shared" ca="1" si="6"/>
        <v>0</v>
      </c>
      <c r="AK31" s="309">
        <v>0</v>
      </c>
      <c r="AL31" s="309">
        <v>0</v>
      </c>
      <c r="AM31" s="309">
        <f t="shared" si="19"/>
        <v>0</v>
      </c>
      <c r="AN31" s="310">
        <f t="shared" ca="1" si="20"/>
        <v>188945.81931438201</v>
      </c>
      <c r="AO31" s="310">
        <f t="shared" si="24"/>
        <v>0</v>
      </c>
      <c r="AP31" s="310">
        <f t="shared" ca="1" si="21"/>
        <v>188945.81931438201</v>
      </c>
      <c r="AQ31" s="309">
        <v>0</v>
      </c>
      <c r="AR31" s="311">
        <f t="shared" ca="1" si="7"/>
        <v>208754.79843052698</v>
      </c>
      <c r="AS31" s="870">
        <f t="shared" ca="1" si="22"/>
        <v>2047292.8224035506</v>
      </c>
      <c r="AT31" s="822"/>
      <c r="AU31" s="878"/>
      <c r="AV31" s="35"/>
      <c r="AW31" s="879"/>
      <c r="AX31" s="35"/>
      <c r="AY31" s="880"/>
      <c r="BL31">
        <v>2012</v>
      </c>
      <c r="BM31">
        <v>3.9399999999999999E-3</v>
      </c>
      <c r="BN31">
        <v>7.7633648320759164E-4</v>
      </c>
      <c r="BO31" s="123">
        <v>33261591.974328</v>
      </c>
    </row>
    <row r="32" spans="1:72">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3"/>
        <v>0</v>
      </c>
      <c r="K32" s="307">
        <f t="shared" ca="1" si="10"/>
        <v>153287.73122753916</v>
      </c>
      <c r="L32" s="307">
        <f t="shared" si="11"/>
        <v>0</v>
      </c>
      <c r="M32" s="307">
        <v>0</v>
      </c>
      <c r="N32" s="307">
        <f t="shared" ca="1" si="12"/>
        <v>153287.73122753916</v>
      </c>
      <c r="O32" s="306">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0</v>
      </c>
      <c r="Y32" s="306">
        <v>0</v>
      </c>
      <c r="Z32" s="306">
        <f ca="1">-'GHG Emissions'!P24*$AU$20*$AU$22</f>
        <v>-859.50065648756083</v>
      </c>
      <c r="AA32" s="308">
        <f ca="1">-SUM(W32,X32/OFFSET(GridFootprintbyYear,$A32-$A$19,0)*EF_PurchElec_MTperMWh,Z32)*OFFSET(ExposureCalculations!Price_GHG_Allowance_2010,A32-$A$19,0)*ExposureCalculations!D29</f>
        <v>21801.798659870939</v>
      </c>
      <c r="AB32" s="308">
        <f t="shared" ca="1" si="3"/>
        <v>0</v>
      </c>
      <c r="AC32" s="308">
        <v>0</v>
      </c>
      <c r="AD32" s="819">
        <f t="shared" ca="1" si="4"/>
        <v>0</v>
      </c>
      <c r="AE32" s="308">
        <v>0</v>
      </c>
      <c r="AF32" s="819">
        <f t="shared" ca="1" si="5"/>
        <v>0</v>
      </c>
      <c r="AG32" s="308">
        <v>0</v>
      </c>
      <c r="AH32" s="308">
        <v>0</v>
      </c>
      <c r="AI32" s="308">
        <v>0</v>
      </c>
      <c r="AJ32" s="308">
        <f t="shared" ca="1" si="6"/>
        <v>0</v>
      </c>
      <c r="AK32" s="309">
        <v>0</v>
      </c>
      <c r="AL32" s="309">
        <v>0</v>
      </c>
      <c r="AM32" s="309">
        <f t="shared" si="19"/>
        <v>0</v>
      </c>
      <c r="AN32" s="310">
        <f t="shared" ca="1" si="20"/>
        <v>189148.78052821939</v>
      </c>
      <c r="AO32" s="310">
        <f t="shared" si="24"/>
        <v>0</v>
      </c>
      <c r="AP32" s="310">
        <f t="shared" ca="1" si="21"/>
        <v>189148.78052821939</v>
      </c>
      <c r="AQ32" s="309">
        <v>0</v>
      </c>
      <c r="AR32" s="311">
        <f t="shared" ca="1" si="7"/>
        <v>210950.57918809034</v>
      </c>
      <c r="AS32" s="870">
        <f t="shared" ca="1" si="22"/>
        <v>2258243.4015916409</v>
      </c>
      <c r="AT32" s="822"/>
      <c r="AU32" s="878"/>
      <c r="AV32" s="35"/>
      <c r="AW32" s="879"/>
      <c r="AX32" s="35"/>
      <c r="AY32" s="880"/>
      <c r="BL32">
        <v>2013</v>
      </c>
      <c r="BM32">
        <v>3.9399999999999999E-3</v>
      </c>
      <c r="BN32">
        <v>7.7633648320759164E-4</v>
      </c>
      <c r="BO32" s="123">
        <v>33926823.813814558</v>
      </c>
    </row>
    <row r="33" spans="1:67">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3"/>
        <v>0</v>
      </c>
      <c r="K33" s="307">
        <f t="shared" ca="1" si="10"/>
        <v>154864.35682839117</v>
      </c>
      <c r="L33" s="307">
        <f t="shared" si="11"/>
        <v>0</v>
      </c>
      <c r="M33" s="307">
        <v>0</v>
      </c>
      <c r="N33" s="307">
        <f t="shared" ca="1" si="12"/>
        <v>154864.35682839117</v>
      </c>
      <c r="O33" s="306">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0</v>
      </c>
      <c r="Y33" s="306">
        <v>0</v>
      </c>
      <c r="Z33" s="306">
        <f ca="1">-'GHG Emissions'!P25*$AU$20*$AU$22</f>
        <v>-860.38808103075951</v>
      </c>
      <c r="AA33" s="308">
        <f ca="1">-SUM(W33,X33/OFFSET(GridFootprintbyYear,$A33-$A$19,0)*EF_PurchElec_MTperMWh,Z33)*OFFSET(ExposureCalculations!Price_GHG_Allowance_2010,A33-$A$19,0)*ExposureCalculations!D30</f>
        <v>23863.001727256778</v>
      </c>
      <c r="AB33" s="308">
        <f t="shared" ca="1" si="3"/>
        <v>0</v>
      </c>
      <c r="AC33" s="308">
        <v>0</v>
      </c>
      <c r="AD33" s="819">
        <f t="shared" ca="1" si="4"/>
        <v>0</v>
      </c>
      <c r="AE33" s="308">
        <v>0</v>
      </c>
      <c r="AF33" s="819">
        <f t="shared" ca="1" si="5"/>
        <v>0</v>
      </c>
      <c r="AG33" s="308">
        <v>0</v>
      </c>
      <c r="AH33" s="308">
        <v>0</v>
      </c>
      <c r="AI33" s="308">
        <v>0</v>
      </c>
      <c r="AJ33" s="308">
        <f t="shared" ca="1" si="6"/>
        <v>0</v>
      </c>
      <c r="AK33" s="309">
        <v>0</v>
      </c>
      <c r="AL33" s="309">
        <v>0</v>
      </c>
      <c r="AM33" s="309">
        <f t="shared" si="19"/>
        <v>0</v>
      </c>
      <c r="AN33" s="310">
        <f t="shared" ca="1" si="20"/>
        <v>189344.074468823</v>
      </c>
      <c r="AO33" s="310">
        <f t="shared" si="24"/>
        <v>0</v>
      </c>
      <c r="AP33" s="310">
        <f t="shared" ca="1" si="21"/>
        <v>189344.074468823</v>
      </c>
      <c r="AQ33" s="309">
        <v>0</v>
      </c>
      <c r="AR33" s="311">
        <f t="shared" ca="1" si="7"/>
        <v>213207.07619607978</v>
      </c>
      <c r="AS33" s="870">
        <f t="shared" ca="1" si="22"/>
        <v>2471450.4777877205</v>
      </c>
      <c r="AT33" s="822"/>
      <c r="AU33" s="878"/>
      <c r="AV33" s="35"/>
      <c r="AW33" s="879"/>
      <c r="AX33" s="35"/>
      <c r="AY33" s="880"/>
      <c r="BL33">
        <v>2014</v>
      </c>
      <c r="BM33">
        <v>3.9399999999999999E-3</v>
      </c>
      <c r="BN33">
        <v>7.7633648320759164E-4</v>
      </c>
      <c r="BO33" s="123">
        <v>34605360.290090851</v>
      </c>
    </row>
    <row r="34" spans="1:67">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3"/>
        <v>0</v>
      </c>
      <c r="K34" s="307">
        <f t="shared" ca="1" si="10"/>
        <v>156440.98242924322</v>
      </c>
      <c r="L34" s="307">
        <f t="shared" si="11"/>
        <v>0</v>
      </c>
      <c r="M34" s="307">
        <v>0</v>
      </c>
      <c r="N34" s="307">
        <f t="shared" ca="1" si="12"/>
        <v>156440.98242924322</v>
      </c>
      <c r="O34" s="306">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0</v>
      </c>
      <c r="Y34" s="306">
        <v>0</v>
      </c>
      <c r="Z34" s="306">
        <f ca="1">-'GHG Emissions'!P26*$AU$20*$AU$22</f>
        <v>-861.24433853777907</v>
      </c>
      <c r="AA34" s="308">
        <f ca="1">-SUM(W34,X34/OFFSET(GridFootprintbyYear,$A34-$A$19,0)*EF_PurchElec_MTperMWh,Z34)*OFFSET(ExposureCalculations!Price_GHG_Allowance_2010,A34-$A$19,0)*ExposureCalculations!D31</f>
        <v>25989.834480178448</v>
      </c>
      <c r="AB34" s="308">
        <f t="shared" ca="1" si="3"/>
        <v>0</v>
      </c>
      <c r="AC34" s="308">
        <v>0</v>
      </c>
      <c r="AD34" s="819">
        <f t="shared" ca="1" si="4"/>
        <v>0</v>
      </c>
      <c r="AE34" s="308">
        <v>0</v>
      </c>
      <c r="AF34" s="819">
        <f t="shared" ca="1" si="5"/>
        <v>0</v>
      </c>
      <c r="AG34" s="308">
        <v>0</v>
      </c>
      <c r="AH34" s="308">
        <v>0</v>
      </c>
      <c r="AI34" s="308">
        <v>0</v>
      </c>
      <c r="AJ34" s="308">
        <f t="shared" ca="1" si="6"/>
        <v>0</v>
      </c>
      <c r="AK34" s="309">
        <v>0</v>
      </c>
      <c r="AL34" s="309">
        <v>0</v>
      </c>
      <c r="AM34" s="309">
        <f t="shared" si="19"/>
        <v>0</v>
      </c>
      <c r="AN34" s="310">
        <f t="shared" ca="1" si="20"/>
        <v>189532.50953521696</v>
      </c>
      <c r="AO34" s="310">
        <f t="shared" si="24"/>
        <v>0</v>
      </c>
      <c r="AP34" s="310">
        <f t="shared" ca="1" si="21"/>
        <v>189532.50953521696</v>
      </c>
      <c r="AQ34" s="309">
        <v>0</v>
      </c>
      <c r="AR34" s="311">
        <f t="shared" ca="1" si="7"/>
        <v>215522.34401539541</v>
      </c>
      <c r="AS34" s="870">
        <f t="shared" ca="1" si="22"/>
        <v>2686972.8218031158</v>
      </c>
      <c r="AT34" s="822"/>
      <c r="AU34" s="878"/>
      <c r="AV34" s="35"/>
      <c r="AW34" s="879"/>
      <c r="AX34" s="35"/>
      <c r="AY34" s="880"/>
      <c r="BL34">
        <v>2015</v>
      </c>
      <c r="BM34">
        <v>3.9399999999999999E-3</v>
      </c>
      <c r="BN34">
        <v>7.7633648320759164E-4</v>
      </c>
      <c r="BO34" s="123">
        <v>35297467.495892666</v>
      </c>
    </row>
    <row r="35" spans="1:67">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3"/>
        <v>0</v>
      </c>
      <c r="K35" s="307">
        <f t="shared" ca="1" si="10"/>
        <v>158017.60803009526</v>
      </c>
      <c r="L35" s="307">
        <f t="shared" si="11"/>
        <v>0</v>
      </c>
      <c r="M35" s="307">
        <v>0</v>
      </c>
      <c r="N35" s="307">
        <f t="shared" ca="1" si="12"/>
        <v>158017.60803009526</v>
      </c>
      <c r="O35" s="306">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0</v>
      </c>
      <c r="Y35" s="306">
        <v>0</v>
      </c>
      <c r="Z35" s="306">
        <f ca="1">-'GHG Emissions'!P27*$AU$20*$AU$22</f>
        <v>-862.07249897000111</v>
      </c>
      <c r="AA35" s="308">
        <f ca="1">-SUM(W35,X35/OFFSET(GridFootprintbyYear,$A35-$A$19,0)*EF_PurchElec_MTperMWh,Z35)*OFFSET(ExposureCalculations!Price_GHG_Allowance_2010,A35-$A$19,0)*ExposureCalculations!D32</f>
        <v>28394.484316667786</v>
      </c>
      <c r="AB35" s="308">
        <f t="shared" ca="1" si="3"/>
        <v>0</v>
      </c>
      <c r="AC35" s="308">
        <v>0</v>
      </c>
      <c r="AD35" s="819">
        <f t="shared" ca="1" si="4"/>
        <v>0</v>
      </c>
      <c r="AE35" s="308">
        <v>0</v>
      </c>
      <c r="AF35" s="819">
        <f t="shared" ca="1" si="5"/>
        <v>0</v>
      </c>
      <c r="AG35" s="308">
        <v>0</v>
      </c>
      <c r="AH35" s="308">
        <v>0</v>
      </c>
      <c r="AI35" s="308">
        <v>0</v>
      </c>
      <c r="AJ35" s="308">
        <f t="shared" ca="1" si="6"/>
        <v>0</v>
      </c>
      <c r="AK35" s="309">
        <v>0</v>
      </c>
      <c r="AL35" s="309">
        <v>0</v>
      </c>
      <c r="AM35" s="309">
        <f t="shared" si="19"/>
        <v>0</v>
      </c>
      <c r="AN35" s="310">
        <f t="shared" ca="1" si="20"/>
        <v>189714.76132834144</v>
      </c>
      <c r="AO35" s="310">
        <f t="shared" si="24"/>
        <v>0</v>
      </c>
      <c r="AP35" s="310">
        <f t="shared" ca="1" si="21"/>
        <v>189714.76132834144</v>
      </c>
      <c r="AQ35" s="309">
        <v>0</v>
      </c>
      <c r="AR35" s="311">
        <f t="shared" ca="1" si="7"/>
        <v>218109.24564500921</v>
      </c>
      <c r="AS35" s="870">
        <f t="shared" ca="1" si="22"/>
        <v>2905082.0674481252</v>
      </c>
      <c r="AT35" s="822"/>
      <c r="AU35" s="878"/>
      <c r="AV35" s="35"/>
      <c r="AW35" s="879"/>
      <c r="AX35" s="35"/>
      <c r="AY35" s="880"/>
      <c r="BL35">
        <v>2016</v>
      </c>
      <c r="BM35">
        <v>3.9399999999999999E-3</v>
      </c>
      <c r="BN35">
        <v>7.7633648320759164E-4</v>
      </c>
      <c r="BO35" s="123">
        <v>36003416.845810518</v>
      </c>
    </row>
    <row r="36" spans="1:67">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3"/>
        <v>0</v>
      </c>
      <c r="K36" s="307">
        <f t="shared" ca="1" si="10"/>
        <v>159594.23363094722</v>
      </c>
      <c r="L36" s="307">
        <f t="shared" si="11"/>
        <v>0</v>
      </c>
      <c r="M36" s="307">
        <v>0</v>
      </c>
      <c r="N36" s="307">
        <f t="shared" ca="1" si="12"/>
        <v>159594.23363094722</v>
      </c>
      <c r="O36" s="306">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0</v>
      </c>
      <c r="Y36" s="306">
        <v>0</v>
      </c>
      <c r="Z36" s="306">
        <f ca="1">-'GHG Emissions'!P28*$AU$20*$AU$22</f>
        <v>-862.87515913365939</v>
      </c>
      <c r="AA36" s="308">
        <f ca="1">-SUM(W36,X36/OFFSET(GridFootprintbyYear,$A36-$A$19,0)*EF_PurchElec_MTperMWh,Z36)*OFFSET(ExposureCalculations!Price_GHG_Allowance_2010,A36-$A$19,0)*ExposureCalculations!D33</f>
        <v>30876.744436090801</v>
      </c>
      <c r="AB36" s="308">
        <f t="shared" ca="1" si="3"/>
        <v>0</v>
      </c>
      <c r="AC36" s="308">
        <v>0</v>
      </c>
      <c r="AD36" s="819">
        <f t="shared" ca="1" si="4"/>
        <v>0</v>
      </c>
      <c r="AE36" s="308">
        <v>0</v>
      </c>
      <c r="AF36" s="819">
        <f t="shared" ca="1" si="5"/>
        <v>0</v>
      </c>
      <c r="AG36" s="308">
        <v>0</v>
      </c>
      <c r="AH36" s="308">
        <v>0</v>
      </c>
      <c r="AI36" s="308">
        <v>0</v>
      </c>
      <c r="AJ36" s="308">
        <f t="shared" ca="1" si="6"/>
        <v>0</v>
      </c>
      <c r="AK36" s="309">
        <v>0</v>
      </c>
      <c r="AL36" s="309">
        <v>0</v>
      </c>
      <c r="AM36" s="309">
        <f t="shared" si="19"/>
        <v>0</v>
      </c>
      <c r="AN36" s="310">
        <f t="shared" ca="1" si="20"/>
        <v>189891.40132272491</v>
      </c>
      <c r="AO36" s="310">
        <f t="shared" si="24"/>
        <v>0</v>
      </c>
      <c r="AP36" s="310">
        <f t="shared" ca="1" si="21"/>
        <v>189891.40132272491</v>
      </c>
      <c r="AQ36" s="309">
        <v>0</v>
      </c>
      <c r="AR36" s="311">
        <f t="shared" ca="1" si="7"/>
        <v>220768.14575881572</v>
      </c>
      <c r="AS36" s="870">
        <f t="shared" ca="1" si="22"/>
        <v>3125850.2132069408</v>
      </c>
      <c r="AT36" s="822"/>
      <c r="AU36" s="878"/>
      <c r="AV36" s="35"/>
      <c r="AW36" s="879"/>
      <c r="AX36" s="35"/>
      <c r="AY36" s="880"/>
      <c r="BL36">
        <v>2017</v>
      </c>
      <c r="BM36">
        <v>3.9399999999999999E-3</v>
      </c>
      <c r="BN36">
        <v>7.7633648320759164E-4</v>
      </c>
      <c r="BO36" s="123">
        <v>36723485.182726726</v>
      </c>
    </row>
    <row r="37" spans="1:67">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3"/>
        <v>0</v>
      </c>
      <c r="K37" s="307">
        <f t="shared" ca="1" si="10"/>
        <v>161170.85923179929</v>
      </c>
      <c r="L37" s="307">
        <f t="shared" si="11"/>
        <v>0</v>
      </c>
      <c r="M37" s="307">
        <v>0</v>
      </c>
      <c r="N37" s="307">
        <f t="shared" ca="1" si="12"/>
        <v>161170.85923179929</v>
      </c>
      <c r="O37" s="306">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0</v>
      </c>
      <c r="Y37" s="306">
        <v>0</v>
      </c>
      <c r="Z37" s="306">
        <f ca="1">-'GHG Emissions'!P29*$AU$20*$AU$22</f>
        <v>-863.65453888617992</v>
      </c>
      <c r="AA37" s="308">
        <f ca="1">-SUM(W37,X37/OFFSET(GridFootprintbyYear,$A37-$A$19,0)*EF_PurchElec_MTperMWh,Z37)*OFFSET(ExposureCalculations!Price_GHG_Allowance_2010,A37-$A$19,0)*ExposureCalculations!D34</f>
        <v>33433.096003216859</v>
      </c>
      <c r="AB37" s="308">
        <f t="shared" ca="1" si="3"/>
        <v>0</v>
      </c>
      <c r="AC37" s="308">
        <v>0</v>
      </c>
      <c r="AD37" s="819">
        <f t="shared" ca="1" si="4"/>
        <v>0</v>
      </c>
      <c r="AE37" s="308">
        <v>0</v>
      </c>
      <c r="AF37" s="819">
        <f t="shared" ca="1" si="5"/>
        <v>0</v>
      </c>
      <c r="AG37" s="308">
        <v>0</v>
      </c>
      <c r="AH37" s="308">
        <v>0</v>
      </c>
      <c r="AI37" s="308">
        <v>0</v>
      </c>
      <c r="AJ37" s="308">
        <f t="shared" ca="1" si="6"/>
        <v>0</v>
      </c>
      <c r="AK37" s="309">
        <v>0</v>
      </c>
      <c r="AL37" s="309">
        <v>0</v>
      </c>
      <c r="AM37" s="309">
        <f t="shared" si="19"/>
        <v>0</v>
      </c>
      <c r="AN37" s="310">
        <f t="shared" ca="1" si="20"/>
        <v>190062.91803844224</v>
      </c>
      <c r="AO37" s="310">
        <f t="shared" si="24"/>
        <v>0</v>
      </c>
      <c r="AP37" s="310">
        <f t="shared" ca="1" si="21"/>
        <v>190062.91803844224</v>
      </c>
      <c r="AQ37" s="309">
        <v>0</v>
      </c>
      <c r="AR37" s="311">
        <f t="shared" ca="1" si="7"/>
        <v>223496.0140416591</v>
      </c>
      <c r="AS37" s="870">
        <f t="shared" ca="1" si="22"/>
        <v>3349346.2272485998</v>
      </c>
      <c r="AT37" s="822"/>
      <c r="AU37" s="878"/>
      <c r="AV37" s="35"/>
      <c r="AW37" s="879"/>
      <c r="AX37" s="35"/>
      <c r="AY37" s="880"/>
      <c r="BL37">
        <v>2018</v>
      </c>
      <c r="BM37">
        <v>3.9399999999999999E-3</v>
      </c>
      <c r="BN37">
        <v>7.7633648320759164E-4</v>
      </c>
      <c r="BO37" s="123">
        <v>37457954.886381261</v>
      </c>
    </row>
    <row r="38" spans="1:67">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3"/>
        <v>0</v>
      </c>
      <c r="K38" s="307">
        <f t="shared" ca="1" si="10"/>
        <v>162747.48483265133</v>
      </c>
      <c r="L38" s="307">
        <f t="shared" si="11"/>
        <v>0</v>
      </c>
      <c r="M38" s="307">
        <v>0</v>
      </c>
      <c r="N38" s="307">
        <f t="shared" ca="1" si="12"/>
        <v>162747.48483265133</v>
      </c>
      <c r="O38" s="306">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0</v>
      </c>
      <c r="Y38" s="306">
        <v>0</v>
      </c>
      <c r="Z38" s="306">
        <f ca="1">-'GHG Emissions'!P30*$AU$20*$AU$22</f>
        <v>-864.41255356388149</v>
      </c>
      <c r="AA38" s="308">
        <f ca="1">-SUM(W38,X38/OFFSET(GridFootprintbyYear,$A38-$A$19,0)*EF_PurchElec_MTperMWh,Z38)*OFFSET(ExposureCalculations!Price_GHG_Allowance_2010,A38-$A$19,0)*ExposureCalculations!D35</f>
        <v>36060.027832174092</v>
      </c>
      <c r="AB38" s="308">
        <f t="shared" ca="1" si="3"/>
        <v>0</v>
      </c>
      <c r="AC38" s="308">
        <v>0</v>
      </c>
      <c r="AD38" s="819">
        <f t="shared" ca="1" si="4"/>
        <v>0</v>
      </c>
      <c r="AE38" s="308">
        <v>0</v>
      </c>
      <c r="AF38" s="819">
        <f t="shared" ca="1" si="5"/>
        <v>0</v>
      </c>
      <c r="AG38" s="308">
        <v>0</v>
      </c>
      <c r="AH38" s="308">
        <v>0</v>
      </c>
      <c r="AI38" s="308">
        <v>0</v>
      </c>
      <c r="AJ38" s="308">
        <f t="shared" ca="1" si="6"/>
        <v>0</v>
      </c>
      <c r="AK38" s="309">
        <v>0</v>
      </c>
      <c r="AL38" s="309">
        <v>0</v>
      </c>
      <c r="AM38" s="309">
        <f t="shared" si="19"/>
        <v>0</v>
      </c>
      <c r="AN38" s="310">
        <f t="shared" ca="1" si="20"/>
        <v>190229.73298014997</v>
      </c>
      <c r="AO38" s="310">
        <f t="shared" si="24"/>
        <v>0</v>
      </c>
      <c r="AP38" s="310">
        <f t="shared" ca="1" si="21"/>
        <v>190229.73298014997</v>
      </c>
      <c r="AQ38" s="309">
        <v>0</v>
      </c>
      <c r="AR38" s="311">
        <f t="shared" ca="1" si="7"/>
        <v>226289.76081232406</v>
      </c>
      <c r="AS38" s="870">
        <f t="shared" ca="1" si="22"/>
        <v>3575635.9880609238</v>
      </c>
      <c r="AT38" s="822"/>
      <c r="AU38" s="878"/>
      <c r="AV38" s="35"/>
      <c r="AW38" s="879"/>
      <c r="AX38" s="35"/>
      <c r="AY38" s="880"/>
      <c r="BL38">
        <v>2019</v>
      </c>
      <c r="BM38">
        <v>3.9399999999999999E-3</v>
      </c>
      <c r="BN38">
        <v>7.7633648320759164E-4</v>
      </c>
      <c r="BO38" s="123">
        <v>38207113.984108888</v>
      </c>
    </row>
    <row r="39" spans="1:67">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3"/>
        <v>0</v>
      </c>
      <c r="K39" s="307">
        <f t="shared" ca="1" si="10"/>
        <v>164324.11043350337</v>
      </c>
      <c r="L39" s="307">
        <f t="shared" si="11"/>
        <v>0</v>
      </c>
      <c r="M39" s="307">
        <v>0</v>
      </c>
      <c r="N39" s="307">
        <f t="shared" ca="1" si="12"/>
        <v>164324.11043350337</v>
      </c>
      <c r="O39" s="306">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0</v>
      </c>
      <c r="Y39" s="306">
        <v>0</v>
      </c>
      <c r="Z39" s="306">
        <f ca="1">-'GHG Emissions'!P31*$AU$20*$AU$22</f>
        <v>-865.15086944257303</v>
      </c>
      <c r="AA39" s="308">
        <f ca="1">-SUM(W39,X39/OFFSET(GridFootprintbyYear,$A39-$A$19,0)*EF_PurchElec_MTperMWh,Z39)*OFFSET(ExposureCalculations!Price_GHG_Allowance_2010,A39-$A$19,0)*ExposureCalculations!D36</f>
        <v>38754.036586871021</v>
      </c>
      <c r="AB39" s="308">
        <f t="shared" ca="1" si="3"/>
        <v>0</v>
      </c>
      <c r="AC39" s="308">
        <v>0</v>
      </c>
      <c r="AD39" s="819">
        <f t="shared" ca="1" si="4"/>
        <v>0</v>
      </c>
      <c r="AE39" s="308">
        <v>0</v>
      </c>
      <c r="AF39" s="819">
        <f t="shared" ca="1" si="5"/>
        <v>0</v>
      </c>
      <c r="AG39" s="308">
        <v>0</v>
      </c>
      <c r="AH39" s="308">
        <v>0</v>
      </c>
      <c r="AI39" s="308">
        <v>0</v>
      </c>
      <c r="AJ39" s="308">
        <f t="shared" ca="1" si="6"/>
        <v>0</v>
      </c>
      <c r="AK39" s="309">
        <v>0</v>
      </c>
      <c r="AL39" s="309">
        <v>0</v>
      </c>
      <c r="AM39" s="309">
        <f t="shared" si="19"/>
        <v>0</v>
      </c>
      <c r="AN39" s="310">
        <f t="shared" ca="1" si="20"/>
        <v>190392.21284220132</v>
      </c>
      <c r="AO39" s="310">
        <f t="shared" si="24"/>
        <v>0</v>
      </c>
      <c r="AP39" s="310">
        <f t="shared" ca="1" si="21"/>
        <v>190392.21284220132</v>
      </c>
      <c r="AQ39" s="309">
        <v>0</v>
      </c>
      <c r="AR39" s="311">
        <f t="shared" ca="1" si="7"/>
        <v>229146.24942907234</v>
      </c>
      <c r="AS39" s="870">
        <f t="shared" ca="1" si="22"/>
        <v>3804782.237489996</v>
      </c>
      <c r="AT39" s="822"/>
      <c r="AU39" s="878"/>
      <c r="AV39" s="35"/>
      <c r="AW39" s="879"/>
      <c r="AX39" s="35"/>
      <c r="AY39" s="880"/>
      <c r="BL39">
        <v>2020</v>
      </c>
      <c r="BM39">
        <v>3.9399999999999999E-3</v>
      </c>
      <c r="BN39">
        <v>7.7633648320759164E-4</v>
      </c>
      <c r="BO39" s="123">
        <v>38971256.263791069</v>
      </c>
    </row>
    <row r="40" spans="1:67">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3"/>
        <v>0</v>
      </c>
      <c r="K40" s="307">
        <f t="shared" ca="1" si="10"/>
        <v>165900.73603435536</v>
      </c>
      <c r="L40" s="307">
        <f t="shared" si="11"/>
        <v>0</v>
      </c>
      <c r="M40" s="307">
        <v>0</v>
      </c>
      <c r="N40" s="307">
        <f t="shared" ca="1" si="12"/>
        <v>165900.73603435536</v>
      </c>
      <c r="O40" s="306">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0</v>
      </c>
      <c r="Y40" s="306">
        <v>0</v>
      </c>
      <c r="Z40" s="306">
        <f ca="1">-'GHG Emissions'!P32*$AU$20*$AU$22</f>
        <v>-865.87094685010732</v>
      </c>
      <c r="AA40" s="308">
        <f ca="1">-SUM(W40,X40/OFFSET(GridFootprintbyYear,$A40-$A$19,0)*EF_PurchElec_MTperMWh,Z40)*OFFSET(ExposureCalculations!Price_GHG_Allowance_2010,A40-$A$19,0)*ExposureCalculations!D37</f>
        <v>41838.460716169888</v>
      </c>
      <c r="AB40" s="308">
        <f t="shared" ca="1" si="3"/>
        <v>0</v>
      </c>
      <c r="AC40" s="308">
        <v>0</v>
      </c>
      <c r="AD40" s="819">
        <f t="shared" ca="1" si="4"/>
        <v>0</v>
      </c>
      <c r="AE40" s="308">
        <v>0</v>
      </c>
      <c r="AF40" s="819">
        <f t="shared" ca="1" si="5"/>
        <v>0</v>
      </c>
      <c r="AG40" s="308">
        <v>0</v>
      </c>
      <c r="AH40" s="308">
        <v>0</v>
      </c>
      <c r="AI40" s="308">
        <v>0</v>
      </c>
      <c r="AJ40" s="308">
        <f t="shared" ca="1" si="6"/>
        <v>0</v>
      </c>
      <c r="AK40" s="309">
        <v>0</v>
      </c>
      <c r="AL40" s="309">
        <v>0</v>
      </c>
      <c r="AM40" s="309">
        <f t="shared" si="19"/>
        <v>0</v>
      </c>
      <c r="AN40" s="310">
        <f t="shared" ca="1" si="20"/>
        <v>190550.67899634904</v>
      </c>
      <c r="AO40" s="310">
        <f t="shared" si="24"/>
        <v>0</v>
      </c>
      <c r="AP40" s="310">
        <f t="shared" ca="1" si="21"/>
        <v>190550.67899634904</v>
      </c>
      <c r="AQ40" s="309">
        <v>0</v>
      </c>
      <c r="AR40" s="311">
        <f t="shared" ca="1" si="7"/>
        <v>232389.13971251893</v>
      </c>
      <c r="AS40" s="870">
        <f t="shared" ca="1" si="22"/>
        <v>4037171.377202515</v>
      </c>
      <c r="AT40" s="822"/>
      <c r="AU40" s="878"/>
      <c r="AV40" s="35"/>
      <c r="AW40" s="879"/>
      <c r="AX40" s="35"/>
      <c r="AY40" s="880"/>
      <c r="BL40">
        <v>2021</v>
      </c>
      <c r="BM40">
        <v>3.9399999999999999E-3</v>
      </c>
      <c r="BN40">
        <v>7.7633648320759164E-4</v>
      </c>
      <c r="BO40" s="123">
        <v>39750681.38906689</v>
      </c>
    </row>
    <row r="41" spans="1:67">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3"/>
        <v>0</v>
      </c>
      <c r="K41" s="307">
        <f t="shared" ca="1" si="10"/>
        <v>167477.3616352074</v>
      </c>
      <c r="L41" s="307">
        <f t="shared" si="11"/>
        <v>0</v>
      </c>
      <c r="M41" s="307">
        <v>0</v>
      </c>
      <c r="N41" s="307">
        <f t="shared" ca="1" si="12"/>
        <v>167477.3616352074</v>
      </c>
      <c r="O41" s="306">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0</v>
      </c>
      <c r="Y41" s="306">
        <v>0</v>
      </c>
      <c r="Z41" s="306">
        <f ca="1">-'GHG Emissions'!P33*$AU$20*$AU$22</f>
        <v>-866.57407413353792</v>
      </c>
      <c r="AA41" s="308">
        <f ca="1">-SUM(W41,X41/OFFSET(GridFootprintbyYear,$A41-$A$19,0)*EF_PurchElec_MTperMWh,Z41)*OFFSET(ExposureCalculations!Price_GHG_Allowance_2010,A41-$A$19,0)*ExposureCalculations!D38</f>
        <v>45001.858043105094</v>
      </c>
      <c r="AB41" s="308">
        <f t="shared" ca="1" si="3"/>
        <v>0</v>
      </c>
      <c r="AC41" s="308">
        <v>0</v>
      </c>
      <c r="AD41" s="819">
        <f t="shared" ca="1" si="4"/>
        <v>0</v>
      </c>
      <c r="AE41" s="308">
        <v>0</v>
      </c>
      <c r="AF41" s="819">
        <f t="shared" ca="1" si="5"/>
        <v>0</v>
      </c>
      <c r="AG41" s="308">
        <v>0</v>
      </c>
      <c r="AH41" s="308">
        <v>0</v>
      </c>
      <c r="AI41" s="308">
        <v>0</v>
      </c>
      <c r="AJ41" s="308">
        <f t="shared" ca="1" si="6"/>
        <v>0</v>
      </c>
      <c r="AK41" s="309">
        <v>0</v>
      </c>
      <c r="AL41" s="309">
        <v>0</v>
      </c>
      <c r="AM41" s="309">
        <f t="shared" si="19"/>
        <v>0</v>
      </c>
      <c r="AN41" s="310">
        <f t="shared" ca="1" si="20"/>
        <v>190705.41496683744</v>
      </c>
      <c r="AO41" s="310">
        <f t="shared" si="24"/>
        <v>0</v>
      </c>
      <c r="AP41" s="310">
        <f t="shared" ca="1" si="21"/>
        <v>190705.41496683744</v>
      </c>
      <c r="AQ41" s="309">
        <v>0</v>
      </c>
      <c r="AR41" s="311">
        <f t="shared" ca="1" si="7"/>
        <v>235707.27300994255</v>
      </c>
      <c r="AS41" s="870">
        <f t="shared" ca="1" si="22"/>
        <v>4272878.6502124574</v>
      </c>
      <c r="AT41" s="822"/>
      <c r="AU41" s="878"/>
      <c r="AV41" s="35"/>
      <c r="AW41" s="879"/>
      <c r="AX41" s="35"/>
      <c r="AY41" s="880"/>
      <c r="BL41">
        <v>2022</v>
      </c>
      <c r="BM41">
        <v>3.9399999999999999E-3</v>
      </c>
      <c r="BN41">
        <v>7.7633648320759164E-4</v>
      </c>
      <c r="BO41" s="123">
        <v>40545695.016848229</v>
      </c>
    </row>
    <row r="42" spans="1:67">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3"/>
        <v>0</v>
      </c>
      <c r="K42" s="307">
        <f t="shared" ca="1" si="10"/>
        <v>169053.98723605942</v>
      </c>
      <c r="L42" s="307">
        <f t="shared" si="11"/>
        <v>0</v>
      </c>
      <c r="M42" s="307">
        <v>0</v>
      </c>
      <c r="N42" s="307">
        <f t="shared" ca="1" si="12"/>
        <v>169053.98723605942</v>
      </c>
      <c r="O42" s="306">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0</v>
      </c>
      <c r="Y42" s="306">
        <v>0</v>
      </c>
      <c r="Z42" s="306">
        <f ca="1">-'GHG Emissions'!P34*$AU$20*$AU$22</f>
        <v>-867.26139474581635</v>
      </c>
      <c r="AA42" s="308">
        <f ca="1">-SUM(W42,X42/OFFSET(GridFootprintbyYear,$A42-$A$19,0)*EF_PurchElec_MTperMWh,Z42)*OFFSET(ExposureCalculations!Price_GHG_Allowance_2010,A42-$A$19,0)*ExposureCalculations!D39</f>
        <v>47845.115764107228</v>
      </c>
      <c r="AB42" s="308">
        <f t="shared" ca="1" si="3"/>
        <v>0</v>
      </c>
      <c r="AC42" s="308">
        <v>0</v>
      </c>
      <c r="AD42" s="819">
        <f t="shared" ca="1" si="4"/>
        <v>0</v>
      </c>
      <c r="AE42" s="308">
        <v>0</v>
      </c>
      <c r="AF42" s="819">
        <f t="shared" ca="1" si="5"/>
        <v>0</v>
      </c>
      <c r="AG42" s="308">
        <v>0</v>
      </c>
      <c r="AH42" s="308">
        <v>0</v>
      </c>
      <c r="AI42" s="308">
        <v>0</v>
      </c>
      <c r="AJ42" s="308">
        <f t="shared" ca="1" si="6"/>
        <v>0</v>
      </c>
      <c r="AK42" s="309">
        <v>0</v>
      </c>
      <c r="AL42" s="309">
        <v>0</v>
      </c>
      <c r="AM42" s="309">
        <f t="shared" si="19"/>
        <v>0</v>
      </c>
      <c r="AN42" s="310">
        <f t="shared" ca="1" si="20"/>
        <v>190856.67239132349</v>
      </c>
      <c r="AO42" s="310">
        <f t="shared" si="24"/>
        <v>0</v>
      </c>
      <c r="AP42" s="310">
        <f t="shared" ca="1" si="21"/>
        <v>190856.67239132349</v>
      </c>
      <c r="AQ42" s="309">
        <v>0</v>
      </c>
      <c r="AR42" s="311">
        <f t="shared" ca="1" si="7"/>
        <v>238701.78815543072</v>
      </c>
      <c r="AS42" s="870">
        <f t="shared" ca="1" si="22"/>
        <v>4511580.4383678883</v>
      </c>
      <c r="AT42" s="822"/>
      <c r="AU42" s="878"/>
      <c r="AV42" s="35"/>
      <c r="AW42" s="879"/>
      <c r="AX42" s="35"/>
      <c r="AY42" s="880"/>
      <c r="BL42">
        <v>2023</v>
      </c>
      <c r="BM42">
        <v>3.9399999999999999E-3</v>
      </c>
      <c r="BN42">
        <v>7.7633648320759164E-4</v>
      </c>
      <c r="BO42" s="123">
        <v>41356608.917185195</v>
      </c>
    </row>
    <row r="43" spans="1:67">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3"/>
        <v>0</v>
      </c>
      <c r="K43" s="307">
        <f t="shared" ca="1" si="10"/>
        <v>170630.61283691146</v>
      </c>
      <c r="L43" s="307">
        <f t="shared" si="11"/>
        <v>0</v>
      </c>
      <c r="M43" s="307">
        <v>0</v>
      </c>
      <c r="N43" s="307">
        <f t="shared" ca="1" si="12"/>
        <v>170630.61283691146</v>
      </c>
      <c r="O43" s="306">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0</v>
      </c>
      <c r="Y43" s="306">
        <v>0</v>
      </c>
      <c r="Z43" s="306">
        <f ca="1">-'GHG Emissions'!P35*$AU$20*$AU$22</f>
        <v>-867.93392908247324</v>
      </c>
      <c r="AA43" s="308">
        <f ca="1">-SUM(W43,X43/OFFSET(GridFootprintbyYear,$A43-$A$19,0)*EF_PurchElec_MTperMWh,Z43)*OFFSET(ExposureCalculations!Price_GHG_Allowance_2010,A43-$A$19,0)*ExposureCalculations!D40</f>
        <v>50351.432303536581</v>
      </c>
      <c r="AB43" s="308">
        <f t="shared" ca="1" si="3"/>
        <v>0</v>
      </c>
      <c r="AC43" s="308">
        <v>0</v>
      </c>
      <c r="AD43" s="819">
        <f t="shared" ca="1" si="4"/>
        <v>0</v>
      </c>
      <c r="AE43" s="308">
        <v>0</v>
      </c>
      <c r="AF43" s="819">
        <f t="shared" ca="1" si="5"/>
        <v>0</v>
      </c>
      <c r="AG43" s="308">
        <v>0</v>
      </c>
      <c r="AH43" s="308">
        <v>0</v>
      </c>
      <c r="AI43" s="308">
        <v>0</v>
      </c>
      <c r="AJ43" s="308">
        <f t="shared" ca="1" si="6"/>
        <v>0</v>
      </c>
      <c r="AK43" s="309">
        <v>0</v>
      </c>
      <c r="AL43" s="309">
        <v>0</v>
      </c>
      <c r="AM43" s="309">
        <f t="shared" si="19"/>
        <v>0</v>
      </c>
      <c r="AN43" s="310">
        <f t="shared" ca="1" si="20"/>
        <v>191004.67582643646</v>
      </c>
      <c r="AO43" s="310">
        <f t="shared" si="24"/>
        <v>0</v>
      </c>
      <c r="AP43" s="310">
        <f t="shared" ca="1" si="21"/>
        <v>191004.67582643646</v>
      </c>
      <c r="AQ43" s="309">
        <v>0</v>
      </c>
      <c r="AR43" s="311">
        <f t="shared" ca="1" si="7"/>
        <v>241356.10812997306</v>
      </c>
      <c r="AS43" s="870">
        <f t="shared" ca="1" si="22"/>
        <v>4752936.5464978609</v>
      </c>
      <c r="AT43" s="822"/>
      <c r="AU43" s="878"/>
      <c r="AV43" s="35"/>
      <c r="AW43" s="879"/>
      <c r="AX43" s="35"/>
      <c r="AY43" s="880"/>
      <c r="BL43">
        <v>2024</v>
      </c>
      <c r="BM43">
        <v>3.9399999999999999E-3</v>
      </c>
      <c r="BN43">
        <v>7.7633648320759164E-4</v>
      </c>
      <c r="BO43" s="123">
        <v>42183741.095528901</v>
      </c>
    </row>
    <row r="44" spans="1:67">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3"/>
        <v>0</v>
      </c>
      <c r="K44" s="307">
        <f t="shared" ca="1" si="10"/>
        <v>172207.23843776347</v>
      </c>
      <c r="L44" s="307">
        <f t="shared" si="11"/>
        <v>0</v>
      </c>
      <c r="M44" s="307">
        <v>0</v>
      </c>
      <c r="N44" s="307">
        <f t="shared" ca="1" si="12"/>
        <v>172207.23843776347</v>
      </c>
      <c r="O44" s="306">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0</v>
      </c>
      <c r="Y44" s="306">
        <v>0</v>
      </c>
      <c r="Z44" s="306">
        <f ca="1">-'GHG Emissions'!P36*$AU$20*$AU$22</f>
        <v>-868.59259226087261</v>
      </c>
      <c r="AA44" s="308">
        <f ca="1">-SUM(W44,X44/OFFSET(GridFootprintbyYear,$A44-$A$19,0)*EF_PurchElec_MTperMWh,Z44)*OFFSET(ExposureCalculations!Price_GHG_Allowance_2010,A44-$A$19,0)*ExposureCalculations!D41</f>
        <v>52911.469850755871</v>
      </c>
      <c r="AB44" s="308">
        <f t="shared" ca="1" si="3"/>
        <v>0</v>
      </c>
      <c r="AC44" s="308">
        <v>0</v>
      </c>
      <c r="AD44" s="819">
        <f t="shared" ca="1" si="4"/>
        <v>0</v>
      </c>
      <c r="AE44" s="308">
        <v>0</v>
      </c>
      <c r="AF44" s="819">
        <f t="shared" ca="1" si="5"/>
        <v>0</v>
      </c>
      <c r="AG44" s="308">
        <v>0</v>
      </c>
      <c r="AH44" s="308">
        <v>0</v>
      </c>
      <c r="AI44" s="308">
        <v>0</v>
      </c>
      <c r="AJ44" s="308">
        <f t="shared" ca="1" si="6"/>
        <v>0</v>
      </c>
      <c r="AK44" s="309">
        <v>0</v>
      </c>
      <c r="AL44" s="309">
        <v>0</v>
      </c>
      <c r="AM44" s="309">
        <f t="shared" si="19"/>
        <v>0</v>
      </c>
      <c r="AN44" s="310">
        <f t="shared" ca="1" si="20"/>
        <v>191149.62666042676</v>
      </c>
      <c r="AO44" s="310">
        <f t="shared" si="24"/>
        <v>0</v>
      </c>
      <c r="AP44" s="310">
        <f t="shared" ca="1" si="21"/>
        <v>191149.62666042676</v>
      </c>
      <c r="AQ44" s="309">
        <v>0</v>
      </c>
      <c r="AR44" s="311">
        <f t="shared" ca="1" si="7"/>
        <v>244061.09651118264</v>
      </c>
      <c r="AS44" s="870">
        <f t="shared" ca="1" si="22"/>
        <v>4996997.6430090433</v>
      </c>
      <c r="AT44" s="822"/>
      <c r="AU44" s="878"/>
      <c r="AV44" s="35"/>
      <c r="AW44" s="879"/>
      <c r="AX44" s="35"/>
      <c r="AY44" s="880"/>
      <c r="BL44">
        <v>2025</v>
      </c>
      <c r="BM44">
        <v>3.9399999999999999E-3</v>
      </c>
      <c r="BN44">
        <v>7.7633648320759164E-4</v>
      </c>
      <c r="BO44" s="123">
        <v>43027415.917439483</v>
      </c>
    </row>
    <row r="45" spans="1:67">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3"/>
        <v>0</v>
      </c>
      <c r="K45" s="307">
        <f t="shared" ca="1" si="10"/>
        <v>173783.86403861555</v>
      </c>
      <c r="L45" s="307">
        <f t="shared" si="11"/>
        <v>0</v>
      </c>
      <c r="M45" s="307">
        <v>0</v>
      </c>
      <c r="N45" s="307">
        <f t="shared" ca="1" si="12"/>
        <v>173783.86403861555</v>
      </c>
      <c r="O45" s="306">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0</v>
      </c>
      <c r="Y45" s="306">
        <v>0</v>
      </c>
      <c r="Z45" s="306">
        <f ca="1">-'GHG Emissions'!P37*$AU$20*$AU$22</f>
        <v>-869.23820872711428</v>
      </c>
      <c r="AA45" s="308">
        <f ca="1">-SUM(W45,X45/OFFSET(GridFootprintbyYear,$A45-$A$19,0)*EF_PurchElec_MTperMWh,Z45)*OFFSET(ExposureCalculations!Price_GHG_Allowance_2010,A45-$A$19,0)*ExposureCalculations!D42</f>
        <v>55903.457164338826</v>
      </c>
      <c r="AB45" s="308">
        <f t="shared" ca="1" si="3"/>
        <v>0</v>
      </c>
      <c r="AC45" s="308">
        <v>0</v>
      </c>
      <c r="AD45" s="819">
        <f t="shared" ca="1" si="4"/>
        <v>0</v>
      </c>
      <c r="AE45" s="308">
        <v>0</v>
      </c>
      <c r="AF45" s="819">
        <f t="shared" ca="1" si="5"/>
        <v>0</v>
      </c>
      <c r="AG45" s="308">
        <v>0</v>
      </c>
      <c r="AH45" s="308">
        <v>0</v>
      </c>
      <c r="AI45" s="308">
        <v>0</v>
      </c>
      <c r="AJ45" s="308">
        <f t="shared" ca="1" si="6"/>
        <v>0</v>
      </c>
      <c r="AK45" s="309">
        <v>0</v>
      </c>
      <c r="AL45" s="309">
        <v>0</v>
      </c>
      <c r="AM45" s="309">
        <f t="shared" si="19"/>
        <v>0</v>
      </c>
      <c r="AN45" s="310">
        <f t="shared" ca="1" si="20"/>
        <v>191291.70632768099</v>
      </c>
      <c r="AO45" s="310">
        <f t="shared" si="24"/>
        <v>0</v>
      </c>
      <c r="AP45" s="310">
        <f t="shared" ca="1" si="21"/>
        <v>191291.70632768099</v>
      </c>
      <c r="AQ45" s="309">
        <v>0</v>
      </c>
      <c r="AR45" s="311">
        <f t="shared" ca="1" si="7"/>
        <v>247195.16349201981</v>
      </c>
      <c r="AS45" s="870">
        <f t="shared" ca="1" si="22"/>
        <v>5244192.8065010635</v>
      </c>
      <c r="AT45" s="822"/>
      <c r="AU45" s="878"/>
      <c r="AV45" s="35"/>
      <c r="AW45" s="879"/>
      <c r="AX45" s="35"/>
      <c r="AY45" s="880"/>
      <c r="BL45">
        <v>2026</v>
      </c>
      <c r="BM45">
        <v>3.9399999999999999E-3</v>
      </c>
      <c r="BN45">
        <v>7.7633648320759164E-4</v>
      </c>
      <c r="BO45" s="123">
        <v>43887964.235788271</v>
      </c>
    </row>
    <row r="46" spans="1:67">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3"/>
        <v>0</v>
      </c>
      <c r="K46" s="307">
        <f t="shared" ca="1" si="10"/>
        <v>175360.48963946756</v>
      </c>
      <c r="L46" s="307">
        <f t="shared" si="11"/>
        <v>0</v>
      </c>
      <c r="M46" s="307">
        <v>0</v>
      </c>
      <c r="N46" s="307">
        <f t="shared" ca="1" si="12"/>
        <v>175360.48963946756</v>
      </c>
      <c r="O46" s="306">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0</v>
      </c>
      <c r="Y46" s="306">
        <v>0</v>
      </c>
      <c r="Z46" s="306">
        <f ca="1">-'GHG Emissions'!P38*$AU$20*$AU$22</f>
        <v>-869.8715243561503</v>
      </c>
      <c r="AA46" s="308">
        <f ca="1">-SUM(W46,X46/OFFSET(GridFootprintbyYear,$A46-$A$19,0)*EF_PurchElec_MTperMWh,Z46)*OFFSET(ExposureCalculations!Price_GHG_Allowance_2010,A46-$A$19,0)*ExposureCalculations!D43</f>
        <v>58886.153838620339</v>
      </c>
      <c r="AB46" s="308">
        <f t="shared" ca="1" si="3"/>
        <v>0</v>
      </c>
      <c r="AC46" s="308">
        <v>0</v>
      </c>
      <c r="AD46" s="819">
        <f t="shared" ca="1" si="4"/>
        <v>0</v>
      </c>
      <c r="AE46" s="308">
        <v>0</v>
      </c>
      <c r="AF46" s="819">
        <f t="shared" ca="1" si="5"/>
        <v>0</v>
      </c>
      <c r="AG46" s="308">
        <v>0</v>
      </c>
      <c r="AH46" s="308">
        <v>0</v>
      </c>
      <c r="AI46" s="308">
        <v>0</v>
      </c>
      <c r="AJ46" s="308">
        <f t="shared" ca="1" si="6"/>
        <v>0</v>
      </c>
      <c r="AK46" s="309">
        <v>0</v>
      </c>
      <c r="AL46" s="309">
        <v>0</v>
      </c>
      <c r="AM46" s="309">
        <f t="shared" si="19"/>
        <v>0</v>
      </c>
      <c r="AN46" s="310">
        <f t="shared" ca="1" si="20"/>
        <v>191431.07897157304</v>
      </c>
      <c r="AO46" s="310">
        <f t="shared" si="24"/>
        <v>0</v>
      </c>
      <c r="AP46" s="310">
        <f t="shared" ca="1" si="21"/>
        <v>191431.07897157304</v>
      </c>
      <c r="AQ46" s="309">
        <v>0</v>
      </c>
      <c r="AR46" s="311">
        <f t="shared" ca="1" si="7"/>
        <v>250317.23281019338</v>
      </c>
      <c r="AS46" s="870">
        <f t="shared" ca="1" si="22"/>
        <v>5494510.0393112572</v>
      </c>
      <c r="AT46" s="822"/>
      <c r="AU46" s="878"/>
      <c r="AV46" s="35"/>
      <c r="AW46" s="879"/>
      <c r="AX46" s="35"/>
      <c r="AY46" s="880"/>
      <c r="BL46">
        <v>2027</v>
      </c>
      <c r="BM46">
        <v>3.9399999999999999E-3</v>
      </c>
      <c r="BN46">
        <v>7.7633648320759164E-4</v>
      </c>
      <c r="BO46" s="123">
        <v>44765723.520504035</v>
      </c>
    </row>
    <row r="47" spans="1:67">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3"/>
        <v>0</v>
      </c>
      <c r="K47" s="307">
        <f t="shared" ca="1" si="10"/>
        <v>176937.1152403196</v>
      </c>
      <c r="L47" s="307">
        <f t="shared" si="11"/>
        <v>0</v>
      </c>
      <c r="M47" s="307">
        <v>0</v>
      </c>
      <c r="N47" s="307">
        <f t="shared" ca="1" si="12"/>
        <v>176937.1152403196</v>
      </c>
      <c r="O47" s="306">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0</v>
      </c>
      <c r="Y47" s="306">
        <v>0</v>
      </c>
      <c r="Z47" s="306">
        <f ca="1">-'GHG Emissions'!P39*$AU$20*$AU$22</f>
        <v>-870.49321655168853</v>
      </c>
      <c r="AA47" s="308">
        <f ca="1">-SUM(W47,X47/OFFSET(GridFootprintbyYear,$A47-$A$19,0)*EF_PurchElec_MTperMWh,Z47)*OFFSET(ExposureCalculations!Price_GHG_Allowance_2010,A47-$A$19,0)*ExposureCalculations!D44</f>
        <v>61851.652906990712</v>
      </c>
      <c r="AB47" s="308">
        <f t="shared" ca="1" si="3"/>
        <v>0</v>
      </c>
      <c r="AC47" s="308">
        <v>0</v>
      </c>
      <c r="AD47" s="819">
        <f t="shared" ca="1" si="4"/>
        <v>0</v>
      </c>
      <c r="AE47" s="308">
        <v>0</v>
      </c>
      <c r="AF47" s="819">
        <f t="shared" ca="1" si="5"/>
        <v>0</v>
      </c>
      <c r="AG47" s="308">
        <v>0</v>
      </c>
      <c r="AH47" s="308">
        <v>0</v>
      </c>
      <c r="AI47" s="308">
        <v>0</v>
      </c>
      <c r="AJ47" s="308">
        <f t="shared" ca="1" si="6"/>
        <v>0</v>
      </c>
      <c r="AK47" s="309">
        <v>0</v>
      </c>
      <c r="AL47" s="309">
        <v>0</v>
      </c>
      <c r="AM47" s="309">
        <f t="shared" si="19"/>
        <v>0</v>
      </c>
      <c r="AN47" s="310">
        <f t="shared" ca="1" si="20"/>
        <v>191567.89366713187</v>
      </c>
      <c r="AO47" s="310">
        <f t="shared" si="24"/>
        <v>0</v>
      </c>
      <c r="AP47" s="310">
        <f t="shared" ca="1" si="21"/>
        <v>191567.89366713187</v>
      </c>
      <c r="AQ47" s="309">
        <v>0</v>
      </c>
      <c r="AR47" s="311">
        <f t="shared" ca="1" si="7"/>
        <v>253419.54657412256</v>
      </c>
      <c r="AS47" s="870">
        <f t="shared" ca="1" si="22"/>
        <v>5747929.5858853795</v>
      </c>
      <c r="AT47" s="822"/>
      <c r="AU47" s="878"/>
      <c r="AV47" s="35"/>
      <c r="AW47" s="879"/>
      <c r="AX47" s="35"/>
      <c r="AY47" s="880"/>
      <c r="BL47">
        <v>2028</v>
      </c>
      <c r="BM47">
        <v>3.9399999999999999E-3</v>
      </c>
      <c r="BN47">
        <v>7.7633648320759164E-4</v>
      </c>
      <c r="BO47" s="123">
        <v>45661037.990914114</v>
      </c>
    </row>
    <row r="48" spans="1:67">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3"/>
        <v>0</v>
      </c>
      <c r="K48" s="307">
        <f t="shared" ca="1" si="10"/>
        <v>178513.74084117162</v>
      </c>
      <c r="L48" s="307">
        <f t="shared" si="11"/>
        <v>0</v>
      </c>
      <c r="M48" s="307">
        <v>0</v>
      </c>
      <c r="N48" s="307">
        <f t="shared" ca="1" si="12"/>
        <v>178513.74084117162</v>
      </c>
      <c r="O48" s="306">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0</v>
      </c>
      <c r="Y48" s="306">
        <v>0</v>
      </c>
      <c r="Z48" s="306">
        <f ca="1">-'GHG Emissions'!P40*$AU$20*$AU$22</f>
        <v>-871.10390273575013</v>
      </c>
      <c r="AA48" s="308">
        <f ca="1">-SUM(W48,X48/OFFSET(GridFootprintbyYear,$A48-$A$19,0)*EF_PurchElec_MTperMWh,Z48)*OFFSET(ExposureCalculations!Price_GHG_Allowance_2010,A48-$A$19,0)*ExposureCalculations!D45</f>
        <v>64793.475791868754</v>
      </c>
      <c r="AB48" s="308">
        <f t="shared" ca="1" si="3"/>
        <v>0</v>
      </c>
      <c r="AC48" s="308">
        <v>0</v>
      </c>
      <c r="AD48" s="819">
        <f t="shared" ca="1" si="4"/>
        <v>0</v>
      </c>
      <c r="AE48" s="308">
        <v>0</v>
      </c>
      <c r="AF48" s="819">
        <f t="shared" ca="1" si="5"/>
        <v>0</v>
      </c>
      <c r="AG48" s="308">
        <v>0</v>
      </c>
      <c r="AH48" s="308">
        <v>0</v>
      </c>
      <c r="AI48" s="308">
        <v>0</v>
      </c>
      <c r="AJ48" s="308">
        <f t="shared" ca="1" si="6"/>
        <v>0</v>
      </c>
      <c r="AK48" s="309">
        <v>0</v>
      </c>
      <c r="AL48" s="309">
        <v>0</v>
      </c>
      <c r="AM48" s="309">
        <f t="shared" si="19"/>
        <v>0</v>
      </c>
      <c r="AN48" s="310">
        <f t="shared" ca="1" si="20"/>
        <v>191702.28628932338</v>
      </c>
      <c r="AO48" s="310">
        <f t="shared" si="24"/>
        <v>0</v>
      </c>
      <c r="AP48" s="310">
        <f t="shared" ca="1" si="21"/>
        <v>191702.28628932338</v>
      </c>
      <c r="AQ48" s="309">
        <v>0</v>
      </c>
      <c r="AR48" s="311">
        <f t="shared" ca="1" si="7"/>
        <v>256495.76208119214</v>
      </c>
      <c r="AS48" s="870">
        <f t="shared" ca="1" si="22"/>
        <v>6004425.3479665713</v>
      </c>
      <c r="AT48" s="822"/>
      <c r="AU48" s="878"/>
      <c r="AV48" s="35"/>
      <c r="AW48" s="879"/>
      <c r="AX48" s="35"/>
      <c r="AY48" s="880"/>
      <c r="BL48">
        <v>2029</v>
      </c>
      <c r="BM48">
        <v>3.9399999999999999E-3</v>
      </c>
      <c r="BN48">
        <v>7.7633648320759164E-4</v>
      </c>
      <c r="BO48" s="123">
        <v>46574258.7507324</v>
      </c>
    </row>
    <row r="49" spans="1:67">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3"/>
        <v>0</v>
      </c>
      <c r="K49" s="307">
        <f t="shared" ca="1" si="10"/>
        <v>180090.36644202363</v>
      </c>
      <c r="L49" s="307">
        <f t="shared" si="11"/>
        <v>0</v>
      </c>
      <c r="M49" s="307">
        <v>0</v>
      </c>
      <c r="N49" s="307">
        <f t="shared" ca="1" si="12"/>
        <v>180090.36644202363</v>
      </c>
      <c r="O49" s="306">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0</v>
      </c>
      <c r="Y49" s="306">
        <v>0</v>
      </c>
      <c r="Z49" s="306">
        <f ca="1">-'GHG Emissions'!P41*$AU$20*$AU$22</f>
        <v>-871.70414753099931</v>
      </c>
      <c r="AA49" s="308">
        <f ca="1">-SUM(W49,X49/OFFSET(GridFootprintbyYear,$A49-$A$19,0)*EF_PurchElec_MTperMWh,Z49)*OFFSET(ExposureCalculations!Price_GHG_Allowance_2010,A49-$A$19,0)*ExposureCalculations!D46</f>
        <v>67879.985438770716</v>
      </c>
      <c r="AB49" s="308">
        <f t="shared" ca="1" si="3"/>
        <v>0</v>
      </c>
      <c r="AC49" s="308">
        <v>0</v>
      </c>
      <c r="AD49" s="819">
        <f t="shared" ca="1" si="4"/>
        <v>0</v>
      </c>
      <c r="AE49" s="308">
        <v>0</v>
      </c>
      <c r="AF49" s="819">
        <f t="shared" ca="1" si="5"/>
        <v>0</v>
      </c>
      <c r="AG49" s="308">
        <v>0</v>
      </c>
      <c r="AH49" s="308">
        <v>0</v>
      </c>
      <c r="AI49" s="308">
        <v>0</v>
      </c>
      <c r="AJ49" s="308">
        <f t="shared" ca="1" si="6"/>
        <v>0</v>
      </c>
      <c r="AK49" s="309">
        <v>0</v>
      </c>
      <c r="AL49" s="309">
        <v>0</v>
      </c>
      <c r="AM49" s="309">
        <f t="shared" si="19"/>
        <v>0</v>
      </c>
      <c r="AN49" s="310">
        <f t="shared" ca="1" si="20"/>
        <v>191834.38109365286</v>
      </c>
      <c r="AO49" s="310">
        <f t="shared" si="24"/>
        <v>0</v>
      </c>
      <c r="AP49" s="310">
        <f t="shared" ca="1" si="21"/>
        <v>191834.38109365286</v>
      </c>
      <c r="AQ49" s="309">
        <v>0</v>
      </c>
      <c r="AR49" s="311">
        <f t="shared" ca="1" si="7"/>
        <v>259714.36653242359</v>
      </c>
      <c r="AS49" s="870">
        <f t="shared" ca="1" si="22"/>
        <v>6264139.7144989949</v>
      </c>
      <c r="AT49" s="822"/>
      <c r="AU49" s="878"/>
      <c r="AV49" s="35"/>
      <c r="AW49" s="879"/>
      <c r="AX49" s="35"/>
      <c r="AY49" s="880"/>
      <c r="BL49">
        <v>2030</v>
      </c>
      <c r="BM49">
        <v>3.9399999999999999E-3</v>
      </c>
      <c r="BN49">
        <v>7.7633648320759164E-4</v>
      </c>
      <c r="BO49" s="123">
        <v>47505743.925747052</v>
      </c>
    </row>
    <row r="50" spans="1:67">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3"/>
        <v>0</v>
      </c>
      <c r="K50" s="307">
        <f t="shared" ca="1" si="10"/>
        <v>181666.99204287567</v>
      </c>
      <c r="L50" s="307">
        <f t="shared" si="11"/>
        <v>0</v>
      </c>
      <c r="M50" s="307">
        <v>0</v>
      </c>
      <c r="N50" s="307">
        <f t="shared" ca="1" si="12"/>
        <v>181666.99204287567</v>
      </c>
      <c r="O50" s="306">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0</v>
      </c>
      <c r="Y50" s="306">
        <v>0</v>
      </c>
      <c r="Z50" s="306">
        <f ca="1">-'GHG Emissions'!P42*$AU$20*$AU$22</f>
        <v>-872.29446887375661</v>
      </c>
      <c r="AA50" s="308">
        <f ca="1">-SUM(W50,X50/OFFSET(GridFootprintbyYear,$A50-$A$19,0)*EF_PurchElec_MTperMWh,Z50)*OFFSET(ExposureCalculations!Price_GHG_Allowance_2010,A50-$A$19,0)*ExposureCalculations!D47</f>
        <v>70874.763631201378</v>
      </c>
      <c r="AB50" s="308">
        <f t="shared" ca="1" si="3"/>
        <v>0</v>
      </c>
      <c r="AC50" s="308">
        <v>0</v>
      </c>
      <c r="AD50" s="819">
        <f t="shared" ca="1" si="4"/>
        <v>0</v>
      </c>
      <c r="AE50" s="308">
        <v>0</v>
      </c>
      <c r="AF50" s="819">
        <f t="shared" ca="1" si="5"/>
        <v>0</v>
      </c>
      <c r="AG50" s="308">
        <v>0</v>
      </c>
      <c r="AH50" s="308">
        <v>0</v>
      </c>
      <c r="AI50" s="308">
        <v>0</v>
      </c>
      <c r="AJ50" s="308">
        <f t="shared" ca="1" si="6"/>
        <v>0</v>
      </c>
      <c r="AK50" s="309">
        <v>0</v>
      </c>
      <c r="AL50" s="309">
        <v>0</v>
      </c>
      <c r="AM50" s="309">
        <f t="shared" si="19"/>
        <v>0</v>
      </c>
      <c r="AN50" s="310">
        <f t="shared" ca="1" si="20"/>
        <v>191964.29206144507</v>
      </c>
      <c r="AO50" s="310">
        <f t="shared" si="24"/>
        <v>0</v>
      </c>
      <c r="AP50" s="310">
        <f t="shared" ca="1" si="21"/>
        <v>191964.29206144507</v>
      </c>
      <c r="AQ50" s="309">
        <v>0</v>
      </c>
      <c r="AR50" s="311">
        <f t="shared" ca="1" si="7"/>
        <v>262839.05569264642</v>
      </c>
      <c r="AS50" s="870">
        <f t="shared" ca="1" si="22"/>
        <v>6526978.7701916415</v>
      </c>
      <c r="AT50" s="822"/>
      <c r="AU50" s="878"/>
      <c r="AV50" s="35"/>
      <c r="AW50" s="879"/>
      <c r="AX50" s="35"/>
      <c r="AY50" s="880"/>
      <c r="BL50">
        <v>2031</v>
      </c>
      <c r="BM50">
        <v>3.9399999999999999E-3</v>
      </c>
      <c r="BN50">
        <v>7.7633648320759164E-4</v>
      </c>
      <c r="BO50" s="123">
        <v>48455858.804261997</v>
      </c>
    </row>
    <row r="51" spans="1:67">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3"/>
        <v>0</v>
      </c>
      <c r="K51" s="307">
        <f t="shared" ca="1" si="10"/>
        <v>183243.61764372772</v>
      </c>
      <c r="L51" s="307">
        <f t="shared" si="11"/>
        <v>0</v>
      </c>
      <c r="M51" s="307">
        <v>0</v>
      </c>
      <c r="N51" s="307">
        <f t="shared" ca="1" si="12"/>
        <v>183243.61764372772</v>
      </c>
      <c r="O51" s="306">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0</v>
      </c>
      <c r="Y51" s="306">
        <v>0</v>
      </c>
      <c r="Z51" s="306">
        <f ca="1">-'GHG Emissions'!P43*$AU$20*$AU$22</f>
        <v>-872.87534324606838</v>
      </c>
      <c r="AA51" s="308">
        <f ca="1">-SUM(W51,X51/OFFSET(GridFootprintbyYear,$A51-$A$19,0)*EF_PurchElec_MTperMWh,Z51)*OFFSET(ExposureCalculations!Price_GHG_Allowance_2010,A51-$A$19,0)*ExposureCalculations!D48</f>
        <v>73757.750858322659</v>
      </c>
      <c r="AB51" s="308">
        <f t="shared" ca="1" si="3"/>
        <v>0</v>
      </c>
      <c r="AC51" s="308">
        <v>0</v>
      </c>
      <c r="AD51" s="819">
        <f t="shared" ca="1" si="4"/>
        <v>0</v>
      </c>
      <c r="AE51" s="308">
        <v>0</v>
      </c>
      <c r="AF51" s="819">
        <f t="shared" ca="1" si="5"/>
        <v>0</v>
      </c>
      <c r="AG51" s="308">
        <v>0</v>
      </c>
      <c r="AH51" s="308">
        <v>0</v>
      </c>
      <c r="AI51" s="308">
        <v>0</v>
      </c>
      <c r="AJ51" s="308">
        <f t="shared" ca="1" si="6"/>
        <v>0</v>
      </c>
      <c r="AK51" s="309">
        <v>0</v>
      </c>
      <c r="AL51" s="309">
        <v>0</v>
      </c>
      <c r="AM51" s="309">
        <f t="shared" si="19"/>
        <v>0</v>
      </c>
      <c r="AN51" s="310">
        <f t="shared" ca="1" si="20"/>
        <v>192092.12405125631</v>
      </c>
      <c r="AO51" s="310">
        <f t="shared" si="24"/>
        <v>0</v>
      </c>
      <c r="AP51" s="310">
        <f t="shared" ca="1" si="21"/>
        <v>192092.12405125631</v>
      </c>
      <c r="AQ51" s="309">
        <v>0</v>
      </c>
      <c r="AR51" s="311">
        <f t="shared" ca="1" si="7"/>
        <v>265849.87490957894</v>
      </c>
      <c r="AS51" s="870">
        <f t="shared" ca="1" si="22"/>
        <v>6792828.6451012203</v>
      </c>
      <c r="AT51" s="822"/>
      <c r="AU51" s="878"/>
      <c r="AV51" s="35"/>
      <c r="AW51" s="879"/>
      <c r="AX51" s="35"/>
      <c r="AY51" s="880"/>
      <c r="BL51">
        <v>2032</v>
      </c>
      <c r="BM51">
        <v>3.9399999999999999E-3</v>
      </c>
      <c r="BN51">
        <v>7.7633648320759164E-4</v>
      </c>
      <c r="BO51" s="123">
        <v>49424975.980347238</v>
      </c>
    </row>
    <row r="52" spans="1:67">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3"/>
        <v>0</v>
      </c>
      <c r="K52" s="307">
        <f t="shared" ca="1" si="10"/>
        <v>184820.24324457973</v>
      </c>
      <c r="L52" s="307">
        <f t="shared" si="11"/>
        <v>0</v>
      </c>
      <c r="M52" s="307">
        <v>0</v>
      </c>
      <c r="N52" s="307">
        <f t="shared" ca="1" si="12"/>
        <v>184820.24324457973</v>
      </c>
      <c r="O52" s="306">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0</v>
      </c>
      <c r="Y52" s="306">
        <v>0</v>
      </c>
      <c r="Z52" s="306">
        <f ca="1">-'GHG Emissions'!P44*$AU$20*$AU$22</f>
        <v>-873.44721017719871</v>
      </c>
      <c r="AA52" s="308">
        <f ca="1">-SUM(W52,X52/OFFSET(GridFootprintbyYear,$A52-$A$19,0)*EF_PurchElec_MTperMWh,Z52)*OFFSET(ExposureCalculations!Price_GHG_Allowance_2010,A52-$A$19,0)*ExposureCalculations!D49</f>
        <v>76997.740194707221</v>
      </c>
      <c r="AB52" s="308">
        <f t="shared" ca="1" si="3"/>
        <v>0</v>
      </c>
      <c r="AC52" s="308">
        <v>0</v>
      </c>
      <c r="AD52" s="819">
        <f t="shared" ca="1" si="4"/>
        <v>0</v>
      </c>
      <c r="AE52" s="308">
        <v>0</v>
      </c>
      <c r="AF52" s="819">
        <f t="shared" ca="1" si="5"/>
        <v>0</v>
      </c>
      <c r="AG52" s="308">
        <v>0</v>
      </c>
      <c r="AH52" s="308">
        <v>0</v>
      </c>
      <c r="AI52" s="308">
        <v>0</v>
      </c>
      <c r="AJ52" s="308">
        <f t="shared" ca="1" si="6"/>
        <v>0</v>
      </c>
      <c r="AK52" s="309">
        <v>0</v>
      </c>
      <c r="AL52" s="309">
        <v>0</v>
      </c>
      <c r="AM52" s="309">
        <f t="shared" si="19"/>
        <v>0</v>
      </c>
      <c r="AN52" s="310">
        <f t="shared" ca="1" si="20"/>
        <v>192217.97378950985</v>
      </c>
      <c r="AO52" s="310">
        <f t="shared" si="24"/>
        <v>0</v>
      </c>
      <c r="AP52" s="310">
        <f t="shared" ca="1" si="21"/>
        <v>192217.97378950985</v>
      </c>
      <c r="AQ52" s="309">
        <v>0</v>
      </c>
      <c r="AR52" s="311">
        <f t="shared" ca="1" si="7"/>
        <v>269215.71398421709</v>
      </c>
      <c r="AS52" s="870">
        <f t="shared" ca="1" si="22"/>
        <v>7062044.3590854378</v>
      </c>
      <c r="AT52" s="822"/>
      <c r="AU52" s="878"/>
      <c r="AV52" s="35"/>
      <c r="AW52" s="879"/>
      <c r="AX52" s="35"/>
      <c r="AY52" s="880"/>
      <c r="BL52">
        <v>2033</v>
      </c>
      <c r="BM52">
        <v>3.9399999999999999E-3</v>
      </c>
      <c r="BN52">
        <v>7.7633648320759164E-4</v>
      </c>
      <c r="BO52" s="123">
        <v>50413475.499954186</v>
      </c>
    </row>
    <row r="53" spans="1:67">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3"/>
        <v>0</v>
      </c>
      <c r="K53" s="307">
        <f t="shared" ca="1" si="10"/>
        <v>186396.86884543177</v>
      </c>
      <c r="L53" s="307">
        <f t="shared" si="11"/>
        <v>0</v>
      </c>
      <c r="M53" s="307">
        <v>0</v>
      </c>
      <c r="N53" s="307">
        <f t="shared" ca="1" si="12"/>
        <v>186396.86884543177</v>
      </c>
      <c r="O53" s="306">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0</v>
      </c>
      <c r="Y53" s="306">
        <v>0</v>
      </c>
      <c r="Z53" s="306">
        <f ca="1">-'GHG Emissions'!P45*$AU$20*$AU$22</f>
        <v>-874.01047613549053</v>
      </c>
      <c r="AA53" s="308">
        <f ca="1">-SUM(W53,X53/OFFSET(GridFootprintbyYear,$A53-$A$19,0)*EF_PurchElec_MTperMWh,Z53)*OFFSET(ExposureCalculations!Price_GHG_Allowance_2010,A53-$A$19,0)*ExposureCalculations!D50</f>
        <v>80667.549474717103</v>
      </c>
      <c r="AB53" s="308">
        <f t="shared" ca="1" si="3"/>
        <v>0</v>
      </c>
      <c r="AC53" s="308">
        <v>0</v>
      </c>
      <c r="AD53" s="819">
        <f t="shared" ca="1" si="4"/>
        <v>0</v>
      </c>
      <c r="AE53" s="308">
        <v>0</v>
      </c>
      <c r="AF53" s="819">
        <f t="shared" ca="1" si="5"/>
        <v>0</v>
      </c>
      <c r="AG53" s="308">
        <v>0</v>
      </c>
      <c r="AH53" s="308">
        <v>0</v>
      </c>
      <c r="AI53" s="308">
        <v>0</v>
      </c>
      <c r="AJ53" s="308">
        <f t="shared" ca="1" si="6"/>
        <v>0</v>
      </c>
      <c r="AK53" s="309">
        <v>0</v>
      </c>
      <c r="AL53" s="309">
        <v>0</v>
      </c>
      <c r="AM53" s="309">
        <f t="shared" si="19"/>
        <v>0</v>
      </c>
      <c r="AN53" s="310">
        <f t="shared" ca="1" si="20"/>
        <v>192341.9307269709</v>
      </c>
      <c r="AO53" s="310">
        <f t="shared" si="24"/>
        <v>0</v>
      </c>
      <c r="AP53" s="310">
        <f t="shared" ca="1" si="21"/>
        <v>192341.9307269709</v>
      </c>
      <c r="AQ53" s="309">
        <v>0</v>
      </c>
      <c r="AR53" s="311">
        <f t="shared" ca="1" si="7"/>
        <v>273009.48020168801</v>
      </c>
      <c r="AS53" s="870">
        <f t="shared" ca="1" si="22"/>
        <v>7335053.8392871255</v>
      </c>
      <c r="AT53" s="822"/>
      <c r="AU53" s="878"/>
      <c r="AV53" s="35"/>
      <c r="AW53" s="879"/>
      <c r="AX53" s="35"/>
      <c r="AY53" s="880"/>
      <c r="BL53">
        <v>2034</v>
      </c>
      <c r="BM53">
        <v>3.9399999999999999E-3</v>
      </c>
      <c r="BN53">
        <v>7.7633648320759164E-4</v>
      </c>
      <c r="BO53" s="123">
        <v>51421745.009953268</v>
      </c>
    </row>
    <row r="54" spans="1:67">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3"/>
        <v>0</v>
      </c>
      <c r="K54" s="307">
        <f t="shared" ca="1" si="10"/>
        <v>187973.49444628376</v>
      </c>
      <c r="L54" s="307">
        <f t="shared" si="11"/>
        <v>0</v>
      </c>
      <c r="M54" s="307">
        <v>0</v>
      </c>
      <c r="N54" s="307">
        <f t="shared" ca="1" si="12"/>
        <v>187973.49444628376</v>
      </c>
      <c r="O54" s="306">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0</v>
      </c>
      <c r="Y54" s="306">
        <v>0</v>
      </c>
      <c r="Z54" s="306">
        <f ca="1">-'GHG Emissions'!P46*$AU$20*$AU$22</f>
        <v>-874.56551790856349</v>
      </c>
      <c r="AA54" s="308">
        <f ca="1">-SUM(W54,X54/OFFSET(GridFootprintbyYear,$A54-$A$19,0)*EF_PurchElec_MTperMWh,Z54)*OFFSET(ExposureCalculations!Price_GHG_Allowance_2010,A54-$A$19,0)*ExposureCalculations!D51</f>
        <v>84871.421849185863</v>
      </c>
      <c r="AB54" s="308">
        <f t="shared" ca="1" si="3"/>
        <v>0</v>
      </c>
      <c r="AC54" s="308">
        <v>0</v>
      </c>
      <c r="AD54" s="819">
        <f t="shared" ca="1" si="4"/>
        <v>0</v>
      </c>
      <c r="AE54" s="308">
        <v>0</v>
      </c>
      <c r="AF54" s="819">
        <f t="shared" ca="1" si="5"/>
        <v>0</v>
      </c>
      <c r="AG54" s="308">
        <v>0</v>
      </c>
      <c r="AH54" s="308">
        <v>0</v>
      </c>
      <c r="AI54" s="308">
        <v>0</v>
      </c>
      <c r="AJ54" s="308">
        <f t="shared" ca="1" si="6"/>
        <v>0</v>
      </c>
      <c r="AK54" s="309">
        <v>0</v>
      </c>
      <c r="AL54" s="309">
        <v>0</v>
      </c>
      <c r="AM54" s="309">
        <f t="shared" si="19"/>
        <v>0</v>
      </c>
      <c r="AN54" s="310">
        <f t="shared" ca="1" si="20"/>
        <v>192464.07778262065</v>
      </c>
      <c r="AO54" s="310">
        <f t="shared" si="24"/>
        <v>0</v>
      </c>
      <c r="AP54" s="310">
        <f t="shared" ca="1" si="21"/>
        <v>192464.07778262065</v>
      </c>
      <c r="AQ54" s="309">
        <v>0</v>
      </c>
      <c r="AR54" s="311">
        <f t="shared" ca="1" si="7"/>
        <v>277335.49963180651</v>
      </c>
      <c r="AS54" s="870">
        <f t="shared" ca="1" si="22"/>
        <v>7612389.3389189318</v>
      </c>
      <c r="AT54" s="822"/>
      <c r="AU54" s="878"/>
      <c r="AV54" s="35"/>
      <c r="AW54" s="879"/>
      <c r="AX54" s="35"/>
      <c r="AY54" s="880"/>
      <c r="BL54">
        <v>2035</v>
      </c>
      <c r="BM54">
        <v>3.9399999999999999E-3</v>
      </c>
      <c r="BN54">
        <v>7.7633648320759164E-4</v>
      </c>
      <c r="BO54" s="123">
        <v>52450179.910152331</v>
      </c>
    </row>
    <row r="55" spans="1:67">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3"/>
        <v>0</v>
      </c>
      <c r="K55" s="307">
        <f t="shared" ca="1" si="10"/>
        <v>189550.12004713583</v>
      </c>
      <c r="L55" s="307">
        <f t="shared" si="11"/>
        <v>0</v>
      </c>
      <c r="M55" s="307">
        <v>0</v>
      </c>
      <c r="N55" s="307">
        <f t="shared" ca="1" si="12"/>
        <v>189550.12004713583</v>
      </c>
      <c r="O55" s="306">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0</v>
      </c>
      <c r="Y55" s="306">
        <v>0</v>
      </c>
      <c r="Z55" s="306">
        <f ca="1">-'GHG Emissions'!P47*$AU$20*$AU$22</f>
        <v>-875.11268555174433</v>
      </c>
      <c r="AA55" s="308">
        <f ca="1">-SUM(W55,X55/OFFSET(GridFootprintbyYear,$A55-$A$19,0)*EF_PurchElec_MTperMWh,Z55)*OFFSET(ExposureCalculations!Price_GHG_Allowance_2010,A55-$A$19,0)*ExposureCalculations!D52</f>
        <v>89358.771137774515</v>
      </c>
      <c r="AB55" s="308">
        <f t="shared" ca="1" si="3"/>
        <v>0</v>
      </c>
      <c r="AC55" s="308">
        <v>0</v>
      </c>
      <c r="AD55" s="819">
        <f t="shared" ca="1" si="4"/>
        <v>0</v>
      </c>
      <c r="AE55" s="308">
        <v>0</v>
      </c>
      <c r="AF55" s="819">
        <f t="shared" ca="1" si="5"/>
        <v>0</v>
      </c>
      <c r="AG55" s="308">
        <v>0</v>
      </c>
      <c r="AH55" s="308">
        <v>0</v>
      </c>
      <c r="AI55" s="308">
        <v>0</v>
      </c>
      <c r="AJ55" s="308">
        <f t="shared" ca="1" si="6"/>
        <v>0</v>
      </c>
      <c r="AK55" s="309">
        <v>0</v>
      </c>
      <c r="AL55" s="309">
        <v>0</v>
      </c>
      <c r="AM55" s="309">
        <f t="shared" si="19"/>
        <v>0</v>
      </c>
      <c r="AN55" s="310">
        <f t="shared" ca="1" si="20"/>
        <v>192584.49199251211</v>
      </c>
      <c r="AO55" s="310">
        <f t="shared" si="24"/>
        <v>0</v>
      </c>
      <c r="AP55" s="310">
        <f t="shared" ca="1" si="21"/>
        <v>192584.49199251211</v>
      </c>
      <c r="AQ55" s="309">
        <v>0</v>
      </c>
      <c r="AR55" s="311">
        <f t="shared" ca="1" si="7"/>
        <v>281943.26313028659</v>
      </c>
      <c r="AS55" s="870">
        <f t="shared" ca="1" si="22"/>
        <v>7894332.6020492185</v>
      </c>
      <c r="AT55" s="822"/>
      <c r="AU55" s="878"/>
      <c r="AV55" s="35"/>
      <c r="AW55" s="879"/>
      <c r="AX55" s="35"/>
      <c r="AY55" s="880"/>
      <c r="BL55">
        <v>2036</v>
      </c>
      <c r="BM55">
        <v>3.9399999999999999E-3</v>
      </c>
      <c r="BN55">
        <v>7.7633648320759164E-4</v>
      </c>
      <c r="BO55" s="123">
        <v>53499183.508355379</v>
      </c>
    </row>
    <row r="56" spans="1:67">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3"/>
        <v>0</v>
      </c>
      <c r="K56" s="307">
        <f t="shared" ca="1" si="10"/>
        <v>191126.74564798782</v>
      </c>
      <c r="L56" s="307">
        <f t="shared" si="11"/>
        <v>0</v>
      </c>
      <c r="M56" s="307">
        <v>0</v>
      </c>
      <c r="N56" s="307">
        <f t="shared" ca="1" si="12"/>
        <v>191126.74564798782</v>
      </c>
      <c r="O56" s="306">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0</v>
      </c>
      <c r="Y56" s="306">
        <v>0</v>
      </c>
      <c r="Z56" s="306">
        <f ca="1">-'GHG Emissions'!P48*$AU$20*$AU$22</f>
        <v>-875.65230497027721</v>
      </c>
      <c r="AA56" s="308">
        <f ca="1">-SUM(W56,X56/OFFSET(GridFootprintbyYear,$A56-$A$19,0)*EF_PurchElec_MTperMWh,Z56)*OFFSET(ExposureCalculations!Price_GHG_Allowance_2010,A56-$A$19,0)*ExposureCalculations!D53</f>
        <v>94164.975710355153</v>
      </c>
      <c r="AB56" s="308">
        <f t="shared" ca="1" si="3"/>
        <v>0</v>
      </c>
      <c r="AC56" s="308">
        <v>0</v>
      </c>
      <c r="AD56" s="819">
        <f t="shared" ca="1" si="4"/>
        <v>0</v>
      </c>
      <c r="AE56" s="308">
        <v>0</v>
      </c>
      <c r="AF56" s="819">
        <f t="shared" ca="1" si="5"/>
        <v>0</v>
      </c>
      <c r="AG56" s="308">
        <v>0</v>
      </c>
      <c r="AH56" s="308">
        <v>0</v>
      </c>
      <c r="AI56" s="308">
        <v>0</v>
      </c>
      <c r="AJ56" s="308">
        <f t="shared" ca="1" si="6"/>
        <v>0</v>
      </c>
      <c r="AK56" s="309">
        <v>0</v>
      </c>
      <c r="AL56" s="309">
        <v>0</v>
      </c>
      <c r="AM56" s="309">
        <f t="shared" si="19"/>
        <v>0</v>
      </c>
      <c r="AN56" s="310">
        <f t="shared" ca="1" si="20"/>
        <v>192703.24507803266</v>
      </c>
      <c r="AO56" s="310">
        <f t="shared" si="24"/>
        <v>0</v>
      </c>
      <c r="AP56" s="310">
        <f t="shared" ca="1" si="21"/>
        <v>192703.24507803266</v>
      </c>
      <c r="AQ56" s="309">
        <v>0</v>
      </c>
      <c r="AR56" s="311">
        <f t="shared" ca="1" si="7"/>
        <v>286868.22078838781</v>
      </c>
      <c r="AS56" s="870">
        <f t="shared" ca="1" si="22"/>
        <v>8181200.8228376061</v>
      </c>
      <c r="AT56" s="822"/>
      <c r="AU56" s="878"/>
      <c r="AV56" s="35"/>
      <c r="AW56" s="879"/>
      <c r="AX56" s="35"/>
      <c r="AY56" s="880"/>
      <c r="BL56">
        <v>2037</v>
      </c>
      <c r="BM56">
        <v>3.9399999999999999E-3</v>
      </c>
      <c r="BN56">
        <v>7.7633648320759164E-4</v>
      </c>
      <c r="BO56" s="123">
        <v>54569167.17852249</v>
      </c>
    </row>
    <row r="57" spans="1:67">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3"/>
        <v>0</v>
      </c>
      <c r="K57" s="307">
        <f t="shared" ca="1" si="10"/>
        <v>192703.37124883989</v>
      </c>
      <c r="L57" s="307">
        <f t="shared" si="11"/>
        <v>0</v>
      </c>
      <c r="M57" s="307">
        <v>0</v>
      </c>
      <c r="N57" s="307">
        <f t="shared" ca="1" si="12"/>
        <v>192703.37124883989</v>
      </c>
      <c r="O57" s="306">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0</v>
      </c>
      <c r="Y57" s="306">
        <v>0</v>
      </c>
      <c r="Z57" s="306">
        <f ca="1">-'GHG Emissions'!P49*$AU$20*$AU$22</f>
        <v>-876.18468018942747</v>
      </c>
      <c r="AA57" s="308">
        <f ca="1">-SUM(W57,X57/OFFSET(GridFootprintbyYear,$A57-$A$19,0)*EF_PurchElec_MTperMWh,Z57)*OFFSET(ExposureCalculations!Price_GHG_Allowance_2010,A57-$A$19,0)*ExposureCalculations!D54</f>
        <v>99328.42757734179</v>
      </c>
      <c r="AB57" s="308">
        <f t="shared" ca="1" si="3"/>
        <v>0</v>
      </c>
      <c r="AC57" s="308">
        <v>0</v>
      </c>
      <c r="AD57" s="819">
        <f t="shared" ca="1" si="4"/>
        <v>0</v>
      </c>
      <c r="AE57" s="308">
        <v>0</v>
      </c>
      <c r="AF57" s="819">
        <f t="shared" ca="1" si="5"/>
        <v>0</v>
      </c>
      <c r="AG57" s="308">
        <v>0</v>
      </c>
      <c r="AH57" s="308">
        <v>0</v>
      </c>
      <c r="AI57" s="308">
        <v>0</v>
      </c>
      <c r="AJ57" s="308">
        <f t="shared" ca="1" si="6"/>
        <v>0</v>
      </c>
      <c r="AK57" s="309">
        <v>0</v>
      </c>
      <c r="AL57" s="309">
        <v>0</v>
      </c>
      <c r="AM57" s="309">
        <f t="shared" si="19"/>
        <v>0</v>
      </c>
      <c r="AN57" s="310">
        <f t="shared" ca="1" si="20"/>
        <v>192820.40394548161</v>
      </c>
      <c r="AO57" s="310">
        <f t="shared" si="24"/>
        <v>0</v>
      </c>
      <c r="AP57" s="310">
        <f t="shared" ca="1" si="21"/>
        <v>192820.40394548161</v>
      </c>
      <c r="AQ57" s="309">
        <v>0</v>
      </c>
      <c r="AR57" s="311">
        <f t="shared" ca="1" si="7"/>
        <v>292148.83152282343</v>
      </c>
      <c r="AS57" s="870">
        <f t="shared" ca="1" si="22"/>
        <v>8473349.6543604303</v>
      </c>
      <c r="AT57" s="822"/>
      <c r="AU57" s="878"/>
      <c r="AV57" s="35"/>
      <c r="AW57" s="879"/>
      <c r="AX57" s="35"/>
      <c r="AY57" s="880"/>
      <c r="BL57">
        <v>2038</v>
      </c>
      <c r="BM57">
        <v>3.9399999999999999E-3</v>
      </c>
      <c r="BN57">
        <v>7.7633648320759164E-4</v>
      </c>
      <c r="BO57" s="123">
        <v>55660550.522092938</v>
      </c>
    </row>
    <row r="58" spans="1:67">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3"/>
        <v>0</v>
      </c>
      <c r="K58" s="307">
        <f t="shared" ca="1" si="10"/>
        <v>194279.99684969187</v>
      </c>
      <c r="L58" s="307">
        <f t="shared" si="11"/>
        <v>0</v>
      </c>
      <c r="M58" s="307">
        <v>0</v>
      </c>
      <c r="N58" s="307">
        <f t="shared" ca="1" si="12"/>
        <v>194279.99684969187</v>
      </c>
      <c r="O58" s="306">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0</v>
      </c>
      <c r="Y58" s="306">
        <v>0</v>
      </c>
      <c r="Z58" s="306">
        <f ca="1">-'GHG Emissions'!P50*$AU$20*$AU$22</f>
        <v>-876.71009535737846</v>
      </c>
      <c r="AA58" s="308">
        <f ca="1">-SUM(W58,X58/OFFSET(GridFootprintbyYear,$A58-$A$19,0)*EF_PurchElec_MTperMWh,Z58)*OFFSET(ExposureCalculations!Price_GHG_Allowance_2010,A58-$A$19,0)*ExposureCalculations!D55</f>
        <v>104890.23058209317</v>
      </c>
      <c r="AB58" s="308">
        <f t="shared" ca="1" si="3"/>
        <v>0</v>
      </c>
      <c r="AC58" s="308">
        <v>0</v>
      </c>
      <c r="AD58" s="819">
        <f t="shared" ca="1" si="4"/>
        <v>0</v>
      </c>
      <c r="AE58" s="308">
        <v>0</v>
      </c>
      <c r="AF58" s="819">
        <f t="shared" ca="1" si="5"/>
        <v>0</v>
      </c>
      <c r="AG58" s="308">
        <v>0</v>
      </c>
      <c r="AH58" s="308">
        <v>0</v>
      </c>
      <c r="AI58" s="308">
        <v>0</v>
      </c>
      <c r="AJ58" s="308">
        <f t="shared" ca="1" si="6"/>
        <v>0</v>
      </c>
      <c r="AK58" s="309">
        <v>0</v>
      </c>
      <c r="AL58" s="309">
        <v>0</v>
      </c>
      <c r="AM58" s="309">
        <f t="shared" si="19"/>
        <v>0</v>
      </c>
      <c r="AN58" s="310">
        <f t="shared" ca="1" si="20"/>
        <v>192936.03112684423</v>
      </c>
      <c r="AO58" s="310">
        <f t="shared" si="24"/>
        <v>0</v>
      </c>
      <c r="AP58" s="310">
        <f t="shared" ca="1" si="21"/>
        <v>192936.03112684423</v>
      </c>
      <c r="AQ58" s="309">
        <v>0</v>
      </c>
      <c r="AR58" s="311">
        <f t="shared" ca="1" si="7"/>
        <v>297826.26170893741</v>
      </c>
      <c r="AS58" s="870">
        <f t="shared" ca="1" si="22"/>
        <v>8771175.9160693679</v>
      </c>
      <c r="AT58" s="822"/>
      <c r="AU58" s="878"/>
      <c r="AV58" s="35"/>
      <c r="AW58" s="879"/>
      <c r="AX58" s="35"/>
      <c r="AY58" s="880"/>
      <c r="BL58">
        <v>2039</v>
      </c>
      <c r="BM58">
        <v>3.9399999999999999E-3</v>
      </c>
      <c r="BN58">
        <v>7.7633648320759164E-4</v>
      </c>
      <c r="BO58" s="123">
        <v>56773761.5325348</v>
      </c>
    </row>
    <row r="59" spans="1:67">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3"/>
        <v>0</v>
      </c>
      <c r="K59" s="307">
        <f t="shared" ca="1" si="10"/>
        <v>195856.62245054395</v>
      </c>
      <c r="L59" s="307">
        <f t="shared" si="11"/>
        <v>0</v>
      </c>
      <c r="M59" s="307">
        <v>0</v>
      </c>
      <c r="N59" s="307">
        <f t="shared" ca="1" si="12"/>
        <v>195856.62245054395</v>
      </c>
      <c r="O59" s="306">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0</v>
      </c>
      <c r="Y59" s="306">
        <v>0</v>
      </c>
      <c r="Z59" s="306">
        <f ca="1">-'GHG Emissions'!P51*$AU$20*$AU$22</f>
        <v>-877.22881651838861</v>
      </c>
      <c r="AA59" s="308">
        <f ca="1">-SUM(W59,X59/OFFSET(GridFootprintbyYear,$A59-$A$19,0)*EF_PurchElec_MTperMWh,Z59)*OFFSET(ExposureCalculations!Price_GHG_Allowance_2010,A59-$A$19,0)*ExposureCalculations!D56</f>
        <v>110893.90177610972</v>
      </c>
      <c r="AB59" s="308">
        <f t="shared" ca="1" si="3"/>
        <v>0</v>
      </c>
      <c r="AC59" s="308">
        <v>0</v>
      </c>
      <c r="AD59" s="819">
        <f t="shared" ca="1" si="4"/>
        <v>0</v>
      </c>
      <c r="AE59" s="308">
        <v>0</v>
      </c>
      <c r="AF59" s="819">
        <f t="shared" ca="1" si="5"/>
        <v>0</v>
      </c>
      <c r="AG59" s="308">
        <v>0</v>
      </c>
      <c r="AH59" s="308">
        <v>0</v>
      </c>
      <c r="AI59" s="308">
        <v>0</v>
      </c>
      <c r="AJ59" s="308">
        <f t="shared" ca="1" si="6"/>
        <v>0</v>
      </c>
      <c r="AK59" s="309">
        <v>0</v>
      </c>
      <c r="AL59" s="309">
        <v>0</v>
      </c>
      <c r="AM59" s="309">
        <f t="shared" si="19"/>
        <v>0</v>
      </c>
      <c r="AN59" s="310">
        <f t="shared" ca="1" si="20"/>
        <v>193050.18517000714</v>
      </c>
      <c r="AO59" s="310">
        <f t="shared" si="24"/>
        <v>0</v>
      </c>
      <c r="AP59" s="310">
        <f t="shared" ca="1" si="21"/>
        <v>193050.18517000714</v>
      </c>
      <c r="AQ59" s="309">
        <v>0</v>
      </c>
      <c r="AR59" s="311">
        <f t="shared" ca="1" si="7"/>
        <v>303944.08694611688</v>
      </c>
      <c r="AS59" s="870">
        <f t="shared" ca="1" si="22"/>
        <v>9075120.0030154847</v>
      </c>
      <c r="AT59" s="823"/>
      <c r="AU59" s="881"/>
      <c r="AV59" s="882"/>
      <c r="AW59" s="883"/>
      <c r="AX59" s="882"/>
      <c r="AY59" s="884"/>
      <c r="BL59">
        <v>2040</v>
      </c>
      <c r="BM59">
        <v>3.9399999999999999E-3</v>
      </c>
      <c r="BN59">
        <v>7.7633648320759164E-4</v>
      </c>
      <c r="BO59" s="123">
        <v>57909236.763185501</v>
      </c>
    </row>
    <row r="60" spans="1:67">
      <c r="AJ60" s="264"/>
      <c r="BL60">
        <v>2041</v>
      </c>
      <c r="BM60">
        <v>3.9399999999999999E-3</v>
      </c>
      <c r="BN60">
        <v>7.7633648320759164E-4</v>
      </c>
      <c r="BO60" s="123">
        <v>59067421.498449214</v>
      </c>
    </row>
    <row r="61" spans="1:67">
      <c r="AJ61" s="264"/>
      <c r="BL61">
        <v>2042</v>
      </c>
      <c r="BM61">
        <v>3.9399999999999999E-3</v>
      </c>
      <c r="BN61">
        <v>7.7633648320759164E-4</v>
      </c>
      <c r="BO61" s="123">
        <v>60248769.928418197</v>
      </c>
    </row>
    <row r="62" spans="1:67">
      <c r="AJ62" s="264"/>
      <c r="BL62">
        <v>2043</v>
      </c>
      <c r="BM62">
        <v>3.9399999999999999E-3</v>
      </c>
      <c r="BN62">
        <v>7.7633648320759164E-4</v>
      </c>
      <c r="BO62" s="123">
        <v>61453745.326986559</v>
      </c>
    </row>
    <row r="63" spans="1:67">
      <c r="AJ63" s="264"/>
      <c r="BL63">
        <v>2044</v>
      </c>
      <c r="BM63">
        <v>3.9399999999999999E-3</v>
      </c>
      <c r="BN63">
        <v>7.7633648320759164E-4</v>
      </c>
      <c r="BO63" s="123">
        <v>62682820.233526289</v>
      </c>
    </row>
    <row r="64" spans="1:67">
      <c r="AJ64" s="264"/>
      <c r="BL64">
        <v>2045</v>
      </c>
      <c r="BM64">
        <v>3.9399999999999999E-3</v>
      </c>
      <c r="BN64">
        <v>7.7633648320759164E-4</v>
      </c>
      <c r="BO64" s="123">
        <v>63936476.638196819</v>
      </c>
    </row>
    <row r="65" spans="36:67">
      <c r="AJ65" s="264"/>
      <c r="BL65">
        <v>2046</v>
      </c>
      <c r="BM65">
        <v>3.9399999999999999E-3</v>
      </c>
      <c r="BN65">
        <v>7.7633648320759164E-4</v>
      </c>
      <c r="BO65" s="123">
        <v>65215206.170960754</v>
      </c>
    </row>
    <row r="66" spans="36:67">
      <c r="AJ66" s="264"/>
      <c r="BL66">
        <v>2047</v>
      </c>
      <c r="BM66">
        <v>3.9399999999999999E-3</v>
      </c>
      <c r="BN66">
        <v>7.7633648320759164E-4</v>
      </c>
      <c r="BO66" s="123">
        <v>66519510.294379972</v>
      </c>
    </row>
    <row r="67" spans="36:67">
      <c r="AJ67" s="264"/>
      <c r="BL67">
        <v>2048</v>
      </c>
      <c r="BM67">
        <v>3.9399999999999999E-3</v>
      </c>
      <c r="BN67">
        <v>7.7633648320759164E-4</v>
      </c>
      <c r="BO67" s="123">
        <v>67849900.500267565</v>
      </c>
    </row>
    <row r="68" spans="36:67">
      <c r="AJ68" s="264"/>
      <c r="BL68">
        <v>2049</v>
      </c>
      <c r="BM68">
        <v>3.9399999999999999E-3</v>
      </c>
      <c r="BN68">
        <v>7.7633648320759164E-4</v>
      </c>
      <c r="BO68" s="123">
        <v>69206898.51027292</v>
      </c>
    </row>
    <row r="69" spans="36:67">
      <c r="AJ69" s="264"/>
      <c r="BL69">
        <v>2050</v>
      </c>
      <c r="BM69">
        <v>3.9399999999999999E-3</v>
      </c>
      <c r="BN69">
        <v>7.7633648320759164E-4</v>
      </c>
      <c r="BO69" s="123">
        <v>70591036.480478376</v>
      </c>
    </row>
    <row r="70" spans="36:67">
      <c r="AJ70" s="264"/>
      <c r="BL70">
        <v>2051</v>
      </c>
      <c r="BM70">
        <v>3.9399999999999999E-3</v>
      </c>
      <c r="BN70">
        <v>7.7633648320759164E-4</v>
      </c>
      <c r="BO70" s="123">
        <v>72002857.21008794</v>
      </c>
    </row>
    <row r="71" spans="36:67">
      <c r="AJ71" s="264"/>
      <c r="BL71">
        <v>2052</v>
      </c>
      <c r="BM71">
        <v>3.9399999999999999E-3</v>
      </c>
      <c r="BN71">
        <v>7.7633648320759164E-4</v>
      </c>
      <c r="BO71" s="123">
        <v>73442914.354289696</v>
      </c>
    </row>
    <row r="72" spans="36:67">
      <c r="AJ72" s="264"/>
      <c r="BL72">
        <v>2053</v>
      </c>
      <c r="BM72">
        <v>3.9399999999999999E-3</v>
      </c>
      <c r="BN72">
        <v>7.7633648320759164E-4</v>
      </c>
      <c r="BO72" s="123">
        <v>74911772.641375497</v>
      </c>
    </row>
    <row r="73" spans="36:67">
      <c r="AJ73" s="264"/>
      <c r="BL73">
        <v>2054</v>
      </c>
      <c r="BM73">
        <v>3.9399999999999999E-3</v>
      </c>
      <c r="BN73">
        <v>7.7633648320759164E-4</v>
      </c>
      <c r="BO73" s="123">
        <v>76410008.09420301</v>
      </c>
    </row>
    <row r="74" spans="36:67">
      <c r="AJ74" s="264"/>
      <c r="BL74">
        <v>2055</v>
      </c>
      <c r="BM74">
        <v>3.9399999999999999E-3</v>
      </c>
      <c r="BN74">
        <v>7.7633648320759164E-4</v>
      </c>
      <c r="BO74" s="123">
        <v>77938208.256087065</v>
      </c>
    </row>
    <row r="75" spans="36:67">
      <c r="AJ75" s="264"/>
      <c r="BL75">
        <v>2056</v>
      </c>
      <c r="BM75">
        <v>3.9399999999999999E-3</v>
      </c>
      <c r="BN75">
        <v>7.7633648320759164E-4</v>
      </c>
      <c r="BO75" s="123">
        <v>79496972.421208814</v>
      </c>
    </row>
    <row r="76" spans="36:67">
      <c r="AJ76" s="264"/>
      <c r="BL76">
        <v>2057</v>
      </c>
      <c r="BM76">
        <v>3.9399999999999999E-3</v>
      </c>
      <c r="BN76">
        <v>7.7633648320759164E-4</v>
      </c>
      <c r="BO76" s="123">
        <v>81086911.869632989</v>
      </c>
    </row>
    <row r="77" spans="36:67">
      <c r="AJ77" s="264"/>
      <c r="BL77">
        <v>2058</v>
      </c>
      <c r="BM77">
        <v>3.9399999999999999E-3</v>
      </c>
      <c r="BN77">
        <v>7.7633648320759164E-4</v>
      </c>
      <c r="BO77" s="123">
        <v>82708650.107025653</v>
      </c>
    </row>
    <row r="78" spans="36:67">
      <c r="AJ78" s="264"/>
      <c r="BL78">
        <v>2059</v>
      </c>
      <c r="BM78">
        <v>3.9399999999999999E-3</v>
      </c>
      <c r="BN78">
        <v>7.7633648320759164E-4</v>
      </c>
      <c r="BO78" s="123">
        <v>84362823.10916616</v>
      </c>
    </row>
    <row r="79" spans="36:67">
      <c r="AJ79" s="264"/>
      <c r="BL79">
        <v>2060</v>
      </c>
      <c r="BM79">
        <v>3.9399999999999999E-3</v>
      </c>
      <c r="BN79">
        <v>7.7633648320759164E-4</v>
      </c>
      <c r="BO79" s="123">
        <v>86050079.571349487</v>
      </c>
    </row>
    <row r="80" spans="36:67">
      <c r="AJ80" s="264"/>
      <c r="BL80" t="s">
        <v>2984</v>
      </c>
      <c r="BM80">
        <v>5</v>
      </c>
    </row>
    <row r="81" spans="36:64">
      <c r="AJ81" s="264"/>
    </row>
    <row r="82" spans="36:64">
      <c r="AJ82" s="264"/>
      <c r="BL82" t="s">
        <v>2985</v>
      </c>
    </row>
    <row r="83" spans="36:64">
      <c r="AJ83" s="264"/>
    </row>
    <row r="84" spans="36:64">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 ref="BC18" r:id="rId1"/>
    <hyperlink ref="BC21" r:id="rId2"/>
  </hyperlinks>
  <pageMargins left="0.7" right="0.7" top="0.75" bottom="0.75" header="0.3" footer="0.3"/>
  <pageSetup orientation="portrait" r:id="rId3"/>
  <drawing r:id="rId4"/>
</worksheet>
</file>

<file path=xl/worksheets/sheet54.xml><?xml version="1.0" encoding="utf-8"?>
<worksheet xmlns="http://schemas.openxmlformats.org/spreadsheetml/2006/main" xmlns:r="http://schemas.openxmlformats.org/officeDocument/2006/relationships">
  <sheetPr codeName="Sheet49">
    <tabColor rgb="FFA9DA74"/>
  </sheetPr>
  <dimension ref="A1:AY84"/>
  <sheetViews>
    <sheetView workbookViewId="0">
      <pane xSplit="1" topLeftCell="B1" activePane="topRight" state="frozen"/>
      <selection activeCell="K14" sqref="K14"/>
      <selection pane="topRight" activeCell="O3" sqref="O3:O7"/>
    </sheetView>
  </sheetViews>
  <sheetFormatPr defaultRowHeight="15"/>
  <cols>
    <col min="11" max="11" width="12" customWidth="1"/>
    <col min="12" max="12" width="12.85546875" customWidth="1"/>
    <col min="13" max="13" width="12.42578125" customWidth="1"/>
    <col min="15" max="15" width="10" bestFit="1" customWidth="1"/>
    <col min="35" max="36" width="13" customWidth="1"/>
    <col min="40" max="40" width="12.42578125" customWidth="1"/>
    <col min="41" max="42" width="10" bestFit="1" customWidth="1"/>
    <col min="44" max="44" width="10.85546875" customWidth="1"/>
    <col min="45" max="45" width="11.5703125" bestFit="1" customWidth="1"/>
    <col min="46" max="46" width="1.7109375" customWidth="1"/>
    <col min="51" max="51" width="10.5703125" customWidth="1"/>
  </cols>
  <sheetData>
    <row r="1" spans="1:50" ht="60">
      <c r="C1" s="257" t="s">
        <v>226</v>
      </c>
      <c r="D1" s="258" t="s">
        <v>968</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2010</v>
      </c>
      <c r="E2" s="266"/>
      <c r="J2" s="267" t="s">
        <v>231</v>
      </c>
      <c r="K2" s="268">
        <f ca="1">NPV(DiscountRate,AA19:AA59)</f>
        <v>0</v>
      </c>
      <c r="L2" s="269">
        <f ca="1">-SUM(OFFSET(W19,0,0,M2-2010+1,4))</f>
        <v>56726.464338878817</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0</v>
      </c>
      <c r="L3" s="277" t="s">
        <v>235</v>
      </c>
      <c r="M3" s="278">
        <f ca="1">-SUM(OFFSET(W19,M2-2010,0,1,4))</f>
        <v>1644.9919849094142</v>
      </c>
      <c r="N3" s="272"/>
      <c r="O3" s="1496">
        <f ca="1">AVERAGE(OFFSET(AJ19,0,0,$M$2-2010+1,1))</f>
        <v>0</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1383.5723009482638</v>
      </c>
      <c r="M4" s="281">
        <f ca="1">-SUM(OFFSET(W19,M2-2010,0,1,4))/SUM(OFFSET(ExposureCalculations!G16,M2-2010,0,1,3))</f>
        <v>1.5045687376317384E-3</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941</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-2184341.8807482258</v>
      </c>
      <c r="L7" s="272" t="s">
        <v>1487</v>
      </c>
      <c r="M7" s="272"/>
      <c r="N7" s="272"/>
      <c r="O7" s="1496">
        <f ca="1">AVERAGE(OFFSET(AO19,0,0,$M$2-2010+1,1))</f>
        <v>-157411.58536585365</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-2184341.8807482258</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t="str">
        <f ca="1">IFERROR((K8-K5)/-K5,"No Capital")</f>
        <v>No Capital</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t="str">
        <f ca="1">IFERROR(COUNTIF(AS19:AS59,"&lt;=0")+1-INDEX(AS19:AS59,COUNTIF(AS19:AS59,"&lt;=0")+1)/INDEX(AR19:AR59,COUNTIF(AS19:AS59,"&lt;=0")+1)-(D2-2010),"Check Calc")</f>
        <v>Check Calc</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-2184341.8807482258</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123.79174629217583</v>
      </c>
      <c r="L13" s="915"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0</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1"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row>
    <row r="18" spans="1:51">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row>
    <row r="19" spans="1:51">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878"/>
      <c r="AV19" s="879"/>
      <c r="AW19" s="879"/>
      <c r="AX19" s="35"/>
      <c r="AY19" s="880"/>
    </row>
    <row r="20" spans="1:51">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v>0</v>
      </c>
      <c r="N20" s="307">
        <f t="shared" ref="N20:N59" ca="1" si="12">K20+L20</f>
        <v>130129.26073503707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1265">
        <v>0.1</v>
      </c>
      <c r="AV20" s="35" t="s">
        <v>1483</v>
      </c>
      <c r="AW20" s="879"/>
      <c r="AX20" s="35"/>
      <c r="AY20" s="880"/>
    </row>
    <row r="21" spans="1:51">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2">-H21*I21</f>
        <v>0</v>
      </c>
      <c r="K21" s="307">
        <f t="shared" ca="1" si="10"/>
        <v>133825.36797702796</v>
      </c>
      <c r="L21" s="307">
        <f t="shared" si="11"/>
        <v>0</v>
      </c>
      <c r="M21" s="307">
        <v>0</v>
      </c>
      <c r="N21" s="307">
        <f t="shared" ca="1" si="12"/>
        <v>133825.36797702796</v>
      </c>
      <c r="O21" s="306">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0</v>
      </c>
      <c r="Y21" s="306">
        <f ca="1">-SUM('GHG Emissions'!N12:O12)*$AU$20/10</f>
        <v>-162.81643397406458</v>
      </c>
      <c r="Z21" s="306">
        <v>0</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v>0</v>
      </c>
      <c r="AM21" s="309">
        <f t="shared" si="19"/>
        <v>0</v>
      </c>
      <c r="AN21" s="310">
        <v>0</v>
      </c>
      <c r="AO21" s="310">
        <f>(-$AU$23*$AU$24/10)*(A21-$A$20)-$AU$26</f>
        <v>-102475</v>
      </c>
      <c r="AP21" s="310">
        <f t="shared" si="20"/>
        <v>-102475</v>
      </c>
      <c r="AQ21" s="309">
        <v>0</v>
      </c>
      <c r="AR21" s="311">
        <f t="shared" ca="1" si="7"/>
        <v>-102475</v>
      </c>
      <c r="AS21" s="870">
        <f t="shared" ca="1" si="21"/>
        <v>-102475</v>
      </c>
      <c r="AT21" s="822"/>
      <c r="AU21" s="878"/>
      <c r="AV21" s="35" t="s">
        <v>1484</v>
      </c>
      <c r="AW21" s="879"/>
      <c r="AX21" s="35"/>
      <c r="AY21" s="880"/>
    </row>
    <row r="22" spans="1:51">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2"/>
        <v>0</v>
      </c>
      <c r="K22" s="307">
        <f t="shared" ca="1" si="10"/>
        <v>135980.03402546333</v>
      </c>
      <c r="L22" s="307">
        <f t="shared" si="11"/>
        <v>0</v>
      </c>
      <c r="M22" s="307">
        <v>0</v>
      </c>
      <c r="N22" s="307">
        <f t="shared" ca="1" si="12"/>
        <v>135980.03402546333</v>
      </c>
      <c r="O22" s="306">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0</v>
      </c>
      <c r="Y22" s="306">
        <f ca="1">-SUM('GHG Emissions'!N13:O13)*$AU$20/10+Y21</f>
        <v>-326.1924377394069</v>
      </c>
      <c r="Z22" s="306">
        <v>0</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v>0</v>
      </c>
      <c r="AM22" s="309">
        <f t="shared" si="19"/>
        <v>0</v>
      </c>
      <c r="AN22" s="310">
        <v>0</v>
      </c>
      <c r="AO22" s="310">
        <f>(-$AU$23*$AU$24/10)*(A22-$A$20)-$AU$26</f>
        <v>-104950</v>
      </c>
      <c r="AP22" s="310">
        <f t="shared" si="20"/>
        <v>-104950</v>
      </c>
      <c r="AQ22" s="309">
        <v>0</v>
      </c>
      <c r="AR22" s="311">
        <f t="shared" ca="1" si="7"/>
        <v>-104950</v>
      </c>
      <c r="AS22" s="870">
        <f t="shared" ca="1" si="21"/>
        <v>-207425</v>
      </c>
      <c r="AT22" s="822"/>
      <c r="AU22" s="878"/>
      <c r="AV22" s="35"/>
      <c r="AW22" s="879"/>
      <c r="AX22" s="35"/>
      <c r="AY22" s="880"/>
    </row>
    <row r="23" spans="1:51">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2"/>
        <v>0</v>
      </c>
      <c r="K23" s="307">
        <f t="shared" ca="1" si="10"/>
        <v>137556.65962631535</v>
      </c>
      <c r="L23" s="307">
        <f t="shared" si="11"/>
        <v>0</v>
      </c>
      <c r="M23" s="307">
        <v>0</v>
      </c>
      <c r="N23" s="307">
        <f t="shared" ca="1" si="12"/>
        <v>137556.65962631535</v>
      </c>
      <c r="O23" s="306">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0</v>
      </c>
      <c r="Y23" s="306">
        <f ca="1">-SUM('GHG Emissions'!N14:O14)*$AU$20/10+Y22</f>
        <v>-489.99756396934276</v>
      </c>
      <c r="Z23" s="306">
        <v>0</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v>0</v>
      </c>
      <c r="AM23" s="309">
        <f t="shared" si="19"/>
        <v>0</v>
      </c>
      <c r="AN23" s="310">
        <v>0</v>
      </c>
      <c r="AO23" s="310">
        <f>(-$AU$23*$AU$24/10)*(A23-$A$20)-$AU$26</f>
        <v>-107425</v>
      </c>
      <c r="AP23" s="310">
        <f t="shared" si="20"/>
        <v>-107425</v>
      </c>
      <c r="AQ23" s="309">
        <v>0</v>
      </c>
      <c r="AR23" s="311">
        <f t="shared" ca="1" si="7"/>
        <v>-107425</v>
      </c>
      <c r="AS23" s="870">
        <f t="shared" ca="1" si="21"/>
        <v>-314850</v>
      </c>
      <c r="AT23" s="822"/>
      <c r="AU23" s="1261">
        <f>AVERAGE(45,135)</f>
        <v>90</v>
      </c>
      <c r="AV23" s="35" t="s">
        <v>1485</v>
      </c>
      <c r="AW23" s="879"/>
      <c r="AX23" s="35"/>
      <c r="AY23" s="880"/>
    </row>
    <row r="24" spans="1:51">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2"/>
        <v>0</v>
      </c>
      <c r="K24" s="307">
        <f t="shared" ca="1" si="10"/>
        <v>140674.7264207229</v>
      </c>
      <c r="L24" s="307">
        <f t="shared" si="11"/>
        <v>0</v>
      </c>
      <c r="M24" s="307">
        <v>0</v>
      </c>
      <c r="N24" s="307">
        <f t="shared" ca="1" si="12"/>
        <v>140674.7264207229</v>
      </c>
      <c r="O24" s="306">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0</v>
      </c>
      <c r="Y24" s="306">
        <f ca="1">-SUM('GHG Emissions'!N15:O15)*$AU$20/10+Y23</f>
        <v>-654.16428845085125</v>
      </c>
      <c r="Z24" s="306">
        <v>0</v>
      </c>
      <c r="AA24" s="308">
        <f ca="1">-SUM(W24,X24/OFFSET(GridFootprintbyYear,$A24-$A$19,0)*EF_PurchElec_MTperMWh,Z24)*OFFSET(ExposureCalculations!Price_GHG_Allowance_2010,A24-$A$19,0)*ExposureCalculations!D21</f>
        <v>0</v>
      </c>
      <c r="AB24" s="308">
        <f t="shared" ca="1" si="3"/>
        <v>0</v>
      </c>
      <c r="AC24" s="308">
        <v>0</v>
      </c>
      <c r="AD24" s="819">
        <f t="shared" ca="1" si="4"/>
        <v>0</v>
      </c>
      <c r="AE24" s="308">
        <v>0</v>
      </c>
      <c r="AF24" s="819">
        <f t="shared" ca="1" si="5"/>
        <v>0</v>
      </c>
      <c r="AG24" s="308">
        <v>0</v>
      </c>
      <c r="AH24" s="308">
        <v>0</v>
      </c>
      <c r="AI24" s="308">
        <v>0</v>
      </c>
      <c r="AJ24" s="308">
        <f t="shared" ca="1" si="6"/>
        <v>0</v>
      </c>
      <c r="AK24" s="309">
        <v>0</v>
      </c>
      <c r="AL24" s="309">
        <v>0</v>
      </c>
      <c r="AM24" s="309">
        <f t="shared" si="19"/>
        <v>0</v>
      </c>
      <c r="AN24" s="310">
        <v>0</v>
      </c>
      <c r="AO24" s="310">
        <f>(-$AU$23*$AU$24/10)*(A24-$A$20)-$AU$26</f>
        <v>-109900</v>
      </c>
      <c r="AP24" s="310">
        <f t="shared" si="20"/>
        <v>-109900</v>
      </c>
      <c r="AQ24" s="309">
        <v>0</v>
      </c>
      <c r="AR24" s="311">
        <f t="shared" ca="1" si="7"/>
        <v>-109900</v>
      </c>
      <c r="AS24" s="870">
        <f t="shared" ca="1" si="21"/>
        <v>-424750</v>
      </c>
      <c r="AT24" s="822"/>
      <c r="AU24" s="878">
        <f>5500*0.05</f>
        <v>275</v>
      </c>
      <c r="AV24" s="827" t="s">
        <v>1486</v>
      </c>
      <c r="AW24" s="879"/>
      <c r="AX24" s="35"/>
      <c r="AY24" s="880"/>
    </row>
    <row r="25" spans="1:51">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2"/>
        <v>0</v>
      </c>
      <c r="K25" s="307">
        <f t="shared" ca="1" si="10"/>
        <v>142251.35202157494</v>
      </c>
      <c r="L25" s="307">
        <f t="shared" si="11"/>
        <v>0</v>
      </c>
      <c r="M25" s="307">
        <v>0</v>
      </c>
      <c r="N25" s="307">
        <f t="shared" ca="1" si="12"/>
        <v>142251.35202157494</v>
      </c>
      <c r="O25" s="306">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0</v>
      </c>
      <c r="Y25" s="306">
        <f ca="1">-SUM('GHG Emissions'!N16:O16)*$AU$20/10+Y24</f>
        <v>-818.64945967225867</v>
      </c>
      <c r="Z25" s="306">
        <v>0</v>
      </c>
      <c r="AA25" s="308">
        <f ca="1">-SUM(W25,X25/OFFSET(GridFootprintbyYear,$A25-$A$19,0)*EF_PurchElec_MTperMWh,Z25)*OFFSET(ExposureCalculations!Price_GHG_Allowance_2010,A25-$A$19,0)*ExposureCalculations!D22</f>
        <v>0</v>
      </c>
      <c r="AB25" s="308">
        <f t="shared" ca="1" si="3"/>
        <v>0</v>
      </c>
      <c r="AC25" s="308">
        <v>0</v>
      </c>
      <c r="AD25" s="819">
        <f t="shared" ca="1" si="4"/>
        <v>0</v>
      </c>
      <c r="AE25" s="308">
        <v>0</v>
      </c>
      <c r="AF25" s="819">
        <f t="shared" ca="1" si="5"/>
        <v>0</v>
      </c>
      <c r="AG25" s="308">
        <v>0</v>
      </c>
      <c r="AH25" s="308">
        <v>0</v>
      </c>
      <c r="AI25" s="308">
        <v>0</v>
      </c>
      <c r="AJ25" s="308">
        <f t="shared" ca="1" si="6"/>
        <v>0</v>
      </c>
      <c r="AK25" s="309">
        <v>0</v>
      </c>
      <c r="AL25" s="309">
        <v>0</v>
      </c>
      <c r="AM25" s="309">
        <f t="shared" si="19"/>
        <v>0</v>
      </c>
      <c r="AN25" s="310">
        <v>0</v>
      </c>
      <c r="AO25" s="310">
        <f>(-$AU$23*$AU$24/10)*(A25-$A$20)-$AU$26</f>
        <v>-112375</v>
      </c>
      <c r="AP25" s="310">
        <f t="shared" si="20"/>
        <v>-112375</v>
      </c>
      <c r="AQ25" s="309">
        <v>0</v>
      </c>
      <c r="AR25" s="311">
        <f t="shared" ca="1" si="7"/>
        <v>-112375</v>
      </c>
      <c r="AS25" s="870">
        <f t="shared" ca="1" si="21"/>
        <v>-537125</v>
      </c>
      <c r="AT25" s="822"/>
      <c r="AU25" s="878"/>
      <c r="AV25" s="35"/>
      <c r="AW25" s="879"/>
      <c r="AX25" s="35"/>
      <c r="AY25" s="880"/>
    </row>
    <row r="26" spans="1:51">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2"/>
        <v>0</v>
      </c>
      <c r="K26" s="307">
        <f t="shared" ca="1" si="10"/>
        <v>143827.97762242699</v>
      </c>
      <c r="L26" s="307">
        <f t="shared" si="11"/>
        <v>0</v>
      </c>
      <c r="M26" s="307">
        <v>0</v>
      </c>
      <c r="N26" s="307">
        <f t="shared" ca="1" si="12"/>
        <v>143827.97762242699</v>
      </c>
      <c r="O26" s="306">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0</v>
      </c>
      <c r="Y26" s="306">
        <f ca="1">-SUM('GHG Emissions'!N17:O17)*$AU$20/10+Y25</f>
        <v>-983.42242590882825</v>
      </c>
      <c r="Z26" s="306">
        <v>0</v>
      </c>
      <c r="AA26" s="308">
        <f ca="1">-SUM(W26,X26/OFFSET(GridFootprintbyYear,$A26-$A$19,0)*EF_PurchElec_MTperMWh,Z26)*OFFSET(ExposureCalculations!Price_GHG_Allowance_2010,A26-$A$19,0)*ExposureCalculations!D23</f>
        <v>0</v>
      </c>
      <c r="AB26" s="308">
        <f t="shared" ca="1" si="3"/>
        <v>0</v>
      </c>
      <c r="AC26" s="308">
        <v>0</v>
      </c>
      <c r="AD26" s="819">
        <f t="shared" ca="1" si="4"/>
        <v>0</v>
      </c>
      <c r="AE26" s="308">
        <v>0</v>
      </c>
      <c r="AF26" s="819">
        <f t="shared" ca="1" si="5"/>
        <v>0</v>
      </c>
      <c r="AG26" s="308">
        <v>0</v>
      </c>
      <c r="AH26" s="308">
        <v>0</v>
      </c>
      <c r="AI26" s="308">
        <v>0</v>
      </c>
      <c r="AJ26" s="308">
        <f t="shared" ca="1" si="6"/>
        <v>0</v>
      </c>
      <c r="AK26" s="309">
        <v>0</v>
      </c>
      <c r="AL26" s="309">
        <v>0</v>
      </c>
      <c r="AM26" s="309">
        <f t="shared" si="19"/>
        <v>0</v>
      </c>
      <c r="AN26" s="310">
        <v>0</v>
      </c>
      <c r="AO26" s="310">
        <f>(-$AU$23*$AU$24/10)*(A26-$A$20)-$AU$27</f>
        <v>-164850</v>
      </c>
      <c r="AP26" s="310">
        <f t="shared" si="20"/>
        <v>-164850</v>
      </c>
      <c r="AQ26" s="309">
        <v>0</v>
      </c>
      <c r="AR26" s="311">
        <f t="shared" ca="1" si="7"/>
        <v>-164850</v>
      </c>
      <c r="AS26" s="870">
        <f t="shared" ca="1" si="21"/>
        <v>-701975</v>
      </c>
      <c r="AT26" s="822"/>
      <c r="AU26" s="1261">
        <v>100000</v>
      </c>
      <c r="AV26" s="827" t="s">
        <v>1525</v>
      </c>
      <c r="AW26" s="879"/>
      <c r="AX26" s="35"/>
      <c r="AY26" s="880"/>
    </row>
    <row r="27" spans="1:51">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2"/>
        <v>0</v>
      </c>
      <c r="K27" s="307">
        <f t="shared" ca="1" si="10"/>
        <v>145404.603223279</v>
      </c>
      <c r="L27" s="307">
        <f t="shared" si="11"/>
        <v>0</v>
      </c>
      <c r="M27" s="307">
        <v>0</v>
      </c>
      <c r="N27" s="307">
        <f t="shared" ca="1" si="12"/>
        <v>145404.603223279</v>
      </c>
      <c r="O27" s="306">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0</v>
      </c>
      <c r="Y27" s="306">
        <f ca="1">-SUM('GHG Emissions'!N18:O18)*$AU$20/10+Y26</f>
        <v>-1148.4599608720218</v>
      </c>
      <c r="Z27" s="306">
        <v>0</v>
      </c>
      <c r="AA27" s="308">
        <f ca="1">-SUM(W27,X27/OFFSET(GridFootprintbyYear,$A27-$A$19,0)*EF_PurchElec_MTperMWh,Z27)*OFFSET(ExposureCalculations!Price_GHG_Allowance_2010,A27-$A$19,0)*ExposureCalculations!D24</f>
        <v>0</v>
      </c>
      <c r="AB27" s="308">
        <f t="shared" ca="1" si="3"/>
        <v>0</v>
      </c>
      <c r="AC27" s="308">
        <v>0</v>
      </c>
      <c r="AD27" s="819">
        <f t="shared" ca="1" si="4"/>
        <v>0</v>
      </c>
      <c r="AE27" s="308">
        <v>0</v>
      </c>
      <c r="AF27" s="819">
        <f t="shared" ca="1" si="5"/>
        <v>0</v>
      </c>
      <c r="AG27" s="308">
        <v>0</v>
      </c>
      <c r="AH27" s="308">
        <v>0</v>
      </c>
      <c r="AI27" s="308">
        <v>0</v>
      </c>
      <c r="AJ27" s="308">
        <f t="shared" ca="1" si="6"/>
        <v>0</v>
      </c>
      <c r="AK27" s="309">
        <v>0</v>
      </c>
      <c r="AL27" s="309">
        <v>0</v>
      </c>
      <c r="AM27" s="309">
        <f t="shared" si="19"/>
        <v>0</v>
      </c>
      <c r="AN27" s="310">
        <v>0</v>
      </c>
      <c r="AO27" s="310">
        <f>(-$AU$23*$AU$24/10)*(A27-$A$20)-$AU$27</f>
        <v>-167325</v>
      </c>
      <c r="AP27" s="310">
        <f t="shared" si="20"/>
        <v>-167325</v>
      </c>
      <c r="AQ27" s="309">
        <v>0</v>
      </c>
      <c r="AR27" s="311">
        <f t="shared" ca="1" si="7"/>
        <v>-167325</v>
      </c>
      <c r="AS27" s="870">
        <f t="shared" ca="1" si="21"/>
        <v>-869300</v>
      </c>
      <c r="AT27" s="822"/>
      <c r="AU27" s="1261">
        <v>150000</v>
      </c>
      <c r="AV27" s="827" t="s">
        <v>1526</v>
      </c>
      <c r="AW27" s="879"/>
      <c r="AX27" s="35"/>
      <c r="AY27" s="880"/>
    </row>
    <row r="28" spans="1:51">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2"/>
        <v>0</v>
      </c>
      <c r="K28" s="307">
        <f t="shared" ca="1" si="10"/>
        <v>146981.22882413102</v>
      </c>
      <c r="L28" s="307">
        <f t="shared" si="11"/>
        <v>0</v>
      </c>
      <c r="M28" s="307">
        <v>0</v>
      </c>
      <c r="N28" s="307">
        <f t="shared" ca="1" si="12"/>
        <v>146981.22882413102</v>
      </c>
      <c r="O28" s="306">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0</v>
      </c>
      <c r="Y28" s="306">
        <f ca="1">-SUM('GHG Emissions'!N19:O19)*$AU$20/10+Y27</f>
        <v>-1313.7436763489204</v>
      </c>
      <c r="Z28" s="306">
        <v>0</v>
      </c>
      <c r="AA28" s="308">
        <f ca="1">-SUM(W28,X28/OFFSET(GridFootprintbyYear,$A28-$A$19,0)*EF_PurchElec_MTperMWh,Z28)*OFFSET(ExposureCalculations!Price_GHG_Allowance_2010,A28-$A$19,0)*ExposureCalculations!D25</f>
        <v>0</v>
      </c>
      <c r="AB28" s="308">
        <f t="shared" ca="1" si="3"/>
        <v>0</v>
      </c>
      <c r="AC28" s="308">
        <v>0</v>
      </c>
      <c r="AD28" s="819">
        <f t="shared" ca="1" si="4"/>
        <v>0</v>
      </c>
      <c r="AE28" s="308">
        <v>0</v>
      </c>
      <c r="AF28" s="819">
        <f t="shared" ca="1" si="5"/>
        <v>0</v>
      </c>
      <c r="AG28" s="308">
        <v>0</v>
      </c>
      <c r="AH28" s="308">
        <v>0</v>
      </c>
      <c r="AI28" s="308">
        <v>0</v>
      </c>
      <c r="AJ28" s="308">
        <f t="shared" ca="1" si="6"/>
        <v>0</v>
      </c>
      <c r="AK28" s="309">
        <v>0</v>
      </c>
      <c r="AL28" s="309">
        <v>0</v>
      </c>
      <c r="AM28" s="309">
        <f t="shared" si="19"/>
        <v>0</v>
      </c>
      <c r="AN28" s="310">
        <v>0</v>
      </c>
      <c r="AO28" s="310">
        <f>(-$AU$23*$AU$24/10)*(A28-$A$20)-$AU$27</f>
        <v>-169800</v>
      </c>
      <c r="AP28" s="310">
        <f t="shared" si="20"/>
        <v>-169800</v>
      </c>
      <c r="AQ28" s="309">
        <v>0</v>
      </c>
      <c r="AR28" s="311">
        <f t="shared" ca="1" si="7"/>
        <v>-169800</v>
      </c>
      <c r="AS28" s="870">
        <f t="shared" ca="1" si="21"/>
        <v>-1039100</v>
      </c>
      <c r="AT28" s="822"/>
      <c r="AU28" s="878"/>
      <c r="AV28" s="35"/>
      <c r="AW28" s="879"/>
      <c r="AX28" s="35"/>
      <c r="AY28" s="880"/>
    </row>
    <row r="29" spans="1:51">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2"/>
        <v>0</v>
      </c>
      <c r="K29" s="307">
        <f t="shared" ca="1" si="10"/>
        <v>148557.85442498306</v>
      </c>
      <c r="L29" s="307">
        <f t="shared" si="11"/>
        <v>0</v>
      </c>
      <c r="M29" s="307">
        <v>0</v>
      </c>
      <c r="N29" s="307">
        <f t="shared" ca="1" si="12"/>
        <v>148557.85442498306</v>
      </c>
      <c r="O29" s="306">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0</v>
      </c>
      <c r="Y29" s="306">
        <f ca="1">-SUM('GHG Emissions'!N20:O20)*$AU$20/10+Y28</f>
        <v>-1479.258544660677</v>
      </c>
      <c r="Z29" s="306">
        <v>0</v>
      </c>
      <c r="AA29" s="308">
        <f ca="1">-SUM(W29,X29/OFFSET(GridFootprintbyYear,$A29-$A$19,0)*EF_PurchElec_MTperMWh,Z29)*OFFSET(ExposureCalculations!Price_GHG_Allowance_2010,A29-$A$19,0)*ExposureCalculations!D26</f>
        <v>0</v>
      </c>
      <c r="AB29" s="308">
        <f t="shared" ca="1" si="3"/>
        <v>0</v>
      </c>
      <c r="AC29" s="308">
        <v>0</v>
      </c>
      <c r="AD29" s="819">
        <f t="shared" ca="1" si="4"/>
        <v>0</v>
      </c>
      <c r="AE29" s="308">
        <v>0</v>
      </c>
      <c r="AF29" s="819">
        <f t="shared" ca="1" si="5"/>
        <v>0</v>
      </c>
      <c r="AG29" s="308">
        <v>0</v>
      </c>
      <c r="AH29" s="308">
        <v>0</v>
      </c>
      <c r="AI29" s="308">
        <v>0</v>
      </c>
      <c r="AJ29" s="308">
        <f t="shared" ca="1" si="6"/>
        <v>0</v>
      </c>
      <c r="AK29" s="309">
        <v>0</v>
      </c>
      <c r="AL29" s="309">
        <v>0</v>
      </c>
      <c r="AM29" s="309">
        <f t="shared" si="19"/>
        <v>0</v>
      </c>
      <c r="AN29" s="310">
        <v>0</v>
      </c>
      <c r="AO29" s="310">
        <f>(-$AU$23*$AU$24/10)*(A29-$A$20)-$AU$27</f>
        <v>-172275</v>
      </c>
      <c r="AP29" s="310">
        <f t="shared" si="20"/>
        <v>-172275</v>
      </c>
      <c r="AQ29" s="309">
        <v>0</v>
      </c>
      <c r="AR29" s="311">
        <f t="shared" ca="1" si="7"/>
        <v>-172275</v>
      </c>
      <c r="AS29" s="870">
        <f t="shared" ca="1" si="21"/>
        <v>-1211375</v>
      </c>
      <c r="AT29" s="822"/>
      <c r="AU29" s="878"/>
      <c r="AV29" s="35"/>
      <c r="AW29" s="879"/>
      <c r="AX29" s="35"/>
      <c r="AY29" s="880"/>
    </row>
    <row r="30" spans="1:51">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2"/>
        <v>0</v>
      </c>
      <c r="K30" s="307">
        <f t="shared" ca="1" si="10"/>
        <v>150134.48002583507</v>
      </c>
      <c r="L30" s="307">
        <f t="shared" si="11"/>
        <v>0</v>
      </c>
      <c r="M30" s="307">
        <v>0</v>
      </c>
      <c r="N30" s="307">
        <f t="shared" ca="1" si="12"/>
        <v>150134.48002583507</v>
      </c>
      <c r="O30" s="306">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0</v>
      </c>
      <c r="Y30" s="306">
        <f ca="1">-SUM('GHG Emissions'!N21:O21)*$AU$20/10+Y29</f>
        <v>-1644.9919849094142</v>
      </c>
      <c r="Z30" s="306">
        <v>0</v>
      </c>
      <c r="AA30" s="308">
        <f ca="1">-SUM(W30,X30/OFFSET(GridFootprintbyYear,$A30-$A$19,0)*EF_PurchElec_MTperMWh,Z30)*OFFSET(ExposureCalculations!Price_GHG_Allowance_2010,A30-$A$19,0)*ExposureCalculations!D27</f>
        <v>0</v>
      </c>
      <c r="AB30" s="308">
        <f t="shared" ca="1" si="3"/>
        <v>0</v>
      </c>
      <c r="AC30" s="308">
        <v>0</v>
      </c>
      <c r="AD30" s="819">
        <f t="shared" ca="1" si="4"/>
        <v>0</v>
      </c>
      <c r="AE30" s="308">
        <v>0</v>
      </c>
      <c r="AF30" s="819">
        <f t="shared" ca="1" si="5"/>
        <v>0</v>
      </c>
      <c r="AG30" s="308">
        <v>0</v>
      </c>
      <c r="AH30" s="308">
        <v>0</v>
      </c>
      <c r="AI30" s="308">
        <v>0</v>
      </c>
      <c r="AJ30" s="308">
        <f t="shared" ca="1" si="6"/>
        <v>0</v>
      </c>
      <c r="AK30" s="309">
        <v>0</v>
      </c>
      <c r="AL30" s="309">
        <v>0</v>
      </c>
      <c r="AM30" s="309">
        <f t="shared" si="19"/>
        <v>0</v>
      </c>
      <c r="AN30" s="310">
        <v>0</v>
      </c>
      <c r="AO30" s="310">
        <f>(-$AU$23*$AU$24/10)*(A30-$A$20)-$AU$27</f>
        <v>-174750</v>
      </c>
      <c r="AP30" s="310">
        <f t="shared" si="20"/>
        <v>-174750</v>
      </c>
      <c r="AQ30" s="309">
        <v>0</v>
      </c>
      <c r="AR30" s="311">
        <f t="shared" ca="1" si="7"/>
        <v>-174750</v>
      </c>
      <c r="AS30" s="870">
        <f t="shared" ca="1" si="21"/>
        <v>-1386125</v>
      </c>
      <c r="AT30" s="822"/>
      <c r="AU30" s="878"/>
      <c r="AV30" s="35"/>
      <c r="AW30" s="879"/>
      <c r="AX30" s="35"/>
      <c r="AY30" s="880"/>
    </row>
    <row r="31" spans="1:51">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2"/>
        <v>0</v>
      </c>
      <c r="K31" s="307">
        <f t="shared" ca="1" si="10"/>
        <v>151711.10562668712</v>
      </c>
      <c r="L31" s="307">
        <f t="shared" si="11"/>
        <v>0</v>
      </c>
      <c r="M31" s="307">
        <v>0</v>
      </c>
      <c r="N31" s="307">
        <f t="shared" ca="1" si="12"/>
        <v>151711.10562668712</v>
      </c>
      <c r="O31" s="306">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0</v>
      </c>
      <c r="Y31" s="306">
        <f ca="1">Y30</f>
        <v>-1644.9919849094142</v>
      </c>
      <c r="Z31" s="306">
        <v>0</v>
      </c>
      <c r="AA31" s="308">
        <f ca="1">-SUM(W31,X31/OFFSET(GridFootprintbyYear,$A31-$A$19,0)*EF_PurchElec_MTperMWh,Z31)*OFFSET(ExposureCalculations!Price_GHG_Allowance_2010,A31-$A$19,0)*ExposureCalculations!D28</f>
        <v>0</v>
      </c>
      <c r="AB31" s="308">
        <f t="shared" ca="1" si="3"/>
        <v>0</v>
      </c>
      <c r="AC31" s="308">
        <v>0</v>
      </c>
      <c r="AD31" s="819">
        <f t="shared" ca="1" si="4"/>
        <v>0</v>
      </c>
      <c r="AE31" s="308">
        <v>0</v>
      </c>
      <c r="AF31" s="819">
        <f t="shared" ca="1" si="5"/>
        <v>0</v>
      </c>
      <c r="AG31" s="308">
        <v>0</v>
      </c>
      <c r="AH31" s="308">
        <v>0</v>
      </c>
      <c r="AI31" s="308">
        <v>0</v>
      </c>
      <c r="AJ31" s="308">
        <f t="shared" ca="1" si="6"/>
        <v>0</v>
      </c>
      <c r="AK31" s="309">
        <v>0</v>
      </c>
      <c r="AL31" s="309">
        <v>0</v>
      </c>
      <c r="AM31" s="309">
        <f t="shared" si="19"/>
        <v>0</v>
      </c>
      <c r="AN31" s="310">
        <v>0</v>
      </c>
      <c r="AO31" s="310">
        <f>AO30</f>
        <v>-174750</v>
      </c>
      <c r="AP31" s="310">
        <f t="shared" si="20"/>
        <v>-174750</v>
      </c>
      <c r="AQ31" s="309">
        <v>0</v>
      </c>
      <c r="AR31" s="311">
        <f t="shared" ca="1" si="7"/>
        <v>-174750</v>
      </c>
      <c r="AS31" s="870">
        <f t="shared" ca="1" si="21"/>
        <v>-1560875</v>
      </c>
      <c r="AT31" s="822"/>
      <c r="AU31" s="878"/>
      <c r="AV31" s="35"/>
      <c r="AW31" s="879"/>
      <c r="AX31" s="35"/>
      <c r="AY31" s="880"/>
    </row>
    <row r="32" spans="1:51">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2"/>
        <v>0</v>
      </c>
      <c r="K32" s="307">
        <f t="shared" ca="1" si="10"/>
        <v>153287.73122753916</v>
      </c>
      <c r="L32" s="307">
        <f t="shared" si="11"/>
        <v>0</v>
      </c>
      <c r="M32" s="307">
        <v>0</v>
      </c>
      <c r="N32" s="307">
        <f t="shared" ca="1" si="12"/>
        <v>153287.73122753916</v>
      </c>
      <c r="O32" s="306">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0</v>
      </c>
      <c r="Y32" s="306">
        <f t="shared" ref="Y32:Y59" ca="1" si="23">Y31</f>
        <v>-1644.9919849094142</v>
      </c>
      <c r="Z32" s="306">
        <v>0</v>
      </c>
      <c r="AA32" s="308">
        <f ca="1">-SUM(W32,X32/OFFSET(GridFootprintbyYear,$A32-$A$19,0)*EF_PurchElec_MTperMWh,Z32)*OFFSET(ExposureCalculations!Price_GHG_Allowance_2010,A32-$A$19,0)*ExposureCalculations!D29</f>
        <v>0</v>
      </c>
      <c r="AB32" s="308">
        <f t="shared" ca="1" si="3"/>
        <v>0</v>
      </c>
      <c r="AC32" s="308">
        <v>0</v>
      </c>
      <c r="AD32" s="819">
        <f t="shared" ca="1" si="4"/>
        <v>0</v>
      </c>
      <c r="AE32" s="308">
        <v>0</v>
      </c>
      <c r="AF32" s="819">
        <f t="shared" ca="1" si="5"/>
        <v>0</v>
      </c>
      <c r="AG32" s="308">
        <v>0</v>
      </c>
      <c r="AH32" s="308">
        <v>0</v>
      </c>
      <c r="AI32" s="308">
        <v>0</v>
      </c>
      <c r="AJ32" s="308">
        <f t="shared" ca="1" si="6"/>
        <v>0</v>
      </c>
      <c r="AK32" s="309">
        <v>0</v>
      </c>
      <c r="AL32" s="309">
        <v>0</v>
      </c>
      <c r="AM32" s="309">
        <f t="shared" si="19"/>
        <v>0</v>
      </c>
      <c r="AN32" s="310">
        <v>0</v>
      </c>
      <c r="AO32" s="310">
        <f t="shared" ref="AO32:AO59" si="24">AO31</f>
        <v>-174750</v>
      </c>
      <c r="AP32" s="310">
        <f t="shared" si="20"/>
        <v>-174750</v>
      </c>
      <c r="AQ32" s="309">
        <v>0</v>
      </c>
      <c r="AR32" s="311">
        <f t="shared" ca="1" si="7"/>
        <v>-174750</v>
      </c>
      <c r="AS32" s="870">
        <f t="shared" ca="1" si="21"/>
        <v>-1735625</v>
      </c>
      <c r="AT32" s="822"/>
      <c r="AU32" s="878"/>
      <c r="AV32" s="35"/>
      <c r="AW32" s="879"/>
      <c r="AX32" s="35"/>
      <c r="AY32" s="880"/>
    </row>
    <row r="33" spans="1:51">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2"/>
        <v>0</v>
      </c>
      <c r="K33" s="307">
        <f t="shared" ca="1" si="10"/>
        <v>154864.35682839117</v>
      </c>
      <c r="L33" s="307">
        <f t="shared" si="11"/>
        <v>0</v>
      </c>
      <c r="M33" s="307">
        <v>0</v>
      </c>
      <c r="N33" s="307">
        <f t="shared" ca="1" si="12"/>
        <v>154864.35682839117</v>
      </c>
      <c r="O33" s="306">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0</v>
      </c>
      <c r="Y33" s="306">
        <f t="shared" ca="1" si="23"/>
        <v>-1644.9919849094142</v>
      </c>
      <c r="Z33" s="306">
        <v>0</v>
      </c>
      <c r="AA33" s="308">
        <f ca="1">-SUM(W33,X33/OFFSET(GridFootprintbyYear,$A33-$A$19,0)*EF_PurchElec_MTperMWh,Z33)*OFFSET(ExposureCalculations!Price_GHG_Allowance_2010,A33-$A$19,0)*ExposureCalculations!D30</f>
        <v>0</v>
      </c>
      <c r="AB33" s="308">
        <f t="shared" ca="1" si="3"/>
        <v>0</v>
      </c>
      <c r="AC33" s="308">
        <v>0</v>
      </c>
      <c r="AD33" s="819">
        <f t="shared" ca="1" si="4"/>
        <v>0</v>
      </c>
      <c r="AE33" s="308">
        <v>0</v>
      </c>
      <c r="AF33" s="819">
        <f t="shared" ca="1" si="5"/>
        <v>0</v>
      </c>
      <c r="AG33" s="308">
        <v>0</v>
      </c>
      <c r="AH33" s="308">
        <v>0</v>
      </c>
      <c r="AI33" s="308">
        <v>0</v>
      </c>
      <c r="AJ33" s="308">
        <f t="shared" ca="1" si="6"/>
        <v>0</v>
      </c>
      <c r="AK33" s="309">
        <v>0</v>
      </c>
      <c r="AL33" s="309">
        <v>0</v>
      </c>
      <c r="AM33" s="309">
        <f t="shared" si="19"/>
        <v>0</v>
      </c>
      <c r="AN33" s="310">
        <v>0</v>
      </c>
      <c r="AO33" s="310">
        <f t="shared" si="24"/>
        <v>-174750</v>
      </c>
      <c r="AP33" s="310">
        <f t="shared" si="20"/>
        <v>-174750</v>
      </c>
      <c r="AQ33" s="309">
        <v>0</v>
      </c>
      <c r="AR33" s="311">
        <f t="shared" ca="1" si="7"/>
        <v>-174750</v>
      </c>
      <c r="AS33" s="870">
        <f t="shared" ca="1" si="21"/>
        <v>-1910375</v>
      </c>
      <c r="AT33" s="822"/>
      <c r="AU33" s="878"/>
      <c r="AV33" s="35"/>
      <c r="AW33" s="879"/>
      <c r="AX33" s="35"/>
      <c r="AY33" s="880"/>
    </row>
    <row r="34" spans="1:51">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2"/>
        <v>0</v>
      </c>
      <c r="K34" s="307">
        <f t="shared" ca="1" si="10"/>
        <v>156440.98242924322</v>
      </c>
      <c r="L34" s="307">
        <f t="shared" si="11"/>
        <v>0</v>
      </c>
      <c r="M34" s="307">
        <v>0</v>
      </c>
      <c r="N34" s="307">
        <f t="shared" ca="1" si="12"/>
        <v>156440.98242924322</v>
      </c>
      <c r="O34" s="306">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0</v>
      </c>
      <c r="Y34" s="306">
        <f t="shared" ca="1" si="23"/>
        <v>-1644.9919849094142</v>
      </c>
      <c r="Z34" s="306">
        <v>0</v>
      </c>
      <c r="AA34" s="308">
        <f ca="1">-SUM(W34,X34/OFFSET(GridFootprintbyYear,$A34-$A$19,0)*EF_PurchElec_MTperMWh,Z34)*OFFSET(ExposureCalculations!Price_GHG_Allowance_2010,A34-$A$19,0)*ExposureCalculations!D31</f>
        <v>0</v>
      </c>
      <c r="AB34" s="308">
        <f t="shared" ca="1" si="3"/>
        <v>0</v>
      </c>
      <c r="AC34" s="308">
        <v>0</v>
      </c>
      <c r="AD34" s="819">
        <f t="shared" ca="1" si="4"/>
        <v>0</v>
      </c>
      <c r="AE34" s="308">
        <v>0</v>
      </c>
      <c r="AF34" s="819">
        <f t="shared" ca="1" si="5"/>
        <v>0</v>
      </c>
      <c r="AG34" s="308">
        <v>0</v>
      </c>
      <c r="AH34" s="308">
        <v>0</v>
      </c>
      <c r="AI34" s="308">
        <v>0</v>
      </c>
      <c r="AJ34" s="308">
        <f t="shared" ca="1" si="6"/>
        <v>0</v>
      </c>
      <c r="AK34" s="309">
        <v>0</v>
      </c>
      <c r="AL34" s="309">
        <v>0</v>
      </c>
      <c r="AM34" s="309">
        <f t="shared" si="19"/>
        <v>0</v>
      </c>
      <c r="AN34" s="310">
        <v>0</v>
      </c>
      <c r="AO34" s="310">
        <f t="shared" si="24"/>
        <v>-174750</v>
      </c>
      <c r="AP34" s="310">
        <f t="shared" si="20"/>
        <v>-174750</v>
      </c>
      <c r="AQ34" s="309">
        <v>0</v>
      </c>
      <c r="AR34" s="311">
        <f t="shared" ca="1" si="7"/>
        <v>-174750</v>
      </c>
      <c r="AS34" s="870">
        <f t="shared" ca="1" si="21"/>
        <v>-2085125</v>
      </c>
      <c r="AT34" s="822"/>
      <c r="AU34" s="878"/>
      <c r="AV34" s="35"/>
      <c r="AW34" s="879"/>
      <c r="AX34" s="35"/>
      <c r="AY34" s="880"/>
    </row>
    <row r="35" spans="1:51">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2"/>
        <v>0</v>
      </c>
      <c r="K35" s="307">
        <f t="shared" ca="1" si="10"/>
        <v>158017.60803009526</v>
      </c>
      <c r="L35" s="307">
        <f t="shared" si="11"/>
        <v>0</v>
      </c>
      <c r="M35" s="307">
        <v>0</v>
      </c>
      <c r="N35" s="307">
        <f t="shared" ca="1" si="12"/>
        <v>158017.60803009526</v>
      </c>
      <c r="O35" s="306">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0</v>
      </c>
      <c r="Y35" s="306">
        <f t="shared" ca="1" si="23"/>
        <v>-1644.9919849094142</v>
      </c>
      <c r="Z35" s="306">
        <v>0</v>
      </c>
      <c r="AA35" s="308">
        <f ca="1">-SUM(W35,X35/OFFSET(GridFootprintbyYear,$A35-$A$19,0)*EF_PurchElec_MTperMWh,Z35)*OFFSET(ExposureCalculations!Price_GHG_Allowance_2010,A35-$A$19,0)*ExposureCalculations!D32</f>
        <v>0</v>
      </c>
      <c r="AB35" s="308">
        <f t="shared" ca="1" si="3"/>
        <v>0</v>
      </c>
      <c r="AC35" s="308">
        <v>0</v>
      </c>
      <c r="AD35" s="819">
        <f t="shared" ca="1" si="4"/>
        <v>0</v>
      </c>
      <c r="AE35" s="308">
        <v>0</v>
      </c>
      <c r="AF35" s="819">
        <f t="shared" ca="1" si="5"/>
        <v>0</v>
      </c>
      <c r="AG35" s="308">
        <v>0</v>
      </c>
      <c r="AH35" s="308">
        <v>0</v>
      </c>
      <c r="AI35" s="308">
        <v>0</v>
      </c>
      <c r="AJ35" s="308">
        <f t="shared" ca="1" si="6"/>
        <v>0</v>
      </c>
      <c r="AK35" s="309">
        <v>0</v>
      </c>
      <c r="AL35" s="309">
        <v>0</v>
      </c>
      <c r="AM35" s="309">
        <f t="shared" si="19"/>
        <v>0</v>
      </c>
      <c r="AN35" s="310">
        <v>0</v>
      </c>
      <c r="AO35" s="310">
        <f t="shared" si="24"/>
        <v>-174750</v>
      </c>
      <c r="AP35" s="310">
        <f t="shared" si="20"/>
        <v>-174750</v>
      </c>
      <c r="AQ35" s="309">
        <v>0</v>
      </c>
      <c r="AR35" s="311">
        <f t="shared" ca="1" si="7"/>
        <v>-174750</v>
      </c>
      <c r="AS35" s="870">
        <f t="shared" ca="1" si="21"/>
        <v>-2259875</v>
      </c>
      <c r="AT35" s="822"/>
      <c r="AU35" s="878"/>
      <c r="AV35" s="35"/>
      <c r="AW35" s="879"/>
      <c r="AX35" s="35"/>
      <c r="AY35" s="880"/>
    </row>
    <row r="36" spans="1:51">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2"/>
        <v>0</v>
      </c>
      <c r="K36" s="307">
        <f t="shared" ca="1" si="10"/>
        <v>159594.23363094722</v>
      </c>
      <c r="L36" s="307">
        <f t="shared" si="11"/>
        <v>0</v>
      </c>
      <c r="M36" s="307">
        <v>0</v>
      </c>
      <c r="N36" s="307">
        <f t="shared" ca="1" si="12"/>
        <v>159594.23363094722</v>
      </c>
      <c r="O36" s="306">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0</v>
      </c>
      <c r="Y36" s="306">
        <f t="shared" ca="1" si="23"/>
        <v>-1644.9919849094142</v>
      </c>
      <c r="Z36" s="306">
        <v>0</v>
      </c>
      <c r="AA36" s="308">
        <f ca="1">-SUM(W36,X36/OFFSET(GridFootprintbyYear,$A36-$A$19,0)*EF_PurchElec_MTperMWh,Z36)*OFFSET(ExposureCalculations!Price_GHG_Allowance_2010,A36-$A$19,0)*ExposureCalculations!D33</f>
        <v>0</v>
      </c>
      <c r="AB36" s="308">
        <f t="shared" ca="1" si="3"/>
        <v>0</v>
      </c>
      <c r="AC36" s="308">
        <v>0</v>
      </c>
      <c r="AD36" s="819">
        <f t="shared" ca="1" si="4"/>
        <v>0</v>
      </c>
      <c r="AE36" s="308">
        <v>0</v>
      </c>
      <c r="AF36" s="819">
        <f t="shared" ca="1" si="5"/>
        <v>0</v>
      </c>
      <c r="AG36" s="308">
        <v>0</v>
      </c>
      <c r="AH36" s="308">
        <v>0</v>
      </c>
      <c r="AI36" s="308">
        <v>0</v>
      </c>
      <c r="AJ36" s="308">
        <f t="shared" ca="1" si="6"/>
        <v>0</v>
      </c>
      <c r="AK36" s="309">
        <v>0</v>
      </c>
      <c r="AL36" s="309">
        <v>0</v>
      </c>
      <c r="AM36" s="309">
        <f t="shared" si="19"/>
        <v>0</v>
      </c>
      <c r="AN36" s="310">
        <v>0</v>
      </c>
      <c r="AO36" s="310">
        <f t="shared" si="24"/>
        <v>-174750</v>
      </c>
      <c r="AP36" s="310">
        <f t="shared" si="20"/>
        <v>-174750</v>
      </c>
      <c r="AQ36" s="309">
        <v>0</v>
      </c>
      <c r="AR36" s="311">
        <f t="shared" ca="1" si="7"/>
        <v>-174750</v>
      </c>
      <c r="AS36" s="870">
        <f t="shared" ca="1" si="21"/>
        <v>-2434625</v>
      </c>
      <c r="AT36" s="822"/>
      <c r="AU36" s="878"/>
      <c r="AV36" s="35"/>
      <c r="AW36" s="879"/>
      <c r="AX36" s="35"/>
      <c r="AY36" s="880"/>
    </row>
    <row r="37" spans="1:51">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2"/>
        <v>0</v>
      </c>
      <c r="K37" s="307">
        <f t="shared" ca="1" si="10"/>
        <v>161170.85923179929</v>
      </c>
      <c r="L37" s="307">
        <f t="shared" si="11"/>
        <v>0</v>
      </c>
      <c r="M37" s="307">
        <v>0</v>
      </c>
      <c r="N37" s="307">
        <f t="shared" ca="1" si="12"/>
        <v>161170.85923179929</v>
      </c>
      <c r="O37" s="306">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0</v>
      </c>
      <c r="Y37" s="306">
        <f t="shared" ca="1" si="23"/>
        <v>-1644.9919849094142</v>
      </c>
      <c r="Z37" s="306">
        <v>0</v>
      </c>
      <c r="AA37" s="308">
        <f ca="1">-SUM(W37,X37/OFFSET(GridFootprintbyYear,$A37-$A$19,0)*EF_PurchElec_MTperMWh,Z37)*OFFSET(ExposureCalculations!Price_GHG_Allowance_2010,A37-$A$19,0)*ExposureCalculations!D34</f>
        <v>0</v>
      </c>
      <c r="AB37" s="308">
        <f t="shared" ca="1" si="3"/>
        <v>0</v>
      </c>
      <c r="AC37" s="308">
        <v>0</v>
      </c>
      <c r="AD37" s="819">
        <f t="shared" ca="1" si="4"/>
        <v>0</v>
      </c>
      <c r="AE37" s="308">
        <v>0</v>
      </c>
      <c r="AF37" s="819">
        <f t="shared" ca="1" si="5"/>
        <v>0</v>
      </c>
      <c r="AG37" s="308">
        <v>0</v>
      </c>
      <c r="AH37" s="308">
        <v>0</v>
      </c>
      <c r="AI37" s="308">
        <v>0</v>
      </c>
      <c r="AJ37" s="308">
        <f t="shared" ca="1" si="6"/>
        <v>0</v>
      </c>
      <c r="AK37" s="309">
        <v>0</v>
      </c>
      <c r="AL37" s="309">
        <v>0</v>
      </c>
      <c r="AM37" s="309">
        <f t="shared" si="19"/>
        <v>0</v>
      </c>
      <c r="AN37" s="310">
        <v>0</v>
      </c>
      <c r="AO37" s="310">
        <f t="shared" si="24"/>
        <v>-174750</v>
      </c>
      <c r="AP37" s="310">
        <f t="shared" si="20"/>
        <v>-174750</v>
      </c>
      <c r="AQ37" s="309">
        <v>0</v>
      </c>
      <c r="AR37" s="311">
        <f t="shared" ca="1" si="7"/>
        <v>-174750</v>
      </c>
      <c r="AS37" s="870">
        <f t="shared" ca="1" si="21"/>
        <v>-2609375</v>
      </c>
      <c r="AT37" s="822"/>
      <c r="AU37" s="878"/>
      <c r="AV37" s="35"/>
      <c r="AW37" s="879"/>
      <c r="AX37" s="35"/>
      <c r="AY37" s="880"/>
    </row>
    <row r="38" spans="1:51">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2"/>
        <v>0</v>
      </c>
      <c r="K38" s="307">
        <f t="shared" ca="1" si="10"/>
        <v>162747.48483265133</v>
      </c>
      <c r="L38" s="307">
        <f t="shared" si="11"/>
        <v>0</v>
      </c>
      <c r="M38" s="307">
        <v>0</v>
      </c>
      <c r="N38" s="307">
        <f t="shared" ca="1" si="12"/>
        <v>162747.48483265133</v>
      </c>
      <c r="O38" s="306">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0</v>
      </c>
      <c r="Y38" s="306">
        <f t="shared" ca="1" si="23"/>
        <v>-1644.9919849094142</v>
      </c>
      <c r="Z38" s="306">
        <v>0</v>
      </c>
      <c r="AA38" s="308">
        <f ca="1">-SUM(W38,X38/OFFSET(GridFootprintbyYear,$A38-$A$19,0)*EF_PurchElec_MTperMWh,Z38)*OFFSET(ExposureCalculations!Price_GHG_Allowance_2010,A38-$A$19,0)*ExposureCalculations!D35</f>
        <v>0</v>
      </c>
      <c r="AB38" s="308">
        <f t="shared" ca="1" si="3"/>
        <v>0</v>
      </c>
      <c r="AC38" s="308">
        <v>0</v>
      </c>
      <c r="AD38" s="819">
        <f t="shared" ca="1" si="4"/>
        <v>0</v>
      </c>
      <c r="AE38" s="308">
        <v>0</v>
      </c>
      <c r="AF38" s="819">
        <f t="shared" ca="1" si="5"/>
        <v>0</v>
      </c>
      <c r="AG38" s="308">
        <v>0</v>
      </c>
      <c r="AH38" s="308">
        <v>0</v>
      </c>
      <c r="AI38" s="308">
        <v>0</v>
      </c>
      <c r="AJ38" s="308">
        <f t="shared" ca="1" si="6"/>
        <v>0</v>
      </c>
      <c r="AK38" s="309">
        <v>0</v>
      </c>
      <c r="AL38" s="309">
        <v>0</v>
      </c>
      <c r="AM38" s="309">
        <f t="shared" si="19"/>
        <v>0</v>
      </c>
      <c r="AN38" s="310">
        <v>0</v>
      </c>
      <c r="AO38" s="310">
        <f t="shared" si="24"/>
        <v>-174750</v>
      </c>
      <c r="AP38" s="310">
        <f t="shared" si="20"/>
        <v>-174750</v>
      </c>
      <c r="AQ38" s="309">
        <v>0</v>
      </c>
      <c r="AR38" s="311">
        <f t="shared" ca="1" si="7"/>
        <v>-174750</v>
      </c>
      <c r="AS38" s="870">
        <f t="shared" ca="1" si="21"/>
        <v>-2784125</v>
      </c>
      <c r="AT38" s="822"/>
      <c r="AU38" s="878"/>
      <c r="AV38" s="35"/>
      <c r="AW38" s="879"/>
      <c r="AX38" s="35"/>
      <c r="AY38" s="880"/>
    </row>
    <row r="39" spans="1:51">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2"/>
        <v>0</v>
      </c>
      <c r="K39" s="307">
        <f t="shared" ca="1" si="10"/>
        <v>164324.11043350337</v>
      </c>
      <c r="L39" s="307">
        <f t="shared" si="11"/>
        <v>0</v>
      </c>
      <c r="M39" s="307">
        <v>0</v>
      </c>
      <c r="N39" s="307">
        <f t="shared" ca="1" si="12"/>
        <v>164324.11043350337</v>
      </c>
      <c r="O39" s="306">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0</v>
      </c>
      <c r="Y39" s="306">
        <f t="shared" ca="1" si="23"/>
        <v>-1644.9919849094142</v>
      </c>
      <c r="Z39" s="306">
        <v>0</v>
      </c>
      <c r="AA39" s="308">
        <f ca="1">-SUM(W39,X39/OFFSET(GridFootprintbyYear,$A39-$A$19,0)*EF_PurchElec_MTperMWh,Z39)*OFFSET(ExposureCalculations!Price_GHG_Allowance_2010,A39-$A$19,0)*ExposureCalculations!D36</f>
        <v>0</v>
      </c>
      <c r="AB39" s="308">
        <f t="shared" ca="1" si="3"/>
        <v>0</v>
      </c>
      <c r="AC39" s="308">
        <v>0</v>
      </c>
      <c r="AD39" s="819">
        <f t="shared" ca="1" si="4"/>
        <v>0</v>
      </c>
      <c r="AE39" s="308">
        <v>0</v>
      </c>
      <c r="AF39" s="819">
        <f t="shared" ca="1" si="5"/>
        <v>0</v>
      </c>
      <c r="AG39" s="308">
        <v>0</v>
      </c>
      <c r="AH39" s="308">
        <v>0</v>
      </c>
      <c r="AI39" s="308">
        <v>0</v>
      </c>
      <c r="AJ39" s="308">
        <f t="shared" ca="1" si="6"/>
        <v>0</v>
      </c>
      <c r="AK39" s="309">
        <v>0</v>
      </c>
      <c r="AL39" s="309">
        <v>0</v>
      </c>
      <c r="AM39" s="309">
        <f t="shared" si="19"/>
        <v>0</v>
      </c>
      <c r="AN39" s="310">
        <v>0</v>
      </c>
      <c r="AO39" s="310">
        <f t="shared" si="24"/>
        <v>-174750</v>
      </c>
      <c r="AP39" s="310">
        <f t="shared" si="20"/>
        <v>-174750</v>
      </c>
      <c r="AQ39" s="309">
        <v>0</v>
      </c>
      <c r="AR39" s="311">
        <f t="shared" ca="1" si="7"/>
        <v>-174750</v>
      </c>
      <c r="AS39" s="870">
        <f t="shared" ca="1" si="21"/>
        <v>-2958875</v>
      </c>
      <c r="AT39" s="822"/>
      <c r="AU39" s="878"/>
      <c r="AV39" s="35"/>
      <c r="AW39" s="879"/>
      <c r="AX39" s="35"/>
      <c r="AY39" s="880"/>
    </row>
    <row r="40" spans="1:51">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2"/>
        <v>0</v>
      </c>
      <c r="K40" s="307">
        <f t="shared" ca="1" si="10"/>
        <v>165900.73603435536</v>
      </c>
      <c r="L40" s="307">
        <f t="shared" si="11"/>
        <v>0</v>
      </c>
      <c r="M40" s="307">
        <v>0</v>
      </c>
      <c r="N40" s="307">
        <f t="shared" ca="1" si="12"/>
        <v>165900.73603435536</v>
      </c>
      <c r="O40" s="306">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0</v>
      </c>
      <c r="Y40" s="306">
        <f t="shared" ca="1" si="23"/>
        <v>-1644.9919849094142</v>
      </c>
      <c r="Z40" s="306">
        <v>0</v>
      </c>
      <c r="AA40" s="308">
        <f ca="1">-SUM(W40,X40/OFFSET(GridFootprintbyYear,$A40-$A$19,0)*EF_PurchElec_MTperMWh,Z40)*OFFSET(ExposureCalculations!Price_GHG_Allowance_2010,A40-$A$19,0)*ExposureCalculations!D37</f>
        <v>0</v>
      </c>
      <c r="AB40" s="308">
        <f t="shared" ca="1" si="3"/>
        <v>0</v>
      </c>
      <c r="AC40" s="308">
        <v>0</v>
      </c>
      <c r="AD40" s="819">
        <f t="shared" ca="1" si="4"/>
        <v>0</v>
      </c>
      <c r="AE40" s="308">
        <v>0</v>
      </c>
      <c r="AF40" s="819">
        <f t="shared" ca="1" si="5"/>
        <v>0</v>
      </c>
      <c r="AG40" s="308">
        <v>0</v>
      </c>
      <c r="AH40" s="308">
        <v>0</v>
      </c>
      <c r="AI40" s="308">
        <v>0</v>
      </c>
      <c r="AJ40" s="308">
        <f t="shared" ca="1" si="6"/>
        <v>0</v>
      </c>
      <c r="AK40" s="309">
        <v>0</v>
      </c>
      <c r="AL40" s="309">
        <v>0</v>
      </c>
      <c r="AM40" s="309">
        <f t="shared" si="19"/>
        <v>0</v>
      </c>
      <c r="AN40" s="310">
        <v>0</v>
      </c>
      <c r="AO40" s="310">
        <f t="shared" si="24"/>
        <v>-174750</v>
      </c>
      <c r="AP40" s="310">
        <f t="shared" si="20"/>
        <v>-174750</v>
      </c>
      <c r="AQ40" s="309">
        <v>0</v>
      </c>
      <c r="AR40" s="311">
        <f t="shared" ca="1" si="7"/>
        <v>-174750</v>
      </c>
      <c r="AS40" s="870">
        <f t="shared" ca="1" si="21"/>
        <v>-3133625</v>
      </c>
      <c r="AT40" s="822"/>
      <c r="AU40" s="878"/>
      <c r="AV40" s="35"/>
      <c r="AW40" s="879"/>
      <c r="AX40" s="35"/>
      <c r="AY40" s="880"/>
    </row>
    <row r="41" spans="1:51">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2"/>
        <v>0</v>
      </c>
      <c r="K41" s="307">
        <f t="shared" ca="1" si="10"/>
        <v>167477.3616352074</v>
      </c>
      <c r="L41" s="307">
        <f t="shared" si="11"/>
        <v>0</v>
      </c>
      <c r="M41" s="307">
        <v>0</v>
      </c>
      <c r="N41" s="307">
        <f t="shared" ca="1" si="12"/>
        <v>167477.3616352074</v>
      </c>
      <c r="O41" s="306">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0</v>
      </c>
      <c r="Y41" s="306">
        <f t="shared" ca="1" si="23"/>
        <v>-1644.9919849094142</v>
      </c>
      <c r="Z41" s="306">
        <v>0</v>
      </c>
      <c r="AA41" s="308">
        <f ca="1">-SUM(W41,X41/OFFSET(GridFootprintbyYear,$A41-$A$19,0)*EF_PurchElec_MTperMWh,Z41)*OFFSET(ExposureCalculations!Price_GHG_Allowance_2010,A41-$A$19,0)*ExposureCalculations!D38</f>
        <v>0</v>
      </c>
      <c r="AB41" s="308">
        <f t="shared" ca="1" si="3"/>
        <v>0</v>
      </c>
      <c r="AC41" s="308">
        <v>0</v>
      </c>
      <c r="AD41" s="819">
        <f t="shared" ca="1" si="4"/>
        <v>0</v>
      </c>
      <c r="AE41" s="308">
        <v>0</v>
      </c>
      <c r="AF41" s="819">
        <f t="shared" ca="1" si="5"/>
        <v>0</v>
      </c>
      <c r="AG41" s="308">
        <v>0</v>
      </c>
      <c r="AH41" s="308">
        <v>0</v>
      </c>
      <c r="AI41" s="308">
        <v>0</v>
      </c>
      <c r="AJ41" s="308">
        <f t="shared" ca="1" si="6"/>
        <v>0</v>
      </c>
      <c r="AK41" s="309">
        <v>0</v>
      </c>
      <c r="AL41" s="309">
        <v>0</v>
      </c>
      <c r="AM41" s="309">
        <f t="shared" si="19"/>
        <v>0</v>
      </c>
      <c r="AN41" s="310">
        <v>0</v>
      </c>
      <c r="AO41" s="310">
        <f t="shared" si="24"/>
        <v>-174750</v>
      </c>
      <c r="AP41" s="310">
        <f t="shared" si="20"/>
        <v>-174750</v>
      </c>
      <c r="AQ41" s="309">
        <v>0</v>
      </c>
      <c r="AR41" s="311">
        <f t="shared" ca="1" si="7"/>
        <v>-174750</v>
      </c>
      <c r="AS41" s="870">
        <f t="shared" ca="1" si="21"/>
        <v>-3308375</v>
      </c>
      <c r="AT41" s="822"/>
      <c r="AU41" s="878"/>
      <c r="AV41" s="35"/>
      <c r="AW41" s="879"/>
      <c r="AX41" s="35"/>
      <c r="AY41" s="880"/>
    </row>
    <row r="42" spans="1:51">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2"/>
        <v>0</v>
      </c>
      <c r="K42" s="307">
        <f t="shared" ca="1" si="10"/>
        <v>169053.98723605942</v>
      </c>
      <c r="L42" s="307">
        <f t="shared" si="11"/>
        <v>0</v>
      </c>
      <c r="M42" s="307">
        <v>0</v>
      </c>
      <c r="N42" s="307">
        <f t="shared" ca="1" si="12"/>
        <v>169053.98723605942</v>
      </c>
      <c r="O42" s="306">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0</v>
      </c>
      <c r="Y42" s="306">
        <f t="shared" ca="1" si="23"/>
        <v>-1644.9919849094142</v>
      </c>
      <c r="Z42" s="306">
        <v>0</v>
      </c>
      <c r="AA42" s="308">
        <f ca="1">-SUM(W42,X42/OFFSET(GridFootprintbyYear,$A42-$A$19,0)*EF_PurchElec_MTperMWh,Z42)*OFFSET(ExposureCalculations!Price_GHG_Allowance_2010,A42-$A$19,0)*ExposureCalculations!D39</f>
        <v>0</v>
      </c>
      <c r="AB42" s="308">
        <f t="shared" ca="1" si="3"/>
        <v>0</v>
      </c>
      <c r="AC42" s="308">
        <v>0</v>
      </c>
      <c r="AD42" s="819">
        <f t="shared" ca="1" si="4"/>
        <v>0</v>
      </c>
      <c r="AE42" s="308">
        <v>0</v>
      </c>
      <c r="AF42" s="819">
        <f t="shared" ca="1" si="5"/>
        <v>0</v>
      </c>
      <c r="AG42" s="308">
        <v>0</v>
      </c>
      <c r="AH42" s="308">
        <v>0</v>
      </c>
      <c r="AI42" s="308">
        <v>0</v>
      </c>
      <c r="AJ42" s="308">
        <f t="shared" ca="1" si="6"/>
        <v>0</v>
      </c>
      <c r="AK42" s="309">
        <v>0</v>
      </c>
      <c r="AL42" s="309">
        <v>0</v>
      </c>
      <c r="AM42" s="309">
        <f t="shared" si="19"/>
        <v>0</v>
      </c>
      <c r="AN42" s="310">
        <v>0</v>
      </c>
      <c r="AO42" s="310">
        <f t="shared" si="24"/>
        <v>-174750</v>
      </c>
      <c r="AP42" s="310">
        <f t="shared" si="20"/>
        <v>-174750</v>
      </c>
      <c r="AQ42" s="309">
        <v>0</v>
      </c>
      <c r="AR42" s="311">
        <f t="shared" ca="1" si="7"/>
        <v>-174750</v>
      </c>
      <c r="AS42" s="870">
        <f t="shared" ca="1" si="21"/>
        <v>-3483125</v>
      </c>
      <c r="AT42" s="822"/>
      <c r="AU42" s="878"/>
      <c r="AV42" s="35"/>
      <c r="AW42" s="879"/>
      <c r="AX42" s="35"/>
      <c r="AY42" s="880"/>
    </row>
    <row r="43" spans="1:51">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2"/>
        <v>0</v>
      </c>
      <c r="K43" s="307">
        <f t="shared" ca="1" si="10"/>
        <v>170630.61283691146</v>
      </c>
      <c r="L43" s="307">
        <f t="shared" si="11"/>
        <v>0</v>
      </c>
      <c r="M43" s="307">
        <v>0</v>
      </c>
      <c r="N43" s="307">
        <f t="shared" ca="1" si="12"/>
        <v>170630.61283691146</v>
      </c>
      <c r="O43" s="306">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0</v>
      </c>
      <c r="Y43" s="306">
        <f t="shared" ca="1" si="23"/>
        <v>-1644.9919849094142</v>
      </c>
      <c r="Z43" s="306">
        <v>0</v>
      </c>
      <c r="AA43" s="308">
        <f ca="1">-SUM(W43,X43/OFFSET(GridFootprintbyYear,$A43-$A$19,0)*EF_PurchElec_MTperMWh,Z43)*OFFSET(ExposureCalculations!Price_GHG_Allowance_2010,A43-$A$19,0)*ExposureCalculations!D40</f>
        <v>0</v>
      </c>
      <c r="AB43" s="308">
        <f t="shared" ca="1" si="3"/>
        <v>0</v>
      </c>
      <c r="AC43" s="308">
        <v>0</v>
      </c>
      <c r="AD43" s="819">
        <f t="shared" ca="1" si="4"/>
        <v>0</v>
      </c>
      <c r="AE43" s="308">
        <v>0</v>
      </c>
      <c r="AF43" s="819">
        <f t="shared" ca="1" si="5"/>
        <v>0</v>
      </c>
      <c r="AG43" s="308">
        <v>0</v>
      </c>
      <c r="AH43" s="308">
        <v>0</v>
      </c>
      <c r="AI43" s="308">
        <v>0</v>
      </c>
      <c r="AJ43" s="308">
        <f t="shared" ca="1" si="6"/>
        <v>0</v>
      </c>
      <c r="AK43" s="309">
        <v>0</v>
      </c>
      <c r="AL43" s="309">
        <v>0</v>
      </c>
      <c r="AM43" s="309">
        <f t="shared" si="19"/>
        <v>0</v>
      </c>
      <c r="AN43" s="310">
        <v>0</v>
      </c>
      <c r="AO43" s="310">
        <f t="shared" si="24"/>
        <v>-174750</v>
      </c>
      <c r="AP43" s="310">
        <f t="shared" si="20"/>
        <v>-174750</v>
      </c>
      <c r="AQ43" s="309">
        <v>0</v>
      </c>
      <c r="AR43" s="311">
        <f t="shared" ca="1" si="7"/>
        <v>-174750</v>
      </c>
      <c r="AS43" s="870">
        <f t="shared" ca="1" si="21"/>
        <v>-3657875</v>
      </c>
      <c r="AT43" s="822"/>
      <c r="AU43" s="878"/>
      <c r="AV43" s="35"/>
      <c r="AW43" s="879"/>
      <c r="AX43" s="35"/>
      <c r="AY43" s="880"/>
    </row>
    <row r="44" spans="1:51">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2"/>
        <v>0</v>
      </c>
      <c r="K44" s="307">
        <f t="shared" ca="1" si="10"/>
        <v>172207.23843776347</v>
      </c>
      <c r="L44" s="307">
        <f t="shared" si="11"/>
        <v>0</v>
      </c>
      <c r="M44" s="307">
        <v>0</v>
      </c>
      <c r="N44" s="307">
        <f t="shared" ca="1" si="12"/>
        <v>172207.23843776347</v>
      </c>
      <c r="O44" s="306">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0</v>
      </c>
      <c r="Y44" s="306">
        <f t="shared" ca="1" si="23"/>
        <v>-1644.9919849094142</v>
      </c>
      <c r="Z44" s="306">
        <v>0</v>
      </c>
      <c r="AA44" s="308">
        <f ca="1">-SUM(W44,X44/OFFSET(GridFootprintbyYear,$A44-$A$19,0)*EF_PurchElec_MTperMWh,Z44)*OFFSET(ExposureCalculations!Price_GHG_Allowance_2010,A44-$A$19,0)*ExposureCalculations!D41</f>
        <v>0</v>
      </c>
      <c r="AB44" s="308">
        <f t="shared" ca="1" si="3"/>
        <v>0</v>
      </c>
      <c r="AC44" s="308">
        <v>0</v>
      </c>
      <c r="AD44" s="819">
        <f t="shared" ca="1" si="4"/>
        <v>0</v>
      </c>
      <c r="AE44" s="308">
        <v>0</v>
      </c>
      <c r="AF44" s="819">
        <f t="shared" ca="1" si="5"/>
        <v>0</v>
      </c>
      <c r="AG44" s="308">
        <v>0</v>
      </c>
      <c r="AH44" s="308">
        <v>0</v>
      </c>
      <c r="AI44" s="308">
        <v>0</v>
      </c>
      <c r="AJ44" s="308">
        <f t="shared" ca="1" si="6"/>
        <v>0</v>
      </c>
      <c r="AK44" s="309">
        <v>0</v>
      </c>
      <c r="AL44" s="309">
        <v>0</v>
      </c>
      <c r="AM44" s="309">
        <f t="shared" si="19"/>
        <v>0</v>
      </c>
      <c r="AN44" s="310">
        <v>0</v>
      </c>
      <c r="AO44" s="310">
        <f t="shared" si="24"/>
        <v>-174750</v>
      </c>
      <c r="AP44" s="310">
        <f t="shared" si="20"/>
        <v>-174750</v>
      </c>
      <c r="AQ44" s="309">
        <v>0</v>
      </c>
      <c r="AR44" s="311">
        <f t="shared" ca="1" si="7"/>
        <v>-174750</v>
      </c>
      <c r="AS44" s="870">
        <f t="shared" ca="1" si="21"/>
        <v>-3832625</v>
      </c>
      <c r="AT44" s="822"/>
      <c r="AU44" s="878"/>
      <c r="AV44" s="35"/>
      <c r="AW44" s="879"/>
      <c r="AX44" s="35"/>
      <c r="AY44" s="880"/>
    </row>
    <row r="45" spans="1:51">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2"/>
        <v>0</v>
      </c>
      <c r="K45" s="307">
        <f t="shared" ca="1" si="10"/>
        <v>173783.86403861555</v>
      </c>
      <c r="L45" s="307">
        <f t="shared" si="11"/>
        <v>0</v>
      </c>
      <c r="M45" s="307">
        <v>0</v>
      </c>
      <c r="N45" s="307">
        <f t="shared" ca="1" si="12"/>
        <v>173783.86403861555</v>
      </c>
      <c r="O45" s="306">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0</v>
      </c>
      <c r="Y45" s="306">
        <f t="shared" ca="1" si="23"/>
        <v>-1644.9919849094142</v>
      </c>
      <c r="Z45" s="306">
        <v>0</v>
      </c>
      <c r="AA45" s="308">
        <f ca="1">-SUM(W45,X45/OFFSET(GridFootprintbyYear,$A45-$A$19,0)*EF_PurchElec_MTperMWh,Z45)*OFFSET(ExposureCalculations!Price_GHG_Allowance_2010,A45-$A$19,0)*ExposureCalculations!D42</f>
        <v>0</v>
      </c>
      <c r="AB45" s="308">
        <f t="shared" ca="1" si="3"/>
        <v>0</v>
      </c>
      <c r="AC45" s="308">
        <v>0</v>
      </c>
      <c r="AD45" s="819">
        <f t="shared" ca="1" si="4"/>
        <v>0</v>
      </c>
      <c r="AE45" s="308">
        <v>0</v>
      </c>
      <c r="AF45" s="819">
        <f t="shared" ca="1" si="5"/>
        <v>0</v>
      </c>
      <c r="AG45" s="308">
        <v>0</v>
      </c>
      <c r="AH45" s="308">
        <v>0</v>
      </c>
      <c r="AI45" s="308">
        <v>0</v>
      </c>
      <c r="AJ45" s="308">
        <f t="shared" ca="1" si="6"/>
        <v>0</v>
      </c>
      <c r="AK45" s="309">
        <v>0</v>
      </c>
      <c r="AL45" s="309">
        <v>0</v>
      </c>
      <c r="AM45" s="309">
        <f t="shared" si="19"/>
        <v>0</v>
      </c>
      <c r="AN45" s="310">
        <v>0</v>
      </c>
      <c r="AO45" s="310">
        <f t="shared" si="24"/>
        <v>-174750</v>
      </c>
      <c r="AP45" s="310">
        <f t="shared" si="20"/>
        <v>-174750</v>
      </c>
      <c r="AQ45" s="309">
        <v>0</v>
      </c>
      <c r="AR45" s="311">
        <f t="shared" ca="1" si="7"/>
        <v>-174750</v>
      </c>
      <c r="AS45" s="870">
        <f t="shared" ca="1" si="21"/>
        <v>-4007375</v>
      </c>
      <c r="AT45" s="822"/>
      <c r="AU45" s="878"/>
      <c r="AV45" s="35"/>
      <c r="AW45" s="879"/>
      <c r="AX45" s="35"/>
      <c r="AY45" s="880"/>
    </row>
    <row r="46" spans="1:51">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2"/>
        <v>0</v>
      </c>
      <c r="K46" s="307">
        <f t="shared" ca="1" si="10"/>
        <v>175360.48963946756</v>
      </c>
      <c r="L46" s="307">
        <f t="shared" si="11"/>
        <v>0</v>
      </c>
      <c r="M46" s="307">
        <v>0</v>
      </c>
      <c r="N46" s="307">
        <f t="shared" ca="1" si="12"/>
        <v>175360.48963946756</v>
      </c>
      <c r="O46" s="306">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0</v>
      </c>
      <c r="Y46" s="306">
        <f t="shared" ca="1" si="23"/>
        <v>-1644.9919849094142</v>
      </c>
      <c r="Z46" s="306">
        <v>0</v>
      </c>
      <c r="AA46" s="308">
        <f ca="1">-SUM(W46,X46/OFFSET(GridFootprintbyYear,$A46-$A$19,0)*EF_PurchElec_MTperMWh,Z46)*OFFSET(ExposureCalculations!Price_GHG_Allowance_2010,A46-$A$19,0)*ExposureCalculations!D43</f>
        <v>0</v>
      </c>
      <c r="AB46" s="308">
        <f t="shared" ca="1" si="3"/>
        <v>0</v>
      </c>
      <c r="AC46" s="308">
        <v>0</v>
      </c>
      <c r="AD46" s="819">
        <f t="shared" ca="1" si="4"/>
        <v>0</v>
      </c>
      <c r="AE46" s="308">
        <v>0</v>
      </c>
      <c r="AF46" s="819">
        <f t="shared" ca="1" si="5"/>
        <v>0</v>
      </c>
      <c r="AG46" s="308">
        <v>0</v>
      </c>
      <c r="AH46" s="308">
        <v>0</v>
      </c>
      <c r="AI46" s="308">
        <v>0</v>
      </c>
      <c r="AJ46" s="308">
        <f t="shared" ca="1" si="6"/>
        <v>0</v>
      </c>
      <c r="AK46" s="309">
        <v>0</v>
      </c>
      <c r="AL46" s="309">
        <v>0</v>
      </c>
      <c r="AM46" s="309">
        <f t="shared" si="19"/>
        <v>0</v>
      </c>
      <c r="AN46" s="310">
        <v>0</v>
      </c>
      <c r="AO46" s="310">
        <f t="shared" si="24"/>
        <v>-174750</v>
      </c>
      <c r="AP46" s="310">
        <f t="shared" si="20"/>
        <v>-174750</v>
      </c>
      <c r="AQ46" s="309">
        <v>0</v>
      </c>
      <c r="AR46" s="311">
        <f t="shared" ca="1" si="7"/>
        <v>-174750</v>
      </c>
      <c r="AS46" s="870">
        <f t="shared" ca="1" si="21"/>
        <v>-4182125</v>
      </c>
      <c r="AT46" s="822"/>
      <c r="AU46" s="878"/>
      <c r="AV46" s="35"/>
      <c r="AW46" s="879"/>
      <c r="AX46" s="35"/>
      <c r="AY46" s="880"/>
    </row>
    <row r="47" spans="1:51">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2"/>
        <v>0</v>
      </c>
      <c r="K47" s="307">
        <f t="shared" ca="1" si="10"/>
        <v>176937.1152403196</v>
      </c>
      <c r="L47" s="307">
        <f t="shared" si="11"/>
        <v>0</v>
      </c>
      <c r="M47" s="307">
        <v>0</v>
      </c>
      <c r="N47" s="307">
        <f t="shared" ca="1" si="12"/>
        <v>176937.1152403196</v>
      </c>
      <c r="O47" s="306">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0</v>
      </c>
      <c r="Y47" s="306">
        <f t="shared" ca="1" si="23"/>
        <v>-1644.9919849094142</v>
      </c>
      <c r="Z47" s="306">
        <v>0</v>
      </c>
      <c r="AA47" s="308">
        <f ca="1">-SUM(W47,X47/OFFSET(GridFootprintbyYear,$A47-$A$19,0)*EF_PurchElec_MTperMWh,Z47)*OFFSET(ExposureCalculations!Price_GHG_Allowance_2010,A47-$A$19,0)*ExposureCalculations!D44</f>
        <v>0</v>
      </c>
      <c r="AB47" s="308">
        <f t="shared" ca="1" si="3"/>
        <v>0</v>
      </c>
      <c r="AC47" s="308">
        <v>0</v>
      </c>
      <c r="AD47" s="819">
        <f t="shared" ca="1" si="4"/>
        <v>0</v>
      </c>
      <c r="AE47" s="308">
        <v>0</v>
      </c>
      <c r="AF47" s="819">
        <f t="shared" ca="1" si="5"/>
        <v>0</v>
      </c>
      <c r="AG47" s="308">
        <v>0</v>
      </c>
      <c r="AH47" s="308">
        <v>0</v>
      </c>
      <c r="AI47" s="308">
        <v>0</v>
      </c>
      <c r="AJ47" s="308">
        <f t="shared" ca="1" si="6"/>
        <v>0</v>
      </c>
      <c r="AK47" s="309">
        <v>0</v>
      </c>
      <c r="AL47" s="309">
        <v>0</v>
      </c>
      <c r="AM47" s="309">
        <f t="shared" si="19"/>
        <v>0</v>
      </c>
      <c r="AN47" s="310">
        <v>0</v>
      </c>
      <c r="AO47" s="310">
        <f t="shared" si="24"/>
        <v>-174750</v>
      </c>
      <c r="AP47" s="310">
        <f t="shared" si="20"/>
        <v>-174750</v>
      </c>
      <c r="AQ47" s="309">
        <v>0</v>
      </c>
      <c r="AR47" s="311">
        <f t="shared" ca="1" si="7"/>
        <v>-174750</v>
      </c>
      <c r="AS47" s="870">
        <f t="shared" ca="1" si="21"/>
        <v>-4356875</v>
      </c>
      <c r="AT47" s="822"/>
      <c r="AU47" s="878"/>
      <c r="AV47" s="35"/>
      <c r="AW47" s="879"/>
      <c r="AX47" s="35"/>
      <c r="AY47" s="880"/>
    </row>
    <row r="48" spans="1:51">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2"/>
        <v>0</v>
      </c>
      <c r="K48" s="307">
        <f t="shared" ca="1" si="10"/>
        <v>178513.74084117162</v>
      </c>
      <c r="L48" s="307">
        <f t="shared" si="11"/>
        <v>0</v>
      </c>
      <c r="M48" s="307">
        <v>0</v>
      </c>
      <c r="N48" s="307">
        <f t="shared" ca="1" si="12"/>
        <v>178513.74084117162</v>
      </c>
      <c r="O48" s="306">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0</v>
      </c>
      <c r="Y48" s="306">
        <f t="shared" ca="1" si="23"/>
        <v>-1644.9919849094142</v>
      </c>
      <c r="Z48" s="306">
        <v>0</v>
      </c>
      <c r="AA48" s="308">
        <f ca="1">-SUM(W48,X48/OFFSET(GridFootprintbyYear,$A48-$A$19,0)*EF_PurchElec_MTperMWh,Z48)*OFFSET(ExposureCalculations!Price_GHG_Allowance_2010,A48-$A$19,0)*ExposureCalculations!D45</f>
        <v>0</v>
      </c>
      <c r="AB48" s="308">
        <f t="shared" ca="1" si="3"/>
        <v>0</v>
      </c>
      <c r="AC48" s="308">
        <v>0</v>
      </c>
      <c r="AD48" s="819">
        <f t="shared" ca="1" si="4"/>
        <v>0</v>
      </c>
      <c r="AE48" s="308">
        <v>0</v>
      </c>
      <c r="AF48" s="819">
        <f t="shared" ca="1" si="5"/>
        <v>0</v>
      </c>
      <c r="AG48" s="308">
        <v>0</v>
      </c>
      <c r="AH48" s="308">
        <v>0</v>
      </c>
      <c r="AI48" s="308">
        <v>0</v>
      </c>
      <c r="AJ48" s="308">
        <f t="shared" ca="1" si="6"/>
        <v>0</v>
      </c>
      <c r="AK48" s="309">
        <v>0</v>
      </c>
      <c r="AL48" s="309">
        <v>0</v>
      </c>
      <c r="AM48" s="309">
        <f t="shared" si="19"/>
        <v>0</v>
      </c>
      <c r="AN48" s="310">
        <v>0</v>
      </c>
      <c r="AO48" s="310">
        <f t="shared" si="24"/>
        <v>-174750</v>
      </c>
      <c r="AP48" s="310">
        <f t="shared" si="20"/>
        <v>-174750</v>
      </c>
      <c r="AQ48" s="309">
        <v>0</v>
      </c>
      <c r="AR48" s="311">
        <f t="shared" ca="1" si="7"/>
        <v>-174750</v>
      </c>
      <c r="AS48" s="870">
        <f t="shared" ca="1" si="21"/>
        <v>-4531625</v>
      </c>
      <c r="AT48" s="822"/>
      <c r="AU48" s="878"/>
      <c r="AV48" s="35"/>
      <c r="AW48" s="879"/>
      <c r="AX48" s="35"/>
      <c r="AY48" s="880"/>
    </row>
    <row r="49" spans="1:51">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2"/>
        <v>0</v>
      </c>
      <c r="K49" s="307">
        <f t="shared" ca="1" si="10"/>
        <v>180090.36644202363</v>
      </c>
      <c r="L49" s="307">
        <f t="shared" si="11"/>
        <v>0</v>
      </c>
      <c r="M49" s="307">
        <v>0</v>
      </c>
      <c r="N49" s="307">
        <f t="shared" ca="1" si="12"/>
        <v>180090.36644202363</v>
      </c>
      <c r="O49" s="306">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0</v>
      </c>
      <c r="Y49" s="306">
        <f t="shared" ca="1" si="23"/>
        <v>-1644.9919849094142</v>
      </c>
      <c r="Z49" s="306">
        <v>0</v>
      </c>
      <c r="AA49" s="308">
        <f ca="1">-SUM(W49,X49/OFFSET(GridFootprintbyYear,$A49-$A$19,0)*EF_PurchElec_MTperMWh,Z49)*OFFSET(ExposureCalculations!Price_GHG_Allowance_2010,A49-$A$19,0)*ExposureCalculations!D46</f>
        <v>0</v>
      </c>
      <c r="AB49" s="308">
        <f t="shared" ca="1" si="3"/>
        <v>0</v>
      </c>
      <c r="AC49" s="308">
        <v>0</v>
      </c>
      <c r="AD49" s="819">
        <f t="shared" ca="1" si="4"/>
        <v>0</v>
      </c>
      <c r="AE49" s="308">
        <v>0</v>
      </c>
      <c r="AF49" s="819">
        <f t="shared" ca="1" si="5"/>
        <v>0</v>
      </c>
      <c r="AG49" s="308">
        <v>0</v>
      </c>
      <c r="AH49" s="308">
        <v>0</v>
      </c>
      <c r="AI49" s="308">
        <v>0</v>
      </c>
      <c r="AJ49" s="308">
        <f t="shared" ca="1" si="6"/>
        <v>0</v>
      </c>
      <c r="AK49" s="309">
        <v>0</v>
      </c>
      <c r="AL49" s="309">
        <v>0</v>
      </c>
      <c r="AM49" s="309">
        <f t="shared" si="19"/>
        <v>0</v>
      </c>
      <c r="AN49" s="310">
        <v>0</v>
      </c>
      <c r="AO49" s="310">
        <f t="shared" si="24"/>
        <v>-174750</v>
      </c>
      <c r="AP49" s="310">
        <f t="shared" si="20"/>
        <v>-174750</v>
      </c>
      <c r="AQ49" s="309">
        <v>0</v>
      </c>
      <c r="AR49" s="311">
        <f t="shared" ca="1" si="7"/>
        <v>-174750</v>
      </c>
      <c r="AS49" s="870">
        <f t="shared" ca="1" si="21"/>
        <v>-4706375</v>
      </c>
      <c r="AT49" s="822"/>
      <c r="AU49" s="878"/>
      <c r="AV49" s="35"/>
      <c r="AW49" s="879"/>
      <c r="AX49" s="35"/>
      <c r="AY49" s="880"/>
    </row>
    <row r="50" spans="1:51">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2"/>
        <v>0</v>
      </c>
      <c r="K50" s="307">
        <f t="shared" ca="1" si="10"/>
        <v>181666.99204287567</v>
      </c>
      <c r="L50" s="307">
        <f t="shared" si="11"/>
        <v>0</v>
      </c>
      <c r="M50" s="307">
        <v>0</v>
      </c>
      <c r="N50" s="307">
        <f t="shared" ca="1" si="12"/>
        <v>181666.99204287567</v>
      </c>
      <c r="O50" s="306">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0</v>
      </c>
      <c r="Y50" s="306">
        <f t="shared" ca="1" si="23"/>
        <v>-1644.9919849094142</v>
      </c>
      <c r="Z50" s="306">
        <v>0</v>
      </c>
      <c r="AA50" s="308">
        <f ca="1">-SUM(W50,X50/OFFSET(GridFootprintbyYear,$A50-$A$19,0)*EF_PurchElec_MTperMWh,Z50)*OFFSET(ExposureCalculations!Price_GHG_Allowance_2010,A50-$A$19,0)*ExposureCalculations!D47</f>
        <v>0</v>
      </c>
      <c r="AB50" s="308">
        <f t="shared" ca="1" si="3"/>
        <v>0</v>
      </c>
      <c r="AC50" s="308">
        <v>0</v>
      </c>
      <c r="AD50" s="819">
        <f t="shared" ca="1" si="4"/>
        <v>0</v>
      </c>
      <c r="AE50" s="308">
        <v>0</v>
      </c>
      <c r="AF50" s="819">
        <f t="shared" ca="1" si="5"/>
        <v>0</v>
      </c>
      <c r="AG50" s="308">
        <v>0</v>
      </c>
      <c r="AH50" s="308">
        <v>0</v>
      </c>
      <c r="AI50" s="308">
        <v>0</v>
      </c>
      <c r="AJ50" s="308">
        <f t="shared" ca="1" si="6"/>
        <v>0</v>
      </c>
      <c r="AK50" s="309">
        <v>0</v>
      </c>
      <c r="AL50" s="309">
        <v>0</v>
      </c>
      <c r="AM50" s="309">
        <f t="shared" si="19"/>
        <v>0</v>
      </c>
      <c r="AN50" s="310">
        <v>0</v>
      </c>
      <c r="AO50" s="310">
        <f t="shared" si="24"/>
        <v>-174750</v>
      </c>
      <c r="AP50" s="310">
        <f t="shared" si="20"/>
        <v>-174750</v>
      </c>
      <c r="AQ50" s="309">
        <v>0</v>
      </c>
      <c r="AR50" s="311">
        <f t="shared" ca="1" si="7"/>
        <v>-174750</v>
      </c>
      <c r="AS50" s="870">
        <f t="shared" ca="1" si="21"/>
        <v>-4881125</v>
      </c>
      <c r="AT50" s="822"/>
      <c r="AU50" s="878"/>
      <c r="AV50" s="35"/>
      <c r="AW50" s="879"/>
      <c r="AX50" s="35"/>
      <c r="AY50" s="880"/>
    </row>
    <row r="51" spans="1:51">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2"/>
        <v>0</v>
      </c>
      <c r="K51" s="307">
        <f t="shared" ca="1" si="10"/>
        <v>183243.61764372772</v>
      </c>
      <c r="L51" s="307">
        <f t="shared" si="11"/>
        <v>0</v>
      </c>
      <c r="M51" s="307">
        <v>0</v>
      </c>
      <c r="N51" s="307">
        <f t="shared" ca="1" si="12"/>
        <v>183243.61764372772</v>
      </c>
      <c r="O51" s="306">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0</v>
      </c>
      <c r="Y51" s="306">
        <f t="shared" ca="1" si="23"/>
        <v>-1644.9919849094142</v>
      </c>
      <c r="Z51" s="306">
        <v>0</v>
      </c>
      <c r="AA51" s="308">
        <f ca="1">-SUM(W51,X51/OFFSET(GridFootprintbyYear,$A51-$A$19,0)*EF_PurchElec_MTperMWh,Z51)*OFFSET(ExposureCalculations!Price_GHG_Allowance_2010,A51-$A$19,0)*ExposureCalculations!D48</f>
        <v>0</v>
      </c>
      <c r="AB51" s="308">
        <f t="shared" ca="1" si="3"/>
        <v>0</v>
      </c>
      <c r="AC51" s="308">
        <v>0</v>
      </c>
      <c r="AD51" s="819">
        <f t="shared" ca="1" si="4"/>
        <v>0</v>
      </c>
      <c r="AE51" s="308">
        <v>0</v>
      </c>
      <c r="AF51" s="819">
        <f t="shared" ca="1" si="5"/>
        <v>0</v>
      </c>
      <c r="AG51" s="308">
        <v>0</v>
      </c>
      <c r="AH51" s="308">
        <v>0</v>
      </c>
      <c r="AI51" s="308">
        <v>0</v>
      </c>
      <c r="AJ51" s="308">
        <f t="shared" ca="1" si="6"/>
        <v>0</v>
      </c>
      <c r="AK51" s="309">
        <v>0</v>
      </c>
      <c r="AL51" s="309">
        <v>0</v>
      </c>
      <c r="AM51" s="309">
        <f t="shared" si="19"/>
        <v>0</v>
      </c>
      <c r="AN51" s="310">
        <v>0</v>
      </c>
      <c r="AO51" s="310">
        <f t="shared" si="24"/>
        <v>-174750</v>
      </c>
      <c r="AP51" s="310">
        <f t="shared" si="20"/>
        <v>-174750</v>
      </c>
      <c r="AQ51" s="309">
        <v>0</v>
      </c>
      <c r="AR51" s="311">
        <f t="shared" ca="1" si="7"/>
        <v>-174750</v>
      </c>
      <c r="AS51" s="870">
        <f t="shared" ca="1" si="21"/>
        <v>-5055875</v>
      </c>
      <c r="AT51" s="822"/>
      <c r="AU51" s="878"/>
      <c r="AV51" s="35"/>
      <c r="AW51" s="879"/>
      <c r="AX51" s="35"/>
      <c r="AY51" s="880"/>
    </row>
    <row r="52" spans="1:51">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2"/>
        <v>0</v>
      </c>
      <c r="K52" s="307">
        <f t="shared" ca="1" si="10"/>
        <v>184820.24324457973</v>
      </c>
      <c r="L52" s="307">
        <f t="shared" si="11"/>
        <v>0</v>
      </c>
      <c r="M52" s="307">
        <v>0</v>
      </c>
      <c r="N52" s="307">
        <f t="shared" ca="1" si="12"/>
        <v>184820.24324457973</v>
      </c>
      <c r="O52" s="306">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0</v>
      </c>
      <c r="Y52" s="306">
        <f t="shared" ca="1" si="23"/>
        <v>-1644.9919849094142</v>
      </c>
      <c r="Z52" s="306">
        <v>0</v>
      </c>
      <c r="AA52" s="308">
        <f ca="1">-SUM(W52,X52/OFFSET(GridFootprintbyYear,$A52-$A$19,0)*EF_PurchElec_MTperMWh,Z52)*OFFSET(ExposureCalculations!Price_GHG_Allowance_2010,A52-$A$19,0)*ExposureCalculations!D49</f>
        <v>0</v>
      </c>
      <c r="AB52" s="308">
        <f t="shared" ca="1" si="3"/>
        <v>0</v>
      </c>
      <c r="AC52" s="308">
        <v>0</v>
      </c>
      <c r="AD52" s="819">
        <f t="shared" ca="1" si="4"/>
        <v>0</v>
      </c>
      <c r="AE52" s="308">
        <v>0</v>
      </c>
      <c r="AF52" s="819">
        <f t="shared" ca="1" si="5"/>
        <v>0</v>
      </c>
      <c r="AG52" s="308">
        <v>0</v>
      </c>
      <c r="AH52" s="308">
        <v>0</v>
      </c>
      <c r="AI52" s="308">
        <v>0</v>
      </c>
      <c r="AJ52" s="308">
        <f t="shared" ca="1" si="6"/>
        <v>0</v>
      </c>
      <c r="AK52" s="309">
        <v>0</v>
      </c>
      <c r="AL52" s="309">
        <v>0</v>
      </c>
      <c r="AM52" s="309">
        <f t="shared" si="19"/>
        <v>0</v>
      </c>
      <c r="AN52" s="310">
        <v>0</v>
      </c>
      <c r="AO52" s="310">
        <f t="shared" si="24"/>
        <v>-174750</v>
      </c>
      <c r="AP52" s="310">
        <f t="shared" si="20"/>
        <v>-174750</v>
      </c>
      <c r="AQ52" s="309">
        <v>0</v>
      </c>
      <c r="AR52" s="311">
        <f t="shared" ca="1" si="7"/>
        <v>-174750</v>
      </c>
      <c r="AS52" s="870">
        <f t="shared" ca="1" si="21"/>
        <v>-5230625</v>
      </c>
      <c r="AT52" s="822"/>
      <c r="AU52" s="878"/>
      <c r="AV52" s="35"/>
      <c r="AW52" s="879"/>
      <c r="AX52" s="35"/>
      <c r="AY52" s="880"/>
    </row>
    <row r="53" spans="1:51">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2"/>
        <v>0</v>
      </c>
      <c r="K53" s="307">
        <f t="shared" ca="1" si="10"/>
        <v>186396.86884543177</v>
      </c>
      <c r="L53" s="307">
        <f t="shared" si="11"/>
        <v>0</v>
      </c>
      <c r="M53" s="307">
        <v>0</v>
      </c>
      <c r="N53" s="307">
        <f t="shared" ca="1" si="12"/>
        <v>186396.86884543177</v>
      </c>
      <c r="O53" s="306">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0</v>
      </c>
      <c r="Y53" s="306">
        <f t="shared" ca="1" si="23"/>
        <v>-1644.9919849094142</v>
      </c>
      <c r="Z53" s="306">
        <v>0</v>
      </c>
      <c r="AA53" s="308">
        <f ca="1">-SUM(W53,X53/OFFSET(GridFootprintbyYear,$A53-$A$19,0)*EF_PurchElec_MTperMWh,Z53)*OFFSET(ExposureCalculations!Price_GHG_Allowance_2010,A53-$A$19,0)*ExposureCalculations!D50</f>
        <v>0</v>
      </c>
      <c r="AB53" s="308">
        <f t="shared" ca="1" si="3"/>
        <v>0</v>
      </c>
      <c r="AC53" s="308">
        <v>0</v>
      </c>
      <c r="AD53" s="819">
        <f t="shared" ca="1" si="4"/>
        <v>0</v>
      </c>
      <c r="AE53" s="308">
        <v>0</v>
      </c>
      <c r="AF53" s="819">
        <f t="shared" ca="1" si="5"/>
        <v>0</v>
      </c>
      <c r="AG53" s="308">
        <v>0</v>
      </c>
      <c r="AH53" s="308">
        <v>0</v>
      </c>
      <c r="AI53" s="308">
        <v>0</v>
      </c>
      <c r="AJ53" s="308">
        <f t="shared" ca="1" si="6"/>
        <v>0</v>
      </c>
      <c r="AK53" s="309">
        <v>0</v>
      </c>
      <c r="AL53" s="309">
        <v>0</v>
      </c>
      <c r="AM53" s="309">
        <f t="shared" si="19"/>
        <v>0</v>
      </c>
      <c r="AN53" s="310">
        <v>0</v>
      </c>
      <c r="AO53" s="310">
        <f t="shared" si="24"/>
        <v>-174750</v>
      </c>
      <c r="AP53" s="310">
        <f t="shared" si="20"/>
        <v>-174750</v>
      </c>
      <c r="AQ53" s="309">
        <v>0</v>
      </c>
      <c r="AR53" s="311">
        <f t="shared" ca="1" si="7"/>
        <v>-174750</v>
      </c>
      <c r="AS53" s="870">
        <f t="shared" ca="1" si="21"/>
        <v>-5405375</v>
      </c>
      <c r="AT53" s="822"/>
      <c r="AU53" s="878"/>
      <c r="AV53" s="35"/>
      <c r="AW53" s="879"/>
      <c r="AX53" s="35"/>
      <c r="AY53" s="880"/>
    </row>
    <row r="54" spans="1:51">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2"/>
        <v>0</v>
      </c>
      <c r="K54" s="307">
        <f t="shared" ca="1" si="10"/>
        <v>187973.49444628376</v>
      </c>
      <c r="L54" s="307">
        <f t="shared" si="11"/>
        <v>0</v>
      </c>
      <c r="M54" s="307">
        <v>0</v>
      </c>
      <c r="N54" s="307">
        <f t="shared" ca="1" si="12"/>
        <v>187973.49444628376</v>
      </c>
      <c r="O54" s="306">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0</v>
      </c>
      <c r="Y54" s="306">
        <f t="shared" ca="1" si="23"/>
        <v>-1644.9919849094142</v>
      </c>
      <c r="Z54" s="306">
        <v>0</v>
      </c>
      <c r="AA54" s="308">
        <f ca="1">-SUM(W54,X54/OFFSET(GridFootprintbyYear,$A54-$A$19,0)*EF_PurchElec_MTperMWh,Z54)*OFFSET(ExposureCalculations!Price_GHG_Allowance_2010,A54-$A$19,0)*ExposureCalculations!D51</f>
        <v>0</v>
      </c>
      <c r="AB54" s="308">
        <f t="shared" ca="1" si="3"/>
        <v>0</v>
      </c>
      <c r="AC54" s="308">
        <v>0</v>
      </c>
      <c r="AD54" s="819">
        <f t="shared" ca="1" si="4"/>
        <v>0</v>
      </c>
      <c r="AE54" s="308">
        <v>0</v>
      </c>
      <c r="AF54" s="819">
        <f t="shared" ca="1" si="5"/>
        <v>0</v>
      </c>
      <c r="AG54" s="308">
        <v>0</v>
      </c>
      <c r="AH54" s="308">
        <v>0</v>
      </c>
      <c r="AI54" s="308">
        <v>0</v>
      </c>
      <c r="AJ54" s="308">
        <f t="shared" ca="1" si="6"/>
        <v>0</v>
      </c>
      <c r="AK54" s="309">
        <v>0</v>
      </c>
      <c r="AL54" s="309">
        <v>0</v>
      </c>
      <c r="AM54" s="309">
        <f t="shared" si="19"/>
        <v>0</v>
      </c>
      <c r="AN54" s="310">
        <v>0</v>
      </c>
      <c r="AO54" s="310">
        <f t="shared" si="24"/>
        <v>-174750</v>
      </c>
      <c r="AP54" s="310">
        <f t="shared" si="20"/>
        <v>-174750</v>
      </c>
      <c r="AQ54" s="309">
        <v>0</v>
      </c>
      <c r="AR54" s="311">
        <f t="shared" ca="1" si="7"/>
        <v>-174750</v>
      </c>
      <c r="AS54" s="870">
        <f t="shared" ca="1" si="21"/>
        <v>-5580125</v>
      </c>
      <c r="AT54" s="822"/>
      <c r="AU54" s="878"/>
      <c r="AV54" s="35"/>
      <c r="AW54" s="879"/>
      <c r="AX54" s="35"/>
      <c r="AY54" s="880"/>
    </row>
    <row r="55" spans="1:51">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2"/>
        <v>0</v>
      </c>
      <c r="K55" s="307">
        <f t="shared" ca="1" si="10"/>
        <v>189550.12004713583</v>
      </c>
      <c r="L55" s="307">
        <f t="shared" si="11"/>
        <v>0</v>
      </c>
      <c r="M55" s="307">
        <v>0</v>
      </c>
      <c r="N55" s="307">
        <f t="shared" ca="1" si="12"/>
        <v>189550.12004713583</v>
      </c>
      <c r="O55" s="306">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0</v>
      </c>
      <c r="Y55" s="306">
        <f t="shared" ca="1" si="23"/>
        <v>-1644.9919849094142</v>
      </c>
      <c r="Z55" s="306">
        <v>0</v>
      </c>
      <c r="AA55" s="308">
        <f ca="1">-SUM(W55,X55/OFFSET(GridFootprintbyYear,$A55-$A$19,0)*EF_PurchElec_MTperMWh,Z55)*OFFSET(ExposureCalculations!Price_GHG_Allowance_2010,A55-$A$19,0)*ExposureCalculations!D52</f>
        <v>0</v>
      </c>
      <c r="AB55" s="308">
        <f t="shared" ca="1" si="3"/>
        <v>0</v>
      </c>
      <c r="AC55" s="308">
        <v>0</v>
      </c>
      <c r="AD55" s="819">
        <f t="shared" ca="1" si="4"/>
        <v>0</v>
      </c>
      <c r="AE55" s="308">
        <v>0</v>
      </c>
      <c r="AF55" s="819">
        <f t="shared" ca="1" si="5"/>
        <v>0</v>
      </c>
      <c r="AG55" s="308">
        <v>0</v>
      </c>
      <c r="AH55" s="308">
        <v>0</v>
      </c>
      <c r="AI55" s="308">
        <v>0</v>
      </c>
      <c r="AJ55" s="308">
        <f t="shared" ca="1" si="6"/>
        <v>0</v>
      </c>
      <c r="AK55" s="309">
        <v>0</v>
      </c>
      <c r="AL55" s="309">
        <v>0</v>
      </c>
      <c r="AM55" s="309">
        <f t="shared" si="19"/>
        <v>0</v>
      </c>
      <c r="AN55" s="310">
        <v>0</v>
      </c>
      <c r="AO55" s="310">
        <f t="shared" si="24"/>
        <v>-174750</v>
      </c>
      <c r="AP55" s="310">
        <f t="shared" si="20"/>
        <v>-174750</v>
      </c>
      <c r="AQ55" s="309">
        <v>0</v>
      </c>
      <c r="AR55" s="311">
        <f t="shared" ca="1" si="7"/>
        <v>-174750</v>
      </c>
      <c r="AS55" s="870">
        <f t="shared" ca="1" si="21"/>
        <v>-5754875</v>
      </c>
      <c r="AT55" s="822"/>
      <c r="AU55" s="878"/>
      <c r="AV55" s="35"/>
      <c r="AW55" s="879"/>
      <c r="AX55" s="35"/>
      <c r="AY55" s="880"/>
    </row>
    <row r="56" spans="1:51">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2"/>
        <v>0</v>
      </c>
      <c r="K56" s="307">
        <f t="shared" ca="1" si="10"/>
        <v>191126.74564798782</v>
      </c>
      <c r="L56" s="307">
        <f t="shared" si="11"/>
        <v>0</v>
      </c>
      <c r="M56" s="307">
        <v>0</v>
      </c>
      <c r="N56" s="307">
        <f t="shared" ca="1" si="12"/>
        <v>191126.74564798782</v>
      </c>
      <c r="O56" s="306">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0</v>
      </c>
      <c r="Y56" s="306">
        <f t="shared" ca="1" si="23"/>
        <v>-1644.9919849094142</v>
      </c>
      <c r="Z56" s="306">
        <v>0</v>
      </c>
      <c r="AA56" s="308">
        <f ca="1">-SUM(W56,X56/OFFSET(GridFootprintbyYear,$A56-$A$19,0)*EF_PurchElec_MTperMWh,Z56)*OFFSET(ExposureCalculations!Price_GHG_Allowance_2010,A56-$A$19,0)*ExposureCalculations!D53</f>
        <v>0</v>
      </c>
      <c r="AB56" s="308">
        <f t="shared" ca="1" si="3"/>
        <v>0</v>
      </c>
      <c r="AC56" s="308">
        <v>0</v>
      </c>
      <c r="AD56" s="819">
        <f t="shared" ca="1" si="4"/>
        <v>0</v>
      </c>
      <c r="AE56" s="308">
        <v>0</v>
      </c>
      <c r="AF56" s="819">
        <f t="shared" ca="1" si="5"/>
        <v>0</v>
      </c>
      <c r="AG56" s="308">
        <v>0</v>
      </c>
      <c r="AH56" s="308">
        <v>0</v>
      </c>
      <c r="AI56" s="308">
        <v>0</v>
      </c>
      <c r="AJ56" s="308">
        <f t="shared" ca="1" si="6"/>
        <v>0</v>
      </c>
      <c r="AK56" s="309">
        <v>0</v>
      </c>
      <c r="AL56" s="309">
        <v>0</v>
      </c>
      <c r="AM56" s="309">
        <f t="shared" si="19"/>
        <v>0</v>
      </c>
      <c r="AN56" s="310">
        <v>0</v>
      </c>
      <c r="AO56" s="310">
        <f t="shared" si="24"/>
        <v>-174750</v>
      </c>
      <c r="AP56" s="310">
        <f t="shared" si="20"/>
        <v>-174750</v>
      </c>
      <c r="AQ56" s="309">
        <v>0</v>
      </c>
      <c r="AR56" s="311">
        <f t="shared" ca="1" si="7"/>
        <v>-174750</v>
      </c>
      <c r="AS56" s="870">
        <f t="shared" ca="1" si="21"/>
        <v>-5929625</v>
      </c>
      <c r="AT56" s="822"/>
      <c r="AU56" s="878"/>
      <c r="AV56" s="35"/>
      <c r="AW56" s="879"/>
      <c r="AX56" s="35"/>
      <c r="AY56" s="880"/>
    </row>
    <row r="57" spans="1:51">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2"/>
        <v>0</v>
      </c>
      <c r="K57" s="307">
        <f t="shared" ca="1" si="10"/>
        <v>192703.37124883989</v>
      </c>
      <c r="L57" s="307">
        <f t="shared" si="11"/>
        <v>0</v>
      </c>
      <c r="M57" s="307">
        <v>0</v>
      </c>
      <c r="N57" s="307">
        <f t="shared" ca="1" si="12"/>
        <v>192703.37124883989</v>
      </c>
      <c r="O57" s="306">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0</v>
      </c>
      <c r="Y57" s="306">
        <f t="shared" ca="1" si="23"/>
        <v>-1644.9919849094142</v>
      </c>
      <c r="Z57" s="306">
        <v>0</v>
      </c>
      <c r="AA57" s="308">
        <f ca="1">-SUM(W57,X57/OFFSET(GridFootprintbyYear,$A57-$A$19,0)*EF_PurchElec_MTperMWh,Z57)*OFFSET(ExposureCalculations!Price_GHG_Allowance_2010,A57-$A$19,0)*ExposureCalculations!D54</f>
        <v>0</v>
      </c>
      <c r="AB57" s="308">
        <f t="shared" ca="1" si="3"/>
        <v>0</v>
      </c>
      <c r="AC57" s="308">
        <v>0</v>
      </c>
      <c r="AD57" s="819">
        <f t="shared" ca="1" si="4"/>
        <v>0</v>
      </c>
      <c r="AE57" s="308">
        <v>0</v>
      </c>
      <c r="AF57" s="819">
        <f t="shared" ca="1" si="5"/>
        <v>0</v>
      </c>
      <c r="AG57" s="308">
        <v>0</v>
      </c>
      <c r="AH57" s="308">
        <v>0</v>
      </c>
      <c r="AI57" s="308">
        <v>0</v>
      </c>
      <c r="AJ57" s="308">
        <f t="shared" ca="1" si="6"/>
        <v>0</v>
      </c>
      <c r="AK57" s="309">
        <v>0</v>
      </c>
      <c r="AL57" s="309">
        <v>0</v>
      </c>
      <c r="AM57" s="309">
        <f t="shared" si="19"/>
        <v>0</v>
      </c>
      <c r="AN57" s="310">
        <v>0</v>
      </c>
      <c r="AO57" s="310">
        <f t="shared" si="24"/>
        <v>-174750</v>
      </c>
      <c r="AP57" s="310">
        <f t="shared" si="20"/>
        <v>-174750</v>
      </c>
      <c r="AQ57" s="309">
        <v>0</v>
      </c>
      <c r="AR57" s="311">
        <f t="shared" ca="1" si="7"/>
        <v>-174750</v>
      </c>
      <c r="AS57" s="870">
        <f t="shared" ca="1" si="21"/>
        <v>-6104375</v>
      </c>
      <c r="AT57" s="822"/>
      <c r="AU57" s="878"/>
      <c r="AV57" s="35"/>
      <c r="AW57" s="879"/>
      <c r="AX57" s="35"/>
      <c r="AY57" s="880"/>
    </row>
    <row r="58" spans="1:51">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2"/>
        <v>0</v>
      </c>
      <c r="K58" s="307">
        <f t="shared" ca="1" si="10"/>
        <v>194279.99684969187</v>
      </c>
      <c r="L58" s="307">
        <f t="shared" si="11"/>
        <v>0</v>
      </c>
      <c r="M58" s="307">
        <v>0</v>
      </c>
      <c r="N58" s="307">
        <f t="shared" ca="1" si="12"/>
        <v>194279.99684969187</v>
      </c>
      <c r="O58" s="306">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0</v>
      </c>
      <c r="Y58" s="306">
        <f t="shared" ca="1" si="23"/>
        <v>-1644.9919849094142</v>
      </c>
      <c r="Z58" s="306">
        <v>0</v>
      </c>
      <c r="AA58" s="308">
        <f ca="1">-SUM(W58,X58/OFFSET(GridFootprintbyYear,$A58-$A$19,0)*EF_PurchElec_MTperMWh,Z58)*OFFSET(ExposureCalculations!Price_GHG_Allowance_2010,A58-$A$19,0)*ExposureCalculations!D55</f>
        <v>0</v>
      </c>
      <c r="AB58" s="308">
        <f t="shared" ca="1" si="3"/>
        <v>0</v>
      </c>
      <c r="AC58" s="308">
        <v>0</v>
      </c>
      <c r="AD58" s="819">
        <f t="shared" ca="1" si="4"/>
        <v>0</v>
      </c>
      <c r="AE58" s="308">
        <v>0</v>
      </c>
      <c r="AF58" s="819">
        <f t="shared" ca="1" si="5"/>
        <v>0</v>
      </c>
      <c r="AG58" s="308">
        <v>0</v>
      </c>
      <c r="AH58" s="308">
        <v>0</v>
      </c>
      <c r="AI58" s="308">
        <v>0</v>
      </c>
      <c r="AJ58" s="308">
        <f t="shared" ca="1" si="6"/>
        <v>0</v>
      </c>
      <c r="AK58" s="309">
        <v>0</v>
      </c>
      <c r="AL58" s="309">
        <v>0</v>
      </c>
      <c r="AM58" s="309">
        <f t="shared" si="19"/>
        <v>0</v>
      </c>
      <c r="AN58" s="310">
        <v>0</v>
      </c>
      <c r="AO58" s="310">
        <f t="shared" si="24"/>
        <v>-174750</v>
      </c>
      <c r="AP58" s="310">
        <f t="shared" si="20"/>
        <v>-174750</v>
      </c>
      <c r="AQ58" s="309">
        <v>0</v>
      </c>
      <c r="AR58" s="311">
        <f t="shared" ca="1" si="7"/>
        <v>-174750</v>
      </c>
      <c r="AS58" s="870">
        <f t="shared" ca="1" si="21"/>
        <v>-6279125</v>
      </c>
      <c r="AT58" s="822"/>
      <c r="AU58" s="878"/>
      <c r="AV58" s="35"/>
      <c r="AW58" s="879"/>
      <c r="AX58" s="35"/>
      <c r="AY58" s="880"/>
    </row>
    <row r="59" spans="1:51">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2"/>
        <v>0</v>
      </c>
      <c r="K59" s="307">
        <f t="shared" ca="1" si="10"/>
        <v>195856.62245054395</v>
      </c>
      <c r="L59" s="307">
        <f t="shared" si="11"/>
        <v>0</v>
      </c>
      <c r="M59" s="307">
        <v>0</v>
      </c>
      <c r="N59" s="307">
        <f t="shared" ca="1" si="12"/>
        <v>195856.62245054395</v>
      </c>
      <c r="O59" s="306">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0</v>
      </c>
      <c r="Y59" s="306">
        <f t="shared" ca="1" si="23"/>
        <v>-1644.9919849094142</v>
      </c>
      <c r="Z59" s="306">
        <v>0</v>
      </c>
      <c r="AA59" s="308">
        <f ca="1">-SUM(W59,X59/OFFSET(GridFootprintbyYear,$A59-$A$19,0)*EF_PurchElec_MTperMWh,Z59)*OFFSET(ExposureCalculations!Price_GHG_Allowance_2010,A59-$A$19,0)*ExposureCalculations!D56</f>
        <v>0</v>
      </c>
      <c r="AB59" s="308">
        <f t="shared" ca="1" si="3"/>
        <v>0</v>
      </c>
      <c r="AC59" s="308">
        <v>0</v>
      </c>
      <c r="AD59" s="819">
        <f t="shared" ca="1" si="4"/>
        <v>0</v>
      </c>
      <c r="AE59" s="308">
        <v>0</v>
      </c>
      <c r="AF59" s="819">
        <f t="shared" ca="1" si="5"/>
        <v>0</v>
      </c>
      <c r="AG59" s="308">
        <v>0</v>
      </c>
      <c r="AH59" s="308">
        <v>0</v>
      </c>
      <c r="AI59" s="308">
        <v>0</v>
      </c>
      <c r="AJ59" s="308">
        <f t="shared" ca="1" si="6"/>
        <v>0</v>
      </c>
      <c r="AK59" s="309">
        <v>0</v>
      </c>
      <c r="AL59" s="309">
        <v>0</v>
      </c>
      <c r="AM59" s="309">
        <f t="shared" si="19"/>
        <v>0</v>
      </c>
      <c r="AN59" s="310">
        <v>0</v>
      </c>
      <c r="AO59" s="310">
        <f t="shared" si="24"/>
        <v>-174750</v>
      </c>
      <c r="AP59" s="310">
        <f t="shared" si="20"/>
        <v>-174750</v>
      </c>
      <c r="AQ59" s="309">
        <v>0</v>
      </c>
      <c r="AR59" s="311">
        <f t="shared" ca="1" si="7"/>
        <v>-174750</v>
      </c>
      <c r="AS59" s="870">
        <f t="shared" ca="1" si="21"/>
        <v>-6453875</v>
      </c>
      <c r="AT59" s="823"/>
      <c r="AU59" s="881"/>
      <c r="AV59" s="882"/>
      <c r="AW59" s="883"/>
      <c r="AX59" s="882"/>
      <c r="AY59" s="884"/>
    </row>
    <row r="60" spans="1:51">
      <c r="AJ60" s="264"/>
    </row>
    <row r="61" spans="1:51">
      <c r="AJ61" s="264"/>
    </row>
    <row r="62" spans="1:51">
      <c r="AJ62" s="264"/>
    </row>
    <row r="63" spans="1:51">
      <c r="AJ63" s="264"/>
    </row>
    <row r="64" spans="1:51">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sheetPr codeName="Sheet50">
    <tabColor rgb="FFA9DA74"/>
  </sheetPr>
  <dimension ref="A1:BE84"/>
  <sheetViews>
    <sheetView workbookViewId="0">
      <pane xSplit="1" topLeftCell="B1" activePane="topRight" state="frozen"/>
      <selection activeCell="K14" sqref="K14"/>
      <selection pane="topRight" activeCell="O3" sqref="O3:O7"/>
    </sheetView>
  </sheetViews>
  <sheetFormatPr defaultRowHeight="15"/>
  <cols>
    <col min="11" max="11" width="12" customWidth="1"/>
    <col min="12" max="12" width="12.85546875" customWidth="1"/>
    <col min="13" max="13" width="12.42578125" customWidth="1"/>
    <col min="35" max="36" width="13" customWidth="1"/>
    <col min="40" max="40" width="12.42578125" customWidth="1"/>
    <col min="41" max="41" width="9.7109375" bestFit="1" customWidth="1"/>
    <col min="44" max="44" width="10.85546875" customWidth="1"/>
    <col min="45" max="45" width="10.140625" customWidth="1"/>
    <col min="46" max="46" width="1.7109375" customWidth="1"/>
    <col min="47" max="47" width="9.5703125" customWidth="1"/>
    <col min="51" max="51" width="10.5703125" customWidth="1"/>
    <col min="55" max="56" width="10.140625" customWidth="1"/>
    <col min="57" max="57" width="9.85546875" customWidth="1"/>
  </cols>
  <sheetData>
    <row r="1" spans="1:50" ht="60">
      <c r="C1" s="257" t="s">
        <v>226</v>
      </c>
      <c r="D1" s="258" t="s">
        <v>850</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2012</v>
      </c>
      <c r="E2" s="266"/>
      <c r="J2" s="267" t="s">
        <v>231</v>
      </c>
      <c r="K2" s="268">
        <f ca="1">NPV(DiscountRate,AA19:AA59)</f>
        <v>96586.872884861659</v>
      </c>
      <c r="L2" s="269">
        <f ca="1">-SUM(OFFSET(W19,0,0,M2-2010+1,4))</f>
        <v>7732.8423779382174</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0</v>
      </c>
      <c r="L3" s="277" t="s">
        <v>235</v>
      </c>
      <c r="M3" s="278">
        <f ca="1">-SUM(OFFSET(W19,M2-2010,0,1,4))</f>
        <v>211.77122242947524</v>
      </c>
      <c r="N3" s="272"/>
      <c r="O3" s="1496">
        <f ca="1">AVERAGE(OFFSET(AJ19,0,0,$M$2-2010+1,1))</f>
        <v>0</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198.27800969072354</v>
      </c>
      <c r="M4" s="281">
        <f ca="1">-SUM(OFFSET(W19,M2-2010,0,1,4))/SUM(OFFSET(ExposureCalculations!G16,M2-2010,0,1,3))</f>
        <v>1.9369356429720935E-4</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687</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114580.92483227041</v>
      </c>
      <c r="L6" s="277"/>
      <c r="M6" s="272"/>
      <c r="N6" s="272"/>
      <c r="O6" s="1496">
        <f ca="1">AVERAGE(OFFSET(AN19,0,0,$M$2-2010+1,1))</f>
        <v>7750.5365853658541</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-70312.300461628853</v>
      </c>
      <c r="L7" s="272"/>
      <c r="M7" s="272"/>
      <c r="N7" s="272"/>
      <c r="O7" s="1496">
        <f ca="1">AVERAGE(OFFSET(AO19,0,0,$M$2-2010+1,1))</f>
        <v>-4756.0975609756097</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140855.49725550314</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t="str">
        <f ca="1">IFERROR((K8-K5)/-K5,"No Capital")</f>
        <v>No Capital</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f ca="1">IFERROR(COUNTIF(AS19:AS59,"&lt;=0")+1-INDEX(AS19:AS59,COUNTIF(AS19:AS59,"&lt;=0")+1)/INDEX(AR19:AR59,COUNTIF(AS19:AS59,"&lt;=0")+1)-(D2-2010),"Check Calc")</f>
        <v>0</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44268.624370641483</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f ca="1">IFERROR(IF(L2&lt;0,99999.4,K12/SUM(NPV(DiscountRate,W19:W59),NPV(DiscountRate,X19:X59),NPV(DiscountRate,Y19:Y59),NPV(DiscountRate,Z19:Z59))),"")</f>
        <v>-17.097335758589974</v>
      </c>
      <c r="L13" s="908" t="str">
        <f ca="1">IF(K13&gt;99998,"(Values $99,999 and above indicate net carbon increase)","")</f>
        <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f ca="1">IFERROR(IF(L2&lt;0,"",-K2/SUM(NPV(DiscountRate,W19:W59),NPV(DiscountRate,X19:X59),NPV(DiscountRate,Y19:Y59),NPV(DiscountRate,Z19:Z59))),"")</f>
        <v>37.303580562126243</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7"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B17" s="909" t="s">
        <v>853</v>
      </c>
      <c r="BC17" s="909" t="s">
        <v>854</v>
      </c>
      <c r="BD17" s="909" t="s">
        <v>855</v>
      </c>
      <c r="BE17" s="909" t="s">
        <v>857</v>
      </c>
    </row>
    <row r="18" spans="1:57">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B18" t="s">
        <v>219</v>
      </c>
      <c r="BC18" t="s">
        <v>856</v>
      </c>
      <c r="BD18" t="s">
        <v>219</v>
      </c>
      <c r="BE18" t="s">
        <v>219</v>
      </c>
    </row>
    <row r="19" spans="1:57">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878">
        <v>2012</v>
      </c>
      <c r="AV19" s="879" t="s">
        <v>851</v>
      </c>
      <c r="AW19" s="879"/>
      <c r="AX19" s="35"/>
      <c r="AY19" s="880"/>
      <c r="BB19" s="123">
        <f ca="1">IF($D$3="WasteDiversion",WasteDiversion!BD19,'GHG Emissions'!Q12)</f>
        <v>2540.8950876116432</v>
      </c>
    </row>
    <row r="20" spans="1:57">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v>0</v>
      </c>
      <c r="N20" s="307">
        <f t="shared" ref="N20:N59" ca="1" si="12">K20+L20</f>
        <v>130129.26073503707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878"/>
      <c r="AV20" s="35"/>
      <c r="AW20" s="879"/>
      <c r="AX20" s="35"/>
      <c r="AY20" s="880"/>
      <c r="BB20" s="123">
        <f ca="1">IF($D$3="WasteDiversion",WasteDiversion!BD20,'GHG Emissions'!Q13)</f>
        <v>2549.0400418719801</v>
      </c>
    </row>
    <row r="21" spans="1:57">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2">-H21*I21</f>
        <v>0</v>
      </c>
      <c r="K21" s="307">
        <f t="shared" ca="1" si="10"/>
        <v>133825.36797702796</v>
      </c>
      <c r="L21" s="307">
        <f t="shared" si="11"/>
        <v>0</v>
      </c>
      <c r="M21" s="307">
        <v>0</v>
      </c>
      <c r="N21" s="307">
        <f t="shared" ca="1" si="12"/>
        <v>133825.36797702796</v>
      </c>
      <c r="O21" s="306">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0</v>
      </c>
      <c r="Y21" s="306">
        <v>0</v>
      </c>
      <c r="Z21" s="925">
        <f ca="1">-BD21</f>
        <v>-40.884638161468658</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v>0</v>
      </c>
      <c r="AM21" s="309">
        <f t="shared" si="19"/>
        <v>0</v>
      </c>
      <c r="AN21" s="310">
        <f>194*42</f>
        <v>8148</v>
      </c>
      <c r="AO21" s="310">
        <f>-$AU$25</f>
        <v>-5000</v>
      </c>
      <c r="AP21" s="310">
        <f t="shared" si="20"/>
        <v>3148</v>
      </c>
      <c r="AQ21" s="309">
        <v>0</v>
      </c>
      <c r="AR21" s="311">
        <f t="shared" ca="1" si="7"/>
        <v>3148</v>
      </c>
      <c r="AS21" s="870">
        <f t="shared" ca="1" si="21"/>
        <v>3148</v>
      </c>
      <c r="AT21" s="822"/>
      <c r="AU21" s="919">
        <v>0.08</v>
      </c>
      <c r="AV21" s="35" t="s">
        <v>1488</v>
      </c>
      <c r="AW21" s="879"/>
      <c r="AX21" s="35"/>
      <c r="AY21" s="880"/>
      <c r="BB21" s="123">
        <f ca="1">IF($D$3="WasteDiversion",WasteDiversion!BD21,'GHG Emissions'!Q14)</f>
        <v>2555.2898850917909</v>
      </c>
      <c r="BC21" s="924">
        <f>$AU$21/5</f>
        <v>1.6E-2</v>
      </c>
      <c r="BD21" s="331">
        <f ca="1">BB21*BC21</f>
        <v>40.884638161468658</v>
      </c>
      <c r="BE21" s="123">
        <f ca="1">BB21-BD21</f>
        <v>2514.4052469303224</v>
      </c>
    </row>
    <row r="22" spans="1:57">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2"/>
        <v>0</v>
      </c>
      <c r="K22" s="307">
        <f t="shared" ca="1" si="10"/>
        <v>135980.03402546333</v>
      </c>
      <c r="L22" s="307">
        <f t="shared" si="11"/>
        <v>0</v>
      </c>
      <c r="M22" s="307">
        <v>0</v>
      </c>
      <c r="N22" s="307">
        <f t="shared" ca="1" si="12"/>
        <v>135980.03402546333</v>
      </c>
      <c r="O22" s="306">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0</v>
      </c>
      <c r="Y22" s="306">
        <v>0</v>
      </c>
      <c r="Z22" s="925">
        <f t="shared" ref="Z22:Z59" ca="1" si="23">-BD22</f>
        <v>-81.937879892859442</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v>0</v>
      </c>
      <c r="AM22" s="309">
        <f t="shared" si="19"/>
        <v>0</v>
      </c>
      <c r="AN22" s="310">
        <f t="shared" ref="AN22:AN59" si="24">194*42</f>
        <v>8148</v>
      </c>
      <c r="AO22" s="310">
        <f t="shared" ref="AO22:AO59" si="25">-$AU$25</f>
        <v>-5000</v>
      </c>
      <c r="AP22" s="310">
        <f t="shared" si="20"/>
        <v>3148</v>
      </c>
      <c r="AQ22" s="309">
        <v>0</v>
      </c>
      <c r="AR22" s="311">
        <f t="shared" ca="1" si="7"/>
        <v>3148</v>
      </c>
      <c r="AS22" s="870">
        <f t="shared" ca="1" si="21"/>
        <v>6296</v>
      </c>
      <c r="AT22" s="822"/>
      <c r="AU22" s="878"/>
      <c r="AV22" s="35"/>
      <c r="AW22" s="879"/>
      <c r="AX22" s="35"/>
      <c r="AY22" s="880"/>
      <c r="BB22" s="123">
        <f ca="1">IF($D$3="WasteDiversion",WasteDiversion!BD22,'GHG Emissions'!Q15)</f>
        <v>2560.5587466518573</v>
      </c>
      <c r="BC22" s="924">
        <f>$AU$21/5+BC21</f>
        <v>3.2000000000000001E-2</v>
      </c>
      <c r="BD22" s="331">
        <f t="shared" ref="BD22:BD59" ca="1" si="26">BB22*BC22</f>
        <v>81.937879892859442</v>
      </c>
      <c r="BE22" s="123">
        <f t="shared" ref="BE22:BE59" ca="1" si="27">BB22-BD22</f>
        <v>2478.6208667589976</v>
      </c>
    </row>
    <row r="23" spans="1:57">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2"/>
        <v>0</v>
      </c>
      <c r="K23" s="307">
        <f t="shared" ca="1" si="10"/>
        <v>137556.65962631535</v>
      </c>
      <c r="L23" s="307">
        <f t="shared" si="11"/>
        <v>0</v>
      </c>
      <c r="M23" s="307">
        <v>0</v>
      </c>
      <c r="N23" s="307">
        <f t="shared" ca="1" si="12"/>
        <v>137556.65962631535</v>
      </c>
      <c r="O23" s="306">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0</v>
      </c>
      <c r="Y23" s="306">
        <v>0</v>
      </c>
      <c r="Z23" s="925">
        <f t="shared" ca="1" si="23"/>
        <v>-123.12963392984285</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v>0</v>
      </c>
      <c r="AM23" s="309">
        <f t="shared" si="19"/>
        <v>0</v>
      </c>
      <c r="AN23" s="310">
        <f t="shared" si="24"/>
        <v>8148</v>
      </c>
      <c r="AO23" s="310">
        <f t="shared" si="25"/>
        <v>-5000</v>
      </c>
      <c r="AP23" s="310">
        <f t="shared" si="20"/>
        <v>3148</v>
      </c>
      <c r="AQ23" s="309">
        <v>0</v>
      </c>
      <c r="AR23" s="311">
        <f t="shared" ca="1" si="7"/>
        <v>3148</v>
      </c>
      <c r="AS23" s="870">
        <f t="shared" ca="1" si="21"/>
        <v>9444</v>
      </c>
      <c r="AT23" s="822"/>
      <c r="AU23" s="899">
        <v>5000</v>
      </c>
      <c r="AV23" s="35" t="s">
        <v>1489</v>
      </c>
      <c r="AW23" s="879"/>
      <c r="AX23" s="35"/>
      <c r="AY23" s="880"/>
      <c r="BB23" s="123">
        <f ca="1">IF($D$3="WasteDiversion",WasteDiversion!BD23,'GHG Emissions'!Q16)</f>
        <v>2565.2007068717262</v>
      </c>
      <c r="BC23" s="924">
        <f>$AU$21/5+BC22</f>
        <v>4.8000000000000001E-2</v>
      </c>
      <c r="BD23" s="331">
        <f t="shared" ca="1" si="26"/>
        <v>123.12963392984285</v>
      </c>
      <c r="BE23" s="123">
        <f t="shared" ca="1" si="27"/>
        <v>2442.0710729418834</v>
      </c>
    </row>
    <row r="24" spans="1:57">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2"/>
        <v>0</v>
      </c>
      <c r="K24" s="307">
        <f t="shared" ca="1" si="10"/>
        <v>140674.7264207229</v>
      </c>
      <c r="L24" s="307">
        <f t="shared" si="11"/>
        <v>0</v>
      </c>
      <c r="M24" s="307">
        <v>0</v>
      </c>
      <c r="N24" s="307">
        <f t="shared" ca="1" si="12"/>
        <v>140674.7264207229</v>
      </c>
      <c r="O24" s="306">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0</v>
      </c>
      <c r="Y24" s="306">
        <v>0</v>
      </c>
      <c r="Z24" s="925">
        <f t="shared" ca="1" si="23"/>
        <v>-164.44143102054525</v>
      </c>
      <c r="AA24" s="308">
        <f ca="1">-SUM(W24,X24/OFFSET(GridFootprintbyYear,$A24-$A$19,0)*EF_PurchElec_MTperMWh,Z24)*OFFSET(ExposureCalculations!Price_GHG_Allowance_2010,A24-$A$19,0)*ExposureCalculations!D21</f>
        <v>1672.2602911792515</v>
      </c>
      <c r="AB24" s="308">
        <f t="shared" ca="1" si="3"/>
        <v>0</v>
      </c>
      <c r="AC24" s="308">
        <v>0</v>
      </c>
      <c r="AD24" s="819">
        <f t="shared" ca="1" si="4"/>
        <v>0</v>
      </c>
      <c r="AE24" s="308">
        <v>0</v>
      </c>
      <c r="AF24" s="819">
        <f t="shared" ca="1" si="5"/>
        <v>0</v>
      </c>
      <c r="AG24" s="308">
        <v>0</v>
      </c>
      <c r="AH24" s="308">
        <v>0</v>
      </c>
      <c r="AI24" s="308">
        <v>0</v>
      </c>
      <c r="AJ24" s="308">
        <f t="shared" ca="1" si="6"/>
        <v>0</v>
      </c>
      <c r="AK24" s="309">
        <v>0</v>
      </c>
      <c r="AL24" s="309">
        <v>0</v>
      </c>
      <c r="AM24" s="309">
        <f t="shared" si="19"/>
        <v>0</v>
      </c>
      <c r="AN24" s="310">
        <f t="shared" si="24"/>
        <v>8148</v>
      </c>
      <c r="AO24" s="310">
        <f t="shared" si="25"/>
        <v>-5000</v>
      </c>
      <c r="AP24" s="310">
        <f t="shared" si="20"/>
        <v>3148</v>
      </c>
      <c r="AQ24" s="309">
        <v>0</v>
      </c>
      <c r="AR24" s="311">
        <f t="shared" ca="1" si="7"/>
        <v>4820.260291179251</v>
      </c>
      <c r="AS24" s="870">
        <f t="shared" ca="1" si="21"/>
        <v>14264.260291179251</v>
      </c>
      <c r="AT24" s="822"/>
      <c r="AU24" s="899"/>
      <c r="AV24" s="827"/>
      <c r="AW24" s="879"/>
      <c r="AX24" s="35"/>
      <c r="AY24" s="880"/>
      <c r="BB24" s="123">
        <f ca="1">IF($D$3="WasteDiversion",WasteDiversion!BD24,'GHG Emissions'!Q17)</f>
        <v>2569.3973596960195</v>
      </c>
      <c r="BC24" s="924">
        <f>$AU$21/5+BC23</f>
        <v>6.4000000000000001E-2</v>
      </c>
      <c r="BD24" s="331">
        <f t="shared" ca="1" si="26"/>
        <v>164.44143102054525</v>
      </c>
      <c r="BE24" s="123">
        <f t="shared" ca="1" si="27"/>
        <v>2404.9559286754743</v>
      </c>
    </row>
    <row r="25" spans="1:57">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2"/>
        <v>0</v>
      </c>
      <c r="K25" s="307">
        <f t="shared" ca="1" si="10"/>
        <v>142251.35202157494</v>
      </c>
      <c r="L25" s="307">
        <f t="shared" si="11"/>
        <v>0</v>
      </c>
      <c r="M25" s="307">
        <v>0</v>
      </c>
      <c r="N25" s="307">
        <f t="shared" ca="1" si="12"/>
        <v>142251.35202157494</v>
      </c>
      <c r="O25" s="306">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0</v>
      </c>
      <c r="Y25" s="306">
        <v>0</v>
      </c>
      <c r="Z25" s="925">
        <f t="shared" ca="1" si="23"/>
        <v>-205.86052642059221</v>
      </c>
      <c r="AA25" s="308">
        <f ca="1">-SUM(W25,X25/OFFSET(GridFootprintbyYear,$A25-$A$19,0)*EF_PurchElec_MTperMWh,Z25)*OFFSET(ExposureCalculations!Price_GHG_Allowance_2010,A25-$A$19,0)*ExposureCalculations!D22</f>
        <v>2416.4950522919544</v>
      </c>
      <c r="AB25" s="308">
        <f t="shared" ca="1" si="3"/>
        <v>0</v>
      </c>
      <c r="AC25" s="308">
        <v>0</v>
      </c>
      <c r="AD25" s="819">
        <f t="shared" ca="1" si="4"/>
        <v>0</v>
      </c>
      <c r="AE25" s="308">
        <v>0</v>
      </c>
      <c r="AF25" s="819">
        <f t="shared" ca="1" si="5"/>
        <v>0</v>
      </c>
      <c r="AG25" s="308">
        <v>0</v>
      </c>
      <c r="AH25" s="308">
        <v>0</v>
      </c>
      <c r="AI25" s="308">
        <v>0</v>
      </c>
      <c r="AJ25" s="308">
        <f t="shared" ca="1" si="6"/>
        <v>0</v>
      </c>
      <c r="AK25" s="309">
        <v>0</v>
      </c>
      <c r="AL25" s="309">
        <v>0</v>
      </c>
      <c r="AM25" s="309">
        <f t="shared" si="19"/>
        <v>0</v>
      </c>
      <c r="AN25" s="310">
        <f t="shared" si="24"/>
        <v>8148</v>
      </c>
      <c r="AO25" s="310">
        <f t="shared" si="25"/>
        <v>-5000</v>
      </c>
      <c r="AP25" s="310">
        <f t="shared" si="20"/>
        <v>3148</v>
      </c>
      <c r="AQ25" s="309">
        <v>0</v>
      </c>
      <c r="AR25" s="311">
        <f t="shared" ca="1" si="7"/>
        <v>5564.4950522919544</v>
      </c>
      <c r="AS25" s="870">
        <f t="shared" ca="1" si="21"/>
        <v>19828.755343471206</v>
      </c>
      <c r="AT25" s="822"/>
      <c r="AU25" s="899">
        <f>AU23+AU24</f>
        <v>5000</v>
      </c>
      <c r="AV25" s="827" t="s">
        <v>852</v>
      </c>
      <c r="AW25" s="879"/>
      <c r="AX25" s="35"/>
      <c r="AY25" s="880"/>
      <c r="BB25" s="123">
        <f ca="1">IF($D$3="WasteDiversion",WasteDiversion!BD25,'GHG Emissions'!Q18)</f>
        <v>2573.2565802574027</v>
      </c>
      <c r="BC25" s="924">
        <f>$AU$21/5+BC24</f>
        <v>0.08</v>
      </c>
      <c r="BD25" s="331">
        <f t="shared" ca="1" si="26"/>
        <v>205.86052642059221</v>
      </c>
      <c r="BE25" s="123">
        <f t="shared" ca="1" si="27"/>
        <v>2367.3960538368106</v>
      </c>
    </row>
    <row r="26" spans="1:57">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2"/>
        <v>0</v>
      </c>
      <c r="K26" s="307">
        <f t="shared" ca="1" si="10"/>
        <v>143827.97762242699</v>
      </c>
      <c r="L26" s="307">
        <f t="shared" si="11"/>
        <v>0</v>
      </c>
      <c r="M26" s="307">
        <v>0</v>
      </c>
      <c r="N26" s="307">
        <f t="shared" ca="1" si="12"/>
        <v>143827.97762242699</v>
      </c>
      <c r="O26" s="306">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0</v>
      </c>
      <c r="Y26" s="306">
        <v>0</v>
      </c>
      <c r="Z26" s="925">
        <f t="shared" ca="1" si="23"/>
        <v>-206.14789241380251</v>
      </c>
      <c r="AA26" s="308">
        <f ca="1">-SUM(W26,X26/OFFSET(GridFootprintbyYear,$A26-$A$19,0)*EF_PurchElec_MTperMWh,Z26)*OFFSET(ExposureCalculations!Price_GHG_Allowance_2010,A26-$A$19,0)*ExposureCalculations!D23</f>
        <v>2758.4356067679014</v>
      </c>
      <c r="AB26" s="308">
        <f t="shared" ca="1" si="3"/>
        <v>0</v>
      </c>
      <c r="AC26" s="308">
        <v>0</v>
      </c>
      <c r="AD26" s="819">
        <f t="shared" ca="1" si="4"/>
        <v>0</v>
      </c>
      <c r="AE26" s="308">
        <v>0</v>
      </c>
      <c r="AF26" s="819">
        <f t="shared" ca="1" si="5"/>
        <v>0</v>
      </c>
      <c r="AG26" s="308">
        <v>0</v>
      </c>
      <c r="AH26" s="308">
        <v>0</v>
      </c>
      <c r="AI26" s="308">
        <v>0</v>
      </c>
      <c r="AJ26" s="308">
        <f t="shared" ca="1" si="6"/>
        <v>0</v>
      </c>
      <c r="AK26" s="309">
        <v>0</v>
      </c>
      <c r="AL26" s="309">
        <v>0</v>
      </c>
      <c r="AM26" s="309">
        <f t="shared" si="19"/>
        <v>0</v>
      </c>
      <c r="AN26" s="310">
        <f t="shared" si="24"/>
        <v>8148</v>
      </c>
      <c r="AO26" s="310">
        <f t="shared" si="25"/>
        <v>-5000</v>
      </c>
      <c r="AP26" s="310">
        <f t="shared" si="20"/>
        <v>3148</v>
      </c>
      <c r="AQ26" s="309">
        <v>0</v>
      </c>
      <c r="AR26" s="311">
        <f t="shared" ca="1" si="7"/>
        <v>5906.4356067679018</v>
      </c>
      <c r="AS26" s="870">
        <f t="shared" ca="1" si="21"/>
        <v>25735.190950239106</v>
      </c>
      <c r="AT26" s="822"/>
      <c r="AU26" s="878"/>
      <c r="AV26" s="35"/>
      <c r="AW26" s="879"/>
      <c r="AX26" s="35"/>
      <c r="AY26" s="880"/>
      <c r="BB26" s="123">
        <f ca="1">IF($D$3="WasteDiversion",WasteDiversion!BD26,'GHG Emissions'!Q19)</f>
        <v>2576.8486551725314</v>
      </c>
      <c r="BC26" s="924">
        <f>BC25</f>
        <v>0.08</v>
      </c>
      <c r="BD26" s="331">
        <f t="shared" ca="1" si="26"/>
        <v>206.14789241380251</v>
      </c>
      <c r="BE26" s="123">
        <f t="shared" ca="1" si="27"/>
        <v>2370.7007627587291</v>
      </c>
    </row>
    <row r="27" spans="1:57">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2"/>
        <v>0</v>
      </c>
      <c r="K27" s="307">
        <f t="shared" ca="1" si="10"/>
        <v>145404.603223279</v>
      </c>
      <c r="L27" s="307">
        <f t="shared" si="11"/>
        <v>0</v>
      </c>
      <c r="M27" s="307">
        <v>0</v>
      </c>
      <c r="N27" s="307">
        <f t="shared" ca="1" si="12"/>
        <v>145404.603223279</v>
      </c>
      <c r="O27" s="306">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0</v>
      </c>
      <c r="Y27" s="306">
        <v>0</v>
      </c>
      <c r="Z27" s="925">
        <f t="shared" ca="1" si="23"/>
        <v>-206.41779245536574</v>
      </c>
      <c r="AA27" s="308">
        <f ca="1">-SUM(W27,X27/OFFSET(GridFootprintbyYear,$A27-$A$19,0)*EF_PurchElec_MTperMWh,Z27)*OFFSET(ExposureCalculations!Price_GHG_Allowance_2010,A27-$A$19,0)*ExposureCalculations!D24</f>
        <v>3115.6956253460958</v>
      </c>
      <c r="AB27" s="308">
        <f t="shared" ca="1" si="3"/>
        <v>0</v>
      </c>
      <c r="AC27" s="308">
        <v>0</v>
      </c>
      <c r="AD27" s="819">
        <f t="shared" ca="1" si="4"/>
        <v>0</v>
      </c>
      <c r="AE27" s="308">
        <v>0</v>
      </c>
      <c r="AF27" s="819">
        <f t="shared" ca="1" si="5"/>
        <v>0</v>
      </c>
      <c r="AG27" s="308">
        <v>0</v>
      </c>
      <c r="AH27" s="308">
        <v>0</v>
      </c>
      <c r="AI27" s="308">
        <v>0</v>
      </c>
      <c r="AJ27" s="308">
        <f t="shared" ca="1" si="6"/>
        <v>0</v>
      </c>
      <c r="AK27" s="309">
        <v>0</v>
      </c>
      <c r="AL27" s="309">
        <v>0</v>
      </c>
      <c r="AM27" s="309">
        <f t="shared" si="19"/>
        <v>0</v>
      </c>
      <c r="AN27" s="310">
        <f t="shared" si="24"/>
        <v>8148</v>
      </c>
      <c r="AO27" s="310">
        <f t="shared" si="25"/>
        <v>-5000</v>
      </c>
      <c r="AP27" s="310">
        <f t="shared" si="20"/>
        <v>3148</v>
      </c>
      <c r="AQ27" s="309">
        <v>0</v>
      </c>
      <c r="AR27" s="311">
        <f t="shared" ca="1" si="7"/>
        <v>6263.6956253460958</v>
      </c>
      <c r="AS27" s="870">
        <f t="shared" ca="1" si="21"/>
        <v>31998.886575585202</v>
      </c>
      <c r="AT27" s="822"/>
      <c r="AU27" s="878"/>
      <c r="AV27" s="35"/>
      <c r="AW27" s="879"/>
      <c r="AX27" s="35"/>
      <c r="AY27" s="880"/>
      <c r="BB27" s="123">
        <f ca="1">IF($D$3="WasteDiversion",WasteDiversion!BD27,'GHG Emissions'!Q20)</f>
        <v>2580.2224056920718</v>
      </c>
      <c r="BC27" s="924">
        <f t="shared" ref="BC27:BC59" si="28">BC26</f>
        <v>0.08</v>
      </c>
      <c r="BD27" s="331">
        <f t="shared" ca="1" si="26"/>
        <v>206.41779245536574</v>
      </c>
      <c r="BE27" s="123">
        <f t="shared" ca="1" si="27"/>
        <v>2373.8046132367062</v>
      </c>
    </row>
    <row r="28" spans="1:57">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2"/>
        <v>0</v>
      </c>
      <c r="K28" s="307">
        <f t="shared" ca="1" si="10"/>
        <v>146981.22882413102</v>
      </c>
      <c r="L28" s="307">
        <f t="shared" si="11"/>
        <v>0</v>
      </c>
      <c r="M28" s="307">
        <v>0</v>
      </c>
      <c r="N28" s="307">
        <f t="shared" ca="1" si="12"/>
        <v>146981.22882413102</v>
      </c>
      <c r="O28" s="306">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0</v>
      </c>
      <c r="Y28" s="306">
        <v>0</v>
      </c>
      <c r="Z28" s="925">
        <f t="shared" ca="1" si="23"/>
        <v>-206.6730702617173</v>
      </c>
      <c r="AA28" s="308">
        <f ca="1">-SUM(W28,X28/OFFSET(GridFootprintbyYear,$A28-$A$19,0)*EF_PurchElec_MTperMWh,Z28)*OFFSET(ExposureCalculations!Price_GHG_Allowance_2010,A28-$A$19,0)*ExposureCalculations!D25</f>
        <v>3487.8269049360006</v>
      </c>
      <c r="AB28" s="308">
        <f t="shared" ca="1" si="3"/>
        <v>0</v>
      </c>
      <c r="AC28" s="308">
        <v>0</v>
      </c>
      <c r="AD28" s="819">
        <f t="shared" ca="1" si="4"/>
        <v>0</v>
      </c>
      <c r="AE28" s="308">
        <v>0</v>
      </c>
      <c r="AF28" s="819">
        <f t="shared" ca="1" si="5"/>
        <v>0</v>
      </c>
      <c r="AG28" s="308">
        <v>0</v>
      </c>
      <c r="AH28" s="308">
        <v>0</v>
      </c>
      <c r="AI28" s="308">
        <v>0</v>
      </c>
      <c r="AJ28" s="308">
        <f t="shared" ca="1" si="6"/>
        <v>0</v>
      </c>
      <c r="AK28" s="309">
        <v>0</v>
      </c>
      <c r="AL28" s="309">
        <v>0</v>
      </c>
      <c r="AM28" s="309">
        <f t="shared" si="19"/>
        <v>0</v>
      </c>
      <c r="AN28" s="310">
        <f t="shared" si="24"/>
        <v>8148</v>
      </c>
      <c r="AO28" s="310">
        <f t="shared" si="25"/>
        <v>-5000</v>
      </c>
      <c r="AP28" s="310">
        <f t="shared" si="20"/>
        <v>3148</v>
      </c>
      <c r="AQ28" s="309">
        <v>0</v>
      </c>
      <c r="AR28" s="311">
        <f t="shared" ca="1" si="7"/>
        <v>6635.8269049360006</v>
      </c>
      <c r="AS28" s="870">
        <f t="shared" ca="1" si="21"/>
        <v>38634.713480521204</v>
      </c>
      <c r="AT28" s="822"/>
      <c r="AU28" s="878"/>
      <c r="AV28" s="35"/>
      <c r="AW28" s="879"/>
      <c r="AX28" s="35"/>
      <c r="AY28" s="880"/>
      <c r="BB28" s="123">
        <f ca="1">IF($D$3="WasteDiversion",WasteDiversion!BD28,'GHG Emissions'!Q21)</f>
        <v>2583.4133782714662</v>
      </c>
      <c r="BC28" s="924">
        <f t="shared" si="28"/>
        <v>0.08</v>
      </c>
      <c r="BD28" s="331">
        <f t="shared" ca="1" si="26"/>
        <v>206.6730702617173</v>
      </c>
      <c r="BE28" s="123">
        <f t="shared" ca="1" si="27"/>
        <v>2376.7403080097488</v>
      </c>
    </row>
    <row r="29" spans="1:57">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2"/>
        <v>0</v>
      </c>
      <c r="K29" s="307">
        <f t="shared" ca="1" si="10"/>
        <v>148557.85442498306</v>
      </c>
      <c r="L29" s="307">
        <f t="shared" si="11"/>
        <v>0</v>
      </c>
      <c r="M29" s="307">
        <v>0</v>
      </c>
      <c r="N29" s="307">
        <f t="shared" ca="1" si="12"/>
        <v>148557.85442498306</v>
      </c>
      <c r="O29" s="306">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0</v>
      </c>
      <c r="Y29" s="306">
        <v>0</v>
      </c>
      <c r="Z29" s="925">
        <f t="shared" ca="1" si="23"/>
        <v>-206.91587260906391</v>
      </c>
      <c r="AA29" s="308">
        <f ca="1">-SUM(W29,X29/OFFSET(GridFootprintbyYear,$A29-$A$19,0)*EF_PurchElec_MTperMWh,Z29)*OFFSET(ExposureCalculations!Price_GHG_Allowance_2010,A29-$A$19,0)*ExposureCalculations!D26</f>
        <v>3874.3846792431527</v>
      </c>
      <c r="AB29" s="308">
        <f t="shared" ca="1" si="3"/>
        <v>0</v>
      </c>
      <c r="AC29" s="308">
        <v>0</v>
      </c>
      <c r="AD29" s="819">
        <f t="shared" ca="1" si="4"/>
        <v>0</v>
      </c>
      <c r="AE29" s="308">
        <v>0</v>
      </c>
      <c r="AF29" s="819">
        <f t="shared" ca="1" si="5"/>
        <v>0</v>
      </c>
      <c r="AG29" s="308">
        <v>0</v>
      </c>
      <c r="AH29" s="308">
        <v>0</v>
      </c>
      <c r="AI29" s="308">
        <v>0</v>
      </c>
      <c r="AJ29" s="308">
        <f t="shared" ca="1" si="6"/>
        <v>0</v>
      </c>
      <c r="AK29" s="309">
        <v>0</v>
      </c>
      <c r="AL29" s="309">
        <v>0</v>
      </c>
      <c r="AM29" s="309">
        <f t="shared" si="19"/>
        <v>0</v>
      </c>
      <c r="AN29" s="310">
        <f t="shared" si="24"/>
        <v>8148</v>
      </c>
      <c r="AO29" s="310">
        <f t="shared" si="25"/>
        <v>-5000</v>
      </c>
      <c r="AP29" s="310">
        <f t="shared" si="20"/>
        <v>3148</v>
      </c>
      <c r="AQ29" s="309">
        <v>0</v>
      </c>
      <c r="AR29" s="311">
        <f t="shared" ca="1" si="7"/>
        <v>7022.3846792431523</v>
      </c>
      <c r="AS29" s="870">
        <f t="shared" ca="1" si="21"/>
        <v>45657.098159764355</v>
      </c>
      <c r="AT29" s="822"/>
      <c r="AU29" s="878"/>
      <c r="AV29" s="35"/>
      <c r="AW29" s="879"/>
      <c r="AX29" s="35"/>
      <c r="AY29" s="880"/>
      <c r="BB29" s="123">
        <f ca="1">IF($D$3="WasteDiversion",WasteDiversion!BD29,'GHG Emissions'!Q22)</f>
        <v>2586.448407613299</v>
      </c>
      <c r="BC29" s="924">
        <f t="shared" si="28"/>
        <v>0.08</v>
      </c>
      <c r="BD29" s="331">
        <f t="shared" ca="1" si="26"/>
        <v>206.91587260906391</v>
      </c>
      <c r="BE29" s="123">
        <f t="shared" ca="1" si="27"/>
        <v>2379.5325350042349</v>
      </c>
    </row>
    <row r="30" spans="1:57">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2"/>
        <v>0</v>
      </c>
      <c r="K30" s="307">
        <f t="shared" ca="1" si="10"/>
        <v>150134.48002583507</v>
      </c>
      <c r="L30" s="307">
        <f t="shared" si="11"/>
        <v>0</v>
      </c>
      <c r="M30" s="307">
        <v>0</v>
      </c>
      <c r="N30" s="307">
        <f t="shared" ca="1" si="12"/>
        <v>150134.48002583507</v>
      </c>
      <c r="O30" s="306">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0</v>
      </c>
      <c r="Y30" s="306">
        <v>0</v>
      </c>
      <c r="Z30" s="925">
        <f t="shared" ca="1" si="23"/>
        <v>-207.14786732897221</v>
      </c>
      <c r="AA30" s="308">
        <f ca="1">-SUM(W30,X30/OFFSET(GridFootprintbyYear,$A30-$A$19,0)*EF_PurchElec_MTperMWh,Z30)*OFFSET(ExposureCalculations!Price_GHG_Allowance_2010,A30-$A$19,0)*ExposureCalculations!D27</f>
        <v>4320.4812913478672</v>
      </c>
      <c r="AB30" s="308">
        <f t="shared" ca="1" si="3"/>
        <v>0</v>
      </c>
      <c r="AC30" s="308">
        <v>0</v>
      </c>
      <c r="AD30" s="819">
        <f t="shared" ca="1" si="4"/>
        <v>0</v>
      </c>
      <c r="AE30" s="308">
        <v>0</v>
      </c>
      <c r="AF30" s="819">
        <f t="shared" ca="1" si="5"/>
        <v>0</v>
      </c>
      <c r="AG30" s="308">
        <v>0</v>
      </c>
      <c r="AH30" s="308">
        <v>0</v>
      </c>
      <c r="AI30" s="308">
        <v>0</v>
      </c>
      <c r="AJ30" s="308">
        <f t="shared" ca="1" si="6"/>
        <v>0</v>
      </c>
      <c r="AK30" s="309">
        <v>0</v>
      </c>
      <c r="AL30" s="309">
        <v>0</v>
      </c>
      <c r="AM30" s="309">
        <f t="shared" si="19"/>
        <v>0</v>
      </c>
      <c r="AN30" s="310">
        <f t="shared" si="24"/>
        <v>8148</v>
      </c>
      <c r="AO30" s="310">
        <f t="shared" si="25"/>
        <v>-5000</v>
      </c>
      <c r="AP30" s="310">
        <f t="shared" si="20"/>
        <v>3148</v>
      </c>
      <c r="AQ30" s="309">
        <v>0</v>
      </c>
      <c r="AR30" s="311">
        <f t="shared" ca="1" si="7"/>
        <v>7468.4812913478672</v>
      </c>
      <c r="AS30" s="870">
        <f t="shared" ca="1" si="21"/>
        <v>53125.579451112222</v>
      </c>
      <c r="AT30" s="822"/>
      <c r="AU30" s="878"/>
      <c r="AV30" s="35"/>
      <c r="AW30" s="879"/>
      <c r="AX30" s="35"/>
      <c r="AY30" s="880"/>
      <c r="BB30" s="123">
        <f ca="1">IF($D$3="WasteDiversion",WasteDiversion!BD30,'GHG Emissions'!Q23)</f>
        <v>2589.3483416121526</v>
      </c>
      <c r="BC30" s="924">
        <f t="shared" si="28"/>
        <v>0.08</v>
      </c>
      <c r="BD30" s="331">
        <f t="shared" ca="1" si="26"/>
        <v>207.14786732897221</v>
      </c>
      <c r="BE30" s="123">
        <f t="shared" ca="1" si="27"/>
        <v>2382.2004742831805</v>
      </c>
    </row>
    <row r="31" spans="1:57">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2"/>
        <v>0</v>
      </c>
      <c r="K31" s="307">
        <f t="shared" ca="1" si="10"/>
        <v>151711.10562668712</v>
      </c>
      <c r="L31" s="307">
        <f t="shared" si="11"/>
        <v>0</v>
      </c>
      <c r="M31" s="307">
        <v>0</v>
      </c>
      <c r="N31" s="307">
        <f t="shared" ca="1" si="12"/>
        <v>151711.10562668712</v>
      </c>
      <c r="O31" s="306">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0</v>
      </c>
      <c r="Y31" s="306">
        <v>0</v>
      </c>
      <c r="Z31" s="925">
        <f t="shared" ca="1" si="23"/>
        <v>-207.37038076033295</v>
      </c>
      <c r="AA31" s="308">
        <f ca="1">-SUM(W31,X31/OFFSET(GridFootprintbyYear,$A31-$A$19,0)*EF_PurchElec_MTperMWh,Z31)*OFFSET(ExposureCalculations!Price_GHG_Allowance_2010,A31-$A$19,0)*ExposureCalculations!D28</f>
        <v>4784.4152408516129</v>
      </c>
      <c r="AB31" s="308">
        <f t="shared" ca="1" si="3"/>
        <v>0</v>
      </c>
      <c r="AC31" s="308">
        <v>0</v>
      </c>
      <c r="AD31" s="819">
        <f t="shared" ca="1" si="4"/>
        <v>0</v>
      </c>
      <c r="AE31" s="308">
        <v>0</v>
      </c>
      <c r="AF31" s="819">
        <f t="shared" ca="1" si="5"/>
        <v>0</v>
      </c>
      <c r="AG31" s="308">
        <v>0</v>
      </c>
      <c r="AH31" s="308">
        <v>0</v>
      </c>
      <c r="AI31" s="308">
        <v>0</v>
      </c>
      <c r="AJ31" s="308">
        <f t="shared" ca="1" si="6"/>
        <v>0</v>
      </c>
      <c r="AK31" s="309">
        <v>0</v>
      </c>
      <c r="AL31" s="309">
        <v>0</v>
      </c>
      <c r="AM31" s="309">
        <f t="shared" si="19"/>
        <v>0</v>
      </c>
      <c r="AN31" s="310">
        <f t="shared" si="24"/>
        <v>8148</v>
      </c>
      <c r="AO31" s="310">
        <f t="shared" si="25"/>
        <v>-5000</v>
      </c>
      <c r="AP31" s="310">
        <f t="shared" si="20"/>
        <v>3148</v>
      </c>
      <c r="AQ31" s="309">
        <v>0</v>
      </c>
      <c r="AR31" s="311">
        <f t="shared" ca="1" si="7"/>
        <v>7932.4152408516129</v>
      </c>
      <c r="AS31" s="870">
        <f t="shared" ca="1" si="21"/>
        <v>61057.994691963831</v>
      </c>
      <c r="AT31" s="822"/>
      <c r="AU31" s="878"/>
      <c r="AV31" s="35"/>
      <c r="AW31" s="879"/>
      <c r="AX31" s="35"/>
      <c r="AY31" s="880"/>
      <c r="BB31" s="123">
        <f ca="1">IF($D$3="WasteDiversion",WasteDiversion!BD31,'GHG Emissions'!Q24)</f>
        <v>2592.1297595041619</v>
      </c>
      <c r="BC31" s="924">
        <f t="shared" si="28"/>
        <v>0.08</v>
      </c>
      <c r="BD31" s="331">
        <f t="shared" ca="1" si="26"/>
        <v>207.37038076033295</v>
      </c>
      <c r="BE31" s="123">
        <f t="shared" ca="1" si="27"/>
        <v>2384.7593787438291</v>
      </c>
    </row>
    <row r="32" spans="1:57">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2"/>
        <v>0</v>
      </c>
      <c r="K32" s="307">
        <f t="shared" ca="1" si="10"/>
        <v>153287.73122753916</v>
      </c>
      <c r="L32" s="307">
        <f t="shared" si="11"/>
        <v>0</v>
      </c>
      <c r="M32" s="307">
        <v>0</v>
      </c>
      <c r="N32" s="307">
        <f t="shared" ca="1" si="12"/>
        <v>153287.73122753916</v>
      </c>
      <c r="O32" s="306">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0</v>
      </c>
      <c r="Y32" s="306">
        <v>0</v>
      </c>
      <c r="Z32" s="925">
        <f t="shared" ca="1" si="23"/>
        <v>-207.58448829362001</v>
      </c>
      <c r="AA32" s="308">
        <f ca="1">-SUM(W32,X32/OFFSET(GridFootprintbyYear,$A32-$A$19,0)*EF_PurchElec_MTperMWh,Z32)*OFFSET(ExposureCalculations!Price_GHG_Allowance_2010,A32-$A$19,0)*ExposureCalculations!D29</f>
        <v>5265.5168841692885</v>
      </c>
      <c r="AB32" s="308">
        <f t="shared" ca="1" si="3"/>
        <v>0</v>
      </c>
      <c r="AC32" s="308">
        <v>0</v>
      </c>
      <c r="AD32" s="819">
        <f t="shared" ca="1" si="4"/>
        <v>0</v>
      </c>
      <c r="AE32" s="308">
        <v>0</v>
      </c>
      <c r="AF32" s="819">
        <f t="shared" ca="1" si="5"/>
        <v>0</v>
      </c>
      <c r="AG32" s="308">
        <v>0</v>
      </c>
      <c r="AH32" s="308">
        <v>0</v>
      </c>
      <c r="AI32" s="308">
        <v>0</v>
      </c>
      <c r="AJ32" s="308">
        <f t="shared" ca="1" si="6"/>
        <v>0</v>
      </c>
      <c r="AK32" s="309">
        <v>0</v>
      </c>
      <c r="AL32" s="309">
        <v>0</v>
      </c>
      <c r="AM32" s="309">
        <f t="shared" si="19"/>
        <v>0</v>
      </c>
      <c r="AN32" s="310">
        <f t="shared" si="24"/>
        <v>8148</v>
      </c>
      <c r="AO32" s="310">
        <f t="shared" si="25"/>
        <v>-5000</v>
      </c>
      <c r="AP32" s="310">
        <f t="shared" si="20"/>
        <v>3148</v>
      </c>
      <c r="AQ32" s="309">
        <v>0</v>
      </c>
      <c r="AR32" s="311">
        <f t="shared" ca="1" si="7"/>
        <v>8413.5168841692885</v>
      </c>
      <c r="AS32" s="870">
        <f t="shared" ca="1" si="21"/>
        <v>69471.511576133125</v>
      </c>
      <c r="AT32" s="822"/>
      <c r="AU32" s="878"/>
      <c r="AV32" s="35"/>
      <c r="AW32" s="879"/>
      <c r="AX32" s="35"/>
      <c r="AY32" s="880"/>
      <c r="BB32" s="123">
        <f ca="1">IF($D$3="WasteDiversion",WasteDiversion!BD32,'GHG Emissions'!Q25)</f>
        <v>2594.8061036702502</v>
      </c>
      <c r="BC32" s="924">
        <f t="shared" si="28"/>
        <v>0.08</v>
      </c>
      <c r="BD32" s="331">
        <f t="shared" ca="1" si="26"/>
        <v>207.58448829362001</v>
      </c>
      <c r="BE32" s="123">
        <f t="shared" ca="1" si="27"/>
        <v>2387.2216153766303</v>
      </c>
    </row>
    <row r="33" spans="1:57">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2"/>
        <v>0</v>
      </c>
      <c r="K33" s="307">
        <f t="shared" ca="1" si="10"/>
        <v>154864.35682839117</v>
      </c>
      <c r="L33" s="307">
        <f t="shared" si="11"/>
        <v>0</v>
      </c>
      <c r="M33" s="307">
        <v>0</v>
      </c>
      <c r="N33" s="307">
        <f t="shared" ca="1" si="12"/>
        <v>154864.35682839117</v>
      </c>
      <c r="O33" s="306">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0</v>
      </c>
      <c r="Y33" s="306">
        <v>0</v>
      </c>
      <c r="Z33" s="925">
        <f t="shared" ca="1" si="23"/>
        <v>-207.79107620477433</v>
      </c>
      <c r="AA33" s="308">
        <f ca="1">-SUM(W33,X33/OFFSET(GridFootprintbyYear,$A33-$A$19,0)*EF_PurchElec_MTperMWh,Z33)*OFFSET(ExposureCalculations!Price_GHG_Allowance_2010,A33-$A$19,0)*ExposureCalculations!D30</f>
        <v>5763.1188991398913</v>
      </c>
      <c r="AB33" s="308">
        <f t="shared" ca="1" si="3"/>
        <v>0</v>
      </c>
      <c r="AC33" s="308">
        <v>0</v>
      </c>
      <c r="AD33" s="819">
        <f t="shared" ca="1" si="4"/>
        <v>0</v>
      </c>
      <c r="AE33" s="308">
        <v>0</v>
      </c>
      <c r="AF33" s="819">
        <f t="shared" ca="1" si="5"/>
        <v>0</v>
      </c>
      <c r="AG33" s="308">
        <v>0</v>
      </c>
      <c r="AH33" s="308">
        <v>0</v>
      </c>
      <c r="AI33" s="308">
        <v>0</v>
      </c>
      <c r="AJ33" s="308">
        <f t="shared" ca="1" si="6"/>
        <v>0</v>
      </c>
      <c r="AK33" s="309">
        <v>0</v>
      </c>
      <c r="AL33" s="309">
        <v>0</v>
      </c>
      <c r="AM33" s="309">
        <f t="shared" si="19"/>
        <v>0</v>
      </c>
      <c r="AN33" s="310">
        <f t="shared" si="24"/>
        <v>8148</v>
      </c>
      <c r="AO33" s="310">
        <f t="shared" si="25"/>
        <v>-5000</v>
      </c>
      <c r="AP33" s="310">
        <f t="shared" si="20"/>
        <v>3148</v>
      </c>
      <c r="AQ33" s="309">
        <v>0</v>
      </c>
      <c r="AR33" s="311">
        <f t="shared" ca="1" si="7"/>
        <v>8911.1188991398922</v>
      </c>
      <c r="AS33" s="870">
        <f t="shared" ca="1" si="21"/>
        <v>78382.630475273021</v>
      </c>
      <c r="AT33" s="822"/>
      <c r="AU33" s="878"/>
      <c r="AV33" s="35"/>
      <c r="AW33" s="879"/>
      <c r="AX33" s="35"/>
      <c r="AY33" s="880"/>
      <c r="BB33" s="123">
        <f ca="1">IF($D$3="WasteDiversion",WasteDiversion!BD33,'GHG Emissions'!Q26)</f>
        <v>2597.3884525596791</v>
      </c>
      <c r="BC33" s="924">
        <f t="shared" si="28"/>
        <v>0.08</v>
      </c>
      <c r="BD33" s="331">
        <f t="shared" ca="1" si="26"/>
        <v>207.79107620477433</v>
      </c>
      <c r="BE33" s="123">
        <f t="shared" ca="1" si="27"/>
        <v>2389.5973763549046</v>
      </c>
    </row>
    <row r="34" spans="1:57">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2"/>
        <v>0</v>
      </c>
      <c r="K34" s="307">
        <f t="shared" ca="1" si="10"/>
        <v>156440.98242924322</v>
      </c>
      <c r="L34" s="307">
        <f t="shared" si="11"/>
        <v>0</v>
      </c>
      <c r="M34" s="307">
        <v>0</v>
      </c>
      <c r="N34" s="307">
        <f t="shared" ca="1" si="12"/>
        <v>156440.98242924322</v>
      </c>
      <c r="O34" s="306">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0</v>
      </c>
      <c r="Y34" s="306">
        <v>0</v>
      </c>
      <c r="Z34" s="925">
        <f t="shared" ca="1" si="23"/>
        <v>-207.99088517858286</v>
      </c>
      <c r="AA34" s="308">
        <f ca="1">-SUM(W34,X34/OFFSET(GridFootprintbyYear,$A34-$A$19,0)*EF_PurchElec_MTperMWh,Z34)*OFFSET(ExposureCalculations!Price_GHG_Allowance_2010,A34-$A$19,0)*ExposureCalculations!D31</f>
        <v>6276.5564164460939</v>
      </c>
      <c r="AB34" s="308">
        <f t="shared" ca="1" si="3"/>
        <v>0</v>
      </c>
      <c r="AC34" s="308">
        <v>0</v>
      </c>
      <c r="AD34" s="819">
        <f t="shared" ca="1" si="4"/>
        <v>0</v>
      </c>
      <c r="AE34" s="308">
        <v>0</v>
      </c>
      <c r="AF34" s="819">
        <f t="shared" ca="1" si="5"/>
        <v>0</v>
      </c>
      <c r="AG34" s="308">
        <v>0</v>
      </c>
      <c r="AH34" s="308">
        <v>0</v>
      </c>
      <c r="AI34" s="308">
        <v>0</v>
      </c>
      <c r="AJ34" s="308">
        <f t="shared" ca="1" si="6"/>
        <v>0</v>
      </c>
      <c r="AK34" s="309">
        <v>0</v>
      </c>
      <c r="AL34" s="309">
        <v>0</v>
      </c>
      <c r="AM34" s="309">
        <f t="shared" si="19"/>
        <v>0</v>
      </c>
      <c r="AN34" s="310">
        <f t="shared" si="24"/>
        <v>8148</v>
      </c>
      <c r="AO34" s="310">
        <f t="shared" si="25"/>
        <v>-5000</v>
      </c>
      <c r="AP34" s="310">
        <f t="shared" si="20"/>
        <v>3148</v>
      </c>
      <c r="AQ34" s="309">
        <v>0</v>
      </c>
      <c r="AR34" s="311">
        <f t="shared" ca="1" si="7"/>
        <v>9424.5564164460939</v>
      </c>
      <c r="AS34" s="870">
        <f t="shared" ca="1" si="21"/>
        <v>87807.186891719117</v>
      </c>
      <c r="AT34" s="822"/>
      <c r="AU34" s="878"/>
      <c r="AV34" s="35"/>
      <c r="AW34" s="879"/>
      <c r="AX34" s="35"/>
      <c r="AY34" s="880"/>
      <c r="BB34" s="123">
        <f ca="1">IF($D$3="WasteDiversion",WasteDiversion!BD34,'GHG Emissions'!Q27)</f>
        <v>2599.8860647322858</v>
      </c>
      <c r="BC34" s="924">
        <f t="shared" si="28"/>
        <v>0.08</v>
      </c>
      <c r="BD34" s="331">
        <f t="shared" ca="1" si="26"/>
        <v>207.99088517858286</v>
      </c>
      <c r="BE34" s="123">
        <f t="shared" ca="1" si="27"/>
        <v>2391.8951795537032</v>
      </c>
    </row>
    <row r="35" spans="1:57">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2"/>
        <v>0</v>
      </c>
      <c r="K35" s="307">
        <f t="shared" ca="1" si="10"/>
        <v>158017.60803009526</v>
      </c>
      <c r="L35" s="307">
        <f t="shared" si="11"/>
        <v>0</v>
      </c>
      <c r="M35" s="307">
        <v>0</v>
      </c>
      <c r="N35" s="307">
        <f t="shared" ca="1" si="12"/>
        <v>158017.60803009526</v>
      </c>
      <c r="O35" s="306">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0</v>
      </c>
      <c r="Y35" s="306">
        <v>0</v>
      </c>
      <c r="Z35" s="925">
        <f t="shared" ca="1" si="23"/>
        <v>-208.18454174242908</v>
      </c>
      <c r="AA35" s="308">
        <f ca="1">-SUM(W35,X35/OFFSET(GridFootprintbyYear,$A35-$A$19,0)*EF_PurchElec_MTperMWh,Z35)*OFFSET(ExposureCalculations!Price_GHG_Allowance_2010,A35-$A$19,0)*ExposureCalculations!D32</f>
        <v>6857.0714325545105</v>
      </c>
      <c r="AB35" s="308">
        <f t="shared" ca="1" si="3"/>
        <v>0</v>
      </c>
      <c r="AC35" s="308">
        <v>0</v>
      </c>
      <c r="AD35" s="819">
        <f t="shared" ca="1" si="4"/>
        <v>0</v>
      </c>
      <c r="AE35" s="308">
        <v>0</v>
      </c>
      <c r="AF35" s="819">
        <f t="shared" ca="1" si="5"/>
        <v>0</v>
      </c>
      <c r="AG35" s="308">
        <v>0</v>
      </c>
      <c r="AH35" s="308">
        <v>0</v>
      </c>
      <c r="AI35" s="308">
        <v>0</v>
      </c>
      <c r="AJ35" s="308">
        <f t="shared" ca="1" si="6"/>
        <v>0</v>
      </c>
      <c r="AK35" s="309">
        <v>0</v>
      </c>
      <c r="AL35" s="309">
        <v>0</v>
      </c>
      <c r="AM35" s="309">
        <f t="shared" si="19"/>
        <v>0</v>
      </c>
      <c r="AN35" s="310">
        <f t="shared" si="24"/>
        <v>8148</v>
      </c>
      <c r="AO35" s="310">
        <f t="shared" si="25"/>
        <v>-5000</v>
      </c>
      <c r="AP35" s="310">
        <f t="shared" si="20"/>
        <v>3148</v>
      </c>
      <c r="AQ35" s="309">
        <v>0</v>
      </c>
      <c r="AR35" s="311">
        <f t="shared" ca="1" si="7"/>
        <v>10005.07143255451</v>
      </c>
      <c r="AS35" s="870">
        <f t="shared" ca="1" si="21"/>
        <v>97812.258324273629</v>
      </c>
      <c r="AT35" s="822"/>
      <c r="AU35" s="878"/>
      <c r="AV35" s="35"/>
      <c r="AW35" s="879"/>
      <c r="AX35" s="35"/>
      <c r="AY35" s="880"/>
      <c r="BB35" s="123">
        <f ca="1">IF($D$3="WasteDiversion",WasteDiversion!BD35,'GHG Emissions'!Q28)</f>
        <v>2602.3067717803633</v>
      </c>
      <c r="BC35" s="924">
        <f t="shared" si="28"/>
        <v>0.08</v>
      </c>
      <c r="BD35" s="331">
        <f t="shared" ca="1" si="26"/>
        <v>208.18454174242908</v>
      </c>
      <c r="BE35" s="123">
        <f t="shared" ca="1" si="27"/>
        <v>2394.1222300379341</v>
      </c>
    </row>
    <row r="36" spans="1:57">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2"/>
        <v>0</v>
      </c>
      <c r="K36" s="307">
        <f t="shared" ca="1" si="10"/>
        <v>159594.23363094722</v>
      </c>
      <c r="L36" s="307">
        <f t="shared" si="11"/>
        <v>0</v>
      </c>
      <c r="M36" s="307">
        <v>0</v>
      </c>
      <c r="N36" s="307">
        <f t="shared" ca="1" si="12"/>
        <v>159594.23363094722</v>
      </c>
      <c r="O36" s="306">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0</v>
      </c>
      <c r="Y36" s="306">
        <v>0</v>
      </c>
      <c r="Z36" s="925">
        <f t="shared" ca="1" si="23"/>
        <v>-208.37258147784658</v>
      </c>
      <c r="AA36" s="308">
        <f ca="1">-SUM(W36,X36/OFFSET(GridFootprintbyYear,$A36-$A$19,0)*EF_PurchElec_MTperMWh,Z36)*OFFSET(ExposureCalculations!Price_GHG_Allowance_2010,A36-$A$19,0)*ExposureCalculations!D33</f>
        <v>7456.3126283988549</v>
      </c>
      <c r="AB36" s="308">
        <f t="shared" ca="1" si="3"/>
        <v>0</v>
      </c>
      <c r="AC36" s="308">
        <v>0</v>
      </c>
      <c r="AD36" s="819">
        <f t="shared" ca="1" si="4"/>
        <v>0</v>
      </c>
      <c r="AE36" s="308">
        <v>0</v>
      </c>
      <c r="AF36" s="819">
        <f t="shared" ca="1" si="5"/>
        <v>0</v>
      </c>
      <c r="AG36" s="308">
        <v>0</v>
      </c>
      <c r="AH36" s="308">
        <v>0</v>
      </c>
      <c r="AI36" s="308">
        <v>0</v>
      </c>
      <c r="AJ36" s="308">
        <f t="shared" ca="1" si="6"/>
        <v>0</v>
      </c>
      <c r="AK36" s="309">
        <v>0</v>
      </c>
      <c r="AL36" s="309">
        <v>0</v>
      </c>
      <c r="AM36" s="309">
        <f t="shared" si="19"/>
        <v>0</v>
      </c>
      <c r="AN36" s="310">
        <f t="shared" si="24"/>
        <v>8148</v>
      </c>
      <c r="AO36" s="310">
        <f t="shared" si="25"/>
        <v>-5000</v>
      </c>
      <c r="AP36" s="310">
        <f t="shared" si="20"/>
        <v>3148</v>
      </c>
      <c r="AQ36" s="309">
        <v>0</v>
      </c>
      <c r="AR36" s="311">
        <f t="shared" ca="1" si="7"/>
        <v>10604.312628398855</v>
      </c>
      <c r="AS36" s="870">
        <f t="shared" ca="1" si="21"/>
        <v>108416.57095267248</v>
      </c>
      <c r="AT36" s="822"/>
      <c r="AU36" s="878"/>
      <c r="AV36" s="35"/>
      <c r="AW36" s="879"/>
      <c r="AX36" s="35"/>
      <c r="AY36" s="880"/>
      <c r="BB36" s="123">
        <f ca="1">IF($D$3="WasteDiversion",WasteDiversion!BD36,'GHG Emissions'!Q29)</f>
        <v>2604.6572684730822</v>
      </c>
      <c r="BC36" s="924">
        <f t="shared" si="28"/>
        <v>0.08</v>
      </c>
      <c r="BD36" s="331">
        <f t="shared" ca="1" si="26"/>
        <v>208.37258147784658</v>
      </c>
      <c r="BE36" s="123">
        <f t="shared" ca="1" si="27"/>
        <v>2396.2846869952355</v>
      </c>
    </row>
    <row r="37" spans="1:57">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2"/>
        <v>0</v>
      </c>
      <c r="K37" s="307">
        <f t="shared" ca="1" si="10"/>
        <v>161170.85923179929</v>
      </c>
      <c r="L37" s="307">
        <f t="shared" si="11"/>
        <v>0</v>
      </c>
      <c r="M37" s="307">
        <v>0</v>
      </c>
      <c r="N37" s="307">
        <f t="shared" ca="1" si="12"/>
        <v>161170.85923179929</v>
      </c>
      <c r="O37" s="306">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0</v>
      </c>
      <c r="Y37" s="306">
        <v>0</v>
      </c>
      <c r="Z37" s="925">
        <f t="shared" ca="1" si="23"/>
        <v>-208.555466495037</v>
      </c>
      <c r="AA37" s="308">
        <f ca="1">-SUM(W37,X37/OFFSET(GridFootprintbyYear,$A37-$A$19,0)*EF_PurchElec_MTperMWh,Z37)*OFFSET(ExposureCalculations!Price_GHG_Allowance_2010,A37-$A$19,0)*ExposureCalculations!D34</f>
        <v>8073.4305435557571</v>
      </c>
      <c r="AB37" s="308">
        <f t="shared" ca="1" si="3"/>
        <v>0</v>
      </c>
      <c r="AC37" s="308">
        <v>0</v>
      </c>
      <c r="AD37" s="819">
        <f t="shared" ca="1" si="4"/>
        <v>0</v>
      </c>
      <c r="AE37" s="308">
        <v>0</v>
      </c>
      <c r="AF37" s="819">
        <f t="shared" ca="1" si="5"/>
        <v>0</v>
      </c>
      <c r="AG37" s="308">
        <v>0</v>
      </c>
      <c r="AH37" s="308">
        <v>0</v>
      </c>
      <c r="AI37" s="308">
        <v>0</v>
      </c>
      <c r="AJ37" s="308">
        <f t="shared" ca="1" si="6"/>
        <v>0</v>
      </c>
      <c r="AK37" s="309">
        <v>0</v>
      </c>
      <c r="AL37" s="309">
        <v>0</v>
      </c>
      <c r="AM37" s="309">
        <f t="shared" si="19"/>
        <v>0</v>
      </c>
      <c r="AN37" s="310">
        <f t="shared" si="24"/>
        <v>8148</v>
      </c>
      <c r="AO37" s="310">
        <f t="shared" si="25"/>
        <v>-5000</v>
      </c>
      <c r="AP37" s="310">
        <f t="shared" si="20"/>
        <v>3148</v>
      </c>
      <c r="AQ37" s="309">
        <v>0</v>
      </c>
      <c r="AR37" s="311">
        <f t="shared" ca="1" si="7"/>
        <v>11221.430543555758</v>
      </c>
      <c r="AS37" s="870">
        <f t="shared" ca="1" si="21"/>
        <v>119638.00149622824</v>
      </c>
      <c r="AT37" s="822"/>
      <c r="AU37" s="878"/>
      <c r="AV37" s="35"/>
      <c r="AW37" s="879"/>
      <c r="AX37" s="35"/>
      <c r="AY37" s="880"/>
      <c r="BB37" s="123">
        <f ca="1">IF($D$3="WasteDiversion",WasteDiversion!BD37,'GHG Emissions'!Q30)</f>
        <v>2606.9433311879625</v>
      </c>
      <c r="BC37" s="924">
        <f t="shared" si="28"/>
        <v>0.08</v>
      </c>
      <c r="BD37" s="331">
        <f t="shared" ca="1" si="26"/>
        <v>208.555466495037</v>
      </c>
      <c r="BE37" s="123">
        <f t="shared" ca="1" si="27"/>
        <v>2398.3878646929256</v>
      </c>
    </row>
    <row r="38" spans="1:57">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2"/>
        <v>0</v>
      </c>
      <c r="K38" s="307">
        <f t="shared" ca="1" si="10"/>
        <v>162747.48483265133</v>
      </c>
      <c r="L38" s="307">
        <f t="shared" si="11"/>
        <v>0</v>
      </c>
      <c r="M38" s="307">
        <v>0</v>
      </c>
      <c r="N38" s="307">
        <f t="shared" ca="1" si="12"/>
        <v>162747.48483265133</v>
      </c>
      <c r="O38" s="306">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0</v>
      </c>
      <c r="Y38" s="306">
        <v>0</v>
      </c>
      <c r="Z38" s="925">
        <f t="shared" ca="1" si="23"/>
        <v>-208.73359881376186</v>
      </c>
      <c r="AA38" s="308">
        <f ca="1">-SUM(W38,X38/OFFSET(GridFootprintbyYear,$A38-$A$19,0)*EF_PurchElec_MTperMWh,Z38)*OFFSET(ExposureCalculations!Price_GHG_Allowance_2010,A38-$A$19,0)*ExposureCalculations!D35</f>
        <v>8707.5775932468114</v>
      </c>
      <c r="AB38" s="308">
        <f t="shared" ca="1" si="3"/>
        <v>0</v>
      </c>
      <c r="AC38" s="308">
        <v>0</v>
      </c>
      <c r="AD38" s="819">
        <f t="shared" ca="1" si="4"/>
        <v>0</v>
      </c>
      <c r="AE38" s="308">
        <v>0</v>
      </c>
      <c r="AF38" s="819">
        <f t="shared" ca="1" si="5"/>
        <v>0</v>
      </c>
      <c r="AG38" s="308">
        <v>0</v>
      </c>
      <c r="AH38" s="308">
        <v>0</v>
      </c>
      <c r="AI38" s="308">
        <v>0</v>
      </c>
      <c r="AJ38" s="308">
        <f t="shared" ca="1" si="6"/>
        <v>0</v>
      </c>
      <c r="AK38" s="309">
        <v>0</v>
      </c>
      <c r="AL38" s="309">
        <v>0</v>
      </c>
      <c r="AM38" s="309">
        <f t="shared" si="19"/>
        <v>0</v>
      </c>
      <c r="AN38" s="310">
        <f t="shared" si="24"/>
        <v>8148</v>
      </c>
      <c r="AO38" s="310">
        <f t="shared" si="25"/>
        <v>-5000</v>
      </c>
      <c r="AP38" s="310">
        <f t="shared" si="20"/>
        <v>3148</v>
      </c>
      <c r="AQ38" s="309">
        <v>0</v>
      </c>
      <c r="AR38" s="311">
        <f t="shared" ca="1" si="7"/>
        <v>11855.577593246811</v>
      </c>
      <c r="AS38" s="870">
        <f t="shared" ca="1" si="21"/>
        <v>131493.57908947507</v>
      </c>
      <c r="AT38" s="822"/>
      <c r="AU38" s="878"/>
      <c r="AV38" s="35"/>
      <c r="AW38" s="879"/>
      <c r="AX38" s="35"/>
      <c r="AY38" s="880"/>
      <c r="BB38" s="123">
        <f ca="1">IF($D$3="WasteDiversion",WasteDiversion!BD38,'GHG Emissions'!Q31)</f>
        <v>2609.1699851720232</v>
      </c>
      <c r="BC38" s="924">
        <f t="shared" si="28"/>
        <v>0.08</v>
      </c>
      <c r="BD38" s="331">
        <f t="shared" ca="1" si="26"/>
        <v>208.73359881376186</v>
      </c>
      <c r="BE38" s="123">
        <f t="shared" ca="1" si="27"/>
        <v>2400.4363863582612</v>
      </c>
    </row>
    <row r="39" spans="1:57">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2"/>
        <v>0</v>
      </c>
      <c r="K39" s="307">
        <f t="shared" ca="1" si="10"/>
        <v>164324.11043350337</v>
      </c>
      <c r="L39" s="307">
        <f t="shared" si="11"/>
        <v>0</v>
      </c>
      <c r="M39" s="307">
        <v>0</v>
      </c>
      <c r="N39" s="307">
        <f t="shared" ca="1" si="12"/>
        <v>164324.11043350337</v>
      </c>
      <c r="O39" s="306">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0</v>
      </c>
      <c r="Y39" s="306">
        <v>0</v>
      </c>
      <c r="Z39" s="925">
        <f t="shared" ca="1" si="23"/>
        <v>-208.90733076504105</v>
      </c>
      <c r="AA39" s="308">
        <f ca="1">-SUM(W39,X39/OFFSET(GridFootprintbyYear,$A39-$A$19,0)*EF_PurchElec_MTperMWh,Z39)*OFFSET(ExposureCalculations!Price_GHG_Allowance_2010,A39-$A$19,0)*ExposureCalculations!D36</f>
        <v>9357.9081125472567</v>
      </c>
      <c r="AB39" s="308">
        <f t="shared" ca="1" si="3"/>
        <v>0</v>
      </c>
      <c r="AC39" s="308">
        <v>0</v>
      </c>
      <c r="AD39" s="819">
        <f t="shared" ca="1" si="4"/>
        <v>0</v>
      </c>
      <c r="AE39" s="308">
        <v>0</v>
      </c>
      <c r="AF39" s="819">
        <f t="shared" ca="1" si="5"/>
        <v>0</v>
      </c>
      <c r="AG39" s="308">
        <v>0</v>
      </c>
      <c r="AH39" s="308">
        <v>0</v>
      </c>
      <c r="AI39" s="308">
        <v>0</v>
      </c>
      <c r="AJ39" s="308">
        <f t="shared" ca="1" si="6"/>
        <v>0</v>
      </c>
      <c r="AK39" s="309">
        <v>0</v>
      </c>
      <c r="AL39" s="309">
        <v>0</v>
      </c>
      <c r="AM39" s="309">
        <f t="shared" si="19"/>
        <v>0</v>
      </c>
      <c r="AN39" s="310">
        <f t="shared" si="24"/>
        <v>8148</v>
      </c>
      <c r="AO39" s="310">
        <f t="shared" si="25"/>
        <v>-5000</v>
      </c>
      <c r="AP39" s="310">
        <f t="shared" si="20"/>
        <v>3148</v>
      </c>
      <c r="AQ39" s="309">
        <v>0</v>
      </c>
      <c r="AR39" s="311">
        <f t="shared" ca="1" si="7"/>
        <v>12505.908112547257</v>
      </c>
      <c r="AS39" s="870">
        <f t="shared" ca="1" si="21"/>
        <v>143999.48720202231</v>
      </c>
      <c r="AT39" s="822"/>
      <c r="AU39" s="878"/>
      <c r="AV39" s="35"/>
      <c r="AW39" s="879"/>
      <c r="AX39" s="35"/>
      <c r="AY39" s="880"/>
      <c r="BB39" s="123">
        <f ca="1">IF($D$3="WasteDiversion",WasteDiversion!BD39,'GHG Emissions'!Q32)</f>
        <v>2611.341634563013</v>
      </c>
      <c r="BC39" s="924">
        <f t="shared" si="28"/>
        <v>0.08</v>
      </c>
      <c r="BD39" s="331">
        <f t="shared" ca="1" si="26"/>
        <v>208.90733076504105</v>
      </c>
      <c r="BE39" s="123">
        <f t="shared" ca="1" si="27"/>
        <v>2402.434303797972</v>
      </c>
    </row>
    <row r="40" spans="1:57">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2"/>
        <v>0</v>
      </c>
      <c r="K40" s="307">
        <f t="shared" ca="1" si="10"/>
        <v>165900.73603435536</v>
      </c>
      <c r="L40" s="307">
        <f t="shared" si="11"/>
        <v>0</v>
      </c>
      <c r="M40" s="307">
        <v>0</v>
      </c>
      <c r="N40" s="307">
        <f t="shared" ca="1" si="12"/>
        <v>165900.73603435536</v>
      </c>
      <c r="O40" s="306">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0</v>
      </c>
      <c r="Y40" s="306">
        <v>0</v>
      </c>
      <c r="Z40" s="925">
        <f t="shared" ca="1" si="23"/>
        <v>-209.07697318635553</v>
      </c>
      <c r="AA40" s="308">
        <f ca="1">-SUM(W40,X40/OFFSET(GridFootprintbyYear,$A40-$A$19,0)*EF_PurchElec_MTperMWh,Z40)*OFFSET(ExposureCalculations!Price_GHG_Allowance_2010,A40-$A$19,0)*ExposureCalculations!D37</f>
        <v>10102.497099752361</v>
      </c>
      <c r="AB40" s="308">
        <f t="shared" ca="1" si="3"/>
        <v>0</v>
      </c>
      <c r="AC40" s="308">
        <v>0</v>
      </c>
      <c r="AD40" s="819">
        <f t="shared" ca="1" si="4"/>
        <v>0</v>
      </c>
      <c r="AE40" s="308">
        <v>0</v>
      </c>
      <c r="AF40" s="819">
        <f t="shared" ca="1" si="5"/>
        <v>0</v>
      </c>
      <c r="AG40" s="308">
        <v>0</v>
      </c>
      <c r="AH40" s="308">
        <v>0</v>
      </c>
      <c r="AI40" s="308">
        <v>0</v>
      </c>
      <c r="AJ40" s="308">
        <f t="shared" ca="1" si="6"/>
        <v>0</v>
      </c>
      <c r="AK40" s="309">
        <v>0</v>
      </c>
      <c r="AL40" s="309">
        <v>0</v>
      </c>
      <c r="AM40" s="309">
        <f t="shared" si="19"/>
        <v>0</v>
      </c>
      <c r="AN40" s="310">
        <f t="shared" si="24"/>
        <v>8148</v>
      </c>
      <c r="AO40" s="310">
        <f t="shared" si="25"/>
        <v>-5000</v>
      </c>
      <c r="AP40" s="310">
        <f t="shared" si="20"/>
        <v>3148</v>
      </c>
      <c r="AQ40" s="309">
        <v>0</v>
      </c>
      <c r="AR40" s="311">
        <f t="shared" ca="1" si="7"/>
        <v>13250.497099752361</v>
      </c>
      <c r="AS40" s="870">
        <f t="shared" ca="1" si="21"/>
        <v>157249.98430177468</v>
      </c>
      <c r="AT40" s="822"/>
      <c r="AU40" s="878"/>
      <c r="AV40" s="35"/>
      <c r="AW40" s="879"/>
      <c r="AX40" s="35"/>
      <c r="AY40" s="880"/>
      <c r="BB40" s="123">
        <f ca="1">IF($D$3="WasteDiversion",WasteDiversion!BD40,'GHG Emissions'!Q33)</f>
        <v>2613.4621648294442</v>
      </c>
      <c r="BC40" s="924">
        <f t="shared" si="28"/>
        <v>0.08</v>
      </c>
      <c r="BD40" s="331">
        <f t="shared" ca="1" si="26"/>
        <v>209.07697318635553</v>
      </c>
      <c r="BE40" s="123">
        <f t="shared" ca="1" si="27"/>
        <v>2404.3851916430885</v>
      </c>
    </row>
    <row r="41" spans="1:57">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2"/>
        <v>0</v>
      </c>
      <c r="K41" s="307">
        <f t="shared" ca="1" si="10"/>
        <v>167477.3616352074</v>
      </c>
      <c r="L41" s="307">
        <f t="shared" si="11"/>
        <v>0</v>
      </c>
      <c r="M41" s="307">
        <v>0</v>
      </c>
      <c r="N41" s="307">
        <f t="shared" ca="1" si="12"/>
        <v>167477.3616352074</v>
      </c>
      <c r="O41" s="306">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0</v>
      </c>
      <c r="Y41" s="306">
        <v>0</v>
      </c>
      <c r="Z41" s="925">
        <f t="shared" ca="1" si="23"/>
        <v>-209.24280195681288</v>
      </c>
      <c r="AA41" s="308">
        <f ca="1">-SUM(W41,X41/OFFSET(GridFootprintbyYear,$A41-$A$19,0)*EF_PurchElec_MTperMWh,Z41)*OFFSET(ExposureCalculations!Price_GHG_Allowance_2010,A41-$A$19,0)*ExposureCalculations!D38</f>
        <v>10866.139607992709</v>
      </c>
      <c r="AB41" s="308">
        <f t="shared" ca="1" si="3"/>
        <v>0</v>
      </c>
      <c r="AC41" s="308">
        <v>0</v>
      </c>
      <c r="AD41" s="819">
        <f t="shared" ca="1" si="4"/>
        <v>0</v>
      </c>
      <c r="AE41" s="308">
        <v>0</v>
      </c>
      <c r="AF41" s="819">
        <f t="shared" ca="1" si="5"/>
        <v>0</v>
      </c>
      <c r="AG41" s="308">
        <v>0</v>
      </c>
      <c r="AH41" s="308">
        <v>0</v>
      </c>
      <c r="AI41" s="308">
        <v>0</v>
      </c>
      <c r="AJ41" s="308">
        <f t="shared" ca="1" si="6"/>
        <v>0</v>
      </c>
      <c r="AK41" s="309">
        <v>0</v>
      </c>
      <c r="AL41" s="309">
        <v>0</v>
      </c>
      <c r="AM41" s="309">
        <f t="shared" si="19"/>
        <v>0</v>
      </c>
      <c r="AN41" s="310">
        <f t="shared" si="24"/>
        <v>8148</v>
      </c>
      <c r="AO41" s="310">
        <f t="shared" si="25"/>
        <v>-5000</v>
      </c>
      <c r="AP41" s="310">
        <f t="shared" si="20"/>
        <v>3148</v>
      </c>
      <c r="AQ41" s="309">
        <v>0</v>
      </c>
      <c r="AR41" s="311">
        <f t="shared" ca="1" si="7"/>
        <v>14014.139607992709</v>
      </c>
      <c r="AS41" s="870">
        <f t="shared" ca="1" si="21"/>
        <v>171264.1239097674</v>
      </c>
      <c r="AT41" s="822"/>
      <c r="AU41" s="878"/>
      <c r="AV41" s="35"/>
      <c r="AW41" s="879"/>
      <c r="AX41" s="35"/>
      <c r="AY41" s="880"/>
      <c r="BB41" s="123">
        <f ca="1">IF($D$3="WasteDiversion",WasteDiversion!BD41,'GHG Emissions'!Q34)</f>
        <v>2615.5350244601609</v>
      </c>
      <c r="BC41" s="924">
        <f t="shared" si="28"/>
        <v>0.08</v>
      </c>
      <c r="BD41" s="331">
        <f t="shared" ca="1" si="26"/>
        <v>209.24280195681288</v>
      </c>
      <c r="BE41" s="123">
        <f t="shared" ca="1" si="27"/>
        <v>2406.2922225033481</v>
      </c>
    </row>
    <row r="42" spans="1:57">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2"/>
        <v>0</v>
      </c>
      <c r="K42" s="307">
        <f t="shared" ca="1" si="10"/>
        <v>169053.98723605942</v>
      </c>
      <c r="L42" s="307">
        <f t="shared" si="11"/>
        <v>0</v>
      </c>
      <c r="M42" s="307">
        <v>0</v>
      </c>
      <c r="N42" s="307">
        <f t="shared" ca="1" si="12"/>
        <v>169053.98723605942</v>
      </c>
      <c r="O42" s="306">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0</v>
      </c>
      <c r="Y42" s="306">
        <v>0</v>
      </c>
      <c r="Z42" s="925">
        <f t="shared" ca="1" si="23"/>
        <v>-209.40506326564875</v>
      </c>
      <c r="AA42" s="308">
        <f ca="1">-SUM(W42,X42/OFFSET(GridFootprintbyYear,$A42-$A$19,0)*EF_PurchElec_MTperMWh,Z42)*OFFSET(ExposureCalculations!Price_GHG_Allowance_2010,A42-$A$19,0)*ExposureCalculations!D39</f>
        <v>11552.467980511932</v>
      </c>
      <c r="AB42" s="308">
        <f t="shared" ca="1" si="3"/>
        <v>0</v>
      </c>
      <c r="AC42" s="308">
        <v>0</v>
      </c>
      <c r="AD42" s="819">
        <f t="shared" ca="1" si="4"/>
        <v>0</v>
      </c>
      <c r="AE42" s="308">
        <v>0</v>
      </c>
      <c r="AF42" s="819">
        <f t="shared" ca="1" si="5"/>
        <v>0</v>
      </c>
      <c r="AG42" s="308">
        <v>0</v>
      </c>
      <c r="AH42" s="308">
        <v>0</v>
      </c>
      <c r="AI42" s="308">
        <v>0</v>
      </c>
      <c r="AJ42" s="308">
        <f t="shared" ca="1" si="6"/>
        <v>0</v>
      </c>
      <c r="AK42" s="309">
        <v>0</v>
      </c>
      <c r="AL42" s="309">
        <v>0</v>
      </c>
      <c r="AM42" s="309">
        <f t="shared" si="19"/>
        <v>0</v>
      </c>
      <c r="AN42" s="310">
        <f t="shared" si="24"/>
        <v>8148</v>
      </c>
      <c r="AO42" s="310">
        <f t="shared" si="25"/>
        <v>-5000</v>
      </c>
      <c r="AP42" s="310">
        <f t="shared" si="20"/>
        <v>3148</v>
      </c>
      <c r="AQ42" s="309">
        <v>0</v>
      </c>
      <c r="AR42" s="311">
        <f t="shared" ca="1" si="7"/>
        <v>14700.467980511932</v>
      </c>
      <c r="AS42" s="870">
        <f t="shared" ca="1" si="21"/>
        <v>185964.59189027932</v>
      </c>
      <c r="AT42" s="822"/>
      <c r="AU42" s="878"/>
      <c r="AV42" s="35"/>
      <c r="AW42" s="879"/>
      <c r="AX42" s="35"/>
      <c r="AY42" s="880"/>
      <c r="BB42" s="123">
        <f ca="1">IF($D$3="WasteDiversion",WasteDiversion!BD42,'GHG Emissions'!Q35)</f>
        <v>2617.5632908206094</v>
      </c>
      <c r="BC42" s="924">
        <f t="shared" si="28"/>
        <v>0.08</v>
      </c>
      <c r="BD42" s="331">
        <f t="shared" ca="1" si="26"/>
        <v>209.40506326564875</v>
      </c>
      <c r="BE42" s="123">
        <f t="shared" ca="1" si="27"/>
        <v>2408.1582275549608</v>
      </c>
    </row>
    <row r="43" spans="1:57">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2"/>
        <v>0</v>
      </c>
      <c r="K43" s="307">
        <f t="shared" ca="1" si="10"/>
        <v>170630.61283691146</v>
      </c>
      <c r="L43" s="307">
        <f t="shared" si="11"/>
        <v>0</v>
      </c>
      <c r="M43" s="307">
        <v>0</v>
      </c>
      <c r="N43" s="307">
        <f t="shared" ca="1" si="12"/>
        <v>170630.61283691146</v>
      </c>
      <c r="O43" s="306">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0</v>
      </c>
      <c r="Y43" s="306">
        <v>0</v>
      </c>
      <c r="Z43" s="925">
        <f t="shared" ca="1" si="23"/>
        <v>-209.5639779018</v>
      </c>
      <c r="AA43" s="308">
        <f ca="1">-SUM(W43,X43/OFFSET(GridFootprintbyYear,$A43-$A$19,0)*EF_PurchElec_MTperMWh,Z43)*OFFSET(ExposureCalculations!Price_GHG_Allowance_2010,A43-$A$19,0)*ExposureCalculations!D40</f>
        <v>12157.430529000159</v>
      </c>
      <c r="AB43" s="308">
        <f t="shared" ca="1" si="3"/>
        <v>0</v>
      </c>
      <c r="AC43" s="308">
        <v>0</v>
      </c>
      <c r="AD43" s="819">
        <f t="shared" ca="1" si="4"/>
        <v>0</v>
      </c>
      <c r="AE43" s="308">
        <v>0</v>
      </c>
      <c r="AF43" s="819">
        <f t="shared" ca="1" si="5"/>
        <v>0</v>
      </c>
      <c r="AG43" s="308">
        <v>0</v>
      </c>
      <c r="AH43" s="308">
        <v>0</v>
      </c>
      <c r="AI43" s="308">
        <v>0</v>
      </c>
      <c r="AJ43" s="308">
        <f t="shared" ca="1" si="6"/>
        <v>0</v>
      </c>
      <c r="AK43" s="309">
        <v>0</v>
      </c>
      <c r="AL43" s="309">
        <v>0</v>
      </c>
      <c r="AM43" s="309">
        <f t="shared" si="19"/>
        <v>0</v>
      </c>
      <c r="AN43" s="310">
        <f t="shared" si="24"/>
        <v>8148</v>
      </c>
      <c r="AO43" s="310">
        <f t="shared" si="25"/>
        <v>-5000</v>
      </c>
      <c r="AP43" s="310">
        <f t="shared" si="20"/>
        <v>3148</v>
      </c>
      <c r="AQ43" s="309">
        <v>0</v>
      </c>
      <c r="AR43" s="311">
        <f t="shared" ca="1" si="7"/>
        <v>15305.430529000159</v>
      </c>
      <c r="AS43" s="870">
        <f t="shared" ca="1" si="21"/>
        <v>201270.02241927947</v>
      </c>
      <c r="AT43" s="822"/>
      <c r="AU43" s="878"/>
      <c r="AV43" s="35"/>
      <c r="AW43" s="879"/>
      <c r="AX43" s="35"/>
      <c r="AY43" s="880"/>
      <c r="BB43" s="123">
        <f ca="1">IF($D$3="WasteDiversion",WasteDiversion!BD43,'GHG Emissions'!Q36)</f>
        <v>2619.5497237724999</v>
      </c>
      <c r="BC43" s="924">
        <f t="shared" si="28"/>
        <v>0.08</v>
      </c>
      <c r="BD43" s="331">
        <f t="shared" ca="1" si="26"/>
        <v>209.5639779018</v>
      </c>
      <c r="BE43" s="123">
        <f t="shared" ca="1" si="27"/>
        <v>2409.9857458706997</v>
      </c>
    </row>
    <row r="44" spans="1:57">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2"/>
        <v>0</v>
      </c>
      <c r="K44" s="307">
        <f t="shared" ca="1" si="10"/>
        <v>172207.23843776347</v>
      </c>
      <c r="L44" s="307">
        <f t="shared" si="11"/>
        <v>0</v>
      </c>
      <c r="M44" s="307">
        <v>0</v>
      </c>
      <c r="N44" s="307">
        <f t="shared" ca="1" si="12"/>
        <v>172207.23843776347</v>
      </c>
      <c r="O44" s="306">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0</v>
      </c>
      <c r="Y44" s="306">
        <v>0</v>
      </c>
      <c r="Z44" s="925">
        <f t="shared" ca="1" si="23"/>
        <v>-209.71974477808931</v>
      </c>
      <c r="AA44" s="308">
        <f ca="1">-SUM(W44,X44/OFFSET(GridFootprintbyYear,$A44-$A$19,0)*EF_PurchElec_MTperMWh,Z44)*OFFSET(ExposureCalculations!Price_GHG_Allowance_2010,A44-$A$19,0)*ExposureCalculations!D41</f>
        <v>12775.356423488065</v>
      </c>
      <c r="AB44" s="308">
        <f t="shared" ca="1" si="3"/>
        <v>0</v>
      </c>
      <c r="AC44" s="308">
        <v>0</v>
      </c>
      <c r="AD44" s="819">
        <f t="shared" ca="1" si="4"/>
        <v>0</v>
      </c>
      <c r="AE44" s="308">
        <v>0</v>
      </c>
      <c r="AF44" s="819">
        <f t="shared" ca="1" si="5"/>
        <v>0</v>
      </c>
      <c r="AG44" s="308">
        <v>0</v>
      </c>
      <c r="AH44" s="308">
        <v>0</v>
      </c>
      <c r="AI44" s="308">
        <v>0</v>
      </c>
      <c r="AJ44" s="308">
        <f t="shared" ca="1" si="6"/>
        <v>0</v>
      </c>
      <c r="AK44" s="309">
        <v>0</v>
      </c>
      <c r="AL44" s="309">
        <v>0</v>
      </c>
      <c r="AM44" s="309">
        <f t="shared" si="19"/>
        <v>0</v>
      </c>
      <c r="AN44" s="310">
        <f t="shared" si="24"/>
        <v>8148</v>
      </c>
      <c r="AO44" s="310">
        <f t="shared" si="25"/>
        <v>-5000</v>
      </c>
      <c r="AP44" s="310">
        <f t="shared" si="20"/>
        <v>3148</v>
      </c>
      <c r="AQ44" s="309">
        <v>0</v>
      </c>
      <c r="AR44" s="311">
        <f t="shared" ca="1" si="7"/>
        <v>15923.356423488065</v>
      </c>
      <c r="AS44" s="870">
        <f t="shared" ca="1" si="21"/>
        <v>217193.37884276753</v>
      </c>
      <c r="AT44" s="822"/>
      <c r="AU44" s="878"/>
      <c r="AV44" s="35"/>
      <c r="AW44" s="879"/>
      <c r="AX44" s="35"/>
      <c r="AY44" s="880"/>
      <c r="BB44" s="123">
        <f ca="1">IF($D$3="WasteDiversion",WasteDiversion!BD44,'GHG Emissions'!Q37)</f>
        <v>2621.4968097261162</v>
      </c>
      <c r="BC44" s="924">
        <f t="shared" si="28"/>
        <v>0.08</v>
      </c>
      <c r="BD44" s="331">
        <f t="shared" ca="1" si="26"/>
        <v>209.71974477808931</v>
      </c>
      <c r="BE44" s="123">
        <f t="shared" ca="1" si="27"/>
        <v>2411.7770649480271</v>
      </c>
    </row>
    <row r="45" spans="1:57">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2"/>
        <v>0</v>
      </c>
      <c r="K45" s="307">
        <f t="shared" ca="1" si="10"/>
        <v>173783.86403861555</v>
      </c>
      <c r="L45" s="307">
        <f t="shared" si="11"/>
        <v>0</v>
      </c>
      <c r="M45" s="307">
        <v>0</v>
      </c>
      <c r="N45" s="307">
        <f t="shared" ca="1" si="12"/>
        <v>173783.86403861555</v>
      </c>
      <c r="O45" s="306">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0</v>
      </c>
      <c r="Y45" s="306">
        <v>0</v>
      </c>
      <c r="Z45" s="925">
        <f t="shared" ca="1" si="23"/>
        <v>-209.87254385060123</v>
      </c>
      <c r="AA45" s="308">
        <f ca="1">-SUM(W45,X45/OFFSET(GridFootprintbyYear,$A45-$A$19,0)*EF_PurchElec_MTperMWh,Z45)*OFFSET(ExposureCalculations!Price_GHG_Allowance_2010,A45-$A$19,0)*ExposureCalculations!D42</f>
        <v>13497.56677436415</v>
      </c>
      <c r="AB45" s="308">
        <f t="shared" ca="1" si="3"/>
        <v>0</v>
      </c>
      <c r="AC45" s="308">
        <v>0</v>
      </c>
      <c r="AD45" s="819">
        <f t="shared" ca="1" si="4"/>
        <v>0</v>
      </c>
      <c r="AE45" s="308">
        <v>0</v>
      </c>
      <c r="AF45" s="819">
        <f t="shared" ca="1" si="5"/>
        <v>0</v>
      </c>
      <c r="AG45" s="308">
        <v>0</v>
      </c>
      <c r="AH45" s="308">
        <v>0</v>
      </c>
      <c r="AI45" s="308">
        <v>0</v>
      </c>
      <c r="AJ45" s="308">
        <f t="shared" ca="1" si="6"/>
        <v>0</v>
      </c>
      <c r="AK45" s="309">
        <v>0</v>
      </c>
      <c r="AL45" s="309">
        <v>0</v>
      </c>
      <c r="AM45" s="309">
        <f t="shared" si="19"/>
        <v>0</v>
      </c>
      <c r="AN45" s="310">
        <f t="shared" si="24"/>
        <v>8148</v>
      </c>
      <c r="AO45" s="310">
        <f t="shared" si="25"/>
        <v>-5000</v>
      </c>
      <c r="AP45" s="310">
        <f t="shared" si="20"/>
        <v>3148</v>
      </c>
      <c r="AQ45" s="309">
        <v>0</v>
      </c>
      <c r="AR45" s="311">
        <f t="shared" ca="1" si="7"/>
        <v>16645.56677436415</v>
      </c>
      <c r="AS45" s="870">
        <f t="shared" ca="1" si="21"/>
        <v>233838.94561713169</v>
      </c>
      <c r="AT45" s="822"/>
      <c r="AU45" s="878"/>
      <c r="AV45" s="35"/>
      <c r="AW45" s="879"/>
      <c r="AX45" s="35"/>
      <c r="AY45" s="880"/>
      <c r="BB45" s="123">
        <f ca="1">IF($D$3="WasteDiversion",WasteDiversion!BD45,'GHG Emissions'!Q38)</f>
        <v>2623.4067981325152</v>
      </c>
      <c r="BC45" s="924">
        <f t="shared" si="28"/>
        <v>0.08</v>
      </c>
      <c r="BD45" s="331">
        <f t="shared" ca="1" si="26"/>
        <v>209.87254385060123</v>
      </c>
      <c r="BE45" s="123">
        <f t="shared" ca="1" si="27"/>
        <v>2413.5342542819139</v>
      </c>
    </row>
    <row r="46" spans="1:57">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2"/>
        <v>0</v>
      </c>
      <c r="K46" s="307">
        <f t="shared" ca="1" si="10"/>
        <v>175360.48963946756</v>
      </c>
      <c r="L46" s="307">
        <f t="shared" si="11"/>
        <v>0</v>
      </c>
      <c r="M46" s="307">
        <v>0</v>
      </c>
      <c r="N46" s="307">
        <f t="shared" ca="1" si="12"/>
        <v>175360.48963946756</v>
      </c>
      <c r="O46" s="306">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0</v>
      </c>
      <c r="Y46" s="306">
        <v>0</v>
      </c>
      <c r="Z46" s="925">
        <f t="shared" ca="1" si="23"/>
        <v>-210.02253855547011</v>
      </c>
      <c r="AA46" s="308">
        <f ca="1">-SUM(W46,X46/OFFSET(GridFootprintbyYear,$A46-$A$19,0)*EF_PurchElec_MTperMWh,Z46)*OFFSET(ExposureCalculations!Price_GHG_Allowance_2010,A46-$A$19,0)*ExposureCalculations!D43</f>
        <v>14217.524276483166</v>
      </c>
      <c r="AB46" s="308">
        <f t="shared" ca="1" si="3"/>
        <v>0</v>
      </c>
      <c r="AC46" s="308">
        <v>0</v>
      </c>
      <c r="AD46" s="819">
        <f t="shared" ca="1" si="4"/>
        <v>0</v>
      </c>
      <c r="AE46" s="308">
        <v>0</v>
      </c>
      <c r="AF46" s="819">
        <f t="shared" ca="1" si="5"/>
        <v>0</v>
      </c>
      <c r="AG46" s="308">
        <v>0</v>
      </c>
      <c r="AH46" s="308">
        <v>0</v>
      </c>
      <c r="AI46" s="308">
        <v>0</v>
      </c>
      <c r="AJ46" s="308">
        <f t="shared" ca="1" si="6"/>
        <v>0</v>
      </c>
      <c r="AK46" s="309">
        <v>0</v>
      </c>
      <c r="AL46" s="309">
        <v>0</v>
      </c>
      <c r="AM46" s="309">
        <f t="shared" si="19"/>
        <v>0</v>
      </c>
      <c r="AN46" s="310">
        <f t="shared" si="24"/>
        <v>8148</v>
      </c>
      <c r="AO46" s="310">
        <f t="shared" si="25"/>
        <v>-5000</v>
      </c>
      <c r="AP46" s="310">
        <f t="shared" si="20"/>
        <v>3148</v>
      </c>
      <c r="AQ46" s="309">
        <v>0</v>
      </c>
      <c r="AR46" s="311">
        <f t="shared" ca="1" si="7"/>
        <v>17365.524276483164</v>
      </c>
      <c r="AS46" s="870">
        <f t="shared" ca="1" si="21"/>
        <v>251204.46989361485</v>
      </c>
      <c r="AT46" s="822"/>
      <c r="AU46" s="878"/>
      <c r="AV46" s="35"/>
      <c r="AW46" s="879"/>
      <c r="AX46" s="35"/>
      <c r="AY46" s="880"/>
      <c r="BB46" s="123">
        <f ca="1">IF($D$3="WasteDiversion",WasteDiversion!BD46,'GHG Emissions'!Q39)</f>
        <v>2625.2817319433761</v>
      </c>
      <c r="BC46" s="924">
        <f t="shared" si="28"/>
        <v>0.08</v>
      </c>
      <c r="BD46" s="331">
        <f t="shared" ca="1" si="26"/>
        <v>210.02253855547011</v>
      </c>
      <c r="BE46" s="123">
        <f t="shared" ca="1" si="27"/>
        <v>2415.2591933879062</v>
      </c>
    </row>
    <row r="47" spans="1:57">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2"/>
        <v>0</v>
      </c>
      <c r="K47" s="307">
        <f t="shared" ca="1" si="10"/>
        <v>176937.1152403196</v>
      </c>
      <c r="L47" s="307">
        <f t="shared" si="11"/>
        <v>0</v>
      </c>
      <c r="M47" s="307">
        <v>0</v>
      </c>
      <c r="N47" s="307">
        <f t="shared" ca="1" si="12"/>
        <v>176937.1152403196</v>
      </c>
      <c r="O47" s="306">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0</v>
      </c>
      <c r="Y47" s="306">
        <v>0</v>
      </c>
      <c r="Z47" s="925">
        <f t="shared" ca="1" si="23"/>
        <v>-210.16987785714261</v>
      </c>
      <c r="AA47" s="308">
        <f ca="1">-SUM(W47,X47/OFFSET(GridFootprintbyYear,$A47-$A$19,0)*EF_PurchElec_MTperMWh,Z47)*OFFSET(ExposureCalculations!Price_GHG_Allowance_2010,A47-$A$19,0)*ExposureCalculations!D44</f>
        <v>14933.320661841983</v>
      </c>
      <c r="AB47" s="308">
        <f t="shared" ca="1" si="3"/>
        <v>0</v>
      </c>
      <c r="AC47" s="308">
        <v>0</v>
      </c>
      <c r="AD47" s="819">
        <f t="shared" ca="1" si="4"/>
        <v>0</v>
      </c>
      <c r="AE47" s="308">
        <v>0</v>
      </c>
      <c r="AF47" s="819">
        <f t="shared" ca="1" si="5"/>
        <v>0</v>
      </c>
      <c r="AG47" s="308">
        <v>0</v>
      </c>
      <c r="AH47" s="308">
        <v>0</v>
      </c>
      <c r="AI47" s="308">
        <v>0</v>
      </c>
      <c r="AJ47" s="308">
        <f t="shared" ca="1" si="6"/>
        <v>0</v>
      </c>
      <c r="AK47" s="309">
        <v>0</v>
      </c>
      <c r="AL47" s="309">
        <v>0</v>
      </c>
      <c r="AM47" s="309">
        <f t="shared" si="19"/>
        <v>0</v>
      </c>
      <c r="AN47" s="310">
        <f t="shared" si="24"/>
        <v>8148</v>
      </c>
      <c r="AO47" s="310">
        <f t="shared" si="25"/>
        <v>-5000</v>
      </c>
      <c r="AP47" s="310">
        <f t="shared" si="20"/>
        <v>3148</v>
      </c>
      <c r="AQ47" s="309">
        <v>0</v>
      </c>
      <c r="AR47" s="311">
        <f t="shared" ca="1" si="7"/>
        <v>18081.320661841983</v>
      </c>
      <c r="AS47" s="870">
        <f t="shared" ca="1" si="21"/>
        <v>269285.79055545683</v>
      </c>
      <c r="AT47" s="822"/>
      <c r="AU47" s="878"/>
      <c r="AV47" s="35"/>
      <c r="AW47" s="879"/>
      <c r="AX47" s="35"/>
      <c r="AY47" s="880"/>
      <c r="BB47" s="123">
        <f ca="1">IF($D$3="WasteDiversion",WasteDiversion!BD47,'GHG Emissions'!Q40)</f>
        <v>2627.1234732142825</v>
      </c>
      <c r="BC47" s="924">
        <f t="shared" si="28"/>
        <v>0.08</v>
      </c>
      <c r="BD47" s="331">
        <f t="shared" ca="1" si="26"/>
        <v>210.16987785714261</v>
      </c>
      <c r="BE47" s="123">
        <f t="shared" ca="1" si="27"/>
        <v>2416.9535953571399</v>
      </c>
    </row>
    <row r="48" spans="1:57">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2"/>
        <v>0</v>
      </c>
      <c r="K48" s="307">
        <f t="shared" ca="1" si="10"/>
        <v>178513.74084117162</v>
      </c>
      <c r="L48" s="307">
        <f t="shared" si="11"/>
        <v>0</v>
      </c>
      <c r="M48" s="307">
        <v>0</v>
      </c>
      <c r="N48" s="307">
        <f t="shared" ca="1" si="12"/>
        <v>178513.74084117162</v>
      </c>
      <c r="O48" s="306">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0</v>
      </c>
      <c r="Y48" s="306">
        <v>0</v>
      </c>
      <c r="Z48" s="925">
        <f t="shared" ca="1" si="23"/>
        <v>-210.31469798124689</v>
      </c>
      <c r="AA48" s="308">
        <f ca="1">-SUM(W48,X48/OFFSET(GridFootprintbyYear,$A48-$A$19,0)*EF_PurchElec_MTperMWh,Z48)*OFFSET(ExposureCalculations!Price_GHG_Allowance_2010,A48-$A$19,0)*ExposureCalculations!D45</f>
        <v>15643.392538508546</v>
      </c>
      <c r="AB48" s="308">
        <f t="shared" ca="1" si="3"/>
        <v>0</v>
      </c>
      <c r="AC48" s="308">
        <v>0</v>
      </c>
      <c r="AD48" s="819">
        <f t="shared" ca="1" si="4"/>
        <v>0</v>
      </c>
      <c r="AE48" s="308">
        <v>0</v>
      </c>
      <c r="AF48" s="819">
        <f t="shared" ca="1" si="5"/>
        <v>0</v>
      </c>
      <c r="AG48" s="308">
        <v>0</v>
      </c>
      <c r="AH48" s="308">
        <v>0</v>
      </c>
      <c r="AI48" s="308">
        <v>0</v>
      </c>
      <c r="AJ48" s="308">
        <f t="shared" ca="1" si="6"/>
        <v>0</v>
      </c>
      <c r="AK48" s="309">
        <v>0</v>
      </c>
      <c r="AL48" s="309">
        <v>0</v>
      </c>
      <c r="AM48" s="309">
        <f t="shared" si="19"/>
        <v>0</v>
      </c>
      <c r="AN48" s="310">
        <f t="shared" si="24"/>
        <v>8148</v>
      </c>
      <c r="AO48" s="310">
        <f t="shared" si="25"/>
        <v>-5000</v>
      </c>
      <c r="AP48" s="310">
        <f t="shared" si="20"/>
        <v>3148</v>
      </c>
      <c r="AQ48" s="309">
        <v>0</v>
      </c>
      <c r="AR48" s="311">
        <f t="shared" ca="1" si="7"/>
        <v>18791.392538508546</v>
      </c>
      <c r="AS48" s="870">
        <f t="shared" ca="1" si="21"/>
        <v>288077.1830939654</v>
      </c>
      <c r="AT48" s="822"/>
      <c r="AU48" s="878"/>
      <c r="AV48" s="35"/>
      <c r="AW48" s="879"/>
      <c r="AX48" s="35"/>
      <c r="AY48" s="880"/>
      <c r="BB48" s="123">
        <f ca="1">IF($D$3="WasteDiversion",WasteDiversion!BD48,'GHG Emissions'!Q41)</f>
        <v>2628.9337247655862</v>
      </c>
      <c r="BC48" s="924">
        <f t="shared" si="28"/>
        <v>0.08</v>
      </c>
      <c r="BD48" s="331">
        <f t="shared" ca="1" si="26"/>
        <v>210.31469798124689</v>
      </c>
      <c r="BE48" s="123">
        <f t="shared" ca="1" si="27"/>
        <v>2418.6190267843394</v>
      </c>
    </row>
    <row r="49" spans="1:57">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2"/>
        <v>0</v>
      </c>
      <c r="K49" s="307">
        <f t="shared" ca="1" si="10"/>
        <v>180090.36644202363</v>
      </c>
      <c r="L49" s="307">
        <f t="shared" si="11"/>
        <v>0</v>
      </c>
      <c r="M49" s="307">
        <v>0</v>
      </c>
      <c r="N49" s="307">
        <f t="shared" ca="1" si="12"/>
        <v>180090.36644202363</v>
      </c>
      <c r="O49" s="306">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0</v>
      </c>
      <c r="Y49" s="306">
        <v>0</v>
      </c>
      <c r="Z49" s="925">
        <f t="shared" ca="1" si="23"/>
        <v>-210.45712388946993</v>
      </c>
      <c r="AA49" s="308">
        <f ca="1">-SUM(W49,X49/OFFSET(GridFootprintbyYear,$A49-$A$19,0)*EF_PurchElec_MTperMWh,Z49)*OFFSET(ExposureCalculations!Price_GHG_Allowance_2010,A49-$A$19,0)*ExposureCalculations!D46</f>
        <v>16388.388819263651</v>
      </c>
      <c r="AB49" s="308">
        <f t="shared" ca="1" si="3"/>
        <v>0</v>
      </c>
      <c r="AC49" s="308">
        <v>0</v>
      </c>
      <c r="AD49" s="819">
        <f t="shared" ca="1" si="4"/>
        <v>0</v>
      </c>
      <c r="AE49" s="308">
        <v>0</v>
      </c>
      <c r="AF49" s="819">
        <f t="shared" ca="1" si="5"/>
        <v>0</v>
      </c>
      <c r="AG49" s="308">
        <v>0</v>
      </c>
      <c r="AH49" s="308">
        <v>0</v>
      </c>
      <c r="AI49" s="308">
        <v>0</v>
      </c>
      <c r="AJ49" s="308">
        <f t="shared" ca="1" si="6"/>
        <v>0</v>
      </c>
      <c r="AK49" s="309">
        <v>0</v>
      </c>
      <c r="AL49" s="309">
        <v>0</v>
      </c>
      <c r="AM49" s="309">
        <f t="shared" si="19"/>
        <v>0</v>
      </c>
      <c r="AN49" s="310">
        <f t="shared" si="24"/>
        <v>8148</v>
      </c>
      <c r="AO49" s="310">
        <f t="shared" si="25"/>
        <v>-5000</v>
      </c>
      <c r="AP49" s="310">
        <f t="shared" si="20"/>
        <v>3148</v>
      </c>
      <c r="AQ49" s="309">
        <v>0</v>
      </c>
      <c r="AR49" s="311">
        <f t="shared" ca="1" si="7"/>
        <v>19536.388819263651</v>
      </c>
      <c r="AS49" s="870">
        <f t="shared" ca="1" si="21"/>
        <v>307613.57191322907</v>
      </c>
      <c r="AT49" s="822"/>
      <c r="AU49" s="878"/>
      <c r="AV49" s="35"/>
      <c r="AW49" s="879"/>
      <c r="AX49" s="35"/>
      <c r="AY49" s="880"/>
      <c r="BB49" s="123">
        <f ca="1">IF($D$3="WasteDiversion",WasteDiversion!BD49,'GHG Emissions'!Q42)</f>
        <v>2630.7140486183739</v>
      </c>
      <c r="BC49" s="924">
        <f t="shared" si="28"/>
        <v>0.08</v>
      </c>
      <c r="BD49" s="331">
        <f t="shared" ca="1" si="26"/>
        <v>210.45712388946993</v>
      </c>
      <c r="BE49" s="123">
        <f t="shared" ca="1" si="27"/>
        <v>2420.2569247289039</v>
      </c>
    </row>
    <row r="50" spans="1:57">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2"/>
        <v>0</v>
      </c>
      <c r="K50" s="307">
        <f t="shared" ca="1" si="10"/>
        <v>181666.99204287567</v>
      </c>
      <c r="L50" s="307">
        <f t="shared" si="11"/>
        <v>0</v>
      </c>
      <c r="M50" s="307">
        <v>0</v>
      </c>
      <c r="N50" s="307">
        <f t="shared" ca="1" si="12"/>
        <v>181666.99204287567</v>
      </c>
      <c r="O50" s="306">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0</v>
      </c>
      <c r="Y50" s="306">
        <v>0</v>
      </c>
      <c r="Z50" s="925">
        <f t="shared" ca="1" si="23"/>
        <v>-210.59727054189074</v>
      </c>
      <c r="AA50" s="308">
        <f ca="1">-SUM(W50,X50/OFFSET(GridFootprintbyYear,$A50-$A$19,0)*EF_PurchElec_MTperMWh,Z50)*OFFSET(ExposureCalculations!Price_GHG_Allowance_2010,A50-$A$19,0)*ExposureCalculations!D47</f>
        <v>17111.230557616724</v>
      </c>
      <c r="AB50" s="308">
        <f t="shared" ca="1" si="3"/>
        <v>0</v>
      </c>
      <c r="AC50" s="308">
        <v>0</v>
      </c>
      <c r="AD50" s="819">
        <f t="shared" ca="1" si="4"/>
        <v>0</v>
      </c>
      <c r="AE50" s="308">
        <v>0</v>
      </c>
      <c r="AF50" s="819">
        <f t="shared" ca="1" si="5"/>
        <v>0</v>
      </c>
      <c r="AG50" s="308">
        <v>0</v>
      </c>
      <c r="AH50" s="308">
        <v>0</v>
      </c>
      <c r="AI50" s="308">
        <v>0</v>
      </c>
      <c r="AJ50" s="308">
        <f t="shared" ca="1" si="6"/>
        <v>0</v>
      </c>
      <c r="AK50" s="309">
        <v>0</v>
      </c>
      <c r="AL50" s="309">
        <v>0</v>
      </c>
      <c r="AM50" s="309">
        <f t="shared" si="19"/>
        <v>0</v>
      </c>
      <c r="AN50" s="310">
        <f t="shared" si="24"/>
        <v>8148</v>
      </c>
      <c r="AO50" s="310">
        <f t="shared" si="25"/>
        <v>-5000</v>
      </c>
      <c r="AP50" s="310">
        <f t="shared" si="20"/>
        <v>3148</v>
      </c>
      <c r="AQ50" s="309">
        <v>0</v>
      </c>
      <c r="AR50" s="311">
        <f t="shared" ca="1" si="7"/>
        <v>20259.230557616724</v>
      </c>
      <c r="AS50" s="870">
        <f t="shared" ca="1" si="21"/>
        <v>327872.80247084581</v>
      </c>
      <c r="AT50" s="822"/>
      <c r="AU50" s="878"/>
      <c r="AV50" s="35"/>
      <c r="AW50" s="879"/>
      <c r="AX50" s="35"/>
      <c r="AY50" s="880"/>
      <c r="BB50" s="123">
        <f ca="1">IF($D$3="WasteDiversion",WasteDiversion!BD50,'GHG Emissions'!Q43)</f>
        <v>2632.465881773634</v>
      </c>
      <c r="BC50" s="924">
        <f t="shared" si="28"/>
        <v>0.08</v>
      </c>
      <c r="BD50" s="331">
        <f t="shared" ca="1" si="26"/>
        <v>210.59727054189074</v>
      </c>
      <c r="BE50" s="123">
        <f t="shared" ca="1" si="27"/>
        <v>2421.8686112317432</v>
      </c>
    </row>
    <row r="51" spans="1:57">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2"/>
        <v>0</v>
      </c>
      <c r="K51" s="307">
        <f t="shared" ca="1" si="10"/>
        <v>183243.61764372772</v>
      </c>
      <c r="L51" s="307">
        <f t="shared" si="11"/>
        <v>0</v>
      </c>
      <c r="M51" s="307">
        <v>0</v>
      </c>
      <c r="N51" s="307">
        <f t="shared" ca="1" si="12"/>
        <v>183243.61764372772</v>
      </c>
      <c r="O51" s="306">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0</v>
      </c>
      <c r="Y51" s="306">
        <v>0</v>
      </c>
      <c r="Z51" s="925">
        <f t="shared" ca="1" si="23"/>
        <v>-210.73524398304829</v>
      </c>
      <c r="AA51" s="308">
        <f ca="1">-SUM(W51,X51/OFFSET(GridFootprintbyYear,$A51-$A$19,0)*EF_PurchElec_MTperMWh,Z51)*OFFSET(ExposureCalculations!Price_GHG_Allowance_2010,A51-$A$19,0)*ExposureCalculations!D48</f>
        <v>17807.076053914559</v>
      </c>
      <c r="AB51" s="308">
        <f t="shared" ca="1" si="3"/>
        <v>0</v>
      </c>
      <c r="AC51" s="308">
        <v>0</v>
      </c>
      <c r="AD51" s="819">
        <f t="shared" ca="1" si="4"/>
        <v>0</v>
      </c>
      <c r="AE51" s="308">
        <v>0</v>
      </c>
      <c r="AF51" s="819">
        <f t="shared" ca="1" si="5"/>
        <v>0</v>
      </c>
      <c r="AG51" s="308">
        <v>0</v>
      </c>
      <c r="AH51" s="308">
        <v>0</v>
      </c>
      <c r="AI51" s="308">
        <v>0</v>
      </c>
      <c r="AJ51" s="308">
        <f t="shared" ca="1" si="6"/>
        <v>0</v>
      </c>
      <c r="AK51" s="309">
        <v>0</v>
      </c>
      <c r="AL51" s="309">
        <v>0</v>
      </c>
      <c r="AM51" s="309">
        <f t="shared" si="19"/>
        <v>0</v>
      </c>
      <c r="AN51" s="310">
        <f t="shared" si="24"/>
        <v>8148</v>
      </c>
      <c r="AO51" s="310">
        <f t="shared" si="25"/>
        <v>-5000</v>
      </c>
      <c r="AP51" s="310">
        <f t="shared" si="20"/>
        <v>3148</v>
      </c>
      <c r="AQ51" s="309">
        <v>0</v>
      </c>
      <c r="AR51" s="311">
        <f t="shared" ca="1" si="7"/>
        <v>20955.076053914559</v>
      </c>
      <c r="AS51" s="870">
        <f t="shared" ca="1" si="21"/>
        <v>348827.87852476037</v>
      </c>
      <c r="AT51" s="822"/>
      <c r="AU51" s="878"/>
      <c r="AV51" s="35"/>
      <c r="AW51" s="879"/>
      <c r="AX51" s="35"/>
      <c r="AY51" s="880"/>
      <c r="BB51" s="123">
        <f ca="1">IF($D$3="WasteDiversion",WasteDiversion!BD51,'GHG Emissions'!Q44)</f>
        <v>2634.1905497881035</v>
      </c>
      <c r="BC51" s="924">
        <f t="shared" si="28"/>
        <v>0.08</v>
      </c>
      <c r="BD51" s="331">
        <f t="shared" ca="1" si="26"/>
        <v>210.73524398304829</v>
      </c>
      <c r="BE51" s="123">
        <f t="shared" ca="1" si="27"/>
        <v>2423.4553058050551</v>
      </c>
    </row>
    <row r="52" spans="1:57">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2"/>
        <v>0</v>
      </c>
      <c r="K52" s="307">
        <f t="shared" ca="1" si="10"/>
        <v>184820.24324457973</v>
      </c>
      <c r="L52" s="307">
        <f t="shared" si="11"/>
        <v>0</v>
      </c>
      <c r="M52" s="307">
        <v>0</v>
      </c>
      <c r="N52" s="307">
        <f t="shared" ca="1" si="12"/>
        <v>184820.24324457973</v>
      </c>
      <c r="O52" s="306">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0</v>
      </c>
      <c r="Y52" s="306">
        <v>0</v>
      </c>
      <c r="Z52" s="925">
        <f t="shared" ca="1" si="23"/>
        <v>-210.87114228092466</v>
      </c>
      <c r="AA52" s="308">
        <f ca="1">-SUM(W52,X52/OFFSET(GridFootprintbyYear,$A52-$A$19,0)*EF_PurchElec_MTperMWh,Z52)*OFFSET(ExposureCalculations!Price_GHG_Allowance_2010,A52-$A$19,0)*ExposureCalculations!D49</f>
        <v>18589.104457284615</v>
      </c>
      <c r="AB52" s="308">
        <f t="shared" ca="1" si="3"/>
        <v>0</v>
      </c>
      <c r="AC52" s="308">
        <v>0</v>
      </c>
      <c r="AD52" s="819">
        <f t="shared" ca="1" si="4"/>
        <v>0</v>
      </c>
      <c r="AE52" s="308">
        <v>0</v>
      </c>
      <c r="AF52" s="819">
        <f t="shared" ca="1" si="5"/>
        <v>0</v>
      </c>
      <c r="AG52" s="308">
        <v>0</v>
      </c>
      <c r="AH52" s="308">
        <v>0</v>
      </c>
      <c r="AI52" s="308">
        <v>0</v>
      </c>
      <c r="AJ52" s="308">
        <f t="shared" ca="1" si="6"/>
        <v>0</v>
      </c>
      <c r="AK52" s="309">
        <v>0</v>
      </c>
      <c r="AL52" s="309">
        <v>0</v>
      </c>
      <c r="AM52" s="309">
        <f t="shared" si="19"/>
        <v>0</v>
      </c>
      <c r="AN52" s="310">
        <f t="shared" si="24"/>
        <v>8148</v>
      </c>
      <c r="AO52" s="310">
        <f t="shared" si="25"/>
        <v>-5000</v>
      </c>
      <c r="AP52" s="310">
        <f t="shared" si="20"/>
        <v>3148</v>
      </c>
      <c r="AQ52" s="309">
        <v>0</v>
      </c>
      <c r="AR52" s="311">
        <f t="shared" ca="1" si="7"/>
        <v>21737.104457284615</v>
      </c>
      <c r="AS52" s="870">
        <f t="shared" ca="1" si="21"/>
        <v>370564.98298204498</v>
      </c>
      <c r="AT52" s="822"/>
      <c r="AU52" s="878"/>
      <c r="AV52" s="35"/>
      <c r="AW52" s="879"/>
      <c r="AX52" s="35"/>
      <c r="AY52" s="880"/>
      <c r="BB52" s="123">
        <f ca="1">IF($D$3="WasteDiversion",WasteDiversion!BD52,'GHG Emissions'!Q45)</f>
        <v>2635.8892785115581</v>
      </c>
      <c r="BC52" s="924">
        <f t="shared" si="28"/>
        <v>0.08</v>
      </c>
      <c r="BD52" s="331">
        <f t="shared" ca="1" si="26"/>
        <v>210.87114228092466</v>
      </c>
      <c r="BE52" s="123">
        <f t="shared" ca="1" si="27"/>
        <v>2425.0181362306334</v>
      </c>
    </row>
    <row r="53" spans="1:57">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2"/>
        <v>0</v>
      </c>
      <c r="K53" s="307">
        <f t="shared" ca="1" si="10"/>
        <v>186396.86884543177</v>
      </c>
      <c r="L53" s="307">
        <f t="shared" si="11"/>
        <v>0</v>
      </c>
      <c r="M53" s="307">
        <v>0</v>
      </c>
      <c r="N53" s="307">
        <f t="shared" ca="1" si="12"/>
        <v>186396.86884543177</v>
      </c>
      <c r="O53" s="306">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0</v>
      </c>
      <c r="Y53" s="306">
        <v>0</v>
      </c>
      <c r="Z53" s="925">
        <f t="shared" ca="1" si="23"/>
        <v>-211.00505634248034</v>
      </c>
      <c r="AA53" s="308">
        <f ca="1">-SUM(W53,X53/OFFSET(GridFootprintbyYear,$A53-$A$19,0)*EF_PurchElec_MTperMWh,Z53)*OFFSET(ExposureCalculations!Price_GHG_Allowance_2010,A53-$A$19,0)*ExposureCalculations!D50</f>
        <v>19474.893364188742</v>
      </c>
      <c r="AB53" s="308">
        <f t="shared" ca="1" si="3"/>
        <v>0</v>
      </c>
      <c r="AC53" s="308">
        <v>0</v>
      </c>
      <c r="AD53" s="819">
        <f t="shared" ca="1" si="4"/>
        <v>0</v>
      </c>
      <c r="AE53" s="308">
        <v>0</v>
      </c>
      <c r="AF53" s="819">
        <f t="shared" ca="1" si="5"/>
        <v>0</v>
      </c>
      <c r="AG53" s="308">
        <v>0</v>
      </c>
      <c r="AH53" s="308">
        <v>0</v>
      </c>
      <c r="AI53" s="308">
        <v>0</v>
      </c>
      <c r="AJ53" s="308">
        <f t="shared" ca="1" si="6"/>
        <v>0</v>
      </c>
      <c r="AK53" s="309">
        <v>0</v>
      </c>
      <c r="AL53" s="309">
        <v>0</v>
      </c>
      <c r="AM53" s="309">
        <f t="shared" si="19"/>
        <v>0</v>
      </c>
      <c r="AN53" s="310">
        <f t="shared" si="24"/>
        <v>8148</v>
      </c>
      <c r="AO53" s="310">
        <f t="shared" si="25"/>
        <v>-5000</v>
      </c>
      <c r="AP53" s="310">
        <f t="shared" si="20"/>
        <v>3148</v>
      </c>
      <c r="AQ53" s="309">
        <v>0</v>
      </c>
      <c r="AR53" s="311">
        <f t="shared" ca="1" si="7"/>
        <v>22622.893364188742</v>
      </c>
      <c r="AS53" s="870">
        <f t="shared" ca="1" si="21"/>
        <v>393187.87634623371</v>
      </c>
      <c r="AT53" s="822"/>
      <c r="AU53" s="878"/>
      <c r="AV53" s="35"/>
      <c r="AW53" s="879"/>
      <c r="AX53" s="35"/>
      <c r="AY53" s="880"/>
      <c r="BB53" s="123">
        <f ca="1">IF($D$3="WasteDiversion",WasteDiversion!BD53,'GHG Emissions'!Q46)</f>
        <v>2637.5632042810043</v>
      </c>
      <c r="BC53" s="924">
        <f t="shared" si="28"/>
        <v>0.08</v>
      </c>
      <c r="BD53" s="331">
        <f t="shared" ca="1" si="26"/>
        <v>211.00505634248034</v>
      </c>
      <c r="BE53" s="123">
        <f t="shared" ca="1" si="27"/>
        <v>2426.5581479385241</v>
      </c>
    </row>
    <row r="54" spans="1:57">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2"/>
        <v>0</v>
      </c>
      <c r="K54" s="307">
        <f t="shared" ca="1" si="10"/>
        <v>187973.49444628376</v>
      </c>
      <c r="L54" s="307">
        <f t="shared" si="11"/>
        <v>0</v>
      </c>
      <c r="M54" s="307">
        <v>0</v>
      </c>
      <c r="N54" s="307">
        <f t="shared" ca="1" si="12"/>
        <v>187973.49444628376</v>
      </c>
      <c r="O54" s="306">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0</v>
      </c>
      <c r="Y54" s="306">
        <v>0</v>
      </c>
      <c r="Z54" s="925">
        <f t="shared" ca="1" si="23"/>
        <v>-211.13707062501715</v>
      </c>
      <c r="AA54" s="308">
        <f ca="1">-SUM(W54,X54/OFFSET(GridFootprintbyYear,$A54-$A$19,0)*EF_PurchElec_MTperMWh,Z54)*OFFSET(ExposureCalculations!Price_GHG_Allowance_2010,A54-$A$19,0)*ExposureCalculations!D51</f>
        <v>20489.606578441249</v>
      </c>
      <c r="AB54" s="308">
        <f t="shared" ca="1" si="3"/>
        <v>0</v>
      </c>
      <c r="AC54" s="308">
        <v>0</v>
      </c>
      <c r="AD54" s="819">
        <f t="shared" ca="1" si="4"/>
        <v>0</v>
      </c>
      <c r="AE54" s="308">
        <v>0</v>
      </c>
      <c r="AF54" s="819">
        <f t="shared" ca="1" si="5"/>
        <v>0</v>
      </c>
      <c r="AG54" s="308">
        <v>0</v>
      </c>
      <c r="AH54" s="308">
        <v>0</v>
      </c>
      <c r="AI54" s="308">
        <v>0</v>
      </c>
      <c r="AJ54" s="308">
        <f t="shared" ca="1" si="6"/>
        <v>0</v>
      </c>
      <c r="AK54" s="309">
        <v>0</v>
      </c>
      <c r="AL54" s="309">
        <v>0</v>
      </c>
      <c r="AM54" s="309">
        <f t="shared" si="19"/>
        <v>0</v>
      </c>
      <c r="AN54" s="310">
        <f t="shared" si="24"/>
        <v>8148</v>
      </c>
      <c r="AO54" s="310">
        <f t="shared" si="25"/>
        <v>-5000</v>
      </c>
      <c r="AP54" s="310">
        <f t="shared" si="20"/>
        <v>3148</v>
      </c>
      <c r="AQ54" s="309">
        <v>0</v>
      </c>
      <c r="AR54" s="311">
        <f t="shared" ca="1" si="7"/>
        <v>23637.606578441249</v>
      </c>
      <c r="AS54" s="870">
        <f t="shared" ca="1" si="21"/>
        <v>416825.48292467499</v>
      </c>
      <c r="AT54" s="822"/>
      <c r="AU54" s="878"/>
      <c r="AV54" s="35"/>
      <c r="AW54" s="879"/>
      <c r="AX54" s="35"/>
      <c r="AY54" s="880"/>
      <c r="BB54" s="123">
        <f ca="1">IF($D$3="WasteDiversion",WasteDiversion!BD54,'GHG Emissions'!Q47)</f>
        <v>2639.2133828127144</v>
      </c>
      <c r="BC54" s="924">
        <f t="shared" si="28"/>
        <v>0.08</v>
      </c>
      <c r="BD54" s="331">
        <f t="shared" ca="1" si="26"/>
        <v>211.13707062501715</v>
      </c>
      <c r="BE54" s="123">
        <f t="shared" ca="1" si="27"/>
        <v>2428.0763121876971</v>
      </c>
    </row>
    <row r="55" spans="1:57">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2"/>
        <v>0</v>
      </c>
      <c r="K55" s="307">
        <f t="shared" ca="1" si="10"/>
        <v>189550.12004713583</v>
      </c>
      <c r="L55" s="307">
        <f t="shared" si="11"/>
        <v>0</v>
      </c>
      <c r="M55" s="307">
        <v>0</v>
      </c>
      <c r="N55" s="307">
        <f t="shared" ca="1" si="12"/>
        <v>189550.12004713583</v>
      </c>
      <c r="O55" s="306">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0</v>
      </c>
      <c r="Y55" s="306">
        <v>0</v>
      </c>
      <c r="Z55" s="925">
        <f t="shared" ca="1" si="23"/>
        <v>-211.26726375918435</v>
      </c>
      <c r="AA55" s="308">
        <f ca="1">-SUM(W55,X55/OFFSET(GridFootprintbyYear,$A55-$A$19,0)*EF_PurchElec_MTperMWh,Z55)*OFFSET(ExposureCalculations!Price_GHG_Allowance_2010,A55-$A$19,0)*ExposureCalculations!D52</f>
        <v>21572.745296519337</v>
      </c>
      <c r="AB55" s="308">
        <f t="shared" ca="1" si="3"/>
        <v>0</v>
      </c>
      <c r="AC55" s="308">
        <v>0</v>
      </c>
      <c r="AD55" s="819">
        <f t="shared" ca="1" si="4"/>
        <v>0</v>
      </c>
      <c r="AE55" s="308">
        <v>0</v>
      </c>
      <c r="AF55" s="819">
        <f t="shared" ca="1" si="5"/>
        <v>0</v>
      </c>
      <c r="AG55" s="308">
        <v>0</v>
      </c>
      <c r="AH55" s="308">
        <v>0</v>
      </c>
      <c r="AI55" s="308">
        <v>0</v>
      </c>
      <c r="AJ55" s="308">
        <f t="shared" ca="1" si="6"/>
        <v>0</v>
      </c>
      <c r="AK55" s="309">
        <v>0</v>
      </c>
      <c r="AL55" s="309">
        <v>0</v>
      </c>
      <c r="AM55" s="309">
        <f t="shared" si="19"/>
        <v>0</v>
      </c>
      <c r="AN55" s="310">
        <f t="shared" si="24"/>
        <v>8148</v>
      </c>
      <c r="AO55" s="310">
        <f t="shared" si="25"/>
        <v>-5000</v>
      </c>
      <c r="AP55" s="310">
        <f t="shared" si="20"/>
        <v>3148</v>
      </c>
      <c r="AQ55" s="309">
        <v>0</v>
      </c>
      <c r="AR55" s="311">
        <f t="shared" ca="1" si="7"/>
        <v>24720.745296519337</v>
      </c>
      <c r="AS55" s="870">
        <f t="shared" ca="1" si="21"/>
        <v>441546.22822119435</v>
      </c>
      <c r="AT55" s="822"/>
      <c r="AU55" s="878"/>
      <c r="AV55" s="35"/>
      <c r="AW55" s="879"/>
      <c r="AX55" s="35"/>
      <c r="AY55" s="880"/>
      <c r="BB55" s="123">
        <f ca="1">IF($D$3="WasteDiversion",WasteDiversion!BD55,'GHG Emissions'!Q48)</f>
        <v>2640.8407969898044</v>
      </c>
      <c r="BC55" s="924">
        <f t="shared" si="28"/>
        <v>0.08</v>
      </c>
      <c r="BD55" s="331">
        <f t="shared" ca="1" si="26"/>
        <v>211.26726375918435</v>
      </c>
      <c r="BE55" s="123">
        <f t="shared" ca="1" si="27"/>
        <v>2429.5735332306199</v>
      </c>
    </row>
    <row r="56" spans="1:57">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2"/>
        <v>0</v>
      </c>
      <c r="K56" s="307">
        <f t="shared" ca="1" si="10"/>
        <v>191126.74564798782</v>
      </c>
      <c r="L56" s="307">
        <f t="shared" si="11"/>
        <v>0</v>
      </c>
      <c r="M56" s="307">
        <v>0</v>
      </c>
      <c r="N56" s="307">
        <f t="shared" ca="1" si="12"/>
        <v>191126.74564798782</v>
      </c>
      <c r="O56" s="306">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0</v>
      </c>
      <c r="Y56" s="306">
        <v>0</v>
      </c>
      <c r="Z56" s="925">
        <f t="shared" ca="1" si="23"/>
        <v>-211.39570909668265</v>
      </c>
      <c r="AA56" s="308">
        <f ca="1">-SUM(W56,X56/OFFSET(GridFootprintbyYear,$A56-$A$19,0)*EF_PurchElec_MTperMWh,Z56)*OFFSET(ExposureCalculations!Price_GHG_Allowance_2010,A56-$A$19,0)*ExposureCalculations!D53</f>
        <v>22732.849213522153</v>
      </c>
      <c r="AB56" s="308">
        <f t="shared" ca="1" si="3"/>
        <v>0</v>
      </c>
      <c r="AC56" s="308">
        <v>0</v>
      </c>
      <c r="AD56" s="819">
        <f t="shared" ca="1" si="4"/>
        <v>0</v>
      </c>
      <c r="AE56" s="308">
        <v>0</v>
      </c>
      <c r="AF56" s="819">
        <f t="shared" ca="1" si="5"/>
        <v>0</v>
      </c>
      <c r="AG56" s="308">
        <v>0</v>
      </c>
      <c r="AH56" s="308">
        <v>0</v>
      </c>
      <c r="AI56" s="308">
        <v>0</v>
      </c>
      <c r="AJ56" s="308">
        <f t="shared" ca="1" si="6"/>
        <v>0</v>
      </c>
      <c r="AK56" s="309">
        <v>0</v>
      </c>
      <c r="AL56" s="309">
        <v>0</v>
      </c>
      <c r="AM56" s="309">
        <f t="shared" si="19"/>
        <v>0</v>
      </c>
      <c r="AN56" s="310">
        <f t="shared" si="24"/>
        <v>8148</v>
      </c>
      <c r="AO56" s="310">
        <f t="shared" si="25"/>
        <v>-5000</v>
      </c>
      <c r="AP56" s="310">
        <f t="shared" si="20"/>
        <v>3148</v>
      </c>
      <c r="AQ56" s="309">
        <v>0</v>
      </c>
      <c r="AR56" s="311">
        <f t="shared" ca="1" si="7"/>
        <v>25880.849213522153</v>
      </c>
      <c r="AS56" s="870">
        <f t="shared" ca="1" si="21"/>
        <v>467427.07743471651</v>
      </c>
      <c r="AT56" s="822"/>
      <c r="AU56" s="878"/>
      <c r="AV56" s="35"/>
      <c r="AW56" s="879"/>
      <c r="AX56" s="35"/>
      <c r="AY56" s="880"/>
      <c r="BB56" s="123">
        <f ca="1">IF($D$3="WasteDiversion",WasteDiversion!BD56,'GHG Emissions'!Q49)</f>
        <v>2642.4463637085332</v>
      </c>
      <c r="BC56" s="924">
        <f t="shared" si="28"/>
        <v>0.08</v>
      </c>
      <c r="BD56" s="331">
        <f t="shared" ca="1" si="26"/>
        <v>211.39570909668265</v>
      </c>
      <c r="BE56" s="123">
        <f t="shared" ca="1" si="27"/>
        <v>2431.0506546118504</v>
      </c>
    </row>
    <row r="57" spans="1:57">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2"/>
        <v>0</v>
      </c>
      <c r="K57" s="307">
        <f t="shared" ca="1" si="10"/>
        <v>192703.37124883989</v>
      </c>
      <c r="L57" s="307">
        <f t="shared" si="11"/>
        <v>0</v>
      </c>
      <c r="M57" s="307">
        <v>0</v>
      </c>
      <c r="N57" s="307">
        <f t="shared" ca="1" si="12"/>
        <v>192703.37124883989</v>
      </c>
      <c r="O57" s="306">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0</v>
      </c>
      <c r="Y57" s="306">
        <v>0</v>
      </c>
      <c r="Z57" s="925">
        <f t="shared" ca="1" si="23"/>
        <v>-211.52247519350044</v>
      </c>
      <c r="AA57" s="308">
        <f ca="1">-SUM(W57,X57/OFFSET(GridFootprintbyYear,$A57-$A$19,0)*EF_PurchElec_MTperMWh,Z57)*OFFSET(ExposureCalculations!Price_GHG_Allowance_2010,A57-$A$19,0)*ExposureCalculations!D54</f>
        <v>23979.18536271984</v>
      </c>
      <c r="AB57" s="308">
        <f t="shared" ca="1" si="3"/>
        <v>0</v>
      </c>
      <c r="AC57" s="308">
        <v>0</v>
      </c>
      <c r="AD57" s="819">
        <f t="shared" ca="1" si="4"/>
        <v>0</v>
      </c>
      <c r="AE57" s="308">
        <v>0</v>
      </c>
      <c r="AF57" s="819">
        <f t="shared" ca="1" si="5"/>
        <v>0</v>
      </c>
      <c r="AG57" s="308">
        <v>0</v>
      </c>
      <c r="AH57" s="308">
        <v>0</v>
      </c>
      <c r="AI57" s="308">
        <v>0</v>
      </c>
      <c r="AJ57" s="308">
        <f t="shared" ca="1" si="6"/>
        <v>0</v>
      </c>
      <c r="AK57" s="309">
        <v>0</v>
      </c>
      <c r="AL57" s="309">
        <v>0</v>
      </c>
      <c r="AM57" s="309">
        <f t="shared" si="19"/>
        <v>0</v>
      </c>
      <c r="AN57" s="310">
        <f t="shared" si="24"/>
        <v>8148</v>
      </c>
      <c r="AO57" s="310">
        <f t="shared" si="25"/>
        <v>-5000</v>
      </c>
      <c r="AP57" s="310">
        <f t="shared" si="20"/>
        <v>3148</v>
      </c>
      <c r="AQ57" s="309">
        <v>0</v>
      </c>
      <c r="AR57" s="311">
        <f t="shared" ca="1" si="7"/>
        <v>27127.18536271984</v>
      </c>
      <c r="AS57" s="870">
        <f t="shared" ca="1" si="21"/>
        <v>494554.26279743633</v>
      </c>
      <c r="AT57" s="822"/>
      <c r="AU57" s="878"/>
      <c r="AV57" s="35"/>
      <c r="AW57" s="879"/>
      <c r="AX57" s="35"/>
      <c r="AY57" s="880"/>
      <c r="BB57" s="123">
        <f ca="1">IF($D$3="WasteDiversion",WasteDiversion!BD57,'GHG Emissions'!Q50)</f>
        <v>2644.0309399187554</v>
      </c>
      <c r="BC57" s="924">
        <f t="shared" si="28"/>
        <v>0.08</v>
      </c>
      <c r="BD57" s="331">
        <f t="shared" ca="1" si="26"/>
        <v>211.52247519350044</v>
      </c>
      <c r="BE57" s="123">
        <f t="shared" ca="1" si="27"/>
        <v>2432.5084647252552</v>
      </c>
    </row>
    <row r="58" spans="1:57">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2"/>
        <v>0</v>
      </c>
      <c r="K58" s="307">
        <f t="shared" ca="1" si="10"/>
        <v>194279.99684969187</v>
      </c>
      <c r="L58" s="307">
        <f t="shared" si="11"/>
        <v>0</v>
      </c>
      <c r="M58" s="307">
        <v>0</v>
      </c>
      <c r="N58" s="307">
        <f t="shared" ca="1" si="12"/>
        <v>194279.99684969187</v>
      </c>
      <c r="O58" s="306">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0</v>
      </c>
      <c r="Y58" s="306">
        <v>0</v>
      </c>
      <c r="Z58" s="925">
        <f t="shared" ca="1" si="23"/>
        <v>-211.64762623772032</v>
      </c>
      <c r="AA58" s="308">
        <f ca="1">-SUM(W58,X58/OFFSET(GridFootprintbyYear,$A58-$A$19,0)*EF_PurchElec_MTperMWh,Z58)*OFFSET(ExposureCalculations!Price_GHG_Allowance_2010,A58-$A$19,0)*ExposureCalculations!D55</f>
        <v>25321.675244514816</v>
      </c>
      <c r="AB58" s="308">
        <f t="shared" ca="1" si="3"/>
        <v>0</v>
      </c>
      <c r="AC58" s="308">
        <v>0</v>
      </c>
      <c r="AD58" s="819">
        <f t="shared" ca="1" si="4"/>
        <v>0</v>
      </c>
      <c r="AE58" s="308">
        <v>0</v>
      </c>
      <c r="AF58" s="819">
        <f t="shared" ca="1" si="5"/>
        <v>0</v>
      </c>
      <c r="AG58" s="308">
        <v>0</v>
      </c>
      <c r="AH58" s="308">
        <v>0</v>
      </c>
      <c r="AI58" s="308">
        <v>0</v>
      </c>
      <c r="AJ58" s="308">
        <f t="shared" ca="1" si="6"/>
        <v>0</v>
      </c>
      <c r="AK58" s="309">
        <v>0</v>
      </c>
      <c r="AL58" s="309">
        <v>0</v>
      </c>
      <c r="AM58" s="309">
        <f t="shared" si="19"/>
        <v>0</v>
      </c>
      <c r="AN58" s="310">
        <f t="shared" si="24"/>
        <v>8148</v>
      </c>
      <c r="AO58" s="310">
        <f t="shared" si="25"/>
        <v>-5000</v>
      </c>
      <c r="AP58" s="310">
        <f t="shared" si="20"/>
        <v>3148</v>
      </c>
      <c r="AQ58" s="309">
        <v>0</v>
      </c>
      <c r="AR58" s="311">
        <f t="shared" ca="1" si="7"/>
        <v>28469.675244514816</v>
      </c>
      <c r="AS58" s="870">
        <f t="shared" ca="1" si="21"/>
        <v>523023.93804195116</v>
      </c>
      <c r="AT58" s="822"/>
      <c r="AU58" s="878"/>
      <c r="AV58" s="35"/>
      <c r="AW58" s="879"/>
      <c r="AX58" s="35"/>
      <c r="AY58" s="880"/>
      <c r="BB58" s="123">
        <f ca="1">IF($D$3="WasteDiversion",WasteDiversion!BD58,'GHG Emissions'!Q51)</f>
        <v>2645.595327971504</v>
      </c>
      <c r="BC58" s="924">
        <f t="shared" si="28"/>
        <v>0.08</v>
      </c>
      <c r="BD58" s="331">
        <f t="shared" ca="1" si="26"/>
        <v>211.64762623772032</v>
      </c>
      <c r="BE58" s="123">
        <f t="shared" ca="1" si="27"/>
        <v>2433.9477017337836</v>
      </c>
    </row>
    <row r="59" spans="1:57">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2"/>
        <v>0</v>
      </c>
      <c r="K59" s="307">
        <f t="shared" ca="1" si="10"/>
        <v>195856.62245054395</v>
      </c>
      <c r="L59" s="307">
        <f t="shared" si="11"/>
        <v>0</v>
      </c>
      <c r="M59" s="307">
        <v>0</v>
      </c>
      <c r="N59" s="307">
        <f t="shared" ca="1" si="12"/>
        <v>195856.62245054395</v>
      </c>
      <c r="O59" s="306">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0</v>
      </c>
      <c r="Y59" s="306">
        <v>0</v>
      </c>
      <c r="Z59" s="925">
        <f t="shared" ca="1" si="23"/>
        <v>-211.77122242947524</v>
      </c>
      <c r="AA59" s="308">
        <f ca="1">-SUM(W59,X59/OFFSET(GridFootprintbyYear,$A59-$A$19,0)*EF_PurchElec_MTperMWh,Z59)*OFFSET(ExposureCalculations!Price_GHG_Allowance_2010,A59-$A$19,0)*ExposureCalculations!D56</f>
        <v>26770.822728221025</v>
      </c>
      <c r="AB59" s="308">
        <f t="shared" ca="1" si="3"/>
        <v>0</v>
      </c>
      <c r="AC59" s="308">
        <v>0</v>
      </c>
      <c r="AD59" s="819">
        <f t="shared" ca="1" si="4"/>
        <v>0</v>
      </c>
      <c r="AE59" s="308">
        <v>0</v>
      </c>
      <c r="AF59" s="819">
        <f t="shared" ca="1" si="5"/>
        <v>0</v>
      </c>
      <c r="AG59" s="308">
        <v>0</v>
      </c>
      <c r="AH59" s="308">
        <v>0</v>
      </c>
      <c r="AI59" s="308">
        <v>0</v>
      </c>
      <c r="AJ59" s="308">
        <f t="shared" ca="1" si="6"/>
        <v>0</v>
      </c>
      <c r="AK59" s="309">
        <v>0</v>
      </c>
      <c r="AL59" s="309">
        <v>0</v>
      </c>
      <c r="AM59" s="309">
        <f t="shared" si="19"/>
        <v>0</v>
      </c>
      <c r="AN59" s="310">
        <f t="shared" si="24"/>
        <v>8148</v>
      </c>
      <c r="AO59" s="310">
        <f t="shared" si="25"/>
        <v>-5000</v>
      </c>
      <c r="AP59" s="310">
        <f t="shared" si="20"/>
        <v>3148</v>
      </c>
      <c r="AQ59" s="309">
        <v>0</v>
      </c>
      <c r="AR59" s="311">
        <f t="shared" ca="1" si="7"/>
        <v>29918.822728221025</v>
      </c>
      <c r="AS59" s="870">
        <f t="shared" ca="1" si="21"/>
        <v>552942.76077017223</v>
      </c>
      <c r="AT59" s="823"/>
      <c r="AU59" s="881"/>
      <c r="AV59" s="882"/>
      <c r="AW59" s="883"/>
      <c r="AX59" s="882"/>
      <c r="AY59" s="884"/>
      <c r="BB59" s="123">
        <f ca="1">IF($D$3="WasteDiversion",WasteDiversion!BD59,'GHG Emissions'!Q52)</f>
        <v>2647.1402803684405</v>
      </c>
      <c r="BC59" s="924">
        <f t="shared" si="28"/>
        <v>0.08</v>
      </c>
      <c r="BD59" s="331">
        <f t="shared" ca="1" si="26"/>
        <v>211.77122242947524</v>
      </c>
      <c r="BE59" s="123">
        <f t="shared" ca="1" si="27"/>
        <v>2435.3690579389654</v>
      </c>
    </row>
    <row r="60" spans="1:57">
      <c r="AJ60" s="264"/>
    </row>
    <row r="61" spans="1:57">
      <c r="AJ61" s="264"/>
    </row>
    <row r="62" spans="1:57">
      <c r="AJ62" s="264"/>
    </row>
    <row r="63" spans="1:57">
      <c r="AJ63" s="264"/>
    </row>
    <row r="64" spans="1:57">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disablePrompts="1"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sheetPr codeName="Sheet51">
    <tabColor rgb="FFA9DA74"/>
  </sheetPr>
  <dimension ref="A1:BD84"/>
  <sheetViews>
    <sheetView workbookViewId="0">
      <pane xSplit="1" topLeftCell="B1" activePane="topRight" state="frozen"/>
      <selection activeCell="K14" sqref="K14"/>
      <selection pane="topRight" activeCell="O3" sqref="O3:O7"/>
    </sheetView>
  </sheetViews>
  <sheetFormatPr defaultRowHeight="15"/>
  <cols>
    <col min="11" max="11" width="12" customWidth="1"/>
    <col min="12" max="12" width="12.85546875" customWidth="1"/>
    <col min="13" max="13" width="12.42578125" customWidth="1"/>
    <col min="35" max="36" width="13" customWidth="1"/>
    <col min="38" max="38" width="10.7109375" bestFit="1" customWidth="1"/>
    <col min="39" max="39" width="10.28515625" customWidth="1"/>
    <col min="40" max="40" width="12.42578125" customWidth="1"/>
    <col min="41" max="41" width="9.7109375" bestFit="1" customWidth="1"/>
    <col min="44" max="44" width="10.85546875" customWidth="1"/>
    <col min="45" max="45" width="10.140625" customWidth="1"/>
    <col min="46" max="46" width="1.7109375" customWidth="1"/>
    <col min="47" max="47" width="10.5703125" customWidth="1"/>
    <col min="51" max="51" width="12.28515625" customWidth="1"/>
  </cols>
  <sheetData>
    <row r="1" spans="1:50" ht="60">
      <c r="C1" s="257" t="s">
        <v>226</v>
      </c>
      <c r="D1" s="258" t="s">
        <v>859</v>
      </c>
      <c r="E1" s="258"/>
      <c r="J1" s="259"/>
      <c r="K1" s="260" t="s">
        <v>227</v>
      </c>
      <c r="L1" s="261" t="s">
        <v>228</v>
      </c>
      <c r="M1" s="262" t="s">
        <v>229</v>
      </c>
      <c r="N1" s="263"/>
      <c r="O1" s="1495" t="s">
        <v>235</v>
      </c>
      <c r="P1" s="263"/>
      <c r="Q1" s="263"/>
      <c r="R1" s="263"/>
      <c r="S1" s="263"/>
      <c r="T1" s="263"/>
      <c r="U1" s="263"/>
      <c r="V1" s="263"/>
      <c r="W1" s="263"/>
      <c r="X1" s="263"/>
      <c r="Y1" s="263"/>
      <c r="Z1" s="263"/>
      <c r="AA1" s="263"/>
      <c r="AB1" s="259"/>
      <c r="AC1" s="259"/>
      <c r="AD1" s="259"/>
      <c r="AE1" s="259"/>
      <c r="AF1" s="259"/>
      <c r="AG1" s="259"/>
      <c r="AH1" s="259"/>
      <c r="AJ1" s="264"/>
    </row>
    <row r="2" spans="1:50">
      <c r="C2" s="257" t="s">
        <v>230</v>
      </c>
      <c r="D2" s="265">
        <v>2012</v>
      </c>
      <c r="E2" s="266"/>
      <c r="J2" s="267" t="s">
        <v>231</v>
      </c>
      <c r="K2" s="268">
        <f ca="1">NPV(DiscountRate,AA19:AA59)</f>
        <v>0</v>
      </c>
      <c r="L2" s="269">
        <f ca="1">-SUM(OFFSET(W19,0,0,M2-2010+1,4))</f>
        <v>0</v>
      </c>
      <c r="M2" s="270">
        <v>2050</v>
      </c>
      <c r="N2" s="271"/>
      <c r="O2" s="1492"/>
      <c r="P2" s="271"/>
      <c r="Q2" s="271"/>
      <c r="R2" s="271"/>
      <c r="S2" s="271"/>
      <c r="T2" s="271"/>
      <c r="U2" s="271"/>
      <c r="V2" s="271"/>
      <c r="W2" s="271"/>
      <c r="X2" s="271"/>
      <c r="Y2" s="271"/>
      <c r="Z2" s="271"/>
      <c r="AA2" s="271"/>
      <c r="AB2" s="259"/>
      <c r="AC2" s="259"/>
      <c r="AD2" s="259"/>
      <c r="AE2" s="259"/>
      <c r="AF2" s="259"/>
      <c r="AG2" s="259"/>
      <c r="AH2" s="259"/>
      <c r="AJ2" s="264"/>
    </row>
    <row r="3" spans="1:50">
      <c r="A3" s="272"/>
      <c r="B3" s="273"/>
      <c r="C3" s="274" t="s">
        <v>232</v>
      </c>
      <c r="D3" s="1635" t="s">
        <v>233</v>
      </c>
      <c r="E3" s="1635"/>
      <c r="F3" s="1635"/>
      <c r="G3" s="273"/>
      <c r="H3" s="273"/>
      <c r="I3" s="273"/>
      <c r="J3" s="275" t="s">
        <v>234</v>
      </c>
      <c r="K3" s="276">
        <f ca="1">NPV(DiscountRate,AJ19:AJ59)</f>
        <v>0</v>
      </c>
      <c r="L3" s="277" t="s">
        <v>235</v>
      </c>
      <c r="M3" s="278">
        <f ca="1">-SUM(OFFSET(W19,M2-2010,0,1,4))</f>
        <v>0</v>
      </c>
      <c r="N3" s="272"/>
      <c r="O3" s="1496">
        <f ca="1">AVERAGE(OFFSET(AJ19,0,0,$M$2-2010+1,1))</f>
        <v>0</v>
      </c>
      <c r="P3" s="272"/>
      <c r="Q3" s="272"/>
      <c r="R3" s="272"/>
      <c r="S3" s="272"/>
      <c r="T3" s="272"/>
      <c r="U3" s="272"/>
      <c r="V3" s="272"/>
      <c r="W3" s="272"/>
      <c r="X3" s="272"/>
      <c r="Y3" s="272"/>
      <c r="Z3" s="272"/>
      <c r="AA3" s="272"/>
      <c r="AB3" s="272"/>
      <c r="AC3" s="272"/>
      <c r="AD3" s="272"/>
      <c r="AE3" s="272"/>
      <c r="AF3" s="272"/>
      <c r="AG3" s="272"/>
      <c r="AH3" s="272"/>
      <c r="AI3" s="273"/>
      <c r="AJ3" s="279"/>
      <c r="AK3" s="273"/>
      <c r="AL3" s="273"/>
      <c r="AM3" s="273"/>
      <c r="AN3" s="273"/>
    </row>
    <row r="4" spans="1:50">
      <c r="A4" s="272"/>
      <c r="B4" s="273"/>
      <c r="C4" s="273"/>
      <c r="D4" s="280" t="s">
        <v>236</v>
      </c>
      <c r="E4" s="273"/>
      <c r="F4" s="272"/>
      <c r="G4" s="272"/>
      <c r="H4" s="272"/>
      <c r="I4" s="273"/>
      <c r="J4" s="275" t="s">
        <v>237</v>
      </c>
      <c r="K4" s="276">
        <f>NPV(DiscountRate,AK19:AK59)</f>
        <v>0</v>
      </c>
      <c r="L4" s="278">
        <f ca="1">L2/(2050-D2+1)</f>
        <v>0</v>
      </c>
      <c r="M4" s="281">
        <f ca="1">-SUM(OFFSET(W19,M2-2010,0,1,4))/SUM(OFFSET(ExposureCalculations!G16,M2-2010,0,1,3))</f>
        <v>0</v>
      </c>
      <c r="N4" s="272"/>
      <c r="O4" s="1496">
        <f ca="1">AVERAGE(OFFSET(AK19,0,0,$M$2-2010+1,1))</f>
        <v>0</v>
      </c>
      <c r="P4" s="272"/>
      <c r="Q4" s="272"/>
      <c r="R4" s="272"/>
      <c r="S4" s="272"/>
      <c r="T4" s="272"/>
      <c r="U4" s="272"/>
      <c r="V4" s="272"/>
      <c r="W4" s="272"/>
      <c r="X4" s="272"/>
      <c r="Y4" s="272"/>
      <c r="Z4" s="272"/>
      <c r="AA4" s="272"/>
      <c r="AB4" s="272"/>
      <c r="AC4" s="272"/>
      <c r="AD4" s="272"/>
      <c r="AE4" s="272"/>
      <c r="AF4" s="272"/>
      <c r="AG4" s="272"/>
      <c r="AH4" s="272"/>
      <c r="AI4" s="273"/>
      <c r="AJ4" s="279"/>
      <c r="AK4" s="273"/>
      <c r="AL4" s="273"/>
      <c r="AM4" s="273"/>
      <c r="AN4" s="273"/>
    </row>
    <row r="5" spans="1:50">
      <c r="A5" s="272"/>
      <c r="B5" s="273"/>
      <c r="C5" s="814" t="s">
        <v>649</v>
      </c>
      <c r="D5" s="885" t="s">
        <v>687</v>
      </c>
      <c r="E5" s="273"/>
      <c r="F5" s="272"/>
      <c r="G5" s="272"/>
      <c r="H5" s="272"/>
      <c r="I5" s="273"/>
      <c r="J5" s="275" t="s">
        <v>238</v>
      </c>
      <c r="K5" s="276">
        <f>NPV(DiscountRate,AL19:AL59)</f>
        <v>0</v>
      </c>
      <c r="L5" s="277"/>
      <c r="M5" s="272"/>
      <c r="N5" s="272"/>
      <c r="O5" s="1496">
        <f ca="1">AVERAGE(OFFSET(AL19,0,0,$M$2-2010+1,1))</f>
        <v>0</v>
      </c>
      <c r="P5" s="272"/>
      <c r="Q5" s="272"/>
      <c r="R5" s="272"/>
      <c r="S5" s="272"/>
      <c r="T5" s="272"/>
      <c r="U5" s="272"/>
      <c r="V5" s="272"/>
      <c r="W5" s="272"/>
      <c r="X5" s="272"/>
      <c r="Y5" s="272"/>
      <c r="Z5" s="272"/>
      <c r="AA5" s="272"/>
      <c r="AB5" s="272"/>
      <c r="AC5" s="272"/>
      <c r="AD5" s="272"/>
      <c r="AE5" s="272"/>
      <c r="AF5" s="272"/>
      <c r="AG5" s="272"/>
      <c r="AH5" s="272"/>
      <c r="AI5" s="273"/>
      <c r="AJ5" s="279"/>
      <c r="AK5" s="273"/>
      <c r="AL5" s="273"/>
      <c r="AM5" s="273"/>
      <c r="AN5" s="273"/>
    </row>
    <row r="6" spans="1:50">
      <c r="A6" s="272"/>
      <c r="B6" s="273"/>
      <c r="C6" s="273"/>
      <c r="D6" s="273"/>
      <c r="E6" s="273"/>
      <c r="F6" s="272"/>
      <c r="G6" s="272"/>
      <c r="H6" s="272"/>
      <c r="I6" s="273"/>
      <c r="J6" s="275" t="s">
        <v>239</v>
      </c>
      <c r="K6" s="276">
        <f>NPV(DiscountRate,AN19:AN59)</f>
        <v>0</v>
      </c>
      <c r="L6" s="277"/>
      <c r="M6" s="272"/>
      <c r="N6" s="272"/>
      <c r="O6" s="1496">
        <f ca="1">AVERAGE(OFFSET(AN19,0,0,$M$2-2010+1,1))</f>
        <v>0</v>
      </c>
      <c r="P6" s="272"/>
      <c r="Q6" s="272"/>
      <c r="R6" s="272"/>
      <c r="S6" s="272"/>
      <c r="T6" s="272"/>
      <c r="U6" s="272"/>
      <c r="V6" s="272"/>
      <c r="W6" s="272"/>
      <c r="X6" s="272"/>
      <c r="Y6" s="272"/>
      <c r="Z6" s="272"/>
      <c r="AA6" s="272"/>
      <c r="AB6" s="272"/>
      <c r="AC6" s="272"/>
      <c r="AD6" s="272"/>
      <c r="AE6" s="272"/>
      <c r="AF6" s="272"/>
      <c r="AG6" s="272"/>
      <c r="AH6" s="272"/>
      <c r="AI6" s="273"/>
      <c r="AJ6" s="279"/>
      <c r="AK6" s="273"/>
      <c r="AL6" s="273"/>
      <c r="AM6" s="273"/>
      <c r="AN6" s="273"/>
    </row>
    <row r="7" spans="1:50">
      <c r="A7" s="272"/>
      <c r="B7" s="282"/>
      <c r="C7" s="282"/>
      <c r="D7" s="282"/>
      <c r="E7" s="282"/>
      <c r="F7" s="272"/>
      <c r="G7" s="272"/>
      <c r="H7" s="272"/>
      <c r="I7" s="273"/>
      <c r="J7" s="275" t="s">
        <v>240</v>
      </c>
      <c r="K7" s="276">
        <f>NPV(DiscountRate,AO19:AO59)</f>
        <v>0</v>
      </c>
      <c r="L7" s="272"/>
      <c r="M7" s="272"/>
      <c r="N7" s="272"/>
      <c r="O7" s="1496">
        <f ca="1">AVERAGE(OFFSET(AO19,0,0,$M$2-2010+1,1))</f>
        <v>0</v>
      </c>
      <c r="P7" s="272"/>
      <c r="Q7" s="272"/>
      <c r="R7" s="272"/>
      <c r="S7" s="272"/>
      <c r="T7" s="272"/>
      <c r="U7" s="272"/>
      <c r="V7" s="272"/>
      <c r="W7" s="272"/>
      <c r="X7" s="272"/>
      <c r="Y7" s="272"/>
      <c r="Z7" s="272"/>
      <c r="AA7" s="272"/>
      <c r="AB7" s="272"/>
      <c r="AC7" s="272"/>
      <c r="AD7" s="272"/>
      <c r="AE7" s="272"/>
      <c r="AF7" s="272"/>
      <c r="AG7" s="272"/>
      <c r="AH7" s="272"/>
      <c r="AI7" s="273"/>
      <c r="AJ7" s="279"/>
      <c r="AK7" s="273"/>
      <c r="AL7" s="273"/>
      <c r="AM7" s="273"/>
      <c r="AN7" s="273"/>
    </row>
    <row r="8" spans="1:50">
      <c r="A8" s="272"/>
      <c r="B8" s="282"/>
      <c r="C8" s="282"/>
      <c r="D8" s="282"/>
      <c r="E8" s="282"/>
      <c r="F8" s="272"/>
      <c r="G8" s="272"/>
      <c r="H8" s="272"/>
      <c r="I8" s="273"/>
      <c r="J8" s="283" t="s">
        <v>241</v>
      </c>
      <c r="K8" s="276">
        <f ca="1">NPV(DiscountRate,AR19:AR59)</f>
        <v>0</v>
      </c>
      <c r="L8" s="284"/>
      <c r="M8" s="285"/>
      <c r="N8" s="272"/>
      <c r="O8" s="272"/>
      <c r="P8" s="272"/>
      <c r="Q8" s="272"/>
      <c r="R8" s="272"/>
      <c r="S8" s="272"/>
      <c r="T8" s="272"/>
      <c r="U8" s="272"/>
      <c r="V8" s="272"/>
      <c r="W8" s="272"/>
      <c r="X8" s="272"/>
      <c r="Y8" s="272"/>
      <c r="Z8" s="272"/>
      <c r="AA8" s="272"/>
      <c r="AB8" s="272"/>
      <c r="AC8" s="272"/>
      <c r="AD8" s="272"/>
      <c r="AE8" s="272"/>
      <c r="AF8" s="272"/>
      <c r="AG8" s="272"/>
      <c r="AH8" s="272"/>
      <c r="AI8" s="273"/>
      <c r="AJ8" s="279"/>
      <c r="AK8" s="273"/>
      <c r="AL8" s="273"/>
      <c r="AM8" s="273"/>
      <c r="AN8" s="273"/>
    </row>
    <row r="9" spans="1:50">
      <c r="A9" s="272"/>
      <c r="B9" s="282"/>
      <c r="C9" s="282"/>
      <c r="D9" s="282"/>
      <c r="E9" s="282"/>
      <c r="F9" s="272"/>
      <c r="G9" s="272"/>
      <c r="H9" s="272"/>
      <c r="I9" s="273"/>
      <c r="J9" s="283" t="s">
        <v>242</v>
      </c>
      <c r="K9" s="286" t="str">
        <f ca="1">IFERROR((K8-K5)/-K5,"No Capital")</f>
        <v>No Capital</v>
      </c>
      <c r="L9" s="272"/>
      <c r="M9" s="284"/>
      <c r="N9" s="272"/>
      <c r="O9" s="272"/>
      <c r="P9" s="272"/>
      <c r="Q9" s="272"/>
      <c r="R9" s="272"/>
      <c r="S9" s="272"/>
      <c r="T9" s="272"/>
      <c r="U9" s="272"/>
      <c r="V9" s="272"/>
      <c r="W9" s="272"/>
      <c r="X9" s="272"/>
      <c r="Y9" s="272"/>
      <c r="Z9" s="272"/>
      <c r="AA9" s="272"/>
      <c r="AB9" s="272"/>
      <c r="AC9" s="272"/>
      <c r="AD9" s="272"/>
      <c r="AE9" s="272"/>
      <c r="AF9" s="272"/>
      <c r="AG9" s="272"/>
      <c r="AH9" s="272"/>
      <c r="AI9" s="273"/>
      <c r="AJ9" s="279"/>
      <c r="AK9" s="273"/>
      <c r="AL9" s="273"/>
      <c r="AM9" s="273"/>
      <c r="AN9" s="273"/>
    </row>
    <row r="10" spans="1:50">
      <c r="A10" s="272"/>
      <c r="B10" s="282"/>
      <c r="C10" s="282"/>
      <c r="D10" s="282"/>
      <c r="E10" s="282"/>
      <c r="F10" s="272"/>
      <c r="G10" s="272"/>
      <c r="H10" s="272"/>
      <c r="I10" s="273"/>
      <c r="J10" s="283" t="s">
        <v>243</v>
      </c>
      <c r="K10" s="287" t="str">
        <f ca="1">IFERROR(IF(K8&lt;0,"",IRR(AR19:AR59)),"")</f>
        <v/>
      </c>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3"/>
      <c r="AJ10" s="279"/>
      <c r="AK10" s="273"/>
      <c r="AL10" s="273"/>
      <c r="AM10" s="273"/>
      <c r="AN10" s="273"/>
    </row>
    <row r="11" spans="1:50">
      <c r="A11" s="272"/>
      <c r="B11" s="282"/>
      <c r="C11" s="282"/>
      <c r="D11" s="282"/>
      <c r="E11" s="282"/>
      <c r="F11" s="272"/>
      <c r="G11" s="272"/>
      <c r="H11" s="272"/>
      <c r="I11" s="273"/>
      <c r="J11" s="283" t="s">
        <v>244</v>
      </c>
      <c r="K11" s="288" t="str">
        <f ca="1">IFERROR(COUNTIF(AS19:AS59,"&lt;=0")+1-INDEX(AS19:AS59,COUNTIF(AS19:AS59,"&lt;=0")+1)/INDEX(AR19:AR59,COUNTIF(AS19:AS59,"&lt;=0")+1)-(D2-2010),"Check Calc")</f>
        <v>Check Calc</v>
      </c>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3"/>
      <c r="AJ11" s="279"/>
      <c r="AK11" s="273"/>
      <c r="AL11" s="273"/>
      <c r="AM11" s="273"/>
      <c r="AN11" s="273"/>
    </row>
    <row r="12" spans="1:50">
      <c r="A12" s="272"/>
      <c r="B12" s="317"/>
      <c r="C12" s="282"/>
      <c r="D12" s="282"/>
      <c r="E12" s="282"/>
      <c r="F12" s="272"/>
      <c r="G12" s="272"/>
      <c r="H12" s="272"/>
      <c r="I12" s="273"/>
      <c r="J12" s="283" t="s">
        <v>245</v>
      </c>
      <c r="K12" s="276">
        <f ca="1">K8-K2</f>
        <v>0</v>
      </c>
      <c r="L12" s="283"/>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3"/>
      <c r="AJ12" s="279"/>
      <c r="AK12" s="273"/>
      <c r="AL12" s="273"/>
      <c r="AM12" s="273"/>
      <c r="AN12" s="273"/>
    </row>
    <row r="13" spans="1:50">
      <c r="A13" s="272"/>
      <c r="B13" s="282"/>
      <c r="C13" s="282"/>
      <c r="D13" s="282"/>
      <c r="E13" s="282"/>
      <c r="F13" s="272"/>
      <c r="G13" s="272"/>
      <c r="H13" s="272"/>
      <c r="I13" s="273"/>
      <c r="J13" s="275" t="s">
        <v>246</v>
      </c>
      <c r="K13" s="276" t="str">
        <f ca="1">IFERROR(IF(L2&lt;0,99999.4,K12/SUM(NPV(DiscountRate,W19:W59),NPV(DiscountRate,X19:X59),NPV(DiscountRate,Y19:Y59),NPV(DiscountRate,Z19:Z59))),"")</f>
        <v/>
      </c>
      <c r="L13" s="908" t="str">
        <f ca="1">IF(K13&gt;99998,"(Values $99,999 and above indicate net carbon increase)","")</f>
        <v>(Values $99,999 and above indicate net carbon increase)</v>
      </c>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3"/>
      <c r="AJ13" s="279"/>
      <c r="AK13" s="273"/>
      <c r="AL13" s="273"/>
      <c r="AM13" s="273"/>
      <c r="AN13" s="273"/>
    </row>
    <row r="14" spans="1:50">
      <c r="A14" s="272"/>
      <c r="B14" s="282"/>
      <c r="C14" s="282"/>
      <c r="D14" s="282"/>
      <c r="E14" s="282"/>
      <c r="F14" s="272"/>
      <c r="G14" s="272"/>
      <c r="H14" s="272"/>
      <c r="I14" s="273"/>
      <c r="J14" s="275" t="s">
        <v>247</v>
      </c>
      <c r="K14" s="276" t="str">
        <f ca="1">IFERROR(IF(L2&lt;0,"",-K2/SUM(NPV(DiscountRate,W19:W59),NPV(DiscountRate,X19:X59),NPV(DiscountRate,Y19:Y59),NPV(DiscountRate,Z19:Z59))),"")</f>
        <v/>
      </c>
      <c r="L14" s="289"/>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3"/>
      <c r="AJ14" s="279"/>
      <c r="AK14" s="273"/>
      <c r="AL14" s="273"/>
      <c r="AM14" s="273"/>
      <c r="AN14" s="273"/>
    </row>
    <row r="15" spans="1:50">
      <c r="A15" s="272"/>
      <c r="B15" s="282"/>
      <c r="C15" s="282"/>
      <c r="D15" s="282"/>
      <c r="E15" s="28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3"/>
      <c r="AJ15" s="279"/>
      <c r="AK15" s="273"/>
      <c r="AL15" s="273"/>
      <c r="AM15" s="273"/>
      <c r="AN15" s="273"/>
    </row>
    <row r="16" spans="1:50" ht="15" customHeight="1">
      <c r="A16" s="290"/>
      <c r="B16" s="1636" t="s">
        <v>248</v>
      </c>
      <c r="C16" s="1637"/>
      <c r="D16" s="1637"/>
      <c r="E16" s="1637"/>
      <c r="F16" s="1637"/>
      <c r="G16" s="1637"/>
      <c r="H16" s="1637"/>
      <c r="I16" s="1637"/>
      <c r="J16" s="1638"/>
      <c r="K16" s="1639" t="s">
        <v>249</v>
      </c>
      <c r="L16" s="1640"/>
      <c r="M16" s="1640"/>
      <c r="N16" s="1641"/>
      <c r="O16" s="1642" t="s">
        <v>657</v>
      </c>
      <c r="P16" s="1643"/>
      <c r="Q16" s="1643"/>
      <c r="R16" s="1644"/>
      <c r="S16" s="1645" t="s">
        <v>658</v>
      </c>
      <c r="T16" s="1646"/>
      <c r="U16" s="1646"/>
      <c r="V16" s="1647"/>
      <c r="W16" s="1648" t="s">
        <v>250</v>
      </c>
      <c r="X16" s="1649"/>
      <c r="Y16" s="1649"/>
      <c r="Z16" s="1649"/>
      <c r="AA16" s="1650"/>
      <c r="AB16" s="1627" t="s">
        <v>251</v>
      </c>
      <c r="AC16" s="1628"/>
      <c r="AD16" s="1628"/>
      <c r="AE16" s="1628"/>
      <c r="AF16" s="1628"/>
      <c r="AG16" s="1628"/>
      <c r="AH16" s="1628"/>
      <c r="AI16" s="1628"/>
      <c r="AJ16" s="1629"/>
      <c r="AK16" s="1630" t="s">
        <v>252</v>
      </c>
      <c r="AL16" s="1630"/>
      <c r="AM16" s="1630"/>
      <c r="AN16" s="1630"/>
      <c r="AO16" s="1630"/>
      <c r="AP16" s="1631"/>
      <c r="AQ16" s="341"/>
      <c r="AR16" s="1632" t="s">
        <v>720</v>
      </c>
      <c r="AS16" s="1633"/>
      <c r="AT16" s="292"/>
      <c r="AU16" s="291"/>
      <c r="AV16" s="291"/>
      <c r="AW16" s="291"/>
      <c r="AX16" s="291"/>
    </row>
    <row r="17" spans="1:56" ht="73.5" customHeight="1">
      <c r="A17" s="293"/>
      <c r="B17" s="294" t="s">
        <v>253</v>
      </c>
      <c r="C17" s="295" t="s">
        <v>254</v>
      </c>
      <c r="D17" s="295" t="s">
        <v>255</v>
      </c>
      <c r="E17" s="295" t="s">
        <v>653</v>
      </c>
      <c r="F17" s="295" t="s">
        <v>254</v>
      </c>
      <c r="G17" s="296" t="s">
        <v>654</v>
      </c>
      <c r="H17" s="295" t="s">
        <v>655</v>
      </c>
      <c r="I17" s="295" t="s">
        <v>254</v>
      </c>
      <c r="J17" s="296" t="s">
        <v>656</v>
      </c>
      <c r="K17" s="296" t="s">
        <v>256</v>
      </c>
      <c r="L17" s="296" t="s">
        <v>257</v>
      </c>
      <c r="M17" s="296" t="s">
        <v>258</v>
      </c>
      <c r="N17" s="296" t="s">
        <v>259</v>
      </c>
      <c r="O17" s="296" t="s">
        <v>659</v>
      </c>
      <c r="P17" s="296" t="s">
        <v>660</v>
      </c>
      <c r="Q17" s="296" t="s">
        <v>260</v>
      </c>
      <c r="R17" s="296" t="s">
        <v>661</v>
      </c>
      <c r="S17" s="296" t="s">
        <v>662</v>
      </c>
      <c r="T17" s="296" t="s">
        <v>663</v>
      </c>
      <c r="U17" s="296" t="s">
        <v>664</v>
      </c>
      <c r="V17" s="296" t="s">
        <v>665</v>
      </c>
      <c r="W17" s="296" t="s">
        <v>261</v>
      </c>
      <c r="X17" s="296" t="s">
        <v>262</v>
      </c>
      <c r="Y17" s="296" t="s">
        <v>263</v>
      </c>
      <c r="Z17" s="296" t="s">
        <v>264</v>
      </c>
      <c r="AA17" s="296" t="s">
        <v>265</v>
      </c>
      <c r="AB17" s="296" t="s">
        <v>266</v>
      </c>
      <c r="AC17" s="296" t="s">
        <v>267</v>
      </c>
      <c r="AD17" s="296" t="s">
        <v>666</v>
      </c>
      <c r="AE17" s="296" t="s">
        <v>667</v>
      </c>
      <c r="AF17" s="296" t="s">
        <v>668</v>
      </c>
      <c r="AG17" s="296" t="s">
        <v>669</v>
      </c>
      <c r="AH17" s="297" t="s">
        <v>268</v>
      </c>
      <c r="AI17" s="296" t="s">
        <v>269</v>
      </c>
      <c r="AJ17" s="296" t="s">
        <v>251</v>
      </c>
      <c r="AK17" s="296" t="s">
        <v>270</v>
      </c>
      <c r="AL17" s="296" t="s">
        <v>271</v>
      </c>
      <c r="AM17" s="296" t="s">
        <v>272</v>
      </c>
      <c r="AN17" s="296" t="s">
        <v>273</v>
      </c>
      <c r="AO17" s="296" t="s">
        <v>274</v>
      </c>
      <c r="AP17" s="296" t="s">
        <v>275</v>
      </c>
      <c r="AQ17" s="296" t="s">
        <v>350</v>
      </c>
      <c r="AR17" s="871" t="s">
        <v>276</v>
      </c>
      <c r="AS17" s="872" t="s">
        <v>277</v>
      </c>
      <c r="AT17" s="820"/>
      <c r="AU17" s="1634" t="s">
        <v>721</v>
      </c>
      <c r="AV17" s="1634"/>
      <c r="AW17" s="1634"/>
      <c r="AX17" s="1634"/>
      <c r="AY17" s="1634"/>
      <c r="BA17" s="909" t="s">
        <v>853</v>
      </c>
      <c r="BB17" s="909" t="s">
        <v>854</v>
      </c>
      <c r="BC17" s="909" t="s">
        <v>855</v>
      </c>
      <c r="BD17" s="909" t="s">
        <v>857</v>
      </c>
    </row>
    <row r="18" spans="1:56">
      <c r="A18" s="298" t="s">
        <v>3</v>
      </c>
      <c r="B18" s="299" t="s">
        <v>60</v>
      </c>
      <c r="C18" s="300"/>
      <c r="D18" s="299" t="s">
        <v>60</v>
      </c>
      <c r="E18" s="300" t="s">
        <v>278</v>
      </c>
      <c r="F18" s="301"/>
      <c r="G18" s="301" t="s">
        <v>278</v>
      </c>
      <c r="H18" s="300" t="s">
        <v>278</v>
      </c>
      <c r="I18" s="301"/>
      <c r="J18" s="301" t="s">
        <v>278</v>
      </c>
      <c r="K18" s="301" t="s">
        <v>60</v>
      </c>
      <c r="L18" s="301" t="s">
        <v>60</v>
      </c>
      <c r="M18" s="301" t="s">
        <v>60</v>
      </c>
      <c r="N18" s="301" t="s">
        <v>60</v>
      </c>
      <c r="O18" s="301" t="s">
        <v>278</v>
      </c>
      <c r="P18" s="301" t="s">
        <v>278</v>
      </c>
      <c r="Q18" s="301" t="s">
        <v>278</v>
      </c>
      <c r="R18" s="301" t="s">
        <v>278</v>
      </c>
      <c r="S18" s="301" t="s">
        <v>278</v>
      </c>
      <c r="T18" s="301" t="s">
        <v>278</v>
      </c>
      <c r="U18" s="301" t="s">
        <v>278</v>
      </c>
      <c r="V18" s="301" t="s">
        <v>278</v>
      </c>
      <c r="W18" s="301" t="s">
        <v>219</v>
      </c>
      <c r="X18" s="301" t="s">
        <v>219</v>
      </c>
      <c r="Y18" s="301" t="s">
        <v>219</v>
      </c>
      <c r="Z18" s="301" t="s">
        <v>219</v>
      </c>
      <c r="AA18" s="301" t="str">
        <f t="shared" ref="AA18:AS18" si="0">Current_yr&amp;" $"</f>
        <v>2010 $</v>
      </c>
      <c r="AB18" s="301" t="str">
        <f t="shared" si="0"/>
        <v>2010 $</v>
      </c>
      <c r="AC18" s="301" t="str">
        <f t="shared" si="0"/>
        <v>2010 $</v>
      </c>
      <c r="AD18" s="301" t="str">
        <f t="shared" si="0"/>
        <v>2010 $</v>
      </c>
      <c r="AE18" s="301" t="str">
        <f t="shared" si="0"/>
        <v>2010 $</v>
      </c>
      <c r="AF18" s="301" t="str">
        <f t="shared" si="0"/>
        <v>2010 $</v>
      </c>
      <c r="AG18" s="301" t="str">
        <f t="shared" si="0"/>
        <v>2010 $</v>
      </c>
      <c r="AH18" s="301" t="str">
        <f t="shared" si="0"/>
        <v>2010 $</v>
      </c>
      <c r="AI18" s="301" t="str">
        <f t="shared" si="0"/>
        <v>2010 $</v>
      </c>
      <c r="AJ18" s="301" t="str">
        <f t="shared" si="0"/>
        <v>2010 $</v>
      </c>
      <c r="AK18" s="301" t="str">
        <f t="shared" si="0"/>
        <v>2010 $</v>
      </c>
      <c r="AL18" s="301" t="str">
        <f t="shared" si="0"/>
        <v>2010 $</v>
      </c>
      <c r="AM18" s="301" t="str">
        <f t="shared" si="0"/>
        <v>2010 $</v>
      </c>
      <c r="AN18" s="301" t="str">
        <f t="shared" si="0"/>
        <v>2010 $</v>
      </c>
      <c r="AO18" s="301" t="str">
        <f t="shared" si="0"/>
        <v>2010 $</v>
      </c>
      <c r="AP18" s="301" t="str">
        <f t="shared" si="0"/>
        <v>2010 $</v>
      </c>
      <c r="AQ18" s="301" t="str">
        <f t="shared" si="0"/>
        <v>2010 $</v>
      </c>
      <c r="AR18" s="301" t="str">
        <f t="shared" si="0"/>
        <v>2010 $</v>
      </c>
      <c r="AS18" s="873" t="str">
        <f t="shared" si="0"/>
        <v>2010 $</v>
      </c>
      <c r="AT18" s="821"/>
      <c r="AU18" s="874"/>
      <c r="AV18" s="875"/>
      <c r="AW18" s="875"/>
      <c r="AX18" s="876"/>
      <c r="AY18" s="877"/>
      <c r="BA18" t="s">
        <v>219</v>
      </c>
      <c r="BB18" t="s">
        <v>856</v>
      </c>
      <c r="BC18" t="s">
        <v>219</v>
      </c>
      <c r="BD18" t="s">
        <v>219</v>
      </c>
    </row>
    <row r="19" spans="1:56">
      <c r="A19" s="303">
        <v>2010</v>
      </c>
      <c r="B19" s="304">
        <f ca="1">IF($D$3="BAU",UtilityDemand!C12,INDIRECT($D$3&amp;"!B"&amp;ROW(A19))+INDIRECT($D$3&amp;"!D"&amp;ROW(A19)))</f>
        <v>128552.63513418502</v>
      </c>
      <c r="C19" s="305">
        <v>0</v>
      </c>
      <c r="D19" s="306">
        <f ca="1">-B19*C19</f>
        <v>0</v>
      </c>
      <c r="E19" s="304">
        <f ca="1">IF($D$3="BAU",UtilityDemand!E12,INDIRECT($D$3&amp;"!E"&amp;ROW(D19))+INDIRECT($D$3&amp;"!G"&amp;ROW(D19)))</f>
        <v>685461.01512967527</v>
      </c>
      <c r="F19" s="305">
        <v>0</v>
      </c>
      <c r="G19" s="306">
        <f ca="1">-E19*F19</f>
        <v>0</v>
      </c>
      <c r="H19" s="304">
        <f ca="1">IF($D$3="BAU",UtilityDemand!G12,INDIRECT($D$3&amp;"!H"&amp;ROW(G19))+INDIRECT($D$3&amp;"!J"&amp;ROW(G19)))</f>
        <v>179442.39456260367</v>
      </c>
      <c r="I19" s="305">
        <v>0</v>
      </c>
      <c r="J19" s="306">
        <f ca="1">-H19*I19</f>
        <v>0</v>
      </c>
      <c r="K19" s="307">
        <f ca="1">IF($D$3="BAU",B19+D19,INDIRECT($D$3&amp;"!B"&amp;ROW(A19))+INDIRECT($D$3&amp;"!D"&amp;ROW(A19))+INDIRECT($D$3&amp;"!L"&amp;ROW(A19))+D19)</f>
        <v>128552.63513418502</v>
      </c>
      <c r="L19" s="307">
        <f>-M19</f>
        <v>0</v>
      </c>
      <c r="M19" s="307">
        <v>0</v>
      </c>
      <c r="N19" s="307">
        <f ca="1">K19+L19</f>
        <v>128552.63513418502</v>
      </c>
      <c r="O19" s="306">
        <f ca="1">IF($D$3="BAU",E19+G19,INDIRECT($D$3&amp;"!E"&amp;ROW(A19))+INDIRECT($D$3&amp;"!G"&amp;ROW(A19))+INDIRECT($D$3&amp;"!P"&amp;ROW(A19))+G19)</f>
        <v>685461.01512967527</v>
      </c>
      <c r="P19" s="306">
        <f>-Q19</f>
        <v>0</v>
      </c>
      <c r="Q19" s="306">
        <v>0</v>
      </c>
      <c r="R19" s="306">
        <f ca="1">O19+P19</f>
        <v>685461.01512967527</v>
      </c>
      <c r="S19" s="818">
        <f ca="1">IF($D$3="BAU",H19+J19,INDIRECT($D$3&amp;"!H"&amp;ROW(A19))+INDIRECT($D$3&amp;"!J"&amp;ROW(A19))+INDIRECT($D$3&amp;"!T"&amp;ROW(A19))+J19)</f>
        <v>179442.39456260367</v>
      </c>
      <c r="T19" s="818">
        <f>-U19</f>
        <v>0</v>
      </c>
      <c r="U19" s="818">
        <v>0</v>
      </c>
      <c r="V19" s="818">
        <f ca="1">S19+T19</f>
        <v>179442.39456260367</v>
      </c>
      <c r="W19" s="306">
        <f t="shared" ref="W19:W59" si="1">0*Emission_Factor_NG</f>
        <v>0</v>
      </c>
      <c r="X19" s="306">
        <f t="shared" ref="X19:X59" ca="1" si="2">SUM(D19,L19)*OFFSET(GridFootprintbyYear,$A19-$A$19,0)+SUM(G19,P19)*Emissions_factor_PurchSteam+SUM(J19,T19)*Emissions_factor_PurchCooling</f>
        <v>0</v>
      </c>
      <c r="Y19" s="306">
        <v>0</v>
      </c>
      <c r="Z19" s="306">
        <v>0</v>
      </c>
      <c r="AA19" s="308">
        <f ca="1">-SUM(W19,X19/OFFSET(GridFootprintbyYear,$A19-$A$19,0)*EF_PurchElec_MTperMWh,Z19)*OFFSET(ExposureCalculations!Price_GHG_Allowance_2010,A19-$A$19,0)*ExposureCalculations!D16</f>
        <v>0</v>
      </c>
      <c r="AB19" s="308">
        <f t="shared" ref="AB19:AB59" ca="1" si="3">-SUM(D19,L19)*OFFSET(Price_PE_MWh,A19-$A$19+3,0)</f>
        <v>0</v>
      </c>
      <c r="AC19" s="308">
        <v>0</v>
      </c>
      <c r="AD19" s="819">
        <f t="shared" ref="AD19:AD59" ca="1" si="4">-SUM(G19,P19)*OFFSET(Price_PS_mmbtu,A19-$A$19+3,0)</f>
        <v>0</v>
      </c>
      <c r="AE19" s="308">
        <v>0</v>
      </c>
      <c r="AF19" s="819">
        <f t="shared" ref="AF19:AF59" ca="1" si="5">-SUM(J19,T19)*OFFSET(Price_PCW_mmbtu,A19-$A$19+3,0)</f>
        <v>0</v>
      </c>
      <c r="AG19" s="308">
        <v>0</v>
      </c>
      <c r="AH19" s="308">
        <v>0</v>
      </c>
      <c r="AI19" s="308">
        <v>0</v>
      </c>
      <c r="AJ19" s="308">
        <f t="shared" ref="AJ19:AJ59" ca="1" si="6">SUM(AB19:AI19)</f>
        <v>0</v>
      </c>
      <c r="AK19" s="309">
        <v>0</v>
      </c>
      <c r="AL19" s="309">
        <v>0</v>
      </c>
      <c r="AM19" s="309">
        <f>SUM(AK19:AL19)</f>
        <v>0</v>
      </c>
      <c r="AN19" s="310">
        <v>0</v>
      </c>
      <c r="AO19" s="310">
        <v>0</v>
      </c>
      <c r="AP19" s="310">
        <f>SUM(AN19:AO19)</f>
        <v>0</v>
      </c>
      <c r="AQ19" s="309">
        <v>0</v>
      </c>
      <c r="AR19" s="311">
        <f t="shared" ref="AR19:AR59" ca="1" si="7">SUM(AA19,AJ19,AM19,AP19,AQ19)</f>
        <v>0</v>
      </c>
      <c r="AS19" s="870">
        <f ca="1">AR19</f>
        <v>0</v>
      </c>
      <c r="AT19" s="822"/>
      <c r="AU19" s="878"/>
      <c r="AV19" s="879" t="s">
        <v>860</v>
      </c>
      <c r="AW19" s="879"/>
      <c r="AX19" s="35"/>
      <c r="AY19" s="880"/>
      <c r="BA19" s="123">
        <f ca="1">IF($D$3="WasteReduction",WasteReduction!BE19,'GHG Emissions'!Q12)</f>
        <v>2540.8950876116432</v>
      </c>
      <c r="BB19" s="923"/>
      <c r="BC19" s="259">
        <f ca="1">BA19*BB19</f>
        <v>0</v>
      </c>
      <c r="BD19" s="123">
        <f ca="1">BA19-BC19</f>
        <v>2540.8950876116432</v>
      </c>
    </row>
    <row r="20" spans="1:56">
      <c r="A20" s="303">
        <v>2011</v>
      </c>
      <c r="B20" s="304">
        <f ca="1">IF($D$3="BAU",UtilityDemand!C13,INDIRECT($D$3&amp;"!B"&amp;ROW(A20))+INDIRECT($D$3&amp;"!D"&amp;ROW(A20)))</f>
        <v>130129.26073503707</v>
      </c>
      <c r="C20" s="305">
        <v>0</v>
      </c>
      <c r="D20" s="306">
        <f t="shared" ref="D20:D59" ca="1" si="8">-B20*C20</f>
        <v>0</v>
      </c>
      <c r="E20" s="304">
        <f ca="1">IF($D$3="BAU",UtilityDemand!E13,INDIRECT($D$3&amp;"!E"&amp;ROW(D20))+INDIRECT($D$3&amp;"!G"&amp;ROW(D20)))</f>
        <v>693847.61425935081</v>
      </c>
      <c r="F20" s="305">
        <v>0</v>
      </c>
      <c r="G20" s="306">
        <f t="shared" ref="G20:G59" ca="1" si="9">-E20*F20</f>
        <v>0</v>
      </c>
      <c r="H20" s="304">
        <f ca="1">IF($D$3="BAU",UtilityDemand!G13,INDIRECT($D$3&amp;"!H"&amp;ROW(G20))+INDIRECT($D$3&amp;"!J"&amp;ROW(G20)))</f>
        <v>182506.92912520736</v>
      </c>
      <c r="I20" s="305">
        <v>0</v>
      </c>
      <c r="J20" s="306">
        <f ca="1">-H20*I20</f>
        <v>0</v>
      </c>
      <c r="K20" s="307">
        <f t="shared" ref="K20:K59" ca="1" si="10">IF($D$3="BAU",B20+D20,INDIRECT($D$3&amp;"!B"&amp;ROW(A20))+INDIRECT($D$3&amp;"!D"&amp;ROW(A20))+INDIRECT($D$3&amp;"!L"&amp;ROW(A20))+D20)</f>
        <v>130129.26073503707</v>
      </c>
      <c r="L20" s="307">
        <f t="shared" ref="L20:L59" si="11">-M20</f>
        <v>0</v>
      </c>
      <c r="M20" s="307">
        <v>0</v>
      </c>
      <c r="N20" s="307">
        <f t="shared" ref="N20:N59" ca="1" si="12">K20+L20</f>
        <v>130129.26073503707</v>
      </c>
      <c r="O20" s="306">
        <f t="shared" ref="O20:O59" ca="1" si="13">IF($D$3="BAU",E20+G20,INDIRECT($D$3&amp;"!E"&amp;ROW(A20))+INDIRECT($D$3&amp;"!G"&amp;ROW(A20))+INDIRECT($D$3&amp;"!P"&amp;ROW(A20))+G20)</f>
        <v>693847.61425935081</v>
      </c>
      <c r="P20" s="306">
        <f t="shared" ref="P20:P59" si="14">-Q20</f>
        <v>0</v>
      </c>
      <c r="Q20" s="306">
        <v>0</v>
      </c>
      <c r="R20" s="306">
        <f t="shared" ref="R20:R59" ca="1" si="15">O20+P20</f>
        <v>693847.61425935081</v>
      </c>
      <c r="S20" s="818">
        <f t="shared" ref="S20:S59" ca="1" si="16">IF($D$3="BAU",H20+J20,INDIRECT($D$3&amp;"!H"&amp;ROW(A20))+INDIRECT($D$3&amp;"!J"&amp;ROW(A20))+INDIRECT($D$3&amp;"!T"&amp;ROW(A20))+J20)</f>
        <v>182506.92912520736</v>
      </c>
      <c r="T20" s="818">
        <f t="shared" ref="T20:T59" si="17">-U20</f>
        <v>0</v>
      </c>
      <c r="U20" s="818">
        <v>0</v>
      </c>
      <c r="V20" s="818">
        <f t="shared" ref="V20:V59" ca="1" si="18">S20+T20</f>
        <v>182506.92912520736</v>
      </c>
      <c r="W20" s="306">
        <f t="shared" si="1"/>
        <v>0</v>
      </c>
      <c r="X20" s="306">
        <f t="shared" ca="1" si="2"/>
        <v>0</v>
      </c>
      <c r="Y20" s="306">
        <v>0</v>
      </c>
      <c r="Z20" s="306">
        <v>0</v>
      </c>
      <c r="AA20" s="308">
        <f ca="1">-SUM(W20,X20/OFFSET(GridFootprintbyYear,$A20-$A$19,0)*EF_PurchElec_MTperMWh,Z20)*OFFSET(ExposureCalculations!Price_GHG_Allowance_2010,A20-$A$19,0)*ExposureCalculations!D17</f>
        <v>0</v>
      </c>
      <c r="AB20" s="308">
        <f t="shared" ca="1" si="3"/>
        <v>0</v>
      </c>
      <c r="AC20" s="308">
        <v>0</v>
      </c>
      <c r="AD20" s="819">
        <f t="shared" ca="1" si="4"/>
        <v>0</v>
      </c>
      <c r="AE20" s="308">
        <v>0</v>
      </c>
      <c r="AF20" s="819">
        <f t="shared" ca="1" si="5"/>
        <v>0</v>
      </c>
      <c r="AG20" s="308">
        <v>0</v>
      </c>
      <c r="AH20" s="308">
        <v>0</v>
      </c>
      <c r="AI20" s="308">
        <v>0</v>
      </c>
      <c r="AJ20" s="308">
        <f t="shared" ca="1" si="6"/>
        <v>0</v>
      </c>
      <c r="AK20" s="309">
        <v>0</v>
      </c>
      <c r="AL20" s="309">
        <v>0</v>
      </c>
      <c r="AM20" s="309">
        <f t="shared" ref="AM20:AM59" si="19">SUM(AK20:AL20)</f>
        <v>0</v>
      </c>
      <c r="AN20" s="310">
        <v>0</v>
      </c>
      <c r="AO20" s="310">
        <v>0</v>
      </c>
      <c r="AP20" s="310">
        <f t="shared" ref="AP20:AP59" si="20">SUM(AN20:AO20)</f>
        <v>0</v>
      </c>
      <c r="AQ20" s="309">
        <v>0</v>
      </c>
      <c r="AR20" s="311">
        <f t="shared" ca="1" si="7"/>
        <v>0</v>
      </c>
      <c r="AS20" s="870">
        <f t="shared" ref="AS20:AS59" ca="1" si="21">AR20+AS19</f>
        <v>0</v>
      </c>
      <c r="AT20" s="822"/>
      <c r="AU20" s="878"/>
      <c r="AV20" s="35"/>
      <c r="AW20" s="879"/>
      <c r="AX20" s="35"/>
      <c r="AY20" s="880"/>
      <c r="BA20" s="123">
        <f ca="1">IF($D$3="WasteReduction",WasteReduction!BE20,'GHG Emissions'!Q13)</f>
        <v>2549.0400418719801</v>
      </c>
      <c r="BB20" s="923"/>
      <c r="BC20" s="259">
        <f t="shared" ref="BC20:BC59" ca="1" si="22">BA20*BB20</f>
        <v>0</v>
      </c>
      <c r="BD20" s="123">
        <f t="shared" ref="BD20:BD59" ca="1" si="23">BA20-BC20</f>
        <v>2549.0400418719801</v>
      </c>
    </row>
    <row r="21" spans="1:56">
      <c r="A21" s="303">
        <v>2012</v>
      </c>
      <c r="B21" s="304">
        <f ca="1">IF($D$3="BAU",UtilityDemand!C14,INDIRECT($D$3&amp;"!B"&amp;ROW(A21))+INDIRECT($D$3&amp;"!D"&amp;ROW(A21)))</f>
        <v>133825.36797702796</v>
      </c>
      <c r="C21" s="305">
        <v>0</v>
      </c>
      <c r="D21" s="306">
        <f t="shared" ca="1" si="8"/>
        <v>0</v>
      </c>
      <c r="E21" s="304">
        <f ca="1">IF($D$3="BAU",UtilityDemand!E14,INDIRECT($D$3&amp;"!E"&amp;ROW(D21))+INDIRECT($D$3&amp;"!G"&amp;ROW(D21)))</f>
        <v>713508.44544344163</v>
      </c>
      <c r="F21" s="305">
        <v>0</v>
      </c>
      <c r="G21" s="306">
        <f t="shared" ca="1" si="9"/>
        <v>0</v>
      </c>
      <c r="H21" s="304">
        <f ca="1">IF($D$3="BAU",UtilityDemand!G14,INDIRECT($D$3&amp;"!H"&amp;ROW(G21))+INDIRECT($D$3&amp;"!J"&amp;ROW(G21)))</f>
        <v>188515.56027382973</v>
      </c>
      <c r="I21" s="305">
        <v>0</v>
      </c>
      <c r="J21" s="306">
        <f t="shared" ref="J21:J59" ca="1" si="24">-H21*I21</f>
        <v>0</v>
      </c>
      <c r="K21" s="307">
        <f t="shared" ca="1" si="10"/>
        <v>133825.36797702796</v>
      </c>
      <c r="L21" s="307">
        <f t="shared" si="11"/>
        <v>0</v>
      </c>
      <c r="M21" s="307">
        <v>0</v>
      </c>
      <c r="N21" s="307">
        <f t="shared" ca="1" si="12"/>
        <v>133825.36797702796</v>
      </c>
      <c r="O21" s="306">
        <f t="shared" ca="1" si="13"/>
        <v>713508.44544344163</v>
      </c>
      <c r="P21" s="306">
        <f t="shared" si="14"/>
        <v>0</v>
      </c>
      <c r="Q21" s="306">
        <v>0</v>
      </c>
      <c r="R21" s="306">
        <f t="shared" ca="1" si="15"/>
        <v>713508.44544344163</v>
      </c>
      <c r="S21" s="818">
        <f t="shared" ca="1" si="16"/>
        <v>188515.56027382973</v>
      </c>
      <c r="T21" s="818">
        <f t="shared" si="17"/>
        <v>0</v>
      </c>
      <c r="U21" s="818">
        <v>0</v>
      </c>
      <c r="V21" s="818">
        <f t="shared" ca="1" si="18"/>
        <v>188515.56027382973</v>
      </c>
      <c r="W21" s="306">
        <f t="shared" si="1"/>
        <v>0</v>
      </c>
      <c r="X21" s="306">
        <f t="shared" ca="1" si="2"/>
        <v>0</v>
      </c>
      <c r="Y21" s="306">
        <v>0</v>
      </c>
      <c r="Z21" s="926">
        <f ca="1">-BC21</f>
        <v>0</v>
      </c>
      <c r="AA21" s="308">
        <f ca="1">-SUM(W21,X21/OFFSET(GridFootprintbyYear,$A21-$A$19,0)*EF_PurchElec_MTperMWh,Z21)*OFFSET(ExposureCalculations!Price_GHG_Allowance_2010,A21-$A$19,0)*ExposureCalculations!D18</f>
        <v>0</v>
      </c>
      <c r="AB21" s="308">
        <f t="shared" ca="1" si="3"/>
        <v>0</v>
      </c>
      <c r="AC21" s="308">
        <v>0</v>
      </c>
      <c r="AD21" s="819">
        <f t="shared" ca="1" si="4"/>
        <v>0</v>
      </c>
      <c r="AE21" s="308">
        <v>0</v>
      </c>
      <c r="AF21" s="819">
        <f t="shared" ca="1" si="5"/>
        <v>0</v>
      </c>
      <c r="AG21" s="308">
        <v>0</v>
      </c>
      <c r="AH21" s="308">
        <v>0</v>
      </c>
      <c r="AI21" s="308">
        <v>0</v>
      </c>
      <c r="AJ21" s="308">
        <f ca="1">SUM(AB21:AI21)</f>
        <v>0</v>
      </c>
      <c r="AK21" s="309">
        <v>0</v>
      </c>
      <c r="AL21" s="309">
        <f>-AU26</f>
        <v>0</v>
      </c>
      <c r="AM21" s="309">
        <f t="shared" si="19"/>
        <v>0</v>
      </c>
      <c r="AN21" s="310">
        <v>0</v>
      </c>
      <c r="AO21" s="310">
        <f>$AU$27</f>
        <v>0</v>
      </c>
      <c r="AP21" s="310">
        <f t="shared" si="20"/>
        <v>0</v>
      </c>
      <c r="AQ21" s="309">
        <v>0</v>
      </c>
      <c r="AR21" s="311">
        <f t="shared" ca="1" si="7"/>
        <v>0</v>
      </c>
      <c r="AS21" s="870">
        <f t="shared" ca="1" si="21"/>
        <v>0</v>
      </c>
      <c r="AT21" s="822"/>
      <c r="AU21" s="919"/>
      <c r="AV21" s="35" t="s">
        <v>861</v>
      </c>
      <c r="AW21" s="879"/>
      <c r="AX21" s="35"/>
      <c r="AY21" s="880"/>
      <c r="BA21" s="123">
        <f ca="1">IF($D$3="WasteReduction",WasteReduction!BE21,'GHG Emissions'!Q14)</f>
        <v>2555.2898850917909</v>
      </c>
      <c r="BB21" s="923">
        <f>AU21</f>
        <v>0</v>
      </c>
      <c r="BC21" s="259">
        <f t="shared" ca="1" si="22"/>
        <v>0</v>
      </c>
      <c r="BD21" s="123">
        <f t="shared" ca="1" si="23"/>
        <v>2555.2898850917909</v>
      </c>
    </row>
    <row r="22" spans="1:56">
      <c r="A22" s="303">
        <v>2013</v>
      </c>
      <c r="B22" s="304">
        <f ca="1">IF($D$3="BAU",UtilityDemand!C15,INDIRECT($D$3&amp;"!B"&amp;ROW(A22))+INDIRECT($D$3&amp;"!D"&amp;ROW(A22)))</f>
        <v>135980.03402546333</v>
      </c>
      <c r="C22" s="305">
        <v>0</v>
      </c>
      <c r="D22" s="306">
        <f t="shared" ca="1" si="8"/>
        <v>0</v>
      </c>
      <c r="E22" s="304">
        <f ca="1">IF($D$3="BAU",UtilityDemand!E15,INDIRECT($D$3&amp;"!E"&amp;ROW(D22))+INDIRECT($D$3&amp;"!G"&amp;ROW(D22)))</f>
        <v>724969.83513341204</v>
      </c>
      <c r="F22" s="305">
        <v>0</v>
      </c>
      <c r="G22" s="306">
        <f t="shared" ca="1" si="9"/>
        <v>0</v>
      </c>
      <c r="H22" s="304">
        <f ca="1">IF($D$3="BAU",UtilityDemand!G15,INDIRECT($D$3&amp;"!H"&amp;ROW(G22))+INDIRECT($D$3&amp;"!J"&amp;ROW(G22)))</f>
        <v>192383.03026898397</v>
      </c>
      <c r="I22" s="305">
        <v>0</v>
      </c>
      <c r="J22" s="306">
        <f t="shared" ca="1" si="24"/>
        <v>0</v>
      </c>
      <c r="K22" s="307">
        <f t="shared" ca="1" si="10"/>
        <v>135980.03402546333</v>
      </c>
      <c r="L22" s="307">
        <f t="shared" si="11"/>
        <v>0</v>
      </c>
      <c r="M22" s="307">
        <v>0</v>
      </c>
      <c r="N22" s="307">
        <f t="shared" ca="1" si="12"/>
        <v>135980.03402546333</v>
      </c>
      <c r="O22" s="306">
        <f t="shared" ca="1" si="13"/>
        <v>724969.83513341204</v>
      </c>
      <c r="P22" s="306">
        <f t="shared" si="14"/>
        <v>0</v>
      </c>
      <c r="Q22" s="306">
        <v>0</v>
      </c>
      <c r="R22" s="306">
        <f t="shared" ca="1" si="15"/>
        <v>724969.83513341204</v>
      </c>
      <c r="S22" s="818">
        <f t="shared" ca="1" si="16"/>
        <v>192383.03026898397</v>
      </c>
      <c r="T22" s="818">
        <f t="shared" si="17"/>
        <v>0</v>
      </c>
      <c r="U22" s="818">
        <v>0</v>
      </c>
      <c r="V22" s="818">
        <f t="shared" ca="1" si="18"/>
        <v>192383.03026898397</v>
      </c>
      <c r="W22" s="306">
        <f t="shared" si="1"/>
        <v>0</v>
      </c>
      <c r="X22" s="306">
        <f t="shared" ca="1" si="2"/>
        <v>0</v>
      </c>
      <c r="Y22" s="306">
        <v>0</v>
      </c>
      <c r="Z22" s="926">
        <f t="shared" ref="Z22:Z59" ca="1" si="25">-BC22</f>
        <v>0</v>
      </c>
      <c r="AA22" s="308">
        <f ca="1">-SUM(W22,X22/OFFSET(GridFootprintbyYear,$A22-$A$19,0)*EF_PurchElec_MTperMWh,Z22)*OFFSET(ExposureCalculations!Price_GHG_Allowance_2010,A22-$A$19,0)*ExposureCalculations!D19</f>
        <v>0</v>
      </c>
      <c r="AB22" s="308">
        <f t="shared" ca="1" si="3"/>
        <v>0</v>
      </c>
      <c r="AC22" s="308">
        <v>0</v>
      </c>
      <c r="AD22" s="819">
        <f t="shared" ca="1" si="4"/>
        <v>0</v>
      </c>
      <c r="AE22" s="308">
        <v>0</v>
      </c>
      <c r="AF22" s="819">
        <f t="shared" ca="1" si="5"/>
        <v>0</v>
      </c>
      <c r="AG22" s="308">
        <v>0</v>
      </c>
      <c r="AH22" s="308">
        <v>0</v>
      </c>
      <c r="AI22" s="308">
        <v>0</v>
      </c>
      <c r="AJ22" s="308">
        <f t="shared" ca="1" si="6"/>
        <v>0</v>
      </c>
      <c r="AK22" s="309">
        <v>0</v>
      </c>
      <c r="AL22" s="309">
        <v>0</v>
      </c>
      <c r="AM22" s="309">
        <f t="shared" si="19"/>
        <v>0</v>
      </c>
      <c r="AN22" s="310">
        <v>0</v>
      </c>
      <c r="AO22" s="310">
        <f t="shared" ref="AO22:AO59" si="26">$AU$27</f>
        <v>0</v>
      </c>
      <c r="AP22" s="310">
        <f t="shared" si="20"/>
        <v>0</v>
      </c>
      <c r="AQ22" s="309">
        <v>0</v>
      </c>
      <c r="AR22" s="311">
        <f t="shared" ca="1" si="7"/>
        <v>0</v>
      </c>
      <c r="AS22" s="870">
        <f t="shared" ca="1" si="21"/>
        <v>0</v>
      </c>
      <c r="AT22" s="822"/>
      <c r="AU22" s="919"/>
      <c r="AV22" s="35" t="s">
        <v>862</v>
      </c>
      <c r="AW22" s="879"/>
      <c r="AX22" s="35"/>
      <c r="AY22" s="880"/>
      <c r="BA22" s="123">
        <f ca="1">IF($D$3="WasteReduction",WasteReduction!BE22,'GHG Emissions'!Q15)</f>
        <v>2560.5587466518573</v>
      </c>
      <c r="BB22" s="923">
        <f t="shared" ref="BB22:BB59" si="27">$AU$22</f>
        <v>0</v>
      </c>
      <c r="BC22" s="259">
        <f t="shared" ca="1" si="22"/>
        <v>0</v>
      </c>
      <c r="BD22" s="123">
        <f t="shared" ca="1" si="23"/>
        <v>2560.5587466518573</v>
      </c>
    </row>
    <row r="23" spans="1:56">
      <c r="A23" s="303">
        <v>2014</v>
      </c>
      <c r="B23" s="304">
        <f ca="1">IF($D$3="BAU",UtilityDemand!C16,INDIRECT($D$3&amp;"!B"&amp;ROW(A23))+INDIRECT($D$3&amp;"!D"&amp;ROW(A23)))</f>
        <v>137556.65962631535</v>
      </c>
      <c r="C23" s="305">
        <v>0</v>
      </c>
      <c r="D23" s="306">
        <f t="shared" ca="1" si="8"/>
        <v>0</v>
      </c>
      <c r="E23" s="304">
        <f ca="1">IF($D$3="BAU",UtilityDemand!E16,INDIRECT($D$3&amp;"!E"&amp;ROW(D23))+INDIRECT($D$3&amp;"!G"&amp;ROW(D23)))</f>
        <v>733356.43426308746</v>
      </c>
      <c r="F23" s="305">
        <v>0</v>
      </c>
      <c r="G23" s="306">
        <f t="shared" ca="1" si="9"/>
        <v>0</v>
      </c>
      <c r="H23" s="304">
        <f ca="1">IF($D$3="BAU",UtilityDemand!G16,INDIRECT($D$3&amp;"!H"&amp;ROW(G23))+INDIRECT($D$3&amp;"!J"&amp;ROW(G23)))</f>
        <v>195447.56483158763</v>
      </c>
      <c r="I23" s="305">
        <v>0</v>
      </c>
      <c r="J23" s="306">
        <f t="shared" ca="1" si="24"/>
        <v>0</v>
      </c>
      <c r="K23" s="307">
        <f t="shared" ca="1" si="10"/>
        <v>137556.65962631535</v>
      </c>
      <c r="L23" s="307">
        <f t="shared" si="11"/>
        <v>0</v>
      </c>
      <c r="M23" s="307">
        <v>0</v>
      </c>
      <c r="N23" s="307">
        <f t="shared" ca="1" si="12"/>
        <v>137556.65962631535</v>
      </c>
      <c r="O23" s="306">
        <f t="shared" ca="1" si="13"/>
        <v>733356.43426308746</v>
      </c>
      <c r="P23" s="306">
        <f t="shared" si="14"/>
        <v>0</v>
      </c>
      <c r="Q23" s="306">
        <v>0</v>
      </c>
      <c r="R23" s="306">
        <f t="shared" ca="1" si="15"/>
        <v>733356.43426308746</v>
      </c>
      <c r="S23" s="818">
        <f t="shared" ca="1" si="16"/>
        <v>195447.56483158763</v>
      </c>
      <c r="T23" s="818">
        <f t="shared" si="17"/>
        <v>0</v>
      </c>
      <c r="U23" s="818">
        <v>0</v>
      </c>
      <c r="V23" s="818">
        <f t="shared" ca="1" si="18"/>
        <v>195447.56483158763</v>
      </c>
      <c r="W23" s="306">
        <f t="shared" si="1"/>
        <v>0</v>
      </c>
      <c r="X23" s="306">
        <f t="shared" ca="1" si="2"/>
        <v>0</v>
      </c>
      <c r="Y23" s="306">
        <v>0</v>
      </c>
      <c r="Z23" s="926">
        <f t="shared" ca="1" si="25"/>
        <v>0</v>
      </c>
      <c r="AA23" s="308">
        <f ca="1">-SUM(W23,X23/OFFSET(GridFootprintbyYear,$A23-$A$19,0)*EF_PurchElec_MTperMWh,Z23)*OFFSET(ExposureCalculations!Price_GHG_Allowance_2010,A23-$A$19,0)*ExposureCalculations!D20</f>
        <v>0</v>
      </c>
      <c r="AB23" s="308">
        <f t="shared" ca="1" si="3"/>
        <v>0</v>
      </c>
      <c r="AC23" s="308">
        <v>0</v>
      </c>
      <c r="AD23" s="819">
        <f t="shared" ca="1" si="4"/>
        <v>0</v>
      </c>
      <c r="AE23" s="308">
        <v>0</v>
      </c>
      <c r="AF23" s="819">
        <f t="shared" ca="1" si="5"/>
        <v>0</v>
      </c>
      <c r="AG23" s="308">
        <v>0</v>
      </c>
      <c r="AH23" s="308">
        <v>0</v>
      </c>
      <c r="AI23" s="308">
        <v>0</v>
      </c>
      <c r="AJ23" s="308">
        <f t="shared" ca="1" si="6"/>
        <v>0</v>
      </c>
      <c r="AK23" s="309">
        <v>0</v>
      </c>
      <c r="AL23" s="309">
        <v>0</v>
      </c>
      <c r="AM23" s="309">
        <f t="shared" si="19"/>
        <v>0</v>
      </c>
      <c r="AN23" s="310">
        <v>0</v>
      </c>
      <c r="AO23" s="310">
        <f t="shared" si="26"/>
        <v>0</v>
      </c>
      <c r="AP23" s="310">
        <f t="shared" si="20"/>
        <v>0</v>
      </c>
      <c r="AQ23" s="309">
        <v>0</v>
      </c>
      <c r="AR23" s="311">
        <f t="shared" ca="1" si="7"/>
        <v>0</v>
      </c>
      <c r="AS23" s="870">
        <f t="shared" ca="1" si="21"/>
        <v>0</v>
      </c>
      <c r="AT23" s="822"/>
      <c r="AU23" s="878"/>
      <c r="AV23" s="35"/>
      <c r="AW23" s="879"/>
      <c r="AX23" s="35"/>
      <c r="AY23" s="880"/>
      <c r="BA23" s="123">
        <f ca="1">IF($D$3="WasteReduction",WasteReduction!BE23,'GHG Emissions'!Q16)</f>
        <v>2565.2007068717262</v>
      </c>
      <c r="BB23" s="923">
        <f t="shared" si="27"/>
        <v>0</v>
      </c>
      <c r="BC23" s="259">
        <f t="shared" ca="1" si="22"/>
        <v>0</v>
      </c>
      <c r="BD23" s="123">
        <f t="shared" ca="1" si="23"/>
        <v>2565.2007068717262</v>
      </c>
    </row>
    <row r="24" spans="1:56">
      <c r="A24" s="303">
        <v>2015</v>
      </c>
      <c r="B24" s="304">
        <f ca="1">IF($D$3="BAU",UtilityDemand!C17,INDIRECT($D$3&amp;"!B"&amp;ROW(A24))+INDIRECT($D$3&amp;"!D"&amp;ROW(A24)))</f>
        <v>140674.7264207229</v>
      </c>
      <c r="C24" s="305">
        <v>0</v>
      </c>
      <c r="D24" s="306">
        <f t="shared" ca="1" si="8"/>
        <v>0</v>
      </c>
      <c r="E24" s="304">
        <f ca="1">IF($D$3="BAU",UtilityDemand!E17,INDIRECT($D$3&amp;"!E"&amp;ROW(D24))+INDIRECT($D$3&amp;"!G"&amp;ROW(D24)))</f>
        <v>749942.47488688328</v>
      </c>
      <c r="F24" s="305">
        <v>0</v>
      </c>
      <c r="G24" s="306">
        <f t="shared" ca="1" si="9"/>
        <v>0</v>
      </c>
      <c r="H24" s="304">
        <f ca="1">IF($D$3="BAU",UtilityDemand!G17,INDIRECT($D$3&amp;"!H"&amp;ROW(G24))+INDIRECT($D$3&amp;"!J"&amp;ROW(G24)))</f>
        <v>200653.26054765948</v>
      </c>
      <c r="I24" s="305">
        <v>0</v>
      </c>
      <c r="J24" s="306">
        <f t="shared" ca="1" si="24"/>
        <v>0</v>
      </c>
      <c r="K24" s="307">
        <f t="shared" ca="1" si="10"/>
        <v>140674.7264207229</v>
      </c>
      <c r="L24" s="307">
        <f t="shared" si="11"/>
        <v>0</v>
      </c>
      <c r="M24" s="307">
        <v>0</v>
      </c>
      <c r="N24" s="307">
        <f t="shared" ca="1" si="12"/>
        <v>140674.7264207229</v>
      </c>
      <c r="O24" s="306">
        <f t="shared" ca="1" si="13"/>
        <v>749942.47488688328</v>
      </c>
      <c r="P24" s="306">
        <f t="shared" si="14"/>
        <v>0</v>
      </c>
      <c r="Q24" s="306">
        <v>0</v>
      </c>
      <c r="R24" s="306">
        <f t="shared" ca="1" si="15"/>
        <v>749942.47488688328</v>
      </c>
      <c r="S24" s="818">
        <f t="shared" ca="1" si="16"/>
        <v>200653.26054765948</v>
      </c>
      <c r="T24" s="818">
        <f t="shared" si="17"/>
        <v>0</v>
      </c>
      <c r="U24" s="818">
        <v>0</v>
      </c>
      <c r="V24" s="818">
        <f t="shared" ca="1" si="18"/>
        <v>200653.26054765948</v>
      </c>
      <c r="W24" s="306">
        <f t="shared" si="1"/>
        <v>0</v>
      </c>
      <c r="X24" s="306">
        <f t="shared" ca="1" si="2"/>
        <v>0</v>
      </c>
      <c r="Y24" s="306">
        <v>0</v>
      </c>
      <c r="Z24" s="926">
        <f t="shared" ca="1" si="25"/>
        <v>0</v>
      </c>
      <c r="AA24" s="308">
        <f ca="1">-SUM(W24,X24/OFFSET(GridFootprintbyYear,$A24-$A$19,0)*EF_PurchElec_MTperMWh,Z24)*OFFSET(ExposureCalculations!Price_GHG_Allowance_2010,A24-$A$19,0)*ExposureCalculations!D21</f>
        <v>0</v>
      </c>
      <c r="AB24" s="308">
        <f t="shared" ca="1" si="3"/>
        <v>0</v>
      </c>
      <c r="AC24" s="308">
        <v>0</v>
      </c>
      <c r="AD24" s="819">
        <f t="shared" ca="1" si="4"/>
        <v>0</v>
      </c>
      <c r="AE24" s="308">
        <v>0</v>
      </c>
      <c r="AF24" s="819">
        <f t="shared" ca="1" si="5"/>
        <v>0</v>
      </c>
      <c r="AG24" s="308">
        <v>0</v>
      </c>
      <c r="AH24" s="308">
        <v>0</v>
      </c>
      <c r="AI24" s="308">
        <v>0</v>
      </c>
      <c r="AJ24" s="308">
        <f t="shared" ca="1" si="6"/>
        <v>0</v>
      </c>
      <c r="AK24" s="309">
        <v>0</v>
      </c>
      <c r="AL24" s="309">
        <v>0</v>
      </c>
      <c r="AM24" s="309">
        <f t="shared" si="19"/>
        <v>0</v>
      </c>
      <c r="AN24" s="310">
        <v>0</v>
      </c>
      <c r="AO24" s="310">
        <f t="shared" si="26"/>
        <v>0</v>
      </c>
      <c r="AP24" s="310">
        <f t="shared" si="20"/>
        <v>0</v>
      </c>
      <c r="AQ24" s="309">
        <v>0</v>
      </c>
      <c r="AR24" s="311">
        <f t="shared" ca="1" si="7"/>
        <v>0</v>
      </c>
      <c r="AS24" s="870">
        <f t="shared" ca="1" si="21"/>
        <v>0</v>
      </c>
      <c r="AT24" s="822"/>
      <c r="AU24" s="878"/>
      <c r="AV24" s="35"/>
      <c r="AW24" s="879"/>
      <c r="AX24" s="35"/>
      <c r="AY24" s="880"/>
      <c r="BA24" s="123">
        <f ca="1">IF($D$3="WasteReduction",WasteReduction!BE24,'GHG Emissions'!Q17)</f>
        <v>2569.3973596960195</v>
      </c>
      <c r="BB24" s="923">
        <f t="shared" si="27"/>
        <v>0</v>
      </c>
      <c r="BC24" s="259">
        <f t="shared" ca="1" si="22"/>
        <v>0</v>
      </c>
      <c r="BD24" s="123">
        <f t="shared" ca="1" si="23"/>
        <v>2569.3973596960195</v>
      </c>
    </row>
    <row r="25" spans="1:56">
      <c r="A25" s="303">
        <v>2016</v>
      </c>
      <c r="B25" s="304">
        <f ca="1">IF($D$3="BAU",UtilityDemand!C18,INDIRECT($D$3&amp;"!B"&amp;ROW(A25))+INDIRECT($D$3&amp;"!D"&amp;ROW(A25)))</f>
        <v>142251.35202157494</v>
      </c>
      <c r="C25" s="305">
        <v>0</v>
      </c>
      <c r="D25" s="306">
        <f t="shared" ca="1" si="8"/>
        <v>0</v>
      </c>
      <c r="E25" s="304">
        <f ca="1">IF($D$3="BAU",UtilityDemand!E18,INDIRECT($D$3&amp;"!E"&amp;ROW(D25))+INDIRECT($D$3&amp;"!G"&amp;ROW(D25)))</f>
        <v>758329.0740165587</v>
      </c>
      <c r="F25" s="305">
        <v>0</v>
      </c>
      <c r="G25" s="306">
        <f t="shared" ca="1" si="9"/>
        <v>0</v>
      </c>
      <c r="H25" s="304">
        <f ca="1">IF($D$3="BAU",UtilityDemand!G18,INDIRECT($D$3&amp;"!H"&amp;ROW(G25))+INDIRECT($D$3&amp;"!J"&amp;ROW(G25)))</f>
        <v>203717.79511026316</v>
      </c>
      <c r="I25" s="305">
        <v>0</v>
      </c>
      <c r="J25" s="306">
        <f t="shared" ca="1" si="24"/>
        <v>0</v>
      </c>
      <c r="K25" s="307">
        <f t="shared" ca="1" si="10"/>
        <v>142251.35202157494</v>
      </c>
      <c r="L25" s="307">
        <f t="shared" si="11"/>
        <v>0</v>
      </c>
      <c r="M25" s="307">
        <v>0</v>
      </c>
      <c r="N25" s="307">
        <f t="shared" ca="1" si="12"/>
        <v>142251.35202157494</v>
      </c>
      <c r="O25" s="306">
        <f t="shared" ca="1" si="13"/>
        <v>758329.0740165587</v>
      </c>
      <c r="P25" s="306">
        <f t="shared" si="14"/>
        <v>0</v>
      </c>
      <c r="Q25" s="306">
        <v>0</v>
      </c>
      <c r="R25" s="306">
        <f t="shared" ca="1" si="15"/>
        <v>758329.0740165587</v>
      </c>
      <c r="S25" s="818">
        <f t="shared" ca="1" si="16"/>
        <v>203717.79511026316</v>
      </c>
      <c r="T25" s="818">
        <f t="shared" si="17"/>
        <v>0</v>
      </c>
      <c r="U25" s="818">
        <v>0</v>
      </c>
      <c r="V25" s="818">
        <f t="shared" ca="1" si="18"/>
        <v>203717.79511026316</v>
      </c>
      <c r="W25" s="306">
        <f t="shared" si="1"/>
        <v>0</v>
      </c>
      <c r="X25" s="306">
        <f t="shared" ca="1" si="2"/>
        <v>0</v>
      </c>
      <c r="Y25" s="306">
        <v>0</v>
      </c>
      <c r="Z25" s="926">
        <f t="shared" ca="1" si="25"/>
        <v>0</v>
      </c>
      <c r="AA25" s="308">
        <f ca="1">-SUM(W25,X25/OFFSET(GridFootprintbyYear,$A25-$A$19,0)*EF_PurchElec_MTperMWh,Z25)*OFFSET(ExposureCalculations!Price_GHG_Allowance_2010,A25-$A$19,0)*ExposureCalculations!D22</f>
        <v>0</v>
      </c>
      <c r="AB25" s="308">
        <f t="shared" ca="1" si="3"/>
        <v>0</v>
      </c>
      <c r="AC25" s="308">
        <v>0</v>
      </c>
      <c r="AD25" s="819">
        <f t="shared" ca="1" si="4"/>
        <v>0</v>
      </c>
      <c r="AE25" s="308">
        <v>0</v>
      </c>
      <c r="AF25" s="819">
        <f t="shared" ca="1" si="5"/>
        <v>0</v>
      </c>
      <c r="AG25" s="308">
        <v>0</v>
      </c>
      <c r="AH25" s="308">
        <v>0</v>
      </c>
      <c r="AI25" s="308">
        <v>0</v>
      </c>
      <c r="AJ25" s="308">
        <f t="shared" ca="1" si="6"/>
        <v>0</v>
      </c>
      <c r="AK25" s="309">
        <v>0</v>
      </c>
      <c r="AL25" s="309">
        <v>0</v>
      </c>
      <c r="AM25" s="309">
        <f t="shared" si="19"/>
        <v>0</v>
      </c>
      <c r="AN25" s="310">
        <v>0</v>
      </c>
      <c r="AO25" s="310">
        <f t="shared" si="26"/>
        <v>0</v>
      </c>
      <c r="AP25" s="310">
        <f t="shared" si="20"/>
        <v>0</v>
      </c>
      <c r="AQ25" s="309">
        <v>0</v>
      </c>
      <c r="AR25" s="311">
        <f t="shared" ca="1" si="7"/>
        <v>0</v>
      </c>
      <c r="AS25" s="870">
        <f t="shared" ca="1" si="21"/>
        <v>0</v>
      </c>
      <c r="AT25" s="822"/>
      <c r="AU25" s="878"/>
      <c r="AV25" s="35"/>
      <c r="AW25" s="879"/>
      <c r="AX25" s="35"/>
      <c r="AY25" s="880"/>
      <c r="BA25" s="123">
        <f ca="1">IF($D$3="WasteReduction",WasteReduction!BE25,'GHG Emissions'!Q18)</f>
        <v>2573.2565802574027</v>
      </c>
      <c r="BB25" s="923">
        <f t="shared" si="27"/>
        <v>0</v>
      </c>
      <c r="BC25" s="259">
        <f t="shared" ca="1" si="22"/>
        <v>0</v>
      </c>
      <c r="BD25" s="123">
        <f t="shared" ca="1" si="23"/>
        <v>2573.2565802574027</v>
      </c>
    </row>
    <row r="26" spans="1:56">
      <c r="A26" s="303">
        <v>2017</v>
      </c>
      <c r="B26" s="304">
        <f ca="1">IF($D$3="BAU",UtilityDemand!C19,INDIRECT($D$3&amp;"!B"&amp;ROW(A26))+INDIRECT($D$3&amp;"!D"&amp;ROW(A26)))</f>
        <v>143827.97762242699</v>
      </c>
      <c r="C26" s="305">
        <v>0</v>
      </c>
      <c r="D26" s="306">
        <f t="shared" ca="1" si="8"/>
        <v>0</v>
      </c>
      <c r="E26" s="304">
        <f ca="1">IF($D$3="BAU",UtilityDemand!E19,INDIRECT($D$3&amp;"!E"&amp;ROW(D26))+INDIRECT($D$3&amp;"!G"&amp;ROW(D26)))</f>
        <v>766715.67314623413</v>
      </c>
      <c r="F26" s="305">
        <v>0</v>
      </c>
      <c r="G26" s="306">
        <f t="shared" ca="1" si="9"/>
        <v>0</v>
      </c>
      <c r="H26" s="304">
        <f ca="1">IF($D$3="BAU",UtilityDemand!G19,INDIRECT($D$3&amp;"!H"&amp;ROW(G26))+INDIRECT($D$3&amp;"!J"&amp;ROW(G26)))</f>
        <v>206782.32967286685</v>
      </c>
      <c r="I26" s="305">
        <v>0</v>
      </c>
      <c r="J26" s="306">
        <f t="shared" ca="1" si="24"/>
        <v>0</v>
      </c>
      <c r="K26" s="307">
        <f t="shared" ca="1" si="10"/>
        <v>143827.97762242699</v>
      </c>
      <c r="L26" s="307">
        <f t="shared" si="11"/>
        <v>0</v>
      </c>
      <c r="M26" s="307">
        <v>0</v>
      </c>
      <c r="N26" s="307">
        <f t="shared" ca="1" si="12"/>
        <v>143827.97762242699</v>
      </c>
      <c r="O26" s="306">
        <f t="shared" ca="1" si="13"/>
        <v>766715.67314623413</v>
      </c>
      <c r="P26" s="306">
        <f t="shared" si="14"/>
        <v>0</v>
      </c>
      <c r="Q26" s="306">
        <v>0</v>
      </c>
      <c r="R26" s="306">
        <f t="shared" ca="1" si="15"/>
        <v>766715.67314623413</v>
      </c>
      <c r="S26" s="818">
        <f t="shared" ca="1" si="16"/>
        <v>206782.32967286685</v>
      </c>
      <c r="T26" s="818">
        <f t="shared" si="17"/>
        <v>0</v>
      </c>
      <c r="U26" s="818">
        <v>0</v>
      </c>
      <c r="V26" s="818">
        <f t="shared" ca="1" si="18"/>
        <v>206782.32967286685</v>
      </c>
      <c r="W26" s="306">
        <f t="shared" si="1"/>
        <v>0</v>
      </c>
      <c r="X26" s="306">
        <f t="shared" ca="1" si="2"/>
        <v>0</v>
      </c>
      <c r="Y26" s="306">
        <v>0</v>
      </c>
      <c r="Z26" s="926">
        <f t="shared" ca="1" si="25"/>
        <v>0</v>
      </c>
      <c r="AA26" s="308">
        <f ca="1">-SUM(W26,X26/OFFSET(GridFootprintbyYear,$A26-$A$19,0)*EF_PurchElec_MTperMWh,Z26)*OFFSET(ExposureCalculations!Price_GHG_Allowance_2010,A26-$A$19,0)*ExposureCalculations!D23</f>
        <v>0</v>
      </c>
      <c r="AB26" s="308">
        <f t="shared" ca="1" si="3"/>
        <v>0</v>
      </c>
      <c r="AC26" s="308">
        <v>0</v>
      </c>
      <c r="AD26" s="819">
        <f t="shared" ca="1" si="4"/>
        <v>0</v>
      </c>
      <c r="AE26" s="308">
        <v>0</v>
      </c>
      <c r="AF26" s="819">
        <f t="shared" ca="1" si="5"/>
        <v>0</v>
      </c>
      <c r="AG26" s="308">
        <v>0</v>
      </c>
      <c r="AH26" s="308">
        <v>0</v>
      </c>
      <c r="AI26" s="308">
        <v>0</v>
      </c>
      <c r="AJ26" s="308">
        <f t="shared" ca="1" si="6"/>
        <v>0</v>
      </c>
      <c r="AK26" s="309">
        <v>0</v>
      </c>
      <c r="AL26" s="309">
        <v>0</v>
      </c>
      <c r="AM26" s="309">
        <f t="shared" si="19"/>
        <v>0</v>
      </c>
      <c r="AN26" s="310">
        <v>0</v>
      </c>
      <c r="AO26" s="310">
        <f t="shared" si="26"/>
        <v>0</v>
      </c>
      <c r="AP26" s="310">
        <f t="shared" si="20"/>
        <v>0</v>
      </c>
      <c r="AQ26" s="309">
        <v>0</v>
      </c>
      <c r="AR26" s="311">
        <f t="shared" ca="1" si="7"/>
        <v>0</v>
      </c>
      <c r="AS26" s="870">
        <f t="shared" ca="1" si="21"/>
        <v>0</v>
      </c>
      <c r="AT26" s="822"/>
      <c r="AU26" s="899"/>
      <c r="AV26" s="35" t="s">
        <v>863</v>
      </c>
      <c r="AW26" s="879"/>
      <c r="AX26" s="35"/>
      <c r="AY26" s="880"/>
      <c r="BA26" s="123">
        <f ca="1">IF($D$3="WasteReduction",WasteReduction!BE26,'GHG Emissions'!Q19)</f>
        <v>2576.8486551725314</v>
      </c>
      <c r="BB26" s="923">
        <f t="shared" si="27"/>
        <v>0</v>
      </c>
      <c r="BC26" s="259">
        <f t="shared" ca="1" si="22"/>
        <v>0</v>
      </c>
      <c r="BD26" s="123">
        <f t="shared" ca="1" si="23"/>
        <v>2576.8486551725314</v>
      </c>
    </row>
    <row r="27" spans="1:56">
      <c r="A27" s="303">
        <v>2018</v>
      </c>
      <c r="B27" s="304">
        <f ca="1">IF($D$3="BAU",UtilityDemand!C20,INDIRECT($D$3&amp;"!B"&amp;ROW(A27))+INDIRECT($D$3&amp;"!D"&amp;ROW(A27)))</f>
        <v>145404.603223279</v>
      </c>
      <c r="C27" s="305">
        <v>0</v>
      </c>
      <c r="D27" s="306">
        <f t="shared" ca="1" si="8"/>
        <v>0</v>
      </c>
      <c r="E27" s="304">
        <f ca="1">IF($D$3="BAU",UtilityDemand!E20,INDIRECT($D$3&amp;"!E"&amp;ROW(D27))+INDIRECT($D$3&amp;"!G"&amp;ROW(D27)))</f>
        <v>775102.27227590943</v>
      </c>
      <c r="F27" s="305">
        <v>0</v>
      </c>
      <c r="G27" s="306">
        <f t="shared" ca="1" si="9"/>
        <v>0</v>
      </c>
      <c r="H27" s="304">
        <f ca="1">IF($D$3="BAU",UtilityDemand!G20,INDIRECT($D$3&amp;"!H"&amp;ROW(G27))+INDIRECT($D$3&amp;"!J"&amp;ROW(G27)))</f>
        <v>209846.86423547054</v>
      </c>
      <c r="I27" s="305">
        <v>0</v>
      </c>
      <c r="J27" s="306">
        <f t="shared" ca="1" si="24"/>
        <v>0</v>
      </c>
      <c r="K27" s="307">
        <f t="shared" ca="1" si="10"/>
        <v>145404.603223279</v>
      </c>
      <c r="L27" s="307">
        <f t="shared" si="11"/>
        <v>0</v>
      </c>
      <c r="M27" s="307">
        <v>0</v>
      </c>
      <c r="N27" s="307">
        <f t="shared" ca="1" si="12"/>
        <v>145404.603223279</v>
      </c>
      <c r="O27" s="306">
        <f t="shared" ca="1" si="13"/>
        <v>775102.27227590943</v>
      </c>
      <c r="P27" s="306">
        <f t="shared" si="14"/>
        <v>0</v>
      </c>
      <c r="Q27" s="306">
        <v>0</v>
      </c>
      <c r="R27" s="306">
        <f t="shared" ca="1" si="15"/>
        <v>775102.27227590943</v>
      </c>
      <c r="S27" s="818">
        <f t="shared" ca="1" si="16"/>
        <v>209846.86423547054</v>
      </c>
      <c r="T27" s="818">
        <f t="shared" si="17"/>
        <v>0</v>
      </c>
      <c r="U27" s="818">
        <v>0</v>
      </c>
      <c r="V27" s="818">
        <f t="shared" ca="1" si="18"/>
        <v>209846.86423547054</v>
      </c>
      <c r="W27" s="306">
        <f t="shared" si="1"/>
        <v>0</v>
      </c>
      <c r="X27" s="306">
        <f t="shared" ca="1" si="2"/>
        <v>0</v>
      </c>
      <c r="Y27" s="306">
        <v>0</v>
      </c>
      <c r="Z27" s="926">
        <f t="shared" ca="1" si="25"/>
        <v>0</v>
      </c>
      <c r="AA27" s="308">
        <f ca="1">-SUM(W27,X27/OFFSET(GridFootprintbyYear,$A27-$A$19,0)*EF_PurchElec_MTperMWh,Z27)*OFFSET(ExposureCalculations!Price_GHG_Allowance_2010,A27-$A$19,0)*ExposureCalculations!D24</f>
        <v>0</v>
      </c>
      <c r="AB27" s="308">
        <f t="shared" ca="1" si="3"/>
        <v>0</v>
      </c>
      <c r="AC27" s="308">
        <v>0</v>
      </c>
      <c r="AD27" s="819">
        <f t="shared" ca="1" si="4"/>
        <v>0</v>
      </c>
      <c r="AE27" s="308">
        <v>0</v>
      </c>
      <c r="AF27" s="819">
        <f t="shared" ca="1" si="5"/>
        <v>0</v>
      </c>
      <c r="AG27" s="308">
        <v>0</v>
      </c>
      <c r="AH27" s="308">
        <v>0</v>
      </c>
      <c r="AI27" s="308">
        <v>0</v>
      </c>
      <c r="AJ27" s="308">
        <f t="shared" ca="1" si="6"/>
        <v>0</v>
      </c>
      <c r="AK27" s="309">
        <v>0</v>
      </c>
      <c r="AL27" s="309">
        <v>0</v>
      </c>
      <c r="AM27" s="309">
        <f t="shared" si="19"/>
        <v>0</v>
      </c>
      <c r="AN27" s="310">
        <v>0</v>
      </c>
      <c r="AO27" s="310">
        <f t="shared" si="26"/>
        <v>0</v>
      </c>
      <c r="AP27" s="310">
        <f t="shared" si="20"/>
        <v>0</v>
      </c>
      <c r="AQ27" s="309">
        <v>0</v>
      </c>
      <c r="AR27" s="311">
        <f t="shared" ca="1" si="7"/>
        <v>0</v>
      </c>
      <c r="AS27" s="870">
        <f t="shared" ca="1" si="21"/>
        <v>0</v>
      </c>
      <c r="AT27" s="822"/>
      <c r="AU27" s="899"/>
      <c r="AV27" s="35" t="s">
        <v>864</v>
      </c>
      <c r="AW27" s="879"/>
      <c r="AX27" s="35"/>
      <c r="AY27" s="880"/>
      <c r="BA27" s="123">
        <f ca="1">IF($D$3="WasteReduction",WasteReduction!BE27,'GHG Emissions'!Q20)</f>
        <v>2580.2224056920718</v>
      </c>
      <c r="BB27" s="923">
        <f t="shared" si="27"/>
        <v>0</v>
      </c>
      <c r="BC27" s="259">
        <f t="shared" ca="1" si="22"/>
        <v>0</v>
      </c>
      <c r="BD27" s="123">
        <f t="shared" ca="1" si="23"/>
        <v>2580.2224056920718</v>
      </c>
    </row>
    <row r="28" spans="1:56">
      <c r="A28" s="303">
        <v>2019</v>
      </c>
      <c r="B28" s="304">
        <f ca="1">IF($D$3="BAU",UtilityDemand!C21,INDIRECT($D$3&amp;"!B"&amp;ROW(A28))+INDIRECT($D$3&amp;"!D"&amp;ROW(A28)))</f>
        <v>146981.22882413102</v>
      </c>
      <c r="C28" s="305">
        <v>0</v>
      </c>
      <c r="D28" s="306">
        <f t="shared" ca="1" si="8"/>
        <v>0</v>
      </c>
      <c r="E28" s="304">
        <f ca="1">IF($D$3="BAU",UtilityDemand!E21,INDIRECT($D$3&amp;"!E"&amp;ROW(D28))+INDIRECT($D$3&amp;"!G"&amp;ROW(D28)))</f>
        <v>783488.87140558485</v>
      </c>
      <c r="F28" s="305">
        <v>0</v>
      </c>
      <c r="G28" s="306">
        <f t="shared" ca="1" si="9"/>
        <v>0</v>
      </c>
      <c r="H28" s="304">
        <f ca="1">IF($D$3="BAU",UtilityDemand!G21,INDIRECT($D$3&amp;"!H"&amp;ROW(G28))+INDIRECT($D$3&amp;"!J"&amp;ROW(G28)))</f>
        <v>212911.39879807425</v>
      </c>
      <c r="I28" s="305">
        <v>0</v>
      </c>
      <c r="J28" s="306">
        <f t="shared" ca="1" si="24"/>
        <v>0</v>
      </c>
      <c r="K28" s="307">
        <f t="shared" ca="1" si="10"/>
        <v>146981.22882413102</v>
      </c>
      <c r="L28" s="307">
        <f t="shared" si="11"/>
        <v>0</v>
      </c>
      <c r="M28" s="307">
        <v>0</v>
      </c>
      <c r="N28" s="307">
        <f t="shared" ca="1" si="12"/>
        <v>146981.22882413102</v>
      </c>
      <c r="O28" s="306">
        <f t="shared" ca="1" si="13"/>
        <v>783488.87140558485</v>
      </c>
      <c r="P28" s="306">
        <f t="shared" si="14"/>
        <v>0</v>
      </c>
      <c r="Q28" s="306">
        <v>0</v>
      </c>
      <c r="R28" s="306">
        <f t="shared" ca="1" si="15"/>
        <v>783488.87140558485</v>
      </c>
      <c r="S28" s="818">
        <f t="shared" ca="1" si="16"/>
        <v>212911.39879807425</v>
      </c>
      <c r="T28" s="818">
        <f t="shared" si="17"/>
        <v>0</v>
      </c>
      <c r="U28" s="818">
        <v>0</v>
      </c>
      <c r="V28" s="818">
        <f t="shared" ca="1" si="18"/>
        <v>212911.39879807425</v>
      </c>
      <c r="W28" s="306">
        <f t="shared" si="1"/>
        <v>0</v>
      </c>
      <c r="X28" s="306">
        <f t="shared" ca="1" si="2"/>
        <v>0</v>
      </c>
      <c r="Y28" s="306">
        <v>0</v>
      </c>
      <c r="Z28" s="926">
        <f t="shared" ca="1" si="25"/>
        <v>0</v>
      </c>
      <c r="AA28" s="308">
        <f ca="1">-SUM(W28,X28/OFFSET(GridFootprintbyYear,$A28-$A$19,0)*EF_PurchElec_MTperMWh,Z28)*OFFSET(ExposureCalculations!Price_GHG_Allowance_2010,A28-$A$19,0)*ExposureCalculations!D25</f>
        <v>0</v>
      </c>
      <c r="AB28" s="308">
        <f t="shared" ca="1" si="3"/>
        <v>0</v>
      </c>
      <c r="AC28" s="308">
        <v>0</v>
      </c>
      <c r="AD28" s="819">
        <f t="shared" ca="1" si="4"/>
        <v>0</v>
      </c>
      <c r="AE28" s="308">
        <v>0</v>
      </c>
      <c r="AF28" s="819">
        <f t="shared" ca="1" si="5"/>
        <v>0</v>
      </c>
      <c r="AG28" s="308">
        <v>0</v>
      </c>
      <c r="AH28" s="308">
        <v>0</v>
      </c>
      <c r="AI28" s="308">
        <v>0</v>
      </c>
      <c r="AJ28" s="308">
        <f t="shared" ca="1" si="6"/>
        <v>0</v>
      </c>
      <c r="AK28" s="309">
        <v>0</v>
      </c>
      <c r="AL28" s="309">
        <v>0</v>
      </c>
      <c r="AM28" s="309">
        <f t="shared" si="19"/>
        <v>0</v>
      </c>
      <c r="AN28" s="310">
        <v>0</v>
      </c>
      <c r="AO28" s="310">
        <f t="shared" si="26"/>
        <v>0</v>
      </c>
      <c r="AP28" s="310">
        <f t="shared" si="20"/>
        <v>0</v>
      </c>
      <c r="AQ28" s="309">
        <v>0</v>
      </c>
      <c r="AR28" s="311">
        <f t="shared" ca="1" si="7"/>
        <v>0</v>
      </c>
      <c r="AS28" s="870">
        <f t="shared" ca="1" si="21"/>
        <v>0</v>
      </c>
      <c r="AT28" s="822"/>
      <c r="AU28" s="899"/>
      <c r="AV28" s="35"/>
      <c r="AW28" s="879"/>
      <c r="AX28" s="35"/>
      <c r="AY28" s="880"/>
      <c r="BA28" s="123">
        <f ca="1">IF($D$3="WasteReduction",WasteReduction!BE28,'GHG Emissions'!Q21)</f>
        <v>2583.4133782714662</v>
      </c>
      <c r="BB28" s="923">
        <f t="shared" si="27"/>
        <v>0</v>
      </c>
      <c r="BC28" s="259">
        <f t="shared" ca="1" si="22"/>
        <v>0</v>
      </c>
      <c r="BD28" s="123">
        <f t="shared" ca="1" si="23"/>
        <v>2583.4133782714662</v>
      </c>
    </row>
    <row r="29" spans="1:56">
      <c r="A29" s="303">
        <v>2020</v>
      </c>
      <c r="B29" s="304">
        <f ca="1">IF($D$3="BAU",UtilityDemand!C22,INDIRECT($D$3&amp;"!B"&amp;ROW(A29))+INDIRECT($D$3&amp;"!D"&amp;ROW(A29)))</f>
        <v>148557.85442498306</v>
      </c>
      <c r="C29" s="305">
        <v>0</v>
      </c>
      <c r="D29" s="306">
        <f t="shared" ca="1" si="8"/>
        <v>0</v>
      </c>
      <c r="E29" s="304">
        <f ca="1">IF($D$3="BAU",UtilityDemand!E22,INDIRECT($D$3&amp;"!E"&amp;ROW(D29))+INDIRECT($D$3&amp;"!G"&amp;ROW(D29)))</f>
        <v>791875.47053526016</v>
      </c>
      <c r="F29" s="305">
        <v>0</v>
      </c>
      <c r="G29" s="306">
        <f t="shared" ca="1" si="9"/>
        <v>0</v>
      </c>
      <c r="H29" s="304">
        <f ca="1">IF($D$3="BAU",UtilityDemand!G22,INDIRECT($D$3&amp;"!H"&amp;ROW(G29))+INDIRECT($D$3&amp;"!J"&amp;ROW(G29)))</f>
        <v>215975.93336067794</v>
      </c>
      <c r="I29" s="305">
        <v>0</v>
      </c>
      <c r="J29" s="306">
        <f t="shared" ca="1" si="24"/>
        <v>0</v>
      </c>
      <c r="K29" s="307">
        <f t="shared" ca="1" si="10"/>
        <v>148557.85442498306</v>
      </c>
      <c r="L29" s="307">
        <f t="shared" si="11"/>
        <v>0</v>
      </c>
      <c r="M29" s="307">
        <v>0</v>
      </c>
      <c r="N29" s="307">
        <f t="shared" ca="1" si="12"/>
        <v>148557.85442498306</v>
      </c>
      <c r="O29" s="306">
        <f t="shared" ca="1" si="13"/>
        <v>791875.47053526016</v>
      </c>
      <c r="P29" s="306">
        <f t="shared" si="14"/>
        <v>0</v>
      </c>
      <c r="Q29" s="306">
        <v>0</v>
      </c>
      <c r="R29" s="306">
        <f t="shared" ca="1" si="15"/>
        <v>791875.47053526016</v>
      </c>
      <c r="S29" s="818">
        <f t="shared" ca="1" si="16"/>
        <v>215975.93336067794</v>
      </c>
      <c r="T29" s="818">
        <f t="shared" si="17"/>
        <v>0</v>
      </c>
      <c r="U29" s="818">
        <v>0</v>
      </c>
      <c r="V29" s="818">
        <f t="shared" ca="1" si="18"/>
        <v>215975.93336067794</v>
      </c>
      <c r="W29" s="306">
        <f t="shared" si="1"/>
        <v>0</v>
      </c>
      <c r="X29" s="306">
        <f t="shared" ca="1" si="2"/>
        <v>0</v>
      </c>
      <c r="Y29" s="306">
        <v>0</v>
      </c>
      <c r="Z29" s="926">
        <f t="shared" ca="1" si="25"/>
        <v>0</v>
      </c>
      <c r="AA29" s="308">
        <f ca="1">-SUM(W29,X29/OFFSET(GridFootprintbyYear,$A29-$A$19,0)*EF_PurchElec_MTperMWh,Z29)*OFFSET(ExposureCalculations!Price_GHG_Allowance_2010,A29-$A$19,0)*ExposureCalculations!D26</f>
        <v>0</v>
      </c>
      <c r="AB29" s="308">
        <f t="shared" ca="1" si="3"/>
        <v>0</v>
      </c>
      <c r="AC29" s="308">
        <v>0</v>
      </c>
      <c r="AD29" s="819">
        <f t="shared" ca="1" si="4"/>
        <v>0</v>
      </c>
      <c r="AE29" s="308">
        <v>0</v>
      </c>
      <c r="AF29" s="819">
        <f t="shared" ca="1" si="5"/>
        <v>0</v>
      </c>
      <c r="AG29" s="308">
        <v>0</v>
      </c>
      <c r="AH29" s="308">
        <v>0</v>
      </c>
      <c r="AI29" s="308">
        <v>0</v>
      </c>
      <c r="AJ29" s="308">
        <f t="shared" ca="1" si="6"/>
        <v>0</v>
      </c>
      <c r="AK29" s="309">
        <v>0</v>
      </c>
      <c r="AL29" s="309">
        <v>0</v>
      </c>
      <c r="AM29" s="309">
        <f t="shared" si="19"/>
        <v>0</v>
      </c>
      <c r="AN29" s="310">
        <v>0</v>
      </c>
      <c r="AO29" s="310">
        <f t="shared" si="26"/>
        <v>0</v>
      </c>
      <c r="AP29" s="310">
        <f t="shared" si="20"/>
        <v>0</v>
      </c>
      <c r="AQ29" s="309">
        <v>0</v>
      </c>
      <c r="AR29" s="311">
        <f t="shared" ca="1" si="7"/>
        <v>0</v>
      </c>
      <c r="AS29" s="870">
        <f t="shared" ca="1" si="21"/>
        <v>0</v>
      </c>
      <c r="AT29" s="822"/>
      <c r="AU29" s="1203"/>
      <c r="AV29" s="35" t="s">
        <v>865</v>
      </c>
      <c r="AW29" s="879"/>
      <c r="AX29" s="35"/>
      <c r="AY29" s="880"/>
      <c r="BA29" s="123">
        <f ca="1">IF($D$3="WasteReduction",WasteReduction!BE29,'GHG Emissions'!Q22)</f>
        <v>2586.448407613299</v>
      </c>
      <c r="BB29" s="923">
        <f t="shared" si="27"/>
        <v>0</v>
      </c>
      <c r="BC29" s="259">
        <f t="shared" ca="1" si="22"/>
        <v>0</v>
      </c>
      <c r="BD29" s="123">
        <f t="shared" ca="1" si="23"/>
        <v>2586.448407613299</v>
      </c>
    </row>
    <row r="30" spans="1:56">
      <c r="A30" s="303">
        <v>2021</v>
      </c>
      <c r="B30" s="304">
        <f ca="1">IF($D$3="BAU",UtilityDemand!C23,INDIRECT($D$3&amp;"!B"&amp;ROW(A30))+INDIRECT($D$3&amp;"!D"&amp;ROW(A30)))</f>
        <v>150134.48002583507</v>
      </c>
      <c r="C30" s="305">
        <v>0</v>
      </c>
      <c r="D30" s="306">
        <f t="shared" ca="1" si="8"/>
        <v>0</v>
      </c>
      <c r="E30" s="304">
        <f ca="1">IF($D$3="BAU",UtilityDemand!E23,INDIRECT($D$3&amp;"!E"&amp;ROW(D30))+INDIRECT($D$3&amp;"!G"&amp;ROW(D30)))</f>
        <v>800262.06966493546</v>
      </c>
      <c r="F30" s="305">
        <v>0</v>
      </c>
      <c r="G30" s="306">
        <f t="shared" ca="1" si="9"/>
        <v>0</v>
      </c>
      <c r="H30" s="304">
        <f ca="1">IF($D$3="BAU",UtilityDemand!G23,INDIRECT($D$3&amp;"!H"&amp;ROW(G30))+INDIRECT($D$3&amp;"!J"&amp;ROW(G30)))</f>
        <v>219040.46792328163</v>
      </c>
      <c r="I30" s="305">
        <v>0</v>
      </c>
      <c r="J30" s="306">
        <f t="shared" ca="1" si="24"/>
        <v>0</v>
      </c>
      <c r="K30" s="307">
        <f t="shared" ca="1" si="10"/>
        <v>150134.48002583507</v>
      </c>
      <c r="L30" s="307">
        <f t="shared" si="11"/>
        <v>0</v>
      </c>
      <c r="M30" s="307">
        <v>0</v>
      </c>
      <c r="N30" s="307">
        <f t="shared" ca="1" si="12"/>
        <v>150134.48002583507</v>
      </c>
      <c r="O30" s="306">
        <f t="shared" ca="1" si="13"/>
        <v>800262.06966493546</v>
      </c>
      <c r="P30" s="306">
        <f t="shared" si="14"/>
        <v>0</v>
      </c>
      <c r="Q30" s="306">
        <v>0</v>
      </c>
      <c r="R30" s="306">
        <f t="shared" ca="1" si="15"/>
        <v>800262.06966493546</v>
      </c>
      <c r="S30" s="818">
        <f t="shared" ca="1" si="16"/>
        <v>219040.46792328163</v>
      </c>
      <c r="T30" s="818">
        <f t="shared" si="17"/>
        <v>0</v>
      </c>
      <c r="U30" s="818">
        <v>0</v>
      </c>
      <c r="V30" s="818">
        <f t="shared" ca="1" si="18"/>
        <v>219040.46792328163</v>
      </c>
      <c r="W30" s="306">
        <f t="shared" si="1"/>
        <v>0</v>
      </c>
      <c r="X30" s="306">
        <f t="shared" ca="1" si="2"/>
        <v>0</v>
      </c>
      <c r="Y30" s="306">
        <v>0</v>
      </c>
      <c r="Z30" s="926">
        <f t="shared" ca="1" si="25"/>
        <v>0</v>
      </c>
      <c r="AA30" s="308">
        <f ca="1">-SUM(W30,X30/OFFSET(GridFootprintbyYear,$A30-$A$19,0)*EF_PurchElec_MTperMWh,Z30)*OFFSET(ExposureCalculations!Price_GHG_Allowance_2010,A30-$A$19,0)*ExposureCalculations!D27</f>
        <v>0</v>
      </c>
      <c r="AB30" s="308">
        <f t="shared" ca="1" si="3"/>
        <v>0</v>
      </c>
      <c r="AC30" s="308">
        <v>0</v>
      </c>
      <c r="AD30" s="819">
        <f t="shared" ca="1" si="4"/>
        <v>0</v>
      </c>
      <c r="AE30" s="308">
        <v>0</v>
      </c>
      <c r="AF30" s="819">
        <f t="shared" ca="1" si="5"/>
        <v>0</v>
      </c>
      <c r="AG30" s="308">
        <v>0</v>
      </c>
      <c r="AH30" s="308">
        <v>0</v>
      </c>
      <c r="AI30" s="308">
        <v>0</v>
      </c>
      <c r="AJ30" s="308">
        <f t="shared" ca="1" si="6"/>
        <v>0</v>
      </c>
      <c r="AK30" s="309">
        <v>0</v>
      </c>
      <c r="AL30" s="309">
        <v>0</v>
      </c>
      <c r="AM30" s="309">
        <f t="shared" si="19"/>
        <v>0</v>
      </c>
      <c r="AN30" s="310">
        <v>0</v>
      </c>
      <c r="AO30" s="310">
        <f t="shared" si="26"/>
        <v>0</v>
      </c>
      <c r="AP30" s="310">
        <f t="shared" si="20"/>
        <v>0</v>
      </c>
      <c r="AQ30" s="309">
        <v>0</v>
      </c>
      <c r="AR30" s="311">
        <f t="shared" ca="1" si="7"/>
        <v>0</v>
      </c>
      <c r="AS30" s="870">
        <f t="shared" ca="1" si="21"/>
        <v>0</v>
      </c>
      <c r="AT30" s="822"/>
      <c r="AU30" s="878"/>
      <c r="AV30" s="35"/>
      <c r="AW30" s="879"/>
      <c r="AX30" s="35"/>
      <c r="AY30" s="880"/>
      <c r="BA30" s="123">
        <f ca="1">IF($D$3="WasteReduction",WasteReduction!BE30,'GHG Emissions'!Q23)</f>
        <v>2589.3483416121526</v>
      </c>
      <c r="BB30" s="923">
        <f t="shared" si="27"/>
        <v>0</v>
      </c>
      <c r="BC30" s="259">
        <f t="shared" ca="1" si="22"/>
        <v>0</v>
      </c>
      <c r="BD30" s="123">
        <f t="shared" ca="1" si="23"/>
        <v>2589.3483416121526</v>
      </c>
    </row>
    <row r="31" spans="1:56">
      <c r="A31" s="303">
        <v>2022</v>
      </c>
      <c r="B31" s="304">
        <f ca="1">IF($D$3="BAU",UtilityDemand!C24,INDIRECT($D$3&amp;"!B"&amp;ROW(A31))+INDIRECT($D$3&amp;"!D"&amp;ROW(A31)))</f>
        <v>151711.10562668712</v>
      </c>
      <c r="C31" s="305">
        <v>0</v>
      </c>
      <c r="D31" s="306">
        <f t="shared" ca="1" si="8"/>
        <v>0</v>
      </c>
      <c r="E31" s="304">
        <f ca="1">IF($D$3="BAU",UtilityDemand!E24,INDIRECT($D$3&amp;"!E"&amp;ROW(D31))+INDIRECT($D$3&amp;"!G"&amp;ROW(D31)))</f>
        <v>808648.668794611</v>
      </c>
      <c r="F31" s="305">
        <v>0</v>
      </c>
      <c r="G31" s="306">
        <f t="shared" ca="1" si="9"/>
        <v>0</v>
      </c>
      <c r="H31" s="304">
        <f ca="1">IF($D$3="BAU",UtilityDemand!G24,INDIRECT($D$3&amp;"!H"&amp;ROW(G31))+INDIRECT($D$3&amp;"!J"&amp;ROW(G31)))</f>
        <v>222105.00248588528</v>
      </c>
      <c r="I31" s="305">
        <v>0</v>
      </c>
      <c r="J31" s="306">
        <f t="shared" ca="1" si="24"/>
        <v>0</v>
      </c>
      <c r="K31" s="307">
        <f t="shared" ca="1" si="10"/>
        <v>151711.10562668712</v>
      </c>
      <c r="L31" s="307">
        <f t="shared" si="11"/>
        <v>0</v>
      </c>
      <c r="M31" s="307">
        <v>0</v>
      </c>
      <c r="N31" s="307">
        <f t="shared" ca="1" si="12"/>
        <v>151711.10562668712</v>
      </c>
      <c r="O31" s="306">
        <f t="shared" ca="1" si="13"/>
        <v>808648.668794611</v>
      </c>
      <c r="P31" s="306">
        <f t="shared" si="14"/>
        <v>0</v>
      </c>
      <c r="Q31" s="306">
        <v>0</v>
      </c>
      <c r="R31" s="306">
        <f t="shared" ca="1" si="15"/>
        <v>808648.668794611</v>
      </c>
      <c r="S31" s="818">
        <f t="shared" ca="1" si="16"/>
        <v>222105.00248588528</v>
      </c>
      <c r="T31" s="818">
        <f t="shared" si="17"/>
        <v>0</v>
      </c>
      <c r="U31" s="818">
        <v>0</v>
      </c>
      <c r="V31" s="818">
        <f t="shared" ca="1" si="18"/>
        <v>222105.00248588528</v>
      </c>
      <c r="W31" s="306">
        <f t="shared" si="1"/>
        <v>0</v>
      </c>
      <c r="X31" s="306">
        <f t="shared" ca="1" si="2"/>
        <v>0</v>
      </c>
      <c r="Y31" s="306">
        <v>0</v>
      </c>
      <c r="Z31" s="926">
        <f t="shared" ca="1" si="25"/>
        <v>0</v>
      </c>
      <c r="AA31" s="308">
        <f ca="1">-SUM(W31,X31/OFFSET(GridFootprintbyYear,$A31-$A$19,0)*EF_PurchElec_MTperMWh,Z31)*OFFSET(ExposureCalculations!Price_GHG_Allowance_2010,A31-$A$19,0)*ExposureCalculations!D28</f>
        <v>0</v>
      </c>
      <c r="AB31" s="308">
        <f t="shared" ca="1" si="3"/>
        <v>0</v>
      </c>
      <c r="AC31" s="308">
        <v>0</v>
      </c>
      <c r="AD31" s="819">
        <f t="shared" ca="1" si="4"/>
        <v>0</v>
      </c>
      <c r="AE31" s="308">
        <v>0</v>
      </c>
      <c r="AF31" s="819">
        <f t="shared" ca="1" si="5"/>
        <v>0</v>
      </c>
      <c r="AG31" s="308">
        <v>0</v>
      </c>
      <c r="AH31" s="308">
        <v>0</v>
      </c>
      <c r="AI31" s="308">
        <v>0</v>
      </c>
      <c r="AJ31" s="308">
        <f t="shared" ca="1" si="6"/>
        <v>0</v>
      </c>
      <c r="AK31" s="309">
        <v>0</v>
      </c>
      <c r="AL31" s="309">
        <v>0</v>
      </c>
      <c r="AM31" s="309">
        <f t="shared" si="19"/>
        <v>0</v>
      </c>
      <c r="AN31" s="310">
        <v>0</v>
      </c>
      <c r="AO31" s="310">
        <f t="shared" si="26"/>
        <v>0</v>
      </c>
      <c r="AP31" s="310">
        <f t="shared" si="20"/>
        <v>0</v>
      </c>
      <c r="AQ31" s="309">
        <v>0</v>
      </c>
      <c r="AR31" s="311">
        <f t="shared" ca="1" si="7"/>
        <v>0</v>
      </c>
      <c r="AS31" s="870">
        <f t="shared" ca="1" si="21"/>
        <v>0</v>
      </c>
      <c r="AT31" s="822"/>
      <c r="AU31" s="878"/>
      <c r="AV31" s="35"/>
      <c r="AW31" s="879"/>
      <c r="AX31" s="35"/>
      <c r="AY31" s="880"/>
      <c r="BA31" s="123">
        <f ca="1">IF($D$3="WasteReduction",WasteReduction!BE31,'GHG Emissions'!Q24)</f>
        <v>2592.1297595041619</v>
      </c>
      <c r="BB31" s="923">
        <f t="shared" si="27"/>
        <v>0</v>
      </c>
      <c r="BC31" s="259">
        <f t="shared" ca="1" si="22"/>
        <v>0</v>
      </c>
      <c r="BD31" s="123">
        <f t="shared" ca="1" si="23"/>
        <v>2592.1297595041619</v>
      </c>
    </row>
    <row r="32" spans="1:56">
      <c r="A32" s="303">
        <v>2023</v>
      </c>
      <c r="B32" s="304">
        <f ca="1">IF($D$3="BAU",UtilityDemand!C25,INDIRECT($D$3&amp;"!B"&amp;ROW(A32))+INDIRECT($D$3&amp;"!D"&amp;ROW(A32)))</f>
        <v>153287.73122753916</v>
      </c>
      <c r="C32" s="305">
        <v>0</v>
      </c>
      <c r="D32" s="306">
        <f t="shared" ca="1" si="8"/>
        <v>0</v>
      </c>
      <c r="E32" s="304">
        <f ca="1">IF($D$3="BAU",UtilityDemand!E25,INDIRECT($D$3&amp;"!E"&amp;ROW(D32))+INDIRECT($D$3&amp;"!G"&amp;ROW(D32)))</f>
        <v>817035.26792428643</v>
      </c>
      <c r="F32" s="305">
        <v>0</v>
      </c>
      <c r="G32" s="306">
        <f t="shared" ca="1" si="9"/>
        <v>0</v>
      </c>
      <c r="H32" s="304">
        <f ca="1">IF($D$3="BAU",UtilityDemand!G25,INDIRECT($D$3&amp;"!H"&amp;ROW(G32))+INDIRECT($D$3&amp;"!J"&amp;ROW(G32)))</f>
        <v>225169.537048489</v>
      </c>
      <c r="I32" s="305">
        <v>0</v>
      </c>
      <c r="J32" s="306">
        <f t="shared" ca="1" si="24"/>
        <v>0</v>
      </c>
      <c r="K32" s="307">
        <f t="shared" ca="1" si="10"/>
        <v>153287.73122753916</v>
      </c>
      <c r="L32" s="307">
        <f t="shared" si="11"/>
        <v>0</v>
      </c>
      <c r="M32" s="307">
        <v>0</v>
      </c>
      <c r="N32" s="307">
        <f t="shared" ca="1" si="12"/>
        <v>153287.73122753916</v>
      </c>
      <c r="O32" s="306">
        <f t="shared" ca="1" si="13"/>
        <v>817035.26792428643</v>
      </c>
      <c r="P32" s="306">
        <f t="shared" si="14"/>
        <v>0</v>
      </c>
      <c r="Q32" s="306">
        <v>0</v>
      </c>
      <c r="R32" s="306">
        <f t="shared" ca="1" si="15"/>
        <v>817035.26792428643</v>
      </c>
      <c r="S32" s="818">
        <f t="shared" ca="1" si="16"/>
        <v>225169.537048489</v>
      </c>
      <c r="T32" s="818">
        <f t="shared" si="17"/>
        <v>0</v>
      </c>
      <c r="U32" s="818">
        <v>0</v>
      </c>
      <c r="V32" s="818">
        <f t="shared" ca="1" si="18"/>
        <v>225169.537048489</v>
      </c>
      <c r="W32" s="306">
        <f t="shared" si="1"/>
        <v>0</v>
      </c>
      <c r="X32" s="306">
        <f t="shared" ca="1" si="2"/>
        <v>0</v>
      </c>
      <c r="Y32" s="306">
        <v>0</v>
      </c>
      <c r="Z32" s="926">
        <f t="shared" ca="1" si="25"/>
        <v>0</v>
      </c>
      <c r="AA32" s="308">
        <f ca="1">-SUM(W32,X32/OFFSET(GridFootprintbyYear,$A32-$A$19,0)*EF_PurchElec_MTperMWh,Z32)*OFFSET(ExposureCalculations!Price_GHG_Allowance_2010,A32-$A$19,0)*ExposureCalculations!D29</f>
        <v>0</v>
      </c>
      <c r="AB32" s="308">
        <f t="shared" ca="1" si="3"/>
        <v>0</v>
      </c>
      <c r="AC32" s="308">
        <v>0</v>
      </c>
      <c r="AD32" s="819">
        <f t="shared" ca="1" si="4"/>
        <v>0</v>
      </c>
      <c r="AE32" s="308">
        <v>0</v>
      </c>
      <c r="AF32" s="819">
        <f t="shared" ca="1" si="5"/>
        <v>0</v>
      </c>
      <c r="AG32" s="308">
        <v>0</v>
      </c>
      <c r="AH32" s="308">
        <v>0</v>
      </c>
      <c r="AI32" s="308">
        <v>0</v>
      </c>
      <c r="AJ32" s="308">
        <f t="shared" ca="1" si="6"/>
        <v>0</v>
      </c>
      <c r="AK32" s="309">
        <v>0</v>
      </c>
      <c r="AL32" s="309">
        <v>0</v>
      </c>
      <c r="AM32" s="309">
        <f t="shared" si="19"/>
        <v>0</v>
      </c>
      <c r="AN32" s="310">
        <v>0</v>
      </c>
      <c r="AO32" s="310">
        <f t="shared" si="26"/>
        <v>0</v>
      </c>
      <c r="AP32" s="310">
        <f t="shared" si="20"/>
        <v>0</v>
      </c>
      <c r="AQ32" s="309">
        <v>0</v>
      </c>
      <c r="AR32" s="311">
        <f t="shared" ca="1" si="7"/>
        <v>0</v>
      </c>
      <c r="AS32" s="870">
        <f t="shared" ca="1" si="21"/>
        <v>0</v>
      </c>
      <c r="AT32" s="822"/>
      <c r="AU32" s="878"/>
      <c r="AV32" s="35"/>
      <c r="AW32" s="879"/>
      <c r="AX32" s="35"/>
      <c r="AY32" s="880"/>
      <c r="BA32" s="123">
        <f ca="1">IF($D$3="WasteReduction",WasteReduction!BE32,'GHG Emissions'!Q25)</f>
        <v>2594.8061036702502</v>
      </c>
      <c r="BB32" s="923">
        <f t="shared" si="27"/>
        <v>0</v>
      </c>
      <c r="BC32" s="259">
        <f t="shared" ca="1" si="22"/>
        <v>0</v>
      </c>
      <c r="BD32" s="123">
        <f t="shared" ca="1" si="23"/>
        <v>2594.8061036702502</v>
      </c>
    </row>
    <row r="33" spans="1:56">
      <c r="A33" s="303">
        <v>2024</v>
      </c>
      <c r="B33" s="304">
        <f ca="1">IF($D$3="BAU",UtilityDemand!C26,INDIRECT($D$3&amp;"!B"&amp;ROW(A33))+INDIRECT($D$3&amp;"!D"&amp;ROW(A33)))</f>
        <v>154864.35682839117</v>
      </c>
      <c r="C33" s="305">
        <v>0</v>
      </c>
      <c r="D33" s="306">
        <f t="shared" ca="1" si="8"/>
        <v>0</v>
      </c>
      <c r="E33" s="304">
        <f ca="1">IF($D$3="BAU",UtilityDemand!E26,INDIRECT($D$3&amp;"!E"&amp;ROW(D33))+INDIRECT($D$3&amp;"!G"&amp;ROW(D33)))</f>
        <v>825421.86705396173</v>
      </c>
      <c r="F33" s="305">
        <v>0</v>
      </c>
      <c r="G33" s="306">
        <f t="shared" ca="1" si="9"/>
        <v>0</v>
      </c>
      <c r="H33" s="304">
        <f ca="1">IF($D$3="BAU",UtilityDemand!G26,INDIRECT($D$3&amp;"!H"&amp;ROW(G33))+INDIRECT($D$3&amp;"!J"&amp;ROW(G33)))</f>
        <v>228234.07161109266</v>
      </c>
      <c r="I33" s="305">
        <v>0</v>
      </c>
      <c r="J33" s="306">
        <f t="shared" ca="1" si="24"/>
        <v>0</v>
      </c>
      <c r="K33" s="307">
        <f t="shared" ca="1" si="10"/>
        <v>154864.35682839117</v>
      </c>
      <c r="L33" s="307">
        <f t="shared" si="11"/>
        <v>0</v>
      </c>
      <c r="M33" s="307">
        <v>0</v>
      </c>
      <c r="N33" s="307">
        <f t="shared" ca="1" si="12"/>
        <v>154864.35682839117</v>
      </c>
      <c r="O33" s="306">
        <f t="shared" ca="1" si="13"/>
        <v>825421.86705396173</v>
      </c>
      <c r="P33" s="306">
        <f t="shared" si="14"/>
        <v>0</v>
      </c>
      <c r="Q33" s="306">
        <v>0</v>
      </c>
      <c r="R33" s="306">
        <f t="shared" ca="1" si="15"/>
        <v>825421.86705396173</v>
      </c>
      <c r="S33" s="818">
        <f t="shared" ca="1" si="16"/>
        <v>228234.07161109266</v>
      </c>
      <c r="T33" s="818">
        <f t="shared" si="17"/>
        <v>0</v>
      </c>
      <c r="U33" s="818">
        <v>0</v>
      </c>
      <c r="V33" s="818">
        <f t="shared" ca="1" si="18"/>
        <v>228234.07161109266</v>
      </c>
      <c r="W33" s="306">
        <f t="shared" si="1"/>
        <v>0</v>
      </c>
      <c r="X33" s="306">
        <f t="shared" ca="1" si="2"/>
        <v>0</v>
      </c>
      <c r="Y33" s="306">
        <v>0</v>
      </c>
      <c r="Z33" s="926">
        <f t="shared" ca="1" si="25"/>
        <v>0</v>
      </c>
      <c r="AA33" s="308">
        <f ca="1">-SUM(W33,X33/OFFSET(GridFootprintbyYear,$A33-$A$19,0)*EF_PurchElec_MTperMWh,Z33)*OFFSET(ExposureCalculations!Price_GHG_Allowance_2010,A33-$A$19,0)*ExposureCalculations!D30</f>
        <v>0</v>
      </c>
      <c r="AB33" s="308">
        <f t="shared" ca="1" si="3"/>
        <v>0</v>
      </c>
      <c r="AC33" s="308">
        <v>0</v>
      </c>
      <c r="AD33" s="819">
        <f t="shared" ca="1" si="4"/>
        <v>0</v>
      </c>
      <c r="AE33" s="308">
        <v>0</v>
      </c>
      <c r="AF33" s="819">
        <f t="shared" ca="1" si="5"/>
        <v>0</v>
      </c>
      <c r="AG33" s="308">
        <v>0</v>
      </c>
      <c r="AH33" s="308">
        <v>0</v>
      </c>
      <c r="AI33" s="308">
        <v>0</v>
      </c>
      <c r="AJ33" s="308">
        <f t="shared" ca="1" si="6"/>
        <v>0</v>
      </c>
      <c r="AK33" s="309">
        <v>0</v>
      </c>
      <c r="AL33" s="309">
        <v>0</v>
      </c>
      <c r="AM33" s="309">
        <f t="shared" si="19"/>
        <v>0</v>
      </c>
      <c r="AN33" s="310">
        <v>0</v>
      </c>
      <c r="AO33" s="310">
        <f t="shared" si="26"/>
        <v>0</v>
      </c>
      <c r="AP33" s="310">
        <f t="shared" si="20"/>
        <v>0</v>
      </c>
      <c r="AQ33" s="309">
        <v>0</v>
      </c>
      <c r="AR33" s="311">
        <f t="shared" ca="1" si="7"/>
        <v>0</v>
      </c>
      <c r="AS33" s="870">
        <f t="shared" ca="1" si="21"/>
        <v>0</v>
      </c>
      <c r="AT33" s="822"/>
      <c r="AU33" s="878"/>
      <c r="AV33" s="35"/>
      <c r="AW33" s="879"/>
      <c r="AX33" s="35"/>
      <c r="AY33" s="880"/>
      <c r="BA33" s="123">
        <f ca="1">IF($D$3="WasteReduction",WasteReduction!BE33,'GHG Emissions'!Q26)</f>
        <v>2597.3884525596791</v>
      </c>
      <c r="BB33" s="923">
        <f t="shared" si="27"/>
        <v>0</v>
      </c>
      <c r="BC33" s="259">
        <f t="shared" ca="1" si="22"/>
        <v>0</v>
      </c>
      <c r="BD33" s="123">
        <f t="shared" ca="1" si="23"/>
        <v>2597.3884525596791</v>
      </c>
    </row>
    <row r="34" spans="1:56">
      <c r="A34" s="303">
        <v>2025</v>
      </c>
      <c r="B34" s="304">
        <f ca="1">IF($D$3="BAU",UtilityDemand!C27,INDIRECT($D$3&amp;"!B"&amp;ROW(A34))+INDIRECT($D$3&amp;"!D"&amp;ROW(A34)))</f>
        <v>156440.98242924322</v>
      </c>
      <c r="C34" s="305">
        <v>0</v>
      </c>
      <c r="D34" s="306">
        <f t="shared" ca="1" si="8"/>
        <v>0</v>
      </c>
      <c r="E34" s="304">
        <f ca="1">IF($D$3="BAU",UtilityDemand!E27,INDIRECT($D$3&amp;"!E"&amp;ROW(D34))+INDIRECT($D$3&amp;"!G"&amp;ROW(D34)))</f>
        <v>833808.46618363715</v>
      </c>
      <c r="F34" s="305">
        <v>0</v>
      </c>
      <c r="G34" s="306">
        <f t="shared" ca="1" si="9"/>
        <v>0</v>
      </c>
      <c r="H34" s="304">
        <f ca="1">IF($D$3="BAU",UtilityDemand!G27,INDIRECT($D$3&amp;"!H"&amp;ROW(G34))+INDIRECT($D$3&amp;"!J"&amp;ROW(G34)))</f>
        <v>231298.6061736964</v>
      </c>
      <c r="I34" s="305">
        <v>0</v>
      </c>
      <c r="J34" s="306">
        <f t="shared" ca="1" si="24"/>
        <v>0</v>
      </c>
      <c r="K34" s="307">
        <f t="shared" ca="1" si="10"/>
        <v>156440.98242924322</v>
      </c>
      <c r="L34" s="307">
        <f t="shared" si="11"/>
        <v>0</v>
      </c>
      <c r="M34" s="307">
        <v>0</v>
      </c>
      <c r="N34" s="307">
        <f t="shared" ca="1" si="12"/>
        <v>156440.98242924322</v>
      </c>
      <c r="O34" s="306">
        <f t="shared" ca="1" si="13"/>
        <v>833808.46618363715</v>
      </c>
      <c r="P34" s="306">
        <f t="shared" si="14"/>
        <v>0</v>
      </c>
      <c r="Q34" s="306">
        <v>0</v>
      </c>
      <c r="R34" s="306">
        <f t="shared" ca="1" si="15"/>
        <v>833808.46618363715</v>
      </c>
      <c r="S34" s="818">
        <f t="shared" ca="1" si="16"/>
        <v>231298.6061736964</v>
      </c>
      <c r="T34" s="818">
        <f t="shared" si="17"/>
        <v>0</v>
      </c>
      <c r="U34" s="818">
        <v>0</v>
      </c>
      <c r="V34" s="818">
        <f t="shared" ca="1" si="18"/>
        <v>231298.6061736964</v>
      </c>
      <c r="W34" s="306">
        <f t="shared" si="1"/>
        <v>0</v>
      </c>
      <c r="X34" s="306">
        <f t="shared" ca="1" si="2"/>
        <v>0</v>
      </c>
      <c r="Y34" s="306">
        <v>0</v>
      </c>
      <c r="Z34" s="926">
        <f t="shared" ca="1" si="25"/>
        <v>0</v>
      </c>
      <c r="AA34" s="308">
        <f ca="1">-SUM(W34,X34/OFFSET(GridFootprintbyYear,$A34-$A$19,0)*EF_PurchElec_MTperMWh,Z34)*OFFSET(ExposureCalculations!Price_GHG_Allowance_2010,A34-$A$19,0)*ExposureCalculations!D31</f>
        <v>0</v>
      </c>
      <c r="AB34" s="308">
        <f t="shared" ca="1" si="3"/>
        <v>0</v>
      </c>
      <c r="AC34" s="308">
        <v>0</v>
      </c>
      <c r="AD34" s="819">
        <f t="shared" ca="1" si="4"/>
        <v>0</v>
      </c>
      <c r="AE34" s="308">
        <v>0</v>
      </c>
      <c r="AF34" s="819">
        <f t="shared" ca="1" si="5"/>
        <v>0</v>
      </c>
      <c r="AG34" s="308">
        <v>0</v>
      </c>
      <c r="AH34" s="308">
        <v>0</v>
      </c>
      <c r="AI34" s="308">
        <v>0</v>
      </c>
      <c r="AJ34" s="308">
        <f t="shared" ca="1" si="6"/>
        <v>0</v>
      </c>
      <c r="AK34" s="309">
        <v>0</v>
      </c>
      <c r="AL34" s="309">
        <v>0</v>
      </c>
      <c r="AM34" s="309">
        <f t="shared" si="19"/>
        <v>0</v>
      </c>
      <c r="AN34" s="310">
        <v>0</v>
      </c>
      <c r="AO34" s="310">
        <f t="shared" si="26"/>
        <v>0</v>
      </c>
      <c r="AP34" s="310">
        <f t="shared" si="20"/>
        <v>0</v>
      </c>
      <c r="AQ34" s="309">
        <v>0</v>
      </c>
      <c r="AR34" s="311">
        <f t="shared" ca="1" si="7"/>
        <v>0</v>
      </c>
      <c r="AS34" s="870">
        <f t="shared" ca="1" si="21"/>
        <v>0</v>
      </c>
      <c r="AT34" s="822"/>
      <c r="AU34" s="878"/>
      <c r="AV34" s="35"/>
      <c r="AW34" s="879"/>
      <c r="AX34" s="35"/>
      <c r="AY34" s="880"/>
      <c r="BA34" s="123">
        <f ca="1">IF($D$3="WasteReduction",WasteReduction!BE34,'GHG Emissions'!Q27)</f>
        <v>2599.8860647322858</v>
      </c>
      <c r="BB34" s="923">
        <f t="shared" si="27"/>
        <v>0</v>
      </c>
      <c r="BC34" s="259">
        <f t="shared" ca="1" si="22"/>
        <v>0</v>
      </c>
      <c r="BD34" s="123">
        <f t="shared" ca="1" si="23"/>
        <v>2599.8860647322858</v>
      </c>
    </row>
    <row r="35" spans="1:56">
      <c r="A35" s="303">
        <v>2026</v>
      </c>
      <c r="B35" s="304">
        <f ca="1">IF($D$3="BAU",UtilityDemand!C28,INDIRECT($D$3&amp;"!B"&amp;ROW(A35))+INDIRECT($D$3&amp;"!D"&amp;ROW(A35)))</f>
        <v>158017.60803009526</v>
      </c>
      <c r="C35" s="305">
        <v>0</v>
      </c>
      <c r="D35" s="306">
        <f t="shared" ca="1" si="8"/>
        <v>0</v>
      </c>
      <c r="E35" s="304">
        <f ca="1">IF($D$3="BAU",UtilityDemand!E28,INDIRECT($D$3&amp;"!E"&amp;ROW(D35))+INDIRECT($D$3&amp;"!G"&amp;ROW(D35)))</f>
        <v>842195.06531331246</v>
      </c>
      <c r="F35" s="305">
        <v>0</v>
      </c>
      <c r="G35" s="306">
        <f t="shared" ca="1" si="9"/>
        <v>0</v>
      </c>
      <c r="H35" s="304">
        <f ca="1">IF($D$3="BAU",UtilityDemand!G28,INDIRECT($D$3&amp;"!H"&amp;ROW(G35))+INDIRECT($D$3&amp;"!J"&amp;ROW(G35)))</f>
        <v>234363.14073630009</v>
      </c>
      <c r="I35" s="305">
        <v>0</v>
      </c>
      <c r="J35" s="306">
        <f t="shared" ca="1" si="24"/>
        <v>0</v>
      </c>
      <c r="K35" s="307">
        <f t="shared" ca="1" si="10"/>
        <v>158017.60803009526</v>
      </c>
      <c r="L35" s="307">
        <f t="shared" si="11"/>
        <v>0</v>
      </c>
      <c r="M35" s="307">
        <v>0</v>
      </c>
      <c r="N35" s="307">
        <f t="shared" ca="1" si="12"/>
        <v>158017.60803009526</v>
      </c>
      <c r="O35" s="306">
        <f t="shared" ca="1" si="13"/>
        <v>842195.06531331246</v>
      </c>
      <c r="P35" s="306">
        <f t="shared" si="14"/>
        <v>0</v>
      </c>
      <c r="Q35" s="306">
        <v>0</v>
      </c>
      <c r="R35" s="306">
        <f t="shared" ca="1" si="15"/>
        <v>842195.06531331246</v>
      </c>
      <c r="S35" s="818">
        <f t="shared" ca="1" si="16"/>
        <v>234363.14073630009</v>
      </c>
      <c r="T35" s="818">
        <f t="shared" si="17"/>
        <v>0</v>
      </c>
      <c r="U35" s="818">
        <v>0</v>
      </c>
      <c r="V35" s="818">
        <f t="shared" ca="1" si="18"/>
        <v>234363.14073630009</v>
      </c>
      <c r="W35" s="306">
        <f t="shared" si="1"/>
        <v>0</v>
      </c>
      <c r="X35" s="306">
        <f t="shared" ca="1" si="2"/>
        <v>0</v>
      </c>
      <c r="Y35" s="306">
        <v>0</v>
      </c>
      <c r="Z35" s="926">
        <f t="shared" ca="1" si="25"/>
        <v>0</v>
      </c>
      <c r="AA35" s="308">
        <f ca="1">-SUM(W35,X35/OFFSET(GridFootprintbyYear,$A35-$A$19,0)*EF_PurchElec_MTperMWh,Z35)*OFFSET(ExposureCalculations!Price_GHG_Allowance_2010,A35-$A$19,0)*ExposureCalculations!D32</f>
        <v>0</v>
      </c>
      <c r="AB35" s="308">
        <f t="shared" ca="1" si="3"/>
        <v>0</v>
      </c>
      <c r="AC35" s="308">
        <v>0</v>
      </c>
      <c r="AD35" s="819">
        <f t="shared" ca="1" si="4"/>
        <v>0</v>
      </c>
      <c r="AE35" s="308">
        <v>0</v>
      </c>
      <c r="AF35" s="819">
        <f t="shared" ca="1" si="5"/>
        <v>0</v>
      </c>
      <c r="AG35" s="308">
        <v>0</v>
      </c>
      <c r="AH35" s="308">
        <v>0</v>
      </c>
      <c r="AI35" s="308">
        <v>0</v>
      </c>
      <c r="AJ35" s="308">
        <f t="shared" ca="1" si="6"/>
        <v>0</v>
      </c>
      <c r="AK35" s="309">
        <v>0</v>
      </c>
      <c r="AL35" s="309">
        <v>0</v>
      </c>
      <c r="AM35" s="309">
        <f t="shared" si="19"/>
        <v>0</v>
      </c>
      <c r="AN35" s="310">
        <v>0</v>
      </c>
      <c r="AO35" s="310">
        <f t="shared" si="26"/>
        <v>0</v>
      </c>
      <c r="AP35" s="310">
        <f t="shared" si="20"/>
        <v>0</v>
      </c>
      <c r="AQ35" s="309">
        <v>0</v>
      </c>
      <c r="AR35" s="311">
        <f t="shared" ca="1" si="7"/>
        <v>0</v>
      </c>
      <c r="AS35" s="870">
        <f t="shared" ca="1" si="21"/>
        <v>0</v>
      </c>
      <c r="AT35" s="822"/>
      <c r="AU35" s="878"/>
      <c r="AV35" s="35"/>
      <c r="AW35" s="879"/>
      <c r="AX35" s="35"/>
      <c r="AY35" s="880"/>
      <c r="BA35" s="123">
        <f ca="1">IF($D$3="WasteReduction",WasteReduction!BE35,'GHG Emissions'!Q28)</f>
        <v>2602.3067717803633</v>
      </c>
      <c r="BB35" s="923">
        <f t="shared" si="27"/>
        <v>0</v>
      </c>
      <c r="BC35" s="259">
        <f t="shared" ca="1" si="22"/>
        <v>0</v>
      </c>
      <c r="BD35" s="123">
        <f t="shared" ca="1" si="23"/>
        <v>2602.3067717803633</v>
      </c>
    </row>
    <row r="36" spans="1:56">
      <c r="A36" s="303">
        <v>2027</v>
      </c>
      <c r="B36" s="304">
        <f ca="1">IF($D$3="BAU",UtilityDemand!C29,INDIRECT($D$3&amp;"!B"&amp;ROW(A36))+INDIRECT($D$3&amp;"!D"&amp;ROW(A36)))</f>
        <v>159594.23363094722</v>
      </c>
      <c r="C36" s="305">
        <v>0</v>
      </c>
      <c r="D36" s="306">
        <f t="shared" ca="1" si="8"/>
        <v>0</v>
      </c>
      <c r="E36" s="304">
        <f ca="1">IF($D$3="BAU",UtilityDemand!E29,INDIRECT($D$3&amp;"!E"&amp;ROW(D36))+INDIRECT($D$3&amp;"!G"&amp;ROW(D36)))</f>
        <v>850581.66444298776</v>
      </c>
      <c r="F36" s="305">
        <v>0</v>
      </c>
      <c r="G36" s="306">
        <f t="shared" ca="1" si="9"/>
        <v>0</v>
      </c>
      <c r="H36" s="304">
        <f ca="1">IF($D$3="BAU",UtilityDemand!G29,INDIRECT($D$3&amp;"!H"&amp;ROW(G36))+INDIRECT($D$3&amp;"!J"&amp;ROW(G36)))</f>
        <v>237427.67529890378</v>
      </c>
      <c r="I36" s="305">
        <v>0</v>
      </c>
      <c r="J36" s="306">
        <f t="shared" ca="1" si="24"/>
        <v>0</v>
      </c>
      <c r="K36" s="307">
        <f t="shared" ca="1" si="10"/>
        <v>159594.23363094722</v>
      </c>
      <c r="L36" s="307">
        <f t="shared" si="11"/>
        <v>0</v>
      </c>
      <c r="M36" s="307">
        <v>0</v>
      </c>
      <c r="N36" s="307">
        <f t="shared" ca="1" si="12"/>
        <v>159594.23363094722</v>
      </c>
      <c r="O36" s="306">
        <f t="shared" ca="1" si="13"/>
        <v>850581.66444298776</v>
      </c>
      <c r="P36" s="306">
        <f t="shared" si="14"/>
        <v>0</v>
      </c>
      <c r="Q36" s="306">
        <v>0</v>
      </c>
      <c r="R36" s="306">
        <f t="shared" ca="1" si="15"/>
        <v>850581.66444298776</v>
      </c>
      <c r="S36" s="818">
        <f t="shared" ca="1" si="16"/>
        <v>237427.67529890378</v>
      </c>
      <c r="T36" s="818">
        <f t="shared" si="17"/>
        <v>0</v>
      </c>
      <c r="U36" s="818">
        <v>0</v>
      </c>
      <c r="V36" s="818">
        <f t="shared" ca="1" si="18"/>
        <v>237427.67529890378</v>
      </c>
      <c r="W36" s="306">
        <f t="shared" si="1"/>
        <v>0</v>
      </c>
      <c r="X36" s="306">
        <f t="shared" ca="1" si="2"/>
        <v>0</v>
      </c>
      <c r="Y36" s="306">
        <v>0</v>
      </c>
      <c r="Z36" s="926">
        <f t="shared" ca="1" si="25"/>
        <v>0</v>
      </c>
      <c r="AA36" s="308">
        <f ca="1">-SUM(W36,X36/OFFSET(GridFootprintbyYear,$A36-$A$19,0)*EF_PurchElec_MTperMWh,Z36)*OFFSET(ExposureCalculations!Price_GHG_Allowance_2010,A36-$A$19,0)*ExposureCalculations!D33</f>
        <v>0</v>
      </c>
      <c r="AB36" s="308">
        <f t="shared" ca="1" si="3"/>
        <v>0</v>
      </c>
      <c r="AC36" s="308">
        <v>0</v>
      </c>
      <c r="AD36" s="819">
        <f t="shared" ca="1" si="4"/>
        <v>0</v>
      </c>
      <c r="AE36" s="308">
        <v>0</v>
      </c>
      <c r="AF36" s="819">
        <f t="shared" ca="1" si="5"/>
        <v>0</v>
      </c>
      <c r="AG36" s="308">
        <v>0</v>
      </c>
      <c r="AH36" s="308">
        <v>0</v>
      </c>
      <c r="AI36" s="308">
        <v>0</v>
      </c>
      <c r="AJ36" s="308">
        <f t="shared" ca="1" si="6"/>
        <v>0</v>
      </c>
      <c r="AK36" s="309">
        <v>0</v>
      </c>
      <c r="AL36" s="309">
        <v>0</v>
      </c>
      <c r="AM36" s="309">
        <f t="shared" si="19"/>
        <v>0</v>
      </c>
      <c r="AN36" s="310">
        <v>0</v>
      </c>
      <c r="AO36" s="310">
        <f t="shared" si="26"/>
        <v>0</v>
      </c>
      <c r="AP36" s="310">
        <f t="shared" si="20"/>
        <v>0</v>
      </c>
      <c r="AQ36" s="309">
        <v>0</v>
      </c>
      <c r="AR36" s="311">
        <f t="shared" ca="1" si="7"/>
        <v>0</v>
      </c>
      <c r="AS36" s="870">
        <f t="shared" ca="1" si="21"/>
        <v>0</v>
      </c>
      <c r="AT36" s="822"/>
      <c r="AU36" s="878"/>
      <c r="AV36" s="35"/>
      <c r="AW36" s="879"/>
      <c r="AX36" s="35"/>
      <c r="AY36" s="880"/>
      <c r="BA36" s="123">
        <f ca="1">IF($D$3="WasteReduction",WasteReduction!BE36,'GHG Emissions'!Q29)</f>
        <v>2604.6572684730822</v>
      </c>
      <c r="BB36" s="923">
        <f t="shared" si="27"/>
        <v>0</v>
      </c>
      <c r="BC36" s="259">
        <f t="shared" ca="1" si="22"/>
        <v>0</v>
      </c>
      <c r="BD36" s="123">
        <f t="shared" ca="1" si="23"/>
        <v>2604.6572684730822</v>
      </c>
    </row>
    <row r="37" spans="1:56">
      <c r="A37" s="303">
        <v>2028</v>
      </c>
      <c r="B37" s="304">
        <f ca="1">IF($D$3="BAU",UtilityDemand!C30,INDIRECT($D$3&amp;"!B"&amp;ROW(A37))+INDIRECT($D$3&amp;"!D"&amp;ROW(A37)))</f>
        <v>161170.85923179929</v>
      </c>
      <c r="C37" s="305">
        <v>0</v>
      </c>
      <c r="D37" s="306">
        <f t="shared" ca="1" si="8"/>
        <v>0</v>
      </c>
      <c r="E37" s="304">
        <f ca="1">IF($D$3="BAU",UtilityDemand!E30,INDIRECT($D$3&amp;"!E"&amp;ROW(D37))+INDIRECT($D$3&amp;"!G"&amp;ROW(D37)))</f>
        <v>858968.26357266307</v>
      </c>
      <c r="F37" s="305">
        <v>0</v>
      </c>
      <c r="G37" s="306">
        <f t="shared" ca="1" si="9"/>
        <v>0</v>
      </c>
      <c r="H37" s="304">
        <f ca="1">IF($D$3="BAU",UtilityDemand!G30,INDIRECT($D$3&amp;"!H"&amp;ROW(G37))+INDIRECT($D$3&amp;"!J"&amp;ROW(G37)))</f>
        <v>240492.20986150744</v>
      </c>
      <c r="I37" s="305">
        <v>0</v>
      </c>
      <c r="J37" s="306">
        <f t="shared" ca="1" si="24"/>
        <v>0</v>
      </c>
      <c r="K37" s="307">
        <f t="shared" ca="1" si="10"/>
        <v>161170.85923179929</v>
      </c>
      <c r="L37" s="307">
        <f t="shared" si="11"/>
        <v>0</v>
      </c>
      <c r="M37" s="307">
        <v>0</v>
      </c>
      <c r="N37" s="307">
        <f t="shared" ca="1" si="12"/>
        <v>161170.85923179929</v>
      </c>
      <c r="O37" s="306">
        <f t="shared" ca="1" si="13"/>
        <v>858968.26357266307</v>
      </c>
      <c r="P37" s="306">
        <f t="shared" si="14"/>
        <v>0</v>
      </c>
      <c r="Q37" s="306">
        <v>0</v>
      </c>
      <c r="R37" s="306">
        <f t="shared" ca="1" si="15"/>
        <v>858968.26357266307</v>
      </c>
      <c r="S37" s="818">
        <f t="shared" ca="1" si="16"/>
        <v>240492.20986150744</v>
      </c>
      <c r="T37" s="818">
        <f t="shared" si="17"/>
        <v>0</v>
      </c>
      <c r="U37" s="818">
        <v>0</v>
      </c>
      <c r="V37" s="818">
        <f t="shared" ca="1" si="18"/>
        <v>240492.20986150744</v>
      </c>
      <c r="W37" s="306">
        <f t="shared" si="1"/>
        <v>0</v>
      </c>
      <c r="X37" s="306">
        <f t="shared" ca="1" si="2"/>
        <v>0</v>
      </c>
      <c r="Y37" s="306">
        <v>0</v>
      </c>
      <c r="Z37" s="926">
        <f t="shared" ca="1" si="25"/>
        <v>0</v>
      </c>
      <c r="AA37" s="308">
        <f ca="1">-SUM(W37,X37/OFFSET(GridFootprintbyYear,$A37-$A$19,0)*EF_PurchElec_MTperMWh,Z37)*OFFSET(ExposureCalculations!Price_GHG_Allowance_2010,A37-$A$19,0)*ExposureCalculations!D34</f>
        <v>0</v>
      </c>
      <c r="AB37" s="308">
        <f t="shared" ca="1" si="3"/>
        <v>0</v>
      </c>
      <c r="AC37" s="308">
        <v>0</v>
      </c>
      <c r="AD37" s="819">
        <f t="shared" ca="1" si="4"/>
        <v>0</v>
      </c>
      <c r="AE37" s="308">
        <v>0</v>
      </c>
      <c r="AF37" s="819">
        <f t="shared" ca="1" si="5"/>
        <v>0</v>
      </c>
      <c r="AG37" s="308">
        <v>0</v>
      </c>
      <c r="AH37" s="308">
        <v>0</v>
      </c>
      <c r="AI37" s="308">
        <v>0</v>
      </c>
      <c r="AJ37" s="308">
        <f t="shared" ca="1" si="6"/>
        <v>0</v>
      </c>
      <c r="AK37" s="309">
        <v>0</v>
      </c>
      <c r="AL37" s="309">
        <v>0</v>
      </c>
      <c r="AM37" s="309">
        <f t="shared" si="19"/>
        <v>0</v>
      </c>
      <c r="AN37" s="310">
        <v>0</v>
      </c>
      <c r="AO37" s="310">
        <f t="shared" si="26"/>
        <v>0</v>
      </c>
      <c r="AP37" s="310">
        <f t="shared" si="20"/>
        <v>0</v>
      </c>
      <c r="AQ37" s="309">
        <v>0</v>
      </c>
      <c r="AR37" s="311">
        <f t="shared" ca="1" si="7"/>
        <v>0</v>
      </c>
      <c r="AS37" s="870">
        <f t="shared" ca="1" si="21"/>
        <v>0</v>
      </c>
      <c r="AT37" s="822"/>
      <c r="AU37" s="878"/>
      <c r="AV37" s="35"/>
      <c r="AW37" s="879"/>
      <c r="AX37" s="35"/>
      <c r="AY37" s="880"/>
      <c r="BA37" s="123">
        <f ca="1">IF($D$3="WasteReduction",WasteReduction!BE37,'GHG Emissions'!Q30)</f>
        <v>2606.9433311879625</v>
      </c>
      <c r="BB37" s="923">
        <f t="shared" si="27"/>
        <v>0</v>
      </c>
      <c r="BC37" s="259">
        <f t="shared" ca="1" si="22"/>
        <v>0</v>
      </c>
      <c r="BD37" s="123">
        <f t="shared" ca="1" si="23"/>
        <v>2606.9433311879625</v>
      </c>
    </row>
    <row r="38" spans="1:56">
      <c r="A38" s="303">
        <v>2029</v>
      </c>
      <c r="B38" s="304">
        <f ca="1">IF($D$3="BAU",UtilityDemand!C31,INDIRECT($D$3&amp;"!B"&amp;ROW(A38))+INDIRECT($D$3&amp;"!D"&amp;ROW(A38)))</f>
        <v>162747.48483265133</v>
      </c>
      <c r="C38" s="305">
        <v>0</v>
      </c>
      <c r="D38" s="306">
        <f t="shared" ca="1" si="8"/>
        <v>0</v>
      </c>
      <c r="E38" s="304">
        <f ca="1">IF($D$3="BAU",UtilityDemand!E31,INDIRECT($D$3&amp;"!E"&amp;ROW(D38))+INDIRECT($D$3&amp;"!G"&amp;ROW(D38)))</f>
        <v>867354.86270233872</v>
      </c>
      <c r="F38" s="305">
        <v>0</v>
      </c>
      <c r="G38" s="306">
        <f t="shared" ca="1" si="9"/>
        <v>0</v>
      </c>
      <c r="H38" s="304">
        <f ca="1">IF($D$3="BAU",UtilityDemand!G31,INDIRECT($D$3&amp;"!H"&amp;ROW(G38))+INDIRECT($D$3&amp;"!J"&amp;ROW(G38)))</f>
        <v>243556.74442411118</v>
      </c>
      <c r="I38" s="305">
        <v>0</v>
      </c>
      <c r="J38" s="306">
        <f t="shared" ca="1" si="24"/>
        <v>0</v>
      </c>
      <c r="K38" s="307">
        <f t="shared" ca="1" si="10"/>
        <v>162747.48483265133</v>
      </c>
      <c r="L38" s="307">
        <f t="shared" si="11"/>
        <v>0</v>
      </c>
      <c r="M38" s="307">
        <v>0</v>
      </c>
      <c r="N38" s="307">
        <f t="shared" ca="1" si="12"/>
        <v>162747.48483265133</v>
      </c>
      <c r="O38" s="306">
        <f t="shared" ca="1" si="13"/>
        <v>867354.86270233872</v>
      </c>
      <c r="P38" s="306">
        <f t="shared" si="14"/>
        <v>0</v>
      </c>
      <c r="Q38" s="306">
        <v>0</v>
      </c>
      <c r="R38" s="306">
        <f t="shared" ca="1" si="15"/>
        <v>867354.86270233872</v>
      </c>
      <c r="S38" s="818">
        <f t="shared" ca="1" si="16"/>
        <v>243556.74442411118</v>
      </c>
      <c r="T38" s="818">
        <f t="shared" si="17"/>
        <v>0</v>
      </c>
      <c r="U38" s="818">
        <v>0</v>
      </c>
      <c r="V38" s="818">
        <f t="shared" ca="1" si="18"/>
        <v>243556.74442411118</v>
      </c>
      <c r="W38" s="306">
        <f t="shared" si="1"/>
        <v>0</v>
      </c>
      <c r="X38" s="306">
        <f t="shared" ca="1" si="2"/>
        <v>0</v>
      </c>
      <c r="Y38" s="306">
        <v>0</v>
      </c>
      <c r="Z38" s="926">
        <f t="shared" ca="1" si="25"/>
        <v>0</v>
      </c>
      <c r="AA38" s="308">
        <f ca="1">-SUM(W38,X38/OFFSET(GridFootprintbyYear,$A38-$A$19,0)*EF_PurchElec_MTperMWh,Z38)*OFFSET(ExposureCalculations!Price_GHG_Allowance_2010,A38-$A$19,0)*ExposureCalculations!D35</f>
        <v>0</v>
      </c>
      <c r="AB38" s="308">
        <f t="shared" ca="1" si="3"/>
        <v>0</v>
      </c>
      <c r="AC38" s="308">
        <v>0</v>
      </c>
      <c r="AD38" s="819">
        <f t="shared" ca="1" si="4"/>
        <v>0</v>
      </c>
      <c r="AE38" s="308">
        <v>0</v>
      </c>
      <c r="AF38" s="819">
        <f t="shared" ca="1" si="5"/>
        <v>0</v>
      </c>
      <c r="AG38" s="308">
        <v>0</v>
      </c>
      <c r="AH38" s="308">
        <v>0</v>
      </c>
      <c r="AI38" s="308">
        <v>0</v>
      </c>
      <c r="AJ38" s="308">
        <f t="shared" ca="1" si="6"/>
        <v>0</v>
      </c>
      <c r="AK38" s="309">
        <v>0</v>
      </c>
      <c r="AL38" s="309">
        <v>0</v>
      </c>
      <c r="AM38" s="309">
        <f t="shared" si="19"/>
        <v>0</v>
      </c>
      <c r="AN38" s="310">
        <v>0</v>
      </c>
      <c r="AO38" s="310">
        <f t="shared" si="26"/>
        <v>0</v>
      </c>
      <c r="AP38" s="310">
        <f t="shared" si="20"/>
        <v>0</v>
      </c>
      <c r="AQ38" s="309">
        <v>0</v>
      </c>
      <c r="AR38" s="311">
        <f t="shared" ca="1" si="7"/>
        <v>0</v>
      </c>
      <c r="AS38" s="870">
        <f t="shared" ca="1" si="21"/>
        <v>0</v>
      </c>
      <c r="AT38" s="822"/>
      <c r="AU38" s="878"/>
      <c r="AV38" s="35"/>
      <c r="AW38" s="879"/>
      <c r="AX38" s="35"/>
      <c r="AY38" s="880"/>
      <c r="BA38" s="123">
        <f ca="1">IF($D$3="WasteReduction",WasteReduction!BE38,'GHG Emissions'!Q31)</f>
        <v>2609.1699851720232</v>
      </c>
      <c r="BB38" s="923">
        <f t="shared" si="27"/>
        <v>0</v>
      </c>
      <c r="BC38" s="259">
        <f t="shared" ca="1" si="22"/>
        <v>0</v>
      </c>
      <c r="BD38" s="123">
        <f t="shared" ca="1" si="23"/>
        <v>2609.1699851720232</v>
      </c>
    </row>
    <row r="39" spans="1:56">
      <c r="A39" s="303">
        <v>2030</v>
      </c>
      <c r="B39" s="304">
        <f ca="1">IF($D$3="BAU",UtilityDemand!C32,INDIRECT($D$3&amp;"!B"&amp;ROW(A39))+INDIRECT($D$3&amp;"!D"&amp;ROW(A39)))</f>
        <v>164324.11043350337</v>
      </c>
      <c r="C39" s="305">
        <v>0</v>
      </c>
      <c r="D39" s="306">
        <f t="shared" ca="1" si="8"/>
        <v>0</v>
      </c>
      <c r="E39" s="304">
        <f ca="1">IF($D$3="BAU",UtilityDemand!E32,INDIRECT($D$3&amp;"!E"&amp;ROW(D39))+INDIRECT($D$3&amp;"!G"&amp;ROW(D39)))</f>
        <v>875741.46183201415</v>
      </c>
      <c r="F39" s="305">
        <v>0</v>
      </c>
      <c r="G39" s="306">
        <f t="shared" ca="1" si="9"/>
        <v>0</v>
      </c>
      <c r="H39" s="304">
        <f ca="1">IF($D$3="BAU",UtilityDemand!G32,INDIRECT($D$3&amp;"!H"&amp;ROW(G39))+INDIRECT($D$3&amp;"!J"&amp;ROW(G39)))</f>
        <v>246621.27898671487</v>
      </c>
      <c r="I39" s="305">
        <v>0</v>
      </c>
      <c r="J39" s="306">
        <f t="shared" ca="1" si="24"/>
        <v>0</v>
      </c>
      <c r="K39" s="307">
        <f t="shared" ca="1" si="10"/>
        <v>164324.11043350337</v>
      </c>
      <c r="L39" s="307">
        <f t="shared" si="11"/>
        <v>0</v>
      </c>
      <c r="M39" s="307">
        <v>0</v>
      </c>
      <c r="N39" s="307">
        <f t="shared" ca="1" si="12"/>
        <v>164324.11043350337</v>
      </c>
      <c r="O39" s="306">
        <f t="shared" ca="1" si="13"/>
        <v>875741.46183201415</v>
      </c>
      <c r="P39" s="306">
        <f t="shared" si="14"/>
        <v>0</v>
      </c>
      <c r="Q39" s="306">
        <v>0</v>
      </c>
      <c r="R39" s="306">
        <f t="shared" ca="1" si="15"/>
        <v>875741.46183201415</v>
      </c>
      <c r="S39" s="818">
        <f t="shared" ca="1" si="16"/>
        <v>246621.27898671487</v>
      </c>
      <c r="T39" s="818">
        <f t="shared" si="17"/>
        <v>0</v>
      </c>
      <c r="U39" s="818">
        <v>0</v>
      </c>
      <c r="V39" s="818">
        <f t="shared" ca="1" si="18"/>
        <v>246621.27898671487</v>
      </c>
      <c r="W39" s="306">
        <f t="shared" si="1"/>
        <v>0</v>
      </c>
      <c r="X39" s="306">
        <f t="shared" ca="1" si="2"/>
        <v>0</v>
      </c>
      <c r="Y39" s="306">
        <v>0</v>
      </c>
      <c r="Z39" s="926">
        <f t="shared" ca="1" si="25"/>
        <v>0</v>
      </c>
      <c r="AA39" s="308">
        <f ca="1">-SUM(W39,X39/OFFSET(GridFootprintbyYear,$A39-$A$19,0)*EF_PurchElec_MTperMWh,Z39)*OFFSET(ExposureCalculations!Price_GHG_Allowance_2010,A39-$A$19,0)*ExposureCalculations!D36</f>
        <v>0</v>
      </c>
      <c r="AB39" s="308">
        <f t="shared" ca="1" si="3"/>
        <v>0</v>
      </c>
      <c r="AC39" s="308">
        <v>0</v>
      </c>
      <c r="AD39" s="819">
        <f t="shared" ca="1" si="4"/>
        <v>0</v>
      </c>
      <c r="AE39" s="308">
        <v>0</v>
      </c>
      <c r="AF39" s="819">
        <f t="shared" ca="1" si="5"/>
        <v>0</v>
      </c>
      <c r="AG39" s="308">
        <v>0</v>
      </c>
      <c r="AH39" s="308">
        <v>0</v>
      </c>
      <c r="AI39" s="308">
        <v>0</v>
      </c>
      <c r="AJ39" s="308">
        <f t="shared" ca="1" si="6"/>
        <v>0</v>
      </c>
      <c r="AK39" s="309">
        <v>0</v>
      </c>
      <c r="AL39" s="309">
        <v>0</v>
      </c>
      <c r="AM39" s="309">
        <f t="shared" si="19"/>
        <v>0</v>
      </c>
      <c r="AN39" s="310">
        <v>0</v>
      </c>
      <c r="AO39" s="310">
        <f t="shared" si="26"/>
        <v>0</v>
      </c>
      <c r="AP39" s="310">
        <f t="shared" si="20"/>
        <v>0</v>
      </c>
      <c r="AQ39" s="309">
        <v>0</v>
      </c>
      <c r="AR39" s="311">
        <f t="shared" ca="1" si="7"/>
        <v>0</v>
      </c>
      <c r="AS39" s="870">
        <f t="shared" ca="1" si="21"/>
        <v>0</v>
      </c>
      <c r="AT39" s="822"/>
      <c r="AU39" s="878"/>
      <c r="AV39" s="35"/>
      <c r="AW39" s="879"/>
      <c r="AX39" s="35"/>
      <c r="AY39" s="880"/>
      <c r="BA39" s="123">
        <f ca="1">IF($D$3="WasteReduction",WasteReduction!BE39,'GHG Emissions'!Q32)</f>
        <v>2611.341634563013</v>
      </c>
      <c r="BB39" s="923">
        <f t="shared" si="27"/>
        <v>0</v>
      </c>
      <c r="BC39" s="259">
        <f t="shared" ca="1" si="22"/>
        <v>0</v>
      </c>
      <c r="BD39" s="123">
        <f t="shared" ca="1" si="23"/>
        <v>2611.341634563013</v>
      </c>
    </row>
    <row r="40" spans="1:56">
      <c r="A40" s="303">
        <v>2031</v>
      </c>
      <c r="B40" s="304">
        <f ca="1">IF($D$3="BAU",UtilityDemand!C33,INDIRECT($D$3&amp;"!B"&amp;ROW(A40))+INDIRECT($D$3&amp;"!D"&amp;ROW(A40)))</f>
        <v>165900.73603435536</v>
      </c>
      <c r="C40" s="305">
        <v>0</v>
      </c>
      <c r="D40" s="306">
        <f t="shared" ca="1" si="8"/>
        <v>0</v>
      </c>
      <c r="E40" s="304">
        <f ca="1">IF($D$3="BAU",UtilityDemand!E33,INDIRECT($D$3&amp;"!E"&amp;ROW(D40))+INDIRECT($D$3&amp;"!G"&amp;ROW(D40)))</f>
        <v>884128.06096168945</v>
      </c>
      <c r="F40" s="305">
        <v>0</v>
      </c>
      <c r="G40" s="306">
        <f t="shared" ca="1" si="9"/>
        <v>0</v>
      </c>
      <c r="H40" s="304">
        <f ca="1">IF($D$3="BAU",UtilityDemand!G33,INDIRECT($D$3&amp;"!H"&amp;ROW(G40))+INDIRECT($D$3&amp;"!J"&amp;ROW(G40)))</f>
        <v>249685.81354931853</v>
      </c>
      <c r="I40" s="305">
        <v>0</v>
      </c>
      <c r="J40" s="306">
        <f t="shared" ca="1" si="24"/>
        <v>0</v>
      </c>
      <c r="K40" s="307">
        <f t="shared" ca="1" si="10"/>
        <v>165900.73603435536</v>
      </c>
      <c r="L40" s="307">
        <f t="shared" si="11"/>
        <v>0</v>
      </c>
      <c r="M40" s="307">
        <v>0</v>
      </c>
      <c r="N40" s="307">
        <f t="shared" ca="1" si="12"/>
        <v>165900.73603435536</v>
      </c>
      <c r="O40" s="306">
        <f t="shared" ca="1" si="13"/>
        <v>884128.06096168945</v>
      </c>
      <c r="P40" s="306">
        <f t="shared" si="14"/>
        <v>0</v>
      </c>
      <c r="Q40" s="306">
        <v>0</v>
      </c>
      <c r="R40" s="306">
        <f t="shared" ca="1" si="15"/>
        <v>884128.06096168945</v>
      </c>
      <c r="S40" s="818">
        <f t="shared" ca="1" si="16"/>
        <v>249685.81354931853</v>
      </c>
      <c r="T40" s="818">
        <f t="shared" si="17"/>
        <v>0</v>
      </c>
      <c r="U40" s="818">
        <v>0</v>
      </c>
      <c r="V40" s="818">
        <f t="shared" ca="1" si="18"/>
        <v>249685.81354931853</v>
      </c>
      <c r="W40" s="306">
        <f t="shared" si="1"/>
        <v>0</v>
      </c>
      <c r="X40" s="306">
        <f t="shared" ca="1" si="2"/>
        <v>0</v>
      </c>
      <c r="Y40" s="306">
        <v>0</v>
      </c>
      <c r="Z40" s="926">
        <f t="shared" ca="1" si="25"/>
        <v>0</v>
      </c>
      <c r="AA40" s="308">
        <f ca="1">-SUM(W40,X40/OFFSET(GridFootprintbyYear,$A40-$A$19,0)*EF_PurchElec_MTperMWh,Z40)*OFFSET(ExposureCalculations!Price_GHG_Allowance_2010,A40-$A$19,0)*ExposureCalculations!D37</f>
        <v>0</v>
      </c>
      <c r="AB40" s="308">
        <f t="shared" ca="1" si="3"/>
        <v>0</v>
      </c>
      <c r="AC40" s="308">
        <v>0</v>
      </c>
      <c r="AD40" s="819">
        <f t="shared" ca="1" si="4"/>
        <v>0</v>
      </c>
      <c r="AE40" s="308">
        <v>0</v>
      </c>
      <c r="AF40" s="819">
        <f t="shared" ca="1" si="5"/>
        <v>0</v>
      </c>
      <c r="AG40" s="308">
        <v>0</v>
      </c>
      <c r="AH40" s="308">
        <v>0</v>
      </c>
      <c r="AI40" s="308">
        <v>0</v>
      </c>
      <c r="AJ40" s="308">
        <f t="shared" ca="1" si="6"/>
        <v>0</v>
      </c>
      <c r="AK40" s="309">
        <v>0</v>
      </c>
      <c r="AL40" s="309">
        <v>0</v>
      </c>
      <c r="AM40" s="309">
        <f t="shared" si="19"/>
        <v>0</v>
      </c>
      <c r="AN40" s="310">
        <v>0</v>
      </c>
      <c r="AO40" s="310">
        <f t="shared" si="26"/>
        <v>0</v>
      </c>
      <c r="AP40" s="310">
        <f t="shared" si="20"/>
        <v>0</v>
      </c>
      <c r="AQ40" s="309">
        <v>0</v>
      </c>
      <c r="AR40" s="311">
        <f t="shared" ca="1" si="7"/>
        <v>0</v>
      </c>
      <c r="AS40" s="870">
        <f t="shared" ca="1" si="21"/>
        <v>0</v>
      </c>
      <c r="AT40" s="822"/>
      <c r="AU40" s="878"/>
      <c r="AV40" s="35"/>
      <c r="AW40" s="879"/>
      <c r="AX40" s="35"/>
      <c r="AY40" s="880"/>
      <c r="BA40" s="123">
        <f ca="1">IF($D$3="WasteReduction",WasteReduction!BE40,'GHG Emissions'!Q33)</f>
        <v>2613.4621648294442</v>
      </c>
      <c r="BB40" s="923">
        <f t="shared" si="27"/>
        <v>0</v>
      </c>
      <c r="BC40" s="259">
        <f t="shared" ca="1" si="22"/>
        <v>0</v>
      </c>
      <c r="BD40" s="123">
        <f t="shared" ca="1" si="23"/>
        <v>2613.4621648294442</v>
      </c>
    </row>
    <row r="41" spans="1:56">
      <c r="A41" s="303">
        <v>2032</v>
      </c>
      <c r="B41" s="304">
        <f ca="1">IF($D$3="BAU",UtilityDemand!C34,INDIRECT($D$3&amp;"!B"&amp;ROW(A41))+INDIRECT($D$3&amp;"!D"&amp;ROW(A41)))</f>
        <v>167477.3616352074</v>
      </c>
      <c r="C41" s="305">
        <v>0</v>
      </c>
      <c r="D41" s="306">
        <f t="shared" ca="1" si="8"/>
        <v>0</v>
      </c>
      <c r="E41" s="304">
        <f ca="1">IF($D$3="BAU",UtilityDemand!E34,INDIRECT($D$3&amp;"!E"&amp;ROW(D41))+INDIRECT($D$3&amp;"!G"&amp;ROW(D41)))</f>
        <v>892514.66009136476</v>
      </c>
      <c r="F41" s="305">
        <v>0</v>
      </c>
      <c r="G41" s="306">
        <f t="shared" ca="1" si="9"/>
        <v>0</v>
      </c>
      <c r="H41" s="304">
        <f ca="1">IF($D$3="BAU",UtilityDemand!G34,INDIRECT($D$3&amp;"!H"&amp;ROW(G41))+INDIRECT($D$3&amp;"!J"&amp;ROW(G41)))</f>
        <v>252750.34811192221</v>
      </c>
      <c r="I41" s="305">
        <v>0</v>
      </c>
      <c r="J41" s="306">
        <f t="shared" ca="1" si="24"/>
        <v>0</v>
      </c>
      <c r="K41" s="307">
        <f t="shared" ca="1" si="10"/>
        <v>167477.3616352074</v>
      </c>
      <c r="L41" s="307">
        <f t="shared" si="11"/>
        <v>0</v>
      </c>
      <c r="M41" s="307">
        <v>0</v>
      </c>
      <c r="N41" s="307">
        <f t="shared" ca="1" si="12"/>
        <v>167477.3616352074</v>
      </c>
      <c r="O41" s="306">
        <f t="shared" ca="1" si="13"/>
        <v>892514.66009136476</v>
      </c>
      <c r="P41" s="306">
        <f t="shared" si="14"/>
        <v>0</v>
      </c>
      <c r="Q41" s="306">
        <v>0</v>
      </c>
      <c r="R41" s="306">
        <f t="shared" ca="1" si="15"/>
        <v>892514.66009136476</v>
      </c>
      <c r="S41" s="818">
        <f t="shared" ca="1" si="16"/>
        <v>252750.34811192221</v>
      </c>
      <c r="T41" s="818">
        <f t="shared" si="17"/>
        <v>0</v>
      </c>
      <c r="U41" s="818">
        <v>0</v>
      </c>
      <c r="V41" s="818">
        <f t="shared" ca="1" si="18"/>
        <v>252750.34811192221</v>
      </c>
      <c r="W41" s="306">
        <f t="shared" si="1"/>
        <v>0</v>
      </c>
      <c r="X41" s="306">
        <f t="shared" ca="1" si="2"/>
        <v>0</v>
      </c>
      <c r="Y41" s="306">
        <v>0</v>
      </c>
      <c r="Z41" s="926">
        <f t="shared" ca="1" si="25"/>
        <v>0</v>
      </c>
      <c r="AA41" s="308">
        <f ca="1">-SUM(W41,X41/OFFSET(GridFootprintbyYear,$A41-$A$19,0)*EF_PurchElec_MTperMWh,Z41)*OFFSET(ExposureCalculations!Price_GHG_Allowance_2010,A41-$A$19,0)*ExposureCalculations!D38</f>
        <v>0</v>
      </c>
      <c r="AB41" s="308">
        <f t="shared" ca="1" si="3"/>
        <v>0</v>
      </c>
      <c r="AC41" s="308">
        <v>0</v>
      </c>
      <c r="AD41" s="819">
        <f t="shared" ca="1" si="4"/>
        <v>0</v>
      </c>
      <c r="AE41" s="308">
        <v>0</v>
      </c>
      <c r="AF41" s="819">
        <f t="shared" ca="1" si="5"/>
        <v>0</v>
      </c>
      <c r="AG41" s="308">
        <v>0</v>
      </c>
      <c r="AH41" s="308">
        <v>0</v>
      </c>
      <c r="AI41" s="308">
        <v>0</v>
      </c>
      <c r="AJ41" s="308">
        <f t="shared" ca="1" si="6"/>
        <v>0</v>
      </c>
      <c r="AK41" s="309">
        <v>0</v>
      </c>
      <c r="AL41" s="309">
        <v>0</v>
      </c>
      <c r="AM41" s="309">
        <f t="shared" si="19"/>
        <v>0</v>
      </c>
      <c r="AN41" s="310">
        <v>0</v>
      </c>
      <c r="AO41" s="310">
        <f t="shared" si="26"/>
        <v>0</v>
      </c>
      <c r="AP41" s="310">
        <f t="shared" si="20"/>
        <v>0</v>
      </c>
      <c r="AQ41" s="309">
        <v>0</v>
      </c>
      <c r="AR41" s="311">
        <f t="shared" ca="1" si="7"/>
        <v>0</v>
      </c>
      <c r="AS41" s="870">
        <f t="shared" ca="1" si="21"/>
        <v>0</v>
      </c>
      <c r="AT41" s="822"/>
      <c r="AU41" s="878"/>
      <c r="AV41" s="35"/>
      <c r="AW41" s="879"/>
      <c r="AX41" s="35"/>
      <c r="AY41" s="880"/>
      <c r="BA41" s="123">
        <f ca="1">IF($D$3="WasteReduction",WasteReduction!BE41,'GHG Emissions'!Q34)</f>
        <v>2615.5350244601609</v>
      </c>
      <c r="BB41" s="923">
        <f t="shared" si="27"/>
        <v>0</v>
      </c>
      <c r="BC41" s="259">
        <f t="shared" ca="1" si="22"/>
        <v>0</v>
      </c>
      <c r="BD41" s="123">
        <f t="shared" ca="1" si="23"/>
        <v>2615.5350244601609</v>
      </c>
    </row>
    <row r="42" spans="1:56">
      <c r="A42" s="303">
        <v>2033</v>
      </c>
      <c r="B42" s="304">
        <f ca="1">IF($D$3="BAU",UtilityDemand!C35,INDIRECT($D$3&amp;"!B"&amp;ROW(A42))+INDIRECT($D$3&amp;"!D"&amp;ROW(A42)))</f>
        <v>169053.98723605942</v>
      </c>
      <c r="C42" s="305">
        <v>0</v>
      </c>
      <c r="D42" s="306">
        <f t="shared" ca="1" si="8"/>
        <v>0</v>
      </c>
      <c r="E42" s="304">
        <f ca="1">IF($D$3="BAU",UtilityDemand!E35,INDIRECT($D$3&amp;"!E"&amp;ROW(D42))+INDIRECT($D$3&amp;"!G"&amp;ROW(D42)))</f>
        <v>900901.25922104018</v>
      </c>
      <c r="F42" s="305">
        <v>0</v>
      </c>
      <c r="G42" s="306">
        <f t="shared" ca="1" si="9"/>
        <v>0</v>
      </c>
      <c r="H42" s="304">
        <f ca="1">IF($D$3="BAU",UtilityDemand!G35,INDIRECT($D$3&amp;"!H"&amp;ROW(G42))+INDIRECT($D$3&amp;"!J"&amp;ROW(G42)))</f>
        <v>255814.8826745259</v>
      </c>
      <c r="I42" s="305">
        <v>0</v>
      </c>
      <c r="J42" s="306">
        <f t="shared" ca="1" si="24"/>
        <v>0</v>
      </c>
      <c r="K42" s="307">
        <f t="shared" ca="1" si="10"/>
        <v>169053.98723605942</v>
      </c>
      <c r="L42" s="307">
        <f t="shared" si="11"/>
        <v>0</v>
      </c>
      <c r="M42" s="307">
        <v>0</v>
      </c>
      <c r="N42" s="307">
        <f t="shared" ca="1" si="12"/>
        <v>169053.98723605942</v>
      </c>
      <c r="O42" s="306">
        <f t="shared" ca="1" si="13"/>
        <v>900901.25922104018</v>
      </c>
      <c r="P42" s="306">
        <f t="shared" si="14"/>
        <v>0</v>
      </c>
      <c r="Q42" s="306">
        <v>0</v>
      </c>
      <c r="R42" s="306">
        <f t="shared" ca="1" si="15"/>
        <v>900901.25922104018</v>
      </c>
      <c r="S42" s="818">
        <f t="shared" ca="1" si="16"/>
        <v>255814.8826745259</v>
      </c>
      <c r="T42" s="818">
        <f t="shared" si="17"/>
        <v>0</v>
      </c>
      <c r="U42" s="818">
        <v>0</v>
      </c>
      <c r="V42" s="818">
        <f t="shared" ca="1" si="18"/>
        <v>255814.8826745259</v>
      </c>
      <c r="W42" s="306">
        <f t="shared" si="1"/>
        <v>0</v>
      </c>
      <c r="X42" s="306">
        <f t="shared" ca="1" si="2"/>
        <v>0</v>
      </c>
      <c r="Y42" s="306">
        <v>0</v>
      </c>
      <c r="Z42" s="926">
        <f t="shared" ca="1" si="25"/>
        <v>0</v>
      </c>
      <c r="AA42" s="308">
        <f ca="1">-SUM(W42,X42/OFFSET(GridFootprintbyYear,$A42-$A$19,0)*EF_PurchElec_MTperMWh,Z42)*OFFSET(ExposureCalculations!Price_GHG_Allowance_2010,A42-$A$19,0)*ExposureCalculations!D39</f>
        <v>0</v>
      </c>
      <c r="AB42" s="308">
        <f t="shared" ca="1" si="3"/>
        <v>0</v>
      </c>
      <c r="AC42" s="308">
        <v>0</v>
      </c>
      <c r="AD42" s="819">
        <f t="shared" ca="1" si="4"/>
        <v>0</v>
      </c>
      <c r="AE42" s="308">
        <v>0</v>
      </c>
      <c r="AF42" s="819">
        <f t="shared" ca="1" si="5"/>
        <v>0</v>
      </c>
      <c r="AG42" s="308">
        <v>0</v>
      </c>
      <c r="AH42" s="308">
        <v>0</v>
      </c>
      <c r="AI42" s="308">
        <v>0</v>
      </c>
      <c r="AJ42" s="308">
        <f t="shared" ca="1" si="6"/>
        <v>0</v>
      </c>
      <c r="AK42" s="309">
        <v>0</v>
      </c>
      <c r="AL42" s="309">
        <v>0</v>
      </c>
      <c r="AM42" s="309">
        <f t="shared" si="19"/>
        <v>0</v>
      </c>
      <c r="AN42" s="310">
        <v>0</v>
      </c>
      <c r="AO42" s="310">
        <f t="shared" si="26"/>
        <v>0</v>
      </c>
      <c r="AP42" s="310">
        <f t="shared" si="20"/>
        <v>0</v>
      </c>
      <c r="AQ42" s="309">
        <v>0</v>
      </c>
      <c r="AR42" s="311">
        <f t="shared" ca="1" si="7"/>
        <v>0</v>
      </c>
      <c r="AS42" s="870">
        <f t="shared" ca="1" si="21"/>
        <v>0</v>
      </c>
      <c r="AT42" s="822"/>
      <c r="AU42" s="878"/>
      <c r="AV42" s="35"/>
      <c r="AW42" s="879"/>
      <c r="AX42" s="35"/>
      <c r="AY42" s="880"/>
      <c r="BA42" s="123">
        <f ca="1">IF($D$3="WasteReduction",WasteReduction!BE42,'GHG Emissions'!Q35)</f>
        <v>2617.5632908206094</v>
      </c>
      <c r="BB42" s="923">
        <f t="shared" si="27"/>
        <v>0</v>
      </c>
      <c r="BC42" s="259">
        <f t="shared" ca="1" si="22"/>
        <v>0</v>
      </c>
      <c r="BD42" s="123">
        <f t="shared" ca="1" si="23"/>
        <v>2617.5632908206094</v>
      </c>
    </row>
    <row r="43" spans="1:56">
      <c r="A43" s="303">
        <v>2034</v>
      </c>
      <c r="B43" s="304">
        <f ca="1">IF($D$3="BAU",UtilityDemand!C36,INDIRECT($D$3&amp;"!B"&amp;ROW(A43))+INDIRECT($D$3&amp;"!D"&amp;ROW(A43)))</f>
        <v>170630.61283691146</v>
      </c>
      <c r="C43" s="305">
        <v>0</v>
      </c>
      <c r="D43" s="306">
        <f t="shared" ca="1" si="8"/>
        <v>0</v>
      </c>
      <c r="E43" s="304">
        <f ca="1">IF($D$3="BAU",UtilityDemand!E36,INDIRECT($D$3&amp;"!E"&amp;ROW(D43))+INDIRECT($D$3&amp;"!G"&amp;ROW(D43)))</f>
        <v>909287.85835071537</v>
      </c>
      <c r="F43" s="305">
        <v>0</v>
      </c>
      <c r="G43" s="306">
        <f t="shared" ca="1" si="9"/>
        <v>0</v>
      </c>
      <c r="H43" s="304">
        <f ca="1">IF($D$3="BAU",UtilityDemand!G36,INDIRECT($D$3&amp;"!H"&amp;ROW(G43))+INDIRECT($D$3&amp;"!J"&amp;ROW(G43)))</f>
        <v>258879.41723712959</v>
      </c>
      <c r="I43" s="305">
        <v>0</v>
      </c>
      <c r="J43" s="306">
        <f t="shared" ca="1" si="24"/>
        <v>0</v>
      </c>
      <c r="K43" s="307">
        <f t="shared" ca="1" si="10"/>
        <v>170630.61283691146</v>
      </c>
      <c r="L43" s="307">
        <f t="shared" si="11"/>
        <v>0</v>
      </c>
      <c r="M43" s="307">
        <v>0</v>
      </c>
      <c r="N43" s="307">
        <f t="shared" ca="1" si="12"/>
        <v>170630.61283691146</v>
      </c>
      <c r="O43" s="306">
        <f t="shared" ca="1" si="13"/>
        <v>909287.85835071537</v>
      </c>
      <c r="P43" s="306">
        <f t="shared" si="14"/>
        <v>0</v>
      </c>
      <c r="Q43" s="306">
        <v>0</v>
      </c>
      <c r="R43" s="306">
        <f t="shared" ca="1" si="15"/>
        <v>909287.85835071537</v>
      </c>
      <c r="S43" s="818">
        <f t="shared" ca="1" si="16"/>
        <v>258879.41723712959</v>
      </c>
      <c r="T43" s="818">
        <f t="shared" si="17"/>
        <v>0</v>
      </c>
      <c r="U43" s="818">
        <v>0</v>
      </c>
      <c r="V43" s="818">
        <f t="shared" ca="1" si="18"/>
        <v>258879.41723712959</v>
      </c>
      <c r="W43" s="306">
        <f t="shared" si="1"/>
        <v>0</v>
      </c>
      <c r="X43" s="306">
        <f t="shared" ca="1" si="2"/>
        <v>0</v>
      </c>
      <c r="Y43" s="306">
        <v>0</v>
      </c>
      <c r="Z43" s="926">
        <f t="shared" ca="1" si="25"/>
        <v>0</v>
      </c>
      <c r="AA43" s="308">
        <f ca="1">-SUM(W43,X43/OFFSET(GridFootprintbyYear,$A43-$A$19,0)*EF_PurchElec_MTperMWh,Z43)*OFFSET(ExposureCalculations!Price_GHG_Allowance_2010,A43-$A$19,0)*ExposureCalculations!D40</f>
        <v>0</v>
      </c>
      <c r="AB43" s="308">
        <f t="shared" ca="1" si="3"/>
        <v>0</v>
      </c>
      <c r="AC43" s="308">
        <v>0</v>
      </c>
      <c r="AD43" s="819">
        <f t="shared" ca="1" si="4"/>
        <v>0</v>
      </c>
      <c r="AE43" s="308">
        <v>0</v>
      </c>
      <c r="AF43" s="819">
        <f t="shared" ca="1" si="5"/>
        <v>0</v>
      </c>
      <c r="AG43" s="308">
        <v>0</v>
      </c>
      <c r="AH43" s="308">
        <v>0</v>
      </c>
      <c r="AI43" s="308">
        <v>0</v>
      </c>
      <c r="AJ43" s="308">
        <f t="shared" ca="1" si="6"/>
        <v>0</v>
      </c>
      <c r="AK43" s="309">
        <v>0</v>
      </c>
      <c r="AL43" s="309">
        <v>0</v>
      </c>
      <c r="AM43" s="309">
        <f t="shared" si="19"/>
        <v>0</v>
      </c>
      <c r="AN43" s="310">
        <v>0</v>
      </c>
      <c r="AO43" s="310">
        <f t="shared" si="26"/>
        <v>0</v>
      </c>
      <c r="AP43" s="310">
        <f t="shared" si="20"/>
        <v>0</v>
      </c>
      <c r="AQ43" s="309">
        <v>0</v>
      </c>
      <c r="AR43" s="311">
        <f t="shared" ca="1" si="7"/>
        <v>0</v>
      </c>
      <c r="AS43" s="870">
        <f t="shared" ca="1" si="21"/>
        <v>0</v>
      </c>
      <c r="AT43" s="822"/>
      <c r="AU43" s="878"/>
      <c r="AV43" s="35"/>
      <c r="AW43" s="879"/>
      <c r="AX43" s="35"/>
      <c r="AY43" s="880"/>
      <c r="BA43" s="123">
        <f ca="1">IF($D$3="WasteReduction",WasteReduction!BE43,'GHG Emissions'!Q36)</f>
        <v>2619.5497237724999</v>
      </c>
      <c r="BB43" s="923">
        <f t="shared" si="27"/>
        <v>0</v>
      </c>
      <c r="BC43" s="259">
        <f t="shared" ca="1" si="22"/>
        <v>0</v>
      </c>
      <c r="BD43" s="123">
        <f t="shared" ca="1" si="23"/>
        <v>2619.5497237724999</v>
      </c>
    </row>
    <row r="44" spans="1:56">
      <c r="A44" s="303">
        <v>2035</v>
      </c>
      <c r="B44" s="304">
        <f ca="1">IF($D$3="BAU",UtilityDemand!C37,INDIRECT($D$3&amp;"!B"&amp;ROW(A44))+INDIRECT($D$3&amp;"!D"&amp;ROW(A44)))</f>
        <v>172207.23843776347</v>
      </c>
      <c r="C44" s="305">
        <v>0</v>
      </c>
      <c r="D44" s="306">
        <f t="shared" ca="1" si="8"/>
        <v>0</v>
      </c>
      <c r="E44" s="304">
        <f ca="1">IF($D$3="BAU",UtilityDemand!E37,INDIRECT($D$3&amp;"!E"&amp;ROW(D44))+INDIRECT($D$3&amp;"!G"&amp;ROW(D44)))</f>
        <v>917674.45748039079</v>
      </c>
      <c r="F44" s="305">
        <v>0</v>
      </c>
      <c r="G44" s="306">
        <f t="shared" ca="1" si="9"/>
        <v>0</v>
      </c>
      <c r="H44" s="304">
        <f ca="1">IF($D$3="BAU",UtilityDemand!G37,INDIRECT($D$3&amp;"!H"&amp;ROW(G44))+INDIRECT($D$3&amp;"!J"&amp;ROW(G44)))</f>
        <v>261943.95179973327</v>
      </c>
      <c r="I44" s="305">
        <v>0</v>
      </c>
      <c r="J44" s="306">
        <f t="shared" ca="1" si="24"/>
        <v>0</v>
      </c>
      <c r="K44" s="307">
        <f t="shared" ca="1" si="10"/>
        <v>172207.23843776347</v>
      </c>
      <c r="L44" s="307">
        <f t="shared" si="11"/>
        <v>0</v>
      </c>
      <c r="M44" s="307">
        <v>0</v>
      </c>
      <c r="N44" s="307">
        <f t="shared" ca="1" si="12"/>
        <v>172207.23843776347</v>
      </c>
      <c r="O44" s="306">
        <f t="shared" ca="1" si="13"/>
        <v>917674.45748039079</v>
      </c>
      <c r="P44" s="306">
        <f t="shared" si="14"/>
        <v>0</v>
      </c>
      <c r="Q44" s="306">
        <v>0</v>
      </c>
      <c r="R44" s="306">
        <f t="shared" ca="1" si="15"/>
        <v>917674.45748039079</v>
      </c>
      <c r="S44" s="818">
        <f t="shared" ca="1" si="16"/>
        <v>261943.95179973327</v>
      </c>
      <c r="T44" s="818">
        <f t="shared" si="17"/>
        <v>0</v>
      </c>
      <c r="U44" s="818">
        <v>0</v>
      </c>
      <c r="V44" s="818">
        <f t="shared" ca="1" si="18"/>
        <v>261943.95179973327</v>
      </c>
      <c r="W44" s="306">
        <f t="shared" si="1"/>
        <v>0</v>
      </c>
      <c r="X44" s="306">
        <f t="shared" ca="1" si="2"/>
        <v>0</v>
      </c>
      <c r="Y44" s="306">
        <v>0</v>
      </c>
      <c r="Z44" s="926">
        <f t="shared" ca="1" si="25"/>
        <v>0</v>
      </c>
      <c r="AA44" s="308">
        <f ca="1">-SUM(W44,X44/OFFSET(GridFootprintbyYear,$A44-$A$19,0)*EF_PurchElec_MTperMWh,Z44)*OFFSET(ExposureCalculations!Price_GHG_Allowance_2010,A44-$A$19,0)*ExposureCalculations!D41</f>
        <v>0</v>
      </c>
      <c r="AB44" s="308">
        <f t="shared" ca="1" si="3"/>
        <v>0</v>
      </c>
      <c r="AC44" s="308">
        <v>0</v>
      </c>
      <c r="AD44" s="819">
        <f t="shared" ca="1" si="4"/>
        <v>0</v>
      </c>
      <c r="AE44" s="308">
        <v>0</v>
      </c>
      <c r="AF44" s="819">
        <f t="shared" ca="1" si="5"/>
        <v>0</v>
      </c>
      <c r="AG44" s="308">
        <v>0</v>
      </c>
      <c r="AH44" s="308">
        <v>0</v>
      </c>
      <c r="AI44" s="308">
        <v>0</v>
      </c>
      <c r="AJ44" s="308">
        <f t="shared" ca="1" si="6"/>
        <v>0</v>
      </c>
      <c r="AK44" s="309">
        <v>0</v>
      </c>
      <c r="AL44" s="309">
        <v>0</v>
      </c>
      <c r="AM44" s="309">
        <f t="shared" si="19"/>
        <v>0</v>
      </c>
      <c r="AN44" s="310">
        <v>0</v>
      </c>
      <c r="AO44" s="310">
        <f t="shared" si="26"/>
        <v>0</v>
      </c>
      <c r="AP44" s="310">
        <f t="shared" si="20"/>
        <v>0</v>
      </c>
      <c r="AQ44" s="309">
        <v>0</v>
      </c>
      <c r="AR44" s="311">
        <f t="shared" ca="1" si="7"/>
        <v>0</v>
      </c>
      <c r="AS44" s="870">
        <f t="shared" ca="1" si="21"/>
        <v>0</v>
      </c>
      <c r="AT44" s="822"/>
      <c r="AU44" s="878"/>
      <c r="AV44" s="35"/>
      <c r="AW44" s="879"/>
      <c r="AX44" s="35"/>
      <c r="AY44" s="880"/>
      <c r="BA44" s="123">
        <f ca="1">IF($D$3="WasteReduction",WasteReduction!BE44,'GHG Emissions'!Q37)</f>
        <v>2621.4968097261162</v>
      </c>
      <c r="BB44" s="923">
        <f t="shared" si="27"/>
        <v>0</v>
      </c>
      <c r="BC44" s="259">
        <f t="shared" ca="1" si="22"/>
        <v>0</v>
      </c>
      <c r="BD44" s="123">
        <f t="shared" ca="1" si="23"/>
        <v>2621.4968097261162</v>
      </c>
    </row>
    <row r="45" spans="1:56">
      <c r="A45" s="303">
        <v>2036</v>
      </c>
      <c r="B45" s="304">
        <f ca="1">IF($D$3="BAU",UtilityDemand!C38,INDIRECT($D$3&amp;"!B"&amp;ROW(A45))+INDIRECT($D$3&amp;"!D"&amp;ROW(A45)))</f>
        <v>173783.86403861555</v>
      </c>
      <c r="C45" s="305">
        <v>0</v>
      </c>
      <c r="D45" s="306">
        <f t="shared" ca="1" si="8"/>
        <v>0</v>
      </c>
      <c r="E45" s="304">
        <f ca="1">IF($D$3="BAU",UtilityDemand!E38,INDIRECT($D$3&amp;"!E"&amp;ROW(D45))+INDIRECT($D$3&amp;"!G"&amp;ROW(D45)))</f>
        <v>926061.05661006644</v>
      </c>
      <c r="F45" s="305">
        <v>0</v>
      </c>
      <c r="G45" s="306">
        <f t="shared" ca="1" si="9"/>
        <v>0</v>
      </c>
      <c r="H45" s="304">
        <f ca="1">IF($D$3="BAU",UtilityDemand!G38,INDIRECT($D$3&amp;"!H"&amp;ROW(G45))+INDIRECT($D$3&amp;"!J"&amp;ROW(G45)))</f>
        <v>265008.48636233702</v>
      </c>
      <c r="I45" s="305">
        <v>0</v>
      </c>
      <c r="J45" s="306">
        <f t="shared" ca="1" si="24"/>
        <v>0</v>
      </c>
      <c r="K45" s="307">
        <f t="shared" ca="1" si="10"/>
        <v>173783.86403861555</v>
      </c>
      <c r="L45" s="307">
        <f t="shared" si="11"/>
        <v>0</v>
      </c>
      <c r="M45" s="307">
        <v>0</v>
      </c>
      <c r="N45" s="307">
        <f t="shared" ca="1" si="12"/>
        <v>173783.86403861555</v>
      </c>
      <c r="O45" s="306">
        <f t="shared" ca="1" si="13"/>
        <v>926061.05661006644</v>
      </c>
      <c r="P45" s="306">
        <f t="shared" si="14"/>
        <v>0</v>
      </c>
      <c r="Q45" s="306">
        <v>0</v>
      </c>
      <c r="R45" s="306">
        <f t="shared" ca="1" si="15"/>
        <v>926061.05661006644</v>
      </c>
      <c r="S45" s="818">
        <f t="shared" ca="1" si="16"/>
        <v>265008.48636233702</v>
      </c>
      <c r="T45" s="818">
        <f t="shared" si="17"/>
        <v>0</v>
      </c>
      <c r="U45" s="818">
        <v>0</v>
      </c>
      <c r="V45" s="818">
        <f t="shared" ca="1" si="18"/>
        <v>265008.48636233702</v>
      </c>
      <c r="W45" s="306">
        <f t="shared" si="1"/>
        <v>0</v>
      </c>
      <c r="X45" s="306">
        <f t="shared" ca="1" si="2"/>
        <v>0</v>
      </c>
      <c r="Y45" s="306">
        <v>0</v>
      </c>
      <c r="Z45" s="926">
        <f t="shared" ca="1" si="25"/>
        <v>0</v>
      </c>
      <c r="AA45" s="308">
        <f ca="1">-SUM(W45,X45/OFFSET(GridFootprintbyYear,$A45-$A$19,0)*EF_PurchElec_MTperMWh,Z45)*OFFSET(ExposureCalculations!Price_GHG_Allowance_2010,A45-$A$19,0)*ExposureCalculations!D42</f>
        <v>0</v>
      </c>
      <c r="AB45" s="308">
        <f t="shared" ca="1" si="3"/>
        <v>0</v>
      </c>
      <c r="AC45" s="308">
        <v>0</v>
      </c>
      <c r="AD45" s="819">
        <f t="shared" ca="1" si="4"/>
        <v>0</v>
      </c>
      <c r="AE45" s="308">
        <v>0</v>
      </c>
      <c r="AF45" s="819">
        <f t="shared" ca="1" si="5"/>
        <v>0</v>
      </c>
      <c r="AG45" s="308">
        <v>0</v>
      </c>
      <c r="AH45" s="308">
        <v>0</v>
      </c>
      <c r="AI45" s="308">
        <v>0</v>
      </c>
      <c r="AJ45" s="308">
        <f t="shared" ca="1" si="6"/>
        <v>0</v>
      </c>
      <c r="AK45" s="309">
        <v>0</v>
      </c>
      <c r="AL45" s="309">
        <v>0</v>
      </c>
      <c r="AM45" s="309">
        <f t="shared" si="19"/>
        <v>0</v>
      </c>
      <c r="AN45" s="310">
        <v>0</v>
      </c>
      <c r="AO45" s="310">
        <f t="shared" si="26"/>
        <v>0</v>
      </c>
      <c r="AP45" s="310">
        <f t="shared" si="20"/>
        <v>0</v>
      </c>
      <c r="AQ45" s="309">
        <v>0</v>
      </c>
      <c r="AR45" s="311">
        <f t="shared" ca="1" si="7"/>
        <v>0</v>
      </c>
      <c r="AS45" s="870">
        <f t="shared" ca="1" si="21"/>
        <v>0</v>
      </c>
      <c r="AT45" s="822"/>
      <c r="AU45" s="878"/>
      <c r="AV45" s="35"/>
      <c r="AW45" s="879"/>
      <c r="AX45" s="35"/>
      <c r="AY45" s="880"/>
      <c r="BA45" s="123">
        <f ca="1">IF($D$3="WasteReduction",WasteReduction!BE45,'GHG Emissions'!Q38)</f>
        <v>2623.4067981325152</v>
      </c>
      <c r="BB45" s="923">
        <f t="shared" si="27"/>
        <v>0</v>
      </c>
      <c r="BC45" s="259">
        <f t="shared" ca="1" si="22"/>
        <v>0</v>
      </c>
      <c r="BD45" s="123">
        <f t="shared" ca="1" si="23"/>
        <v>2623.4067981325152</v>
      </c>
    </row>
    <row r="46" spans="1:56">
      <c r="A46" s="303">
        <v>2037</v>
      </c>
      <c r="B46" s="304">
        <f ca="1">IF($D$3="BAU",UtilityDemand!C39,INDIRECT($D$3&amp;"!B"&amp;ROW(A46))+INDIRECT($D$3&amp;"!D"&amp;ROW(A46)))</f>
        <v>175360.48963946756</v>
      </c>
      <c r="C46" s="305">
        <v>0</v>
      </c>
      <c r="D46" s="306">
        <f t="shared" ca="1" si="8"/>
        <v>0</v>
      </c>
      <c r="E46" s="304">
        <f ca="1">IF($D$3="BAU",UtilityDemand!E39,INDIRECT($D$3&amp;"!E"&amp;ROW(D46))+INDIRECT($D$3&amp;"!G"&amp;ROW(D46)))</f>
        <v>934447.65573974175</v>
      </c>
      <c r="F46" s="305">
        <v>0</v>
      </c>
      <c r="G46" s="306">
        <f t="shared" ca="1" si="9"/>
        <v>0</v>
      </c>
      <c r="H46" s="304">
        <f ca="1">IF($D$3="BAU",UtilityDemand!G39,INDIRECT($D$3&amp;"!H"&amp;ROW(G46))+INDIRECT($D$3&amp;"!J"&amp;ROW(G46)))</f>
        <v>268073.02092494071</v>
      </c>
      <c r="I46" s="305">
        <v>0</v>
      </c>
      <c r="J46" s="306">
        <f t="shared" ca="1" si="24"/>
        <v>0</v>
      </c>
      <c r="K46" s="307">
        <f t="shared" ca="1" si="10"/>
        <v>175360.48963946756</v>
      </c>
      <c r="L46" s="307">
        <f t="shared" si="11"/>
        <v>0</v>
      </c>
      <c r="M46" s="307">
        <v>0</v>
      </c>
      <c r="N46" s="307">
        <f t="shared" ca="1" si="12"/>
        <v>175360.48963946756</v>
      </c>
      <c r="O46" s="306">
        <f t="shared" ca="1" si="13"/>
        <v>934447.65573974175</v>
      </c>
      <c r="P46" s="306">
        <f t="shared" si="14"/>
        <v>0</v>
      </c>
      <c r="Q46" s="306">
        <v>0</v>
      </c>
      <c r="R46" s="306">
        <f t="shared" ca="1" si="15"/>
        <v>934447.65573974175</v>
      </c>
      <c r="S46" s="818">
        <f t="shared" ca="1" si="16"/>
        <v>268073.02092494071</v>
      </c>
      <c r="T46" s="818">
        <f t="shared" si="17"/>
        <v>0</v>
      </c>
      <c r="U46" s="818">
        <v>0</v>
      </c>
      <c r="V46" s="818">
        <f t="shared" ca="1" si="18"/>
        <v>268073.02092494071</v>
      </c>
      <c r="W46" s="306">
        <f t="shared" si="1"/>
        <v>0</v>
      </c>
      <c r="X46" s="306">
        <f t="shared" ca="1" si="2"/>
        <v>0</v>
      </c>
      <c r="Y46" s="306">
        <v>0</v>
      </c>
      <c r="Z46" s="926">
        <f t="shared" ca="1" si="25"/>
        <v>0</v>
      </c>
      <c r="AA46" s="308">
        <f ca="1">-SUM(W46,X46/OFFSET(GridFootprintbyYear,$A46-$A$19,0)*EF_PurchElec_MTperMWh,Z46)*OFFSET(ExposureCalculations!Price_GHG_Allowance_2010,A46-$A$19,0)*ExposureCalculations!D43</f>
        <v>0</v>
      </c>
      <c r="AB46" s="308">
        <f t="shared" ca="1" si="3"/>
        <v>0</v>
      </c>
      <c r="AC46" s="308">
        <v>0</v>
      </c>
      <c r="AD46" s="819">
        <f t="shared" ca="1" si="4"/>
        <v>0</v>
      </c>
      <c r="AE46" s="308">
        <v>0</v>
      </c>
      <c r="AF46" s="819">
        <f t="shared" ca="1" si="5"/>
        <v>0</v>
      </c>
      <c r="AG46" s="308">
        <v>0</v>
      </c>
      <c r="AH46" s="308">
        <v>0</v>
      </c>
      <c r="AI46" s="308">
        <v>0</v>
      </c>
      <c r="AJ46" s="308">
        <f t="shared" ca="1" si="6"/>
        <v>0</v>
      </c>
      <c r="AK46" s="309">
        <v>0</v>
      </c>
      <c r="AL46" s="309">
        <v>0</v>
      </c>
      <c r="AM46" s="309">
        <f t="shared" si="19"/>
        <v>0</v>
      </c>
      <c r="AN46" s="310">
        <v>0</v>
      </c>
      <c r="AO46" s="310">
        <f t="shared" si="26"/>
        <v>0</v>
      </c>
      <c r="AP46" s="310">
        <f t="shared" si="20"/>
        <v>0</v>
      </c>
      <c r="AQ46" s="309">
        <v>0</v>
      </c>
      <c r="AR46" s="311">
        <f t="shared" ca="1" si="7"/>
        <v>0</v>
      </c>
      <c r="AS46" s="870">
        <f t="shared" ca="1" si="21"/>
        <v>0</v>
      </c>
      <c r="AT46" s="822"/>
      <c r="AU46" s="878"/>
      <c r="AV46" s="35"/>
      <c r="AW46" s="879"/>
      <c r="AX46" s="35"/>
      <c r="AY46" s="880"/>
      <c r="BA46" s="123">
        <f ca="1">IF($D$3="WasteReduction",WasteReduction!BE46,'GHG Emissions'!Q39)</f>
        <v>2625.2817319433761</v>
      </c>
      <c r="BB46" s="923">
        <f t="shared" si="27"/>
        <v>0</v>
      </c>
      <c r="BC46" s="259">
        <f t="shared" ca="1" si="22"/>
        <v>0</v>
      </c>
      <c r="BD46" s="123">
        <f t="shared" ca="1" si="23"/>
        <v>2625.2817319433761</v>
      </c>
    </row>
    <row r="47" spans="1:56">
      <c r="A47" s="303">
        <v>2038</v>
      </c>
      <c r="B47" s="304">
        <f ca="1">IF($D$3="BAU",UtilityDemand!C40,INDIRECT($D$3&amp;"!B"&amp;ROW(A47))+INDIRECT($D$3&amp;"!D"&amp;ROW(A47)))</f>
        <v>176937.1152403196</v>
      </c>
      <c r="C47" s="305">
        <v>0</v>
      </c>
      <c r="D47" s="306">
        <f t="shared" ca="1" si="8"/>
        <v>0</v>
      </c>
      <c r="E47" s="304">
        <f ca="1">IF($D$3="BAU",UtilityDemand!E40,INDIRECT($D$3&amp;"!E"&amp;ROW(D47))+INDIRECT($D$3&amp;"!G"&amp;ROW(D47)))</f>
        <v>942834.25486941705</v>
      </c>
      <c r="F47" s="305">
        <v>0</v>
      </c>
      <c r="G47" s="306">
        <f t="shared" ca="1" si="9"/>
        <v>0</v>
      </c>
      <c r="H47" s="304">
        <f ca="1">IF($D$3="BAU",UtilityDemand!G40,INDIRECT($D$3&amp;"!H"&amp;ROW(G47))+INDIRECT($D$3&amp;"!J"&amp;ROW(G47)))</f>
        <v>271137.55548754439</v>
      </c>
      <c r="I47" s="305">
        <v>0</v>
      </c>
      <c r="J47" s="306">
        <f t="shared" ca="1" si="24"/>
        <v>0</v>
      </c>
      <c r="K47" s="307">
        <f t="shared" ca="1" si="10"/>
        <v>176937.1152403196</v>
      </c>
      <c r="L47" s="307">
        <f t="shared" si="11"/>
        <v>0</v>
      </c>
      <c r="M47" s="307">
        <v>0</v>
      </c>
      <c r="N47" s="307">
        <f t="shared" ca="1" si="12"/>
        <v>176937.1152403196</v>
      </c>
      <c r="O47" s="306">
        <f t="shared" ca="1" si="13"/>
        <v>942834.25486941705</v>
      </c>
      <c r="P47" s="306">
        <f t="shared" si="14"/>
        <v>0</v>
      </c>
      <c r="Q47" s="306">
        <v>0</v>
      </c>
      <c r="R47" s="306">
        <f t="shared" ca="1" si="15"/>
        <v>942834.25486941705</v>
      </c>
      <c r="S47" s="818">
        <f t="shared" ca="1" si="16"/>
        <v>271137.55548754439</v>
      </c>
      <c r="T47" s="818">
        <f t="shared" si="17"/>
        <v>0</v>
      </c>
      <c r="U47" s="818">
        <v>0</v>
      </c>
      <c r="V47" s="818">
        <f t="shared" ca="1" si="18"/>
        <v>271137.55548754439</v>
      </c>
      <c r="W47" s="306">
        <f t="shared" si="1"/>
        <v>0</v>
      </c>
      <c r="X47" s="306">
        <f t="shared" ca="1" si="2"/>
        <v>0</v>
      </c>
      <c r="Y47" s="306">
        <v>0</v>
      </c>
      <c r="Z47" s="926">
        <f t="shared" ca="1" si="25"/>
        <v>0</v>
      </c>
      <c r="AA47" s="308">
        <f ca="1">-SUM(W47,X47/OFFSET(GridFootprintbyYear,$A47-$A$19,0)*EF_PurchElec_MTperMWh,Z47)*OFFSET(ExposureCalculations!Price_GHG_Allowance_2010,A47-$A$19,0)*ExposureCalculations!D44</f>
        <v>0</v>
      </c>
      <c r="AB47" s="308">
        <f t="shared" ca="1" si="3"/>
        <v>0</v>
      </c>
      <c r="AC47" s="308">
        <v>0</v>
      </c>
      <c r="AD47" s="819">
        <f t="shared" ca="1" si="4"/>
        <v>0</v>
      </c>
      <c r="AE47" s="308">
        <v>0</v>
      </c>
      <c r="AF47" s="819">
        <f t="shared" ca="1" si="5"/>
        <v>0</v>
      </c>
      <c r="AG47" s="308">
        <v>0</v>
      </c>
      <c r="AH47" s="308">
        <v>0</v>
      </c>
      <c r="AI47" s="308">
        <v>0</v>
      </c>
      <c r="AJ47" s="308">
        <f t="shared" ca="1" si="6"/>
        <v>0</v>
      </c>
      <c r="AK47" s="309">
        <v>0</v>
      </c>
      <c r="AL47" s="309">
        <v>0</v>
      </c>
      <c r="AM47" s="309">
        <f t="shared" si="19"/>
        <v>0</v>
      </c>
      <c r="AN47" s="310">
        <v>0</v>
      </c>
      <c r="AO47" s="310">
        <f t="shared" si="26"/>
        <v>0</v>
      </c>
      <c r="AP47" s="310">
        <f t="shared" si="20"/>
        <v>0</v>
      </c>
      <c r="AQ47" s="309">
        <v>0</v>
      </c>
      <c r="AR47" s="311">
        <f t="shared" ca="1" si="7"/>
        <v>0</v>
      </c>
      <c r="AS47" s="870">
        <f t="shared" ca="1" si="21"/>
        <v>0</v>
      </c>
      <c r="AT47" s="822"/>
      <c r="AU47" s="878"/>
      <c r="AV47" s="35"/>
      <c r="AW47" s="879"/>
      <c r="AX47" s="35"/>
      <c r="AY47" s="880"/>
      <c r="BA47" s="123">
        <f ca="1">IF($D$3="WasteReduction",WasteReduction!BE47,'GHG Emissions'!Q40)</f>
        <v>2627.1234732142825</v>
      </c>
      <c r="BB47" s="923">
        <f t="shared" si="27"/>
        <v>0</v>
      </c>
      <c r="BC47" s="259">
        <f t="shared" ca="1" si="22"/>
        <v>0</v>
      </c>
      <c r="BD47" s="123">
        <f t="shared" ca="1" si="23"/>
        <v>2627.1234732142825</v>
      </c>
    </row>
    <row r="48" spans="1:56">
      <c r="A48" s="303">
        <v>2039</v>
      </c>
      <c r="B48" s="304">
        <f ca="1">IF($D$3="BAU",UtilityDemand!C41,INDIRECT($D$3&amp;"!B"&amp;ROW(A48))+INDIRECT($D$3&amp;"!D"&amp;ROW(A48)))</f>
        <v>178513.74084117162</v>
      </c>
      <c r="C48" s="305">
        <v>0</v>
      </c>
      <c r="D48" s="306">
        <f t="shared" ca="1" si="8"/>
        <v>0</v>
      </c>
      <c r="E48" s="304">
        <f ca="1">IF($D$3="BAU",UtilityDemand!E41,INDIRECT($D$3&amp;"!E"&amp;ROW(D48))+INDIRECT($D$3&amp;"!G"&amp;ROW(D48)))</f>
        <v>951220.85399909248</v>
      </c>
      <c r="F48" s="305">
        <v>0</v>
      </c>
      <c r="G48" s="306">
        <f t="shared" ca="1" si="9"/>
        <v>0</v>
      </c>
      <c r="H48" s="304">
        <f ca="1">IF($D$3="BAU",UtilityDemand!G41,INDIRECT($D$3&amp;"!H"&amp;ROW(G48))+INDIRECT($D$3&amp;"!J"&amp;ROW(G48)))</f>
        <v>274202.09005014808</v>
      </c>
      <c r="I48" s="305">
        <v>0</v>
      </c>
      <c r="J48" s="306">
        <f t="shared" ca="1" si="24"/>
        <v>0</v>
      </c>
      <c r="K48" s="307">
        <f t="shared" ca="1" si="10"/>
        <v>178513.74084117162</v>
      </c>
      <c r="L48" s="307">
        <f t="shared" si="11"/>
        <v>0</v>
      </c>
      <c r="M48" s="307">
        <v>0</v>
      </c>
      <c r="N48" s="307">
        <f t="shared" ca="1" si="12"/>
        <v>178513.74084117162</v>
      </c>
      <c r="O48" s="306">
        <f t="shared" ca="1" si="13"/>
        <v>951220.85399909248</v>
      </c>
      <c r="P48" s="306">
        <f t="shared" si="14"/>
        <v>0</v>
      </c>
      <c r="Q48" s="306">
        <v>0</v>
      </c>
      <c r="R48" s="306">
        <f t="shared" ca="1" si="15"/>
        <v>951220.85399909248</v>
      </c>
      <c r="S48" s="818">
        <f t="shared" ca="1" si="16"/>
        <v>274202.09005014808</v>
      </c>
      <c r="T48" s="818">
        <f t="shared" si="17"/>
        <v>0</v>
      </c>
      <c r="U48" s="818">
        <v>0</v>
      </c>
      <c r="V48" s="818">
        <f t="shared" ca="1" si="18"/>
        <v>274202.09005014808</v>
      </c>
      <c r="W48" s="306">
        <f t="shared" si="1"/>
        <v>0</v>
      </c>
      <c r="X48" s="306">
        <f t="shared" ca="1" si="2"/>
        <v>0</v>
      </c>
      <c r="Y48" s="306">
        <v>0</v>
      </c>
      <c r="Z48" s="926">
        <f t="shared" ca="1" si="25"/>
        <v>0</v>
      </c>
      <c r="AA48" s="308">
        <f ca="1">-SUM(W48,X48/OFFSET(GridFootprintbyYear,$A48-$A$19,0)*EF_PurchElec_MTperMWh,Z48)*OFFSET(ExposureCalculations!Price_GHG_Allowance_2010,A48-$A$19,0)*ExposureCalculations!D45</f>
        <v>0</v>
      </c>
      <c r="AB48" s="308">
        <f t="shared" ca="1" si="3"/>
        <v>0</v>
      </c>
      <c r="AC48" s="308">
        <v>0</v>
      </c>
      <c r="AD48" s="819">
        <f t="shared" ca="1" si="4"/>
        <v>0</v>
      </c>
      <c r="AE48" s="308">
        <v>0</v>
      </c>
      <c r="AF48" s="819">
        <f t="shared" ca="1" si="5"/>
        <v>0</v>
      </c>
      <c r="AG48" s="308">
        <v>0</v>
      </c>
      <c r="AH48" s="308">
        <v>0</v>
      </c>
      <c r="AI48" s="308">
        <v>0</v>
      </c>
      <c r="AJ48" s="308">
        <f t="shared" ca="1" si="6"/>
        <v>0</v>
      </c>
      <c r="AK48" s="309">
        <v>0</v>
      </c>
      <c r="AL48" s="309">
        <v>0</v>
      </c>
      <c r="AM48" s="309">
        <f t="shared" si="19"/>
        <v>0</v>
      </c>
      <c r="AN48" s="310">
        <v>0</v>
      </c>
      <c r="AO48" s="310">
        <f t="shared" si="26"/>
        <v>0</v>
      </c>
      <c r="AP48" s="310">
        <f t="shared" si="20"/>
        <v>0</v>
      </c>
      <c r="AQ48" s="309">
        <v>0</v>
      </c>
      <c r="AR48" s="311">
        <f t="shared" ca="1" si="7"/>
        <v>0</v>
      </c>
      <c r="AS48" s="870">
        <f t="shared" ca="1" si="21"/>
        <v>0</v>
      </c>
      <c r="AT48" s="822"/>
      <c r="AU48" s="878"/>
      <c r="AV48" s="35"/>
      <c r="AW48" s="879"/>
      <c r="AX48" s="35"/>
      <c r="AY48" s="880"/>
      <c r="BA48" s="123">
        <f ca="1">IF($D$3="WasteReduction",WasteReduction!BE48,'GHG Emissions'!Q41)</f>
        <v>2628.9337247655862</v>
      </c>
      <c r="BB48" s="923">
        <f t="shared" si="27"/>
        <v>0</v>
      </c>
      <c r="BC48" s="259">
        <f t="shared" ca="1" si="22"/>
        <v>0</v>
      </c>
      <c r="BD48" s="123">
        <f t="shared" ca="1" si="23"/>
        <v>2628.9337247655862</v>
      </c>
    </row>
    <row r="49" spans="1:56">
      <c r="A49" s="303">
        <v>2040</v>
      </c>
      <c r="B49" s="304">
        <f ca="1">IF($D$3="BAU",UtilityDemand!C42,INDIRECT($D$3&amp;"!B"&amp;ROW(A49))+INDIRECT($D$3&amp;"!D"&amp;ROW(A49)))</f>
        <v>180090.36644202363</v>
      </c>
      <c r="C49" s="305">
        <v>0</v>
      </c>
      <c r="D49" s="306">
        <f t="shared" ca="1" si="8"/>
        <v>0</v>
      </c>
      <c r="E49" s="304">
        <f ca="1">IF($D$3="BAU",UtilityDemand!E42,INDIRECT($D$3&amp;"!E"&amp;ROW(D49))+INDIRECT($D$3&amp;"!G"&amp;ROW(D49)))</f>
        <v>959607.45312876778</v>
      </c>
      <c r="F49" s="305">
        <v>0</v>
      </c>
      <c r="G49" s="306">
        <f t="shared" ca="1" si="9"/>
        <v>0</v>
      </c>
      <c r="H49" s="304">
        <f ca="1">IF($D$3="BAU",UtilityDemand!G42,INDIRECT($D$3&amp;"!H"&amp;ROW(G49))+INDIRECT($D$3&amp;"!J"&amp;ROW(G49)))</f>
        <v>277266.62461275177</v>
      </c>
      <c r="I49" s="305">
        <v>0</v>
      </c>
      <c r="J49" s="306">
        <f t="shared" ca="1" si="24"/>
        <v>0</v>
      </c>
      <c r="K49" s="307">
        <f t="shared" ca="1" si="10"/>
        <v>180090.36644202363</v>
      </c>
      <c r="L49" s="307">
        <f t="shared" si="11"/>
        <v>0</v>
      </c>
      <c r="M49" s="307">
        <v>0</v>
      </c>
      <c r="N49" s="307">
        <f t="shared" ca="1" si="12"/>
        <v>180090.36644202363</v>
      </c>
      <c r="O49" s="306">
        <f t="shared" ca="1" si="13"/>
        <v>959607.45312876778</v>
      </c>
      <c r="P49" s="306">
        <f t="shared" si="14"/>
        <v>0</v>
      </c>
      <c r="Q49" s="306">
        <v>0</v>
      </c>
      <c r="R49" s="306">
        <f t="shared" ca="1" si="15"/>
        <v>959607.45312876778</v>
      </c>
      <c r="S49" s="818">
        <f t="shared" ca="1" si="16"/>
        <v>277266.62461275177</v>
      </c>
      <c r="T49" s="818">
        <f t="shared" si="17"/>
        <v>0</v>
      </c>
      <c r="U49" s="818">
        <v>0</v>
      </c>
      <c r="V49" s="818">
        <f t="shared" ca="1" si="18"/>
        <v>277266.62461275177</v>
      </c>
      <c r="W49" s="306">
        <f t="shared" si="1"/>
        <v>0</v>
      </c>
      <c r="X49" s="306">
        <f t="shared" ca="1" si="2"/>
        <v>0</v>
      </c>
      <c r="Y49" s="306">
        <v>0</v>
      </c>
      <c r="Z49" s="926">
        <f t="shared" ca="1" si="25"/>
        <v>0</v>
      </c>
      <c r="AA49" s="308">
        <f ca="1">-SUM(W49,X49/OFFSET(GridFootprintbyYear,$A49-$A$19,0)*EF_PurchElec_MTperMWh,Z49)*OFFSET(ExposureCalculations!Price_GHG_Allowance_2010,A49-$A$19,0)*ExposureCalculations!D46</f>
        <v>0</v>
      </c>
      <c r="AB49" s="308">
        <f t="shared" ca="1" si="3"/>
        <v>0</v>
      </c>
      <c r="AC49" s="308">
        <v>0</v>
      </c>
      <c r="AD49" s="819">
        <f t="shared" ca="1" si="4"/>
        <v>0</v>
      </c>
      <c r="AE49" s="308">
        <v>0</v>
      </c>
      <c r="AF49" s="819">
        <f t="shared" ca="1" si="5"/>
        <v>0</v>
      </c>
      <c r="AG49" s="308">
        <v>0</v>
      </c>
      <c r="AH49" s="308">
        <v>0</v>
      </c>
      <c r="AI49" s="308">
        <v>0</v>
      </c>
      <c r="AJ49" s="308">
        <f t="shared" ca="1" si="6"/>
        <v>0</v>
      </c>
      <c r="AK49" s="309">
        <v>0</v>
      </c>
      <c r="AL49" s="309">
        <v>0</v>
      </c>
      <c r="AM49" s="309">
        <f t="shared" si="19"/>
        <v>0</v>
      </c>
      <c r="AN49" s="310">
        <v>0</v>
      </c>
      <c r="AO49" s="310">
        <f t="shared" si="26"/>
        <v>0</v>
      </c>
      <c r="AP49" s="310">
        <f t="shared" si="20"/>
        <v>0</v>
      </c>
      <c r="AQ49" s="309">
        <v>0</v>
      </c>
      <c r="AR49" s="311">
        <f t="shared" ca="1" si="7"/>
        <v>0</v>
      </c>
      <c r="AS49" s="870">
        <f t="shared" ca="1" si="21"/>
        <v>0</v>
      </c>
      <c r="AT49" s="822"/>
      <c r="AU49" s="878"/>
      <c r="AV49" s="35"/>
      <c r="AW49" s="879"/>
      <c r="AX49" s="35"/>
      <c r="AY49" s="880"/>
      <c r="BA49" s="123">
        <f ca="1">IF($D$3="WasteReduction",WasteReduction!BE49,'GHG Emissions'!Q42)</f>
        <v>2630.7140486183739</v>
      </c>
      <c r="BB49" s="923">
        <f t="shared" si="27"/>
        <v>0</v>
      </c>
      <c r="BC49" s="259">
        <f t="shared" ca="1" si="22"/>
        <v>0</v>
      </c>
      <c r="BD49" s="123">
        <f t="shared" ca="1" si="23"/>
        <v>2630.7140486183739</v>
      </c>
    </row>
    <row r="50" spans="1:56">
      <c r="A50" s="303">
        <v>2041</v>
      </c>
      <c r="B50" s="304">
        <f ca="1">IF($D$3="BAU",UtilityDemand!C43,INDIRECT($D$3&amp;"!B"&amp;ROW(A50))+INDIRECT($D$3&amp;"!D"&amp;ROW(A50)))</f>
        <v>181666.99204287567</v>
      </c>
      <c r="C50" s="305">
        <v>0</v>
      </c>
      <c r="D50" s="306">
        <f t="shared" ca="1" si="8"/>
        <v>0</v>
      </c>
      <c r="E50" s="304">
        <f ca="1">IF($D$3="BAU",UtilityDemand!E43,INDIRECT($D$3&amp;"!E"&amp;ROW(D50))+INDIRECT($D$3&amp;"!G"&amp;ROW(D50)))</f>
        <v>967994.0522584432</v>
      </c>
      <c r="F50" s="305">
        <v>0</v>
      </c>
      <c r="G50" s="306">
        <f t="shared" ca="1" si="9"/>
        <v>0</v>
      </c>
      <c r="H50" s="304">
        <f ca="1">IF($D$3="BAU",UtilityDemand!G43,INDIRECT($D$3&amp;"!H"&amp;ROW(G50))+INDIRECT($D$3&amp;"!J"&amp;ROW(G50)))</f>
        <v>280331.15917535545</v>
      </c>
      <c r="I50" s="305">
        <v>0</v>
      </c>
      <c r="J50" s="306">
        <f t="shared" ca="1" si="24"/>
        <v>0</v>
      </c>
      <c r="K50" s="307">
        <f t="shared" ca="1" si="10"/>
        <v>181666.99204287567</v>
      </c>
      <c r="L50" s="307">
        <f t="shared" si="11"/>
        <v>0</v>
      </c>
      <c r="M50" s="307">
        <v>0</v>
      </c>
      <c r="N50" s="307">
        <f t="shared" ca="1" si="12"/>
        <v>181666.99204287567</v>
      </c>
      <c r="O50" s="306">
        <f t="shared" ca="1" si="13"/>
        <v>967994.0522584432</v>
      </c>
      <c r="P50" s="306">
        <f t="shared" si="14"/>
        <v>0</v>
      </c>
      <c r="Q50" s="306">
        <v>0</v>
      </c>
      <c r="R50" s="306">
        <f t="shared" ca="1" si="15"/>
        <v>967994.0522584432</v>
      </c>
      <c r="S50" s="818">
        <f t="shared" ca="1" si="16"/>
        <v>280331.15917535545</v>
      </c>
      <c r="T50" s="818">
        <f t="shared" si="17"/>
        <v>0</v>
      </c>
      <c r="U50" s="818">
        <v>0</v>
      </c>
      <c r="V50" s="818">
        <f t="shared" ca="1" si="18"/>
        <v>280331.15917535545</v>
      </c>
      <c r="W50" s="306">
        <f t="shared" si="1"/>
        <v>0</v>
      </c>
      <c r="X50" s="306">
        <f t="shared" ca="1" si="2"/>
        <v>0</v>
      </c>
      <c r="Y50" s="306">
        <v>0</v>
      </c>
      <c r="Z50" s="926">
        <f t="shared" ca="1" si="25"/>
        <v>0</v>
      </c>
      <c r="AA50" s="308">
        <f ca="1">-SUM(W50,X50/OFFSET(GridFootprintbyYear,$A50-$A$19,0)*EF_PurchElec_MTperMWh,Z50)*OFFSET(ExposureCalculations!Price_GHG_Allowance_2010,A50-$A$19,0)*ExposureCalculations!D47</f>
        <v>0</v>
      </c>
      <c r="AB50" s="308">
        <f t="shared" ca="1" si="3"/>
        <v>0</v>
      </c>
      <c r="AC50" s="308">
        <v>0</v>
      </c>
      <c r="AD50" s="819">
        <f t="shared" ca="1" si="4"/>
        <v>0</v>
      </c>
      <c r="AE50" s="308">
        <v>0</v>
      </c>
      <c r="AF50" s="819">
        <f t="shared" ca="1" si="5"/>
        <v>0</v>
      </c>
      <c r="AG50" s="308">
        <v>0</v>
      </c>
      <c r="AH50" s="308">
        <v>0</v>
      </c>
      <c r="AI50" s="308">
        <v>0</v>
      </c>
      <c r="AJ50" s="308">
        <f t="shared" ca="1" si="6"/>
        <v>0</v>
      </c>
      <c r="AK50" s="309">
        <v>0</v>
      </c>
      <c r="AL50" s="309">
        <v>0</v>
      </c>
      <c r="AM50" s="309">
        <f t="shared" si="19"/>
        <v>0</v>
      </c>
      <c r="AN50" s="310">
        <v>0</v>
      </c>
      <c r="AO50" s="310">
        <f t="shared" si="26"/>
        <v>0</v>
      </c>
      <c r="AP50" s="310">
        <f t="shared" si="20"/>
        <v>0</v>
      </c>
      <c r="AQ50" s="309">
        <v>0</v>
      </c>
      <c r="AR50" s="311">
        <f t="shared" ca="1" si="7"/>
        <v>0</v>
      </c>
      <c r="AS50" s="870">
        <f t="shared" ca="1" si="21"/>
        <v>0</v>
      </c>
      <c r="AT50" s="822"/>
      <c r="AU50" s="878"/>
      <c r="AV50" s="35"/>
      <c r="AW50" s="879"/>
      <c r="AX50" s="35"/>
      <c r="AY50" s="880"/>
      <c r="BA50" s="123">
        <f ca="1">IF($D$3="WasteReduction",WasteReduction!BE50,'GHG Emissions'!Q43)</f>
        <v>2632.465881773634</v>
      </c>
      <c r="BB50" s="923">
        <f t="shared" si="27"/>
        <v>0</v>
      </c>
      <c r="BC50" s="259">
        <f t="shared" ca="1" si="22"/>
        <v>0</v>
      </c>
      <c r="BD50" s="123">
        <f t="shared" ca="1" si="23"/>
        <v>2632.465881773634</v>
      </c>
    </row>
    <row r="51" spans="1:56">
      <c r="A51" s="303">
        <v>2042</v>
      </c>
      <c r="B51" s="304">
        <f ca="1">IF($D$3="BAU",UtilityDemand!C44,INDIRECT($D$3&amp;"!B"&amp;ROW(A51))+INDIRECT($D$3&amp;"!D"&amp;ROW(A51)))</f>
        <v>183243.61764372772</v>
      </c>
      <c r="C51" s="305">
        <v>0</v>
      </c>
      <c r="D51" s="306">
        <f t="shared" ca="1" si="8"/>
        <v>0</v>
      </c>
      <c r="E51" s="304">
        <f ca="1">IF($D$3="BAU",UtilityDemand!E44,INDIRECT($D$3&amp;"!E"&amp;ROW(D51))+INDIRECT($D$3&amp;"!G"&amp;ROW(D51)))</f>
        <v>976380.65138811851</v>
      </c>
      <c r="F51" s="305">
        <v>0</v>
      </c>
      <c r="G51" s="306">
        <f t="shared" ca="1" si="9"/>
        <v>0</v>
      </c>
      <c r="H51" s="304">
        <f ca="1">IF($D$3="BAU",UtilityDemand!G44,INDIRECT($D$3&amp;"!H"&amp;ROW(G51))+INDIRECT($D$3&amp;"!J"&amp;ROW(G51)))</f>
        <v>283395.69373795914</v>
      </c>
      <c r="I51" s="305">
        <v>0</v>
      </c>
      <c r="J51" s="306">
        <f t="shared" ca="1" si="24"/>
        <v>0</v>
      </c>
      <c r="K51" s="307">
        <f t="shared" ca="1" si="10"/>
        <v>183243.61764372772</v>
      </c>
      <c r="L51" s="307">
        <f t="shared" si="11"/>
        <v>0</v>
      </c>
      <c r="M51" s="307">
        <v>0</v>
      </c>
      <c r="N51" s="307">
        <f t="shared" ca="1" si="12"/>
        <v>183243.61764372772</v>
      </c>
      <c r="O51" s="306">
        <f t="shared" ca="1" si="13"/>
        <v>976380.65138811851</v>
      </c>
      <c r="P51" s="306">
        <f t="shared" si="14"/>
        <v>0</v>
      </c>
      <c r="Q51" s="306">
        <v>0</v>
      </c>
      <c r="R51" s="306">
        <f t="shared" ca="1" si="15"/>
        <v>976380.65138811851</v>
      </c>
      <c r="S51" s="818">
        <f t="shared" ca="1" si="16"/>
        <v>283395.69373795914</v>
      </c>
      <c r="T51" s="818">
        <f t="shared" si="17"/>
        <v>0</v>
      </c>
      <c r="U51" s="818">
        <v>0</v>
      </c>
      <c r="V51" s="818">
        <f t="shared" ca="1" si="18"/>
        <v>283395.69373795914</v>
      </c>
      <c r="W51" s="306">
        <f t="shared" si="1"/>
        <v>0</v>
      </c>
      <c r="X51" s="306">
        <f t="shared" ca="1" si="2"/>
        <v>0</v>
      </c>
      <c r="Y51" s="306">
        <v>0</v>
      </c>
      <c r="Z51" s="926">
        <f t="shared" ca="1" si="25"/>
        <v>0</v>
      </c>
      <c r="AA51" s="308">
        <f ca="1">-SUM(W51,X51/OFFSET(GridFootprintbyYear,$A51-$A$19,0)*EF_PurchElec_MTperMWh,Z51)*OFFSET(ExposureCalculations!Price_GHG_Allowance_2010,A51-$A$19,0)*ExposureCalculations!D48</f>
        <v>0</v>
      </c>
      <c r="AB51" s="308">
        <f t="shared" ca="1" si="3"/>
        <v>0</v>
      </c>
      <c r="AC51" s="308">
        <v>0</v>
      </c>
      <c r="AD51" s="819">
        <f t="shared" ca="1" si="4"/>
        <v>0</v>
      </c>
      <c r="AE51" s="308">
        <v>0</v>
      </c>
      <c r="AF51" s="819">
        <f t="shared" ca="1" si="5"/>
        <v>0</v>
      </c>
      <c r="AG51" s="308">
        <v>0</v>
      </c>
      <c r="AH51" s="308">
        <v>0</v>
      </c>
      <c r="AI51" s="308">
        <v>0</v>
      </c>
      <c r="AJ51" s="308">
        <f t="shared" ca="1" si="6"/>
        <v>0</v>
      </c>
      <c r="AK51" s="309">
        <v>0</v>
      </c>
      <c r="AL51" s="309">
        <v>0</v>
      </c>
      <c r="AM51" s="309">
        <f t="shared" si="19"/>
        <v>0</v>
      </c>
      <c r="AN51" s="310">
        <v>0</v>
      </c>
      <c r="AO51" s="310">
        <f t="shared" si="26"/>
        <v>0</v>
      </c>
      <c r="AP51" s="310">
        <f t="shared" si="20"/>
        <v>0</v>
      </c>
      <c r="AQ51" s="309">
        <v>0</v>
      </c>
      <c r="AR51" s="311">
        <f t="shared" ca="1" si="7"/>
        <v>0</v>
      </c>
      <c r="AS51" s="870">
        <f t="shared" ca="1" si="21"/>
        <v>0</v>
      </c>
      <c r="AT51" s="822"/>
      <c r="AU51" s="878"/>
      <c r="AV51" s="35"/>
      <c r="AW51" s="879"/>
      <c r="AX51" s="35"/>
      <c r="AY51" s="880"/>
      <c r="BA51" s="123">
        <f ca="1">IF($D$3="WasteReduction",WasteReduction!BE51,'GHG Emissions'!Q44)</f>
        <v>2634.1905497881035</v>
      </c>
      <c r="BB51" s="923">
        <f t="shared" si="27"/>
        <v>0</v>
      </c>
      <c r="BC51" s="259">
        <f t="shared" ca="1" si="22"/>
        <v>0</v>
      </c>
      <c r="BD51" s="123">
        <f t="shared" ca="1" si="23"/>
        <v>2634.1905497881035</v>
      </c>
    </row>
    <row r="52" spans="1:56">
      <c r="A52" s="303">
        <v>2043</v>
      </c>
      <c r="B52" s="304">
        <f ca="1">IF($D$3="BAU",UtilityDemand!C45,INDIRECT($D$3&amp;"!B"&amp;ROW(A52))+INDIRECT($D$3&amp;"!D"&amp;ROW(A52)))</f>
        <v>184820.24324457973</v>
      </c>
      <c r="C52" s="305">
        <v>0</v>
      </c>
      <c r="D52" s="306">
        <f t="shared" ca="1" si="8"/>
        <v>0</v>
      </c>
      <c r="E52" s="304">
        <f ca="1">IF($D$3="BAU",UtilityDemand!E45,INDIRECT($D$3&amp;"!E"&amp;ROW(D52))+INDIRECT($D$3&amp;"!G"&amp;ROW(D52)))</f>
        <v>984767.25051779393</v>
      </c>
      <c r="F52" s="305">
        <v>0</v>
      </c>
      <c r="G52" s="306">
        <f t="shared" ca="1" si="9"/>
        <v>0</v>
      </c>
      <c r="H52" s="304">
        <f ca="1">IF($D$3="BAU",UtilityDemand!G45,INDIRECT($D$3&amp;"!H"&amp;ROW(G52))+INDIRECT($D$3&amp;"!J"&amp;ROW(G52)))</f>
        <v>286460.22830056283</v>
      </c>
      <c r="I52" s="305">
        <v>0</v>
      </c>
      <c r="J52" s="306">
        <f t="shared" ca="1" si="24"/>
        <v>0</v>
      </c>
      <c r="K52" s="307">
        <f t="shared" ca="1" si="10"/>
        <v>184820.24324457973</v>
      </c>
      <c r="L52" s="307">
        <f t="shared" si="11"/>
        <v>0</v>
      </c>
      <c r="M52" s="307">
        <v>0</v>
      </c>
      <c r="N52" s="307">
        <f t="shared" ca="1" si="12"/>
        <v>184820.24324457973</v>
      </c>
      <c r="O52" s="306">
        <f t="shared" ca="1" si="13"/>
        <v>984767.25051779393</v>
      </c>
      <c r="P52" s="306">
        <f t="shared" si="14"/>
        <v>0</v>
      </c>
      <c r="Q52" s="306">
        <v>0</v>
      </c>
      <c r="R52" s="306">
        <f t="shared" ca="1" si="15"/>
        <v>984767.25051779393</v>
      </c>
      <c r="S52" s="818">
        <f t="shared" ca="1" si="16"/>
        <v>286460.22830056283</v>
      </c>
      <c r="T52" s="818">
        <f t="shared" si="17"/>
        <v>0</v>
      </c>
      <c r="U52" s="818">
        <v>0</v>
      </c>
      <c r="V52" s="818">
        <f t="shared" ca="1" si="18"/>
        <v>286460.22830056283</v>
      </c>
      <c r="W52" s="306">
        <f t="shared" si="1"/>
        <v>0</v>
      </c>
      <c r="X52" s="306">
        <f t="shared" ca="1" si="2"/>
        <v>0</v>
      </c>
      <c r="Y52" s="306">
        <v>0</v>
      </c>
      <c r="Z52" s="926">
        <f t="shared" ca="1" si="25"/>
        <v>0</v>
      </c>
      <c r="AA52" s="308">
        <f ca="1">-SUM(W52,X52/OFFSET(GridFootprintbyYear,$A52-$A$19,0)*EF_PurchElec_MTperMWh,Z52)*OFFSET(ExposureCalculations!Price_GHG_Allowance_2010,A52-$A$19,0)*ExposureCalculations!D49</f>
        <v>0</v>
      </c>
      <c r="AB52" s="308">
        <f t="shared" ca="1" si="3"/>
        <v>0</v>
      </c>
      <c r="AC52" s="308">
        <v>0</v>
      </c>
      <c r="AD52" s="819">
        <f t="shared" ca="1" si="4"/>
        <v>0</v>
      </c>
      <c r="AE52" s="308">
        <v>0</v>
      </c>
      <c r="AF52" s="819">
        <f t="shared" ca="1" si="5"/>
        <v>0</v>
      </c>
      <c r="AG52" s="308">
        <v>0</v>
      </c>
      <c r="AH52" s="308">
        <v>0</v>
      </c>
      <c r="AI52" s="308">
        <v>0</v>
      </c>
      <c r="AJ52" s="308">
        <f t="shared" ca="1" si="6"/>
        <v>0</v>
      </c>
      <c r="AK52" s="309">
        <v>0</v>
      </c>
      <c r="AL52" s="309">
        <v>0</v>
      </c>
      <c r="AM52" s="309">
        <f t="shared" si="19"/>
        <v>0</v>
      </c>
      <c r="AN52" s="310">
        <v>0</v>
      </c>
      <c r="AO52" s="310">
        <f t="shared" si="26"/>
        <v>0</v>
      </c>
      <c r="AP52" s="310">
        <f t="shared" si="20"/>
        <v>0</v>
      </c>
      <c r="AQ52" s="309">
        <v>0</v>
      </c>
      <c r="AR52" s="311">
        <f t="shared" ca="1" si="7"/>
        <v>0</v>
      </c>
      <c r="AS52" s="870">
        <f t="shared" ca="1" si="21"/>
        <v>0</v>
      </c>
      <c r="AT52" s="822"/>
      <c r="AU52" s="878"/>
      <c r="AV52" s="35"/>
      <c r="AW52" s="879"/>
      <c r="AX52" s="35"/>
      <c r="AY52" s="880"/>
      <c r="BA52" s="123">
        <f ca="1">IF($D$3="WasteReduction",WasteReduction!BE52,'GHG Emissions'!Q45)</f>
        <v>2635.8892785115581</v>
      </c>
      <c r="BB52" s="923">
        <f t="shared" si="27"/>
        <v>0</v>
      </c>
      <c r="BC52" s="259">
        <f t="shared" ca="1" si="22"/>
        <v>0</v>
      </c>
      <c r="BD52" s="123">
        <f t="shared" ca="1" si="23"/>
        <v>2635.8892785115581</v>
      </c>
    </row>
    <row r="53" spans="1:56">
      <c r="A53" s="303">
        <v>2044</v>
      </c>
      <c r="B53" s="304">
        <f ca="1">IF($D$3="BAU",UtilityDemand!C46,INDIRECT($D$3&amp;"!B"&amp;ROW(A53))+INDIRECT($D$3&amp;"!D"&amp;ROW(A53)))</f>
        <v>186396.86884543177</v>
      </c>
      <c r="C53" s="305">
        <v>0</v>
      </c>
      <c r="D53" s="306">
        <f t="shared" ca="1" si="8"/>
        <v>0</v>
      </c>
      <c r="E53" s="304">
        <f ca="1">IF($D$3="BAU",UtilityDemand!E46,INDIRECT($D$3&amp;"!E"&amp;ROW(D53))+INDIRECT($D$3&amp;"!G"&amp;ROW(D53)))</f>
        <v>993153.84964746935</v>
      </c>
      <c r="F53" s="305">
        <v>0</v>
      </c>
      <c r="G53" s="306">
        <f t="shared" ca="1" si="9"/>
        <v>0</v>
      </c>
      <c r="H53" s="304">
        <f ca="1">IF($D$3="BAU",UtilityDemand!G46,INDIRECT($D$3&amp;"!H"&amp;ROW(G53))+INDIRECT($D$3&amp;"!J"&amp;ROW(G53)))</f>
        <v>289524.76286316651</v>
      </c>
      <c r="I53" s="305">
        <v>0</v>
      </c>
      <c r="J53" s="306">
        <f t="shared" ca="1" si="24"/>
        <v>0</v>
      </c>
      <c r="K53" s="307">
        <f t="shared" ca="1" si="10"/>
        <v>186396.86884543177</v>
      </c>
      <c r="L53" s="307">
        <f t="shared" si="11"/>
        <v>0</v>
      </c>
      <c r="M53" s="307">
        <v>0</v>
      </c>
      <c r="N53" s="307">
        <f t="shared" ca="1" si="12"/>
        <v>186396.86884543177</v>
      </c>
      <c r="O53" s="306">
        <f t="shared" ca="1" si="13"/>
        <v>993153.84964746935</v>
      </c>
      <c r="P53" s="306">
        <f t="shared" si="14"/>
        <v>0</v>
      </c>
      <c r="Q53" s="306">
        <v>0</v>
      </c>
      <c r="R53" s="306">
        <f t="shared" ca="1" si="15"/>
        <v>993153.84964746935</v>
      </c>
      <c r="S53" s="818">
        <f t="shared" ca="1" si="16"/>
        <v>289524.76286316651</v>
      </c>
      <c r="T53" s="818">
        <f t="shared" si="17"/>
        <v>0</v>
      </c>
      <c r="U53" s="818">
        <v>0</v>
      </c>
      <c r="V53" s="818">
        <f t="shared" ca="1" si="18"/>
        <v>289524.76286316651</v>
      </c>
      <c r="W53" s="306">
        <f t="shared" si="1"/>
        <v>0</v>
      </c>
      <c r="X53" s="306">
        <f t="shared" ca="1" si="2"/>
        <v>0</v>
      </c>
      <c r="Y53" s="306">
        <v>0</v>
      </c>
      <c r="Z53" s="926">
        <f t="shared" ca="1" si="25"/>
        <v>0</v>
      </c>
      <c r="AA53" s="308">
        <f ca="1">-SUM(W53,X53/OFFSET(GridFootprintbyYear,$A53-$A$19,0)*EF_PurchElec_MTperMWh,Z53)*OFFSET(ExposureCalculations!Price_GHG_Allowance_2010,A53-$A$19,0)*ExposureCalculations!D50</f>
        <v>0</v>
      </c>
      <c r="AB53" s="308">
        <f t="shared" ca="1" si="3"/>
        <v>0</v>
      </c>
      <c r="AC53" s="308">
        <v>0</v>
      </c>
      <c r="AD53" s="819">
        <f t="shared" ca="1" si="4"/>
        <v>0</v>
      </c>
      <c r="AE53" s="308">
        <v>0</v>
      </c>
      <c r="AF53" s="819">
        <f t="shared" ca="1" si="5"/>
        <v>0</v>
      </c>
      <c r="AG53" s="308">
        <v>0</v>
      </c>
      <c r="AH53" s="308">
        <v>0</v>
      </c>
      <c r="AI53" s="308">
        <v>0</v>
      </c>
      <c r="AJ53" s="308">
        <f t="shared" ca="1" si="6"/>
        <v>0</v>
      </c>
      <c r="AK53" s="309">
        <v>0</v>
      </c>
      <c r="AL53" s="309">
        <v>0</v>
      </c>
      <c r="AM53" s="309">
        <f t="shared" si="19"/>
        <v>0</v>
      </c>
      <c r="AN53" s="310">
        <v>0</v>
      </c>
      <c r="AO53" s="310">
        <f t="shared" si="26"/>
        <v>0</v>
      </c>
      <c r="AP53" s="310">
        <f t="shared" si="20"/>
        <v>0</v>
      </c>
      <c r="AQ53" s="309">
        <v>0</v>
      </c>
      <c r="AR53" s="311">
        <f t="shared" ca="1" si="7"/>
        <v>0</v>
      </c>
      <c r="AS53" s="870">
        <f t="shared" ca="1" si="21"/>
        <v>0</v>
      </c>
      <c r="AT53" s="822"/>
      <c r="AU53" s="878"/>
      <c r="AV53" s="35"/>
      <c r="AW53" s="879"/>
      <c r="AX53" s="35"/>
      <c r="AY53" s="880"/>
      <c r="BA53" s="123">
        <f ca="1">IF($D$3="WasteReduction",WasteReduction!BE53,'GHG Emissions'!Q46)</f>
        <v>2637.5632042810043</v>
      </c>
      <c r="BB53" s="923">
        <f t="shared" si="27"/>
        <v>0</v>
      </c>
      <c r="BC53" s="259">
        <f t="shared" ca="1" si="22"/>
        <v>0</v>
      </c>
      <c r="BD53" s="123">
        <f t="shared" ca="1" si="23"/>
        <v>2637.5632042810043</v>
      </c>
    </row>
    <row r="54" spans="1:56">
      <c r="A54" s="303">
        <v>2045</v>
      </c>
      <c r="B54" s="304">
        <f ca="1">IF($D$3="BAU",UtilityDemand!C47,INDIRECT($D$3&amp;"!B"&amp;ROW(A54))+INDIRECT($D$3&amp;"!D"&amp;ROW(A54)))</f>
        <v>187973.49444628376</v>
      </c>
      <c r="C54" s="305">
        <v>0</v>
      </c>
      <c r="D54" s="306">
        <f t="shared" ca="1" si="8"/>
        <v>0</v>
      </c>
      <c r="E54" s="304">
        <f ca="1">IF($D$3="BAU",UtilityDemand!E47,INDIRECT($D$3&amp;"!E"&amp;ROW(D54))+INDIRECT($D$3&amp;"!G"&amp;ROW(D54)))</f>
        <v>1001540.4487771448</v>
      </c>
      <c r="F54" s="305">
        <v>0</v>
      </c>
      <c r="G54" s="306">
        <f t="shared" ca="1" si="9"/>
        <v>0</v>
      </c>
      <c r="H54" s="304">
        <f ca="1">IF($D$3="BAU",UtilityDemand!G47,INDIRECT($D$3&amp;"!H"&amp;ROW(G54))+INDIRECT($D$3&amp;"!J"&amp;ROW(G54)))</f>
        <v>292589.2974257702</v>
      </c>
      <c r="I54" s="305">
        <v>0</v>
      </c>
      <c r="J54" s="306">
        <f t="shared" ca="1" si="24"/>
        <v>0</v>
      </c>
      <c r="K54" s="307">
        <f t="shared" ca="1" si="10"/>
        <v>187973.49444628376</v>
      </c>
      <c r="L54" s="307">
        <f t="shared" si="11"/>
        <v>0</v>
      </c>
      <c r="M54" s="307">
        <v>0</v>
      </c>
      <c r="N54" s="307">
        <f t="shared" ca="1" si="12"/>
        <v>187973.49444628376</v>
      </c>
      <c r="O54" s="306">
        <f t="shared" ca="1" si="13"/>
        <v>1001540.4487771448</v>
      </c>
      <c r="P54" s="306">
        <f t="shared" si="14"/>
        <v>0</v>
      </c>
      <c r="Q54" s="306">
        <v>0</v>
      </c>
      <c r="R54" s="306">
        <f t="shared" ca="1" si="15"/>
        <v>1001540.4487771448</v>
      </c>
      <c r="S54" s="818">
        <f t="shared" ca="1" si="16"/>
        <v>292589.2974257702</v>
      </c>
      <c r="T54" s="818">
        <f t="shared" si="17"/>
        <v>0</v>
      </c>
      <c r="U54" s="818">
        <v>0</v>
      </c>
      <c r="V54" s="818">
        <f t="shared" ca="1" si="18"/>
        <v>292589.2974257702</v>
      </c>
      <c r="W54" s="306">
        <f t="shared" si="1"/>
        <v>0</v>
      </c>
      <c r="X54" s="306">
        <f t="shared" ca="1" si="2"/>
        <v>0</v>
      </c>
      <c r="Y54" s="306">
        <v>0</v>
      </c>
      <c r="Z54" s="926">
        <f t="shared" ca="1" si="25"/>
        <v>0</v>
      </c>
      <c r="AA54" s="308">
        <f ca="1">-SUM(W54,X54/OFFSET(GridFootprintbyYear,$A54-$A$19,0)*EF_PurchElec_MTperMWh,Z54)*OFFSET(ExposureCalculations!Price_GHG_Allowance_2010,A54-$A$19,0)*ExposureCalculations!D51</f>
        <v>0</v>
      </c>
      <c r="AB54" s="308">
        <f t="shared" ca="1" si="3"/>
        <v>0</v>
      </c>
      <c r="AC54" s="308">
        <v>0</v>
      </c>
      <c r="AD54" s="819">
        <f t="shared" ca="1" si="4"/>
        <v>0</v>
      </c>
      <c r="AE54" s="308">
        <v>0</v>
      </c>
      <c r="AF54" s="819">
        <f t="shared" ca="1" si="5"/>
        <v>0</v>
      </c>
      <c r="AG54" s="308">
        <v>0</v>
      </c>
      <c r="AH54" s="308">
        <v>0</v>
      </c>
      <c r="AI54" s="308">
        <v>0</v>
      </c>
      <c r="AJ54" s="308">
        <f t="shared" ca="1" si="6"/>
        <v>0</v>
      </c>
      <c r="AK54" s="309">
        <v>0</v>
      </c>
      <c r="AL54" s="309">
        <v>0</v>
      </c>
      <c r="AM54" s="309">
        <f t="shared" si="19"/>
        <v>0</v>
      </c>
      <c r="AN54" s="310">
        <v>0</v>
      </c>
      <c r="AO54" s="310">
        <f t="shared" si="26"/>
        <v>0</v>
      </c>
      <c r="AP54" s="310">
        <f t="shared" si="20"/>
        <v>0</v>
      </c>
      <c r="AQ54" s="309">
        <v>0</v>
      </c>
      <c r="AR54" s="311">
        <f t="shared" ca="1" si="7"/>
        <v>0</v>
      </c>
      <c r="AS54" s="870">
        <f t="shared" ca="1" si="21"/>
        <v>0</v>
      </c>
      <c r="AT54" s="822"/>
      <c r="AU54" s="878"/>
      <c r="AV54" s="35"/>
      <c r="AW54" s="879"/>
      <c r="AX54" s="35"/>
      <c r="AY54" s="880"/>
      <c r="BA54" s="123">
        <f ca="1">IF($D$3="WasteReduction",WasteReduction!BE54,'GHG Emissions'!Q47)</f>
        <v>2639.2133828127144</v>
      </c>
      <c r="BB54" s="923">
        <f t="shared" si="27"/>
        <v>0</v>
      </c>
      <c r="BC54" s="259">
        <f t="shared" ca="1" si="22"/>
        <v>0</v>
      </c>
      <c r="BD54" s="123">
        <f t="shared" ca="1" si="23"/>
        <v>2639.2133828127144</v>
      </c>
    </row>
    <row r="55" spans="1:56">
      <c r="A55" s="303">
        <v>2046</v>
      </c>
      <c r="B55" s="304">
        <f ca="1">IF($D$3="BAU",UtilityDemand!C48,INDIRECT($D$3&amp;"!B"&amp;ROW(A55))+INDIRECT($D$3&amp;"!D"&amp;ROW(A55)))</f>
        <v>189550.12004713583</v>
      </c>
      <c r="C55" s="305">
        <v>0</v>
      </c>
      <c r="D55" s="306">
        <f t="shared" ca="1" si="8"/>
        <v>0</v>
      </c>
      <c r="E55" s="304">
        <f ca="1">IF($D$3="BAU",UtilityDemand!E48,INDIRECT($D$3&amp;"!E"&amp;ROW(D55))+INDIRECT($D$3&amp;"!G"&amp;ROW(D55)))</f>
        <v>1009927.04790682</v>
      </c>
      <c r="F55" s="305">
        <v>0</v>
      </c>
      <c r="G55" s="306">
        <f t="shared" ca="1" si="9"/>
        <v>0</v>
      </c>
      <c r="H55" s="304">
        <f ca="1">IF($D$3="BAU",UtilityDemand!G48,INDIRECT($D$3&amp;"!H"&amp;ROW(G55))+INDIRECT($D$3&amp;"!J"&amp;ROW(G55)))</f>
        <v>295653.83198837389</v>
      </c>
      <c r="I55" s="305">
        <v>0</v>
      </c>
      <c r="J55" s="306">
        <f t="shared" ca="1" si="24"/>
        <v>0</v>
      </c>
      <c r="K55" s="307">
        <f t="shared" ca="1" si="10"/>
        <v>189550.12004713583</v>
      </c>
      <c r="L55" s="307">
        <f t="shared" si="11"/>
        <v>0</v>
      </c>
      <c r="M55" s="307">
        <v>0</v>
      </c>
      <c r="N55" s="307">
        <f t="shared" ca="1" si="12"/>
        <v>189550.12004713583</v>
      </c>
      <c r="O55" s="306">
        <f t="shared" ca="1" si="13"/>
        <v>1009927.04790682</v>
      </c>
      <c r="P55" s="306">
        <f t="shared" si="14"/>
        <v>0</v>
      </c>
      <c r="Q55" s="306">
        <v>0</v>
      </c>
      <c r="R55" s="306">
        <f t="shared" ca="1" si="15"/>
        <v>1009927.04790682</v>
      </c>
      <c r="S55" s="818">
        <f t="shared" ca="1" si="16"/>
        <v>295653.83198837389</v>
      </c>
      <c r="T55" s="818">
        <f t="shared" si="17"/>
        <v>0</v>
      </c>
      <c r="U55" s="818">
        <v>0</v>
      </c>
      <c r="V55" s="818">
        <f t="shared" ca="1" si="18"/>
        <v>295653.83198837389</v>
      </c>
      <c r="W55" s="306">
        <f t="shared" si="1"/>
        <v>0</v>
      </c>
      <c r="X55" s="306">
        <f t="shared" ca="1" si="2"/>
        <v>0</v>
      </c>
      <c r="Y55" s="306">
        <v>0</v>
      </c>
      <c r="Z55" s="926">
        <f t="shared" ca="1" si="25"/>
        <v>0</v>
      </c>
      <c r="AA55" s="308">
        <f ca="1">-SUM(W55,X55/OFFSET(GridFootprintbyYear,$A55-$A$19,0)*EF_PurchElec_MTperMWh,Z55)*OFFSET(ExposureCalculations!Price_GHG_Allowance_2010,A55-$A$19,0)*ExposureCalculations!D52</f>
        <v>0</v>
      </c>
      <c r="AB55" s="308">
        <f t="shared" ca="1" si="3"/>
        <v>0</v>
      </c>
      <c r="AC55" s="308">
        <v>0</v>
      </c>
      <c r="AD55" s="819">
        <f t="shared" ca="1" si="4"/>
        <v>0</v>
      </c>
      <c r="AE55" s="308">
        <v>0</v>
      </c>
      <c r="AF55" s="819">
        <f t="shared" ca="1" si="5"/>
        <v>0</v>
      </c>
      <c r="AG55" s="308">
        <v>0</v>
      </c>
      <c r="AH55" s="308">
        <v>0</v>
      </c>
      <c r="AI55" s="308">
        <v>0</v>
      </c>
      <c r="AJ55" s="308">
        <f t="shared" ca="1" si="6"/>
        <v>0</v>
      </c>
      <c r="AK55" s="309">
        <v>0</v>
      </c>
      <c r="AL55" s="309">
        <v>0</v>
      </c>
      <c r="AM55" s="309">
        <f t="shared" si="19"/>
        <v>0</v>
      </c>
      <c r="AN55" s="310">
        <v>0</v>
      </c>
      <c r="AO55" s="310">
        <f t="shared" si="26"/>
        <v>0</v>
      </c>
      <c r="AP55" s="310">
        <f t="shared" si="20"/>
        <v>0</v>
      </c>
      <c r="AQ55" s="309">
        <v>0</v>
      </c>
      <c r="AR55" s="311">
        <f t="shared" ca="1" si="7"/>
        <v>0</v>
      </c>
      <c r="AS55" s="870">
        <f t="shared" ca="1" si="21"/>
        <v>0</v>
      </c>
      <c r="AT55" s="822"/>
      <c r="AU55" s="878"/>
      <c r="AV55" s="35"/>
      <c r="AW55" s="879"/>
      <c r="AX55" s="35"/>
      <c r="AY55" s="880"/>
      <c r="BA55" s="123">
        <f ca="1">IF($D$3="WasteReduction",WasteReduction!BE55,'GHG Emissions'!Q48)</f>
        <v>2640.8407969898044</v>
      </c>
      <c r="BB55" s="923">
        <f t="shared" si="27"/>
        <v>0</v>
      </c>
      <c r="BC55" s="259">
        <f t="shared" ca="1" si="22"/>
        <v>0</v>
      </c>
      <c r="BD55" s="123">
        <f t="shared" ca="1" si="23"/>
        <v>2640.8407969898044</v>
      </c>
    </row>
    <row r="56" spans="1:56">
      <c r="A56" s="303">
        <v>2047</v>
      </c>
      <c r="B56" s="304">
        <f ca="1">IF($D$3="BAU",UtilityDemand!C49,INDIRECT($D$3&amp;"!B"&amp;ROW(A56))+INDIRECT($D$3&amp;"!D"&amp;ROW(A56)))</f>
        <v>191126.74564798782</v>
      </c>
      <c r="C56" s="305">
        <v>0</v>
      </c>
      <c r="D56" s="306">
        <f t="shared" ca="1" si="8"/>
        <v>0</v>
      </c>
      <c r="E56" s="304">
        <f ca="1">IF($D$3="BAU",UtilityDemand!E49,INDIRECT($D$3&amp;"!E"&amp;ROW(D56))+INDIRECT($D$3&amp;"!G"&amp;ROW(D56)))</f>
        <v>1018313.6470364953</v>
      </c>
      <c r="F56" s="305">
        <v>0</v>
      </c>
      <c r="G56" s="306">
        <f t="shared" ca="1" si="9"/>
        <v>0</v>
      </c>
      <c r="H56" s="304">
        <f ca="1">IF($D$3="BAU",UtilityDemand!G49,INDIRECT($D$3&amp;"!H"&amp;ROW(G56))+INDIRECT($D$3&amp;"!J"&amp;ROW(G56)))</f>
        <v>298718.36655097757</v>
      </c>
      <c r="I56" s="305">
        <v>0</v>
      </c>
      <c r="J56" s="306">
        <f t="shared" ca="1" si="24"/>
        <v>0</v>
      </c>
      <c r="K56" s="307">
        <f t="shared" ca="1" si="10"/>
        <v>191126.74564798782</v>
      </c>
      <c r="L56" s="307">
        <f t="shared" si="11"/>
        <v>0</v>
      </c>
      <c r="M56" s="307">
        <v>0</v>
      </c>
      <c r="N56" s="307">
        <f t="shared" ca="1" si="12"/>
        <v>191126.74564798782</v>
      </c>
      <c r="O56" s="306">
        <f t="shared" ca="1" si="13"/>
        <v>1018313.6470364953</v>
      </c>
      <c r="P56" s="306">
        <f t="shared" si="14"/>
        <v>0</v>
      </c>
      <c r="Q56" s="306">
        <v>0</v>
      </c>
      <c r="R56" s="306">
        <f t="shared" ca="1" si="15"/>
        <v>1018313.6470364953</v>
      </c>
      <c r="S56" s="818">
        <f t="shared" ca="1" si="16"/>
        <v>298718.36655097757</v>
      </c>
      <c r="T56" s="818">
        <f t="shared" si="17"/>
        <v>0</v>
      </c>
      <c r="U56" s="818">
        <v>0</v>
      </c>
      <c r="V56" s="818">
        <f t="shared" ca="1" si="18"/>
        <v>298718.36655097757</v>
      </c>
      <c r="W56" s="306">
        <f t="shared" si="1"/>
        <v>0</v>
      </c>
      <c r="X56" s="306">
        <f t="shared" ca="1" si="2"/>
        <v>0</v>
      </c>
      <c r="Y56" s="306">
        <v>0</v>
      </c>
      <c r="Z56" s="926">
        <f t="shared" ca="1" si="25"/>
        <v>0</v>
      </c>
      <c r="AA56" s="308">
        <f ca="1">-SUM(W56,X56/OFFSET(GridFootprintbyYear,$A56-$A$19,0)*EF_PurchElec_MTperMWh,Z56)*OFFSET(ExposureCalculations!Price_GHG_Allowance_2010,A56-$A$19,0)*ExposureCalculations!D53</f>
        <v>0</v>
      </c>
      <c r="AB56" s="308">
        <f t="shared" ca="1" si="3"/>
        <v>0</v>
      </c>
      <c r="AC56" s="308">
        <v>0</v>
      </c>
      <c r="AD56" s="819">
        <f t="shared" ca="1" si="4"/>
        <v>0</v>
      </c>
      <c r="AE56" s="308">
        <v>0</v>
      </c>
      <c r="AF56" s="819">
        <f t="shared" ca="1" si="5"/>
        <v>0</v>
      </c>
      <c r="AG56" s="308">
        <v>0</v>
      </c>
      <c r="AH56" s="308">
        <v>0</v>
      </c>
      <c r="AI56" s="308">
        <v>0</v>
      </c>
      <c r="AJ56" s="308">
        <f t="shared" ca="1" si="6"/>
        <v>0</v>
      </c>
      <c r="AK56" s="309">
        <v>0</v>
      </c>
      <c r="AL56" s="309">
        <v>0</v>
      </c>
      <c r="AM56" s="309">
        <f t="shared" si="19"/>
        <v>0</v>
      </c>
      <c r="AN56" s="310">
        <v>0</v>
      </c>
      <c r="AO56" s="310">
        <f t="shared" si="26"/>
        <v>0</v>
      </c>
      <c r="AP56" s="310">
        <f t="shared" si="20"/>
        <v>0</v>
      </c>
      <c r="AQ56" s="309">
        <v>0</v>
      </c>
      <c r="AR56" s="311">
        <f t="shared" ca="1" si="7"/>
        <v>0</v>
      </c>
      <c r="AS56" s="870">
        <f t="shared" ca="1" si="21"/>
        <v>0</v>
      </c>
      <c r="AT56" s="822"/>
      <c r="AU56" s="878"/>
      <c r="AV56" s="35"/>
      <c r="AW56" s="879"/>
      <c r="AX56" s="35"/>
      <c r="AY56" s="880"/>
      <c r="BA56" s="123">
        <f ca="1">IF($D$3="WasteReduction",WasteReduction!BE56,'GHG Emissions'!Q49)</f>
        <v>2642.4463637085332</v>
      </c>
      <c r="BB56" s="923">
        <f t="shared" si="27"/>
        <v>0</v>
      </c>
      <c r="BC56" s="259">
        <f t="shared" ca="1" si="22"/>
        <v>0</v>
      </c>
      <c r="BD56" s="123">
        <f t="shared" ca="1" si="23"/>
        <v>2642.4463637085332</v>
      </c>
    </row>
    <row r="57" spans="1:56">
      <c r="A57" s="303">
        <v>2048</v>
      </c>
      <c r="B57" s="304">
        <f ca="1">IF($D$3="BAU",UtilityDemand!C50,INDIRECT($D$3&amp;"!B"&amp;ROW(A57))+INDIRECT($D$3&amp;"!D"&amp;ROW(A57)))</f>
        <v>192703.37124883989</v>
      </c>
      <c r="C57" s="305">
        <v>0</v>
      </c>
      <c r="D57" s="306">
        <f t="shared" ca="1" si="8"/>
        <v>0</v>
      </c>
      <c r="E57" s="304">
        <f ca="1">IF($D$3="BAU",UtilityDemand!E50,INDIRECT($D$3&amp;"!E"&amp;ROW(D57))+INDIRECT($D$3&amp;"!G"&amp;ROW(D57)))</f>
        <v>1026700.2461661708</v>
      </c>
      <c r="F57" s="305">
        <v>0</v>
      </c>
      <c r="G57" s="306">
        <f t="shared" ca="1" si="9"/>
        <v>0</v>
      </c>
      <c r="H57" s="304">
        <f ca="1">IF($D$3="BAU",UtilityDemand!G50,INDIRECT($D$3&amp;"!H"&amp;ROW(G57))+INDIRECT($D$3&amp;"!J"&amp;ROW(G57)))</f>
        <v>301782.90111358126</v>
      </c>
      <c r="I57" s="305">
        <v>0</v>
      </c>
      <c r="J57" s="306">
        <f t="shared" ca="1" si="24"/>
        <v>0</v>
      </c>
      <c r="K57" s="307">
        <f t="shared" ca="1" si="10"/>
        <v>192703.37124883989</v>
      </c>
      <c r="L57" s="307">
        <f t="shared" si="11"/>
        <v>0</v>
      </c>
      <c r="M57" s="307">
        <v>0</v>
      </c>
      <c r="N57" s="307">
        <f t="shared" ca="1" si="12"/>
        <v>192703.37124883989</v>
      </c>
      <c r="O57" s="306">
        <f t="shared" ca="1" si="13"/>
        <v>1026700.2461661708</v>
      </c>
      <c r="P57" s="306">
        <f t="shared" si="14"/>
        <v>0</v>
      </c>
      <c r="Q57" s="306">
        <v>0</v>
      </c>
      <c r="R57" s="306">
        <f t="shared" ca="1" si="15"/>
        <v>1026700.2461661708</v>
      </c>
      <c r="S57" s="818">
        <f t="shared" ca="1" si="16"/>
        <v>301782.90111358126</v>
      </c>
      <c r="T57" s="818">
        <f t="shared" si="17"/>
        <v>0</v>
      </c>
      <c r="U57" s="818">
        <v>0</v>
      </c>
      <c r="V57" s="818">
        <f t="shared" ca="1" si="18"/>
        <v>301782.90111358126</v>
      </c>
      <c r="W57" s="306">
        <f t="shared" si="1"/>
        <v>0</v>
      </c>
      <c r="X57" s="306">
        <f t="shared" ca="1" si="2"/>
        <v>0</v>
      </c>
      <c r="Y57" s="306">
        <v>0</v>
      </c>
      <c r="Z57" s="926">
        <f t="shared" ca="1" si="25"/>
        <v>0</v>
      </c>
      <c r="AA57" s="308">
        <f ca="1">-SUM(W57,X57/OFFSET(GridFootprintbyYear,$A57-$A$19,0)*EF_PurchElec_MTperMWh,Z57)*OFFSET(ExposureCalculations!Price_GHG_Allowance_2010,A57-$A$19,0)*ExposureCalculations!D54</f>
        <v>0</v>
      </c>
      <c r="AB57" s="308">
        <f t="shared" ca="1" si="3"/>
        <v>0</v>
      </c>
      <c r="AC57" s="308">
        <v>0</v>
      </c>
      <c r="AD57" s="819">
        <f t="shared" ca="1" si="4"/>
        <v>0</v>
      </c>
      <c r="AE57" s="308">
        <v>0</v>
      </c>
      <c r="AF57" s="819">
        <f t="shared" ca="1" si="5"/>
        <v>0</v>
      </c>
      <c r="AG57" s="308">
        <v>0</v>
      </c>
      <c r="AH57" s="308">
        <v>0</v>
      </c>
      <c r="AI57" s="308">
        <v>0</v>
      </c>
      <c r="AJ57" s="308">
        <f t="shared" ca="1" si="6"/>
        <v>0</v>
      </c>
      <c r="AK57" s="309">
        <v>0</v>
      </c>
      <c r="AL57" s="309">
        <v>0</v>
      </c>
      <c r="AM57" s="309">
        <f t="shared" si="19"/>
        <v>0</v>
      </c>
      <c r="AN57" s="310">
        <v>0</v>
      </c>
      <c r="AO57" s="310">
        <f t="shared" si="26"/>
        <v>0</v>
      </c>
      <c r="AP57" s="310">
        <f t="shared" si="20"/>
        <v>0</v>
      </c>
      <c r="AQ57" s="309">
        <v>0</v>
      </c>
      <c r="AR57" s="311">
        <f t="shared" ca="1" si="7"/>
        <v>0</v>
      </c>
      <c r="AS57" s="870">
        <f t="shared" ca="1" si="21"/>
        <v>0</v>
      </c>
      <c r="AT57" s="822"/>
      <c r="AU57" s="878"/>
      <c r="AV57" s="35"/>
      <c r="AW57" s="879"/>
      <c r="AX57" s="35"/>
      <c r="AY57" s="880"/>
      <c r="BA57" s="123">
        <f ca="1">IF($D$3="WasteReduction",WasteReduction!BE57,'GHG Emissions'!Q50)</f>
        <v>2644.0309399187554</v>
      </c>
      <c r="BB57" s="923">
        <f t="shared" si="27"/>
        <v>0</v>
      </c>
      <c r="BC57" s="259">
        <f t="shared" ca="1" si="22"/>
        <v>0</v>
      </c>
      <c r="BD57" s="123">
        <f t="shared" ca="1" si="23"/>
        <v>2644.0309399187554</v>
      </c>
    </row>
    <row r="58" spans="1:56">
      <c r="A58" s="303">
        <v>2049</v>
      </c>
      <c r="B58" s="304">
        <f ca="1">IF($D$3="BAU",UtilityDemand!C51,INDIRECT($D$3&amp;"!B"&amp;ROW(A58))+INDIRECT($D$3&amp;"!D"&amp;ROW(A58)))</f>
        <v>194279.99684969187</v>
      </c>
      <c r="C58" s="305">
        <v>0</v>
      </c>
      <c r="D58" s="306">
        <f t="shared" ca="1" si="8"/>
        <v>0</v>
      </c>
      <c r="E58" s="304">
        <f ca="1">IF($D$3="BAU",UtilityDemand!E51,INDIRECT($D$3&amp;"!E"&amp;ROW(D58))+INDIRECT($D$3&amp;"!G"&amp;ROW(D58)))</f>
        <v>1035086.8452958462</v>
      </c>
      <c r="F58" s="305">
        <v>0</v>
      </c>
      <c r="G58" s="306">
        <f t="shared" ca="1" si="9"/>
        <v>0</v>
      </c>
      <c r="H58" s="304">
        <f ca="1">IF($D$3="BAU",UtilityDemand!G51,INDIRECT($D$3&amp;"!H"&amp;ROW(G58))+INDIRECT($D$3&amp;"!J"&amp;ROW(G58)))</f>
        <v>304847.43567618495</v>
      </c>
      <c r="I58" s="305">
        <v>0</v>
      </c>
      <c r="J58" s="306">
        <f t="shared" ca="1" si="24"/>
        <v>0</v>
      </c>
      <c r="K58" s="307">
        <f t="shared" ca="1" si="10"/>
        <v>194279.99684969187</v>
      </c>
      <c r="L58" s="307">
        <f t="shared" si="11"/>
        <v>0</v>
      </c>
      <c r="M58" s="307">
        <v>0</v>
      </c>
      <c r="N58" s="307">
        <f t="shared" ca="1" si="12"/>
        <v>194279.99684969187</v>
      </c>
      <c r="O58" s="306">
        <f t="shared" ca="1" si="13"/>
        <v>1035086.8452958462</v>
      </c>
      <c r="P58" s="306">
        <f t="shared" si="14"/>
        <v>0</v>
      </c>
      <c r="Q58" s="306">
        <v>0</v>
      </c>
      <c r="R58" s="306">
        <f t="shared" ca="1" si="15"/>
        <v>1035086.8452958462</v>
      </c>
      <c r="S58" s="818">
        <f t="shared" ca="1" si="16"/>
        <v>304847.43567618495</v>
      </c>
      <c r="T58" s="818">
        <f t="shared" si="17"/>
        <v>0</v>
      </c>
      <c r="U58" s="818">
        <v>0</v>
      </c>
      <c r="V58" s="818">
        <f t="shared" ca="1" si="18"/>
        <v>304847.43567618495</v>
      </c>
      <c r="W58" s="306">
        <f t="shared" si="1"/>
        <v>0</v>
      </c>
      <c r="X58" s="306">
        <f t="shared" ca="1" si="2"/>
        <v>0</v>
      </c>
      <c r="Y58" s="306">
        <v>0</v>
      </c>
      <c r="Z58" s="926">
        <f t="shared" ca="1" si="25"/>
        <v>0</v>
      </c>
      <c r="AA58" s="308">
        <f ca="1">-SUM(W58,X58/OFFSET(GridFootprintbyYear,$A58-$A$19,0)*EF_PurchElec_MTperMWh,Z58)*OFFSET(ExposureCalculations!Price_GHG_Allowance_2010,A58-$A$19,0)*ExposureCalculations!D55</f>
        <v>0</v>
      </c>
      <c r="AB58" s="308">
        <f t="shared" ca="1" si="3"/>
        <v>0</v>
      </c>
      <c r="AC58" s="308">
        <v>0</v>
      </c>
      <c r="AD58" s="819">
        <f t="shared" ca="1" si="4"/>
        <v>0</v>
      </c>
      <c r="AE58" s="308">
        <v>0</v>
      </c>
      <c r="AF58" s="819">
        <f t="shared" ca="1" si="5"/>
        <v>0</v>
      </c>
      <c r="AG58" s="308">
        <v>0</v>
      </c>
      <c r="AH58" s="308">
        <v>0</v>
      </c>
      <c r="AI58" s="308">
        <v>0</v>
      </c>
      <c r="AJ58" s="308">
        <f t="shared" ca="1" si="6"/>
        <v>0</v>
      </c>
      <c r="AK58" s="309">
        <v>0</v>
      </c>
      <c r="AL58" s="309">
        <v>0</v>
      </c>
      <c r="AM58" s="309">
        <f t="shared" si="19"/>
        <v>0</v>
      </c>
      <c r="AN58" s="310">
        <v>0</v>
      </c>
      <c r="AO58" s="310">
        <f t="shared" si="26"/>
        <v>0</v>
      </c>
      <c r="AP58" s="310">
        <f t="shared" si="20"/>
        <v>0</v>
      </c>
      <c r="AQ58" s="309">
        <v>0</v>
      </c>
      <c r="AR58" s="311">
        <f t="shared" ca="1" si="7"/>
        <v>0</v>
      </c>
      <c r="AS58" s="870">
        <f t="shared" ca="1" si="21"/>
        <v>0</v>
      </c>
      <c r="AT58" s="822"/>
      <c r="AU58" s="878"/>
      <c r="AV58" s="35"/>
      <c r="AW58" s="879"/>
      <c r="AX58" s="35"/>
      <c r="AY58" s="880"/>
      <c r="BA58" s="123">
        <f ca="1">IF($D$3="WasteReduction",WasteReduction!BE58,'GHG Emissions'!Q51)</f>
        <v>2645.595327971504</v>
      </c>
      <c r="BB58" s="923">
        <f t="shared" si="27"/>
        <v>0</v>
      </c>
      <c r="BC58" s="259">
        <f t="shared" ca="1" si="22"/>
        <v>0</v>
      </c>
      <c r="BD58" s="123">
        <f t="shared" ca="1" si="23"/>
        <v>2645.595327971504</v>
      </c>
    </row>
    <row r="59" spans="1:56">
      <c r="A59" s="303">
        <v>2050</v>
      </c>
      <c r="B59" s="304">
        <f ca="1">IF($D$3="BAU",UtilityDemand!C52,INDIRECT($D$3&amp;"!B"&amp;ROW(A59))+INDIRECT($D$3&amp;"!D"&amp;ROW(A59)))</f>
        <v>195856.62245054395</v>
      </c>
      <c r="C59" s="305">
        <v>0</v>
      </c>
      <c r="D59" s="306">
        <f t="shared" ca="1" si="8"/>
        <v>0</v>
      </c>
      <c r="E59" s="304">
        <f ca="1">IF($D$3="BAU",UtilityDemand!E52,INDIRECT($D$3&amp;"!E"&amp;ROW(D59))+INDIRECT($D$3&amp;"!G"&amp;ROW(D59)))</f>
        <v>1043473.4444255217</v>
      </c>
      <c r="F59" s="305">
        <v>0</v>
      </c>
      <c r="G59" s="306">
        <f t="shared" ca="1" si="9"/>
        <v>0</v>
      </c>
      <c r="H59" s="304">
        <f ca="1">IF($D$3="BAU",UtilityDemand!G52,INDIRECT($D$3&amp;"!H"&amp;ROW(G59))+INDIRECT($D$3&amp;"!J"&amp;ROW(G59)))</f>
        <v>307911.97023878864</v>
      </c>
      <c r="I59" s="305">
        <v>0</v>
      </c>
      <c r="J59" s="306">
        <f t="shared" ca="1" si="24"/>
        <v>0</v>
      </c>
      <c r="K59" s="307">
        <f t="shared" ca="1" si="10"/>
        <v>195856.62245054395</v>
      </c>
      <c r="L59" s="307">
        <f t="shared" si="11"/>
        <v>0</v>
      </c>
      <c r="M59" s="307">
        <v>0</v>
      </c>
      <c r="N59" s="307">
        <f t="shared" ca="1" si="12"/>
        <v>195856.62245054395</v>
      </c>
      <c r="O59" s="306">
        <f t="shared" ca="1" si="13"/>
        <v>1043473.4444255217</v>
      </c>
      <c r="P59" s="306">
        <f t="shared" si="14"/>
        <v>0</v>
      </c>
      <c r="Q59" s="306">
        <v>0</v>
      </c>
      <c r="R59" s="306">
        <f t="shared" ca="1" si="15"/>
        <v>1043473.4444255217</v>
      </c>
      <c r="S59" s="818">
        <f t="shared" ca="1" si="16"/>
        <v>307911.97023878864</v>
      </c>
      <c r="T59" s="818">
        <f t="shared" si="17"/>
        <v>0</v>
      </c>
      <c r="U59" s="818">
        <v>0</v>
      </c>
      <c r="V59" s="818">
        <f t="shared" ca="1" si="18"/>
        <v>307911.97023878864</v>
      </c>
      <c r="W59" s="306">
        <f t="shared" si="1"/>
        <v>0</v>
      </c>
      <c r="X59" s="306">
        <f t="shared" ca="1" si="2"/>
        <v>0</v>
      </c>
      <c r="Y59" s="306">
        <v>0</v>
      </c>
      <c r="Z59" s="926">
        <f t="shared" ca="1" si="25"/>
        <v>0</v>
      </c>
      <c r="AA59" s="308">
        <f ca="1">-SUM(W59,X59/OFFSET(GridFootprintbyYear,$A59-$A$19,0)*EF_PurchElec_MTperMWh,Z59)*OFFSET(ExposureCalculations!Price_GHG_Allowance_2010,A59-$A$19,0)*ExposureCalculations!D56</f>
        <v>0</v>
      </c>
      <c r="AB59" s="308">
        <f t="shared" ca="1" si="3"/>
        <v>0</v>
      </c>
      <c r="AC59" s="308">
        <v>0</v>
      </c>
      <c r="AD59" s="819">
        <f t="shared" ca="1" si="4"/>
        <v>0</v>
      </c>
      <c r="AE59" s="308">
        <v>0</v>
      </c>
      <c r="AF59" s="819">
        <f t="shared" ca="1" si="5"/>
        <v>0</v>
      </c>
      <c r="AG59" s="308">
        <v>0</v>
      </c>
      <c r="AH59" s="308">
        <v>0</v>
      </c>
      <c r="AI59" s="308">
        <v>0</v>
      </c>
      <c r="AJ59" s="308">
        <f t="shared" ca="1" si="6"/>
        <v>0</v>
      </c>
      <c r="AK59" s="309">
        <v>0</v>
      </c>
      <c r="AL59" s="309">
        <v>0</v>
      </c>
      <c r="AM59" s="309">
        <f t="shared" si="19"/>
        <v>0</v>
      </c>
      <c r="AN59" s="310">
        <v>0</v>
      </c>
      <c r="AO59" s="310">
        <f t="shared" si="26"/>
        <v>0</v>
      </c>
      <c r="AP59" s="310">
        <f t="shared" si="20"/>
        <v>0</v>
      </c>
      <c r="AQ59" s="309">
        <v>0</v>
      </c>
      <c r="AR59" s="311">
        <f t="shared" ca="1" si="7"/>
        <v>0</v>
      </c>
      <c r="AS59" s="870">
        <f t="shared" ca="1" si="21"/>
        <v>0</v>
      </c>
      <c r="AT59" s="823"/>
      <c r="AU59" s="881"/>
      <c r="AV59" s="882"/>
      <c r="AW59" s="883"/>
      <c r="AX59" s="882"/>
      <c r="AY59" s="884"/>
      <c r="BA59" s="123">
        <f ca="1">IF($D$3="WasteReduction",WasteReduction!BE59,'GHG Emissions'!Q52)</f>
        <v>2647.1402803684405</v>
      </c>
      <c r="BB59" s="923">
        <f t="shared" si="27"/>
        <v>0</v>
      </c>
      <c r="BC59" s="259">
        <f t="shared" ca="1" si="22"/>
        <v>0</v>
      </c>
      <c r="BD59" s="123">
        <f t="shared" ca="1" si="23"/>
        <v>2647.1402803684405</v>
      </c>
    </row>
    <row r="60" spans="1:56">
      <c r="AJ60" s="264"/>
    </row>
    <row r="61" spans="1:56">
      <c r="AJ61" s="264"/>
    </row>
    <row r="62" spans="1:56">
      <c r="AJ62" s="264"/>
    </row>
    <row r="63" spans="1:56">
      <c r="AJ63" s="264"/>
    </row>
    <row r="64" spans="1:56">
      <c r="AJ64" s="264"/>
    </row>
    <row r="65" spans="36:36">
      <c r="AJ65" s="264"/>
    </row>
    <row r="66" spans="36:36">
      <c r="AJ66" s="264"/>
    </row>
    <row r="67" spans="36:36">
      <c r="AJ67" s="264"/>
    </row>
    <row r="68" spans="36:36">
      <c r="AJ68" s="264"/>
    </row>
    <row r="69" spans="36:36">
      <c r="AJ69" s="264"/>
    </row>
    <row r="70" spans="36:36">
      <c r="AJ70" s="264"/>
    </row>
    <row r="71" spans="36:36">
      <c r="AJ71" s="264"/>
    </row>
    <row r="72" spans="36:36">
      <c r="AJ72" s="264"/>
    </row>
    <row r="73" spans="36:36">
      <c r="AJ73" s="264"/>
    </row>
    <row r="74" spans="36:36">
      <c r="AJ74" s="264"/>
    </row>
    <row r="75" spans="36:36">
      <c r="AJ75" s="264"/>
    </row>
    <row r="76" spans="36:36">
      <c r="AJ76" s="264"/>
    </row>
    <row r="77" spans="36:36">
      <c r="AJ77" s="264"/>
    </row>
    <row r="78" spans="36:36">
      <c r="AJ78" s="264"/>
    </row>
    <row r="79" spans="36:36">
      <c r="AJ79" s="264"/>
    </row>
    <row r="80" spans="36:36">
      <c r="AJ80" s="264"/>
    </row>
    <row r="81" spans="36:36">
      <c r="AJ81" s="264"/>
    </row>
    <row r="82" spans="36:36">
      <c r="AJ82" s="264"/>
    </row>
    <row r="83" spans="36:36">
      <c r="AJ83" s="264"/>
    </row>
    <row r="84" spans="36:36">
      <c r="AJ84" s="264"/>
    </row>
  </sheetData>
  <mergeCells count="10">
    <mergeCell ref="AB16:AJ16"/>
    <mergeCell ref="AK16:AP16"/>
    <mergeCell ref="AR16:AS16"/>
    <mergeCell ref="AU17:AY17"/>
    <mergeCell ref="D3:F3"/>
    <mergeCell ref="B16:J16"/>
    <mergeCell ref="K16:N16"/>
    <mergeCell ref="O16:R16"/>
    <mergeCell ref="S16:V16"/>
    <mergeCell ref="W16:AA16"/>
  </mergeCells>
  <dataValidations count="1">
    <dataValidation type="list" allowBlank="1" showInputMessage="1" showErrorMessage="1" sqref="D5">
      <formula1>WedgeGroupNames</formula1>
    </dataValidation>
  </dataValidations>
  <hyperlinks>
    <hyperlink ref="D4" location="Summary!A1" display="Return to Summary"/>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sheetPr codeName="Sheet94"/>
  <dimension ref="A1:AF45"/>
  <sheetViews>
    <sheetView workbookViewId="0">
      <selection activeCell="C1" sqref="C1"/>
    </sheetView>
  </sheetViews>
  <sheetFormatPr defaultRowHeight="15"/>
  <cols>
    <col min="1" max="1" width="18.42578125" bestFit="1" customWidth="1"/>
    <col min="2" max="26" width="11.7109375" customWidth="1"/>
  </cols>
  <sheetData>
    <row r="1" spans="1:32">
      <c r="B1" s="322" t="s">
        <v>298</v>
      </c>
      <c r="C1">
        <v>18</v>
      </c>
    </row>
    <row r="2" spans="1:32">
      <c r="B2" s="322" t="s">
        <v>299</v>
      </c>
      <c r="C2">
        <v>19</v>
      </c>
    </row>
    <row r="3" spans="1:32">
      <c r="B3" s="322" t="str">
        <f ca="1">OFFSET(Control!$A$5,COLUMN(A4)-1,0)</f>
        <v>GreenPwr1</v>
      </c>
      <c r="C3" s="322" t="str">
        <f ca="1">OFFSET(Control!$A$5,COLUMN(B4)-1,0)</f>
        <v>GreenPwr2</v>
      </c>
      <c r="D3" s="322" t="str">
        <f ca="1">OFFSET(Control!$A$5,COLUMN(C4)-1,0)</f>
        <v>Wind</v>
      </c>
      <c r="E3" s="322" t="str">
        <f ca="1">OFFSET(Control!$A$5,COLUMN(D4)-1,0)</f>
        <v>ShortECM</v>
      </c>
      <c r="F3" s="322" t="str">
        <f ca="1">OFFSET(Control!$A$5,COLUMN(E4)-1,0)</f>
        <v>MidECM</v>
      </c>
      <c r="G3" s="322" t="str">
        <f ca="1">OFFSET(Control!$A$5,COLUMN(F4)-1,0)</f>
        <v>LongECM</v>
      </c>
      <c r="H3" s="322" t="str">
        <f ca="1">OFFSET(Control!$A$5,COLUMN(G4)-1,0)</f>
        <v>SteamLineImp</v>
      </c>
      <c r="I3" s="322" t="str">
        <f ca="1">OFFSET(Control!$A$5,COLUMN(H4)-1,0)</f>
        <v>UnitaryChiller</v>
      </c>
      <c r="J3" s="322" t="str">
        <f ca="1">OFFSET(Control!$A$5,COLUMN(I4)-1,0)</f>
        <v>GeoExchange</v>
      </c>
      <c r="K3" s="322" t="str">
        <f ca="1">OFFSET(Control!$A$5,COLUMN(J4)-1,0)</f>
        <v>SolarDHW</v>
      </c>
      <c r="L3" s="322" t="str">
        <f ca="1">OFFSET(Control!$A$5,COLUMN(K4)-1,0)</f>
        <v>WasteReduction</v>
      </c>
      <c r="M3" s="322" t="str">
        <f ca="1">OFFSET(Control!$A$5,COLUMN(L4)-1,0)</f>
        <v>DishStirling</v>
      </c>
      <c r="N3" s="322" t="str">
        <f ca="1">OFFSET(Control!$A$5,COLUMN(M4)-1,0)</f>
        <v>Parabolic</v>
      </c>
      <c r="O3" s="322" t="str">
        <f ca="1">OFFSET(Control!$A$5,COLUMN(N4)-1,0)</f>
        <v>GreenIT</v>
      </c>
      <c r="P3" s="322" t="str">
        <f ca="1">OFFSET(Control!$A$5,COLUMN(O4)-1,0)</f>
        <v>GreenBuild</v>
      </c>
      <c r="Q3" s="322" t="str">
        <f ca="1">OFFSET(Control!$A$5,COLUMN(P4)-1,0)</f>
        <v>SpacePlanning</v>
      </c>
      <c r="R3" s="322" t="str">
        <f ca="1">OFFSET(Control!$A$5,COLUMN(Q4)-1,0)</f>
        <v>CHP</v>
      </c>
      <c r="S3" s="322" t="str">
        <f ca="1">OFFSET(Control!$A$5,COLUMN(R4)-1,0)</f>
        <v>CoalToNG</v>
      </c>
      <c r="T3" s="322" t="str">
        <f ca="1">OFFSET(Control!$A$5,COLUMN(S4)-1,0)</f>
        <v>CentralChillerExp</v>
      </c>
      <c r="U3" s="322" t="str">
        <f ca="1">OFFSET(Control!$A$5,COLUMN(T4)-1,0)</f>
        <v>RooftopPV</v>
      </c>
      <c r="V3" s="322" t="str">
        <f ca="1">OFFSET(Control!$A$5,COLUMN(U4)-1,0)</f>
        <v>ReducedAir</v>
      </c>
      <c r="W3" s="322" t="str">
        <f ca="1">OFFSET(Control!$A$5,COLUMN(V4)-1,0)</f>
        <v>ReducedAuto</v>
      </c>
      <c r="X3" s="322" t="str">
        <f ca="1">OFFSET(Control!$A$5,COLUMN(W4)-1,0)</f>
        <v>BehaviorChange</v>
      </c>
      <c r="Y3" s="322">
        <f ca="1">OFFSET(Control!$A$5,COLUMN(X4)-1,0)</f>
        <v>0</v>
      </c>
      <c r="Z3" s="322">
        <f ca="1">OFFSET(Control!$A$5,COLUMN(Y4)-1,0)</f>
        <v>0</v>
      </c>
      <c r="AA3" s="322">
        <f ca="1">OFFSET(Control!$A$5,COLUMN(Z4)-1,0)</f>
        <v>0</v>
      </c>
      <c r="AB3" s="322">
        <f ca="1">OFFSET(Control!$A$5,COLUMN(AA4)-1,0)</f>
        <v>0</v>
      </c>
      <c r="AC3" s="322">
        <f ca="1">OFFSET(Control!$A$5,COLUMN(AB4)-1,0)</f>
        <v>0</v>
      </c>
      <c r="AD3" s="322">
        <f ca="1">OFFSET(Control!$A$5,COLUMN(AC4)-1,0)</f>
        <v>0</v>
      </c>
      <c r="AE3" s="322">
        <f ca="1">OFFSET(Control!$A$5,COLUMN(AD4)-1,0)</f>
        <v>0</v>
      </c>
      <c r="AF3" s="322">
        <f ca="1">OFFSET(Control!$A$5,COLUMN(AE4)-1,0)</f>
        <v>0</v>
      </c>
    </row>
    <row r="4" spans="1:32" ht="29.25" customHeight="1">
      <c r="A4" t="s">
        <v>300</v>
      </c>
      <c r="B4" s="264" t="str">
        <f ca="1">INDIRECT(B3)</f>
        <v>Green Power Purchase Opt 1 (Partial)</v>
      </c>
      <c r="C4" s="264" t="str">
        <f t="shared" ref="C4:AF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t="shared" ca="1" si="0"/>
        <v>#REF!</v>
      </c>
    </row>
    <row r="5" spans="1:32">
      <c r="A5">
        <v>2010</v>
      </c>
      <c r="B5" s="344">
        <f t="shared" ref="B5:B45" ca="1" si="1">OFFSET(INDIRECT(B$3),$A5-$A$5+$C$1,$C$2)</f>
        <v>0</v>
      </c>
      <c r="C5" s="344">
        <f t="shared" ref="C5:AF13" ca="1" si="2">OFFSET(INDIRECT(C$3),$A5-$A$5+$C$1,$C$2)</f>
        <v>0</v>
      </c>
      <c r="D5" s="344">
        <f t="shared" ca="1" si="2"/>
        <v>0</v>
      </c>
      <c r="E5" s="344">
        <f t="shared" ca="1" si="2"/>
        <v>0</v>
      </c>
      <c r="F5" s="344">
        <f t="shared" ca="1" si="2"/>
        <v>0</v>
      </c>
      <c r="G5" s="344">
        <f t="shared" ca="1" si="2"/>
        <v>0</v>
      </c>
      <c r="H5" s="344">
        <f t="shared" ca="1" si="2"/>
        <v>0</v>
      </c>
      <c r="I5" s="344">
        <f t="shared" ca="1" si="2"/>
        <v>0</v>
      </c>
      <c r="J5" s="344">
        <f t="shared" ca="1" si="2"/>
        <v>0</v>
      </c>
      <c r="K5" s="344">
        <f t="shared" ca="1" si="2"/>
        <v>0</v>
      </c>
      <c r="L5" s="344">
        <f t="shared" ca="1" si="2"/>
        <v>0</v>
      </c>
      <c r="M5" s="344">
        <f t="shared" ca="1" si="2"/>
        <v>0</v>
      </c>
      <c r="N5" s="344">
        <f t="shared" ca="1" si="2"/>
        <v>0</v>
      </c>
      <c r="O5" s="344">
        <f t="shared" ca="1" si="2"/>
        <v>0</v>
      </c>
      <c r="P5" s="344">
        <f t="shared" ca="1" si="2"/>
        <v>0</v>
      </c>
      <c r="Q5" s="344">
        <f t="shared" ca="1" si="2"/>
        <v>0</v>
      </c>
      <c r="R5" s="344">
        <f t="shared" ca="1" si="2"/>
        <v>0</v>
      </c>
      <c r="S5" s="344">
        <f t="shared" ca="1" si="2"/>
        <v>0</v>
      </c>
      <c r="T5" s="344">
        <f t="shared" ca="1" si="2"/>
        <v>0</v>
      </c>
      <c r="U5" s="344">
        <f t="shared" ca="1" si="2"/>
        <v>0</v>
      </c>
      <c r="V5" s="344">
        <f t="shared" ca="1" si="2"/>
        <v>0</v>
      </c>
      <c r="W5" s="344">
        <f t="shared" ca="1" si="2"/>
        <v>0</v>
      </c>
      <c r="X5" s="344">
        <f t="shared" ca="1" si="2"/>
        <v>0</v>
      </c>
      <c r="Y5" s="344" t="e">
        <f t="shared" ca="1" si="2"/>
        <v>#REF!</v>
      </c>
      <c r="Z5" s="344" t="e">
        <f t="shared" ca="1" si="2"/>
        <v>#REF!</v>
      </c>
      <c r="AA5" s="344" t="e">
        <f t="shared" ca="1" si="2"/>
        <v>#REF!</v>
      </c>
      <c r="AB5" s="344" t="e">
        <f t="shared" ca="1" si="2"/>
        <v>#REF!</v>
      </c>
      <c r="AC5" s="344" t="e">
        <f t="shared" ca="1" si="2"/>
        <v>#REF!</v>
      </c>
      <c r="AD5" s="344" t="e">
        <f t="shared" ca="1" si="2"/>
        <v>#REF!</v>
      </c>
      <c r="AE5" s="344" t="e">
        <f t="shared" ca="1" si="2"/>
        <v>#REF!</v>
      </c>
      <c r="AF5" s="344" t="e">
        <f t="shared" ca="1" si="2"/>
        <v>#REF!</v>
      </c>
    </row>
    <row r="6" spans="1:32">
      <c r="A6">
        <f>A5+1</f>
        <v>2011</v>
      </c>
      <c r="B6" s="344">
        <f t="shared" ca="1" si="1"/>
        <v>0</v>
      </c>
      <c r="C6" s="344">
        <f t="shared" ref="C6:Q6" ca="1" si="3">OFFSET(INDIRECT(C$3),$A6-$A$5+$C$1,$C$2)</f>
        <v>0</v>
      </c>
      <c r="D6" s="344">
        <f t="shared" ca="1" si="3"/>
        <v>0</v>
      </c>
      <c r="E6" s="344">
        <f t="shared" ca="1" si="3"/>
        <v>0</v>
      </c>
      <c r="F6" s="344">
        <f t="shared" ca="1" si="3"/>
        <v>0</v>
      </c>
      <c r="G6" s="344">
        <f t="shared" ca="1" si="3"/>
        <v>0</v>
      </c>
      <c r="H6" s="344">
        <f t="shared" ca="1" si="3"/>
        <v>0</v>
      </c>
      <c r="I6" s="344">
        <f t="shared" ca="1" si="3"/>
        <v>0</v>
      </c>
      <c r="J6" s="344">
        <f t="shared" ca="1" si="3"/>
        <v>0</v>
      </c>
      <c r="K6" s="344">
        <f t="shared" ca="1" si="3"/>
        <v>0</v>
      </c>
      <c r="L6" s="344">
        <f t="shared" ca="1" si="3"/>
        <v>0</v>
      </c>
      <c r="M6" s="344">
        <f t="shared" ca="1" si="3"/>
        <v>0</v>
      </c>
      <c r="N6" s="344">
        <f t="shared" ca="1" si="3"/>
        <v>0</v>
      </c>
      <c r="O6" s="344">
        <f t="shared" ca="1" si="3"/>
        <v>0</v>
      </c>
      <c r="P6" s="344">
        <f t="shared" ca="1" si="3"/>
        <v>0</v>
      </c>
      <c r="Q6" s="344">
        <f t="shared" ca="1" si="3"/>
        <v>0</v>
      </c>
      <c r="R6" s="344">
        <f t="shared" ca="1" si="2"/>
        <v>0</v>
      </c>
      <c r="S6" s="344">
        <f t="shared" ca="1" si="2"/>
        <v>0</v>
      </c>
      <c r="T6" s="344">
        <f t="shared" ca="1" si="2"/>
        <v>0</v>
      </c>
      <c r="U6" s="344">
        <f t="shared" ca="1" si="2"/>
        <v>0</v>
      </c>
      <c r="V6" s="344">
        <f t="shared" ca="1" si="2"/>
        <v>0</v>
      </c>
      <c r="W6" s="344">
        <f t="shared" ca="1" si="2"/>
        <v>0</v>
      </c>
      <c r="X6" s="344">
        <f t="shared" ca="1" si="2"/>
        <v>0</v>
      </c>
      <c r="Y6" s="344" t="e">
        <f t="shared" ca="1" si="2"/>
        <v>#REF!</v>
      </c>
      <c r="Z6" s="344" t="e">
        <f t="shared" ca="1" si="2"/>
        <v>#REF!</v>
      </c>
      <c r="AA6" s="344" t="e">
        <f t="shared" ca="1" si="2"/>
        <v>#REF!</v>
      </c>
      <c r="AB6" s="344" t="e">
        <f t="shared" ca="1" si="2"/>
        <v>#REF!</v>
      </c>
      <c r="AC6" s="344" t="e">
        <f t="shared" ca="1" si="2"/>
        <v>#REF!</v>
      </c>
      <c r="AD6" s="344" t="e">
        <f t="shared" ca="1" si="2"/>
        <v>#REF!</v>
      </c>
      <c r="AE6" s="344" t="e">
        <f t="shared" ca="1" si="2"/>
        <v>#REF!</v>
      </c>
      <c r="AF6" s="344" t="e">
        <f t="shared" ca="1" si="2"/>
        <v>#REF!</v>
      </c>
    </row>
    <row r="7" spans="1:32">
      <c r="A7">
        <f t="shared" ref="A7:A45" si="4">A6+1</f>
        <v>2012</v>
      </c>
      <c r="B7" s="344">
        <f t="shared" ca="1" si="1"/>
        <v>0</v>
      </c>
      <c r="C7" s="344">
        <f t="shared" ca="1" si="2"/>
        <v>0</v>
      </c>
      <c r="D7" s="344">
        <f t="shared" ca="1" si="2"/>
        <v>0</v>
      </c>
      <c r="E7" s="344">
        <f t="shared" ca="1" si="2"/>
        <v>0</v>
      </c>
      <c r="F7" s="344">
        <f t="shared" ca="1" si="2"/>
        <v>0</v>
      </c>
      <c r="G7" s="344">
        <f t="shared" ca="1" si="2"/>
        <v>0</v>
      </c>
      <c r="H7" s="344">
        <f t="shared" ca="1" si="2"/>
        <v>0</v>
      </c>
      <c r="I7" s="344">
        <f t="shared" ca="1" si="2"/>
        <v>0</v>
      </c>
      <c r="J7" s="344">
        <f t="shared" ca="1" si="2"/>
        <v>0</v>
      </c>
      <c r="K7" s="344">
        <f t="shared" ca="1" si="2"/>
        <v>0</v>
      </c>
      <c r="L7" s="344">
        <f t="shared" ca="1" si="2"/>
        <v>0</v>
      </c>
      <c r="M7" s="344">
        <f t="shared" ca="1" si="2"/>
        <v>0</v>
      </c>
      <c r="N7" s="344">
        <f t="shared" ca="1" si="2"/>
        <v>0</v>
      </c>
      <c r="O7" s="344">
        <f t="shared" ca="1" si="2"/>
        <v>0</v>
      </c>
      <c r="P7" s="344">
        <f t="shared" ca="1" si="2"/>
        <v>0</v>
      </c>
      <c r="Q7" s="344">
        <f t="shared" ca="1" si="2"/>
        <v>0</v>
      </c>
      <c r="R7" s="344">
        <f t="shared" ca="1" si="2"/>
        <v>0</v>
      </c>
      <c r="S7" s="344">
        <f t="shared" ca="1" si="2"/>
        <v>0</v>
      </c>
      <c r="T7" s="344">
        <f t="shared" ca="1" si="2"/>
        <v>0</v>
      </c>
      <c r="U7" s="344">
        <f t="shared" ca="1" si="2"/>
        <v>0</v>
      </c>
      <c r="V7" s="344">
        <f t="shared" ca="1" si="2"/>
        <v>0</v>
      </c>
      <c r="W7" s="344">
        <f t="shared" ca="1" si="2"/>
        <v>0</v>
      </c>
      <c r="X7" s="344">
        <f t="shared" ca="1" si="2"/>
        <v>0</v>
      </c>
      <c r="Y7" s="344" t="e">
        <f t="shared" ca="1" si="2"/>
        <v>#REF!</v>
      </c>
      <c r="Z7" s="344" t="e">
        <f t="shared" ca="1" si="2"/>
        <v>#REF!</v>
      </c>
      <c r="AA7" s="344" t="e">
        <f t="shared" ca="1" si="2"/>
        <v>#REF!</v>
      </c>
      <c r="AB7" s="344" t="e">
        <f t="shared" ca="1" si="2"/>
        <v>#REF!</v>
      </c>
      <c r="AC7" s="344" t="e">
        <f t="shared" ca="1" si="2"/>
        <v>#REF!</v>
      </c>
      <c r="AD7" s="344" t="e">
        <f t="shared" ca="1" si="2"/>
        <v>#REF!</v>
      </c>
      <c r="AE7" s="344" t="e">
        <f t="shared" ca="1" si="2"/>
        <v>#REF!</v>
      </c>
      <c r="AF7" s="344" t="e">
        <f t="shared" ca="1" si="2"/>
        <v>#REF!</v>
      </c>
    </row>
    <row r="8" spans="1:32">
      <c r="A8">
        <f t="shared" si="4"/>
        <v>2013</v>
      </c>
      <c r="B8" s="344">
        <f t="shared" ca="1" si="1"/>
        <v>0</v>
      </c>
      <c r="C8" s="344">
        <f t="shared" ca="1" si="2"/>
        <v>0</v>
      </c>
      <c r="D8" s="344">
        <f t="shared" ca="1" si="2"/>
        <v>0</v>
      </c>
      <c r="E8" s="344">
        <f t="shared" ca="1" si="2"/>
        <v>0</v>
      </c>
      <c r="F8" s="344">
        <f t="shared" ca="1" si="2"/>
        <v>0</v>
      </c>
      <c r="G8" s="344">
        <f t="shared" ca="1" si="2"/>
        <v>0</v>
      </c>
      <c r="H8" s="344">
        <f t="shared" ca="1" si="2"/>
        <v>0</v>
      </c>
      <c r="I8" s="344">
        <f t="shared" ca="1" si="2"/>
        <v>0</v>
      </c>
      <c r="J8" s="344">
        <f t="shared" ca="1" si="2"/>
        <v>0</v>
      </c>
      <c r="K8" s="344">
        <f t="shared" ca="1" si="2"/>
        <v>0</v>
      </c>
      <c r="L8" s="344">
        <f t="shared" ca="1" si="2"/>
        <v>0</v>
      </c>
      <c r="M8" s="344">
        <f t="shared" ca="1" si="2"/>
        <v>0</v>
      </c>
      <c r="N8" s="344">
        <f t="shared" ca="1" si="2"/>
        <v>0</v>
      </c>
      <c r="O8" s="344">
        <f t="shared" ca="1" si="2"/>
        <v>0</v>
      </c>
      <c r="P8" s="344">
        <f t="shared" ca="1" si="2"/>
        <v>0</v>
      </c>
      <c r="Q8" s="344">
        <f t="shared" ca="1" si="2"/>
        <v>0</v>
      </c>
      <c r="R8" s="344">
        <f t="shared" ca="1" si="2"/>
        <v>0</v>
      </c>
      <c r="S8" s="344">
        <f t="shared" ca="1" si="2"/>
        <v>0</v>
      </c>
      <c r="T8" s="344">
        <f t="shared" ca="1" si="2"/>
        <v>0</v>
      </c>
      <c r="U8" s="344">
        <f t="shared" ca="1" si="2"/>
        <v>0</v>
      </c>
      <c r="V8" s="344">
        <f t="shared" ca="1" si="2"/>
        <v>0</v>
      </c>
      <c r="W8" s="344">
        <f t="shared" ca="1" si="2"/>
        <v>0</v>
      </c>
      <c r="X8" s="344">
        <f t="shared" ca="1" si="2"/>
        <v>0</v>
      </c>
      <c r="Y8" s="344" t="e">
        <f t="shared" ca="1" si="2"/>
        <v>#REF!</v>
      </c>
      <c r="Z8" s="344" t="e">
        <f t="shared" ca="1" si="2"/>
        <v>#REF!</v>
      </c>
      <c r="AA8" s="344" t="e">
        <f t="shared" ca="1" si="2"/>
        <v>#REF!</v>
      </c>
      <c r="AB8" s="344" t="e">
        <f t="shared" ca="1" si="2"/>
        <v>#REF!</v>
      </c>
      <c r="AC8" s="344" t="e">
        <f t="shared" ca="1" si="2"/>
        <v>#REF!</v>
      </c>
      <c r="AD8" s="344" t="e">
        <f t="shared" ca="1" si="2"/>
        <v>#REF!</v>
      </c>
      <c r="AE8" s="344" t="e">
        <f t="shared" ca="1" si="2"/>
        <v>#REF!</v>
      </c>
      <c r="AF8" s="344" t="e">
        <f t="shared" ca="1" si="2"/>
        <v>#REF!</v>
      </c>
    </row>
    <row r="9" spans="1:32">
      <c r="A9">
        <f t="shared" si="4"/>
        <v>2014</v>
      </c>
      <c r="B9" s="344">
        <f t="shared" ca="1" si="1"/>
        <v>0</v>
      </c>
      <c r="C9" s="344">
        <f t="shared" ca="1" si="2"/>
        <v>0</v>
      </c>
      <c r="D9" s="344">
        <f t="shared" ca="1" si="2"/>
        <v>0</v>
      </c>
      <c r="E9" s="344">
        <f t="shared" ca="1" si="2"/>
        <v>0</v>
      </c>
      <c r="F9" s="344">
        <f t="shared" ca="1" si="2"/>
        <v>0</v>
      </c>
      <c r="G9" s="344">
        <f t="shared" ca="1" si="2"/>
        <v>0</v>
      </c>
      <c r="H9" s="344">
        <f t="shared" ca="1" si="2"/>
        <v>0</v>
      </c>
      <c r="I9" s="344">
        <f t="shared" ca="1" si="2"/>
        <v>0</v>
      </c>
      <c r="J9" s="344">
        <f t="shared" ca="1" si="2"/>
        <v>0</v>
      </c>
      <c r="K9" s="344">
        <f t="shared" ca="1" si="2"/>
        <v>0</v>
      </c>
      <c r="L9" s="344">
        <f t="shared" ca="1" si="2"/>
        <v>0</v>
      </c>
      <c r="M9" s="344">
        <f t="shared" ca="1" si="2"/>
        <v>0</v>
      </c>
      <c r="N9" s="344">
        <f t="shared" ca="1" si="2"/>
        <v>0</v>
      </c>
      <c r="O9" s="344">
        <f t="shared" ca="1" si="2"/>
        <v>0</v>
      </c>
      <c r="P9" s="344">
        <f t="shared" ca="1" si="2"/>
        <v>0</v>
      </c>
      <c r="Q9" s="344">
        <f t="shared" ca="1" si="2"/>
        <v>0</v>
      </c>
      <c r="R9" s="344">
        <f t="shared" ca="1" si="2"/>
        <v>0</v>
      </c>
      <c r="S9" s="344">
        <f t="shared" ca="1" si="2"/>
        <v>0</v>
      </c>
      <c r="T9" s="344">
        <f t="shared" ca="1" si="2"/>
        <v>0</v>
      </c>
      <c r="U9" s="344">
        <f t="shared" ca="1" si="2"/>
        <v>0</v>
      </c>
      <c r="V9" s="344">
        <f t="shared" ca="1" si="2"/>
        <v>0</v>
      </c>
      <c r="W9" s="344">
        <f t="shared" ca="1" si="2"/>
        <v>0</v>
      </c>
      <c r="X9" s="344">
        <f t="shared" ca="1" si="2"/>
        <v>0</v>
      </c>
      <c r="Y9" s="344" t="e">
        <f t="shared" ca="1" si="2"/>
        <v>#REF!</v>
      </c>
      <c r="Z9" s="344" t="e">
        <f t="shared" ca="1" si="2"/>
        <v>#REF!</v>
      </c>
      <c r="AA9" s="344" t="e">
        <f t="shared" ca="1" si="2"/>
        <v>#REF!</v>
      </c>
      <c r="AB9" s="344" t="e">
        <f t="shared" ca="1" si="2"/>
        <v>#REF!</v>
      </c>
      <c r="AC9" s="344" t="e">
        <f t="shared" ca="1" si="2"/>
        <v>#REF!</v>
      </c>
      <c r="AD9" s="344" t="e">
        <f t="shared" ca="1" si="2"/>
        <v>#REF!</v>
      </c>
      <c r="AE9" s="344" t="e">
        <f t="shared" ca="1" si="2"/>
        <v>#REF!</v>
      </c>
      <c r="AF9" s="344" t="e">
        <f t="shared" ca="1" si="2"/>
        <v>#REF!</v>
      </c>
    </row>
    <row r="10" spans="1:32">
      <c r="A10">
        <f t="shared" si="4"/>
        <v>2015</v>
      </c>
      <c r="B10" s="344">
        <f t="shared" ca="1" si="1"/>
        <v>0</v>
      </c>
      <c r="C10" s="344">
        <f t="shared" ca="1" si="2"/>
        <v>0</v>
      </c>
      <c r="D10" s="344">
        <f t="shared" ca="1" si="2"/>
        <v>0</v>
      </c>
      <c r="E10" s="344">
        <f t="shared" ca="1" si="2"/>
        <v>0</v>
      </c>
      <c r="F10" s="344">
        <f t="shared" ca="1" si="2"/>
        <v>0</v>
      </c>
      <c r="G10" s="344">
        <f t="shared" ca="1" si="2"/>
        <v>0</v>
      </c>
      <c r="H10" s="344">
        <f t="shared" ca="1" si="2"/>
        <v>0</v>
      </c>
      <c r="I10" s="344">
        <f t="shared" ca="1" si="2"/>
        <v>0</v>
      </c>
      <c r="J10" s="344">
        <f t="shared" ca="1" si="2"/>
        <v>0</v>
      </c>
      <c r="K10" s="344">
        <f t="shared" ca="1" si="2"/>
        <v>0</v>
      </c>
      <c r="L10" s="344">
        <f t="shared" ca="1" si="2"/>
        <v>0</v>
      </c>
      <c r="M10" s="344">
        <f t="shared" ca="1" si="2"/>
        <v>0</v>
      </c>
      <c r="N10" s="344">
        <f t="shared" ca="1" si="2"/>
        <v>0</v>
      </c>
      <c r="O10" s="344">
        <f t="shared" ca="1" si="2"/>
        <v>0</v>
      </c>
      <c r="P10" s="344">
        <f t="shared" ca="1" si="2"/>
        <v>0</v>
      </c>
      <c r="Q10" s="344">
        <f t="shared" ca="1" si="2"/>
        <v>0</v>
      </c>
      <c r="R10" s="344">
        <f t="shared" ca="1" si="2"/>
        <v>0</v>
      </c>
      <c r="S10" s="344">
        <f t="shared" ca="1" si="2"/>
        <v>0</v>
      </c>
      <c r="T10" s="344">
        <f t="shared" ca="1" si="2"/>
        <v>0</v>
      </c>
      <c r="U10" s="344">
        <f t="shared" ca="1" si="2"/>
        <v>0</v>
      </c>
      <c r="V10" s="344">
        <f t="shared" ca="1" si="2"/>
        <v>0</v>
      </c>
      <c r="W10" s="344">
        <f t="shared" ca="1" si="2"/>
        <v>0</v>
      </c>
      <c r="X10" s="344">
        <f t="shared" ca="1" si="2"/>
        <v>0</v>
      </c>
      <c r="Y10" s="344" t="e">
        <f t="shared" ca="1" si="2"/>
        <v>#REF!</v>
      </c>
      <c r="Z10" s="344" t="e">
        <f t="shared" ca="1" si="2"/>
        <v>#REF!</v>
      </c>
      <c r="AA10" s="344" t="e">
        <f t="shared" ca="1" si="2"/>
        <v>#REF!</v>
      </c>
      <c r="AB10" s="344" t="e">
        <f t="shared" ca="1" si="2"/>
        <v>#REF!</v>
      </c>
      <c r="AC10" s="344" t="e">
        <f t="shared" ca="1" si="2"/>
        <v>#REF!</v>
      </c>
      <c r="AD10" s="344" t="e">
        <f t="shared" ca="1" si="2"/>
        <v>#REF!</v>
      </c>
      <c r="AE10" s="344" t="e">
        <f t="shared" ca="1" si="2"/>
        <v>#REF!</v>
      </c>
      <c r="AF10" s="344" t="e">
        <f t="shared" ca="1" si="2"/>
        <v>#REF!</v>
      </c>
    </row>
    <row r="11" spans="1:32">
      <c r="A11">
        <f t="shared" si="4"/>
        <v>2016</v>
      </c>
      <c r="B11" s="344">
        <f t="shared" ca="1" si="1"/>
        <v>0</v>
      </c>
      <c r="C11" s="344">
        <f t="shared" ca="1" si="2"/>
        <v>0</v>
      </c>
      <c r="D11" s="344">
        <f t="shared" ca="1" si="2"/>
        <v>0</v>
      </c>
      <c r="E11" s="344">
        <f t="shared" ca="1" si="2"/>
        <v>0</v>
      </c>
      <c r="F11" s="344">
        <f t="shared" ca="1" si="2"/>
        <v>0</v>
      </c>
      <c r="G11" s="344">
        <f t="shared" ca="1" si="2"/>
        <v>0</v>
      </c>
      <c r="H11" s="344">
        <f t="shared" ca="1" si="2"/>
        <v>0</v>
      </c>
      <c r="I11" s="344">
        <f t="shared" ca="1" si="2"/>
        <v>0</v>
      </c>
      <c r="J11" s="344">
        <f t="shared" ca="1" si="2"/>
        <v>0</v>
      </c>
      <c r="K11" s="344">
        <f t="shared" ca="1" si="2"/>
        <v>0</v>
      </c>
      <c r="L11" s="344">
        <f t="shared" ca="1" si="2"/>
        <v>0</v>
      </c>
      <c r="M11" s="344">
        <f t="shared" ca="1" si="2"/>
        <v>0</v>
      </c>
      <c r="N11" s="344">
        <f t="shared" ca="1" si="2"/>
        <v>0</v>
      </c>
      <c r="O11" s="344">
        <f t="shared" ca="1" si="2"/>
        <v>0</v>
      </c>
      <c r="P11" s="344">
        <f t="shared" ca="1" si="2"/>
        <v>0</v>
      </c>
      <c r="Q11" s="344">
        <f t="shared" ca="1" si="2"/>
        <v>0</v>
      </c>
      <c r="R11" s="344">
        <f t="shared" ca="1" si="2"/>
        <v>0</v>
      </c>
      <c r="S11" s="344">
        <f t="shared" ca="1" si="2"/>
        <v>0</v>
      </c>
      <c r="T11" s="344">
        <f t="shared" ca="1" si="2"/>
        <v>0</v>
      </c>
      <c r="U11" s="344">
        <f t="shared" ca="1" si="2"/>
        <v>0</v>
      </c>
      <c r="V11" s="344">
        <f t="shared" ca="1" si="2"/>
        <v>0</v>
      </c>
      <c r="W11" s="344">
        <f t="shared" ca="1" si="2"/>
        <v>0</v>
      </c>
      <c r="X11" s="344">
        <f t="shared" ca="1" si="2"/>
        <v>0</v>
      </c>
      <c r="Y11" s="344" t="e">
        <f t="shared" ca="1" si="2"/>
        <v>#REF!</v>
      </c>
      <c r="Z11" s="344" t="e">
        <f t="shared" ca="1" si="2"/>
        <v>#REF!</v>
      </c>
      <c r="AA11" s="344" t="e">
        <f t="shared" ca="1" si="2"/>
        <v>#REF!</v>
      </c>
      <c r="AB11" s="344" t="e">
        <f t="shared" ca="1" si="2"/>
        <v>#REF!</v>
      </c>
      <c r="AC11" s="344" t="e">
        <f t="shared" ca="1" si="2"/>
        <v>#REF!</v>
      </c>
      <c r="AD11" s="344" t="e">
        <f t="shared" ca="1" si="2"/>
        <v>#REF!</v>
      </c>
      <c r="AE11" s="344" t="e">
        <f t="shared" ca="1" si="2"/>
        <v>#REF!</v>
      </c>
      <c r="AF11" s="344" t="e">
        <f t="shared" ca="1" si="2"/>
        <v>#REF!</v>
      </c>
    </row>
    <row r="12" spans="1:32">
      <c r="A12">
        <f t="shared" si="4"/>
        <v>2017</v>
      </c>
      <c r="B12" s="344">
        <f t="shared" ca="1" si="1"/>
        <v>0</v>
      </c>
      <c r="C12" s="344">
        <f t="shared" ca="1" si="2"/>
        <v>0</v>
      </c>
      <c r="D12" s="344">
        <f t="shared" ca="1" si="2"/>
        <v>0</v>
      </c>
      <c r="E12" s="344">
        <f t="shared" ca="1" si="2"/>
        <v>0</v>
      </c>
      <c r="F12" s="344">
        <f t="shared" ca="1" si="2"/>
        <v>0</v>
      </c>
      <c r="G12" s="344">
        <f t="shared" ca="1" si="2"/>
        <v>0</v>
      </c>
      <c r="H12" s="344">
        <f t="shared" ca="1" si="2"/>
        <v>0</v>
      </c>
      <c r="I12" s="344">
        <f t="shared" ca="1" si="2"/>
        <v>0</v>
      </c>
      <c r="J12" s="344">
        <f t="shared" ca="1" si="2"/>
        <v>0</v>
      </c>
      <c r="K12" s="344">
        <f t="shared" ca="1" si="2"/>
        <v>0</v>
      </c>
      <c r="L12" s="344">
        <f t="shared" ca="1" si="2"/>
        <v>0</v>
      </c>
      <c r="M12" s="344">
        <f t="shared" ca="1" si="2"/>
        <v>0</v>
      </c>
      <c r="N12" s="344">
        <f t="shared" ca="1" si="2"/>
        <v>0</v>
      </c>
      <c r="O12" s="344">
        <f t="shared" ca="1" si="2"/>
        <v>0</v>
      </c>
      <c r="P12" s="344">
        <f t="shared" ca="1" si="2"/>
        <v>0</v>
      </c>
      <c r="Q12" s="344">
        <f t="shared" ca="1" si="2"/>
        <v>0</v>
      </c>
      <c r="R12" s="344">
        <f t="shared" ca="1" si="2"/>
        <v>0</v>
      </c>
      <c r="S12" s="344">
        <f t="shared" ca="1" si="2"/>
        <v>0</v>
      </c>
      <c r="T12" s="344">
        <f t="shared" ca="1" si="2"/>
        <v>0</v>
      </c>
      <c r="U12" s="344">
        <f t="shared" ca="1" si="2"/>
        <v>0</v>
      </c>
      <c r="V12" s="344">
        <f t="shared" ca="1" si="2"/>
        <v>0</v>
      </c>
      <c r="W12" s="344">
        <f t="shared" ca="1" si="2"/>
        <v>0</v>
      </c>
      <c r="X12" s="344">
        <f t="shared" ca="1" si="2"/>
        <v>0</v>
      </c>
      <c r="Y12" s="344" t="e">
        <f t="shared" ca="1" si="2"/>
        <v>#REF!</v>
      </c>
      <c r="Z12" s="344" t="e">
        <f t="shared" ca="1" si="2"/>
        <v>#REF!</v>
      </c>
      <c r="AA12" s="344" t="e">
        <f t="shared" ca="1" si="2"/>
        <v>#REF!</v>
      </c>
      <c r="AB12" s="344" t="e">
        <f t="shared" ca="1" si="2"/>
        <v>#REF!</v>
      </c>
      <c r="AC12" s="344" t="e">
        <f t="shared" ca="1" si="2"/>
        <v>#REF!</v>
      </c>
      <c r="AD12" s="344" t="e">
        <f t="shared" ca="1" si="2"/>
        <v>#REF!</v>
      </c>
      <c r="AE12" s="344" t="e">
        <f t="shared" ca="1" si="2"/>
        <v>#REF!</v>
      </c>
      <c r="AF12" s="344" t="e">
        <f t="shared" ca="1" si="2"/>
        <v>#REF!</v>
      </c>
    </row>
    <row r="13" spans="1:32">
      <c r="A13">
        <f t="shared" si="4"/>
        <v>2018</v>
      </c>
      <c r="B13" s="344">
        <f t="shared" ca="1" si="1"/>
        <v>0</v>
      </c>
      <c r="C13" s="344">
        <f t="shared" ca="1" si="2"/>
        <v>0</v>
      </c>
      <c r="D13" s="344">
        <f t="shared" ca="1" si="2"/>
        <v>0</v>
      </c>
      <c r="E13" s="344">
        <f t="shared" ca="1" si="2"/>
        <v>0</v>
      </c>
      <c r="F13" s="344">
        <f t="shared" ca="1" si="2"/>
        <v>0</v>
      </c>
      <c r="G13" s="344">
        <f t="shared" ca="1" si="2"/>
        <v>0</v>
      </c>
      <c r="H13" s="344">
        <f t="shared" ca="1" si="2"/>
        <v>0</v>
      </c>
      <c r="I13" s="344">
        <f t="shared" ca="1" si="2"/>
        <v>0</v>
      </c>
      <c r="J13" s="344">
        <f t="shared" ca="1" si="2"/>
        <v>0</v>
      </c>
      <c r="K13" s="344">
        <f t="shared" ca="1" si="2"/>
        <v>0</v>
      </c>
      <c r="L13" s="344">
        <f t="shared" ca="1" si="2"/>
        <v>0</v>
      </c>
      <c r="M13" s="344">
        <f t="shared" ca="1" si="2"/>
        <v>0</v>
      </c>
      <c r="N13" s="344">
        <f t="shared" ca="1" si="2"/>
        <v>0</v>
      </c>
      <c r="O13" s="344">
        <f t="shared" ca="1" si="2"/>
        <v>0</v>
      </c>
      <c r="P13" s="344">
        <f t="shared" ca="1" si="2"/>
        <v>0</v>
      </c>
      <c r="Q13" s="344">
        <f t="shared" ca="1" si="2"/>
        <v>0</v>
      </c>
      <c r="R13" s="344">
        <f t="shared" ca="1" si="2"/>
        <v>0</v>
      </c>
      <c r="S13" s="344">
        <f t="shared" ca="1" si="2"/>
        <v>0</v>
      </c>
      <c r="T13" s="344">
        <f t="shared" ca="1" si="2"/>
        <v>0</v>
      </c>
      <c r="U13" s="344">
        <f t="shared" ca="1" si="2"/>
        <v>0</v>
      </c>
      <c r="V13" s="344">
        <f t="shared" ca="1" si="2"/>
        <v>0</v>
      </c>
      <c r="W13" s="344">
        <f t="shared" ca="1" si="2"/>
        <v>0</v>
      </c>
      <c r="X13" s="344">
        <f t="shared" ca="1" si="2"/>
        <v>0</v>
      </c>
      <c r="Y13" s="344" t="e">
        <f t="shared" ca="1" si="2"/>
        <v>#REF!</v>
      </c>
      <c r="Z13" s="344" t="e">
        <f t="shared" ca="1" si="2"/>
        <v>#REF!</v>
      </c>
      <c r="AA13" s="344" t="e">
        <f t="shared" ca="1" si="2"/>
        <v>#REF!</v>
      </c>
      <c r="AB13" s="344" t="e">
        <f t="shared" ca="1" si="2"/>
        <v>#REF!</v>
      </c>
      <c r="AC13" s="344" t="e">
        <f t="shared" ca="1" si="2"/>
        <v>#REF!</v>
      </c>
      <c r="AD13" s="344" t="e">
        <f t="shared" ca="1" si="2"/>
        <v>#REF!</v>
      </c>
      <c r="AE13" s="344" t="e">
        <f t="shared" ca="1" si="2"/>
        <v>#REF!</v>
      </c>
      <c r="AF13" s="344" t="e">
        <f t="shared" ca="1" si="2"/>
        <v>#REF!</v>
      </c>
    </row>
    <row r="14" spans="1:32">
      <c r="A14">
        <f t="shared" si="4"/>
        <v>2019</v>
      </c>
      <c r="B14" s="344">
        <f t="shared" ca="1" si="1"/>
        <v>0</v>
      </c>
      <c r="C14" s="344">
        <f t="shared" ref="C14:AF22" ca="1" si="5">OFFSET(INDIRECT(C$3),$A14-$A$5+$C$1,$C$2)</f>
        <v>0</v>
      </c>
      <c r="D14" s="344">
        <f t="shared" ca="1" si="5"/>
        <v>0</v>
      </c>
      <c r="E14" s="344">
        <f t="shared" ca="1" si="5"/>
        <v>0</v>
      </c>
      <c r="F14" s="344">
        <f t="shared" ca="1" si="5"/>
        <v>0</v>
      </c>
      <c r="G14" s="344">
        <f t="shared" ca="1" si="5"/>
        <v>0</v>
      </c>
      <c r="H14" s="344">
        <f t="shared" ca="1" si="5"/>
        <v>0</v>
      </c>
      <c r="I14" s="344">
        <f t="shared" ca="1" si="5"/>
        <v>0</v>
      </c>
      <c r="J14" s="344">
        <f t="shared" ca="1" si="5"/>
        <v>0</v>
      </c>
      <c r="K14" s="344">
        <f t="shared" ca="1" si="5"/>
        <v>0</v>
      </c>
      <c r="L14" s="344">
        <f t="shared" ca="1" si="5"/>
        <v>0</v>
      </c>
      <c r="M14" s="344">
        <f t="shared" ca="1" si="5"/>
        <v>0</v>
      </c>
      <c r="N14" s="344">
        <f t="shared" ca="1" si="5"/>
        <v>0</v>
      </c>
      <c r="O14" s="344">
        <f t="shared" ca="1" si="5"/>
        <v>0</v>
      </c>
      <c r="P14" s="344">
        <f t="shared" ca="1" si="5"/>
        <v>0</v>
      </c>
      <c r="Q14" s="344">
        <f t="shared" ca="1" si="5"/>
        <v>0</v>
      </c>
      <c r="R14" s="344">
        <f t="shared" ca="1" si="5"/>
        <v>0</v>
      </c>
      <c r="S14" s="344">
        <f t="shared" ca="1" si="5"/>
        <v>0</v>
      </c>
      <c r="T14" s="344">
        <f t="shared" ca="1" si="5"/>
        <v>0</v>
      </c>
      <c r="U14" s="344">
        <f t="shared" ca="1" si="5"/>
        <v>0</v>
      </c>
      <c r="V14" s="344">
        <f t="shared" ca="1" si="5"/>
        <v>0</v>
      </c>
      <c r="W14" s="344">
        <f t="shared" ca="1" si="5"/>
        <v>0</v>
      </c>
      <c r="X14" s="344">
        <f t="shared" ca="1" si="5"/>
        <v>0</v>
      </c>
      <c r="Y14" s="344" t="e">
        <f t="shared" ca="1" si="5"/>
        <v>#REF!</v>
      </c>
      <c r="Z14" s="344" t="e">
        <f t="shared" ca="1" si="5"/>
        <v>#REF!</v>
      </c>
      <c r="AA14" s="344" t="e">
        <f t="shared" ca="1" si="5"/>
        <v>#REF!</v>
      </c>
      <c r="AB14" s="344" t="e">
        <f t="shared" ca="1" si="5"/>
        <v>#REF!</v>
      </c>
      <c r="AC14" s="344" t="e">
        <f t="shared" ca="1" si="5"/>
        <v>#REF!</v>
      </c>
      <c r="AD14" s="344" t="e">
        <f t="shared" ca="1" si="5"/>
        <v>#REF!</v>
      </c>
      <c r="AE14" s="344" t="e">
        <f t="shared" ca="1" si="5"/>
        <v>#REF!</v>
      </c>
      <c r="AF14" s="344" t="e">
        <f t="shared" ca="1" si="5"/>
        <v>#REF!</v>
      </c>
    </row>
    <row r="15" spans="1:32">
      <c r="A15">
        <f t="shared" si="4"/>
        <v>2020</v>
      </c>
      <c r="B15" s="344">
        <f t="shared" ca="1" si="1"/>
        <v>0</v>
      </c>
      <c r="C15" s="344">
        <f t="shared" ca="1" si="5"/>
        <v>0</v>
      </c>
      <c r="D15" s="344">
        <f t="shared" ca="1" si="5"/>
        <v>0</v>
      </c>
      <c r="E15" s="344">
        <f t="shared" ca="1" si="5"/>
        <v>0</v>
      </c>
      <c r="F15" s="344">
        <f t="shared" ca="1" si="5"/>
        <v>0</v>
      </c>
      <c r="G15" s="344">
        <f t="shared" ca="1" si="5"/>
        <v>0</v>
      </c>
      <c r="H15" s="344">
        <f t="shared" ca="1" si="5"/>
        <v>0</v>
      </c>
      <c r="I15" s="344">
        <f t="shared" ca="1" si="5"/>
        <v>0</v>
      </c>
      <c r="J15" s="344">
        <f t="shared" ca="1" si="5"/>
        <v>0</v>
      </c>
      <c r="K15" s="344">
        <f t="shared" ca="1" si="5"/>
        <v>0</v>
      </c>
      <c r="L15" s="344">
        <f t="shared" ca="1" si="5"/>
        <v>0</v>
      </c>
      <c r="M15" s="344">
        <f t="shared" ca="1" si="5"/>
        <v>0</v>
      </c>
      <c r="N15" s="344">
        <f t="shared" ca="1" si="5"/>
        <v>0</v>
      </c>
      <c r="O15" s="344">
        <f t="shared" ca="1" si="5"/>
        <v>0</v>
      </c>
      <c r="P15" s="344">
        <f t="shared" ca="1" si="5"/>
        <v>0</v>
      </c>
      <c r="Q15" s="344">
        <f t="shared" ca="1" si="5"/>
        <v>0</v>
      </c>
      <c r="R15" s="344">
        <f t="shared" ca="1" si="5"/>
        <v>0</v>
      </c>
      <c r="S15" s="344">
        <f t="shared" ca="1" si="5"/>
        <v>0</v>
      </c>
      <c r="T15" s="344">
        <f t="shared" ca="1" si="5"/>
        <v>0</v>
      </c>
      <c r="U15" s="344">
        <f t="shared" ca="1" si="5"/>
        <v>0</v>
      </c>
      <c r="V15" s="344">
        <f t="shared" ca="1" si="5"/>
        <v>0</v>
      </c>
      <c r="W15" s="344">
        <f t="shared" ca="1" si="5"/>
        <v>0</v>
      </c>
      <c r="X15" s="344">
        <f t="shared" ca="1" si="5"/>
        <v>0</v>
      </c>
      <c r="Y15" s="344" t="e">
        <f t="shared" ca="1" si="5"/>
        <v>#REF!</v>
      </c>
      <c r="Z15" s="344" t="e">
        <f t="shared" ca="1" si="5"/>
        <v>#REF!</v>
      </c>
      <c r="AA15" s="344" t="e">
        <f t="shared" ca="1" si="5"/>
        <v>#REF!</v>
      </c>
      <c r="AB15" s="344" t="e">
        <f t="shared" ca="1" si="5"/>
        <v>#REF!</v>
      </c>
      <c r="AC15" s="344" t="e">
        <f t="shared" ca="1" si="5"/>
        <v>#REF!</v>
      </c>
      <c r="AD15" s="344" t="e">
        <f t="shared" ca="1" si="5"/>
        <v>#REF!</v>
      </c>
      <c r="AE15" s="344" t="e">
        <f t="shared" ca="1" si="5"/>
        <v>#REF!</v>
      </c>
      <c r="AF15" s="344" t="e">
        <f t="shared" ca="1" si="5"/>
        <v>#REF!</v>
      </c>
    </row>
    <row r="16" spans="1:32">
      <c r="A16">
        <f t="shared" si="4"/>
        <v>2021</v>
      </c>
      <c r="B16" s="344">
        <f t="shared" ca="1" si="1"/>
        <v>0</v>
      </c>
      <c r="C16" s="344">
        <f t="shared" ca="1" si="5"/>
        <v>0</v>
      </c>
      <c r="D16" s="344">
        <f t="shared" ca="1" si="5"/>
        <v>0</v>
      </c>
      <c r="E16" s="344">
        <f t="shared" ca="1" si="5"/>
        <v>0</v>
      </c>
      <c r="F16" s="344">
        <f t="shared" ca="1" si="5"/>
        <v>0</v>
      </c>
      <c r="G16" s="344">
        <f t="shared" ca="1" si="5"/>
        <v>0</v>
      </c>
      <c r="H16" s="344">
        <f t="shared" ca="1" si="5"/>
        <v>0</v>
      </c>
      <c r="I16" s="344">
        <f t="shared" ca="1" si="5"/>
        <v>0</v>
      </c>
      <c r="J16" s="344">
        <f t="shared" ca="1" si="5"/>
        <v>0</v>
      </c>
      <c r="K16" s="344">
        <f t="shared" ca="1" si="5"/>
        <v>0</v>
      </c>
      <c r="L16" s="344">
        <f t="shared" ca="1" si="5"/>
        <v>0</v>
      </c>
      <c r="M16" s="344">
        <f t="shared" ca="1" si="5"/>
        <v>0</v>
      </c>
      <c r="N16" s="344">
        <f t="shared" ca="1" si="5"/>
        <v>0</v>
      </c>
      <c r="O16" s="344">
        <f t="shared" ca="1" si="5"/>
        <v>0</v>
      </c>
      <c r="P16" s="344">
        <f t="shared" ca="1" si="5"/>
        <v>0</v>
      </c>
      <c r="Q16" s="344">
        <f t="shared" ca="1" si="5"/>
        <v>0</v>
      </c>
      <c r="R16" s="344">
        <f t="shared" ca="1" si="5"/>
        <v>0</v>
      </c>
      <c r="S16" s="344">
        <f t="shared" ca="1" si="5"/>
        <v>0</v>
      </c>
      <c r="T16" s="344">
        <f t="shared" ca="1" si="5"/>
        <v>0</v>
      </c>
      <c r="U16" s="344">
        <f t="shared" ca="1" si="5"/>
        <v>0</v>
      </c>
      <c r="V16" s="344">
        <f t="shared" ca="1" si="5"/>
        <v>0</v>
      </c>
      <c r="W16" s="344">
        <f t="shared" ca="1" si="5"/>
        <v>0</v>
      </c>
      <c r="X16" s="344">
        <f t="shared" ca="1" si="5"/>
        <v>0</v>
      </c>
      <c r="Y16" s="344" t="e">
        <f t="shared" ca="1" si="5"/>
        <v>#REF!</v>
      </c>
      <c r="Z16" s="344" t="e">
        <f t="shared" ca="1" si="5"/>
        <v>#REF!</v>
      </c>
      <c r="AA16" s="344" t="e">
        <f t="shared" ca="1" si="5"/>
        <v>#REF!</v>
      </c>
      <c r="AB16" s="344" t="e">
        <f t="shared" ca="1" si="5"/>
        <v>#REF!</v>
      </c>
      <c r="AC16" s="344" t="e">
        <f t="shared" ca="1" si="5"/>
        <v>#REF!</v>
      </c>
      <c r="AD16" s="344" t="e">
        <f t="shared" ca="1" si="5"/>
        <v>#REF!</v>
      </c>
      <c r="AE16" s="344" t="e">
        <f t="shared" ca="1" si="5"/>
        <v>#REF!</v>
      </c>
      <c r="AF16" s="344" t="e">
        <f t="shared" ca="1" si="5"/>
        <v>#REF!</v>
      </c>
    </row>
    <row r="17" spans="1:32">
      <c r="A17">
        <f t="shared" si="4"/>
        <v>2022</v>
      </c>
      <c r="B17" s="344">
        <f t="shared" ca="1" si="1"/>
        <v>0</v>
      </c>
      <c r="C17" s="344">
        <f t="shared" ca="1" si="5"/>
        <v>0</v>
      </c>
      <c r="D17" s="344">
        <f t="shared" ca="1" si="5"/>
        <v>0</v>
      </c>
      <c r="E17" s="344">
        <f t="shared" ca="1" si="5"/>
        <v>0</v>
      </c>
      <c r="F17" s="344">
        <f t="shared" ca="1" si="5"/>
        <v>0</v>
      </c>
      <c r="G17" s="344">
        <f t="shared" ca="1" si="5"/>
        <v>0</v>
      </c>
      <c r="H17" s="344">
        <f t="shared" ca="1" si="5"/>
        <v>0</v>
      </c>
      <c r="I17" s="344">
        <f t="shared" ca="1" si="5"/>
        <v>0</v>
      </c>
      <c r="J17" s="344">
        <f t="shared" ca="1" si="5"/>
        <v>0</v>
      </c>
      <c r="K17" s="344">
        <f t="shared" ca="1" si="5"/>
        <v>0</v>
      </c>
      <c r="L17" s="344">
        <f t="shared" ca="1" si="5"/>
        <v>0</v>
      </c>
      <c r="M17" s="344">
        <f t="shared" ca="1" si="5"/>
        <v>0</v>
      </c>
      <c r="N17" s="344">
        <f t="shared" ca="1" si="5"/>
        <v>0</v>
      </c>
      <c r="O17" s="344">
        <f t="shared" ca="1" si="5"/>
        <v>0</v>
      </c>
      <c r="P17" s="344">
        <f t="shared" ca="1" si="5"/>
        <v>0</v>
      </c>
      <c r="Q17" s="344">
        <f t="shared" ca="1" si="5"/>
        <v>0</v>
      </c>
      <c r="R17" s="344">
        <f t="shared" ca="1" si="5"/>
        <v>0</v>
      </c>
      <c r="S17" s="344">
        <f t="shared" ca="1" si="5"/>
        <v>0</v>
      </c>
      <c r="T17" s="344">
        <f t="shared" ca="1" si="5"/>
        <v>0</v>
      </c>
      <c r="U17" s="344">
        <f t="shared" ca="1" si="5"/>
        <v>0</v>
      </c>
      <c r="V17" s="344">
        <f t="shared" ca="1" si="5"/>
        <v>0</v>
      </c>
      <c r="W17" s="344">
        <f t="shared" ca="1" si="5"/>
        <v>0</v>
      </c>
      <c r="X17" s="344">
        <f t="shared" ca="1" si="5"/>
        <v>0</v>
      </c>
      <c r="Y17" s="344" t="e">
        <f t="shared" ca="1" si="5"/>
        <v>#REF!</v>
      </c>
      <c r="Z17" s="344" t="e">
        <f t="shared" ca="1" si="5"/>
        <v>#REF!</v>
      </c>
      <c r="AA17" s="344" t="e">
        <f t="shared" ca="1" si="5"/>
        <v>#REF!</v>
      </c>
      <c r="AB17" s="344" t="e">
        <f t="shared" ca="1" si="5"/>
        <v>#REF!</v>
      </c>
      <c r="AC17" s="344" t="e">
        <f t="shared" ca="1" si="5"/>
        <v>#REF!</v>
      </c>
      <c r="AD17" s="344" t="e">
        <f t="shared" ca="1" si="5"/>
        <v>#REF!</v>
      </c>
      <c r="AE17" s="344" t="e">
        <f t="shared" ca="1" si="5"/>
        <v>#REF!</v>
      </c>
      <c r="AF17" s="344" t="e">
        <f t="shared" ca="1" si="5"/>
        <v>#REF!</v>
      </c>
    </row>
    <row r="18" spans="1:32">
      <c r="A18">
        <f t="shared" si="4"/>
        <v>2023</v>
      </c>
      <c r="B18" s="344">
        <f t="shared" ca="1" si="1"/>
        <v>0</v>
      </c>
      <c r="C18" s="344">
        <f t="shared" ca="1" si="5"/>
        <v>0</v>
      </c>
      <c r="D18" s="344">
        <f t="shared" ca="1" si="5"/>
        <v>0</v>
      </c>
      <c r="E18" s="344">
        <f t="shared" ca="1" si="5"/>
        <v>0</v>
      </c>
      <c r="F18" s="344">
        <f t="shared" ca="1" si="5"/>
        <v>0</v>
      </c>
      <c r="G18" s="344">
        <f t="shared" ca="1" si="5"/>
        <v>0</v>
      </c>
      <c r="H18" s="344">
        <f t="shared" ca="1" si="5"/>
        <v>0</v>
      </c>
      <c r="I18" s="344">
        <f t="shared" ca="1" si="5"/>
        <v>0</v>
      </c>
      <c r="J18" s="344">
        <f t="shared" ca="1" si="5"/>
        <v>0</v>
      </c>
      <c r="K18" s="344">
        <f t="shared" ca="1" si="5"/>
        <v>0</v>
      </c>
      <c r="L18" s="344">
        <f t="shared" ca="1" si="5"/>
        <v>0</v>
      </c>
      <c r="M18" s="344">
        <f t="shared" ca="1" si="5"/>
        <v>0</v>
      </c>
      <c r="N18" s="344">
        <f t="shared" ca="1" si="5"/>
        <v>0</v>
      </c>
      <c r="O18" s="344">
        <f t="shared" ca="1" si="5"/>
        <v>0</v>
      </c>
      <c r="P18" s="344">
        <f t="shared" ca="1" si="5"/>
        <v>0</v>
      </c>
      <c r="Q18" s="344">
        <f t="shared" ca="1" si="5"/>
        <v>0</v>
      </c>
      <c r="R18" s="344">
        <f t="shared" ca="1" si="5"/>
        <v>0</v>
      </c>
      <c r="S18" s="344">
        <f t="shared" ca="1" si="5"/>
        <v>0</v>
      </c>
      <c r="T18" s="344">
        <f t="shared" ca="1" si="5"/>
        <v>0</v>
      </c>
      <c r="U18" s="344">
        <f t="shared" ca="1" si="5"/>
        <v>0</v>
      </c>
      <c r="V18" s="344">
        <f t="shared" ca="1" si="5"/>
        <v>0</v>
      </c>
      <c r="W18" s="344">
        <f t="shared" ca="1" si="5"/>
        <v>0</v>
      </c>
      <c r="X18" s="344">
        <f t="shared" ca="1" si="5"/>
        <v>0</v>
      </c>
      <c r="Y18" s="344" t="e">
        <f t="shared" ca="1" si="5"/>
        <v>#REF!</v>
      </c>
      <c r="Z18" s="344" t="e">
        <f t="shared" ca="1" si="5"/>
        <v>#REF!</v>
      </c>
      <c r="AA18" s="344" t="e">
        <f t="shared" ca="1" si="5"/>
        <v>#REF!</v>
      </c>
      <c r="AB18" s="344" t="e">
        <f t="shared" ca="1" si="5"/>
        <v>#REF!</v>
      </c>
      <c r="AC18" s="344" t="e">
        <f t="shared" ca="1" si="5"/>
        <v>#REF!</v>
      </c>
      <c r="AD18" s="344" t="e">
        <f t="shared" ca="1" si="5"/>
        <v>#REF!</v>
      </c>
      <c r="AE18" s="344" t="e">
        <f t="shared" ca="1" si="5"/>
        <v>#REF!</v>
      </c>
      <c r="AF18" s="344" t="e">
        <f t="shared" ca="1" si="5"/>
        <v>#REF!</v>
      </c>
    </row>
    <row r="19" spans="1:32">
      <c r="A19">
        <f t="shared" si="4"/>
        <v>2024</v>
      </c>
      <c r="B19" s="344">
        <f t="shared" ca="1" si="1"/>
        <v>0</v>
      </c>
      <c r="C19" s="344">
        <f t="shared" ca="1" si="5"/>
        <v>0</v>
      </c>
      <c r="D19" s="344">
        <f t="shared" ca="1" si="5"/>
        <v>0</v>
      </c>
      <c r="E19" s="344">
        <f t="shared" ca="1" si="5"/>
        <v>0</v>
      </c>
      <c r="F19" s="344">
        <f t="shared" ca="1" si="5"/>
        <v>0</v>
      </c>
      <c r="G19" s="344">
        <f t="shared" ca="1" si="5"/>
        <v>0</v>
      </c>
      <c r="H19" s="344">
        <f t="shared" ca="1" si="5"/>
        <v>0</v>
      </c>
      <c r="I19" s="344">
        <f t="shared" ca="1" si="5"/>
        <v>0</v>
      </c>
      <c r="J19" s="344">
        <f t="shared" ca="1" si="5"/>
        <v>0</v>
      </c>
      <c r="K19" s="344">
        <f t="shared" ca="1" si="5"/>
        <v>0</v>
      </c>
      <c r="L19" s="344">
        <f t="shared" ca="1" si="5"/>
        <v>0</v>
      </c>
      <c r="M19" s="344">
        <f t="shared" ca="1" si="5"/>
        <v>0</v>
      </c>
      <c r="N19" s="344">
        <f t="shared" ca="1" si="5"/>
        <v>0</v>
      </c>
      <c r="O19" s="344">
        <f t="shared" ca="1" si="5"/>
        <v>0</v>
      </c>
      <c r="P19" s="344">
        <f t="shared" ca="1" si="5"/>
        <v>0</v>
      </c>
      <c r="Q19" s="344">
        <f t="shared" ca="1" si="5"/>
        <v>0</v>
      </c>
      <c r="R19" s="344">
        <f t="shared" ca="1" si="5"/>
        <v>0</v>
      </c>
      <c r="S19" s="344">
        <f t="shared" ca="1" si="5"/>
        <v>0</v>
      </c>
      <c r="T19" s="344">
        <f t="shared" ca="1" si="5"/>
        <v>0</v>
      </c>
      <c r="U19" s="344">
        <f t="shared" ca="1" si="5"/>
        <v>0</v>
      </c>
      <c r="V19" s="344">
        <f t="shared" ca="1" si="5"/>
        <v>0</v>
      </c>
      <c r="W19" s="344">
        <f t="shared" ca="1" si="5"/>
        <v>0</v>
      </c>
      <c r="X19" s="344">
        <f t="shared" ca="1" si="5"/>
        <v>0</v>
      </c>
      <c r="Y19" s="344" t="e">
        <f t="shared" ca="1" si="5"/>
        <v>#REF!</v>
      </c>
      <c r="Z19" s="344" t="e">
        <f t="shared" ca="1" si="5"/>
        <v>#REF!</v>
      </c>
      <c r="AA19" s="344" t="e">
        <f t="shared" ca="1" si="5"/>
        <v>#REF!</v>
      </c>
      <c r="AB19" s="344" t="e">
        <f t="shared" ca="1" si="5"/>
        <v>#REF!</v>
      </c>
      <c r="AC19" s="344" t="e">
        <f t="shared" ca="1" si="5"/>
        <v>#REF!</v>
      </c>
      <c r="AD19" s="344" t="e">
        <f t="shared" ca="1" si="5"/>
        <v>#REF!</v>
      </c>
      <c r="AE19" s="344" t="e">
        <f t="shared" ca="1" si="5"/>
        <v>#REF!</v>
      </c>
      <c r="AF19" s="344" t="e">
        <f t="shared" ca="1" si="5"/>
        <v>#REF!</v>
      </c>
    </row>
    <row r="20" spans="1:32">
      <c r="A20">
        <f t="shared" si="4"/>
        <v>2025</v>
      </c>
      <c r="B20" s="344">
        <f t="shared" ca="1" si="1"/>
        <v>0</v>
      </c>
      <c r="C20" s="344">
        <f t="shared" ca="1" si="5"/>
        <v>0</v>
      </c>
      <c r="D20" s="344">
        <f t="shared" ca="1" si="5"/>
        <v>0</v>
      </c>
      <c r="E20" s="344">
        <f t="shared" ca="1" si="5"/>
        <v>0</v>
      </c>
      <c r="F20" s="344">
        <f t="shared" ca="1" si="5"/>
        <v>0</v>
      </c>
      <c r="G20" s="344">
        <f t="shared" ca="1" si="5"/>
        <v>0</v>
      </c>
      <c r="H20" s="344">
        <f t="shared" ca="1" si="5"/>
        <v>0</v>
      </c>
      <c r="I20" s="344">
        <f t="shared" ca="1" si="5"/>
        <v>0</v>
      </c>
      <c r="J20" s="344">
        <f t="shared" ca="1" si="5"/>
        <v>0</v>
      </c>
      <c r="K20" s="344">
        <f t="shared" ca="1" si="5"/>
        <v>0</v>
      </c>
      <c r="L20" s="344">
        <f t="shared" ca="1" si="5"/>
        <v>0</v>
      </c>
      <c r="M20" s="344">
        <f t="shared" ca="1" si="5"/>
        <v>0</v>
      </c>
      <c r="N20" s="344">
        <f t="shared" ca="1" si="5"/>
        <v>0</v>
      </c>
      <c r="O20" s="344">
        <f t="shared" ca="1" si="5"/>
        <v>0</v>
      </c>
      <c r="P20" s="344">
        <f t="shared" ca="1" si="5"/>
        <v>0</v>
      </c>
      <c r="Q20" s="344">
        <f t="shared" ca="1" si="5"/>
        <v>0</v>
      </c>
      <c r="R20" s="344">
        <f t="shared" ca="1" si="5"/>
        <v>0</v>
      </c>
      <c r="S20" s="344">
        <f t="shared" ca="1" si="5"/>
        <v>0</v>
      </c>
      <c r="T20" s="344">
        <f t="shared" ca="1" si="5"/>
        <v>0</v>
      </c>
      <c r="U20" s="344">
        <f t="shared" ca="1" si="5"/>
        <v>0</v>
      </c>
      <c r="V20" s="344">
        <f t="shared" ca="1" si="5"/>
        <v>0</v>
      </c>
      <c r="W20" s="344">
        <f t="shared" ca="1" si="5"/>
        <v>0</v>
      </c>
      <c r="X20" s="344">
        <f t="shared" ca="1" si="5"/>
        <v>0</v>
      </c>
      <c r="Y20" s="344" t="e">
        <f t="shared" ca="1" si="5"/>
        <v>#REF!</v>
      </c>
      <c r="Z20" s="344" t="e">
        <f t="shared" ca="1" si="5"/>
        <v>#REF!</v>
      </c>
      <c r="AA20" s="344" t="e">
        <f t="shared" ca="1" si="5"/>
        <v>#REF!</v>
      </c>
      <c r="AB20" s="344" t="e">
        <f t="shared" ca="1" si="5"/>
        <v>#REF!</v>
      </c>
      <c r="AC20" s="344" t="e">
        <f t="shared" ca="1" si="5"/>
        <v>#REF!</v>
      </c>
      <c r="AD20" s="344" t="e">
        <f t="shared" ca="1" si="5"/>
        <v>#REF!</v>
      </c>
      <c r="AE20" s="344" t="e">
        <f t="shared" ca="1" si="5"/>
        <v>#REF!</v>
      </c>
      <c r="AF20" s="344" t="e">
        <f t="shared" ca="1" si="5"/>
        <v>#REF!</v>
      </c>
    </row>
    <row r="21" spans="1:32">
      <c r="A21">
        <f t="shared" si="4"/>
        <v>2026</v>
      </c>
      <c r="B21" s="344">
        <f t="shared" ca="1" si="1"/>
        <v>0</v>
      </c>
      <c r="C21" s="344">
        <f t="shared" ca="1" si="5"/>
        <v>0</v>
      </c>
      <c r="D21" s="344">
        <f t="shared" ca="1" si="5"/>
        <v>0</v>
      </c>
      <c r="E21" s="344">
        <f t="shared" ca="1" si="5"/>
        <v>0</v>
      </c>
      <c r="F21" s="344">
        <f t="shared" ca="1" si="5"/>
        <v>0</v>
      </c>
      <c r="G21" s="344">
        <f t="shared" ca="1" si="5"/>
        <v>0</v>
      </c>
      <c r="H21" s="344">
        <f t="shared" ca="1" si="5"/>
        <v>0</v>
      </c>
      <c r="I21" s="344">
        <f t="shared" ca="1" si="5"/>
        <v>0</v>
      </c>
      <c r="J21" s="344">
        <f t="shared" ca="1" si="5"/>
        <v>0</v>
      </c>
      <c r="K21" s="344">
        <f t="shared" ca="1" si="5"/>
        <v>0</v>
      </c>
      <c r="L21" s="344">
        <f t="shared" ca="1" si="5"/>
        <v>0</v>
      </c>
      <c r="M21" s="344">
        <f t="shared" ca="1" si="5"/>
        <v>0</v>
      </c>
      <c r="N21" s="344">
        <f t="shared" ca="1" si="5"/>
        <v>0</v>
      </c>
      <c r="O21" s="344">
        <f t="shared" ca="1" si="5"/>
        <v>0</v>
      </c>
      <c r="P21" s="344">
        <f t="shared" ca="1" si="5"/>
        <v>0</v>
      </c>
      <c r="Q21" s="344">
        <f t="shared" ca="1" si="5"/>
        <v>0</v>
      </c>
      <c r="R21" s="344">
        <f t="shared" ca="1" si="5"/>
        <v>0</v>
      </c>
      <c r="S21" s="344">
        <f t="shared" ca="1" si="5"/>
        <v>0</v>
      </c>
      <c r="T21" s="344">
        <f t="shared" ca="1" si="5"/>
        <v>0</v>
      </c>
      <c r="U21" s="344">
        <f t="shared" ca="1" si="5"/>
        <v>0</v>
      </c>
      <c r="V21" s="344">
        <f t="shared" ca="1" si="5"/>
        <v>0</v>
      </c>
      <c r="W21" s="344">
        <f t="shared" ca="1" si="5"/>
        <v>0</v>
      </c>
      <c r="X21" s="344">
        <f t="shared" ca="1" si="5"/>
        <v>0</v>
      </c>
      <c r="Y21" s="344" t="e">
        <f t="shared" ca="1" si="5"/>
        <v>#REF!</v>
      </c>
      <c r="Z21" s="344" t="e">
        <f t="shared" ca="1" si="5"/>
        <v>#REF!</v>
      </c>
      <c r="AA21" s="344" t="e">
        <f t="shared" ca="1" si="5"/>
        <v>#REF!</v>
      </c>
      <c r="AB21" s="344" t="e">
        <f t="shared" ca="1" si="5"/>
        <v>#REF!</v>
      </c>
      <c r="AC21" s="344" t="e">
        <f t="shared" ca="1" si="5"/>
        <v>#REF!</v>
      </c>
      <c r="AD21" s="344" t="e">
        <f t="shared" ca="1" si="5"/>
        <v>#REF!</v>
      </c>
      <c r="AE21" s="344" t="e">
        <f t="shared" ca="1" si="5"/>
        <v>#REF!</v>
      </c>
      <c r="AF21" s="344" t="e">
        <f t="shared" ca="1" si="5"/>
        <v>#REF!</v>
      </c>
    </row>
    <row r="22" spans="1:32">
      <c r="A22">
        <f t="shared" si="4"/>
        <v>2027</v>
      </c>
      <c r="B22" s="344">
        <f t="shared" ca="1" si="1"/>
        <v>0</v>
      </c>
      <c r="C22" s="344">
        <f t="shared" ca="1" si="5"/>
        <v>0</v>
      </c>
      <c r="D22" s="344">
        <f t="shared" ca="1" si="5"/>
        <v>0</v>
      </c>
      <c r="E22" s="344">
        <f t="shared" ca="1" si="5"/>
        <v>0</v>
      </c>
      <c r="F22" s="344">
        <f t="shared" ca="1" si="5"/>
        <v>0</v>
      </c>
      <c r="G22" s="344">
        <f t="shared" ca="1" si="5"/>
        <v>0</v>
      </c>
      <c r="H22" s="344">
        <f t="shared" ca="1" si="5"/>
        <v>0</v>
      </c>
      <c r="I22" s="344">
        <f t="shared" ca="1" si="5"/>
        <v>0</v>
      </c>
      <c r="J22" s="344">
        <f t="shared" ca="1" si="5"/>
        <v>0</v>
      </c>
      <c r="K22" s="344">
        <f t="shared" ca="1" si="5"/>
        <v>0</v>
      </c>
      <c r="L22" s="344">
        <f t="shared" ca="1" si="5"/>
        <v>0</v>
      </c>
      <c r="M22" s="344">
        <f t="shared" ca="1" si="5"/>
        <v>0</v>
      </c>
      <c r="N22" s="344">
        <f t="shared" ca="1" si="5"/>
        <v>0</v>
      </c>
      <c r="O22" s="344">
        <f t="shared" ca="1" si="5"/>
        <v>0</v>
      </c>
      <c r="P22" s="344">
        <f t="shared" ca="1" si="5"/>
        <v>0</v>
      </c>
      <c r="Q22" s="344">
        <f t="shared" ca="1" si="5"/>
        <v>0</v>
      </c>
      <c r="R22" s="344">
        <f t="shared" ref="C22:AF30" ca="1" si="6">OFFSET(INDIRECT(R$3),$A22-$A$5+$C$1,$C$2)</f>
        <v>0</v>
      </c>
      <c r="S22" s="344">
        <f t="shared" ca="1" si="6"/>
        <v>0</v>
      </c>
      <c r="T22" s="344">
        <f t="shared" ca="1" si="6"/>
        <v>0</v>
      </c>
      <c r="U22" s="344">
        <f t="shared" ca="1" si="6"/>
        <v>0</v>
      </c>
      <c r="V22" s="344">
        <f t="shared" ca="1" si="6"/>
        <v>0</v>
      </c>
      <c r="W22" s="344">
        <f t="shared" ca="1" si="6"/>
        <v>0</v>
      </c>
      <c r="X22" s="344">
        <f t="shared" ca="1" si="6"/>
        <v>0</v>
      </c>
      <c r="Y22" s="344" t="e">
        <f t="shared" ca="1" si="6"/>
        <v>#REF!</v>
      </c>
      <c r="Z22" s="344" t="e">
        <f t="shared" ca="1" si="6"/>
        <v>#REF!</v>
      </c>
      <c r="AA22" s="344" t="e">
        <f t="shared" ca="1" si="6"/>
        <v>#REF!</v>
      </c>
      <c r="AB22" s="344" t="e">
        <f t="shared" ca="1" si="6"/>
        <v>#REF!</v>
      </c>
      <c r="AC22" s="344" t="e">
        <f t="shared" ca="1" si="6"/>
        <v>#REF!</v>
      </c>
      <c r="AD22" s="344" t="e">
        <f t="shared" ca="1" si="6"/>
        <v>#REF!</v>
      </c>
      <c r="AE22" s="344" t="e">
        <f t="shared" ca="1" si="6"/>
        <v>#REF!</v>
      </c>
      <c r="AF22" s="344" t="e">
        <f t="shared" ca="1" si="6"/>
        <v>#REF!</v>
      </c>
    </row>
    <row r="23" spans="1:32">
      <c r="A23">
        <f t="shared" si="4"/>
        <v>2028</v>
      </c>
      <c r="B23" s="344">
        <f t="shared" ca="1" si="1"/>
        <v>0</v>
      </c>
      <c r="C23" s="344">
        <f t="shared" ca="1" si="6"/>
        <v>0</v>
      </c>
      <c r="D23" s="344">
        <f t="shared" ca="1" si="6"/>
        <v>0</v>
      </c>
      <c r="E23" s="344">
        <f t="shared" ca="1" si="6"/>
        <v>0</v>
      </c>
      <c r="F23" s="344">
        <f t="shared" ca="1" si="6"/>
        <v>0</v>
      </c>
      <c r="G23" s="344">
        <f t="shared" ca="1" si="6"/>
        <v>0</v>
      </c>
      <c r="H23" s="344">
        <f t="shared" ca="1" si="6"/>
        <v>0</v>
      </c>
      <c r="I23" s="344">
        <f t="shared" ca="1" si="6"/>
        <v>0</v>
      </c>
      <c r="J23" s="344">
        <f t="shared" ca="1" si="6"/>
        <v>0</v>
      </c>
      <c r="K23" s="344">
        <f t="shared" ca="1" si="6"/>
        <v>0</v>
      </c>
      <c r="L23" s="344">
        <f t="shared" ca="1" si="6"/>
        <v>0</v>
      </c>
      <c r="M23" s="344">
        <f t="shared" ca="1" si="6"/>
        <v>0</v>
      </c>
      <c r="N23" s="344">
        <f t="shared" ca="1" si="6"/>
        <v>0</v>
      </c>
      <c r="O23" s="344">
        <f t="shared" ca="1" si="6"/>
        <v>0</v>
      </c>
      <c r="P23" s="344">
        <f t="shared" ca="1" si="6"/>
        <v>0</v>
      </c>
      <c r="Q23" s="344">
        <f t="shared" ca="1" si="6"/>
        <v>0</v>
      </c>
      <c r="R23" s="344">
        <f t="shared" ca="1" si="6"/>
        <v>0</v>
      </c>
      <c r="S23" s="344">
        <f t="shared" ca="1" si="6"/>
        <v>0</v>
      </c>
      <c r="T23" s="344">
        <f t="shared" ca="1" si="6"/>
        <v>0</v>
      </c>
      <c r="U23" s="344">
        <f t="shared" ca="1" si="6"/>
        <v>0</v>
      </c>
      <c r="V23" s="344">
        <f t="shared" ca="1" si="6"/>
        <v>0</v>
      </c>
      <c r="W23" s="344">
        <f t="shared" ca="1" si="6"/>
        <v>0</v>
      </c>
      <c r="X23" s="344">
        <f t="shared" ca="1" si="6"/>
        <v>0</v>
      </c>
      <c r="Y23" s="344" t="e">
        <f t="shared" ca="1" si="6"/>
        <v>#REF!</v>
      </c>
      <c r="Z23" s="344" t="e">
        <f t="shared" ca="1" si="6"/>
        <v>#REF!</v>
      </c>
      <c r="AA23" s="344" t="e">
        <f t="shared" ca="1" si="6"/>
        <v>#REF!</v>
      </c>
      <c r="AB23" s="344" t="e">
        <f t="shared" ca="1" si="6"/>
        <v>#REF!</v>
      </c>
      <c r="AC23" s="344" t="e">
        <f t="shared" ca="1" si="6"/>
        <v>#REF!</v>
      </c>
      <c r="AD23" s="344" t="e">
        <f t="shared" ca="1" si="6"/>
        <v>#REF!</v>
      </c>
      <c r="AE23" s="344" t="e">
        <f t="shared" ca="1" si="6"/>
        <v>#REF!</v>
      </c>
      <c r="AF23" s="344" t="e">
        <f t="shared" ca="1" si="6"/>
        <v>#REF!</v>
      </c>
    </row>
    <row r="24" spans="1:32">
      <c r="A24">
        <f t="shared" si="4"/>
        <v>2029</v>
      </c>
      <c r="B24" s="344">
        <f t="shared" ca="1" si="1"/>
        <v>0</v>
      </c>
      <c r="C24" s="344">
        <f t="shared" ca="1" si="6"/>
        <v>0</v>
      </c>
      <c r="D24" s="344">
        <f t="shared" ca="1" si="6"/>
        <v>0</v>
      </c>
      <c r="E24" s="344">
        <f t="shared" ca="1" si="6"/>
        <v>0</v>
      </c>
      <c r="F24" s="344">
        <f t="shared" ca="1" si="6"/>
        <v>0</v>
      </c>
      <c r="G24" s="344">
        <f t="shared" ca="1" si="6"/>
        <v>0</v>
      </c>
      <c r="H24" s="344">
        <f t="shared" ca="1" si="6"/>
        <v>0</v>
      </c>
      <c r="I24" s="344">
        <f t="shared" ca="1" si="6"/>
        <v>0</v>
      </c>
      <c r="J24" s="344">
        <f t="shared" ca="1" si="6"/>
        <v>0</v>
      </c>
      <c r="K24" s="344">
        <f t="shared" ca="1" si="6"/>
        <v>0</v>
      </c>
      <c r="L24" s="344">
        <f t="shared" ca="1" si="6"/>
        <v>0</v>
      </c>
      <c r="M24" s="344">
        <f t="shared" ca="1" si="6"/>
        <v>0</v>
      </c>
      <c r="N24" s="344">
        <f t="shared" ca="1" si="6"/>
        <v>0</v>
      </c>
      <c r="O24" s="344">
        <f t="shared" ca="1" si="6"/>
        <v>0</v>
      </c>
      <c r="P24" s="344">
        <f t="shared" ca="1" si="6"/>
        <v>0</v>
      </c>
      <c r="Q24" s="344">
        <f t="shared" ca="1" si="6"/>
        <v>0</v>
      </c>
      <c r="R24" s="344">
        <f t="shared" ca="1" si="6"/>
        <v>0</v>
      </c>
      <c r="S24" s="344">
        <f t="shared" ca="1" si="6"/>
        <v>0</v>
      </c>
      <c r="T24" s="344">
        <f t="shared" ca="1" si="6"/>
        <v>0</v>
      </c>
      <c r="U24" s="344">
        <f t="shared" ca="1" si="6"/>
        <v>0</v>
      </c>
      <c r="V24" s="344">
        <f t="shared" ca="1" si="6"/>
        <v>0</v>
      </c>
      <c r="W24" s="344">
        <f t="shared" ca="1" si="6"/>
        <v>0</v>
      </c>
      <c r="X24" s="344">
        <f t="shared" ca="1" si="6"/>
        <v>0</v>
      </c>
      <c r="Y24" s="344" t="e">
        <f t="shared" ca="1" si="6"/>
        <v>#REF!</v>
      </c>
      <c r="Z24" s="344" t="e">
        <f t="shared" ca="1" si="6"/>
        <v>#REF!</v>
      </c>
      <c r="AA24" s="344" t="e">
        <f t="shared" ca="1" si="6"/>
        <v>#REF!</v>
      </c>
      <c r="AB24" s="344" t="e">
        <f t="shared" ca="1" si="6"/>
        <v>#REF!</v>
      </c>
      <c r="AC24" s="344" t="e">
        <f t="shared" ca="1" si="6"/>
        <v>#REF!</v>
      </c>
      <c r="AD24" s="344" t="e">
        <f t="shared" ca="1" si="6"/>
        <v>#REF!</v>
      </c>
      <c r="AE24" s="344" t="e">
        <f t="shared" ca="1" si="6"/>
        <v>#REF!</v>
      </c>
      <c r="AF24" s="344" t="e">
        <f t="shared" ca="1" si="6"/>
        <v>#REF!</v>
      </c>
    </row>
    <row r="25" spans="1:32">
      <c r="A25">
        <f t="shared" si="4"/>
        <v>2030</v>
      </c>
      <c r="B25" s="344">
        <f t="shared" ca="1" si="1"/>
        <v>0</v>
      </c>
      <c r="C25" s="344">
        <f t="shared" ca="1" si="6"/>
        <v>0</v>
      </c>
      <c r="D25" s="344">
        <f t="shared" ca="1" si="6"/>
        <v>0</v>
      </c>
      <c r="E25" s="344">
        <f t="shared" ca="1" si="6"/>
        <v>0</v>
      </c>
      <c r="F25" s="344">
        <f t="shared" ca="1" si="6"/>
        <v>0</v>
      </c>
      <c r="G25" s="344">
        <f t="shared" ca="1" si="6"/>
        <v>0</v>
      </c>
      <c r="H25" s="344">
        <f t="shared" ca="1" si="6"/>
        <v>0</v>
      </c>
      <c r="I25" s="344">
        <f t="shared" ca="1" si="6"/>
        <v>0</v>
      </c>
      <c r="J25" s="344">
        <f t="shared" ca="1" si="6"/>
        <v>0</v>
      </c>
      <c r="K25" s="344">
        <f t="shared" ca="1" si="6"/>
        <v>0</v>
      </c>
      <c r="L25" s="344">
        <f t="shared" ca="1" si="6"/>
        <v>0</v>
      </c>
      <c r="M25" s="344">
        <f t="shared" ca="1" si="6"/>
        <v>0</v>
      </c>
      <c r="N25" s="344">
        <f t="shared" ca="1" si="6"/>
        <v>0</v>
      </c>
      <c r="O25" s="344">
        <f t="shared" ca="1" si="6"/>
        <v>0</v>
      </c>
      <c r="P25" s="344">
        <f t="shared" ca="1" si="6"/>
        <v>0</v>
      </c>
      <c r="Q25" s="344">
        <f t="shared" ca="1" si="6"/>
        <v>0</v>
      </c>
      <c r="R25" s="344">
        <f t="shared" ca="1" si="6"/>
        <v>0</v>
      </c>
      <c r="S25" s="344">
        <f t="shared" ca="1" si="6"/>
        <v>0</v>
      </c>
      <c r="T25" s="344">
        <f t="shared" ca="1" si="6"/>
        <v>0</v>
      </c>
      <c r="U25" s="344">
        <f t="shared" ca="1" si="6"/>
        <v>0</v>
      </c>
      <c r="V25" s="344">
        <f t="shared" ca="1" si="6"/>
        <v>0</v>
      </c>
      <c r="W25" s="344">
        <f t="shared" ca="1" si="6"/>
        <v>0</v>
      </c>
      <c r="X25" s="344">
        <f t="shared" ca="1" si="6"/>
        <v>0</v>
      </c>
      <c r="Y25" s="344" t="e">
        <f t="shared" ca="1" si="6"/>
        <v>#REF!</v>
      </c>
      <c r="Z25" s="344" t="e">
        <f t="shared" ca="1" si="6"/>
        <v>#REF!</v>
      </c>
      <c r="AA25" s="344" t="e">
        <f t="shared" ca="1" si="6"/>
        <v>#REF!</v>
      </c>
      <c r="AB25" s="344" t="e">
        <f t="shared" ca="1" si="6"/>
        <v>#REF!</v>
      </c>
      <c r="AC25" s="344" t="e">
        <f t="shared" ca="1" si="6"/>
        <v>#REF!</v>
      </c>
      <c r="AD25" s="344" t="e">
        <f t="shared" ca="1" si="6"/>
        <v>#REF!</v>
      </c>
      <c r="AE25" s="344" t="e">
        <f t="shared" ca="1" si="6"/>
        <v>#REF!</v>
      </c>
      <c r="AF25" s="344" t="e">
        <f t="shared" ca="1" si="6"/>
        <v>#REF!</v>
      </c>
    </row>
    <row r="26" spans="1:32">
      <c r="A26">
        <f t="shared" si="4"/>
        <v>2031</v>
      </c>
      <c r="B26" s="344">
        <f t="shared" ca="1" si="1"/>
        <v>0</v>
      </c>
      <c r="C26" s="344">
        <f t="shared" ca="1" si="6"/>
        <v>0</v>
      </c>
      <c r="D26" s="344">
        <f t="shared" ca="1" si="6"/>
        <v>0</v>
      </c>
      <c r="E26" s="344">
        <f t="shared" ca="1" si="6"/>
        <v>0</v>
      </c>
      <c r="F26" s="344">
        <f t="shared" ca="1" si="6"/>
        <v>0</v>
      </c>
      <c r="G26" s="344">
        <f t="shared" ca="1" si="6"/>
        <v>0</v>
      </c>
      <c r="H26" s="344">
        <f t="shared" ca="1" si="6"/>
        <v>0</v>
      </c>
      <c r="I26" s="344">
        <f t="shared" ca="1" si="6"/>
        <v>0</v>
      </c>
      <c r="J26" s="344">
        <f t="shared" ca="1" si="6"/>
        <v>0</v>
      </c>
      <c r="K26" s="344">
        <f t="shared" ca="1" si="6"/>
        <v>0</v>
      </c>
      <c r="L26" s="344">
        <f t="shared" ca="1" si="6"/>
        <v>0</v>
      </c>
      <c r="M26" s="344">
        <f t="shared" ca="1" si="6"/>
        <v>0</v>
      </c>
      <c r="N26" s="344">
        <f t="shared" ca="1" si="6"/>
        <v>0</v>
      </c>
      <c r="O26" s="344">
        <f t="shared" ca="1" si="6"/>
        <v>0</v>
      </c>
      <c r="P26" s="344">
        <f t="shared" ca="1" si="6"/>
        <v>0</v>
      </c>
      <c r="Q26" s="344">
        <f t="shared" ca="1" si="6"/>
        <v>0</v>
      </c>
      <c r="R26" s="344">
        <f t="shared" ca="1" si="6"/>
        <v>0</v>
      </c>
      <c r="S26" s="344">
        <f t="shared" ca="1" si="6"/>
        <v>0</v>
      </c>
      <c r="T26" s="344">
        <f t="shared" ca="1" si="6"/>
        <v>0</v>
      </c>
      <c r="U26" s="344">
        <f t="shared" ca="1" si="6"/>
        <v>0</v>
      </c>
      <c r="V26" s="344">
        <f t="shared" ca="1" si="6"/>
        <v>0</v>
      </c>
      <c r="W26" s="344">
        <f t="shared" ca="1" si="6"/>
        <v>0</v>
      </c>
      <c r="X26" s="344">
        <f t="shared" ca="1" si="6"/>
        <v>0</v>
      </c>
      <c r="Y26" s="344" t="e">
        <f t="shared" ca="1" si="6"/>
        <v>#REF!</v>
      </c>
      <c r="Z26" s="344" t="e">
        <f t="shared" ca="1" si="6"/>
        <v>#REF!</v>
      </c>
      <c r="AA26" s="344" t="e">
        <f t="shared" ca="1" si="6"/>
        <v>#REF!</v>
      </c>
      <c r="AB26" s="344" t="e">
        <f t="shared" ca="1" si="6"/>
        <v>#REF!</v>
      </c>
      <c r="AC26" s="344" t="e">
        <f t="shared" ca="1" si="6"/>
        <v>#REF!</v>
      </c>
      <c r="AD26" s="344" t="e">
        <f t="shared" ca="1" si="6"/>
        <v>#REF!</v>
      </c>
      <c r="AE26" s="344" t="e">
        <f t="shared" ca="1" si="6"/>
        <v>#REF!</v>
      </c>
      <c r="AF26" s="344" t="e">
        <f t="shared" ca="1" si="6"/>
        <v>#REF!</v>
      </c>
    </row>
    <row r="27" spans="1:32">
      <c r="A27">
        <f t="shared" si="4"/>
        <v>2032</v>
      </c>
      <c r="B27" s="344">
        <f t="shared" ca="1" si="1"/>
        <v>0</v>
      </c>
      <c r="C27" s="344">
        <f t="shared" ca="1" si="6"/>
        <v>0</v>
      </c>
      <c r="D27" s="344">
        <f t="shared" ca="1" si="6"/>
        <v>0</v>
      </c>
      <c r="E27" s="344">
        <f t="shared" ca="1" si="6"/>
        <v>0</v>
      </c>
      <c r="F27" s="344">
        <f t="shared" ca="1" si="6"/>
        <v>0</v>
      </c>
      <c r="G27" s="344">
        <f t="shared" ca="1" si="6"/>
        <v>0</v>
      </c>
      <c r="H27" s="344">
        <f t="shared" ca="1" si="6"/>
        <v>0</v>
      </c>
      <c r="I27" s="344">
        <f t="shared" ca="1" si="6"/>
        <v>0</v>
      </c>
      <c r="J27" s="344">
        <f t="shared" ca="1" si="6"/>
        <v>0</v>
      </c>
      <c r="K27" s="344">
        <f t="shared" ca="1" si="6"/>
        <v>0</v>
      </c>
      <c r="L27" s="344">
        <f t="shared" ca="1" si="6"/>
        <v>0</v>
      </c>
      <c r="M27" s="344">
        <f t="shared" ca="1" si="6"/>
        <v>0</v>
      </c>
      <c r="N27" s="344">
        <f t="shared" ca="1" si="6"/>
        <v>0</v>
      </c>
      <c r="O27" s="344">
        <f t="shared" ca="1" si="6"/>
        <v>0</v>
      </c>
      <c r="P27" s="344">
        <f t="shared" ca="1" si="6"/>
        <v>0</v>
      </c>
      <c r="Q27" s="344">
        <f t="shared" ca="1" si="6"/>
        <v>0</v>
      </c>
      <c r="R27" s="344">
        <f t="shared" ca="1" si="6"/>
        <v>0</v>
      </c>
      <c r="S27" s="344">
        <f t="shared" ca="1" si="6"/>
        <v>0</v>
      </c>
      <c r="T27" s="344">
        <f t="shared" ca="1" si="6"/>
        <v>0</v>
      </c>
      <c r="U27" s="344">
        <f t="shared" ca="1" si="6"/>
        <v>0</v>
      </c>
      <c r="V27" s="344">
        <f t="shared" ca="1" si="6"/>
        <v>0</v>
      </c>
      <c r="W27" s="344">
        <f t="shared" ca="1" si="6"/>
        <v>0</v>
      </c>
      <c r="X27" s="344">
        <f t="shared" ca="1" si="6"/>
        <v>0</v>
      </c>
      <c r="Y27" s="344" t="e">
        <f t="shared" ca="1" si="6"/>
        <v>#REF!</v>
      </c>
      <c r="Z27" s="344" t="e">
        <f t="shared" ca="1" si="6"/>
        <v>#REF!</v>
      </c>
      <c r="AA27" s="344" t="e">
        <f t="shared" ca="1" si="6"/>
        <v>#REF!</v>
      </c>
      <c r="AB27" s="344" t="e">
        <f t="shared" ca="1" si="6"/>
        <v>#REF!</v>
      </c>
      <c r="AC27" s="344" t="e">
        <f t="shared" ca="1" si="6"/>
        <v>#REF!</v>
      </c>
      <c r="AD27" s="344" t="e">
        <f t="shared" ca="1" si="6"/>
        <v>#REF!</v>
      </c>
      <c r="AE27" s="344" t="e">
        <f t="shared" ca="1" si="6"/>
        <v>#REF!</v>
      </c>
      <c r="AF27" s="344" t="e">
        <f t="shared" ca="1" si="6"/>
        <v>#REF!</v>
      </c>
    </row>
    <row r="28" spans="1:32">
      <c r="A28">
        <f t="shared" si="4"/>
        <v>2033</v>
      </c>
      <c r="B28" s="344">
        <f t="shared" ca="1" si="1"/>
        <v>0</v>
      </c>
      <c r="C28" s="344">
        <f t="shared" ca="1" si="6"/>
        <v>0</v>
      </c>
      <c r="D28" s="344">
        <f t="shared" ca="1" si="6"/>
        <v>0</v>
      </c>
      <c r="E28" s="344">
        <f t="shared" ca="1" si="6"/>
        <v>0</v>
      </c>
      <c r="F28" s="344">
        <f t="shared" ca="1" si="6"/>
        <v>0</v>
      </c>
      <c r="G28" s="344">
        <f t="shared" ca="1" si="6"/>
        <v>0</v>
      </c>
      <c r="H28" s="344">
        <f t="shared" ca="1" si="6"/>
        <v>0</v>
      </c>
      <c r="I28" s="344">
        <f t="shared" ca="1" si="6"/>
        <v>0</v>
      </c>
      <c r="J28" s="344">
        <f t="shared" ca="1" si="6"/>
        <v>0</v>
      </c>
      <c r="K28" s="344">
        <f t="shared" ca="1" si="6"/>
        <v>0</v>
      </c>
      <c r="L28" s="344">
        <f t="shared" ca="1" si="6"/>
        <v>0</v>
      </c>
      <c r="M28" s="344">
        <f t="shared" ca="1" si="6"/>
        <v>0</v>
      </c>
      <c r="N28" s="344">
        <f t="shared" ca="1" si="6"/>
        <v>0</v>
      </c>
      <c r="O28" s="344">
        <f t="shared" ca="1" si="6"/>
        <v>0</v>
      </c>
      <c r="P28" s="344">
        <f t="shared" ca="1" si="6"/>
        <v>0</v>
      </c>
      <c r="Q28" s="344">
        <f t="shared" ca="1" si="6"/>
        <v>0</v>
      </c>
      <c r="R28" s="344">
        <f t="shared" ca="1" si="6"/>
        <v>0</v>
      </c>
      <c r="S28" s="344">
        <f t="shared" ca="1" si="6"/>
        <v>0</v>
      </c>
      <c r="T28" s="344">
        <f t="shared" ca="1" si="6"/>
        <v>0</v>
      </c>
      <c r="U28" s="344">
        <f t="shared" ca="1" si="6"/>
        <v>0</v>
      </c>
      <c r="V28" s="344">
        <f t="shared" ca="1" si="6"/>
        <v>0</v>
      </c>
      <c r="W28" s="344">
        <f t="shared" ca="1" si="6"/>
        <v>0</v>
      </c>
      <c r="X28" s="344">
        <f t="shared" ca="1" si="6"/>
        <v>0</v>
      </c>
      <c r="Y28" s="344" t="e">
        <f t="shared" ca="1" si="6"/>
        <v>#REF!</v>
      </c>
      <c r="Z28" s="344" t="e">
        <f t="shared" ca="1" si="6"/>
        <v>#REF!</v>
      </c>
      <c r="AA28" s="344" t="e">
        <f t="shared" ca="1" si="6"/>
        <v>#REF!</v>
      </c>
      <c r="AB28" s="344" t="e">
        <f t="shared" ca="1" si="6"/>
        <v>#REF!</v>
      </c>
      <c r="AC28" s="344" t="e">
        <f t="shared" ca="1" si="6"/>
        <v>#REF!</v>
      </c>
      <c r="AD28" s="344" t="e">
        <f t="shared" ca="1" si="6"/>
        <v>#REF!</v>
      </c>
      <c r="AE28" s="344" t="e">
        <f t="shared" ca="1" si="6"/>
        <v>#REF!</v>
      </c>
      <c r="AF28" s="344" t="e">
        <f t="shared" ca="1" si="6"/>
        <v>#REF!</v>
      </c>
    </row>
    <row r="29" spans="1:32">
      <c r="A29">
        <f t="shared" si="4"/>
        <v>2034</v>
      </c>
      <c r="B29" s="344">
        <f t="shared" ca="1" si="1"/>
        <v>0</v>
      </c>
      <c r="C29" s="344">
        <f t="shared" ca="1" si="6"/>
        <v>0</v>
      </c>
      <c r="D29" s="344">
        <f t="shared" ca="1" si="6"/>
        <v>0</v>
      </c>
      <c r="E29" s="344">
        <f t="shared" ca="1" si="6"/>
        <v>0</v>
      </c>
      <c r="F29" s="344">
        <f t="shared" ca="1" si="6"/>
        <v>0</v>
      </c>
      <c r="G29" s="344">
        <f t="shared" ca="1" si="6"/>
        <v>0</v>
      </c>
      <c r="H29" s="344">
        <f t="shared" ca="1" si="6"/>
        <v>0</v>
      </c>
      <c r="I29" s="344">
        <f t="shared" ca="1" si="6"/>
        <v>0</v>
      </c>
      <c r="J29" s="344">
        <f t="shared" ca="1" si="6"/>
        <v>0</v>
      </c>
      <c r="K29" s="344">
        <f t="shared" ca="1" si="6"/>
        <v>0</v>
      </c>
      <c r="L29" s="344">
        <f t="shared" ca="1" si="6"/>
        <v>0</v>
      </c>
      <c r="M29" s="344">
        <f t="shared" ca="1" si="6"/>
        <v>0</v>
      </c>
      <c r="N29" s="344">
        <f t="shared" ca="1" si="6"/>
        <v>0</v>
      </c>
      <c r="O29" s="344">
        <f t="shared" ca="1" si="6"/>
        <v>0</v>
      </c>
      <c r="P29" s="344">
        <f t="shared" ca="1" si="6"/>
        <v>0</v>
      </c>
      <c r="Q29" s="344">
        <f t="shared" ca="1" si="6"/>
        <v>0</v>
      </c>
      <c r="R29" s="344">
        <f t="shared" ca="1" si="6"/>
        <v>0</v>
      </c>
      <c r="S29" s="344">
        <f t="shared" ca="1" si="6"/>
        <v>0</v>
      </c>
      <c r="T29" s="344">
        <f t="shared" ca="1" si="6"/>
        <v>0</v>
      </c>
      <c r="U29" s="344">
        <f t="shared" ca="1" si="6"/>
        <v>0</v>
      </c>
      <c r="V29" s="344">
        <f t="shared" ca="1" si="6"/>
        <v>0</v>
      </c>
      <c r="W29" s="344">
        <f t="shared" ca="1" si="6"/>
        <v>0</v>
      </c>
      <c r="X29" s="344">
        <f t="shared" ca="1" si="6"/>
        <v>0</v>
      </c>
      <c r="Y29" s="344" t="e">
        <f t="shared" ca="1" si="6"/>
        <v>#REF!</v>
      </c>
      <c r="Z29" s="344" t="e">
        <f t="shared" ca="1" si="6"/>
        <v>#REF!</v>
      </c>
      <c r="AA29" s="344" t="e">
        <f t="shared" ca="1" si="6"/>
        <v>#REF!</v>
      </c>
      <c r="AB29" s="344" t="e">
        <f t="shared" ca="1" si="6"/>
        <v>#REF!</v>
      </c>
      <c r="AC29" s="344" t="e">
        <f t="shared" ca="1" si="6"/>
        <v>#REF!</v>
      </c>
      <c r="AD29" s="344" t="e">
        <f t="shared" ca="1" si="6"/>
        <v>#REF!</v>
      </c>
      <c r="AE29" s="344" t="e">
        <f t="shared" ca="1" si="6"/>
        <v>#REF!</v>
      </c>
      <c r="AF29" s="344" t="e">
        <f t="shared" ca="1" si="6"/>
        <v>#REF!</v>
      </c>
    </row>
    <row r="30" spans="1:32">
      <c r="A30">
        <f t="shared" si="4"/>
        <v>2035</v>
      </c>
      <c r="B30" s="344">
        <f t="shared" ca="1" si="1"/>
        <v>0</v>
      </c>
      <c r="C30" s="344">
        <f t="shared" ca="1" si="6"/>
        <v>0</v>
      </c>
      <c r="D30" s="344">
        <f t="shared" ca="1" si="6"/>
        <v>0</v>
      </c>
      <c r="E30" s="344">
        <f t="shared" ca="1" si="6"/>
        <v>0</v>
      </c>
      <c r="F30" s="344">
        <f t="shared" ca="1" si="6"/>
        <v>0</v>
      </c>
      <c r="G30" s="344">
        <f t="shared" ca="1" si="6"/>
        <v>0</v>
      </c>
      <c r="H30" s="344">
        <f t="shared" ca="1" si="6"/>
        <v>0</v>
      </c>
      <c r="I30" s="344">
        <f t="shared" ca="1" si="6"/>
        <v>0</v>
      </c>
      <c r="J30" s="344">
        <f t="shared" ca="1" si="6"/>
        <v>0</v>
      </c>
      <c r="K30" s="344">
        <f t="shared" ca="1" si="6"/>
        <v>0</v>
      </c>
      <c r="L30" s="344">
        <f t="shared" ca="1" si="6"/>
        <v>0</v>
      </c>
      <c r="M30" s="344">
        <f t="shared" ca="1" si="6"/>
        <v>0</v>
      </c>
      <c r="N30" s="344">
        <f t="shared" ca="1" si="6"/>
        <v>0</v>
      </c>
      <c r="O30" s="344">
        <f t="shared" ca="1" si="6"/>
        <v>0</v>
      </c>
      <c r="P30" s="344">
        <f t="shared" ca="1" si="6"/>
        <v>0</v>
      </c>
      <c r="Q30" s="344">
        <f t="shared" ca="1" si="6"/>
        <v>0</v>
      </c>
      <c r="R30" s="344">
        <f t="shared" ca="1" si="6"/>
        <v>0</v>
      </c>
      <c r="S30" s="344">
        <f t="shared" ca="1" si="6"/>
        <v>0</v>
      </c>
      <c r="T30" s="344">
        <f t="shared" ca="1" si="6"/>
        <v>0</v>
      </c>
      <c r="U30" s="344">
        <f t="shared" ca="1" si="6"/>
        <v>0</v>
      </c>
      <c r="V30" s="344">
        <f t="shared" ca="1" si="6"/>
        <v>0</v>
      </c>
      <c r="W30" s="344">
        <f t="shared" ca="1" si="6"/>
        <v>0</v>
      </c>
      <c r="X30" s="344">
        <f t="shared" ca="1" si="6"/>
        <v>0</v>
      </c>
      <c r="Y30" s="344" t="e">
        <f t="shared" ca="1" si="6"/>
        <v>#REF!</v>
      </c>
      <c r="Z30" s="344" t="e">
        <f t="shared" ca="1" si="6"/>
        <v>#REF!</v>
      </c>
      <c r="AA30" s="344" t="e">
        <f t="shared" ca="1" si="6"/>
        <v>#REF!</v>
      </c>
      <c r="AB30" s="344" t="e">
        <f t="shared" ca="1" si="6"/>
        <v>#REF!</v>
      </c>
      <c r="AC30" s="344" t="e">
        <f t="shared" ca="1" si="6"/>
        <v>#REF!</v>
      </c>
      <c r="AD30" s="344" t="e">
        <f t="shared" ca="1" si="6"/>
        <v>#REF!</v>
      </c>
      <c r="AE30" s="344" t="e">
        <f t="shared" ca="1" si="6"/>
        <v>#REF!</v>
      </c>
      <c r="AF30" s="344" t="e">
        <f t="shared" ca="1" si="6"/>
        <v>#REF!</v>
      </c>
    </row>
    <row r="31" spans="1:32">
      <c r="A31">
        <f t="shared" si="4"/>
        <v>2036</v>
      </c>
      <c r="B31" s="344">
        <f t="shared" ca="1" si="1"/>
        <v>0</v>
      </c>
      <c r="C31" s="344">
        <f t="shared" ref="C31:AF39" ca="1" si="7">OFFSET(INDIRECT(C$3),$A31-$A$5+$C$1,$C$2)</f>
        <v>0</v>
      </c>
      <c r="D31" s="344">
        <f t="shared" ca="1" si="7"/>
        <v>0</v>
      </c>
      <c r="E31" s="344">
        <f t="shared" ca="1" si="7"/>
        <v>0</v>
      </c>
      <c r="F31" s="344">
        <f t="shared" ca="1" si="7"/>
        <v>0</v>
      </c>
      <c r="G31" s="344">
        <f t="shared" ca="1" si="7"/>
        <v>0</v>
      </c>
      <c r="H31" s="344">
        <f t="shared" ca="1" si="7"/>
        <v>0</v>
      </c>
      <c r="I31" s="344">
        <f t="shared" ca="1" si="7"/>
        <v>0</v>
      </c>
      <c r="J31" s="344">
        <f t="shared" ca="1" si="7"/>
        <v>0</v>
      </c>
      <c r="K31" s="344">
        <f t="shared" ca="1" si="7"/>
        <v>0</v>
      </c>
      <c r="L31" s="344">
        <f t="shared" ca="1" si="7"/>
        <v>0</v>
      </c>
      <c r="M31" s="344">
        <f t="shared" ca="1" si="7"/>
        <v>0</v>
      </c>
      <c r="N31" s="344">
        <f t="shared" ca="1" si="7"/>
        <v>0</v>
      </c>
      <c r="O31" s="344">
        <f t="shared" ca="1" si="7"/>
        <v>0</v>
      </c>
      <c r="P31" s="344">
        <f t="shared" ca="1" si="7"/>
        <v>0</v>
      </c>
      <c r="Q31" s="344">
        <f t="shared" ca="1" si="7"/>
        <v>0</v>
      </c>
      <c r="R31" s="344">
        <f t="shared" ca="1" si="7"/>
        <v>0</v>
      </c>
      <c r="S31" s="344">
        <f t="shared" ca="1" si="7"/>
        <v>0</v>
      </c>
      <c r="T31" s="344">
        <f t="shared" ca="1" si="7"/>
        <v>0</v>
      </c>
      <c r="U31" s="344">
        <f t="shared" ca="1" si="7"/>
        <v>0</v>
      </c>
      <c r="V31" s="344">
        <f t="shared" ca="1" si="7"/>
        <v>0</v>
      </c>
      <c r="W31" s="344">
        <f t="shared" ca="1" si="7"/>
        <v>0</v>
      </c>
      <c r="X31" s="344">
        <f t="shared" ca="1" si="7"/>
        <v>0</v>
      </c>
      <c r="Y31" s="344" t="e">
        <f t="shared" ca="1" si="7"/>
        <v>#REF!</v>
      </c>
      <c r="Z31" s="344" t="e">
        <f t="shared" ca="1" si="7"/>
        <v>#REF!</v>
      </c>
      <c r="AA31" s="344" t="e">
        <f t="shared" ca="1" si="7"/>
        <v>#REF!</v>
      </c>
      <c r="AB31" s="344" t="e">
        <f t="shared" ca="1" si="7"/>
        <v>#REF!</v>
      </c>
      <c r="AC31" s="344" t="e">
        <f t="shared" ca="1" si="7"/>
        <v>#REF!</v>
      </c>
      <c r="AD31" s="344" t="e">
        <f t="shared" ca="1" si="7"/>
        <v>#REF!</v>
      </c>
      <c r="AE31" s="344" t="e">
        <f t="shared" ca="1" si="7"/>
        <v>#REF!</v>
      </c>
      <c r="AF31" s="344" t="e">
        <f t="shared" ca="1" si="7"/>
        <v>#REF!</v>
      </c>
    </row>
    <row r="32" spans="1:32">
      <c r="A32">
        <f t="shared" si="4"/>
        <v>2037</v>
      </c>
      <c r="B32" s="344">
        <f t="shared" ca="1" si="1"/>
        <v>0</v>
      </c>
      <c r="C32" s="344">
        <f t="shared" ca="1" si="7"/>
        <v>0</v>
      </c>
      <c r="D32" s="344">
        <f t="shared" ca="1" si="7"/>
        <v>0</v>
      </c>
      <c r="E32" s="344">
        <f t="shared" ca="1" si="7"/>
        <v>0</v>
      </c>
      <c r="F32" s="344">
        <f t="shared" ca="1" si="7"/>
        <v>0</v>
      </c>
      <c r="G32" s="344">
        <f t="shared" ca="1" si="7"/>
        <v>0</v>
      </c>
      <c r="H32" s="344">
        <f t="shared" ca="1" si="7"/>
        <v>0</v>
      </c>
      <c r="I32" s="344">
        <f t="shared" ca="1" si="7"/>
        <v>0</v>
      </c>
      <c r="J32" s="344">
        <f t="shared" ca="1" si="7"/>
        <v>0</v>
      </c>
      <c r="K32" s="344">
        <f t="shared" ca="1" si="7"/>
        <v>0</v>
      </c>
      <c r="L32" s="344">
        <f t="shared" ca="1" si="7"/>
        <v>0</v>
      </c>
      <c r="M32" s="344">
        <f t="shared" ca="1" si="7"/>
        <v>0</v>
      </c>
      <c r="N32" s="344">
        <f t="shared" ca="1" si="7"/>
        <v>0</v>
      </c>
      <c r="O32" s="344">
        <f t="shared" ca="1" si="7"/>
        <v>0</v>
      </c>
      <c r="P32" s="344">
        <f t="shared" ca="1" si="7"/>
        <v>0</v>
      </c>
      <c r="Q32" s="344">
        <f t="shared" ca="1" si="7"/>
        <v>0</v>
      </c>
      <c r="R32" s="344">
        <f t="shared" ca="1" si="7"/>
        <v>0</v>
      </c>
      <c r="S32" s="344">
        <f t="shared" ca="1" si="7"/>
        <v>0</v>
      </c>
      <c r="T32" s="344">
        <f t="shared" ca="1" si="7"/>
        <v>0</v>
      </c>
      <c r="U32" s="344">
        <f t="shared" ca="1" si="7"/>
        <v>0</v>
      </c>
      <c r="V32" s="344">
        <f t="shared" ca="1" si="7"/>
        <v>0</v>
      </c>
      <c r="W32" s="344">
        <f t="shared" ca="1" si="7"/>
        <v>0</v>
      </c>
      <c r="X32" s="344">
        <f t="shared" ca="1" si="7"/>
        <v>0</v>
      </c>
      <c r="Y32" s="344" t="e">
        <f t="shared" ca="1" si="7"/>
        <v>#REF!</v>
      </c>
      <c r="Z32" s="344" t="e">
        <f t="shared" ca="1" si="7"/>
        <v>#REF!</v>
      </c>
      <c r="AA32" s="344" t="e">
        <f t="shared" ca="1" si="7"/>
        <v>#REF!</v>
      </c>
      <c r="AB32" s="344" t="e">
        <f t="shared" ca="1" si="7"/>
        <v>#REF!</v>
      </c>
      <c r="AC32" s="344" t="e">
        <f t="shared" ca="1" si="7"/>
        <v>#REF!</v>
      </c>
      <c r="AD32" s="344" t="e">
        <f t="shared" ca="1" si="7"/>
        <v>#REF!</v>
      </c>
      <c r="AE32" s="344" t="e">
        <f t="shared" ca="1" si="7"/>
        <v>#REF!</v>
      </c>
      <c r="AF32" s="344" t="e">
        <f t="shared" ca="1" si="7"/>
        <v>#REF!</v>
      </c>
    </row>
    <row r="33" spans="1:32">
      <c r="A33">
        <f t="shared" si="4"/>
        <v>2038</v>
      </c>
      <c r="B33" s="344">
        <f t="shared" ca="1" si="1"/>
        <v>0</v>
      </c>
      <c r="C33" s="344">
        <f t="shared" ca="1" si="7"/>
        <v>0</v>
      </c>
      <c r="D33" s="344">
        <f t="shared" ca="1" si="7"/>
        <v>0</v>
      </c>
      <c r="E33" s="344">
        <f t="shared" ca="1" si="7"/>
        <v>0</v>
      </c>
      <c r="F33" s="344">
        <f t="shared" ca="1" si="7"/>
        <v>0</v>
      </c>
      <c r="G33" s="344">
        <f t="shared" ca="1" si="7"/>
        <v>0</v>
      </c>
      <c r="H33" s="344">
        <f t="shared" ca="1" si="7"/>
        <v>0</v>
      </c>
      <c r="I33" s="344">
        <f t="shared" ca="1" si="7"/>
        <v>0</v>
      </c>
      <c r="J33" s="344">
        <f t="shared" ca="1" si="7"/>
        <v>0</v>
      </c>
      <c r="K33" s="344">
        <f t="shared" ca="1" si="7"/>
        <v>0</v>
      </c>
      <c r="L33" s="344">
        <f t="shared" ca="1" si="7"/>
        <v>0</v>
      </c>
      <c r="M33" s="344">
        <f t="shared" ca="1" si="7"/>
        <v>0</v>
      </c>
      <c r="N33" s="344">
        <f t="shared" ca="1" si="7"/>
        <v>0</v>
      </c>
      <c r="O33" s="344">
        <f t="shared" ca="1" si="7"/>
        <v>0</v>
      </c>
      <c r="P33" s="344">
        <f t="shared" ca="1" si="7"/>
        <v>0</v>
      </c>
      <c r="Q33" s="344">
        <f t="shared" ca="1" si="7"/>
        <v>0</v>
      </c>
      <c r="R33" s="344">
        <f t="shared" ca="1" si="7"/>
        <v>0</v>
      </c>
      <c r="S33" s="344">
        <f t="shared" ca="1" si="7"/>
        <v>0</v>
      </c>
      <c r="T33" s="344">
        <f t="shared" ca="1" si="7"/>
        <v>0</v>
      </c>
      <c r="U33" s="344">
        <f t="shared" ca="1" si="7"/>
        <v>0</v>
      </c>
      <c r="V33" s="344">
        <f t="shared" ca="1" si="7"/>
        <v>0</v>
      </c>
      <c r="W33" s="344">
        <f t="shared" ca="1" si="7"/>
        <v>0</v>
      </c>
      <c r="X33" s="344">
        <f t="shared" ca="1" si="7"/>
        <v>0</v>
      </c>
      <c r="Y33" s="344" t="e">
        <f t="shared" ca="1" si="7"/>
        <v>#REF!</v>
      </c>
      <c r="Z33" s="344" t="e">
        <f t="shared" ca="1" si="7"/>
        <v>#REF!</v>
      </c>
      <c r="AA33" s="344" t="e">
        <f t="shared" ca="1" si="7"/>
        <v>#REF!</v>
      </c>
      <c r="AB33" s="344" t="e">
        <f t="shared" ca="1" si="7"/>
        <v>#REF!</v>
      </c>
      <c r="AC33" s="344" t="e">
        <f t="shared" ca="1" si="7"/>
        <v>#REF!</v>
      </c>
      <c r="AD33" s="344" t="e">
        <f t="shared" ca="1" si="7"/>
        <v>#REF!</v>
      </c>
      <c r="AE33" s="344" t="e">
        <f t="shared" ca="1" si="7"/>
        <v>#REF!</v>
      </c>
      <c r="AF33" s="344" t="e">
        <f t="shared" ca="1" si="7"/>
        <v>#REF!</v>
      </c>
    </row>
    <row r="34" spans="1:32">
      <c r="A34">
        <f t="shared" si="4"/>
        <v>2039</v>
      </c>
      <c r="B34" s="344">
        <f t="shared" ca="1" si="1"/>
        <v>0</v>
      </c>
      <c r="C34" s="344">
        <f t="shared" ca="1" si="7"/>
        <v>0</v>
      </c>
      <c r="D34" s="344">
        <f t="shared" ca="1" si="7"/>
        <v>0</v>
      </c>
      <c r="E34" s="344">
        <f t="shared" ca="1" si="7"/>
        <v>0</v>
      </c>
      <c r="F34" s="344">
        <f t="shared" ca="1" si="7"/>
        <v>0</v>
      </c>
      <c r="G34" s="344">
        <f t="shared" ca="1" si="7"/>
        <v>0</v>
      </c>
      <c r="H34" s="344">
        <f t="shared" ca="1" si="7"/>
        <v>0</v>
      </c>
      <c r="I34" s="344">
        <f t="shared" ca="1" si="7"/>
        <v>0</v>
      </c>
      <c r="J34" s="344">
        <f t="shared" ca="1" si="7"/>
        <v>0</v>
      </c>
      <c r="K34" s="344">
        <f t="shared" ca="1" si="7"/>
        <v>0</v>
      </c>
      <c r="L34" s="344">
        <f t="shared" ca="1" si="7"/>
        <v>0</v>
      </c>
      <c r="M34" s="344">
        <f t="shared" ca="1" si="7"/>
        <v>0</v>
      </c>
      <c r="N34" s="344">
        <f t="shared" ca="1" si="7"/>
        <v>0</v>
      </c>
      <c r="O34" s="344">
        <f t="shared" ca="1" si="7"/>
        <v>0</v>
      </c>
      <c r="P34" s="344">
        <f t="shared" ca="1" si="7"/>
        <v>0</v>
      </c>
      <c r="Q34" s="344">
        <f t="shared" ca="1" si="7"/>
        <v>0</v>
      </c>
      <c r="R34" s="344">
        <f t="shared" ca="1" si="7"/>
        <v>0</v>
      </c>
      <c r="S34" s="344">
        <f t="shared" ca="1" si="7"/>
        <v>0</v>
      </c>
      <c r="T34" s="344">
        <f t="shared" ca="1" si="7"/>
        <v>0</v>
      </c>
      <c r="U34" s="344">
        <f t="shared" ca="1" si="7"/>
        <v>0</v>
      </c>
      <c r="V34" s="344">
        <f t="shared" ca="1" si="7"/>
        <v>0</v>
      </c>
      <c r="W34" s="344">
        <f t="shared" ca="1" si="7"/>
        <v>0</v>
      </c>
      <c r="X34" s="344">
        <f t="shared" ca="1" si="7"/>
        <v>0</v>
      </c>
      <c r="Y34" s="344" t="e">
        <f t="shared" ca="1" si="7"/>
        <v>#REF!</v>
      </c>
      <c r="Z34" s="344" t="e">
        <f t="shared" ca="1" si="7"/>
        <v>#REF!</v>
      </c>
      <c r="AA34" s="344" t="e">
        <f t="shared" ca="1" si="7"/>
        <v>#REF!</v>
      </c>
      <c r="AB34" s="344" t="e">
        <f t="shared" ca="1" si="7"/>
        <v>#REF!</v>
      </c>
      <c r="AC34" s="344" t="e">
        <f t="shared" ca="1" si="7"/>
        <v>#REF!</v>
      </c>
      <c r="AD34" s="344" t="e">
        <f t="shared" ca="1" si="7"/>
        <v>#REF!</v>
      </c>
      <c r="AE34" s="344" t="e">
        <f t="shared" ca="1" si="7"/>
        <v>#REF!</v>
      </c>
      <c r="AF34" s="344" t="e">
        <f t="shared" ca="1" si="7"/>
        <v>#REF!</v>
      </c>
    </row>
    <row r="35" spans="1:32">
      <c r="A35">
        <f t="shared" si="4"/>
        <v>2040</v>
      </c>
      <c r="B35" s="344">
        <f t="shared" ca="1" si="1"/>
        <v>0</v>
      </c>
      <c r="C35" s="344">
        <f t="shared" ca="1" si="7"/>
        <v>0</v>
      </c>
      <c r="D35" s="344">
        <f t="shared" ca="1" si="7"/>
        <v>0</v>
      </c>
      <c r="E35" s="344">
        <f t="shared" ca="1" si="7"/>
        <v>0</v>
      </c>
      <c r="F35" s="344">
        <f t="shared" ca="1" si="7"/>
        <v>0</v>
      </c>
      <c r="G35" s="344">
        <f t="shared" ca="1" si="7"/>
        <v>0</v>
      </c>
      <c r="H35" s="344">
        <f t="shared" ca="1" si="7"/>
        <v>0</v>
      </c>
      <c r="I35" s="344">
        <f t="shared" ca="1" si="7"/>
        <v>0</v>
      </c>
      <c r="J35" s="344">
        <f t="shared" ca="1" si="7"/>
        <v>0</v>
      </c>
      <c r="K35" s="344">
        <f t="shared" ca="1" si="7"/>
        <v>0</v>
      </c>
      <c r="L35" s="344">
        <f t="shared" ca="1" si="7"/>
        <v>0</v>
      </c>
      <c r="M35" s="344">
        <f t="shared" ca="1" si="7"/>
        <v>0</v>
      </c>
      <c r="N35" s="344">
        <f t="shared" ca="1" si="7"/>
        <v>0</v>
      </c>
      <c r="O35" s="344">
        <f t="shared" ca="1" si="7"/>
        <v>0</v>
      </c>
      <c r="P35" s="344">
        <f t="shared" ca="1" si="7"/>
        <v>0</v>
      </c>
      <c r="Q35" s="344">
        <f t="shared" ca="1" si="7"/>
        <v>0</v>
      </c>
      <c r="R35" s="344">
        <f t="shared" ca="1" si="7"/>
        <v>0</v>
      </c>
      <c r="S35" s="344">
        <f t="shared" ca="1" si="7"/>
        <v>0</v>
      </c>
      <c r="T35" s="344">
        <f t="shared" ca="1" si="7"/>
        <v>0</v>
      </c>
      <c r="U35" s="344">
        <f t="shared" ca="1" si="7"/>
        <v>0</v>
      </c>
      <c r="V35" s="344">
        <f t="shared" ca="1" si="7"/>
        <v>0</v>
      </c>
      <c r="W35" s="344">
        <f t="shared" ca="1" si="7"/>
        <v>0</v>
      </c>
      <c r="X35" s="344">
        <f t="shared" ca="1" si="7"/>
        <v>0</v>
      </c>
      <c r="Y35" s="344" t="e">
        <f t="shared" ca="1" si="7"/>
        <v>#REF!</v>
      </c>
      <c r="Z35" s="344" t="e">
        <f t="shared" ca="1" si="7"/>
        <v>#REF!</v>
      </c>
      <c r="AA35" s="344" t="e">
        <f t="shared" ca="1" si="7"/>
        <v>#REF!</v>
      </c>
      <c r="AB35" s="344" t="e">
        <f t="shared" ca="1" si="7"/>
        <v>#REF!</v>
      </c>
      <c r="AC35" s="344" t="e">
        <f t="shared" ca="1" si="7"/>
        <v>#REF!</v>
      </c>
      <c r="AD35" s="344" t="e">
        <f t="shared" ca="1" si="7"/>
        <v>#REF!</v>
      </c>
      <c r="AE35" s="344" t="e">
        <f t="shared" ca="1" si="7"/>
        <v>#REF!</v>
      </c>
      <c r="AF35" s="344" t="e">
        <f t="shared" ca="1" si="7"/>
        <v>#REF!</v>
      </c>
    </row>
    <row r="36" spans="1:32">
      <c r="A36">
        <f t="shared" si="4"/>
        <v>2041</v>
      </c>
      <c r="B36" s="344">
        <f t="shared" ca="1" si="1"/>
        <v>0</v>
      </c>
      <c r="C36" s="344">
        <f t="shared" ca="1" si="7"/>
        <v>0</v>
      </c>
      <c r="D36" s="344">
        <f t="shared" ca="1" si="7"/>
        <v>0</v>
      </c>
      <c r="E36" s="344">
        <f t="shared" ca="1" si="7"/>
        <v>0</v>
      </c>
      <c r="F36" s="344">
        <f t="shared" ca="1" si="7"/>
        <v>0</v>
      </c>
      <c r="G36" s="344">
        <f t="shared" ca="1" si="7"/>
        <v>0</v>
      </c>
      <c r="H36" s="344">
        <f t="shared" ca="1" si="7"/>
        <v>0</v>
      </c>
      <c r="I36" s="344">
        <f t="shared" ca="1" si="7"/>
        <v>0</v>
      </c>
      <c r="J36" s="344">
        <f t="shared" ca="1" si="7"/>
        <v>0</v>
      </c>
      <c r="K36" s="344">
        <f t="shared" ca="1" si="7"/>
        <v>0</v>
      </c>
      <c r="L36" s="344">
        <f t="shared" ca="1" si="7"/>
        <v>0</v>
      </c>
      <c r="M36" s="344">
        <f t="shared" ca="1" si="7"/>
        <v>0</v>
      </c>
      <c r="N36" s="344">
        <f t="shared" ca="1" si="7"/>
        <v>0</v>
      </c>
      <c r="O36" s="344">
        <f t="shared" ca="1" si="7"/>
        <v>0</v>
      </c>
      <c r="P36" s="344">
        <f t="shared" ca="1" si="7"/>
        <v>0</v>
      </c>
      <c r="Q36" s="344">
        <f t="shared" ca="1" si="7"/>
        <v>0</v>
      </c>
      <c r="R36" s="344">
        <f t="shared" ca="1" si="7"/>
        <v>0</v>
      </c>
      <c r="S36" s="344">
        <f t="shared" ca="1" si="7"/>
        <v>0</v>
      </c>
      <c r="T36" s="344">
        <f t="shared" ca="1" si="7"/>
        <v>0</v>
      </c>
      <c r="U36" s="344">
        <f t="shared" ca="1" si="7"/>
        <v>0</v>
      </c>
      <c r="V36" s="344">
        <f t="shared" ca="1" si="7"/>
        <v>0</v>
      </c>
      <c r="W36" s="344">
        <f t="shared" ca="1" si="7"/>
        <v>0</v>
      </c>
      <c r="X36" s="344">
        <f t="shared" ca="1" si="7"/>
        <v>0</v>
      </c>
      <c r="Y36" s="344" t="e">
        <f t="shared" ca="1" si="7"/>
        <v>#REF!</v>
      </c>
      <c r="Z36" s="344" t="e">
        <f t="shared" ca="1" si="7"/>
        <v>#REF!</v>
      </c>
      <c r="AA36" s="344" t="e">
        <f t="shared" ca="1" si="7"/>
        <v>#REF!</v>
      </c>
      <c r="AB36" s="344" t="e">
        <f t="shared" ca="1" si="7"/>
        <v>#REF!</v>
      </c>
      <c r="AC36" s="344" t="e">
        <f t="shared" ca="1" si="7"/>
        <v>#REF!</v>
      </c>
      <c r="AD36" s="344" t="e">
        <f t="shared" ca="1" si="7"/>
        <v>#REF!</v>
      </c>
      <c r="AE36" s="344" t="e">
        <f t="shared" ca="1" si="7"/>
        <v>#REF!</v>
      </c>
      <c r="AF36" s="344" t="e">
        <f t="shared" ca="1" si="7"/>
        <v>#REF!</v>
      </c>
    </row>
    <row r="37" spans="1:32">
      <c r="A37">
        <f t="shared" si="4"/>
        <v>2042</v>
      </c>
      <c r="B37" s="344">
        <f t="shared" ca="1" si="1"/>
        <v>0</v>
      </c>
      <c r="C37" s="344">
        <f t="shared" ca="1" si="7"/>
        <v>0</v>
      </c>
      <c r="D37" s="344">
        <f t="shared" ca="1" si="7"/>
        <v>0</v>
      </c>
      <c r="E37" s="344">
        <f t="shared" ca="1" si="7"/>
        <v>0</v>
      </c>
      <c r="F37" s="344">
        <f t="shared" ca="1" si="7"/>
        <v>0</v>
      </c>
      <c r="G37" s="344">
        <f t="shared" ca="1" si="7"/>
        <v>0</v>
      </c>
      <c r="H37" s="344">
        <f t="shared" ca="1" si="7"/>
        <v>0</v>
      </c>
      <c r="I37" s="344">
        <f t="shared" ca="1" si="7"/>
        <v>0</v>
      </c>
      <c r="J37" s="344">
        <f t="shared" ca="1" si="7"/>
        <v>0</v>
      </c>
      <c r="K37" s="344">
        <f t="shared" ca="1" si="7"/>
        <v>0</v>
      </c>
      <c r="L37" s="344">
        <f t="shared" ca="1" si="7"/>
        <v>0</v>
      </c>
      <c r="M37" s="344">
        <f t="shared" ca="1" si="7"/>
        <v>0</v>
      </c>
      <c r="N37" s="344">
        <f t="shared" ca="1" si="7"/>
        <v>0</v>
      </c>
      <c r="O37" s="344">
        <f t="shared" ca="1" si="7"/>
        <v>0</v>
      </c>
      <c r="P37" s="344">
        <f t="shared" ca="1" si="7"/>
        <v>0</v>
      </c>
      <c r="Q37" s="344">
        <f t="shared" ca="1" si="7"/>
        <v>0</v>
      </c>
      <c r="R37" s="344">
        <f t="shared" ca="1" si="7"/>
        <v>0</v>
      </c>
      <c r="S37" s="344">
        <f t="shared" ca="1" si="7"/>
        <v>0</v>
      </c>
      <c r="T37" s="344">
        <f t="shared" ca="1" si="7"/>
        <v>0</v>
      </c>
      <c r="U37" s="344">
        <f t="shared" ca="1" si="7"/>
        <v>0</v>
      </c>
      <c r="V37" s="344">
        <f t="shared" ca="1" si="7"/>
        <v>0</v>
      </c>
      <c r="W37" s="344">
        <f t="shared" ca="1" si="7"/>
        <v>0</v>
      </c>
      <c r="X37" s="344">
        <f t="shared" ca="1" si="7"/>
        <v>0</v>
      </c>
      <c r="Y37" s="344" t="e">
        <f t="shared" ca="1" si="7"/>
        <v>#REF!</v>
      </c>
      <c r="Z37" s="344" t="e">
        <f t="shared" ca="1" si="7"/>
        <v>#REF!</v>
      </c>
      <c r="AA37" s="344" t="e">
        <f t="shared" ca="1" si="7"/>
        <v>#REF!</v>
      </c>
      <c r="AB37" s="344" t="e">
        <f t="shared" ca="1" si="7"/>
        <v>#REF!</v>
      </c>
      <c r="AC37" s="344" t="e">
        <f t="shared" ca="1" si="7"/>
        <v>#REF!</v>
      </c>
      <c r="AD37" s="344" t="e">
        <f t="shared" ca="1" si="7"/>
        <v>#REF!</v>
      </c>
      <c r="AE37" s="344" t="e">
        <f t="shared" ca="1" si="7"/>
        <v>#REF!</v>
      </c>
      <c r="AF37" s="344" t="e">
        <f t="shared" ca="1" si="7"/>
        <v>#REF!</v>
      </c>
    </row>
    <row r="38" spans="1:32">
      <c r="A38">
        <f t="shared" si="4"/>
        <v>2043</v>
      </c>
      <c r="B38" s="344">
        <f t="shared" ca="1" si="1"/>
        <v>0</v>
      </c>
      <c r="C38" s="344">
        <f t="shared" ca="1" si="7"/>
        <v>0</v>
      </c>
      <c r="D38" s="344">
        <f t="shared" ca="1" si="7"/>
        <v>0</v>
      </c>
      <c r="E38" s="344">
        <f t="shared" ca="1" si="7"/>
        <v>0</v>
      </c>
      <c r="F38" s="344">
        <f t="shared" ca="1" si="7"/>
        <v>0</v>
      </c>
      <c r="G38" s="344">
        <f t="shared" ca="1" si="7"/>
        <v>0</v>
      </c>
      <c r="H38" s="344">
        <f t="shared" ca="1" si="7"/>
        <v>0</v>
      </c>
      <c r="I38" s="344">
        <f t="shared" ca="1" si="7"/>
        <v>0</v>
      </c>
      <c r="J38" s="344">
        <f t="shared" ca="1" si="7"/>
        <v>0</v>
      </c>
      <c r="K38" s="344">
        <f t="shared" ca="1" si="7"/>
        <v>0</v>
      </c>
      <c r="L38" s="344">
        <f t="shared" ca="1" si="7"/>
        <v>0</v>
      </c>
      <c r="M38" s="344">
        <f t="shared" ca="1" si="7"/>
        <v>0</v>
      </c>
      <c r="N38" s="344">
        <f t="shared" ca="1" si="7"/>
        <v>0</v>
      </c>
      <c r="O38" s="344">
        <f t="shared" ca="1" si="7"/>
        <v>0</v>
      </c>
      <c r="P38" s="344">
        <f t="shared" ca="1" si="7"/>
        <v>0</v>
      </c>
      <c r="Q38" s="344">
        <f t="shared" ca="1" si="7"/>
        <v>0</v>
      </c>
      <c r="R38" s="344">
        <f t="shared" ca="1" si="7"/>
        <v>0</v>
      </c>
      <c r="S38" s="344">
        <f t="shared" ca="1" si="7"/>
        <v>0</v>
      </c>
      <c r="T38" s="344">
        <f t="shared" ca="1" si="7"/>
        <v>0</v>
      </c>
      <c r="U38" s="344">
        <f t="shared" ca="1" si="7"/>
        <v>0</v>
      </c>
      <c r="V38" s="344">
        <f t="shared" ca="1" si="7"/>
        <v>0</v>
      </c>
      <c r="W38" s="344">
        <f t="shared" ca="1" si="7"/>
        <v>0</v>
      </c>
      <c r="X38" s="344">
        <f t="shared" ca="1" si="7"/>
        <v>0</v>
      </c>
      <c r="Y38" s="344" t="e">
        <f t="shared" ca="1" si="7"/>
        <v>#REF!</v>
      </c>
      <c r="Z38" s="344" t="e">
        <f t="shared" ca="1" si="7"/>
        <v>#REF!</v>
      </c>
      <c r="AA38" s="344" t="e">
        <f t="shared" ca="1" si="7"/>
        <v>#REF!</v>
      </c>
      <c r="AB38" s="344" t="e">
        <f t="shared" ca="1" si="7"/>
        <v>#REF!</v>
      </c>
      <c r="AC38" s="344" t="e">
        <f t="shared" ca="1" si="7"/>
        <v>#REF!</v>
      </c>
      <c r="AD38" s="344" t="e">
        <f t="shared" ca="1" si="7"/>
        <v>#REF!</v>
      </c>
      <c r="AE38" s="344" t="e">
        <f t="shared" ca="1" si="7"/>
        <v>#REF!</v>
      </c>
      <c r="AF38" s="344" t="e">
        <f t="shared" ca="1" si="7"/>
        <v>#REF!</v>
      </c>
    </row>
    <row r="39" spans="1:32">
      <c r="A39">
        <f t="shared" si="4"/>
        <v>2044</v>
      </c>
      <c r="B39" s="344">
        <f t="shared" ca="1" si="1"/>
        <v>0</v>
      </c>
      <c r="C39" s="344">
        <f t="shared" ca="1" si="7"/>
        <v>0</v>
      </c>
      <c r="D39" s="344">
        <f t="shared" ca="1" si="7"/>
        <v>0</v>
      </c>
      <c r="E39" s="344">
        <f t="shared" ca="1" si="7"/>
        <v>0</v>
      </c>
      <c r="F39" s="344">
        <f t="shared" ca="1" si="7"/>
        <v>0</v>
      </c>
      <c r="G39" s="344">
        <f t="shared" ca="1" si="7"/>
        <v>0</v>
      </c>
      <c r="H39" s="344">
        <f t="shared" ca="1" si="7"/>
        <v>0</v>
      </c>
      <c r="I39" s="344">
        <f t="shared" ca="1" si="7"/>
        <v>0</v>
      </c>
      <c r="J39" s="344">
        <f t="shared" ca="1" si="7"/>
        <v>0</v>
      </c>
      <c r="K39" s="344">
        <f t="shared" ca="1" si="7"/>
        <v>0</v>
      </c>
      <c r="L39" s="344">
        <f t="shared" ca="1" si="7"/>
        <v>0</v>
      </c>
      <c r="M39" s="344">
        <f t="shared" ca="1" si="7"/>
        <v>0</v>
      </c>
      <c r="N39" s="344">
        <f t="shared" ca="1" si="7"/>
        <v>0</v>
      </c>
      <c r="O39" s="344">
        <f t="shared" ca="1" si="7"/>
        <v>0</v>
      </c>
      <c r="P39" s="344">
        <f t="shared" ca="1" si="7"/>
        <v>0</v>
      </c>
      <c r="Q39" s="344">
        <f t="shared" ca="1" si="7"/>
        <v>0</v>
      </c>
      <c r="R39" s="344">
        <f t="shared" ref="C39:AF45" ca="1" si="8">OFFSET(INDIRECT(R$3),$A39-$A$5+$C$1,$C$2)</f>
        <v>0</v>
      </c>
      <c r="S39" s="344">
        <f t="shared" ca="1" si="8"/>
        <v>0</v>
      </c>
      <c r="T39" s="344">
        <f t="shared" ca="1" si="8"/>
        <v>0</v>
      </c>
      <c r="U39" s="344">
        <f t="shared" ca="1" si="8"/>
        <v>0</v>
      </c>
      <c r="V39" s="344">
        <f t="shared" ca="1" si="8"/>
        <v>0</v>
      </c>
      <c r="W39" s="344">
        <f t="shared" ca="1" si="8"/>
        <v>0</v>
      </c>
      <c r="X39" s="344">
        <f t="shared" ca="1" si="8"/>
        <v>0</v>
      </c>
      <c r="Y39" s="344" t="e">
        <f t="shared" ca="1" si="8"/>
        <v>#REF!</v>
      </c>
      <c r="Z39" s="344" t="e">
        <f t="shared" ca="1" si="8"/>
        <v>#REF!</v>
      </c>
      <c r="AA39" s="344" t="e">
        <f t="shared" ca="1" si="8"/>
        <v>#REF!</v>
      </c>
      <c r="AB39" s="344" t="e">
        <f t="shared" ca="1" si="8"/>
        <v>#REF!</v>
      </c>
      <c r="AC39" s="344" t="e">
        <f t="shared" ca="1" si="8"/>
        <v>#REF!</v>
      </c>
      <c r="AD39" s="344" t="e">
        <f t="shared" ca="1" si="8"/>
        <v>#REF!</v>
      </c>
      <c r="AE39" s="344" t="e">
        <f t="shared" ca="1" si="8"/>
        <v>#REF!</v>
      </c>
      <c r="AF39" s="344" t="e">
        <f t="shared" ca="1" si="8"/>
        <v>#REF!</v>
      </c>
    </row>
    <row r="40" spans="1:32">
      <c r="A40">
        <f t="shared" si="4"/>
        <v>2045</v>
      </c>
      <c r="B40" s="344">
        <f t="shared" ca="1" si="1"/>
        <v>0</v>
      </c>
      <c r="C40" s="344">
        <f t="shared" ca="1" si="8"/>
        <v>0</v>
      </c>
      <c r="D40" s="344">
        <f t="shared" ca="1" si="8"/>
        <v>0</v>
      </c>
      <c r="E40" s="344">
        <f t="shared" ca="1" si="8"/>
        <v>0</v>
      </c>
      <c r="F40" s="344">
        <f t="shared" ca="1" si="8"/>
        <v>0</v>
      </c>
      <c r="G40" s="344">
        <f t="shared" ca="1" si="8"/>
        <v>0</v>
      </c>
      <c r="H40" s="344">
        <f t="shared" ca="1" si="8"/>
        <v>0</v>
      </c>
      <c r="I40" s="344">
        <f t="shared" ca="1" si="8"/>
        <v>0</v>
      </c>
      <c r="J40" s="344">
        <f t="shared" ca="1" si="8"/>
        <v>0</v>
      </c>
      <c r="K40" s="344">
        <f t="shared" ca="1" si="8"/>
        <v>0</v>
      </c>
      <c r="L40" s="344">
        <f t="shared" ca="1" si="8"/>
        <v>0</v>
      </c>
      <c r="M40" s="344">
        <f t="shared" ca="1" si="8"/>
        <v>0</v>
      </c>
      <c r="N40" s="344">
        <f t="shared" ca="1" si="8"/>
        <v>0</v>
      </c>
      <c r="O40" s="344">
        <f t="shared" ca="1" si="8"/>
        <v>0</v>
      </c>
      <c r="P40" s="344">
        <f t="shared" ca="1" si="8"/>
        <v>0</v>
      </c>
      <c r="Q40" s="344">
        <f t="shared" ca="1" si="8"/>
        <v>0</v>
      </c>
      <c r="R40" s="344">
        <f t="shared" ca="1" si="8"/>
        <v>0</v>
      </c>
      <c r="S40" s="344">
        <f t="shared" ca="1" si="8"/>
        <v>0</v>
      </c>
      <c r="T40" s="344">
        <f t="shared" ca="1" si="8"/>
        <v>0</v>
      </c>
      <c r="U40" s="344">
        <f t="shared" ca="1" si="8"/>
        <v>0</v>
      </c>
      <c r="V40" s="344">
        <f t="shared" ca="1" si="8"/>
        <v>0</v>
      </c>
      <c r="W40" s="344">
        <f t="shared" ca="1" si="8"/>
        <v>0</v>
      </c>
      <c r="X40" s="344">
        <f t="shared" ca="1" si="8"/>
        <v>0</v>
      </c>
      <c r="Y40" s="344" t="e">
        <f t="shared" ca="1" si="8"/>
        <v>#REF!</v>
      </c>
      <c r="Z40" s="344" t="e">
        <f t="shared" ca="1" si="8"/>
        <v>#REF!</v>
      </c>
      <c r="AA40" s="344" t="e">
        <f t="shared" ca="1" si="8"/>
        <v>#REF!</v>
      </c>
      <c r="AB40" s="344" t="e">
        <f t="shared" ca="1" si="8"/>
        <v>#REF!</v>
      </c>
      <c r="AC40" s="344" t="e">
        <f t="shared" ca="1" si="8"/>
        <v>#REF!</v>
      </c>
      <c r="AD40" s="344" t="e">
        <f t="shared" ca="1" si="8"/>
        <v>#REF!</v>
      </c>
      <c r="AE40" s="344" t="e">
        <f t="shared" ca="1" si="8"/>
        <v>#REF!</v>
      </c>
      <c r="AF40" s="344" t="e">
        <f t="shared" ca="1" si="8"/>
        <v>#REF!</v>
      </c>
    </row>
    <row r="41" spans="1:32">
      <c r="A41">
        <f>A40+1</f>
        <v>2046</v>
      </c>
      <c r="B41" s="344">
        <f t="shared" ca="1" si="1"/>
        <v>0</v>
      </c>
      <c r="C41" s="344">
        <f t="shared" ca="1" si="8"/>
        <v>0</v>
      </c>
      <c r="D41" s="344">
        <f t="shared" ca="1" si="8"/>
        <v>0</v>
      </c>
      <c r="E41" s="344">
        <f t="shared" ca="1" si="8"/>
        <v>0</v>
      </c>
      <c r="F41" s="344">
        <f t="shared" ca="1" si="8"/>
        <v>0</v>
      </c>
      <c r="G41" s="344">
        <f t="shared" ca="1" si="8"/>
        <v>0</v>
      </c>
      <c r="H41" s="344">
        <f t="shared" ca="1" si="8"/>
        <v>0</v>
      </c>
      <c r="I41" s="344">
        <f t="shared" ca="1" si="8"/>
        <v>0</v>
      </c>
      <c r="J41" s="344">
        <f t="shared" ca="1" si="8"/>
        <v>0</v>
      </c>
      <c r="K41" s="344">
        <f t="shared" ca="1" si="8"/>
        <v>0</v>
      </c>
      <c r="L41" s="344">
        <f t="shared" ca="1" si="8"/>
        <v>0</v>
      </c>
      <c r="M41" s="344">
        <f t="shared" ca="1" si="8"/>
        <v>0</v>
      </c>
      <c r="N41" s="344">
        <f t="shared" ca="1" si="8"/>
        <v>0</v>
      </c>
      <c r="O41" s="344">
        <f t="shared" ca="1" si="8"/>
        <v>0</v>
      </c>
      <c r="P41" s="344">
        <f t="shared" ca="1" si="8"/>
        <v>0</v>
      </c>
      <c r="Q41" s="344">
        <f t="shared" ca="1" si="8"/>
        <v>0</v>
      </c>
      <c r="R41" s="344">
        <f t="shared" ca="1" si="8"/>
        <v>0</v>
      </c>
      <c r="S41" s="344">
        <f t="shared" ca="1" si="8"/>
        <v>0</v>
      </c>
      <c r="T41" s="344">
        <f t="shared" ca="1" si="8"/>
        <v>0</v>
      </c>
      <c r="U41" s="344">
        <f t="shared" ca="1" si="8"/>
        <v>0</v>
      </c>
      <c r="V41" s="344">
        <f t="shared" ca="1" si="8"/>
        <v>0</v>
      </c>
      <c r="W41" s="344">
        <f t="shared" ca="1" si="8"/>
        <v>0</v>
      </c>
      <c r="X41" s="344">
        <f t="shared" ca="1" si="8"/>
        <v>0</v>
      </c>
      <c r="Y41" s="344" t="e">
        <f t="shared" ca="1" si="8"/>
        <v>#REF!</v>
      </c>
      <c r="Z41" s="344" t="e">
        <f t="shared" ca="1" si="8"/>
        <v>#REF!</v>
      </c>
      <c r="AA41" s="344" t="e">
        <f t="shared" ca="1" si="8"/>
        <v>#REF!</v>
      </c>
      <c r="AB41" s="344" t="e">
        <f t="shared" ca="1" si="8"/>
        <v>#REF!</v>
      </c>
      <c r="AC41" s="344" t="e">
        <f t="shared" ca="1" si="8"/>
        <v>#REF!</v>
      </c>
      <c r="AD41" s="344" t="e">
        <f t="shared" ca="1" si="8"/>
        <v>#REF!</v>
      </c>
      <c r="AE41" s="344" t="e">
        <f t="shared" ca="1" si="8"/>
        <v>#REF!</v>
      </c>
      <c r="AF41" s="344" t="e">
        <f t="shared" ca="1" si="8"/>
        <v>#REF!</v>
      </c>
    </row>
    <row r="42" spans="1:32">
      <c r="A42">
        <f t="shared" si="4"/>
        <v>2047</v>
      </c>
      <c r="B42" s="344">
        <f t="shared" ca="1" si="1"/>
        <v>0</v>
      </c>
      <c r="C42" s="344">
        <f t="shared" ca="1" si="8"/>
        <v>0</v>
      </c>
      <c r="D42" s="344">
        <f t="shared" ca="1" si="8"/>
        <v>0</v>
      </c>
      <c r="E42" s="344">
        <f t="shared" ca="1" si="8"/>
        <v>0</v>
      </c>
      <c r="F42" s="344">
        <f t="shared" ca="1" si="8"/>
        <v>0</v>
      </c>
      <c r="G42" s="344">
        <f t="shared" ca="1" si="8"/>
        <v>0</v>
      </c>
      <c r="H42" s="344">
        <f t="shared" ca="1" si="8"/>
        <v>0</v>
      </c>
      <c r="I42" s="344">
        <f t="shared" ca="1" si="8"/>
        <v>0</v>
      </c>
      <c r="J42" s="344">
        <f t="shared" ca="1" si="8"/>
        <v>0</v>
      </c>
      <c r="K42" s="344">
        <f t="shared" ca="1" si="8"/>
        <v>0</v>
      </c>
      <c r="L42" s="344">
        <f t="shared" ca="1" si="8"/>
        <v>0</v>
      </c>
      <c r="M42" s="344">
        <f t="shared" ca="1" si="8"/>
        <v>0</v>
      </c>
      <c r="N42" s="344">
        <f t="shared" ca="1" si="8"/>
        <v>0</v>
      </c>
      <c r="O42" s="344">
        <f t="shared" ca="1" si="8"/>
        <v>0</v>
      </c>
      <c r="P42" s="344">
        <f t="shared" ca="1" si="8"/>
        <v>0</v>
      </c>
      <c r="Q42" s="344">
        <f t="shared" ca="1" si="8"/>
        <v>0</v>
      </c>
      <c r="R42" s="344">
        <f t="shared" ca="1" si="8"/>
        <v>0</v>
      </c>
      <c r="S42" s="344">
        <f t="shared" ca="1" si="8"/>
        <v>0</v>
      </c>
      <c r="T42" s="344">
        <f t="shared" ca="1" si="8"/>
        <v>0</v>
      </c>
      <c r="U42" s="344">
        <f t="shared" ca="1" si="8"/>
        <v>0</v>
      </c>
      <c r="V42" s="344">
        <f t="shared" ca="1" si="8"/>
        <v>0</v>
      </c>
      <c r="W42" s="344">
        <f t="shared" ca="1" si="8"/>
        <v>0</v>
      </c>
      <c r="X42" s="344">
        <f t="shared" ca="1" si="8"/>
        <v>0</v>
      </c>
      <c r="Y42" s="344" t="e">
        <f t="shared" ca="1" si="8"/>
        <v>#REF!</v>
      </c>
      <c r="Z42" s="344" t="e">
        <f t="shared" ca="1" si="8"/>
        <v>#REF!</v>
      </c>
      <c r="AA42" s="344" t="e">
        <f t="shared" ca="1" si="8"/>
        <v>#REF!</v>
      </c>
      <c r="AB42" s="344" t="e">
        <f t="shared" ca="1" si="8"/>
        <v>#REF!</v>
      </c>
      <c r="AC42" s="344" t="e">
        <f t="shared" ca="1" si="8"/>
        <v>#REF!</v>
      </c>
      <c r="AD42" s="344" t="e">
        <f t="shared" ca="1" si="8"/>
        <v>#REF!</v>
      </c>
      <c r="AE42" s="344" t="e">
        <f t="shared" ca="1" si="8"/>
        <v>#REF!</v>
      </c>
      <c r="AF42" s="344" t="e">
        <f t="shared" ca="1" si="8"/>
        <v>#REF!</v>
      </c>
    </row>
    <row r="43" spans="1:32">
      <c r="A43">
        <f t="shared" si="4"/>
        <v>2048</v>
      </c>
      <c r="B43" s="344">
        <f t="shared" ca="1" si="1"/>
        <v>0</v>
      </c>
      <c r="C43" s="344">
        <f t="shared" ca="1" si="8"/>
        <v>0</v>
      </c>
      <c r="D43" s="344">
        <f t="shared" ca="1" si="8"/>
        <v>0</v>
      </c>
      <c r="E43" s="344">
        <f t="shared" ca="1" si="8"/>
        <v>0</v>
      </c>
      <c r="F43" s="344">
        <f t="shared" ca="1" si="8"/>
        <v>0</v>
      </c>
      <c r="G43" s="344">
        <f t="shared" ca="1" si="8"/>
        <v>0</v>
      </c>
      <c r="H43" s="344">
        <f t="shared" ca="1" si="8"/>
        <v>0</v>
      </c>
      <c r="I43" s="344">
        <f t="shared" ca="1" si="8"/>
        <v>0</v>
      </c>
      <c r="J43" s="344">
        <f t="shared" ca="1" si="8"/>
        <v>0</v>
      </c>
      <c r="K43" s="344">
        <f t="shared" ca="1" si="8"/>
        <v>0</v>
      </c>
      <c r="L43" s="344">
        <f t="shared" ca="1" si="8"/>
        <v>0</v>
      </c>
      <c r="M43" s="344">
        <f t="shared" ca="1" si="8"/>
        <v>0</v>
      </c>
      <c r="N43" s="344">
        <f t="shared" ca="1" si="8"/>
        <v>0</v>
      </c>
      <c r="O43" s="344">
        <f t="shared" ca="1" si="8"/>
        <v>0</v>
      </c>
      <c r="P43" s="344">
        <f t="shared" ca="1" si="8"/>
        <v>0</v>
      </c>
      <c r="Q43" s="344">
        <f t="shared" ca="1" si="8"/>
        <v>0</v>
      </c>
      <c r="R43" s="344">
        <f t="shared" ca="1" si="8"/>
        <v>0</v>
      </c>
      <c r="S43" s="344">
        <f t="shared" ca="1" si="8"/>
        <v>0</v>
      </c>
      <c r="T43" s="344">
        <f t="shared" ca="1" si="8"/>
        <v>0</v>
      </c>
      <c r="U43" s="344">
        <f t="shared" ca="1" si="8"/>
        <v>0</v>
      </c>
      <c r="V43" s="344">
        <f t="shared" ca="1" si="8"/>
        <v>0</v>
      </c>
      <c r="W43" s="344">
        <f t="shared" ca="1" si="8"/>
        <v>0</v>
      </c>
      <c r="X43" s="344">
        <f t="shared" ca="1" si="8"/>
        <v>0</v>
      </c>
      <c r="Y43" s="344" t="e">
        <f t="shared" ca="1" si="8"/>
        <v>#REF!</v>
      </c>
      <c r="Z43" s="344" t="e">
        <f t="shared" ca="1" si="8"/>
        <v>#REF!</v>
      </c>
      <c r="AA43" s="344" t="e">
        <f t="shared" ca="1" si="8"/>
        <v>#REF!</v>
      </c>
      <c r="AB43" s="344" t="e">
        <f t="shared" ca="1" si="8"/>
        <v>#REF!</v>
      </c>
      <c r="AC43" s="344" t="e">
        <f t="shared" ca="1" si="8"/>
        <v>#REF!</v>
      </c>
      <c r="AD43" s="344" t="e">
        <f t="shared" ca="1" si="8"/>
        <v>#REF!</v>
      </c>
      <c r="AE43" s="344" t="e">
        <f t="shared" ca="1" si="8"/>
        <v>#REF!</v>
      </c>
      <c r="AF43" s="344" t="e">
        <f t="shared" ca="1" si="8"/>
        <v>#REF!</v>
      </c>
    </row>
    <row r="44" spans="1:32">
      <c r="A44">
        <f t="shared" si="4"/>
        <v>2049</v>
      </c>
      <c r="B44" s="344">
        <f t="shared" ca="1" si="1"/>
        <v>0</v>
      </c>
      <c r="C44" s="344">
        <f t="shared" ca="1" si="8"/>
        <v>0</v>
      </c>
      <c r="D44" s="344">
        <f t="shared" ca="1" si="8"/>
        <v>0</v>
      </c>
      <c r="E44" s="344">
        <f t="shared" ca="1" si="8"/>
        <v>0</v>
      </c>
      <c r="F44" s="344">
        <f t="shared" ca="1" si="8"/>
        <v>0</v>
      </c>
      <c r="G44" s="344">
        <f t="shared" ca="1" si="8"/>
        <v>0</v>
      </c>
      <c r="H44" s="344">
        <f t="shared" ca="1" si="8"/>
        <v>0</v>
      </c>
      <c r="I44" s="344">
        <f t="shared" ca="1" si="8"/>
        <v>0</v>
      </c>
      <c r="J44" s="344">
        <f t="shared" ca="1" si="8"/>
        <v>0</v>
      </c>
      <c r="K44" s="344">
        <f t="shared" ca="1" si="8"/>
        <v>0</v>
      </c>
      <c r="L44" s="344">
        <f t="shared" ca="1" si="8"/>
        <v>0</v>
      </c>
      <c r="M44" s="344">
        <f t="shared" ca="1" si="8"/>
        <v>0</v>
      </c>
      <c r="N44" s="344">
        <f t="shared" ca="1" si="8"/>
        <v>0</v>
      </c>
      <c r="O44" s="344">
        <f t="shared" ca="1" si="8"/>
        <v>0</v>
      </c>
      <c r="P44" s="344">
        <f t="shared" ca="1" si="8"/>
        <v>0</v>
      </c>
      <c r="Q44" s="344">
        <f t="shared" ca="1" si="8"/>
        <v>0</v>
      </c>
      <c r="R44" s="344">
        <f t="shared" ca="1" si="8"/>
        <v>0</v>
      </c>
      <c r="S44" s="344">
        <f t="shared" ca="1" si="8"/>
        <v>0</v>
      </c>
      <c r="T44" s="344">
        <f t="shared" ca="1" si="8"/>
        <v>0</v>
      </c>
      <c r="U44" s="344">
        <f t="shared" ca="1" si="8"/>
        <v>0</v>
      </c>
      <c r="V44" s="344">
        <f t="shared" ca="1" si="8"/>
        <v>0</v>
      </c>
      <c r="W44" s="344">
        <f t="shared" ca="1" si="8"/>
        <v>0</v>
      </c>
      <c r="X44" s="344">
        <f t="shared" ca="1" si="8"/>
        <v>0</v>
      </c>
      <c r="Y44" s="344" t="e">
        <f t="shared" ca="1" si="8"/>
        <v>#REF!</v>
      </c>
      <c r="Z44" s="344" t="e">
        <f t="shared" ca="1" si="8"/>
        <v>#REF!</v>
      </c>
      <c r="AA44" s="344" t="e">
        <f t="shared" ca="1" si="8"/>
        <v>#REF!</v>
      </c>
      <c r="AB44" s="344" t="e">
        <f t="shared" ca="1" si="8"/>
        <v>#REF!</v>
      </c>
      <c r="AC44" s="344" t="e">
        <f t="shared" ca="1" si="8"/>
        <v>#REF!</v>
      </c>
      <c r="AD44" s="344" t="e">
        <f t="shared" ca="1" si="8"/>
        <v>#REF!</v>
      </c>
      <c r="AE44" s="344" t="e">
        <f t="shared" ca="1" si="8"/>
        <v>#REF!</v>
      </c>
      <c r="AF44" s="344" t="e">
        <f t="shared" ca="1" si="8"/>
        <v>#REF!</v>
      </c>
    </row>
    <row r="45" spans="1:32">
      <c r="A45">
        <f t="shared" si="4"/>
        <v>2050</v>
      </c>
      <c r="B45" s="344">
        <f t="shared" ca="1" si="1"/>
        <v>0</v>
      </c>
      <c r="C45" s="344">
        <f t="shared" ca="1" si="8"/>
        <v>0</v>
      </c>
      <c r="D45" s="344">
        <f t="shared" ca="1" si="8"/>
        <v>0</v>
      </c>
      <c r="E45" s="344">
        <f t="shared" ca="1" si="8"/>
        <v>0</v>
      </c>
      <c r="F45" s="344">
        <f t="shared" ca="1" si="8"/>
        <v>0</v>
      </c>
      <c r="G45" s="344">
        <f t="shared" ca="1" si="8"/>
        <v>0</v>
      </c>
      <c r="H45" s="344">
        <f t="shared" ca="1" si="8"/>
        <v>0</v>
      </c>
      <c r="I45" s="344">
        <f t="shared" ca="1" si="8"/>
        <v>0</v>
      </c>
      <c r="J45" s="344">
        <f t="shared" ca="1" si="8"/>
        <v>0</v>
      </c>
      <c r="K45" s="344">
        <f t="shared" ca="1" si="8"/>
        <v>0</v>
      </c>
      <c r="L45" s="344">
        <f t="shared" ca="1" si="8"/>
        <v>0</v>
      </c>
      <c r="M45" s="344">
        <f t="shared" ca="1" si="8"/>
        <v>0</v>
      </c>
      <c r="N45" s="344">
        <f t="shared" ca="1" si="8"/>
        <v>0</v>
      </c>
      <c r="O45" s="344">
        <f t="shared" ca="1" si="8"/>
        <v>0</v>
      </c>
      <c r="P45" s="344">
        <f t="shared" ca="1" si="8"/>
        <v>0</v>
      </c>
      <c r="Q45" s="344">
        <f t="shared" ca="1" si="8"/>
        <v>0</v>
      </c>
      <c r="R45" s="344">
        <f t="shared" ca="1" si="8"/>
        <v>0</v>
      </c>
      <c r="S45" s="344">
        <f t="shared" ca="1" si="8"/>
        <v>0</v>
      </c>
      <c r="T45" s="344">
        <f t="shared" ca="1" si="8"/>
        <v>0</v>
      </c>
      <c r="U45" s="344">
        <f t="shared" ca="1" si="8"/>
        <v>0</v>
      </c>
      <c r="V45" s="344">
        <f t="shared" ca="1" si="8"/>
        <v>0</v>
      </c>
      <c r="W45" s="344">
        <f t="shared" ca="1" si="8"/>
        <v>0</v>
      </c>
      <c r="X45" s="344">
        <f t="shared" ca="1" si="8"/>
        <v>0</v>
      </c>
      <c r="Y45" s="344" t="e">
        <f t="shared" ca="1" si="8"/>
        <v>#REF!</v>
      </c>
      <c r="Z45" s="344" t="e">
        <f t="shared" ca="1" si="8"/>
        <v>#REF!</v>
      </c>
      <c r="AA45" s="344" t="e">
        <f t="shared" ca="1" si="8"/>
        <v>#REF!</v>
      </c>
      <c r="AB45" s="344" t="e">
        <f t="shared" ca="1" si="8"/>
        <v>#REF!</v>
      </c>
      <c r="AC45" s="344" t="e">
        <f t="shared" ca="1" si="8"/>
        <v>#REF!</v>
      </c>
      <c r="AD45" s="344" t="e">
        <f t="shared" ca="1" si="8"/>
        <v>#REF!</v>
      </c>
      <c r="AE45" s="344" t="e">
        <f t="shared" ca="1" si="8"/>
        <v>#REF!</v>
      </c>
      <c r="AF45" s="344" t="e">
        <f t="shared" ca="1" si="8"/>
        <v>#REF!</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sheetPr codeName="Sheet95"/>
  <dimension ref="A1:AF45"/>
  <sheetViews>
    <sheetView workbookViewId="0">
      <selection activeCell="I6" sqref="I6"/>
    </sheetView>
  </sheetViews>
  <sheetFormatPr defaultRowHeight="15"/>
  <cols>
    <col min="1" max="1" width="18.42578125" bestFit="1" customWidth="1"/>
    <col min="2" max="26" width="11.7109375" customWidth="1"/>
  </cols>
  <sheetData>
    <row r="1" spans="1:32">
      <c r="B1" s="322" t="s">
        <v>298</v>
      </c>
      <c r="C1">
        <v>18</v>
      </c>
    </row>
    <row r="2" spans="1:32">
      <c r="B2" s="322" t="s">
        <v>299</v>
      </c>
      <c r="C2">
        <v>20</v>
      </c>
    </row>
    <row r="3" spans="1:32">
      <c r="B3" s="322" t="str">
        <f ca="1">OFFSET(Control!$A$5,COLUMN(A4)-1,0)</f>
        <v>GreenPwr1</v>
      </c>
      <c r="C3" s="322" t="str">
        <f ca="1">OFFSET(Control!$A$5,COLUMN(B4)-1,0)</f>
        <v>GreenPwr2</v>
      </c>
      <c r="D3" s="322" t="str">
        <f ca="1">OFFSET(Control!$A$5,COLUMN(C4)-1,0)</f>
        <v>Wind</v>
      </c>
      <c r="E3" s="322" t="str">
        <f ca="1">OFFSET(Control!$A$5,COLUMN(D4)-1,0)</f>
        <v>ShortECM</v>
      </c>
      <c r="F3" s="322" t="str">
        <f ca="1">OFFSET(Control!$A$5,COLUMN(E4)-1,0)</f>
        <v>MidECM</v>
      </c>
      <c r="G3" s="322" t="str">
        <f ca="1">OFFSET(Control!$A$5,COLUMN(F4)-1,0)</f>
        <v>LongECM</v>
      </c>
      <c r="H3" s="322" t="str">
        <f ca="1">OFFSET(Control!$A$5,COLUMN(G4)-1,0)</f>
        <v>SteamLineImp</v>
      </c>
      <c r="I3" s="322" t="str">
        <f ca="1">OFFSET(Control!$A$5,COLUMN(H4)-1,0)</f>
        <v>UnitaryChiller</v>
      </c>
      <c r="J3" s="322" t="str">
        <f ca="1">OFFSET(Control!$A$5,COLUMN(I4)-1,0)</f>
        <v>GeoExchange</v>
      </c>
      <c r="K3" s="322" t="str">
        <f ca="1">OFFSET(Control!$A$5,COLUMN(J4)-1,0)</f>
        <v>SolarDHW</v>
      </c>
      <c r="L3" s="322" t="str">
        <f ca="1">OFFSET(Control!$A$5,COLUMN(K4)-1,0)</f>
        <v>WasteReduction</v>
      </c>
      <c r="M3" s="322" t="str">
        <f ca="1">OFFSET(Control!$A$5,COLUMN(L4)-1,0)</f>
        <v>DishStirling</v>
      </c>
      <c r="N3" s="322" t="str">
        <f ca="1">OFFSET(Control!$A$5,COLUMN(M4)-1,0)</f>
        <v>Parabolic</v>
      </c>
      <c r="O3" s="322" t="str">
        <f ca="1">OFFSET(Control!$A$5,COLUMN(N4)-1,0)</f>
        <v>GreenIT</v>
      </c>
      <c r="P3" s="322" t="str">
        <f ca="1">OFFSET(Control!$A$5,COLUMN(O4)-1,0)</f>
        <v>GreenBuild</v>
      </c>
      <c r="Q3" s="322" t="str">
        <f ca="1">OFFSET(Control!$A$5,COLUMN(P4)-1,0)</f>
        <v>SpacePlanning</v>
      </c>
      <c r="R3" s="322" t="str">
        <f ca="1">OFFSET(Control!$A$5,COLUMN(Q4)-1,0)</f>
        <v>CHP</v>
      </c>
      <c r="S3" s="322" t="str">
        <f ca="1">OFFSET(Control!$A$5,COLUMN(R4)-1,0)</f>
        <v>CoalToNG</v>
      </c>
      <c r="T3" s="322" t="str">
        <f ca="1">OFFSET(Control!$A$5,COLUMN(S4)-1,0)</f>
        <v>CentralChillerExp</v>
      </c>
      <c r="U3" s="322" t="str">
        <f ca="1">OFFSET(Control!$A$5,COLUMN(T4)-1,0)</f>
        <v>RooftopPV</v>
      </c>
      <c r="V3" s="322" t="str">
        <f ca="1">OFFSET(Control!$A$5,COLUMN(U4)-1,0)</f>
        <v>ReducedAir</v>
      </c>
      <c r="W3" s="322" t="str">
        <f ca="1">OFFSET(Control!$A$5,COLUMN(V4)-1,0)</f>
        <v>ReducedAuto</v>
      </c>
      <c r="X3" s="322" t="str">
        <f ca="1">OFFSET(Control!$A$5,COLUMN(W4)-1,0)</f>
        <v>BehaviorChange</v>
      </c>
      <c r="Y3" s="322">
        <f ca="1">OFFSET(Control!$A$5,COLUMN(X4)-1,0)</f>
        <v>0</v>
      </c>
      <c r="Z3" s="322">
        <f ca="1">OFFSET(Control!$A$5,COLUMN(Y4)-1,0)</f>
        <v>0</v>
      </c>
      <c r="AA3" s="322">
        <f ca="1">OFFSET(Control!$A$5,COLUMN(Z4)-1,0)</f>
        <v>0</v>
      </c>
      <c r="AB3" s="322">
        <f ca="1">OFFSET(Control!$A$5,COLUMN(AA4)-1,0)</f>
        <v>0</v>
      </c>
      <c r="AC3" s="322">
        <f ca="1">OFFSET(Control!$A$5,COLUMN(AB4)-1,0)</f>
        <v>0</v>
      </c>
      <c r="AD3" s="322">
        <f ca="1">OFFSET(Control!$A$5,COLUMN(AC4)-1,0)</f>
        <v>0</v>
      </c>
      <c r="AE3" s="322">
        <f ca="1">OFFSET(Control!$A$5,COLUMN(AD4)-1,0)</f>
        <v>0</v>
      </c>
      <c r="AF3" s="322">
        <f ca="1">OFFSET(Control!$A$5,COLUMN(AE4)-1,0)</f>
        <v>0</v>
      </c>
    </row>
    <row r="4" spans="1:32" ht="29.25" customHeight="1">
      <c r="A4" t="s">
        <v>301</v>
      </c>
      <c r="B4" s="264" t="str">
        <f ca="1">INDIRECT(B3)</f>
        <v>Green Power Purchase Opt 1 (Partial)</v>
      </c>
      <c r="C4" s="264" t="str">
        <f t="shared" ref="C4:AF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t="shared" ca="1" si="0"/>
        <v>#REF!</v>
      </c>
    </row>
    <row r="5" spans="1:32">
      <c r="A5">
        <v>2010</v>
      </c>
      <c r="B5" s="344">
        <f t="shared" ref="B5:B45" ca="1" si="1">OFFSET(INDIRECT(B$3),$A5-$A$5+$C$1,$C$2)</f>
        <v>0</v>
      </c>
      <c r="C5" s="344">
        <f t="shared" ref="C5:AF13" ca="1" si="2">OFFSET(INDIRECT(C$3),$A5-$A$5+$C$1,$C$2)</f>
        <v>0</v>
      </c>
      <c r="D5" s="344">
        <f t="shared" ca="1" si="2"/>
        <v>0</v>
      </c>
      <c r="E5" s="344">
        <f t="shared" ca="1" si="2"/>
        <v>0</v>
      </c>
      <c r="F5" s="344">
        <f t="shared" ca="1" si="2"/>
        <v>0</v>
      </c>
      <c r="G5" s="344">
        <f t="shared" ca="1" si="2"/>
        <v>0</v>
      </c>
      <c r="H5" s="344">
        <f t="shared" ca="1" si="2"/>
        <v>0</v>
      </c>
      <c r="I5" s="344">
        <f t="shared" ca="1" si="2"/>
        <v>0</v>
      </c>
      <c r="J5" s="344">
        <f t="shared" ca="1" si="2"/>
        <v>0</v>
      </c>
      <c r="K5" s="344">
        <f t="shared" ca="1" si="2"/>
        <v>0</v>
      </c>
      <c r="L5" s="344">
        <f t="shared" ca="1" si="2"/>
        <v>0</v>
      </c>
      <c r="M5" s="344">
        <f t="shared" ca="1" si="2"/>
        <v>0</v>
      </c>
      <c r="N5" s="344">
        <f t="shared" ca="1" si="2"/>
        <v>0</v>
      </c>
      <c r="O5" s="344">
        <f t="shared" ca="1" si="2"/>
        <v>0</v>
      </c>
      <c r="P5" s="344">
        <f t="shared" ca="1" si="2"/>
        <v>0</v>
      </c>
      <c r="Q5" s="344">
        <f t="shared" ca="1" si="2"/>
        <v>-2011.5286795204174</v>
      </c>
      <c r="R5" s="344">
        <f t="shared" ca="1" si="2"/>
        <v>0</v>
      </c>
      <c r="S5" s="344">
        <f t="shared" ca="1" si="2"/>
        <v>0</v>
      </c>
      <c r="T5" s="344">
        <f t="shared" ca="1" si="2"/>
        <v>0</v>
      </c>
      <c r="U5" s="344">
        <f t="shared" ca="1" si="2"/>
        <v>0</v>
      </c>
      <c r="V5" s="344">
        <f t="shared" ca="1" si="2"/>
        <v>0</v>
      </c>
      <c r="W5" s="344">
        <f t="shared" ca="1" si="2"/>
        <v>0</v>
      </c>
      <c r="X5" s="344">
        <f t="shared" ca="1" si="2"/>
        <v>0</v>
      </c>
      <c r="Y5" s="344" t="e">
        <f t="shared" ca="1" si="2"/>
        <v>#REF!</v>
      </c>
      <c r="Z5" s="344" t="e">
        <f t="shared" ca="1" si="2"/>
        <v>#REF!</v>
      </c>
      <c r="AA5" s="344" t="e">
        <f t="shared" ca="1" si="2"/>
        <v>#REF!</v>
      </c>
      <c r="AB5" s="344" t="e">
        <f t="shared" ca="1" si="2"/>
        <v>#REF!</v>
      </c>
      <c r="AC5" s="344" t="e">
        <f t="shared" ca="1" si="2"/>
        <v>#REF!</v>
      </c>
      <c r="AD5" s="344" t="e">
        <f t="shared" ca="1" si="2"/>
        <v>#REF!</v>
      </c>
      <c r="AE5" s="344" t="e">
        <f t="shared" ca="1" si="2"/>
        <v>#REF!</v>
      </c>
      <c r="AF5" s="344" t="e">
        <f t="shared" ca="1" si="2"/>
        <v>#REF!</v>
      </c>
    </row>
    <row r="6" spans="1:32">
      <c r="A6">
        <f>A5+1</f>
        <v>2011</v>
      </c>
      <c r="B6" s="344">
        <f t="shared" ca="1" si="1"/>
        <v>-35512.836256398594</v>
      </c>
      <c r="C6" s="344">
        <f t="shared" ref="C6:Q6" ca="1" si="3">OFFSET(INDIRECT(C$3),$A6-$A$5+$C$1,$C$2)</f>
        <v>0</v>
      </c>
      <c r="D6" s="344">
        <f t="shared" ca="1" si="3"/>
        <v>-124.43697824242066</v>
      </c>
      <c r="E6" s="344">
        <f t="shared" ca="1" si="3"/>
        <v>-2742.0270431200861</v>
      </c>
      <c r="F6" s="344">
        <f t="shared" ca="1" si="3"/>
        <v>0</v>
      </c>
      <c r="G6" s="344">
        <f t="shared" ca="1" si="3"/>
        <v>0</v>
      </c>
      <c r="H6" s="344">
        <f t="shared" ca="1" si="3"/>
        <v>0</v>
      </c>
      <c r="I6" s="344">
        <f t="shared" ca="1" si="3"/>
        <v>0</v>
      </c>
      <c r="J6" s="344">
        <f t="shared" ca="1" si="3"/>
        <v>0</v>
      </c>
      <c r="K6" s="344">
        <f t="shared" ca="1" si="3"/>
        <v>0</v>
      </c>
      <c r="L6" s="344">
        <f t="shared" ca="1" si="3"/>
        <v>0</v>
      </c>
      <c r="M6" s="344">
        <f t="shared" ca="1" si="3"/>
        <v>0</v>
      </c>
      <c r="N6" s="344">
        <f t="shared" ca="1" si="3"/>
        <v>0</v>
      </c>
      <c r="O6" s="344">
        <f t="shared" ca="1" si="3"/>
        <v>0</v>
      </c>
      <c r="P6" s="344">
        <f t="shared" ca="1" si="3"/>
        <v>-789.72264015453493</v>
      </c>
      <c r="Q6" s="344">
        <f t="shared" ca="1" si="3"/>
        <v>-4023.0573590408094</v>
      </c>
      <c r="R6" s="344">
        <f t="shared" ca="1" si="2"/>
        <v>0</v>
      </c>
      <c r="S6" s="344">
        <f t="shared" ca="1" si="2"/>
        <v>0</v>
      </c>
      <c r="T6" s="344">
        <f t="shared" ca="1" si="2"/>
        <v>0</v>
      </c>
      <c r="U6" s="344">
        <f t="shared" ca="1" si="2"/>
        <v>0</v>
      </c>
      <c r="V6" s="344">
        <f t="shared" ca="1" si="2"/>
        <v>0</v>
      </c>
      <c r="W6" s="344">
        <f t="shared" ca="1" si="2"/>
        <v>0</v>
      </c>
      <c r="X6" s="344">
        <f t="shared" ca="1" si="2"/>
        <v>0</v>
      </c>
      <c r="Y6" s="344" t="e">
        <f t="shared" ca="1" si="2"/>
        <v>#REF!</v>
      </c>
      <c r="Z6" s="344" t="e">
        <f t="shared" ca="1" si="2"/>
        <v>#REF!</v>
      </c>
      <c r="AA6" s="344" t="e">
        <f t="shared" ca="1" si="2"/>
        <v>#REF!</v>
      </c>
      <c r="AB6" s="344" t="e">
        <f t="shared" ca="1" si="2"/>
        <v>#REF!</v>
      </c>
      <c r="AC6" s="344" t="e">
        <f t="shared" ca="1" si="2"/>
        <v>#REF!</v>
      </c>
      <c r="AD6" s="344" t="e">
        <f t="shared" ca="1" si="2"/>
        <v>#REF!</v>
      </c>
      <c r="AE6" s="344" t="e">
        <f t="shared" ca="1" si="2"/>
        <v>#REF!</v>
      </c>
      <c r="AF6" s="344" t="e">
        <f t="shared" ca="1" si="2"/>
        <v>#REF!</v>
      </c>
    </row>
    <row r="7" spans="1:32">
      <c r="A7">
        <f t="shared" ref="A7:A45" si="4">A6+1</f>
        <v>2012</v>
      </c>
      <c r="B7" s="344">
        <f t="shared" ca="1" si="1"/>
        <v>-35512.836256398594</v>
      </c>
      <c r="C7" s="344">
        <f t="shared" ca="1" si="2"/>
        <v>0</v>
      </c>
      <c r="D7" s="344">
        <f t="shared" ca="1" si="2"/>
        <v>-124.43697824242066</v>
      </c>
      <c r="E7" s="344">
        <f t="shared" ca="1" si="2"/>
        <v>-5484.0540862401722</v>
      </c>
      <c r="F7" s="344">
        <f t="shared" ca="1" si="2"/>
        <v>0</v>
      </c>
      <c r="G7" s="344">
        <f t="shared" ca="1" si="2"/>
        <v>0</v>
      </c>
      <c r="H7" s="344">
        <f t="shared" ca="1" si="2"/>
        <v>-3075.9772424453963</v>
      </c>
      <c r="I7" s="344">
        <f t="shared" ca="1" si="2"/>
        <v>-914.61179008179215</v>
      </c>
      <c r="J7" s="344">
        <f t="shared" ca="1" si="2"/>
        <v>0</v>
      </c>
      <c r="K7" s="344">
        <f t="shared" ca="1" si="2"/>
        <v>-42.106365709288561</v>
      </c>
      <c r="L7" s="344">
        <f t="shared" ca="1" si="2"/>
        <v>0</v>
      </c>
      <c r="M7" s="344">
        <f t="shared" ca="1" si="2"/>
        <v>0</v>
      </c>
      <c r="N7" s="344">
        <f t="shared" ca="1" si="2"/>
        <v>0</v>
      </c>
      <c r="O7" s="344">
        <f t="shared" ca="1" si="2"/>
        <v>-1948.4709492677364</v>
      </c>
      <c r="P7" s="344">
        <f t="shared" ca="1" si="2"/>
        <v>-3573.5485844890363</v>
      </c>
      <c r="Q7" s="344">
        <f t="shared" ca="1" si="2"/>
        <v>-6034.5860385612268</v>
      </c>
      <c r="R7" s="344">
        <f t="shared" ca="1" si="2"/>
        <v>0</v>
      </c>
      <c r="S7" s="344">
        <f t="shared" ca="1" si="2"/>
        <v>0</v>
      </c>
      <c r="T7" s="344">
        <f t="shared" ca="1" si="2"/>
        <v>-2167.9819457268204</v>
      </c>
      <c r="U7" s="344">
        <f t="shared" ca="1" si="2"/>
        <v>0</v>
      </c>
      <c r="V7" s="344">
        <f t="shared" ca="1" si="2"/>
        <v>0</v>
      </c>
      <c r="W7" s="344">
        <f t="shared" ca="1" si="2"/>
        <v>0</v>
      </c>
      <c r="X7" s="344">
        <f t="shared" ca="1" si="2"/>
        <v>-443.03041713126811</v>
      </c>
      <c r="Y7" s="344" t="e">
        <f t="shared" ca="1" si="2"/>
        <v>#REF!</v>
      </c>
      <c r="Z7" s="344" t="e">
        <f t="shared" ca="1" si="2"/>
        <v>#REF!</v>
      </c>
      <c r="AA7" s="344" t="e">
        <f t="shared" ca="1" si="2"/>
        <v>#REF!</v>
      </c>
      <c r="AB7" s="344" t="e">
        <f t="shared" ca="1" si="2"/>
        <v>#REF!</v>
      </c>
      <c r="AC7" s="344" t="e">
        <f t="shared" ca="1" si="2"/>
        <v>#REF!</v>
      </c>
      <c r="AD7" s="344" t="e">
        <f t="shared" ca="1" si="2"/>
        <v>#REF!</v>
      </c>
      <c r="AE7" s="344" t="e">
        <f t="shared" ca="1" si="2"/>
        <v>#REF!</v>
      </c>
      <c r="AF7" s="344" t="e">
        <f t="shared" ca="1" si="2"/>
        <v>#REF!</v>
      </c>
    </row>
    <row r="8" spans="1:32">
      <c r="A8">
        <f t="shared" si="4"/>
        <v>2013</v>
      </c>
      <c r="B8" s="344">
        <f t="shared" ca="1" si="1"/>
        <v>-35512.836256398594</v>
      </c>
      <c r="C8" s="344">
        <f t="shared" ca="1" si="2"/>
        <v>0</v>
      </c>
      <c r="D8" s="344">
        <f t="shared" ca="1" si="2"/>
        <v>-124.43697824242066</v>
      </c>
      <c r="E8" s="344">
        <f t="shared" ca="1" si="2"/>
        <v>-8226.0811293602583</v>
      </c>
      <c r="F8" s="344">
        <f t="shared" ca="1" si="2"/>
        <v>0</v>
      </c>
      <c r="G8" s="344">
        <f t="shared" ca="1" si="2"/>
        <v>0</v>
      </c>
      <c r="H8" s="344">
        <f t="shared" ca="1" si="2"/>
        <v>-3125.3879734301372</v>
      </c>
      <c r="I8" s="344">
        <f t="shared" ca="1" si="2"/>
        <v>-1950.549633949943</v>
      </c>
      <c r="J8" s="344">
        <f t="shared" ca="1" si="2"/>
        <v>-680.80856317059579</v>
      </c>
      <c r="K8" s="344">
        <f t="shared" ca="1" si="2"/>
        <v>-42.106365709288561</v>
      </c>
      <c r="L8" s="344">
        <f t="shared" ca="1" si="2"/>
        <v>0</v>
      </c>
      <c r="M8" s="344">
        <f t="shared" ca="1" si="2"/>
        <v>0</v>
      </c>
      <c r="N8" s="344">
        <f t="shared" ca="1" si="2"/>
        <v>0</v>
      </c>
      <c r="O8" s="344">
        <f t="shared" ca="1" si="2"/>
        <v>-3896.9418985354728</v>
      </c>
      <c r="P8" s="344">
        <f t="shared" ca="1" si="2"/>
        <v>-4637.7326311296556</v>
      </c>
      <c r="Q8" s="344">
        <f t="shared" ca="1" si="2"/>
        <v>-8046.1147180816188</v>
      </c>
      <c r="R8" s="344">
        <f t="shared" ca="1" si="2"/>
        <v>0</v>
      </c>
      <c r="S8" s="344">
        <f t="shared" ca="1" si="2"/>
        <v>0</v>
      </c>
      <c r="T8" s="344">
        <f t="shared" ca="1" si="2"/>
        <v>-2218.6346143360465</v>
      </c>
      <c r="U8" s="344">
        <f t="shared" ca="1" si="2"/>
        <v>0</v>
      </c>
      <c r="V8" s="344">
        <f t="shared" ca="1" si="2"/>
        <v>0</v>
      </c>
      <c r="W8" s="344">
        <f t="shared" ca="1" si="2"/>
        <v>0</v>
      </c>
      <c r="X8" s="344">
        <f t="shared" ca="1" si="2"/>
        <v>-877.25965895883451</v>
      </c>
      <c r="Y8" s="344" t="e">
        <f t="shared" ca="1" si="2"/>
        <v>#REF!</v>
      </c>
      <c r="Z8" s="344" t="e">
        <f t="shared" ca="1" si="2"/>
        <v>#REF!</v>
      </c>
      <c r="AA8" s="344" t="e">
        <f t="shared" ca="1" si="2"/>
        <v>#REF!</v>
      </c>
      <c r="AB8" s="344" t="e">
        <f t="shared" ca="1" si="2"/>
        <v>#REF!</v>
      </c>
      <c r="AC8" s="344" t="e">
        <f t="shared" ca="1" si="2"/>
        <v>#REF!</v>
      </c>
      <c r="AD8" s="344" t="e">
        <f t="shared" ca="1" si="2"/>
        <v>#REF!</v>
      </c>
      <c r="AE8" s="344" t="e">
        <f t="shared" ca="1" si="2"/>
        <v>#REF!</v>
      </c>
      <c r="AF8" s="344" t="e">
        <f t="shared" ca="1" si="2"/>
        <v>#REF!</v>
      </c>
    </row>
    <row r="9" spans="1:32">
      <c r="A9">
        <f t="shared" si="4"/>
        <v>2014</v>
      </c>
      <c r="B9" s="344">
        <f t="shared" ca="1" si="1"/>
        <v>-35512.836256398594</v>
      </c>
      <c r="C9" s="344">
        <f t="shared" ca="1" si="2"/>
        <v>-2177.6471192423619</v>
      </c>
      <c r="D9" s="344">
        <f t="shared" ca="1" si="2"/>
        <v>-124.43697824242066</v>
      </c>
      <c r="E9" s="344">
        <f t="shared" ca="1" si="2"/>
        <v>-10968.108172480344</v>
      </c>
      <c r="F9" s="344">
        <f t="shared" ca="1" si="2"/>
        <v>0</v>
      </c>
      <c r="G9" s="344">
        <f t="shared" ca="1" si="2"/>
        <v>0</v>
      </c>
      <c r="H9" s="344">
        <f t="shared" ca="1" si="2"/>
        <v>-3161.5430998748739</v>
      </c>
      <c r="I9" s="344">
        <f t="shared" ca="1" si="2"/>
        <v>-2370.5244355181135</v>
      </c>
      <c r="J9" s="344">
        <f t="shared" ca="1" si="2"/>
        <v>-680.80856317059579</v>
      </c>
      <c r="K9" s="344">
        <f t="shared" ca="1" si="2"/>
        <v>-42.106365709288561</v>
      </c>
      <c r="L9" s="344">
        <f t="shared" ca="1" si="2"/>
        <v>0</v>
      </c>
      <c r="M9" s="344">
        <f t="shared" ca="1" si="2"/>
        <v>0</v>
      </c>
      <c r="N9" s="344">
        <f t="shared" ca="1" si="2"/>
        <v>0</v>
      </c>
      <c r="O9" s="344">
        <f t="shared" ca="1" si="2"/>
        <v>-5845.4128478032089</v>
      </c>
      <c r="P9" s="344">
        <f t="shared" ca="1" si="2"/>
        <v>-5052.878033826406</v>
      </c>
      <c r="Q9" s="344">
        <f t="shared" ca="1" si="2"/>
        <v>-10057.643397602036</v>
      </c>
      <c r="R9" s="344">
        <f t="shared" ca="1" si="2"/>
        <v>0</v>
      </c>
      <c r="S9" s="344">
        <f t="shared" ca="1" si="2"/>
        <v>0</v>
      </c>
      <c r="T9" s="344">
        <f t="shared" ca="1" si="2"/>
        <v>-4005.0410780820157</v>
      </c>
      <c r="U9" s="344">
        <f t="shared" ca="1" si="2"/>
        <v>0</v>
      </c>
      <c r="V9" s="344">
        <f t="shared" ca="1" si="2"/>
        <v>0</v>
      </c>
      <c r="W9" s="344">
        <f t="shared" ca="1" si="2"/>
        <v>0</v>
      </c>
      <c r="X9" s="344">
        <f t="shared" ca="1" si="2"/>
        <v>-1300.8517178401214</v>
      </c>
      <c r="Y9" s="344" t="e">
        <f t="shared" ca="1" si="2"/>
        <v>#REF!</v>
      </c>
      <c r="Z9" s="344" t="e">
        <f t="shared" ca="1" si="2"/>
        <v>#REF!</v>
      </c>
      <c r="AA9" s="344" t="e">
        <f t="shared" ca="1" si="2"/>
        <v>#REF!</v>
      </c>
      <c r="AB9" s="344" t="e">
        <f t="shared" ca="1" si="2"/>
        <v>#REF!</v>
      </c>
      <c r="AC9" s="344" t="e">
        <f t="shared" ca="1" si="2"/>
        <v>#REF!</v>
      </c>
      <c r="AD9" s="344" t="e">
        <f t="shared" ca="1" si="2"/>
        <v>#REF!</v>
      </c>
      <c r="AE9" s="344" t="e">
        <f t="shared" ca="1" si="2"/>
        <v>#REF!</v>
      </c>
      <c r="AF9" s="344" t="e">
        <f t="shared" ca="1" si="2"/>
        <v>#REF!</v>
      </c>
    </row>
    <row r="10" spans="1:32">
      <c r="A10">
        <f t="shared" si="4"/>
        <v>2015</v>
      </c>
      <c r="B10" s="344">
        <f t="shared" ca="1" si="1"/>
        <v>-35512.836256398594</v>
      </c>
      <c r="C10" s="344">
        <f t="shared" ca="1" si="2"/>
        <v>-2177.6471192423619</v>
      </c>
      <c r="D10" s="344">
        <f t="shared" ca="1" si="2"/>
        <v>-124.43697824242066</v>
      </c>
      <c r="E10" s="344">
        <f t="shared" ca="1" si="2"/>
        <v>-13710.13521560043</v>
      </c>
      <c r="F10" s="344">
        <f t="shared" ca="1" si="2"/>
        <v>0</v>
      </c>
      <c r="G10" s="344">
        <f t="shared" ca="1" si="2"/>
        <v>0</v>
      </c>
      <c r="H10" s="344">
        <f t="shared" ca="1" si="2"/>
        <v>-3233.0465050929606</v>
      </c>
      <c r="I10" s="344">
        <f t="shared" ca="1" si="2"/>
        <v>-2370.5244355181135</v>
      </c>
      <c r="J10" s="344">
        <f t="shared" ca="1" si="2"/>
        <v>-1361.6171263411916</v>
      </c>
      <c r="K10" s="344">
        <f t="shared" ca="1" si="2"/>
        <v>-42.106365709288561</v>
      </c>
      <c r="L10" s="344">
        <f t="shared" ca="1" si="2"/>
        <v>0</v>
      </c>
      <c r="M10" s="344">
        <f t="shared" ca="1" si="2"/>
        <v>0</v>
      </c>
      <c r="N10" s="344">
        <f t="shared" ca="1" si="2"/>
        <v>0</v>
      </c>
      <c r="O10" s="344">
        <f t="shared" ca="1" si="2"/>
        <v>-5845.4128478032089</v>
      </c>
      <c r="P10" s="344">
        <f t="shared" ca="1" si="2"/>
        <v>-7226.3575762567925</v>
      </c>
      <c r="Q10" s="344">
        <f t="shared" ca="1" si="2"/>
        <v>-12069.172077122454</v>
      </c>
      <c r="R10" s="344">
        <f t="shared" ca="1" si="2"/>
        <v>0</v>
      </c>
      <c r="S10" s="344">
        <f t="shared" ca="1" si="2"/>
        <v>-18056.365727671626</v>
      </c>
      <c r="T10" s="344">
        <f t="shared" ca="1" si="2"/>
        <v>-4055.6937466912427</v>
      </c>
      <c r="U10" s="344">
        <f t="shared" ca="1" si="2"/>
        <v>-497.52640520481702</v>
      </c>
      <c r="V10" s="344">
        <f t="shared" ca="1" si="2"/>
        <v>0</v>
      </c>
      <c r="W10" s="344">
        <f t="shared" ca="1" si="2"/>
        <v>0</v>
      </c>
      <c r="X10" s="344">
        <f t="shared" ca="1" si="2"/>
        <v>-1720.4743232307801</v>
      </c>
      <c r="Y10" s="344" t="e">
        <f t="shared" ca="1" si="2"/>
        <v>#REF!</v>
      </c>
      <c r="Z10" s="344" t="e">
        <f t="shared" ca="1" si="2"/>
        <v>#REF!</v>
      </c>
      <c r="AA10" s="344" t="e">
        <f t="shared" ca="1" si="2"/>
        <v>#REF!</v>
      </c>
      <c r="AB10" s="344" t="e">
        <f t="shared" ca="1" si="2"/>
        <v>#REF!</v>
      </c>
      <c r="AC10" s="344" t="e">
        <f t="shared" ca="1" si="2"/>
        <v>#REF!</v>
      </c>
      <c r="AD10" s="344" t="e">
        <f t="shared" ca="1" si="2"/>
        <v>#REF!</v>
      </c>
      <c r="AE10" s="344" t="e">
        <f t="shared" ca="1" si="2"/>
        <v>#REF!</v>
      </c>
      <c r="AF10" s="344" t="e">
        <f t="shared" ca="1" si="2"/>
        <v>#REF!</v>
      </c>
    </row>
    <row r="11" spans="1:32">
      <c r="A11">
        <f t="shared" si="4"/>
        <v>2016</v>
      </c>
      <c r="B11" s="344">
        <f t="shared" ca="1" si="1"/>
        <v>-35512.836256398594</v>
      </c>
      <c r="C11" s="344">
        <f t="shared" ca="1" si="2"/>
        <v>-2177.6471192423619</v>
      </c>
      <c r="D11" s="344">
        <f t="shared" ca="1" si="2"/>
        <v>-124.43697824242066</v>
      </c>
      <c r="E11" s="344">
        <f t="shared" ca="1" si="2"/>
        <v>-13710.13521560043</v>
      </c>
      <c r="F11" s="344">
        <f t="shared" ca="1" si="2"/>
        <v>-1651.693688225191</v>
      </c>
      <c r="G11" s="344">
        <f t="shared" ca="1" si="2"/>
        <v>0</v>
      </c>
      <c r="H11" s="344">
        <f t="shared" ca="1" si="2"/>
        <v>-3269.2016315376959</v>
      </c>
      <c r="I11" s="344">
        <f t="shared" ca="1" si="2"/>
        <v>-2370.5244355181135</v>
      </c>
      <c r="J11" s="344">
        <f t="shared" ca="1" si="2"/>
        <v>-1361.6171263411916</v>
      </c>
      <c r="K11" s="344">
        <f t="shared" ca="1" si="2"/>
        <v>-42.106365709288561</v>
      </c>
      <c r="L11" s="344">
        <f t="shared" ca="1" si="2"/>
        <v>0</v>
      </c>
      <c r="M11" s="344">
        <f t="shared" ca="1" si="2"/>
        <v>0</v>
      </c>
      <c r="N11" s="344">
        <f t="shared" ca="1" si="2"/>
        <v>0</v>
      </c>
      <c r="O11" s="344">
        <f t="shared" ca="1" si="2"/>
        <v>-5845.4128478032089</v>
      </c>
      <c r="P11" s="344">
        <f t="shared" ca="1" si="2"/>
        <v>-7651.4767554743994</v>
      </c>
      <c r="Q11" s="344">
        <f t="shared" ca="1" si="2"/>
        <v>-14080.700756642846</v>
      </c>
      <c r="R11" s="344">
        <f t="shared" ca="1" si="2"/>
        <v>-69175.400688347028</v>
      </c>
      <c r="S11" s="344">
        <f t="shared" ca="1" si="2"/>
        <v>-18258.289883413876</v>
      </c>
      <c r="T11" s="344">
        <f t="shared" ca="1" si="2"/>
        <v>-4712.5079147936849</v>
      </c>
      <c r="U11" s="344">
        <f t="shared" ca="1" si="2"/>
        <v>-497.52640520481702</v>
      </c>
      <c r="V11" s="344">
        <f t="shared" ca="1" si="2"/>
        <v>0</v>
      </c>
      <c r="W11" s="344">
        <f t="shared" ca="1" si="2"/>
        <v>0</v>
      </c>
      <c r="X11" s="344">
        <f t="shared" ca="1" si="2"/>
        <v>-2130.2219889227813</v>
      </c>
      <c r="Y11" s="344" t="e">
        <f t="shared" ca="1" si="2"/>
        <v>#REF!</v>
      </c>
      <c r="Z11" s="344" t="e">
        <f t="shared" ca="1" si="2"/>
        <v>#REF!</v>
      </c>
      <c r="AA11" s="344" t="e">
        <f t="shared" ca="1" si="2"/>
        <v>#REF!</v>
      </c>
      <c r="AB11" s="344" t="e">
        <f t="shared" ca="1" si="2"/>
        <v>#REF!</v>
      </c>
      <c r="AC11" s="344" t="e">
        <f t="shared" ca="1" si="2"/>
        <v>#REF!</v>
      </c>
      <c r="AD11" s="344" t="e">
        <f t="shared" ca="1" si="2"/>
        <v>#REF!</v>
      </c>
      <c r="AE11" s="344" t="e">
        <f t="shared" ca="1" si="2"/>
        <v>#REF!</v>
      </c>
      <c r="AF11" s="344" t="e">
        <f t="shared" ca="1" si="2"/>
        <v>#REF!</v>
      </c>
    </row>
    <row r="12" spans="1:32">
      <c r="A12">
        <f t="shared" si="4"/>
        <v>2017</v>
      </c>
      <c r="B12" s="344">
        <f t="shared" ca="1" si="1"/>
        <v>-35512.836256398594</v>
      </c>
      <c r="C12" s="344">
        <f t="shared" ca="1" si="2"/>
        <v>-4355.2942384847238</v>
      </c>
      <c r="D12" s="344">
        <f t="shared" ca="1" si="2"/>
        <v>-124.43697824242066</v>
      </c>
      <c r="E12" s="344">
        <f t="shared" ca="1" si="2"/>
        <v>-13710.13521560043</v>
      </c>
      <c r="F12" s="344">
        <f t="shared" ca="1" si="2"/>
        <v>-3303.3873764503819</v>
      </c>
      <c r="G12" s="344">
        <f t="shared" ca="1" si="2"/>
        <v>0</v>
      </c>
      <c r="H12" s="344">
        <f t="shared" ca="1" si="2"/>
        <v>-3305.3567579824307</v>
      </c>
      <c r="I12" s="344">
        <f t="shared" ca="1" si="2"/>
        <v>-2370.5244355181135</v>
      </c>
      <c r="J12" s="344">
        <f t="shared" ca="1" si="2"/>
        <v>-1361.6171263411916</v>
      </c>
      <c r="K12" s="344">
        <f t="shared" ca="1" si="2"/>
        <v>-42.106365709288561</v>
      </c>
      <c r="L12" s="344">
        <f t="shared" ca="1" si="2"/>
        <v>0</v>
      </c>
      <c r="M12" s="344">
        <f t="shared" ca="1" si="2"/>
        <v>0</v>
      </c>
      <c r="N12" s="344">
        <f t="shared" ca="1" si="2"/>
        <v>0</v>
      </c>
      <c r="O12" s="344">
        <f t="shared" ca="1" si="2"/>
        <v>-5845.4128478032089</v>
      </c>
      <c r="P12" s="344">
        <f t="shared" ca="1" si="2"/>
        <v>-8077.790562160325</v>
      </c>
      <c r="Q12" s="344">
        <f t="shared" ca="1" si="2"/>
        <v>-16092.229436163265</v>
      </c>
      <c r="R12" s="344">
        <f t="shared" ca="1" si="2"/>
        <v>-69175.400688347028</v>
      </c>
      <c r="S12" s="344">
        <f t="shared" ca="1" si="2"/>
        <v>-18460.214039156141</v>
      </c>
      <c r="T12" s="344">
        <f t="shared" ca="1" si="2"/>
        <v>-4763.1605834029124</v>
      </c>
      <c r="U12" s="344">
        <f t="shared" ca="1" si="2"/>
        <v>-497.52640520481702</v>
      </c>
      <c r="V12" s="344">
        <f t="shared" ca="1" si="2"/>
        <v>0</v>
      </c>
      <c r="W12" s="344">
        <f t="shared" ca="1" si="2"/>
        <v>0</v>
      </c>
      <c r="X12" s="344">
        <f t="shared" ca="1" si="2"/>
        <v>-2531.7905847036163</v>
      </c>
      <c r="Y12" s="344" t="e">
        <f t="shared" ca="1" si="2"/>
        <v>#REF!</v>
      </c>
      <c r="Z12" s="344" t="e">
        <f t="shared" ca="1" si="2"/>
        <v>#REF!</v>
      </c>
      <c r="AA12" s="344" t="e">
        <f t="shared" ca="1" si="2"/>
        <v>#REF!</v>
      </c>
      <c r="AB12" s="344" t="e">
        <f t="shared" ca="1" si="2"/>
        <v>#REF!</v>
      </c>
      <c r="AC12" s="344" t="e">
        <f t="shared" ca="1" si="2"/>
        <v>#REF!</v>
      </c>
      <c r="AD12" s="344" t="e">
        <f t="shared" ca="1" si="2"/>
        <v>#REF!</v>
      </c>
      <c r="AE12" s="344" t="e">
        <f t="shared" ca="1" si="2"/>
        <v>#REF!</v>
      </c>
      <c r="AF12" s="344" t="e">
        <f t="shared" ca="1" si="2"/>
        <v>#REF!</v>
      </c>
    </row>
    <row r="13" spans="1:32">
      <c r="A13">
        <f t="shared" si="4"/>
        <v>2018</v>
      </c>
      <c r="B13" s="344">
        <f t="shared" ca="1" si="1"/>
        <v>-35512.836256398594</v>
      </c>
      <c r="C13" s="344">
        <f t="shared" ca="1" si="2"/>
        <v>-4355.2942384847238</v>
      </c>
      <c r="D13" s="344">
        <f t="shared" ca="1" si="2"/>
        <v>-124.43697824242066</v>
      </c>
      <c r="E13" s="344">
        <f t="shared" ca="1" si="2"/>
        <v>-13710.13521560043</v>
      </c>
      <c r="F13" s="344">
        <f t="shared" ca="1" si="2"/>
        <v>-4955.0810646755726</v>
      </c>
      <c r="G13" s="344">
        <f t="shared" ca="1" si="2"/>
        <v>0</v>
      </c>
      <c r="H13" s="344">
        <f t="shared" ca="1" si="2"/>
        <v>-3341.5118844271651</v>
      </c>
      <c r="I13" s="344">
        <f t="shared" ca="1" si="2"/>
        <v>-2370.5244355181135</v>
      </c>
      <c r="J13" s="344">
        <f t="shared" ca="1" si="2"/>
        <v>-1361.6171263411916</v>
      </c>
      <c r="K13" s="344">
        <f t="shared" ca="1" si="2"/>
        <v>-42.106365709288561</v>
      </c>
      <c r="L13" s="344">
        <f t="shared" ca="1" si="2"/>
        <v>0</v>
      </c>
      <c r="M13" s="344">
        <f t="shared" ca="1" si="2"/>
        <v>0</v>
      </c>
      <c r="N13" s="344">
        <f t="shared" ca="1" si="2"/>
        <v>0</v>
      </c>
      <c r="O13" s="344">
        <f t="shared" ca="1" si="2"/>
        <v>-5845.4128478032089</v>
      </c>
      <c r="P13" s="344">
        <f t="shared" ca="1" si="2"/>
        <v>-8505.2602187414213</v>
      </c>
      <c r="Q13" s="344">
        <f t="shared" ca="1" si="2"/>
        <v>-18103.758115683657</v>
      </c>
      <c r="R13" s="344">
        <f t="shared" ca="1" si="2"/>
        <v>-69175.400688347028</v>
      </c>
      <c r="S13" s="344">
        <f t="shared" ca="1" si="2"/>
        <v>-18662.138194898398</v>
      </c>
      <c r="T13" s="344">
        <f t="shared" ca="1" si="2"/>
        <v>-4813.8132520121389</v>
      </c>
      <c r="U13" s="344">
        <f t="shared" ca="1" si="2"/>
        <v>-497.52640520481702</v>
      </c>
      <c r="V13" s="344">
        <f t="shared" ca="1" si="2"/>
        <v>0</v>
      </c>
      <c r="W13" s="344">
        <f t="shared" ca="1" si="2"/>
        <v>0</v>
      </c>
      <c r="X13" s="344">
        <f t="shared" ca="1" si="2"/>
        <v>-2841.5897522124551</v>
      </c>
      <c r="Y13" s="344" t="e">
        <f t="shared" ca="1" si="2"/>
        <v>#REF!</v>
      </c>
      <c r="Z13" s="344" t="e">
        <f t="shared" ca="1" si="2"/>
        <v>#REF!</v>
      </c>
      <c r="AA13" s="344" t="e">
        <f t="shared" ca="1" si="2"/>
        <v>#REF!</v>
      </c>
      <c r="AB13" s="344" t="e">
        <f t="shared" ca="1" si="2"/>
        <v>#REF!</v>
      </c>
      <c r="AC13" s="344" t="e">
        <f t="shared" ca="1" si="2"/>
        <v>#REF!</v>
      </c>
      <c r="AD13" s="344" t="e">
        <f t="shared" ca="1" si="2"/>
        <v>#REF!</v>
      </c>
      <c r="AE13" s="344" t="e">
        <f t="shared" ca="1" si="2"/>
        <v>#REF!</v>
      </c>
      <c r="AF13" s="344" t="e">
        <f t="shared" ca="1" si="2"/>
        <v>#REF!</v>
      </c>
    </row>
    <row r="14" spans="1:32">
      <c r="A14">
        <f t="shared" si="4"/>
        <v>2019</v>
      </c>
      <c r="B14" s="344">
        <f t="shared" ca="1" si="1"/>
        <v>-35512.836256398594</v>
      </c>
      <c r="C14" s="344">
        <f t="shared" ref="C14:AF22" ca="1" si="5">OFFSET(INDIRECT(C$3),$A14-$A$5+$C$1,$C$2)</f>
        <v>-6532.9413577270852</v>
      </c>
      <c r="D14" s="344">
        <f t="shared" ca="1" si="5"/>
        <v>-124.43697824242066</v>
      </c>
      <c r="E14" s="344">
        <f t="shared" ca="1" si="5"/>
        <v>-13710.13521560043</v>
      </c>
      <c r="F14" s="344">
        <f t="shared" ca="1" si="5"/>
        <v>-6606.7747529007638</v>
      </c>
      <c r="G14" s="344">
        <f t="shared" ca="1" si="5"/>
        <v>0</v>
      </c>
      <c r="H14" s="344">
        <f t="shared" ca="1" si="5"/>
        <v>-3377.6670108718999</v>
      </c>
      <c r="I14" s="344">
        <f t="shared" ca="1" si="5"/>
        <v>-2370.5244355181135</v>
      </c>
      <c r="J14" s="344">
        <f t="shared" ca="1" si="5"/>
        <v>-1361.6171263411916</v>
      </c>
      <c r="K14" s="344">
        <f t="shared" ca="1" si="5"/>
        <v>-42.106365709288561</v>
      </c>
      <c r="L14" s="344">
        <f t="shared" ca="1" si="5"/>
        <v>0</v>
      </c>
      <c r="M14" s="344">
        <f t="shared" ca="1" si="5"/>
        <v>0</v>
      </c>
      <c r="N14" s="344">
        <f t="shared" ca="1" si="5"/>
        <v>0</v>
      </c>
      <c r="O14" s="344">
        <f t="shared" ca="1" si="5"/>
        <v>-5845.4128478032089</v>
      </c>
      <c r="P14" s="344">
        <f t="shared" ca="1" si="5"/>
        <v>-8933.8486079716986</v>
      </c>
      <c r="Q14" s="344">
        <f t="shared" ca="1" si="5"/>
        <v>-20115.286795204072</v>
      </c>
      <c r="R14" s="344">
        <f t="shared" ca="1" si="5"/>
        <v>-69175.400688347028</v>
      </c>
      <c r="S14" s="344">
        <f t="shared" ca="1" si="5"/>
        <v>-18864.062350640648</v>
      </c>
      <c r="T14" s="344">
        <f t="shared" ca="1" si="5"/>
        <v>-4864.4659206213655</v>
      </c>
      <c r="U14" s="344">
        <f t="shared" ca="1" si="5"/>
        <v>-497.52640520481702</v>
      </c>
      <c r="V14" s="344">
        <f t="shared" ca="1" si="5"/>
        <v>0</v>
      </c>
      <c r="W14" s="344">
        <f t="shared" ca="1" si="5"/>
        <v>0</v>
      </c>
      <c r="X14" s="344">
        <f t="shared" ca="1" si="5"/>
        <v>-3144.8176964852678</v>
      </c>
      <c r="Y14" s="344" t="e">
        <f t="shared" ca="1" si="5"/>
        <v>#REF!</v>
      </c>
      <c r="Z14" s="344" t="e">
        <f t="shared" ca="1" si="5"/>
        <v>#REF!</v>
      </c>
      <c r="AA14" s="344" t="e">
        <f t="shared" ca="1" si="5"/>
        <v>#REF!</v>
      </c>
      <c r="AB14" s="344" t="e">
        <f t="shared" ca="1" si="5"/>
        <v>#REF!</v>
      </c>
      <c r="AC14" s="344" t="e">
        <f t="shared" ca="1" si="5"/>
        <v>#REF!</v>
      </c>
      <c r="AD14" s="344" t="e">
        <f t="shared" ca="1" si="5"/>
        <v>#REF!</v>
      </c>
      <c r="AE14" s="344" t="e">
        <f t="shared" ca="1" si="5"/>
        <v>#REF!</v>
      </c>
      <c r="AF14" s="344" t="e">
        <f t="shared" ca="1" si="5"/>
        <v>#REF!</v>
      </c>
    </row>
    <row r="15" spans="1:32">
      <c r="A15">
        <f t="shared" si="4"/>
        <v>2020</v>
      </c>
      <c r="B15" s="344">
        <f t="shared" ca="1" si="1"/>
        <v>-35512.836256398594</v>
      </c>
      <c r="C15" s="344">
        <f t="shared" ca="1" si="5"/>
        <v>-6532.9413577270852</v>
      </c>
      <c r="D15" s="344">
        <f t="shared" ca="1" si="5"/>
        <v>-124.43697824242066</v>
      </c>
      <c r="E15" s="344">
        <f t="shared" ca="1" si="5"/>
        <v>-13710.13521560043</v>
      </c>
      <c r="F15" s="344">
        <f t="shared" ca="1" si="5"/>
        <v>-8258.468441125955</v>
      </c>
      <c r="G15" s="344">
        <f t="shared" ca="1" si="5"/>
        <v>0</v>
      </c>
      <c r="H15" s="344">
        <f t="shared" ca="1" si="5"/>
        <v>-3413.8221373166357</v>
      </c>
      <c r="I15" s="344">
        <f t="shared" ca="1" si="5"/>
        <v>-2370.5244355181135</v>
      </c>
      <c r="J15" s="344">
        <f t="shared" ca="1" si="5"/>
        <v>-1361.6171263411916</v>
      </c>
      <c r="K15" s="344">
        <f t="shared" ca="1" si="5"/>
        <v>-42.106365709288561</v>
      </c>
      <c r="L15" s="344">
        <f t="shared" ca="1" si="5"/>
        <v>0</v>
      </c>
      <c r="M15" s="344">
        <f t="shared" ca="1" si="5"/>
        <v>-541.56720162645297</v>
      </c>
      <c r="N15" s="344">
        <f t="shared" ca="1" si="5"/>
        <v>-614.83870590410481</v>
      </c>
      <c r="O15" s="344">
        <f t="shared" ca="1" si="5"/>
        <v>-5845.4128478032089</v>
      </c>
      <c r="P15" s="344">
        <f t="shared" ca="1" si="5"/>
        <v>-9363.5201850112971</v>
      </c>
      <c r="Q15" s="344">
        <f t="shared" ca="1" si="5"/>
        <v>-22126.815474724466</v>
      </c>
      <c r="R15" s="344">
        <f t="shared" ca="1" si="5"/>
        <v>-69175.400688347028</v>
      </c>
      <c r="S15" s="344">
        <f t="shared" ca="1" si="5"/>
        <v>-19065.986506382898</v>
      </c>
      <c r="T15" s="344">
        <f t="shared" ca="1" si="5"/>
        <v>-4915.118589230593</v>
      </c>
      <c r="U15" s="344">
        <f t="shared" ca="1" si="5"/>
        <v>-497.52640520481702</v>
      </c>
      <c r="V15" s="344">
        <f t="shared" ca="1" si="5"/>
        <v>0</v>
      </c>
      <c r="W15" s="344">
        <f t="shared" ca="1" si="5"/>
        <v>0</v>
      </c>
      <c r="X15" s="344">
        <f t="shared" ca="1" si="5"/>
        <v>-3441.464195208222</v>
      </c>
      <c r="Y15" s="344" t="e">
        <f t="shared" ca="1" si="5"/>
        <v>#REF!</v>
      </c>
      <c r="Z15" s="344" t="e">
        <f t="shared" ca="1" si="5"/>
        <v>#REF!</v>
      </c>
      <c r="AA15" s="344" t="e">
        <f t="shared" ca="1" si="5"/>
        <v>#REF!</v>
      </c>
      <c r="AB15" s="344" t="e">
        <f t="shared" ca="1" si="5"/>
        <v>#REF!</v>
      </c>
      <c r="AC15" s="344" t="e">
        <f t="shared" ca="1" si="5"/>
        <v>#REF!</v>
      </c>
      <c r="AD15" s="344" t="e">
        <f t="shared" ca="1" si="5"/>
        <v>#REF!</v>
      </c>
      <c r="AE15" s="344" t="e">
        <f t="shared" ca="1" si="5"/>
        <v>#REF!</v>
      </c>
      <c r="AF15" s="344" t="e">
        <f t="shared" ca="1" si="5"/>
        <v>#REF!</v>
      </c>
    </row>
    <row r="16" spans="1:32">
      <c r="A16">
        <f t="shared" si="4"/>
        <v>2021</v>
      </c>
      <c r="B16" s="344">
        <f t="shared" ca="1" si="1"/>
        <v>-35512.836256398594</v>
      </c>
      <c r="C16" s="344">
        <f t="shared" ca="1" si="5"/>
        <v>-8710.5884769694476</v>
      </c>
      <c r="D16" s="344">
        <f t="shared" ca="1" si="5"/>
        <v>-124.43697824242066</v>
      </c>
      <c r="E16" s="344">
        <f t="shared" ca="1" si="5"/>
        <v>-13710.13521560043</v>
      </c>
      <c r="F16" s="344">
        <f t="shared" ca="1" si="5"/>
        <v>-9910.1621293511453</v>
      </c>
      <c r="G16" s="344">
        <f t="shared" ca="1" si="5"/>
        <v>0</v>
      </c>
      <c r="H16" s="344">
        <f t="shared" ca="1" si="5"/>
        <v>-3449.9772637613701</v>
      </c>
      <c r="I16" s="344">
        <f t="shared" ca="1" si="5"/>
        <v>-2370.5244355181135</v>
      </c>
      <c r="J16" s="344">
        <f t="shared" ca="1" si="5"/>
        <v>-1361.6171263411916</v>
      </c>
      <c r="K16" s="344">
        <f t="shared" ca="1" si="5"/>
        <v>-42.106365709288561</v>
      </c>
      <c r="L16" s="344">
        <f t="shared" ca="1" si="5"/>
        <v>0</v>
      </c>
      <c r="M16" s="344">
        <f t="shared" ca="1" si="5"/>
        <v>-536.15149409735216</v>
      </c>
      <c r="N16" s="344">
        <f t="shared" ca="1" si="5"/>
        <v>-614.83870590410481</v>
      </c>
      <c r="O16" s="344">
        <f t="shared" ca="1" si="5"/>
        <v>-5845.4128478032089</v>
      </c>
      <c r="P16" s="344">
        <f t="shared" ca="1" si="5"/>
        <v>-9794.2408950338431</v>
      </c>
      <c r="Q16" s="344">
        <f t="shared" ca="1" si="5"/>
        <v>-24138.344154244882</v>
      </c>
      <c r="R16" s="344">
        <f t="shared" ca="1" si="5"/>
        <v>-69175.400688347028</v>
      </c>
      <c r="S16" s="344">
        <f t="shared" ca="1" si="5"/>
        <v>-19267.910662125156</v>
      </c>
      <c r="T16" s="344">
        <f t="shared" ca="1" si="5"/>
        <v>-4965.7712578398159</v>
      </c>
      <c r="U16" s="344">
        <f t="shared" ca="1" si="5"/>
        <v>-497.52640520481702</v>
      </c>
      <c r="V16" s="344">
        <f t="shared" ca="1" si="5"/>
        <v>0</v>
      </c>
      <c r="W16" s="344">
        <f t="shared" ca="1" si="5"/>
        <v>0</v>
      </c>
      <c r="X16" s="344">
        <f t="shared" ca="1" si="5"/>
        <v>-3731.5194545793479</v>
      </c>
      <c r="Y16" s="344" t="e">
        <f t="shared" ca="1" si="5"/>
        <v>#REF!</v>
      </c>
      <c r="Z16" s="344" t="e">
        <f t="shared" ca="1" si="5"/>
        <v>#REF!</v>
      </c>
      <c r="AA16" s="344" t="e">
        <f t="shared" ca="1" si="5"/>
        <v>#REF!</v>
      </c>
      <c r="AB16" s="344" t="e">
        <f t="shared" ca="1" si="5"/>
        <v>#REF!</v>
      </c>
      <c r="AC16" s="344" t="e">
        <f t="shared" ca="1" si="5"/>
        <v>#REF!</v>
      </c>
      <c r="AD16" s="344" t="e">
        <f t="shared" ca="1" si="5"/>
        <v>#REF!</v>
      </c>
      <c r="AE16" s="344" t="e">
        <f t="shared" ca="1" si="5"/>
        <v>#REF!</v>
      </c>
      <c r="AF16" s="344" t="e">
        <f t="shared" ca="1" si="5"/>
        <v>#REF!</v>
      </c>
    </row>
    <row r="17" spans="1:32">
      <c r="A17">
        <f t="shared" si="4"/>
        <v>2022</v>
      </c>
      <c r="B17" s="344">
        <f t="shared" ca="1" si="1"/>
        <v>-35512.836256398594</v>
      </c>
      <c r="C17" s="344">
        <f t="shared" ca="1" si="5"/>
        <v>-8710.5884769694476</v>
      </c>
      <c r="D17" s="344">
        <f t="shared" ca="1" si="5"/>
        <v>-124.43697824242066</v>
      </c>
      <c r="E17" s="344">
        <f t="shared" ca="1" si="5"/>
        <v>-13710.13521560043</v>
      </c>
      <c r="F17" s="344">
        <f t="shared" ca="1" si="5"/>
        <v>-11561.855817576336</v>
      </c>
      <c r="G17" s="344">
        <f t="shared" ca="1" si="5"/>
        <v>0</v>
      </c>
      <c r="H17" s="344">
        <f t="shared" ca="1" si="5"/>
        <v>-3486.1323902061049</v>
      </c>
      <c r="I17" s="344">
        <f t="shared" ca="1" si="5"/>
        <v>-2370.5244355181135</v>
      </c>
      <c r="J17" s="344">
        <f t="shared" ca="1" si="5"/>
        <v>-1361.6171263411916</v>
      </c>
      <c r="K17" s="344">
        <f t="shared" ca="1" si="5"/>
        <v>-42.106365709288561</v>
      </c>
      <c r="L17" s="344">
        <f t="shared" ca="1" si="5"/>
        <v>0</v>
      </c>
      <c r="M17" s="344">
        <f t="shared" ca="1" si="5"/>
        <v>-530.78976607936113</v>
      </c>
      <c r="N17" s="344">
        <f t="shared" ca="1" si="5"/>
        <v>-614.83870590410481</v>
      </c>
      <c r="O17" s="344">
        <f t="shared" ca="1" si="5"/>
        <v>-5845.4128478032089</v>
      </c>
      <c r="P17" s="344">
        <f t="shared" ca="1" si="5"/>
        <v>-10225.978095960911</v>
      </c>
      <c r="Q17" s="344">
        <f t="shared" ca="1" si="5"/>
        <v>-26149.872833765301</v>
      </c>
      <c r="R17" s="344">
        <f t="shared" ca="1" si="5"/>
        <v>-69175.400688347028</v>
      </c>
      <c r="S17" s="344">
        <f t="shared" ca="1" si="5"/>
        <v>-19469.83481786742</v>
      </c>
      <c r="T17" s="344">
        <f t="shared" ca="1" si="5"/>
        <v>-5016.4239264490425</v>
      </c>
      <c r="U17" s="344">
        <f t="shared" ca="1" si="5"/>
        <v>-497.52640520481702</v>
      </c>
      <c r="V17" s="344">
        <f t="shared" ca="1" si="5"/>
        <v>0</v>
      </c>
      <c r="W17" s="344">
        <f t="shared" ca="1" si="5"/>
        <v>0</v>
      </c>
      <c r="X17" s="344">
        <f t="shared" ca="1" si="5"/>
        <v>-4014.9740870877836</v>
      </c>
      <c r="Y17" s="344" t="e">
        <f t="shared" ca="1" si="5"/>
        <v>#REF!</v>
      </c>
      <c r="Z17" s="344" t="e">
        <f t="shared" ca="1" si="5"/>
        <v>#REF!</v>
      </c>
      <c r="AA17" s="344" t="e">
        <f t="shared" ca="1" si="5"/>
        <v>#REF!</v>
      </c>
      <c r="AB17" s="344" t="e">
        <f t="shared" ca="1" si="5"/>
        <v>#REF!</v>
      </c>
      <c r="AC17" s="344" t="e">
        <f t="shared" ca="1" si="5"/>
        <v>#REF!</v>
      </c>
      <c r="AD17" s="344" t="e">
        <f t="shared" ca="1" si="5"/>
        <v>#REF!</v>
      </c>
      <c r="AE17" s="344" t="e">
        <f t="shared" ca="1" si="5"/>
        <v>#REF!</v>
      </c>
      <c r="AF17" s="344" t="e">
        <f t="shared" ca="1" si="5"/>
        <v>#REF!</v>
      </c>
    </row>
    <row r="18" spans="1:32">
      <c r="A18">
        <f t="shared" si="4"/>
        <v>2023</v>
      </c>
      <c r="B18" s="344">
        <f t="shared" ca="1" si="1"/>
        <v>-35512.836256398594</v>
      </c>
      <c r="C18" s="344">
        <f t="shared" ca="1" si="5"/>
        <v>-8710.5884769694476</v>
      </c>
      <c r="D18" s="344">
        <f t="shared" ca="1" si="5"/>
        <v>-124.43697824242066</v>
      </c>
      <c r="E18" s="344">
        <f t="shared" ca="1" si="5"/>
        <v>-13710.13521560043</v>
      </c>
      <c r="F18" s="344">
        <f t="shared" ca="1" si="5"/>
        <v>-13213.549505801528</v>
      </c>
      <c r="G18" s="344">
        <f t="shared" ca="1" si="5"/>
        <v>0</v>
      </c>
      <c r="H18" s="344">
        <f t="shared" ca="1" si="5"/>
        <v>-3522.2875166508402</v>
      </c>
      <c r="I18" s="344">
        <f t="shared" ca="1" si="5"/>
        <v>-2370.5244355181135</v>
      </c>
      <c r="J18" s="344">
        <f t="shared" ca="1" si="5"/>
        <v>-1361.6171263411916</v>
      </c>
      <c r="K18" s="344">
        <f t="shared" ca="1" si="5"/>
        <v>-42.106365709288561</v>
      </c>
      <c r="L18" s="344">
        <f t="shared" ca="1" si="5"/>
        <v>0</v>
      </c>
      <c r="M18" s="344">
        <f t="shared" ca="1" si="5"/>
        <v>-525.48201757247966</v>
      </c>
      <c r="N18" s="344">
        <f t="shared" ca="1" si="5"/>
        <v>-614.83870590410481</v>
      </c>
      <c r="O18" s="344">
        <f t="shared" ca="1" si="5"/>
        <v>-5845.4128478032089</v>
      </c>
      <c r="P18" s="344">
        <f t="shared" ca="1" si="5"/>
        <v>-10658.700485955025</v>
      </c>
      <c r="Q18" s="344">
        <f t="shared" ca="1" si="5"/>
        <v>-28161.401513285691</v>
      </c>
      <c r="R18" s="344">
        <f t="shared" ca="1" si="5"/>
        <v>-69175.400688347028</v>
      </c>
      <c r="S18" s="344">
        <f t="shared" ca="1" si="5"/>
        <v>-19671.758973609671</v>
      </c>
      <c r="T18" s="344">
        <f t="shared" ca="1" si="5"/>
        <v>-5067.07659505827</v>
      </c>
      <c r="U18" s="344">
        <f t="shared" ca="1" si="5"/>
        <v>-497.52640520481702</v>
      </c>
      <c r="V18" s="344">
        <f t="shared" ca="1" si="5"/>
        <v>0</v>
      </c>
      <c r="W18" s="344">
        <f t="shared" ca="1" si="5"/>
        <v>0</v>
      </c>
      <c r="X18" s="344">
        <f t="shared" ca="1" si="5"/>
        <v>-3973.9065654273677</v>
      </c>
      <c r="Y18" s="344" t="e">
        <f t="shared" ca="1" si="5"/>
        <v>#REF!</v>
      </c>
      <c r="Z18" s="344" t="e">
        <f t="shared" ca="1" si="5"/>
        <v>#REF!</v>
      </c>
      <c r="AA18" s="344" t="e">
        <f t="shared" ca="1" si="5"/>
        <v>#REF!</v>
      </c>
      <c r="AB18" s="344" t="e">
        <f t="shared" ca="1" si="5"/>
        <v>#REF!</v>
      </c>
      <c r="AC18" s="344" t="e">
        <f t="shared" ca="1" si="5"/>
        <v>#REF!</v>
      </c>
      <c r="AD18" s="344" t="e">
        <f t="shared" ca="1" si="5"/>
        <v>#REF!</v>
      </c>
      <c r="AE18" s="344" t="e">
        <f t="shared" ca="1" si="5"/>
        <v>#REF!</v>
      </c>
      <c r="AF18" s="344" t="e">
        <f t="shared" ca="1" si="5"/>
        <v>#REF!</v>
      </c>
    </row>
    <row r="19" spans="1:32">
      <c r="A19">
        <f t="shared" si="4"/>
        <v>2024</v>
      </c>
      <c r="B19" s="344">
        <f t="shared" ca="1" si="1"/>
        <v>-35512.836256398594</v>
      </c>
      <c r="C19" s="344">
        <f t="shared" ca="1" si="5"/>
        <v>-8710.5884769694476</v>
      </c>
      <c r="D19" s="344">
        <f t="shared" ca="1" si="5"/>
        <v>-124.43697824242066</v>
      </c>
      <c r="E19" s="344">
        <f t="shared" ca="1" si="5"/>
        <v>-13710.13521560043</v>
      </c>
      <c r="F19" s="344">
        <f t="shared" ca="1" si="5"/>
        <v>-13213.549505801528</v>
      </c>
      <c r="G19" s="344">
        <f t="shared" ca="1" si="5"/>
        <v>-1008.2241603025502</v>
      </c>
      <c r="H19" s="344">
        <f t="shared" ca="1" si="5"/>
        <v>-3558.4426430955759</v>
      </c>
      <c r="I19" s="344">
        <f t="shared" ca="1" si="5"/>
        <v>-2370.5244355181135</v>
      </c>
      <c r="J19" s="344">
        <f t="shared" ca="1" si="5"/>
        <v>-1361.6171263411916</v>
      </c>
      <c r="K19" s="344">
        <f t="shared" ca="1" si="5"/>
        <v>-42.106365709288561</v>
      </c>
      <c r="L19" s="344">
        <f t="shared" ca="1" si="5"/>
        <v>0</v>
      </c>
      <c r="M19" s="344">
        <f t="shared" ca="1" si="5"/>
        <v>-520.22682806325781</v>
      </c>
      <c r="N19" s="344">
        <f t="shared" ca="1" si="5"/>
        <v>-614.83870590410481</v>
      </c>
      <c r="O19" s="344">
        <f t="shared" ca="1" si="5"/>
        <v>-5845.4128478032089</v>
      </c>
      <c r="P19" s="344">
        <f t="shared" ca="1" si="5"/>
        <v>-11092.378035332724</v>
      </c>
      <c r="Q19" s="344">
        <f t="shared" ca="1" si="5"/>
        <v>-30172.93019280611</v>
      </c>
      <c r="R19" s="344">
        <f t="shared" ca="1" si="5"/>
        <v>-69175.400688347028</v>
      </c>
      <c r="S19" s="344">
        <f t="shared" ca="1" si="5"/>
        <v>-19873.683129351921</v>
      </c>
      <c r="T19" s="344">
        <f t="shared" ca="1" si="5"/>
        <v>-5117.7292636674965</v>
      </c>
      <c r="U19" s="344">
        <f t="shared" ca="1" si="5"/>
        <v>-497.52640520481702</v>
      </c>
      <c r="V19" s="344">
        <f t="shared" ca="1" si="5"/>
        <v>0</v>
      </c>
      <c r="W19" s="344">
        <f t="shared" ca="1" si="5"/>
        <v>0</v>
      </c>
      <c r="X19" s="344">
        <f t="shared" ca="1" si="5"/>
        <v>-3960.275297755366</v>
      </c>
      <c r="Y19" s="344" t="e">
        <f t="shared" ca="1" si="5"/>
        <v>#REF!</v>
      </c>
      <c r="Z19" s="344" t="e">
        <f t="shared" ca="1" si="5"/>
        <v>#REF!</v>
      </c>
      <c r="AA19" s="344" t="e">
        <f t="shared" ca="1" si="5"/>
        <v>#REF!</v>
      </c>
      <c r="AB19" s="344" t="e">
        <f t="shared" ca="1" si="5"/>
        <v>#REF!</v>
      </c>
      <c r="AC19" s="344" t="e">
        <f t="shared" ca="1" si="5"/>
        <v>#REF!</v>
      </c>
      <c r="AD19" s="344" t="e">
        <f t="shared" ca="1" si="5"/>
        <v>#REF!</v>
      </c>
      <c r="AE19" s="344" t="e">
        <f t="shared" ca="1" si="5"/>
        <v>#REF!</v>
      </c>
      <c r="AF19" s="344" t="e">
        <f t="shared" ca="1" si="5"/>
        <v>#REF!</v>
      </c>
    </row>
    <row r="20" spans="1:32">
      <c r="A20">
        <f t="shared" si="4"/>
        <v>2025</v>
      </c>
      <c r="B20" s="344">
        <f t="shared" ca="1" si="1"/>
        <v>-35512.836256398594</v>
      </c>
      <c r="C20" s="344">
        <f t="shared" ca="1" si="5"/>
        <v>-8710.5884769694476</v>
      </c>
      <c r="D20" s="344">
        <f t="shared" ca="1" si="5"/>
        <v>-124.43697824242066</v>
      </c>
      <c r="E20" s="344">
        <f t="shared" ca="1" si="5"/>
        <v>-13710.13521560043</v>
      </c>
      <c r="F20" s="344">
        <f t="shared" ca="1" si="5"/>
        <v>-13213.549505801528</v>
      </c>
      <c r="G20" s="344">
        <f t="shared" ca="1" si="5"/>
        <v>-2016.4483206051004</v>
      </c>
      <c r="H20" s="344">
        <f t="shared" ca="1" si="5"/>
        <v>-3594.5977695403094</v>
      </c>
      <c r="I20" s="344">
        <f t="shared" ca="1" si="5"/>
        <v>-2370.5244355181135</v>
      </c>
      <c r="J20" s="344">
        <f t="shared" ca="1" si="5"/>
        <v>-1361.6171263411916</v>
      </c>
      <c r="K20" s="344">
        <f t="shared" ca="1" si="5"/>
        <v>-42.106365709288561</v>
      </c>
      <c r="L20" s="344">
        <f t="shared" ca="1" si="5"/>
        <v>0</v>
      </c>
      <c r="M20" s="344">
        <f t="shared" ca="1" si="5"/>
        <v>-515.02490780842061</v>
      </c>
      <c r="N20" s="344">
        <f t="shared" ca="1" si="5"/>
        <v>-614.83870590410481</v>
      </c>
      <c r="O20" s="344">
        <f t="shared" ca="1" si="5"/>
        <v>-5845.4128478032089</v>
      </c>
      <c r="P20" s="344">
        <f t="shared" ca="1" si="5"/>
        <v>-11526.981922587047</v>
      </c>
      <c r="Q20" s="344">
        <f t="shared" ca="1" si="5"/>
        <v>-32184.45887232653</v>
      </c>
      <c r="R20" s="344">
        <f t="shared" ca="1" si="5"/>
        <v>-69175.400688347028</v>
      </c>
      <c r="S20" s="344">
        <f t="shared" ca="1" si="5"/>
        <v>-20075.607285094171</v>
      </c>
      <c r="T20" s="344">
        <f t="shared" ca="1" si="5"/>
        <v>-5168.3819322767222</v>
      </c>
      <c r="U20" s="344">
        <f t="shared" ca="1" si="5"/>
        <v>-497.52640520481702</v>
      </c>
      <c r="V20" s="344">
        <f t="shared" ca="1" si="5"/>
        <v>0</v>
      </c>
      <c r="W20" s="344">
        <f t="shared" ca="1" si="5"/>
        <v>0</v>
      </c>
      <c r="X20" s="344">
        <f t="shared" ca="1" si="5"/>
        <v>-3946.6043494384821</v>
      </c>
      <c r="Y20" s="344" t="e">
        <f t="shared" ca="1" si="5"/>
        <v>#REF!</v>
      </c>
      <c r="Z20" s="344" t="e">
        <f t="shared" ca="1" si="5"/>
        <v>#REF!</v>
      </c>
      <c r="AA20" s="344" t="e">
        <f t="shared" ca="1" si="5"/>
        <v>#REF!</v>
      </c>
      <c r="AB20" s="344" t="e">
        <f t="shared" ca="1" si="5"/>
        <v>#REF!</v>
      </c>
      <c r="AC20" s="344" t="e">
        <f t="shared" ca="1" si="5"/>
        <v>#REF!</v>
      </c>
      <c r="AD20" s="344" t="e">
        <f t="shared" ca="1" si="5"/>
        <v>#REF!</v>
      </c>
      <c r="AE20" s="344" t="e">
        <f t="shared" ca="1" si="5"/>
        <v>#REF!</v>
      </c>
      <c r="AF20" s="344" t="e">
        <f t="shared" ca="1" si="5"/>
        <v>#REF!</v>
      </c>
    </row>
    <row r="21" spans="1:32">
      <c r="A21">
        <f t="shared" si="4"/>
        <v>2026</v>
      </c>
      <c r="B21" s="344">
        <f t="shared" ca="1" si="1"/>
        <v>-35512.836256398594</v>
      </c>
      <c r="C21" s="344">
        <f t="shared" ca="1" si="5"/>
        <v>-8710.5884769694476</v>
      </c>
      <c r="D21" s="344">
        <f t="shared" ca="1" si="5"/>
        <v>-124.43697824242066</v>
      </c>
      <c r="E21" s="344">
        <f t="shared" ca="1" si="5"/>
        <v>-13710.13521560043</v>
      </c>
      <c r="F21" s="344">
        <f t="shared" ca="1" si="5"/>
        <v>-13213.549505801528</v>
      </c>
      <c r="G21" s="344">
        <f t="shared" ca="1" si="5"/>
        <v>-3024.6724809076504</v>
      </c>
      <c r="H21" s="344">
        <f t="shared" ca="1" si="5"/>
        <v>-3630.7528959850451</v>
      </c>
      <c r="I21" s="344">
        <f t="shared" ca="1" si="5"/>
        <v>-2370.5244355181135</v>
      </c>
      <c r="J21" s="344">
        <f t="shared" ca="1" si="5"/>
        <v>-1361.6171263411916</v>
      </c>
      <c r="K21" s="344">
        <f t="shared" ca="1" si="5"/>
        <v>-42.106365709288561</v>
      </c>
      <c r="L21" s="344">
        <f t="shared" ca="1" si="5"/>
        <v>0</v>
      </c>
      <c r="M21" s="344">
        <f t="shared" ca="1" si="5"/>
        <v>-509.87483629451771</v>
      </c>
      <c r="N21" s="344">
        <f t="shared" ca="1" si="5"/>
        <v>-614.83870590410481</v>
      </c>
      <c r="O21" s="344">
        <f t="shared" ca="1" si="5"/>
        <v>-5845.4128478032089</v>
      </c>
      <c r="P21" s="344">
        <f t="shared" ca="1" si="5"/>
        <v>-11962.484474232047</v>
      </c>
      <c r="Q21" s="344">
        <f t="shared" ca="1" si="5"/>
        <v>-34195.98755184692</v>
      </c>
      <c r="R21" s="344">
        <f t="shared" ca="1" si="5"/>
        <v>-69175.400688347028</v>
      </c>
      <c r="S21" s="344">
        <f t="shared" ca="1" si="5"/>
        <v>-20277.531440836436</v>
      </c>
      <c r="T21" s="344">
        <f t="shared" ca="1" si="5"/>
        <v>-5219.0346008859497</v>
      </c>
      <c r="U21" s="344">
        <f t="shared" ca="1" si="5"/>
        <v>-497.52640520481702</v>
      </c>
      <c r="V21" s="344">
        <f t="shared" ca="1" si="5"/>
        <v>0</v>
      </c>
      <c r="W21" s="344">
        <f t="shared" ca="1" si="5"/>
        <v>0</v>
      </c>
      <c r="X21" s="344">
        <f t="shared" ca="1" si="5"/>
        <v>-3932.894905899223</v>
      </c>
      <c r="Y21" s="344" t="e">
        <f t="shared" ca="1" si="5"/>
        <v>#REF!</v>
      </c>
      <c r="Z21" s="344" t="e">
        <f t="shared" ca="1" si="5"/>
        <v>#REF!</v>
      </c>
      <c r="AA21" s="344" t="e">
        <f t="shared" ca="1" si="5"/>
        <v>#REF!</v>
      </c>
      <c r="AB21" s="344" t="e">
        <f t="shared" ca="1" si="5"/>
        <v>#REF!</v>
      </c>
      <c r="AC21" s="344" t="e">
        <f t="shared" ca="1" si="5"/>
        <v>#REF!</v>
      </c>
      <c r="AD21" s="344" t="e">
        <f t="shared" ca="1" si="5"/>
        <v>#REF!</v>
      </c>
      <c r="AE21" s="344" t="e">
        <f t="shared" ca="1" si="5"/>
        <v>#REF!</v>
      </c>
      <c r="AF21" s="344" t="e">
        <f t="shared" ca="1" si="5"/>
        <v>#REF!</v>
      </c>
    </row>
    <row r="22" spans="1:32">
      <c r="A22">
        <f t="shared" si="4"/>
        <v>2027</v>
      </c>
      <c r="B22" s="344">
        <f t="shared" ca="1" si="1"/>
        <v>-35512.836256398594</v>
      </c>
      <c r="C22" s="344">
        <f t="shared" ca="1" si="5"/>
        <v>-8710.5884769694476</v>
      </c>
      <c r="D22" s="344">
        <f t="shared" ca="1" si="5"/>
        <v>-124.43697824242066</v>
      </c>
      <c r="E22" s="344">
        <f t="shared" ca="1" si="5"/>
        <v>-13710.13521560043</v>
      </c>
      <c r="F22" s="344">
        <f t="shared" ca="1" si="5"/>
        <v>-13213.549505801528</v>
      </c>
      <c r="G22" s="344">
        <f t="shared" ca="1" si="5"/>
        <v>-4032.8966412102009</v>
      </c>
      <c r="H22" s="344">
        <f t="shared" ca="1" si="5"/>
        <v>-3666.9080224297791</v>
      </c>
      <c r="I22" s="344">
        <f t="shared" ca="1" si="5"/>
        <v>-2370.5244355181135</v>
      </c>
      <c r="J22" s="344">
        <f t="shared" ca="1" si="5"/>
        <v>-1361.6171263411916</v>
      </c>
      <c r="K22" s="344">
        <f t="shared" ca="1" si="5"/>
        <v>-42.106365709288561</v>
      </c>
      <c r="L22" s="344">
        <f t="shared" ca="1" si="5"/>
        <v>0</v>
      </c>
      <c r="M22" s="344">
        <f t="shared" ca="1" si="5"/>
        <v>-504.77590326482402</v>
      </c>
      <c r="N22" s="344">
        <f t="shared" ca="1" si="5"/>
        <v>-614.83870590410481</v>
      </c>
      <c r="O22" s="344">
        <f t="shared" ca="1" si="5"/>
        <v>-5845.4128478032089</v>
      </c>
      <c r="P22" s="344">
        <f t="shared" ca="1" si="5"/>
        <v>-12398.859108206347</v>
      </c>
      <c r="Q22" s="344">
        <f t="shared" ca="1" si="5"/>
        <v>-36207.516231367335</v>
      </c>
      <c r="R22" s="344">
        <f t="shared" ref="C22:AF30" ca="1" si="6">OFFSET(INDIRECT(R$3),$A22-$A$5+$C$1,$C$2)</f>
        <v>-69175.400688347028</v>
      </c>
      <c r="S22" s="344">
        <f t="shared" ca="1" si="6"/>
        <v>-20479.455596578686</v>
      </c>
      <c r="T22" s="344">
        <f t="shared" ca="1" si="6"/>
        <v>-5269.6872694951762</v>
      </c>
      <c r="U22" s="344">
        <f t="shared" ca="1" si="6"/>
        <v>-497.52640520481702</v>
      </c>
      <c r="V22" s="344">
        <f t="shared" ca="1" si="6"/>
        <v>0</v>
      </c>
      <c r="W22" s="344">
        <f t="shared" ca="1" si="6"/>
        <v>0</v>
      </c>
      <c r="X22" s="344">
        <f t="shared" ca="1" si="6"/>
        <v>-3919.1481058077857</v>
      </c>
      <c r="Y22" s="344" t="e">
        <f t="shared" ca="1" si="6"/>
        <v>#REF!</v>
      </c>
      <c r="Z22" s="344" t="e">
        <f t="shared" ca="1" si="6"/>
        <v>#REF!</v>
      </c>
      <c r="AA22" s="344" t="e">
        <f t="shared" ca="1" si="6"/>
        <v>#REF!</v>
      </c>
      <c r="AB22" s="344" t="e">
        <f t="shared" ca="1" si="6"/>
        <v>#REF!</v>
      </c>
      <c r="AC22" s="344" t="e">
        <f t="shared" ca="1" si="6"/>
        <v>#REF!</v>
      </c>
      <c r="AD22" s="344" t="e">
        <f t="shared" ca="1" si="6"/>
        <v>#REF!</v>
      </c>
      <c r="AE22" s="344" t="e">
        <f t="shared" ca="1" si="6"/>
        <v>#REF!</v>
      </c>
      <c r="AF22" s="344" t="e">
        <f t="shared" ca="1" si="6"/>
        <v>#REF!</v>
      </c>
    </row>
    <row r="23" spans="1:32">
      <c r="A23">
        <f t="shared" si="4"/>
        <v>2028</v>
      </c>
      <c r="B23" s="344">
        <f t="shared" ca="1" si="1"/>
        <v>-35512.836256398594</v>
      </c>
      <c r="C23" s="344">
        <f t="shared" ca="1" si="6"/>
        <v>-8710.5884769694476</v>
      </c>
      <c r="D23" s="344">
        <f t="shared" ca="1" si="6"/>
        <v>-124.43697824242066</v>
      </c>
      <c r="E23" s="344">
        <f t="shared" ca="1" si="6"/>
        <v>-13710.13521560043</v>
      </c>
      <c r="F23" s="344">
        <f t="shared" ca="1" si="6"/>
        <v>-13213.549505801528</v>
      </c>
      <c r="G23" s="344">
        <f t="shared" ca="1" si="6"/>
        <v>-5041.1208015127513</v>
      </c>
      <c r="H23" s="344">
        <f t="shared" ca="1" si="6"/>
        <v>-3703.0631488745134</v>
      </c>
      <c r="I23" s="344">
        <f t="shared" ca="1" si="6"/>
        <v>-2370.5244355181135</v>
      </c>
      <c r="J23" s="344">
        <f t="shared" ca="1" si="6"/>
        <v>-1361.6171263411916</v>
      </c>
      <c r="K23" s="344">
        <f t="shared" ca="1" si="6"/>
        <v>-42.106365709288561</v>
      </c>
      <c r="L23" s="344">
        <f t="shared" ca="1" si="6"/>
        <v>0</v>
      </c>
      <c r="M23" s="344">
        <f t="shared" ca="1" si="6"/>
        <v>-499.72810871933945</v>
      </c>
      <c r="N23" s="344">
        <f t="shared" ca="1" si="6"/>
        <v>-614.83870590410481</v>
      </c>
      <c r="O23" s="344">
        <f t="shared" ca="1" si="6"/>
        <v>-5845.4128478032089</v>
      </c>
      <c r="P23" s="344">
        <f t="shared" ca="1" si="6"/>
        <v>-12836.080280592192</v>
      </c>
      <c r="Q23" s="344">
        <f t="shared" ca="1" si="6"/>
        <v>-38219.044910887722</v>
      </c>
      <c r="R23" s="344">
        <f t="shared" ca="1" si="6"/>
        <v>-69175.400688347028</v>
      </c>
      <c r="S23" s="344">
        <f t="shared" ca="1" si="6"/>
        <v>-20681.379752320936</v>
      </c>
      <c r="T23" s="344">
        <f t="shared" ca="1" si="6"/>
        <v>-5320.3399381044037</v>
      </c>
      <c r="U23" s="344">
        <f t="shared" ca="1" si="6"/>
        <v>-497.52640520481702</v>
      </c>
      <c r="V23" s="344">
        <f t="shared" ca="1" si="6"/>
        <v>0</v>
      </c>
      <c r="W23" s="344">
        <f t="shared" ca="1" si="6"/>
        <v>0</v>
      </c>
      <c r="X23" s="344">
        <f t="shared" ca="1" si="6"/>
        <v>-3905.365043364422</v>
      </c>
      <c r="Y23" s="344" t="e">
        <f t="shared" ca="1" si="6"/>
        <v>#REF!</v>
      </c>
      <c r="Z23" s="344" t="e">
        <f t="shared" ca="1" si="6"/>
        <v>#REF!</v>
      </c>
      <c r="AA23" s="344" t="e">
        <f t="shared" ca="1" si="6"/>
        <v>#REF!</v>
      </c>
      <c r="AB23" s="344" t="e">
        <f t="shared" ca="1" si="6"/>
        <v>#REF!</v>
      </c>
      <c r="AC23" s="344" t="e">
        <f t="shared" ca="1" si="6"/>
        <v>#REF!</v>
      </c>
      <c r="AD23" s="344" t="e">
        <f t="shared" ca="1" si="6"/>
        <v>#REF!</v>
      </c>
      <c r="AE23" s="344" t="e">
        <f t="shared" ca="1" si="6"/>
        <v>#REF!</v>
      </c>
      <c r="AF23" s="344" t="e">
        <f t="shared" ca="1" si="6"/>
        <v>#REF!</v>
      </c>
    </row>
    <row r="24" spans="1:32">
      <c r="A24">
        <f t="shared" si="4"/>
        <v>2029</v>
      </c>
      <c r="B24" s="344">
        <f t="shared" ca="1" si="1"/>
        <v>-35512.836256398594</v>
      </c>
      <c r="C24" s="344">
        <f t="shared" ca="1" si="6"/>
        <v>-8710.5884769694476</v>
      </c>
      <c r="D24" s="344">
        <f t="shared" ca="1" si="6"/>
        <v>-124.43697824242066</v>
      </c>
      <c r="E24" s="344">
        <f t="shared" ca="1" si="6"/>
        <v>-13710.13521560043</v>
      </c>
      <c r="F24" s="344">
        <f t="shared" ca="1" si="6"/>
        <v>-13213.549505801528</v>
      </c>
      <c r="G24" s="344">
        <f t="shared" ca="1" si="6"/>
        <v>-6049.3449618153018</v>
      </c>
      <c r="H24" s="344">
        <f t="shared" ca="1" si="6"/>
        <v>-3739.2182753192492</v>
      </c>
      <c r="I24" s="344">
        <f t="shared" ca="1" si="6"/>
        <v>-2370.5244355181135</v>
      </c>
      <c r="J24" s="344">
        <f t="shared" ca="1" si="6"/>
        <v>-1361.6171263411916</v>
      </c>
      <c r="K24" s="344">
        <f t="shared" ca="1" si="6"/>
        <v>-42.106365709288561</v>
      </c>
      <c r="L24" s="344">
        <f t="shared" ca="1" si="6"/>
        <v>0</v>
      </c>
      <c r="M24" s="344">
        <f t="shared" ca="1" si="6"/>
        <v>-494.73074240133911</v>
      </c>
      <c r="N24" s="344">
        <f t="shared" ca="1" si="6"/>
        <v>-614.83870590410481</v>
      </c>
      <c r="O24" s="344">
        <f t="shared" ca="1" si="6"/>
        <v>-5845.4128478032089</v>
      </c>
      <c r="P24" s="344">
        <f t="shared" ca="1" si="6"/>
        <v>-13274.123435425432</v>
      </c>
      <c r="Q24" s="344">
        <f t="shared" ca="1" si="6"/>
        <v>-40230.573590408145</v>
      </c>
      <c r="R24" s="344">
        <f t="shared" ca="1" si="6"/>
        <v>-69175.400688347028</v>
      </c>
      <c r="S24" s="344">
        <f t="shared" ca="1" si="6"/>
        <v>-20883.303908063201</v>
      </c>
      <c r="T24" s="344">
        <f t="shared" ca="1" si="6"/>
        <v>-5370.9926067136303</v>
      </c>
      <c r="U24" s="344">
        <f t="shared" ca="1" si="6"/>
        <v>-497.52640520481702</v>
      </c>
      <c r="V24" s="344">
        <f t="shared" ca="1" si="6"/>
        <v>0</v>
      </c>
      <c r="W24" s="344">
        <f t="shared" ca="1" si="6"/>
        <v>0</v>
      </c>
      <c r="X24" s="344">
        <f t="shared" ca="1" si="6"/>
        <v>-3891.5467704493494</v>
      </c>
      <c r="Y24" s="344" t="e">
        <f t="shared" ca="1" si="6"/>
        <v>#REF!</v>
      </c>
      <c r="Z24" s="344" t="e">
        <f t="shared" ca="1" si="6"/>
        <v>#REF!</v>
      </c>
      <c r="AA24" s="344" t="e">
        <f t="shared" ca="1" si="6"/>
        <v>#REF!</v>
      </c>
      <c r="AB24" s="344" t="e">
        <f t="shared" ca="1" si="6"/>
        <v>#REF!</v>
      </c>
      <c r="AC24" s="344" t="e">
        <f t="shared" ca="1" si="6"/>
        <v>#REF!</v>
      </c>
      <c r="AD24" s="344" t="e">
        <f t="shared" ca="1" si="6"/>
        <v>#REF!</v>
      </c>
      <c r="AE24" s="344" t="e">
        <f t="shared" ca="1" si="6"/>
        <v>#REF!</v>
      </c>
      <c r="AF24" s="344" t="e">
        <f t="shared" ca="1" si="6"/>
        <v>#REF!</v>
      </c>
    </row>
    <row r="25" spans="1:32">
      <c r="A25">
        <f t="shared" si="4"/>
        <v>2030</v>
      </c>
      <c r="B25" s="344">
        <f t="shared" ca="1" si="1"/>
        <v>-35512.836256398594</v>
      </c>
      <c r="C25" s="344">
        <f t="shared" ca="1" si="6"/>
        <v>-8710.5884769694476</v>
      </c>
      <c r="D25" s="344">
        <f t="shared" ca="1" si="6"/>
        <v>-124.43697824242066</v>
      </c>
      <c r="E25" s="344">
        <f t="shared" ca="1" si="6"/>
        <v>-13710.13521560043</v>
      </c>
      <c r="F25" s="344">
        <f t="shared" ca="1" si="6"/>
        <v>-13213.549505801528</v>
      </c>
      <c r="G25" s="344">
        <f t="shared" ca="1" si="6"/>
        <v>-7057.5691221178513</v>
      </c>
      <c r="H25" s="344">
        <f t="shared" ca="1" si="6"/>
        <v>-3775.3734017639845</v>
      </c>
      <c r="I25" s="344">
        <f t="shared" ca="1" si="6"/>
        <v>-2370.5244355181135</v>
      </c>
      <c r="J25" s="344">
        <f t="shared" ca="1" si="6"/>
        <v>-1361.6171263411916</v>
      </c>
      <c r="K25" s="344">
        <f t="shared" ca="1" si="6"/>
        <v>-42.106365709288561</v>
      </c>
      <c r="L25" s="344">
        <f t="shared" ca="1" si="6"/>
        <v>0</v>
      </c>
      <c r="M25" s="344">
        <f t="shared" ca="1" si="6"/>
        <v>-489.78380431082275</v>
      </c>
      <c r="N25" s="344">
        <f t="shared" ca="1" si="6"/>
        <v>-614.83870590410481</v>
      </c>
      <c r="O25" s="344">
        <f t="shared" ca="1" si="6"/>
        <v>-5845.4128478032089</v>
      </c>
      <c r="P25" s="344">
        <f t="shared" ca="1" si="6"/>
        <v>-13712.964957389482</v>
      </c>
      <c r="Q25" s="344">
        <f t="shared" ca="1" si="6"/>
        <v>-42242.102269928539</v>
      </c>
      <c r="R25" s="344">
        <f t="shared" ca="1" si="6"/>
        <v>-69175.400688347028</v>
      </c>
      <c r="S25" s="344">
        <f t="shared" ca="1" si="6"/>
        <v>-21085.228063805465</v>
      </c>
      <c r="T25" s="344">
        <f t="shared" ca="1" si="6"/>
        <v>-5421.6452753228559</v>
      </c>
      <c r="U25" s="344">
        <f t="shared" ca="1" si="6"/>
        <v>-497.52640520481702</v>
      </c>
      <c r="V25" s="344">
        <f t="shared" ca="1" si="6"/>
        <v>0</v>
      </c>
      <c r="W25" s="344">
        <f t="shared" ca="1" si="6"/>
        <v>0</v>
      </c>
      <c r="X25" s="344">
        <f t="shared" ca="1" si="6"/>
        <v>-3877.694298649179</v>
      </c>
      <c r="Y25" s="344" t="e">
        <f t="shared" ca="1" si="6"/>
        <v>#REF!</v>
      </c>
      <c r="Z25" s="344" t="e">
        <f t="shared" ca="1" si="6"/>
        <v>#REF!</v>
      </c>
      <c r="AA25" s="344" t="e">
        <f t="shared" ca="1" si="6"/>
        <v>#REF!</v>
      </c>
      <c r="AB25" s="344" t="e">
        <f t="shared" ca="1" si="6"/>
        <v>#REF!</v>
      </c>
      <c r="AC25" s="344" t="e">
        <f t="shared" ca="1" si="6"/>
        <v>#REF!</v>
      </c>
      <c r="AD25" s="344" t="e">
        <f t="shared" ca="1" si="6"/>
        <v>#REF!</v>
      </c>
      <c r="AE25" s="344" t="e">
        <f t="shared" ca="1" si="6"/>
        <v>#REF!</v>
      </c>
      <c r="AF25" s="344" t="e">
        <f t="shared" ca="1" si="6"/>
        <v>#REF!</v>
      </c>
    </row>
    <row r="26" spans="1:32">
      <c r="A26">
        <f t="shared" si="4"/>
        <v>2031</v>
      </c>
      <c r="B26" s="344">
        <f t="shared" ca="1" si="1"/>
        <v>-35512.836256398594</v>
      </c>
      <c r="C26" s="344">
        <f t="shared" ca="1" si="6"/>
        <v>-8710.5884769694476</v>
      </c>
      <c r="D26" s="344">
        <f t="shared" ca="1" si="6"/>
        <v>-124.43697824242066</v>
      </c>
      <c r="E26" s="344">
        <f t="shared" ca="1" si="6"/>
        <v>-13710.13521560043</v>
      </c>
      <c r="F26" s="344">
        <f t="shared" ca="1" si="6"/>
        <v>-13213.549505801528</v>
      </c>
      <c r="G26" s="344">
        <f t="shared" ca="1" si="6"/>
        <v>-8065.7932824204017</v>
      </c>
      <c r="H26" s="344">
        <f t="shared" ca="1" si="6"/>
        <v>-3811.5285282087202</v>
      </c>
      <c r="I26" s="344">
        <f t="shared" ca="1" si="6"/>
        <v>-2370.5244355181135</v>
      </c>
      <c r="J26" s="344">
        <f t="shared" ca="1" si="6"/>
        <v>-1361.6171263411916</v>
      </c>
      <c r="K26" s="344">
        <f t="shared" ca="1" si="6"/>
        <v>-42.106365709288561</v>
      </c>
      <c r="L26" s="344">
        <f t="shared" ca="1" si="6"/>
        <v>0</v>
      </c>
      <c r="M26" s="344">
        <f t="shared" ca="1" si="6"/>
        <v>-484.88587393434028</v>
      </c>
      <c r="N26" s="344">
        <f t="shared" ca="1" si="6"/>
        <v>-614.83870590410481</v>
      </c>
      <c r="O26" s="344">
        <f t="shared" ca="1" si="6"/>
        <v>-5845.4128478032089</v>
      </c>
      <c r="P26" s="344">
        <f t="shared" ca="1" si="6"/>
        <v>-14152.582127201758</v>
      </c>
      <c r="Q26" s="344">
        <f t="shared" ca="1" si="6"/>
        <v>-44253.630949448947</v>
      </c>
      <c r="R26" s="344">
        <f t="shared" ca="1" si="6"/>
        <v>-69175.400688347028</v>
      </c>
      <c r="S26" s="344">
        <f t="shared" ca="1" si="6"/>
        <v>-21287.152219547716</v>
      </c>
      <c r="T26" s="344">
        <f t="shared" ca="1" si="6"/>
        <v>-5421.6452753228559</v>
      </c>
      <c r="U26" s="344">
        <f t="shared" ca="1" si="6"/>
        <v>-497.52640520481702</v>
      </c>
      <c r="V26" s="344">
        <f t="shared" ca="1" si="6"/>
        <v>0</v>
      </c>
      <c r="W26" s="344">
        <f t="shared" ca="1" si="6"/>
        <v>0</v>
      </c>
      <c r="X26" s="344">
        <f t="shared" ca="1" si="6"/>
        <v>-3863.8086011679702</v>
      </c>
      <c r="Y26" s="344" t="e">
        <f t="shared" ca="1" si="6"/>
        <v>#REF!</v>
      </c>
      <c r="Z26" s="344" t="e">
        <f t="shared" ca="1" si="6"/>
        <v>#REF!</v>
      </c>
      <c r="AA26" s="344" t="e">
        <f t="shared" ca="1" si="6"/>
        <v>#REF!</v>
      </c>
      <c r="AB26" s="344" t="e">
        <f t="shared" ca="1" si="6"/>
        <v>#REF!</v>
      </c>
      <c r="AC26" s="344" t="e">
        <f t="shared" ca="1" si="6"/>
        <v>#REF!</v>
      </c>
      <c r="AD26" s="344" t="e">
        <f t="shared" ca="1" si="6"/>
        <v>#REF!</v>
      </c>
      <c r="AE26" s="344" t="e">
        <f t="shared" ca="1" si="6"/>
        <v>#REF!</v>
      </c>
      <c r="AF26" s="344" t="e">
        <f t="shared" ca="1" si="6"/>
        <v>#REF!</v>
      </c>
    </row>
    <row r="27" spans="1:32">
      <c r="A27">
        <f t="shared" si="4"/>
        <v>2032</v>
      </c>
      <c r="B27" s="344">
        <f t="shared" ca="1" si="1"/>
        <v>-35512.836256398594</v>
      </c>
      <c r="C27" s="344">
        <f t="shared" ca="1" si="6"/>
        <v>-8710.5884769694476</v>
      </c>
      <c r="D27" s="344">
        <f t="shared" ca="1" si="6"/>
        <v>-124.43697824242066</v>
      </c>
      <c r="E27" s="344">
        <f t="shared" ca="1" si="6"/>
        <v>-13710.13521560043</v>
      </c>
      <c r="F27" s="344">
        <f t="shared" ca="1" si="6"/>
        <v>-13213.549505801528</v>
      </c>
      <c r="G27" s="344">
        <f t="shared" ca="1" si="6"/>
        <v>-9074.017442722954</v>
      </c>
      <c r="H27" s="344">
        <f t="shared" ca="1" si="6"/>
        <v>-3847.6836546534541</v>
      </c>
      <c r="I27" s="344">
        <f t="shared" ca="1" si="6"/>
        <v>-2370.5244355181135</v>
      </c>
      <c r="J27" s="344">
        <f t="shared" ca="1" si="6"/>
        <v>-1361.6171263411916</v>
      </c>
      <c r="K27" s="344">
        <f t="shared" ca="1" si="6"/>
        <v>-42.106365709288561</v>
      </c>
      <c r="L27" s="344">
        <f t="shared" ca="1" si="6"/>
        <v>0</v>
      </c>
      <c r="M27" s="344">
        <f t="shared" ca="1" si="6"/>
        <v>-480.03695127189161</v>
      </c>
      <c r="N27" s="344">
        <f t="shared" ca="1" si="6"/>
        <v>-614.83870590410481</v>
      </c>
      <c r="O27" s="344">
        <f t="shared" ca="1" si="6"/>
        <v>-5845.4128478032089</v>
      </c>
      <c r="P27" s="344">
        <f t="shared" ca="1" si="6"/>
        <v>-14592.953079515333</v>
      </c>
      <c r="Q27" s="344">
        <f t="shared" ca="1" si="6"/>
        <v>-46265.15962896937</v>
      </c>
      <c r="R27" s="344">
        <f t="shared" ca="1" si="6"/>
        <v>-69175.400688347028</v>
      </c>
      <c r="S27" s="344">
        <f t="shared" ca="1" si="6"/>
        <v>-21489.076375289966</v>
      </c>
      <c r="T27" s="344">
        <f t="shared" ca="1" si="6"/>
        <v>-5421.6452753228559</v>
      </c>
      <c r="U27" s="344">
        <f t="shared" ca="1" si="6"/>
        <v>-497.52640520481702</v>
      </c>
      <c r="V27" s="344">
        <f t="shared" ca="1" si="6"/>
        <v>0</v>
      </c>
      <c r="W27" s="344">
        <f t="shared" ca="1" si="6"/>
        <v>0</v>
      </c>
      <c r="X27" s="344">
        <f t="shared" ca="1" si="6"/>
        <v>-3849.8906146305685</v>
      </c>
      <c r="Y27" s="344" t="e">
        <f t="shared" ca="1" si="6"/>
        <v>#REF!</v>
      </c>
      <c r="Z27" s="344" t="e">
        <f t="shared" ca="1" si="6"/>
        <v>#REF!</v>
      </c>
      <c r="AA27" s="344" t="e">
        <f t="shared" ca="1" si="6"/>
        <v>#REF!</v>
      </c>
      <c r="AB27" s="344" t="e">
        <f t="shared" ca="1" si="6"/>
        <v>#REF!</v>
      </c>
      <c r="AC27" s="344" t="e">
        <f t="shared" ca="1" si="6"/>
        <v>#REF!</v>
      </c>
      <c r="AD27" s="344" t="e">
        <f t="shared" ca="1" si="6"/>
        <v>#REF!</v>
      </c>
      <c r="AE27" s="344" t="e">
        <f t="shared" ca="1" si="6"/>
        <v>#REF!</v>
      </c>
      <c r="AF27" s="344" t="e">
        <f t="shared" ca="1" si="6"/>
        <v>#REF!</v>
      </c>
    </row>
    <row r="28" spans="1:32">
      <c r="A28">
        <f t="shared" si="4"/>
        <v>2033</v>
      </c>
      <c r="B28" s="344">
        <f t="shared" ca="1" si="1"/>
        <v>-35512.836256398594</v>
      </c>
      <c r="C28" s="344">
        <f t="shared" ca="1" si="6"/>
        <v>-8710.5884769694476</v>
      </c>
      <c r="D28" s="344">
        <f t="shared" ca="1" si="6"/>
        <v>-124.43697824242066</v>
      </c>
      <c r="E28" s="344">
        <f t="shared" ca="1" si="6"/>
        <v>-13710.13521560043</v>
      </c>
      <c r="F28" s="344">
        <f t="shared" ca="1" si="6"/>
        <v>-13213.549505801528</v>
      </c>
      <c r="G28" s="344">
        <f t="shared" ca="1" si="6"/>
        <v>-10082.241603025503</v>
      </c>
      <c r="H28" s="344">
        <f t="shared" ca="1" si="6"/>
        <v>-3883.8387810981894</v>
      </c>
      <c r="I28" s="344">
        <f t="shared" ca="1" si="6"/>
        <v>-2370.5244355181135</v>
      </c>
      <c r="J28" s="344">
        <f t="shared" ca="1" si="6"/>
        <v>-1361.6171263411916</v>
      </c>
      <c r="K28" s="344">
        <f t="shared" ca="1" si="6"/>
        <v>-42.106365709288561</v>
      </c>
      <c r="L28" s="344">
        <f t="shared" ca="1" si="6"/>
        <v>0</v>
      </c>
      <c r="M28" s="344">
        <f t="shared" ca="1" si="6"/>
        <v>-475.23632606675164</v>
      </c>
      <c r="N28" s="344">
        <f t="shared" ca="1" si="6"/>
        <v>-614.83870590410481</v>
      </c>
      <c r="O28" s="344">
        <f t="shared" ca="1" si="6"/>
        <v>-5845.4128478032089</v>
      </c>
      <c r="P28" s="344">
        <f t="shared" ca="1" si="6"/>
        <v>-15034.056763171931</v>
      </c>
      <c r="Q28" s="344">
        <f t="shared" ca="1" si="6"/>
        <v>-48276.688308489764</v>
      </c>
      <c r="R28" s="344">
        <f t="shared" ca="1" si="6"/>
        <v>-69175.400688347028</v>
      </c>
      <c r="S28" s="344">
        <f t="shared" ca="1" si="6"/>
        <v>-21691.000531032216</v>
      </c>
      <c r="T28" s="344">
        <f t="shared" ca="1" si="6"/>
        <v>-5421.6452753228559</v>
      </c>
      <c r="U28" s="344">
        <f t="shared" ca="1" si="6"/>
        <v>-497.52640520481702</v>
      </c>
      <c r="V28" s="344">
        <f t="shared" ca="1" si="6"/>
        <v>0</v>
      </c>
      <c r="W28" s="344">
        <f t="shared" ca="1" si="6"/>
        <v>0</v>
      </c>
      <c r="X28" s="344">
        <f t="shared" ca="1" si="6"/>
        <v>-3835.9412407851964</v>
      </c>
      <c r="Y28" s="344" t="e">
        <f t="shared" ca="1" si="6"/>
        <v>#REF!</v>
      </c>
      <c r="Z28" s="344" t="e">
        <f t="shared" ca="1" si="6"/>
        <v>#REF!</v>
      </c>
      <c r="AA28" s="344" t="e">
        <f t="shared" ca="1" si="6"/>
        <v>#REF!</v>
      </c>
      <c r="AB28" s="344" t="e">
        <f t="shared" ca="1" si="6"/>
        <v>#REF!</v>
      </c>
      <c r="AC28" s="344" t="e">
        <f t="shared" ca="1" si="6"/>
        <v>#REF!</v>
      </c>
      <c r="AD28" s="344" t="e">
        <f t="shared" ca="1" si="6"/>
        <v>#REF!</v>
      </c>
      <c r="AE28" s="344" t="e">
        <f t="shared" ca="1" si="6"/>
        <v>#REF!</v>
      </c>
      <c r="AF28" s="344" t="e">
        <f t="shared" ca="1" si="6"/>
        <v>#REF!</v>
      </c>
    </row>
    <row r="29" spans="1:32">
      <c r="A29">
        <f t="shared" si="4"/>
        <v>2034</v>
      </c>
      <c r="B29" s="344">
        <f t="shared" ca="1" si="1"/>
        <v>-35512.836256398594</v>
      </c>
      <c r="C29" s="344">
        <f t="shared" ca="1" si="6"/>
        <v>-8710.5884769694476</v>
      </c>
      <c r="D29" s="344">
        <f t="shared" ca="1" si="6"/>
        <v>-124.43697824242066</v>
      </c>
      <c r="E29" s="344">
        <f t="shared" ca="1" si="6"/>
        <v>-13710.13521560043</v>
      </c>
      <c r="F29" s="344">
        <f t="shared" ca="1" si="6"/>
        <v>-13213.549505801528</v>
      </c>
      <c r="G29" s="344">
        <f t="shared" ca="1" si="6"/>
        <v>-10082.241603025503</v>
      </c>
      <c r="H29" s="344">
        <f t="shared" ca="1" si="6"/>
        <v>-3919.9939075429229</v>
      </c>
      <c r="I29" s="344">
        <f t="shared" ca="1" si="6"/>
        <v>-2370.5244355181135</v>
      </c>
      <c r="J29" s="344">
        <f t="shared" ca="1" si="6"/>
        <v>-1361.6171263411916</v>
      </c>
      <c r="K29" s="344">
        <f t="shared" ca="1" si="6"/>
        <v>-42.106365709288561</v>
      </c>
      <c r="L29" s="344">
        <f t="shared" ca="1" si="6"/>
        <v>0</v>
      </c>
      <c r="M29" s="344">
        <f t="shared" ca="1" si="6"/>
        <v>-470.48399831892038</v>
      </c>
      <c r="N29" s="344">
        <f t="shared" ca="1" si="6"/>
        <v>-614.83870590410481</v>
      </c>
      <c r="O29" s="344">
        <f t="shared" ca="1" si="6"/>
        <v>-5845.4128478032089</v>
      </c>
      <c r="P29" s="344">
        <f t="shared" ca="1" si="6"/>
        <v>-15475.872903654525</v>
      </c>
      <c r="Q29" s="344">
        <f t="shared" ca="1" si="6"/>
        <v>-50288.216988010186</v>
      </c>
      <c r="R29" s="344">
        <f t="shared" ca="1" si="6"/>
        <v>-69175.400688347028</v>
      </c>
      <c r="S29" s="344">
        <f t="shared" ca="1" si="6"/>
        <v>-21892.924686774466</v>
      </c>
      <c r="T29" s="344">
        <f t="shared" ca="1" si="6"/>
        <v>-5421.6452753228559</v>
      </c>
      <c r="U29" s="344">
        <f t="shared" ca="1" si="6"/>
        <v>-497.52640520481702</v>
      </c>
      <c r="V29" s="344">
        <f t="shared" ca="1" si="6"/>
        <v>0</v>
      </c>
      <c r="W29" s="344">
        <f t="shared" ca="1" si="6"/>
        <v>0</v>
      </c>
      <c r="X29" s="344">
        <f t="shared" ca="1" si="6"/>
        <v>-3831.4219676905486</v>
      </c>
      <c r="Y29" s="344" t="e">
        <f t="shared" ca="1" si="6"/>
        <v>#REF!</v>
      </c>
      <c r="Z29" s="344" t="e">
        <f t="shared" ca="1" si="6"/>
        <v>#REF!</v>
      </c>
      <c r="AA29" s="344" t="e">
        <f t="shared" ca="1" si="6"/>
        <v>#REF!</v>
      </c>
      <c r="AB29" s="344" t="e">
        <f t="shared" ca="1" si="6"/>
        <v>#REF!</v>
      </c>
      <c r="AC29" s="344" t="e">
        <f t="shared" ca="1" si="6"/>
        <v>#REF!</v>
      </c>
      <c r="AD29" s="344" t="e">
        <f t="shared" ca="1" si="6"/>
        <v>#REF!</v>
      </c>
      <c r="AE29" s="344" t="e">
        <f t="shared" ca="1" si="6"/>
        <v>#REF!</v>
      </c>
      <c r="AF29" s="344" t="e">
        <f t="shared" ca="1" si="6"/>
        <v>#REF!</v>
      </c>
    </row>
    <row r="30" spans="1:32">
      <c r="A30">
        <f t="shared" si="4"/>
        <v>2035</v>
      </c>
      <c r="B30" s="344">
        <f t="shared" ca="1" si="1"/>
        <v>-35512.836256398594</v>
      </c>
      <c r="C30" s="344">
        <f t="shared" ca="1" si="6"/>
        <v>-8710.5884769694476</v>
      </c>
      <c r="D30" s="344">
        <f t="shared" ca="1" si="6"/>
        <v>-124.43697824242066</v>
      </c>
      <c r="E30" s="344">
        <f t="shared" ca="1" si="6"/>
        <v>-13710.13521560043</v>
      </c>
      <c r="F30" s="344">
        <f t="shared" ca="1" si="6"/>
        <v>-13213.549505801528</v>
      </c>
      <c r="G30" s="344">
        <f t="shared" ca="1" si="6"/>
        <v>-10082.241603025503</v>
      </c>
      <c r="H30" s="344">
        <f t="shared" ca="1" si="6"/>
        <v>-3956.1490339876577</v>
      </c>
      <c r="I30" s="344">
        <f t="shared" ca="1" si="6"/>
        <v>-2370.5244355181135</v>
      </c>
      <c r="J30" s="344">
        <f t="shared" ca="1" si="6"/>
        <v>-1361.6171263411916</v>
      </c>
      <c r="K30" s="344">
        <f t="shared" ca="1" si="6"/>
        <v>-42.106365709288561</v>
      </c>
      <c r="L30" s="344">
        <f t="shared" ca="1" si="6"/>
        <v>0</v>
      </c>
      <c r="M30" s="344">
        <f t="shared" ca="1" si="6"/>
        <v>-465.77925777167263</v>
      </c>
      <c r="N30" s="344">
        <f t="shared" ca="1" si="6"/>
        <v>-614.83870590410481</v>
      </c>
      <c r="O30" s="344">
        <f t="shared" ca="1" si="6"/>
        <v>-5845.4128478032089</v>
      </c>
      <c r="P30" s="344">
        <f t="shared" ca="1" si="6"/>
        <v>-15918.381967598942</v>
      </c>
      <c r="Q30" s="344">
        <f t="shared" ca="1" si="6"/>
        <v>-52299.745667530602</v>
      </c>
      <c r="R30" s="344">
        <f t="shared" ca="1" si="6"/>
        <v>-69175.400688347028</v>
      </c>
      <c r="S30" s="344">
        <f t="shared" ca="1" si="6"/>
        <v>-22094.848842516731</v>
      </c>
      <c r="T30" s="344">
        <f t="shared" ca="1" si="6"/>
        <v>-5421.6452753228559</v>
      </c>
      <c r="U30" s="344">
        <f t="shared" ca="1" si="6"/>
        <v>-497.52640520481702</v>
      </c>
      <c r="V30" s="344">
        <f t="shared" ca="1" si="6"/>
        <v>0</v>
      </c>
      <c r="W30" s="344">
        <f t="shared" ca="1" si="6"/>
        <v>0</v>
      </c>
      <c r="X30" s="344">
        <f t="shared" ca="1" si="6"/>
        <v>-3826.8730124998601</v>
      </c>
      <c r="Y30" s="344" t="e">
        <f t="shared" ca="1" si="6"/>
        <v>#REF!</v>
      </c>
      <c r="Z30" s="344" t="e">
        <f t="shared" ca="1" si="6"/>
        <v>#REF!</v>
      </c>
      <c r="AA30" s="344" t="e">
        <f t="shared" ca="1" si="6"/>
        <v>#REF!</v>
      </c>
      <c r="AB30" s="344" t="e">
        <f t="shared" ca="1" si="6"/>
        <v>#REF!</v>
      </c>
      <c r="AC30" s="344" t="e">
        <f t="shared" ca="1" si="6"/>
        <v>#REF!</v>
      </c>
      <c r="AD30" s="344" t="e">
        <f t="shared" ca="1" si="6"/>
        <v>#REF!</v>
      </c>
      <c r="AE30" s="344" t="e">
        <f t="shared" ca="1" si="6"/>
        <v>#REF!</v>
      </c>
      <c r="AF30" s="344" t="e">
        <f t="shared" ca="1" si="6"/>
        <v>#REF!</v>
      </c>
    </row>
    <row r="31" spans="1:32">
      <c r="A31">
        <f t="shared" si="4"/>
        <v>2036</v>
      </c>
      <c r="B31" s="344">
        <f t="shared" ca="1" si="1"/>
        <v>-35512.836256398594</v>
      </c>
      <c r="C31" s="344">
        <f t="shared" ref="C31:AF39" ca="1" si="7">OFFSET(INDIRECT(C$3),$A31-$A$5+$C$1,$C$2)</f>
        <v>-8710.5884769694476</v>
      </c>
      <c r="D31" s="344">
        <f t="shared" ca="1" si="7"/>
        <v>-124.43697824242066</v>
      </c>
      <c r="E31" s="344">
        <f t="shared" ca="1" si="7"/>
        <v>-13710.13521560043</v>
      </c>
      <c r="F31" s="344">
        <f t="shared" ca="1" si="7"/>
        <v>-13213.549505801528</v>
      </c>
      <c r="G31" s="344">
        <f t="shared" ca="1" si="7"/>
        <v>-10082.241603025503</v>
      </c>
      <c r="H31" s="344">
        <f t="shared" ca="1" si="7"/>
        <v>-3992.3041604323935</v>
      </c>
      <c r="I31" s="344">
        <f t="shared" ca="1" si="7"/>
        <v>-2370.5244355181135</v>
      </c>
      <c r="J31" s="344">
        <f t="shared" ca="1" si="7"/>
        <v>-1361.6171263411916</v>
      </c>
      <c r="K31" s="344">
        <f t="shared" ca="1" si="7"/>
        <v>-42.106365709288561</v>
      </c>
      <c r="L31" s="344">
        <f t="shared" ca="1" si="7"/>
        <v>0</v>
      </c>
      <c r="M31" s="344">
        <f t="shared" ca="1" si="7"/>
        <v>-461.12139416828342</v>
      </c>
      <c r="N31" s="344">
        <f t="shared" ca="1" si="7"/>
        <v>-614.83870590410481</v>
      </c>
      <c r="O31" s="344">
        <f t="shared" ca="1" si="7"/>
        <v>-5845.4128478032089</v>
      </c>
      <c r="P31" s="344">
        <f t="shared" ca="1" si="7"/>
        <v>-16361.565129233688</v>
      </c>
      <c r="Q31" s="344">
        <f t="shared" ca="1" si="7"/>
        <v>-54311.274347050989</v>
      </c>
      <c r="R31" s="344">
        <f t="shared" ca="1" si="7"/>
        <v>-69175.400688347028</v>
      </c>
      <c r="S31" s="344">
        <f t="shared" ca="1" si="7"/>
        <v>-22296.772998258981</v>
      </c>
      <c r="T31" s="344">
        <f t="shared" ca="1" si="7"/>
        <v>-5421.6452753228559</v>
      </c>
      <c r="U31" s="344">
        <f t="shared" ca="1" si="7"/>
        <v>-497.52640520481702</v>
      </c>
      <c r="V31" s="344">
        <f t="shared" ca="1" si="7"/>
        <v>0</v>
      </c>
      <c r="W31" s="344">
        <f t="shared" ca="1" si="7"/>
        <v>0</v>
      </c>
      <c r="X31" s="344">
        <f t="shared" ca="1" si="7"/>
        <v>-3822.2951816346049</v>
      </c>
      <c r="Y31" s="344" t="e">
        <f t="shared" ca="1" si="7"/>
        <v>#REF!</v>
      </c>
      <c r="Z31" s="344" t="e">
        <f t="shared" ca="1" si="7"/>
        <v>#REF!</v>
      </c>
      <c r="AA31" s="344" t="e">
        <f t="shared" ca="1" si="7"/>
        <v>#REF!</v>
      </c>
      <c r="AB31" s="344" t="e">
        <f t="shared" ca="1" si="7"/>
        <v>#REF!</v>
      </c>
      <c r="AC31" s="344" t="e">
        <f t="shared" ca="1" si="7"/>
        <v>#REF!</v>
      </c>
      <c r="AD31" s="344" t="e">
        <f t="shared" ca="1" si="7"/>
        <v>#REF!</v>
      </c>
      <c r="AE31" s="344" t="e">
        <f t="shared" ca="1" si="7"/>
        <v>#REF!</v>
      </c>
      <c r="AF31" s="344" t="e">
        <f t="shared" ca="1" si="7"/>
        <v>#REF!</v>
      </c>
    </row>
    <row r="32" spans="1:32">
      <c r="A32">
        <f t="shared" si="4"/>
        <v>2037</v>
      </c>
      <c r="B32" s="344">
        <f t="shared" ca="1" si="1"/>
        <v>-35512.836256398594</v>
      </c>
      <c r="C32" s="344">
        <f t="shared" ca="1" si="7"/>
        <v>-8710.5884769694476</v>
      </c>
      <c r="D32" s="344">
        <f t="shared" ca="1" si="7"/>
        <v>-124.43697824242066</v>
      </c>
      <c r="E32" s="344">
        <f t="shared" ca="1" si="7"/>
        <v>-13710.13521560043</v>
      </c>
      <c r="F32" s="344">
        <f t="shared" ca="1" si="7"/>
        <v>-13213.549505801528</v>
      </c>
      <c r="G32" s="344">
        <f t="shared" ca="1" si="7"/>
        <v>-10082.241603025503</v>
      </c>
      <c r="H32" s="344">
        <f t="shared" ca="1" si="7"/>
        <v>-4028.4592868771292</v>
      </c>
      <c r="I32" s="344">
        <f t="shared" ca="1" si="7"/>
        <v>-2370.5244355181135</v>
      </c>
      <c r="J32" s="344">
        <f t="shared" ca="1" si="7"/>
        <v>-1361.6171263411916</v>
      </c>
      <c r="K32" s="344">
        <f t="shared" ca="1" si="7"/>
        <v>-42.106365709288561</v>
      </c>
      <c r="L32" s="344">
        <f t="shared" ca="1" si="7"/>
        <v>0</v>
      </c>
      <c r="M32" s="344">
        <f t="shared" ca="1" si="7"/>
        <v>-456.51040750875268</v>
      </c>
      <c r="N32" s="344">
        <f t="shared" ca="1" si="7"/>
        <v>-614.83870590410481</v>
      </c>
      <c r="O32" s="344">
        <f t="shared" ca="1" si="7"/>
        <v>-5845.4128478032089</v>
      </c>
      <c r="P32" s="344">
        <f t="shared" ca="1" si="7"/>
        <v>-16805.404238626754</v>
      </c>
      <c r="Q32" s="344">
        <f t="shared" ca="1" si="7"/>
        <v>-56322.803026571382</v>
      </c>
      <c r="R32" s="344">
        <f t="shared" ca="1" si="7"/>
        <v>-69175.400688347028</v>
      </c>
      <c r="S32" s="344">
        <f t="shared" ca="1" si="7"/>
        <v>-22498.697154001231</v>
      </c>
      <c r="T32" s="344">
        <f t="shared" ca="1" si="7"/>
        <v>-5421.6452753228559</v>
      </c>
      <c r="U32" s="344">
        <f t="shared" ca="1" si="7"/>
        <v>-497.52640520481702</v>
      </c>
      <c r="V32" s="344">
        <f t="shared" ca="1" si="7"/>
        <v>0</v>
      </c>
      <c r="W32" s="344">
        <f t="shared" ca="1" si="7"/>
        <v>0</v>
      </c>
      <c r="X32" s="344">
        <f t="shared" ca="1" si="7"/>
        <v>-3817.6892525659619</v>
      </c>
      <c r="Y32" s="344" t="e">
        <f t="shared" ca="1" si="7"/>
        <v>#REF!</v>
      </c>
      <c r="Z32" s="344" t="e">
        <f t="shared" ca="1" si="7"/>
        <v>#REF!</v>
      </c>
      <c r="AA32" s="344" t="e">
        <f t="shared" ca="1" si="7"/>
        <v>#REF!</v>
      </c>
      <c r="AB32" s="344" t="e">
        <f t="shared" ca="1" si="7"/>
        <v>#REF!</v>
      </c>
      <c r="AC32" s="344" t="e">
        <f t="shared" ca="1" si="7"/>
        <v>#REF!</v>
      </c>
      <c r="AD32" s="344" t="e">
        <f t="shared" ca="1" si="7"/>
        <v>#REF!</v>
      </c>
      <c r="AE32" s="344" t="e">
        <f t="shared" ca="1" si="7"/>
        <v>#REF!</v>
      </c>
      <c r="AF32" s="344" t="e">
        <f t="shared" ca="1" si="7"/>
        <v>#REF!</v>
      </c>
    </row>
    <row r="33" spans="1:32">
      <c r="A33">
        <f t="shared" si="4"/>
        <v>2038</v>
      </c>
      <c r="B33" s="344">
        <f t="shared" ca="1" si="1"/>
        <v>-35512.836256398594</v>
      </c>
      <c r="C33" s="344">
        <f t="shared" ca="1" si="7"/>
        <v>-8710.5884769694476</v>
      </c>
      <c r="D33" s="344">
        <f t="shared" ca="1" si="7"/>
        <v>-124.43697824242066</v>
      </c>
      <c r="E33" s="344">
        <f t="shared" ca="1" si="7"/>
        <v>-13710.13521560043</v>
      </c>
      <c r="F33" s="344">
        <f t="shared" ca="1" si="7"/>
        <v>-13213.549505801528</v>
      </c>
      <c r="G33" s="344">
        <f t="shared" ca="1" si="7"/>
        <v>-10082.241603025503</v>
      </c>
      <c r="H33" s="344">
        <f t="shared" ca="1" si="7"/>
        <v>-4064.6144133218636</v>
      </c>
      <c r="I33" s="344">
        <f t="shared" ca="1" si="7"/>
        <v>-2370.5244355181135</v>
      </c>
      <c r="J33" s="344">
        <f t="shared" ca="1" si="7"/>
        <v>-1361.6171263411916</v>
      </c>
      <c r="K33" s="344">
        <f t="shared" ca="1" si="7"/>
        <v>-42.106365709288561</v>
      </c>
      <c r="L33" s="344">
        <f t="shared" ca="1" si="7"/>
        <v>0</v>
      </c>
      <c r="M33" s="344">
        <f t="shared" ca="1" si="7"/>
        <v>-451.94487727963008</v>
      </c>
      <c r="N33" s="344">
        <f t="shared" ca="1" si="7"/>
        <v>-614.83870590410481</v>
      </c>
      <c r="O33" s="344">
        <f t="shared" ca="1" si="7"/>
        <v>-5845.4128478032089</v>
      </c>
      <c r="P33" s="344">
        <f t="shared" ca="1" si="7"/>
        <v>-17249.881791627668</v>
      </c>
      <c r="Q33" s="344">
        <f t="shared" ca="1" si="7"/>
        <v>-58334.331706091805</v>
      </c>
      <c r="R33" s="344">
        <f t="shared" ca="1" si="7"/>
        <v>-69175.400688347028</v>
      </c>
      <c r="S33" s="344">
        <f t="shared" ca="1" si="7"/>
        <v>-22700.621309743496</v>
      </c>
      <c r="T33" s="344">
        <f t="shared" ca="1" si="7"/>
        <v>-5421.6452753228559</v>
      </c>
      <c r="U33" s="344">
        <f t="shared" ca="1" si="7"/>
        <v>-497.52640520481702</v>
      </c>
      <c r="V33" s="344">
        <f t="shared" ca="1" si="7"/>
        <v>0</v>
      </c>
      <c r="W33" s="344">
        <f t="shared" ca="1" si="7"/>
        <v>0</v>
      </c>
      <c r="X33" s="344">
        <f t="shared" ca="1" si="7"/>
        <v>-3813.0559751023975</v>
      </c>
      <c r="Y33" s="344" t="e">
        <f t="shared" ca="1" si="7"/>
        <v>#REF!</v>
      </c>
      <c r="Z33" s="344" t="e">
        <f t="shared" ca="1" si="7"/>
        <v>#REF!</v>
      </c>
      <c r="AA33" s="344" t="e">
        <f t="shared" ca="1" si="7"/>
        <v>#REF!</v>
      </c>
      <c r="AB33" s="344" t="e">
        <f t="shared" ca="1" si="7"/>
        <v>#REF!</v>
      </c>
      <c r="AC33" s="344" t="e">
        <f t="shared" ca="1" si="7"/>
        <v>#REF!</v>
      </c>
      <c r="AD33" s="344" t="e">
        <f t="shared" ca="1" si="7"/>
        <v>#REF!</v>
      </c>
      <c r="AE33" s="344" t="e">
        <f t="shared" ca="1" si="7"/>
        <v>#REF!</v>
      </c>
      <c r="AF33" s="344" t="e">
        <f t="shared" ca="1" si="7"/>
        <v>#REF!</v>
      </c>
    </row>
    <row r="34" spans="1:32">
      <c r="A34">
        <f t="shared" si="4"/>
        <v>2039</v>
      </c>
      <c r="B34" s="344">
        <f t="shared" ca="1" si="1"/>
        <v>-35512.836256398594</v>
      </c>
      <c r="C34" s="344">
        <f t="shared" ca="1" si="7"/>
        <v>-8710.5884769694476</v>
      </c>
      <c r="D34" s="344">
        <f t="shared" ca="1" si="7"/>
        <v>-124.43697824242066</v>
      </c>
      <c r="E34" s="344">
        <f t="shared" ca="1" si="7"/>
        <v>-13710.13521560043</v>
      </c>
      <c r="F34" s="344">
        <f t="shared" ca="1" si="7"/>
        <v>-13213.549505801528</v>
      </c>
      <c r="G34" s="344">
        <f t="shared" ca="1" si="7"/>
        <v>-10082.241603025503</v>
      </c>
      <c r="H34" s="344">
        <f t="shared" ca="1" si="7"/>
        <v>-4100.7695397665984</v>
      </c>
      <c r="I34" s="344">
        <f t="shared" ca="1" si="7"/>
        <v>-2370.5244355181135</v>
      </c>
      <c r="J34" s="344">
        <f t="shared" ca="1" si="7"/>
        <v>-1361.6171263411916</v>
      </c>
      <c r="K34" s="344">
        <f t="shared" ca="1" si="7"/>
        <v>-42.106365709288561</v>
      </c>
      <c r="L34" s="344">
        <f t="shared" ca="1" si="7"/>
        <v>0</v>
      </c>
      <c r="M34" s="344">
        <f t="shared" ca="1" si="7"/>
        <v>-447.42551373764076</v>
      </c>
      <c r="N34" s="344">
        <f t="shared" ca="1" si="7"/>
        <v>-614.83870590410481</v>
      </c>
      <c r="O34" s="344">
        <f t="shared" ca="1" si="7"/>
        <v>-5845.4128478032089</v>
      </c>
      <c r="P34" s="344">
        <f t="shared" ca="1" si="7"/>
        <v>-17694.980901399122</v>
      </c>
      <c r="Q34" s="344">
        <f t="shared" ca="1" si="7"/>
        <v>-60345.860385612221</v>
      </c>
      <c r="R34" s="344">
        <f t="shared" ca="1" si="7"/>
        <v>-69175.400688347028</v>
      </c>
      <c r="S34" s="344">
        <f t="shared" ca="1" si="7"/>
        <v>-22902.545465485746</v>
      </c>
      <c r="T34" s="344">
        <f t="shared" ca="1" si="7"/>
        <v>-5421.6452753228559</v>
      </c>
      <c r="U34" s="344">
        <f t="shared" ca="1" si="7"/>
        <v>-497.52640520481702</v>
      </c>
      <c r="V34" s="344">
        <f t="shared" ca="1" si="7"/>
        <v>0</v>
      </c>
      <c r="W34" s="344">
        <f t="shared" ca="1" si="7"/>
        <v>0</v>
      </c>
      <c r="X34" s="344">
        <f t="shared" ca="1" si="7"/>
        <v>-3808.39607260912</v>
      </c>
      <c r="Y34" s="344" t="e">
        <f t="shared" ca="1" si="7"/>
        <v>#REF!</v>
      </c>
      <c r="Z34" s="344" t="e">
        <f t="shared" ca="1" si="7"/>
        <v>#REF!</v>
      </c>
      <c r="AA34" s="344" t="e">
        <f t="shared" ca="1" si="7"/>
        <v>#REF!</v>
      </c>
      <c r="AB34" s="344" t="e">
        <f t="shared" ca="1" si="7"/>
        <v>#REF!</v>
      </c>
      <c r="AC34" s="344" t="e">
        <f t="shared" ca="1" si="7"/>
        <v>#REF!</v>
      </c>
      <c r="AD34" s="344" t="e">
        <f t="shared" ca="1" si="7"/>
        <v>#REF!</v>
      </c>
      <c r="AE34" s="344" t="e">
        <f t="shared" ca="1" si="7"/>
        <v>#REF!</v>
      </c>
      <c r="AF34" s="344" t="e">
        <f t="shared" ca="1" si="7"/>
        <v>#REF!</v>
      </c>
    </row>
    <row r="35" spans="1:32">
      <c r="A35">
        <f t="shared" si="4"/>
        <v>2040</v>
      </c>
      <c r="B35" s="344">
        <f t="shared" ca="1" si="1"/>
        <v>-35512.836256398594</v>
      </c>
      <c r="C35" s="344">
        <f t="shared" ca="1" si="7"/>
        <v>-8710.5884769694476</v>
      </c>
      <c r="D35" s="344">
        <f t="shared" ca="1" si="7"/>
        <v>-124.43697824242066</v>
      </c>
      <c r="E35" s="344">
        <f t="shared" ca="1" si="7"/>
        <v>-13710.13521560043</v>
      </c>
      <c r="F35" s="344">
        <f t="shared" ca="1" si="7"/>
        <v>-13213.549505801528</v>
      </c>
      <c r="G35" s="344">
        <f t="shared" ca="1" si="7"/>
        <v>-10082.241603025503</v>
      </c>
      <c r="H35" s="344">
        <f t="shared" ca="1" si="7"/>
        <v>-4136.9246662113328</v>
      </c>
      <c r="I35" s="344">
        <f t="shared" ca="1" si="7"/>
        <v>-2370.5244355181135</v>
      </c>
      <c r="J35" s="344">
        <f t="shared" ca="1" si="7"/>
        <v>-1361.6171263411916</v>
      </c>
      <c r="K35" s="344">
        <f t="shared" ca="1" si="7"/>
        <v>-42.106365709288561</v>
      </c>
      <c r="L35" s="344">
        <f t="shared" ca="1" si="7"/>
        <v>0</v>
      </c>
      <c r="M35" s="344">
        <f t="shared" ca="1" si="7"/>
        <v>-442.95160662605963</v>
      </c>
      <c r="N35" s="344">
        <f t="shared" ca="1" si="7"/>
        <v>-614.83870590410481</v>
      </c>
      <c r="O35" s="344">
        <f t="shared" ca="1" si="7"/>
        <v>-5845.4128478032089</v>
      </c>
      <c r="P35" s="344">
        <f t="shared" ca="1" si="7"/>
        <v>-18140.685271441605</v>
      </c>
      <c r="Q35" s="344">
        <f t="shared" ca="1" si="7"/>
        <v>-62357.389065132607</v>
      </c>
      <c r="R35" s="344">
        <f t="shared" ca="1" si="7"/>
        <v>-69175.400688347028</v>
      </c>
      <c r="S35" s="344">
        <f t="shared" ca="1" si="7"/>
        <v>-23104.469621227996</v>
      </c>
      <c r="T35" s="344">
        <f t="shared" ca="1" si="7"/>
        <v>-5421.6452753228559</v>
      </c>
      <c r="U35" s="344">
        <f t="shared" ca="1" si="7"/>
        <v>-497.52640520481702</v>
      </c>
      <c r="V35" s="344">
        <f t="shared" ca="1" si="7"/>
        <v>0</v>
      </c>
      <c r="W35" s="344">
        <f t="shared" ca="1" si="7"/>
        <v>0</v>
      </c>
      <c r="X35" s="344">
        <f t="shared" ca="1" si="7"/>
        <v>-3803.7102431636122</v>
      </c>
      <c r="Y35" s="344" t="e">
        <f t="shared" ca="1" si="7"/>
        <v>#REF!</v>
      </c>
      <c r="Z35" s="344" t="e">
        <f t="shared" ca="1" si="7"/>
        <v>#REF!</v>
      </c>
      <c r="AA35" s="344" t="e">
        <f t="shared" ca="1" si="7"/>
        <v>#REF!</v>
      </c>
      <c r="AB35" s="344" t="e">
        <f t="shared" ca="1" si="7"/>
        <v>#REF!</v>
      </c>
      <c r="AC35" s="344" t="e">
        <f t="shared" ca="1" si="7"/>
        <v>#REF!</v>
      </c>
      <c r="AD35" s="344" t="e">
        <f t="shared" ca="1" si="7"/>
        <v>#REF!</v>
      </c>
      <c r="AE35" s="344" t="e">
        <f t="shared" ca="1" si="7"/>
        <v>#REF!</v>
      </c>
      <c r="AF35" s="344" t="e">
        <f t="shared" ca="1" si="7"/>
        <v>#REF!</v>
      </c>
    </row>
    <row r="36" spans="1:32">
      <c r="A36">
        <f t="shared" si="4"/>
        <v>2041</v>
      </c>
      <c r="B36" s="344">
        <f t="shared" ca="1" si="1"/>
        <v>-35512.836256398594</v>
      </c>
      <c r="C36" s="344">
        <f t="shared" ca="1" si="7"/>
        <v>-8710.5884769694476</v>
      </c>
      <c r="D36" s="344">
        <f t="shared" ca="1" si="7"/>
        <v>-124.43697824242066</v>
      </c>
      <c r="E36" s="344">
        <f t="shared" ca="1" si="7"/>
        <v>-13710.13521560043</v>
      </c>
      <c r="F36" s="344">
        <f t="shared" ca="1" si="7"/>
        <v>-13213.549505801528</v>
      </c>
      <c r="G36" s="344">
        <f t="shared" ca="1" si="7"/>
        <v>-10082.241603025503</v>
      </c>
      <c r="H36" s="344">
        <f t="shared" ca="1" si="7"/>
        <v>-4173.0797926560681</v>
      </c>
      <c r="I36" s="344">
        <f t="shared" ca="1" si="7"/>
        <v>-2370.5244355181135</v>
      </c>
      <c r="J36" s="344">
        <f t="shared" ca="1" si="7"/>
        <v>-1361.6171263411916</v>
      </c>
      <c r="K36" s="344">
        <f t="shared" ca="1" si="7"/>
        <v>-42.106365709288561</v>
      </c>
      <c r="L36" s="344">
        <f t="shared" ca="1" si="7"/>
        <v>0</v>
      </c>
      <c r="M36" s="344">
        <f t="shared" ca="1" si="7"/>
        <v>-438.52173543143653</v>
      </c>
      <c r="N36" s="344">
        <f t="shared" ca="1" si="7"/>
        <v>-614.83870590410481</v>
      </c>
      <c r="O36" s="344">
        <f t="shared" ca="1" si="7"/>
        <v>-5845.4128478032089</v>
      </c>
      <c r="P36" s="344">
        <f t="shared" ca="1" si="7"/>
        <v>-18586.97917002024</v>
      </c>
      <c r="Q36" s="344">
        <f t="shared" ca="1" si="7"/>
        <v>-64368.91774465303</v>
      </c>
      <c r="R36" s="344">
        <f t="shared" ca="1" si="7"/>
        <v>-69175.400688347028</v>
      </c>
      <c r="S36" s="344">
        <f t="shared" ca="1" si="7"/>
        <v>-23306.393776970261</v>
      </c>
      <c r="T36" s="344">
        <f t="shared" ca="1" si="7"/>
        <v>-5421.6452753228559</v>
      </c>
      <c r="U36" s="344">
        <f t="shared" ca="1" si="7"/>
        <v>-497.52640520481702</v>
      </c>
      <c r="V36" s="344">
        <f t="shared" ca="1" si="7"/>
        <v>0</v>
      </c>
      <c r="W36" s="344">
        <f t="shared" ca="1" si="7"/>
        <v>0</v>
      </c>
      <c r="X36" s="344">
        <f t="shared" ca="1" si="7"/>
        <v>-3798.9991606510753</v>
      </c>
      <c r="Y36" s="344" t="e">
        <f t="shared" ca="1" si="7"/>
        <v>#REF!</v>
      </c>
      <c r="Z36" s="344" t="e">
        <f t="shared" ca="1" si="7"/>
        <v>#REF!</v>
      </c>
      <c r="AA36" s="344" t="e">
        <f t="shared" ca="1" si="7"/>
        <v>#REF!</v>
      </c>
      <c r="AB36" s="344" t="e">
        <f t="shared" ca="1" si="7"/>
        <v>#REF!</v>
      </c>
      <c r="AC36" s="344" t="e">
        <f t="shared" ca="1" si="7"/>
        <v>#REF!</v>
      </c>
      <c r="AD36" s="344" t="e">
        <f t="shared" ca="1" si="7"/>
        <v>#REF!</v>
      </c>
      <c r="AE36" s="344" t="e">
        <f t="shared" ca="1" si="7"/>
        <v>#REF!</v>
      </c>
      <c r="AF36" s="344" t="e">
        <f t="shared" ca="1" si="7"/>
        <v>#REF!</v>
      </c>
    </row>
    <row r="37" spans="1:32">
      <c r="A37">
        <f t="shared" si="4"/>
        <v>2042</v>
      </c>
      <c r="B37" s="344">
        <f t="shared" ca="1" si="1"/>
        <v>-35512.836256398594</v>
      </c>
      <c r="C37" s="344">
        <f t="shared" ca="1" si="7"/>
        <v>-8710.5884769694476</v>
      </c>
      <c r="D37" s="344">
        <f t="shared" ca="1" si="7"/>
        <v>-124.43697824242066</v>
      </c>
      <c r="E37" s="344">
        <f t="shared" ca="1" si="7"/>
        <v>-13710.13521560043</v>
      </c>
      <c r="F37" s="344">
        <f t="shared" ca="1" si="7"/>
        <v>-13213.549505801528</v>
      </c>
      <c r="G37" s="344">
        <f t="shared" ca="1" si="7"/>
        <v>-10082.241603025503</v>
      </c>
      <c r="H37" s="344">
        <f t="shared" ca="1" si="7"/>
        <v>-4209.2349191008025</v>
      </c>
      <c r="I37" s="344">
        <f t="shared" ca="1" si="7"/>
        <v>-2370.5244355181135</v>
      </c>
      <c r="J37" s="344">
        <f t="shared" ca="1" si="7"/>
        <v>-1361.6171263411916</v>
      </c>
      <c r="K37" s="344">
        <f t="shared" ca="1" si="7"/>
        <v>-42.106365709288561</v>
      </c>
      <c r="L37" s="344">
        <f t="shared" ca="1" si="7"/>
        <v>0</v>
      </c>
      <c r="M37" s="344">
        <f t="shared" ca="1" si="7"/>
        <v>-434.13661041049642</v>
      </c>
      <c r="N37" s="344">
        <f t="shared" ca="1" si="7"/>
        <v>-614.83870590410481</v>
      </c>
      <c r="O37" s="344">
        <f t="shared" ca="1" si="7"/>
        <v>-5845.4128478032089</v>
      </c>
      <c r="P37" s="344">
        <f t="shared" ca="1" si="7"/>
        <v>-19033.847405909608</v>
      </c>
      <c r="Q37" s="344">
        <f t="shared" ca="1" si="7"/>
        <v>-66380.446424173453</v>
      </c>
      <c r="R37" s="344">
        <f t="shared" ca="1" si="7"/>
        <v>-69175.400688347028</v>
      </c>
      <c r="S37" s="344">
        <f t="shared" ca="1" si="7"/>
        <v>-23508.317932712511</v>
      </c>
      <c r="T37" s="344">
        <f t="shared" ca="1" si="7"/>
        <v>-5421.6452753228559</v>
      </c>
      <c r="U37" s="344">
        <f t="shared" ca="1" si="7"/>
        <v>-497.52640520481702</v>
      </c>
      <c r="V37" s="344">
        <f t="shared" ca="1" si="7"/>
        <v>0</v>
      </c>
      <c r="W37" s="344">
        <f t="shared" ca="1" si="7"/>
        <v>0</v>
      </c>
      <c r="X37" s="344">
        <f t="shared" ca="1" si="7"/>
        <v>-3794.2634758034219</v>
      </c>
      <c r="Y37" s="344" t="e">
        <f t="shared" ca="1" si="7"/>
        <v>#REF!</v>
      </c>
      <c r="Z37" s="344" t="e">
        <f t="shared" ca="1" si="7"/>
        <v>#REF!</v>
      </c>
      <c r="AA37" s="344" t="e">
        <f t="shared" ca="1" si="7"/>
        <v>#REF!</v>
      </c>
      <c r="AB37" s="344" t="e">
        <f t="shared" ca="1" si="7"/>
        <v>#REF!</v>
      </c>
      <c r="AC37" s="344" t="e">
        <f t="shared" ca="1" si="7"/>
        <v>#REF!</v>
      </c>
      <c r="AD37" s="344" t="e">
        <f t="shared" ca="1" si="7"/>
        <v>#REF!</v>
      </c>
      <c r="AE37" s="344" t="e">
        <f t="shared" ca="1" si="7"/>
        <v>#REF!</v>
      </c>
      <c r="AF37" s="344" t="e">
        <f t="shared" ca="1" si="7"/>
        <v>#REF!</v>
      </c>
    </row>
    <row r="38" spans="1:32">
      <c r="A38">
        <f t="shared" si="4"/>
        <v>2043</v>
      </c>
      <c r="B38" s="344">
        <f t="shared" ca="1" si="1"/>
        <v>-35512.836256398594</v>
      </c>
      <c r="C38" s="344">
        <f t="shared" ca="1" si="7"/>
        <v>-8710.5884769694476</v>
      </c>
      <c r="D38" s="344">
        <f t="shared" ca="1" si="7"/>
        <v>-124.43697824242066</v>
      </c>
      <c r="E38" s="344">
        <f t="shared" ca="1" si="7"/>
        <v>-13710.13521560043</v>
      </c>
      <c r="F38" s="344">
        <f t="shared" ca="1" si="7"/>
        <v>-13213.549505801528</v>
      </c>
      <c r="G38" s="344">
        <f t="shared" ca="1" si="7"/>
        <v>-10082.241603025503</v>
      </c>
      <c r="H38" s="344">
        <f t="shared" ca="1" si="7"/>
        <v>-4245.3900455455369</v>
      </c>
      <c r="I38" s="344">
        <f t="shared" ca="1" si="7"/>
        <v>-2370.5244355181135</v>
      </c>
      <c r="J38" s="344">
        <f t="shared" ca="1" si="7"/>
        <v>-1361.6171263411916</v>
      </c>
      <c r="K38" s="344">
        <f t="shared" ca="1" si="7"/>
        <v>-42.106365709288561</v>
      </c>
      <c r="L38" s="344">
        <f t="shared" ca="1" si="7"/>
        <v>0</v>
      </c>
      <c r="M38" s="344">
        <f t="shared" ca="1" si="7"/>
        <v>-429.79552130651422</v>
      </c>
      <c r="N38" s="344">
        <f t="shared" ca="1" si="7"/>
        <v>-614.83870590410481</v>
      </c>
      <c r="O38" s="344">
        <f t="shared" ca="1" si="7"/>
        <v>-5845.4128478032089</v>
      </c>
      <c r="P38" s="344">
        <f t="shared" ca="1" si="7"/>
        <v>-19481.275305378116</v>
      </c>
      <c r="Q38" s="344">
        <f t="shared" ca="1" si="7"/>
        <v>-68391.97510369384</v>
      </c>
      <c r="R38" s="344">
        <f t="shared" ca="1" si="7"/>
        <v>-69175.400688347028</v>
      </c>
      <c r="S38" s="344">
        <f t="shared" ca="1" si="7"/>
        <v>-23710.242088454761</v>
      </c>
      <c r="T38" s="344">
        <f t="shared" ca="1" si="7"/>
        <v>-5421.6452753228559</v>
      </c>
      <c r="U38" s="344">
        <f t="shared" ca="1" si="7"/>
        <v>-497.52640520481702</v>
      </c>
      <c r="V38" s="344">
        <f t="shared" ca="1" si="7"/>
        <v>0</v>
      </c>
      <c r="W38" s="344">
        <f t="shared" ca="1" si="7"/>
        <v>0</v>
      </c>
      <c r="X38" s="344">
        <f t="shared" ca="1" si="7"/>
        <v>-3789.5038171851834</v>
      </c>
      <c r="Y38" s="344" t="e">
        <f t="shared" ca="1" si="7"/>
        <v>#REF!</v>
      </c>
      <c r="Z38" s="344" t="e">
        <f t="shared" ca="1" si="7"/>
        <v>#REF!</v>
      </c>
      <c r="AA38" s="344" t="e">
        <f t="shared" ca="1" si="7"/>
        <v>#REF!</v>
      </c>
      <c r="AB38" s="344" t="e">
        <f t="shared" ca="1" si="7"/>
        <v>#REF!</v>
      </c>
      <c r="AC38" s="344" t="e">
        <f t="shared" ca="1" si="7"/>
        <v>#REF!</v>
      </c>
      <c r="AD38" s="344" t="e">
        <f t="shared" ca="1" si="7"/>
        <v>#REF!</v>
      </c>
      <c r="AE38" s="344" t="e">
        <f t="shared" ca="1" si="7"/>
        <v>#REF!</v>
      </c>
      <c r="AF38" s="344" t="e">
        <f t="shared" ca="1" si="7"/>
        <v>#REF!</v>
      </c>
    </row>
    <row r="39" spans="1:32">
      <c r="A39">
        <f t="shared" si="4"/>
        <v>2044</v>
      </c>
      <c r="B39" s="344">
        <f t="shared" ca="1" si="1"/>
        <v>-35512.836256398594</v>
      </c>
      <c r="C39" s="344">
        <f t="shared" ca="1" si="7"/>
        <v>-8710.5884769694476</v>
      </c>
      <c r="D39" s="344">
        <f t="shared" ca="1" si="7"/>
        <v>-124.43697824242066</v>
      </c>
      <c r="E39" s="344">
        <f t="shared" ca="1" si="7"/>
        <v>-13710.13521560043</v>
      </c>
      <c r="F39" s="344">
        <f t="shared" ca="1" si="7"/>
        <v>-13213.549505801528</v>
      </c>
      <c r="G39" s="344">
        <f t="shared" ca="1" si="7"/>
        <v>-10082.241603025503</v>
      </c>
      <c r="H39" s="344">
        <f t="shared" ca="1" si="7"/>
        <v>-4281.5451719902721</v>
      </c>
      <c r="I39" s="344">
        <f t="shared" ca="1" si="7"/>
        <v>-2370.5244355181135</v>
      </c>
      <c r="J39" s="344">
        <f t="shared" ca="1" si="7"/>
        <v>-1361.6171263411916</v>
      </c>
      <c r="K39" s="344">
        <f t="shared" ca="1" si="7"/>
        <v>-42.106365709288561</v>
      </c>
      <c r="L39" s="344">
        <f t="shared" ca="1" si="7"/>
        <v>0</v>
      </c>
      <c r="M39" s="344">
        <f t="shared" ca="1" si="7"/>
        <v>-425.49704760603981</v>
      </c>
      <c r="N39" s="344">
        <f t="shared" ca="1" si="7"/>
        <v>-614.83870590410481</v>
      </c>
      <c r="O39" s="344">
        <f t="shared" ca="1" si="7"/>
        <v>-5845.4128478032089</v>
      </c>
      <c r="P39" s="344">
        <f t="shared" ca="1" si="7"/>
        <v>-19929.24869033814</v>
      </c>
      <c r="Q39" s="344">
        <f t="shared" ca="1" si="7"/>
        <v>-70403.503783214255</v>
      </c>
      <c r="R39" s="344">
        <f t="shared" ref="C39:AF45" ca="1" si="8">OFFSET(INDIRECT(R$3),$A39-$A$5+$C$1,$C$2)</f>
        <v>-69175.400688347028</v>
      </c>
      <c r="S39" s="344">
        <f t="shared" ca="1" si="8"/>
        <v>-23912.166244197026</v>
      </c>
      <c r="T39" s="344">
        <f t="shared" ca="1" si="8"/>
        <v>-5421.6452753228559</v>
      </c>
      <c r="U39" s="344">
        <f t="shared" ca="1" si="8"/>
        <v>-497.52640520481702</v>
      </c>
      <c r="V39" s="344">
        <f t="shared" ca="1" si="8"/>
        <v>0</v>
      </c>
      <c r="W39" s="344">
        <f t="shared" ca="1" si="8"/>
        <v>0</v>
      </c>
      <c r="X39" s="344">
        <f t="shared" ca="1" si="8"/>
        <v>-3784.7207921294653</v>
      </c>
      <c r="Y39" s="344" t="e">
        <f t="shared" ca="1" si="8"/>
        <v>#REF!</v>
      </c>
      <c r="Z39" s="344" t="e">
        <f t="shared" ca="1" si="8"/>
        <v>#REF!</v>
      </c>
      <c r="AA39" s="344" t="e">
        <f t="shared" ca="1" si="8"/>
        <v>#REF!</v>
      </c>
      <c r="AB39" s="344" t="e">
        <f t="shared" ca="1" si="8"/>
        <v>#REF!</v>
      </c>
      <c r="AC39" s="344" t="e">
        <f t="shared" ca="1" si="8"/>
        <v>#REF!</v>
      </c>
      <c r="AD39" s="344" t="e">
        <f t="shared" ca="1" si="8"/>
        <v>#REF!</v>
      </c>
      <c r="AE39" s="344" t="e">
        <f t="shared" ca="1" si="8"/>
        <v>#REF!</v>
      </c>
      <c r="AF39" s="344" t="e">
        <f t="shared" ca="1" si="8"/>
        <v>#REF!</v>
      </c>
    </row>
    <row r="40" spans="1:32">
      <c r="A40">
        <f t="shared" si="4"/>
        <v>2045</v>
      </c>
      <c r="B40" s="344">
        <f t="shared" ca="1" si="1"/>
        <v>-35512.836256398594</v>
      </c>
      <c r="C40" s="344">
        <f t="shared" ca="1" si="8"/>
        <v>-8710.5884769694476</v>
      </c>
      <c r="D40" s="344">
        <f t="shared" ca="1" si="8"/>
        <v>-124.43697824242066</v>
      </c>
      <c r="E40" s="344">
        <f t="shared" ca="1" si="8"/>
        <v>-13710.13521560043</v>
      </c>
      <c r="F40" s="344">
        <f t="shared" ca="1" si="8"/>
        <v>-13213.549505801528</v>
      </c>
      <c r="G40" s="344">
        <f t="shared" ca="1" si="8"/>
        <v>-10082.241603025503</v>
      </c>
      <c r="H40" s="344">
        <f t="shared" ca="1" si="8"/>
        <v>-4317.7002984350074</v>
      </c>
      <c r="I40" s="344">
        <f t="shared" ca="1" si="8"/>
        <v>-2370.5244355181135</v>
      </c>
      <c r="J40" s="344">
        <f t="shared" ca="1" si="8"/>
        <v>-1361.6171263411916</v>
      </c>
      <c r="K40" s="344">
        <f t="shared" ca="1" si="8"/>
        <v>-42.106365709288561</v>
      </c>
      <c r="L40" s="344">
        <f t="shared" ca="1" si="8"/>
        <v>0</v>
      </c>
      <c r="M40" s="344">
        <f t="shared" ca="1" si="8"/>
        <v>-421.24260982252321</v>
      </c>
      <c r="N40" s="344">
        <f t="shared" ca="1" si="8"/>
        <v>-614.83870590410481</v>
      </c>
      <c r="O40" s="344">
        <f t="shared" ca="1" si="8"/>
        <v>-5845.4128478032089</v>
      </c>
      <c r="P40" s="344">
        <f t="shared" ca="1" si="8"/>
        <v>-20377.753857594329</v>
      </c>
      <c r="Q40" s="344">
        <f t="shared" ca="1" si="8"/>
        <v>-72415.032462734671</v>
      </c>
      <c r="R40" s="344">
        <f t="shared" ca="1" si="8"/>
        <v>-69175.400688347028</v>
      </c>
      <c r="S40" s="344">
        <f t="shared" ca="1" si="8"/>
        <v>-24114.090399939276</v>
      </c>
      <c r="T40" s="344">
        <f t="shared" ca="1" si="8"/>
        <v>-5421.6452753228559</v>
      </c>
      <c r="U40" s="344">
        <f t="shared" ca="1" si="8"/>
        <v>-497.52640520481702</v>
      </c>
      <c r="V40" s="344">
        <f t="shared" ca="1" si="8"/>
        <v>0</v>
      </c>
      <c r="W40" s="344">
        <f t="shared" ca="1" si="8"/>
        <v>0</v>
      </c>
      <c r="X40" s="344">
        <f t="shared" ca="1" si="8"/>
        <v>-3779.9149876268702</v>
      </c>
      <c r="Y40" s="344" t="e">
        <f t="shared" ca="1" si="8"/>
        <v>#REF!</v>
      </c>
      <c r="Z40" s="344" t="e">
        <f t="shared" ca="1" si="8"/>
        <v>#REF!</v>
      </c>
      <c r="AA40" s="344" t="e">
        <f t="shared" ca="1" si="8"/>
        <v>#REF!</v>
      </c>
      <c r="AB40" s="344" t="e">
        <f t="shared" ca="1" si="8"/>
        <v>#REF!</v>
      </c>
      <c r="AC40" s="344" t="e">
        <f t="shared" ca="1" si="8"/>
        <v>#REF!</v>
      </c>
      <c r="AD40" s="344" t="e">
        <f t="shared" ca="1" si="8"/>
        <v>#REF!</v>
      </c>
      <c r="AE40" s="344" t="e">
        <f t="shared" ca="1" si="8"/>
        <v>#REF!</v>
      </c>
      <c r="AF40" s="344" t="e">
        <f t="shared" ca="1" si="8"/>
        <v>#REF!</v>
      </c>
    </row>
    <row r="41" spans="1:32">
      <c r="A41">
        <f>A40+1</f>
        <v>2046</v>
      </c>
      <c r="B41" s="344">
        <f t="shared" ca="1" si="1"/>
        <v>-35512.836256398594</v>
      </c>
      <c r="C41" s="344">
        <f t="shared" ca="1" si="8"/>
        <v>-8710.5884769694476</v>
      </c>
      <c r="D41" s="344">
        <f t="shared" ca="1" si="8"/>
        <v>-124.43697824242066</v>
      </c>
      <c r="E41" s="344">
        <f t="shared" ca="1" si="8"/>
        <v>-13710.13521560043</v>
      </c>
      <c r="F41" s="344">
        <f t="shared" ca="1" si="8"/>
        <v>-13213.549505801528</v>
      </c>
      <c r="G41" s="344">
        <f t="shared" ca="1" si="8"/>
        <v>-10082.241603025503</v>
      </c>
      <c r="H41" s="344">
        <f t="shared" ca="1" si="8"/>
        <v>-4353.8554248797409</v>
      </c>
      <c r="I41" s="344">
        <f t="shared" ca="1" si="8"/>
        <v>-2370.5244355181135</v>
      </c>
      <c r="J41" s="344">
        <f t="shared" ca="1" si="8"/>
        <v>-1361.6171263411916</v>
      </c>
      <c r="K41" s="344">
        <f t="shared" ca="1" si="8"/>
        <v>-42.106365709288561</v>
      </c>
      <c r="L41" s="344">
        <f t="shared" ca="1" si="8"/>
        <v>0</v>
      </c>
      <c r="M41" s="344">
        <f t="shared" ca="1" si="8"/>
        <v>-417.0300771857892</v>
      </c>
      <c r="N41" s="344">
        <f t="shared" ca="1" si="8"/>
        <v>-614.83870590410481</v>
      </c>
      <c r="O41" s="344">
        <f t="shared" ca="1" si="8"/>
        <v>-5845.4128478032089</v>
      </c>
      <c r="P41" s="344">
        <f t="shared" ca="1" si="8"/>
        <v>-20826.777559125614</v>
      </c>
      <c r="Q41" s="344">
        <f t="shared" ca="1" si="8"/>
        <v>-74426.561142255057</v>
      </c>
      <c r="R41" s="344">
        <f t="shared" ca="1" si="8"/>
        <v>-69175.400688347028</v>
      </c>
      <c r="S41" s="344">
        <f t="shared" ca="1" si="8"/>
        <v>-24316.014555681541</v>
      </c>
      <c r="T41" s="344">
        <f t="shared" ca="1" si="8"/>
        <v>-5421.6452753228559</v>
      </c>
      <c r="U41" s="344">
        <f t="shared" ca="1" si="8"/>
        <v>-497.52640520481702</v>
      </c>
      <c r="V41" s="344">
        <f t="shared" ca="1" si="8"/>
        <v>0</v>
      </c>
      <c r="W41" s="344">
        <f t="shared" ca="1" si="8"/>
        <v>0</v>
      </c>
      <c r="X41" s="344">
        <f t="shared" ca="1" si="8"/>
        <v>-3775.0869711701425</v>
      </c>
      <c r="Y41" s="344" t="e">
        <f t="shared" ca="1" si="8"/>
        <v>#REF!</v>
      </c>
      <c r="Z41" s="344" t="e">
        <f t="shared" ca="1" si="8"/>
        <v>#REF!</v>
      </c>
      <c r="AA41" s="344" t="e">
        <f t="shared" ca="1" si="8"/>
        <v>#REF!</v>
      </c>
      <c r="AB41" s="344" t="e">
        <f t="shared" ca="1" si="8"/>
        <v>#REF!</v>
      </c>
      <c r="AC41" s="344" t="e">
        <f t="shared" ca="1" si="8"/>
        <v>#REF!</v>
      </c>
      <c r="AD41" s="344" t="e">
        <f t="shared" ca="1" si="8"/>
        <v>#REF!</v>
      </c>
      <c r="AE41" s="344" t="e">
        <f t="shared" ca="1" si="8"/>
        <v>#REF!</v>
      </c>
      <c r="AF41" s="344" t="e">
        <f t="shared" ca="1" si="8"/>
        <v>#REF!</v>
      </c>
    </row>
    <row r="42" spans="1:32">
      <c r="A42">
        <f t="shared" si="4"/>
        <v>2047</v>
      </c>
      <c r="B42" s="344">
        <f t="shared" ca="1" si="1"/>
        <v>-35512.836256398594</v>
      </c>
      <c r="C42" s="344">
        <f t="shared" ca="1" si="8"/>
        <v>-8710.5884769694476</v>
      </c>
      <c r="D42" s="344">
        <f t="shared" ca="1" si="8"/>
        <v>-124.43697824242066</v>
      </c>
      <c r="E42" s="344">
        <f t="shared" ca="1" si="8"/>
        <v>-13710.13521560043</v>
      </c>
      <c r="F42" s="344">
        <f t="shared" ca="1" si="8"/>
        <v>-13213.549505801528</v>
      </c>
      <c r="G42" s="344">
        <f t="shared" ca="1" si="8"/>
        <v>-10082.241603025503</v>
      </c>
      <c r="H42" s="344">
        <f t="shared" ca="1" si="8"/>
        <v>-4390.0105513244744</v>
      </c>
      <c r="I42" s="344">
        <f t="shared" ca="1" si="8"/>
        <v>-2370.5244355181135</v>
      </c>
      <c r="J42" s="344">
        <f t="shared" ca="1" si="8"/>
        <v>-1361.6171263411916</v>
      </c>
      <c r="K42" s="344">
        <f t="shared" ca="1" si="8"/>
        <v>-42.106365709288561</v>
      </c>
      <c r="L42" s="344">
        <f t="shared" ca="1" si="8"/>
        <v>0</v>
      </c>
      <c r="M42" s="344">
        <f t="shared" ca="1" si="8"/>
        <v>-412.85944969583778</v>
      </c>
      <c r="N42" s="344">
        <f t="shared" ca="1" si="8"/>
        <v>-614.83870590410481</v>
      </c>
      <c r="O42" s="344">
        <f t="shared" ca="1" si="8"/>
        <v>-5845.4128478032089</v>
      </c>
      <c r="P42" s="344">
        <f t="shared" ca="1" si="8"/>
        <v>-21276.306983341619</v>
      </c>
      <c r="Q42" s="344">
        <f t="shared" ca="1" si="8"/>
        <v>-76438.089821775444</v>
      </c>
      <c r="R42" s="344">
        <f t="shared" ca="1" si="8"/>
        <v>-69175.400688347028</v>
      </c>
      <c r="S42" s="344">
        <f t="shared" ca="1" si="8"/>
        <v>-24517.938711423776</v>
      </c>
      <c r="T42" s="344">
        <f t="shared" ca="1" si="8"/>
        <v>-5421.6452753228559</v>
      </c>
      <c r="U42" s="344">
        <f t="shared" ca="1" si="8"/>
        <v>-497.52640520481702</v>
      </c>
      <c r="V42" s="344">
        <f t="shared" ca="1" si="8"/>
        <v>0</v>
      </c>
      <c r="W42" s="344">
        <f t="shared" ca="1" si="8"/>
        <v>0</v>
      </c>
      <c r="X42" s="344">
        <f t="shared" ca="1" si="8"/>
        <v>-3770.2372915570536</v>
      </c>
      <c r="Y42" s="344" t="e">
        <f t="shared" ca="1" si="8"/>
        <v>#REF!</v>
      </c>
      <c r="Z42" s="344" t="e">
        <f t="shared" ca="1" si="8"/>
        <v>#REF!</v>
      </c>
      <c r="AA42" s="344" t="e">
        <f t="shared" ca="1" si="8"/>
        <v>#REF!</v>
      </c>
      <c r="AB42" s="344" t="e">
        <f t="shared" ca="1" si="8"/>
        <v>#REF!</v>
      </c>
      <c r="AC42" s="344" t="e">
        <f t="shared" ca="1" si="8"/>
        <v>#REF!</v>
      </c>
      <c r="AD42" s="344" t="e">
        <f t="shared" ca="1" si="8"/>
        <v>#REF!</v>
      </c>
      <c r="AE42" s="344" t="e">
        <f t="shared" ca="1" si="8"/>
        <v>#REF!</v>
      </c>
      <c r="AF42" s="344" t="e">
        <f t="shared" ca="1" si="8"/>
        <v>#REF!</v>
      </c>
    </row>
    <row r="43" spans="1:32">
      <c r="A43">
        <f t="shared" si="4"/>
        <v>2048</v>
      </c>
      <c r="B43" s="344">
        <f t="shared" ca="1" si="1"/>
        <v>-35512.836256398594</v>
      </c>
      <c r="C43" s="344">
        <f t="shared" ca="1" si="8"/>
        <v>-8710.5884769694476</v>
      </c>
      <c r="D43" s="344">
        <f t="shared" ca="1" si="8"/>
        <v>-124.43697824242066</v>
      </c>
      <c r="E43" s="344">
        <f t="shared" ca="1" si="8"/>
        <v>-13710.13521560043</v>
      </c>
      <c r="F43" s="344">
        <f t="shared" ca="1" si="8"/>
        <v>-13213.549505801528</v>
      </c>
      <c r="G43" s="344">
        <f t="shared" ca="1" si="8"/>
        <v>-10082.241603025503</v>
      </c>
      <c r="H43" s="344">
        <f t="shared" ca="1" si="8"/>
        <v>-4426.1656777692115</v>
      </c>
      <c r="I43" s="344">
        <f t="shared" ca="1" si="8"/>
        <v>-2370.5244355181135</v>
      </c>
      <c r="J43" s="344">
        <f t="shared" ca="1" si="8"/>
        <v>-1361.6171263411916</v>
      </c>
      <c r="K43" s="344">
        <f t="shared" ca="1" si="8"/>
        <v>-42.106365709288561</v>
      </c>
      <c r="L43" s="344">
        <f t="shared" ca="1" si="8"/>
        <v>0</v>
      </c>
      <c r="M43" s="344">
        <f t="shared" ca="1" si="8"/>
        <v>-408.73143760939399</v>
      </c>
      <c r="N43" s="344">
        <f t="shared" ca="1" si="8"/>
        <v>-614.83870590410481</v>
      </c>
      <c r="O43" s="344">
        <f t="shared" ca="1" si="8"/>
        <v>-5845.4128478032089</v>
      </c>
      <c r="P43" s="344">
        <f t="shared" ca="1" si="8"/>
        <v>-21726.329737257827</v>
      </c>
      <c r="Q43" s="344">
        <f t="shared" ca="1" si="8"/>
        <v>-78449.618501295859</v>
      </c>
      <c r="R43" s="344">
        <f t="shared" ca="1" si="8"/>
        <v>-69175.400688347028</v>
      </c>
      <c r="S43" s="344">
        <f t="shared" ca="1" si="8"/>
        <v>-24719.862867166041</v>
      </c>
      <c r="T43" s="344">
        <f t="shared" ca="1" si="8"/>
        <v>-5421.6452753228559</v>
      </c>
      <c r="U43" s="344">
        <f t="shared" ca="1" si="8"/>
        <v>-497.52640520481702</v>
      </c>
      <c r="V43" s="344">
        <f t="shared" ca="1" si="8"/>
        <v>0</v>
      </c>
      <c r="W43" s="344">
        <f t="shared" ca="1" si="8"/>
        <v>0</v>
      </c>
      <c r="X43" s="344">
        <f t="shared" ca="1" si="8"/>
        <v>-3765.3664796539692</v>
      </c>
      <c r="Y43" s="344" t="e">
        <f t="shared" ca="1" si="8"/>
        <v>#REF!</v>
      </c>
      <c r="Z43" s="344" t="e">
        <f t="shared" ca="1" si="8"/>
        <v>#REF!</v>
      </c>
      <c r="AA43" s="344" t="e">
        <f t="shared" ca="1" si="8"/>
        <v>#REF!</v>
      </c>
      <c r="AB43" s="344" t="e">
        <f t="shared" ca="1" si="8"/>
        <v>#REF!</v>
      </c>
      <c r="AC43" s="344" t="e">
        <f t="shared" ca="1" si="8"/>
        <v>#REF!</v>
      </c>
      <c r="AD43" s="344" t="e">
        <f t="shared" ca="1" si="8"/>
        <v>#REF!</v>
      </c>
      <c r="AE43" s="344" t="e">
        <f t="shared" ca="1" si="8"/>
        <v>#REF!</v>
      </c>
      <c r="AF43" s="344" t="e">
        <f t="shared" ca="1" si="8"/>
        <v>#REF!</v>
      </c>
    </row>
    <row r="44" spans="1:32">
      <c r="A44">
        <f t="shared" si="4"/>
        <v>2049</v>
      </c>
      <c r="B44" s="344">
        <f t="shared" ca="1" si="1"/>
        <v>-35512.836256398594</v>
      </c>
      <c r="C44" s="344">
        <f t="shared" ca="1" si="8"/>
        <v>-8710.5884769694476</v>
      </c>
      <c r="D44" s="344">
        <f t="shared" ca="1" si="8"/>
        <v>-124.43697824242066</v>
      </c>
      <c r="E44" s="344">
        <f t="shared" ca="1" si="8"/>
        <v>-13710.13521560043</v>
      </c>
      <c r="F44" s="344">
        <f t="shared" ca="1" si="8"/>
        <v>-13213.549505801528</v>
      </c>
      <c r="G44" s="344">
        <f t="shared" ca="1" si="8"/>
        <v>-10082.241603025503</v>
      </c>
      <c r="H44" s="344">
        <f t="shared" ca="1" si="8"/>
        <v>-4462.3208042139468</v>
      </c>
      <c r="I44" s="344">
        <f t="shared" ca="1" si="8"/>
        <v>-2370.5244355181135</v>
      </c>
      <c r="J44" s="344">
        <f t="shared" ca="1" si="8"/>
        <v>-1361.6171263411916</v>
      </c>
      <c r="K44" s="344">
        <f t="shared" ca="1" si="8"/>
        <v>-42.106365709288561</v>
      </c>
      <c r="L44" s="344">
        <f t="shared" ca="1" si="8"/>
        <v>0</v>
      </c>
      <c r="M44" s="344">
        <f t="shared" ca="1" si="8"/>
        <v>-404.64391015628252</v>
      </c>
      <c r="N44" s="344">
        <f t="shared" ca="1" si="8"/>
        <v>-614.83870590410481</v>
      </c>
      <c r="O44" s="344">
        <f t="shared" ca="1" si="8"/>
        <v>-5845.4128478032089</v>
      </c>
      <c r="P44" s="344">
        <f t="shared" ca="1" si="8"/>
        <v>-22176.83382953706</v>
      </c>
      <c r="Q44" s="344">
        <f t="shared" ca="1" si="8"/>
        <v>-80461.14718081629</v>
      </c>
      <c r="R44" s="344">
        <f t="shared" ca="1" si="8"/>
        <v>-69175.400688347028</v>
      </c>
      <c r="S44" s="344">
        <f t="shared" ca="1" si="8"/>
        <v>-24921.787022908306</v>
      </c>
      <c r="T44" s="344">
        <f t="shared" ca="1" si="8"/>
        <v>-5421.6452753228559</v>
      </c>
      <c r="U44" s="344">
        <f t="shared" ca="1" si="8"/>
        <v>-497.52640520481702</v>
      </c>
      <c r="V44" s="344">
        <f t="shared" ca="1" si="8"/>
        <v>0</v>
      </c>
      <c r="W44" s="344">
        <f t="shared" ca="1" si="8"/>
        <v>0</v>
      </c>
      <c r="X44" s="344">
        <f t="shared" ca="1" si="8"/>
        <v>-3760.4750491222649</v>
      </c>
      <c r="Y44" s="344" t="e">
        <f t="shared" ca="1" si="8"/>
        <v>#REF!</v>
      </c>
      <c r="Z44" s="344" t="e">
        <f t="shared" ca="1" si="8"/>
        <v>#REF!</v>
      </c>
      <c r="AA44" s="344" t="e">
        <f t="shared" ca="1" si="8"/>
        <v>#REF!</v>
      </c>
      <c r="AB44" s="344" t="e">
        <f t="shared" ca="1" si="8"/>
        <v>#REF!</v>
      </c>
      <c r="AC44" s="344" t="e">
        <f t="shared" ca="1" si="8"/>
        <v>#REF!</v>
      </c>
      <c r="AD44" s="344" t="e">
        <f t="shared" ca="1" si="8"/>
        <v>#REF!</v>
      </c>
      <c r="AE44" s="344" t="e">
        <f t="shared" ca="1" si="8"/>
        <v>#REF!</v>
      </c>
      <c r="AF44" s="344" t="e">
        <f t="shared" ca="1" si="8"/>
        <v>#REF!</v>
      </c>
    </row>
    <row r="45" spans="1:32">
      <c r="A45">
        <f t="shared" si="4"/>
        <v>2050</v>
      </c>
      <c r="B45" s="344">
        <f t="shared" ca="1" si="1"/>
        <v>-35512.836256398594</v>
      </c>
      <c r="C45" s="344">
        <f t="shared" ca="1" si="8"/>
        <v>-8710.5884769694476</v>
      </c>
      <c r="D45" s="344">
        <f t="shared" ca="1" si="8"/>
        <v>-124.43697824242066</v>
      </c>
      <c r="E45" s="344">
        <f t="shared" ca="1" si="8"/>
        <v>-13710.13521560043</v>
      </c>
      <c r="F45" s="344">
        <f t="shared" ca="1" si="8"/>
        <v>-13213.549505801528</v>
      </c>
      <c r="G45" s="344">
        <f t="shared" ca="1" si="8"/>
        <v>-10082.241603025503</v>
      </c>
      <c r="H45" s="344">
        <f t="shared" ca="1" si="8"/>
        <v>-4498.4759306586811</v>
      </c>
      <c r="I45" s="344">
        <f t="shared" ca="1" si="8"/>
        <v>-2370.5244355181135</v>
      </c>
      <c r="J45" s="344">
        <f t="shared" ca="1" si="8"/>
        <v>-1361.6171263411916</v>
      </c>
      <c r="K45" s="344">
        <f t="shared" ca="1" si="8"/>
        <v>-42.106365709288561</v>
      </c>
      <c r="L45" s="344">
        <f t="shared" ca="1" si="8"/>
        <v>0</v>
      </c>
      <c r="M45" s="344">
        <f t="shared" ca="1" si="8"/>
        <v>-404.64391015628252</v>
      </c>
      <c r="N45" s="344">
        <f t="shared" ca="1" si="8"/>
        <v>-614.83870590410481</v>
      </c>
      <c r="O45" s="344">
        <f t="shared" ca="1" si="8"/>
        <v>-5845.4128478032089</v>
      </c>
      <c r="P45" s="344">
        <f t="shared" ca="1" si="8"/>
        <v>-22627.807654349104</v>
      </c>
      <c r="Q45" s="344">
        <f t="shared" ca="1" si="8"/>
        <v>-82472.675860336691</v>
      </c>
      <c r="R45" s="344">
        <f t="shared" ca="1" si="8"/>
        <v>-69175.400688347028</v>
      </c>
      <c r="S45" s="344">
        <f t="shared" ca="1" si="8"/>
        <v>-25123.711178650556</v>
      </c>
      <c r="T45" s="344">
        <f t="shared" ca="1" si="8"/>
        <v>-5421.6452753228559</v>
      </c>
      <c r="U45" s="344">
        <f t="shared" ca="1" si="8"/>
        <v>-497.52640520481702</v>
      </c>
      <c r="V45" s="344">
        <f t="shared" ca="1" si="8"/>
        <v>0</v>
      </c>
      <c r="W45" s="344">
        <f t="shared" ca="1" si="8"/>
        <v>0</v>
      </c>
      <c r="X45" s="344">
        <f t="shared" ca="1" si="8"/>
        <v>-3755.5634971097347</v>
      </c>
      <c r="Y45" s="344" t="e">
        <f t="shared" ca="1" si="8"/>
        <v>#REF!</v>
      </c>
      <c r="Z45" s="344" t="e">
        <f t="shared" ca="1" si="8"/>
        <v>#REF!</v>
      </c>
      <c r="AA45" s="344" t="e">
        <f t="shared" ca="1" si="8"/>
        <v>#REF!</v>
      </c>
      <c r="AB45" s="344" t="e">
        <f t="shared" ca="1" si="8"/>
        <v>#REF!</v>
      </c>
      <c r="AC45" s="344" t="e">
        <f t="shared" ca="1" si="8"/>
        <v>#REF!</v>
      </c>
      <c r="AD45" s="344" t="e">
        <f t="shared" ca="1" si="8"/>
        <v>#REF!</v>
      </c>
      <c r="AE45" s="344" t="e">
        <f t="shared" ca="1" si="8"/>
        <v>#REF!</v>
      </c>
      <c r="AF45" s="344" t="e">
        <f t="shared" ca="1" si="8"/>
        <v>#REF!</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sheetPr codeName="Sheet96"/>
  <dimension ref="A1:AF45"/>
  <sheetViews>
    <sheetView workbookViewId="0">
      <selection activeCell="C3" sqref="C3"/>
    </sheetView>
  </sheetViews>
  <sheetFormatPr defaultRowHeight="15"/>
  <cols>
    <col min="1" max="1" width="18.42578125" bestFit="1" customWidth="1"/>
    <col min="2" max="26" width="11.7109375" customWidth="1"/>
  </cols>
  <sheetData>
    <row r="1" spans="1:32">
      <c r="B1" s="322" t="s">
        <v>298</v>
      </c>
      <c r="C1">
        <v>18</v>
      </c>
    </row>
    <row r="2" spans="1:32">
      <c r="B2" s="322" t="s">
        <v>299</v>
      </c>
      <c r="C2">
        <v>21</v>
      </c>
    </row>
    <row r="3" spans="1:32">
      <c r="B3" s="322" t="str">
        <f ca="1">OFFSET(Control!$A$5,COLUMN(A4)-1,0)</f>
        <v>GreenPwr1</v>
      </c>
      <c r="C3" s="322" t="str">
        <f ca="1">OFFSET(Control!$A$5,COLUMN(B4)-1,0)</f>
        <v>GreenPwr2</v>
      </c>
      <c r="D3" s="322" t="str">
        <f ca="1">OFFSET(Control!$A$5,COLUMN(C4)-1,0)</f>
        <v>Wind</v>
      </c>
      <c r="E3" s="322" t="str">
        <f ca="1">OFFSET(Control!$A$5,COLUMN(D4)-1,0)</f>
        <v>ShortECM</v>
      </c>
      <c r="F3" s="322" t="str">
        <f ca="1">OFFSET(Control!$A$5,COLUMN(E4)-1,0)</f>
        <v>MidECM</v>
      </c>
      <c r="G3" s="322" t="str">
        <f ca="1">OFFSET(Control!$A$5,COLUMN(F4)-1,0)</f>
        <v>LongECM</v>
      </c>
      <c r="H3" s="322" t="str">
        <f ca="1">OFFSET(Control!$A$5,COLUMN(G4)-1,0)</f>
        <v>SteamLineImp</v>
      </c>
      <c r="I3" s="322" t="str">
        <f ca="1">OFFSET(Control!$A$5,COLUMN(H4)-1,0)</f>
        <v>UnitaryChiller</v>
      </c>
      <c r="J3" s="322" t="str">
        <f ca="1">OFFSET(Control!$A$5,COLUMN(I4)-1,0)</f>
        <v>GeoExchange</v>
      </c>
      <c r="K3" s="322" t="str">
        <f ca="1">OFFSET(Control!$A$5,COLUMN(J4)-1,0)</f>
        <v>SolarDHW</v>
      </c>
      <c r="L3" s="322" t="str">
        <f ca="1">OFFSET(Control!$A$5,COLUMN(K4)-1,0)</f>
        <v>WasteReduction</v>
      </c>
      <c r="M3" s="322" t="str">
        <f ca="1">OFFSET(Control!$A$5,COLUMN(L4)-1,0)</f>
        <v>DishStirling</v>
      </c>
      <c r="N3" s="322" t="str">
        <f ca="1">OFFSET(Control!$A$5,COLUMN(M4)-1,0)</f>
        <v>Parabolic</v>
      </c>
      <c r="O3" s="322" t="str">
        <f ca="1">OFFSET(Control!$A$5,COLUMN(N4)-1,0)</f>
        <v>GreenIT</v>
      </c>
      <c r="P3" s="322" t="str">
        <f ca="1">OFFSET(Control!$A$5,COLUMN(O4)-1,0)</f>
        <v>GreenBuild</v>
      </c>
      <c r="Q3" s="322" t="str">
        <f ca="1">OFFSET(Control!$A$5,COLUMN(P4)-1,0)</f>
        <v>SpacePlanning</v>
      </c>
      <c r="R3" s="322" t="str">
        <f ca="1">OFFSET(Control!$A$5,COLUMN(Q4)-1,0)</f>
        <v>CHP</v>
      </c>
      <c r="S3" s="322" t="str">
        <f ca="1">OFFSET(Control!$A$5,COLUMN(R4)-1,0)</f>
        <v>CoalToNG</v>
      </c>
      <c r="T3" s="322" t="str">
        <f ca="1">OFFSET(Control!$A$5,COLUMN(S4)-1,0)</f>
        <v>CentralChillerExp</v>
      </c>
      <c r="U3" s="322" t="str">
        <f ca="1">OFFSET(Control!$A$5,COLUMN(T4)-1,0)</f>
        <v>RooftopPV</v>
      </c>
      <c r="V3" s="322" t="str">
        <f ca="1">OFFSET(Control!$A$5,COLUMN(U4)-1,0)</f>
        <v>ReducedAir</v>
      </c>
      <c r="W3" s="322" t="str">
        <f ca="1">OFFSET(Control!$A$5,COLUMN(V4)-1,0)</f>
        <v>ReducedAuto</v>
      </c>
      <c r="X3" s="322" t="str">
        <f ca="1">OFFSET(Control!$A$5,COLUMN(W4)-1,0)</f>
        <v>BehaviorChange</v>
      </c>
      <c r="Y3" s="322">
        <f ca="1">OFFSET(Control!$A$5,COLUMN(X4)-1,0)</f>
        <v>0</v>
      </c>
      <c r="Z3" s="322">
        <f ca="1">OFFSET(Control!$A$5,COLUMN(Y4)-1,0)</f>
        <v>0</v>
      </c>
      <c r="AA3" s="322">
        <f ca="1">OFFSET(Control!$A$5,COLUMN(Z4)-1,0)</f>
        <v>0</v>
      </c>
      <c r="AB3" s="322">
        <f ca="1">OFFSET(Control!$A$5,COLUMN(AA4)-1,0)</f>
        <v>0</v>
      </c>
      <c r="AC3" s="322">
        <f ca="1">OFFSET(Control!$A$5,COLUMN(AB4)-1,0)</f>
        <v>0</v>
      </c>
      <c r="AD3" s="322">
        <f ca="1">OFFSET(Control!$A$5,COLUMN(AC4)-1,0)</f>
        <v>0</v>
      </c>
      <c r="AE3" s="322">
        <f ca="1">OFFSET(Control!$A$5,COLUMN(AD4)-1,0)</f>
        <v>0</v>
      </c>
      <c r="AF3" s="322">
        <f ca="1">OFFSET(Control!$A$5,COLUMN(AE4)-1,0)</f>
        <v>0</v>
      </c>
    </row>
    <row r="4" spans="1:32" ht="29.25" customHeight="1">
      <c r="A4" s="321" t="s">
        <v>302</v>
      </c>
      <c r="B4" s="264" t="str">
        <f ca="1">INDIRECT(B3)</f>
        <v>Green Power Purchase Opt 1 (Partial)</v>
      </c>
      <c r="C4" s="264" t="str">
        <f t="shared" ref="C4:AF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t="shared" ca="1" si="0"/>
        <v>#REF!</v>
      </c>
    </row>
    <row r="5" spans="1:32">
      <c r="A5">
        <v>2010</v>
      </c>
      <c r="B5" s="344">
        <f t="shared" ref="B5:B45" ca="1" si="1">OFFSET(INDIRECT(B$3),$A5-$A$5+$C$1,$C$2)</f>
        <v>0</v>
      </c>
      <c r="C5" s="344">
        <f t="shared" ref="C5:AF13" ca="1" si="2">OFFSET(INDIRECT(C$3),$A5-$A$5+$C$1,$C$2)</f>
        <v>0</v>
      </c>
      <c r="D5" s="344">
        <f t="shared" ca="1" si="2"/>
        <v>0</v>
      </c>
      <c r="E5" s="344">
        <f t="shared" ca="1" si="2"/>
        <v>0</v>
      </c>
      <c r="F5" s="344">
        <f t="shared" ca="1" si="2"/>
        <v>0</v>
      </c>
      <c r="G5" s="344">
        <f t="shared" ca="1" si="2"/>
        <v>0</v>
      </c>
      <c r="H5" s="344">
        <f t="shared" ca="1" si="2"/>
        <v>0</v>
      </c>
      <c r="I5" s="344">
        <f t="shared" ca="1" si="2"/>
        <v>0</v>
      </c>
      <c r="J5" s="344">
        <f t="shared" ca="1" si="2"/>
        <v>0</v>
      </c>
      <c r="K5" s="344">
        <f t="shared" ca="1" si="2"/>
        <v>0</v>
      </c>
      <c r="L5" s="344">
        <f t="shared" ca="1" si="2"/>
        <v>0</v>
      </c>
      <c r="M5" s="344">
        <f t="shared" ca="1" si="2"/>
        <v>0</v>
      </c>
      <c r="N5" s="344">
        <f t="shared" ca="1" si="2"/>
        <v>0</v>
      </c>
      <c r="O5" s="344">
        <f t="shared" ca="1" si="2"/>
        <v>0</v>
      </c>
      <c r="P5" s="344">
        <f t="shared" ca="1" si="2"/>
        <v>0</v>
      </c>
      <c r="Q5" s="344">
        <f t="shared" ca="1" si="2"/>
        <v>0</v>
      </c>
      <c r="R5" s="344">
        <f t="shared" ca="1" si="2"/>
        <v>0</v>
      </c>
      <c r="S5" s="344">
        <f t="shared" ca="1" si="2"/>
        <v>0</v>
      </c>
      <c r="T5" s="344">
        <f t="shared" ca="1" si="2"/>
        <v>0</v>
      </c>
      <c r="U5" s="344">
        <f t="shared" ca="1" si="2"/>
        <v>0</v>
      </c>
      <c r="V5" s="344">
        <f t="shared" ca="1" si="2"/>
        <v>0</v>
      </c>
      <c r="W5" s="344">
        <f t="shared" ca="1" si="2"/>
        <v>0</v>
      </c>
      <c r="X5" s="344">
        <f t="shared" ca="1" si="2"/>
        <v>0</v>
      </c>
      <c r="Y5" s="344" t="e">
        <f t="shared" ca="1" si="2"/>
        <v>#REF!</v>
      </c>
      <c r="Z5" s="344" t="e">
        <f t="shared" ca="1" si="2"/>
        <v>#REF!</v>
      </c>
      <c r="AA5" s="344" t="e">
        <f t="shared" ca="1" si="2"/>
        <v>#REF!</v>
      </c>
      <c r="AB5" s="344" t="e">
        <f t="shared" ca="1" si="2"/>
        <v>#REF!</v>
      </c>
      <c r="AC5" s="344" t="e">
        <f t="shared" ca="1" si="2"/>
        <v>#REF!</v>
      </c>
      <c r="AD5" s="344" t="e">
        <f t="shared" ca="1" si="2"/>
        <v>#REF!</v>
      </c>
      <c r="AE5" s="344" t="e">
        <f t="shared" ca="1" si="2"/>
        <v>#REF!</v>
      </c>
      <c r="AF5" s="344" t="e">
        <f t="shared" ca="1" si="2"/>
        <v>#REF!</v>
      </c>
    </row>
    <row r="6" spans="1:32">
      <c r="A6">
        <f>A5+1</f>
        <v>2011</v>
      </c>
      <c r="B6" s="344">
        <f t="shared" ca="1" si="1"/>
        <v>0</v>
      </c>
      <c r="C6" s="344">
        <f t="shared" ref="C6:Q6" ca="1" si="3">OFFSET(INDIRECT(C$3),$A6-$A$5+$C$1,$C$2)</f>
        <v>0</v>
      </c>
      <c r="D6" s="344">
        <f t="shared" ca="1" si="3"/>
        <v>0</v>
      </c>
      <c r="E6" s="344">
        <f t="shared" ca="1" si="3"/>
        <v>0</v>
      </c>
      <c r="F6" s="344">
        <f t="shared" ca="1" si="3"/>
        <v>0</v>
      </c>
      <c r="G6" s="344">
        <f t="shared" ca="1" si="3"/>
        <v>0</v>
      </c>
      <c r="H6" s="344">
        <f t="shared" ca="1" si="3"/>
        <v>0</v>
      </c>
      <c r="I6" s="344">
        <f t="shared" ca="1" si="3"/>
        <v>0</v>
      </c>
      <c r="J6" s="344">
        <f t="shared" ca="1" si="3"/>
        <v>0</v>
      </c>
      <c r="K6" s="344">
        <f t="shared" ca="1" si="3"/>
        <v>0</v>
      </c>
      <c r="L6" s="344">
        <f t="shared" ca="1" si="3"/>
        <v>0</v>
      </c>
      <c r="M6" s="344">
        <f t="shared" ca="1" si="3"/>
        <v>0</v>
      </c>
      <c r="N6" s="344">
        <f t="shared" ca="1" si="3"/>
        <v>0</v>
      </c>
      <c r="O6" s="344">
        <f t="shared" ca="1" si="3"/>
        <v>0</v>
      </c>
      <c r="P6" s="344">
        <f t="shared" ca="1" si="3"/>
        <v>0</v>
      </c>
      <c r="Q6" s="344">
        <f t="shared" ca="1" si="3"/>
        <v>0</v>
      </c>
      <c r="R6" s="344">
        <f t="shared" ca="1" si="2"/>
        <v>0</v>
      </c>
      <c r="S6" s="344">
        <f t="shared" ca="1" si="2"/>
        <v>0</v>
      </c>
      <c r="T6" s="344">
        <f t="shared" ca="1" si="2"/>
        <v>0</v>
      </c>
      <c r="U6" s="344">
        <f t="shared" ca="1" si="2"/>
        <v>0</v>
      </c>
      <c r="V6" s="344">
        <f t="shared" ca="1" si="2"/>
        <v>0</v>
      </c>
      <c r="W6" s="344">
        <f t="shared" ca="1" si="2"/>
        <v>0</v>
      </c>
      <c r="X6" s="344">
        <f t="shared" ca="1" si="2"/>
        <v>0</v>
      </c>
      <c r="Y6" s="344" t="e">
        <f t="shared" ca="1" si="2"/>
        <v>#REF!</v>
      </c>
      <c r="Z6" s="344" t="e">
        <f t="shared" ca="1" si="2"/>
        <v>#REF!</v>
      </c>
      <c r="AA6" s="344" t="e">
        <f t="shared" ca="1" si="2"/>
        <v>#REF!</v>
      </c>
      <c r="AB6" s="344" t="e">
        <f t="shared" ca="1" si="2"/>
        <v>#REF!</v>
      </c>
      <c r="AC6" s="344" t="e">
        <f t="shared" ca="1" si="2"/>
        <v>#REF!</v>
      </c>
      <c r="AD6" s="344" t="e">
        <f t="shared" ca="1" si="2"/>
        <v>#REF!</v>
      </c>
      <c r="AE6" s="344" t="e">
        <f t="shared" ca="1" si="2"/>
        <v>#REF!</v>
      </c>
      <c r="AF6" s="344" t="e">
        <f t="shared" ca="1" si="2"/>
        <v>#REF!</v>
      </c>
    </row>
    <row r="7" spans="1:32">
      <c r="A7">
        <f t="shared" ref="A7:A45" si="4">A6+1</f>
        <v>2012</v>
      </c>
      <c r="B7" s="344">
        <f t="shared" ca="1" si="1"/>
        <v>0</v>
      </c>
      <c r="C7" s="344">
        <f t="shared" ca="1" si="2"/>
        <v>0</v>
      </c>
      <c r="D7" s="344">
        <f t="shared" ca="1" si="2"/>
        <v>0</v>
      </c>
      <c r="E7" s="344">
        <f t="shared" ca="1" si="2"/>
        <v>0</v>
      </c>
      <c r="F7" s="344">
        <f t="shared" ca="1" si="2"/>
        <v>0</v>
      </c>
      <c r="G7" s="344">
        <f t="shared" ca="1" si="2"/>
        <v>0</v>
      </c>
      <c r="H7" s="344">
        <f t="shared" ca="1" si="2"/>
        <v>0</v>
      </c>
      <c r="I7" s="344">
        <f t="shared" ca="1" si="2"/>
        <v>0</v>
      </c>
      <c r="J7" s="344">
        <f t="shared" ca="1" si="2"/>
        <v>0</v>
      </c>
      <c r="K7" s="344">
        <f t="shared" ca="1" si="2"/>
        <v>0</v>
      </c>
      <c r="L7" s="344">
        <f t="shared" ca="1" si="2"/>
        <v>0</v>
      </c>
      <c r="M7" s="344">
        <f t="shared" ca="1" si="2"/>
        <v>0</v>
      </c>
      <c r="N7" s="344">
        <f t="shared" ca="1" si="2"/>
        <v>0</v>
      </c>
      <c r="O7" s="344">
        <f t="shared" ca="1" si="2"/>
        <v>0</v>
      </c>
      <c r="P7" s="344">
        <f t="shared" ca="1" si="2"/>
        <v>0</v>
      </c>
      <c r="Q7" s="344">
        <f t="shared" ca="1" si="2"/>
        <v>0</v>
      </c>
      <c r="R7" s="344">
        <f t="shared" ca="1" si="2"/>
        <v>0</v>
      </c>
      <c r="S7" s="344">
        <f t="shared" ca="1" si="2"/>
        <v>0</v>
      </c>
      <c r="T7" s="344">
        <f t="shared" ca="1" si="2"/>
        <v>0</v>
      </c>
      <c r="U7" s="344">
        <f t="shared" ca="1" si="2"/>
        <v>0</v>
      </c>
      <c r="V7" s="344">
        <f t="shared" ca="1" si="2"/>
        <v>0</v>
      </c>
      <c r="W7" s="344">
        <f t="shared" ca="1" si="2"/>
        <v>-162.81643397406458</v>
      </c>
      <c r="X7" s="344">
        <f t="shared" ca="1" si="2"/>
        <v>0</v>
      </c>
      <c r="Y7" s="344" t="e">
        <f t="shared" ca="1" si="2"/>
        <v>#REF!</v>
      </c>
      <c r="Z7" s="344" t="e">
        <f t="shared" ca="1" si="2"/>
        <v>#REF!</v>
      </c>
      <c r="AA7" s="344" t="e">
        <f t="shared" ca="1" si="2"/>
        <v>#REF!</v>
      </c>
      <c r="AB7" s="344" t="e">
        <f t="shared" ca="1" si="2"/>
        <v>#REF!</v>
      </c>
      <c r="AC7" s="344" t="e">
        <f t="shared" ca="1" si="2"/>
        <v>#REF!</v>
      </c>
      <c r="AD7" s="344" t="e">
        <f t="shared" ca="1" si="2"/>
        <v>#REF!</v>
      </c>
      <c r="AE7" s="344" t="e">
        <f t="shared" ca="1" si="2"/>
        <v>#REF!</v>
      </c>
      <c r="AF7" s="344" t="e">
        <f t="shared" ca="1" si="2"/>
        <v>#REF!</v>
      </c>
    </row>
    <row r="8" spans="1:32">
      <c r="A8">
        <f t="shared" si="4"/>
        <v>2013</v>
      </c>
      <c r="B8" s="344">
        <f t="shared" ca="1" si="1"/>
        <v>0</v>
      </c>
      <c r="C8" s="344">
        <f t="shared" ca="1" si="2"/>
        <v>0</v>
      </c>
      <c r="D8" s="344">
        <f t="shared" ca="1" si="2"/>
        <v>0</v>
      </c>
      <c r="E8" s="344">
        <f t="shared" ca="1" si="2"/>
        <v>0</v>
      </c>
      <c r="F8" s="344">
        <f t="shared" ca="1" si="2"/>
        <v>0</v>
      </c>
      <c r="G8" s="344">
        <f t="shared" ca="1" si="2"/>
        <v>0</v>
      </c>
      <c r="H8" s="344">
        <f t="shared" ca="1" si="2"/>
        <v>0</v>
      </c>
      <c r="I8" s="344">
        <f t="shared" ca="1" si="2"/>
        <v>0</v>
      </c>
      <c r="J8" s="344">
        <f t="shared" ca="1" si="2"/>
        <v>0</v>
      </c>
      <c r="K8" s="344">
        <f t="shared" ca="1" si="2"/>
        <v>0</v>
      </c>
      <c r="L8" s="344">
        <f t="shared" ca="1" si="2"/>
        <v>0</v>
      </c>
      <c r="M8" s="344">
        <f t="shared" ca="1" si="2"/>
        <v>0</v>
      </c>
      <c r="N8" s="344">
        <f t="shared" ca="1" si="2"/>
        <v>0</v>
      </c>
      <c r="O8" s="344">
        <f t="shared" ca="1" si="2"/>
        <v>0</v>
      </c>
      <c r="P8" s="344">
        <f t="shared" ca="1" si="2"/>
        <v>0</v>
      </c>
      <c r="Q8" s="344">
        <f t="shared" ca="1" si="2"/>
        <v>0</v>
      </c>
      <c r="R8" s="344">
        <f t="shared" ca="1" si="2"/>
        <v>0</v>
      </c>
      <c r="S8" s="344">
        <f t="shared" ca="1" si="2"/>
        <v>0</v>
      </c>
      <c r="T8" s="344">
        <f t="shared" ca="1" si="2"/>
        <v>0</v>
      </c>
      <c r="U8" s="344">
        <f t="shared" ca="1" si="2"/>
        <v>0</v>
      </c>
      <c r="V8" s="344">
        <f t="shared" ca="1" si="2"/>
        <v>0</v>
      </c>
      <c r="W8" s="344">
        <f t="shared" ca="1" si="2"/>
        <v>-326.1924377394069</v>
      </c>
      <c r="X8" s="344">
        <f t="shared" ca="1" si="2"/>
        <v>0</v>
      </c>
      <c r="Y8" s="344" t="e">
        <f t="shared" ca="1" si="2"/>
        <v>#REF!</v>
      </c>
      <c r="Z8" s="344" t="e">
        <f t="shared" ca="1" si="2"/>
        <v>#REF!</v>
      </c>
      <c r="AA8" s="344" t="e">
        <f t="shared" ca="1" si="2"/>
        <v>#REF!</v>
      </c>
      <c r="AB8" s="344" t="e">
        <f t="shared" ca="1" si="2"/>
        <v>#REF!</v>
      </c>
      <c r="AC8" s="344" t="e">
        <f t="shared" ca="1" si="2"/>
        <v>#REF!</v>
      </c>
      <c r="AD8" s="344" t="e">
        <f t="shared" ca="1" si="2"/>
        <v>#REF!</v>
      </c>
      <c r="AE8" s="344" t="e">
        <f t="shared" ca="1" si="2"/>
        <v>#REF!</v>
      </c>
      <c r="AF8" s="344" t="e">
        <f t="shared" ca="1" si="2"/>
        <v>#REF!</v>
      </c>
    </row>
    <row r="9" spans="1:32">
      <c r="A9">
        <f t="shared" si="4"/>
        <v>2014</v>
      </c>
      <c r="B9" s="344">
        <f t="shared" ca="1" si="1"/>
        <v>0</v>
      </c>
      <c r="C9" s="344">
        <f t="shared" ca="1" si="2"/>
        <v>0</v>
      </c>
      <c r="D9" s="344">
        <f t="shared" ca="1" si="2"/>
        <v>0</v>
      </c>
      <c r="E9" s="344">
        <f t="shared" ca="1" si="2"/>
        <v>0</v>
      </c>
      <c r="F9" s="344">
        <f t="shared" ca="1" si="2"/>
        <v>0</v>
      </c>
      <c r="G9" s="344">
        <f t="shared" ca="1" si="2"/>
        <v>0</v>
      </c>
      <c r="H9" s="344">
        <f t="shared" ca="1" si="2"/>
        <v>0</v>
      </c>
      <c r="I9" s="344">
        <f t="shared" ca="1" si="2"/>
        <v>0</v>
      </c>
      <c r="J9" s="344">
        <f t="shared" ca="1" si="2"/>
        <v>0</v>
      </c>
      <c r="K9" s="344">
        <f t="shared" ca="1" si="2"/>
        <v>0</v>
      </c>
      <c r="L9" s="344">
        <f t="shared" ca="1" si="2"/>
        <v>0</v>
      </c>
      <c r="M9" s="344">
        <f t="shared" ca="1" si="2"/>
        <v>0</v>
      </c>
      <c r="N9" s="344">
        <f t="shared" ca="1" si="2"/>
        <v>0</v>
      </c>
      <c r="O9" s="344">
        <f t="shared" ca="1" si="2"/>
        <v>0</v>
      </c>
      <c r="P9" s="344">
        <f t="shared" ca="1" si="2"/>
        <v>0</v>
      </c>
      <c r="Q9" s="344">
        <f t="shared" ca="1" si="2"/>
        <v>0</v>
      </c>
      <c r="R9" s="344">
        <f t="shared" ca="1" si="2"/>
        <v>0</v>
      </c>
      <c r="S9" s="344">
        <f t="shared" ca="1" si="2"/>
        <v>0</v>
      </c>
      <c r="T9" s="344">
        <f t="shared" ca="1" si="2"/>
        <v>0</v>
      </c>
      <c r="U9" s="344">
        <f t="shared" ca="1" si="2"/>
        <v>0</v>
      </c>
      <c r="V9" s="344">
        <f t="shared" ca="1" si="2"/>
        <v>0</v>
      </c>
      <c r="W9" s="344">
        <f t="shared" ca="1" si="2"/>
        <v>-489.99756396934276</v>
      </c>
      <c r="X9" s="344">
        <f t="shared" ca="1" si="2"/>
        <v>0</v>
      </c>
      <c r="Y9" s="344" t="e">
        <f t="shared" ca="1" si="2"/>
        <v>#REF!</v>
      </c>
      <c r="Z9" s="344" t="e">
        <f t="shared" ca="1" si="2"/>
        <v>#REF!</v>
      </c>
      <c r="AA9" s="344" t="e">
        <f t="shared" ca="1" si="2"/>
        <v>#REF!</v>
      </c>
      <c r="AB9" s="344" t="e">
        <f t="shared" ca="1" si="2"/>
        <v>#REF!</v>
      </c>
      <c r="AC9" s="344" t="e">
        <f t="shared" ca="1" si="2"/>
        <v>#REF!</v>
      </c>
      <c r="AD9" s="344" t="e">
        <f t="shared" ca="1" si="2"/>
        <v>#REF!</v>
      </c>
      <c r="AE9" s="344" t="e">
        <f t="shared" ca="1" si="2"/>
        <v>#REF!</v>
      </c>
      <c r="AF9" s="344" t="e">
        <f t="shared" ca="1" si="2"/>
        <v>#REF!</v>
      </c>
    </row>
    <row r="10" spans="1:32">
      <c r="A10">
        <f t="shared" si="4"/>
        <v>2015</v>
      </c>
      <c r="B10" s="344">
        <f t="shared" ca="1" si="1"/>
        <v>0</v>
      </c>
      <c r="C10" s="344">
        <f t="shared" ca="1" si="2"/>
        <v>0</v>
      </c>
      <c r="D10" s="344">
        <f t="shared" ca="1" si="2"/>
        <v>0</v>
      </c>
      <c r="E10" s="344">
        <f t="shared" ca="1" si="2"/>
        <v>0</v>
      </c>
      <c r="F10" s="344">
        <f t="shared" ca="1" si="2"/>
        <v>0</v>
      </c>
      <c r="G10" s="344">
        <f t="shared" ca="1" si="2"/>
        <v>0</v>
      </c>
      <c r="H10" s="344">
        <f t="shared" ca="1" si="2"/>
        <v>0</v>
      </c>
      <c r="I10" s="344">
        <f t="shared" ca="1" si="2"/>
        <v>0</v>
      </c>
      <c r="J10" s="344">
        <f t="shared" ca="1" si="2"/>
        <v>0</v>
      </c>
      <c r="K10" s="344">
        <f t="shared" ca="1" si="2"/>
        <v>0</v>
      </c>
      <c r="L10" s="344">
        <f t="shared" ca="1" si="2"/>
        <v>0</v>
      </c>
      <c r="M10" s="344">
        <f t="shared" ca="1" si="2"/>
        <v>0</v>
      </c>
      <c r="N10" s="344">
        <f t="shared" ca="1" si="2"/>
        <v>0</v>
      </c>
      <c r="O10" s="344">
        <f t="shared" ca="1" si="2"/>
        <v>0</v>
      </c>
      <c r="P10" s="344">
        <f t="shared" ca="1" si="2"/>
        <v>0</v>
      </c>
      <c r="Q10" s="344">
        <f t="shared" ca="1" si="2"/>
        <v>0</v>
      </c>
      <c r="R10" s="344">
        <f t="shared" ca="1" si="2"/>
        <v>0</v>
      </c>
      <c r="S10" s="344">
        <f t="shared" ca="1" si="2"/>
        <v>0</v>
      </c>
      <c r="T10" s="344">
        <f t="shared" ca="1" si="2"/>
        <v>0</v>
      </c>
      <c r="U10" s="344">
        <f t="shared" ca="1" si="2"/>
        <v>0</v>
      </c>
      <c r="V10" s="344">
        <f t="shared" ca="1" si="2"/>
        <v>0</v>
      </c>
      <c r="W10" s="344">
        <f t="shared" ca="1" si="2"/>
        <v>-654.16428845085125</v>
      </c>
      <c r="X10" s="344">
        <f t="shared" ca="1" si="2"/>
        <v>0</v>
      </c>
      <c r="Y10" s="344" t="e">
        <f t="shared" ca="1" si="2"/>
        <v>#REF!</v>
      </c>
      <c r="Z10" s="344" t="e">
        <f t="shared" ca="1" si="2"/>
        <v>#REF!</v>
      </c>
      <c r="AA10" s="344" t="e">
        <f t="shared" ca="1" si="2"/>
        <v>#REF!</v>
      </c>
      <c r="AB10" s="344" t="e">
        <f t="shared" ca="1" si="2"/>
        <v>#REF!</v>
      </c>
      <c r="AC10" s="344" t="e">
        <f t="shared" ca="1" si="2"/>
        <v>#REF!</v>
      </c>
      <c r="AD10" s="344" t="e">
        <f t="shared" ca="1" si="2"/>
        <v>#REF!</v>
      </c>
      <c r="AE10" s="344" t="e">
        <f t="shared" ca="1" si="2"/>
        <v>#REF!</v>
      </c>
      <c r="AF10" s="344" t="e">
        <f t="shared" ca="1" si="2"/>
        <v>#REF!</v>
      </c>
    </row>
    <row r="11" spans="1:32">
      <c r="A11">
        <f t="shared" si="4"/>
        <v>2016</v>
      </c>
      <c r="B11" s="344">
        <f t="shared" ca="1" si="1"/>
        <v>0</v>
      </c>
      <c r="C11" s="344">
        <f t="shared" ca="1" si="2"/>
        <v>0</v>
      </c>
      <c r="D11" s="344">
        <f t="shared" ca="1" si="2"/>
        <v>0</v>
      </c>
      <c r="E11" s="344">
        <f t="shared" ca="1" si="2"/>
        <v>0</v>
      </c>
      <c r="F11" s="344">
        <f t="shared" ca="1" si="2"/>
        <v>0</v>
      </c>
      <c r="G11" s="344">
        <f t="shared" ca="1" si="2"/>
        <v>0</v>
      </c>
      <c r="H11" s="344">
        <f t="shared" ca="1" si="2"/>
        <v>0</v>
      </c>
      <c r="I11" s="344">
        <f t="shared" ca="1" si="2"/>
        <v>0</v>
      </c>
      <c r="J11" s="344">
        <f t="shared" ca="1" si="2"/>
        <v>0</v>
      </c>
      <c r="K11" s="344">
        <f t="shared" ca="1" si="2"/>
        <v>0</v>
      </c>
      <c r="L11" s="344">
        <f t="shared" ca="1" si="2"/>
        <v>0</v>
      </c>
      <c r="M11" s="344">
        <f t="shared" ca="1" si="2"/>
        <v>0</v>
      </c>
      <c r="N11" s="344">
        <f t="shared" ca="1" si="2"/>
        <v>0</v>
      </c>
      <c r="O11" s="344">
        <f t="shared" ca="1" si="2"/>
        <v>0</v>
      </c>
      <c r="P11" s="344">
        <f t="shared" ca="1" si="2"/>
        <v>0</v>
      </c>
      <c r="Q11" s="344">
        <f t="shared" ca="1" si="2"/>
        <v>0</v>
      </c>
      <c r="R11" s="344">
        <f t="shared" ca="1" si="2"/>
        <v>0</v>
      </c>
      <c r="S11" s="344">
        <f t="shared" ca="1" si="2"/>
        <v>0</v>
      </c>
      <c r="T11" s="344">
        <f t="shared" ca="1" si="2"/>
        <v>0</v>
      </c>
      <c r="U11" s="344">
        <f t="shared" ca="1" si="2"/>
        <v>0</v>
      </c>
      <c r="V11" s="344">
        <f t="shared" ca="1" si="2"/>
        <v>0</v>
      </c>
      <c r="W11" s="344">
        <f t="shared" ca="1" si="2"/>
        <v>-818.64945967225867</v>
      </c>
      <c r="X11" s="344">
        <f t="shared" ca="1" si="2"/>
        <v>0</v>
      </c>
      <c r="Y11" s="344" t="e">
        <f t="shared" ca="1" si="2"/>
        <v>#REF!</v>
      </c>
      <c r="Z11" s="344" t="e">
        <f t="shared" ca="1" si="2"/>
        <v>#REF!</v>
      </c>
      <c r="AA11" s="344" t="e">
        <f t="shared" ca="1" si="2"/>
        <v>#REF!</v>
      </c>
      <c r="AB11" s="344" t="e">
        <f t="shared" ca="1" si="2"/>
        <v>#REF!</v>
      </c>
      <c r="AC11" s="344" t="e">
        <f t="shared" ca="1" si="2"/>
        <v>#REF!</v>
      </c>
      <c r="AD11" s="344" t="e">
        <f t="shared" ca="1" si="2"/>
        <v>#REF!</v>
      </c>
      <c r="AE11" s="344" t="e">
        <f t="shared" ca="1" si="2"/>
        <v>#REF!</v>
      </c>
      <c r="AF11" s="344" t="e">
        <f t="shared" ca="1" si="2"/>
        <v>#REF!</v>
      </c>
    </row>
    <row r="12" spans="1:32">
      <c r="A12">
        <f t="shared" si="4"/>
        <v>2017</v>
      </c>
      <c r="B12" s="344">
        <f t="shared" ca="1" si="1"/>
        <v>0</v>
      </c>
      <c r="C12" s="344">
        <f t="shared" ca="1" si="2"/>
        <v>0</v>
      </c>
      <c r="D12" s="344">
        <f t="shared" ca="1" si="2"/>
        <v>0</v>
      </c>
      <c r="E12" s="344">
        <f t="shared" ca="1" si="2"/>
        <v>0</v>
      </c>
      <c r="F12" s="344">
        <f t="shared" ca="1" si="2"/>
        <v>0</v>
      </c>
      <c r="G12" s="344">
        <f t="shared" ca="1" si="2"/>
        <v>0</v>
      </c>
      <c r="H12" s="344">
        <f t="shared" ca="1" si="2"/>
        <v>0</v>
      </c>
      <c r="I12" s="344">
        <f t="shared" ca="1" si="2"/>
        <v>0</v>
      </c>
      <c r="J12" s="344">
        <f t="shared" ca="1" si="2"/>
        <v>0</v>
      </c>
      <c r="K12" s="344">
        <f t="shared" ca="1" si="2"/>
        <v>0</v>
      </c>
      <c r="L12" s="344">
        <f t="shared" ca="1" si="2"/>
        <v>0</v>
      </c>
      <c r="M12" s="344">
        <f t="shared" ca="1" si="2"/>
        <v>0</v>
      </c>
      <c r="N12" s="344">
        <f t="shared" ca="1" si="2"/>
        <v>0</v>
      </c>
      <c r="O12" s="344">
        <f t="shared" ca="1" si="2"/>
        <v>0</v>
      </c>
      <c r="P12" s="344">
        <f t="shared" ca="1" si="2"/>
        <v>0</v>
      </c>
      <c r="Q12" s="344">
        <f t="shared" ca="1" si="2"/>
        <v>0</v>
      </c>
      <c r="R12" s="344">
        <f t="shared" ca="1" si="2"/>
        <v>0</v>
      </c>
      <c r="S12" s="344">
        <f t="shared" ca="1" si="2"/>
        <v>0</v>
      </c>
      <c r="T12" s="344">
        <f t="shared" ca="1" si="2"/>
        <v>0</v>
      </c>
      <c r="U12" s="344">
        <f t="shared" ca="1" si="2"/>
        <v>0</v>
      </c>
      <c r="V12" s="344">
        <f t="shared" ca="1" si="2"/>
        <v>0</v>
      </c>
      <c r="W12" s="344">
        <f t="shared" ca="1" si="2"/>
        <v>-983.42242590882825</v>
      </c>
      <c r="X12" s="344">
        <f t="shared" ca="1" si="2"/>
        <v>0</v>
      </c>
      <c r="Y12" s="344" t="e">
        <f t="shared" ca="1" si="2"/>
        <v>#REF!</v>
      </c>
      <c r="Z12" s="344" t="e">
        <f t="shared" ca="1" si="2"/>
        <v>#REF!</v>
      </c>
      <c r="AA12" s="344" t="e">
        <f t="shared" ca="1" si="2"/>
        <v>#REF!</v>
      </c>
      <c r="AB12" s="344" t="e">
        <f t="shared" ca="1" si="2"/>
        <v>#REF!</v>
      </c>
      <c r="AC12" s="344" t="e">
        <f t="shared" ca="1" si="2"/>
        <v>#REF!</v>
      </c>
      <c r="AD12" s="344" t="e">
        <f t="shared" ca="1" si="2"/>
        <v>#REF!</v>
      </c>
      <c r="AE12" s="344" t="e">
        <f t="shared" ca="1" si="2"/>
        <v>#REF!</v>
      </c>
      <c r="AF12" s="344" t="e">
        <f t="shared" ca="1" si="2"/>
        <v>#REF!</v>
      </c>
    </row>
    <row r="13" spans="1:32">
      <c r="A13">
        <f t="shared" si="4"/>
        <v>2018</v>
      </c>
      <c r="B13" s="344">
        <f t="shared" ca="1" si="1"/>
        <v>0</v>
      </c>
      <c r="C13" s="344">
        <f t="shared" ca="1" si="2"/>
        <v>0</v>
      </c>
      <c r="D13" s="344">
        <f t="shared" ca="1" si="2"/>
        <v>0</v>
      </c>
      <c r="E13" s="344">
        <f t="shared" ca="1" si="2"/>
        <v>0</v>
      </c>
      <c r="F13" s="344">
        <f t="shared" ca="1" si="2"/>
        <v>0</v>
      </c>
      <c r="G13" s="344">
        <f t="shared" ca="1" si="2"/>
        <v>0</v>
      </c>
      <c r="H13" s="344">
        <f t="shared" ca="1" si="2"/>
        <v>0</v>
      </c>
      <c r="I13" s="344">
        <f t="shared" ca="1" si="2"/>
        <v>0</v>
      </c>
      <c r="J13" s="344">
        <f t="shared" ca="1" si="2"/>
        <v>0</v>
      </c>
      <c r="K13" s="344">
        <f t="shared" ca="1" si="2"/>
        <v>0</v>
      </c>
      <c r="L13" s="344">
        <f t="shared" ca="1" si="2"/>
        <v>0</v>
      </c>
      <c r="M13" s="344">
        <f t="shared" ca="1" si="2"/>
        <v>0</v>
      </c>
      <c r="N13" s="344">
        <f t="shared" ca="1" si="2"/>
        <v>0</v>
      </c>
      <c r="O13" s="344">
        <f t="shared" ca="1" si="2"/>
        <v>0</v>
      </c>
      <c r="P13" s="344">
        <f t="shared" ca="1" si="2"/>
        <v>0</v>
      </c>
      <c r="Q13" s="344">
        <f t="shared" ca="1" si="2"/>
        <v>0</v>
      </c>
      <c r="R13" s="344">
        <f t="shared" ca="1" si="2"/>
        <v>0</v>
      </c>
      <c r="S13" s="344">
        <f t="shared" ca="1" si="2"/>
        <v>0</v>
      </c>
      <c r="T13" s="344">
        <f t="shared" ca="1" si="2"/>
        <v>0</v>
      </c>
      <c r="U13" s="344">
        <f t="shared" ca="1" si="2"/>
        <v>0</v>
      </c>
      <c r="V13" s="344">
        <f t="shared" ca="1" si="2"/>
        <v>0</v>
      </c>
      <c r="W13" s="344">
        <f t="shared" ca="1" si="2"/>
        <v>-1148.4599608720218</v>
      </c>
      <c r="X13" s="344">
        <f t="shared" ca="1" si="2"/>
        <v>0</v>
      </c>
      <c r="Y13" s="344" t="e">
        <f t="shared" ca="1" si="2"/>
        <v>#REF!</v>
      </c>
      <c r="Z13" s="344" t="e">
        <f t="shared" ca="1" si="2"/>
        <v>#REF!</v>
      </c>
      <c r="AA13" s="344" t="e">
        <f t="shared" ca="1" si="2"/>
        <v>#REF!</v>
      </c>
      <c r="AB13" s="344" t="e">
        <f t="shared" ca="1" si="2"/>
        <v>#REF!</v>
      </c>
      <c r="AC13" s="344" t="e">
        <f t="shared" ca="1" si="2"/>
        <v>#REF!</v>
      </c>
      <c r="AD13" s="344" t="e">
        <f t="shared" ca="1" si="2"/>
        <v>#REF!</v>
      </c>
      <c r="AE13" s="344" t="e">
        <f t="shared" ca="1" si="2"/>
        <v>#REF!</v>
      </c>
      <c r="AF13" s="344" t="e">
        <f t="shared" ca="1" si="2"/>
        <v>#REF!</v>
      </c>
    </row>
    <row r="14" spans="1:32">
      <c r="A14">
        <f t="shared" si="4"/>
        <v>2019</v>
      </c>
      <c r="B14" s="344">
        <f t="shared" ca="1" si="1"/>
        <v>0</v>
      </c>
      <c r="C14" s="344">
        <f t="shared" ref="C14:AF22" ca="1" si="5">OFFSET(INDIRECT(C$3),$A14-$A$5+$C$1,$C$2)</f>
        <v>0</v>
      </c>
      <c r="D14" s="344">
        <f t="shared" ca="1" si="5"/>
        <v>0</v>
      </c>
      <c r="E14" s="344">
        <f t="shared" ca="1" si="5"/>
        <v>0</v>
      </c>
      <c r="F14" s="344">
        <f t="shared" ca="1" si="5"/>
        <v>0</v>
      </c>
      <c r="G14" s="344">
        <f t="shared" ca="1" si="5"/>
        <v>0</v>
      </c>
      <c r="H14" s="344">
        <f t="shared" ca="1" si="5"/>
        <v>0</v>
      </c>
      <c r="I14" s="344">
        <f t="shared" ca="1" si="5"/>
        <v>0</v>
      </c>
      <c r="J14" s="344">
        <f t="shared" ca="1" si="5"/>
        <v>0</v>
      </c>
      <c r="K14" s="344">
        <f t="shared" ca="1" si="5"/>
        <v>0</v>
      </c>
      <c r="L14" s="344">
        <f t="shared" ca="1" si="5"/>
        <v>0</v>
      </c>
      <c r="M14" s="344">
        <f t="shared" ca="1" si="5"/>
        <v>0</v>
      </c>
      <c r="N14" s="344">
        <f t="shared" ca="1" si="5"/>
        <v>0</v>
      </c>
      <c r="O14" s="344">
        <f t="shared" ca="1" si="5"/>
        <v>0</v>
      </c>
      <c r="P14" s="344">
        <f t="shared" ca="1" si="5"/>
        <v>0</v>
      </c>
      <c r="Q14" s="344">
        <f t="shared" ca="1" si="5"/>
        <v>0</v>
      </c>
      <c r="R14" s="344">
        <f t="shared" ca="1" si="5"/>
        <v>0</v>
      </c>
      <c r="S14" s="344">
        <f t="shared" ca="1" si="5"/>
        <v>0</v>
      </c>
      <c r="T14" s="344">
        <f t="shared" ca="1" si="5"/>
        <v>0</v>
      </c>
      <c r="U14" s="344">
        <f t="shared" ca="1" si="5"/>
        <v>0</v>
      </c>
      <c r="V14" s="344">
        <f t="shared" ca="1" si="5"/>
        <v>0</v>
      </c>
      <c r="W14" s="344">
        <f t="shared" ca="1" si="5"/>
        <v>-1313.7436763489204</v>
      </c>
      <c r="X14" s="344">
        <f t="shared" ca="1" si="5"/>
        <v>0</v>
      </c>
      <c r="Y14" s="344" t="e">
        <f t="shared" ca="1" si="5"/>
        <v>#REF!</v>
      </c>
      <c r="Z14" s="344" t="e">
        <f t="shared" ca="1" si="5"/>
        <v>#REF!</v>
      </c>
      <c r="AA14" s="344" t="e">
        <f t="shared" ca="1" si="5"/>
        <v>#REF!</v>
      </c>
      <c r="AB14" s="344" t="e">
        <f t="shared" ca="1" si="5"/>
        <v>#REF!</v>
      </c>
      <c r="AC14" s="344" t="e">
        <f t="shared" ca="1" si="5"/>
        <v>#REF!</v>
      </c>
      <c r="AD14" s="344" t="e">
        <f t="shared" ca="1" si="5"/>
        <v>#REF!</v>
      </c>
      <c r="AE14" s="344" t="e">
        <f t="shared" ca="1" si="5"/>
        <v>#REF!</v>
      </c>
      <c r="AF14" s="344" t="e">
        <f t="shared" ca="1" si="5"/>
        <v>#REF!</v>
      </c>
    </row>
    <row r="15" spans="1:32">
      <c r="A15">
        <f t="shared" si="4"/>
        <v>2020</v>
      </c>
      <c r="B15" s="344">
        <f t="shared" ca="1" si="1"/>
        <v>0</v>
      </c>
      <c r="C15" s="344">
        <f t="shared" ca="1" si="5"/>
        <v>0</v>
      </c>
      <c r="D15" s="344">
        <f t="shared" ca="1" si="5"/>
        <v>0</v>
      </c>
      <c r="E15" s="344">
        <f t="shared" ca="1" si="5"/>
        <v>0</v>
      </c>
      <c r="F15" s="344">
        <f t="shared" ca="1" si="5"/>
        <v>0</v>
      </c>
      <c r="G15" s="344">
        <f t="shared" ca="1" si="5"/>
        <v>0</v>
      </c>
      <c r="H15" s="344">
        <f t="shared" ca="1" si="5"/>
        <v>0</v>
      </c>
      <c r="I15" s="344">
        <f t="shared" ca="1" si="5"/>
        <v>0</v>
      </c>
      <c r="J15" s="344">
        <f t="shared" ca="1" si="5"/>
        <v>0</v>
      </c>
      <c r="K15" s="344">
        <f t="shared" ca="1" si="5"/>
        <v>0</v>
      </c>
      <c r="L15" s="344">
        <f t="shared" ca="1" si="5"/>
        <v>0</v>
      </c>
      <c r="M15" s="344">
        <f t="shared" ca="1" si="5"/>
        <v>0</v>
      </c>
      <c r="N15" s="344">
        <f t="shared" ca="1" si="5"/>
        <v>0</v>
      </c>
      <c r="O15" s="344">
        <f t="shared" ca="1" si="5"/>
        <v>0</v>
      </c>
      <c r="P15" s="344">
        <f t="shared" ca="1" si="5"/>
        <v>0</v>
      </c>
      <c r="Q15" s="344">
        <f t="shared" ca="1" si="5"/>
        <v>0</v>
      </c>
      <c r="R15" s="344">
        <f t="shared" ca="1" si="5"/>
        <v>0</v>
      </c>
      <c r="S15" s="344">
        <f t="shared" ca="1" si="5"/>
        <v>0</v>
      </c>
      <c r="T15" s="344">
        <f t="shared" ca="1" si="5"/>
        <v>0</v>
      </c>
      <c r="U15" s="344">
        <f t="shared" ca="1" si="5"/>
        <v>0</v>
      </c>
      <c r="V15" s="344">
        <f t="shared" ca="1" si="5"/>
        <v>0</v>
      </c>
      <c r="W15" s="344">
        <f t="shared" ca="1" si="5"/>
        <v>-1479.258544660677</v>
      </c>
      <c r="X15" s="344">
        <f t="shared" ca="1" si="5"/>
        <v>0</v>
      </c>
      <c r="Y15" s="344" t="e">
        <f t="shared" ca="1" si="5"/>
        <v>#REF!</v>
      </c>
      <c r="Z15" s="344" t="e">
        <f t="shared" ca="1" si="5"/>
        <v>#REF!</v>
      </c>
      <c r="AA15" s="344" t="e">
        <f t="shared" ca="1" si="5"/>
        <v>#REF!</v>
      </c>
      <c r="AB15" s="344" t="e">
        <f t="shared" ca="1" si="5"/>
        <v>#REF!</v>
      </c>
      <c r="AC15" s="344" t="e">
        <f t="shared" ca="1" si="5"/>
        <v>#REF!</v>
      </c>
      <c r="AD15" s="344" t="e">
        <f t="shared" ca="1" si="5"/>
        <v>#REF!</v>
      </c>
      <c r="AE15" s="344" t="e">
        <f t="shared" ca="1" si="5"/>
        <v>#REF!</v>
      </c>
      <c r="AF15" s="344" t="e">
        <f t="shared" ca="1" si="5"/>
        <v>#REF!</v>
      </c>
    </row>
    <row r="16" spans="1:32">
      <c r="A16">
        <f t="shared" si="4"/>
        <v>2021</v>
      </c>
      <c r="B16" s="344">
        <f t="shared" ca="1" si="1"/>
        <v>0</v>
      </c>
      <c r="C16" s="344">
        <f t="shared" ca="1" si="5"/>
        <v>0</v>
      </c>
      <c r="D16" s="344">
        <f t="shared" ca="1" si="5"/>
        <v>0</v>
      </c>
      <c r="E16" s="344">
        <f t="shared" ca="1" si="5"/>
        <v>0</v>
      </c>
      <c r="F16" s="344">
        <f t="shared" ca="1" si="5"/>
        <v>0</v>
      </c>
      <c r="G16" s="344">
        <f t="shared" ca="1" si="5"/>
        <v>0</v>
      </c>
      <c r="H16" s="344">
        <f t="shared" ca="1" si="5"/>
        <v>0</v>
      </c>
      <c r="I16" s="344">
        <f t="shared" ca="1" si="5"/>
        <v>0</v>
      </c>
      <c r="J16" s="344">
        <f t="shared" ca="1" si="5"/>
        <v>0</v>
      </c>
      <c r="K16" s="344">
        <f t="shared" ca="1" si="5"/>
        <v>0</v>
      </c>
      <c r="L16" s="344">
        <f t="shared" ca="1" si="5"/>
        <v>0</v>
      </c>
      <c r="M16" s="344">
        <f t="shared" ca="1" si="5"/>
        <v>0</v>
      </c>
      <c r="N16" s="344">
        <f t="shared" ca="1" si="5"/>
        <v>0</v>
      </c>
      <c r="O16" s="344">
        <f t="shared" ca="1" si="5"/>
        <v>0</v>
      </c>
      <c r="P16" s="344">
        <f t="shared" ca="1" si="5"/>
        <v>0</v>
      </c>
      <c r="Q16" s="344">
        <f t="shared" ca="1" si="5"/>
        <v>0</v>
      </c>
      <c r="R16" s="344">
        <f t="shared" ca="1" si="5"/>
        <v>0</v>
      </c>
      <c r="S16" s="344">
        <f t="shared" ca="1" si="5"/>
        <v>0</v>
      </c>
      <c r="T16" s="344">
        <f t="shared" ca="1" si="5"/>
        <v>0</v>
      </c>
      <c r="U16" s="344">
        <f t="shared" ca="1" si="5"/>
        <v>0</v>
      </c>
      <c r="V16" s="344">
        <f t="shared" ca="1" si="5"/>
        <v>0</v>
      </c>
      <c r="W16" s="344">
        <f t="shared" ca="1" si="5"/>
        <v>-1644.9919849094142</v>
      </c>
      <c r="X16" s="344">
        <f t="shared" ca="1" si="5"/>
        <v>0</v>
      </c>
      <c r="Y16" s="344" t="e">
        <f t="shared" ca="1" si="5"/>
        <v>#REF!</v>
      </c>
      <c r="Z16" s="344" t="e">
        <f t="shared" ca="1" si="5"/>
        <v>#REF!</v>
      </c>
      <c r="AA16" s="344" t="e">
        <f t="shared" ca="1" si="5"/>
        <v>#REF!</v>
      </c>
      <c r="AB16" s="344" t="e">
        <f t="shared" ca="1" si="5"/>
        <v>#REF!</v>
      </c>
      <c r="AC16" s="344" t="e">
        <f t="shared" ca="1" si="5"/>
        <v>#REF!</v>
      </c>
      <c r="AD16" s="344" t="e">
        <f t="shared" ca="1" si="5"/>
        <v>#REF!</v>
      </c>
      <c r="AE16" s="344" t="e">
        <f t="shared" ca="1" si="5"/>
        <v>#REF!</v>
      </c>
      <c r="AF16" s="344" t="e">
        <f t="shared" ca="1" si="5"/>
        <v>#REF!</v>
      </c>
    </row>
    <row r="17" spans="1:32">
      <c r="A17">
        <f t="shared" si="4"/>
        <v>2022</v>
      </c>
      <c r="B17" s="344">
        <f t="shared" ca="1" si="1"/>
        <v>0</v>
      </c>
      <c r="C17" s="344">
        <f t="shared" ca="1" si="5"/>
        <v>0</v>
      </c>
      <c r="D17" s="344">
        <f t="shared" ca="1" si="5"/>
        <v>0</v>
      </c>
      <c r="E17" s="344">
        <f t="shared" ca="1" si="5"/>
        <v>0</v>
      </c>
      <c r="F17" s="344">
        <f t="shared" ca="1" si="5"/>
        <v>0</v>
      </c>
      <c r="G17" s="344">
        <f t="shared" ca="1" si="5"/>
        <v>0</v>
      </c>
      <c r="H17" s="344">
        <f t="shared" ca="1" si="5"/>
        <v>0</v>
      </c>
      <c r="I17" s="344">
        <f t="shared" ca="1" si="5"/>
        <v>0</v>
      </c>
      <c r="J17" s="344">
        <f t="shared" ca="1" si="5"/>
        <v>0</v>
      </c>
      <c r="K17" s="344">
        <f t="shared" ca="1" si="5"/>
        <v>0</v>
      </c>
      <c r="L17" s="344">
        <f t="shared" ca="1" si="5"/>
        <v>0</v>
      </c>
      <c r="M17" s="344">
        <f t="shared" ca="1" si="5"/>
        <v>0</v>
      </c>
      <c r="N17" s="344">
        <f t="shared" ca="1" si="5"/>
        <v>0</v>
      </c>
      <c r="O17" s="344">
        <f t="shared" ca="1" si="5"/>
        <v>0</v>
      </c>
      <c r="P17" s="344">
        <f t="shared" ca="1" si="5"/>
        <v>0</v>
      </c>
      <c r="Q17" s="344">
        <f t="shared" ca="1" si="5"/>
        <v>0</v>
      </c>
      <c r="R17" s="344">
        <f t="shared" ca="1" si="5"/>
        <v>0</v>
      </c>
      <c r="S17" s="344">
        <f t="shared" ca="1" si="5"/>
        <v>0</v>
      </c>
      <c r="T17" s="344">
        <f t="shared" ca="1" si="5"/>
        <v>0</v>
      </c>
      <c r="U17" s="344">
        <f t="shared" ca="1" si="5"/>
        <v>0</v>
      </c>
      <c r="V17" s="344">
        <f t="shared" ca="1" si="5"/>
        <v>0</v>
      </c>
      <c r="W17" s="344">
        <f t="shared" ca="1" si="5"/>
        <v>-1644.9919849094142</v>
      </c>
      <c r="X17" s="344">
        <f t="shared" ca="1" si="5"/>
        <v>0</v>
      </c>
      <c r="Y17" s="344" t="e">
        <f t="shared" ca="1" si="5"/>
        <v>#REF!</v>
      </c>
      <c r="Z17" s="344" t="e">
        <f t="shared" ca="1" si="5"/>
        <v>#REF!</v>
      </c>
      <c r="AA17" s="344" t="e">
        <f t="shared" ca="1" si="5"/>
        <v>#REF!</v>
      </c>
      <c r="AB17" s="344" t="e">
        <f t="shared" ca="1" si="5"/>
        <v>#REF!</v>
      </c>
      <c r="AC17" s="344" t="e">
        <f t="shared" ca="1" si="5"/>
        <v>#REF!</v>
      </c>
      <c r="AD17" s="344" t="e">
        <f t="shared" ca="1" si="5"/>
        <v>#REF!</v>
      </c>
      <c r="AE17" s="344" t="e">
        <f t="shared" ca="1" si="5"/>
        <v>#REF!</v>
      </c>
      <c r="AF17" s="344" t="e">
        <f t="shared" ca="1" si="5"/>
        <v>#REF!</v>
      </c>
    </row>
    <row r="18" spans="1:32">
      <c r="A18">
        <f t="shared" si="4"/>
        <v>2023</v>
      </c>
      <c r="B18" s="344">
        <f t="shared" ca="1" si="1"/>
        <v>0</v>
      </c>
      <c r="C18" s="344">
        <f t="shared" ca="1" si="5"/>
        <v>0</v>
      </c>
      <c r="D18" s="344">
        <f t="shared" ca="1" si="5"/>
        <v>0</v>
      </c>
      <c r="E18" s="344">
        <f t="shared" ca="1" si="5"/>
        <v>0</v>
      </c>
      <c r="F18" s="344">
        <f t="shared" ca="1" si="5"/>
        <v>0</v>
      </c>
      <c r="G18" s="344">
        <f t="shared" ca="1" si="5"/>
        <v>0</v>
      </c>
      <c r="H18" s="344">
        <f t="shared" ca="1" si="5"/>
        <v>0</v>
      </c>
      <c r="I18" s="344">
        <f t="shared" ca="1" si="5"/>
        <v>0</v>
      </c>
      <c r="J18" s="344">
        <f t="shared" ca="1" si="5"/>
        <v>0</v>
      </c>
      <c r="K18" s="344">
        <f t="shared" ca="1" si="5"/>
        <v>0</v>
      </c>
      <c r="L18" s="344">
        <f t="shared" ca="1" si="5"/>
        <v>0</v>
      </c>
      <c r="M18" s="344">
        <f t="shared" ca="1" si="5"/>
        <v>0</v>
      </c>
      <c r="N18" s="344">
        <f t="shared" ca="1" si="5"/>
        <v>0</v>
      </c>
      <c r="O18" s="344">
        <f t="shared" ca="1" si="5"/>
        <v>0</v>
      </c>
      <c r="P18" s="344">
        <f t="shared" ca="1" si="5"/>
        <v>0</v>
      </c>
      <c r="Q18" s="344">
        <f t="shared" ca="1" si="5"/>
        <v>0</v>
      </c>
      <c r="R18" s="344">
        <f t="shared" ca="1" si="5"/>
        <v>0</v>
      </c>
      <c r="S18" s="344">
        <f t="shared" ca="1" si="5"/>
        <v>0</v>
      </c>
      <c r="T18" s="344">
        <f t="shared" ca="1" si="5"/>
        <v>0</v>
      </c>
      <c r="U18" s="344">
        <f t="shared" ca="1" si="5"/>
        <v>0</v>
      </c>
      <c r="V18" s="344">
        <f t="shared" ca="1" si="5"/>
        <v>0</v>
      </c>
      <c r="W18" s="344">
        <f t="shared" ca="1" si="5"/>
        <v>-1644.9919849094142</v>
      </c>
      <c r="X18" s="344">
        <f t="shared" ca="1" si="5"/>
        <v>0</v>
      </c>
      <c r="Y18" s="344" t="e">
        <f t="shared" ca="1" si="5"/>
        <v>#REF!</v>
      </c>
      <c r="Z18" s="344" t="e">
        <f t="shared" ca="1" si="5"/>
        <v>#REF!</v>
      </c>
      <c r="AA18" s="344" t="e">
        <f t="shared" ca="1" si="5"/>
        <v>#REF!</v>
      </c>
      <c r="AB18" s="344" t="e">
        <f t="shared" ca="1" si="5"/>
        <v>#REF!</v>
      </c>
      <c r="AC18" s="344" t="e">
        <f t="shared" ca="1" si="5"/>
        <v>#REF!</v>
      </c>
      <c r="AD18" s="344" t="e">
        <f t="shared" ca="1" si="5"/>
        <v>#REF!</v>
      </c>
      <c r="AE18" s="344" t="e">
        <f t="shared" ca="1" si="5"/>
        <v>#REF!</v>
      </c>
      <c r="AF18" s="344" t="e">
        <f t="shared" ca="1" si="5"/>
        <v>#REF!</v>
      </c>
    </row>
    <row r="19" spans="1:32">
      <c r="A19">
        <f t="shared" si="4"/>
        <v>2024</v>
      </c>
      <c r="B19" s="344">
        <f t="shared" ca="1" si="1"/>
        <v>0</v>
      </c>
      <c r="C19" s="344">
        <f t="shared" ca="1" si="5"/>
        <v>0</v>
      </c>
      <c r="D19" s="344">
        <f t="shared" ca="1" si="5"/>
        <v>0</v>
      </c>
      <c r="E19" s="344">
        <f t="shared" ca="1" si="5"/>
        <v>0</v>
      </c>
      <c r="F19" s="344">
        <f t="shared" ca="1" si="5"/>
        <v>0</v>
      </c>
      <c r="G19" s="344">
        <f t="shared" ca="1" si="5"/>
        <v>0</v>
      </c>
      <c r="H19" s="344">
        <f t="shared" ca="1" si="5"/>
        <v>0</v>
      </c>
      <c r="I19" s="344">
        <f t="shared" ca="1" si="5"/>
        <v>0</v>
      </c>
      <c r="J19" s="344">
        <f t="shared" ca="1" si="5"/>
        <v>0</v>
      </c>
      <c r="K19" s="344">
        <f t="shared" ca="1" si="5"/>
        <v>0</v>
      </c>
      <c r="L19" s="344">
        <f t="shared" ca="1" si="5"/>
        <v>0</v>
      </c>
      <c r="M19" s="344">
        <f t="shared" ca="1" si="5"/>
        <v>0</v>
      </c>
      <c r="N19" s="344">
        <f t="shared" ca="1" si="5"/>
        <v>0</v>
      </c>
      <c r="O19" s="344">
        <f t="shared" ca="1" si="5"/>
        <v>0</v>
      </c>
      <c r="P19" s="344">
        <f t="shared" ca="1" si="5"/>
        <v>0</v>
      </c>
      <c r="Q19" s="344">
        <f t="shared" ca="1" si="5"/>
        <v>0</v>
      </c>
      <c r="R19" s="344">
        <f t="shared" ca="1" si="5"/>
        <v>0</v>
      </c>
      <c r="S19" s="344">
        <f t="shared" ca="1" si="5"/>
        <v>0</v>
      </c>
      <c r="T19" s="344">
        <f t="shared" ca="1" si="5"/>
        <v>0</v>
      </c>
      <c r="U19" s="344">
        <f t="shared" ca="1" si="5"/>
        <v>0</v>
      </c>
      <c r="V19" s="344">
        <f t="shared" ca="1" si="5"/>
        <v>0</v>
      </c>
      <c r="W19" s="344">
        <f t="shared" ca="1" si="5"/>
        <v>-1644.9919849094142</v>
      </c>
      <c r="X19" s="344">
        <f t="shared" ca="1" si="5"/>
        <v>0</v>
      </c>
      <c r="Y19" s="344" t="e">
        <f t="shared" ca="1" si="5"/>
        <v>#REF!</v>
      </c>
      <c r="Z19" s="344" t="e">
        <f t="shared" ca="1" si="5"/>
        <v>#REF!</v>
      </c>
      <c r="AA19" s="344" t="e">
        <f t="shared" ca="1" si="5"/>
        <v>#REF!</v>
      </c>
      <c r="AB19" s="344" t="e">
        <f t="shared" ca="1" si="5"/>
        <v>#REF!</v>
      </c>
      <c r="AC19" s="344" t="e">
        <f t="shared" ca="1" si="5"/>
        <v>#REF!</v>
      </c>
      <c r="AD19" s="344" t="e">
        <f t="shared" ca="1" si="5"/>
        <v>#REF!</v>
      </c>
      <c r="AE19" s="344" t="e">
        <f t="shared" ca="1" si="5"/>
        <v>#REF!</v>
      </c>
      <c r="AF19" s="344" t="e">
        <f t="shared" ca="1" si="5"/>
        <v>#REF!</v>
      </c>
    </row>
    <row r="20" spans="1:32">
      <c r="A20">
        <f t="shared" si="4"/>
        <v>2025</v>
      </c>
      <c r="B20" s="344">
        <f t="shared" ca="1" si="1"/>
        <v>0</v>
      </c>
      <c r="C20" s="344">
        <f t="shared" ca="1" si="5"/>
        <v>0</v>
      </c>
      <c r="D20" s="344">
        <f t="shared" ca="1" si="5"/>
        <v>0</v>
      </c>
      <c r="E20" s="344">
        <f t="shared" ca="1" si="5"/>
        <v>0</v>
      </c>
      <c r="F20" s="344">
        <f t="shared" ca="1" si="5"/>
        <v>0</v>
      </c>
      <c r="G20" s="344">
        <f t="shared" ca="1" si="5"/>
        <v>0</v>
      </c>
      <c r="H20" s="344">
        <f t="shared" ca="1" si="5"/>
        <v>0</v>
      </c>
      <c r="I20" s="344">
        <f t="shared" ca="1" si="5"/>
        <v>0</v>
      </c>
      <c r="J20" s="344">
        <f t="shared" ca="1" si="5"/>
        <v>0</v>
      </c>
      <c r="K20" s="344">
        <f t="shared" ca="1" si="5"/>
        <v>0</v>
      </c>
      <c r="L20" s="344">
        <f t="shared" ca="1" si="5"/>
        <v>0</v>
      </c>
      <c r="M20" s="344">
        <f t="shared" ca="1" si="5"/>
        <v>0</v>
      </c>
      <c r="N20" s="344">
        <f t="shared" ca="1" si="5"/>
        <v>0</v>
      </c>
      <c r="O20" s="344">
        <f t="shared" ca="1" si="5"/>
        <v>0</v>
      </c>
      <c r="P20" s="344">
        <f t="shared" ca="1" si="5"/>
        <v>0</v>
      </c>
      <c r="Q20" s="344">
        <f t="shared" ca="1" si="5"/>
        <v>0</v>
      </c>
      <c r="R20" s="344">
        <f t="shared" ca="1" si="5"/>
        <v>0</v>
      </c>
      <c r="S20" s="344">
        <f t="shared" ca="1" si="5"/>
        <v>0</v>
      </c>
      <c r="T20" s="344">
        <f t="shared" ca="1" si="5"/>
        <v>0</v>
      </c>
      <c r="U20" s="344">
        <f t="shared" ca="1" si="5"/>
        <v>0</v>
      </c>
      <c r="V20" s="344">
        <f t="shared" ca="1" si="5"/>
        <v>0</v>
      </c>
      <c r="W20" s="344">
        <f t="shared" ca="1" si="5"/>
        <v>-1644.9919849094142</v>
      </c>
      <c r="X20" s="344">
        <f t="shared" ca="1" si="5"/>
        <v>0</v>
      </c>
      <c r="Y20" s="344" t="e">
        <f t="shared" ca="1" si="5"/>
        <v>#REF!</v>
      </c>
      <c r="Z20" s="344" t="e">
        <f t="shared" ca="1" si="5"/>
        <v>#REF!</v>
      </c>
      <c r="AA20" s="344" t="e">
        <f t="shared" ca="1" si="5"/>
        <v>#REF!</v>
      </c>
      <c r="AB20" s="344" t="e">
        <f t="shared" ca="1" si="5"/>
        <v>#REF!</v>
      </c>
      <c r="AC20" s="344" t="e">
        <f t="shared" ca="1" si="5"/>
        <v>#REF!</v>
      </c>
      <c r="AD20" s="344" t="e">
        <f t="shared" ca="1" si="5"/>
        <v>#REF!</v>
      </c>
      <c r="AE20" s="344" t="e">
        <f t="shared" ca="1" si="5"/>
        <v>#REF!</v>
      </c>
      <c r="AF20" s="344" t="e">
        <f t="shared" ca="1" si="5"/>
        <v>#REF!</v>
      </c>
    </row>
    <row r="21" spans="1:32">
      <c r="A21">
        <f t="shared" si="4"/>
        <v>2026</v>
      </c>
      <c r="B21" s="344">
        <f t="shared" ca="1" si="1"/>
        <v>0</v>
      </c>
      <c r="C21" s="344">
        <f t="shared" ca="1" si="5"/>
        <v>0</v>
      </c>
      <c r="D21" s="344">
        <f t="shared" ca="1" si="5"/>
        <v>0</v>
      </c>
      <c r="E21" s="344">
        <f t="shared" ca="1" si="5"/>
        <v>0</v>
      </c>
      <c r="F21" s="344">
        <f t="shared" ca="1" si="5"/>
        <v>0</v>
      </c>
      <c r="G21" s="344">
        <f t="shared" ca="1" si="5"/>
        <v>0</v>
      </c>
      <c r="H21" s="344">
        <f t="shared" ca="1" si="5"/>
        <v>0</v>
      </c>
      <c r="I21" s="344">
        <f t="shared" ca="1" si="5"/>
        <v>0</v>
      </c>
      <c r="J21" s="344">
        <f t="shared" ca="1" si="5"/>
        <v>0</v>
      </c>
      <c r="K21" s="344">
        <f t="shared" ca="1" si="5"/>
        <v>0</v>
      </c>
      <c r="L21" s="344">
        <f t="shared" ca="1" si="5"/>
        <v>0</v>
      </c>
      <c r="M21" s="344">
        <f t="shared" ca="1" si="5"/>
        <v>0</v>
      </c>
      <c r="N21" s="344">
        <f t="shared" ca="1" si="5"/>
        <v>0</v>
      </c>
      <c r="O21" s="344">
        <f t="shared" ca="1" si="5"/>
        <v>0</v>
      </c>
      <c r="P21" s="344">
        <f t="shared" ca="1" si="5"/>
        <v>0</v>
      </c>
      <c r="Q21" s="344">
        <f t="shared" ca="1" si="5"/>
        <v>0</v>
      </c>
      <c r="R21" s="344">
        <f t="shared" ca="1" si="5"/>
        <v>0</v>
      </c>
      <c r="S21" s="344">
        <f t="shared" ca="1" si="5"/>
        <v>0</v>
      </c>
      <c r="T21" s="344">
        <f t="shared" ca="1" si="5"/>
        <v>0</v>
      </c>
      <c r="U21" s="344">
        <f t="shared" ca="1" si="5"/>
        <v>0</v>
      </c>
      <c r="V21" s="344">
        <f t="shared" ca="1" si="5"/>
        <v>0</v>
      </c>
      <c r="W21" s="344">
        <f t="shared" ca="1" si="5"/>
        <v>-1644.9919849094142</v>
      </c>
      <c r="X21" s="344">
        <f t="shared" ca="1" si="5"/>
        <v>0</v>
      </c>
      <c r="Y21" s="344" t="e">
        <f t="shared" ca="1" si="5"/>
        <v>#REF!</v>
      </c>
      <c r="Z21" s="344" t="e">
        <f t="shared" ca="1" si="5"/>
        <v>#REF!</v>
      </c>
      <c r="AA21" s="344" t="e">
        <f t="shared" ca="1" si="5"/>
        <v>#REF!</v>
      </c>
      <c r="AB21" s="344" t="e">
        <f t="shared" ca="1" si="5"/>
        <v>#REF!</v>
      </c>
      <c r="AC21" s="344" t="e">
        <f t="shared" ca="1" si="5"/>
        <v>#REF!</v>
      </c>
      <c r="AD21" s="344" t="e">
        <f t="shared" ca="1" si="5"/>
        <v>#REF!</v>
      </c>
      <c r="AE21" s="344" t="e">
        <f t="shared" ca="1" si="5"/>
        <v>#REF!</v>
      </c>
      <c r="AF21" s="344" t="e">
        <f t="shared" ca="1" si="5"/>
        <v>#REF!</v>
      </c>
    </row>
    <row r="22" spans="1:32">
      <c r="A22">
        <f t="shared" si="4"/>
        <v>2027</v>
      </c>
      <c r="B22" s="344">
        <f t="shared" ca="1" si="1"/>
        <v>0</v>
      </c>
      <c r="C22" s="344">
        <f t="shared" ca="1" si="5"/>
        <v>0</v>
      </c>
      <c r="D22" s="344">
        <f t="shared" ca="1" si="5"/>
        <v>0</v>
      </c>
      <c r="E22" s="344">
        <f t="shared" ca="1" si="5"/>
        <v>0</v>
      </c>
      <c r="F22" s="344">
        <f t="shared" ca="1" si="5"/>
        <v>0</v>
      </c>
      <c r="G22" s="344">
        <f t="shared" ca="1" si="5"/>
        <v>0</v>
      </c>
      <c r="H22" s="344">
        <f t="shared" ca="1" si="5"/>
        <v>0</v>
      </c>
      <c r="I22" s="344">
        <f t="shared" ca="1" si="5"/>
        <v>0</v>
      </c>
      <c r="J22" s="344">
        <f t="shared" ca="1" si="5"/>
        <v>0</v>
      </c>
      <c r="K22" s="344">
        <f t="shared" ca="1" si="5"/>
        <v>0</v>
      </c>
      <c r="L22" s="344">
        <f t="shared" ca="1" si="5"/>
        <v>0</v>
      </c>
      <c r="M22" s="344">
        <f t="shared" ca="1" si="5"/>
        <v>0</v>
      </c>
      <c r="N22" s="344">
        <f t="shared" ca="1" si="5"/>
        <v>0</v>
      </c>
      <c r="O22" s="344">
        <f t="shared" ca="1" si="5"/>
        <v>0</v>
      </c>
      <c r="P22" s="344">
        <f t="shared" ca="1" si="5"/>
        <v>0</v>
      </c>
      <c r="Q22" s="344">
        <f t="shared" ca="1" si="5"/>
        <v>0</v>
      </c>
      <c r="R22" s="344">
        <f t="shared" ref="C22:AF30" ca="1" si="6">OFFSET(INDIRECT(R$3),$A22-$A$5+$C$1,$C$2)</f>
        <v>0</v>
      </c>
      <c r="S22" s="344">
        <f t="shared" ca="1" si="6"/>
        <v>0</v>
      </c>
      <c r="T22" s="344">
        <f t="shared" ca="1" si="6"/>
        <v>0</v>
      </c>
      <c r="U22" s="344">
        <f t="shared" ca="1" si="6"/>
        <v>0</v>
      </c>
      <c r="V22" s="344">
        <f t="shared" ca="1" si="6"/>
        <v>0</v>
      </c>
      <c r="W22" s="344">
        <f t="shared" ca="1" si="6"/>
        <v>-1644.9919849094142</v>
      </c>
      <c r="X22" s="344">
        <f t="shared" ca="1" si="6"/>
        <v>0</v>
      </c>
      <c r="Y22" s="344" t="e">
        <f t="shared" ca="1" si="6"/>
        <v>#REF!</v>
      </c>
      <c r="Z22" s="344" t="e">
        <f t="shared" ca="1" si="6"/>
        <v>#REF!</v>
      </c>
      <c r="AA22" s="344" t="e">
        <f t="shared" ca="1" si="6"/>
        <v>#REF!</v>
      </c>
      <c r="AB22" s="344" t="e">
        <f t="shared" ca="1" si="6"/>
        <v>#REF!</v>
      </c>
      <c r="AC22" s="344" t="e">
        <f t="shared" ca="1" si="6"/>
        <v>#REF!</v>
      </c>
      <c r="AD22" s="344" t="e">
        <f t="shared" ca="1" si="6"/>
        <v>#REF!</v>
      </c>
      <c r="AE22" s="344" t="e">
        <f t="shared" ca="1" si="6"/>
        <v>#REF!</v>
      </c>
      <c r="AF22" s="344" t="e">
        <f t="shared" ca="1" si="6"/>
        <v>#REF!</v>
      </c>
    </row>
    <row r="23" spans="1:32">
      <c r="A23">
        <f t="shared" si="4"/>
        <v>2028</v>
      </c>
      <c r="B23" s="344">
        <f t="shared" ca="1" si="1"/>
        <v>0</v>
      </c>
      <c r="C23" s="344">
        <f t="shared" ca="1" si="6"/>
        <v>0</v>
      </c>
      <c r="D23" s="344">
        <f t="shared" ca="1" si="6"/>
        <v>0</v>
      </c>
      <c r="E23" s="344">
        <f t="shared" ca="1" si="6"/>
        <v>0</v>
      </c>
      <c r="F23" s="344">
        <f t="shared" ca="1" si="6"/>
        <v>0</v>
      </c>
      <c r="G23" s="344">
        <f t="shared" ca="1" si="6"/>
        <v>0</v>
      </c>
      <c r="H23" s="344">
        <f t="shared" ca="1" si="6"/>
        <v>0</v>
      </c>
      <c r="I23" s="344">
        <f t="shared" ca="1" si="6"/>
        <v>0</v>
      </c>
      <c r="J23" s="344">
        <f t="shared" ca="1" si="6"/>
        <v>0</v>
      </c>
      <c r="K23" s="344">
        <f t="shared" ca="1" si="6"/>
        <v>0</v>
      </c>
      <c r="L23" s="344">
        <f t="shared" ca="1" si="6"/>
        <v>0</v>
      </c>
      <c r="M23" s="344">
        <f t="shared" ca="1" si="6"/>
        <v>0</v>
      </c>
      <c r="N23" s="344">
        <f t="shared" ca="1" si="6"/>
        <v>0</v>
      </c>
      <c r="O23" s="344">
        <f t="shared" ca="1" si="6"/>
        <v>0</v>
      </c>
      <c r="P23" s="344">
        <f t="shared" ca="1" si="6"/>
        <v>0</v>
      </c>
      <c r="Q23" s="344">
        <f t="shared" ca="1" si="6"/>
        <v>0</v>
      </c>
      <c r="R23" s="344">
        <f t="shared" ca="1" si="6"/>
        <v>0</v>
      </c>
      <c r="S23" s="344">
        <f t="shared" ca="1" si="6"/>
        <v>0</v>
      </c>
      <c r="T23" s="344">
        <f t="shared" ca="1" si="6"/>
        <v>0</v>
      </c>
      <c r="U23" s="344">
        <f t="shared" ca="1" si="6"/>
        <v>0</v>
      </c>
      <c r="V23" s="344">
        <f t="shared" ca="1" si="6"/>
        <v>0</v>
      </c>
      <c r="W23" s="344">
        <f t="shared" ca="1" si="6"/>
        <v>-1644.9919849094142</v>
      </c>
      <c r="X23" s="344">
        <f t="shared" ca="1" si="6"/>
        <v>0</v>
      </c>
      <c r="Y23" s="344" t="e">
        <f t="shared" ca="1" si="6"/>
        <v>#REF!</v>
      </c>
      <c r="Z23" s="344" t="e">
        <f t="shared" ca="1" si="6"/>
        <v>#REF!</v>
      </c>
      <c r="AA23" s="344" t="e">
        <f t="shared" ca="1" si="6"/>
        <v>#REF!</v>
      </c>
      <c r="AB23" s="344" t="e">
        <f t="shared" ca="1" si="6"/>
        <v>#REF!</v>
      </c>
      <c r="AC23" s="344" t="e">
        <f t="shared" ca="1" si="6"/>
        <v>#REF!</v>
      </c>
      <c r="AD23" s="344" t="e">
        <f t="shared" ca="1" si="6"/>
        <v>#REF!</v>
      </c>
      <c r="AE23" s="344" t="e">
        <f t="shared" ca="1" si="6"/>
        <v>#REF!</v>
      </c>
      <c r="AF23" s="344" t="e">
        <f t="shared" ca="1" si="6"/>
        <v>#REF!</v>
      </c>
    </row>
    <row r="24" spans="1:32">
      <c r="A24">
        <f t="shared" si="4"/>
        <v>2029</v>
      </c>
      <c r="B24" s="344">
        <f t="shared" ca="1" si="1"/>
        <v>0</v>
      </c>
      <c r="C24" s="344">
        <f t="shared" ca="1" si="6"/>
        <v>0</v>
      </c>
      <c r="D24" s="344">
        <f t="shared" ca="1" si="6"/>
        <v>0</v>
      </c>
      <c r="E24" s="344">
        <f t="shared" ca="1" si="6"/>
        <v>0</v>
      </c>
      <c r="F24" s="344">
        <f t="shared" ca="1" si="6"/>
        <v>0</v>
      </c>
      <c r="G24" s="344">
        <f t="shared" ca="1" si="6"/>
        <v>0</v>
      </c>
      <c r="H24" s="344">
        <f t="shared" ca="1" si="6"/>
        <v>0</v>
      </c>
      <c r="I24" s="344">
        <f t="shared" ca="1" si="6"/>
        <v>0</v>
      </c>
      <c r="J24" s="344">
        <f t="shared" ca="1" si="6"/>
        <v>0</v>
      </c>
      <c r="K24" s="344">
        <f t="shared" ca="1" si="6"/>
        <v>0</v>
      </c>
      <c r="L24" s="344">
        <f t="shared" ca="1" si="6"/>
        <v>0</v>
      </c>
      <c r="M24" s="344">
        <f t="shared" ca="1" si="6"/>
        <v>0</v>
      </c>
      <c r="N24" s="344">
        <f t="shared" ca="1" si="6"/>
        <v>0</v>
      </c>
      <c r="O24" s="344">
        <f t="shared" ca="1" si="6"/>
        <v>0</v>
      </c>
      <c r="P24" s="344">
        <f t="shared" ca="1" si="6"/>
        <v>0</v>
      </c>
      <c r="Q24" s="344">
        <f t="shared" ca="1" si="6"/>
        <v>0</v>
      </c>
      <c r="R24" s="344">
        <f t="shared" ca="1" si="6"/>
        <v>0</v>
      </c>
      <c r="S24" s="344">
        <f t="shared" ca="1" si="6"/>
        <v>0</v>
      </c>
      <c r="T24" s="344">
        <f t="shared" ca="1" si="6"/>
        <v>0</v>
      </c>
      <c r="U24" s="344">
        <f t="shared" ca="1" si="6"/>
        <v>0</v>
      </c>
      <c r="V24" s="344">
        <f t="shared" ca="1" si="6"/>
        <v>0</v>
      </c>
      <c r="W24" s="344">
        <f t="shared" ca="1" si="6"/>
        <v>-1644.9919849094142</v>
      </c>
      <c r="X24" s="344">
        <f t="shared" ca="1" si="6"/>
        <v>0</v>
      </c>
      <c r="Y24" s="344" t="e">
        <f t="shared" ca="1" si="6"/>
        <v>#REF!</v>
      </c>
      <c r="Z24" s="344" t="e">
        <f t="shared" ca="1" si="6"/>
        <v>#REF!</v>
      </c>
      <c r="AA24" s="344" t="e">
        <f t="shared" ca="1" si="6"/>
        <v>#REF!</v>
      </c>
      <c r="AB24" s="344" t="e">
        <f t="shared" ca="1" si="6"/>
        <v>#REF!</v>
      </c>
      <c r="AC24" s="344" t="e">
        <f t="shared" ca="1" si="6"/>
        <v>#REF!</v>
      </c>
      <c r="AD24" s="344" t="e">
        <f t="shared" ca="1" si="6"/>
        <v>#REF!</v>
      </c>
      <c r="AE24" s="344" t="e">
        <f t="shared" ca="1" si="6"/>
        <v>#REF!</v>
      </c>
      <c r="AF24" s="344" t="e">
        <f t="shared" ca="1" si="6"/>
        <v>#REF!</v>
      </c>
    </row>
    <row r="25" spans="1:32">
      <c r="A25">
        <f t="shared" si="4"/>
        <v>2030</v>
      </c>
      <c r="B25" s="344">
        <f t="shared" ca="1" si="1"/>
        <v>0</v>
      </c>
      <c r="C25" s="344">
        <f t="shared" ca="1" si="6"/>
        <v>0</v>
      </c>
      <c r="D25" s="344">
        <f t="shared" ca="1" si="6"/>
        <v>0</v>
      </c>
      <c r="E25" s="344">
        <f t="shared" ca="1" si="6"/>
        <v>0</v>
      </c>
      <c r="F25" s="344">
        <f t="shared" ca="1" si="6"/>
        <v>0</v>
      </c>
      <c r="G25" s="344">
        <f t="shared" ca="1" si="6"/>
        <v>0</v>
      </c>
      <c r="H25" s="344">
        <f t="shared" ca="1" si="6"/>
        <v>0</v>
      </c>
      <c r="I25" s="344">
        <f t="shared" ca="1" si="6"/>
        <v>0</v>
      </c>
      <c r="J25" s="344">
        <f t="shared" ca="1" si="6"/>
        <v>0</v>
      </c>
      <c r="K25" s="344">
        <f t="shared" ca="1" si="6"/>
        <v>0</v>
      </c>
      <c r="L25" s="344">
        <f t="shared" ca="1" si="6"/>
        <v>0</v>
      </c>
      <c r="M25" s="344">
        <f t="shared" ca="1" si="6"/>
        <v>0</v>
      </c>
      <c r="N25" s="344">
        <f t="shared" ca="1" si="6"/>
        <v>0</v>
      </c>
      <c r="O25" s="344">
        <f t="shared" ca="1" si="6"/>
        <v>0</v>
      </c>
      <c r="P25" s="344">
        <f t="shared" ca="1" si="6"/>
        <v>0</v>
      </c>
      <c r="Q25" s="344">
        <f t="shared" ca="1" si="6"/>
        <v>0</v>
      </c>
      <c r="R25" s="344">
        <f t="shared" ca="1" si="6"/>
        <v>0</v>
      </c>
      <c r="S25" s="344">
        <f t="shared" ca="1" si="6"/>
        <v>0</v>
      </c>
      <c r="T25" s="344">
        <f t="shared" ca="1" si="6"/>
        <v>0</v>
      </c>
      <c r="U25" s="344">
        <f t="shared" ca="1" si="6"/>
        <v>0</v>
      </c>
      <c r="V25" s="344">
        <f t="shared" ca="1" si="6"/>
        <v>0</v>
      </c>
      <c r="W25" s="344">
        <f t="shared" ca="1" si="6"/>
        <v>-1644.9919849094142</v>
      </c>
      <c r="X25" s="344">
        <f t="shared" ca="1" si="6"/>
        <v>0</v>
      </c>
      <c r="Y25" s="344" t="e">
        <f t="shared" ca="1" si="6"/>
        <v>#REF!</v>
      </c>
      <c r="Z25" s="344" t="e">
        <f t="shared" ca="1" si="6"/>
        <v>#REF!</v>
      </c>
      <c r="AA25" s="344" t="e">
        <f t="shared" ca="1" si="6"/>
        <v>#REF!</v>
      </c>
      <c r="AB25" s="344" t="e">
        <f t="shared" ca="1" si="6"/>
        <v>#REF!</v>
      </c>
      <c r="AC25" s="344" t="e">
        <f t="shared" ca="1" si="6"/>
        <v>#REF!</v>
      </c>
      <c r="AD25" s="344" t="e">
        <f t="shared" ca="1" si="6"/>
        <v>#REF!</v>
      </c>
      <c r="AE25" s="344" t="e">
        <f t="shared" ca="1" si="6"/>
        <v>#REF!</v>
      </c>
      <c r="AF25" s="344" t="e">
        <f t="shared" ca="1" si="6"/>
        <v>#REF!</v>
      </c>
    </row>
    <row r="26" spans="1:32">
      <c r="A26">
        <f t="shared" si="4"/>
        <v>2031</v>
      </c>
      <c r="B26" s="344">
        <f t="shared" ca="1" si="1"/>
        <v>0</v>
      </c>
      <c r="C26" s="344">
        <f t="shared" ca="1" si="6"/>
        <v>0</v>
      </c>
      <c r="D26" s="344">
        <f t="shared" ca="1" si="6"/>
        <v>0</v>
      </c>
      <c r="E26" s="344">
        <f t="shared" ca="1" si="6"/>
        <v>0</v>
      </c>
      <c r="F26" s="344">
        <f t="shared" ca="1" si="6"/>
        <v>0</v>
      </c>
      <c r="G26" s="344">
        <f t="shared" ca="1" si="6"/>
        <v>0</v>
      </c>
      <c r="H26" s="344">
        <f t="shared" ca="1" si="6"/>
        <v>0</v>
      </c>
      <c r="I26" s="344">
        <f t="shared" ca="1" si="6"/>
        <v>0</v>
      </c>
      <c r="J26" s="344">
        <f t="shared" ca="1" si="6"/>
        <v>0</v>
      </c>
      <c r="K26" s="344">
        <f t="shared" ca="1" si="6"/>
        <v>0</v>
      </c>
      <c r="L26" s="344">
        <f t="shared" ca="1" si="6"/>
        <v>0</v>
      </c>
      <c r="M26" s="344">
        <f t="shared" ca="1" si="6"/>
        <v>0</v>
      </c>
      <c r="N26" s="344">
        <f t="shared" ca="1" si="6"/>
        <v>0</v>
      </c>
      <c r="O26" s="344">
        <f t="shared" ca="1" si="6"/>
        <v>0</v>
      </c>
      <c r="P26" s="344">
        <f t="shared" ca="1" si="6"/>
        <v>0</v>
      </c>
      <c r="Q26" s="344">
        <f t="shared" ca="1" si="6"/>
        <v>0</v>
      </c>
      <c r="R26" s="344">
        <f t="shared" ca="1" si="6"/>
        <v>0</v>
      </c>
      <c r="S26" s="344">
        <f t="shared" ca="1" si="6"/>
        <v>0</v>
      </c>
      <c r="T26" s="344">
        <f t="shared" ca="1" si="6"/>
        <v>0</v>
      </c>
      <c r="U26" s="344">
        <f t="shared" ca="1" si="6"/>
        <v>0</v>
      </c>
      <c r="V26" s="344">
        <f t="shared" ca="1" si="6"/>
        <v>0</v>
      </c>
      <c r="W26" s="344">
        <f t="shared" ca="1" si="6"/>
        <v>-1644.9919849094142</v>
      </c>
      <c r="X26" s="344">
        <f t="shared" ca="1" si="6"/>
        <v>0</v>
      </c>
      <c r="Y26" s="344" t="e">
        <f t="shared" ca="1" si="6"/>
        <v>#REF!</v>
      </c>
      <c r="Z26" s="344" t="e">
        <f t="shared" ca="1" si="6"/>
        <v>#REF!</v>
      </c>
      <c r="AA26" s="344" t="e">
        <f t="shared" ca="1" si="6"/>
        <v>#REF!</v>
      </c>
      <c r="AB26" s="344" t="e">
        <f t="shared" ca="1" si="6"/>
        <v>#REF!</v>
      </c>
      <c r="AC26" s="344" t="e">
        <f t="shared" ca="1" si="6"/>
        <v>#REF!</v>
      </c>
      <c r="AD26" s="344" t="e">
        <f t="shared" ca="1" si="6"/>
        <v>#REF!</v>
      </c>
      <c r="AE26" s="344" t="e">
        <f t="shared" ca="1" si="6"/>
        <v>#REF!</v>
      </c>
      <c r="AF26" s="344" t="e">
        <f t="shared" ca="1" si="6"/>
        <v>#REF!</v>
      </c>
    </row>
    <row r="27" spans="1:32">
      <c r="A27">
        <f t="shared" si="4"/>
        <v>2032</v>
      </c>
      <c r="B27" s="344">
        <f t="shared" ca="1" si="1"/>
        <v>0</v>
      </c>
      <c r="C27" s="344">
        <f t="shared" ca="1" si="6"/>
        <v>0</v>
      </c>
      <c r="D27" s="344">
        <f t="shared" ca="1" si="6"/>
        <v>0</v>
      </c>
      <c r="E27" s="344">
        <f t="shared" ca="1" si="6"/>
        <v>0</v>
      </c>
      <c r="F27" s="344">
        <f t="shared" ca="1" si="6"/>
        <v>0</v>
      </c>
      <c r="G27" s="344">
        <f t="shared" ca="1" si="6"/>
        <v>0</v>
      </c>
      <c r="H27" s="344">
        <f t="shared" ca="1" si="6"/>
        <v>0</v>
      </c>
      <c r="I27" s="344">
        <f t="shared" ca="1" si="6"/>
        <v>0</v>
      </c>
      <c r="J27" s="344">
        <f t="shared" ca="1" si="6"/>
        <v>0</v>
      </c>
      <c r="K27" s="344">
        <f t="shared" ca="1" si="6"/>
        <v>0</v>
      </c>
      <c r="L27" s="344">
        <f t="shared" ca="1" si="6"/>
        <v>0</v>
      </c>
      <c r="M27" s="344">
        <f t="shared" ca="1" si="6"/>
        <v>0</v>
      </c>
      <c r="N27" s="344">
        <f t="shared" ca="1" si="6"/>
        <v>0</v>
      </c>
      <c r="O27" s="344">
        <f t="shared" ca="1" si="6"/>
        <v>0</v>
      </c>
      <c r="P27" s="344">
        <f t="shared" ca="1" si="6"/>
        <v>0</v>
      </c>
      <c r="Q27" s="344">
        <f t="shared" ca="1" si="6"/>
        <v>0</v>
      </c>
      <c r="R27" s="344">
        <f t="shared" ca="1" si="6"/>
        <v>0</v>
      </c>
      <c r="S27" s="344">
        <f t="shared" ca="1" si="6"/>
        <v>0</v>
      </c>
      <c r="T27" s="344">
        <f t="shared" ca="1" si="6"/>
        <v>0</v>
      </c>
      <c r="U27" s="344">
        <f t="shared" ca="1" si="6"/>
        <v>0</v>
      </c>
      <c r="V27" s="344">
        <f t="shared" ca="1" si="6"/>
        <v>0</v>
      </c>
      <c r="W27" s="344">
        <f t="shared" ca="1" si="6"/>
        <v>-1644.9919849094142</v>
      </c>
      <c r="X27" s="344">
        <f t="shared" ca="1" si="6"/>
        <v>0</v>
      </c>
      <c r="Y27" s="344" t="e">
        <f t="shared" ca="1" si="6"/>
        <v>#REF!</v>
      </c>
      <c r="Z27" s="344" t="e">
        <f t="shared" ca="1" si="6"/>
        <v>#REF!</v>
      </c>
      <c r="AA27" s="344" t="e">
        <f t="shared" ca="1" si="6"/>
        <v>#REF!</v>
      </c>
      <c r="AB27" s="344" t="e">
        <f t="shared" ca="1" si="6"/>
        <v>#REF!</v>
      </c>
      <c r="AC27" s="344" t="e">
        <f t="shared" ca="1" si="6"/>
        <v>#REF!</v>
      </c>
      <c r="AD27" s="344" t="e">
        <f t="shared" ca="1" si="6"/>
        <v>#REF!</v>
      </c>
      <c r="AE27" s="344" t="e">
        <f t="shared" ca="1" si="6"/>
        <v>#REF!</v>
      </c>
      <c r="AF27" s="344" t="e">
        <f t="shared" ca="1" si="6"/>
        <v>#REF!</v>
      </c>
    </row>
    <row r="28" spans="1:32">
      <c r="A28">
        <f t="shared" si="4"/>
        <v>2033</v>
      </c>
      <c r="B28" s="344">
        <f t="shared" ca="1" si="1"/>
        <v>0</v>
      </c>
      <c r="C28" s="344">
        <f t="shared" ca="1" si="6"/>
        <v>0</v>
      </c>
      <c r="D28" s="344">
        <f t="shared" ca="1" si="6"/>
        <v>0</v>
      </c>
      <c r="E28" s="344">
        <f t="shared" ca="1" si="6"/>
        <v>0</v>
      </c>
      <c r="F28" s="344">
        <f t="shared" ca="1" si="6"/>
        <v>0</v>
      </c>
      <c r="G28" s="344">
        <f t="shared" ca="1" si="6"/>
        <v>0</v>
      </c>
      <c r="H28" s="344">
        <f t="shared" ca="1" si="6"/>
        <v>0</v>
      </c>
      <c r="I28" s="344">
        <f t="shared" ca="1" si="6"/>
        <v>0</v>
      </c>
      <c r="J28" s="344">
        <f t="shared" ca="1" si="6"/>
        <v>0</v>
      </c>
      <c r="K28" s="344">
        <f t="shared" ca="1" si="6"/>
        <v>0</v>
      </c>
      <c r="L28" s="344">
        <f t="shared" ca="1" si="6"/>
        <v>0</v>
      </c>
      <c r="M28" s="344">
        <f t="shared" ca="1" si="6"/>
        <v>0</v>
      </c>
      <c r="N28" s="344">
        <f t="shared" ca="1" si="6"/>
        <v>0</v>
      </c>
      <c r="O28" s="344">
        <f t="shared" ca="1" si="6"/>
        <v>0</v>
      </c>
      <c r="P28" s="344">
        <f t="shared" ca="1" si="6"/>
        <v>0</v>
      </c>
      <c r="Q28" s="344">
        <f t="shared" ca="1" si="6"/>
        <v>0</v>
      </c>
      <c r="R28" s="344">
        <f t="shared" ca="1" si="6"/>
        <v>0</v>
      </c>
      <c r="S28" s="344">
        <f t="shared" ca="1" si="6"/>
        <v>0</v>
      </c>
      <c r="T28" s="344">
        <f t="shared" ca="1" si="6"/>
        <v>0</v>
      </c>
      <c r="U28" s="344">
        <f t="shared" ca="1" si="6"/>
        <v>0</v>
      </c>
      <c r="V28" s="344">
        <f t="shared" ca="1" si="6"/>
        <v>0</v>
      </c>
      <c r="W28" s="344">
        <f t="shared" ca="1" si="6"/>
        <v>-1644.9919849094142</v>
      </c>
      <c r="X28" s="344">
        <f t="shared" ca="1" si="6"/>
        <v>0</v>
      </c>
      <c r="Y28" s="344" t="e">
        <f t="shared" ca="1" si="6"/>
        <v>#REF!</v>
      </c>
      <c r="Z28" s="344" t="e">
        <f t="shared" ca="1" si="6"/>
        <v>#REF!</v>
      </c>
      <c r="AA28" s="344" t="e">
        <f t="shared" ca="1" si="6"/>
        <v>#REF!</v>
      </c>
      <c r="AB28" s="344" t="e">
        <f t="shared" ca="1" si="6"/>
        <v>#REF!</v>
      </c>
      <c r="AC28" s="344" t="e">
        <f t="shared" ca="1" si="6"/>
        <v>#REF!</v>
      </c>
      <c r="AD28" s="344" t="e">
        <f t="shared" ca="1" si="6"/>
        <v>#REF!</v>
      </c>
      <c r="AE28" s="344" t="e">
        <f t="shared" ca="1" si="6"/>
        <v>#REF!</v>
      </c>
      <c r="AF28" s="344" t="e">
        <f t="shared" ca="1" si="6"/>
        <v>#REF!</v>
      </c>
    </row>
    <row r="29" spans="1:32">
      <c r="A29">
        <f t="shared" si="4"/>
        <v>2034</v>
      </c>
      <c r="B29" s="344">
        <f t="shared" ca="1" si="1"/>
        <v>0</v>
      </c>
      <c r="C29" s="344">
        <f t="shared" ca="1" si="6"/>
        <v>0</v>
      </c>
      <c r="D29" s="344">
        <f t="shared" ca="1" si="6"/>
        <v>0</v>
      </c>
      <c r="E29" s="344">
        <f t="shared" ca="1" si="6"/>
        <v>0</v>
      </c>
      <c r="F29" s="344">
        <f t="shared" ca="1" si="6"/>
        <v>0</v>
      </c>
      <c r="G29" s="344">
        <f t="shared" ca="1" si="6"/>
        <v>0</v>
      </c>
      <c r="H29" s="344">
        <f t="shared" ca="1" si="6"/>
        <v>0</v>
      </c>
      <c r="I29" s="344">
        <f t="shared" ca="1" si="6"/>
        <v>0</v>
      </c>
      <c r="J29" s="344">
        <f t="shared" ca="1" si="6"/>
        <v>0</v>
      </c>
      <c r="K29" s="344">
        <f t="shared" ca="1" si="6"/>
        <v>0</v>
      </c>
      <c r="L29" s="344">
        <f t="shared" ca="1" si="6"/>
        <v>0</v>
      </c>
      <c r="M29" s="344">
        <f t="shared" ca="1" si="6"/>
        <v>0</v>
      </c>
      <c r="N29" s="344">
        <f t="shared" ca="1" si="6"/>
        <v>0</v>
      </c>
      <c r="O29" s="344">
        <f t="shared" ca="1" si="6"/>
        <v>0</v>
      </c>
      <c r="P29" s="344">
        <f t="shared" ca="1" si="6"/>
        <v>0</v>
      </c>
      <c r="Q29" s="344">
        <f t="shared" ca="1" si="6"/>
        <v>0</v>
      </c>
      <c r="R29" s="344">
        <f t="shared" ca="1" si="6"/>
        <v>0</v>
      </c>
      <c r="S29" s="344">
        <f t="shared" ca="1" si="6"/>
        <v>0</v>
      </c>
      <c r="T29" s="344">
        <f t="shared" ca="1" si="6"/>
        <v>0</v>
      </c>
      <c r="U29" s="344">
        <f t="shared" ca="1" si="6"/>
        <v>0</v>
      </c>
      <c r="V29" s="344">
        <f t="shared" ca="1" si="6"/>
        <v>0</v>
      </c>
      <c r="W29" s="344">
        <f t="shared" ca="1" si="6"/>
        <v>-1644.9919849094142</v>
      </c>
      <c r="X29" s="344">
        <f t="shared" ca="1" si="6"/>
        <v>0</v>
      </c>
      <c r="Y29" s="344" t="e">
        <f t="shared" ca="1" si="6"/>
        <v>#REF!</v>
      </c>
      <c r="Z29" s="344" t="e">
        <f t="shared" ca="1" si="6"/>
        <v>#REF!</v>
      </c>
      <c r="AA29" s="344" t="e">
        <f t="shared" ca="1" si="6"/>
        <v>#REF!</v>
      </c>
      <c r="AB29" s="344" t="e">
        <f t="shared" ca="1" si="6"/>
        <v>#REF!</v>
      </c>
      <c r="AC29" s="344" t="e">
        <f t="shared" ca="1" si="6"/>
        <v>#REF!</v>
      </c>
      <c r="AD29" s="344" t="e">
        <f t="shared" ca="1" si="6"/>
        <v>#REF!</v>
      </c>
      <c r="AE29" s="344" t="e">
        <f t="shared" ca="1" si="6"/>
        <v>#REF!</v>
      </c>
      <c r="AF29" s="344" t="e">
        <f t="shared" ca="1" si="6"/>
        <v>#REF!</v>
      </c>
    </row>
    <row r="30" spans="1:32">
      <c r="A30">
        <f t="shared" si="4"/>
        <v>2035</v>
      </c>
      <c r="B30" s="344">
        <f t="shared" ca="1" si="1"/>
        <v>0</v>
      </c>
      <c r="C30" s="344">
        <f t="shared" ca="1" si="6"/>
        <v>0</v>
      </c>
      <c r="D30" s="344">
        <f t="shared" ca="1" si="6"/>
        <v>0</v>
      </c>
      <c r="E30" s="344">
        <f t="shared" ca="1" si="6"/>
        <v>0</v>
      </c>
      <c r="F30" s="344">
        <f t="shared" ca="1" si="6"/>
        <v>0</v>
      </c>
      <c r="G30" s="344">
        <f t="shared" ca="1" si="6"/>
        <v>0</v>
      </c>
      <c r="H30" s="344">
        <f t="shared" ca="1" si="6"/>
        <v>0</v>
      </c>
      <c r="I30" s="344">
        <f t="shared" ca="1" si="6"/>
        <v>0</v>
      </c>
      <c r="J30" s="344">
        <f t="shared" ca="1" si="6"/>
        <v>0</v>
      </c>
      <c r="K30" s="344">
        <f t="shared" ca="1" si="6"/>
        <v>0</v>
      </c>
      <c r="L30" s="344">
        <f t="shared" ca="1" si="6"/>
        <v>0</v>
      </c>
      <c r="M30" s="344">
        <f t="shared" ca="1" si="6"/>
        <v>0</v>
      </c>
      <c r="N30" s="344">
        <f t="shared" ca="1" si="6"/>
        <v>0</v>
      </c>
      <c r="O30" s="344">
        <f t="shared" ca="1" si="6"/>
        <v>0</v>
      </c>
      <c r="P30" s="344">
        <f t="shared" ca="1" si="6"/>
        <v>0</v>
      </c>
      <c r="Q30" s="344">
        <f t="shared" ca="1" si="6"/>
        <v>0</v>
      </c>
      <c r="R30" s="344">
        <f t="shared" ca="1" si="6"/>
        <v>0</v>
      </c>
      <c r="S30" s="344">
        <f t="shared" ca="1" si="6"/>
        <v>0</v>
      </c>
      <c r="T30" s="344">
        <f t="shared" ca="1" si="6"/>
        <v>0</v>
      </c>
      <c r="U30" s="344">
        <f t="shared" ca="1" si="6"/>
        <v>0</v>
      </c>
      <c r="V30" s="344">
        <f t="shared" ca="1" si="6"/>
        <v>0</v>
      </c>
      <c r="W30" s="344">
        <f t="shared" ca="1" si="6"/>
        <v>-1644.9919849094142</v>
      </c>
      <c r="X30" s="344">
        <f t="shared" ca="1" si="6"/>
        <v>0</v>
      </c>
      <c r="Y30" s="344" t="e">
        <f t="shared" ca="1" si="6"/>
        <v>#REF!</v>
      </c>
      <c r="Z30" s="344" t="e">
        <f t="shared" ca="1" si="6"/>
        <v>#REF!</v>
      </c>
      <c r="AA30" s="344" t="e">
        <f t="shared" ca="1" si="6"/>
        <v>#REF!</v>
      </c>
      <c r="AB30" s="344" t="e">
        <f t="shared" ca="1" si="6"/>
        <v>#REF!</v>
      </c>
      <c r="AC30" s="344" t="e">
        <f t="shared" ca="1" si="6"/>
        <v>#REF!</v>
      </c>
      <c r="AD30" s="344" t="e">
        <f t="shared" ca="1" si="6"/>
        <v>#REF!</v>
      </c>
      <c r="AE30" s="344" t="e">
        <f t="shared" ca="1" si="6"/>
        <v>#REF!</v>
      </c>
      <c r="AF30" s="344" t="e">
        <f t="shared" ca="1" si="6"/>
        <v>#REF!</v>
      </c>
    </row>
    <row r="31" spans="1:32">
      <c r="A31">
        <f t="shared" si="4"/>
        <v>2036</v>
      </c>
      <c r="B31" s="344">
        <f t="shared" ca="1" si="1"/>
        <v>0</v>
      </c>
      <c r="C31" s="344">
        <f t="shared" ref="C31:AF39" ca="1" si="7">OFFSET(INDIRECT(C$3),$A31-$A$5+$C$1,$C$2)</f>
        <v>0</v>
      </c>
      <c r="D31" s="344">
        <f t="shared" ca="1" si="7"/>
        <v>0</v>
      </c>
      <c r="E31" s="344">
        <f t="shared" ca="1" si="7"/>
        <v>0</v>
      </c>
      <c r="F31" s="344">
        <f t="shared" ca="1" si="7"/>
        <v>0</v>
      </c>
      <c r="G31" s="344">
        <f t="shared" ca="1" si="7"/>
        <v>0</v>
      </c>
      <c r="H31" s="344">
        <f t="shared" ca="1" si="7"/>
        <v>0</v>
      </c>
      <c r="I31" s="344">
        <f t="shared" ca="1" si="7"/>
        <v>0</v>
      </c>
      <c r="J31" s="344">
        <f t="shared" ca="1" si="7"/>
        <v>0</v>
      </c>
      <c r="K31" s="344">
        <f t="shared" ca="1" si="7"/>
        <v>0</v>
      </c>
      <c r="L31" s="344">
        <f t="shared" ca="1" si="7"/>
        <v>0</v>
      </c>
      <c r="M31" s="344">
        <f t="shared" ca="1" si="7"/>
        <v>0</v>
      </c>
      <c r="N31" s="344">
        <f t="shared" ca="1" si="7"/>
        <v>0</v>
      </c>
      <c r="O31" s="344">
        <f t="shared" ca="1" si="7"/>
        <v>0</v>
      </c>
      <c r="P31" s="344">
        <f t="shared" ca="1" si="7"/>
        <v>0</v>
      </c>
      <c r="Q31" s="344">
        <f t="shared" ca="1" si="7"/>
        <v>0</v>
      </c>
      <c r="R31" s="344">
        <f t="shared" ca="1" si="7"/>
        <v>0</v>
      </c>
      <c r="S31" s="344">
        <f t="shared" ca="1" si="7"/>
        <v>0</v>
      </c>
      <c r="T31" s="344">
        <f t="shared" ca="1" si="7"/>
        <v>0</v>
      </c>
      <c r="U31" s="344">
        <f t="shared" ca="1" si="7"/>
        <v>0</v>
      </c>
      <c r="V31" s="344">
        <f t="shared" ca="1" si="7"/>
        <v>0</v>
      </c>
      <c r="W31" s="344">
        <f t="shared" ca="1" si="7"/>
        <v>-1644.9919849094142</v>
      </c>
      <c r="X31" s="344">
        <f t="shared" ca="1" si="7"/>
        <v>0</v>
      </c>
      <c r="Y31" s="344" t="e">
        <f t="shared" ca="1" si="7"/>
        <v>#REF!</v>
      </c>
      <c r="Z31" s="344" t="e">
        <f t="shared" ca="1" si="7"/>
        <v>#REF!</v>
      </c>
      <c r="AA31" s="344" t="e">
        <f t="shared" ca="1" si="7"/>
        <v>#REF!</v>
      </c>
      <c r="AB31" s="344" t="e">
        <f t="shared" ca="1" si="7"/>
        <v>#REF!</v>
      </c>
      <c r="AC31" s="344" t="e">
        <f t="shared" ca="1" si="7"/>
        <v>#REF!</v>
      </c>
      <c r="AD31" s="344" t="e">
        <f t="shared" ca="1" si="7"/>
        <v>#REF!</v>
      </c>
      <c r="AE31" s="344" t="e">
        <f t="shared" ca="1" si="7"/>
        <v>#REF!</v>
      </c>
      <c r="AF31" s="344" t="e">
        <f t="shared" ca="1" si="7"/>
        <v>#REF!</v>
      </c>
    </row>
    <row r="32" spans="1:32">
      <c r="A32">
        <f t="shared" si="4"/>
        <v>2037</v>
      </c>
      <c r="B32" s="344">
        <f t="shared" ca="1" si="1"/>
        <v>0</v>
      </c>
      <c r="C32" s="344">
        <f t="shared" ca="1" si="7"/>
        <v>0</v>
      </c>
      <c r="D32" s="344">
        <f t="shared" ca="1" si="7"/>
        <v>0</v>
      </c>
      <c r="E32" s="344">
        <f t="shared" ca="1" si="7"/>
        <v>0</v>
      </c>
      <c r="F32" s="344">
        <f t="shared" ca="1" si="7"/>
        <v>0</v>
      </c>
      <c r="G32" s="344">
        <f t="shared" ca="1" si="7"/>
        <v>0</v>
      </c>
      <c r="H32" s="344">
        <f t="shared" ca="1" si="7"/>
        <v>0</v>
      </c>
      <c r="I32" s="344">
        <f t="shared" ca="1" si="7"/>
        <v>0</v>
      </c>
      <c r="J32" s="344">
        <f t="shared" ca="1" si="7"/>
        <v>0</v>
      </c>
      <c r="K32" s="344">
        <f t="shared" ca="1" si="7"/>
        <v>0</v>
      </c>
      <c r="L32" s="344">
        <f t="shared" ca="1" si="7"/>
        <v>0</v>
      </c>
      <c r="M32" s="344">
        <f t="shared" ca="1" si="7"/>
        <v>0</v>
      </c>
      <c r="N32" s="344">
        <f t="shared" ca="1" si="7"/>
        <v>0</v>
      </c>
      <c r="O32" s="344">
        <f t="shared" ca="1" si="7"/>
        <v>0</v>
      </c>
      <c r="P32" s="344">
        <f t="shared" ca="1" si="7"/>
        <v>0</v>
      </c>
      <c r="Q32" s="344">
        <f t="shared" ca="1" si="7"/>
        <v>0</v>
      </c>
      <c r="R32" s="344">
        <f t="shared" ca="1" si="7"/>
        <v>0</v>
      </c>
      <c r="S32" s="344">
        <f t="shared" ca="1" si="7"/>
        <v>0</v>
      </c>
      <c r="T32" s="344">
        <f t="shared" ca="1" si="7"/>
        <v>0</v>
      </c>
      <c r="U32" s="344">
        <f t="shared" ca="1" si="7"/>
        <v>0</v>
      </c>
      <c r="V32" s="344">
        <f t="shared" ca="1" si="7"/>
        <v>0</v>
      </c>
      <c r="W32" s="344">
        <f t="shared" ca="1" si="7"/>
        <v>-1644.9919849094142</v>
      </c>
      <c r="X32" s="344">
        <f t="shared" ca="1" si="7"/>
        <v>0</v>
      </c>
      <c r="Y32" s="344" t="e">
        <f t="shared" ca="1" si="7"/>
        <v>#REF!</v>
      </c>
      <c r="Z32" s="344" t="e">
        <f t="shared" ca="1" si="7"/>
        <v>#REF!</v>
      </c>
      <c r="AA32" s="344" t="e">
        <f t="shared" ca="1" si="7"/>
        <v>#REF!</v>
      </c>
      <c r="AB32" s="344" t="e">
        <f t="shared" ca="1" si="7"/>
        <v>#REF!</v>
      </c>
      <c r="AC32" s="344" t="e">
        <f t="shared" ca="1" si="7"/>
        <v>#REF!</v>
      </c>
      <c r="AD32" s="344" t="e">
        <f t="shared" ca="1" si="7"/>
        <v>#REF!</v>
      </c>
      <c r="AE32" s="344" t="e">
        <f t="shared" ca="1" si="7"/>
        <v>#REF!</v>
      </c>
      <c r="AF32" s="344" t="e">
        <f t="shared" ca="1" si="7"/>
        <v>#REF!</v>
      </c>
    </row>
    <row r="33" spans="1:32">
      <c r="A33">
        <f t="shared" si="4"/>
        <v>2038</v>
      </c>
      <c r="B33" s="344">
        <f t="shared" ca="1" si="1"/>
        <v>0</v>
      </c>
      <c r="C33" s="344">
        <f t="shared" ca="1" si="7"/>
        <v>0</v>
      </c>
      <c r="D33" s="344">
        <f t="shared" ca="1" si="7"/>
        <v>0</v>
      </c>
      <c r="E33" s="344">
        <f t="shared" ca="1" si="7"/>
        <v>0</v>
      </c>
      <c r="F33" s="344">
        <f t="shared" ca="1" si="7"/>
        <v>0</v>
      </c>
      <c r="G33" s="344">
        <f t="shared" ca="1" si="7"/>
        <v>0</v>
      </c>
      <c r="H33" s="344">
        <f t="shared" ca="1" si="7"/>
        <v>0</v>
      </c>
      <c r="I33" s="344">
        <f t="shared" ca="1" si="7"/>
        <v>0</v>
      </c>
      <c r="J33" s="344">
        <f t="shared" ca="1" si="7"/>
        <v>0</v>
      </c>
      <c r="K33" s="344">
        <f t="shared" ca="1" si="7"/>
        <v>0</v>
      </c>
      <c r="L33" s="344">
        <f t="shared" ca="1" si="7"/>
        <v>0</v>
      </c>
      <c r="M33" s="344">
        <f t="shared" ca="1" si="7"/>
        <v>0</v>
      </c>
      <c r="N33" s="344">
        <f t="shared" ca="1" si="7"/>
        <v>0</v>
      </c>
      <c r="O33" s="344">
        <f t="shared" ca="1" si="7"/>
        <v>0</v>
      </c>
      <c r="P33" s="344">
        <f t="shared" ca="1" si="7"/>
        <v>0</v>
      </c>
      <c r="Q33" s="344">
        <f t="shared" ca="1" si="7"/>
        <v>0</v>
      </c>
      <c r="R33" s="344">
        <f t="shared" ca="1" si="7"/>
        <v>0</v>
      </c>
      <c r="S33" s="344">
        <f t="shared" ca="1" si="7"/>
        <v>0</v>
      </c>
      <c r="T33" s="344">
        <f t="shared" ca="1" si="7"/>
        <v>0</v>
      </c>
      <c r="U33" s="344">
        <f t="shared" ca="1" si="7"/>
        <v>0</v>
      </c>
      <c r="V33" s="344">
        <f t="shared" ca="1" si="7"/>
        <v>0</v>
      </c>
      <c r="W33" s="344">
        <f t="shared" ca="1" si="7"/>
        <v>-1644.9919849094142</v>
      </c>
      <c r="X33" s="344">
        <f t="shared" ca="1" si="7"/>
        <v>0</v>
      </c>
      <c r="Y33" s="344" t="e">
        <f t="shared" ca="1" si="7"/>
        <v>#REF!</v>
      </c>
      <c r="Z33" s="344" t="e">
        <f t="shared" ca="1" si="7"/>
        <v>#REF!</v>
      </c>
      <c r="AA33" s="344" t="e">
        <f t="shared" ca="1" si="7"/>
        <v>#REF!</v>
      </c>
      <c r="AB33" s="344" t="e">
        <f t="shared" ca="1" si="7"/>
        <v>#REF!</v>
      </c>
      <c r="AC33" s="344" t="e">
        <f t="shared" ca="1" si="7"/>
        <v>#REF!</v>
      </c>
      <c r="AD33" s="344" t="e">
        <f t="shared" ca="1" si="7"/>
        <v>#REF!</v>
      </c>
      <c r="AE33" s="344" t="e">
        <f t="shared" ca="1" si="7"/>
        <v>#REF!</v>
      </c>
      <c r="AF33" s="344" t="e">
        <f t="shared" ca="1" si="7"/>
        <v>#REF!</v>
      </c>
    </row>
    <row r="34" spans="1:32">
      <c r="A34">
        <f t="shared" si="4"/>
        <v>2039</v>
      </c>
      <c r="B34" s="344">
        <f t="shared" ca="1" si="1"/>
        <v>0</v>
      </c>
      <c r="C34" s="344">
        <f t="shared" ca="1" si="7"/>
        <v>0</v>
      </c>
      <c r="D34" s="344">
        <f t="shared" ca="1" si="7"/>
        <v>0</v>
      </c>
      <c r="E34" s="344">
        <f t="shared" ca="1" si="7"/>
        <v>0</v>
      </c>
      <c r="F34" s="344">
        <f t="shared" ca="1" si="7"/>
        <v>0</v>
      </c>
      <c r="G34" s="344">
        <f t="shared" ca="1" si="7"/>
        <v>0</v>
      </c>
      <c r="H34" s="344">
        <f t="shared" ca="1" si="7"/>
        <v>0</v>
      </c>
      <c r="I34" s="344">
        <f t="shared" ca="1" si="7"/>
        <v>0</v>
      </c>
      <c r="J34" s="344">
        <f t="shared" ca="1" si="7"/>
        <v>0</v>
      </c>
      <c r="K34" s="344">
        <f t="shared" ca="1" si="7"/>
        <v>0</v>
      </c>
      <c r="L34" s="344">
        <f t="shared" ca="1" si="7"/>
        <v>0</v>
      </c>
      <c r="M34" s="344">
        <f t="shared" ca="1" si="7"/>
        <v>0</v>
      </c>
      <c r="N34" s="344">
        <f t="shared" ca="1" si="7"/>
        <v>0</v>
      </c>
      <c r="O34" s="344">
        <f t="shared" ca="1" si="7"/>
        <v>0</v>
      </c>
      <c r="P34" s="344">
        <f t="shared" ca="1" si="7"/>
        <v>0</v>
      </c>
      <c r="Q34" s="344">
        <f t="shared" ca="1" si="7"/>
        <v>0</v>
      </c>
      <c r="R34" s="344">
        <f t="shared" ca="1" si="7"/>
        <v>0</v>
      </c>
      <c r="S34" s="344">
        <f t="shared" ca="1" si="7"/>
        <v>0</v>
      </c>
      <c r="T34" s="344">
        <f t="shared" ca="1" si="7"/>
        <v>0</v>
      </c>
      <c r="U34" s="344">
        <f t="shared" ca="1" si="7"/>
        <v>0</v>
      </c>
      <c r="V34" s="344">
        <f t="shared" ca="1" si="7"/>
        <v>0</v>
      </c>
      <c r="W34" s="344">
        <f t="shared" ca="1" si="7"/>
        <v>-1644.9919849094142</v>
      </c>
      <c r="X34" s="344">
        <f t="shared" ca="1" si="7"/>
        <v>0</v>
      </c>
      <c r="Y34" s="344" t="e">
        <f t="shared" ca="1" si="7"/>
        <v>#REF!</v>
      </c>
      <c r="Z34" s="344" t="e">
        <f t="shared" ca="1" si="7"/>
        <v>#REF!</v>
      </c>
      <c r="AA34" s="344" t="e">
        <f t="shared" ca="1" si="7"/>
        <v>#REF!</v>
      </c>
      <c r="AB34" s="344" t="e">
        <f t="shared" ca="1" si="7"/>
        <v>#REF!</v>
      </c>
      <c r="AC34" s="344" t="e">
        <f t="shared" ca="1" si="7"/>
        <v>#REF!</v>
      </c>
      <c r="AD34" s="344" t="e">
        <f t="shared" ca="1" si="7"/>
        <v>#REF!</v>
      </c>
      <c r="AE34" s="344" t="e">
        <f t="shared" ca="1" si="7"/>
        <v>#REF!</v>
      </c>
      <c r="AF34" s="344" t="e">
        <f t="shared" ca="1" si="7"/>
        <v>#REF!</v>
      </c>
    </row>
    <row r="35" spans="1:32">
      <c r="A35">
        <f t="shared" si="4"/>
        <v>2040</v>
      </c>
      <c r="B35" s="344">
        <f t="shared" ca="1" si="1"/>
        <v>0</v>
      </c>
      <c r="C35" s="344">
        <f t="shared" ca="1" si="7"/>
        <v>0</v>
      </c>
      <c r="D35" s="344">
        <f t="shared" ca="1" si="7"/>
        <v>0</v>
      </c>
      <c r="E35" s="344">
        <f t="shared" ca="1" si="7"/>
        <v>0</v>
      </c>
      <c r="F35" s="344">
        <f t="shared" ca="1" si="7"/>
        <v>0</v>
      </c>
      <c r="G35" s="344">
        <f t="shared" ca="1" si="7"/>
        <v>0</v>
      </c>
      <c r="H35" s="344">
        <f t="shared" ca="1" si="7"/>
        <v>0</v>
      </c>
      <c r="I35" s="344">
        <f t="shared" ca="1" si="7"/>
        <v>0</v>
      </c>
      <c r="J35" s="344">
        <f t="shared" ca="1" si="7"/>
        <v>0</v>
      </c>
      <c r="K35" s="344">
        <f t="shared" ca="1" si="7"/>
        <v>0</v>
      </c>
      <c r="L35" s="344">
        <f t="shared" ca="1" si="7"/>
        <v>0</v>
      </c>
      <c r="M35" s="344">
        <f t="shared" ca="1" si="7"/>
        <v>0</v>
      </c>
      <c r="N35" s="344">
        <f t="shared" ca="1" si="7"/>
        <v>0</v>
      </c>
      <c r="O35" s="344">
        <f t="shared" ca="1" si="7"/>
        <v>0</v>
      </c>
      <c r="P35" s="344">
        <f t="shared" ca="1" si="7"/>
        <v>0</v>
      </c>
      <c r="Q35" s="344">
        <f t="shared" ca="1" si="7"/>
        <v>0</v>
      </c>
      <c r="R35" s="344">
        <f t="shared" ca="1" si="7"/>
        <v>0</v>
      </c>
      <c r="S35" s="344">
        <f t="shared" ca="1" si="7"/>
        <v>0</v>
      </c>
      <c r="T35" s="344">
        <f t="shared" ca="1" si="7"/>
        <v>0</v>
      </c>
      <c r="U35" s="344">
        <f t="shared" ca="1" si="7"/>
        <v>0</v>
      </c>
      <c r="V35" s="344">
        <f t="shared" ca="1" si="7"/>
        <v>0</v>
      </c>
      <c r="W35" s="344">
        <f t="shared" ca="1" si="7"/>
        <v>-1644.9919849094142</v>
      </c>
      <c r="X35" s="344">
        <f t="shared" ca="1" si="7"/>
        <v>0</v>
      </c>
      <c r="Y35" s="344" t="e">
        <f t="shared" ca="1" si="7"/>
        <v>#REF!</v>
      </c>
      <c r="Z35" s="344" t="e">
        <f t="shared" ca="1" si="7"/>
        <v>#REF!</v>
      </c>
      <c r="AA35" s="344" t="e">
        <f t="shared" ca="1" si="7"/>
        <v>#REF!</v>
      </c>
      <c r="AB35" s="344" t="e">
        <f t="shared" ca="1" si="7"/>
        <v>#REF!</v>
      </c>
      <c r="AC35" s="344" t="e">
        <f t="shared" ca="1" si="7"/>
        <v>#REF!</v>
      </c>
      <c r="AD35" s="344" t="e">
        <f t="shared" ca="1" si="7"/>
        <v>#REF!</v>
      </c>
      <c r="AE35" s="344" t="e">
        <f t="shared" ca="1" si="7"/>
        <v>#REF!</v>
      </c>
      <c r="AF35" s="344" t="e">
        <f t="shared" ca="1" si="7"/>
        <v>#REF!</v>
      </c>
    </row>
    <row r="36" spans="1:32">
      <c r="A36">
        <f t="shared" si="4"/>
        <v>2041</v>
      </c>
      <c r="B36" s="344">
        <f t="shared" ca="1" si="1"/>
        <v>0</v>
      </c>
      <c r="C36" s="344">
        <f t="shared" ca="1" si="7"/>
        <v>0</v>
      </c>
      <c r="D36" s="344">
        <f t="shared" ca="1" si="7"/>
        <v>0</v>
      </c>
      <c r="E36" s="344">
        <f t="shared" ca="1" si="7"/>
        <v>0</v>
      </c>
      <c r="F36" s="344">
        <f t="shared" ca="1" si="7"/>
        <v>0</v>
      </c>
      <c r="G36" s="344">
        <f t="shared" ca="1" si="7"/>
        <v>0</v>
      </c>
      <c r="H36" s="344">
        <f t="shared" ca="1" si="7"/>
        <v>0</v>
      </c>
      <c r="I36" s="344">
        <f t="shared" ca="1" si="7"/>
        <v>0</v>
      </c>
      <c r="J36" s="344">
        <f t="shared" ca="1" si="7"/>
        <v>0</v>
      </c>
      <c r="K36" s="344">
        <f t="shared" ca="1" si="7"/>
        <v>0</v>
      </c>
      <c r="L36" s="344">
        <f t="shared" ca="1" si="7"/>
        <v>0</v>
      </c>
      <c r="M36" s="344">
        <f t="shared" ca="1" si="7"/>
        <v>0</v>
      </c>
      <c r="N36" s="344">
        <f t="shared" ca="1" si="7"/>
        <v>0</v>
      </c>
      <c r="O36" s="344">
        <f t="shared" ca="1" si="7"/>
        <v>0</v>
      </c>
      <c r="P36" s="344">
        <f t="shared" ca="1" si="7"/>
        <v>0</v>
      </c>
      <c r="Q36" s="344">
        <f t="shared" ca="1" si="7"/>
        <v>0</v>
      </c>
      <c r="R36" s="344">
        <f t="shared" ca="1" si="7"/>
        <v>0</v>
      </c>
      <c r="S36" s="344">
        <f t="shared" ca="1" si="7"/>
        <v>0</v>
      </c>
      <c r="T36" s="344">
        <f t="shared" ca="1" si="7"/>
        <v>0</v>
      </c>
      <c r="U36" s="344">
        <f t="shared" ca="1" si="7"/>
        <v>0</v>
      </c>
      <c r="V36" s="344">
        <f t="shared" ca="1" si="7"/>
        <v>0</v>
      </c>
      <c r="W36" s="344">
        <f t="shared" ca="1" si="7"/>
        <v>-1644.9919849094142</v>
      </c>
      <c r="X36" s="344">
        <f t="shared" ca="1" si="7"/>
        <v>0</v>
      </c>
      <c r="Y36" s="344" t="e">
        <f t="shared" ca="1" si="7"/>
        <v>#REF!</v>
      </c>
      <c r="Z36" s="344" t="e">
        <f t="shared" ca="1" si="7"/>
        <v>#REF!</v>
      </c>
      <c r="AA36" s="344" t="e">
        <f t="shared" ca="1" si="7"/>
        <v>#REF!</v>
      </c>
      <c r="AB36" s="344" t="e">
        <f t="shared" ca="1" si="7"/>
        <v>#REF!</v>
      </c>
      <c r="AC36" s="344" t="e">
        <f t="shared" ca="1" si="7"/>
        <v>#REF!</v>
      </c>
      <c r="AD36" s="344" t="e">
        <f t="shared" ca="1" si="7"/>
        <v>#REF!</v>
      </c>
      <c r="AE36" s="344" t="e">
        <f t="shared" ca="1" si="7"/>
        <v>#REF!</v>
      </c>
      <c r="AF36" s="344" t="e">
        <f t="shared" ca="1" si="7"/>
        <v>#REF!</v>
      </c>
    </row>
    <row r="37" spans="1:32">
      <c r="A37">
        <f t="shared" si="4"/>
        <v>2042</v>
      </c>
      <c r="B37" s="344">
        <f t="shared" ca="1" si="1"/>
        <v>0</v>
      </c>
      <c r="C37" s="344">
        <f t="shared" ca="1" si="7"/>
        <v>0</v>
      </c>
      <c r="D37" s="344">
        <f t="shared" ca="1" si="7"/>
        <v>0</v>
      </c>
      <c r="E37" s="344">
        <f t="shared" ca="1" si="7"/>
        <v>0</v>
      </c>
      <c r="F37" s="344">
        <f t="shared" ca="1" si="7"/>
        <v>0</v>
      </c>
      <c r="G37" s="344">
        <f t="shared" ca="1" si="7"/>
        <v>0</v>
      </c>
      <c r="H37" s="344">
        <f t="shared" ca="1" si="7"/>
        <v>0</v>
      </c>
      <c r="I37" s="344">
        <f t="shared" ca="1" si="7"/>
        <v>0</v>
      </c>
      <c r="J37" s="344">
        <f t="shared" ca="1" si="7"/>
        <v>0</v>
      </c>
      <c r="K37" s="344">
        <f t="shared" ca="1" si="7"/>
        <v>0</v>
      </c>
      <c r="L37" s="344">
        <f t="shared" ca="1" si="7"/>
        <v>0</v>
      </c>
      <c r="M37" s="344">
        <f t="shared" ca="1" si="7"/>
        <v>0</v>
      </c>
      <c r="N37" s="344">
        <f t="shared" ca="1" si="7"/>
        <v>0</v>
      </c>
      <c r="O37" s="344">
        <f t="shared" ca="1" si="7"/>
        <v>0</v>
      </c>
      <c r="P37" s="344">
        <f t="shared" ca="1" si="7"/>
        <v>0</v>
      </c>
      <c r="Q37" s="344">
        <f t="shared" ca="1" si="7"/>
        <v>0</v>
      </c>
      <c r="R37" s="344">
        <f t="shared" ca="1" si="7"/>
        <v>0</v>
      </c>
      <c r="S37" s="344">
        <f t="shared" ca="1" si="7"/>
        <v>0</v>
      </c>
      <c r="T37" s="344">
        <f t="shared" ca="1" si="7"/>
        <v>0</v>
      </c>
      <c r="U37" s="344">
        <f t="shared" ca="1" si="7"/>
        <v>0</v>
      </c>
      <c r="V37" s="344">
        <f t="shared" ca="1" si="7"/>
        <v>0</v>
      </c>
      <c r="W37" s="344">
        <f t="shared" ca="1" si="7"/>
        <v>-1644.9919849094142</v>
      </c>
      <c r="X37" s="344">
        <f t="shared" ca="1" si="7"/>
        <v>0</v>
      </c>
      <c r="Y37" s="344" t="e">
        <f t="shared" ca="1" si="7"/>
        <v>#REF!</v>
      </c>
      <c r="Z37" s="344" t="e">
        <f t="shared" ca="1" si="7"/>
        <v>#REF!</v>
      </c>
      <c r="AA37" s="344" t="e">
        <f t="shared" ca="1" si="7"/>
        <v>#REF!</v>
      </c>
      <c r="AB37" s="344" t="e">
        <f t="shared" ca="1" si="7"/>
        <v>#REF!</v>
      </c>
      <c r="AC37" s="344" t="e">
        <f t="shared" ca="1" si="7"/>
        <v>#REF!</v>
      </c>
      <c r="AD37" s="344" t="e">
        <f t="shared" ca="1" si="7"/>
        <v>#REF!</v>
      </c>
      <c r="AE37" s="344" t="e">
        <f t="shared" ca="1" si="7"/>
        <v>#REF!</v>
      </c>
      <c r="AF37" s="344" t="e">
        <f t="shared" ca="1" si="7"/>
        <v>#REF!</v>
      </c>
    </row>
    <row r="38" spans="1:32">
      <c r="A38">
        <f t="shared" si="4"/>
        <v>2043</v>
      </c>
      <c r="B38" s="344">
        <f t="shared" ca="1" si="1"/>
        <v>0</v>
      </c>
      <c r="C38" s="344">
        <f t="shared" ca="1" si="7"/>
        <v>0</v>
      </c>
      <c r="D38" s="344">
        <f t="shared" ca="1" si="7"/>
        <v>0</v>
      </c>
      <c r="E38" s="344">
        <f t="shared" ca="1" si="7"/>
        <v>0</v>
      </c>
      <c r="F38" s="344">
        <f t="shared" ca="1" si="7"/>
        <v>0</v>
      </c>
      <c r="G38" s="344">
        <f t="shared" ca="1" si="7"/>
        <v>0</v>
      </c>
      <c r="H38" s="344">
        <f t="shared" ca="1" si="7"/>
        <v>0</v>
      </c>
      <c r="I38" s="344">
        <f t="shared" ca="1" si="7"/>
        <v>0</v>
      </c>
      <c r="J38" s="344">
        <f t="shared" ca="1" si="7"/>
        <v>0</v>
      </c>
      <c r="K38" s="344">
        <f t="shared" ca="1" si="7"/>
        <v>0</v>
      </c>
      <c r="L38" s="344">
        <f t="shared" ca="1" si="7"/>
        <v>0</v>
      </c>
      <c r="M38" s="344">
        <f t="shared" ca="1" si="7"/>
        <v>0</v>
      </c>
      <c r="N38" s="344">
        <f t="shared" ca="1" si="7"/>
        <v>0</v>
      </c>
      <c r="O38" s="344">
        <f t="shared" ca="1" si="7"/>
        <v>0</v>
      </c>
      <c r="P38" s="344">
        <f t="shared" ca="1" si="7"/>
        <v>0</v>
      </c>
      <c r="Q38" s="344">
        <f t="shared" ca="1" si="7"/>
        <v>0</v>
      </c>
      <c r="R38" s="344">
        <f t="shared" ca="1" si="7"/>
        <v>0</v>
      </c>
      <c r="S38" s="344">
        <f t="shared" ca="1" si="7"/>
        <v>0</v>
      </c>
      <c r="T38" s="344">
        <f t="shared" ca="1" si="7"/>
        <v>0</v>
      </c>
      <c r="U38" s="344">
        <f t="shared" ca="1" si="7"/>
        <v>0</v>
      </c>
      <c r="V38" s="344">
        <f t="shared" ca="1" si="7"/>
        <v>0</v>
      </c>
      <c r="W38" s="344">
        <f t="shared" ca="1" si="7"/>
        <v>-1644.9919849094142</v>
      </c>
      <c r="X38" s="344">
        <f t="shared" ca="1" si="7"/>
        <v>0</v>
      </c>
      <c r="Y38" s="344" t="e">
        <f t="shared" ca="1" si="7"/>
        <v>#REF!</v>
      </c>
      <c r="Z38" s="344" t="e">
        <f t="shared" ca="1" si="7"/>
        <v>#REF!</v>
      </c>
      <c r="AA38" s="344" t="e">
        <f t="shared" ca="1" si="7"/>
        <v>#REF!</v>
      </c>
      <c r="AB38" s="344" t="e">
        <f t="shared" ca="1" si="7"/>
        <v>#REF!</v>
      </c>
      <c r="AC38" s="344" t="e">
        <f t="shared" ca="1" si="7"/>
        <v>#REF!</v>
      </c>
      <c r="AD38" s="344" t="e">
        <f t="shared" ca="1" si="7"/>
        <v>#REF!</v>
      </c>
      <c r="AE38" s="344" t="e">
        <f t="shared" ca="1" si="7"/>
        <v>#REF!</v>
      </c>
      <c r="AF38" s="344" t="e">
        <f t="shared" ca="1" si="7"/>
        <v>#REF!</v>
      </c>
    </row>
    <row r="39" spans="1:32">
      <c r="A39">
        <f t="shared" si="4"/>
        <v>2044</v>
      </c>
      <c r="B39" s="344">
        <f t="shared" ca="1" si="1"/>
        <v>0</v>
      </c>
      <c r="C39" s="344">
        <f t="shared" ca="1" si="7"/>
        <v>0</v>
      </c>
      <c r="D39" s="344">
        <f t="shared" ca="1" si="7"/>
        <v>0</v>
      </c>
      <c r="E39" s="344">
        <f t="shared" ca="1" si="7"/>
        <v>0</v>
      </c>
      <c r="F39" s="344">
        <f t="shared" ca="1" si="7"/>
        <v>0</v>
      </c>
      <c r="G39" s="344">
        <f t="shared" ca="1" si="7"/>
        <v>0</v>
      </c>
      <c r="H39" s="344">
        <f t="shared" ca="1" si="7"/>
        <v>0</v>
      </c>
      <c r="I39" s="344">
        <f t="shared" ca="1" si="7"/>
        <v>0</v>
      </c>
      <c r="J39" s="344">
        <f t="shared" ca="1" si="7"/>
        <v>0</v>
      </c>
      <c r="K39" s="344">
        <f t="shared" ca="1" si="7"/>
        <v>0</v>
      </c>
      <c r="L39" s="344">
        <f t="shared" ca="1" si="7"/>
        <v>0</v>
      </c>
      <c r="M39" s="344">
        <f t="shared" ca="1" si="7"/>
        <v>0</v>
      </c>
      <c r="N39" s="344">
        <f t="shared" ca="1" si="7"/>
        <v>0</v>
      </c>
      <c r="O39" s="344">
        <f t="shared" ca="1" si="7"/>
        <v>0</v>
      </c>
      <c r="P39" s="344">
        <f t="shared" ca="1" si="7"/>
        <v>0</v>
      </c>
      <c r="Q39" s="344">
        <f t="shared" ca="1" si="7"/>
        <v>0</v>
      </c>
      <c r="R39" s="344">
        <f t="shared" ref="C39:AF45" ca="1" si="8">OFFSET(INDIRECT(R$3),$A39-$A$5+$C$1,$C$2)</f>
        <v>0</v>
      </c>
      <c r="S39" s="344">
        <f t="shared" ca="1" si="8"/>
        <v>0</v>
      </c>
      <c r="T39" s="344">
        <f t="shared" ca="1" si="8"/>
        <v>0</v>
      </c>
      <c r="U39" s="344">
        <f t="shared" ca="1" si="8"/>
        <v>0</v>
      </c>
      <c r="V39" s="344">
        <f t="shared" ca="1" si="8"/>
        <v>0</v>
      </c>
      <c r="W39" s="344">
        <f t="shared" ca="1" si="8"/>
        <v>-1644.9919849094142</v>
      </c>
      <c r="X39" s="344">
        <f t="shared" ca="1" si="8"/>
        <v>0</v>
      </c>
      <c r="Y39" s="344" t="e">
        <f t="shared" ca="1" si="8"/>
        <v>#REF!</v>
      </c>
      <c r="Z39" s="344" t="e">
        <f t="shared" ca="1" si="8"/>
        <v>#REF!</v>
      </c>
      <c r="AA39" s="344" t="e">
        <f t="shared" ca="1" si="8"/>
        <v>#REF!</v>
      </c>
      <c r="AB39" s="344" t="e">
        <f t="shared" ca="1" si="8"/>
        <v>#REF!</v>
      </c>
      <c r="AC39" s="344" t="e">
        <f t="shared" ca="1" si="8"/>
        <v>#REF!</v>
      </c>
      <c r="AD39" s="344" t="e">
        <f t="shared" ca="1" si="8"/>
        <v>#REF!</v>
      </c>
      <c r="AE39" s="344" t="e">
        <f t="shared" ca="1" si="8"/>
        <v>#REF!</v>
      </c>
      <c r="AF39" s="344" t="e">
        <f t="shared" ca="1" si="8"/>
        <v>#REF!</v>
      </c>
    </row>
    <row r="40" spans="1:32">
      <c r="A40">
        <f t="shared" si="4"/>
        <v>2045</v>
      </c>
      <c r="B40" s="344">
        <f t="shared" ca="1" si="1"/>
        <v>0</v>
      </c>
      <c r="C40" s="344">
        <f t="shared" ca="1" si="8"/>
        <v>0</v>
      </c>
      <c r="D40" s="344">
        <f t="shared" ca="1" si="8"/>
        <v>0</v>
      </c>
      <c r="E40" s="344">
        <f t="shared" ca="1" si="8"/>
        <v>0</v>
      </c>
      <c r="F40" s="344">
        <f t="shared" ca="1" si="8"/>
        <v>0</v>
      </c>
      <c r="G40" s="344">
        <f t="shared" ca="1" si="8"/>
        <v>0</v>
      </c>
      <c r="H40" s="344">
        <f t="shared" ca="1" si="8"/>
        <v>0</v>
      </c>
      <c r="I40" s="344">
        <f t="shared" ca="1" si="8"/>
        <v>0</v>
      </c>
      <c r="J40" s="344">
        <f t="shared" ca="1" si="8"/>
        <v>0</v>
      </c>
      <c r="K40" s="344">
        <f t="shared" ca="1" si="8"/>
        <v>0</v>
      </c>
      <c r="L40" s="344">
        <f t="shared" ca="1" si="8"/>
        <v>0</v>
      </c>
      <c r="M40" s="344">
        <f t="shared" ca="1" si="8"/>
        <v>0</v>
      </c>
      <c r="N40" s="344">
        <f t="shared" ca="1" si="8"/>
        <v>0</v>
      </c>
      <c r="O40" s="344">
        <f t="shared" ca="1" si="8"/>
        <v>0</v>
      </c>
      <c r="P40" s="344">
        <f t="shared" ca="1" si="8"/>
        <v>0</v>
      </c>
      <c r="Q40" s="344">
        <f t="shared" ca="1" si="8"/>
        <v>0</v>
      </c>
      <c r="R40" s="344">
        <f t="shared" ca="1" si="8"/>
        <v>0</v>
      </c>
      <c r="S40" s="344">
        <f t="shared" ca="1" si="8"/>
        <v>0</v>
      </c>
      <c r="T40" s="344">
        <f t="shared" ca="1" si="8"/>
        <v>0</v>
      </c>
      <c r="U40" s="344">
        <f t="shared" ca="1" si="8"/>
        <v>0</v>
      </c>
      <c r="V40" s="344">
        <f t="shared" ca="1" si="8"/>
        <v>0</v>
      </c>
      <c r="W40" s="344">
        <f t="shared" ca="1" si="8"/>
        <v>-1644.9919849094142</v>
      </c>
      <c r="X40" s="344">
        <f t="shared" ca="1" si="8"/>
        <v>0</v>
      </c>
      <c r="Y40" s="344" t="e">
        <f t="shared" ca="1" si="8"/>
        <v>#REF!</v>
      </c>
      <c r="Z40" s="344" t="e">
        <f t="shared" ca="1" si="8"/>
        <v>#REF!</v>
      </c>
      <c r="AA40" s="344" t="e">
        <f t="shared" ca="1" si="8"/>
        <v>#REF!</v>
      </c>
      <c r="AB40" s="344" t="e">
        <f t="shared" ca="1" si="8"/>
        <v>#REF!</v>
      </c>
      <c r="AC40" s="344" t="e">
        <f t="shared" ca="1" si="8"/>
        <v>#REF!</v>
      </c>
      <c r="AD40" s="344" t="e">
        <f t="shared" ca="1" si="8"/>
        <v>#REF!</v>
      </c>
      <c r="AE40" s="344" t="e">
        <f t="shared" ca="1" si="8"/>
        <v>#REF!</v>
      </c>
      <c r="AF40" s="344" t="e">
        <f t="shared" ca="1" si="8"/>
        <v>#REF!</v>
      </c>
    </row>
    <row r="41" spans="1:32">
      <c r="A41">
        <f>A40+1</f>
        <v>2046</v>
      </c>
      <c r="B41" s="344">
        <f t="shared" ca="1" si="1"/>
        <v>0</v>
      </c>
      <c r="C41" s="344">
        <f t="shared" ca="1" si="8"/>
        <v>0</v>
      </c>
      <c r="D41" s="344">
        <f t="shared" ca="1" si="8"/>
        <v>0</v>
      </c>
      <c r="E41" s="344">
        <f t="shared" ca="1" si="8"/>
        <v>0</v>
      </c>
      <c r="F41" s="344">
        <f t="shared" ca="1" si="8"/>
        <v>0</v>
      </c>
      <c r="G41" s="344">
        <f t="shared" ca="1" si="8"/>
        <v>0</v>
      </c>
      <c r="H41" s="344">
        <f t="shared" ca="1" si="8"/>
        <v>0</v>
      </c>
      <c r="I41" s="344">
        <f t="shared" ca="1" si="8"/>
        <v>0</v>
      </c>
      <c r="J41" s="344">
        <f t="shared" ca="1" si="8"/>
        <v>0</v>
      </c>
      <c r="K41" s="344">
        <f t="shared" ca="1" si="8"/>
        <v>0</v>
      </c>
      <c r="L41" s="344">
        <f t="shared" ca="1" si="8"/>
        <v>0</v>
      </c>
      <c r="M41" s="344">
        <f t="shared" ca="1" si="8"/>
        <v>0</v>
      </c>
      <c r="N41" s="344">
        <f t="shared" ca="1" si="8"/>
        <v>0</v>
      </c>
      <c r="O41" s="344">
        <f t="shared" ca="1" si="8"/>
        <v>0</v>
      </c>
      <c r="P41" s="344">
        <f t="shared" ca="1" si="8"/>
        <v>0</v>
      </c>
      <c r="Q41" s="344">
        <f t="shared" ca="1" si="8"/>
        <v>0</v>
      </c>
      <c r="R41" s="344">
        <f t="shared" ca="1" si="8"/>
        <v>0</v>
      </c>
      <c r="S41" s="344">
        <f t="shared" ca="1" si="8"/>
        <v>0</v>
      </c>
      <c r="T41" s="344">
        <f t="shared" ca="1" si="8"/>
        <v>0</v>
      </c>
      <c r="U41" s="344">
        <f t="shared" ca="1" si="8"/>
        <v>0</v>
      </c>
      <c r="V41" s="344">
        <f t="shared" ca="1" si="8"/>
        <v>0</v>
      </c>
      <c r="W41" s="344">
        <f t="shared" ca="1" si="8"/>
        <v>-1644.9919849094142</v>
      </c>
      <c r="X41" s="344">
        <f t="shared" ca="1" si="8"/>
        <v>0</v>
      </c>
      <c r="Y41" s="344" t="e">
        <f t="shared" ca="1" si="8"/>
        <v>#REF!</v>
      </c>
      <c r="Z41" s="344" t="e">
        <f t="shared" ca="1" si="8"/>
        <v>#REF!</v>
      </c>
      <c r="AA41" s="344" t="e">
        <f t="shared" ca="1" si="8"/>
        <v>#REF!</v>
      </c>
      <c r="AB41" s="344" t="e">
        <f t="shared" ca="1" si="8"/>
        <v>#REF!</v>
      </c>
      <c r="AC41" s="344" t="e">
        <f t="shared" ca="1" si="8"/>
        <v>#REF!</v>
      </c>
      <c r="AD41" s="344" t="e">
        <f t="shared" ca="1" si="8"/>
        <v>#REF!</v>
      </c>
      <c r="AE41" s="344" t="e">
        <f t="shared" ca="1" si="8"/>
        <v>#REF!</v>
      </c>
      <c r="AF41" s="344" t="e">
        <f t="shared" ca="1" si="8"/>
        <v>#REF!</v>
      </c>
    </row>
    <row r="42" spans="1:32">
      <c r="A42">
        <f t="shared" si="4"/>
        <v>2047</v>
      </c>
      <c r="B42" s="344">
        <f t="shared" ca="1" si="1"/>
        <v>0</v>
      </c>
      <c r="C42" s="344">
        <f t="shared" ca="1" si="8"/>
        <v>0</v>
      </c>
      <c r="D42" s="344">
        <f t="shared" ca="1" si="8"/>
        <v>0</v>
      </c>
      <c r="E42" s="344">
        <f t="shared" ca="1" si="8"/>
        <v>0</v>
      </c>
      <c r="F42" s="344">
        <f t="shared" ca="1" si="8"/>
        <v>0</v>
      </c>
      <c r="G42" s="344">
        <f t="shared" ca="1" si="8"/>
        <v>0</v>
      </c>
      <c r="H42" s="344">
        <f t="shared" ca="1" si="8"/>
        <v>0</v>
      </c>
      <c r="I42" s="344">
        <f t="shared" ca="1" si="8"/>
        <v>0</v>
      </c>
      <c r="J42" s="344">
        <f t="shared" ca="1" si="8"/>
        <v>0</v>
      </c>
      <c r="K42" s="344">
        <f t="shared" ca="1" si="8"/>
        <v>0</v>
      </c>
      <c r="L42" s="344">
        <f t="shared" ca="1" si="8"/>
        <v>0</v>
      </c>
      <c r="M42" s="344">
        <f t="shared" ca="1" si="8"/>
        <v>0</v>
      </c>
      <c r="N42" s="344">
        <f t="shared" ca="1" si="8"/>
        <v>0</v>
      </c>
      <c r="O42" s="344">
        <f t="shared" ca="1" si="8"/>
        <v>0</v>
      </c>
      <c r="P42" s="344">
        <f t="shared" ca="1" si="8"/>
        <v>0</v>
      </c>
      <c r="Q42" s="344">
        <f t="shared" ca="1" si="8"/>
        <v>0</v>
      </c>
      <c r="R42" s="344">
        <f t="shared" ca="1" si="8"/>
        <v>0</v>
      </c>
      <c r="S42" s="344">
        <f t="shared" ca="1" si="8"/>
        <v>0</v>
      </c>
      <c r="T42" s="344">
        <f t="shared" ca="1" si="8"/>
        <v>0</v>
      </c>
      <c r="U42" s="344">
        <f t="shared" ca="1" si="8"/>
        <v>0</v>
      </c>
      <c r="V42" s="344">
        <f t="shared" ca="1" si="8"/>
        <v>0</v>
      </c>
      <c r="W42" s="344">
        <f t="shared" ca="1" si="8"/>
        <v>-1644.9919849094142</v>
      </c>
      <c r="X42" s="344">
        <f t="shared" ca="1" si="8"/>
        <v>0</v>
      </c>
      <c r="Y42" s="344" t="e">
        <f t="shared" ca="1" si="8"/>
        <v>#REF!</v>
      </c>
      <c r="Z42" s="344" t="e">
        <f t="shared" ca="1" si="8"/>
        <v>#REF!</v>
      </c>
      <c r="AA42" s="344" t="e">
        <f t="shared" ca="1" si="8"/>
        <v>#REF!</v>
      </c>
      <c r="AB42" s="344" t="e">
        <f t="shared" ca="1" si="8"/>
        <v>#REF!</v>
      </c>
      <c r="AC42" s="344" t="e">
        <f t="shared" ca="1" si="8"/>
        <v>#REF!</v>
      </c>
      <c r="AD42" s="344" t="e">
        <f t="shared" ca="1" si="8"/>
        <v>#REF!</v>
      </c>
      <c r="AE42" s="344" t="e">
        <f t="shared" ca="1" si="8"/>
        <v>#REF!</v>
      </c>
      <c r="AF42" s="344" t="e">
        <f t="shared" ca="1" si="8"/>
        <v>#REF!</v>
      </c>
    </row>
    <row r="43" spans="1:32">
      <c r="A43">
        <f t="shared" si="4"/>
        <v>2048</v>
      </c>
      <c r="B43" s="344">
        <f t="shared" ca="1" si="1"/>
        <v>0</v>
      </c>
      <c r="C43" s="344">
        <f t="shared" ca="1" si="8"/>
        <v>0</v>
      </c>
      <c r="D43" s="344">
        <f t="shared" ca="1" si="8"/>
        <v>0</v>
      </c>
      <c r="E43" s="344">
        <f t="shared" ca="1" si="8"/>
        <v>0</v>
      </c>
      <c r="F43" s="344">
        <f t="shared" ca="1" si="8"/>
        <v>0</v>
      </c>
      <c r="G43" s="344">
        <f t="shared" ca="1" si="8"/>
        <v>0</v>
      </c>
      <c r="H43" s="344">
        <f t="shared" ca="1" si="8"/>
        <v>0</v>
      </c>
      <c r="I43" s="344">
        <f t="shared" ca="1" si="8"/>
        <v>0</v>
      </c>
      <c r="J43" s="344">
        <f t="shared" ca="1" si="8"/>
        <v>0</v>
      </c>
      <c r="K43" s="344">
        <f t="shared" ca="1" si="8"/>
        <v>0</v>
      </c>
      <c r="L43" s="344">
        <f t="shared" ca="1" si="8"/>
        <v>0</v>
      </c>
      <c r="M43" s="344">
        <f t="shared" ca="1" si="8"/>
        <v>0</v>
      </c>
      <c r="N43" s="344">
        <f t="shared" ca="1" si="8"/>
        <v>0</v>
      </c>
      <c r="O43" s="344">
        <f t="shared" ca="1" si="8"/>
        <v>0</v>
      </c>
      <c r="P43" s="344">
        <f t="shared" ca="1" si="8"/>
        <v>0</v>
      </c>
      <c r="Q43" s="344">
        <f t="shared" ca="1" si="8"/>
        <v>0</v>
      </c>
      <c r="R43" s="344">
        <f t="shared" ca="1" si="8"/>
        <v>0</v>
      </c>
      <c r="S43" s="344">
        <f t="shared" ca="1" si="8"/>
        <v>0</v>
      </c>
      <c r="T43" s="344">
        <f t="shared" ca="1" si="8"/>
        <v>0</v>
      </c>
      <c r="U43" s="344">
        <f t="shared" ca="1" si="8"/>
        <v>0</v>
      </c>
      <c r="V43" s="344">
        <f t="shared" ca="1" si="8"/>
        <v>0</v>
      </c>
      <c r="W43" s="344">
        <f t="shared" ca="1" si="8"/>
        <v>-1644.9919849094142</v>
      </c>
      <c r="X43" s="344">
        <f t="shared" ca="1" si="8"/>
        <v>0</v>
      </c>
      <c r="Y43" s="344" t="e">
        <f t="shared" ca="1" si="8"/>
        <v>#REF!</v>
      </c>
      <c r="Z43" s="344" t="e">
        <f t="shared" ca="1" si="8"/>
        <v>#REF!</v>
      </c>
      <c r="AA43" s="344" t="e">
        <f t="shared" ca="1" si="8"/>
        <v>#REF!</v>
      </c>
      <c r="AB43" s="344" t="e">
        <f t="shared" ca="1" si="8"/>
        <v>#REF!</v>
      </c>
      <c r="AC43" s="344" t="e">
        <f t="shared" ca="1" si="8"/>
        <v>#REF!</v>
      </c>
      <c r="AD43" s="344" t="e">
        <f t="shared" ca="1" si="8"/>
        <v>#REF!</v>
      </c>
      <c r="AE43" s="344" t="e">
        <f t="shared" ca="1" si="8"/>
        <v>#REF!</v>
      </c>
      <c r="AF43" s="344" t="e">
        <f t="shared" ca="1" si="8"/>
        <v>#REF!</v>
      </c>
    </row>
    <row r="44" spans="1:32">
      <c r="A44">
        <f t="shared" si="4"/>
        <v>2049</v>
      </c>
      <c r="B44" s="344">
        <f t="shared" ca="1" si="1"/>
        <v>0</v>
      </c>
      <c r="C44" s="344">
        <f t="shared" ca="1" si="8"/>
        <v>0</v>
      </c>
      <c r="D44" s="344">
        <f t="shared" ca="1" si="8"/>
        <v>0</v>
      </c>
      <c r="E44" s="344">
        <f t="shared" ca="1" si="8"/>
        <v>0</v>
      </c>
      <c r="F44" s="344">
        <f t="shared" ca="1" si="8"/>
        <v>0</v>
      </c>
      <c r="G44" s="344">
        <f t="shared" ca="1" si="8"/>
        <v>0</v>
      </c>
      <c r="H44" s="344">
        <f t="shared" ca="1" si="8"/>
        <v>0</v>
      </c>
      <c r="I44" s="344">
        <f t="shared" ca="1" si="8"/>
        <v>0</v>
      </c>
      <c r="J44" s="344">
        <f t="shared" ca="1" si="8"/>
        <v>0</v>
      </c>
      <c r="K44" s="344">
        <f t="shared" ca="1" si="8"/>
        <v>0</v>
      </c>
      <c r="L44" s="344">
        <f t="shared" ca="1" si="8"/>
        <v>0</v>
      </c>
      <c r="M44" s="344">
        <f t="shared" ca="1" si="8"/>
        <v>0</v>
      </c>
      <c r="N44" s="344">
        <f t="shared" ca="1" si="8"/>
        <v>0</v>
      </c>
      <c r="O44" s="344">
        <f t="shared" ca="1" si="8"/>
        <v>0</v>
      </c>
      <c r="P44" s="344">
        <f t="shared" ca="1" si="8"/>
        <v>0</v>
      </c>
      <c r="Q44" s="344">
        <f t="shared" ca="1" si="8"/>
        <v>0</v>
      </c>
      <c r="R44" s="344">
        <f t="shared" ca="1" si="8"/>
        <v>0</v>
      </c>
      <c r="S44" s="344">
        <f t="shared" ca="1" si="8"/>
        <v>0</v>
      </c>
      <c r="T44" s="344">
        <f t="shared" ca="1" si="8"/>
        <v>0</v>
      </c>
      <c r="U44" s="344">
        <f t="shared" ca="1" si="8"/>
        <v>0</v>
      </c>
      <c r="V44" s="344">
        <f t="shared" ca="1" si="8"/>
        <v>0</v>
      </c>
      <c r="W44" s="344">
        <f t="shared" ca="1" si="8"/>
        <v>-1644.9919849094142</v>
      </c>
      <c r="X44" s="344">
        <f t="shared" ca="1" si="8"/>
        <v>0</v>
      </c>
      <c r="Y44" s="344" t="e">
        <f t="shared" ca="1" si="8"/>
        <v>#REF!</v>
      </c>
      <c r="Z44" s="344" t="e">
        <f t="shared" ca="1" si="8"/>
        <v>#REF!</v>
      </c>
      <c r="AA44" s="344" t="e">
        <f t="shared" ca="1" si="8"/>
        <v>#REF!</v>
      </c>
      <c r="AB44" s="344" t="e">
        <f t="shared" ca="1" si="8"/>
        <v>#REF!</v>
      </c>
      <c r="AC44" s="344" t="e">
        <f t="shared" ca="1" si="8"/>
        <v>#REF!</v>
      </c>
      <c r="AD44" s="344" t="e">
        <f t="shared" ca="1" si="8"/>
        <v>#REF!</v>
      </c>
      <c r="AE44" s="344" t="e">
        <f t="shared" ca="1" si="8"/>
        <v>#REF!</v>
      </c>
      <c r="AF44" s="344" t="e">
        <f t="shared" ca="1" si="8"/>
        <v>#REF!</v>
      </c>
    </row>
    <row r="45" spans="1:32">
      <c r="A45">
        <f t="shared" si="4"/>
        <v>2050</v>
      </c>
      <c r="B45" s="344">
        <f t="shared" ca="1" si="1"/>
        <v>0</v>
      </c>
      <c r="C45" s="344">
        <f t="shared" ca="1" si="8"/>
        <v>0</v>
      </c>
      <c r="D45" s="344">
        <f t="shared" ca="1" si="8"/>
        <v>0</v>
      </c>
      <c r="E45" s="344">
        <f t="shared" ca="1" si="8"/>
        <v>0</v>
      </c>
      <c r="F45" s="344">
        <f t="shared" ca="1" si="8"/>
        <v>0</v>
      </c>
      <c r="G45" s="344">
        <f t="shared" ca="1" si="8"/>
        <v>0</v>
      </c>
      <c r="H45" s="344">
        <f t="shared" ca="1" si="8"/>
        <v>0</v>
      </c>
      <c r="I45" s="344">
        <f t="shared" ca="1" si="8"/>
        <v>0</v>
      </c>
      <c r="J45" s="344">
        <f t="shared" ca="1" si="8"/>
        <v>0</v>
      </c>
      <c r="K45" s="344">
        <f t="shared" ca="1" si="8"/>
        <v>0</v>
      </c>
      <c r="L45" s="344">
        <f t="shared" ca="1" si="8"/>
        <v>0</v>
      </c>
      <c r="M45" s="344">
        <f t="shared" ca="1" si="8"/>
        <v>0</v>
      </c>
      <c r="N45" s="344">
        <f t="shared" ca="1" si="8"/>
        <v>0</v>
      </c>
      <c r="O45" s="344">
        <f t="shared" ca="1" si="8"/>
        <v>0</v>
      </c>
      <c r="P45" s="344">
        <f t="shared" ca="1" si="8"/>
        <v>0</v>
      </c>
      <c r="Q45" s="344">
        <f t="shared" ca="1" si="8"/>
        <v>0</v>
      </c>
      <c r="R45" s="344">
        <f t="shared" ca="1" si="8"/>
        <v>0</v>
      </c>
      <c r="S45" s="344">
        <f t="shared" ca="1" si="8"/>
        <v>0</v>
      </c>
      <c r="T45" s="344">
        <f t="shared" ca="1" si="8"/>
        <v>0</v>
      </c>
      <c r="U45" s="344">
        <f t="shared" ca="1" si="8"/>
        <v>0</v>
      </c>
      <c r="V45" s="344">
        <f t="shared" ca="1" si="8"/>
        <v>0</v>
      </c>
      <c r="W45" s="344">
        <f t="shared" ca="1" si="8"/>
        <v>-1644.9919849094142</v>
      </c>
      <c r="X45" s="344">
        <f t="shared" ca="1" si="8"/>
        <v>0</v>
      </c>
      <c r="Y45" s="344" t="e">
        <f t="shared" ca="1" si="8"/>
        <v>#REF!</v>
      </c>
      <c r="Z45" s="344" t="e">
        <f t="shared" ca="1" si="8"/>
        <v>#REF!</v>
      </c>
      <c r="AA45" s="344" t="e">
        <f t="shared" ca="1" si="8"/>
        <v>#REF!</v>
      </c>
      <c r="AB45" s="344" t="e">
        <f t="shared" ca="1" si="8"/>
        <v>#REF!</v>
      </c>
      <c r="AC45" s="344" t="e">
        <f t="shared" ca="1" si="8"/>
        <v>#REF!</v>
      </c>
      <c r="AD45" s="344" t="e">
        <f t="shared" ca="1" si="8"/>
        <v>#REF!</v>
      </c>
      <c r="AE45" s="344" t="e">
        <f t="shared" ca="1" si="8"/>
        <v>#REF!</v>
      </c>
      <c r="AF45" s="344" t="e">
        <f t="shared" ca="1" si="8"/>
        <v>#REF!</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7"/>
  <dimension ref="A1:CQ36"/>
  <sheetViews>
    <sheetView workbookViewId="0"/>
  </sheetViews>
  <sheetFormatPr defaultRowHeight="15"/>
  <cols>
    <col min="2" max="2" width="13.28515625" customWidth="1"/>
    <col min="17" max="17" width="11.28515625" customWidth="1"/>
    <col min="27" max="27" width="12.5703125" customWidth="1"/>
    <col min="28" max="28" width="11.7109375" customWidth="1"/>
    <col min="53" max="55" width="10.5703125" bestFit="1" customWidth="1"/>
    <col min="86" max="86" width="14.5703125" customWidth="1"/>
  </cols>
  <sheetData>
    <row r="1" spans="1:95">
      <c r="A1" s="425"/>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row>
    <row r="2" spans="1:95" ht="15.75" thickBot="1">
      <c r="A2" s="425"/>
      <c r="B2" s="426" t="s">
        <v>456</v>
      </c>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7"/>
      <c r="BF2" s="425"/>
      <c r="BG2" s="425"/>
      <c r="BH2" s="427"/>
      <c r="BI2" s="427"/>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row>
    <row r="3" spans="1:95">
      <c r="A3" s="425"/>
      <c r="B3" s="428" t="s">
        <v>457</v>
      </c>
      <c r="C3" s="429" t="s">
        <v>458</v>
      </c>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30"/>
      <c r="BR3" s="430"/>
      <c r="BS3" s="430"/>
      <c r="BT3" s="430"/>
      <c r="BU3" s="430"/>
      <c r="BV3" s="430"/>
      <c r="BW3" s="430"/>
      <c r="BX3" s="430"/>
      <c r="BY3" s="430"/>
      <c r="BZ3" s="430"/>
      <c r="CA3" s="430"/>
      <c r="CB3" s="430"/>
      <c r="CC3" s="430"/>
      <c r="CD3" s="430"/>
      <c r="CE3" s="430"/>
      <c r="CF3" s="430"/>
      <c r="CG3" s="430"/>
      <c r="CH3" s="430"/>
      <c r="CI3" s="430"/>
      <c r="CJ3" s="430"/>
      <c r="CK3" s="430"/>
      <c r="CL3" s="430"/>
      <c r="CM3" s="430"/>
      <c r="CN3" s="430"/>
      <c r="CO3" s="430"/>
      <c r="CP3" s="430"/>
      <c r="CQ3" s="431"/>
    </row>
    <row r="4" spans="1:95">
      <c r="A4" s="425"/>
      <c r="B4" s="432" t="s">
        <v>459</v>
      </c>
      <c r="C4" s="433" t="s">
        <v>32</v>
      </c>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5"/>
    </row>
    <row r="5" spans="1:95" ht="15.75" thickBot="1">
      <c r="A5" s="425"/>
      <c r="B5" s="436" t="s">
        <v>460</v>
      </c>
      <c r="C5" s="437" t="s">
        <v>461</v>
      </c>
      <c r="D5" s="438"/>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438"/>
      <c r="AU5" s="438"/>
      <c r="AV5" s="438"/>
      <c r="AW5" s="438"/>
      <c r="AX5" s="438"/>
      <c r="AY5" s="438"/>
      <c r="AZ5" s="438"/>
      <c r="BA5" s="438"/>
      <c r="BB5" s="438"/>
      <c r="BC5" s="438"/>
      <c r="BD5" s="438"/>
      <c r="BE5" s="438"/>
      <c r="BF5" s="438"/>
      <c r="BG5" s="438"/>
      <c r="BH5" s="438"/>
      <c r="BI5" s="438"/>
      <c r="BJ5" s="438"/>
      <c r="BK5" s="438"/>
      <c r="BL5" s="438"/>
      <c r="BM5" s="438"/>
      <c r="BN5" s="438"/>
      <c r="BO5" s="438"/>
      <c r="BP5" s="438"/>
      <c r="BQ5" s="438"/>
      <c r="BR5" s="438"/>
      <c r="BS5" s="438"/>
      <c r="BT5" s="438"/>
      <c r="BU5" s="438"/>
      <c r="BV5" s="439"/>
      <c r="BW5" s="439"/>
      <c r="BX5" s="439"/>
      <c r="BY5" s="439"/>
      <c r="BZ5" s="439"/>
      <c r="CA5" s="439"/>
      <c r="CB5" s="439"/>
      <c r="CC5" s="439"/>
      <c r="CD5" s="439"/>
      <c r="CE5" s="439"/>
      <c r="CF5" s="439"/>
      <c r="CG5" s="439"/>
      <c r="CH5" s="439"/>
      <c r="CI5" s="439"/>
      <c r="CJ5" s="439"/>
      <c r="CK5" s="439"/>
      <c r="CL5" s="439"/>
      <c r="CM5" s="439"/>
      <c r="CN5" s="439"/>
      <c r="CO5" s="439"/>
      <c r="CP5" s="439"/>
      <c r="CQ5" s="440"/>
    </row>
    <row r="6" spans="1:95" ht="15.75" thickBot="1">
      <c r="A6" s="425"/>
      <c r="B6" s="441"/>
      <c r="C6" s="442" t="s">
        <v>462</v>
      </c>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c r="AH6" s="443"/>
      <c r="AI6" s="443"/>
      <c r="AJ6" s="444"/>
      <c r="AK6" s="443"/>
      <c r="AL6" s="443"/>
      <c r="AM6" s="443"/>
      <c r="AN6" s="443"/>
      <c r="AO6" s="443"/>
      <c r="AP6" s="443"/>
      <c r="AQ6" s="443"/>
      <c r="AR6" s="443"/>
      <c r="AS6" s="443"/>
      <c r="AT6" s="443"/>
      <c r="AU6" s="443"/>
      <c r="AV6" s="443"/>
      <c r="AW6" s="443"/>
      <c r="AX6" s="443"/>
      <c r="AY6" s="443"/>
      <c r="AZ6" s="443"/>
      <c r="BA6" s="445" t="s">
        <v>463</v>
      </c>
      <c r="BB6" s="446"/>
      <c r="BC6" s="446"/>
      <c r="BD6" s="447" t="s">
        <v>464</v>
      </c>
      <c r="BE6" s="448"/>
      <c r="BF6" s="448"/>
      <c r="BG6" s="448"/>
      <c r="BH6" s="448"/>
      <c r="BI6" s="448"/>
      <c r="BJ6" s="448"/>
      <c r="BK6" s="448"/>
      <c r="BL6" s="448"/>
      <c r="BM6" s="448"/>
      <c r="BN6" s="448"/>
      <c r="BO6" s="448"/>
      <c r="BP6" s="448"/>
      <c r="BQ6" s="448"/>
      <c r="BR6" s="448"/>
      <c r="BS6" s="448"/>
      <c r="BT6" s="448"/>
      <c r="BU6" s="448"/>
      <c r="BV6" s="449"/>
      <c r="BW6" s="449"/>
      <c r="BX6" s="449"/>
      <c r="BY6" s="449"/>
      <c r="BZ6" s="449"/>
      <c r="CA6" s="449"/>
      <c r="CB6" s="449"/>
      <c r="CC6" s="449"/>
      <c r="CD6" s="449"/>
      <c r="CE6" s="449"/>
      <c r="CF6" s="449"/>
      <c r="CG6" s="449"/>
      <c r="CH6" s="449"/>
      <c r="CI6" s="450" t="s">
        <v>465</v>
      </c>
      <c r="CJ6" s="451"/>
      <c r="CK6" s="451"/>
      <c r="CL6" s="451"/>
      <c r="CM6" s="452"/>
      <c r="CN6" s="451"/>
      <c r="CO6" s="451"/>
      <c r="CP6" s="451"/>
      <c r="CQ6" s="453"/>
    </row>
    <row r="7" spans="1:95" ht="15.75" thickBot="1">
      <c r="A7" s="425"/>
      <c r="B7" s="454"/>
      <c r="C7" s="455" t="s">
        <v>466</v>
      </c>
      <c r="D7" s="456"/>
      <c r="E7" s="456"/>
      <c r="F7" s="456"/>
      <c r="G7" s="456"/>
      <c r="H7" s="456"/>
      <c r="I7" s="456"/>
      <c r="J7" s="456"/>
      <c r="K7" s="456"/>
      <c r="L7" s="456"/>
      <c r="M7" s="456"/>
      <c r="N7" s="456"/>
      <c r="O7" s="456"/>
      <c r="P7" s="456"/>
      <c r="Q7" s="456"/>
      <c r="R7" s="456"/>
      <c r="S7" s="456"/>
      <c r="T7" s="456"/>
      <c r="U7" s="456"/>
      <c r="V7" s="456"/>
      <c r="W7" s="456"/>
      <c r="X7" s="456"/>
      <c r="Y7" s="456"/>
      <c r="Z7" s="457"/>
      <c r="AA7" s="455" t="s">
        <v>467</v>
      </c>
      <c r="AB7" s="456"/>
      <c r="AC7" s="456"/>
      <c r="AD7" s="456"/>
      <c r="AE7" s="456"/>
      <c r="AF7" s="456"/>
      <c r="AG7" s="456"/>
      <c r="AH7" s="456"/>
      <c r="AI7" s="458"/>
      <c r="AJ7" s="459" t="s">
        <v>39</v>
      </c>
      <c r="AK7" s="455" t="s">
        <v>468</v>
      </c>
      <c r="AL7" s="456"/>
      <c r="AM7" s="456"/>
      <c r="AN7" s="456"/>
      <c r="AO7" s="456"/>
      <c r="AP7" s="456"/>
      <c r="AQ7" s="455" t="s">
        <v>469</v>
      </c>
      <c r="AR7" s="456"/>
      <c r="AS7" s="458"/>
      <c r="AT7" s="458"/>
      <c r="AU7" s="458"/>
      <c r="AV7" s="458"/>
      <c r="AW7" s="458"/>
      <c r="AX7" s="458"/>
      <c r="AY7" s="458"/>
      <c r="AZ7" s="458"/>
      <c r="BA7" s="459" t="s">
        <v>470</v>
      </c>
      <c r="BB7" s="460"/>
      <c r="BC7" s="461"/>
      <c r="BD7" s="462" t="s">
        <v>471</v>
      </c>
      <c r="BE7" s="463"/>
      <c r="BF7" s="463"/>
      <c r="BG7" s="463"/>
      <c r="BH7" s="463"/>
      <c r="BI7" s="463"/>
      <c r="BJ7" s="463"/>
      <c r="BK7" s="464"/>
      <c r="BL7" s="465" t="s">
        <v>472</v>
      </c>
      <c r="BM7" s="466"/>
      <c r="BN7" s="467"/>
      <c r="BO7" s="467"/>
      <c r="BP7" s="467"/>
      <c r="BQ7" s="467"/>
      <c r="BR7" s="468"/>
      <c r="BS7" s="1527" t="s">
        <v>473</v>
      </c>
      <c r="BT7" s="465" t="s">
        <v>474</v>
      </c>
      <c r="BU7" s="467"/>
      <c r="BV7" s="467"/>
      <c r="BW7" s="467"/>
      <c r="BX7" s="469"/>
      <c r="BY7" s="470" t="s">
        <v>475</v>
      </c>
      <c r="BZ7" s="471"/>
      <c r="CA7" s="471"/>
      <c r="CB7" s="471"/>
      <c r="CC7" s="470" t="s">
        <v>476</v>
      </c>
      <c r="CD7" s="471"/>
      <c r="CE7" s="471"/>
      <c r="CF7" s="471"/>
      <c r="CG7" s="472"/>
      <c r="CH7" s="471" t="s">
        <v>477</v>
      </c>
      <c r="CI7" s="473"/>
      <c r="CJ7" s="474"/>
      <c r="CK7" s="474"/>
      <c r="CL7" s="474"/>
      <c r="CM7" s="474"/>
      <c r="CN7" s="474"/>
      <c r="CO7" s="474"/>
      <c r="CP7" s="474"/>
      <c r="CQ7" s="475"/>
    </row>
    <row r="8" spans="1:95" ht="45">
      <c r="A8" s="425"/>
      <c r="B8" s="476" t="s">
        <v>478</v>
      </c>
      <c r="C8" s="477" t="s">
        <v>479</v>
      </c>
      <c r="D8" s="478"/>
      <c r="E8" s="478"/>
      <c r="F8" s="478"/>
      <c r="G8" s="478"/>
      <c r="H8" s="478"/>
      <c r="I8" s="478"/>
      <c r="J8" s="478"/>
      <c r="K8" s="478"/>
      <c r="L8" s="478"/>
      <c r="M8" s="478"/>
      <c r="N8" s="479"/>
      <c r="O8" s="480" t="s">
        <v>480</v>
      </c>
      <c r="P8" s="478"/>
      <c r="Q8" s="478"/>
      <c r="R8" s="478"/>
      <c r="S8" s="478"/>
      <c r="T8" s="478"/>
      <c r="U8" s="478"/>
      <c r="V8" s="478"/>
      <c r="W8" s="478"/>
      <c r="X8" s="478"/>
      <c r="Y8" s="478"/>
      <c r="Z8" s="481"/>
      <c r="AA8" s="477" t="s">
        <v>481</v>
      </c>
      <c r="AB8" s="478"/>
      <c r="AC8" s="478"/>
      <c r="AD8" s="478"/>
      <c r="AE8" s="478"/>
      <c r="AF8" s="478"/>
      <c r="AG8" s="478"/>
      <c r="AH8" s="478"/>
      <c r="AI8" s="482"/>
      <c r="AJ8" s="483" t="s">
        <v>39</v>
      </c>
      <c r="AK8" s="477" t="s">
        <v>468</v>
      </c>
      <c r="AL8" s="478"/>
      <c r="AM8" s="478"/>
      <c r="AN8" s="478"/>
      <c r="AO8" s="478"/>
      <c r="AP8" s="478"/>
      <c r="AQ8" s="477" t="s">
        <v>482</v>
      </c>
      <c r="AR8" s="478"/>
      <c r="AS8" s="482" t="s">
        <v>483</v>
      </c>
      <c r="AT8" s="482"/>
      <c r="AU8" s="482"/>
      <c r="AV8" s="482"/>
      <c r="AW8" s="482"/>
      <c r="AX8" s="482"/>
      <c r="AY8" s="482"/>
      <c r="AZ8" s="482"/>
      <c r="BA8" s="484" t="s">
        <v>103</v>
      </c>
      <c r="BB8" s="485" t="s">
        <v>9</v>
      </c>
      <c r="BC8" s="486" t="s">
        <v>10</v>
      </c>
      <c r="BD8" s="487" t="s">
        <v>484</v>
      </c>
      <c r="BE8" s="488"/>
      <c r="BF8" s="488"/>
      <c r="BG8" s="489"/>
      <c r="BH8" s="490" t="s">
        <v>485</v>
      </c>
      <c r="BI8" s="488"/>
      <c r="BJ8" s="488"/>
      <c r="BK8" s="491"/>
      <c r="BL8" s="487" t="s">
        <v>424</v>
      </c>
      <c r="BM8" s="492"/>
      <c r="BN8" s="488" t="s">
        <v>26</v>
      </c>
      <c r="BO8" s="488"/>
      <c r="BP8" s="488"/>
      <c r="BQ8" s="488"/>
      <c r="BR8" s="489"/>
      <c r="BS8" s="1528"/>
      <c r="BT8" s="493" t="s">
        <v>486</v>
      </c>
      <c r="BU8" s="494"/>
      <c r="BV8" s="494" t="s">
        <v>487</v>
      </c>
      <c r="BW8" s="494"/>
      <c r="BX8" s="495"/>
      <c r="BY8" s="487" t="s">
        <v>488</v>
      </c>
      <c r="BZ8" s="488" t="s">
        <v>489</v>
      </c>
      <c r="CA8" s="488"/>
      <c r="CB8" s="491"/>
      <c r="CC8" s="492" t="s">
        <v>490</v>
      </c>
      <c r="CD8" s="488" t="s">
        <v>490</v>
      </c>
      <c r="CE8" s="488" t="s">
        <v>490</v>
      </c>
      <c r="CF8" s="488" t="s">
        <v>490</v>
      </c>
      <c r="CG8" s="491" t="s">
        <v>491</v>
      </c>
      <c r="CH8" s="496" t="s">
        <v>262</v>
      </c>
      <c r="CI8" s="493" t="s">
        <v>492</v>
      </c>
      <c r="CJ8" s="494"/>
      <c r="CK8" s="494"/>
      <c r="CL8" s="494"/>
      <c r="CM8" s="497"/>
      <c r="CN8" s="498" t="s">
        <v>493</v>
      </c>
      <c r="CO8" s="494"/>
      <c r="CP8" s="494"/>
      <c r="CQ8" s="495"/>
    </row>
    <row r="9" spans="1:95" ht="90.75" thickBot="1">
      <c r="A9" s="425"/>
      <c r="B9" s="454"/>
      <c r="C9" s="499" t="s">
        <v>494</v>
      </c>
      <c r="D9" s="500" t="s">
        <v>495</v>
      </c>
      <c r="E9" s="500" t="s">
        <v>85</v>
      </c>
      <c r="F9" s="500" t="s">
        <v>496</v>
      </c>
      <c r="G9" s="500" t="s">
        <v>497</v>
      </c>
      <c r="H9" s="500" t="s">
        <v>486</v>
      </c>
      <c r="I9" s="500" t="s">
        <v>498</v>
      </c>
      <c r="J9" s="500" t="s">
        <v>499</v>
      </c>
      <c r="K9" s="500" t="s">
        <v>500</v>
      </c>
      <c r="L9" s="500" t="s">
        <v>501</v>
      </c>
      <c r="M9" s="500" t="s">
        <v>502</v>
      </c>
      <c r="N9" s="501" t="s">
        <v>503</v>
      </c>
      <c r="O9" s="502" t="s">
        <v>494</v>
      </c>
      <c r="P9" s="500" t="s">
        <v>495</v>
      </c>
      <c r="Q9" s="500" t="s">
        <v>85</v>
      </c>
      <c r="R9" s="500" t="s">
        <v>496</v>
      </c>
      <c r="S9" s="500" t="s">
        <v>497</v>
      </c>
      <c r="T9" s="500" t="s">
        <v>486</v>
      </c>
      <c r="U9" s="500" t="s">
        <v>498</v>
      </c>
      <c r="V9" s="500" t="s">
        <v>499</v>
      </c>
      <c r="W9" s="500" t="s">
        <v>500</v>
      </c>
      <c r="X9" s="500" t="s">
        <v>501</v>
      </c>
      <c r="Y9" s="500" t="s">
        <v>502</v>
      </c>
      <c r="Z9" s="503" t="s">
        <v>503</v>
      </c>
      <c r="AA9" s="499" t="s">
        <v>504</v>
      </c>
      <c r="AB9" s="500" t="s">
        <v>505</v>
      </c>
      <c r="AC9" s="500" t="s">
        <v>506</v>
      </c>
      <c r="AD9" s="500" t="s">
        <v>507</v>
      </c>
      <c r="AE9" s="500" t="s">
        <v>508</v>
      </c>
      <c r="AF9" s="500" t="s">
        <v>509</v>
      </c>
      <c r="AG9" s="504" t="s">
        <v>510</v>
      </c>
      <c r="AH9" s="500" t="s">
        <v>511</v>
      </c>
      <c r="AI9" s="503" t="s">
        <v>512</v>
      </c>
      <c r="AJ9" s="505" t="s">
        <v>513</v>
      </c>
      <c r="AK9" s="506" t="s">
        <v>514</v>
      </c>
      <c r="AL9" s="507" t="s">
        <v>515</v>
      </c>
      <c r="AM9" s="507" t="s">
        <v>516</v>
      </c>
      <c r="AN9" s="507" t="s">
        <v>517</v>
      </c>
      <c r="AO9" s="507" t="s">
        <v>518</v>
      </c>
      <c r="AP9" s="508" t="s">
        <v>26</v>
      </c>
      <c r="AQ9" s="502" t="s">
        <v>519</v>
      </c>
      <c r="AR9" s="500" t="s">
        <v>520</v>
      </c>
      <c r="AS9" s="509" t="s">
        <v>521</v>
      </c>
      <c r="AT9" s="509" t="s">
        <v>522</v>
      </c>
      <c r="AU9" s="509" t="s">
        <v>523</v>
      </c>
      <c r="AV9" s="509" t="s">
        <v>524</v>
      </c>
      <c r="AW9" s="509" t="s">
        <v>525</v>
      </c>
      <c r="AX9" s="509" t="s">
        <v>526</v>
      </c>
      <c r="AY9" s="509" t="s">
        <v>527</v>
      </c>
      <c r="AZ9" s="503" t="s">
        <v>26</v>
      </c>
      <c r="BA9" s="510"/>
      <c r="BB9" s="511"/>
      <c r="BC9" s="512"/>
      <c r="BD9" s="513" t="s">
        <v>528</v>
      </c>
      <c r="BE9" s="514" t="s">
        <v>529</v>
      </c>
      <c r="BF9" s="514" t="s">
        <v>530</v>
      </c>
      <c r="BG9" s="515" t="s">
        <v>531</v>
      </c>
      <c r="BH9" s="516" t="s">
        <v>528</v>
      </c>
      <c r="BI9" s="514" t="s">
        <v>529</v>
      </c>
      <c r="BJ9" s="514" t="s">
        <v>530</v>
      </c>
      <c r="BK9" s="517" t="s">
        <v>531</v>
      </c>
      <c r="BL9" s="513" t="s">
        <v>532</v>
      </c>
      <c r="BM9" s="518" t="s">
        <v>4</v>
      </c>
      <c r="BN9" s="514" t="s">
        <v>533</v>
      </c>
      <c r="BO9" s="514" t="s">
        <v>534</v>
      </c>
      <c r="BP9" s="514" t="s">
        <v>529</v>
      </c>
      <c r="BQ9" s="514" t="s">
        <v>535</v>
      </c>
      <c r="BR9" s="515" t="s">
        <v>536</v>
      </c>
      <c r="BS9" s="519" t="s">
        <v>537</v>
      </c>
      <c r="BT9" s="520" t="s">
        <v>538</v>
      </c>
      <c r="BU9" s="521" t="s">
        <v>539</v>
      </c>
      <c r="BV9" s="521" t="s">
        <v>540</v>
      </c>
      <c r="BW9" s="521" t="s">
        <v>541</v>
      </c>
      <c r="BX9" s="522" t="s">
        <v>542</v>
      </c>
      <c r="BY9" s="523"/>
      <c r="BZ9" s="524" t="s">
        <v>543</v>
      </c>
      <c r="CA9" s="524" t="s">
        <v>544</v>
      </c>
      <c r="CB9" s="525" t="s">
        <v>545</v>
      </c>
      <c r="CC9" s="526">
        <v>0</v>
      </c>
      <c r="CD9" s="527">
        <v>0.25</v>
      </c>
      <c r="CE9" s="527">
        <v>0.5</v>
      </c>
      <c r="CF9" s="527">
        <v>0.75</v>
      </c>
      <c r="CG9" s="528">
        <v>1</v>
      </c>
      <c r="CH9" s="529" t="s">
        <v>546</v>
      </c>
      <c r="CI9" s="520" t="s">
        <v>547</v>
      </c>
      <c r="CJ9" s="521" t="s">
        <v>548</v>
      </c>
      <c r="CK9" s="521" t="s">
        <v>549</v>
      </c>
      <c r="CL9" s="521" t="s">
        <v>550</v>
      </c>
      <c r="CM9" s="530" t="s">
        <v>26</v>
      </c>
      <c r="CN9" s="531" t="s">
        <v>551</v>
      </c>
      <c r="CO9" s="521" t="s">
        <v>549</v>
      </c>
      <c r="CP9" s="521" t="s">
        <v>550</v>
      </c>
      <c r="CQ9" s="522" t="s">
        <v>26</v>
      </c>
    </row>
    <row r="10" spans="1:95" ht="16.5" thickTop="1" thickBot="1">
      <c r="A10" s="425"/>
      <c r="B10" s="532"/>
      <c r="C10" s="499" t="s">
        <v>552</v>
      </c>
      <c r="D10" s="500" t="s">
        <v>552</v>
      </c>
      <c r="E10" s="500" t="s">
        <v>552</v>
      </c>
      <c r="F10" s="500" t="s">
        <v>552</v>
      </c>
      <c r="G10" s="500" t="s">
        <v>552</v>
      </c>
      <c r="H10" s="500" t="s">
        <v>552</v>
      </c>
      <c r="I10" s="500" t="s">
        <v>552</v>
      </c>
      <c r="J10" s="500" t="s">
        <v>552</v>
      </c>
      <c r="K10" s="500" t="s">
        <v>552</v>
      </c>
      <c r="L10" s="500" t="s">
        <v>552</v>
      </c>
      <c r="M10" s="500" t="s">
        <v>552</v>
      </c>
      <c r="N10" s="501" t="s">
        <v>552</v>
      </c>
      <c r="O10" s="533" t="s">
        <v>552</v>
      </c>
      <c r="P10" s="534" t="s">
        <v>552</v>
      </c>
      <c r="Q10" s="534" t="s">
        <v>552</v>
      </c>
      <c r="R10" s="534" t="s">
        <v>552</v>
      </c>
      <c r="S10" s="534" t="s">
        <v>552</v>
      </c>
      <c r="T10" s="534" t="s">
        <v>552</v>
      </c>
      <c r="U10" s="534" t="s">
        <v>552</v>
      </c>
      <c r="V10" s="534" t="s">
        <v>552</v>
      </c>
      <c r="W10" s="534" t="s">
        <v>552</v>
      </c>
      <c r="X10" s="534" t="s">
        <v>552</v>
      </c>
      <c r="Y10" s="534" t="s">
        <v>552</v>
      </c>
      <c r="Z10" s="535" t="s">
        <v>552</v>
      </c>
      <c r="AA10" s="536" t="s">
        <v>552</v>
      </c>
      <c r="AB10" s="534" t="s">
        <v>552</v>
      </c>
      <c r="AC10" s="534" t="s">
        <v>552</v>
      </c>
      <c r="AD10" s="534" t="s">
        <v>552</v>
      </c>
      <c r="AE10" s="534" t="s">
        <v>552</v>
      </c>
      <c r="AF10" s="534" t="s">
        <v>552</v>
      </c>
      <c r="AG10" s="537" t="s">
        <v>552</v>
      </c>
      <c r="AH10" s="534" t="s">
        <v>552</v>
      </c>
      <c r="AI10" s="535" t="s">
        <v>552</v>
      </c>
      <c r="AJ10" s="538" t="s">
        <v>552</v>
      </c>
      <c r="AK10" s="539" t="s">
        <v>552</v>
      </c>
      <c r="AL10" s="540" t="s">
        <v>552</v>
      </c>
      <c r="AM10" s="540" t="s">
        <v>552</v>
      </c>
      <c r="AN10" s="540" t="s">
        <v>552</v>
      </c>
      <c r="AO10" s="540" t="s">
        <v>552</v>
      </c>
      <c r="AP10" s="541" t="s">
        <v>552</v>
      </c>
      <c r="AQ10" s="539" t="s">
        <v>552</v>
      </c>
      <c r="AR10" s="540" t="s">
        <v>552</v>
      </c>
      <c r="AS10" s="540" t="s">
        <v>552</v>
      </c>
      <c r="AT10" s="540" t="s">
        <v>552</v>
      </c>
      <c r="AU10" s="540" t="s">
        <v>552</v>
      </c>
      <c r="AV10" s="540" t="s">
        <v>552</v>
      </c>
      <c r="AW10" s="540" t="s">
        <v>552</v>
      </c>
      <c r="AX10" s="540" t="s">
        <v>552</v>
      </c>
      <c r="AY10" s="540" t="s">
        <v>552</v>
      </c>
      <c r="AZ10" s="541" t="s">
        <v>552</v>
      </c>
      <c r="BA10" s="542" t="s">
        <v>552</v>
      </c>
      <c r="BB10" s="543" t="s">
        <v>552</v>
      </c>
      <c r="BC10" s="544" t="s">
        <v>552</v>
      </c>
      <c r="BD10" s="545" t="s">
        <v>552</v>
      </c>
      <c r="BE10" s="546" t="s">
        <v>552</v>
      </c>
      <c r="BF10" s="546" t="s">
        <v>552</v>
      </c>
      <c r="BG10" s="547" t="s">
        <v>552</v>
      </c>
      <c r="BH10" s="548" t="s">
        <v>552</v>
      </c>
      <c r="BI10" s="546" t="s">
        <v>552</v>
      </c>
      <c r="BJ10" s="546" t="s">
        <v>552</v>
      </c>
      <c r="BK10" s="549" t="s">
        <v>552</v>
      </c>
      <c r="BL10" s="545" t="s">
        <v>552</v>
      </c>
      <c r="BM10" s="550" t="s">
        <v>552</v>
      </c>
      <c r="BN10" s="546" t="s">
        <v>552</v>
      </c>
      <c r="BO10" s="546" t="s">
        <v>552</v>
      </c>
      <c r="BP10" s="546" t="s">
        <v>552</v>
      </c>
      <c r="BQ10" s="546" t="s">
        <v>552</v>
      </c>
      <c r="BR10" s="547" t="s">
        <v>552</v>
      </c>
      <c r="BS10" s="551" t="s">
        <v>552</v>
      </c>
      <c r="BT10" s="552" t="s">
        <v>552</v>
      </c>
      <c r="BU10" s="553" t="s">
        <v>552</v>
      </c>
      <c r="BV10" s="553" t="s">
        <v>552</v>
      </c>
      <c r="BW10" s="553" t="s">
        <v>552</v>
      </c>
      <c r="BX10" s="554" t="s">
        <v>552</v>
      </c>
      <c r="BY10" s="555" t="s">
        <v>552</v>
      </c>
      <c r="BZ10" s="556" t="s">
        <v>552</v>
      </c>
      <c r="CA10" s="556" t="s">
        <v>552</v>
      </c>
      <c r="CB10" s="557" t="s">
        <v>552</v>
      </c>
      <c r="CC10" s="555" t="s">
        <v>552</v>
      </c>
      <c r="CD10" s="556" t="s">
        <v>552</v>
      </c>
      <c r="CE10" s="556" t="s">
        <v>552</v>
      </c>
      <c r="CF10" s="556" t="s">
        <v>552</v>
      </c>
      <c r="CG10" s="557" t="s">
        <v>552</v>
      </c>
      <c r="CH10" s="558" t="s">
        <v>552</v>
      </c>
      <c r="CI10" s="552" t="s">
        <v>552</v>
      </c>
      <c r="CJ10" s="553" t="s">
        <v>552</v>
      </c>
      <c r="CK10" s="553" t="s">
        <v>552</v>
      </c>
      <c r="CL10" s="553" t="s">
        <v>552</v>
      </c>
      <c r="CM10" s="559" t="s">
        <v>552</v>
      </c>
      <c r="CN10" s="560" t="s">
        <v>552</v>
      </c>
      <c r="CO10" s="553" t="s">
        <v>552</v>
      </c>
      <c r="CP10" s="553" t="s">
        <v>552</v>
      </c>
      <c r="CQ10" s="554" t="s">
        <v>552</v>
      </c>
    </row>
    <row r="11" spans="1:95" ht="16.5" thickTop="1" thickBot="1">
      <c r="A11" s="425"/>
      <c r="B11" s="561">
        <v>1990</v>
      </c>
      <c r="C11" s="562">
        <v>0</v>
      </c>
      <c r="D11" s="563">
        <v>0</v>
      </c>
      <c r="E11" s="563">
        <v>0</v>
      </c>
      <c r="F11" s="563">
        <v>0</v>
      </c>
      <c r="G11" s="563">
        <v>0</v>
      </c>
      <c r="H11" s="564">
        <v>0</v>
      </c>
      <c r="I11" s="563">
        <v>0</v>
      </c>
      <c r="J11" s="563">
        <v>0</v>
      </c>
      <c r="K11" s="563">
        <v>0</v>
      </c>
      <c r="L11" s="563">
        <v>0</v>
      </c>
      <c r="M11" s="563">
        <v>0</v>
      </c>
      <c r="N11" s="565">
        <v>0</v>
      </c>
      <c r="O11" s="566">
        <v>0</v>
      </c>
      <c r="P11" s="564">
        <v>0</v>
      </c>
      <c r="Q11" s="564">
        <v>0</v>
      </c>
      <c r="R11" s="564">
        <v>0</v>
      </c>
      <c r="S11" s="564">
        <v>0</v>
      </c>
      <c r="T11" s="564">
        <v>0</v>
      </c>
      <c r="U11" s="564">
        <v>0</v>
      </c>
      <c r="V11" s="564">
        <v>0</v>
      </c>
      <c r="W11" s="564">
        <v>0</v>
      </c>
      <c r="X11" s="564">
        <v>0</v>
      </c>
      <c r="Y11" s="564">
        <v>0</v>
      </c>
      <c r="Z11" s="567">
        <v>0</v>
      </c>
      <c r="AA11" s="568">
        <v>0</v>
      </c>
      <c r="AB11" s="564">
        <v>0</v>
      </c>
      <c r="AC11" s="564">
        <v>0</v>
      </c>
      <c r="AD11" s="564">
        <v>0</v>
      </c>
      <c r="AE11" s="564">
        <v>0</v>
      </c>
      <c r="AF11" s="564">
        <v>0</v>
      </c>
      <c r="AG11" s="564">
        <v>0</v>
      </c>
      <c r="AH11" s="564">
        <v>0</v>
      </c>
      <c r="AI11" s="567">
        <v>0</v>
      </c>
      <c r="AJ11" s="569">
        <v>0</v>
      </c>
      <c r="AK11" s="570"/>
      <c r="AL11" s="571"/>
      <c r="AM11" s="571"/>
      <c r="AN11" s="571"/>
      <c r="AO11" s="571"/>
      <c r="AP11" s="572"/>
      <c r="AQ11" s="570"/>
      <c r="AR11" s="571"/>
      <c r="AS11" s="573"/>
      <c r="AT11" s="573"/>
      <c r="AU11" s="573"/>
      <c r="AV11" s="573"/>
      <c r="AW11" s="573"/>
      <c r="AX11" s="573"/>
      <c r="AY11" s="573"/>
      <c r="AZ11" s="572"/>
      <c r="BA11" s="574">
        <v>0</v>
      </c>
      <c r="BB11" s="575">
        <v>0</v>
      </c>
      <c r="BC11" s="576">
        <v>0</v>
      </c>
      <c r="BD11" s="577">
        <v>0</v>
      </c>
      <c r="BE11" s="578">
        <v>0</v>
      </c>
      <c r="BF11" s="578">
        <v>0</v>
      </c>
      <c r="BG11" s="579">
        <v>0</v>
      </c>
      <c r="BH11" s="580">
        <v>0</v>
      </c>
      <c r="BI11" s="578">
        <v>0</v>
      </c>
      <c r="BJ11" s="578">
        <v>0</v>
      </c>
      <c r="BK11" s="581">
        <v>0</v>
      </c>
      <c r="BL11" s="577">
        <v>0</v>
      </c>
      <c r="BM11" s="582">
        <v>0</v>
      </c>
      <c r="BN11" s="578">
        <v>0</v>
      </c>
      <c r="BO11" s="578">
        <v>0</v>
      </c>
      <c r="BP11" s="578">
        <v>0</v>
      </c>
      <c r="BQ11" s="578">
        <v>0</v>
      </c>
      <c r="BR11" s="579">
        <v>0</v>
      </c>
      <c r="BS11" s="583">
        <v>0</v>
      </c>
      <c r="BT11" s="577">
        <v>0</v>
      </c>
      <c r="BU11" s="578">
        <v>0</v>
      </c>
      <c r="BV11" s="584"/>
      <c r="BW11" s="584"/>
      <c r="BX11" s="585"/>
      <c r="BY11" s="586"/>
      <c r="BZ11" s="587"/>
      <c r="CA11" s="587"/>
      <c r="CB11" s="588"/>
      <c r="CC11" s="589"/>
      <c r="CD11" s="587"/>
      <c r="CE11" s="587"/>
      <c r="CF11" s="587"/>
      <c r="CG11" s="588"/>
      <c r="CH11" s="590">
        <v>0</v>
      </c>
      <c r="CI11" s="591"/>
      <c r="CJ11" s="584"/>
      <c r="CK11" s="584"/>
      <c r="CL11" s="584"/>
      <c r="CM11" s="592"/>
      <c r="CN11" s="593"/>
      <c r="CO11" s="584"/>
      <c r="CP11" s="584"/>
      <c r="CQ11" s="585"/>
    </row>
    <row r="12" spans="1:95" ht="15.75" thickBot="1">
      <c r="A12" s="425"/>
      <c r="B12" s="561">
        <v>1991</v>
      </c>
      <c r="C12" s="562">
        <v>0</v>
      </c>
      <c r="D12" s="594">
        <v>0</v>
      </c>
      <c r="E12" s="594">
        <v>0</v>
      </c>
      <c r="F12" s="594">
        <v>0</v>
      </c>
      <c r="G12" s="594">
        <v>0</v>
      </c>
      <c r="H12" s="594">
        <v>0</v>
      </c>
      <c r="I12" s="594">
        <v>0</v>
      </c>
      <c r="J12" s="594">
        <v>0</v>
      </c>
      <c r="K12" s="594">
        <v>0</v>
      </c>
      <c r="L12" s="594">
        <v>0</v>
      </c>
      <c r="M12" s="594">
        <v>0</v>
      </c>
      <c r="N12" s="595">
        <v>0</v>
      </c>
      <c r="O12" s="596">
        <v>0</v>
      </c>
      <c r="P12" s="597">
        <v>0</v>
      </c>
      <c r="Q12" s="597">
        <v>0</v>
      </c>
      <c r="R12" s="597">
        <v>0</v>
      </c>
      <c r="S12" s="597">
        <v>0</v>
      </c>
      <c r="T12" s="597">
        <v>0</v>
      </c>
      <c r="U12" s="597">
        <v>0</v>
      </c>
      <c r="V12" s="597">
        <v>0</v>
      </c>
      <c r="W12" s="597">
        <v>0</v>
      </c>
      <c r="X12" s="597">
        <v>0</v>
      </c>
      <c r="Y12" s="597">
        <v>0</v>
      </c>
      <c r="Z12" s="598">
        <v>0</v>
      </c>
      <c r="AA12" s="599">
        <v>0</v>
      </c>
      <c r="AB12" s="597">
        <v>0</v>
      </c>
      <c r="AC12" s="597">
        <v>0</v>
      </c>
      <c r="AD12" s="597">
        <v>0</v>
      </c>
      <c r="AE12" s="597">
        <v>0</v>
      </c>
      <c r="AF12" s="597">
        <v>0</v>
      </c>
      <c r="AG12" s="597">
        <v>0</v>
      </c>
      <c r="AH12" s="597">
        <v>0</v>
      </c>
      <c r="AI12" s="598">
        <v>0</v>
      </c>
      <c r="AJ12" s="600">
        <v>0</v>
      </c>
      <c r="AK12" s="570"/>
      <c r="AL12" s="571"/>
      <c r="AM12" s="571"/>
      <c r="AN12" s="571"/>
      <c r="AO12" s="571"/>
      <c r="AP12" s="572"/>
      <c r="AQ12" s="570"/>
      <c r="AR12" s="571"/>
      <c r="AS12" s="573"/>
      <c r="AT12" s="573"/>
      <c r="AU12" s="573"/>
      <c r="AV12" s="573"/>
      <c r="AW12" s="573"/>
      <c r="AX12" s="573"/>
      <c r="AY12" s="573"/>
      <c r="AZ12" s="572"/>
      <c r="BA12" s="601">
        <v>0</v>
      </c>
      <c r="BB12" s="602">
        <v>0</v>
      </c>
      <c r="BC12" s="603">
        <v>0</v>
      </c>
      <c r="BD12" s="604">
        <v>0</v>
      </c>
      <c r="BE12" s="605">
        <v>0</v>
      </c>
      <c r="BF12" s="605">
        <v>0</v>
      </c>
      <c r="BG12" s="606">
        <v>0</v>
      </c>
      <c r="BH12" s="607">
        <v>0</v>
      </c>
      <c r="BI12" s="605">
        <v>0</v>
      </c>
      <c r="BJ12" s="605">
        <v>0</v>
      </c>
      <c r="BK12" s="608">
        <v>0</v>
      </c>
      <c r="BL12" s="604">
        <v>0</v>
      </c>
      <c r="BM12" s="609">
        <v>0</v>
      </c>
      <c r="BN12" s="605">
        <v>0</v>
      </c>
      <c r="BO12" s="605">
        <v>0</v>
      </c>
      <c r="BP12" s="605">
        <v>0</v>
      </c>
      <c r="BQ12" s="605">
        <v>0</v>
      </c>
      <c r="BR12" s="606">
        <v>0</v>
      </c>
      <c r="BS12" s="610">
        <v>0</v>
      </c>
      <c r="BT12" s="604">
        <v>0</v>
      </c>
      <c r="BU12" s="605">
        <v>0</v>
      </c>
      <c r="BV12" s="584"/>
      <c r="BW12" s="584"/>
      <c r="BX12" s="585"/>
      <c r="BY12" s="586"/>
      <c r="BZ12" s="587"/>
      <c r="CA12" s="587"/>
      <c r="CB12" s="588"/>
      <c r="CC12" s="589"/>
      <c r="CD12" s="587"/>
      <c r="CE12" s="587"/>
      <c r="CF12" s="587"/>
      <c r="CG12" s="588"/>
      <c r="CH12" s="611">
        <v>0</v>
      </c>
      <c r="CI12" s="591"/>
      <c r="CJ12" s="584"/>
      <c r="CK12" s="584"/>
      <c r="CL12" s="584"/>
      <c r="CM12" s="592"/>
      <c r="CN12" s="593"/>
      <c r="CO12" s="584"/>
      <c r="CP12" s="584"/>
      <c r="CQ12" s="585"/>
    </row>
    <row r="13" spans="1:95" ht="15.75" thickBot="1">
      <c r="A13" s="425"/>
      <c r="B13" s="561">
        <v>1992</v>
      </c>
      <c r="C13" s="562">
        <v>0</v>
      </c>
      <c r="D13" s="594">
        <v>0</v>
      </c>
      <c r="E13" s="594">
        <v>0</v>
      </c>
      <c r="F13" s="594">
        <v>0</v>
      </c>
      <c r="G13" s="594">
        <v>0</v>
      </c>
      <c r="H13" s="594">
        <v>0</v>
      </c>
      <c r="I13" s="594">
        <v>0</v>
      </c>
      <c r="J13" s="594">
        <v>0</v>
      </c>
      <c r="K13" s="594">
        <v>0</v>
      </c>
      <c r="L13" s="594">
        <v>0</v>
      </c>
      <c r="M13" s="594">
        <v>0</v>
      </c>
      <c r="N13" s="595">
        <v>0</v>
      </c>
      <c r="O13" s="596">
        <v>0</v>
      </c>
      <c r="P13" s="597">
        <v>0</v>
      </c>
      <c r="Q13" s="597">
        <v>0</v>
      </c>
      <c r="R13" s="597">
        <v>0</v>
      </c>
      <c r="S13" s="597">
        <v>0</v>
      </c>
      <c r="T13" s="597">
        <v>0</v>
      </c>
      <c r="U13" s="597">
        <v>0</v>
      </c>
      <c r="V13" s="597">
        <v>0</v>
      </c>
      <c r="W13" s="597">
        <v>0</v>
      </c>
      <c r="X13" s="597">
        <v>0</v>
      </c>
      <c r="Y13" s="597">
        <v>0</v>
      </c>
      <c r="Z13" s="598">
        <v>0</v>
      </c>
      <c r="AA13" s="599">
        <v>0</v>
      </c>
      <c r="AB13" s="597">
        <v>0</v>
      </c>
      <c r="AC13" s="597">
        <v>0</v>
      </c>
      <c r="AD13" s="597">
        <v>0</v>
      </c>
      <c r="AE13" s="597">
        <v>0</v>
      </c>
      <c r="AF13" s="597">
        <v>0</v>
      </c>
      <c r="AG13" s="597">
        <v>0</v>
      </c>
      <c r="AH13" s="597">
        <v>0</v>
      </c>
      <c r="AI13" s="598">
        <v>0</v>
      </c>
      <c r="AJ13" s="600">
        <v>0</v>
      </c>
      <c r="AK13" s="570"/>
      <c r="AL13" s="571"/>
      <c r="AM13" s="571"/>
      <c r="AN13" s="571"/>
      <c r="AO13" s="571"/>
      <c r="AP13" s="572"/>
      <c r="AQ13" s="570"/>
      <c r="AR13" s="571"/>
      <c r="AS13" s="573"/>
      <c r="AT13" s="573"/>
      <c r="AU13" s="573"/>
      <c r="AV13" s="573"/>
      <c r="AW13" s="573"/>
      <c r="AX13" s="573"/>
      <c r="AY13" s="573"/>
      <c r="AZ13" s="572"/>
      <c r="BA13" s="601">
        <v>0</v>
      </c>
      <c r="BB13" s="602">
        <v>0</v>
      </c>
      <c r="BC13" s="603">
        <v>0</v>
      </c>
      <c r="BD13" s="604">
        <v>0</v>
      </c>
      <c r="BE13" s="605">
        <v>0</v>
      </c>
      <c r="BF13" s="605">
        <v>0</v>
      </c>
      <c r="BG13" s="606">
        <v>0</v>
      </c>
      <c r="BH13" s="607">
        <v>0</v>
      </c>
      <c r="BI13" s="605">
        <v>0</v>
      </c>
      <c r="BJ13" s="605">
        <v>0</v>
      </c>
      <c r="BK13" s="608">
        <v>0</v>
      </c>
      <c r="BL13" s="604">
        <v>0</v>
      </c>
      <c r="BM13" s="609">
        <v>0</v>
      </c>
      <c r="BN13" s="605">
        <v>0</v>
      </c>
      <c r="BO13" s="605">
        <v>0</v>
      </c>
      <c r="BP13" s="605">
        <v>0</v>
      </c>
      <c r="BQ13" s="605">
        <v>0</v>
      </c>
      <c r="BR13" s="606">
        <v>0</v>
      </c>
      <c r="BS13" s="610">
        <v>0</v>
      </c>
      <c r="BT13" s="604">
        <v>0</v>
      </c>
      <c r="BU13" s="605">
        <v>0</v>
      </c>
      <c r="BV13" s="584"/>
      <c r="BW13" s="584"/>
      <c r="BX13" s="585"/>
      <c r="BY13" s="586"/>
      <c r="BZ13" s="587"/>
      <c r="CA13" s="587"/>
      <c r="CB13" s="588"/>
      <c r="CC13" s="589"/>
      <c r="CD13" s="587"/>
      <c r="CE13" s="587"/>
      <c r="CF13" s="587"/>
      <c r="CG13" s="588"/>
      <c r="CH13" s="611">
        <v>0</v>
      </c>
      <c r="CI13" s="591"/>
      <c r="CJ13" s="584"/>
      <c r="CK13" s="584"/>
      <c r="CL13" s="584"/>
      <c r="CM13" s="592"/>
      <c r="CN13" s="593"/>
      <c r="CO13" s="584"/>
      <c r="CP13" s="584"/>
      <c r="CQ13" s="585"/>
    </row>
    <row r="14" spans="1:95" ht="15.75" thickBot="1">
      <c r="A14" s="425"/>
      <c r="B14" s="561">
        <v>1993</v>
      </c>
      <c r="C14" s="562">
        <v>0</v>
      </c>
      <c r="D14" s="594">
        <v>0</v>
      </c>
      <c r="E14" s="594">
        <v>0</v>
      </c>
      <c r="F14" s="594">
        <v>0</v>
      </c>
      <c r="G14" s="594">
        <v>0</v>
      </c>
      <c r="H14" s="594">
        <v>0</v>
      </c>
      <c r="I14" s="594">
        <v>0</v>
      </c>
      <c r="J14" s="594">
        <v>0</v>
      </c>
      <c r="K14" s="594">
        <v>0</v>
      </c>
      <c r="L14" s="594">
        <v>0</v>
      </c>
      <c r="M14" s="594">
        <v>0</v>
      </c>
      <c r="N14" s="595">
        <v>0</v>
      </c>
      <c r="O14" s="596">
        <v>0</v>
      </c>
      <c r="P14" s="597">
        <v>0</v>
      </c>
      <c r="Q14" s="597">
        <v>0</v>
      </c>
      <c r="R14" s="597">
        <v>0</v>
      </c>
      <c r="S14" s="597">
        <v>0</v>
      </c>
      <c r="T14" s="597">
        <v>0</v>
      </c>
      <c r="U14" s="597">
        <v>0</v>
      </c>
      <c r="V14" s="597">
        <v>0</v>
      </c>
      <c r="W14" s="597">
        <v>0</v>
      </c>
      <c r="X14" s="597">
        <v>0</v>
      </c>
      <c r="Y14" s="597">
        <v>0</v>
      </c>
      <c r="Z14" s="598">
        <v>0</v>
      </c>
      <c r="AA14" s="599">
        <v>0</v>
      </c>
      <c r="AB14" s="597">
        <v>0</v>
      </c>
      <c r="AC14" s="597">
        <v>0</v>
      </c>
      <c r="AD14" s="597">
        <v>0</v>
      </c>
      <c r="AE14" s="597">
        <v>0</v>
      </c>
      <c r="AF14" s="597">
        <v>0</v>
      </c>
      <c r="AG14" s="597">
        <v>0</v>
      </c>
      <c r="AH14" s="597">
        <v>0</v>
      </c>
      <c r="AI14" s="598">
        <v>0</v>
      </c>
      <c r="AJ14" s="600">
        <v>0</v>
      </c>
      <c r="AK14" s="570"/>
      <c r="AL14" s="571"/>
      <c r="AM14" s="571"/>
      <c r="AN14" s="571"/>
      <c r="AO14" s="571"/>
      <c r="AP14" s="572"/>
      <c r="AQ14" s="570"/>
      <c r="AR14" s="571"/>
      <c r="AS14" s="573"/>
      <c r="AT14" s="573"/>
      <c r="AU14" s="573"/>
      <c r="AV14" s="573"/>
      <c r="AW14" s="573"/>
      <c r="AX14" s="573"/>
      <c r="AY14" s="573"/>
      <c r="AZ14" s="572"/>
      <c r="BA14" s="601">
        <v>0</v>
      </c>
      <c r="BB14" s="602">
        <v>0</v>
      </c>
      <c r="BC14" s="603">
        <v>0</v>
      </c>
      <c r="BD14" s="604">
        <v>0</v>
      </c>
      <c r="BE14" s="605">
        <v>0</v>
      </c>
      <c r="BF14" s="605">
        <v>0</v>
      </c>
      <c r="BG14" s="606">
        <v>0</v>
      </c>
      <c r="BH14" s="607">
        <v>0</v>
      </c>
      <c r="BI14" s="605">
        <v>0</v>
      </c>
      <c r="BJ14" s="605">
        <v>0</v>
      </c>
      <c r="BK14" s="608">
        <v>0</v>
      </c>
      <c r="BL14" s="604">
        <v>0</v>
      </c>
      <c r="BM14" s="609">
        <v>0</v>
      </c>
      <c r="BN14" s="605">
        <v>0</v>
      </c>
      <c r="BO14" s="605">
        <v>0</v>
      </c>
      <c r="BP14" s="605">
        <v>0</v>
      </c>
      <c r="BQ14" s="605">
        <v>0</v>
      </c>
      <c r="BR14" s="606">
        <v>0</v>
      </c>
      <c r="BS14" s="610">
        <v>0</v>
      </c>
      <c r="BT14" s="604">
        <v>0</v>
      </c>
      <c r="BU14" s="605">
        <v>0</v>
      </c>
      <c r="BV14" s="584"/>
      <c r="BW14" s="584"/>
      <c r="BX14" s="585"/>
      <c r="BY14" s="586"/>
      <c r="BZ14" s="587"/>
      <c r="CA14" s="587"/>
      <c r="CB14" s="588"/>
      <c r="CC14" s="589"/>
      <c r="CD14" s="587"/>
      <c r="CE14" s="587"/>
      <c r="CF14" s="587"/>
      <c r="CG14" s="588"/>
      <c r="CH14" s="611">
        <v>0</v>
      </c>
      <c r="CI14" s="591"/>
      <c r="CJ14" s="584"/>
      <c r="CK14" s="584"/>
      <c r="CL14" s="584"/>
      <c r="CM14" s="592"/>
      <c r="CN14" s="593"/>
      <c r="CO14" s="584"/>
      <c r="CP14" s="584"/>
      <c r="CQ14" s="585"/>
    </row>
    <row r="15" spans="1:95" ht="15.75" thickBot="1">
      <c r="A15" s="425"/>
      <c r="B15" s="561">
        <v>1994</v>
      </c>
      <c r="C15" s="562">
        <v>0</v>
      </c>
      <c r="D15" s="594">
        <v>0</v>
      </c>
      <c r="E15" s="594">
        <v>0</v>
      </c>
      <c r="F15" s="594">
        <v>0</v>
      </c>
      <c r="G15" s="594">
        <v>0</v>
      </c>
      <c r="H15" s="594">
        <v>0</v>
      </c>
      <c r="I15" s="594">
        <v>0</v>
      </c>
      <c r="J15" s="594">
        <v>0</v>
      </c>
      <c r="K15" s="594">
        <v>0</v>
      </c>
      <c r="L15" s="594">
        <v>0</v>
      </c>
      <c r="M15" s="594">
        <v>0</v>
      </c>
      <c r="N15" s="595">
        <v>0</v>
      </c>
      <c r="O15" s="596">
        <v>0</v>
      </c>
      <c r="P15" s="597">
        <v>0</v>
      </c>
      <c r="Q15" s="597">
        <v>0</v>
      </c>
      <c r="R15" s="597">
        <v>0</v>
      </c>
      <c r="S15" s="597">
        <v>0</v>
      </c>
      <c r="T15" s="597">
        <v>0</v>
      </c>
      <c r="U15" s="597">
        <v>0</v>
      </c>
      <c r="V15" s="597">
        <v>0</v>
      </c>
      <c r="W15" s="597">
        <v>0</v>
      </c>
      <c r="X15" s="597">
        <v>0</v>
      </c>
      <c r="Y15" s="597">
        <v>0</v>
      </c>
      <c r="Z15" s="598">
        <v>0</v>
      </c>
      <c r="AA15" s="599">
        <v>0</v>
      </c>
      <c r="AB15" s="597">
        <v>0</v>
      </c>
      <c r="AC15" s="597">
        <v>0</v>
      </c>
      <c r="AD15" s="597">
        <v>0</v>
      </c>
      <c r="AE15" s="597">
        <v>0</v>
      </c>
      <c r="AF15" s="597">
        <v>0</v>
      </c>
      <c r="AG15" s="597">
        <v>0</v>
      </c>
      <c r="AH15" s="597">
        <v>0</v>
      </c>
      <c r="AI15" s="598">
        <v>0</v>
      </c>
      <c r="AJ15" s="600">
        <v>0</v>
      </c>
      <c r="AK15" s="570"/>
      <c r="AL15" s="571"/>
      <c r="AM15" s="571"/>
      <c r="AN15" s="571"/>
      <c r="AO15" s="571"/>
      <c r="AP15" s="572"/>
      <c r="AQ15" s="570"/>
      <c r="AR15" s="571"/>
      <c r="AS15" s="573"/>
      <c r="AT15" s="573"/>
      <c r="AU15" s="573"/>
      <c r="AV15" s="573"/>
      <c r="AW15" s="573"/>
      <c r="AX15" s="573"/>
      <c r="AY15" s="573"/>
      <c r="AZ15" s="572"/>
      <c r="BA15" s="601">
        <v>0</v>
      </c>
      <c r="BB15" s="602">
        <v>0</v>
      </c>
      <c r="BC15" s="603">
        <v>0</v>
      </c>
      <c r="BD15" s="604">
        <v>0</v>
      </c>
      <c r="BE15" s="605">
        <v>0</v>
      </c>
      <c r="BF15" s="605">
        <v>0</v>
      </c>
      <c r="BG15" s="606">
        <v>0</v>
      </c>
      <c r="BH15" s="607">
        <v>0</v>
      </c>
      <c r="BI15" s="605">
        <v>0</v>
      </c>
      <c r="BJ15" s="605">
        <v>0</v>
      </c>
      <c r="BK15" s="608">
        <v>0</v>
      </c>
      <c r="BL15" s="604">
        <v>0</v>
      </c>
      <c r="BM15" s="609">
        <v>0</v>
      </c>
      <c r="BN15" s="605">
        <v>0</v>
      </c>
      <c r="BO15" s="605">
        <v>0</v>
      </c>
      <c r="BP15" s="605">
        <v>0</v>
      </c>
      <c r="BQ15" s="605">
        <v>0</v>
      </c>
      <c r="BR15" s="606">
        <v>0</v>
      </c>
      <c r="BS15" s="610">
        <v>0</v>
      </c>
      <c r="BT15" s="604">
        <v>0</v>
      </c>
      <c r="BU15" s="605">
        <v>0</v>
      </c>
      <c r="BV15" s="584"/>
      <c r="BW15" s="584"/>
      <c r="BX15" s="585"/>
      <c r="BY15" s="586"/>
      <c r="BZ15" s="587"/>
      <c r="CA15" s="587"/>
      <c r="CB15" s="588"/>
      <c r="CC15" s="589"/>
      <c r="CD15" s="587"/>
      <c r="CE15" s="587"/>
      <c r="CF15" s="587"/>
      <c r="CG15" s="588"/>
      <c r="CH15" s="611">
        <v>0</v>
      </c>
      <c r="CI15" s="591"/>
      <c r="CJ15" s="584"/>
      <c r="CK15" s="584"/>
      <c r="CL15" s="584"/>
      <c r="CM15" s="592"/>
      <c r="CN15" s="593"/>
      <c r="CO15" s="584"/>
      <c r="CP15" s="584"/>
      <c r="CQ15" s="585"/>
    </row>
    <row r="16" spans="1:95" ht="15.75" thickBot="1">
      <c r="A16" s="425"/>
      <c r="B16" s="561">
        <v>1995</v>
      </c>
      <c r="C16" s="562">
        <v>0</v>
      </c>
      <c r="D16" s="594">
        <v>0</v>
      </c>
      <c r="E16" s="594">
        <v>0</v>
      </c>
      <c r="F16" s="594">
        <v>0</v>
      </c>
      <c r="G16" s="594">
        <v>0</v>
      </c>
      <c r="H16" s="594">
        <v>0</v>
      </c>
      <c r="I16" s="594">
        <v>0</v>
      </c>
      <c r="J16" s="594">
        <v>0</v>
      </c>
      <c r="K16" s="594">
        <v>0</v>
      </c>
      <c r="L16" s="594">
        <v>0</v>
      </c>
      <c r="M16" s="594">
        <v>0</v>
      </c>
      <c r="N16" s="595">
        <v>0</v>
      </c>
      <c r="O16" s="596">
        <v>0</v>
      </c>
      <c r="P16" s="597">
        <v>0</v>
      </c>
      <c r="Q16" s="597">
        <v>0</v>
      </c>
      <c r="R16" s="597">
        <v>0</v>
      </c>
      <c r="S16" s="597">
        <v>0</v>
      </c>
      <c r="T16" s="597">
        <v>0</v>
      </c>
      <c r="U16" s="597">
        <v>0</v>
      </c>
      <c r="V16" s="597">
        <v>0</v>
      </c>
      <c r="W16" s="597">
        <v>0</v>
      </c>
      <c r="X16" s="597">
        <v>0</v>
      </c>
      <c r="Y16" s="597">
        <v>0</v>
      </c>
      <c r="Z16" s="598">
        <v>0</v>
      </c>
      <c r="AA16" s="599">
        <v>0</v>
      </c>
      <c r="AB16" s="597">
        <v>0</v>
      </c>
      <c r="AC16" s="597">
        <v>0</v>
      </c>
      <c r="AD16" s="597">
        <v>0</v>
      </c>
      <c r="AE16" s="597">
        <v>0</v>
      </c>
      <c r="AF16" s="597">
        <v>0</v>
      </c>
      <c r="AG16" s="597">
        <v>0</v>
      </c>
      <c r="AH16" s="597">
        <v>0</v>
      </c>
      <c r="AI16" s="598">
        <v>0</v>
      </c>
      <c r="AJ16" s="600">
        <v>0</v>
      </c>
      <c r="AK16" s="570"/>
      <c r="AL16" s="571"/>
      <c r="AM16" s="571"/>
      <c r="AN16" s="571"/>
      <c r="AO16" s="571"/>
      <c r="AP16" s="572"/>
      <c r="AQ16" s="570"/>
      <c r="AR16" s="571"/>
      <c r="AS16" s="573"/>
      <c r="AT16" s="573"/>
      <c r="AU16" s="573"/>
      <c r="AV16" s="573"/>
      <c r="AW16" s="573"/>
      <c r="AX16" s="573"/>
      <c r="AY16" s="573"/>
      <c r="AZ16" s="572"/>
      <c r="BA16" s="601">
        <v>0</v>
      </c>
      <c r="BB16" s="602">
        <v>0</v>
      </c>
      <c r="BC16" s="603">
        <v>0</v>
      </c>
      <c r="BD16" s="604">
        <v>0</v>
      </c>
      <c r="BE16" s="605">
        <v>0</v>
      </c>
      <c r="BF16" s="605">
        <v>0</v>
      </c>
      <c r="BG16" s="606">
        <v>0</v>
      </c>
      <c r="BH16" s="607">
        <v>0</v>
      </c>
      <c r="BI16" s="605">
        <v>0</v>
      </c>
      <c r="BJ16" s="605">
        <v>0</v>
      </c>
      <c r="BK16" s="608">
        <v>0</v>
      </c>
      <c r="BL16" s="604">
        <v>0</v>
      </c>
      <c r="BM16" s="609">
        <v>0</v>
      </c>
      <c r="BN16" s="605">
        <v>0</v>
      </c>
      <c r="BO16" s="605">
        <v>0</v>
      </c>
      <c r="BP16" s="605">
        <v>0</v>
      </c>
      <c r="BQ16" s="605">
        <v>0</v>
      </c>
      <c r="BR16" s="606">
        <v>0</v>
      </c>
      <c r="BS16" s="610">
        <v>0</v>
      </c>
      <c r="BT16" s="604">
        <v>0</v>
      </c>
      <c r="BU16" s="605">
        <v>0</v>
      </c>
      <c r="BV16" s="584"/>
      <c r="BW16" s="584"/>
      <c r="BX16" s="585"/>
      <c r="BY16" s="586"/>
      <c r="BZ16" s="587"/>
      <c r="CA16" s="587"/>
      <c r="CB16" s="588"/>
      <c r="CC16" s="589"/>
      <c r="CD16" s="587"/>
      <c r="CE16" s="587"/>
      <c r="CF16" s="587"/>
      <c r="CG16" s="588"/>
      <c r="CH16" s="611">
        <v>0</v>
      </c>
      <c r="CI16" s="591"/>
      <c r="CJ16" s="584"/>
      <c r="CK16" s="584"/>
      <c r="CL16" s="584"/>
      <c r="CM16" s="592"/>
      <c r="CN16" s="593"/>
      <c r="CO16" s="584"/>
      <c r="CP16" s="584"/>
      <c r="CQ16" s="585"/>
    </row>
    <row r="17" spans="1:95" ht="15.75" thickBot="1">
      <c r="A17" s="425"/>
      <c r="B17" s="561">
        <v>1996</v>
      </c>
      <c r="C17" s="562">
        <v>0</v>
      </c>
      <c r="D17" s="594">
        <v>0</v>
      </c>
      <c r="E17" s="594">
        <v>0</v>
      </c>
      <c r="F17" s="594">
        <v>0</v>
      </c>
      <c r="G17" s="594">
        <v>0</v>
      </c>
      <c r="H17" s="594">
        <v>0</v>
      </c>
      <c r="I17" s="594">
        <v>0</v>
      </c>
      <c r="J17" s="594">
        <v>0</v>
      </c>
      <c r="K17" s="594">
        <v>0</v>
      </c>
      <c r="L17" s="594">
        <v>0</v>
      </c>
      <c r="M17" s="594">
        <v>0</v>
      </c>
      <c r="N17" s="595">
        <v>0</v>
      </c>
      <c r="O17" s="596">
        <v>0</v>
      </c>
      <c r="P17" s="597">
        <v>0</v>
      </c>
      <c r="Q17" s="597">
        <v>0</v>
      </c>
      <c r="R17" s="597">
        <v>0</v>
      </c>
      <c r="S17" s="597">
        <v>0</v>
      </c>
      <c r="T17" s="597">
        <v>0</v>
      </c>
      <c r="U17" s="597">
        <v>0</v>
      </c>
      <c r="V17" s="597">
        <v>0</v>
      </c>
      <c r="W17" s="597">
        <v>0</v>
      </c>
      <c r="X17" s="597">
        <v>0</v>
      </c>
      <c r="Y17" s="597">
        <v>0</v>
      </c>
      <c r="Z17" s="598">
        <v>0</v>
      </c>
      <c r="AA17" s="599">
        <v>0</v>
      </c>
      <c r="AB17" s="597">
        <v>0</v>
      </c>
      <c r="AC17" s="597">
        <v>0</v>
      </c>
      <c r="AD17" s="597">
        <v>0</v>
      </c>
      <c r="AE17" s="597">
        <v>0</v>
      </c>
      <c r="AF17" s="597">
        <v>0</v>
      </c>
      <c r="AG17" s="597">
        <v>0</v>
      </c>
      <c r="AH17" s="597">
        <v>0</v>
      </c>
      <c r="AI17" s="598">
        <v>0</v>
      </c>
      <c r="AJ17" s="600">
        <v>0</v>
      </c>
      <c r="AK17" s="570"/>
      <c r="AL17" s="571"/>
      <c r="AM17" s="571"/>
      <c r="AN17" s="571"/>
      <c r="AO17" s="571"/>
      <c r="AP17" s="572"/>
      <c r="AQ17" s="570"/>
      <c r="AR17" s="571"/>
      <c r="AS17" s="573"/>
      <c r="AT17" s="573"/>
      <c r="AU17" s="573"/>
      <c r="AV17" s="573"/>
      <c r="AW17" s="573"/>
      <c r="AX17" s="573"/>
      <c r="AY17" s="573"/>
      <c r="AZ17" s="572"/>
      <c r="BA17" s="601">
        <v>0</v>
      </c>
      <c r="BB17" s="602">
        <v>0</v>
      </c>
      <c r="BC17" s="603">
        <v>0</v>
      </c>
      <c r="BD17" s="604">
        <v>0</v>
      </c>
      <c r="BE17" s="605">
        <v>0</v>
      </c>
      <c r="BF17" s="605">
        <v>0</v>
      </c>
      <c r="BG17" s="606">
        <v>0</v>
      </c>
      <c r="BH17" s="607">
        <v>0</v>
      </c>
      <c r="BI17" s="605">
        <v>0</v>
      </c>
      <c r="BJ17" s="605">
        <v>0</v>
      </c>
      <c r="BK17" s="608">
        <v>0</v>
      </c>
      <c r="BL17" s="604">
        <v>0</v>
      </c>
      <c r="BM17" s="609">
        <v>0</v>
      </c>
      <c r="BN17" s="605">
        <v>0</v>
      </c>
      <c r="BO17" s="605">
        <v>0</v>
      </c>
      <c r="BP17" s="605">
        <v>0</v>
      </c>
      <c r="BQ17" s="605">
        <v>0</v>
      </c>
      <c r="BR17" s="606">
        <v>0</v>
      </c>
      <c r="BS17" s="610">
        <v>0</v>
      </c>
      <c r="BT17" s="604">
        <v>0</v>
      </c>
      <c r="BU17" s="605">
        <v>0</v>
      </c>
      <c r="BV17" s="584"/>
      <c r="BW17" s="584"/>
      <c r="BX17" s="585"/>
      <c r="BY17" s="586"/>
      <c r="BZ17" s="587"/>
      <c r="CA17" s="587"/>
      <c r="CB17" s="588"/>
      <c r="CC17" s="589"/>
      <c r="CD17" s="587"/>
      <c r="CE17" s="587"/>
      <c r="CF17" s="587"/>
      <c r="CG17" s="588"/>
      <c r="CH17" s="611">
        <v>0</v>
      </c>
      <c r="CI17" s="591"/>
      <c r="CJ17" s="584"/>
      <c r="CK17" s="584"/>
      <c r="CL17" s="584"/>
      <c r="CM17" s="592"/>
      <c r="CN17" s="593"/>
      <c r="CO17" s="584"/>
      <c r="CP17" s="584"/>
      <c r="CQ17" s="585"/>
    </row>
    <row r="18" spans="1:95" ht="15.75" thickBot="1">
      <c r="A18" s="425"/>
      <c r="B18" s="561">
        <v>1997</v>
      </c>
      <c r="C18" s="562">
        <v>0</v>
      </c>
      <c r="D18" s="594">
        <v>0</v>
      </c>
      <c r="E18" s="594">
        <v>0</v>
      </c>
      <c r="F18" s="594">
        <v>0</v>
      </c>
      <c r="G18" s="594">
        <v>0</v>
      </c>
      <c r="H18" s="594">
        <v>0</v>
      </c>
      <c r="I18" s="594">
        <v>0</v>
      </c>
      <c r="J18" s="594">
        <v>0</v>
      </c>
      <c r="K18" s="594">
        <v>0</v>
      </c>
      <c r="L18" s="594">
        <v>0</v>
      </c>
      <c r="M18" s="594">
        <v>0</v>
      </c>
      <c r="N18" s="595">
        <v>0</v>
      </c>
      <c r="O18" s="596">
        <v>0</v>
      </c>
      <c r="P18" s="597">
        <v>0</v>
      </c>
      <c r="Q18" s="597">
        <v>0</v>
      </c>
      <c r="R18" s="597">
        <v>0</v>
      </c>
      <c r="S18" s="597">
        <v>0</v>
      </c>
      <c r="T18" s="597">
        <v>0</v>
      </c>
      <c r="U18" s="597">
        <v>0</v>
      </c>
      <c r="V18" s="597">
        <v>0</v>
      </c>
      <c r="W18" s="597">
        <v>0</v>
      </c>
      <c r="X18" s="597">
        <v>0</v>
      </c>
      <c r="Y18" s="597">
        <v>0</v>
      </c>
      <c r="Z18" s="598">
        <v>0</v>
      </c>
      <c r="AA18" s="599">
        <v>0</v>
      </c>
      <c r="AB18" s="597">
        <v>0</v>
      </c>
      <c r="AC18" s="597">
        <v>0</v>
      </c>
      <c r="AD18" s="597">
        <v>0</v>
      </c>
      <c r="AE18" s="597">
        <v>0</v>
      </c>
      <c r="AF18" s="597">
        <v>0</v>
      </c>
      <c r="AG18" s="597">
        <v>0</v>
      </c>
      <c r="AH18" s="597">
        <v>0</v>
      </c>
      <c r="AI18" s="598">
        <v>0</v>
      </c>
      <c r="AJ18" s="600">
        <v>0</v>
      </c>
      <c r="AK18" s="570"/>
      <c r="AL18" s="571"/>
      <c r="AM18" s="571"/>
      <c r="AN18" s="571"/>
      <c r="AO18" s="571"/>
      <c r="AP18" s="572"/>
      <c r="AQ18" s="570"/>
      <c r="AR18" s="571"/>
      <c r="AS18" s="573"/>
      <c r="AT18" s="573"/>
      <c r="AU18" s="573"/>
      <c r="AV18" s="573"/>
      <c r="AW18" s="573"/>
      <c r="AX18" s="573"/>
      <c r="AY18" s="573"/>
      <c r="AZ18" s="572"/>
      <c r="BA18" s="601">
        <v>0</v>
      </c>
      <c r="BB18" s="602">
        <v>0</v>
      </c>
      <c r="BC18" s="603">
        <v>0</v>
      </c>
      <c r="BD18" s="604">
        <v>0</v>
      </c>
      <c r="BE18" s="605">
        <v>0</v>
      </c>
      <c r="BF18" s="605">
        <v>0</v>
      </c>
      <c r="BG18" s="606">
        <v>0</v>
      </c>
      <c r="BH18" s="607">
        <v>0</v>
      </c>
      <c r="BI18" s="605">
        <v>0</v>
      </c>
      <c r="BJ18" s="605">
        <v>0</v>
      </c>
      <c r="BK18" s="608">
        <v>0</v>
      </c>
      <c r="BL18" s="604">
        <v>0</v>
      </c>
      <c r="BM18" s="609">
        <v>0</v>
      </c>
      <c r="BN18" s="605">
        <v>0</v>
      </c>
      <c r="BO18" s="605">
        <v>0</v>
      </c>
      <c r="BP18" s="605">
        <v>0</v>
      </c>
      <c r="BQ18" s="605">
        <v>0</v>
      </c>
      <c r="BR18" s="606">
        <v>0</v>
      </c>
      <c r="BS18" s="610">
        <v>0</v>
      </c>
      <c r="BT18" s="604">
        <v>0</v>
      </c>
      <c r="BU18" s="605">
        <v>0</v>
      </c>
      <c r="BV18" s="584"/>
      <c r="BW18" s="584"/>
      <c r="BX18" s="585"/>
      <c r="BY18" s="586"/>
      <c r="BZ18" s="587"/>
      <c r="CA18" s="587"/>
      <c r="CB18" s="588"/>
      <c r="CC18" s="589"/>
      <c r="CD18" s="587"/>
      <c r="CE18" s="587"/>
      <c r="CF18" s="587"/>
      <c r="CG18" s="588"/>
      <c r="CH18" s="611">
        <v>0</v>
      </c>
      <c r="CI18" s="591"/>
      <c r="CJ18" s="584"/>
      <c r="CK18" s="584"/>
      <c r="CL18" s="584"/>
      <c r="CM18" s="592"/>
      <c r="CN18" s="593"/>
      <c r="CO18" s="584"/>
      <c r="CP18" s="584"/>
      <c r="CQ18" s="585"/>
    </row>
    <row r="19" spans="1:95" ht="15.75" thickBot="1">
      <c r="A19" s="425"/>
      <c r="B19" s="561">
        <v>1998</v>
      </c>
      <c r="C19" s="562">
        <v>0</v>
      </c>
      <c r="D19" s="594">
        <v>0</v>
      </c>
      <c r="E19" s="594">
        <v>0</v>
      </c>
      <c r="F19" s="594">
        <v>0</v>
      </c>
      <c r="G19" s="594">
        <v>0</v>
      </c>
      <c r="H19" s="594">
        <v>0</v>
      </c>
      <c r="I19" s="594">
        <v>0</v>
      </c>
      <c r="J19" s="594">
        <v>0</v>
      </c>
      <c r="K19" s="594">
        <v>0</v>
      </c>
      <c r="L19" s="594">
        <v>0</v>
      </c>
      <c r="M19" s="594">
        <v>0</v>
      </c>
      <c r="N19" s="595">
        <v>0</v>
      </c>
      <c r="O19" s="596">
        <v>0</v>
      </c>
      <c r="P19" s="597">
        <v>0</v>
      </c>
      <c r="Q19" s="597">
        <v>0</v>
      </c>
      <c r="R19" s="597">
        <v>0</v>
      </c>
      <c r="S19" s="597">
        <v>0</v>
      </c>
      <c r="T19" s="597">
        <v>0</v>
      </c>
      <c r="U19" s="597">
        <v>0</v>
      </c>
      <c r="V19" s="597">
        <v>0</v>
      </c>
      <c r="W19" s="597">
        <v>0</v>
      </c>
      <c r="X19" s="597">
        <v>0</v>
      </c>
      <c r="Y19" s="597">
        <v>0</v>
      </c>
      <c r="Z19" s="598">
        <v>0</v>
      </c>
      <c r="AA19" s="599">
        <v>0</v>
      </c>
      <c r="AB19" s="597">
        <v>0</v>
      </c>
      <c r="AC19" s="597">
        <v>0</v>
      </c>
      <c r="AD19" s="597">
        <v>0</v>
      </c>
      <c r="AE19" s="597">
        <v>0</v>
      </c>
      <c r="AF19" s="597">
        <v>0</v>
      </c>
      <c r="AG19" s="597">
        <v>0</v>
      </c>
      <c r="AH19" s="597">
        <v>0</v>
      </c>
      <c r="AI19" s="598">
        <v>0</v>
      </c>
      <c r="AJ19" s="600">
        <v>0</v>
      </c>
      <c r="AK19" s="570"/>
      <c r="AL19" s="571"/>
      <c r="AM19" s="571"/>
      <c r="AN19" s="571"/>
      <c r="AO19" s="571"/>
      <c r="AP19" s="572"/>
      <c r="AQ19" s="570"/>
      <c r="AR19" s="571"/>
      <c r="AS19" s="573"/>
      <c r="AT19" s="573"/>
      <c r="AU19" s="573"/>
      <c r="AV19" s="573"/>
      <c r="AW19" s="573"/>
      <c r="AX19" s="573"/>
      <c r="AY19" s="573"/>
      <c r="AZ19" s="572"/>
      <c r="BA19" s="601">
        <v>0</v>
      </c>
      <c r="BB19" s="602">
        <v>0</v>
      </c>
      <c r="BC19" s="603">
        <v>0</v>
      </c>
      <c r="BD19" s="604">
        <v>0</v>
      </c>
      <c r="BE19" s="605">
        <v>0</v>
      </c>
      <c r="BF19" s="605">
        <v>0</v>
      </c>
      <c r="BG19" s="606">
        <v>0</v>
      </c>
      <c r="BH19" s="607">
        <v>0</v>
      </c>
      <c r="BI19" s="605">
        <v>0</v>
      </c>
      <c r="BJ19" s="605">
        <v>0</v>
      </c>
      <c r="BK19" s="608">
        <v>0</v>
      </c>
      <c r="BL19" s="604">
        <v>0</v>
      </c>
      <c r="BM19" s="609">
        <v>0</v>
      </c>
      <c r="BN19" s="605">
        <v>0</v>
      </c>
      <c r="BO19" s="605">
        <v>0</v>
      </c>
      <c r="BP19" s="605">
        <v>0</v>
      </c>
      <c r="BQ19" s="605">
        <v>0</v>
      </c>
      <c r="BR19" s="606">
        <v>0</v>
      </c>
      <c r="BS19" s="610">
        <v>0</v>
      </c>
      <c r="BT19" s="604">
        <v>0</v>
      </c>
      <c r="BU19" s="605">
        <v>0</v>
      </c>
      <c r="BV19" s="584"/>
      <c r="BW19" s="584"/>
      <c r="BX19" s="585"/>
      <c r="BY19" s="586"/>
      <c r="BZ19" s="587"/>
      <c r="CA19" s="587"/>
      <c r="CB19" s="588"/>
      <c r="CC19" s="589"/>
      <c r="CD19" s="587"/>
      <c r="CE19" s="587"/>
      <c r="CF19" s="587"/>
      <c r="CG19" s="588"/>
      <c r="CH19" s="611">
        <v>0</v>
      </c>
      <c r="CI19" s="591"/>
      <c r="CJ19" s="584"/>
      <c r="CK19" s="584"/>
      <c r="CL19" s="584"/>
      <c r="CM19" s="592"/>
      <c r="CN19" s="593"/>
      <c r="CO19" s="584"/>
      <c r="CP19" s="584"/>
      <c r="CQ19" s="585"/>
    </row>
    <row r="20" spans="1:95" ht="15.75" thickBot="1">
      <c r="A20" s="425"/>
      <c r="B20" s="561">
        <v>1999</v>
      </c>
      <c r="C20" s="562">
        <v>0</v>
      </c>
      <c r="D20" s="594">
        <v>0</v>
      </c>
      <c r="E20" s="594">
        <v>0</v>
      </c>
      <c r="F20" s="594">
        <v>0</v>
      </c>
      <c r="G20" s="594">
        <v>0</v>
      </c>
      <c r="H20" s="594">
        <v>0</v>
      </c>
      <c r="I20" s="594">
        <v>0</v>
      </c>
      <c r="J20" s="594">
        <v>0</v>
      </c>
      <c r="K20" s="594">
        <v>0</v>
      </c>
      <c r="L20" s="594">
        <v>0</v>
      </c>
      <c r="M20" s="594">
        <v>0</v>
      </c>
      <c r="N20" s="595">
        <v>0</v>
      </c>
      <c r="O20" s="596">
        <v>0</v>
      </c>
      <c r="P20" s="597">
        <v>0</v>
      </c>
      <c r="Q20" s="597">
        <v>0</v>
      </c>
      <c r="R20" s="597">
        <v>0</v>
      </c>
      <c r="S20" s="597">
        <v>0</v>
      </c>
      <c r="T20" s="597">
        <v>0</v>
      </c>
      <c r="U20" s="597">
        <v>0</v>
      </c>
      <c r="V20" s="597">
        <v>0</v>
      </c>
      <c r="W20" s="597">
        <v>0</v>
      </c>
      <c r="X20" s="597">
        <v>0</v>
      </c>
      <c r="Y20" s="597">
        <v>0</v>
      </c>
      <c r="Z20" s="598">
        <v>0</v>
      </c>
      <c r="AA20" s="599">
        <v>0</v>
      </c>
      <c r="AB20" s="597">
        <v>0</v>
      </c>
      <c r="AC20" s="597">
        <v>0</v>
      </c>
      <c r="AD20" s="597">
        <v>0</v>
      </c>
      <c r="AE20" s="597">
        <v>0</v>
      </c>
      <c r="AF20" s="597">
        <v>0</v>
      </c>
      <c r="AG20" s="597">
        <v>0</v>
      </c>
      <c r="AH20" s="597">
        <v>0</v>
      </c>
      <c r="AI20" s="598">
        <v>0</v>
      </c>
      <c r="AJ20" s="600">
        <v>0</v>
      </c>
      <c r="AK20" s="570"/>
      <c r="AL20" s="571"/>
      <c r="AM20" s="571"/>
      <c r="AN20" s="571"/>
      <c r="AO20" s="571"/>
      <c r="AP20" s="572"/>
      <c r="AQ20" s="570"/>
      <c r="AR20" s="571"/>
      <c r="AS20" s="573"/>
      <c r="AT20" s="573"/>
      <c r="AU20" s="573"/>
      <c r="AV20" s="573"/>
      <c r="AW20" s="573"/>
      <c r="AX20" s="573"/>
      <c r="AY20" s="573"/>
      <c r="AZ20" s="572"/>
      <c r="BA20" s="601">
        <v>0</v>
      </c>
      <c r="BB20" s="602">
        <v>0</v>
      </c>
      <c r="BC20" s="603">
        <v>0</v>
      </c>
      <c r="BD20" s="604">
        <v>0</v>
      </c>
      <c r="BE20" s="605">
        <v>0</v>
      </c>
      <c r="BF20" s="605">
        <v>0</v>
      </c>
      <c r="BG20" s="606">
        <v>0</v>
      </c>
      <c r="BH20" s="607">
        <v>0</v>
      </c>
      <c r="BI20" s="605">
        <v>0</v>
      </c>
      <c r="BJ20" s="605">
        <v>0</v>
      </c>
      <c r="BK20" s="608">
        <v>0</v>
      </c>
      <c r="BL20" s="604">
        <v>0</v>
      </c>
      <c r="BM20" s="609">
        <v>0</v>
      </c>
      <c r="BN20" s="605">
        <v>0</v>
      </c>
      <c r="BO20" s="605">
        <v>0</v>
      </c>
      <c r="BP20" s="605">
        <v>0</v>
      </c>
      <c r="BQ20" s="605">
        <v>0</v>
      </c>
      <c r="BR20" s="606">
        <v>0</v>
      </c>
      <c r="BS20" s="610">
        <v>0</v>
      </c>
      <c r="BT20" s="604">
        <v>0</v>
      </c>
      <c r="BU20" s="605">
        <v>0</v>
      </c>
      <c r="BV20" s="584"/>
      <c r="BW20" s="584"/>
      <c r="BX20" s="585"/>
      <c r="BY20" s="586"/>
      <c r="BZ20" s="587"/>
      <c r="CA20" s="587"/>
      <c r="CB20" s="588"/>
      <c r="CC20" s="589"/>
      <c r="CD20" s="587"/>
      <c r="CE20" s="587"/>
      <c r="CF20" s="587"/>
      <c r="CG20" s="588"/>
      <c r="CH20" s="611">
        <v>0</v>
      </c>
      <c r="CI20" s="591"/>
      <c r="CJ20" s="584"/>
      <c r="CK20" s="584"/>
      <c r="CL20" s="584"/>
      <c r="CM20" s="592"/>
      <c r="CN20" s="593"/>
      <c r="CO20" s="584"/>
      <c r="CP20" s="584"/>
      <c r="CQ20" s="585"/>
    </row>
    <row r="21" spans="1:95" ht="15.75" thickBot="1">
      <c r="A21" s="425"/>
      <c r="B21" s="561">
        <v>2000</v>
      </c>
      <c r="C21" s="562">
        <v>0</v>
      </c>
      <c r="D21" s="594">
        <v>0</v>
      </c>
      <c r="E21" s="594">
        <v>0</v>
      </c>
      <c r="F21" s="594">
        <v>0</v>
      </c>
      <c r="G21" s="594">
        <v>0</v>
      </c>
      <c r="H21" s="594">
        <v>0</v>
      </c>
      <c r="I21" s="594">
        <v>0</v>
      </c>
      <c r="J21" s="594">
        <v>0</v>
      </c>
      <c r="K21" s="594">
        <v>0</v>
      </c>
      <c r="L21" s="594">
        <v>0</v>
      </c>
      <c r="M21" s="594">
        <v>0</v>
      </c>
      <c r="N21" s="595">
        <v>0</v>
      </c>
      <c r="O21" s="596">
        <v>0</v>
      </c>
      <c r="P21" s="597">
        <v>0</v>
      </c>
      <c r="Q21" s="597">
        <v>0</v>
      </c>
      <c r="R21" s="597">
        <v>0</v>
      </c>
      <c r="S21" s="597">
        <v>0</v>
      </c>
      <c r="T21" s="597">
        <v>0</v>
      </c>
      <c r="U21" s="597">
        <v>0</v>
      </c>
      <c r="V21" s="597">
        <v>0</v>
      </c>
      <c r="W21" s="597">
        <v>0</v>
      </c>
      <c r="X21" s="597">
        <v>0</v>
      </c>
      <c r="Y21" s="597">
        <v>0</v>
      </c>
      <c r="Z21" s="598">
        <v>0</v>
      </c>
      <c r="AA21" s="599">
        <v>0</v>
      </c>
      <c r="AB21" s="597">
        <v>0</v>
      </c>
      <c r="AC21" s="597">
        <v>0</v>
      </c>
      <c r="AD21" s="597">
        <v>0</v>
      </c>
      <c r="AE21" s="597">
        <v>0</v>
      </c>
      <c r="AF21" s="597">
        <v>0</v>
      </c>
      <c r="AG21" s="597">
        <v>0</v>
      </c>
      <c r="AH21" s="597">
        <v>0</v>
      </c>
      <c r="AI21" s="598">
        <v>0</v>
      </c>
      <c r="AJ21" s="600">
        <v>0</v>
      </c>
      <c r="AK21" s="570"/>
      <c r="AL21" s="571"/>
      <c r="AM21" s="571"/>
      <c r="AN21" s="571"/>
      <c r="AO21" s="571"/>
      <c r="AP21" s="572"/>
      <c r="AQ21" s="570"/>
      <c r="AR21" s="571"/>
      <c r="AS21" s="573"/>
      <c r="AT21" s="573"/>
      <c r="AU21" s="573"/>
      <c r="AV21" s="573"/>
      <c r="AW21" s="573"/>
      <c r="AX21" s="573"/>
      <c r="AY21" s="573"/>
      <c r="AZ21" s="572"/>
      <c r="BA21" s="601">
        <v>0</v>
      </c>
      <c r="BB21" s="602">
        <v>0</v>
      </c>
      <c r="BC21" s="603">
        <v>0</v>
      </c>
      <c r="BD21" s="604">
        <v>0</v>
      </c>
      <c r="BE21" s="605">
        <v>0</v>
      </c>
      <c r="BF21" s="605">
        <v>0</v>
      </c>
      <c r="BG21" s="606">
        <v>0</v>
      </c>
      <c r="BH21" s="607">
        <v>0</v>
      </c>
      <c r="BI21" s="605">
        <v>0</v>
      </c>
      <c r="BJ21" s="605">
        <v>0</v>
      </c>
      <c r="BK21" s="608">
        <v>0</v>
      </c>
      <c r="BL21" s="604">
        <v>0</v>
      </c>
      <c r="BM21" s="609">
        <v>0</v>
      </c>
      <c r="BN21" s="605">
        <v>0</v>
      </c>
      <c r="BO21" s="605">
        <v>0</v>
      </c>
      <c r="BP21" s="605">
        <v>0</v>
      </c>
      <c r="BQ21" s="605">
        <v>0</v>
      </c>
      <c r="BR21" s="606">
        <v>0</v>
      </c>
      <c r="BS21" s="610">
        <v>0</v>
      </c>
      <c r="BT21" s="604">
        <v>0</v>
      </c>
      <c r="BU21" s="605">
        <v>0</v>
      </c>
      <c r="BV21" s="584"/>
      <c r="BW21" s="584"/>
      <c r="BX21" s="585"/>
      <c r="BY21" s="586"/>
      <c r="BZ21" s="587"/>
      <c r="CA21" s="587"/>
      <c r="CB21" s="588"/>
      <c r="CC21" s="589"/>
      <c r="CD21" s="587"/>
      <c r="CE21" s="587"/>
      <c r="CF21" s="587"/>
      <c r="CG21" s="588"/>
      <c r="CH21" s="611">
        <v>0</v>
      </c>
      <c r="CI21" s="591"/>
      <c r="CJ21" s="584"/>
      <c r="CK21" s="584"/>
      <c r="CL21" s="584"/>
      <c r="CM21" s="592"/>
      <c r="CN21" s="593"/>
      <c r="CO21" s="584"/>
      <c r="CP21" s="584"/>
      <c r="CQ21" s="585"/>
    </row>
    <row r="22" spans="1:95" ht="15.75" thickBot="1">
      <c r="A22" s="425"/>
      <c r="B22" s="561">
        <v>2001</v>
      </c>
      <c r="C22" s="562">
        <v>0</v>
      </c>
      <c r="D22" s="594">
        <v>0</v>
      </c>
      <c r="E22" s="594">
        <v>0</v>
      </c>
      <c r="F22" s="594">
        <v>0</v>
      </c>
      <c r="G22" s="594">
        <v>0</v>
      </c>
      <c r="H22" s="594">
        <v>0</v>
      </c>
      <c r="I22" s="594">
        <v>0</v>
      </c>
      <c r="J22" s="594">
        <v>0</v>
      </c>
      <c r="K22" s="594">
        <v>0</v>
      </c>
      <c r="L22" s="594">
        <v>0</v>
      </c>
      <c r="M22" s="594">
        <v>0</v>
      </c>
      <c r="N22" s="595">
        <v>0</v>
      </c>
      <c r="O22" s="596">
        <v>0</v>
      </c>
      <c r="P22" s="597">
        <v>0</v>
      </c>
      <c r="Q22" s="597">
        <v>0</v>
      </c>
      <c r="R22" s="597">
        <v>0</v>
      </c>
      <c r="S22" s="597">
        <v>0</v>
      </c>
      <c r="T22" s="597">
        <v>0</v>
      </c>
      <c r="U22" s="597">
        <v>0</v>
      </c>
      <c r="V22" s="597">
        <v>0</v>
      </c>
      <c r="W22" s="597">
        <v>0</v>
      </c>
      <c r="X22" s="597">
        <v>0</v>
      </c>
      <c r="Y22" s="597">
        <v>0</v>
      </c>
      <c r="Z22" s="598">
        <v>0</v>
      </c>
      <c r="AA22" s="599">
        <v>0</v>
      </c>
      <c r="AB22" s="597">
        <v>0</v>
      </c>
      <c r="AC22" s="597">
        <v>0</v>
      </c>
      <c r="AD22" s="597">
        <v>0</v>
      </c>
      <c r="AE22" s="597">
        <v>0</v>
      </c>
      <c r="AF22" s="597">
        <v>0</v>
      </c>
      <c r="AG22" s="597">
        <v>0</v>
      </c>
      <c r="AH22" s="597">
        <v>0</v>
      </c>
      <c r="AI22" s="598">
        <v>0</v>
      </c>
      <c r="AJ22" s="600">
        <v>0</v>
      </c>
      <c r="AK22" s="570"/>
      <c r="AL22" s="571"/>
      <c r="AM22" s="571"/>
      <c r="AN22" s="571"/>
      <c r="AO22" s="571"/>
      <c r="AP22" s="572"/>
      <c r="AQ22" s="570"/>
      <c r="AR22" s="571"/>
      <c r="AS22" s="573"/>
      <c r="AT22" s="573"/>
      <c r="AU22" s="573"/>
      <c r="AV22" s="573"/>
      <c r="AW22" s="573"/>
      <c r="AX22" s="573"/>
      <c r="AY22" s="573"/>
      <c r="AZ22" s="572"/>
      <c r="BA22" s="601">
        <v>0</v>
      </c>
      <c r="BB22" s="602">
        <v>0</v>
      </c>
      <c r="BC22" s="603">
        <v>0</v>
      </c>
      <c r="BD22" s="604">
        <v>0</v>
      </c>
      <c r="BE22" s="605">
        <v>0</v>
      </c>
      <c r="BF22" s="605">
        <v>0</v>
      </c>
      <c r="BG22" s="606">
        <v>0</v>
      </c>
      <c r="BH22" s="607">
        <v>0</v>
      </c>
      <c r="BI22" s="605">
        <v>0</v>
      </c>
      <c r="BJ22" s="605">
        <v>0</v>
      </c>
      <c r="BK22" s="608">
        <v>0</v>
      </c>
      <c r="BL22" s="604">
        <v>0</v>
      </c>
      <c r="BM22" s="609">
        <v>0</v>
      </c>
      <c r="BN22" s="605">
        <v>0</v>
      </c>
      <c r="BO22" s="605">
        <v>0</v>
      </c>
      <c r="BP22" s="605">
        <v>0</v>
      </c>
      <c r="BQ22" s="605">
        <v>0</v>
      </c>
      <c r="BR22" s="606">
        <v>0</v>
      </c>
      <c r="BS22" s="610">
        <v>0</v>
      </c>
      <c r="BT22" s="604">
        <v>0</v>
      </c>
      <c r="BU22" s="605">
        <v>0</v>
      </c>
      <c r="BV22" s="584"/>
      <c r="BW22" s="584"/>
      <c r="BX22" s="585"/>
      <c r="BY22" s="586"/>
      <c r="BZ22" s="587"/>
      <c r="CA22" s="587"/>
      <c r="CB22" s="588"/>
      <c r="CC22" s="589"/>
      <c r="CD22" s="587"/>
      <c r="CE22" s="587"/>
      <c r="CF22" s="587"/>
      <c r="CG22" s="588"/>
      <c r="CH22" s="611">
        <v>0</v>
      </c>
      <c r="CI22" s="591"/>
      <c r="CJ22" s="584"/>
      <c r="CK22" s="584"/>
      <c r="CL22" s="584"/>
      <c r="CM22" s="592"/>
      <c r="CN22" s="593"/>
      <c r="CO22" s="584"/>
      <c r="CP22" s="584"/>
      <c r="CQ22" s="585"/>
    </row>
    <row r="23" spans="1:95" ht="15.75" thickBot="1">
      <c r="A23" s="425"/>
      <c r="B23" s="561">
        <v>2002</v>
      </c>
      <c r="C23" s="562">
        <v>0</v>
      </c>
      <c r="D23" s="594">
        <v>0</v>
      </c>
      <c r="E23" s="594">
        <v>0</v>
      </c>
      <c r="F23" s="594">
        <v>0</v>
      </c>
      <c r="G23" s="594">
        <v>0</v>
      </c>
      <c r="H23" s="594">
        <v>0</v>
      </c>
      <c r="I23" s="594">
        <v>0</v>
      </c>
      <c r="J23" s="594">
        <v>0</v>
      </c>
      <c r="K23" s="594">
        <v>0</v>
      </c>
      <c r="L23" s="594">
        <v>0</v>
      </c>
      <c r="M23" s="594">
        <v>0</v>
      </c>
      <c r="N23" s="595">
        <v>0</v>
      </c>
      <c r="O23" s="596">
        <v>0</v>
      </c>
      <c r="P23" s="597">
        <v>0</v>
      </c>
      <c r="Q23" s="597">
        <v>0</v>
      </c>
      <c r="R23" s="597">
        <v>0</v>
      </c>
      <c r="S23" s="597">
        <v>0</v>
      </c>
      <c r="T23" s="597">
        <v>0</v>
      </c>
      <c r="U23" s="597">
        <v>0</v>
      </c>
      <c r="V23" s="597">
        <v>0</v>
      </c>
      <c r="W23" s="597">
        <v>0</v>
      </c>
      <c r="X23" s="597">
        <v>0</v>
      </c>
      <c r="Y23" s="597">
        <v>0</v>
      </c>
      <c r="Z23" s="598">
        <v>0</v>
      </c>
      <c r="AA23" s="599">
        <v>0</v>
      </c>
      <c r="AB23" s="597">
        <v>0</v>
      </c>
      <c r="AC23" s="597">
        <v>0</v>
      </c>
      <c r="AD23" s="597">
        <v>0</v>
      </c>
      <c r="AE23" s="597">
        <v>0</v>
      </c>
      <c r="AF23" s="597">
        <v>0</v>
      </c>
      <c r="AG23" s="597">
        <v>0</v>
      </c>
      <c r="AH23" s="597">
        <v>0</v>
      </c>
      <c r="AI23" s="598">
        <v>0</v>
      </c>
      <c r="AJ23" s="600">
        <v>0</v>
      </c>
      <c r="AK23" s="570"/>
      <c r="AL23" s="571"/>
      <c r="AM23" s="571"/>
      <c r="AN23" s="571"/>
      <c r="AO23" s="571"/>
      <c r="AP23" s="572"/>
      <c r="AQ23" s="570"/>
      <c r="AR23" s="571"/>
      <c r="AS23" s="573"/>
      <c r="AT23" s="573"/>
      <c r="AU23" s="573"/>
      <c r="AV23" s="573"/>
      <c r="AW23" s="573"/>
      <c r="AX23" s="573"/>
      <c r="AY23" s="573"/>
      <c r="AZ23" s="572"/>
      <c r="BA23" s="601">
        <v>0</v>
      </c>
      <c r="BB23" s="602">
        <v>0</v>
      </c>
      <c r="BC23" s="603">
        <v>0</v>
      </c>
      <c r="BD23" s="604">
        <v>0</v>
      </c>
      <c r="BE23" s="605">
        <v>0</v>
      </c>
      <c r="BF23" s="605">
        <v>0</v>
      </c>
      <c r="BG23" s="606">
        <v>0</v>
      </c>
      <c r="BH23" s="607">
        <v>0</v>
      </c>
      <c r="BI23" s="605">
        <v>0</v>
      </c>
      <c r="BJ23" s="605">
        <v>0</v>
      </c>
      <c r="BK23" s="608">
        <v>0</v>
      </c>
      <c r="BL23" s="604">
        <v>0</v>
      </c>
      <c r="BM23" s="609">
        <v>0</v>
      </c>
      <c r="BN23" s="605">
        <v>0</v>
      </c>
      <c r="BO23" s="605">
        <v>0</v>
      </c>
      <c r="BP23" s="605">
        <v>0</v>
      </c>
      <c r="BQ23" s="605">
        <v>0</v>
      </c>
      <c r="BR23" s="606">
        <v>0</v>
      </c>
      <c r="BS23" s="610">
        <v>0</v>
      </c>
      <c r="BT23" s="604">
        <v>0</v>
      </c>
      <c r="BU23" s="605">
        <v>0</v>
      </c>
      <c r="BV23" s="584"/>
      <c r="BW23" s="584"/>
      <c r="BX23" s="585"/>
      <c r="BY23" s="586"/>
      <c r="BZ23" s="587"/>
      <c r="CA23" s="587"/>
      <c r="CB23" s="588"/>
      <c r="CC23" s="589"/>
      <c r="CD23" s="587"/>
      <c r="CE23" s="587"/>
      <c r="CF23" s="587"/>
      <c r="CG23" s="588"/>
      <c r="CH23" s="611">
        <v>0</v>
      </c>
      <c r="CI23" s="591"/>
      <c r="CJ23" s="584"/>
      <c r="CK23" s="584"/>
      <c r="CL23" s="584"/>
      <c r="CM23" s="592"/>
      <c r="CN23" s="593"/>
      <c r="CO23" s="584"/>
      <c r="CP23" s="584"/>
      <c r="CQ23" s="585"/>
    </row>
    <row r="24" spans="1:95" ht="15.75" thickBot="1">
      <c r="A24" s="425"/>
      <c r="B24" s="561">
        <v>2003</v>
      </c>
      <c r="C24" s="562">
        <v>0</v>
      </c>
      <c r="D24" s="594">
        <v>0</v>
      </c>
      <c r="E24" s="594">
        <v>0</v>
      </c>
      <c r="F24" s="594">
        <v>0</v>
      </c>
      <c r="G24" s="594">
        <v>0</v>
      </c>
      <c r="H24" s="594">
        <v>0</v>
      </c>
      <c r="I24" s="594">
        <v>0</v>
      </c>
      <c r="J24" s="594">
        <v>0</v>
      </c>
      <c r="K24" s="594">
        <v>0</v>
      </c>
      <c r="L24" s="594">
        <v>0</v>
      </c>
      <c r="M24" s="594">
        <v>0</v>
      </c>
      <c r="N24" s="595">
        <v>0</v>
      </c>
      <c r="O24" s="596">
        <v>0</v>
      </c>
      <c r="P24" s="597">
        <v>0</v>
      </c>
      <c r="Q24" s="597">
        <v>0</v>
      </c>
      <c r="R24" s="597">
        <v>0</v>
      </c>
      <c r="S24" s="597">
        <v>0</v>
      </c>
      <c r="T24" s="597">
        <v>0</v>
      </c>
      <c r="U24" s="597">
        <v>0</v>
      </c>
      <c r="V24" s="597">
        <v>0</v>
      </c>
      <c r="W24" s="597">
        <v>0</v>
      </c>
      <c r="X24" s="597">
        <v>0</v>
      </c>
      <c r="Y24" s="597">
        <v>0</v>
      </c>
      <c r="Z24" s="598">
        <v>0</v>
      </c>
      <c r="AA24" s="599">
        <v>0</v>
      </c>
      <c r="AB24" s="597">
        <v>0</v>
      </c>
      <c r="AC24" s="597">
        <v>0</v>
      </c>
      <c r="AD24" s="597">
        <v>0</v>
      </c>
      <c r="AE24" s="597">
        <v>0</v>
      </c>
      <c r="AF24" s="597">
        <v>0</v>
      </c>
      <c r="AG24" s="597">
        <v>0</v>
      </c>
      <c r="AH24" s="597">
        <v>0</v>
      </c>
      <c r="AI24" s="598">
        <v>0</v>
      </c>
      <c r="AJ24" s="600">
        <v>0</v>
      </c>
      <c r="AK24" s="570"/>
      <c r="AL24" s="571"/>
      <c r="AM24" s="571"/>
      <c r="AN24" s="571"/>
      <c r="AO24" s="571"/>
      <c r="AP24" s="572"/>
      <c r="AQ24" s="570"/>
      <c r="AR24" s="571"/>
      <c r="AS24" s="573"/>
      <c r="AT24" s="573"/>
      <c r="AU24" s="573"/>
      <c r="AV24" s="573"/>
      <c r="AW24" s="573"/>
      <c r="AX24" s="573"/>
      <c r="AY24" s="573"/>
      <c r="AZ24" s="572"/>
      <c r="BA24" s="601">
        <v>0</v>
      </c>
      <c r="BB24" s="602">
        <v>0</v>
      </c>
      <c r="BC24" s="603">
        <v>0</v>
      </c>
      <c r="BD24" s="604">
        <v>0</v>
      </c>
      <c r="BE24" s="605">
        <v>0</v>
      </c>
      <c r="BF24" s="605">
        <v>0</v>
      </c>
      <c r="BG24" s="606">
        <v>0</v>
      </c>
      <c r="BH24" s="607">
        <v>0</v>
      </c>
      <c r="BI24" s="605">
        <v>0</v>
      </c>
      <c r="BJ24" s="605">
        <v>0</v>
      </c>
      <c r="BK24" s="608">
        <v>0</v>
      </c>
      <c r="BL24" s="604">
        <v>0</v>
      </c>
      <c r="BM24" s="609">
        <v>0</v>
      </c>
      <c r="BN24" s="605">
        <v>0</v>
      </c>
      <c r="BO24" s="605">
        <v>0</v>
      </c>
      <c r="BP24" s="605">
        <v>0</v>
      </c>
      <c r="BQ24" s="605">
        <v>0</v>
      </c>
      <c r="BR24" s="606">
        <v>0</v>
      </c>
      <c r="BS24" s="610">
        <v>0</v>
      </c>
      <c r="BT24" s="604">
        <v>0</v>
      </c>
      <c r="BU24" s="605">
        <v>0</v>
      </c>
      <c r="BV24" s="584"/>
      <c r="BW24" s="584"/>
      <c r="BX24" s="585"/>
      <c r="BY24" s="586"/>
      <c r="BZ24" s="587"/>
      <c r="CA24" s="587"/>
      <c r="CB24" s="588"/>
      <c r="CC24" s="589"/>
      <c r="CD24" s="587"/>
      <c r="CE24" s="587"/>
      <c r="CF24" s="587"/>
      <c r="CG24" s="588"/>
      <c r="CH24" s="611">
        <v>0</v>
      </c>
      <c r="CI24" s="591"/>
      <c r="CJ24" s="584"/>
      <c r="CK24" s="584"/>
      <c r="CL24" s="584"/>
      <c r="CM24" s="592"/>
      <c r="CN24" s="593"/>
      <c r="CO24" s="584"/>
      <c r="CP24" s="584"/>
      <c r="CQ24" s="585"/>
    </row>
    <row r="25" spans="1:95" ht="15.75" thickBot="1">
      <c r="A25" s="425"/>
      <c r="B25" s="561">
        <v>2004</v>
      </c>
      <c r="C25" s="562">
        <v>0</v>
      </c>
      <c r="D25" s="594">
        <v>0</v>
      </c>
      <c r="E25" s="594">
        <v>0</v>
      </c>
      <c r="F25" s="594">
        <v>0</v>
      </c>
      <c r="G25" s="594">
        <v>0</v>
      </c>
      <c r="H25" s="594">
        <v>0</v>
      </c>
      <c r="I25" s="594">
        <v>0</v>
      </c>
      <c r="J25" s="594">
        <v>0</v>
      </c>
      <c r="K25" s="594">
        <v>0</v>
      </c>
      <c r="L25" s="594">
        <v>0</v>
      </c>
      <c r="M25" s="594">
        <v>0</v>
      </c>
      <c r="N25" s="595">
        <v>0</v>
      </c>
      <c r="O25" s="596">
        <v>0</v>
      </c>
      <c r="P25" s="597">
        <v>0</v>
      </c>
      <c r="Q25" s="597">
        <v>0</v>
      </c>
      <c r="R25" s="597">
        <v>0</v>
      </c>
      <c r="S25" s="597">
        <v>0</v>
      </c>
      <c r="T25" s="597">
        <v>0</v>
      </c>
      <c r="U25" s="597">
        <v>0</v>
      </c>
      <c r="V25" s="597">
        <v>0</v>
      </c>
      <c r="W25" s="597">
        <v>0</v>
      </c>
      <c r="X25" s="597">
        <v>0</v>
      </c>
      <c r="Y25" s="597">
        <v>0</v>
      </c>
      <c r="Z25" s="598">
        <v>0</v>
      </c>
      <c r="AA25" s="599">
        <v>0</v>
      </c>
      <c r="AB25" s="597">
        <v>0</v>
      </c>
      <c r="AC25" s="597">
        <v>0</v>
      </c>
      <c r="AD25" s="597">
        <v>0</v>
      </c>
      <c r="AE25" s="597">
        <v>0</v>
      </c>
      <c r="AF25" s="597">
        <v>0</v>
      </c>
      <c r="AG25" s="597">
        <v>0</v>
      </c>
      <c r="AH25" s="597">
        <v>0</v>
      </c>
      <c r="AI25" s="598">
        <v>0</v>
      </c>
      <c r="AJ25" s="600">
        <v>0</v>
      </c>
      <c r="AK25" s="570"/>
      <c r="AL25" s="571"/>
      <c r="AM25" s="571"/>
      <c r="AN25" s="571"/>
      <c r="AO25" s="571"/>
      <c r="AP25" s="572"/>
      <c r="AQ25" s="570"/>
      <c r="AR25" s="571"/>
      <c r="AS25" s="573"/>
      <c r="AT25" s="573"/>
      <c r="AU25" s="573"/>
      <c r="AV25" s="573"/>
      <c r="AW25" s="573"/>
      <c r="AX25" s="573"/>
      <c r="AY25" s="573"/>
      <c r="AZ25" s="572"/>
      <c r="BA25" s="601">
        <v>0</v>
      </c>
      <c r="BB25" s="602">
        <v>0</v>
      </c>
      <c r="BC25" s="603">
        <v>0</v>
      </c>
      <c r="BD25" s="604">
        <v>0</v>
      </c>
      <c r="BE25" s="605">
        <v>0</v>
      </c>
      <c r="BF25" s="605">
        <v>0</v>
      </c>
      <c r="BG25" s="606">
        <v>0</v>
      </c>
      <c r="BH25" s="607">
        <v>0</v>
      </c>
      <c r="BI25" s="605">
        <v>0</v>
      </c>
      <c r="BJ25" s="605">
        <v>0</v>
      </c>
      <c r="BK25" s="608">
        <v>0</v>
      </c>
      <c r="BL25" s="604">
        <v>0</v>
      </c>
      <c r="BM25" s="609">
        <v>0</v>
      </c>
      <c r="BN25" s="605">
        <v>0</v>
      </c>
      <c r="BO25" s="605">
        <v>0</v>
      </c>
      <c r="BP25" s="605">
        <v>0</v>
      </c>
      <c r="BQ25" s="605">
        <v>0</v>
      </c>
      <c r="BR25" s="606">
        <v>0</v>
      </c>
      <c r="BS25" s="610">
        <v>0</v>
      </c>
      <c r="BT25" s="604">
        <v>0</v>
      </c>
      <c r="BU25" s="605">
        <v>0</v>
      </c>
      <c r="BV25" s="584"/>
      <c r="BW25" s="584"/>
      <c r="BX25" s="585"/>
      <c r="BY25" s="586"/>
      <c r="BZ25" s="587"/>
      <c r="CA25" s="587"/>
      <c r="CB25" s="588"/>
      <c r="CC25" s="589"/>
      <c r="CD25" s="587"/>
      <c r="CE25" s="587"/>
      <c r="CF25" s="587"/>
      <c r="CG25" s="588"/>
      <c r="CH25" s="611">
        <v>0</v>
      </c>
      <c r="CI25" s="591"/>
      <c r="CJ25" s="584"/>
      <c r="CK25" s="584"/>
      <c r="CL25" s="584"/>
      <c r="CM25" s="592"/>
      <c r="CN25" s="593"/>
      <c r="CO25" s="584"/>
      <c r="CP25" s="584"/>
      <c r="CQ25" s="585"/>
    </row>
    <row r="26" spans="1:95" ht="15.75" thickBot="1">
      <c r="A26" s="425"/>
      <c r="B26" s="561">
        <v>2005</v>
      </c>
      <c r="C26" s="562">
        <v>0</v>
      </c>
      <c r="D26" s="594">
        <v>0</v>
      </c>
      <c r="E26" s="594">
        <v>0</v>
      </c>
      <c r="F26" s="594">
        <v>0</v>
      </c>
      <c r="G26" s="594">
        <v>0</v>
      </c>
      <c r="H26" s="594">
        <v>0</v>
      </c>
      <c r="I26" s="594">
        <v>0</v>
      </c>
      <c r="J26" s="594">
        <v>0</v>
      </c>
      <c r="K26" s="594">
        <v>0</v>
      </c>
      <c r="L26" s="594">
        <v>0</v>
      </c>
      <c r="M26" s="594">
        <v>0</v>
      </c>
      <c r="N26" s="595">
        <v>0</v>
      </c>
      <c r="O26" s="596">
        <v>0</v>
      </c>
      <c r="P26" s="597">
        <v>0</v>
      </c>
      <c r="Q26" s="597">
        <v>0</v>
      </c>
      <c r="R26" s="597">
        <v>0</v>
      </c>
      <c r="S26" s="597">
        <v>0</v>
      </c>
      <c r="T26" s="597">
        <v>0</v>
      </c>
      <c r="U26" s="597">
        <v>0</v>
      </c>
      <c r="V26" s="597">
        <v>0</v>
      </c>
      <c r="W26" s="597">
        <v>0</v>
      </c>
      <c r="X26" s="597">
        <v>0</v>
      </c>
      <c r="Y26" s="597">
        <v>0</v>
      </c>
      <c r="Z26" s="598">
        <v>0</v>
      </c>
      <c r="AA26" s="599">
        <v>0</v>
      </c>
      <c r="AB26" s="597">
        <v>0</v>
      </c>
      <c r="AC26" s="597">
        <v>0</v>
      </c>
      <c r="AD26" s="597">
        <v>0</v>
      </c>
      <c r="AE26" s="597">
        <v>0</v>
      </c>
      <c r="AF26" s="597">
        <v>0</v>
      </c>
      <c r="AG26" s="597">
        <v>0</v>
      </c>
      <c r="AH26" s="597">
        <v>0</v>
      </c>
      <c r="AI26" s="598">
        <v>0</v>
      </c>
      <c r="AJ26" s="600">
        <v>0</v>
      </c>
      <c r="AK26" s="570"/>
      <c r="AL26" s="571"/>
      <c r="AM26" s="571"/>
      <c r="AN26" s="571"/>
      <c r="AO26" s="571"/>
      <c r="AP26" s="572"/>
      <c r="AQ26" s="570"/>
      <c r="AR26" s="571"/>
      <c r="AS26" s="573"/>
      <c r="AT26" s="573"/>
      <c r="AU26" s="573"/>
      <c r="AV26" s="573"/>
      <c r="AW26" s="573"/>
      <c r="AX26" s="573"/>
      <c r="AY26" s="573"/>
      <c r="AZ26" s="572"/>
      <c r="BA26" s="601">
        <v>0</v>
      </c>
      <c r="BB26" s="602">
        <v>0</v>
      </c>
      <c r="BC26" s="603">
        <v>0</v>
      </c>
      <c r="BD26" s="604">
        <v>0</v>
      </c>
      <c r="BE26" s="605">
        <v>0</v>
      </c>
      <c r="BF26" s="605">
        <v>0</v>
      </c>
      <c r="BG26" s="606">
        <v>0</v>
      </c>
      <c r="BH26" s="607">
        <v>0</v>
      </c>
      <c r="BI26" s="605">
        <v>0</v>
      </c>
      <c r="BJ26" s="605">
        <v>0</v>
      </c>
      <c r="BK26" s="608">
        <v>0</v>
      </c>
      <c r="BL26" s="604">
        <v>0</v>
      </c>
      <c r="BM26" s="609">
        <v>0</v>
      </c>
      <c r="BN26" s="605">
        <v>0</v>
      </c>
      <c r="BO26" s="605">
        <v>0</v>
      </c>
      <c r="BP26" s="605">
        <v>0</v>
      </c>
      <c r="BQ26" s="605">
        <v>0</v>
      </c>
      <c r="BR26" s="606">
        <v>0</v>
      </c>
      <c r="BS26" s="610">
        <v>0</v>
      </c>
      <c r="BT26" s="604">
        <v>0</v>
      </c>
      <c r="BU26" s="605">
        <v>0</v>
      </c>
      <c r="BV26" s="584"/>
      <c r="BW26" s="584"/>
      <c r="BX26" s="585"/>
      <c r="BY26" s="586"/>
      <c r="BZ26" s="587"/>
      <c r="CA26" s="587"/>
      <c r="CB26" s="588"/>
      <c r="CC26" s="589"/>
      <c r="CD26" s="587"/>
      <c r="CE26" s="587"/>
      <c r="CF26" s="587"/>
      <c r="CG26" s="588"/>
      <c r="CH26" s="611">
        <v>0</v>
      </c>
      <c r="CI26" s="591"/>
      <c r="CJ26" s="584"/>
      <c r="CK26" s="584"/>
      <c r="CL26" s="584"/>
      <c r="CM26" s="592"/>
      <c r="CN26" s="593"/>
      <c r="CO26" s="584"/>
      <c r="CP26" s="584"/>
      <c r="CQ26" s="585"/>
    </row>
    <row r="27" spans="1:95" ht="15.75" thickBot="1">
      <c r="A27" s="425"/>
      <c r="B27" s="561">
        <v>2006</v>
      </c>
      <c r="C27" s="562">
        <v>0</v>
      </c>
      <c r="D27" s="594">
        <v>0</v>
      </c>
      <c r="E27" s="594">
        <v>0</v>
      </c>
      <c r="F27" s="594">
        <v>0</v>
      </c>
      <c r="G27" s="594">
        <v>0</v>
      </c>
      <c r="H27" s="594">
        <v>0</v>
      </c>
      <c r="I27" s="594">
        <v>0</v>
      </c>
      <c r="J27" s="594">
        <v>0</v>
      </c>
      <c r="K27" s="594">
        <v>0</v>
      </c>
      <c r="L27" s="594">
        <v>0</v>
      </c>
      <c r="M27" s="594">
        <v>0</v>
      </c>
      <c r="N27" s="595">
        <v>0</v>
      </c>
      <c r="O27" s="596">
        <v>0</v>
      </c>
      <c r="P27" s="597">
        <v>0</v>
      </c>
      <c r="Q27" s="597">
        <v>0</v>
      </c>
      <c r="R27" s="597">
        <v>0</v>
      </c>
      <c r="S27" s="597">
        <v>0</v>
      </c>
      <c r="T27" s="597">
        <v>0</v>
      </c>
      <c r="U27" s="597">
        <v>0</v>
      </c>
      <c r="V27" s="597">
        <v>0</v>
      </c>
      <c r="W27" s="597">
        <v>0</v>
      </c>
      <c r="X27" s="597">
        <v>0</v>
      </c>
      <c r="Y27" s="597">
        <v>0</v>
      </c>
      <c r="Z27" s="598">
        <v>0</v>
      </c>
      <c r="AA27" s="599">
        <v>0</v>
      </c>
      <c r="AB27" s="597">
        <v>0</v>
      </c>
      <c r="AC27" s="597">
        <v>0</v>
      </c>
      <c r="AD27" s="597">
        <v>0</v>
      </c>
      <c r="AE27" s="597">
        <v>0</v>
      </c>
      <c r="AF27" s="597">
        <v>0</v>
      </c>
      <c r="AG27" s="597">
        <v>0</v>
      </c>
      <c r="AH27" s="597">
        <v>0</v>
      </c>
      <c r="AI27" s="598">
        <v>0</v>
      </c>
      <c r="AJ27" s="600">
        <v>0</v>
      </c>
      <c r="AK27" s="570"/>
      <c r="AL27" s="571"/>
      <c r="AM27" s="571"/>
      <c r="AN27" s="571"/>
      <c r="AO27" s="571"/>
      <c r="AP27" s="572"/>
      <c r="AQ27" s="570"/>
      <c r="AR27" s="571"/>
      <c r="AS27" s="573"/>
      <c r="AT27" s="573"/>
      <c r="AU27" s="573"/>
      <c r="AV27" s="573"/>
      <c r="AW27" s="573"/>
      <c r="AX27" s="573"/>
      <c r="AY27" s="573"/>
      <c r="AZ27" s="572"/>
      <c r="BA27" s="601">
        <v>0</v>
      </c>
      <c r="BB27" s="602">
        <v>0</v>
      </c>
      <c r="BC27" s="603">
        <v>0</v>
      </c>
      <c r="BD27" s="604">
        <v>0</v>
      </c>
      <c r="BE27" s="605">
        <v>0</v>
      </c>
      <c r="BF27" s="605">
        <v>0</v>
      </c>
      <c r="BG27" s="606">
        <v>0</v>
      </c>
      <c r="BH27" s="607">
        <v>0</v>
      </c>
      <c r="BI27" s="605">
        <v>0</v>
      </c>
      <c r="BJ27" s="605">
        <v>0</v>
      </c>
      <c r="BK27" s="608">
        <v>0</v>
      </c>
      <c r="BL27" s="604">
        <v>0</v>
      </c>
      <c r="BM27" s="609">
        <v>0</v>
      </c>
      <c r="BN27" s="605">
        <v>0</v>
      </c>
      <c r="BO27" s="605">
        <v>0</v>
      </c>
      <c r="BP27" s="605">
        <v>0</v>
      </c>
      <c r="BQ27" s="605">
        <v>0</v>
      </c>
      <c r="BR27" s="606">
        <v>0</v>
      </c>
      <c r="BS27" s="610">
        <v>0</v>
      </c>
      <c r="BT27" s="604">
        <v>0</v>
      </c>
      <c r="BU27" s="605">
        <v>0</v>
      </c>
      <c r="BV27" s="584"/>
      <c r="BW27" s="584"/>
      <c r="BX27" s="585"/>
      <c r="BY27" s="586"/>
      <c r="BZ27" s="587"/>
      <c r="CA27" s="587"/>
      <c r="CB27" s="588"/>
      <c r="CC27" s="589"/>
      <c r="CD27" s="587"/>
      <c r="CE27" s="587"/>
      <c r="CF27" s="587"/>
      <c r="CG27" s="588"/>
      <c r="CH27" s="611">
        <v>0</v>
      </c>
      <c r="CI27" s="591"/>
      <c r="CJ27" s="584"/>
      <c r="CK27" s="584"/>
      <c r="CL27" s="584"/>
      <c r="CM27" s="592"/>
      <c r="CN27" s="593"/>
      <c r="CO27" s="584"/>
      <c r="CP27" s="584"/>
      <c r="CQ27" s="585"/>
    </row>
    <row r="28" spans="1:95" ht="15.75" thickBot="1">
      <c r="A28" s="425"/>
      <c r="B28" s="561">
        <v>2007</v>
      </c>
      <c r="C28" s="562">
        <v>0</v>
      </c>
      <c r="D28" s="594">
        <v>0</v>
      </c>
      <c r="E28" s="594">
        <v>0</v>
      </c>
      <c r="F28" s="594">
        <v>0</v>
      </c>
      <c r="G28" s="594">
        <v>0</v>
      </c>
      <c r="H28" s="594">
        <v>0</v>
      </c>
      <c r="I28" s="594">
        <v>0</v>
      </c>
      <c r="J28" s="594">
        <v>0</v>
      </c>
      <c r="K28" s="594">
        <v>0</v>
      </c>
      <c r="L28" s="594">
        <v>0</v>
      </c>
      <c r="M28" s="594">
        <v>0</v>
      </c>
      <c r="N28" s="595">
        <v>0</v>
      </c>
      <c r="O28" s="596">
        <v>0</v>
      </c>
      <c r="P28" s="597">
        <v>0</v>
      </c>
      <c r="Q28" s="597">
        <v>0</v>
      </c>
      <c r="R28" s="597">
        <v>0</v>
      </c>
      <c r="S28" s="597">
        <v>0</v>
      </c>
      <c r="T28" s="597">
        <v>0</v>
      </c>
      <c r="U28" s="597">
        <v>0</v>
      </c>
      <c r="V28" s="597">
        <v>0</v>
      </c>
      <c r="W28" s="597">
        <v>0</v>
      </c>
      <c r="X28" s="597">
        <v>0</v>
      </c>
      <c r="Y28" s="597">
        <v>0</v>
      </c>
      <c r="Z28" s="598">
        <v>0</v>
      </c>
      <c r="AA28" s="599">
        <v>0</v>
      </c>
      <c r="AB28" s="597">
        <v>0</v>
      </c>
      <c r="AC28" s="597">
        <v>0</v>
      </c>
      <c r="AD28" s="597">
        <v>0</v>
      </c>
      <c r="AE28" s="597">
        <v>0</v>
      </c>
      <c r="AF28" s="597">
        <v>0</v>
      </c>
      <c r="AG28" s="597">
        <v>0</v>
      </c>
      <c r="AH28" s="597">
        <v>0</v>
      </c>
      <c r="AI28" s="598">
        <v>0</v>
      </c>
      <c r="AJ28" s="600">
        <v>0</v>
      </c>
      <c r="AK28" s="570"/>
      <c r="AL28" s="571"/>
      <c r="AM28" s="571"/>
      <c r="AN28" s="571"/>
      <c r="AO28" s="571"/>
      <c r="AP28" s="572"/>
      <c r="AQ28" s="570"/>
      <c r="AR28" s="571"/>
      <c r="AS28" s="573"/>
      <c r="AT28" s="573"/>
      <c r="AU28" s="573"/>
      <c r="AV28" s="573"/>
      <c r="AW28" s="573"/>
      <c r="AX28" s="573"/>
      <c r="AY28" s="573"/>
      <c r="AZ28" s="572"/>
      <c r="BA28" s="601">
        <v>0</v>
      </c>
      <c r="BB28" s="602">
        <v>0</v>
      </c>
      <c r="BC28" s="603">
        <v>0</v>
      </c>
      <c r="BD28" s="604">
        <v>0</v>
      </c>
      <c r="BE28" s="605">
        <v>0</v>
      </c>
      <c r="BF28" s="605">
        <v>0</v>
      </c>
      <c r="BG28" s="606">
        <v>0</v>
      </c>
      <c r="BH28" s="607">
        <v>0</v>
      </c>
      <c r="BI28" s="605">
        <v>0</v>
      </c>
      <c r="BJ28" s="605">
        <v>0</v>
      </c>
      <c r="BK28" s="608">
        <v>0</v>
      </c>
      <c r="BL28" s="604">
        <v>0</v>
      </c>
      <c r="BM28" s="609">
        <v>0</v>
      </c>
      <c r="BN28" s="605">
        <v>0</v>
      </c>
      <c r="BO28" s="605">
        <v>0</v>
      </c>
      <c r="BP28" s="605">
        <v>0</v>
      </c>
      <c r="BQ28" s="605">
        <v>0</v>
      </c>
      <c r="BR28" s="606">
        <v>0</v>
      </c>
      <c r="BS28" s="610">
        <v>0</v>
      </c>
      <c r="BT28" s="604">
        <v>0</v>
      </c>
      <c r="BU28" s="605">
        <v>0</v>
      </c>
      <c r="BV28" s="584"/>
      <c r="BW28" s="584"/>
      <c r="BX28" s="585"/>
      <c r="BY28" s="586"/>
      <c r="BZ28" s="587"/>
      <c r="CA28" s="587"/>
      <c r="CB28" s="588"/>
      <c r="CC28" s="589"/>
      <c r="CD28" s="587"/>
      <c r="CE28" s="587"/>
      <c r="CF28" s="587"/>
      <c r="CG28" s="588"/>
      <c r="CH28" s="611">
        <v>0</v>
      </c>
      <c r="CI28" s="591"/>
      <c r="CJ28" s="584"/>
      <c r="CK28" s="584"/>
      <c r="CL28" s="584"/>
      <c r="CM28" s="592"/>
      <c r="CN28" s="593"/>
      <c r="CO28" s="584"/>
      <c r="CP28" s="584"/>
      <c r="CQ28" s="585"/>
    </row>
    <row r="29" spans="1:95" ht="15.75" thickBot="1">
      <c r="A29" s="425"/>
      <c r="B29" s="561">
        <v>2008</v>
      </c>
      <c r="C29" s="562">
        <v>0</v>
      </c>
      <c r="D29" s="594">
        <v>0</v>
      </c>
      <c r="E29" s="594">
        <v>0</v>
      </c>
      <c r="F29" s="594">
        <v>0</v>
      </c>
      <c r="G29" s="594">
        <v>0</v>
      </c>
      <c r="H29" s="594">
        <v>0</v>
      </c>
      <c r="I29" s="594">
        <v>0</v>
      </c>
      <c r="J29" s="594">
        <v>0</v>
      </c>
      <c r="K29" s="594">
        <v>0</v>
      </c>
      <c r="L29" s="594">
        <v>0</v>
      </c>
      <c r="M29" s="594">
        <v>0</v>
      </c>
      <c r="N29" s="595">
        <v>0</v>
      </c>
      <c r="O29" s="596">
        <v>0</v>
      </c>
      <c r="P29" s="597">
        <v>18106.441265344361</v>
      </c>
      <c r="Q29" s="597">
        <v>5321313.3211173564</v>
      </c>
      <c r="R29" s="597">
        <v>0</v>
      </c>
      <c r="S29" s="597">
        <v>0</v>
      </c>
      <c r="T29" s="597">
        <v>0</v>
      </c>
      <c r="U29" s="597">
        <v>0</v>
      </c>
      <c r="V29" s="597">
        <v>0</v>
      </c>
      <c r="W29" s="597">
        <v>0</v>
      </c>
      <c r="X29" s="597">
        <v>0</v>
      </c>
      <c r="Y29" s="597">
        <v>0</v>
      </c>
      <c r="Z29" s="598">
        <v>0</v>
      </c>
      <c r="AA29" s="599">
        <v>473997.74985628034</v>
      </c>
      <c r="AB29" s="597">
        <v>125746.38829120289</v>
      </c>
      <c r="AC29" s="597">
        <v>0</v>
      </c>
      <c r="AD29" s="597">
        <v>0</v>
      </c>
      <c r="AE29" s="597">
        <v>0</v>
      </c>
      <c r="AF29" s="597">
        <v>0</v>
      </c>
      <c r="AG29" s="597">
        <v>0</v>
      </c>
      <c r="AH29" s="597">
        <v>0</v>
      </c>
      <c r="AI29" s="598">
        <v>0</v>
      </c>
      <c r="AJ29" s="600">
        <v>0</v>
      </c>
      <c r="AK29" s="570"/>
      <c r="AL29" s="571"/>
      <c r="AM29" s="571"/>
      <c r="AN29" s="571"/>
      <c r="AO29" s="571"/>
      <c r="AP29" s="572"/>
      <c r="AQ29" s="570"/>
      <c r="AR29" s="571"/>
      <c r="AS29" s="573"/>
      <c r="AT29" s="573"/>
      <c r="AU29" s="573"/>
      <c r="AV29" s="573"/>
      <c r="AW29" s="573"/>
      <c r="AX29" s="573"/>
      <c r="AY29" s="573"/>
      <c r="AZ29" s="572"/>
      <c r="BA29" s="601">
        <v>89200889.865823418</v>
      </c>
      <c r="BB29" s="602">
        <v>61021491.016848758</v>
      </c>
      <c r="BC29" s="603">
        <v>20698886.340107154</v>
      </c>
      <c r="BD29" s="604">
        <v>9112450.8203764688</v>
      </c>
      <c r="BE29" s="605">
        <v>0</v>
      </c>
      <c r="BF29" s="605">
        <v>0</v>
      </c>
      <c r="BG29" s="606">
        <v>0</v>
      </c>
      <c r="BH29" s="607">
        <v>6779322.4444702799</v>
      </c>
      <c r="BI29" s="605">
        <v>0</v>
      </c>
      <c r="BJ29" s="605">
        <v>0</v>
      </c>
      <c r="BK29" s="608">
        <v>0</v>
      </c>
      <c r="BL29" s="604">
        <v>22040769.747254908</v>
      </c>
      <c r="BM29" s="609">
        <v>0</v>
      </c>
      <c r="BN29" s="605">
        <v>0</v>
      </c>
      <c r="BO29" s="605">
        <v>0</v>
      </c>
      <c r="BP29" s="605">
        <v>8114.3408381555328</v>
      </c>
      <c r="BQ29" s="605">
        <v>0</v>
      </c>
      <c r="BR29" s="606">
        <v>407796.97233443591</v>
      </c>
      <c r="BS29" s="610">
        <v>2859012.8257433791</v>
      </c>
      <c r="BT29" s="604">
        <v>-10119.999999999998</v>
      </c>
      <c r="BU29" s="605">
        <v>0</v>
      </c>
      <c r="BV29" s="584"/>
      <c r="BW29" s="584"/>
      <c r="BX29" s="585"/>
      <c r="BY29" s="586"/>
      <c r="BZ29" s="587"/>
      <c r="CA29" s="587"/>
      <c r="CB29" s="588"/>
      <c r="CC29" s="589"/>
      <c r="CD29" s="587"/>
      <c r="CE29" s="587"/>
      <c r="CF29" s="587"/>
      <c r="CG29" s="588"/>
      <c r="CH29" s="611">
        <v>13123138.523157194</v>
      </c>
      <c r="CI29" s="591"/>
      <c r="CJ29" s="584"/>
      <c r="CK29" s="584"/>
      <c r="CL29" s="584"/>
      <c r="CM29" s="592"/>
      <c r="CN29" s="593"/>
      <c r="CO29" s="584"/>
      <c r="CP29" s="584"/>
      <c r="CQ29" s="585"/>
    </row>
    <row r="30" spans="1:95" ht="15.75" thickBot="1">
      <c r="A30" s="425"/>
      <c r="B30" s="561">
        <v>2009</v>
      </c>
      <c r="C30" s="562">
        <v>0</v>
      </c>
      <c r="D30" s="594">
        <v>0</v>
      </c>
      <c r="E30" s="594">
        <v>0</v>
      </c>
      <c r="F30" s="594">
        <v>0</v>
      </c>
      <c r="G30" s="594">
        <v>0</v>
      </c>
      <c r="H30" s="594">
        <v>0</v>
      </c>
      <c r="I30" s="594">
        <v>0</v>
      </c>
      <c r="J30" s="594">
        <v>0</v>
      </c>
      <c r="K30" s="594">
        <v>0</v>
      </c>
      <c r="L30" s="594">
        <v>0</v>
      </c>
      <c r="M30" s="594">
        <v>0</v>
      </c>
      <c r="N30" s="595">
        <v>0</v>
      </c>
      <c r="O30" s="596">
        <v>0</v>
      </c>
      <c r="P30" s="597">
        <v>18485.947480503259</v>
      </c>
      <c r="Q30" s="597">
        <v>5174177.559643372</v>
      </c>
      <c r="R30" s="597">
        <v>0</v>
      </c>
      <c r="S30" s="597">
        <v>0</v>
      </c>
      <c r="T30" s="597">
        <v>0</v>
      </c>
      <c r="U30" s="597">
        <v>0</v>
      </c>
      <c r="V30" s="597">
        <v>0</v>
      </c>
      <c r="W30" s="597">
        <v>0</v>
      </c>
      <c r="X30" s="597">
        <v>0</v>
      </c>
      <c r="Y30" s="597">
        <v>0</v>
      </c>
      <c r="Z30" s="598">
        <v>0</v>
      </c>
      <c r="AA30" s="599">
        <v>400557.3093787409</v>
      </c>
      <c r="AB30" s="597">
        <v>153430.36798647844</v>
      </c>
      <c r="AC30" s="597">
        <v>0</v>
      </c>
      <c r="AD30" s="597">
        <v>0</v>
      </c>
      <c r="AE30" s="597">
        <v>0</v>
      </c>
      <c r="AF30" s="597">
        <v>0</v>
      </c>
      <c r="AG30" s="597">
        <v>0</v>
      </c>
      <c r="AH30" s="597">
        <v>0</v>
      </c>
      <c r="AI30" s="598">
        <v>0</v>
      </c>
      <c r="AJ30" s="600">
        <v>0</v>
      </c>
      <c r="AK30" s="570"/>
      <c r="AL30" s="571"/>
      <c r="AM30" s="571"/>
      <c r="AN30" s="571"/>
      <c r="AO30" s="571"/>
      <c r="AP30" s="572"/>
      <c r="AQ30" s="570"/>
      <c r="AR30" s="571"/>
      <c r="AS30" s="573"/>
      <c r="AT30" s="573"/>
      <c r="AU30" s="573"/>
      <c r="AV30" s="573"/>
      <c r="AW30" s="573"/>
      <c r="AX30" s="573"/>
      <c r="AY30" s="573"/>
      <c r="AZ30" s="572"/>
      <c r="BA30" s="601">
        <v>88571279.748913333</v>
      </c>
      <c r="BB30" s="602">
        <v>72466262.89056538</v>
      </c>
      <c r="BC30" s="603">
        <v>20794129.276364595</v>
      </c>
      <c r="BD30" s="604">
        <v>9107203.9912236482</v>
      </c>
      <c r="BE30" s="605">
        <v>0</v>
      </c>
      <c r="BF30" s="605">
        <v>0</v>
      </c>
      <c r="BG30" s="606">
        <v>0</v>
      </c>
      <c r="BH30" s="607">
        <v>6645686.2811371237</v>
      </c>
      <c r="BI30" s="605">
        <v>0</v>
      </c>
      <c r="BJ30" s="605">
        <v>0</v>
      </c>
      <c r="BK30" s="608">
        <v>0</v>
      </c>
      <c r="BL30" s="604">
        <v>24246102.30286324</v>
      </c>
      <c r="BM30" s="609">
        <v>0</v>
      </c>
      <c r="BN30" s="605">
        <v>0</v>
      </c>
      <c r="BO30" s="605">
        <v>0</v>
      </c>
      <c r="BP30" s="605">
        <v>7194.4537252670889</v>
      </c>
      <c r="BQ30" s="605">
        <v>0</v>
      </c>
      <c r="BR30" s="606">
        <v>406867.60831795365</v>
      </c>
      <c r="BS30" s="610">
        <v>3098209.0677272519</v>
      </c>
      <c r="BT30" s="604">
        <v>-11659.999999999998</v>
      </c>
      <c r="BU30" s="605">
        <v>0</v>
      </c>
      <c r="BV30" s="584"/>
      <c r="BW30" s="584"/>
      <c r="BX30" s="585"/>
      <c r="BY30" s="586"/>
      <c r="BZ30" s="587"/>
      <c r="CA30" s="587"/>
      <c r="CB30" s="588"/>
      <c r="CC30" s="589"/>
      <c r="CD30" s="587"/>
      <c r="CE30" s="587"/>
      <c r="CF30" s="587"/>
      <c r="CG30" s="588"/>
      <c r="CH30" s="611">
        <v>13668238.59124049</v>
      </c>
      <c r="CI30" s="591"/>
      <c r="CJ30" s="584"/>
      <c r="CK30" s="584"/>
      <c r="CL30" s="584"/>
      <c r="CM30" s="592"/>
      <c r="CN30" s="593"/>
      <c r="CO30" s="584"/>
      <c r="CP30" s="584"/>
      <c r="CQ30" s="585"/>
    </row>
    <row r="31" spans="1:95" ht="15.75" thickBot="1">
      <c r="A31" s="425"/>
      <c r="B31" s="561">
        <v>2010</v>
      </c>
      <c r="C31" s="562">
        <v>0</v>
      </c>
      <c r="D31" s="594">
        <v>0</v>
      </c>
      <c r="E31" s="594">
        <v>0</v>
      </c>
      <c r="F31" s="594">
        <v>0</v>
      </c>
      <c r="G31" s="594">
        <v>0</v>
      </c>
      <c r="H31" s="594">
        <v>0</v>
      </c>
      <c r="I31" s="594">
        <v>0</v>
      </c>
      <c r="J31" s="594">
        <v>0</v>
      </c>
      <c r="K31" s="594">
        <v>0</v>
      </c>
      <c r="L31" s="594">
        <v>0</v>
      </c>
      <c r="M31" s="594">
        <v>0</v>
      </c>
      <c r="N31" s="595">
        <v>0</v>
      </c>
      <c r="O31" s="596">
        <v>0</v>
      </c>
      <c r="P31" s="597">
        <v>18855.666430113324</v>
      </c>
      <c r="Q31" s="597">
        <v>5277661.1108362395</v>
      </c>
      <c r="R31" s="597">
        <v>0</v>
      </c>
      <c r="S31" s="597">
        <v>0</v>
      </c>
      <c r="T31" s="597">
        <v>0</v>
      </c>
      <c r="U31" s="597">
        <v>0</v>
      </c>
      <c r="V31" s="597">
        <v>0</v>
      </c>
      <c r="W31" s="597">
        <v>0</v>
      </c>
      <c r="X31" s="597">
        <v>0</v>
      </c>
      <c r="Y31" s="597">
        <v>0</v>
      </c>
      <c r="Z31" s="598">
        <v>0</v>
      </c>
      <c r="AA31" s="599">
        <v>408568.45556631574</v>
      </c>
      <c r="AB31" s="597">
        <v>156498.975346208</v>
      </c>
      <c r="AC31" s="597">
        <v>0</v>
      </c>
      <c r="AD31" s="597">
        <v>0</v>
      </c>
      <c r="AE31" s="597">
        <v>0</v>
      </c>
      <c r="AF31" s="597">
        <v>0</v>
      </c>
      <c r="AG31" s="597">
        <v>0</v>
      </c>
      <c r="AH31" s="597">
        <v>0</v>
      </c>
      <c r="AI31" s="598">
        <v>0</v>
      </c>
      <c r="AJ31" s="600">
        <v>0</v>
      </c>
      <c r="AK31" s="570"/>
      <c r="AL31" s="571"/>
      <c r="AM31" s="571"/>
      <c r="AN31" s="571"/>
      <c r="AO31" s="571"/>
      <c r="AP31" s="572"/>
      <c r="AQ31" s="570"/>
      <c r="AR31" s="571"/>
      <c r="AS31" s="573"/>
      <c r="AT31" s="573"/>
      <c r="AU31" s="573"/>
      <c r="AV31" s="573"/>
      <c r="AW31" s="573"/>
      <c r="AX31" s="573"/>
      <c r="AY31" s="573"/>
      <c r="AZ31" s="572"/>
      <c r="BA31" s="601">
        <v>90342705.343891606</v>
      </c>
      <c r="BB31" s="601">
        <v>73915588.148376688</v>
      </c>
      <c r="BC31" s="601">
        <v>21210011.861891888</v>
      </c>
      <c r="BD31" s="604">
        <v>9289348.0710481219</v>
      </c>
      <c r="BE31" s="605">
        <v>0</v>
      </c>
      <c r="BF31" s="605">
        <v>0</v>
      </c>
      <c r="BG31" s="606">
        <v>0</v>
      </c>
      <c r="BH31" s="607">
        <v>6778600.0067598671</v>
      </c>
      <c r="BI31" s="605">
        <v>0</v>
      </c>
      <c r="BJ31" s="605">
        <v>0</v>
      </c>
      <c r="BK31" s="608">
        <v>0</v>
      </c>
      <c r="BL31" s="604">
        <v>24731024.348920505</v>
      </c>
      <c r="BM31" s="609">
        <v>0</v>
      </c>
      <c r="BN31" s="605">
        <v>0</v>
      </c>
      <c r="BO31" s="605">
        <v>0</v>
      </c>
      <c r="BP31" s="605">
        <v>7338.3427997724311</v>
      </c>
      <c r="BQ31" s="605">
        <v>0</v>
      </c>
      <c r="BR31" s="606">
        <v>0</v>
      </c>
      <c r="BS31" s="610">
        <v>3160173.249081797</v>
      </c>
      <c r="BT31" s="604">
        <v>-11893.199999999999</v>
      </c>
      <c r="BU31" s="605">
        <v>0</v>
      </c>
      <c r="BV31" s="584"/>
      <c r="BW31" s="584"/>
      <c r="BX31" s="585"/>
      <c r="BY31" s="586"/>
      <c r="BZ31" s="587"/>
      <c r="CA31" s="587"/>
      <c r="CB31" s="588"/>
      <c r="CC31" s="589"/>
      <c r="CD31" s="587"/>
      <c r="CE31" s="587"/>
      <c r="CF31" s="587"/>
      <c r="CG31" s="588"/>
      <c r="CH31" s="611">
        <v>13941603.363065301</v>
      </c>
      <c r="CI31" s="591"/>
      <c r="CJ31" s="584"/>
      <c r="CK31" s="584"/>
      <c r="CL31" s="584"/>
      <c r="CM31" s="592"/>
      <c r="CN31" s="593"/>
      <c r="CO31" s="584"/>
      <c r="CP31" s="584"/>
      <c r="CQ31" s="585"/>
    </row>
    <row r="32" spans="1:95" ht="15.75" thickBot="1">
      <c r="A32" s="425"/>
      <c r="B32" s="561">
        <v>2011</v>
      </c>
      <c r="C32" s="562">
        <v>0</v>
      </c>
      <c r="D32" s="594">
        <v>0</v>
      </c>
      <c r="E32" s="594">
        <v>0</v>
      </c>
      <c r="F32" s="594">
        <v>0</v>
      </c>
      <c r="G32" s="594">
        <v>0</v>
      </c>
      <c r="H32" s="594">
        <v>0</v>
      </c>
      <c r="I32" s="594">
        <v>0</v>
      </c>
      <c r="J32" s="594">
        <v>0</v>
      </c>
      <c r="K32" s="594">
        <v>0</v>
      </c>
      <c r="L32" s="594">
        <v>0</v>
      </c>
      <c r="M32" s="594">
        <v>0</v>
      </c>
      <c r="N32" s="595">
        <v>0</v>
      </c>
      <c r="O32" s="596">
        <v>0</v>
      </c>
      <c r="P32" s="597">
        <v>19232.779758715591</v>
      </c>
      <c r="Q32" s="597">
        <v>5383214.3330529649</v>
      </c>
      <c r="R32" s="597">
        <v>0</v>
      </c>
      <c r="S32" s="597">
        <v>0</v>
      </c>
      <c r="T32" s="597">
        <v>0</v>
      </c>
      <c r="U32" s="597">
        <v>0</v>
      </c>
      <c r="V32" s="597">
        <v>0</v>
      </c>
      <c r="W32" s="597">
        <v>0</v>
      </c>
      <c r="X32" s="597">
        <v>0</v>
      </c>
      <c r="Y32" s="597">
        <v>0</v>
      </c>
      <c r="Z32" s="598">
        <v>0</v>
      </c>
      <c r="AA32" s="599">
        <v>416739.82467764209</v>
      </c>
      <c r="AB32" s="597">
        <v>159628.95485313216</v>
      </c>
      <c r="AC32" s="597">
        <v>0</v>
      </c>
      <c r="AD32" s="597">
        <v>0</v>
      </c>
      <c r="AE32" s="597">
        <v>0</v>
      </c>
      <c r="AF32" s="597">
        <v>0</v>
      </c>
      <c r="AG32" s="597">
        <v>0</v>
      </c>
      <c r="AH32" s="597">
        <v>0</v>
      </c>
      <c r="AI32" s="598">
        <v>0</v>
      </c>
      <c r="AJ32" s="600">
        <v>0</v>
      </c>
      <c r="AK32" s="570"/>
      <c r="AL32" s="571"/>
      <c r="AM32" s="571"/>
      <c r="AN32" s="571"/>
      <c r="AO32" s="571"/>
      <c r="AP32" s="572"/>
      <c r="AQ32" s="570"/>
      <c r="AR32" s="571"/>
      <c r="AS32" s="573"/>
      <c r="AT32" s="573"/>
      <c r="AU32" s="573"/>
      <c r="AV32" s="573"/>
      <c r="AW32" s="573"/>
      <c r="AX32" s="573"/>
      <c r="AY32" s="573"/>
      <c r="AZ32" s="572"/>
      <c r="BA32" s="601">
        <v>92149559.450769439</v>
      </c>
      <c r="BB32" s="601">
        <v>75393899.91134423</v>
      </c>
      <c r="BC32" s="601">
        <v>21634212.099129725</v>
      </c>
      <c r="BD32" s="604">
        <v>9475135.0324690826</v>
      </c>
      <c r="BE32" s="605">
        <v>0</v>
      </c>
      <c r="BF32" s="605">
        <v>0</v>
      </c>
      <c r="BG32" s="606">
        <v>0</v>
      </c>
      <c r="BH32" s="607">
        <v>6914172.0068950653</v>
      </c>
      <c r="BI32" s="605">
        <v>0</v>
      </c>
      <c r="BJ32" s="605">
        <v>0</v>
      </c>
      <c r="BK32" s="608">
        <v>0</v>
      </c>
      <c r="BL32" s="604">
        <v>25225644.835898917</v>
      </c>
      <c r="BM32" s="609">
        <v>0</v>
      </c>
      <c r="BN32" s="605">
        <v>0</v>
      </c>
      <c r="BO32" s="605">
        <v>0</v>
      </c>
      <c r="BP32" s="605">
        <v>7485.1096557678802</v>
      </c>
      <c r="BQ32" s="605">
        <v>0</v>
      </c>
      <c r="BR32" s="606">
        <v>0</v>
      </c>
      <c r="BS32" s="610">
        <v>3223376.714063433</v>
      </c>
      <c r="BT32" s="604">
        <v>-12131.064</v>
      </c>
      <c r="BU32" s="605">
        <v>0</v>
      </c>
      <c r="BV32" s="584"/>
      <c r="BW32" s="584"/>
      <c r="BX32" s="585"/>
      <c r="BY32" s="586"/>
      <c r="BZ32" s="587"/>
      <c r="CA32" s="587"/>
      <c r="CB32" s="588"/>
      <c r="CC32" s="589"/>
      <c r="CD32" s="587"/>
      <c r="CE32" s="587"/>
      <c r="CF32" s="587"/>
      <c r="CG32" s="588"/>
      <c r="CH32" s="611">
        <v>14220435.430326609</v>
      </c>
      <c r="CI32" s="591"/>
      <c r="CJ32" s="584"/>
      <c r="CK32" s="584"/>
      <c r="CL32" s="584"/>
      <c r="CM32" s="592"/>
      <c r="CN32" s="593"/>
      <c r="CO32" s="584"/>
      <c r="CP32" s="584"/>
      <c r="CQ32" s="585"/>
    </row>
    <row r="33" spans="1:95" ht="15.75" thickBot="1">
      <c r="A33" s="425"/>
      <c r="B33" s="561">
        <v>2012</v>
      </c>
      <c r="C33" s="562">
        <v>0</v>
      </c>
      <c r="D33" s="594">
        <v>0</v>
      </c>
      <c r="E33" s="594">
        <v>0</v>
      </c>
      <c r="F33" s="594">
        <v>0</v>
      </c>
      <c r="G33" s="594">
        <v>0</v>
      </c>
      <c r="H33" s="594">
        <v>0</v>
      </c>
      <c r="I33" s="594">
        <v>0</v>
      </c>
      <c r="J33" s="594">
        <v>0</v>
      </c>
      <c r="K33" s="594">
        <v>0</v>
      </c>
      <c r="L33" s="594">
        <v>0</v>
      </c>
      <c r="M33" s="594">
        <v>0</v>
      </c>
      <c r="N33" s="595">
        <v>0</v>
      </c>
      <c r="O33" s="596">
        <v>0</v>
      </c>
      <c r="P33" s="597">
        <v>19617.435353889905</v>
      </c>
      <c r="Q33" s="597">
        <v>5490878.6197140245</v>
      </c>
      <c r="R33" s="597">
        <v>0</v>
      </c>
      <c r="S33" s="597">
        <v>0</v>
      </c>
      <c r="T33" s="597">
        <v>0</v>
      </c>
      <c r="U33" s="597">
        <v>0</v>
      </c>
      <c r="V33" s="597">
        <v>0</v>
      </c>
      <c r="W33" s="597">
        <v>0</v>
      </c>
      <c r="X33" s="597">
        <v>0</v>
      </c>
      <c r="Y33" s="597">
        <v>0</v>
      </c>
      <c r="Z33" s="598">
        <v>0</v>
      </c>
      <c r="AA33" s="599">
        <v>425074.62117119489</v>
      </c>
      <c r="AB33" s="597">
        <v>162821.53395019483</v>
      </c>
      <c r="AC33" s="597">
        <v>0</v>
      </c>
      <c r="AD33" s="597">
        <v>0</v>
      </c>
      <c r="AE33" s="597">
        <v>0</v>
      </c>
      <c r="AF33" s="597">
        <v>0</v>
      </c>
      <c r="AG33" s="597">
        <v>0</v>
      </c>
      <c r="AH33" s="597">
        <v>0</v>
      </c>
      <c r="AI33" s="598">
        <v>0</v>
      </c>
      <c r="AJ33" s="600">
        <v>0</v>
      </c>
      <c r="AK33" s="570"/>
      <c r="AL33" s="571"/>
      <c r="AM33" s="571"/>
      <c r="AN33" s="571"/>
      <c r="AO33" s="571"/>
      <c r="AP33" s="572"/>
      <c r="AQ33" s="570"/>
      <c r="AR33" s="571"/>
      <c r="AS33" s="573"/>
      <c r="AT33" s="573"/>
      <c r="AU33" s="573"/>
      <c r="AV33" s="573"/>
      <c r="AW33" s="573"/>
      <c r="AX33" s="573"/>
      <c r="AY33" s="573"/>
      <c r="AZ33" s="572"/>
      <c r="BA33" s="601">
        <v>93992550.639784828</v>
      </c>
      <c r="BB33" s="601">
        <v>76901777.909571111</v>
      </c>
      <c r="BC33" s="601">
        <v>22066896.341112319</v>
      </c>
      <c r="BD33" s="604">
        <v>9664637.7331184652</v>
      </c>
      <c r="BE33" s="605">
        <v>0</v>
      </c>
      <c r="BF33" s="605">
        <v>0</v>
      </c>
      <c r="BG33" s="606">
        <v>0</v>
      </c>
      <c r="BH33" s="607">
        <v>7052455.4470329676</v>
      </c>
      <c r="BI33" s="605">
        <v>0</v>
      </c>
      <c r="BJ33" s="605">
        <v>0</v>
      </c>
      <c r="BK33" s="608">
        <v>0</v>
      </c>
      <c r="BL33" s="604">
        <v>25730157.732616894</v>
      </c>
      <c r="BM33" s="609">
        <v>0</v>
      </c>
      <c r="BN33" s="605">
        <v>0</v>
      </c>
      <c r="BO33" s="605">
        <v>0</v>
      </c>
      <c r="BP33" s="605">
        <v>7634.811848883237</v>
      </c>
      <c r="BQ33" s="605">
        <v>0</v>
      </c>
      <c r="BR33" s="606">
        <v>0</v>
      </c>
      <c r="BS33" s="610">
        <v>3287844.2483447017</v>
      </c>
      <c r="BT33" s="604">
        <v>-12373.68528</v>
      </c>
      <c r="BU33" s="605">
        <v>0</v>
      </c>
      <c r="BV33" s="584"/>
      <c r="BW33" s="584"/>
      <c r="BX33" s="585"/>
      <c r="BY33" s="586"/>
      <c r="BZ33" s="587"/>
      <c r="CA33" s="587"/>
      <c r="CB33" s="588"/>
      <c r="CC33" s="589"/>
      <c r="CD33" s="587"/>
      <c r="CE33" s="587"/>
      <c r="CF33" s="587"/>
      <c r="CG33" s="588"/>
      <c r="CH33" s="611">
        <v>14504844.138933141</v>
      </c>
      <c r="CI33" s="591"/>
      <c r="CJ33" s="584"/>
      <c r="CK33" s="584"/>
      <c r="CL33" s="584"/>
      <c r="CM33" s="592"/>
      <c r="CN33" s="593"/>
      <c r="CO33" s="584"/>
      <c r="CP33" s="584"/>
      <c r="CQ33" s="585"/>
    </row>
    <row r="34" spans="1:95" ht="15.75" thickBot="1">
      <c r="A34" s="425"/>
      <c r="B34" s="561">
        <v>2013</v>
      </c>
      <c r="C34" s="562">
        <v>0</v>
      </c>
      <c r="D34" s="594">
        <v>0</v>
      </c>
      <c r="E34" s="594">
        <v>0</v>
      </c>
      <c r="F34" s="594">
        <v>0</v>
      </c>
      <c r="G34" s="594">
        <v>0</v>
      </c>
      <c r="H34" s="594">
        <v>0</v>
      </c>
      <c r="I34" s="594">
        <v>0</v>
      </c>
      <c r="J34" s="594">
        <v>0</v>
      </c>
      <c r="K34" s="594">
        <v>0</v>
      </c>
      <c r="L34" s="594">
        <v>0</v>
      </c>
      <c r="M34" s="594">
        <v>0</v>
      </c>
      <c r="N34" s="595">
        <v>0</v>
      </c>
      <c r="O34" s="596">
        <v>0</v>
      </c>
      <c r="P34" s="597">
        <v>20009.7840609677</v>
      </c>
      <c r="Q34" s="597">
        <v>5600696.1921083052</v>
      </c>
      <c r="R34" s="597">
        <v>0</v>
      </c>
      <c r="S34" s="597">
        <v>0</v>
      </c>
      <c r="T34" s="597">
        <v>0</v>
      </c>
      <c r="U34" s="597">
        <v>0</v>
      </c>
      <c r="V34" s="597">
        <v>0</v>
      </c>
      <c r="W34" s="597">
        <v>0</v>
      </c>
      <c r="X34" s="597">
        <v>0</v>
      </c>
      <c r="Y34" s="597">
        <v>0</v>
      </c>
      <c r="Z34" s="598">
        <v>0</v>
      </c>
      <c r="AA34" s="599">
        <v>433576.11359461874</v>
      </c>
      <c r="AB34" s="597">
        <v>166077.96462919869</v>
      </c>
      <c r="AC34" s="597">
        <v>0</v>
      </c>
      <c r="AD34" s="597">
        <v>0</v>
      </c>
      <c r="AE34" s="597">
        <v>0</v>
      </c>
      <c r="AF34" s="597">
        <v>0</v>
      </c>
      <c r="AG34" s="597">
        <v>0</v>
      </c>
      <c r="AH34" s="597">
        <v>0</v>
      </c>
      <c r="AI34" s="598">
        <v>0</v>
      </c>
      <c r="AJ34" s="600">
        <v>0</v>
      </c>
      <c r="AK34" s="570"/>
      <c r="AL34" s="571"/>
      <c r="AM34" s="571"/>
      <c r="AN34" s="571"/>
      <c r="AO34" s="571"/>
      <c r="AP34" s="572"/>
      <c r="AQ34" s="570"/>
      <c r="AR34" s="571"/>
      <c r="AS34" s="573"/>
      <c r="AT34" s="573"/>
      <c r="AU34" s="573"/>
      <c r="AV34" s="573"/>
      <c r="AW34" s="573"/>
      <c r="AX34" s="573"/>
      <c r="AY34" s="573"/>
      <c r="AZ34" s="572"/>
      <c r="BA34" s="601">
        <v>95872401.652580529</v>
      </c>
      <c r="BB34" s="601">
        <v>78439813.46776253</v>
      </c>
      <c r="BC34" s="601">
        <v>22508234.267934568</v>
      </c>
      <c r="BD34" s="604">
        <v>9857930.4877808355</v>
      </c>
      <c r="BE34" s="605">
        <v>0</v>
      </c>
      <c r="BF34" s="605">
        <v>0</v>
      </c>
      <c r="BG34" s="606">
        <v>0</v>
      </c>
      <c r="BH34" s="607">
        <v>7193504.5559736276</v>
      </c>
      <c r="BI34" s="605">
        <v>0</v>
      </c>
      <c r="BJ34" s="605">
        <v>0</v>
      </c>
      <c r="BK34" s="608">
        <v>0</v>
      </c>
      <c r="BL34" s="604">
        <v>26244760.887269229</v>
      </c>
      <c r="BM34" s="609">
        <v>0</v>
      </c>
      <c r="BN34" s="605">
        <v>0</v>
      </c>
      <c r="BO34" s="605">
        <v>0</v>
      </c>
      <c r="BP34" s="605">
        <v>7787.5080858609017</v>
      </c>
      <c r="BQ34" s="605">
        <v>0</v>
      </c>
      <c r="BR34" s="606">
        <v>0</v>
      </c>
      <c r="BS34" s="610">
        <v>3353601.1333115962</v>
      </c>
      <c r="BT34" s="604">
        <v>-12621.158985599999</v>
      </c>
      <c r="BU34" s="605">
        <v>0</v>
      </c>
      <c r="BV34" s="584"/>
      <c r="BW34" s="584"/>
      <c r="BX34" s="585"/>
      <c r="BY34" s="586"/>
      <c r="BZ34" s="587"/>
      <c r="CA34" s="587"/>
      <c r="CB34" s="588"/>
      <c r="CC34" s="589"/>
      <c r="CD34" s="587"/>
      <c r="CE34" s="587"/>
      <c r="CF34" s="587"/>
      <c r="CG34" s="588"/>
      <c r="CH34" s="611">
        <v>14794941.021711802</v>
      </c>
      <c r="CI34" s="591"/>
      <c r="CJ34" s="584"/>
      <c r="CK34" s="584"/>
      <c r="CL34" s="584"/>
      <c r="CM34" s="592"/>
      <c r="CN34" s="593"/>
      <c r="CO34" s="584"/>
      <c r="CP34" s="584"/>
      <c r="CQ34" s="585"/>
    </row>
    <row r="35" spans="1:95" ht="15.75" thickBot="1">
      <c r="A35" s="425"/>
      <c r="B35" s="561">
        <v>2014</v>
      </c>
      <c r="C35" s="562">
        <v>0</v>
      </c>
      <c r="D35" s="594">
        <v>0</v>
      </c>
      <c r="E35" s="594">
        <v>0</v>
      </c>
      <c r="F35" s="594">
        <v>0</v>
      </c>
      <c r="G35" s="594">
        <v>0</v>
      </c>
      <c r="H35" s="594">
        <v>0</v>
      </c>
      <c r="I35" s="594">
        <v>0</v>
      </c>
      <c r="J35" s="594">
        <v>0</v>
      </c>
      <c r="K35" s="594">
        <v>0</v>
      </c>
      <c r="L35" s="594">
        <v>0</v>
      </c>
      <c r="M35" s="594">
        <v>0</v>
      </c>
      <c r="N35" s="595">
        <v>0</v>
      </c>
      <c r="O35" s="596">
        <v>0</v>
      </c>
      <c r="P35" s="597">
        <v>20409.979742187053</v>
      </c>
      <c r="Q35" s="597">
        <v>5712710.1159504708</v>
      </c>
      <c r="R35" s="597">
        <v>0</v>
      </c>
      <c r="S35" s="597">
        <v>0</v>
      </c>
      <c r="T35" s="597">
        <v>0</v>
      </c>
      <c r="U35" s="597">
        <v>0</v>
      </c>
      <c r="V35" s="597">
        <v>0</v>
      </c>
      <c r="W35" s="597">
        <v>0</v>
      </c>
      <c r="X35" s="597">
        <v>0</v>
      </c>
      <c r="Y35" s="597">
        <v>0</v>
      </c>
      <c r="Z35" s="598">
        <v>0</v>
      </c>
      <c r="AA35" s="599">
        <v>442247.63586651115</v>
      </c>
      <c r="AB35" s="597">
        <v>169399.5239217827</v>
      </c>
      <c r="AC35" s="597">
        <v>0</v>
      </c>
      <c r="AD35" s="597">
        <v>0</v>
      </c>
      <c r="AE35" s="597">
        <v>0</v>
      </c>
      <c r="AF35" s="597">
        <v>0</v>
      </c>
      <c r="AG35" s="597">
        <v>0</v>
      </c>
      <c r="AH35" s="597">
        <v>0</v>
      </c>
      <c r="AI35" s="598">
        <v>0</v>
      </c>
      <c r="AJ35" s="600">
        <v>0</v>
      </c>
      <c r="AK35" s="570"/>
      <c r="AL35" s="571"/>
      <c r="AM35" s="571"/>
      <c r="AN35" s="571"/>
      <c r="AO35" s="571"/>
      <c r="AP35" s="572"/>
      <c r="AQ35" s="570"/>
      <c r="AR35" s="571"/>
      <c r="AS35" s="573"/>
      <c r="AT35" s="573"/>
      <c r="AU35" s="573"/>
      <c r="AV35" s="573"/>
      <c r="AW35" s="573"/>
      <c r="AX35" s="573"/>
      <c r="AY35" s="573"/>
      <c r="AZ35" s="572"/>
      <c r="BA35" s="601">
        <v>97789849.685632154</v>
      </c>
      <c r="BB35" s="601">
        <v>80008609.737117782</v>
      </c>
      <c r="BC35" s="601">
        <v>22958398.953293256</v>
      </c>
      <c r="BD35" s="604">
        <v>10055089.097536452</v>
      </c>
      <c r="BE35" s="605">
        <v>0</v>
      </c>
      <c r="BF35" s="605">
        <v>0</v>
      </c>
      <c r="BG35" s="606">
        <v>0</v>
      </c>
      <c r="BH35" s="607">
        <v>7337374.6470931005</v>
      </c>
      <c r="BI35" s="605">
        <v>0</v>
      </c>
      <c r="BJ35" s="605">
        <v>0</v>
      </c>
      <c r="BK35" s="608">
        <v>0</v>
      </c>
      <c r="BL35" s="604">
        <v>26769656.105014615</v>
      </c>
      <c r="BM35" s="609">
        <v>0</v>
      </c>
      <c r="BN35" s="605">
        <v>0</v>
      </c>
      <c r="BO35" s="605">
        <v>0</v>
      </c>
      <c r="BP35" s="605">
        <v>7943.2582475781201</v>
      </c>
      <c r="BQ35" s="605">
        <v>0</v>
      </c>
      <c r="BR35" s="606">
        <v>0</v>
      </c>
      <c r="BS35" s="610">
        <v>3420673.1559778284</v>
      </c>
      <c r="BT35" s="604">
        <v>-12873.582165312</v>
      </c>
      <c r="BU35" s="605">
        <v>0</v>
      </c>
      <c r="BV35" s="584"/>
      <c r="BW35" s="584"/>
      <c r="BX35" s="585"/>
      <c r="BY35" s="586"/>
      <c r="BZ35" s="587"/>
      <c r="CA35" s="587"/>
      <c r="CB35" s="588"/>
      <c r="CC35" s="589"/>
      <c r="CD35" s="587"/>
      <c r="CE35" s="587"/>
      <c r="CF35" s="587"/>
      <c r="CG35" s="588"/>
      <c r="CH35" s="611">
        <v>15090839.842146039</v>
      </c>
      <c r="CI35" s="591"/>
      <c r="CJ35" s="584"/>
      <c r="CK35" s="584"/>
      <c r="CL35" s="584"/>
      <c r="CM35" s="592"/>
      <c r="CN35" s="593"/>
      <c r="CO35" s="584"/>
      <c r="CP35" s="584"/>
      <c r="CQ35" s="585"/>
    </row>
    <row r="36" spans="1:95" ht="15.75" thickBot="1">
      <c r="A36" s="425"/>
      <c r="B36" s="561">
        <v>2015</v>
      </c>
      <c r="C36" s="562">
        <v>0</v>
      </c>
      <c r="D36" s="594">
        <v>0</v>
      </c>
      <c r="E36" s="594">
        <v>0</v>
      </c>
      <c r="F36" s="594">
        <v>0</v>
      </c>
      <c r="G36" s="594">
        <v>0</v>
      </c>
      <c r="H36" s="594">
        <v>0</v>
      </c>
      <c r="I36" s="594">
        <v>0</v>
      </c>
      <c r="J36" s="594">
        <v>0</v>
      </c>
      <c r="K36" s="594">
        <v>0</v>
      </c>
      <c r="L36" s="594">
        <v>0</v>
      </c>
      <c r="M36" s="594">
        <v>0</v>
      </c>
      <c r="N36" s="595">
        <v>0</v>
      </c>
      <c r="O36" s="596">
        <v>0</v>
      </c>
      <c r="P36" s="597">
        <v>20818.179337030797</v>
      </c>
      <c r="Q36" s="597">
        <v>5826964.31826948</v>
      </c>
      <c r="R36" s="597">
        <v>0</v>
      </c>
      <c r="S36" s="597">
        <v>0</v>
      </c>
      <c r="T36" s="597">
        <v>0</v>
      </c>
      <c r="U36" s="597">
        <v>0</v>
      </c>
      <c r="V36" s="597">
        <v>0</v>
      </c>
      <c r="W36" s="597">
        <v>0</v>
      </c>
      <c r="X36" s="597">
        <v>0</v>
      </c>
      <c r="Y36" s="597">
        <v>0</v>
      </c>
      <c r="Z36" s="598">
        <v>0</v>
      </c>
      <c r="AA36" s="599">
        <v>451092.58858384145</v>
      </c>
      <c r="AB36" s="597">
        <v>172787.51440021835</v>
      </c>
      <c r="AC36" s="597">
        <v>0</v>
      </c>
      <c r="AD36" s="597">
        <v>0</v>
      </c>
      <c r="AE36" s="597">
        <v>0</v>
      </c>
      <c r="AF36" s="597">
        <v>0</v>
      </c>
      <c r="AG36" s="597">
        <v>0</v>
      </c>
      <c r="AH36" s="597">
        <v>0</v>
      </c>
      <c r="AI36" s="598">
        <v>0</v>
      </c>
      <c r="AJ36" s="600">
        <v>0</v>
      </c>
      <c r="AK36" s="570"/>
      <c r="AL36" s="571"/>
      <c r="AM36" s="571"/>
      <c r="AN36" s="571"/>
      <c r="AO36" s="571"/>
      <c r="AP36" s="572"/>
      <c r="AQ36" s="570"/>
      <c r="AR36" s="571"/>
      <c r="AS36" s="573"/>
      <c r="AT36" s="573"/>
      <c r="AU36" s="573"/>
      <c r="AV36" s="573"/>
      <c r="AW36" s="573"/>
      <c r="AX36" s="573"/>
      <c r="AY36" s="573"/>
      <c r="AZ36" s="572"/>
      <c r="BA36" s="601">
        <v>99745646.679344788</v>
      </c>
      <c r="BB36" s="601">
        <v>81608781.931860134</v>
      </c>
      <c r="BC36" s="601">
        <v>23417566.932359122</v>
      </c>
      <c r="BD36" s="604">
        <v>10256190.879487181</v>
      </c>
      <c r="BE36" s="605">
        <v>0</v>
      </c>
      <c r="BF36" s="605">
        <v>0</v>
      </c>
      <c r="BG36" s="606">
        <v>0</v>
      </c>
      <c r="BH36" s="607">
        <v>7484122.1400349624</v>
      </c>
      <c r="BI36" s="605">
        <v>0</v>
      </c>
      <c r="BJ36" s="605">
        <v>0</v>
      </c>
      <c r="BK36" s="608">
        <v>0</v>
      </c>
      <c r="BL36" s="604">
        <v>27305049.227114905</v>
      </c>
      <c r="BM36" s="609">
        <v>0</v>
      </c>
      <c r="BN36" s="605">
        <v>0</v>
      </c>
      <c r="BO36" s="605">
        <v>0</v>
      </c>
      <c r="BP36" s="605">
        <v>8102.1234125296824</v>
      </c>
      <c r="BQ36" s="605">
        <v>0</v>
      </c>
      <c r="BR36" s="606">
        <v>0</v>
      </c>
      <c r="BS36" s="610">
        <v>3489086.6190973851</v>
      </c>
      <c r="BT36" s="604">
        <v>-13131.053808618241</v>
      </c>
      <c r="BU36" s="605">
        <v>0</v>
      </c>
      <c r="BV36" s="584"/>
      <c r="BW36" s="584"/>
      <c r="BX36" s="585"/>
      <c r="BY36" s="586"/>
      <c r="BZ36" s="587"/>
      <c r="CA36" s="587"/>
      <c r="CB36" s="588"/>
      <c r="CC36" s="589"/>
      <c r="CD36" s="587"/>
      <c r="CE36" s="587"/>
      <c r="CF36" s="587"/>
      <c r="CG36" s="588"/>
      <c r="CH36" s="611">
        <v>15392656.638988961</v>
      </c>
      <c r="CI36" s="591"/>
      <c r="CJ36" s="584"/>
      <c r="CK36" s="584"/>
      <c r="CL36" s="584"/>
      <c r="CM36" s="592"/>
      <c r="CN36" s="593"/>
      <c r="CO36" s="584"/>
      <c r="CP36" s="584"/>
      <c r="CQ36" s="585"/>
    </row>
  </sheetData>
  <mergeCells count="1">
    <mergeCell ref="BS7:BS8"/>
  </mergeCells>
  <pageMargins left="0.7" right="0.7" top="0.75" bottom="0.75" header="0.3" footer="0.3"/>
</worksheet>
</file>

<file path=xl/worksheets/sheet60.xml><?xml version="1.0" encoding="utf-8"?>
<worksheet xmlns="http://schemas.openxmlformats.org/spreadsheetml/2006/main" xmlns:r="http://schemas.openxmlformats.org/officeDocument/2006/relationships">
  <sheetPr codeName="Sheet97"/>
  <dimension ref="A1:AF45"/>
  <sheetViews>
    <sheetView workbookViewId="0">
      <selection activeCell="C3" sqref="C3"/>
    </sheetView>
  </sheetViews>
  <sheetFormatPr defaultRowHeight="15"/>
  <cols>
    <col min="1" max="1" width="18.42578125" bestFit="1" customWidth="1"/>
    <col min="2" max="26" width="11.7109375" customWidth="1"/>
  </cols>
  <sheetData>
    <row r="1" spans="1:32">
      <c r="B1" s="322" t="s">
        <v>298</v>
      </c>
      <c r="C1">
        <v>18</v>
      </c>
    </row>
    <row r="2" spans="1:32">
      <c r="B2" s="322" t="s">
        <v>299</v>
      </c>
      <c r="C2">
        <v>22</v>
      </c>
    </row>
    <row r="3" spans="1:32">
      <c r="B3" s="322" t="str">
        <f ca="1">OFFSET(Control!$A$5,COLUMN(A4)-1,0)</f>
        <v>GreenPwr1</v>
      </c>
      <c r="C3" s="322" t="str">
        <f ca="1">OFFSET(Control!$A$5,COLUMN(B4)-1,0)</f>
        <v>GreenPwr2</v>
      </c>
      <c r="D3" s="322" t="str">
        <f ca="1">OFFSET(Control!$A$5,COLUMN(C4)-1,0)</f>
        <v>Wind</v>
      </c>
      <c r="E3" s="322" t="str">
        <f ca="1">OFFSET(Control!$A$5,COLUMN(D4)-1,0)</f>
        <v>ShortECM</v>
      </c>
      <c r="F3" s="322" t="str">
        <f ca="1">OFFSET(Control!$A$5,COLUMN(E4)-1,0)</f>
        <v>MidECM</v>
      </c>
      <c r="G3" s="322" t="str">
        <f ca="1">OFFSET(Control!$A$5,COLUMN(F4)-1,0)</f>
        <v>LongECM</v>
      </c>
      <c r="H3" s="322" t="str">
        <f ca="1">OFFSET(Control!$A$5,COLUMN(G4)-1,0)</f>
        <v>SteamLineImp</v>
      </c>
      <c r="I3" s="322" t="str">
        <f ca="1">OFFSET(Control!$A$5,COLUMN(H4)-1,0)</f>
        <v>UnitaryChiller</v>
      </c>
      <c r="J3" s="322" t="str">
        <f ca="1">OFFSET(Control!$A$5,COLUMN(I4)-1,0)</f>
        <v>GeoExchange</v>
      </c>
      <c r="K3" s="322" t="str">
        <f ca="1">OFFSET(Control!$A$5,COLUMN(J4)-1,0)</f>
        <v>SolarDHW</v>
      </c>
      <c r="L3" s="322" t="str">
        <f ca="1">OFFSET(Control!$A$5,COLUMN(K4)-1,0)</f>
        <v>WasteReduction</v>
      </c>
      <c r="M3" s="322" t="str">
        <f ca="1">OFFSET(Control!$A$5,COLUMN(L4)-1,0)</f>
        <v>DishStirling</v>
      </c>
      <c r="N3" s="322" t="str">
        <f ca="1">OFFSET(Control!$A$5,COLUMN(M4)-1,0)</f>
        <v>Parabolic</v>
      </c>
      <c r="O3" s="322" t="str">
        <f ca="1">OFFSET(Control!$A$5,COLUMN(N4)-1,0)</f>
        <v>GreenIT</v>
      </c>
      <c r="P3" s="322" t="str">
        <f ca="1">OFFSET(Control!$A$5,COLUMN(O4)-1,0)</f>
        <v>GreenBuild</v>
      </c>
      <c r="Q3" s="322" t="str">
        <f ca="1">OFFSET(Control!$A$5,COLUMN(P4)-1,0)</f>
        <v>SpacePlanning</v>
      </c>
      <c r="R3" s="322" t="str">
        <f ca="1">OFFSET(Control!$A$5,COLUMN(Q4)-1,0)</f>
        <v>CHP</v>
      </c>
      <c r="S3" s="322" t="str">
        <f ca="1">OFFSET(Control!$A$5,COLUMN(R4)-1,0)</f>
        <v>CoalToNG</v>
      </c>
      <c r="T3" s="322" t="str">
        <f ca="1">OFFSET(Control!$A$5,COLUMN(S4)-1,0)</f>
        <v>CentralChillerExp</v>
      </c>
      <c r="U3" s="322" t="str">
        <f ca="1">OFFSET(Control!$A$5,COLUMN(T4)-1,0)</f>
        <v>RooftopPV</v>
      </c>
      <c r="V3" s="322" t="str">
        <f ca="1">OFFSET(Control!$A$5,COLUMN(U4)-1,0)</f>
        <v>ReducedAir</v>
      </c>
      <c r="W3" s="322" t="str">
        <f ca="1">OFFSET(Control!$A$5,COLUMN(V4)-1,0)</f>
        <v>ReducedAuto</v>
      </c>
      <c r="X3" s="322" t="str">
        <f ca="1">OFFSET(Control!$A$5,COLUMN(W4)-1,0)</f>
        <v>BehaviorChange</v>
      </c>
      <c r="Y3" s="322">
        <f ca="1">OFFSET(Control!$A$5,COLUMN(X4)-1,0)</f>
        <v>0</v>
      </c>
      <c r="Z3" s="322">
        <f ca="1">OFFSET(Control!$A$5,COLUMN(Y4)-1,0)</f>
        <v>0</v>
      </c>
      <c r="AA3" s="322">
        <f ca="1">OFFSET(Control!$A$5,COLUMN(Z4)-1,0)</f>
        <v>0</v>
      </c>
      <c r="AB3" s="322">
        <f ca="1">OFFSET(Control!$A$5,COLUMN(AA4)-1,0)</f>
        <v>0</v>
      </c>
      <c r="AC3" s="322">
        <f ca="1">OFFSET(Control!$A$5,COLUMN(AB4)-1,0)</f>
        <v>0</v>
      </c>
      <c r="AD3" s="322">
        <f ca="1">OFFSET(Control!$A$5,COLUMN(AC4)-1,0)</f>
        <v>0</v>
      </c>
      <c r="AE3" s="322">
        <f ca="1">OFFSET(Control!$A$5,COLUMN(AD4)-1,0)</f>
        <v>0</v>
      </c>
      <c r="AF3" s="322">
        <f ca="1">OFFSET(Control!$A$5,COLUMN(AE4)-1,0)</f>
        <v>0</v>
      </c>
    </row>
    <row r="4" spans="1:32" ht="29.25" customHeight="1">
      <c r="A4" s="321" t="s">
        <v>303</v>
      </c>
      <c r="B4" s="264" t="str">
        <f ca="1">INDIRECT(B3)</f>
        <v>Green Power Purchase Opt 1 (Partial)</v>
      </c>
      <c r="C4" s="264" t="str">
        <f t="shared" ref="C4:AF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t="shared" ca="1" si="0"/>
        <v>#REF!</v>
      </c>
    </row>
    <row r="5" spans="1:32">
      <c r="A5">
        <v>2010</v>
      </c>
      <c r="B5" s="344">
        <f t="shared" ref="B5:B45" ca="1" si="1">OFFSET(INDIRECT(B$3),$A5-$A$5+$C$1,$C$2)</f>
        <v>0</v>
      </c>
      <c r="C5" s="344">
        <f t="shared" ref="C5:AF13" ca="1" si="2">OFFSET(INDIRECT(C$3),$A5-$A$5+$C$1,$C$2)</f>
        <v>0</v>
      </c>
      <c r="D5" s="344">
        <f t="shared" ca="1" si="2"/>
        <v>0</v>
      </c>
      <c r="E5" s="344">
        <f t="shared" ca="1" si="2"/>
        <v>0</v>
      </c>
      <c r="F5" s="344">
        <f t="shared" ca="1" si="2"/>
        <v>0</v>
      </c>
      <c r="G5" s="344">
        <f t="shared" ca="1" si="2"/>
        <v>0</v>
      </c>
      <c r="H5" s="344">
        <f t="shared" ca="1" si="2"/>
        <v>0</v>
      </c>
      <c r="I5" s="344">
        <f t="shared" ca="1" si="2"/>
        <v>0</v>
      </c>
      <c r="J5" s="344">
        <f t="shared" ca="1" si="2"/>
        <v>0</v>
      </c>
      <c r="K5" s="344">
        <f t="shared" ca="1" si="2"/>
        <v>0</v>
      </c>
      <c r="L5" s="344">
        <f t="shared" ca="1" si="2"/>
        <v>0</v>
      </c>
      <c r="M5" s="344">
        <f t="shared" ca="1" si="2"/>
        <v>0</v>
      </c>
      <c r="N5" s="344">
        <f t="shared" ca="1" si="2"/>
        <v>0</v>
      </c>
      <c r="O5" s="344">
        <f t="shared" ca="1" si="2"/>
        <v>0</v>
      </c>
      <c r="P5" s="344">
        <f t="shared" ca="1" si="2"/>
        <v>0</v>
      </c>
      <c r="Q5" s="344">
        <f t="shared" ca="1" si="2"/>
        <v>0</v>
      </c>
      <c r="R5" s="344">
        <f t="shared" ca="1" si="2"/>
        <v>0</v>
      </c>
      <c r="S5" s="344">
        <f t="shared" ca="1" si="2"/>
        <v>0</v>
      </c>
      <c r="T5" s="344">
        <f t="shared" ca="1" si="2"/>
        <v>0</v>
      </c>
      <c r="U5" s="344">
        <f t="shared" ca="1" si="2"/>
        <v>0</v>
      </c>
      <c r="V5" s="344">
        <f t="shared" ca="1" si="2"/>
        <v>0</v>
      </c>
      <c r="W5" s="344">
        <f t="shared" ca="1" si="2"/>
        <v>0</v>
      </c>
      <c r="X5" s="344">
        <f t="shared" ca="1" si="2"/>
        <v>0</v>
      </c>
      <c r="Y5" s="344" t="e">
        <f t="shared" ca="1" si="2"/>
        <v>#REF!</v>
      </c>
      <c r="Z5" s="344" t="e">
        <f t="shared" ca="1" si="2"/>
        <v>#REF!</v>
      </c>
      <c r="AA5" s="344" t="e">
        <f t="shared" ca="1" si="2"/>
        <v>#REF!</v>
      </c>
      <c r="AB5" s="344" t="e">
        <f t="shared" ca="1" si="2"/>
        <v>#REF!</v>
      </c>
      <c r="AC5" s="344" t="e">
        <f t="shared" ca="1" si="2"/>
        <v>#REF!</v>
      </c>
      <c r="AD5" s="344" t="e">
        <f t="shared" ca="1" si="2"/>
        <v>#REF!</v>
      </c>
      <c r="AE5" s="344" t="e">
        <f t="shared" ca="1" si="2"/>
        <v>#REF!</v>
      </c>
      <c r="AF5" s="344" t="e">
        <f t="shared" ca="1" si="2"/>
        <v>#REF!</v>
      </c>
    </row>
    <row r="6" spans="1:32">
      <c r="A6">
        <f>A5+1</f>
        <v>2011</v>
      </c>
      <c r="B6" s="344">
        <f t="shared" ca="1" si="1"/>
        <v>0</v>
      </c>
      <c r="C6" s="344">
        <f t="shared" ref="C6:Q6" ca="1" si="3">OFFSET(INDIRECT(C$3),$A6-$A$5+$C$1,$C$2)</f>
        <v>0</v>
      </c>
      <c r="D6" s="344">
        <f t="shared" ca="1" si="3"/>
        <v>0</v>
      </c>
      <c r="E6" s="344">
        <f t="shared" ca="1" si="3"/>
        <v>0</v>
      </c>
      <c r="F6" s="344">
        <f t="shared" ca="1" si="3"/>
        <v>0</v>
      </c>
      <c r="G6" s="344">
        <f t="shared" ca="1" si="3"/>
        <v>0</v>
      </c>
      <c r="H6" s="344">
        <f t="shared" ca="1" si="3"/>
        <v>0</v>
      </c>
      <c r="I6" s="344">
        <f t="shared" ca="1" si="3"/>
        <v>0</v>
      </c>
      <c r="J6" s="344">
        <f t="shared" ca="1" si="3"/>
        <v>0</v>
      </c>
      <c r="K6" s="344">
        <f t="shared" ca="1" si="3"/>
        <v>0</v>
      </c>
      <c r="L6" s="344">
        <f t="shared" ca="1" si="3"/>
        <v>0</v>
      </c>
      <c r="M6" s="344">
        <f t="shared" ca="1" si="3"/>
        <v>0</v>
      </c>
      <c r="N6" s="344">
        <f t="shared" ca="1" si="3"/>
        <v>0</v>
      </c>
      <c r="O6" s="344">
        <f t="shared" ca="1" si="3"/>
        <v>0</v>
      </c>
      <c r="P6" s="344">
        <f t="shared" ca="1" si="3"/>
        <v>0</v>
      </c>
      <c r="Q6" s="344">
        <f t="shared" ca="1" si="3"/>
        <v>0</v>
      </c>
      <c r="R6" s="344">
        <f t="shared" ca="1" si="2"/>
        <v>0</v>
      </c>
      <c r="S6" s="344">
        <f t="shared" ca="1" si="2"/>
        <v>0</v>
      </c>
      <c r="T6" s="344">
        <f t="shared" ca="1" si="2"/>
        <v>0</v>
      </c>
      <c r="U6" s="344">
        <f t="shared" ca="1" si="2"/>
        <v>0</v>
      </c>
      <c r="V6" s="344">
        <f t="shared" ca="1" si="2"/>
        <v>-561.67481273159069</v>
      </c>
      <c r="W6" s="344">
        <f t="shared" ca="1" si="2"/>
        <v>0</v>
      </c>
      <c r="X6" s="344">
        <f t="shared" ca="1" si="2"/>
        <v>0</v>
      </c>
      <c r="Y6" s="344" t="e">
        <f t="shared" ca="1" si="2"/>
        <v>#REF!</v>
      </c>
      <c r="Z6" s="344" t="e">
        <f t="shared" ca="1" si="2"/>
        <v>#REF!</v>
      </c>
      <c r="AA6" s="344" t="e">
        <f t="shared" ca="1" si="2"/>
        <v>#REF!</v>
      </c>
      <c r="AB6" s="344" t="e">
        <f t="shared" ca="1" si="2"/>
        <v>#REF!</v>
      </c>
      <c r="AC6" s="344" t="e">
        <f t="shared" ca="1" si="2"/>
        <v>#REF!</v>
      </c>
      <c r="AD6" s="344" t="e">
        <f t="shared" ca="1" si="2"/>
        <v>#REF!</v>
      </c>
      <c r="AE6" s="344" t="e">
        <f t="shared" ca="1" si="2"/>
        <v>#REF!</v>
      </c>
      <c r="AF6" s="344" t="e">
        <f t="shared" ca="1" si="2"/>
        <v>#REF!</v>
      </c>
    </row>
    <row r="7" spans="1:32">
      <c r="A7">
        <f t="shared" ref="A7:A45" si="4">A6+1</f>
        <v>2012</v>
      </c>
      <c r="B7" s="344">
        <f t="shared" ca="1" si="1"/>
        <v>0</v>
      </c>
      <c r="C7" s="344">
        <f t="shared" ca="1" si="2"/>
        <v>0</v>
      </c>
      <c r="D7" s="344">
        <f t="shared" ca="1" si="2"/>
        <v>0</v>
      </c>
      <c r="E7" s="344">
        <f t="shared" ca="1" si="2"/>
        <v>0</v>
      </c>
      <c r="F7" s="344">
        <f t="shared" ca="1" si="2"/>
        <v>0</v>
      </c>
      <c r="G7" s="344">
        <f t="shared" ca="1" si="2"/>
        <v>0</v>
      </c>
      <c r="H7" s="344">
        <f t="shared" ca="1" si="2"/>
        <v>0</v>
      </c>
      <c r="I7" s="344">
        <f t="shared" ca="1" si="2"/>
        <v>0</v>
      </c>
      <c r="J7" s="344">
        <f t="shared" ca="1" si="2"/>
        <v>0</v>
      </c>
      <c r="K7" s="344">
        <f t="shared" ca="1" si="2"/>
        <v>0</v>
      </c>
      <c r="L7" s="344">
        <f t="shared" ca="1" si="2"/>
        <v>-40.884638161468658</v>
      </c>
      <c r="M7" s="344">
        <f t="shared" ca="1" si="2"/>
        <v>0</v>
      </c>
      <c r="N7" s="344">
        <f t="shared" ca="1" si="2"/>
        <v>0</v>
      </c>
      <c r="O7" s="344">
        <f t="shared" ca="1" si="2"/>
        <v>0</v>
      </c>
      <c r="P7" s="344">
        <f t="shared" ca="1" si="2"/>
        <v>0</v>
      </c>
      <c r="Q7" s="344">
        <f t="shared" ca="1" si="2"/>
        <v>0</v>
      </c>
      <c r="R7" s="344">
        <f t="shared" ca="1" si="2"/>
        <v>0</v>
      </c>
      <c r="S7" s="344">
        <f t="shared" ca="1" si="2"/>
        <v>0</v>
      </c>
      <c r="T7" s="344">
        <f t="shared" ca="1" si="2"/>
        <v>0</v>
      </c>
      <c r="U7" s="344">
        <f t="shared" ca="1" si="2"/>
        <v>0</v>
      </c>
      <c r="V7" s="344">
        <f t="shared" ca="1" si="2"/>
        <v>-563.47528677760192</v>
      </c>
      <c r="W7" s="344">
        <f t="shared" ca="1" si="2"/>
        <v>0</v>
      </c>
      <c r="X7" s="344">
        <f t="shared" ca="1" si="2"/>
        <v>0</v>
      </c>
      <c r="Y7" s="344" t="e">
        <f t="shared" ca="1" si="2"/>
        <v>#REF!</v>
      </c>
      <c r="Z7" s="344" t="e">
        <f t="shared" ca="1" si="2"/>
        <v>#REF!</v>
      </c>
      <c r="AA7" s="344" t="e">
        <f t="shared" ca="1" si="2"/>
        <v>#REF!</v>
      </c>
      <c r="AB7" s="344" t="e">
        <f t="shared" ca="1" si="2"/>
        <v>#REF!</v>
      </c>
      <c r="AC7" s="344" t="e">
        <f t="shared" ca="1" si="2"/>
        <v>#REF!</v>
      </c>
      <c r="AD7" s="344" t="e">
        <f t="shared" ca="1" si="2"/>
        <v>#REF!</v>
      </c>
      <c r="AE7" s="344" t="e">
        <f t="shared" ca="1" si="2"/>
        <v>#REF!</v>
      </c>
      <c r="AF7" s="344" t="e">
        <f t="shared" ca="1" si="2"/>
        <v>#REF!</v>
      </c>
    </row>
    <row r="8" spans="1:32">
      <c r="A8">
        <f t="shared" si="4"/>
        <v>2013</v>
      </c>
      <c r="B8" s="344">
        <f t="shared" ca="1" si="1"/>
        <v>0</v>
      </c>
      <c r="C8" s="344">
        <f t="shared" ca="1" si="2"/>
        <v>0</v>
      </c>
      <c r="D8" s="344">
        <f t="shared" ca="1" si="2"/>
        <v>0</v>
      </c>
      <c r="E8" s="344">
        <f t="shared" ca="1" si="2"/>
        <v>0</v>
      </c>
      <c r="F8" s="344">
        <f t="shared" ca="1" si="2"/>
        <v>0</v>
      </c>
      <c r="G8" s="344">
        <f t="shared" ca="1" si="2"/>
        <v>0</v>
      </c>
      <c r="H8" s="344">
        <f t="shared" ca="1" si="2"/>
        <v>0</v>
      </c>
      <c r="I8" s="344">
        <f t="shared" ca="1" si="2"/>
        <v>0</v>
      </c>
      <c r="J8" s="344">
        <f t="shared" ca="1" si="2"/>
        <v>0</v>
      </c>
      <c r="K8" s="344">
        <f t="shared" ca="1" si="2"/>
        <v>0</v>
      </c>
      <c r="L8" s="344">
        <f t="shared" ca="1" si="2"/>
        <v>-81.937879892859442</v>
      </c>
      <c r="M8" s="344">
        <f t="shared" ca="1" si="2"/>
        <v>0</v>
      </c>
      <c r="N8" s="344">
        <f t="shared" ca="1" si="2"/>
        <v>0</v>
      </c>
      <c r="O8" s="344">
        <f t="shared" ca="1" si="2"/>
        <v>0</v>
      </c>
      <c r="P8" s="344">
        <f t="shared" ca="1" si="2"/>
        <v>0</v>
      </c>
      <c r="Q8" s="344">
        <f t="shared" ca="1" si="2"/>
        <v>0</v>
      </c>
      <c r="R8" s="344">
        <f t="shared" ca="1" si="2"/>
        <v>0</v>
      </c>
      <c r="S8" s="344">
        <f t="shared" ca="1" si="2"/>
        <v>0</v>
      </c>
      <c r="T8" s="344">
        <f t="shared" ca="1" si="2"/>
        <v>0</v>
      </c>
      <c r="U8" s="344">
        <f t="shared" ca="1" si="2"/>
        <v>0</v>
      </c>
      <c r="V8" s="344">
        <f t="shared" ca="1" si="2"/>
        <v>-564.85683910426201</v>
      </c>
      <c r="W8" s="344">
        <f t="shared" ca="1" si="2"/>
        <v>0</v>
      </c>
      <c r="X8" s="344">
        <f t="shared" ca="1" si="2"/>
        <v>0</v>
      </c>
      <c r="Y8" s="344" t="e">
        <f t="shared" ca="1" si="2"/>
        <v>#REF!</v>
      </c>
      <c r="Z8" s="344" t="e">
        <f t="shared" ca="1" si="2"/>
        <v>#REF!</v>
      </c>
      <c r="AA8" s="344" t="e">
        <f t="shared" ca="1" si="2"/>
        <v>#REF!</v>
      </c>
      <c r="AB8" s="344" t="e">
        <f t="shared" ca="1" si="2"/>
        <v>#REF!</v>
      </c>
      <c r="AC8" s="344" t="e">
        <f t="shared" ca="1" si="2"/>
        <v>#REF!</v>
      </c>
      <c r="AD8" s="344" t="e">
        <f t="shared" ca="1" si="2"/>
        <v>#REF!</v>
      </c>
      <c r="AE8" s="344" t="e">
        <f t="shared" ca="1" si="2"/>
        <v>#REF!</v>
      </c>
      <c r="AF8" s="344" t="e">
        <f t="shared" ca="1" si="2"/>
        <v>#REF!</v>
      </c>
    </row>
    <row r="9" spans="1:32">
      <c r="A9">
        <f t="shared" si="4"/>
        <v>2014</v>
      </c>
      <c r="B9" s="344">
        <f t="shared" ca="1" si="1"/>
        <v>0</v>
      </c>
      <c r="C9" s="344">
        <f t="shared" ca="1" si="2"/>
        <v>0</v>
      </c>
      <c r="D9" s="344">
        <f t="shared" ca="1" si="2"/>
        <v>0</v>
      </c>
      <c r="E9" s="344">
        <f t="shared" ca="1" si="2"/>
        <v>0</v>
      </c>
      <c r="F9" s="344">
        <f t="shared" ca="1" si="2"/>
        <v>0</v>
      </c>
      <c r="G9" s="344">
        <f t="shared" ca="1" si="2"/>
        <v>0</v>
      </c>
      <c r="H9" s="344">
        <f t="shared" ca="1" si="2"/>
        <v>0</v>
      </c>
      <c r="I9" s="344">
        <f t="shared" ca="1" si="2"/>
        <v>0</v>
      </c>
      <c r="J9" s="344">
        <f t="shared" ca="1" si="2"/>
        <v>0</v>
      </c>
      <c r="K9" s="344">
        <f t="shared" ca="1" si="2"/>
        <v>0</v>
      </c>
      <c r="L9" s="344">
        <f t="shared" ca="1" si="2"/>
        <v>-123.12963392984285</v>
      </c>
      <c r="M9" s="344">
        <f t="shared" ca="1" si="2"/>
        <v>0</v>
      </c>
      <c r="N9" s="344">
        <f t="shared" ca="1" si="2"/>
        <v>0</v>
      </c>
      <c r="O9" s="344">
        <f t="shared" ca="1" si="2"/>
        <v>0</v>
      </c>
      <c r="P9" s="344">
        <f t="shared" ca="1" si="2"/>
        <v>0</v>
      </c>
      <c r="Q9" s="344">
        <f t="shared" ca="1" si="2"/>
        <v>0</v>
      </c>
      <c r="R9" s="344">
        <f t="shared" ca="1" si="2"/>
        <v>0</v>
      </c>
      <c r="S9" s="344">
        <f t="shared" ca="1" si="2"/>
        <v>0</v>
      </c>
      <c r="T9" s="344">
        <f t="shared" ca="1" si="2"/>
        <v>0</v>
      </c>
      <c r="U9" s="344">
        <f t="shared" ca="1" si="2"/>
        <v>0</v>
      </c>
      <c r="V9" s="344">
        <f t="shared" ca="1" si="2"/>
        <v>-566.02154159217173</v>
      </c>
      <c r="W9" s="344">
        <f t="shared" ca="1" si="2"/>
        <v>0</v>
      </c>
      <c r="X9" s="344">
        <f t="shared" ca="1" si="2"/>
        <v>0</v>
      </c>
      <c r="Y9" s="344" t="e">
        <f t="shared" ca="1" si="2"/>
        <v>#REF!</v>
      </c>
      <c r="Z9" s="344" t="e">
        <f t="shared" ca="1" si="2"/>
        <v>#REF!</v>
      </c>
      <c r="AA9" s="344" t="e">
        <f t="shared" ca="1" si="2"/>
        <v>#REF!</v>
      </c>
      <c r="AB9" s="344" t="e">
        <f t="shared" ca="1" si="2"/>
        <v>#REF!</v>
      </c>
      <c r="AC9" s="344" t="e">
        <f t="shared" ca="1" si="2"/>
        <v>#REF!</v>
      </c>
      <c r="AD9" s="344" t="e">
        <f t="shared" ca="1" si="2"/>
        <v>#REF!</v>
      </c>
      <c r="AE9" s="344" t="e">
        <f t="shared" ca="1" si="2"/>
        <v>#REF!</v>
      </c>
      <c r="AF9" s="344" t="e">
        <f t="shared" ca="1" si="2"/>
        <v>#REF!</v>
      </c>
    </row>
    <row r="10" spans="1:32">
      <c r="A10">
        <f t="shared" si="4"/>
        <v>2015</v>
      </c>
      <c r="B10" s="344">
        <f t="shared" ca="1" si="1"/>
        <v>0</v>
      </c>
      <c r="C10" s="344">
        <f t="shared" ca="1" si="2"/>
        <v>0</v>
      </c>
      <c r="D10" s="344">
        <f t="shared" ca="1" si="2"/>
        <v>0</v>
      </c>
      <c r="E10" s="344">
        <f t="shared" ca="1" si="2"/>
        <v>0</v>
      </c>
      <c r="F10" s="344">
        <f t="shared" ca="1" si="2"/>
        <v>0</v>
      </c>
      <c r="G10" s="344">
        <f t="shared" ca="1" si="2"/>
        <v>0</v>
      </c>
      <c r="H10" s="344">
        <f t="shared" ca="1" si="2"/>
        <v>0</v>
      </c>
      <c r="I10" s="344">
        <f t="shared" ca="1" si="2"/>
        <v>0</v>
      </c>
      <c r="J10" s="344">
        <f t="shared" ca="1" si="2"/>
        <v>0</v>
      </c>
      <c r="K10" s="344">
        <f t="shared" ca="1" si="2"/>
        <v>0</v>
      </c>
      <c r="L10" s="344">
        <f t="shared" ca="1" si="2"/>
        <v>-164.44143102054525</v>
      </c>
      <c r="M10" s="344">
        <f t="shared" ca="1" si="2"/>
        <v>0</v>
      </c>
      <c r="N10" s="344">
        <f t="shared" ca="1" si="2"/>
        <v>0</v>
      </c>
      <c r="O10" s="344">
        <f t="shared" ca="1" si="2"/>
        <v>0</v>
      </c>
      <c r="P10" s="344">
        <f t="shared" ca="1" si="2"/>
        <v>0</v>
      </c>
      <c r="Q10" s="344">
        <f t="shared" ca="1" si="2"/>
        <v>0</v>
      </c>
      <c r="R10" s="344">
        <f t="shared" ca="1" si="2"/>
        <v>0</v>
      </c>
      <c r="S10" s="344">
        <f t="shared" ca="1" si="2"/>
        <v>0</v>
      </c>
      <c r="T10" s="344">
        <f t="shared" ca="1" si="2"/>
        <v>0</v>
      </c>
      <c r="U10" s="344">
        <f t="shared" ca="1" si="2"/>
        <v>0</v>
      </c>
      <c r="V10" s="344">
        <f t="shared" ca="1" si="2"/>
        <v>-567.04766508302907</v>
      </c>
      <c r="W10" s="344">
        <f t="shared" ca="1" si="2"/>
        <v>0</v>
      </c>
      <c r="X10" s="344">
        <f t="shared" ca="1" si="2"/>
        <v>0</v>
      </c>
      <c r="Y10" s="344" t="e">
        <f t="shared" ca="1" si="2"/>
        <v>#REF!</v>
      </c>
      <c r="Z10" s="344" t="e">
        <f t="shared" ca="1" si="2"/>
        <v>#REF!</v>
      </c>
      <c r="AA10" s="344" t="e">
        <f t="shared" ca="1" si="2"/>
        <v>#REF!</v>
      </c>
      <c r="AB10" s="344" t="e">
        <f t="shared" ca="1" si="2"/>
        <v>#REF!</v>
      </c>
      <c r="AC10" s="344" t="e">
        <f t="shared" ca="1" si="2"/>
        <v>#REF!</v>
      </c>
      <c r="AD10" s="344" t="e">
        <f t="shared" ca="1" si="2"/>
        <v>#REF!</v>
      </c>
      <c r="AE10" s="344" t="e">
        <f t="shared" ca="1" si="2"/>
        <v>#REF!</v>
      </c>
      <c r="AF10" s="344" t="e">
        <f t="shared" ca="1" si="2"/>
        <v>#REF!</v>
      </c>
    </row>
    <row r="11" spans="1:32">
      <c r="A11">
        <f t="shared" si="4"/>
        <v>2016</v>
      </c>
      <c r="B11" s="344">
        <f t="shared" ca="1" si="1"/>
        <v>0</v>
      </c>
      <c r="C11" s="344">
        <f t="shared" ca="1" si="2"/>
        <v>0</v>
      </c>
      <c r="D11" s="344">
        <f t="shared" ca="1" si="2"/>
        <v>0</v>
      </c>
      <c r="E11" s="344">
        <f t="shared" ca="1" si="2"/>
        <v>0</v>
      </c>
      <c r="F11" s="344">
        <f t="shared" ca="1" si="2"/>
        <v>0</v>
      </c>
      <c r="G11" s="344">
        <f t="shared" ca="1" si="2"/>
        <v>0</v>
      </c>
      <c r="H11" s="344">
        <f t="shared" ca="1" si="2"/>
        <v>0</v>
      </c>
      <c r="I11" s="344">
        <f t="shared" ca="1" si="2"/>
        <v>0</v>
      </c>
      <c r="J11" s="344">
        <f t="shared" ca="1" si="2"/>
        <v>0</v>
      </c>
      <c r="K11" s="344">
        <f t="shared" ca="1" si="2"/>
        <v>0</v>
      </c>
      <c r="L11" s="344">
        <f t="shared" ca="1" si="2"/>
        <v>-205.86052642059221</v>
      </c>
      <c r="M11" s="344">
        <f t="shared" ca="1" si="2"/>
        <v>0</v>
      </c>
      <c r="N11" s="344">
        <f t="shared" ca="1" si="2"/>
        <v>0</v>
      </c>
      <c r="O11" s="344">
        <f t="shared" ca="1" si="2"/>
        <v>0</v>
      </c>
      <c r="P11" s="344">
        <f t="shared" ca="1" si="2"/>
        <v>0</v>
      </c>
      <c r="Q11" s="344">
        <f t="shared" ca="1" si="2"/>
        <v>0</v>
      </c>
      <c r="R11" s="344">
        <f t="shared" ca="1" si="2"/>
        <v>0</v>
      </c>
      <c r="S11" s="344">
        <f t="shared" ca="1" si="2"/>
        <v>0</v>
      </c>
      <c r="T11" s="344">
        <f t="shared" ca="1" si="2"/>
        <v>0</v>
      </c>
      <c r="U11" s="344">
        <f t="shared" ca="1" si="2"/>
        <v>0</v>
      </c>
      <c r="V11" s="344">
        <f t="shared" ca="1" si="2"/>
        <v>-851.96302744449406</v>
      </c>
      <c r="W11" s="344">
        <f t="shared" ca="1" si="2"/>
        <v>0</v>
      </c>
      <c r="X11" s="344">
        <f t="shared" ca="1" si="2"/>
        <v>0</v>
      </c>
      <c r="Y11" s="344" t="e">
        <f t="shared" ca="1" si="2"/>
        <v>#REF!</v>
      </c>
      <c r="Z11" s="344" t="e">
        <f t="shared" ca="1" si="2"/>
        <v>#REF!</v>
      </c>
      <c r="AA11" s="344" t="e">
        <f t="shared" ca="1" si="2"/>
        <v>#REF!</v>
      </c>
      <c r="AB11" s="344" t="e">
        <f t="shared" ca="1" si="2"/>
        <v>#REF!</v>
      </c>
      <c r="AC11" s="344" t="e">
        <f t="shared" ca="1" si="2"/>
        <v>#REF!</v>
      </c>
      <c r="AD11" s="344" t="e">
        <f t="shared" ca="1" si="2"/>
        <v>#REF!</v>
      </c>
      <c r="AE11" s="344" t="e">
        <f t="shared" ca="1" si="2"/>
        <v>#REF!</v>
      </c>
      <c r="AF11" s="344" t="e">
        <f t="shared" ca="1" si="2"/>
        <v>#REF!</v>
      </c>
    </row>
    <row r="12" spans="1:32">
      <c r="A12">
        <f t="shared" si="4"/>
        <v>2017</v>
      </c>
      <c r="B12" s="344">
        <f t="shared" ca="1" si="1"/>
        <v>0</v>
      </c>
      <c r="C12" s="344">
        <f t="shared" ca="1" si="2"/>
        <v>0</v>
      </c>
      <c r="D12" s="344">
        <f t="shared" ca="1" si="2"/>
        <v>0</v>
      </c>
      <c r="E12" s="344">
        <f t="shared" ca="1" si="2"/>
        <v>0</v>
      </c>
      <c r="F12" s="344">
        <f t="shared" ca="1" si="2"/>
        <v>0</v>
      </c>
      <c r="G12" s="344">
        <f t="shared" ca="1" si="2"/>
        <v>0</v>
      </c>
      <c r="H12" s="344">
        <f t="shared" ca="1" si="2"/>
        <v>0</v>
      </c>
      <c r="I12" s="344">
        <f t="shared" ca="1" si="2"/>
        <v>0</v>
      </c>
      <c r="J12" s="344">
        <f t="shared" ca="1" si="2"/>
        <v>0</v>
      </c>
      <c r="K12" s="344">
        <f t="shared" ca="1" si="2"/>
        <v>0</v>
      </c>
      <c r="L12" s="344">
        <f t="shared" ca="1" si="2"/>
        <v>-206.14789241380251</v>
      </c>
      <c r="M12" s="344">
        <f t="shared" ca="1" si="2"/>
        <v>0</v>
      </c>
      <c r="N12" s="344">
        <f t="shared" ca="1" si="2"/>
        <v>0</v>
      </c>
      <c r="O12" s="344">
        <f t="shared" ca="1" si="2"/>
        <v>0</v>
      </c>
      <c r="P12" s="344">
        <f t="shared" ca="1" si="2"/>
        <v>0</v>
      </c>
      <c r="Q12" s="344">
        <f t="shared" ca="1" si="2"/>
        <v>0</v>
      </c>
      <c r="R12" s="344">
        <f t="shared" ca="1" si="2"/>
        <v>0</v>
      </c>
      <c r="S12" s="344">
        <f t="shared" ca="1" si="2"/>
        <v>0</v>
      </c>
      <c r="T12" s="344">
        <f t="shared" ca="1" si="2"/>
        <v>0</v>
      </c>
      <c r="U12" s="344">
        <f t="shared" ca="1" si="2"/>
        <v>0</v>
      </c>
      <c r="V12" s="344">
        <f t="shared" ca="1" si="2"/>
        <v>-853.24267117910142</v>
      </c>
      <c r="W12" s="344">
        <f t="shared" ca="1" si="2"/>
        <v>0</v>
      </c>
      <c r="X12" s="344">
        <f t="shared" ca="1" si="2"/>
        <v>0</v>
      </c>
      <c r="Y12" s="344" t="e">
        <f t="shared" ca="1" si="2"/>
        <v>#REF!</v>
      </c>
      <c r="Z12" s="344" t="e">
        <f t="shared" ca="1" si="2"/>
        <v>#REF!</v>
      </c>
      <c r="AA12" s="344" t="e">
        <f t="shared" ca="1" si="2"/>
        <v>#REF!</v>
      </c>
      <c r="AB12" s="344" t="e">
        <f t="shared" ca="1" si="2"/>
        <v>#REF!</v>
      </c>
      <c r="AC12" s="344" t="e">
        <f t="shared" ca="1" si="2"/>
        <v>#REF!</v>
      </c>
      <c r="AD12" s="344" t="e">
        <f t="shared" ca="1" si="2"/>
        <v>#REF!</v>
      </c>
      <c r="AE12" s="344" t="e">
        <f t="shared" ca="1" si="2"/>
        <v>#REF!</v>
      </c>
      <c r="AF12" s="344" t="e">
        <f t="shared" ca="1" si="2"/>
        <v>#REF!</v>
      </c>
    </row>
    <row r="13" spans="1:32">
      <c r="A13">
        <f t="shared" si="4"/>
        <v>2018</v>
      </c>
      <c r="B13" s="344">
        <f t="shared" ca="1" si="1"/>
        <v>0</v>
      </c>
      <c r="C13" s="344">
        <f t="shared" ca="1" si="2"/>
        <v>0</v>
      </c>
      <c r="D13" s="344">
        <f t="shared" ca="1" si="2"/>
        <v>0</v>
      </c>
      <c r="E13" s="344">
        <f t="shared" ca="1" si="2"/>
        <v>0</v>
      </c>
      <c r="F13" s="344">
        <f t="shared" ca="1" si="2"/>
        <v>0</v>
      </c>
      <c r="G13" s="344">
        <f t="shared" ca="1" si="2"/>
        <v>0</v>
      </c>
      <c r="H13" s="344">
        <f t="shared" ca="1" si="2"/>
        <v>0</v>
      </c>
      <c r="I13" s="344">
        <f t="shared" ca="1" si="2"/>
        <v>0</v>
      </c>
      <c r="J13" s="344">
        <f t="shared" ca="1" si="2"/>
        <v>0</v>
      </c>
      <c r="K13" s="344">
        <f t="shared" ca="1" si="2"/>
        <v>0</v>
      </c>
      <c r="L13" s="344">
        <f t="shared" ca="1" si="2"/>
        <v>-206.41779245536574</v>
      </c>
      <c r="M13" s="344">
        <f t="shared" ca="1" si="2"/>
        <v>0</v>
      </c>
      <c r="N13" s="344">
        <f t="shared" ca="1" si="2"/>
        <v>0</v>
      </c>
      <c r="O13" s="344">
        <f t="shared" ca="1" si="2"/>
        <v>0</v>
      </c>
      <c r="P13" s="344">
        <f t="shared" ca="1" si="2"/>
        <v>0</v>
      </c>
      <c r="Q13" s="344">
        <f t="shared" ca="1" si="2"/>
        <v>0</v>
      </c>
      <c r="R13" s="344">
        <f t="shared" ca="1" si="2"/>
        <v>0</v>
      </c>
      <c r="S13" s="344">
        <f t="shared" ca="1" si="2"/>
        <v>0</v>
      </c>
      <c r="T13" s="344">
        <f t="shared" ca="1" si="2"/>
        <v>0</v>
      </c>
      <c r="U13" s="344">
        <f t="shared" ca="1" si="2"/>
        <v>0</v>
      </c>
      <c r="V13" s="344">
        <f t="shared" ca="1" si="2"/>
        <v>-854.43373452629135</v>
      </c>
      <c r="W13" s="344">
        <f t="shared" ca="1" si="2"/>
        <v>0</v>
      </c>
      <c r="X13" s="344">
        <f t="shared" ca="1" si="2"/>
        <v>0</v>
      </c>
      <c r="Y13" s="344" t="e">
        <f t="shared" ca="1" si="2"/>
        <v>#REF!</v>
      </c>
      <c r="Z13" s="344" t="e">
        <f t="shared" ca="1" si="2"/>
        <v>#REF!</v>
      </c>
      <c r="AA13" s="344" t="e">
        <f t="shared" ca="1" si="2"/>
        <v>#REF!</v>
      </c>
      <c r="AB13" s="344" t="e">
        <f t="shared" ca="1" si="2"/>
        <v>#REF!</v>
      </c>
      <c r="AC13" s="344" t="e">
        <f t="shared" ca="1" si="2"/>
        <v>#REF!</v>
      </c>
      <c r="AD13" s="344" t="e">
        <f t="shared" ca="1" si="2"/>
        <v>#REF!</v>
      </c>
      <c r="AE13" s="344" t="e">
        <f t="shared" ca="1" si="2"/>
        <v>#REF!</v>
      </c>
      <c r="AF13" s="344" t="e">
        <f t="shared" ca="1" si="2"/>
        <v>#REF!</v>
      </c>
    </row>
    <row r="14" spans="1:32">
      <c r="A14">
        <f t="shared" si="4"/>
        <v>2019</v>
      </c>
      <c r="B14" s="344">
        <f t="shared" ca="1" si="1"/>
        <v>0</v>
      </c>
      <c r="C14" s="344">
        <f t="shared" ref="C14:AF22" ca="1" si="5">OFFSET(INDIRECT(C$3),$A14-$A$5+$C$1,$C$2)</f>
        <v>0</v>
      </c>
      <c r="D14" s="344">
        <f t="shared" ca="1" si="5"/>
        <v>0</v>
      </c>
      <c r="E14" s="344">
        <f t="shared" ca="1" si="5"/>
        <v>0</v>
      </c>
      <c r="F14" s="344">
        <f t="shared" ca="1" si="5"/>
        <v>0</v>
      </c>
      <c r="G14" s="344">
        <f t="shared" ca="1" si="5"/>
        <v>0</v>
      </c>
      <c r="H14" s="344">
        <f t="shared" ca="1" si="5"/>
        <v>0</v>
      </c>
      <c r="I14" s="344">
        <f t="shared" ca="1" si="5"/>
        <v>0</v>
      </c>
      <c r="J14" s="344">
        <f t="shared" ca="1" si="5"/>
        <v>0</v>
      </c>
      <c r="K14" s="344">
        <f t="shared" ca="1" si="5"/>
        <v>0</v>
      </c>
      <c r="L14" s="344">
        <f t="shared" ca="1" si="5"/>
        <v>-206.6730702617173</v>
      </c>
      <c r="M14" s="344">
        <f t="shared" ca="1" si="5"/>
        <v>0</v>
      </c>
      <c r="N14" s="344">
        <f t="shared" ca="1" si="5"/>
        <v>0</v>
      </c>
      <c r="O14" s="344">
        <f t="shared" ca="1" si="5"/>
        <v>0</v>
      </c>
      <c r="P14" s="344">
        <f t="shared" ca="1" si="5"/>
        <v>0</v>
      </c>
      <c r="Q14" s="344">
        <f t="shared" ca="1" si="5"/>
        <v>0</v>
      </c>
      <c r="R14" s="344">
        <f t="shared" ca="1" si="5"/>
        <v>0</v>
      </c>
      <c r="S14" s="344">
        <f t="shared" ca="1" si="5"/>
        <v>0</v>
      </c>
      <c r="T14" s="344">
        <f t="shared" ca="1" si="5"/>
        <v>0</v>
      </c>
      <c r="U14" s="344">
        <f t="shared" ca="1" si="5"/>
        <v>0</v>
      </c>
      <c r="V14" s="344">
        <f t="shared" ca="1" si="5"/>
        <v>-855.55240567912927</v>
      </c>
      <c r="W14" s="344">
        <f t="shared" ca="1" si="5"/>
        <v>0</v>
      </c>
      <c r="X14" s="344">
        <f t="shared" ca="1" si="5"/>
        <v>0</v>
      </c>
      <c r="Y14" s="344" t="e">
        <f t="shared" ca="1" si="5"/>
        <v>#REF!</v>
      </c>
      <c r="Z14" s="344" t="e">
        <f t="shared" ca="1" si="5"/>
        <v>#REF!</v>
      </c>
      <c r="AA14" s="344" t="e">
        <f t="shared" ca="1" si="5"/>
        <v>#REF!</v>
      </c>
      <c r="AB14" s="344" t="e">
        <f t="shared" ca="1" si="5"/>
        <v>#REF!</v>
      </c>
      <c r="AC14" s="344" t="e">
        <f t="shared" ca="1" si="5"/>
        <v>#REF!</v>
      </c>
      <c r="AD14" s="344" t="e">
        <f t="shared" ca="1" si="5"/>
        <v>#REF!</v>
      </c>
      <c r="AE14" s="344" t="e">
        <f t="shared" ca="1" si="5"/>
        <v>#REF!</v>
      </c>
      <c r="AF14" s="344" t="e">
        <f t="shared" ca="1" si="5"/>
        <v>#REF!</v>
      </c>
    </row>
    <row r="15" spans="1:32">
      <c r="A15">
        <f t="shared" si="4"/>
        <v>2020</v>
      </c>
      <c r="B15" s="344">
        <f t="shared" ca="1" si="1"/>
        <v>0</v>
      </c>
      <c r="C15" s="344">
        <f t="shared" ca="1" si="5"/>
        <v>0</v>
      </c>
      <c r="D15" s="344">
        <f t="shared" ca="1" si="5"/>
        <v>0</v>
      </c>
      <c r="E15" s="344">
        <f t="shared" ca="1" si="5"/>
        <v>0</v>
      </c>
      <c r="F15" s="344">
        <f t="shared" ca="1" si="5"/>
        <v>0</v>
      </c>
      <c r="G15" s="344">
        <f t="shared" ca="1" si="5"/>
        <v>0</v>
      </c>
      <c r="H15" s="344">
        <f t="shared" ca="1" si="5"/>
        <v>0</v>
      </c>
      <c r="I15" s="344">
        <f t="shared" ca="1" si="5"/>
        <v>0</v>
      </c>
      <c r="J15" s="344">
        <f t="shared" ca="1" si="5"/>
        <v>0</v>
      </c>
      <c r="K15" s="344">
        <f t="shared" ca="1" si="5"/>
        <v>0</v>
      </c>
      <c r="L15" s="344">
        <f t="shared" ca="1" si="5"/>
        <v>-206.91587260906391</v>
      </c>
      <c r="M15" s="344">
        <f t="shared" ca="1" si="5"/>
        <v>0</v>
      </c>
      <c r="N15" s="344">
        <f t="shared" ca="1" si="5"/>
        <v>0</v>
      </c>
      <c r="O15" s="344">
        <f t="shared" ca="1" si="5"/>
        <v>0</v>
      </c>
      <c r="P15" s="344">
        <f t="shared" ca="1" si="5"/>
        <v>0</v>
      </c>
      <c r="Q15" s="344">
        <f t="shared" ca="1" si="5"/>
        <v>0</v>
      </c>
      <c r="R15" s="344">
        <f t="shared" ca="1" si="5"/>
        <v>0</v>
      </c>
      <c r="S15" s="344">
        <f t="shared" ca="1" si="5"/>
        <v>0</v>
      </c>
      <c r="T15" s="344">
        <f t="shared" ca="1" si="5"/>
        <v>0</v>
      </c>
      <c r="U15" s="344">
        <f t="shared" ca="1" si="5"/>
        <v>0</v>
      </c>
      <c r="V15" s="344">
        <f t="shared" ca="1" si="5"/>
        <v>-856.61047116245152</v>
      </c>
      <c r="W15" s="344">
        <f t="shared" ca="1" si="5"/>
        <v>0</v>
      </c>
      <c r="X15" s="344">
        <f t="shared" ca="1" si="5"/>
        <v>0</v>
      </c>
      <c r="Y15" s="344" t="e">
        <f t="shared" ca="1" si="5"/>
        <v>#REF!</v>
      </c>
      <c r="Z15" s="344" t="e">
        <f t="shared" ca="1" si="5"/>
        <v>#REF!</v>
      </c>
      <c r="AA15" s="344" t="e">
        <f t="shared" ca="1" si="5"/>
        <v>#REF!</v>
      </c>
      <c r="AB15" s="344" t="e">
        <f t="shared" ca="1" si="5"/>
        <v>#REF!</v>
      </c>
      <c r="AC15" s="344" t="e">
        <f t="shared" ca="1" si="5"/>
        <v>#REF!</v>
      </c>
      <c r="AD15" s="344" t="e">
        <f t="shared" ca="1" si="5"/>
        <v>#REF!</v>
      </c>
      <c r="AE15" s="344" t="e">
        <f t="shared" ca="1" si="5"/>
        <v>#REF!</v>
      </c>
      <c r="AF15" s="344" t="e">
        <f t="shared" ca="1" si="5"/>
        <v>#REF!</v>
      </c>
    </row>
    <row r="16" spans="1:32">
      <c r="A16">
        <f t="shared" si="4"/>
        <v>2021</v>
      </c>
      <c r="B16" s="344">
        <f t="shared" ca="1" si="1"/>
        <v>0</v>
      </c>
      <c r="C16" s="344">
        <f t="shared" ca="1" si="5"/>
        <v>0</v>
      </c>
      <c r="D16" s="344">
        <f t="shared" ca="1" si="5"/>
        <v>0</v>
      </c>
      <c r="E16" s="344">
        <f t="shared" ca="1" si="5"/>
        <v>0</v>
      </c>
      <c r="F16" s="344">
        <f t="shared" ca="1" si="5"/>
        <v>0</v>
      </c>
      <c r="G16" s="344">
        <f t="shared" ca="1" si="5"/>
        <v>0</v>
      </c>
      <c r="H16" s="344">
        <f t="shared" ca="1" si="5"/>
        <v>0</v>
      </c>
      <c r="I16" s="344">
        <f t="shared" ca="1" si="5"/>
        <v>0</v>
      </c>
      <c r="J16" s="344">
        <f t="shared" ca="1" si="5"/>
        <v>0</v>
      </c>
      <c r="K16" s="344">
        <f t="shared" ca="1" si="5"/>
        <v>0</v>
      </c>
      <c r="L16" s="344">
        <f t="shared" ca="1" si="5"/>
        <v>-207.14786732897221</v>
      </c>
      <c r="M16" s="344">
        <f t="shared" ca="1" si="5"/>
        <v>0</v>
      </c>
      <c r="N16" s="344">
        <f t="shared" ca="1" si="5"/>
        <v>0</v>
      </c>
      <c r="O16" s="344">
        <f t="shared" ca="1" si="5"/>
        <v>0</v>
      </c>
      <c r="P16" s="344">
        <f t="shared" ca="1" si="5"/>
        <v>0</v>
      </c>
      <c r="Q16" s="344">
        <f t="shared" ca="1" si="5"/>
        <v>0</v>
      </c>
      <c r="R16" s="344">
        <f t="shared" ca="1" si="5"/>
        <v>0</v>
      </c>
      <c r="S16" s="344">
        <f t="shared" ca="1" si="5"/>
        <v>0</v>
      </c>
      <c r="T16" s="344">
        <f t="shared" ca="1" si="5"/>
        <v>0</v>
      </c>
      <c r="U16" s="344">
        <f t="shared" ca="1" si="5"/>
        <v>0</v>
      </c>
      <c r="V16" s="344">
        <f t="shared" ca="1" si="5"/>
        <v>-857.61682885044911</v>
      </c>
      <c r="W16" s="344">
        <f t="shared" ca="1" si="5"/>
        <v>0</v>
      </c>
      <c r="X16" s="344">
        <f t="shared" ca="1" si="5"/>
        <v>0</v>
      </c>
      <c r="Y16" s="344" t="e">
        <f t="shared" ca="1" si="5"/>
        <v>#REF!</v>
      </c>
      <c r="Z16" s="344" t="e">
        <f t="shared" ca="1" si="5"/>
        <v>#REF!</v>
      </c>
      <c r="AA16" s="344" t="e">
        <f t="shared" ca="1" si="5"/>
        <v>#REF!</v>
      </c>
      <c r="AB16" s="344" t="e">
        <f t="shared" ca="1" si="5"/>
        <v>#REF!</v>
      </c>
      <c r="AC16" s="344" t="e">
        <f t="shared" ca="1" si="5"/>
        <v>#REF!</v>
      </c>
      <c r="AD16" s="344" t="e">
        <f t="shared" ca="1" si="5"/>
        <v>#REF!</v>
      </c>
      <c r="AE16" s="344" t="e">
        <f t="shared" ca="1" si="5"/>
        <v>#REF!</v>
      </c>
      <c r="AF16" s="344" t="e">
        <f t="shared" ca="1" si="5"/>
        <v>#REF!</v>
      </c>
    </row>
    <row r="17" spans="1:32">
      <c r="A17">
        <f t="shared" si="4"/>
        <v>2022</v>
      </c>
      <c r="B17" s="344">
        <f t="shared" ca="1" si="1"/>
        <v>0</v>
      </c>
      <c r="C17" s="344">
        <f t="shared" ca="1" si="5"/>
        <v>0</v>
      </c>
      <c r="D17" s="344">
        <f t="shared" ca="1" si="5"/>
        <v>0</v>
      </c>
      <c r="E17" s="344">
        <f t="shared" ca="1" si="5"/>
        <v>0</v>
      </c>
      <c r="F17" s="344">
        <f t="shared" ca="1" si="5"/>
        <v>0</v>
      </c>
      <c r="G17" s="344">
        <f t="shared" ca="1" si="5"/>
        <v>0</v>
      </c>
      <c r="H17" s="344">
        <f t="shared" ca="1" si="5"/>
        <v>0</v>
      </c>
      <c r="I17" s="344">
        <f t="shared" ca="1" si="5"/>
        <v>0</v>
      </c>
      <c r="J17" s="344">
        <f t="shared" ca="1" si="5"/>
        <v>0</v>
      </c>
      <c r="K17" s="344">
        <f t="shared" ca="1" si="5"/>
        <v>0</v>
      </c>
      <c r="L17" s="344">
        <f t="shared" ca="1" si="5"/>
        <v>-207.37038076033295</v>
      </c>
      <c r="M17" s="344">
        <f t="shared" ca="1" si="5"/>
        <v>0</v>
      </c>
      <c r="N17" s="344">
        <f t="shared" ca="1" si="5"/>
        <v>0</v>
      </c>
      <c r="O17" s="344">
        <f t="shared" ca="1" si="5"/>
        <v>0</v>
      </c>
      <c r="P17" s="344">
        <f t="shared" ca="1" si="5"/>
        <v>0</v>
      </c>
      <c r="Q17" s="344">
        <f t="shared" ca="1" si="5"/>
        <v>0</v>
      </c>
      <c r="R17" s="344">
        <f t="shared" ca="1" si="5"/>
        <v>0</v>
      </c>
      <c r="S17" s="344">
        <f t="shared" ca="1" si="5"/>
        <v>0</v>
      </c>
      <c r="T17" s="344">
        <f t="shared" ca="1" si="5"/>
        <v>0</v>
      </c>
      <c r="U17" s="344">
        <f t="shared" ca="1" si="5"/>
        <v>0</v>
      </c>
      <c r="V17" s="344">
        <f t="shared" ca="1" si="5"/>
        <v>-858.5783915062716</v>
      </c>
      <c r="W17" s="344">
        <f t="shared" ca="1" si="5"/>
        <v>0</v>
      </c>
      <c r="X17" s="344">
        <f t="shared" ca="1" si="5"/>
        <v>0</v>
      </c>
      <c r="Y17" s="344" t="e">
        <f t="shared" ca="1" si="5"/>
        <v>#REF!</v>
      </c>
      <c r="Z17" s="344" t="e">
        <f t="shared" ca="1" si="5"/>
        <v>#REF!</v>
      </c>
      <c r="AA17" s="344" t="e">
        <f t="shared" ca="1" si="5"/>
        <v>#REF!</v>
      </c>
      <c r="AB17" s="344" t="e">
        <f t="shared" ca="1" si="5"/>
        <v>#REF!</v>
      </c>
      <c r="AC17" s="344" t="e">
        <f t="shared" ca="1" si="5"/>
        <v>#REF!</v>
      </c>
      <c r="AD17" s="344" t="e">
        <f t="shared" ca="1" si="5"/>
        <v>#REF!</v>
      </c>
      <c r="AE17" s="344" t="e">
        <f t="shared" ca="1" si="5"/>
        <v>#REF!</v>
      </c>
      <c r="AF17" s="344" t="e">
        <f t="shared" ca="1" si="5"/>
        <v>#REF!</v>
      </c>
    </row>
    <row r="18" spans="1:32">
      <c r="A18">
        <f t="shared" si="4"/>
        <v>2023</v>
      </c>
      <c r="B18" s="344">
        <f t="shared" ca="1" si="1"/>
        <v>0</v>
      </c>
      <c r="C18" s="344">
        <f t="shared" ca="1" si="5"/>
        <v>0</v>
      </c>
      <c r="D18" s="344">
        <f t="shared" ca="1" si="5"/>
        <v>0</v>
      </c>
      <c r="E18" s="344">
        <f t="shared" ca="1" si="5"/>
        <v>0</v>
      </c>
      <c r="F18" s="344">
        <f t="shared" ca="1" si="5"/>
        <v>0</v>
      </c>
      <c r="G18" s="344">
        <f t="shared" ca="1" si="5"/>
        <v>0</v>
      </c>
      <c r="H18" s="344">
        <f t="shared" ca="1" si="5"/>
        <v>0</v>
      </c>
      <c r="I18" s="344">
        <f t="shared" ca="1" si="5"/>
        <v>0</v>
      </c>
      <c r="J18" s="344">
        <f t="shared" ca="1" si="5"/>
        <v>0</v>
      </c>
      <c r="K18" s="344">
        <f t="shared" ca="1" si="5"/>
        <v>0</v>
      </c>
      <c r="L18" s="344">
        <f t="shared" ca="1" si="5"/>
        <v>-207.58448829362001</v>
      </c>
      <c r="M18" s="344">
        <f t="shared" ca="1" si="5"/>
        <v>0</v>
      </c>
      <c r="N18" s="344">
        <f t="shared" ca="1" si="5"/>
        <v>0</v>
      </c>
      <c r="O18" s="344">
        <f t="shared" ca="1" si="5"/>
        <v>0</v>
      </c>
      <c r="P18" s="344">
        <f t="shared" ca="1" si="5"/>
        <v>0</v>
      </c>
      <c r="Q18" s="344">
        <f t="shared" ca="1" si="5"/>
        <v>0</v>
      </c>
      <c r="R18" s="344">
        <f t="shared" ca="1" si="5"/>
        <v>0</v>
      </c>
      <c r="S18" s="344">
        <f t="shared" ca="1" si="5"/>
        <v>0</v>
      </c>
      <c r="T18" s="344">
        <f t="shared" ca="1" si="5"/>
        <v>0</v>
      </c>
      <c r="U18" s="344">
        <f t="shared" ca="1" si="5"/>
        <v>0</v>
      </c>
      <c r="V18" s="344">
        <f t="shared" ca="1" si="5"/>
        <v>-859.50065648756083</v>
      </c>
      <c r="W18" s="344">
        <f t="shared" ca="1" si="5"/>
        <v>0</v>
      </c>
      <c r="X18" s="344">
        <f t="shared" ca="1" si="5"/>
        <v>0</v>
      </c>
      <c r="Y18" s="344" t="e">
        <f t="shared" ca="1" si="5"/>
        <v>#REF!</v>
      </c>
      <c r="Z18" s="344" t="e">
        <f t="shared" ca="1" si="5"/>
        <v>#REF!</v>
      </c>
      <c r="AA18" s="344" t="e">
        <f t="shared" ca="1" si="5"/>
        <v>#REF!</v>
      </c>
      <c r="AB18" s="344" t="e">
        <f t="shared" ca="1" si="5"/>
        <v>#REF!</v>
      </c>
      <c r="AC18" s="344" t="e">
        <f t="shared" ca="1" si="5"/>
        <v>#REF!</v>
      </c>
      <c r="AD18" s="344" t="e">
        <f t="shared" ca="1" si="5"/>
        <v>#REF!</v>
      </c>
      <c r="AE18" s="344" t="e">
        <f t="shared" ca="1" si="5"/>
        <v>#REF!</v>
      </c>
      <c r="AF18" s="344" t="e">
        <f t="shared" ca="1" si="5"/>
        <v>#REF!</v>
      </c>
    </row>
    <row r="19" spans="1:32">
      <c r="A19">
        <f t="shared" si="4"/>
        <v>2024</v>
      </c>
      <c r="B19" s="344">
        <f t="shared" ca="1" si="1"/>
        <v>0</v>
      </c>
      <c r="C19" s="344">
        <f t="shared" ca="1" si="5"/>
        <v>0</v>
      </c>
      <c r="D19" s="344">
        <f t="shared" ca="1" si="5"/>
        <v>0</v>
      </c>
      <c r="E19" s="344">
        <f t="shared" ca="1" si="5"/>
        <v>0</v>
      </c>
      <c r="F19" s="344">
        <f t="shared" ca="1" si="5"/>
        <v>0</v>
      </c>
      <c r="G19" s="344">
        <f t="shared" ca="1" si="5"/>
        <v>0</v>
      </c>
      <c r="H19" s="344">
        <f t="shared" ca="1" si="5"/>
        <v>0</v>
      </c>
      <c r="I19" s="344">
        <f t="shared" ca="1" si="5"/>
        <v>0</v>
      </c>
      <c r="J19" s="344">
        <f t="shared" ca="1" si="5"/>
        <v>0</v>
      </c>
      <c r="K19" s="344">
        <f t="shared" ca="1" si="5"/>
        <v>0</v>
      </c>
      <c r="L19" s="344">
        <f t="shared" ca="1" si="5"/>
        <v>-207.79107620477433</v>
      </c>
      <c r="M19" s="344">
        <f t="shared" ca="1" si="5"/>
        <v>0</v>
      </c>
      <c r="N19" s="344">
        <f t="shared" ca="1" si="5"/>
        <v>0</v>
      </c>
      <c r="O19" s="344">
        <f t="shared" ca="1" si="5"/>
        <v>0</v>
      </c>
      <c r="P19" s="344">
        <f t="shared" ca="1" si="5"/>
        <v>0</v>
      </c>
      <c r="Q19" s="344">
        <f t="shared" ca="1" si="5"/>
        <v>0</v>
      </c>
      <c r="R19" s="344">
        <f t="shared" ca="1" si="5"/>
        <v>0</v>
      </c>
      <c r="S19" s="344">
        <f t="shared" ca="1" si="5"/>
        <v>0</v>
      </c>
      <c r="T19" s="344">
        <f t="shared" ca="1" si="5"/>
        <v>0</v>
      </c>
      <c r="U19" s="344">
        <f t="shared" ca="1" si="5"/>
        <v>0</v>
      </c>
      <c r="V19" s="344">
        <f t="shared" ca="1" si="5"/>
        <v>-860.38808103075951</v>
      </c>
      <c r="W19" s="344">
        <f t="shared" ca="1" si="5"/>
        <v>0</v>
      </c>
      <c r="X19" s="344">
        <f t="shared" ca="1" si="5"/>
        <v>0</v>
      </c>
      <c r="Y19" s="344" t="e">
        <f t="shared" ca="1" si="5"/>
        <v>#REF!</v>
      </c>
      <c r="Z19" s="344" t="e">
        <f t="shared" ca="1" si="5"/>
        <v>#REF!</v>
      </c>
      <c r="AA19" s="344" t="e">
        <f t="shared" ca="1" si="5"/>
        <v>#REF!</v>
      </c>
      <c r="AB19" s="344" t="e">
        <f t="shared" ca="1" si="5"/>
        <v>#REF!</v>
      </c>
      <c r="AC19" s="344" t="e">
        <f t="shared" ca="1" si="5"/>
        <v>#REF!</v>
      </c>
      <c r="AD19" s="344" t="e">
        <f t="shared" ca="1" si="5"/>
        <v>#REF!</v>
      </c>
      <c r="AE19" s="344" t="e">
        <f t="shared" ca="1" si="5"/>
        <v>#REF!</v>
      </c>
      <c r="AF19" s="344" t="e">
        <f t="shared" ca="1" si="5"/>
        <v>#REF!</v>
      </c>
    </row>
    <row r="20" spans="1:32">
      <c r="A20">
        <f t="shared" si="4"/>
        <v>2025</v>
      </c>
      <c r="B20" s="344">
        <f t="shared" ca="1" si="1"/>
        <v>0</v>
      </c>
      <c r="C20" s="344">
        <f t="shared" ca="1" si="5"/>
        <v>0</v>
      </c>
      <c r="D20" s="344">
        <f t="shared" ca="1" si="5"/>
        <v>0</v>
      </c>
      <c r="E20" s="344">
        <f t="shared" ca="1" si="5"/>
        <v>0</v>
      </c>
      <c r="F20" s="344">
        <f t="shared" ca="1" si="5"/>
        <v>0</v>
      </c>
      <c r="G20" s="344">
        <f t="shared" ca="1" si="5"/>
        <v>0</v>
      </c>
      <c r="H20" s="344">
        <f t="shared" ca="1" si="5"/>
        <v>0</v>
      </c>
      <c r="I20" s="344">
        <f t="shared" ca="1" si="5"/>
        <v>0</v>
      </c>
      <c r="J20" s="344">
        <f t="shared" ca="1" si="5"/>
        <v>0</v>
      </c>
      <c r="K20" s="344">
        <f t="shared" ca="1" si="5"/>
        <v>0</v>
      </c>
      <c r="L20" s="344">
        <f t="shared" ca="1" si="5"/>
        <v>-207.99088517858286</v>
      </c>
      <c r="M20" s="344">
        <f t="shared" ca="1" si="5"/>
        <v>0</v>
      </c>
      <c r="N20" s="344">
        <f t="shared" ca="1" si="5"/>
        <v>0</v>
      </c>
      <c r="O20" s="344">
        <f t="shared" ca="1" si="5"/>
        <v>0</v>
      </c>
      <c r="P20" s="344">
        <f t="shared" ca="1" si="5"/>
        <v>0</v>
      </c>
      <c r="Q20" s="344">
        <f t="shared" ca="1" si="5"/>
        <v>0</v>
      </c>
      <c r="R20" s="344">
        <f t="shared" ca="1" si="5"/>
        <v>0</v>
      </c>
      <c r="S20" s="344">
        <f t="shared" ca="1" si="5"/>
        <v>0</v>
      </c>
      <c r="T20" s="344">
        <f t="shared" ca="1" si="5"/>
        <v>0</v>
      </c>
      <c r="U20" s="344">
        <f t="shared" ca="1" si="5"/>
        <v>0</v>
      </c>
      <c r="V20" s="344">
        <f t="shared" ca="1" si="5"/>
        <v>-861.24433853777907</v>
      </c>
      <c r="W20" s="344">
        <f t="shared" ca="1" si="5"/>
        <v>0</v>
      </c>
      <c r="X20" s="344">
        <f t="shared" ca="1" si="5"/>
        <v>0</v>
      </c>
      <c r="Y20" s="344" t="e">
        <f t="shared" ca="1" si="5"/>
        <v>#REF!</v>
      </c>
      <c r="Z20" s="344" t="e">
        <f t="shared" ca="1" si="5"/>
        <v>#REF!</v>
      </c>
      <c r="AA20" s="344" t="e">
        <f t="shared" ca="1" si="5"/>
        <v>#REF!</v>
      </c>
      <c r="AB20" s="344" t="e">
        <f t="shared" ca="1" si="5"/>
        <v>#REF!</v>
      </c>
      <c r="AC20" s="344" t="e">
        <f t="shared" ca="1" si="5"/>
        <v>#REF!</v>
      </c>
      <c r="AD20" s="344" t="e">
        <f t="shared" ca="1" si="5"/>
        <v>#REF!</v>
      </c>
      <c r="AE20" s="344" t="e">
        <f t="shared" ca="1" si="5"/>
        <v>#REF!</v>
      </c>
      <c r="AF20" s="344" t="e">
        <f t="shared" ca="1" si="5"/>
        <v>#REF!</v>
      </c>
    </row>
    <row r="21" spans="1:32">
      <c r="A21">
        <f t="shared" si="4"/>
        <v>2026</v>
      </c>
      <c r="B21" s="344">
        <f t="shared" ca="1" si="1"/>
        <v>0</v>
      </c>
      <c r="C21" s="344">
        <f t="shared" ca="1" si="5"/>
        <v>0</v>
      </c>
      <c r="D21" s="344">
        <f t="shared" ca="1" si="5"/>
        <v>0</v>
      </c>
      <c r="E21" s="344">
        <f t="shared" ca="1" si="5"/>
        <v>0</v>
      </c>
      <c r="F21" s="344">
        <f t="shared" ca="1" si="5"/>
        <v>0</v>
      </c>
      <c r="G21" s="344">
        <f t="shared" ca="1" si="5"/>
        <v>0</v>
      </c>
      <c r="H21" s="344">
        <f t="shared" ca="1" si="5"/>
        <v>0</v>
      </c>
      <c r="I21" s="344">
        <f t="shared" ca="1" si="5"/>
        <v>0</v>
      </c>
      <c r="J21" s="344">
        <f t="shared" ca="1" si="5"/>
        <v>0</v>
      </c>
      <c r="K21" s="344">
        <f t="shared" ca="1" si="5"/>
        <v>0</v>
      </c>
      <c r="L21" s="344">
        <f t="shared" ca="1" si="5"/>
        <v>-208.18454174242908</v>
      </c>
      <c r="M21" s="344">
        <f t="shared" ca="1" si="5"/>
        <v>0</v>
      </c>
      <c r="N21" s="344">
        <f t="shared" ca="1" si="5"/>
        <v>0</v>
      </c>
      <c r="O21" s="344">
        <f t="shared" ca="1" si="5"/>
        <v>0</v>
      </c>
      <c r="P21" s="344">
        <f t="shared" ca="1" si="5"/>
        <v>0</v>
      </c>
      <c r="Q21" s="344">
        <f t="shared" ca="1" si="5"/>
        <v>0</v>
      </c>
      <c r="R21" s="344">
        <f t="shared" ca="1" si="5"/>
        <v>0</v>
      </c>
      <c r="S21" s="344">
        <f t="shared" ca="1" si="5"/>
        <v>0</v>
      </c>
      <c r="T21" s="344">
        <f t="shared" ca="1" si="5"/>
        <v>0</v>
      </c>
      <c r="U21" s="344">
        <f t="shared" ca="1" si="5"/>
        <v>0</v>
      </c>
      <c r="V21" s="344">
        <f t="shared" ca="1" si="5"/>
        <v>-862.07249897000111</v>
      </c>
      <c r="W21" s="344">
        <f t="shared" ca="1" si="5"/>
        <v>0</v>
      </c>
      <c r="X21" s="344">
        <f t="shared" ca="1" si="5"/>
        <v>0</v>
      </c>
      <c r="Y21" s="344" t="e">
        <f t="shared" ca="1" si="5"/>
        <v>#REF!</v>
      </c>
      <c r="Z21" s="344" t="e">
        <f t="shared" ca="1" si="5"/>
        <v>#REF!</v>
      </c>
      <c r="AA21" s="344" t="e">
        <f t="shared" ca="1" si="5"/>
        <v>#REF!</v>
      </c>
      <c r="AB21" s="344" t="e">
        <f t="shared" ca="1" si="5"/>
        <v>#REF!</v>
      </c>
      <c r="AC21" s="344" t="e">
        <f t="shared" ca="1" si="5"/>
        <v>#REF!</v>
      </c>
      <c r="AD21" s="344" t="e">
        <f t="shared" ca="1" si="5"/>
        <v>#REF!</v>
      </c>
      <c r="AE21" s="344" t="e">
        <f t="shared" ca="1" si="5"/>
        <v>#REF!</v>
      </c>
      <c r="AF21" s="344" t="e">
        <f t="shared" ca="1" si="5"/>
        <v>#REF!</v>
      </c>
    </row>
    <row r="22" spans="1:32">
      <c r="A22">
        <f t="shared" si="4"/>
        <v>2027</v>
      </c>
      <c r="B22" s="344">
        <f t="shared" ca="1" si="1"/>
        <v>0</v>
      </c>
      <c r="C22" s="344">
        <f t="shared" ca="1" si="5"/>
        <v>0</v>
      </c>
      <c r="D22" s="344">
        <f t="shared" ca="1" si="5"/>
        <v>0</v>
      </c>
      <c r="E22" s="344">
        <f t="shared" ca="1" si="5"/>
        <v>0</v>
      </c>
      <c r="F22" s="344">
        <f t="shared" ca="1" si="5"/>
        <v>0</v>
      </c>
      <c r="G22" s="344">
        <f t="shared" ca="1" si="5"/>
        <v>0</v>
      </c>
      <c r="H22" s="344">
        <f t="shared" ca="1" si="5"/>
        <v>0</v>
      </c>
      <c r="I22" s="344">
        <f t="shared" ca="1" si="5"/>
        <v>0</v>
      </c>
      <c r="J22" s="344">
        <f t="shared" ca="1" si="5"/>
        <v>0</v>
      </c>
      <c r="K22" s="344">
        <f t="shared" ca="1" si="5"/>
        <v>0</v>
      </c>
      <c r="L22" s="344">
        <f t="shared" ca="1" si="5"/>
        <v>-208.37258147784658</v>
      </c>
      <c r="M22" s="344">
        <f t="shared" ca="1" si="5"/>
        <v>0</v>
      </c>
      <c r="N22" s="344">
        <f t="shared" ca="1" si="5"/>
        <v>0</v>
      </c>
      <c r="O22" s="344">
        <f t="shared" ca="1" si="5"/>
        <v>0</v>
      </c>
      <c r="P22" s="344">
        <f t="shared" ca="1" si="5"/>
        <v>0</v>
      </c>
      <c r="Q22" s="344">
        <f t="shared" ca="1" si="5"/>
        <v>0</v>
      </c>
      <c r="R22" s="344">
        <f t="shared" ref="C22:AF30" ca="1" si="6">OFFSET(INDIRECT(R$3),$A22-$A$5+$C$1,$C$2)</f>
        <v>0</v>
      </c>
      <c r="S22" s="344">
        <f t="shared" ca="1" si="6"/>
        <v>0</v>
      </c>
      <c r="T22" s="344">
        <f t="shared" ca="1" si="6"/>
        <v>0</v>
      </c>
      <c r="U22" s="344">
        <f t="shared" ca="1" si="6"/>
        <v>0</v>
      </c>
      <c r="V22" s="344">
        <f t="shared" ca="1" si="6"/>
        <v>-862.87515913365939</v>
      </c>
      <c r="W22" s="344">
        <f t="shared" ca="1" si="6"/>
        <v>0</v>
      </c>
      <c r="X22" s="344">
        <f t="shared" ca="1" si="6"/>
        <v>0</v>
      </c>
      <c r="Y22" s="344" t="e">
        <f t="shared" ca="1" si="6"/>
        <v>#REF!</v>
      </c>
      <c r="Z22" s="344" t="e">
        <f t="shared" ca="1" si="6"/>
        <v>#REF!</v>
      </c>
      <c r="AA22" s="344" t="e">
        <f t="shared" ca="1" si="6"/>
        <v>#REF!</v>
      </c>
      <c r="AB22" s="344" t="e">
        <f t="shared" ca="1" si="6"/>
        <v>#REF!</v>
      </c>
      <c r="AC22" s="344" t="e">
        <f t="shared" ca="1" si="6"/>
        <v>#REF!</v>
      </c>
      <c r="AD22" s="344" t="e">
        <f t="shared" ca="1" si="6"/>
        <v>#REF!</v>
      </c>
      <c r="AE22" s="344" t="e">
        <f t="shared" ca="1" si="6"/>
        <v>#REF!</v>
      </c>
      <c r="AF22" s="344" t="e">
        <f t="shared" ca="1" si="6"/>
        <v>#REF!</v>
      </c>
    </row>
    <row r="23" spans="1:32">
      <c r="A23">
        <f t="shared" si="4"/>
        <v>2028</v>
      </c>
      <c r="B23" s="344">
        <f t="shared" ca="1" si="1"/>
        <v>0</v>
      </c>
      <c r="C23" s="344">
        <f t="shared" ca="1" si="6"/>
        <v>0</v>
      </c>
      <c r="D23" s="344">
        <f t="shared" ca="1" si="6"/>
        <v>0</v>
      </c>
      <c r="E23" s="344">
        <f t="shared" ca="1" si="6"/>
        <v>0</v>
      </c>
      <c r="F23" s="344">
        <f t="shared" ca="1" si="6"/>
        <v>0</v>
      </c>
      <c r="G23" s="344">
        <f t="shared" ca="1" si="6"/>
        <v>0</v>
      </c>
      <c r="H23" s="344">
        <f t="shared" ca="1" si="6"/>
        <v>0</v>
      </c>
      <c r="I23" s="344">
        <f t="shared" ca="1" si="6"/>
        <v>0</v>
      </c>
      <c r="J23" s="344">
        <f t="shared" ca="1" si="6"/>
        <v>0</v>
      </c>
      <c r="K23" s="344">
        <f t="shared" ca="1" si="6"/>
        <v>0</v>
      </c>
      <c r="L23" s="344">
        <f t="shared" ca="1" si="6"/>
        <v>-208.555466495037</v>
      </c>
      <c r="M23" s="344">
        <f t="shared" ca="1" si="6"/>
        <v>0</v>
      </c>
      <c r="N23" s="344">
        <f t="shared" ca="1" si="6"/>
        <v>0</v>
      </c>
      <c r="O23" s="344">
        <f t="shared" ca="1" si="6"/>
        <v>0</v>
      </c>
      <c r="P23" s="344">
        <f t="shared" ca="1" si="6"/>
        <v>0</v>
      </c>
      <c r="Q23" s="344">
        <f t="shared" ca="1" si="6"/>
        <v>0</v>
      </c>
      <c r="R23" s="344">
        <f t="shared" ca="1" si="6"/>
        <v>0</v>
      </c>
      <c r="S23" s="344">
        <f t="shared" ca="1" si="6"/>
        <v>0</v>
      </c>
      <c r="T23" s="344">
        <f t="shared" ca="1" si="6"/>
        <v>0</v>
      </c>
      <c r="U23" s="344">
        <f t="shared" ca="1" si="6"/>
        <v>0</v>
      </c>
      <c r="V23" s="344">
        <f t="shared" ca="1" si="6"/>
        <v>-863.65453888617992</v>
      </c>
      <c r="W23" s="344">
        <f t="shared" ca="1" si="6"/>
        <v>0</v>
      </c>
      <c r="X23" s="344">
        <f t="shared" ca="1" si="6"/>
        <v>0</v>
      </c>
      <c r="Y23" s="344" t="e">
        <f t="shared" ca="1" si="6"/>
        <v>#REF!</v>
      </c>
      <c r="Z23" s="344" t="e">
        <f t="shared" ca="1" si="6"/>
        <v>#REF!</v>
      </c>
      <c r="AA23" s="344" t="e">
        <f t="shared" ca="1" si="6"/>
        <v>#REF!</v>
      </c>
      <c r="AB23" s="344" t="e">
        <f t="shared" ca="1" si="6"/>
        <v>#REF!</v>
      </c>
      <c r="AC23" s="344" t="e">
        <f t="shared" ca="1" si="6"/>
        <v>#REF!</v>
      </c>
      <c r="AD23" s="344" t="e">
        <f t="shared" ca="1" si="6"/>
        <v>#REF!</v>
      </c>
      <c r="AE23" s="344" t="e">
        <f t="shared" ca="1" si="6"/>
        <v>#REF!</v>
      </c>
      <c r="AF23" s="344" t="e">
        <f t="shared" ca="1" si="6"/>
        <v>#REF!</v>
      </c>
    </row>
    <row r="24" spans="1:32">
      <c r="A24">
        <f t="shared" si="4"/>
        <v>2029</v>
      </c>
      <c r="B24" s="344">
        <f t="shared" ca="1" si="1"/>
        <v>0</v>
      </c>
      <c r="C24" s="344">
        <f t="shared" ca="1" si="6"/>
        <v>0</v>
      </c>
      <c r="D24" s="344">
        <f t="shared" ca="1" si="6"/>
        <v>0</v>
      </c>
      <c r="E24" s="344">
        <f t="shared" ca="1" si="6"/>
        <v>0</v>
      </c>
      <c r="F24" s="344">
        <f t="shared" ca="1" si="6"/>
        <v>0</v>
      </c>
      <c r="G24" s="344">
        <f t="shared" ca="1" si="6"/>
        <v>0</v>
      </c>
      <c r="H24" s="344">
        <f t="shared" ca="1" si="6"/>
        <v>0</v>
      </c>
      <c r="I24" s="344">
        <f t="shared" ca="1" si="6"/>
        <v>0</v>
      </c>
      <c r="J24" s="344">
        <f t="shared" ca="1" si="6"/>
        <v>0</v>
      </c>
      <c r="K24" s="344">
        <f t="shared" ca="1" si="6"/>
        <v>0</v>
      </c>
      <c r="L24" s="344">
        <f t="shared" ca="1" si="6"/>
        <v>-208.73359881376186</v>
      </c>
      <c r="M24" s="344">
        <f t="shared" ca="1" si="6"/>
        <v>0</v>
      </c>
      <c r="N24" s="344">
        <f t="shared" ca="1" si="6"/>
        <v>0</v>
      </c>
      <c r="O24" s="344">
        <f t="shared" ca="1" si="6"/>
        <v>0</v>
      </c>
      <c r="P24" s="344">
        <f t="shared" ca="1" si="6"/>
        <v>0</v>
      </c>
      <c r="Q24" s="344">
        <f t="shared" ca="1" si="6"/>
        <v>0</v>
      </c>
      <c r="R24" s="344">
        <f t="shared" ca="1" si="6"/>
        <v>0</v>
      </c>
      <c r="S24" s="344">
        <f t="shared" ca="1" si="6"/>
        <v>0</v>
      </c>
      <c r="T24" s="344">
        <f t="shared" ca="1" si="6"/>
        <v>0</v>
      </c>
      <c r="U24" s="344">
        <f t="shared" ca="1" si="6"/>
        <v>0</v>
      </c>
      <c r="V24" s="344">
        <f t="shared" ca="1" si="6"/>
        <v>-864.41255356388149</v>
      </c>
      <c r="W24" s="344">
        <f t="shared" ca="1" si="6"/>
        <v>0</v>
      </c>
      <c r="X24" s="344">
        <f t="shared" ca="1" si="6"/>
        <v>0</v>
      </c>
      <c r="Y24" s="344" t="e">
        <f t="shared" ca="1" si="6"/>
        <v>#REF!</v>
      </c>
      <c r="Z24" s="344" t="e">
        <f t="shared" ca="1" si="6"/>
        <v>#REF!</v>
      </c>
      <c r="AA24" s="344" t="e">
        <f t="shared" ca="1" si="6"/>
        <v>#REF!</v>
      </c>
      <c r="AB24" s="344" t="e">
        <f t="shared" ca="1" si="6"/>
        <v>#REF!</v>
      </c>
      <c r="AC24" s="344" t="e">
        <f t="shared" ca="1" si="6"/>
        <v>#REF!</v>
      </c>
      <c r="AD24" s="344" t="e">
        <f t="shared" ca="1" si="6"/>
        <v>#REF!</v>
      </c>
      <c r="AE24" s="344" t="e">
        <f t="shared" ca="1" si="6"/>
        <v>#REF!</v>
      </c>
      <c r="AF24" s="344" t="e">
        <f t="shared" ca="1" si="6"/>
        <v>#REF!</v>
      </c>
    </row>
    <row r="25" spans="1:32">
      <c r="A25">
        <f t="shared" si="4"/>
        <v>2030</v>
      </c>
      <c r="B25" s="344">
        <f t="shared" ca="1" si="1"/>
        <v>0</v>
      </c>
      <c r="C25" s="344">
        <f t="shared" ca="1" si="6"/>
        <v>0</v>
      </c>
      <c r="D25" s="344">
        <f t="shared" ca="1" si="6"/>
        <v>0</v>
      </c>
      <c r="E25" s="344">
        <f t="shared" ca="1" si="6"/>
        <v>0</v>
      </c>
      <c r="F25" s="344">
        <f t="shared" ca="1" si="6"/>
        <v>0</v>
      </c>
      <c r="G25" s="344">
        <f t="shared" ca="1" si="6"/>
        <v>0</v>
      </c>
      <c r="H25" s="344">
        <f t="shared" ca="1" si="6"/>
        <v>0</v>
      </c>
      <c r="I25" s="344">
        <f t="shared" ca="1" si="6"/>
        <v>0</v>
      </c>
      <c r="J25" s="344">
        <f t="shared" ca="1" si="6"/>
        <v>0</v>
      </c>
      <c r="K25" s="344">
        <f t="shared" ca="1" si="6"/>
        <v>0</v>
      </c>
      <c r="L25" s="344">
        <f t="shared" ca="1" si="6"/>
        <v>-208.90733076504105</v>
      </c>
      <c r="M25" s="344">
        <f t="shared" ca="1" si="6"/>
        <v>0</v>
      </c>
      <c r="N25" s="344">
        <f t="shared" ca="1" si="6"/>
        <v>0</v>
      </c>
      <c r="O25" s="344">
        <f t="shared" ca="1" si="6"/>
        <v>0</v>
      </c>
      <c r="P25" s="344">
        <f t="shared" ca="1" si="6"/>
        <v>0</v>
      </c>
      <c r="Q25" s="344">
        <f t="shared" ca="1" si="6"/>
        <v>0</v>
      </c>
      <c r="R25" s="344">
        <f t="shared" ca="1" si="6"/>
        <v>0</v>
      </c>
      <c r="S25" s="344">
        <f t="shared" ca="1" si="6"/>
        <v>0</v>
      </c>
      <c r="T25" s="344">
        <f t="shared" ca="1" si="6"/>
        <v>0</v>
      </c>
      <c r="U25" s="344">
        <f t="shared" ca="1" si="6"/>
        <v>0</v>
      </c>
      <c r="V25" s="344">
        <f t="shared" ca="1" si="6"/>
        <v>-865.15086944257303</v>
      </c>
      <c r="W25" s="344">
        <f t="shared" ca="1" si="6"/>
        <v>0</v>
      </c>
      <c r="X25" s="344">
        <f t="shared" ca="1" si="6"/>
        <v>0</v>
      </c>
      <c r="Y25" s="344" t="e">
        <f t="shared" ca="1" si="6"/>
        <v>#REF!</v>
      </c>
      <c r="Z25" s="344" t="e">
        <f t="shared" ca="1" si="6"/>
        <v>#REF!</v>
      </c>
      <c r="AA25" s="344" t="e">
        <f t="shared" ca="1" si="6"/>
        <v>#REF!</v>
      </c>
      <c r="AB25" s="344" t="e">
        <f t="shared" ca="1" si="6"/>
        <v>#REF!</v>
      </c>
      <c r="AC25" s="344" t="e">
        <f t="shared" ca="1" si="6"/>
        <v>#REF!</v>
      </c>
      <c r="AD25" s="344" t="e">
        <f t="shared" ca="1" si="6"/>
        <v>#REF!</v>
      </c>
      <c r="AE25" s="344" t="e">
        <f t="shared" ca="1" si="6"/>
        <v>#REF!</v>
      </c>
      <c r="AF25" s="344" t="e">
        <f t="shared" ca="1" si="6"/>
        <v>#REF!</v>
      </c>
    </row>
    <row r="26" spans="1:32">
      <c r="A26">
        <f t="shared" si="4"/>
        <v>2031</v>
      </c>
      <c r="B26" s="344">
        <f t="shared" ca="1" si="1"/>
        <v>0</v>
      </c>
      <c r="C26" s="344">
        <f t="shared" ca="1" si="6"/>
        <v>0</v>
      </c>
      <c r="D26" s="344">
        <f t="shared" ca="1" si="6"/>
        <v>0</v>
      </c>
      <c r="E26" s="344">
        <f t="shared" ca="1" si="6"/>
        <v>0</v>
      </c>
      <c r="F26" s="344">
        <f t="shared" ca="1" si="6"/>
        <v>0</v>
      </c>
      <c r="G26" s="344">
        <f t="shared" ca="1" si="6"/>
        <v>0</v>
      </c>
      <c r="H26" s="344">
        <f t="shared" ca="1" si="6"/>
        <v>0</v>
      </c>
      <c r="I26" s="344">
        <f t="shared" ca="1" si="6"/>
        <v>0</v>
      </c>
      <c r="J26" s="344">
        <f t="shared" ca="1" si="6"/>
        <v>0</v>
      </c>
      <c r="K26" s="344">
        <f t="shared" ca="1" si="6"/>
        <v>0</v>
      </c>
      <c r="L26" s="344">
        <f t="shared" ca="1" si="6"/>
        <v>-209.07697318635553</v>
      </c>
      <c r="M26" s="344">
        <f t="shared" ca="1" si="6"/>
        <v>0</v>
      </c>
      <c r="N26" s="344">
        <f t="shared" ca="1" si="6"/>
        <v>0</v>
      </c>
      <c r="O26" s="344">
        <f t="shared" ca="1" si="6"/>
        <v>0</v>
      </c>
      <c r="P26" s="344">
        <f t="shared" ca="1" si="6"/>
        <v>0</v>
      </c>
      <c r="Q26" s="344">
        <f t="shared" ca="1" si="6"/>
        <v>0</v>
      </c>
      <c r="R26" s="344">
        <f t="shared" ca="1" si="6"/>
        <v>0</v>
      </c>
      <c r="S26" s="344">
        <f t="shared" ca="1" si="6"/>
        <v>0</v>
      </c>
      <c r="T26" s="344">
        <f t="shared" ca="1" si="6"/>
        <v>0</v>
      </c>
      <c r="U26" s="344">
        <f t="shared" ca="1" si="6"/>
        <v>0</v>
      </c>
      <c r="V26" s="344">
        <f t="shared" ca="1" si="6"/>
        <v>-865.87094685010732</v>
      </c>
      <c r="W26" s="344">
        <f t="shared" ca="1" si="6"/>
        <v>0</v>
      </c>
      <c r="X26" s="344">
        <f t="shared" ca="1" si="6"/>
        <v>0</v>
      </c>
      <c r="Y26" s="344" t="e">
        <f t="shared" ca="1" si="6"/>
        <v>#REF!</v>
      </c>
      <c r="Z26" s="344" t="e">
        <f t="shared" ca="1" si="6"/>
        <v>#REF!</v>
      </c>
      <c r="AA26" s="344" t="e">
        <f t="shared" ca="1" si="6"/>
        <v>#REF!</v>
      </c>
      <c r="AB26" s="344" t="e">
        <f t="shared" ca="1" si="6"/>
        <v>#REF!</v>
      </c>
      <c r="AC26" s="344" t="e">
        <f t="shared" ca="1" si="6"/>
        <v>#REF!</v>
      </c>
      <c r="AD26" s="344" t="e">
        <f t="shared" ca="1" si="6"/>
        <v>#REF!</v>
      </c>
      <c r="AE26" s="344" t="e">
        <f t="shared" ca="1" si="6"/>
        <v>#REF!</v>
      </c>
      <c r="AF26" s="344" t="e">
        <f t="shared" ca="1" si="6"/>
        <v>#REF!</v>
      </c>
    </row>
    <row r="27" spans="1:32">
      <c r="A27">
        <f t="shared" si="4"/>
        <v>2032</v>
      </c>
      <c r="B27" s="344">
        <f t="shared" ca="1" si="1"/>
        <v>0</v>
      </c>
      <c r="C27" s="344">
        <f t="shared" ca="1" si="6"/>
        <v>0</v>
      </c>
      <c r="D27" s="344">
        <f t="shared" ca="1" si="6"/>
        <v>0</v>
      </c>
      <c r="E27" s="344">
        <f t="shared" ca="1" si="6"/>
        <v>0</v>
      </c>
      <c r="F27" s="344">
        <f t="shared" ca="1" si="6"/>
        <v>0</v>
      </c>
      <c r="G27" s="344">
        <f t="shared" ca="1" si="6"/>
        <v>0</v>
      </c>
      <c r="H27" s="344">
        <f t="shared" ca="1" si="6"/>
        <v>0</v>
      </c>
      <c r="I27" s="344">
        <f t="shared" ca="1" si="6"/>
        <v>0</v>
      </c>
      <c r="J27" s="344">
        <f t="shared" ca="1" si="6"/>
        <v>0</v>
      </c>
      <c r="K27" s="344">
        <f t="shared" ca="1" si="6"/>
        <v>0</v>
      </c>
      <c r="L27" s="344">
        <f t="shared" ca="1" si="6"/>
        <v>-209.24280195681288</v>
      </c>
      <c r="M27" s="344">
        <f t="shared" ca="1" si="6"/>
        <v>0</v>
      </c>
      <c r="N27" s="344">
        <f t="shared" ca="1" si="6"/>
        <v>0</v>
      </c>
      <c r="O27" s="344">
        <f t="shared" ca="1" si="6"/>
        <v>0</v>
      </c>
      <c r="P27" s="344">
        <f t="shared" ca="1" si="6"/>
        <v>0</v>
      </c>
      <c r="Q27" s="344">
        <f t="shared" ca="1" si="6"/>
        <v>0</v>
      </c>
      <c r="R27" s="344">
        <f t="shared" ca="1" si="6"/>
        <v>0</v>
      </c>
      <c r="S27" s="344">
        <f t="shared" ca="1" si="6"/>
        <v>0</v>
      </c>
      <c r="T27" s="344">
        <f t="shared" ca="1" si="6"/>
        <v>0</v>
      </c>
      <c r="U27" s="344">
        <f t="shared" ca="1" si="6"/>
        <v>0</v>
      </c>
      <c r="V27" s="344">
        <f t="shared" ca="1" si="6"/>
        <v>-866.57407413353792</v>
      </c>
      <c r="W27" s="344">
        <f t="shared" ca="1" si="6"/>
        <v>0</v>
      </c>
      <c r="X27" s="344">
        <f t="shared" ca="1" si="6"/>
        <v>0</v>
      </c>
      <c r="Y27" s="344" t="e">
        <f t="shared" ca="1" si="6"/>
        <v>#REF!</v>
      </c>
      <c r="Z27" s="344" t="e">
        <f t="shared" ca="1" si="6"/>
        <v>#REF!</v>
      </c>
      <c r="AA27" s="344" t="e">
        <f t="shared" ca="1" si="6"/>
        <v>#REF!</v>
      </c>
      <c r="AB27" s="344" t="e">
        <f t="shared" ca="1" si="6"/>
        <v>#REF!</v>
      </c>
      <c r="AC27" s="344" t="e">
        <f t="shared" ca="1" si="6"/>
        <v>#REF!</v>
      </c>
      <c r="AD27" s="344" t="e">
        <f t="shared" ca="1" si="6"/>
        <v>#REF!</v>
      </c>
      <c r="AE27" s="344" t="e">
        <f t="shared" ca="1" si="6"/>
        <v>#REF!</v>
      </c>
      <c r="AF27" s="344" t="e">
        <f t="shared" ca="1" si="6"/>
        <v>#REF!</v>
      </c>
    </row>
    <row r="28" spans="1:32">
      <c r="A28">
        <f t="shared" si="4"/>
        <v>2033</v>
      </c>
      <c r="B28" s="344">
        <f t="shared" ca="1" si="1"/>
        <v>0</v>
      </c>
      <c r="C28" s="344">
        <f t="shared" ca="1" si="6"/>
        <v>0</v>
      </c>
      <c r="D28" s="344">
        <f t="shared" ca="1" si="6"/>
        <v>0</v>
      </c>
      <c r="E28" s="344">
        <f t="shared" ca="1" si="6"/>
        <v>0</v>
      </c>
      <c r="F28" s="344">
        <f t="shared" ca="1" si="6"/>
        <v>0</v>
      </c>
      <c r="G28" s="344">
        <f t="shared" ca="1" si="6"/>
        <v>0</v>
      </c>
      <c r="H28" s="344">
        <f t="shared" ca="1" si="6"/>
        <v>0</v>
      </c>
      <c r="I28" s="344">
        <f t="shared" ca="1" si="6"/>
        <v>0</v>
      </c>
      <c r="J28" s="344">
        <f t="shared" ca="1" si="6"/>
        <v>0</v>
      </c>
      <c r="K28" s="344">
        <f t="shared" ca="1" si="6"/>
        <v>0</v>
      </c>
      <c r="L28" s="344">
        <f t="shared" ca="1" si="6"/>
        <v>-209.40506326564875</v>
      </c>
      <c r="M28" s="344">
        <f t="shared" ca="1" si="6"/>
        <v>0</v>
      </c>
      <c r="N28" s="344">
        <f t="shared" ca="1" si="6"/>
        <v>0</v>
      </c>
      <c r="O28" s="344">
        <f t="shared" ca="1" si="6"/>
        <v>0</v>
      </c>
      <c r="P28" s="344">
        <f t="shared" ca="1" si="6"/>
        <v>0</v>
      </c>
      <c r="Q28" s="344">
        <f t="shared" ca="1" si="6"/>
        <v>0</v>
      </c>
      <c r="R28" s="344">
        <f t="shared" ca="1" si="6"/>
        <v>0</v>
      </c>
      <c r="S28" s="344">
        <f t="shared" ca="1" si="6"/>
        <v>0</v>
      </c>
      <c r="T28" s="344">
        <f t="shared" ca="1" si="6"/>
        <v>0</v>
      </c>
      <c r="U28" s="344">
        <f t="shared" ca="1" si="6"/>
        <v>0</v>
      </c>
      <c r="V28" s="344">
        <f t="shared" ca="1" si="6"/>
        <v>-867.26139474581635</v>
      </c>
      <c r="W28" s="344">
        <f t="shared" ca="1" si="6"/>
        <v>0</v>
      </c>
      <c r="X28" s="344">
        <f t="shared" ca="1" si="6"/>
        <v>0</v>
      </c>
      <c r="Y28" s="344" t="e">
        <f t="shared" ca="1" si="6"/>
        <v>#REF!</v>
      </c>
      <c r="Z28" s="344" t="e">
        <f t="shared" ca="1" si="6"/>
        <v>#REF!</v>
      </c>
      <c r="AA28" s="344" t="e">
        <f t="shared" ca="1" si="6"/>
        <v>#REF!</v>
      </c>
      <c r="AB28" s="344" t="e">
        <f t="shared" ca="1" si="6"/>
        <v>#REF!</v>
      </c>
      <c r="AC28" s="344" t="e">
        <f t="shared" ca="1" si="6"/>
        <v>#REF!</v>
      </c>
      <c r="AD28" s="344" t="e">
        <f t="shared" ca="1" si="6"/>
        <v>#REF!</v>
      </c>
      <c r="AE28" s="344" t="e">
        <f t="shared" ca="1" si="6"/>
        <v>#REF!</v>
      </c>
      <c r="AF28" s="344" t="e">
        <f t="shared" ca="1" si="6"/>
        <v>#REF!</v>
      </c>
    </row>
    <row r="29" spans="1:32">
      <c r="A29">
        <f t="shared" si="4"/>
        <v>2034</v>
      </c>
      <c r="B29" s="344">
        <f t="shared" ca="1" si="1"/>
        <v>0</v>
      </c>
      <c r="C29" s="344">
        <f t="shared" ca="1" si="6"/>
        <v>0</v>
      </c>
      <c r="D29" s="344">
        <f t="shared" ca="1" si="6"/>
        <v>0</v>
      </c>
      <c r="E29" s="344">
        <f t="shared" ca="1" si="6"/>
        <v>0</v>
      </c>
      <c r="F29" s="344">
        <f t="shared" ca="1" si="6"/>
        <v>0</v>
      </c>
      <c r="G29" s="344">
        <f t="shared" ca="1" si="6"/>
        <v>0</v>
      </c>
      <c r="H29" s="344">
        <f t="shared" ca="1" si="6"/>
        <v>0</v>
      </c>
      <c r="I29" s="344">
        <f t="shared" ca="1" si="6"/>
        <v>0</v>
      </c>
      <c r="J29" s="344">
        <f t="shared" ca="1" si="6"/>
        <v>0</v>
      </c>
      <c r="K29" s="344">
        <f t="shared" ca="1" si="6"/>
        <v>0</v>
      </c>
      <c r="L29" s="344">
        <f t="shared" ca="1" si="6"/>
        <v>-209.5639779018</v>
      </c>
      <c r="M29" s="344">
        <f t="shared" ca="1" si="6"/>
        <v>0</v>
      </c>
      <c r="N29" s="344">
        <f t="shared" ca="1" si="6"/>
        <v>0</v>
      </c>
      <c r="O29" s="344">
        <f t="shared" ca="1" si="6"/>
        <v>0</v>
      </c>
      <c r="P29" s="344">
        <f t="shared" ca="1" si="6"/>
        <v>0</v>
      </c>
      <c r="Q29" s="344">
        <f t="shared" ca="1" si="6"/>
        <v>0</v>
      </c>
      <c r="R29" s="344">
        <f t="shared" ca="1" si="6"/>
        <v>0</v>
      </c>
      <c r="S29" s="344">
        <f t="shared" ca="1" si="6"/>
        <v>0</v>
      </c>
      <c r="T29" s="344">
        <f t="shared" ca="1" si="6"/>
        <v>0</v>
      </c>
      <c r="U29" s="344">
        <f t="shared" ca="1" si="6"/>
        <v>0</v>
      </c>
      <c r="V29" s="344">
        <f t="shared" ca="1" si="6"/>
        <v>-867.93392908247324</v>
      </c>
      <c r="W29" s="344">
        <f t="shared" ca="1" si="6"/>
        <v>0</v>
      </c>
      <c r="X29" s="344">
        <f t="shared" ca="1" si="6"/>
        <v>0</v>
      </c>
      <c r="Y29" s="344" t="e">
        <f t="shared" ca="1" si="6"/>
        <v>#REF!</v>
      </c>
      <c r="Z29" s="344" t="e">
        <f t="shared" ca="1" si="6"/>
        <v>#REF!</v>
      </c>
      <c r="AA29" s="344" t="e">
        <f t="shared" ca="1" si="6"/>
        <v>#REF!</v>
      </c>
      <c r="AB29" s="344" t="e">
        <f t="shared" ca="1" si="6"/>
        <v>#REF!</v>
      </c>
      <c r="AC29" s="344" t="e">
        <f t="shared" ca="1" si="6"/>
        <v>#REF!</v>
      </c>
      <c r="AD29" s="344" t="e">
        <f t="shared" ca="1" si="6"/>
        <v>#REF!</v>
      </c>
      <c r="AE29" s="344" t="e">
        <f t="shared" ca="1" si="6"/>
        <v>#REF!</v>
      </c>
      <c r="AF29" s="344" t="e">
        <f t="shared" ca="1" si="6"/>
        <v>#REF!</v>
      </c>
    </row>
    <row r="30" spans="1:32">
      <c r="A30">
        <f t="shared" si="4"/>
        <v>2035</v>
      </c>
      <c r="B30" s="344">
        <f t="shared" ca="1" si="1"/>
        <v>0</v>
      </c>
      <c r="C30" s="344">
        <f t="shared" ca="1" si="6"/>
        <v>0</v>
      </c>
      <c r="D30" s="344">
        <f t="shared" ca="1" si="6"/>
        <v>0</v>
      </c>
      <c r="E30" s="344">
        <f t="shared" ca="1" si="6"/>
        <v>0</v>
      </c>
      <c r="F30" s="344">
        <f t="shared" ca="1" si="6"/>
        <v>0</v>
      </c>
      <c r="G30" s="344">
        <f t="shared" ca="1" si="6"/>
        <v>0</v>
      </c>
      <c r="H30" s="344">
        <f t="shared" ca="1" si="6"/>
        <v>0</v>
      </c>
      <c r="I30" s="344">
        <f t="shared" ca="1" si="6"/>
        <v>0</v>
      </c>
      <c r="J30" s="344">
        <f t="shared" ca="1" si="6"/>
        <v>0</v>
      </c>
      <c r="K30" s="344">
        <f t="shared" ca="1" si="6"/>
        <v>0</v>
      </c>
      <c r="L30" s="344">
        <f t="shared" ca="1" si="6"/>
        <v>-209.71974477808931</v>
      </c>
      <c r="M30" s="344">
        <f t="shared" ca="1" si="6"/>
        <v>0</v>
      </c>
      <c r="N30" s="344">
        <f t="shared" ca="1" si="6"/>
        <v>0</v>
      </c>
      <c r="O30" s="344">
        <f t="shared" ca="1" si="6"/>
        <v>0</v>
      </c>
      <c r="P30" s="344">
        <f t="shared" ca="1" si="6"/>
        <v>0</v>
      </c>
      <c r="Q30" s="344">
        <f t="shared" ca="1" si="6"/>
        <v>0</v>
      </c>
      <c r="R30" s="344">
        <f t="shared" ca="1" si="6"/>
        <v>0</v>
      </c>
      <c r="S30" s="344">
        <f t="shared" ca="1" si="6"/>
        <v>0</v>
      </c>
      <c r="T30" s="344">
        <f t="shared" ca="1" si="6"/>
        <v>0</v>
      </c>
      <c r="U30" s="344">
        <f t="shared" ca="1" si="6"/>
        <v>0</v>
      </c>
      <c r="V30" s="344">
        <f t="shared" ca="1" si="6"/>
        <v>-868.59259226087261</v>
      </c>
      <c r="W30" s="344">
        <f t="shared" ca="1" si="6"/>
        <v>0</v>
      </c>
      <c r="X30" s="344">
        <f t="shared" ca="1" si="6"/>
        <v>0</v>
      </c>
      <c r="Y30" s="344" t="e">
        <f t="shared" ca="1" si="6"/>
        <v>#REF!</v>
      </c>
      <c r="Z30" s="344" t="e">
        <f t="shared" ca="1" si="6"/>
        <v>#REF!</v>
      </c>
      <c r="AA30" s="344" t="e">
        <f t="shared" ca="1" si="6"/>
        <v>#REF!</v>
      </c>
      <c r="AB30" s="344" t="e">
        <f t="shared" ca="1" si="6"/>
        <v>#REF!</v>
      </c>
      <c r="AC30" s="344" t="e">
        <f t="shared" ca="1" si="6"/>
        <v>#REF!</v>
      </c>
      <c r="AD30" s="344" t="e">
        <f t="shared" ca="1" si="6"/>
        <v>#REF!</v>
      </c>
      <c r="AE30" s="344" t="e">
        <f t="shared" ca="1" si="6"/>
        <v>#REF!</v>
      </c>
      <c r="AF30" s="344" t="e">
        <f t="shared" ca="1" si="6"/>
        <v>#REF!</v>
      </c>
    </row>
    <row r="31" spans="1:32">
      <c r="A31">
        <f t="shared" si="4"/>
        <v>2036</v>
      </c>
      <c r="B31" s="344">
        <f t="shared" ca="1" si="1"/>
        <v>0</v>
      </c>
      <c r="C31" s="344">
        <f t="shared" ref="C31:AF39" ca="1" si="7">OFFSET(INDIRECT(C$3),$A31-$A$5+$C$1,$C$2)</f>
        <v>0</v>
      </c>
      <c r="D31" s="344">
        <f t="shared" ca="1" si="7"/>
        <v>0</v>
      </c>
      <c r="E31" s="344">
        <f t="shared" ca="1" si="7"/>
        <v>0</v>
      </c>
      <c r="F31" s="344">
        <f t="shared" ca="1" si="7"/>
        <v>0</v>
      </c>
      <c r="G31" s="344">
        <f t="shared" ca="1" si="7"/>
        <v>0</v>
      </c>
      <c r="H31" s="344">
        <f t="shared" ca="1" si="7"/>
        <v>0</v>
      </c>
      <c r="I31" s="344">
        <f t="shared" ca="1" si="7"/>
        <v>0</v>
      </c>
      <c r="J31" s="344">
        <f t="shared" ca="1" si="7"/>
        <v>0</v>
      </c>
      <c r="K31" s="344">
        <f t="shared" ca="1" si="7"/>
        <v>0</v>
      </c>
      <c r="L31" s="344">
        <f t="shared" ca="1" si="7"/>
        <v>-209.87254385060123</v>
      </c>
      <c r="M31" s="344">
        <f t="shared" ca="1" si="7"/>
        <v>0</v>
      </c>
      <c r="N31" s="344">
        <f t="shared" ca="1" si="7"/>
        <v>0</v>
      </c>
      <c r="O31" s="344">
        <f t="shared" ca="1" si="7"/>
        <v>0</v>
      </c>
      <c r="P31" s="344">
        <f t="shared" ca="1" si="7"/>
        <v>0</v>
      </c>
      <c r="Q31" s="344">
        <f t="shared" ca="1" si="7"/>
        <v>0</v>
      </c>
      <c r="R31" s="344">
        <f t="shared" ca="1" si="7"/>
        <v>0</v>
      </c>
      <c r="S31" s="344">
        <f t="shared" ca="1" si="7"/>
        <v>0</v>
      </c>
      <c r="T31" s="344">
        <f t="shared" ca="1" si="7"/>
        <v>0</v>
      </c>
      <c r="U31" s="344">
        <f t="shared" ca="1" si="7"/>
        <v>0</v>
      </c>
      <c r="V31" s="344">
        <f t="shared" ca="1" si="7"/>
        <v>-869.23820872711428</v>
      </c>
      <c r="W31" s="344">
        <f t="shared" ca="1" si="7"/>
        <v>0</v>
      </c>
      <c r="X31" s="344">
        <f t="shared" ca="1" si="7"/>
        <v>0</v>
      </c>
      <c r="Y31" s="344" t="e">
        <f t="shared" ca="1" si="7"/>
        <v>#REF!</v>
      </c>
      <c r="Z31" s="344" t="e">
        <f t="shared" ca="1" si="7"/>
        <v>#REF!</v>
      </c>
      <c r="AA31" s="344" t="e">
        <f t="shared" ca="1" si="7"/>
        <v>#REF!</v>
      </c>
      <c r="AB31" s="344" t="e">
        <f t="shared" ca="1" si="7"/>
        <v>#REF!</v>
      </c>
      <c r="AC31" s="344" t="e">
        <f t="shared" ca="1" si="7"/>
        <v>#REF!</v>
      </c>
      <c r="AD31" s="344" t="e">
        <f t="shared" ca="1" si="7"/>
        <v>#REF!</v>
      </c>
      <c r="AE31" s="344" t="e">
        <f t="shared" ca="1" si="7"/>
        <v>#REF!</v>
      </c>
      <c r="AF31" s="344" t="e">
        <f t="shared" ca="1" si="7"/>
        <v>#REF!</v>
      </c>
    </row>
    <row r="32" spans="1:32">
      <c r="A32">
        <f t="shared" si="4"/>
        <v>2037</v>
      </c>
      <c r="B32" s="344">
        <f t="shared" ca="1" si="1"/>
        <v>0</v>
      </c>
      <c r="C32" s="344">
        <f t="shared" ca="1" si="7"/>
        <v>0</v>
      </c>
      <c r="D32" s="344">
        <f t="shared" ca="1" si="7"/>
        <v>0</v>
      </c>
      <c r="E32" s="344">
        <f t="shared" ca="1" si="7"/>
        <v>0</v>
      </c>
      <c r="F32" s="344">
        <f t="shared" ca="1" si="7"/>
        <v>0</v>
      </c>
      <c r="G32" s="344">
        <f t="shared" ca="1" si="7"/>
        <v>0</v>
      </c>
      <c r="H32" s="344">
        <f t="shared" ca="1" si="7"/>
        <v>0</v>
      </c>
      <c r="I32" s="344">
        <f t="shared" ca="1" si="7"/>
        <v>0</v>
      </c>
      <c r="J32" s="344">
        <f t="shared" ca="1" si="7"/>
        <v>0</v>
      </c>
      <c r="K32" s="344">
        <f t="shared" ca="1" si="7"/>
        <v>0</v>
      </c>
      <c r="L32" s="344">
        <f t="shared" ca="1" si="7"/>
        <v>-210.02253855547011</v>
      </c>
      <c r="M32" s="344">
        <f t="shared" ca="1" si="7"/>
        <v>0</v>
      </c>
      <c r="N32" s="344">
        <f t="shared" ca="1" si="7"/>
        <v>0</v>
      </c>
      <c r="O32" s="344">
        <f t="shared" ca="1" si="7"/>
        <v>0</v>
      </c>
      <c r="P32" s="344">
        <f t="shared" ca="1" si="7"/>
        <v>0</v>
      </c>
      <c r="Q32" s="344">
        <f t="shared" ca="1" si="7"/>
        <v>0</v>
      </c>
      <c r="R32" s="344">
        <f t="shared" ca="1" si="7"/>
        <v>0</v>
      </c>
      <c r="S32" s="344">
        <f t="shared" ca="1" si="7"/>
        <v>0</v>
      </c>
      <c r="T32" s="344">
        <f t="shared" ca="1" si="7"/>
        <v>0</v>
      </c>
      <c r="U32" s="344">
        <f t="shared" ca="1" si="7"/>
        <v>0</v>
      </c>
      <c r="V32" s="344">
        <f t="shared" ca="1" si="7"/>
        <v>-869.8715243561503</v>
      </c>
      <c r="W32" s="344">
        <f t="shared" ca="1" si="7"/>
        <v>0</v>
      </c>
      <c r="X32" s="344">
        <f t="shared" ca="1" si="7"/>
        <v>0</v>
      </c>
      <c r="Y32" s="344" t="e">
        <f t="shared" ca="1" si="7"/>
        <v>#REF!</v>
      </c>
      <c r="Z32" s="344" t="e">
        <f t="shared" ca="1" si="7"/>
        <v>#REF!</v>
      </c>
      <c r="AA32" s="344" t="e">
        <f t="shared" ca="1" si="7"/>
        <v>#REF!</v>
      </c>
      <c r="AB32" s="344" t="e">
        <f t="shared" ca="1" si="7"/>
        <v>#REF!</v>
      </c>
      <c r="AC32" s="344" t="e">
        <f t="shared" ca="1" si="7"/>
        <v>#REF!</v>
      </c>
      <c r="AD32" s="344" t="e">
        <f t="shared" ca="1" si="7"/>
        <v>#REF!</v>
      </c>
      <c r="AE32" s="344" t="e">
        <f t="shared" ca="1" si="7"/>
        <v>#REF!</v>
      </c>
      <c r="AF32" s="344" t="e">
        <f t="shared" ca="1" si="7"/>
        <v>#REF!</v>
      </c>
    </row>
    <row r="33" spans="1:32">
      <c r="A33">
        <f t="shared" si="4"/>
        <v>2038</v>
      </c>
      <c r="B33" s="344">
        <f t="shared" ca="1" si="1"/>
        <v>0</v>
      </c>
      <c r="C33" s="344">
        <f t="shared" ca="1" si="7"/>
        <v>0</v>
      </c>
      <c r="D33" s="344">
        <f t="shared" ca="1" si="7"/>
        <v>0</v>
      </c>
      <c r="E33" s="344">
        <f t="shared" ca="1" si="7"/>
        <v>0</v>
      </c>
      <c r="F33" s="344">
        <f t="shared" ca="1" si="7"/>
        <v>0</v>
      </c>
      <c r="G33" s="344">
        <f t="shared" ca="1" si="7"/>
        <v>0</v>
      </c>
      <c r="H33" s="344">
        <f t="shared" ca="1" si="7"/>
        <v>0</v>
      </c>
      <c r="I33" s="344">
        <f t="shared" ca="1" si="7"/>
        <v>0</v>
      </c>
      <c r="J33" s="344">
        <f t="shared" ca="1" si="7"/>
        <v>0</v>
      </c>
      <c r="K33" s="344">
        <f t="shared" ca="1" si="7"/>
        <v>0</v>
      </c>
      <c r="L33" s="344">
        <f t="shared" ca="1" si="7"/>
        <v>-210.16987785714261</v>
      </c>
      <c r="M33" s="344">
        <f t="shared" ca="1" si="7"/>
        <v>0</v>
      </c>
      <c r="N33" s="344">
        <f t="shared" ca="1" si="7"/>
        <v>0</v>
      </c>
      <c r="O33" s="344">
        <f t="shared" ca="1" si="7"/>
        <v>0</v>
      </c>
      <c r="P33" s="344">
        <f t="shared" ca="1" si="7"/>
        <v>0</v>
      </c>
      <c r="Q33" s="344">
        <f t="shared" ca="1" si="7"/>
        <v>0</v>
      </c>
      <c r="R33" s="344">
        <f t="shared" ca="1" si="7"/>
        <v>0</v>
      </c>
      <c r="S33" s="344">
        <f t="shared" ca="1" si="7"/>
        <v>0</v>
      </c>
      <c r="T33" s="344">
        <f t="shared" ca="1" si="7"/>
        <v>0</v>
      </c>
      <c r="U33" s="344">
        <f t="shared" ca="1" si="7"/>
        <v>0</v>
      </c>
      <c r="V33" s="344">
        <f t="shared" ca="1" si="7"/>
        <v>-870.49321655168853</v>
      </c>
      <c r="W33" s="344">
        <f t="shared" ca="1" si="7"/>
        <v>0</v>
      </c>
      <c r="X33" s="344">
        <f t="shared" ca="1" si="7"/>
        <v>0</v>
      </c>
      <c r="Y33" s="344" t="e">
        <f t="shared" ca="1" si="7"/>
        <v>#REF!</v>
      </c>
      <c r="Z33" s="344" t="e">
        <f t="shared" ca="1" si="7"/>
        <v>#REF!</v>
      </c>
      <c r="AA33" s="344" t="e">
        <f t="shared" ca="1" si="7"/>
        <v>#REF!</v>
      </c>
      <c r="AB33" s="344" t="e">
        <f t="shared" ca="1" si="7"/>
        <v>#REF!</v>
      </c>
      <c r="AC33" s="344" t="e">
        <f t="shared" ca="1" si="7"/>
        <v>#REF!</v>
      </c>
      <c r="AD33" s="344" t="e">
        <f t="shared" ca="1" si="7"/>
        <v>#REF!</v>
      </c>
      <c r="AE33" s="344" t="e">
        <f t="shared" ca="1" si="7"/>
        <v>#REF!</v>
      </c>
      <c r="AF33" s="344" t="e">
        <f t="shared" ca="1" si="7"/>
        <v>#REF!</v>
      </c>
    </row>
    <row r="34" spans="1:32">
      <c r="A34">
        <f t="shared" si="4"/>
        <v>2039</v>
      </c>
      <c r="B34" s="344">
        <f t="shared" ca="1" si="1"/>
        <v>0</v>
      </c>
      <c r="C34" s="344">
        <f t="shared" ca="1" si="7"/>
        <v>0</v>
      </c>
      <c r="D34" s="344">
        <f t="shared" ca="1" si="7"/>
        <v>0</v>
      </c>
      <c r="E34" s="344">
        <f t="shared" ca="1" si="7"/>
        <v>0</v>
      </c>
      <c r="F34" s="344">
        <f t="shared" ca="1" si="7"/>
        <v>0</v>
      </c>
      <c r="G34" s="344">
        <f t="shared" ca="1" si="7"/>
        <v>0</v>
      </c>
      <c r="H34" s="344">
        <f t="shared" ca="1" si="7"/>
        <v>0</v>
      </c>
      <c r="I34" s="344">
        <f t="shared" ca="1" si="7"/>
        <v>0</v>
      </c>
      <c r="J34" s="344">
        <f t="shared" ca="1" si="7"/>
        <v>0</v>
      </c>
      <c r="K34" s="344">
        <f t="shared" ca="1" si="7"/>
        <v>0</v>
      </c>
      <c r="L34" s="344">
        <f t="shared" ca="1" si="7"/>
        <v>-210.31469798124689</v>
      </c>
      <c r="M34" s="344">
        <f t="shared" ca="1" si="7"/>
        <v>0</v>
      </c>
      <c r="N34" s="344">
        <f t="shared" ca="1" si="7"/>
        <v>0</v>
      </c>
      <c r="O34" s="344">
        <f t="shared" ca="1" si="7"/>
        <v>0</v>
      </c>
      <c r="P34" s="344">
        <f t="shared" ca="1" si="7"/>
        <v>0</v>
      </c>
      <c r="Q34" s="344">
        <f t="shared" ca="1" si="7"/>
        <v>0</v>
      </c>
      <c r="R34" s="344">
        <f t="shared" ca="1" si="7"/>
        <v>0</v>
      </c>
      <c r="S34" s="344">
        <f t="shared" ca="1" si="7"/>
        <v>0</v>
      </c>
      <c r="T34" s="344">
        <f t="shared" ca="1" si="7"/>
        <v>0</v>
      </c>
      <c r="U34" s="344">
        <f t="shared" ca="1" si="7"/>
        <v>0</v>
      </c>
      <c r="V34" s="344">
        <f t="shared" ca="1" si="7"/>
        <v>-871.10390273575013</v>
      </c>
      <c r="W34" s="344">
        <f t="shared" ca="1" si="7"/>
        <v>0</v>
      </c>
      <c r="X34" s="344">
        <f t="shared" ca="1" si="7"/>
        <v>0</v>
      </c>
      <c r="Y34" s="344" t="e">
        <f t="shared" ca="1" si="7"/>
        <v>#REF!</v>
      </c>
      <c r="Z34" s="344" t="e">
        <f t="shared" ca="1" si="7"/>
        <v>#REF!</v>
      </c>
      <c r="AA34" s="344" t="e">
        <f t="shared" ca="1" si="7"/>
        <v>#REF!</v>
      </c>
      <c r="AB34" s="344" t="e">
        <f t="shared" ca="1" si="7"/>
        <v>#REF!</v>
      </c>
      <c r="AC34" s="344" t="e">
        <f t="shared" ca="1" si="7"/>
        <v>#REF!</v>
      </c>
      <c r="AD34" s="344" t="e">
        <f t="shared" ca="1" si="7"/>
        <v>#REF!</v>
      </c>
      <c r="AE34" s="344" t="e">
        <f t="shared" ca="1" si="7"/>
        <v>#REF!</v>
      </c>
      <c r="AF34" s="344" t="e">
        <f t="shared" ca="1" si="7"/>
        <v>#REF!</v>
      </c>
    </row>
    <row r="35" spans="1:32">
      <c r="A35">
        <f t="shared" si="4"/>
        <v>2040</v>
      </c>
      <c r="B35" s="344">
        <f t="shared" ca="1" si="1"/>
        <v>0</v>
      </c>
      <c r="C35" s="344">
        <f t="shared" ca="1" si="7"/>
        <v>0</v>
      </c>
      <c r="D35" s="344">
        <f t="shared" ca="1" si="7"/>
        <v>0</v>
      </c>
      <c r="E35" s="344">
        <f t="shared" ca="1" si="7"/>
        <v>0</v>
      </c>
      <c r="F35" s="344">
        <f t="shared" ca="1" si="7"/>
        <v>0</v>
      </c>
      <c r="G35" s="344">
        <f t="shared" ca="1" si="7"/>
        <v>0</v>
      </c>
      <c r="H35" s="344">
        <f t="shared" ca="1" si="7"/>
        <v>0</v>
      </c>
      <c r="I35" s="344">
        <f t="shared" ca="1" si="7"/>
        <v>0</v>
      </c>
      <c r="J35" s="344">
        <f t="shared" ca="1" si="7"/>
        <v>0</v>
      </c>
      <c r="K35" s="344">
        <f t="shared" ca="1" si="7"/>
        <v>0</v>
      </c>
      <c r="L35" s="344">
        <f t="shared" ca="1" si="7"/>
        <v>-210.45712388946993</v>
      </c>
      <c r="M35" s="344">
        <f t="shared" ca="1" si="7"/>
        <v>0</v>
      </c>
      <c r="N35" s="344">
        <f t="shared" ca="1" si="7"/>
        <v>0</v>
      </c>
      <c r="O35" s="344">
        <f t="shared" ca="1" si="7"/>
        <v>0</v>
      </c>
      <c r="P35" s="344">
        <f t="shared" ca="1" si="7"/>
        <v>0</v>
      </c>
      <c r="Q35" s="344">
        <f t="shared" ca="1" si="7"/>
        <v>0</v>
      </c>
      <c r="R35" s="344">
        <f t="shared" ca="1" si="7"/>
        <v>0</v>
      </c>
      <c r="S35" s="344">
        <f t="shared" ca="1" si="7"/>
        <v>0</v>
      </c>
      <c r="T35" s="344">
        <f t="shared" ca="1" si="7"/>
        <v>0</v>
      </c>
      <c r="U35" s="344">
        <f t="shared" ca="1" si="7"/>
        <v>0</v>
      </c>
      <c r="V35" s="344">
        <f t="shared" ca="1" si="7"/>
        <v>-871.70414753099931</v>
      </c>
      <c r="W35" s="344">
        <f t="shared" ca="1" si="7"/>
        <v>0</v>
      </c>
      <c r="X35" s="344">
        <f t="shared" ca="1" si="7"/>
        <v>0</v>
      </c>
      <c r="Y35" s="344" t="e">
        <f t="shared" ca="1" si="7"/>
        <v>#REF!</v>
      </c>
      <c r="Z35" s="344" t="e">
        <f t="shared" ca="1" si="7"/>
        <v>#REF!</v>
      </c>
      <c r="AA35" s="344" t="e">
        <f t="shared" ca="1" si="7"/>
        <v>#REF!</v>
      </c>
      <c r="AB35" s="344" t="e">
        <f t="shared" ca="1" si="7"/>
        <v>#REF!</v>
      </c>
      <c r="AC35" s="344" t="e">
        <f t="shared" ca="1" si="7"/>
        <v>#REF!</v>
      </c>
      <c r="AD35" s="344" t="e">
        <f t="shared" ca="1" si="7"/>
        <v>#REF!</v>
      </c>
      <c r="AE35" s="344" t="e">
        <f t="shared" ca="1" si="7"/>
        <v>#REF!</v>
      </c>
      <c r="AF35" s="344" t="e">
        <f t="shared" ca="1" si="7"/>
        <v>#REF!</v>
      </c>
    </row>
    <row r="36" spans="1:32">
      <c r="A36">
        <f t="shared" si="4"/>
        <v>2041</v>
      </c>
      <c r="B36" s="344">
        <f t="shared" ca="1" si="1"/>
        <v>0</v>
      </c>
      <c r="C36" s="344">
        <f t="shared" ca="1" si="7"/>
        <v>0</v>
      </c>
      <c r="D36" s="344">
        <f t="shared" ca="1" si="7"/>
        <v>0</v>
      </c>
      <c r="E36" s="344">
        <f t="shared" ca="1" si="7"/>
        <v>0</v>
      </c>
      <c r="F36" s="344">
        <f t="shared" ca="1" si="7"/>
        <v>0</v>
      </c>
      <c r="G36" s="344">
        <f t="shared" ca="1" si="7"/>
        <v>0</v>
      </c>
      <c r="H36" s="344">
        <f t="shared" ca="1" si="7"/>
        <v>0</v>
      </c>
      <c r="I36" s="344">
        <f t="shared" ca="1" si="7"/>
        <v>0</v>
      </c>
      <c r="J36" s="344">
        <f t="shared" ca="1" si="7"/>
        <v>0</v>
      </c>
      <c r="K36" s="344">
        <f t="shared" ca="1" si="7"/>
        <v>0</v>
      </c>
      <c r="L36" s="344">
        <f t="shared" ca="1" si="7"/>
        <v>-210.59727054189074</v>
      </c>
      <c r="M36" s="344">
        <f t="shared" ca="1" si="7"/>
        <v>0</v>
      </c>
      <c r="N36" s="344">
        <f t="shared" ca="1" si="7"/>
        <v>0</v>
      </c>
      <c r="O36" s="344">
        <f t="shared" ca="1" si="7"/>
        <v>0</v>
      </c>
      <c r="P36" s="344">
        <f t="shared" ca="1" si="7"/>
        <v>0</v>
      </c>
      <c r="Q36" s="344">
        <f t="shared" ca="1" si="7"/>
        <v>0</v>
      </c>
      <c r="R36" s="344">
        <f t="shared" ca="1" si="7"/>
        <v>0</v>
      </c>
      <c r="S36" s="344">
        <f t="shared" ca="1" si="7"/>
        <v>0</v>
      </c>
      <c r="T36" s="344">
        <f t="shared" ca="1" si="7"/>
        <v>0</v>
      </c>
      <c r="U36" s="344">
        <f t="shared" ca="1" si="7"/>
        <v>0</v>
      </c>
      <c r="V36" s="344">
        <f t="shared" ca="1" si="7"/>
        <v>-872.29446887375661</v>
      </c>
      <c r="W36" s="344">
        <f t="shared" ca="1" si="7"/>
        <v>0</v>
      </c>
      <c r="X36" s="344">
        <f t="shared" ca="1" si="7"/>
        <v>0</v>
      </c>
      <c r="Y36" s="344" t="e">
        <f t="shared" ca="1" si="7"/>
        <v>#REF!</v>
      </c>
      <c r="Z36" s="344" t="e">
        <f t="shared" ca="1" si="7"/>
        <v>#REF!</v>
      </c>
      <c r="AA36" s="344" t="e">
        <f t="shared" ca="1" si="7"/>
        <v>#REF!</v>
      </c>
      <c r="AB36" s="344" t="e">
        <f t="shared" ca="1" si="7"/>
        <v>#REF!</v>
      </c>
      <c r="AC36" s="344" t="e">
        <f t="shared" ca="1" si="7"/>
        <v>#REF!</v>
      </c>
      <c r="AD36" s="344" t="e">
        <f t="shared" ca="1" si="7"/>
        <v>#REF!</v>
      </c>
      <c r="AE36" s="344" t="e">
        <f t="shared" ca="1" si="7"/>
        <v>#REF!</v>
      </c>
      <c r="AF36" s="344" t="e">
        <f t="shared" ca="1" si="7"/>
        <v>#REF!</v>
      </c>
    </row>
    <row r="37" spans="1:32">
      <c r="A37">
        <f t="shared" si="4"/>
        <v>2042</v>
      </c>
      <c r="B37" s="344">
        <f t="shared" ca="1" si="1"/>
        <v>0</v>
      </c>
      <c r="C37" s="344">
        <f t="shared" ca="1" si="7"/>
        <v>0</v>
      </c>
      <c r="D37" s="344">
        <f t="shared" ca="1" si="7"/>
        <v>0</v>
      </c>
      <c r="E37" s="344">
        <f t="shared" ca="1" si="7"/>
        <v>0</v>
      </c>
      <c r="F37" s="344">
        <f t="shared" ca="1" si="7"/>
        <v>0</v>
      </c>
      <c r="G37" s="344">
        <f t="shared" ca="1" si="7"/>
        <v>0</v>
      </c>
      <c r="H37" s="344">
        <f t="shared" ca="1" si="7"/>
        <v>0</v>
      </c>
      <c r="I37" s="344">
        <f t="shared" ca="1" si="7"/>
        <v>0</v>
      </c>
      <c r="J37" s="344">
        <f t="shared" ca="1" si="7"/>
        <v>0</v>
      </c>
      <c r="K37" s="344">
        <f t="shared" ca="1" si="7"/>
        <v>0</v>
      </c>
      <c r="L37" s="344">
        <f t="shared" ca="1" si="7"/>
        <v>-210.73524398304829</v>
      </c>
      <c r="M37" s="344">
        <f t="shared" ca="1" si="7"/>
        <v>0</v>
      </c>
      <c r="N37" s="344">
        <f t="shared" ca="1" si="7"/>
        <v>0</v>
      </c>
      <c r="O37" s="344">
        <f t="shared" ca="1" si="7"/>
        <v>0</v>
      </c>
      <c r="P37" s="344">
        <f t="shared" ca="1" si="7"/>
        <v>0</v>
      </c>
      <c r="Q37" s="344">
        <f t="shared" ca="1" si="7"/>
        <v>0</v>
      </c>
      <c r="R37" s="344">
        <f t="shared" ca="1" si="7"/>
        <v>0</v>
      </c>
      <c r="S37" s="344">
        <f t="shared" ca="1" si="7"/>
        <v>0</v>
      </c>
      <c r="T37" s="344">
        <f t="shared" ca="1" si="7"/>
        <v>0</v>
      </c>
      <c r="U37" s="344">
        <f t="shared" ca="1" si="7"/>
        <v>0</v>
      </c>
      <c r="V37" s="344">
        <f t="shared" ca="1" si="7"/>
        <v>-872.87534324606838</v>
      </c>
      <c r="W37" s="344">
        <f t="shared" ca="1" si="7"/>
        <v>0</v>
      </c>
      <c r="X37" s="344">
        <f t="shared" ca="1" si="7"/>
        <v>0</v>
      </c>
      <c r="Y37" s="344" t="e">
        <f t="shared" ca="1" si="7"/>
        <v>#REF!</v>
      </c>
      <c r="Z37" s="344" t="e">
        <f t="shared" ca="1" si="7"/>
        <v>#REF!</v>
      </c>
      <c r="AA37" s="344" t="e">
        <f t="shared" ca="1" si="7"/>
        <v>#REF!</v>
      </c>
      <c r="AB37" s="344" t="e">
        <f t="shared" ca="1" si="7"/>
        <v>#REF!</v>
      </c>
      <c r="AC37" s="344" t="e">
        <f t="shared" ca="1" si="7"/>
        <v>#REF!</v>
      </c>
      <c r="AD37" s="344" t="e">
        <f t="shared" ca="1" si="7"/>
        <v>#REF!</v>
      </c>
      <c r="AE37" s="344" t="e">
        <f t="shared" ca="1" si="7"/>
        <v>#REF!</v>
      </c>
      <c r="AF37" s="344" t="e">
        <f t="shared" ca="1" si="7"/>
        <v>#REF!</v>
      </c>
    </row>
    <row r="38" spans="1:32">
      <c r="A38">
        <f t="shared" si="4"/>
        <v>2043</v>
      </c>
      <c r="B38" s="344">
        <f t="shared" ca="1" si="1"/>
        <v>0</v>
      </c>
      <c r="C38" s="344">
        <f t="shared" ca="1" si="7"/>
        <v>0</v>
      </c>
      <c r="D38" s="344">
        <f t="shared" ca="1" si="7"/>
        <v>0</v>
      </c>
      <c r="E38" s="344">
        <f t="shared" ca="1" si="7"/>
        <v>0</v>
      </c>
      <c r="F38" s="344">
        <f t="shared" ca="1" si="7"/>
        <v>0</v>
      </c>
      <c r="G38" s="344">
        <f t="shared" ca="1" si="7"/>
        <v>0</v>
      </c>
      <c r="H38" s="344">
        <f t="shared" ca="1" si="7"/>
        <v>0</v>
      </c>
      <c r="I38" s="344">
        <f t="shared" ca="1" si="7"/>
        <v>0</v>
      </c>
      <c r="J38" s="344">
        <f t="shared" ca="1" si="7"/>
        <v>0</v>
      </c>
      <c r="K38" s="344">
        <f t="shared" ca="1" si="7"/>
        <v>0</v>
      </c>
      <c r="L38" s="344">
        <f t="shared" ca="1" si="7"/>
        <v>-210.87114228092466</v>
      </c>
      <c r="M38" s="344">
        <f t="shared" ca="1" si="7"/>
        <v>0</v>
      </c>
      <c r="N38" s="344">
        <f t="shared" ca="1" si="7"/>
        <v>0</v>
      </c>
      <c r="O38" s="344">
        <f t="shared" ca="1" si="7"/>
        <v>0</v>
      </c>
      <c r="P38" s="344">
        <f t="shared" ca="1" si="7"/>
        <v>0</v>
      </c>
      <c r="Q38" s="344">
        <f t="shared" ca="1" si="7"/>
        <v>0</v>
      </c>
      <c r="R38" s="344">
        <f t="shared" ca="1" si="7"/>
        <v>0</v>
      </c>
      <c r="S38" s="344">
        <f t="shared" ca="1" si="7"/>
        <v>0</v>
      </c>
      <c r="T38" s="344">
        <f t="shared" ca="1" si="7"/>
        <v>0</v>
      </c>
      <c r="U38" s="344">
        <f t="shared" ca="1" si="7"/>
        <v>0</v>
      </c>
      <c r="V38" s="344">
        <f t="shared" ca="1" si="7"/>
        <v>-873.44721017719871</v>
      </c>
      <c r="W38" s="344">
        <f t="shared" ca="1" si="7"/>
        <v>0</v>
      </c>
      <c r="X38" s="344">
        <f t="shared" ca="1" si="7"/>
        <v>0</v>
      </c>
      <c r="Y38" s="344" t="e">
        <f t="shared" ca="1" si="7"/>
        <v>#REF!</v>
      </c>
      <c r="Z38" s="344" t="e">
        <f t="shared" ca="1" si="7"/>
        <v>#REF!</v>
      </c>
      <c r="AA38" s="344" t="e">
        <f t="shared" ca="1" si="7"/>
        <v>#REF!</v>
      </c>
      <c r="AB38" s="344" t="e">
        <f t="shared" ca="1" si="7"/>
        <v>#REF!</v>
      </c>
      <c r="AC38" s="344" t="e">
        <f t="shared" ca="1" si="7"/>
        <v>#REF!</v>
      </c>
      <c r="AD38" s="344" t="e">
        <f t="shared" ca="1" si="7"/>
        <v>#REF!</v>
      </c>
      <c r="AE38" s="344" t="e">
        <f t="shared" ca="1" si="7"/>
        <v>#REF!</v>
      </c>
      <c r="AF38" s="344" t="e">
        <f t="shared" ca="1" si="7"/>
        <v>#REF!</v>
      </c>
    </row>
    <row r="39" spans="1:32">
      <c r="A39">
        <f t="shared" si="4"/>
        <v>2044</v>
      </c>
      <c r="B39" s="344">
        <f t="shared" ca="1" si="1"/>
        <v>0</v>
      </c>
      <c r="C39" s="344">
        <f t="shared" ca="1" si="7"/>
        <v>0</v>
      </c>
      <c r="D39" s="344">
        <f t="shared" ca="1" si="7"/>
        <v>0</v>
      </c>
      <c r="E39" s="344">
        <f t="shared" ca="1" si="7"/>
        <v>0</v>
      </c>
      <c r="F39" s="344">
        <f t="shared" ca="1" si="7"/>
        <v>0</v>
      </c>
      <c r="G39" s="344">
        <f t="shared" ca="1" si="7"/>
        <v>0</v>
      </c>
      <c r="H39" s="344">
        <f t="shared" ca="1" si="7"/>
        <v>0</v>
      </c>
      <c r="I39" s="344">
        <f t="shared" ca="1" si="7"/>
        <v>0</v>
      </c>
      <c r="J39" s="344">
        <f t="shared" ca="1" si="7"/>
        <v>0</v>
      </c>
      <c r="K39" s="344">
        <f t="shared" ca="1" si="7"/>
        <v>0</v>
      </c>
      <c r="L39" s="344">
        <f t="shared" ca="1" si="7"/>
        <v>-211.00505634248034</v>
      </c>
      <c r="M39" s="344">
        <f t="shared" ca="1" si="7"/>
        <v>0</v>
      </c>
      <c r="N39" s="344">
        <f t="shared" ca="1" si="7"/>
        <v>0</v>
      </c>
      <c r="O39" s="344">
        <f t="shared" ca="1" si="7"/>
        <v>0</v>
      </c>
      <c r="P39" s="344">
        <f t="shared" ca="1" si="7"/>
        <v>0</v>
      </c>
      <c r="Q39" s="344">
        <f t="shared" ca="1" si="7"/>
        <v>0</v>
      </c>
      <c r="R39" s="344">
        <f t="shared" ref="C39:AF45" ca="1" si="8">OFFSET(INDIRECT(R$3),$A39-$A$5+$C$1,$C$2)</f>
        <v>0</v>
      </c>
      <c r="S39" s="344">
        <f t="shared" ca="1" si="8"/>
        <v>0</v>
      </c>
      <c r="T39" s="344">
        <f t="shared" ca="1" si="8"/>
        <v>0</v>
      </c>
      <c r="U39" s="344">
        <f t="shared" ca="1" si="8"/>
        <v>0</v>
      </c>
      <c r="V39" s="344">
        <f t="shared" ca="1" si="8"/>
        <v>-874.01047613549053</v>
      </c>
      <c r="W39" s="344">
        <f t="shared" ca="1" si="8"/>
        <v>0</v>
      </c>
      <c r="X39" s="344">
        <f t="shared" ca="1" si="8"/>
        <v>0</v>
      </c>
      <c r="Y39" s="344" t="e">
        <f t="shared" ca="1" si="8"/>
        <v>#REF!</v>
      </c>
      <c r="Z39" s="344" t="e">
        <f t="shared" ca="1" si="8"/>
        <v>#REF!</v>
      </c>
      <c r="AA39" s="344" t="e">
        <f t="shared" ca="1" si="8"/>
        <v>#REF!</v>
      </c>
      <c r="AB39" s="344" t="e">
        <f t="shared" ca="1" si="8"/>
        <v>#REF!</v>
      </c>
      <c r="AC39" s="344" t="e">
        <f t="shared" ca="1" si="8"/>
        <v>#REF!</v>
      </c>
      <c r="AD39" s="344" t="e">
        <f t="shared" ca="1" si="8"/>
        <v>#REF!</v>
      </c>
      <c r="AE39" s="344" t="e">
        <f t="shared" ca="1" si="8"/>
        <v>#REF!</v>
      </c>
      <c r="AF39" s="344" t="e">
        <f t="shared" ca="1" si="8"/>
        <v>#REF!</v>
      </c>
    </row>
    <row r="40" spans="1:32">
      <c r="A40">
        <f t="shared" si="4"/>
        <v>2045</v>
      </c>
      <c r="B40" s="344">
        <f t="shared" ca="1" si="1"/>
        <v>0</v>
      </c>
      <c r="C40" s="344">
        <f t="shared" ca="1" si="8"/>
        <v>0</v>
      </c>
      <c r="D40" s="344">
        <f t="shared" ca="1" si="8"/>
        <v>0</v>
      </c>
      <c r="E40" s="344">
        <f t="shared" ca="1" si="8"/>
        <v>0</v>
      </c>
      <c r="F40" s="344">
        <f t="shared" ca="1" si="8"/>
        <v>0</v>
      </c>
      <c r="G40" s="344">
        <f t="shared" ca="1" si="8"/>
        <v>0</v>
      </c>
      <c r="H40" s="344">
        <f t="shared" ca="1" si="8"/>
        <v>0</v>
      </c>
      <c r="I40" s="344">
        <f t="shared" ca="1" si="8"/>
        <v>0</v>
      </c>
      <c r="J40" s="344">
        <f t="shared" ca="1" si="8"/>
        <v>0</v>
      </c>
      <c r="K40" s="344">
        <f t="shared" ca="1" si="8"/>
        <v>0</v>
      </c>
      <c r="L40" s="344">
        <f t="shared" ca="1" si="8"/>
        <v>-211.13707062501715</v>
      </c>
      <c r="M40" s="344">
        <f t="shared" ca="1" si="8"/>
        <v>0</v>
      </c>
      <c r="N40" s="344">
        <f t="shared" ca="1" si="8"/>
        <v>0</v>
      </c>
      <c r="O40" s="344">
        <f t="shared" ca="1" si="8"/>
        <v>0</v>
      </c>
      <c r="P40" s="344">
        <f t="shared" ca="1" si="8"/>
        <v>0</v>
      </c>
      <c r="Q40" s="344">
        <f t="shared" ca="1" si="8"/>
        <v>0</v>
      </c>
      <c r="R40" s="344">
        <f t="shared" ca="1" si="8"/>
        <v>0</v>
      </c>
      <c r="S40" s="344">
        <f t="shared" ca="1" si="8"/>
        <v>0</v>
      </c>
      <c r="T40" s="344">
        <f t="shared" ca="1" si="8"/>
        <v>0</v>
      </c>
      <c r="U40" s="344">
        <f t="shared" ca="1" si="8"/>
        <v>0</v>
      </c>
      <c r="V40" s="344">
        <f t="shared" ca="1" si="8"/>
        <v>-874.56551790856349</v>
      </c>
      <c r="W40" s="344">
        <f t="shared" ca="1" si="8"/>
        <v>0</v>
      </c>
      <c r="X40" s="344">
        <f t="shared" ca="1" si="8"/>
        <v>0</v>
      </c>
      <c r="Y40" s="344" t="e">
        <f t="shared" ca="1" si="8"/>
        <v>#REF!</v>
      </c>
      <c r="Z40" s="344" t="e">
        <f t="shared" ca="1" si="8"/>
        <v>#REF!</v>
      </c>
      <c r="AA40" s="344" t="e">
        <f t="shared" ca="1" si="8"/>
        <v>#REF!</v>
      </c>
      <c r="AB40" s="344" t="e">
        <f t="shared" ca="1" si="8"/>
        <v>#REF!</v>
      </c>
      <c r="AC40" s="344" t="e">
        <f t="shared" ca="1" si="8"/>
        <v>#REF!</v>
      </c>
      <c r="AD40" s="344" t="e">
        <f t="shared" ca="1" si="8"/>
        <v>#REF!</v>
      </c>
      <c r="AE40" s="344" t="e">
        <f t="shared" ca="1" si="8"/>
        <v>#REF!</v>
      </c>
      <c r="AF40" s="344" t="e">
        <f t="shared" ca="1" si="8"/>
        <v>#REF!</v>
      </c>
    </row>
    <row r="41" spans="1:32">
      <c r="A41">
        <f>A40+1</f>
        <v>2046</v>
      </c>
      <c r="B41" s="344">
        <f t="shared" ca="1" si="1"/>
        <v>0</v>
      </c>
      <c r="C41" s="344">
        <f t="shared" ca="1" si="8"/>
        <v>0</v>
      </c>
      <c r="D41" s="344">
        <f t="shared" ca="1" si="8"/>
        <v>0</v>
      </c>
      <c r="E41" s="344">
        <f t="shared" ca="1" si="8"/>
        <v>0</v>
      </c>
      <c r="F41" s="344">
        <f t="shared" ca="1" si="8"/>
        <v>0</v>
      </c>
      <c r="G41" s="344">
        <f t="shared" ca="1" si="8"/>
        <v>0</v>
      </c>
      <c r="H41" s="344">
        <f t="shared" ca="1" si="8"/>
        <v>0</v>
      </c>
      <c r="I41" s="344">
        <f t="shared" ca="1" si="8"/>
        <v>0</v>
      </c>
      <c r="J41" s="344">
        <f t="shared" ca="1" si="8"/>
        <v>0</v>
      </c>
      <c r="K41" s="344">
        <f t="shared" ca="1" si="8"/>
        <v>0</v>
      </c>
      <c r="L41" s="344">
        <f t="shared" ca="1" si="8"/>
        <v>-211.26726375918435</v>
      </c>
      <c r="M41" s="344">
        <f t="shared" ca="1" si="8"/>
        <v>0</v>
      </c>
      <c r="N41" s="344">
        <f t="shared" ca="1" si="8"/>
        <v>0</v>
      </c>
      <c r="O41" s="344">
        <f t="shared" ca="1" si="8"/>
        <v>0</v>
      </c>
      <c r="P41" s="344">
        <f t="shared" ca="1" si="8"/>
        <v>0</v>
      </c>
      <c r="Q41" s="344">
        <f t="shared" ca="1" si="8"/>
        <v>0</v>
      </c>
      <c r="R41" s="344">
        <f t="shared" ca="1" si="8"/>
        <v>0</v>
      </c>
      <c r="S41" s="344">
        <f t="shared" ca="1" si="8"/>
        <v>0</v>
      </c>
      <c r="T41" s="344">
        <f t="shared" ca="1" si="8"/>
        <v>0</v>
      </c>
      <c r="U41" s="344">
        <f t="shared" ca="1" si="8"/>
        <v>0</v>
      </c>
      <c r="V41" s="344">
        <f t="shared" ca="1" si="8"/>
        <v>-875.11268555174433</v>
      </c>
      <c r="W41" s="344">
        <f t="shared" ca="1" si="8"/>
        <v>0</v>
      </c>
      <c r="X41" s="344">
        <f t="shared" ca="1" si="8"/>
        <v>0</v>
      </c>
      <c r="Y41" s="344" t="e">
        <f t="shared" ca="1" si="8"/>
        <v>#REF!</v>
      </c>
      <c r="Z41" s="344" t="e">
        <f t="shared" ca="1" si="8"/>
        <v>#REF!</v>
      </c>
      <c r="AA41" s="344" t="e">
        <f t="shared" ca="1" si="8"/>
        <v>#REF!</v>
      </c>
      <c r="AB41" s="344" t="e">
        <f t="shared" ca="1" si="8"/>
        <v>#REF!</v>
      </c>
      <c r="AC41" s="344" t="e">
        <f t="shared" ca="1" si="8"/>
        <v>#REF!</v>
      </c>
      <c r="AD41" s="344" t="e">
        <f t="shared" ca="1" si="8"/>
        <v>#REF!</v>
      </c>
      <c r="AE41" s="344" t="e">
        <f t="shared" ca="1" si="8"/>
        <v>#REF!</v>
      </c>
      <c r="AF41" s="344" t="e">
        <f t="shared" ca="1" si="8"/>
        <v>#REF!</v>
      </c>
    </row>
    <row r="42" spans="1:32">
      <c r="A42">
        <f t="shared" si="4"/>
        <v>2047</v>
      </c>
      <c r="B42" s="344">
        <f t="shared" ca="1" si="1"/>
        <v>0</v>
      </c>
      <c r="C42" s="344">
        <f t="shared" ca="1" si="8"/>
        <v>0</v>
      </c>
      <c r="D42" s="344">
        <f t="shared" ca="1" si="8"/>
        <v>0</v>
      </c>
      <c r="E42" s="344">
        <f t="shared" ca="1" si="8"/>
        <v>0</v>
      </c>
      <c r="F42" s="344">
        <f t="shared" ca="1" si="8"/>
        <v>0</v>
      </c>
      <c r="G42" s="344">
        <f t="shared" ca="1" si="8"/>
        <v>0</v>
      </c>
      <c r="H42" s="344">
        <f t="shared" ca="1" si="8"/>
        <v>0</v>
      </c>
      <c r="I42" s="344">
        <f t="shared" ca="1" si="8"/>
        <v>0</v>
      </c>
      <c r="J42" s="344">
        <f t="shared" ca="1" si="8"/>
        <v>0</v>
      </c>
      <c r="K42" s="344">
        <f t="shared" ca="1" si="8"/>
        <v>0</v>
      </c>
      <c r="L42" s="344">
        <f t="shared" ca="1" si="8"/>
        <v>-211.39570909668265</v>
      </c>
      <c r="M42" s="344">
        <f t="shared" ca="1" si="8"/>
        <v>0</v>
      </c>
      <c r="N42" s="344">
        <f t="shared" ca="1" si="8"/>
        <v>0</v>
      </c>
      <c r="O42" s="344">
        <f t="shared" ca="1" si="8"/>
        <v>0</v>
      </c>
      <c r="P42" s="344">
        <f t="shared" ca="1" si="8"/>
        <v>0</v>
      </c>
      <c r="Q42" s="344">
        <f t="shared" ca="1" si="8"/>
        <v>0</v>
      </c>
      <c r="R42" s="344">
        <f t="shared" ca="1" si="8"/>
        <v>0</v>
      </c>
      <c r="S42" s="344">
        <f t="shared" ca="1" si="8"/>
        <v>0</v>
      </c>
      <c r="T42" s="344">
        <f t="shared" ca="1" si="8"/>
        <v>0</v>
      </c>
      <c r="U42" s="344">
        <f t="shared" ca="1" si="8"/>
        <v>0</v>
      </c>
      <c r="V42" s="344">
        <f t="shared" ca="1" si="8"/>
        <v>-875.65230497027721</v>
      </c>
      <c r="W42" s="344">
        <f t="shared" ca="1" si="8"/>
        <v>0</v>
      </c>
      <c r="X42" s="344">
        <f t="shared" ca="1" si="8"/>
        <v>0</v>
      </c>
      <c r="Y42" s="344" t="e">
        <f t="shared" ca="1" si="8"/>
        <v>#REF!</v>
      </c>
      <c r="Z42" s="344" t="e">
        <f t="shared" ca="1" si="8"/>
        <v>#REF!</v>
      </c>
      <c r="AA42" s="344" t="e">
        <f t="shared" ca="1" si="8"/>
        <v>#REF!</v>
      </c>
      <c r="AB42" s="344" t="e">
        <f t="shared" ca="1" si="8"/>
        <v>#REF!</v>
      </c>
      <c r="AC42" s="344" t="e">
        <f t="shared" ca="1" si="8"/>
        <v>#REF!</v>
      </c>
      <c r="AD42" s="344" t="e">
        <f t="shared" ca="1" si="8"/>
        <v>#REF!</v>
      </c>
      <c r="AE42" s="344" t="e">
        <f t="shared" ca="1" si="8"/>
        <v>#REF!</v>
      </c>
      <c r="AF42" s="344" t="e">
        <f t="shared" ca="1" si="8"/>
        <v>#REF!</v>
      </c>
    </row>
    <row r="43" spans="1:32">
      <c r="A43">
        <f t="shared" si="4"/>
        <v>2048</v>
      </c>
      <c r="B43" s="344">
        <f t="shared" ca="1" si="1"/>
        <v>0</v>
      </c>
      <c r="C43" s="344">
        <f t="shared" ca="1" si="8"/>
        <v>0</v>
      </c>
      <c r="D43" s="344">
        <f t="shared" ca="1" si="8"/>
        <v>0</v>
      </c>
      <c r="E43" s="344">
        <f t="shared" ca="1" si="8"/>
        <v>0</v>
      </c>
      <c r="F43" s="344">
        <f t="shared" ca="1" si="8"/>
        <v>0</v>
      </c>
      <c r="G43" s="344">
        <f t="shared" ca="1" si="8"/>
        <v>0</v>
      </c>
      <c r="H43" s="344">
        <f t="shared" ca="1" si="8"/>
        <v>0</v>
      </c>
      <c r="I43" s="344">
        <f t="shared" ca="1" si="8"/>
        <v>0</v>
      </c>
      <c r="J43" s="344">
        <f t="shared" ca="1" si="8"/>
        <v>0</v>
      </c>
      <c r="K43" s="344">
        <f t="shared" ca="1" si="8"/>
        <v>0</v>
      </c>
      <c r="L43" s="344">
        <f t="shared" ca="1" si="8"/>
        <v>-211.52247519350044</v>
      </c>
      <c r="M43" s="344">
        <f t="shared" ca="1" si="8"/>
        <v>0</v>
      </c>
      <c r="N43" s="344">
        <f t="shared" ca="1" si="8"/>
        <v>0</v>
      </c>
      <c r="O43" s="344">
        <f t="shared" ca="1" si="8"/>
        <v>0</v>
      </c>
      <c r="P43" s="344">
        <f t="shared" ca="1" si="8"/>
        <v>0</v>
      </c>
      <c r="Q43" s="344">
        <f t="shared" ca="1" si="8"/>
        <v>0</v>
      </c>
      <c r="R43" s="344">
        <f t="shared" ca="1" si="8"/>
        <v>0</v>
      </c>
      <c r="S43" s="344">
        <f t="shared" ca="1" si="8"/>
        <v>0</v>
      </c>
      <c r="T43" s="344">
        <f t="shared" ca="1" si="8"/>
        <v>0</v>
      </c>
      <c r="U43" s="344">
        <f t="shared" ca="1" si="8"/>
        <v>0</v>
      </c>
      <c r="V43" s="344">
        <f t="shared" ca="1" si="8"/>
        <v>-876.18468018942747</v>
      </c>
      <c r="W43" s="344">
        <f t="shared" ca="1" si="8"/>
        <v>0</v>
      </c>
      <c r="X43" s="344">
        <f t="shared" ca="1" si="8"/>
        <v>0</v>
      </c>
      <c r="Y43" s="344" t="e">
        <f t="shared" ca="1" si="8"/>
        <v>#REF!</v>
      </c>
      <c r="Z43" s="344" t="e">
        <f t="shared" ca="1" si="8"/>
        <v>#REF!</v>
      </c>
      <c r="AA43" s="344" t="e">
        <f t="shared" ca="1" si="8"/>
        <v>#REF!</v>
      </c>
      <c r="AB43" s="344" t="e">
        <f t="shared" ca="1" si="8"/>
        <v>#REF!</v>
      </c>
      <c r="AC43" s="344" t="e">
        <f t="shared" ca="1" si="8"/>
        <v>#REF!</v>
      </c>
      <c r="AD43" s="344" t="e">
        <f t="shared" ca="1" si="8"/>
        <v>#REF!</v>
      </c>
      <c r="AE43" s="344" t="e">
        <f t="shared" ca="1" si="8"/>
        <v>#REF!</v>
      </c>
      <c r="AF43" s="344" t="e">
        <f t="shared" ca="1" si="8"/>
        <v>#REF!</v>
      </c>
    </row>
    <row r="44" spans="1:32">
      <c r="A44">
        <f t="shared" si="4"/>
        <v>2049</v>
      </c>
      <c r="B44" s="344">
        <f t="shared" ca="1" si="1"/>
        <v>0</v>
      </c>
      <c r="C44" s="344">
        <f t="shared" ca="1" si="8"/>
        <v>0</v>
      </c>
      <c r="D44" s="344">
        <f t="shared" ca="1" si="8"/>
        <v>0</v>
      </c>
      <c r="E44" s="344">
        <f t="shared" ca="1" si="8"/>
        <v>0</v>
      </c>
      <c r="F44" s="344">
        <f t="shared" ca="1" si="8"/>
        <v>0</v>
      </c>
      <c r="G44" s="344">
        <f t="shared" ca="1" si="8"/>
        <v>0</v>
      </c>
      <c r="H44" s="344">
        <f t="shared" ca="1" si="8"/>
        <v>0</v>
      </c>
      <c r="I44" s="344">
        <f t="shared" ca="1" si="8"/>
        <v>0</v>
      </c>
      <c r="J44" s="344">
        <f t="shared" ca="1" si="8"/>
        <v>0</v>
      </c>
      <c r="K44" s="344">
        <f t="shared" ca="1" si="8"/>
        <v>0</v>
      </c>
      <c r="L44" s="344">
        <f t="shared" ca="1" si="8"/>
        <v>-211.64762623772032</v>
      </c>
      <c r="M44" s="344">
        <f t="shared" ca="1" si="8"/>
        <v>0</v>
      </c>
      <c r="N44" s="344">
        <f t="shared" ca="1" si="8"/>
        <v>0</v>
      </c>
      <c r="O44" s="344">
        <f t="shared" ca="1" si="8"/>
        <v>0</v>
      </c>
      <c r="P44" s="344">
        <f t="shared" ca="1" si="8"/>
        <v>0</v>
      </c>
      <c r="Q44" s="344">
        <f t="shared" ca="1" si="8"/>
        <v>0</v>
      </c>
      <c r="R44" s="344">
        <f t="shared" ca="1" si="8"/>
        <v>0</v>
      </c>
      <c r="S44" s="344">
        <f t="shared" ca="1" si="8"/>
        <v>0</v>
      </c>
      <c r="T44" s="344">
        <f t="shared" ca="1" si="8"/>
        <v>0</v>
      </c>
      <c r="U44" s="344">
        <f t="shared" ca="1" si="8"/>
        <v>0</v>
      </c>
      <c r="V44" s="344">
        <f t="shared" ca="1" si="8"/>
        <v>-876.71009535737846</v>
      </c>
      <c r="W44" s="344">
        <f t="shared" ca="1" si="8"/>
        <v>0</v>
      </c>
      <c r="X44" s="344">
        <f t="shared" ca="1" si="8"/>
        <v>0</v>
      </c>
      <c r="Y44" s="344" t="e">
        <f t="shared" ca="1" si="8"/>
        <v>#REF!</v>
      </c>
      <c r="Z44" s="344" t="e">
        <f t="shared" ca="1" si="8"/>
        <v>#REF!</v>
      </c>
      <c r="AA44" s="344" t="e">
        <f t="shared" ca="1" si="8"/>
        <v>#REF!</v>
      </c>
      <c r="AB44" s="344" t="e">
        <f t="shared" ca="1" si="8"/>
        <v>#REF!</v>
      </c>
      <c r="AC44" s="344" t="e">
        <f t="shared" ca="1" si="8"/>
        <v>#REF!</v>
      </c>
      <c r="AD44" s="344" t="e">
        <f t="shared" ca="1" si="8"/>
        <v>#REF!</v>
      </c>
      <c r="AE44" s="344" t="e">
        <f t="shared" ca="1" si="8"/>
        <v>#REF!</v>
      </c>
      <c r="AF44" s="344" t="e">
        <f t="shared" ca="1" si="8"/>
        <v>#REF!</v>
      </c>
    </row>
    <row r="45" spans="1:32">
      <c r="A45">
        <f t="shared" si="4"/>
        <v>2050</v>
      </c>
      <c r="B45" s="344">
        <f t="shared" ca="1" si="1"/>
        <v>0</v>
      </c>
      <c r="C45" s="344">
        <f t="shared" ca="1" si="8"/>
        <v>0</v>
      </c>
      <c r="D45" s="344">
        <f t="shared" ca="1" si="8"/>
        <v>0</v>
      </c>
      <c r="E45" s="344">
        <f t="shared" ca="1" si="8"/>
        <v>0</v>
      </c>
      <c r="F45" s="344">
        <f t="shared" ca="1" si="8"/>
        <v>0</v>
      </c>
      <c r="G45" s="344">
        <f t="shared" ca="1" si="8"/>
        <v>0</v>
      </c>
      <c r="H45" s="344">
        <f t="shared" ca="1" si="8"/>
        <v>0</v>
      </c>
      <c r="I45" s="344">
        <f t="shared" ca="1" si="8"/>
        <v>0</v>
      </c>
      <c r="J45" s="344">
        <f t="shared" ca="1" si="8"/>
        <v>0</v>
      </c>
      <c r="K45" s="344">
        <f t="shared" ca="1" si="8"/>
        <v>0</v>
      </c>
      <c r="L45" s="344">
        <f t="shared" ca="1" si="8"/>
        <v>-211.77122242947524</v>
      </c>
      <c r="M45" s="344">
        <f t="shared" ca="1" si="8"/>
        <v>0</v>
      </c>
      <c r="N45" s="344">
        <f t="shared" ca="1" si="8"/>
        <v>0</v>
      </c>
      <c r="O45" s="344">
        <f t="shared" ca="1" si="8"/>
        <v>0</v>
      </c>
      <c r="P45" s="344">
        <f t="shared" ca="1" si="8"/>
        <v>0</v>
      </c>
      <c r="Q45" s="344">
        <f t="shared" ca="1" si="8"/>
        <v>0</v>
      </c>
      <c r="R45" s="344">
        <f t="shared" ca="1" si="8"/>
        <v>0</v>
      </c>
      <c r="S45" s="344">
        <f t="shared" ca="1" si="8"/>
        <v>0</v>
      </c>
      <c r="T45" s="344">
        <f t="shared" ca="1" si="8"/>
        <v>0</v>
      </c>
      <c r="U45" s="344">
        <f t="shared" ca="1" si="8"/>
        <v>0</v>
      </c>
      <c r="V45" s="344">
        <f t="shared" ca="1" si="8"/>
        <v>-877.22881651838861</v>
      </c>
      <c r="W45" s="344">
        <f t="shared" ca="1" si="8"/>
        <v>0</v>
      </c>
      <c r="X45" s="344">
        <f t="shared" ca="1" si="8"/>
        <v>0</v>
      </c>
      <c r="Y45" s="344" t="e">
        <f t="shared" ca="1" si="8"/>
        <v>#REF!</v>
      </c>
      <c r="Z45" s="344" t="e">
        <f t="shared" ca="1" si="8"/>
        <v>#REF!</v>
      </c>
      <c r="AA45" s="344" t="e">
        <f t="shared" ca="1" si="8"/>
        <v>#REF!</v>
      </c>
      <c r="AB45" s="344" t="e">
        <f t="shared" ca="1" si="8"/>
        <v>#REF!</v>
      </c>
      <c r="AC45" s="344" t="e">
        <f t="shared" ca="1" si="8"/>
        <v>#REF!</v>
      </c>
      <c r="AD45" s="344" t="e">
        <f t="shared" ca="1" si="8"/>
        <v>#REF!</v>
      </c>
      <c r="AE45" s="344" t="e">
        <f t="shared" ca="1" si="8"/>
        <v>#REF!</v>
      </c>
      <c r="AF45" s="344" t="e">
        <f t="shared" ca="1" si="8"/>
        <v>#REF!</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sheetPr codeName="Sheet98"/>
  <dimension ref="A1:AF45"/>
  <sheetViews>
    <sheetView workbookViewId="0">
      <selection activeCell="B7" sqref="B7"/>
    </sheetView>
  </sheetViews>
  <sheetFormatPr defaultRowHeight="15"/>
  <cols>
    <col min="1" max="1" width="18.42578125" bestFit="1" customWidth="1"/>
    <col min="2" max="26" width="11.7109375" customWidth="1"/>
  </cols>
  <sheetData>
    <row r="1" spans="1:32">
      <c r="B1" s="322" t="s">
        <v>298</v>
      </c>
      <c r="C1">
        <v>18</v>
      </c>
    </row>
    <row r="2" spans="1:32">
      <c r="B2" s="322" t="s">
        <v>299</v>
      </c>
      <c r="C2">
        <v>19</v>
      </c>
    </row>
    <row r="3" spans="1:32" ht="29.25" customHeight="1">
      <c r="A3" s="321" t="s">
        <v>304</v>
      </c>
      <c r="B3" s="264" t="str">
        <f ca="1">OFFSET(Control!$A$5,COLUMN(A3)-1,0)</f>
        <v>GreenPwr1</v>
      </c>
      <c r="C3" s="264" t="str">
        <f ca="1">OFFSET(Control!$A$5,COLUMN(B3)-1,0)</f>
        <v>GreenPwr2</v>
      </c>
      <c r="D3" s="264" t="str">
        <f ca="1">OFFSET(Control!$A$5,COLUMN(C3)-1,0)</f>
        <v>Wind</v>
      </c>
      <c r="E3" s="264" t="str">
        <f ca="1">OFFSET(Control!$A$5,COLUMN(D3)-1,0)</f>
        <v>ShortECM</v>
      </c>
      <c r="F3" s="264" t="str">
        <f ca="1">OFFSET(Control!$A$5,COLUMN(E3)-1,0)</f>
        <v>MidECM</v>
      </c>
      <c r="G3" s="264" t="str">
        <f ca="1">OFFSET(Control!$A$5,COLUMN(F3)-1,0)</f>
        <v>LongECM</v>
      </c>
      <c r="H3" s="264" t="str">
        <f ca="1">OFFSET(Control!$A$5,COLUMN(G3)-1,0)</f>
        <v>SteamLineImp</v>
      </c>
      <c r="I3" s="264" t="str">
        <f ca="1">OFFSET(Control!$A$5,COLUMN(H3)-1,0)</f>
        <v>UnitaryChiller</v>
      </c>
      <c r="J3" s="264" t="str">
        <f ca="1">OFFSET(Control!$A$5,COLUMN(I3)-1,0)</f>
        <v>GeoExchange</v>
      </c>
      <c r="K3" s="264" t="str">
        <f ca="1">OFFSET(Control!$A$5,COLUMN(J3)-1,0)</f>
        <v>SolarDHW</v>
      </c>
      <c r="L3" s="264" t="str">
        <f ca="1">OFFSET(Control!$A$5,COLUMN(K3)-1,0)</f>
        <v>WasteReduction</v>
      </c>
      <c r="M3" s="264" t="str">
        <f ca="1">OFFSET(Control!$A$5,COLUMN(L3)-1,0)</f>
        <v>DishStirling</v>
      </c>
      <c r="N3" s="264" t="str">
        <f ca="1">OFFSET(Control!$A$5,COLUMN(M3)-1,0)</f>
        <v>Parabolic</v>
      </c>
      <c r="O3" s="264" t="str">
        <f ca="1">OFFSET(Control!$A$5,COLUMN(N3)-1,0)</f>
        <v>GreenIT</v>
      </c>
      <c r="P3" s="264" t="str">
        <f ca="1">OFFSET(Control!$A$5,COLUMN(O3)-1,0)</f>
        <v>GreenBuild</v>
      </c>
      <c r="Q3" s="264" t="str">
        <f ca="1">OFFSET(Control!$A$5,COLUMN(P3)-1,0)</f>
        <v>SpacePlanning</v>
      </c>
      <c r="R3" s="264" t="str">
        <f ca="1">OFFSET(Control!$A$5,COLUMN(Q3)-1,0)</f>
        <v>CHP</v>
      </c>
      <c r="S3" s="264" t="str">
        <f ca="1">OFFSET(Control!$A$5,COLUMN(R3)-1,0)</f>
        <v>CoalToNG</v>
      </c>
      <c r="T3" s="264" t="str">
        <f ca="1">OFFSET(Control!$A$5,COLUMN(S3)-1,0)</f>
        <v>CentralChillerExp</v>
      </c>
      <c r="U3" s="264" t="str">
        <f ca="1">OFFSET(Control!$A$5,COLUMN(T3)-1,0)</f>
        <v>RooftopPV</v>
      </c>
      <c r="V3" s="264" t="str">
        <f ca="1">OFFSET(Control!$A$5,COLUMN(U3)-1,0)</f>
        <v>ReducedAir</v>
      </c>
      <c r="W3" s="264" t="str">
        <f ca="1">OFFSET(Control!$A$5,COLUMN(V3)-1,0)</f>
        <v>ReducedAuto</v>
      </c>
      <c r="X3" s="264" t="str">
        <f ca="1">OFFSET(Control!$A$5,COLUMN(W3)-1,0)</f>
        <v>BehaviorChange</v>
      </c>
      <c r="Y3" s="264">
        <f ca="1">OFFSET(Control!$A$5,COLUMN(X3)-1,0)</f>
        <v>0</v>
      </c>
      <c r="Z3" s="264">
        <f ca="1">OFFSET(Control!$A$5,COLUMN(Y3)-1,0)</f>
        <v>0</v>
      </c>
      <c r="AA3" s="264">
        <f ca="1">OFFSET(Control!$A$5,COLUMN(Z3)-1,0)</f>
        <v>0</v>
      </c>
      <c r="AB3" s="264">
        <f ca="1">OFFSET(Control!$A$5,COLUMN(AA3)-1,0)</f>
        <v>0</v>
      </c>
      <c r="AC3" s="264">
        <f ca="1">OFFSET(Control!$A$5,COLUMN(AB3)-1,0)</f>
        <v>0</v>
      </c>
      <c r="AD3" s="264">
        <f ca="1">OFFSET(Control!$A$5,COLUMN(AC3)-1,0)</f>
        <v>0</v>
      </c>
      <c r="AE3" s="264">
        <f ca="1">OFFSET(Control!$A$5,COLUMN(AD3)-1,0)</f>
        <v>0</v>
      </c>
      <c r="AF3" s="264">
        <f ca="1">OFFSET(Control!$A$5,COLUMN(AE3)-1,0)</f>
        <v>0</v>
      </c>
    </row>
    <row r="4" spans="1:32" ht="29.25" customHeight="1">
      <c r="A4" s="321"/>
      <c r="B4" s="264" t="str">
        <f ca="1">INDIRECT(B3)</f>
        <v>Green Power Purchase Opt 1 (Partial)</v>
      </c>
      <c r="C4" s="264" t="str">
        <f t="shared" ref="C4:AE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ca="1">INDIRECT(AF3)</f>
        <v>#REF!</v>
      </c>
    </row>
    <row r="5" spans="1:32">
      <c r="A5">
        <v>2010</v>
      </c>
      <c r="B5" s="344">
        <f ca="1">SUM(OFFSET(INDIRECT(B$3),$A5-$A$5+$C$1,$C$2,1,4))</f>
        <v>0</v>
      </c>
      <c r="C5" s="344">
        <f t="shared" ref="C5:Z15" ca="1" si="1">SUM(OFFSET(INDIRECT(C$3),$A5-$A$5+$C$1,$C$2,1,4))</f>
        <v>0</v>
      </c>
      <c r="D5" s="344">
        <f t="shared" ca="1" si="1"/>
        <v>0</v>
      </c>
      <c r="E5" s="344">
        <f t="shared" ca="1" si="1"/>
        <v>0</v>
      </c>
      <c r="F5" s="344">
        <f t="shared" ca="1" si="1"/>
        <v>0</v>
      </c>
      <c r="G5" s="344">
        <f t="shared" ca="1" si="1"/>
        <v>0</v>
      </c>
      <c r="H5" s="344">
        <f t="shared" ca="1" si="1"/>
        <v>0</v>
      </c>
      <c r="I5" s="344">
        <f t="shared" ca="1" si="1"/>
        <v>0</v>
      </c>
      <c r="J5" s="344">
        <f t="shared" ca="1" si="1"/>
        <v>0</v>
      </c>
      <c r="K5" s="344">
        <f t="shared" ca="1" si="1"/>
        <v>0</v>
      </c>
      <c r="L5" s="344">
        <f t="shared" ca="1" si="1"/>
        <v>0</v>
      </c>
      <c r="M5" s="344">
        <f t="shared" ca="1" si="1"/>
        <v>0</v>
      </c>
      <c r="N5" s="344">
        <f t="shared" ca="1" si="1"/>
        <v>0</v>
      </c>
      <c r="O5" s="344">
        <f t="shared" ca="1" si="1"/>
        <v>0</v>
      </c>
      <c r="P5" s="344">
        <f t="shared" ca="1" si="1"/>
        <v>0</v>
      </c>
      <c r="Q5" s="344">
        <f t="shared" ca="1" si="1"/>
        <v>-2011.5286795204174</v>
      </c>
      <c r="R5" s="344">
        <f t="shared" ca="1" si="1"/>
        <v>0</v>
      </c>
      <c r="S5" s="344">
        <f t="shared" ca="1" si="1"/>
        <v>0</v>
      </c>
      <c r="T5" s="344">
        <f t="shared" ca="1" si="1"/>
        <v>0</v>
      </c>
      <c r="U5" s="344">
        <f t="shared" ca="1" si="1"/>
        <v>0</v>
      </c>
      <c r="V5" s="344">
        <f t="shared" ca="1" si="1"/>
        <v>0</v>
      </c>
      <c r="W5" s="344">
        <f t="shared" ca="1" si="1"/>
        <v>0</v>
      </c>
      <c r="X5" s="344">
        <f t="shared" ca="1" si="1"/>
        <v>0</v>
      </c>
      <c r="Y5" s="344" t="e">
        <f t="shared" ca="1" si="1"/>
        <v>#REF!</v>
      </c>
      <c r="Z5" s="344" t="e">
        <f t="shared" ca="1" si="1"/>
        <v>#REF!</v>
      </c>
      <c r="AA5" s="344" t="e">
        <f t="shared" ref="AA5:AF20" ca="1" si="2">SUM(OFFSET(INDIRECT(AA$3),$A5-$A$5+$C$1,$C$2,1,4))</f>
        <v>#REF!</v>
      </c>
      <c r="AB5" s="344" t="e">
        <f t="shared" ca="1" si="2"/>
        <v>#REF!</v>
      </c>
      <c r="AC5" s="344" t="e">
        <f t="shared" ca="1" si="2"/>
        <v>#REF!</v>
      </c>
      <c r="AD5" s="344" t="e">
        <f t="shared" ca="1" si="2"/>
        <v>#REF!</v>
      </c>
      <c r="AE5" s="344" t="e">
        <f t="shared" ca="1" si="2"/>
        <v>#REF!</v>
      </c>
      <c r="AF5" s="344" t="e">
        <f t="shared" ca="1" si="2"/>
        <v>#REF!</v>
      </c>
    </row>
    <row r="6" spans="1:32">
      <c r="A6">
        <f>A5+1</f>
        <v>2011</v>
      </c>
      <c r="B6" s="344">
        <f t="shared" ref="B6:Q31" ca="1" si="3">SUM(OFFSET(INDIRECT(B$3),$A6-$A$5+$C$1,$C$2,1,4))</f>
        <v>-35512.836256398594</v>
      </c>
      <c r="C6" s="344">
        <f t="shared" ca="1" si="1"/>
        <v>0</v>
      </c>
      <c r="D6" s="344">
        <f t="shared" ca="1" si="1"/>
        <v>-124.43697824242066</v>
      </c>
      <c r="E6" s="344">
        <f t="shared" ca="1" si="1"/>
        <v>-2742.0270431200861</v>
      </c>
      <c r="F6" s="344">
        <f t="shared" ca="1" si="1"/>
        <v>0</v>
      </c>
      <c r="G6" s="344">
        <f t="shared" ca="1" si="1"/>
        <v>0</v>
      </c>
      <c r="H6" s="344">
        <f t="shared" ca="1" si="1"/>
        <v>0</v>
      </c>
      <c r="I6" s="344">
        <f t="shared" ca="1" si="1"/>
        <v>0</v>
      </c>
      <c r="J6" s="344">
        <f t="shared" ca="1" si="1"/>
        <v>0</v>
      </c>
      <c r="K6" s="344">
        <f t="shared" ca="1" si="1"/>
        <v>0</v>
      </c>
      <c r="L6" s="344">
        <f t="shared" ca="1" si="1"/>
        <v>0</v>
      </c>
      <c r="M6" s="344">
        <f t="shared" ca="1" si="1"/>
        <v>0</v>
      </c>
      <c r="N6" s="344">
        <f t="shared" ca="1" si="1"/>
        <v>0</v>
      </c>
      <c r="O6" s="344">
        <f t="shared" ca="1" si="1"/>
        <v>0</v>
      </c>
      <c r="P6" s="344">
        <f t="shared" ca="1" si="1"/>
        <v>-789.72264015453493</v>
      </c>
      <c r="Q6" s="344">
        <f t="shared" ca="1" si="1"/>
        <v>-4023.0573590408094</v>
      </c>
      <c r="R6" s="344">
        <f t="shared" ca="1" si="1"/>
        <v>0</v>
      </c>
      <c r="S6" s="344">
        <f t="shared" ca="1" si="1"/>
        <v>0</v>
      </c>
      <c r="T6" s="344">
        <f t="shared" ca="1" si="1"/>
        <v>0</v>
      </c>
      <c r="U6" s="344">
        <f t="shared" ca="1" si="1"/>
        <v>0</v>
      </c>
      <c r="V6" s="344">
        <f t="shared" ca="1" si="1"/>
        <v>-561.67481273159069</v>
      </c>
      <c r="W6" s="344">
        <f t="shared" ca="1" si="1"/>
        <v>0</v>
      </c>
      <c r="X6" s="344">
        <f t="shared" ca="1" si="1"/>
        <v>0</v>
      </c>
      <c r="Y6" s="344" t="e">
        <f t="shared" ca="1" si="1"/>
        <v>#REF!</v>
      </c>
      <c r="Z6" s="344" t="e">
        <f t="shared" ca="1" si="1"/>
        <v>#REF!</v>
      </c>
      <c r="AA6" s="344" t="e">
        <f t="shared" ca="1" si="2"/>
        <v>#REF!</v>
      </c>
      <c r="AB6" s="344" t="e">
        <f t="shared" ca="1" si="2"/>
        <v>#REF!</v>
      </c>
      <c r="AC6" s="344" t="e">
        <f t="shared" ca="1" si="2"/>
        <v>#REF!</v>
      </c>
      <c r="AD6" s="344" t="e">
        <f t="shared" ca="1" si="2"/>
        <v>#REF!</v>
      </c>
      <c r="AE6" s="344" t="e">
        <f t="shared" ca="1" si="2"/>
        <v>#REF!</v>
      </c>
      <c r="AF6" s="344" t="e">
        <f t="shared" ca="1" si="2"/>
        <v>#REF!</v>
      </c>
    </row>
    <row r="7" spans="1:32">
      <c r="A7">
        <f t="shared" ref="A7:A45" si="4">A6+1</f>
        <v>2012</v>
      </c>
      <c r="B7" s="344">
        <f t="shared" ca="1" si="3"/>
        <v>-35512.836256398594</v>
      </c>
      <c r="C7" s="344">
        <f t="shared" ca="1" si="1"/>
        <v>0</v>
      </c>
      <c r="D7" s="344">
        <f t="shared" ca="1" si="1"/>
        <v>-124.43697824242066</v>
      </c>
      <c r="E7" s="344">
        <f t="shared" ca="1" si="1"/>
        <v>-5484.0540862401722</v>
      </c>
      <c r="F7" s="344">
        <f t="shared" ca="1" si="1"/>
        <v>0</v>
      </c>
      <c r="G7" s="344">
        <f t="shared" ca="1" si="1"/>
        <v>0</v>
      </c>
      <c r="H7" s="344">
        <f t="shared" ca="1" si="1"/>
        <v>-3075.9772424453963</v>
      </c>
      <c r="I7" s="344">
        <f t="shared" ca="1" si="1"/>
        <v>-914.61179008179215</v>
      </c>
      <c r="J7" s="344">
        <f t="shared" ca="1" si="1"/>
        <v>0</v>
      </c>
      <c r="K7" s="344">
        <f t="shared" ca="1" si="1"/>
        <v>-42.106365709288561</v>
      </c>
      <c r="L7" s="344">
        <f t="shared" ca="1" si="1"/>
        <v>-40.884638161468658</v>
      </c>
      <c r="M7" s="344">
        <f t="shared" ca="1" si="1"/>
        <v>0</v>
      </c>
      <c r="N7" s="344">
        <f t="shared" ca="1" si="1"/>
        <v>0</v>
      </c>
      <c r="O7" s="344">
        <f t="shared" ca="1" si="1"/>
        <v>-1948.4709492677364</v>
      </c>
      <c r="P7" s="344">
        <f t="shared" ca="1" si="1"/>
        <v>-3573.5485844890363</v>
      </c>
      <c r="Q7" s="344">
        <f t="shared" ca="1" si="1"/>
        <v>-6034.5860385612268</v>
      </c>
      <c r="R7" s="344">
        <f t="shared" ca="1" si="1"/>
        <v>0</v>
      </c>
      <c r="S7" s="344">
        <f t="shared" ca="1" si="1"/>
        <v>0</v>
      </c>
      <c r="T7" s="344">
        <f t="shared" ca="1" si="1"/>
        <v>-2167.9819457268204</v>
      </c>
      <c r="U7" s="344">
        <f t="shared" ca="1" si="1"/>
        <v>0</v>
      </c>
      <c r="V7" s="344">
        <f t="shared" ca="1" si="1"/>
        <v>-563.47528677760192</v>
      </c>
      <c r="W7" s="344">
        <f t="shared" ca="1" si="1"/>
        <v>-162.81643397406458</v>
      </c>
      <c r="X7" s="344">
        <f t="shared" ca="1" si="1"/>
        <v>-443.03041713126811</v>
      </c>
      <c r="Y7" s="344" t="e">
        <f t="shared" ca="1" si="1"/>
        <v>#REF!</v>
      </c>
      <c r="Z7" s="344" t="e">
        <f t="shared" ca="1" si="1"/>
        <v>#REF!</v>
      </c>
      <c r="AA7" s="344" t="e">
        <f t="shared" ca="1" si="2"/>
        <v>#REF!</v>
      </c>
      <c r="AB7" s="344" t="e">
        <f t="shared" ca="1" si="2"/>
        <v>#REF!</v>
      </c>
      <c r="AC7" s="344" t="e">
        <f t="shared" ca="1" si="2"/>
        <v>#REF!</v>
      </c>
      <c r="AD7" s="344" t="e">
        <f t="shared" ca="1" si="2"/>
        <v>#REF!</v>
      </c>
      <c r="AE7" s="344" t="e">
        <f t="shared" ca="1" si="2"/>
        <v>#REF!</v>
      </c>
      <c r="AF7" s="344" t="e">
        <f t="shared" ca="1" si="2"/>
        <v>#REF!</v>
      </c>
    </row>
    <row r="8" spans="1:32">
      <c r="A8">
        <f t="shared" si="4"/>
        <v>2013</v>
      </c>
      <c r="B8" s="344">
        <f t="shared" ca="1" si="3"/>
        <v>-35512.836256398594</v>
      </c>
      <c r="C8" s="344">
        <f t="shared" ca="1" si="1"/>
        <v>0</v>
      </c>
      <c r="D8" s="344">
        <f t="shared" ca="1" si="1"/>
        <v>-124.43697824242066</v>
      </c>
      <c r="E8" s="344">
        <f t="shared" ca="1" si="1"/>
        <v>-8226.0811293602583</v>
      </c>
      <c r="F8" s="344">
        <f t="shared" ca="1" si="1"/>
        <v>0</v>
      </c>
      <c r="G8" s="344">
        <f t="shared" ca="1" si="1"/>
        <v>0</v>
      </c>
      <c r="H8" s="344">
        <f t="shared" ca="1" si="1"/>
        <v>-3125.3879734301372</v>
      </c>
      <c r="I8" s="344">
        <f t="shared" ca="1" si="1"/>
        <v>-1950.549633949943</v>
      </c>
      <c r="J8" s="344">
        <f t="shared" ca="1" si="1"/>
        <v>-680.80856317059579</v>
      </c>
      <c r="K8" s="344">
        <f t="shared" ca="1" si="1"/>
        <v>-42.106365709288561</v>
      </c>
      <c r="L8" s="344">
        <f t="shared" ca="1" si="1"/>
        <v>-81.937879892859442</v>
      </c>
      <c r="M8" s="344">
        <f t="shared" ca="1" si="1"/>
        <v>0</v>
      </c>
      <c r="N8" s="344">
        <f t="shared" ca="1" si="1"/>
        <v>0</v>
      </c>
      <c r="O8" s="344">
        <f t="shared" ca="1" si="1"/>
        <v>-3896.9418985354728</v>
      </c>
      <c r="P8" s="344">
        <f t="shared" ca="1" si="1"/>
        <v>-4637.7326311296556</v>
      </c>
      <c r="Q8" s="344">
        <f t="shared" ca="1" si="1"/>
        <v>-8046.1147180816188</v>
      </c>
      <c r="R8" s="344">
        <f t="shared" ca="1" si="1"/>
        <v>0</v>
      </c>
      <c r="S8" s="344">
        <f t="shared" ca="1" si="1"/>
        <v>0</v>
      </c>
      <c r="T8" s="344">
        <f t="shared" ca="1" si="1"/>
        <v>-2218.6346143360465</v>
      </c>
      <c r="U8" s="344">
        <f t="shared" ca="1" si="1"/>
        <v>0</v>
      </c>
      <c r="V8" s="344">
        <f t="shared" ca="1" si="1"/>
        <v>-564.85683910426201</v>
      </c>
      <c r="W8" s="344">
        <f t="shared" ca="1" si="1"/>
        <v>-326.1924377394069</v>
      </c>
      <c r="X8" s="344">
        <f t="shared" ca="1" si="1"/>
        <v>-877.25965895883451</v>
      </c>
      <c r="Y8" s="344" t="e">
        <f t="shared" ca="1" si="1"/>
        <v>#REF!</v>
      </c>
      <c r="Z8" s="344" t="e">
        <f t="shared" ca="1" si="1"/>
        <v>#REF!</v>
      </c>
      <c r="AA8" s="344" t="e">
        <f t="shared" ca="1" si="2"/>
        <v>#REF!</v>
      </c>
      <c r="AB8" s="344" t="e">
        <f t="shared" ca="1" si="2"/>
        <v>#REF!</v>
      </c>
      <c r="AC8" s="344" t="e">
        <f t="shared" ca="1" si="2"/>
        <v>#REF!</v>
      </c>
      <c r="AD8" s="344" t="e">
        <f t="shared" ca="1" si="2"/>
        <v>#REF!</v>
      </c>
      <c r="AE8" s="344" t="e">
        <f t="shared" ca="1" si="2"/>
        <v>#REF!</v>
      </c>
      <c r="AF8" s="344" t="e">
        <f t="shared" ca="1" si="2"/>
        <v>#REF!</v>
      </c>
    </row>
    <row r="9" spans="1:32">
      <c r="A9">
        <f t="shared" si="4"/>
        <v>2014</v>
      </c>
      <c r="B9" s="344">
        <f t="shared" ca="1" si="3"/>
        <v>-35512.836256398594</v>
      </c>
      <c r="C9" s="344">
        <f t="shared" ca="1" si="1"/>
        <v>-2177.6471192423619</v>
      </c>
      <c r="D9" s="344">
        <f t="shared" ca="1" si="1"/>
        <v>-124.43697824242066</v>
      </c>
      <c r="E9" s="344">
        <f t="shared" ca="1" si="1"/>
        <v>-10968.108172480344</v>
      </c>
      <c r="F9" s="344">
        <f t="shared" ca="1" si="1"/>
        <v>0</v>
      </c>
      <c r="G9" s="344">
        <f t="shared" ca="1" si="1"/>
        <v>0</v>
      </c>
      <c r="H9" s="344">
        <f t="shared" ca="1" si="1"/>
        <v>-3161.5430998748739</v>
      </c>
      <c r="I9" s="344">
        <f t="shared" ca="1" si="1"/>
        <v>-2370.5244355181135</v>
      </c>
      <c r="J9" s="344">
        <f t="shared" ca="1" si="1"/>
        <v>-680.80856317059579</v>
      </c>
      <c r="K9" s="344">
        <f t="shared" ca="1" si="1"/>
        <v>-42.106365709288561</v>
      </c>
      <c r="L9" s="344">
        <f t="shared" ca="1" si="1"/>
        <v>-123.12963392984285</v>
      </c>
      <c r="M9" s="344">
        <f t="shared" ca="1" si="1"/>
        <v>0</v>
      </c>
      <c r="N9" s="344">
        <f t="shared" ca="1" si="1"/>
        <v>0</v>
      </c>
      <c r="O9" s="344">
        <f t="shared" ca="1" si="1"/>
        <v>-5845.4128478032089</v>
      </c>
      <c r="P9" s="344">
        <f t="shared" ca="1" si="1"/>
        <v>-5052.878033826406</v>
      </c>
      <c r="Q9" s="344">
        <f t="shared" ca="1" si="1"/>
        <v>-10057.643397602036</v>
      </c>
      <c r="R9" s="344">
        <f t="shared" ca="1" si="1"/>
        <v>0</v>
      </c>
      <c r="S9" s="344">
        <f t="shared" ca="1" si="1"/>
        <v>0</v>
      </c>
      <c r="T9" s="344">
        <f t="shared" ca="1" si="1"/>
        <v>-4005.0410780820157</v>
      </c>
      <c r="U9" s="344">
        <f t="shared" ca="1" si="1"/>
        <v>0</v>
      </c>
      <c r="V9" s="344">
        <f t="shared" ca="1" si="1"/>
        <v>-566.02154159217173</v>
      </c>
      <c r="W9" s="344">
        <f t="shared" ca="1" si="1"/>
        <v>-489.99756396934276</v>
      </c>
      <c r="X9" s="344">
        <f t="shared" ca="1" si="1"/>
        <v>-1300.8517178401214</v>
      </c>
      <c r="Y9" s="344" t="e">
        <f t="shared" ca="1" si="1"/>
        <v>#REF!</v>
      </c>
      <c r="Z9" s="344" t="e">
        <f t="shared" ca="1" si="1"/>
        <v>#REF!</v>
      </c>
      <c r="AA9" s="344" t="e">
        <f t="shared" ca="1" si="2"/>
        <v>#REF!</v>
      </c>
      <c r="AB9" s="344" t="e">
        <f t="shared" ca="1" si="2"/>
        <v>#REF!</v>
      </c>
      <c r="AC9" s="344" t="e">
        <f t="shared" ca="1" si="2"/>
        <v>#REF!</v>
      </c>
      <c r="AD9" s="344" t="e">
        <f t="shared" ca="1" si="2"/>
        <v>#REF!</v>
      </c>
      <c r="AE9" s="344" t="e">
        <f t="shared" ca="1" si="2"/>
        <v>#REF!</v>
      </c>
      <c r="AF9" s="344" t="e">
        <f t="shared" ca="1" si="2"/>
        <v>#REF!</v>
      </c>
    </row>
    <row r="10" spans="1:32">
      <c r="A10">
        <f t="shared" si="4"/>
        <v>2015</v>
      </c>
      <c r="B10" s="344">
        <f t="shared" ca="1" si="3"/>
        <v>-35512.836256398594</v>
      </c>
      <c r="C10" s="344">
        <f t="shared" ca="1" si="1"/>
        <v>-2177.6471192423619</v>
      </c>
      <c r="D10" s="344">
        <f t="shared" ca="1" si="1"/>
        <v>-124.43697824242066</v>
      </c>
      <c r="E10" s="344">
        <f t="shared" ca="1" si="1"/>
        <v>-13710.13521560043</v>
      </c>
      <c r="F10" s="344">
        <f t="shared" ca="1" si="1"/>
        <v>0</v>
      </c>
      <c r="G10" s="344">
        <f t="shared" ca="1" si="1"/>
        <v>0</v>
      </c>
      <c r="H10" s="344">
        <f t="shared" ca="1" si="1"/>
        <v>-3233.0465050929606</v>
      </c>
      <c r="I10" s="344">
        <f t="shared" ca="1" si="1"/>
        <v>-2370.5244355181135</v>
      </c>
      <c r="J10" s="344">
        <f t="shared" ca="1" si="1"/>
        <v>-1361.6171263411916</v>
      </c>
      <c r="K10" s="344">
        <f t="shared" ca="1" si="1"/>
        <v>-42.106365709288561</v>
      </c>
      <c r="L10" s="344">
        <f t="shared" ca="1" si="1"/>
        <v>-164.44143102054525</v>
      </c>
      <c r="M10" s="344">
        <f t="shared" ca="1" si="1"/>
        <v>0</v>
      </c>
      <c r="N10" s="344">
        <f t="shared" ca="1" si="1"/>
        <v>0</v>
      </c>
      <c r="O10" s="344">
        <f t="shared" ca="1" si="1"/>
        <v>-5845.4128478032089</v>
      </c>
      <c r="P10" s="344">
        <f t="shared" ca="1" si="1"/>
        <v>-7226.3575762567925</v>
      </c>
      <c r="Q10" s="344">
        <f t="shared" ca="1" si="1"/>
        <v>-12069.172077122454</v>
      </c>
      <c r="R10" s="344">
        <f t="shared" ca="1" si="1"/>
        <v>0</v>
      </c>
      <c r="S10" s="344">
        <f t="shared" ca="1" si="1"/>
        <v>-18056.365727671626</v>
      </c>
      <c r="T10" s="344">
        <f t="shared" ca="1" si="1"/>
        <v>-4055.6937466912427</v>
      </c>
      <c r="U10" s="344">
        <f t="shared" ca="1" si="1"/>
        <v>-497.52640520481702</v>
      </c>
      <c r="V10" s="344">
        <f t="shared" ca="1" si="1"/>
        <v>-567.04766508302907</v>
      </c>
      <c r="W10" s="344">
        <f t="shared" ca="1" si="1"/>
        <v>-654.16428845085125</v>
      </c>
      <c r="X10" s="344">
        <f t="shared" ca="1" si="1"/>
        <v>-1720.4743232307801</v>
      </c>
      <c r="Y10" s="344" t="e">
        <f t="shared" ca="1" si="1"/>
        <v>#REF!</v>
      </c>
      <c r="Z10" s="344" t="e">
        <f t="shared" ca="1" si="1"/>
        <v>#REF!</v>
      </c>
      <c r="AA10" s="344" t="e">
        <f t="shared" ca="1" si="2"/>
        <v>#REF!</v>
      </c>
      <c r="AB10" s="344" t="e">
        <f t="shared" ca="1" si="2"/>
        <v>#REF!</v>
      </c>
      <c r="AC10" s="344" t="e">
        <f t="shared" ca="1" si="2"/>
        <v>#REF!</v>
      </c>
      <c r="AD10" s="344" t="e">
        <f t="shared" ca="1" si="2"/>
        <v>#REF!</v>
      </c>
      <c r="AE10" s="344" t="e">
        <f t="shared" ca="1" si="2"/>
        <v>#REF!</v>
      </c>
      <c r="AF10" s="344" t="e">
        <f t="shared" ca="1" si="2"/>
        <v>#REF!</v>
      </c>
    </row>
    <row r="11" spans="1:32">
      <c r="A11">
        <f t="shared" si="4"/>
        <v>2016</v>
      </c>
      <c r="B11" s="344">
        <f t="shared" ca="1" si="3"/>
        <v>-35512.836256398594</v>
      </c>
      <c r="C11" s="344">
        <f t="shared" ca="1" si="1"/>
        <v>-2177.6471192423619</v>
      </c>
      <c r="D11" s="344">
        <f t="shared" ca="1" si="1"/>
        <v>-124.43697824242066</v>
      </c>
      <c r="E11" s="344">
        <f t="shared" ca="1" si="1"/>
        <v>-13710.13521560043</v>
      </c>
      <c r="F11" s="344">
        <f t="shared" ca="1" si="1"/>
        <v>-1651.693688225191</v>
      </c>
      <c r="G11" s="344">
        <f t="shared" ca="1" si="1"/>
        <v>0</v>
      </c>
      <c r="H11" s="344">
        <f t="shared" ca="1" si="1"/>
        <v>-3269.2016315376959</v>
      </c>
      <c r="I11" s="344">
        <f t="shared" ca="1" si="1"/>
        <v>-2370.5244355181135</v>
      </c>
      <c r="J11" s="344">
        <f t="shared" ca="1" si="1"/>
        <v>-1361.6171263411916</v>
      </c>
      <c r="K11" s="344">
        <f t="shared" ca="1" si="1"/>
        <v>-42.106365709288561</v>
      </c>
      <c r="L11" s="344">
        <f t="shared" ca="1" si="1"/>
        <v>-205.86052642059221</v>
      </c>
      <c r="M11" s="344">
        <f t="shared" ca="1" si="1"/>
        <v>0</v>
      </c>
      <c r="N11" s="344">
        <f t="shared" ca="1" si="1"/>
        <v>0</v>
      </c>
      <c r="O11" s="344">
        <f t="shared" ca="1" si="1"/>
        <v>-5845.4128478032089</v>
      </c>
      <c r="P11" s="344">
        <f t="shared" ca="1" si="1"/>
        <v>-7651.4767554743994</v>
      </c>
      <c r="Q11" s="344">
        <f t="shared" ca="1" si="1"/>
        <v>-14080.700756642846</v>
      </c>
      <c r="R11" s="344">
        <f t="shared" ca="1" si="1"/>
        <v>-69175.400688347028</v>
      </c>
      <c r="S11" s="344">
        <f t="shared" ca="1" si="1"/>
        <v>-18258.289883413876</v>
      </c>
      <c r="T11" s="344">
        <f t="shared" ca="1" si="1"/>
        <v>-4712.5079147936849</v>
      </c>
      <c r="U11" s="344">
        <f t="shared" ca="1" si="1"/>
        <v>-497.52640520481702</v>
      </c>
      <c r="V11" s="344">
        <f t="shared" ca="1" si="1"/>
        <v>-851.96302744449406</v>
      </c>
      <c r="W11" s="344">
        <f t="shared" ca="1" si="1"/>
        <v>-818.64945967225867</v>
      </c>
      <c r="X11" s="344">
        <f t="shared" ca="1" si="1"/>
        <v>-2130.2219889227813</v>
      </c>
      <c r="Y11" s="344" t="e">
        <f t="shared" ca="1" si="1"/>
        <v>#REF!</v>
      </c>
      <c r="Z11" s="344" t="e">
        <f t="shared" ca="1" si="1"/>
        <v>#REF!</v>
      </c>
      <c r="AA11" s="344" t="e">
        <f t="shared" ca="1" si="2"/>
        <v>#REF!</v>
      </c>
      <c r="AB11" s="344" t="e">
        <f t="shared" ca="1" si="2"/>
        <v>#REF!</v>
      </c>
      <c r="AC11" s="344" t="e">
        <f t="shared" ca="1" si="2"/>
        <v>#REF!</v>
      </c>
      <c r="AD11" s="344" t="e">
        <f t="shared" ca="1" si="2"/>
        <v>#REF!</v>
      </c>
      <c r="AE11" s="344" t="e">
        <f t="shared" ca="1" si="2"/>
        <v>#REF!</v>
      </c>
      <c r="AF11" s="344" t="e">
        <f t="shared" ca="1" si="2"/>
        <v>#REF!</v>
      </c>
    </row>
    <row r="12" spans="1:32">
      <c r="A12">
        <f t="shared" si="4"/>
        <v>2017</v>
      </c>
      <c r="B12" s="344">
        <f t="shared" ca="1" si="3"/>
        <v>-35512.836256398594</v>
      </c>
      <c r="C12" s="344">
        <f t="shared" ca="1" si="1"/>
        <v>-4355.2942384847238</v>
      </c>
      <c r="D12" s="344">
        <f t="shared" ca="1" si="1"/>
        <v>-124.43697824242066</v>
      </c>
      <c r="E12" s="344">
        <f t="shared" ca="1" si="1"/>
        <v>-13710.13521560043</v>
      </c>
      <c r="F12" s="344">
        <f t="shared" ca="1" si="1"/>
        <v>-3303.3873764503819</v>
      </c>
      <c r="G12" s="344">
        <f t="shared" ca="1" si="1"/>
        <v>0</v>
      </c>
      <c r="H12" s="344">
        <f t="shared" ca="1" si="1"/>
        <v>-3305.3567579824307</v>
      </c>
      <c r="I12" s="344">
        <f t="shared" ca="1" si="1"/>
        <v>-2370.5244355181135</v>
      </c>
      <c r="J12" s="344">
        <f t="shared" ca="1" si="1"/>
        <v>-1361.6171263411916</v>
      </c>
      <c r="K12" s="344">
        <f t="shared" ca="1" si="1"/>
        <v>-42.106365709288561</v>
      </c>
      <c r="L12" s="344">
        <f t="shared" ca="1" si="1"/>
        <v>-206.14789241380251</v>
      </c>
      <c r="M12" s="344">
        <f t="shared" ca="1" si="1"/>
        <v>0</v>
      </c>
      <c r="N12" s="344">
        <f t="shared" ca="1" si="1"/>
        <v>0</v>
      </c>
      <c r="O12" s="344">
        <f t="shared" ca="1" si="1"/>
        <v>-5845.4128478032089</v>
      </c>
      <c r="P12" s="344">
        <f t="shared" ca="1" si="1"/>
        <v>-8077.790562160325</v>
      </c>
      <c r="Q12" s="344">
        <f t="shared" ca="1" si="1"/>
        <v>-16092.229436163265</v>
      </c>
      <c r="R12" s="344">
        <f t="shared" ca="1" si="1"/>
        <v>-69175.400688347028</v>
      </c>
      <c r="S12" s="344">
        <f t="shared" ca="1" si="1"/>
        <v>-18460.214039156141</v>
      </c>
      <c r="T12" s="344">
        <f t="shared" ca="1" si="1"/>
        <v>-4763.1605834029124</v>
      </c>
      <c r="U12" s="344">
        <f t="shared" ca="1" si="1"/>
        <v>-497.52640520481702</v>
      </c>
      <c r="V12" s="344">
        <f t="shared" ca="1" si="1"/>
        <v>-853.24267117910142</v>
      </c>
      <c r="W12" s="344">
        <f t="shared" ca="1" si="1"/>
        <v>-983.42242590882825</v>
      </c>
      <c r="X12" s="344">
        <f t="shared" ca="1" si="1"/>
        <v>-2531.7905847036163</v>
      </c>
      <c r="Y12" s="344" t="e">
        <f t="shared" ca="1" si="1"/>
        <v>#REF!</v>
      </c>
      <c r="Z12" s="344" t="e">
        <f t="shared" ca="1" si="1"/>
        <v>#REF!</v>
      </c>
      <c r="AA12" s="344" t="e">
        <f t="shared" ca="1" si="2"/>
        <v>#REF!</v>
      </c>
      <c r="AB12" s="344" t="e">
        <f t="shared" ca="1" si="2"/>
        <v>#REF!</v>
      </c>
      <c r="AC12" s="344" t="e">
        <f t="shared" ca="1" si="2"/>
        <v>#REF!</v>
      </c>
      <c r="AD12" s="344" t="e">
        <f t="shared" ca="1" si="2"/>
        <v>#REF!</v>
      </c>
      <c r="AE12" s="344" t="e">
        <f t="shared" ca="1" si="2"/>
        <v>#REF!</v>
      </c>
      <c r="AF12" s="344" t="e">
        <f t="shared" ca="1" si="2"/>
        <v>#REF!</v>
      </c>
    </row>
    <row r="13" spans="1:32">
      <c r="A13">
        <f t="shared" si="4"/>
        <v>2018</v>
      </c>
      <c r="B13" s="344">
        <f t="shared" ca="1" si="3"/>
        <v>-35512.836256398594</v>
      </c>
      <c r="C13" s="344">
        <f t="shared" ca="1" si="1"/>
        <v>-4355.2942384847238</v>
      </c>
      <c r="D13" s="344">
        <f t="shared" ca="1" si="1"/>
        <v>-124.43697824242066</v>
      </c>
      <c r="E13" s="344">
        <f t="shared" ca="1" si="1"/>
        <v>-13710.13521560043</v>
      </c>
      <c r="F13" s="344">
        <f t="shared" ca="1" si="1"/>
        <v>-4955.0810646755726</v>
      </c>
      <c r="G13" s="344">
        <f t="shared" ca="1" si="1"/>
        <v>0</v>
      </c>
      <c r="H13" s="344">
        <f t="shared" ca="1" si="1"/>
        <v>-3341.5118844271651</v>
      </c>
      <c r="I13" s="344">
        <f t="shared" ca="1" si="1"/>
        <v>-2370.5244355181135</v>
      </c>
      <c r="J13" s="344">
        <f t="shared" ca="1" si="1"/>
        <v>-1361.6171263411916</v>
      </c>
      <c r="K13" s="344">
        <f t="shared" ca="1" si="1"/>
        <v>-42.106365709288561</v>
      </c>
      <c r="L13" s="344">
        <f t="shared" ca="1" si="1"/>
        <v>-206.41779245536574</v>
      </c>
      <c r="M13" s="344">
        <f t="shared" ca="1" si="1"/>
        <v>0</v>
      </c>
      <c r="N13" s="344">
        <f t="shared" ca="1" si="1"/>
        <v>0</v>
      </c>
      <c r="O13" s="344">
        <f t="shared" ca="1" si="1"/>
        <v>-5845.4128478032089</v>
      </c>
      <c r="P13" s="344">
        <f t="shared" ca="1" si="1"/>
        <v>-8505.2602187414213</v>
      </c>
      <c r="Q13" s="344">
        <f t="shared" ca="1" si="1"/>
        <v>-18103.758115683657</v>
      </c>
      <c r="R13" s="344">
        <f t="shared" ca="1" si="1"/>
        <v>-69175.400688347028</v>
      </c>
      <c r="S13" s="344">
        <f t="shared" ca="1" si="1"/>
        <v>-18662.138194898398</v>
      </c>
      <c r="T13" s="344">
        <f t="shared" ca="1" si="1"/>
        <v>-4813.8132520121389</v>
      </c>
      <c r="U13" s="344">
        <f t="shared" ca="1" si="1"/>
        <v>-497.52640520481702</v>
      </c>
      <c r="V13" s="344">
        <f t="shared" ca="1" si="1"/>
        <v>-854.43373452629135</v>
      </c>
      <c r="W13" s="344">
        <f t="shared" ca="1" si="1"/>
        <v>-1148.4599608720218</v>
      </c>
      <c r="X13" s="344">
        <f t="shared" ca="1" si="1"/>
        <v>-2841.5897522124551</v>
      </c>
      <c r="Y13" s="344" t="e">
        <f t="shared" ca="1" si="1"/>
        <v>#REF!</v>
      </c>
      <c r="Z13" s="344" t="e">
        <f t="shared" ca="1" si="1"/>
        <v>#REF!</v>
      </c>
      <c r="AA13" s="344" t="e">
        <f t="shared" ca="1" si="2"/>
        <v>#REF!</v>
      </c>
      <c r="AB13" s="344" t="e">
        <f t="shared" ca="1" si="2"/>
        <v>#REF!</v>
      </c>
      <c r="AC13" s="344" t="e">
        <f t="shared" ca="1" si="2"/>
        <v>#REF!</v>
      </c>
      <c r="AD13" s="344" t="e">
        <f t="shared" ca="1" si="2"/>
        <v>#REF!</v>
      </c>
      <c r="AE13" s="344" t="e">
        <f t="shared" ca="1" si="2"/>
        <v>#REF!</v>
      </c>
      <c r="AF13" s="344" t="e">
        <f t="shared" ca="1" si="2"/>
        <v>#REF!</v>
      </c>
    </row>
    <row r="14" spans="1:32">
      <c r="A14">
        <f t="shared" si="4"/>
        <v>2019</v>
      </c>
      <c r="B14" s="344">
        <f t="shared" ca="1" si="3"/>
        <v>-35512.836256398594</v>
      </c>
      <c r="C14" s="344">
        <f t="shared" ca="1" si="1"/>
        <v>-6532.9413577270852</v>
      </c>
      <c r="D14" s="344">
        <f t="shared" ca="1" si="1"/>
        <v>-124.43697824242066</v>
      </c>
      <c r="E14" s="344">
        <f t="shared" ca="1" si="1"/>
        <v>-13710.13521560043</v>
      </c>
      <c r="F14" s="344">
        <f t="shared" ca="1" si="1"/>
        <v>-6606.7747529007638</v>
      </c>
      <c r="G14" s="344">
        <f t="shared" ca="1" si="1"/>
        <v>0</v>
      </c>
      <c r="H14" s="344">
        <f t="shared" ca="1" si="1"/>
        <v>-3377.6670108718999</v>
      </c>
      <c r="I14" s="344">
        <f t="shared" ca="1" si="1"/>
        <v>-2370.5244355181135</v>
      </c>
      <c r="J14" s="344">
        <f t="shared" ca="1" si="1"/>
        <v>-1361.6171263411916</v>
      </c>
      <c r="K14" s="344">
        <f t="shared" ca="1" si="1"/>
        <v>-42.106365709288561</v>
      </c>
      <c r="L14" s="344">
        <f t="shared" ca="1" si="1"/>
        <v>-206.6730702617173</v>
      </c>
      <c r="M14" s="344">
        <f t="shared" ca="1" si="1"/>
        <v>0</v>
      </c>
      <c r="N14" s="344">
        <f t="shared" ca="1" si="1"/>
        <v>0</v>
      </c>
      <c r="O14" s="344">
        <f t="shared" ca="1" si="1"/>
        <v>-5845.4128478032089</v>
      </c>
      <c r="P14" s="344">
        <f t="shared" ca="1" si="1"/>
        <v>-8933.8486079716986</v>
      </c>
      <c r="Q14" s="344">
        <f t="shared" ca="1" si="1"/>
        <v>-20115.286795204072</v>
      </c>
      <c r="R14" s="344">
        <f t="shared" ca="1" si="1"/>
        <v>-69175.400688347028</v>
      </c>
      <c r="S14" s="344">
        <f t="shared" ca="1" si="1"/>
        <v>-18864.062350640648</v>
      </c>
      <c r="T14" s="344">
        <f t="shared" ca="1" si="1"/>
        <v>-4864.4659206213655</v>
      </c>
      <c r="U14" s="344">
        <f t="shared" ca="1" si="1"/>
        <v>-497.52640520481702</v>
      </c>
      <c r="V14" s="344">
        <f t="shared" ca="1" si="1"/>
        <v>-855.55240567912927</v>
      </c>
      <c r="W14" s="344">
        <f t="shared" ca="1" si="1"/>
        <v>-1313.7436763489204</v>
      </c>
      <c r="X14" s="344">
        <f t="shared" ca="1" si="1"/>
        <v>-3144.8176964852678</v>
      </c>
      <c r="Y14" s="344" t="e">
        <f t="shared" ca="1" si="1"/>
        <v>#REF!</v>
      </c>
      <c r="Z14" s="344" t="e">
        <f t="shared" ca="1" si="1"/>
        <v>#REF!</v>
      </c>
      <c r="AA14" s="344" t="e">
        <f t="shared" ca="1" si="2"/>
        <v>#REF!</v>
      </c>
      <c r="AB14" s="344" t="e">
        <f t="shared" ca="1" si="2"/>
        <v>#REF!</v>
      </c>
      <c r="AC14" s="344" t="e">
        <f t="shared" ca="1" si="2"/>
        <v>#REF!</v>
      </c>
      <c r="AD14" s="344" t="e">
        <f t="shared" ca="1" si="2"/>
        <v>#REF!</v>
      </c>
      <c r="AE14" s="344" t="e">
        <f t="shared" ca="1" si="2"/>
        <v>#REF!</v>
      </c>
      <c r="AF14" s="344" t="e">
        <f t="shared" ca="1" si="2"/>
        <v>#REF!</v>
      </c>
    </row>
    <row r="15" spans="1:32">
      <c r="A15">
        <f t="shared" si="4"/>
        <v>2020</v>
      </c>
      <c r="B15" s="344">
        <f t="shared" ca="1" si="3"/>
        <v>-35512.836256398594</v>
      </c>
      <c r="C15" s="344">
        <f t="shared" ca="1" si="1"/>
        <v>-6532.9413577270852</v>
      </c>
      <c r="D15" s="344">
        <f t="shared" ca="1" si="1"/>
        <v>-124.43697824242066</v>
      </c>
      <c r="E15" s="344">
        <f t="shared" ca="1" si="1"/>
        <v>-13710.13521560043</v>
      </c>
      <c r="F15" s="344">
        <f t="shared" ca="1" si="1"/>
        <v>-8258.468441125955</v>
      </c>
      <c r="G15" s="344">
        <f t="shared" ca="1" si="1"/>
        <v>0</v>
      </c>
      <c r="H15" s="344">
        <f t="shared" ca="1" si="1"/>
        <v>-3413.8221373166357</v>
      </c>
      <c r="I15" s="344">
        <f t="shared" ca="1" si="1"/>
        <v>-2370.5244355181135</v>
      </c>
      <c r="J15" s="344">
        <f t="shared" ca="1" si="1"/>
        <v>-1361.6171263411916</v>
      </c>
      <c r="K15" s="344">
        <f t="shared" ca="1" si="1"/>
        <v>-42.106365709288561</v>
      </c>
      <c r="L15" s="344">
        <f t="shared" ca="1" si="1"/>
        <v>-206.91587260906391</v>
      </c>
      <c r="M15" s="344">
        <f t="shared" ca="1" si="1"/>
        <v>-541.56720162645297</v>
      </c>
      <c r="N15" s="344">
        <f t="shared" ca="1" si="1"/>
        <v>-614.83870590410481</v>
      </c>
      <c r="O15" s="344">
        <f t="shared" ca="1" si="1"/>
        <v>-5845.4128478032089</v>
      </c>
      <c r="P15" s="344">
        <f t="shared" ca="1" si="1"/>
        <v>-9363.5201850112971</v>
      </c>
      <c r="Q15" s="344">
        <f t="shared" ca="1" si="1"/>
        <v>-22126.815474724466</v>
      </c>
      <c r="R15" s="344">
        <f t="shared" ref="R15:Z45" ca="1" si="5">SUM(OFFSET(INDIRECT(R$3),$A15-$A$5+$C$1,$C$2,1,4))</f>
        <v>-69175.400688347028</v>
      </c>
      <c r="S15" s="344">
        <f t="shared" ca="1" si="5"/>
        <v>-19065.986506382898</v>
      </c>
      <c r="T15" s="344">
        <f t="shared" ca="1" si="5"/>
        <v>-4915.118589230593</v>
      </c>
      <c r="U15" s="344">
        <f t="shared" ca="1" si="5"/>
        <v>-497.52640520481702</v>
      </c>
      <c r="V15" s="344">
        <f t="shared" ca="1" si="5"/>
        <v>-856.61047116245152</v>
      </c>
      <c r="W15" s="344">
        <f t="shared" ca="1" si="5"/>
        <v>-1479.258544660677</v>
      </c>
      <c r="X15" s="344">
        <f t="shared" ca="1" si="5"/>
        <v>-3441.464195208222</v>
      </c>
      <c r="Y15" s="344" t="e">
        <f t="shared" ca="1" si="5"/>
        <v>#REF!</v>
      </c>
      <c r="Z15" s="344" t="e">
        <f t="shared" ca="1" si="5"/>
        <v>#REF!</v>
      </c>
      <c r="AA15" s="344" t="e">
        <f t="shared" ca="1" si="2"/>
        <v>#REF!</v>
      </c>
      <c r="AB15" s="344" t="e">
        <f t="shared" ca="1" si="2"/>
        <v>#REF!</v>
      </c>
      <c r="AC15" s="344" t="e">
        <f t="shared" ca="1" si="2"/>
        <v>#REF!</v>
      </c>
      <c r="AD15" s="344" t="e">
        <f t="shared" ca="1" si="2"/>
        <v>#REF!</v>
      </c>
      <c r="AE15" s="344" t="e">
        <f t="shared" ca="1" si="2"/>
        <v>#REF!</v>
      </c>
      <c r="AF15" s="344" t="e">
        <f t="shared" ca="1" si="2"/>
        <v>#REF!</v>
      </c>
    </row>
    <row r="16" spans="1:32">
      <c r="A16">
        <f t="shared" si="4"/>
        <v>2021</v>
      </c>
      <c r="B16" s="344">
        <f t="shared" ca="1" si="3"/>
        <v>-35512.836256398594</v>
      </c>
      <c r="C16" s="344">
        <f t="shared" ca="1" si="3"/>
        <v>-8710.5884769694476</v>
      </c>
      <c r="D16" s="344">
        <f t="shared" ca="1" si="3"/>
        <v>-124.43697824242066</v>
      </c>
      <c r="E16" s="344">
        <f t="shared" ca="1" si="3"/>
        <v>-13710.13521560043</v>
      </c>
      <c r="F16" s="344">
        <f t="shared" ca="1" si="3"/>
        <v>-9910.1621293511453</v>
      </c>
      <c r="G16" s="344">
        <f t="shared" ca="1" si="3"/>
        <v>0</v>
      </c>
      <c r="H16" s="344">
        <f t="shared" ca="1" si="3"/>
        <v>-3449.9772637613701</v>
      </c>
      <c r="I16" s="344">
        <f t="shared" ca="1" si="3"/>
        <v>-2370.5244355181135</v>
      </c>
      <c r="J16" s="344">
        <f t="shared" ca="1" si="3"/>
        <v>-1361.6171263411916</v>
      </c>
      <c r="K16" s="344">
        <f t="shared" ca="1" si="3"/>
        <v>-42.106365709288561</v>
      </c>
      <c r="L16" s="344">
        <f t="shared" ca="1" si="3"/>
        <v>-207.14786732897221</v>
      </c>
      <c r="M16" s="344">
        <f t="shared" ca="1" si="3"/>
        <v>-536.15149409735216</v>
      </c>
      <c r="N16" s="344">
        <f t="shared" ca="1" si="3"/>
        <v>-614.83870590410481</v>
      </c>
      <c r="O16" s="344">
        <f t="shared" ca="1" si="3"/>
        <v>-5845.4128478032089</v>
      </c>
      <c r="P16" s="344">
        <f t="shared" ca="1" si="3"/>
        <v>-9794.2408950338431</v>
      </c>
      <c r="Q16" s="344">
        <f t="shared" ca="1" si="3"/>
        <v>-24138.344154244882</v>
      </c>
      <c r="R16" s="344">
        <f t="shared" ca="1" si="5"/>
        <v>-69175.400688347028</v>
      </c>
      <c r="S16" s="344">
        <f t="shared" ca="1" si="5"/>
        <v>-19267.910662125156</v>
      </c>
      <c r="T16" s="344">
        <f t="shared" ca="1" si="5"/>
        <v>-4965.7712578398159</v>
      </c>
      <c r="U16" s="344">
        <f t="shared" ca="1" si="5"/>
        <v>-497.52640520481702</v>
      </c>
      <c r="V16" s="344">
        <f t="shared" ca="1" si="5"/>
        <v>-857.61682885044911</v>
      </c>
      <c r="W16" s="344">
        <f t="shared" ca="1" si="5"/>
        <v>-1644.9919849094142</v>
      </c>
      <c r="X16" s="344">
        <f t="shared" ca="1" si="5"/>
        <v>-3731.5194545793479</v>
      </c>
      <c r="Y16" s="344" t="e">
        <f t="shared" ca="1" si="5"/>
        <v>#REF!</v>
      </c>
      <c r="Z16" s="344" t="e">
        <f t="shared" ca="1" si="5"/>
        <v>#REF!</v>
      </c>
      <c r="AA16" s="344" t="e">
        <f t="shared" ca="1" si="2"/>
        <v>#REF!</v>
      </c>
      <c r="AB16" s="344" t="e">
        <f t="shared" ca="1" si="2"/>
        <v>#REF!</v>
      </c>
      <c r="AC16" s="344" t="e">
        <f t="shared" ca="1" si="2"/>
        <v>#REF!</v>
      </c>
      <c r="AD16" s="344" t="e">
        <f t="shared" ca="1" si="2"/>
        <v>#REF!</v>
      </c>
      <c r="AE16" s="344" t="e">
        <f t="shared" ca="1" si="2"/>
        <v>#REF!</v>
      </c>
      <c r="AF16" s="344" t="e">
        <f t="shared" ca="1" si="2"/>
        <v>#REF!</v>
      </c>
    </row>
    <row r="17" spans="1:32">
      <c r="A17">
        <f t="shared" si="4"/>
        <v>2022</v>
      </c>
      <c r="B17" s="344">
        <f t="shared" ca="1" si="3"/>
        <v>-35512.836256398594</v>
      </c>
      <c r="C17" s="344">
        <f t="shared" ca="1" si="3"/>
        <v>-8710.5884769694476</v>
      </c>
      <c r="D17" s="344">
        <f t="shared" ca="1" si="3"/>
        <v>-124.43697824242066</v>
      </c>
      <c r="E17" s="344">
        <f t="shared" ca="1" si="3"/>
        <v>-13710.13521560043</v>
      </c>
      <c r="F17" s="344">
        <f t="shared" ca="1" si="3"/>
        <v>-11561.855817576336</v>
      </c>
      <c r="G17" s="344">
        <f t="shared" ca="1" si="3"/>
        <v>0</v>
      </c>
      <c r="H17" s="344">
        <f t="shared" ca="1" si="3"/>
        <v>-3486.1323902061049</v>
      </c>
      <c r="I17" s="344">
        <f t="shared" ca="1" si="3"/>
        <v>-2370.5244355181135</v>
      </c>
      <c r="J17" s="344">
        <f t="shared" ca="1" si="3"/>
        <v>-1361.6171263411916</v>
      </c>
      <c r="K17" s="344">
        <f t="shared" ca="1" si="3"/>
        <v>-42.106365709288561</v>
      </c>
      <c r="L17" s="344">
        <f t="shared" ca="1" si="3"/>
        <v>-207.37038076033295</v>
      </c>
      <c r="M17" s="344">
        <f t="shared" ca="1" si="3"/>
        <v>-530.78976607936113</v>
      </c>
      <c r="N17" s="344">
        <f t="shared" ca="1" si="3"/>
        <v>-614.83870590410481</v>
      </c>
      <c r="O17" s="344">
        <f t="shared" ca="1" si="3"/>
        <v>-5845.4128478032089</v>
      </c>
      <c r="P17" s="344">
        <f t="shared" ca="1" si="3"/>
        <v>-10225.978095960911</v>
      </c>
      <c r="Q17" s="344">
        <f t="shared" ca="1" si="3"/>
        <v>-26149.872833765301</v>
      </c>
      <c r="R17" s="344">
        <f t="shared" ca="1" si="5"/>
        <v>-69175.400688347028</v>
      </c>
      <c r="S17" s="344">
        <f t="shared" ca="1" si="5"/>
        <v>-19469.83481786742</v>
      </c>
      <c r="T17" s="344">
        <f t="shared" ca="1" si="5"/>
        <v>-5016.4239264490425</v>
      </c>
      <c r="U17" s="344">
        <f t="shared" ca="1" si="5"/>
        <v>-497.52640520481702</v>
      </c>
      <c r="V17" s="344">
        <f t="shared" ca="1" si="5"/>
        <v>-858.5783915062716</v>
      </c>
      <c r="W17" s="344">
        <f t="shared" ca="1" si="5"/>
        <v>-1644.9919849094142</v>
      </c>
      <c r="X17" s="344">
        <f t="shared" ca="1" si="5"/>
        <v>-4014.9740870877836</v>
      </c>
      <c r="Y17" s="344" t="e">
        <f t="shared" ca="1" si="5"/>
        <v>#REF!</v>
      </c>
      <c r="Z17" s="344" t="e">
        <f t="shared" ca="1" si="5"/>
        <v>#REF!</v>
      </c>
      <c r="AA17" s="344" t="e">
        <f t="shared" ca="1" si="2"/>
        <v>#REF!</v>
      </c>
      <c r="AB17" s="344" t="e">
        <f t="shared" ca="1" si="2"/>
        <v>#REF!</v>
      </c>
      <c r="AC17" s="344" t="e">
        <f t="shared" ca="1" si="2"/>
        <v>#REF!</v>
      </c>
      <c r="AD17" s="344" t="e">
        <f t="shared" ca="1" si="2"/>
        <v>#REF!</v>
      </c>
      <c r="AE17" s="344" t="e">
        <f t="shared" ca="1" si="2"/>
        <v>#REF!</v>
      </c>
      <c r="AF17" s="344" t="e">
        <f t="shared" ca="1" si="2"/>
        <v>#REF!</v>
      </c>
    </row>
    <row r="18" spans="1:32">
      <c r="A18">
        <f t="shared" si="4"/>
        <v>2023</v>
      </c>
      <c r="B18" s="344">
        <f t="shared" ca="1" si="3"/>
        <v>-35512.836256398594</v>
      </c>
      <c r="C18" s="344">
        <f t="shared" ca="1" si="3"/>
        <v>-8710.5884769694476</v>
      </c>
      <c r="D18" s="344">
        <f t="shared" ca="1" si="3"/>
        <v>-124.43697824242066</v>
      </c>
      <c r="E18" s="344">
        <f t="shared" ca="1" si="3"/>
        <v>-13710.13521560043</v>
      </c>
      <c r="F18" s="344">
        <f t="shared" ca="1" si="3"/>
        <v>-13213.549505801528</v>
      </c>
      <c r="G18" s="344">
        <f t="shared" ca="1" si="3"/>
        <v>0</v>
      </c>
      <c r="H18" s="344">
        <f t="shared" ca="1" si="3"/>
        <v>-3522.2875166508402</v>
      </c>
      <c r="I18" s="344">
        <f t="shared" ca="1" si="3"/>
        <v>-2370.5244355181135</v>
      </c>
      <c r="J18" s="344">
        <f t="shared" ca="1" si="3"/>
        <v>-1361.6171263411916</v>
      </c>
      <c r="K18" s="344">
        <f t="shared" ca="1" si="3"/>
        <v>-42.106365709288561</v>
      </c>
      <c r="L18" s="344">
        <f t="shared" ca="1" si="3"/>
        <v>-207.58448829362001</v>
      </c>
      <c r="M18" s="344">
        <f t="shared" ca="1" si="3"/>
        <v>-525.48201757247966</v>
      </c>
      <c r="N18" s="344">
        <f t="shared" ca="1" si="3"/>
        <v>-614.83870590410481</v>
      </c>
      <c r="O18" s="344">
        <f t="shared" ca="1" si="3"/>
        <v>-5845.4128478032089</v>
      </c>
      <c r="P18" s="344">
        <f t="shared" ca="1" si="3"/>
        <v>-10658.700485955025</v>
      </c>
      <c r="Q18" s="344">
        <f t="shared" ca="1" si="3"/>
        <v>-28161.401513285691</v>
      </c>
      <c r="R18" s="344">
        <f t="shared" ca="1" si="5"/>
        <v>-69175.400688347028</v>
      </c>
      <c r="S18" s="344">
        <f t="shared" ca="1" si="5"/>
        <v>-19671.758973609671</v>
      </c>
      <c r="T18" s="344">
        <f t="shared" ca="1" si="5"/>
        <v>-5067.07659505827</v>
      </c>
      <c r="U18" s="344">
        <f t="shared" ca="1" si="5"/>
        <v>-497.52640520481702</v>
      </c>
      <c r="V18" s="344">
        <f t="shared" ca="1" si="5"/>
        <v>-859.50065648756083</v>
      </c>
      <c r="W18" s="344">
        <f t="shared" ca="1" si="5"/>
        <v>-1644.9919849094142</v>
      </c>
      <c r="X18" s="344">
        <f t="shared" ca="1" si="5"/>
        <v>-3973.9065654273677</v>
      </c>
      <c r="Y18" s="344" t="e">
        <f t="shared" ca="1" si="5"/>
        <v>#REF!</v>
      </c>
      <c r="Z18" s="344" t="e">
        <f t="shared" ca="1" si="5"/>
        <v>#REF!</v>
      </c>
      <c r="AA18" s="344" t="e">
        <f t="shared" ca="1" si="2"/>
        <v>#REF!</v>
      </c>
      <c r="AB18" s="344" t="e">
        <f t="shared" ca="1" si="2"/>
        <v>#REF!</v>
      </c>
      <c r="AC18" s="344" t="e">
        <f t="shared" ca="1" si="2"/>
        <v>#REF!</v>
      </c>
      <c r="AD18" s="344" t="e">
        <f t="shared" ca="1" si="2"/>
        <v>#REF!</v>
      </c>
      <c r="AE18" s="344" t="e">
        <f t="shared" ca="1" si="2"/>
        <v>#REF!</v>
      </c>
      <c r="AF18" s="344" t="e">
        <f t="shared" ca="1" si="2"/>
        <v>#REF!</v>
      </c>
    </row>
    <row r="19" spans="1:32">
      <c r="A19">
        <f t="shared" si="4"/>
        <v>2024</v>
      </c>
      <c r="B19" s="344">
        <f t="shared" ca="1" si="3"/>
        <v>-35512.836256398594</v>
      </c>
      <c r="C19" s="344">
        <f t="shared" ca="1" si="3"/>
        <v>-8710.5884769694476</v>
      </c>
      <c r="D19" s="344">
        <f t="shared" ca="1" si="3"/>
        <v>-124.43697824242066</v>
      </c>
      <c r="E19" s="344">
        <f t="shared" ca="1" si="3"/>
        <v>-13710.13521560043</v>
      </c>
      <c r="F19" s="344">
        <f t="shared" ca="1" si="3"/>
        <v>-13213.549505801528</v>
      </c>
      <c r="G19" s="344">
        <f t="shared" ca="1" si="3"/>
        <v>-1008.2241603025502</v>
      </c>
      <c r="H19" s="344">
        <f t="shared" ca="1" si="3"/>
        <v>-3558.4426430955759</v>
      </c>
      <c r="I19" s="344">
        <f t="shared" ca="1" si="3"/>
        <v>-2370.5244355181135</v>
      </c>
      <c r="J19" s="344">
        <f t="shared" ca="1" si="3"/>
        <v>-1361.6171263411916</v>
      </c>
      <c r="K19" s="344">
        <f t="shared" ca="1" si="3"/>
        <v>-42.106365709288561</v>
      </c>
      <c r="L19" s="344">
        <f t="shared" ca="1" si="3"/>
        <v>-207.79107620477433</v>
      </c>
      <c r="M19" s="344">
        <f t="shared" ca="1" si="3"/>
        <v>-520.22682806325781</v>
      </c>
      <c r="N19" s="344">
        <f t="shared" ca="1" si="3"/>
        <v>-614.83870590410481</v>
      </c>
      <c r="O19" s="344">
        <f t="shared" ca="1" si="3"/>
        <v>-5845.4128478032089</v>
      </c>
      <c r="P19" s="344">
        <f t="shared" ca="1" si="3"/>
        <v>-11092.378035332724</v>
      </c>
      <c r="Q19" s="344">
        <f t="shared" ca="1" si="3"/>
        <v>-30172.93019280611</v>
      </c>
      <c r="R19" s="344">
        <f t="shared" ca="1" si="5"/>
        <v>-69175.400688347028</v>
      </c>
      <c r="S19" s="344">
        <f t="shared" ca="1" si="5"/>
        <v>-19873.683129351921</v>
      </c>
      <c r="T19" s="344">
        <f t="shared" ca="1" si="5"/>
        <v>-5117.7292636674965</v>
      </c>
      <c r="U19" s="344">
        <f t="shared" ca="1" si="5"/>
        <v>-497.52640520481702</v>
      </c>
      <c r="V19" s="344">
        <f t="shared" ca="1" si="5"/>
        <v>-860.38808103075951</v>
      </c>
      <c r="W19" s="344">
        <f t="shared" ca="1" si="5"/>
        <v>-1644.9919849094142</v>
      </c>
      <c r="X19" s="344">
        <f t="shared" ca="1" si="5"/>
        <v>-3960.275297755366</v>
      </c>
      <c r="Y19" s="344" t="e">
        <f t="shared" ca="1" si="5"/>
        <v>#REF!</v>
      </c>
      <c r="Z19" s="344" t="e">
        <f t="shared" ca="1" si="5"/>
        <v>#REF!</v>
      </c>
      <c r="AA19" s="344" t="e">
        <f t="shared" ca="1" si="2"/>
        <v>#REF!</v>
      </c>
      <c r="AB19" s="344" t="e">
        <f t="shared" ca="1" si="2"/>
        <v>#REF!</v>
      </c>
      <c r="AC19" s="344" t="e">
        <f t="shared" ca="1" si="2"/>
        <v>#REF!</v>
      </c>
      <c r="AD19" s="344" t="e">
        <f t="shared" ca="1" si="2"/>
        <v>#REF!</v>
      </c>
      <c r="AE19" s="344" t="e">
        <f t="shared" ca="1" si="2"/>
        <v>#REF!</v>
      </c>
      <c r="AF19" s="344" t="e">
        <f t="shared" ca="1" si="2"/>
        <v>#REF!</v>
      </c>
    </row>
    <row r="20" spans="1:32">
      <c r="A20">
        <f t="shared" si="4"/>
        <v>2025</v>
      </c>
      <c r="B20" s="344">
        <f t="shared" ca="1" si="3"/>
        <v>-35512.836256398594</v>
      </c>
      <c r="C20" s="344">
        <f t="shared" ca="1" si="3"/>
        <v>-8710.5884769694476</v>
      </c>
      <c r="D20" s="344">
        <f t="shared" ca="1" si="3"/>
        <v>-124.43697824242066</v>
      </c>
      <c r="E20" s="344">
        <f t="shared" ca="1" si="3"/>
        <v>-13710.13521560043</v>
      </c>
      <c r="F20" s="344">
        <f t="shared" ca="1" si="3"/>
        <v>-13213.549505801528</v>
      </c>
      <c r="G20" s="344">
        <f t="shared" ca="1" si="3"/>
        <v>-2016.4483206051004</v>
      </c>
      <c r="H20" s="344">
        <f t="shared" ca="1" si="3"/>
        <v>-3594.5977695403094</v>
      </c>
      <c r="I20" s="344">
        <f t="shared" ca="1" si="3"/>
        <v>-2370.5244355181135</v>
      </c>
      <c r="J20" s="344">
        <f t="shared" ca="1" si="3"/>
        <v>-1361.6171263411916</v>
      </c>
      <c r="K20" s="344">
        <f t="shared" ca="1" si="3"/>
        <v>-42.106365709288561</v>
      </c>
      <c r="L20" s="344">
        <f t="shared" ca="1" si="3"/>
        <v>-207.99088517858286</v>
      </c>
      <c r="M20" s="344">
        <f t="shared" ca="1" si="3"/>
        <v>-515.02490780842061</v>
      </c>
      <c r="N20" s="344">
        <f t="shared" ca="1" si="3"/>
        <v>-614.83870590410481</v>
      </c>
      <c r="O20" s="344">
        <f t="shared" ca="1" si="3"/>
        <v>-5845.4128478032089</v>
      </c>
      <c r="P20" s="344">
        <f t="shared" ca="1" si="3"/>
        <v>-11526.981922587047</v>
      </c>
      <c r="Q20" s="344">
        <f t="shared" ca="1" si="3"/>
        <v>-32184.45887232653</v>
      </c>
      <c r="R20" s="344">
        <f t="shared" ca="1" si="5"/>
        <v>-69175.400688347028</v>
      </c>
      <c r="S20" s="344">
        <f t="shared" ca="1" si="5"/>
        <v>-20075.607285094171</v>
      </c>
      <c r="T20" s="344">
        <f t="shared" ca="1" si="5"/>
        <v>-5168.3819322767222</v>
      </c>
      <c r="U20" s="344">
        <f t="shared" ca="1" si="5"/>
        <v>-497.52640520481702</v>
      </c>
      <c r="V20" s="344">
        <f t="shared" ca="1" si="5"/>
        <v>-861.24433853777907</v>
      </c>
      <c r="W20" s="344">
        <f t="shared" ca="1" si="5"/>
        <v>-1644.9919849094142</v>
      </c>
      <c r="X20" s="344">
        <f t="shared" ca="1" si="5"/>
        <v>-3946.6043494384821</v>
      </c>
      <c r="Y20" s="344" t="e">
        <f t="shared" ca="1" si="5"/>
        <v>#REF!</v>
      </c>
      <c r="Z20" s="344" t="e">
        <f t="shared" ca="1" si="5"/>
        <v>#REF!</v>
      </c>
      <c r="AA20" s="344" t="e">
        <f t="shared" ca="1" si="2"/>
        <v>#REF!</v>
      </c>
      <c r="AB20" s="344" t="e">
        <f t="shared" ca="1" si="2"/>
        <v>#REF!</v>
      </c>
      <c r="AC20" s="344" t="e">
        <f t="shared" ca="1" si="2"/>
        <v>#REF!</v>
      </c>
      <c r="AD20" s="344" t="e">
        <f t="shared" ca="1" si="2"/>
        <v>#REF!</v>
      </c>
      <c r="AE20" s="344" t="e">
        <f t="shared" ca="1" si="2"/>
        <v>#REF!</v>
      </c>
      <c r="AF20" s="344" t="e">
        <f t="shared" ca="1" si="2"/>
        <v>#REF!</v>
      </c>
    </row>
    <row r="21" spans="1:32">
      <c r="A21">
        <f t="shared" si="4"/>
        <v>2026</v>
      </c>
      <c r="B21" s="344">
        <f t="shared" ca="1" si="3"/>
        <v>-35512.836256398594</v>
      </c>
      <c r="C21" s="344">
        <f t="shared" ca="1" si="3"/>
        <v>-8710.5884769694476</v>
      </c>
      <c r="D21" s="344">
        <f t="shared" ca="1" si="3"/>
        <v>-124.43697824242066</v>
      </c>
      <c r="E21" s="344">
        <f t="shared" ca="1" si="3"/>
        <v>-13710.13521560043</v>
      </c>
      <c r="F21" s="344">
        <f t="shared" ca="1" si="3"/>
        <v>-13213.549505801528</v>
      </c>
      <c r="G21" s="344">
        <f t="shared" ca="1" si="3"/>
        <v>-3024.6724809076504</v>
      </c>
      <c r="H21" s="344">
        <f t="shared" ca="1" si="3"/>
        <v>-3630.7528959850451</v>
      </c>
      <c r="I21" s="344">
        <f t="shared" ca="1" si="3"/>
        <v>-2370.5244355181135</v>
      </c>
      <c r="J21" s="344">
        <f t="shared" ca="1" si="3"/>
        <v>-1361.6171263411916</v>
      </c>
      <c r="K21" s="344">
        <f t="shared" ca="1" si="3"/>
        <v>-42.106365709288561</v>
      </c>
      <c r="L21" s="344">
        <f t="shared" ca="1" si="3"/>
        <v>-208.18454174242908</v>
      </c>
      <c r="M21" s="344">
        <f t="shared" ca="1" si="3"/>
        <v>-509.87483629451771</v>
      </c>
      <c r="N21" s="344">
        <f t="shared" ca="1" si="3"/>
        <v>-614.83870590410481</v>
      </c>
      <c r="O21" s="344">
        <f t="shared" ca="1" si="3"/>
        <v>-5845.4128478032089</v>
      </c>
      <c r="P21" s="344">
        <f t="shared" ca="1" si="3"/>
        <v>-11962.484474232047</v>
      </c>
      <c r="Q21" s="344">
        <f t="shared" ca="1" si="3"/>
        <v>-34195.98755184692</v>
      </c>
      <c r="R21" s="344">
        <f t="shared" ca="1" si="5"/>
        <v>-69175.400688347028</v>
      </c>
      <c r="S21" s="344">
        <f t="shared" ca="1" si="5"/>
        <v>-20277.531440836436</v>
      </c>
      <c r="T21" s="344">
        <f t="shared" ca="1" si="5"/>
        <v>-5219.0346008859497</v>
      </c>
      <c r="U21" s="344">
        <f t="shared" ca="1" si="5"/>
        <v>-497.52640520481702</v>
      </c>
      <c r="V21" s="344">
        <f t="shared" ca="1" si="5"/>
        <v>-862.07249897000111</v>
      </c>
      <c r="W21" s="344">
        <f t="shared" ca="1" si="5"/>
        <v>-1644.9919849094142</v>
      </c>
      <c r="X21" s="344">
        <f t="shared" ca="1" si="5"/>
        <v>-3932.894905899223</v>
      </c>
      <c r="Y21" s="344" t="e">
        <f t="shared" ca="1" si="5"/>
        <v>#REF!</v>
      </c>
      <c r="Z21" s="344" t="e">
        <f t="shared" ca="1" si="5"/>
        <v>#REF!</v>
      </c>
      <c r="AA21" s="344" t="e">
        <f t="shared" ref="AA21:AF45" ca="1" si="6">SUM(OFFSET(INDIRECT(AA$3),$A21-$A$5+$C$1,$C$2,1,4))</f>
        <v>#REF!</v>
      </c>
      <c r="AB21" s="344" t="e">
        <f t="shared" ca="1" si="6"/>
        <v>#REF!</v>
      </c>
      <c r="AC21" s="344" t="e">
        <f t="shared" ca="1" si="6"/>
        <v>#REF!</v>
      </c>
      <c r="AD21" s="344" t="e">
        <f t="shared" ca="1" si="6"/>
        <v>#REF!</v>
      </c>
      <c r="AE21" s="344" t="e">
        <f t="shared" ca="1" si="6"/>
        <v>#REF!</v>
      </c>
      <c r="AF21" s="344" t="e">
        <f t="shared" ca="1" si="6"/>
        <v>#REF!</v>
      </c>
    </row>
    <row r="22" spans="1:32">
      <c r="A22">
        <f t="shared" si="4"/>
        <v>2027</v>
      </c>
      <c r="B22" s="344">
        <f t="shared" ca="1" si="3"/>
        <v>-35512.836256398594</v>
      </c>
      <c r="C22" s="344">
        <f t="shared" ca="1" si="3"/>
        <v>-8710.5884769694476</v>
      </c>
      <c r="D22" s="344">
        <f t="shared" ca="1" si="3"/>
        <v>-124.43697824242066</v>
      </c>
      <c r="E22" s="344">
        <f t="shared" ca="1" si="3"/>
        <v>-13710.13521560043</v>
      </c>
      <c r="F22" s="344">
        <f t="shared" ca="1" si="3"/>
        <v>-13213.549505801528</v>
      </c>
      <c r="G22" s="344">
        <f t="shared" ca="1" si="3"/>
        <v>-4032.8966412102009</v>
      </c>
      <c r="H22" s="344">
        <f t="shared" ca="1" si="3"/>
        <v>-3666.9080224297791</v>
      </c>
      <c r="I22" s="344">
        <f t="shared" ca="1" si="3"/>
        <v>-2370.5244355181135</v>
      </c>
      <c r="J22" s="344">
        <f t="shared" ca="1" si="3"/>
        <v>-1361.6171263411916</v>
      </c>
      <c r="K22" s="344">
        <f t="shared" ca="1" si="3"/>
        <v>-42.106365709288561</v>
      </c>
      <c r="L22" s="344">
        <f t="shared" ca="1" si="3"/>
        <v>-208.37258147784658</v>
      </c>
      <c r="M22" s="344">
        <f t="shared" ca="1" si="3"/>
        <v>-504.77590326482402</v>
      </c>
      <c r="N22" s="344">
        <f t="shared" ca="1" si="3"/>
        <v>-614.83870590410481</v>
      </c>
      <c r="O22" s="344">
        <f t="shared" ca="1" si="3"/>
        <v>-5845.4128478032089</v>
      </c>
      <c r="P22" s="344">
        <f t="shared" ca="1" si="3"/>
        <v>-12398.859108206347</v>
      </c>
      <c r="Q22" s="344">
        <f t="shared" ca="1" si="3"/>
        <v>-36207.516231367335</v>
      </c>
      <c r="R22" s="344">
        <f t="shared" ca="1" si="5"/>
        <v>-69175.400688347028</v>
      </c>
      <c r="S22" s="344">
        <f t="shared" ca="1" si="5"/>
        <v>-20479.455596578686</v>
      </c>
      <c r="T22" s="344">
        <f t="shared" ca="1" si="5"/>
        <v>-5269.6872694951762</v>
      </c>
      <c r="U22" s="344">
        <f t="shared" ca="1" si="5"/>
        <v>-497.52640520481702</v>
      </c>
      <c r="V22" s="344">
        <f t="shared" ca="1" si="5"/>
        <v>-862.87515913365939</v>
      </c>
      <c r="W22" s="344">
        <f t="shared" ca="1" si="5"/>
        <v>-1644.9919849094142</v>
      </c>
      <c r="X22" s="344">
        <f t="shared" ca="1" si="5"/>
        <v>-3919.1481058077857</v>
      </c>
      <c r="Y22" s="344" t="e">
        <f t="shared" ca="1" si="5"/>
        <v>#REF!</v>
      </c>
      <c r="Z22" s="344" t="e">
        <f t="shared" ca="1" si="5"/>
        <v>#REF!</v>
      </c>
      <c r="AA22" s="344" t="e">
        <f t="shared" ca="1" si="6"/>
        <v>#REF!</v>
      </c>
      <c r="AB22" s="344" t="e">
        <f t="shared" ca="1" si="6"/>
        <v>#REF!</v>
      </c>
      <c r="AC22" s="344" t="e">
        <f t="shared" ca="1" si="6"/>
        <v>#REF!</v>
      </c>
      <c r="AD22" s="344" t="e">
        <f t="shared" ca="1" si="6"/>
        <v>#REF!</v>
      </c>
      <c r="AE22" s="344" t="e">
        <f t="shared" ca="1" si="6"/>
        <v>#REF!</v>
      </c>
      <c r="AF22" s="344" t="e">
        <f t="shared" ca="1" si="6"/>
        <v>#REF!</v>
      </c>
    </row>
    <row r="23" spans="1:32">
      <c r="A23">
        <f t="shared" si="4"/>
        <v>2028</v>
      </c>
      <c r="B23" s="344">
        <f t="shared" ca="1" si="3"/>
        <v>-35512.836256398594</v>
      </c>
      <c r="C23" s="344">
        <f t="shared" ca="1" si="3"/>
        <v>-8710.5884769694476</v>
      </c>
      <c r="D23" s="344">
        <f t="shared" ca="1" si="3"/>
        <v>-124.43697824242066</v>
      </c>
      <c r="E23" s="344">
        <f t="shared" ca="1" si="3"/>
        <v>-13710.13521560043</v>
      </c>
      <c r="F23" s="344">
        <f t="shared" ca="1" si="3"/>
        <v>-13213.549505801528</v>
      </c>
      <c r="G23" s="344">
        <f t="shared" ca="1" si="3"/>
        <v>-5041.1208015127513</v>
      </c>
      <c r="H23" s="344">
        <f t="shared" ca="1" si="3"/>
        <v>-3703.0631488745134</v>
      </c>
      <c r="I23" s="344">
        <f t="shared" ca="1" si="3"/>
        <v>-2370.5244355181135</v>
      </c>
      <c r="J23" s="344">
        <f t="shared" ca="1" si="3"/>
        <v>-1361.6171263411916</v>
      </c>
      <c r="K23" s="344">
        <f t="shared" ca="1" si="3"/>
        <v>-42.106365709288561</v>
      </c>
      <c r="L23" s="344">
        <f t="shared" ca="1" si="3"/>
        <v>-208.555466495037</v>
      </c>
      <c r="M23" s="344">
        <f t="shared" ca="1" si="3"/>
        <v>-499.72810871933945</v>
      </c>
      <c r="N23" s="344">
        <f t="shared" ca="1" si="3"/>
        <v>-614.83870590410481</v>
      </c>
      <c r="O23" s="344">
        <f t="shared" ca="1" si="3"/>
        <v>-5845.4128478032089</v>
      </c>
      <c r="P23" s="344">
        <f t="shared" ca="1" si="3"/>
        <v>-12836.080280592192</v>
      </c>
      <c r="Q23" s="344">
        <f t="shared" ca="1" si="3"/>
        <v>-38219.044910887722</v>
      </c>
      <c r="R23" s="344">
        <f t="shared" ca="1" si="5"/>
        <v>-69175.400688347028</v>
      </c>
      <c r="S23" s="344">
        <f t="shared" ca="1" si="5"/>
        <v>-20681.379752320936</v>
      </c>
      <c r="T23" s="344">
        <f t="shared" ca="1" si="5"/>
        <v>-5320.3399381044037</v>
      </c>
      <c r="U23" s="344">
        <f t="shared" ca="1" si="5"/>
        <v>-497.52640520481702</v>
      </c>
      <c r="V23" s="344">
        <f t="shared" ca="1" si="5"/>
        <v>-863.65453888617992</v>
      </c>
      <c r="W23" s="344">
        <f t="shared" ca="1" si="5"/>
        <v>-1644.9919849094142</v>
      </c>
      <c r="X23" s="344">
        <f t="shared" ca="1" si="5"/>
        <v>-3905.365043364422</v>
      </c>
      <c r="Y23" s="344" t="e">
        <f t="shared" ca="1" si="5"/>
        <v>#REF!</v>
      </c>
      <c r="Z23" s="344" t="e">
        <f t="shared" ca="1" si="5"/>
        <v>#REF!</v>
      </c>
      <c r="AA23" s="344" t="e">
        <f t="shared" ca="1" si="6"/>
        <v>#REF!</v>
      </c>
      <c r="AB23" s="344" t="e">
        <f t="shared" ca="1" si="6"/>
        <v>#REF!</v>
      </c>
      <c r="AC23" s="344" t="e">
        <f t="shared" ca="1" si="6"/>
        <v>#REF!</v>
      </c>
      <c r="AD23" s="344" t="e">
        <f t="shared" ca="1" si="6"/>
        <v>#REF!</v>
      </c>
      <c r="AE23" s="344" t="e">
        <f t="shared" ca="1" si="6"/>
        <v>#REF!</v>
      </c>
      <c r="AF23" s="344" t="e">
        <f t="shared" ca="1" si="6"/>
        <v>#REF!</v>
      </c>
    </row>
    <row r="24" spans="1:32">
      <c r="A24">
        <f t="shared" si="4"/>
        <v>2029</v>
      </c>
      <c r="B24" s="344">
        <f t="shared" ca="1" si="3"/>
        <v>-35512.836256398594</v>
      </c>
      <c r="C24" s="344">
        <f t="shared" ca="1" si="3"/>
        <v>-8710.5884769694476</v>
      </c>
      <c r="D24" s="344">
        <f t="shared" ca="1" si="3"/>
        <v>-124.43697824242066</v>
      </c>
      <c r="E24" s="344">
        <f t="shared" ca="1" si="3"/>
        <v>-13710.13521560043</v>
      </c>
      <c r="F24" s="344">
        <f t="shared" ca="1" si="3"/>
        <v>-13213.549505801528</v>
      </c>
      <c r="G24" s="344">
        <f t="shared" ca="1" si="3"/>
        <v>-6049.3449618153018</v>
      </c>
      <c r="H24" s="344">
        <f t="shared" ca="1" si="3"/>
        <v>-3739.2182753192492</v>
      </c>
      <c r="I24" s="344">
        <f t="shared" ca="1" si="3"/>
        <v>-2370.5244355181135</v>
      </c>
      <c r="J24" s="344">
        <f t="shared" ca="1" si="3"/>
        <v>-1361.6171263411916</v>
      </c>
      <c r="K24" s="344">
        <f t="shared" ca="1" si="3"/>
        <v>-42.106365709288561</v>
      </c>
      <c r="L24" s="344">
        <f t="shared" ca="1" si="3"/>
        <v>-208.73359881376186</v>
      </c>
      <c r="M24" s="344">
        <f t="shared" ca="1" si="3"/>
        <v>-494.73074240133911</v>
      </c>
      <c r="N24" s="344">
        <f t="shared" ca="1" si="3"/>
        <v>-614.83870590410481</v>
      </c>
      <c r="O24" s="344">
        <f t="shared" ca="1" si="3"/>
        <v>-5845.4128478032089</v>
      </c>
      <c r="P24" s="344">
        <f t="shared" ca="1" si="3"/>
        <v>-13274.123435425432</v>
      </c>
      <c r="Q24" s="344">
        <f t="shared" ca="1" si="3"/>
        <v>-40230.573590408145</v>
      </c>
      <c r="R24" s="344">
        <f t="shared" ca="1" si="5"/>
        <v>-69175.400688347028</v>
      </c>
      <c r="S24" s="344">
        <f t="shared" ca="1" si="5"/>
        <v>-20883.303908063201</v>
      </c>
      <c r="T24" s="344">
        <f t="shared" ca="1" si="5"/>
        <v>-5370.9926067136303</v>
      </c>
      <c r="U24" s="344">
        <f t="shared" ca="1" si="5"/>
        <v>-497.52640520481702</v>
      </c>
      <c r="V24" s="344">
        <f t="shared" ca="1" si="5"/>
        <v>-864.41255356388149</v>
      </c>
      <c r="W24" s="344">
        <f t="shared" ca="1" si="5"/>
        <v>-1644.9919849094142</v>
      </c>
      <c r="X24" s="344">
        <f t="shared" ca="1" si="5"/>
        <v>-3891.5467704493494</v>
      </c>
      <c r="Y24" s="344" t="e">
        <f t="shared" ca="1" si="5"/>
        <v>#REF!</v>
      </c>
      <c r="Z24" s="344" t="e">
        <f t="shared" ca="1" si="5"/>
        <v>#REF!</v>
      </c>
      <c r="AA24" s="344" t="e">
        <f t="shared" ca="1" si="6"/>
        <v>#REF!</v>
      </c>
      <c r="AB24" s="344" t="e">
        <f t="shared" ca="1" si="6"/>
        <v>#REF!</v>
      </c>
      <c r="AC24" s="344" t="e">
        <f t="shared" ca="1" si="6"/>
        <v>#REF!</v>
      </c>
      <c r="AD24" s="344" t="e">
        <f t="shared" ca="1" si="6"/>
        <v>#REF!</v>
      </c>
      <c r="AE24" s="344" t="e">
        <f t="shared" ca="1" si="6"/>
        <v>#REF!</v>
      </c>
      <c r="AF24" s="344" t="e">
        <f t="shared" ca="1" si="6"/>
        <v>#REF!</v>
      </c>
    </row>
    <row r="25" spans="1:32">
      <c r="A25">
        <f t="shared" si="4"/>
        <v>2030</v>
      </c>
      <c r="B25" s="344">
        <f t="shared" ca="1" si="3"/>
        <v>-35512.836256398594</v>
      </c>
      <c r="C25" s="344">
        <f t="shared" ca="1" si="3"/>
        <v>-8710.5884769694476</v>
      </c>
      <c r="D25" s="344">
        <f t="shared" ca="1" si="3"/>
        <v>-124.43697824242066</v>
      </c>
      <c r="E25" s="344">
        <f t="shared" ca="1" si="3"/>
        <v>-13710.13521560043</v>
      </c>
      <c r="F25" s="344">
        <f t="shared" ca="1" si="3"/>
        <v>-13213.549505801528</v>
      </c>
      <c r="G25" s="344">
        <f t="shared" ca="1" si="3"/>
        <v>-7057.5691221178513</v>
      </c>
      <c r="H25" s="344">
        <f t="shared" ca="1" si="3"/>
        <v>-3775.3734017639845</v>
      </c>
      <c r="I25" s="344">
        <f t="shared" ca="1" si="3"/>
        <v>-2370.5244355181135</v>
      </c>
      <c r="J25" s="344">
        <f t="shared" ca="1" si="3"/>
        <v>-1361.6171263411916</v>
      </c>
      <c r="K25" s="344">
        <f t="shared" ca="1" si="3"/>
        <v>-42.106365709288561</v>
      </c>
      <c r="L25" s="344">
        <f t="shared" ca="1" si="3"/>
        <v>-208.90733076504105</v>
      </c>
      <c r="M25" s="344">
        <f t="shared" ca="1" si="3"/>
        <v>-489.78380431082275</v>
      </c>
      <c r="N25" s="344">
        <f t="shared" ca="1" si="3"/>
        <v>-614.83870590410481</v>
      </c>
      <c r="O25" s="344">
        <f t="shared" ca="1" si="3"/>
        <v>-5845.4128478032089</v>
      </c>
      <c r="P25" s="344">
        <f t="shared" ca="1" si="3"/>
        <v>-13712.964957389482</v>
      </c>
      <c r="Q25" s="344">
        <f t="shared" ca="1" si="3"/>
        <v>-42242.102269928539</v>
      </c>
      <c r="R25" s="344">
        <f t="shared" ca="1" si="5"/>
        <v>-69175.400688347028</v>
      </c>
      <c r="S25" s="344">
        <f t="shared" ca="1" si="5"/>
        <v>-21085.228063805465</v>
      </c>
      <c r="T25" s="344">
        <f t="shared" ca="1" si="5"/>
        <v>-5421.6452753228559</v>
      </c>
      <c r="U25" s="344">
        <f t="shared" ca="1" si="5"/>
        <v>-497.52640520481702</v>
      </c>
      <c r="V25" s="344">
        <f t="shared" ca="1" si="5"/>
        <v>-865.15086944257303</v>
      </c>
      <c r="W25" s="344">
        <f t="shared" ca="1" si="5"/>
        <v>-1644.9919849094142</v>
      </c>
      <c r="X25" s="344">
        <f t="shared" ca="1" si="5"/>
        <v>-3877.694298649179</v>
      </c>
      <c r="Y25" s="344" t="e">
        <f t="shared" ca="1" si="5"/>
        <v>#REF!</v>
      </c>
      <c r="Z25" s="344" t="e">
        <f t="shared" ca="1" si="5"/>
        <v>#REF!</v>
      </c>
      <c r="AA25" s="344" t="e">
        <f t="shared" ca="1" si="6"/>
        <v>#REF!</v>
      </c>
      <c r="AB25" s="344" t="e">
        <f t="shared" ca="1" si="6"/>
        <v>#REF!</v>
      </c>
      <c r="AC25" s="344" t="e">
        <f t="shared" ca="1" si="6"/>
        <v>#REF!</v>
      </c>
      <c r="AD25" s="344" t="e">
        <f t="shared" ca="1" si="6"/>
        <v>#REF!</v>
      </c>
      <c r="AE25" s="344" t="e">
        <f t="shared" ca="1" si="6"/>
        <v>#REF!</v>
      </c>
      <c r="AF25" s="344" t="e">
        <f t="shared" ca="1" si="6"/>
        <v>#REF!</v>
      </c>
    </row>
    <row r="26" spans="1:32">
      <c r="A26">
        <f t="shared" si="4"/>
        <v>2031</v>
      </c>
      <c r="B26" s="344">
        <f t="shared" ca="1" si="3"/>
        <v>-35512.836256398594</v>
      </c>
      <c r="C26" s="344">
        <f t="shared" ca="1" si="3"/>
        <v>-8710.5884769694476</v>
      </c>
      <c r="D26" s="344">
        <f t="shared" ca="1" si="3"/>
        <v>-124.43697824242066</v>
      </c>
      <c r="E26" s="344">
        <f t="shared" ca="1" si="3"/>
        <v>-13710.13521560043</v>
      </c>
      <c r="F26" s="344">
        <f t="shared" ca="1" si="3"/>
        <v>-13213.549505801528</v>
      </c>
      <c r="G26" s="344">
        <f t="shared" ca="1" si="3"/>
        <v>-8065.7932824204017</v>
      </c>
      <c r="H26" s="344">
        <f t="shared" ca="1" si="3"/>
        <v>-3811.5285282087202</v>
      </c>
      <c r="I26" s="344">
        <f t="shared" ca="1" si="3"/>
        <v>-2370.5244355181135</v>
      </c>
      <c r="J26" s="344">
        <f t="shared" ca="1" si="3"/>
        <v>-1361.6171263411916</v>
      </c>
      <c r="K26" s="344">
        <f t="shared" ca="1" si="3"/>
        <v>-42.106365709288561</v>
      </c>
      <c r="L26" s="344">
        <f t="shared" ca="1" si="3"/>
        <v>-209.07697318635553</v>
      </c>
      <c r="M26" s="344">
        <f t="shared" ca="1" si="3"/>
        <v>-484.88587393434028</v>
      </c>
      <c r="N26" s="344">
        <f t="shared" ca="1" si="3"/>
        <v>-614.83870590410481</v>
      </c>
      <c r="O26" s="344">
        <f t="shared" ca="1" si="3"/>
        <v>-5845.4128478032089</v>
      </c>
      <c r="P26" s="344">
        <f t="shared" ca="1" si="3"/>
        <v>-14152.582127201758</v>
      </c>
      <c r="Q26" s="344">
        <f t="shared" ca="1" si="3"/>
        <v>-44253.630949448947</v>
      </c>
      <c r="R26" s="344">
        <f t="shared" ca="1" si="5"/>
        <v>-69175.400688347028</v>
      </c>
      <c r="S26" s="344">
        <f t="shared" ca="1" si="5"/>
        <v>-21287.152219547716</v>
      </c>
      <c r="T26" s="344">
        <f t="shared" ca="1" si="5"/>
        <v>-5421.6452753228559</v>
      </c>
      <c r="U26" s="344">
        <f t="shared" ca="1" si="5"/>
        <v>-497.52640520481702</v>
      </c>
      <c r="V26" s="344">
        <f t="shared" ca="1" si="5"/>
        <v>-865.87094685010732</v>
      </c>
      <c r="W26" s="344">
        <f t="shared" ca="1" si="5"/>
        <v>-1644.9919849094142</v>
      </c>
      <c r="X26" s="344">
        <f t="shared" ca="1" si="5"/>
        <v>-3863.8086011679702</v>
      </c>
      <c r="Y26" s="344" t="e">
        <f t="shared" ca="1" si="5"/>
        <v>#REF!</v>
      </c>
      <c r="Z26" s="344" t="e">
        <f t="shared" ca="1" si="5"/>
        <v>#REF!</v>
      </c>
      <c r="AA26" s="344" t="e">
        <f t="shared" ca="1" si="6"/>
        <v>#REF!</v>
      </c>
      <c r="AB26" s="344" t="e">
        <f t="shared" ca="1" si="6"/>
        <v>#REF!</v>
      </c>
      <c r="AC26" s="344" t="e">
        <f t="shared" ca="1" si="6"/>
        <v>#REF!</v>
      </c>
      <c r="AD26" s="344" t="e">
        <f t="shared" ca="1" si="6"/>
        <v>#REF!</v>
      </c>
      <c r="AE26" s="344" t="e">
        <f t="shared" ca="1" si="6"/>
        <v>#REF!</v>
      </c>
      <c r="AF26" s="344" t="e">
        <f t="shared" ca="1" si="6"/>
        <v>#REF!</v>
      </c>
    </row>
    <row r="27" spans="1:32">
      <c r="A27">
        <f t="shared" si="4"/>
        <v>2032</v>
      </c>
      <c r="B27" s="344">
        <f t="shared" ca="1" si="3"/>
        <v>-35512.836256398594</v>
      </c>
      <c r="C27" s="344">
        <f t="shared" ca="1" si="3"/>
        <v>-8710.5884769694476</v>
      </c>
      <c r="D27" s="344">
        <f t="shared" ca="1" si="3"/>
        <v>-124.43697824242066</v>
      </c>
      <c r="E27" s="344">
        <f t="shared" ca="1" si="3"/>
        <v>-13710.13521560043</v>
      </c>
      <c r="F27" s="344">
        <f t="shared" ca="1" si="3"/>
        <v>-13213.549505801528</v>
      </c>
      <c r="G27" s="344">
        <f t="shared" ca="1" si="3"/>
        <v>-9074.017442722954</v>
      </c>
      <c r="H27" s="344">
        <f t="shared" ca="1" si="3"/>
        <v>-3847.6836546534541</v>
      </c>
      <c r="I27" s="344">
        <f t="shared" ca="1" si="3"/>
        <v>-2370.5244355181135</v>
      </c>
      <c r="J27" s="344">
        <f t="shared" ca="1" si="3"/>
        <v>-1361.6171263411916</v>
      </c>
      <c r="K27" s="344">
        <f t="shared" ca="1" si="3"/>
        <v>-42.106365709288561</v>
      </c>
      <c r="L27" s="344">
        <f t="shared" ca="1" si="3"/>
        <v>-209.24280195681288</v>
      </c>
      <c r="M27" s="344">
        <f t="shared" ca="1" si="3"/>
        <v>-480.03695127189161</v>
      </c>
      <c r="N27" s="344">
        <f t="shared" ca="1" si="3"/>
        <v>-614.83870590410481</v>
      </c>
      <c r="O27" s="344">
        <f t="shared" ca="1" si="3"/>
        <v>-5845.4128478032089</v>
      </c>
      <c r="P27" s="344">
        <f t="shared" ca="1" si="3"/>
        <v>-14592.953079515333</v>
      </c>
      <c r="Q27" s="344">
        <f t="shared" ca="1" si="3"/>
        <v>-46265.15962896937</v>
      </c>
      <c r="R27" s="344">
        <f t="shared" ca="1" si="5"/>
        <v>-69175.400688347028</v>
      </c>
      <c r="S27" s="344">
        <f t="shared" ca="1" si="5"/>
        <v>-21489.076375289966</v>
      </c>
      <c r="T27" s="344">
        <f t="shared" ca="1" si="5"/>
        <v>-5421.6452753228559</v>
      </c>
      <c r="U27" s="344">
        <f t="shared" ca="1" si="5"/>
        <v>-497.52640520481702</v>
      </c>
      <c r="V27" s="344">
        <f t="shared" ca="1" si="5"/>
        <v>-866.57407413353792</v>
      </c>
      <c r="W27" s="344">
        <f t="shared" ca="1" si="5"/>
        <v>-1644.9919849094142</v>
      </c>
      <c r="X27" s="344">
        <f t="shared" ca="1" si="5"/>
        <v>-3849.8906146305685</v>
      </c>
      <c r="Y27" s="344" t="e">
        <f t="shared" ca="1" si="5"/>
        <v>#REF!</v>
      </c>
      <c r="Z27" s="344" t="e">
        <f t="shared" ca="1" si="5"/>
        <v>#REF!</v>
      </c>
      <c r="AA27" s="344" t="e">
        <f t="shared" ca="1" si="6"/>
        <v>#REF!</v>
      </c>
      <c r="AB27" s="344" t="e">
        <f t="shared" ca="1" si="6"/>
        <v>#REF!</v>
      </c>
      <c r="AC27" s="344" t="e">
        <f t="shared" ca="1" si="6"/>
        <v>#REF!</v>
      </c>
      <c r="AD27" s="344" t="e">
        <f t="shared" ca="1" si="6"/>
        <v>#REF!</v>
      </c>
      <c r="AE27" s="344" t="e">
        <f t="shared" ca="1" si="6"/>
        <v>#REF!</v>
      </c>
      <c r="AF27" s="344" t="e">
        <f t="shared" ca="1" si="6"/>
        <v>#REF!</v>
      </c>
    </row>
    <row r="28" spans="1:32">
      <c r="A28">
        <f t="shared" si="4"/>
        <v>2033</v>
      </c>
      <c r="B28" s="344">
        <f t="shared" ca="1" si="3"/>
        <v>-35512.836256398594</v>
      </c>
      <c r="C28" s="344">
        <f t="shared" ca="1" si="3"/>
        <v>-8710.5884769694476</v>
      </c>
      <c r="D28" s="344">
        <f t="shared" ca="1" si="3"/>
        <v>-124.43697824242066</v>
      </c>
      <c r="E28" s="344">
        <f t="shared" ca="1" si="3"/>
        <v>-13710.13521560043</v>
      </c>
      <c r="F28" s="344">
        <f t="shared" ca="1" si="3"/>
        <v>-13213.549505801528</v>
      </c>
      <c r="G28" s="344">
        <f t="shared" ca="1" si="3"/>
        <v>-10082.241603025503</v>
      </c>
      <c r="H28" s="344">
        <f t="shared" ca="1" si="3"/>
        <v>-3883.8387810981894</v>
      </c>
      <c r="I28" s="344">
        <f t="shared" ca="1" si="3"/>
        <v>-2370.5244355181135</v>
      </c>
      <c r="J28" s="344">
        <f t="shared" ca="1" si="3"/>
        <v>-1361.6171263411916</v>
      </c>
      <c r="K28" s="344">
        <f t="shared" ca="1" si="3"/>
        <v>-42.106365709288561</v>
      </c>
      <c r="L28" s="344">
        <f t="shared" ca="1" si="3"/>
        <v>-209.40506326564875</v>
      </c>
      <c r="M28" s="344">
        <f t="shared" ca="1" si="3"/>
        <v>-475.23632606675164</v>
      </c>
      <c r="N28" s="344">
        <f t="shared" ca="1" si="3"/>
        <v>-614.83870590410481</v>
      </c>
      <c r="O28" s="344">
        <f t="shared" ca="1" si="3"/>
        <v>-5845.4128478032089</v>
      </c>
      <c r="P28" s="344">
        <f t="shared" ca="1" si="3"/>
        <v>-15034.056763171931</v>
      </c>
      <c r="Q28" s="344">
        <f t="shared" ca="1" si="3"/>
        <v>-48276.688308489764</v>
      </c>
      <c r="R28" s="344">
        <f t="shared" ca="1" si="5"/>
        <v>-69175.400688347028</v>
      </c>
      <c r="S28" s="344">
        <f t="shared" ca="1" si="5"/>
        <v>-21691.000531032216</v>
      </c>
      <c r="T28" s="344">
        <f t="shared" ca="1" si="5"/>
        <v>-5421.6452753228559</v>
      </c>
      <c r="U28" s="344">
        <f t="shared" ca="1" si="5"/>
        <v>-497.52640520481702</v>
      </c>
      <c r="V28" s="344">
        <f t="shared" ca="1" si="5"/>
        <v>-867.26139474581635</v>
      </c>
      <c r="W28" s="344">
        <f t="shared" ca="1" si="5"/>
        <v>-1644.9919849094142</v>
      </c>
      <c r="X28" s="344">
        <f t="shared" ca="1" si="5"/>
        <v>-3835.9412407851964</v>
      </c>
      <c r="Y28" s="344" t="e">
        <f t="shared" ca="1" si="5"/>
        <v>#REF!</v>
      </c>
      <c r="Z28" s="344" t="e">
        <f t="shared" ca="1" si="5"/>
        <v>#REF!</v>
      </c>
      <c r="AA28" s="344" t="e">
        <f t="shared" ca="1" si="6"/>
        <v>#REF!</v>
      </c>
      <c r="AB28" s="344" t="e">
        <f t="shared" ca="1" si="6"/>
        <v>#REF!</v>
      </c>
      <c r="AC28" s="344" t="e">
        <f t="shared" ca="1" si="6"/>
        <v>#REF!</v>
      </c>
      <c r="AD28" s="344" t="e">
        <f t="shared" ca="1" si="6"/>
        <v>#REF!</v>
      </c>
      <c r="AE28" s="344" t="e">
        <f t="shared" ca="1" si="6"/>
        <v>#REF!</v>
      </c>
      <c r="AF28" s="344" t="e">
        <f t="shared" ca="1" si="6"/>
        <v>#REF!</v>
      </c>
    </row>
    <row r="29" spans="1:32">
      <c r="A29">
        <f t="shared" si="4"/>
        <v>2034</v>
      </c>
      <c r="B29" s="344">
        <f t="shared" ca="1" si="3"/>
        <v>-35512.836256398594</v>
      </c>
      <c r="C29" s="344">
        <f t="shared" ca="1" si="3"/>
        <v>-8710.5884769694476</v>
      </c>
      <c r="D29" s="344">
        <f t="shared" ca="1" si="3"/>
        <v>-124.43697824242066</v>
      </c>
      <c r="E29" s="344">
        <f t="shared" ca="1" si="3"/>
        <v>-13710.13521560043</v>
      </c>
      <c r="F29" s="344">
        <f t="shared" ca="1" si="3"/>
        <v>-13213.549505801528</v>
      </c>
      <c r="G29" s="344">
        <f t="shared" ca="1" si="3"/>
        <v>-10082.241603025503</v>
      </c>
      <c r="H29" s="344">
        <f t="shared" ca="1" si="3"/>
        <v>-3919.9939075429229</v>
      </c>
      <c r="I29" s="344">
        <f t="shared" ca="1" si="3"/>
        <v>-2370.5244355181135</v>
      </c>
      <c r="J29" s="344">
        <f t="shared" ca="1" si="3"/>
        <v>-1361.6171263411916</v>
      </c>
      <c r="K29" s="344">
        <f t="shared" ca="1" si="3"/>
        <v>-42.106365709288561</v>
      </c>
      <c r="L29" s="344">
        <f t="shared" ca="1" si="3"/>
        <v>-209.5639779018</v>
      </c>
      <c r="M29" s="344">
        <f t="shared" ca="1" si="3"/>
        <v>-470.48399831892038</v>
      </c>
      <c r="N29" s="344">
        <f t="shared" ca="1" si="3"/>
        <v>-614.83870590410481</v>
      </c>
      <c r="O29" s="344">
        <f t="shared" ca="1" si="3"/>
        <v>-5845.4128478032089</v>
      </c>
      <c r="P29" s="344">
        <f t="shared" ca="1" si="3"/>
        <v>-15475.872903654525</v>
      </c>
      <c r="Q29" s="344">
        <f t="shared" ca="1" si="3"/>
        <v>-50288.216988010186</v>
      </c>
      <c r="R29" s="344">
        <f t="shared" ca="1" si="5"/>
        <v>-69175.400688347028</v>
      </c>
      <c r="S29" s="344">
        <f t="shared" ca="1" si="5"/>
        <v>-21892.924686774466</v>
      </c>
      <c r="T29" s="344">
        <f t="shared" ca="1" si="5"/>
        <v>-5421.6452753228559</v>
      </c>
      <c r="U29" s="344">
        <f t="shared" ca="1" si="5"/>
        <v>-497.52640520481702</v>
      </c>
      <c r="V29" s="344">
        <f t="shared" ca="1" si="5"/>
        <v>-867.93392908247324</v>
      </c>
      <c r="W29" s="344">
        <f t="shared" ca="1" si="5"/>
        <v>-1644.9919849094142</v>
      </c>
      <c r="X29" s="344">
        <f t="shared" ca="1" si="5"/>
        <v>-3831.4219676905486</v>
      </c>
      <c r="Y29" s="344" t="e">
        <f t="shared" ca="1" si="5"/>
        <v>#REF!</v>
      </c>
      <c r="Z29" s="344" t="e">
        <f t="shared" ca="1" si="5"/>
        <v>#REF!</v>
      </c>
      <c r="AA29" s="344" t="e">
        <f t="shared" ca="1" si="6"/>
        <v>#REF!</v>
      </c>
      <c r="AB29" s="344" t="e">
        <f t="shared" ca="1" si="6"/>
        <v>#REF!</v>
      </c>
      <c r="AC29" s="344" t="e">
        <f t="shared" ca="1" si="6"/>
        <v>#REF!</v>
      </c>
      <c r="AD29" s="344" t="e">
        <f t="shared" ca="1" si="6"/>
        <v>#REF!</v>
      </c>
      <c r="AE29" s="344" t="e">
        <f t="shared" ca="1" si="6"/>
        <v>#REF!</v>
      </c>
      <c r="AF29" s="344" t="e">
        <f t="shared" ca="1" si="6"/>
        <v>#REF!</v>
      </c>
    </row>
    <row r="30" spans="1:32">
      <c r="A30">
        <f t="shared" si="4"/>
        <v>2035</v>
      </c>
      <c r="B30" s="344">
        <f t="shared" ca="1" si="3"/>
        <v>-35512.836256398594</v>
      </c>
      <c r="C30" s="344">
        <f t="shared" ca="1" si="3"/>
        <v>-8710.5884769694476</v>
      </c>
      <c r="D30" s="344">
        <f t="shared" ca="1" si="3"/>
        <v>-124.43697824242066</v>
      </c>
      <c r="E30" s="344">
        <f t="shared" ca="1" si="3"/>
        <v>-13710.13521560043</v>
      </c>
      <c r="F30" s="344">
        <f t="shared" ca="1" si="3"/>
        <v>-13213.549505801528</v>
      </c>
      <c r="G30" s="344">
        <f t="shared" ca="1" si="3"/>
        <v>-10082.241603025503</v>
      </c>
      <c r="H30" s="344">
        <f t="shared" ca="1" si="3"/>
        <v>-3956.1490339876577</v>
      </c>
      <c r="I30" s="344">
        <f t="shared" ca="1" si="3"/>
        <v>-2370.5244355181135</v>
      </c>
      <c r="J30" s="344">
        <f t="shared" ca="1" si="3"/>
        <v>-1361.6171263411916</v>
      </c>
      <c r="K30" s="344">
        <f t="shared" ca="1" si="3"/>
        <v>-42.106365709288561</v>
      </c>
      <c r="L30" s="344">
        <f t="shared" ca="1" si="3"/>
        <v>-209.71974477808931</v>
      </c>
      <c r="M30" s="344">
        <f t="shared" ca="1" si="3"/>
        <v>-465.77925777167263</v>
      </c>
      <c r="N30" s="344">
        <f t="shared" ca="1" si="3"/>
        <v>-614.83870590410481</v>
      </c>
      <c r="O30" s="344">
        <f t="shared" ca="1" si="3"/>
        <v>-5845.4128478032089</v>
      </c>
      <c r="P30" s="344">
        <f t="shared" ca="1" si="3"/>
        <v>-15918.381967598942</v>
      </c>
      <c r="Q30" s="344">
        <f t="shared" ca="1" si="3"/>
        <v>-52299.745667530602</v>
      </c>
      <c r="R30" s="344">
        <f t="shared" ca="1" si="5"/>
        <v>-69175.400688347028</v>
      </c>
      <c r="S30" s="344">
        <f t="shared" ca="1" si="5"/>
        <v>-22094.848842516731</v>
      </c>
      <c r="T30" s="344">
        <f t="shared" ca="1" si="5"/>
        <v>-5421.6452753228559</v>
      </c>
      <c r="U30" s="344">
        <f t="shared" ca="1" si="5"/>
        <v>-497.52640520481702</v>
      </c>
      <c r="V30" s="344">
        <f t="shared" ca="1" si="5"/>
        <v>-868.59259226087261</v>
      </c>
      <c r="W30" s="344">
        <f t="shared" ca="1" si="5"/>
        <v>-1644.9919849094142</v>
      </c>
      <c r="X30" s="344">
        <f t="shared" ca="1" si="5"/>
        <v>-3826.8730124998601</v>
      </c>
      <c r="Y30" s="344" t="e">
        <f t="shared" ca="1" si="5"/>
        <v>#REF!</v>
      </c>
      <c r="Z30" s="344" t="e">
        <f t="shared" ca="1" si="5"/>
        <v>#REF!</v>
      </c>
      <c r="AA30" s="344" t="e">
        <f t="shared" ca="1" si="6"/>
        <v>#REF!</v>
      </c>
      <c r="AB30" s="344" t="e">
        <f t="shared" ca="1" si="6"/>
        <v>#REF!</v>
      </c>
      <c r="AC30" s="344" t="e">
        <f t="shared" ca="1" si="6"/>
        <v>#REF!</v>
      </c>
      <c r="AD30" s="344" t="e">
        <f t="shared" ca="1" si="6"/>
        <v>#REF!</v>
      </c>
      <c r="AE30" s="344" t="e">
        <f t="shared" ca="1" si="6"/>
        <v>#REF!</v>
      </c>
      <c r="AF30" s="344" t="e">
        <f t="shared" ca="1" si="6"/>
        <v>#REF!</v>
      </c>
    </row>
    <row r="31" spans="1:32">
      <c r="A31">
        <f t="shared" si="4"/>
        <v>2036</v>
      </c>
      <c r="B31" s="344">
        <f t="shared" ca="1" si="3"/>
        <v>-35512.836256398594</v>
      </c>
      <c r="C31" s="344">
        <f t="shared" ca="1" si="3"/>
        <v>-8710.5884769694476</v>
      </c>
      <c r="D31" s="344">
        <f t="shared" ca="1" si="3"/>
        <v>-124.43697824242066</v>
      </c>
      <c r="E31" s="344">
        <f t="shared" ca="1" si="3"/>
        <v>-13710.13521560043</v>
      </c>
      <c r="F31" s="344">
        <f t="shared" ca="1" si="3"/>
        <v>-13213.549505801528</v>
      </c>
      <c r="G31" s="344">
        <f t="shared" ref="G31:V31" ca="1" si="7">SUM(OFFSET(INDIRECT(G$3),$A31-$A$5+$C$1,$C$2,1,4))</f>
        <v>-10082.241603025503</v>
      </c>
      <c r="H31" s="344">
        <f t="shared" ca="1" si="7"/>
        <v>-3992.3041604323935</v>
      </c>
      <c r="I31" s="344">
        <f t="shared" ca="1" si="7"/>
        <v>-2370.5244355181135</v>
      </c>
      <c r="J31" s="344">
        <f t="shared" ca="1" si="7"/>
        <v>-1361.6171263411916</v>
      </c>
      <c r="K31" s="344">
        <f t="shared" ca="1" si="7"/>
        <v>-42.106365709288561</v>
      </c>
      <c r="L31" s="344">
        <f t="shared" ca="1" si="7"/>
        <v>-209.87254385060123</v>
      </c>
      <c r="M31" s="344">
        <f t="shared" ca="1" si="7"/>
        <v>-461.12139416828342</v>
      </c>
      <c r="N31" s="344">
        <f t="shared" ca="1" si="7"/>
        <v>-614.83870590410481</v>
      </c>
      <c r="O31" s="344">
        <f t="shared" ca="1" si="7"/>
        <v>-5845.4128478032089</v>
      </c>
      <c r="P31" s="344">
        <f t="shared" ca="1" si="7"/>
        <v>-16361.565129233688</v>
      </c>
      <c r="Q31" s="344">
        <f t="shared" ca="1" si="7"/>
        <v>-54311.274347050989</v>
      </c>
      <c r="R31" s="344">
        <f t="shared" ca="1" si="7"/>
        <v>-69175.400688347028</v>
      </c>
      <c r="S31" s="344">
        <f t="shared" ca="1" si="7"/>
        <v>-22296.772998258981</v>
      </c>
      <c r="T31" s="344">
        <f t="shared" ca="1" si="7"/>
        <v>-5421.6452753228559</v>
      </c>
      <c r="U31" s="344">
        <f t="shared" ca="1" si="7"/>
        <v>-497.52640520481702</v>
      </c>
      <c r="V31" s="344">
        <f t="shared" ca="1" si="7"/>
        <v>-869.23820872711428</v>
      </c>
      <c r="W31" s="344">
        <f t="shared" ca="1" si="5"/>
        <v>-1644.9919849094142</v>
      </c>
      <c r="X31" s="344">
        <f t="shared" ca="1" si="5"/>
        <v>-3822.2951816346049</v>
      </c>
      <c r="Y31" s="344" t="e">
        <f t="shared" ca="1" si="5"/>
        <v>#REF!</v>
      </c>
      <c r="Z31" s="344" t="e">
        <f t="shared" ca="1" si="5"/>
        <v>#REF!</v>
      </c>
      <c r="AA31" s="344" t="e">
        <f t="shared" ca="1" si="6"/>
        <v>#REF!</v>
      </c>
      <c r="AB31" s="344" t="e">
        <f t="shared" ca="1" si="6"/>
        <v>#REF!</v>
      </c>
      <c r="AC31" s="344" t="e">
        <f t="shared" ca="1" si="6"/>
        <v>#REF!</v>
      </c>
      <c r="AD31" s="344" t="e">
        <f t="shared" ca="1" si="6"/>
        <v>#REF!</v>
      </c>
      <c r="AE31" s="344" t="e">
        <f t="shared" ca="1" si="6"/>
        <v>#REF!</v>
      </c>
      <c r="AF31" s="344" t="e">
        <f t="shared" ca="1" si="6"/>
        <v>#REF!</v>
      </c>
    </row>
    <row r="32" spans="1:32">
      <c r="A32">
        <f t="shared" si="4"/>
        <v>2037</v>
      </c>
      <c r="B32" s="344">
        <f t="shared" ref="B32:Q45" ca="1" si="8">SUM(OFFSET(INDIRECT(B$3),$A32-$A$5+$C$1,$C$2,1,4))</f>
        <v>-35512.836256398594</v>
      </c>
      <c r="C32" s="344">
        <f t="shared" ca="1" si="8"/>
        <v>-8710.5884769694476</v>
      </c>
      <c r="D32" s="344">
        <f t="shared" ca="1" si="8"/>
        <v>-124.43697824242066</v>
      </c>
      <c r="E32" s="344">
        <f t="shared" ca="1" si="8"/>
        <v>-13710.13521560043</v>
      </c>
      <c r="F32" s="344">
        <f t="shared" ca="1" si="8"/>
        <v>-13213.549505801528</v>
      </c>
      <c r="G32" s="344">
        <f t="shared" ca="1" si="8"/>
        <v>-10082.241603025503</v>
      </c>
      <c r="H32" s="344">
        <f t="shared" ca="1" si="8"/>
        <v>-4028.4592868771292</v>
      </c>
      <c r="I32" s="344">
        <f t="shared" ca="1" si="8"/>
        <v>-2370.5244355181135</v>
      </c>
      <c r="J32" s="344">
        <f t="shared" ca="1" si="8"/>
        <v>-1361.6171263411916</v>
      </c>
      <c r="K32" s="344">
        <f t="shared" ca="1" si="8"/>
        <v>-42.106365709288561</v>
      </c>
      <c r="L32" s="344">
        <f t="shared" ca="1" si="8"/>
        <v>-210.02253855547011</v>
      </c>
      <c r="M32" s="344">
        <f t="shared" ca="1" si="8"/>
        <v>-456.51040750875268</v>
      </c>
      <c r="N32" s="344">
        <f t="shared" ca="1" si="8"/>
        <v>-614.83870590410481</v>
      </c>
      <c r="O32" s="344">
        <f t="shared" ca="1" si="8"/>
        <v>-5845.4128478032089</v>
      </c>
      <c r="P32" s="344">
        <f t="shared" ca="1" si="8"/>
        <v>-16805.404238626754</v>
      </c>
      <c r="Q32" s="344">
        <f t="shared" ca="1" si="8"/>
        <v>-56322.803026571382</v>
      </c>
      <c r="R32" s="344">
        <f t="shared" ref="R32:V45" ca="1" si="9">SUM(OFFSET(INDIRECT(R$3),$A32-$A$5+$C$1,$C$2,1,4))</f>
        <v>-69175.400688347028</v>
      </c>
      <c r="S32" s="344">
        <f t="shared" ca="1" si="9"/>
        <v>-22498.697154001231</v>
      </c>
      <c r="T32" s="344">
        <f t="shared" ca="1" si="9"/>
        <v>-5421.6452753228559</v>
      </c>
      <c r="U32" s="344">
        <f t="shared" ca="1" si="9"/>
        <v>-497.52640520481702</v>
      </c>
      <c r="V32" s="344">
        <f t="shared" ca="1" si="9"/>
        <v>-869.8715243561503</v>
      </c>
      <c r="W32" s="344">
        <f t="shared" ca="1" si="5"/>
        <v>-1644.9919849094142</v>
      </c>
      <c r="X32" s="344">
        <f t="shared" ca="1" si="5"/>
        <v>-3817.6892525659619</v>
      </c>
      <c r="Y32" s="344" t="e">
        <f t="shared" ca="1" si="5"/>
        <v>#REF!</v>
      </c>
      <c r="Z32" s="344" t="e">
        <f t="shared" ca="1" si="5"/>
        <v>#REF!</v>
      </c>
      <c r="AA32" s="344" t="e">
        <f t="shared" ca="1" si="6"/>
        <v>#REF!</v>
      </c>
      <c r="AB32" s="344" t="e">
        <f t="shared" ca="1" si="6"/>
        <v>#REF!</v>
      </c>
      <c r="AC32" s="344" t="e">
        <f t="shared" ca="1" si="6"/>
        <v>#REF!</v>
      </c>
      <c r="AD32" s="344" t="e">
        <f t="shared" ca="1" si="6"/>
        <v>#REF!</v>
      </c>
      <c r="AE32" s="344" t="e">
        <f t="shared" ca="1" si="6"/>
        <v>#REF!</v>
      </c>
      <c r="AF32" s="344" t="e">
        <f t="shared" ca="1" si="6"/>
        <v>#REF!</v>
      </c>
    </row>
    <row r="33" spans="1:32">
      <c r="A33">
        <f t="shared" si="4"/>
        <v>2038</v>
      </c>
      <c r="B33" s="344">
        <f t="shared" ca="1" si="8"/>
        <v>-35512.836256398594</v>
      </c>
      <c r="C33" s="344">
        <f t="shared" ca="1" si="8"/>
        <v>-8710.5884769694476</v>
      </c>
      <c r="D33" s="344">
        <f t="shared" ca="1" si="8"/>
        <v>-124.43697824242066</v>
      </c>
      <c r="E33" s="344">
        <f t="shared" ca="1" si="8"/>
        <v>-13710.13521560043</v>
      </c>
      <c r="F33" s="344">
        <f t="shared" ca="1" si="8"/>
        <v>-13213.549505801528</v>
      </c>
      <c r="G33" s="344">
        <f t="shared" ca="1" si="8"/>
        <v>-10082.241603025503</v>
      </c>
      <c r="H33" s="344">
        <f t="shared" ca="1" si="8"/>
        <v>-4064.6144133218636</v>
      </c>
      <c r="I33" s="344">
        <f t="shared" ca="1" si="8"/>
        <v>-2370.5244355181135</v>
      </c>
      <c r="J33" s="344">
        <f t="shared" ca="1" si="8"/>
        <v>-1361.6171263411916</v>
      </c>
      <c r="K33" s="344">
        <f t="shared" ca="1" si="8"/>
        <v>-42.106365709288561</v>
      </c>
      <c r="L33" s="344">
        <f t="shared" ca="1" si="8"/>
        <v>-210.16987785714261</v>
      </c>
      <c r="M33" s="344">
        <f t="shared" ca="1" si="8"/>
        <v>-451.94487727963008</v>
      </c>
      <c r="N33" s="344">
        <f t="shared" ca="1" si="8"/>
        <v>-614.83870590410481</v>
      </c>
      <c r="O33" s="344">
        <f t="shared" ca="1" si="8"/>
        <v>-5845.4128478032089</v>
      </c>
      <c r="P33" s="344">
        <f t="shared" ca="1" si="8"/>
        <v>-17249.881791627668</v>
      </c>
      <c r="Q33" s="344">
        <f t="shared" ca="1" si="8"/>
        <v>-58334.331706091805</v>
      </c>
      <c r="R33" s="344">
        <f t="shared" ca="1" si="9"/>
        <v>-69175.400688347028</v>
      </c>
      <c r="S33" s="344">
        <f t="shared" ca="1" si="9"/>
        <v>-22700.621309743496</v>
      </c>
      <c r="T33" s="344">
        <f t="shared" ca="1" si="9"/>
        <v>-5421.6452753228559</v>
      </c>
      <c r="U33" s="344">
        <f t="shared" ca="1" si="9"/>
        <v>-497.52640520481702</v>
      </c>
      <c r="V33" s="344">
        <f t="shared" ca="1" si="9"/>
        <v>-870.49321655168853</v>
      </c>
      <c r="W33" s="344">
        <f t="shared" ca="1" si="5"/>
        <v>-1644.9919849094142</v>
      </c>
      <c r="X33" s="344">
        <f t="shared" ca="1" si="5"/>
        <v>-3813.0559751023975</v>
      </c>
      <c r="Y33" s="344" t="e">
        <f t="shared" ca="1" si="5"/>
        <v>#REF!</v>
      </c>
      <c r="Z33" s="344" t="e">
        <f t="shared" ca="1" si="5"/>
        <v>#REF!</v>
      </c>
      <c r="AA33" s="344" t="e">
        <f t="shared" ca="1" si="6"/>
        <v>#REF!</v>
      </c>
      <c r="AB33" s="344" t="e">
        <f t="shared" ca="1" si="6"/>
        <v>#REF!</v>
      </c>
      <c r="AC33" s="344" t="e">
        <f t="shared" ca="1" si="6"/>
        <v>#REF!</v>
      </c>
      <c r="AD33" s="344" t="e">
        <f t="shared" ca="1" si="6"/>
        <v>#REF!</v>
      </c>
      <c r="AE33" s="344" t="e">
        <f t="shared" ca="1" si="6"/>
        <v>#REF!</v>
      </c>
      <c r="AF33" s="344" t="e">
        <f t="shared" ca="1" si="6"/>
        <v>#REF!</v>
      </c>
    </row>
    <row r="34" spans="1:32">
      <c r="A34">
        <f t="shared" si="4"/>
        <v>2039</v>
      </c>
      <c r="B34" s="344">
        <f t="shared" ca="1" si="8"/>
        <v>-35512.836256398594</v>
      </c>
      <c r="C34" s="344">
        <f t="shared" ca="1" si="8"/>
        <v>-8710.5884769694476</v>
      </c>
      <c r="D34" s="344">
        <f t="shared" ca="1" si="8"/>
        <v>-124.43697824242066</v>
      </c>
      <c r="E34" s="344">
        <f t="shared" ca="1" si="8"/>
        <v>-13710.13521560043</v>
      </c>
      <c r="F34" s="344">
        <f t="shared" ca="1" si="8"/>
        <v>-13213.549505801528</v>
      </c>
      <c r="G34" s="344">
        <f t="shared" ca="1" si="8"/>
        <v>-10082.241603025503</v>
      </c>
      <c r="H34" s="344">
        <f t="shared" ca="1" si="8"/>
        <v>-4100.7695397665984</v>
      </c>
      <c r="I34" s="344">
        <f t="shared" ca="1" si="8"/>
        <v>-2370.5244355181135</v>
      </c>
      <c r="J34" s="344">
        <f t="shared" ca="1" si="8"/>
        <v>-1361.6171263411916</v>
      </c>
      <c r="K34" s="344">
        <f t="shared" ca="1" si="8"/>
        <v>-42.106365709288561</v>
      </c>
      <c r="L34" s="344">
        <f t="shared" ca="1" si="8"/>
        <v>-210.31469798124689</v>
      </c>
      <c r="M34" s="344">
        <f t="shared" ca="1" si="8"/>
        <v>-447.42551373764076</v>
      </c>
      <c r="N34" s="344">
        <f t="shared" ca="1" si="8"/>
        <v>-614.83870590410481</v>
      </c>
      <c r="O34" s="344">
        <f t="shared" ca="1" si="8"/>
        <v>-5845.4128478032089</v>
      </c>
      <c r="P34" s="344">
        <f t="shared" ca="1" si="8"/>
        <v>-17694.980901399122</v>
      </c>
      <c r="Q34" s="344">
        <f t="shared" ca="1" si="8"/>
        <v>-60345.860385612221</v>
      </c>
      <c r="R34" s="344">
        <f t="shared" ca="1" si="9"/>
        <v>-69175.400688347028</v>
      </c>
      <c r="S34" s="344">
        <f t="shared" ca="1" si="9"/>
        <v>-22902.545465485746</v>
      </c>
      <c r="T34" s="344">
        <f t="shared" ca="1" si="9"/>
        <v>-5421.6452753228559</v>
      </c>
      <c r="U34" s="344">
        <f t="shared" ca="1" si="9"/>
        <v>-497.52640520481702</v>
      </c>
      <c r="V34" s="344">
        <f t="shared" ca="1" si="9"/>
        <v>-871.10390273575013</v>
      </c>
      <c r="W34" s="344">
        <f t="shared" ca="1" si="5"/>
        <v>-1644.9919849094142</v>
      </c>
      <c r="X34" s="344">
        <f t="shared" ca="1" si="5"/>
        <v>-3808.39607260912</v>
      </c>
      <c r="Y34" s="344" t="e">
        <f t="shared" ca="1" si="5"/>
        <v>#REF!</v>
      </c>
      <c r="Z34" s="344" t="e">
        <f t="shared" ca="1" si="5"/>
        <v>#REF!</v>
      </c>
      <c r="AA34" s="344" t="e">
        <f t="shared" ca="1" si="6"/>
        <v>#REF!</v>
      </c>
      <c r="AB34" s="344" t="e">
        <f t="shared" ca="1" si="6"/>
        <v>#REF!</v>
      </c>
      <c r="AC34" s="344" t="e">
        <f t="shared" ca="1" si="6"/>
        <v>#REF!</v>
      </c>
      <c r="AD34" s="344" t="e">
        <f t="shared" ca="1" si="6"/>
        <v>#REF!</v>
      </c>
      <c r="AE34" s="344" t="e">
        <f t="shared" ca="1" si="6"/>
        <v>#REF!</v>
      </c>
      <c r="AF34" s="344" t="e">
        <f t="shared" ca="1" si="6"/>
        <v>#REF!</v>
      </c>
    </row>
    <row r="35" spans="1:32">
      <c r="A35">
        <f t="shared" si="4"/>
        <v>2040</v>
      </c>
      <c r="B35" s="344">
        <f t="shared" ca="1" si="8"/>
        <v>-35512.836256398594</v>
      </c>
      <c r="C35" s="344">
        <f t="shared" ca="1" si="8"/>
        <v>-8710.5884769694476</v>
      </c>
      <c r="D35" s="344">
        <f t="shared" ca="1" si="8"/>
        <v>-124.43697824242066</v>
      </c>
      <c r="E35" s="344">
        <f t="shared" ca="1" si="8"/>
        <v>-13710.13521560043</v>
      </c>
      <c r="F35" s="344">
        <f t="shared" ca="1" si="8"/>
        <v>-13213.549505801528</v>
      </c>
      <c r="G35" s="344">
        <f t="shared" ca="1" si="8"/>
        <v>-10082.241603025503</v>
      </c>
      <c r="H35" s="344">
        <f t="shared" ca="1" si="8"/>
        <v>-4136.9246662113328</v>
      </c>
      <c r="I35" s="344">
        <f t="shared" ca="1" si="8"/>
        <v>-2370.5244355181135</v>
      </c>
      <c r="J35" s="344">
        <f t="shared" ca="1" si="8"/>
        <v>-1361.6171263411916</v>
      </c>
      <c r="K35" s="344">
        <f t="shared" ca="1" si="8"/>
        <v>-42.106365709288561</v>
      </c>
      <c r="L35" s="344">
        <f t="shared" ca="1" si="8"/>
        <v>-210.45712388946993</v>
      </c>
      <c r="M35" s="344">
        <f t="shared" ca="1" si="8"/>
        <v>-442.95160662605963</v>
      </c>
      <c r="N35" s="344">
        <f t="shared" ca="1" si="8"/>
        <v>-614.83870590410481</v>
      </c>
      <c r="O35" s="344">
        <f t="shared" ca="1" si="8"/>
        <v>-5845.4128478032089</v>
      </c>
      <c r="P35" s="344">
        <f t="shared" ca="1" si="8"/>
        <v>-18140.685271441605</v>
      </c>
      <c r="Q35" s="344">
        <f t="shared" ca="1" si="8"/>
        <v>-62357.389065132607</v>
      </c>
      <c r="R35" s="344">
        <f t="shared" ca="1" si="9"/>
        <v>-69175.400688347028</v>
      </c>
      <c r="S35" s="344">
        <f t="shared" ca="1" si="9"/>
        <v>-23104.469621227996</v>
      </c>
      <c r="T35" s="344">
        <f t="shared" ca="1" si="9"/>
        <v>-5421.6452753228559</v>
      </c>
      <c r="U35" s="344">
        <f t="shared" ca="1" si="9"/>
        <v>-497.52640520481702</v>
      </c>
      <c r="V35" s="344">
        <f t="shared" ca="1" si="9"/>
        <v>-871.70414753099931</v>
      </c>
      <c r="W35" s="344">
        <f t="shared" ca="1" si="5"/>
        <v>-1644.9919849094142</v>
      </c>
      <c r="X35" s="344">
        <f t="shared" ca="1" si="5"/>
        <v>-3803.7102431636122</v>
      </c>
      <c r="Y35" s="344" t="e">
        <f t="shared" ca="1" si="5"/>
        <v>#REF!</v>
      </c>
      <c r="Z35" s="344" t="e">
        <f t="shared" ca="1" si="5"/>
        <v>#REF!</v>
      </c>
      <c r="AA35" s="344" t="e">
        <f t="shared" ca="1" si="6"/>
        <v>#REF!</v>
      </c>
      <c r="AB35" s="344" t="e">
        <f t="shared" ca="1" si="6"/>
        <v>#REF!</v>
      </c>
      <c r="AC35" s="344" t="e">
        <f t="shared" ca="1" si="6"/>
        <v>#REF!</v>
      </c>
      <c r="AD35" s="344" t="e">
        <f t="shared" ca="1" si="6"/>
        <v>#REF!</v>
      </c>
      <c r="AE35" s="344" t="e">
        <f t="shared" ca="1" si="6"/>
        <v>#REF!</v>
      </c>
      <c r="AF35" s="344" t="e">
        <f t="shared" ca="1" si="6"/>
        <v>#REF!</v>
      </c>
    </row>
    <row r="36" spans="1:32">
      <c r="A36">
        <f t="shared" si="4"/>
        <v>2041</v>
      </c>
      <c r="B36" s="344">
        <f t="shared" ca="1" si="8"/>
        <v>-35512.836256398594</v>
      </c>
      <c r="C36" s="344">
        <f t="shared" ca="1" si="8"/>
        <v>-8710.5884769694476</v>
      </c>
      <c r="D36" s="344">
        <f t="shared" ca="1" si="8"/>
        <v>-124.43697824242066</v>
      </c>
      <c r="E36" s="344">
        <f t="shared" ca="1" si="8"/>
        <v>-13710.13521560043</v>
      </c>
      <c r="F36" s="344">
        <f t="shared" ca="1" si="8"/>
        <v>-13213.549505801528</v>
      </c>
      <c r="G36" s="344">
        <f t="shared" ca="1" si="8"/>
        <v>-10082.241603025503</v>
      </c>
      <c r="H36" s="344">
        <f t="shared" ca="1" si="8"/>
        <v>-4173.0797926560681</v>
      </c>
      <c r="I36" s="344">
        <f t="shared" ca="1" si="8"/>
        <v>-2370.5244355181135</v>
      </c>
      <c r="J36" s="344">
        <f t="shared" ca="1" si="8"/>
        <v>-1361.6171263411916</v>
      </c>
      <c r="K36" s="344">
        <f t="shared" ca="1" si="8"/>
        <v>-42.106365709288561</v>
      </c>
      <c r="L36" s="344">
        <f t="shared" ca="1" si="8"/>
        <v>-210.59727054189074</v>
      </c>
      <c r="M36" s="344">
        <f t="shared" ca="1" si="8"/>
        <v>-438.52173543143653</v>
      </c>
      <c r="N36" s="344">
        <f t="shared" ca="1" si="8"/>
        <v>-614.83870590410481</v>
      </c>
      <c r="O36" s="344">
        <f t="shared" ca="1" si="8"/>
        <v>-5845.4128478032089</v>
      </c>
      <c r="P36" s="344">
        <f t="shared" ca="1" si="8"/>
        <v>-18586.97917002024</v>
      </c>
      <c r="Q36" s="344">
        <f t="shared" ca="1" si="8"/>
        <v>-64368.91774465303</v>
      </c>
      <c r="R36" s="344">
        <f t="shared" ca="1" si="9"/>
        <v>-69175.400688347028</v>
      </c>
      <c r="S36" s="344">
        <f t="shared" ca="1" si="9"/>
        <v>-23306.393776970261</v>
      </c>
      <c r="T36" s="344">
        <f t="shared" ca="1" si="9"/>
        <v>-5421.6452753228559</v>
      </c>
      <c r="U36" s="344">
        <f t="shared" ca="1" si="9"/>
        <v>-497.52640520481702</v>
      </c>
      <c r="V36" s="344">
        <f t="shared" ca="1" si="9"/>
        <v>-872.29446887375661</v>
      </c>
      <c r="W36" s="344">
        <f t="shared" ca="1" si="5"/>
        <v>-1644.9919849094142</v>
      </c>
      <c r="X36" s="344">
        <f t="shared" ca="1" si="5"/>
        <v>-3798.9991606510753</v>
      </c>
      <c r="Y36" s="344" t="e">
        <f t="shared" ca="1" si="5"/>
        <v>#REF!</v>
      </c>
      <c r="Z36" s="344" t="e">
        <f t="shared" ca="1" si="5"/>
        <v>#REF!</v>
      </c>
      <c r="AA36" s="344" t="e">
        <f t="shared" ca="1" si="6"/>
        <v>#REF!</v>
      </c>
      <c r="AB36" s="344" t="e">
        <f t="shared" ca="1" si="6"/>
        <v>#REF!</v>
      </c>
      <c r="AC36" s="344" t="e">
        <f t="shared" ca="1" si="6"/>
        <v>#REF!</v>
      </c>
      <c r="AD36" s="344" t="e">
        <f t="shared" ca="1" si="6"/>
        <v>#REF!</v>
      </c>
      <c r="AE36" s="344" t="e">
        <f t="shared" ca="1" si="6"/>
        <v>#REF!</v>
      </c>
      <c r="AF36" s="344" t="e">
        <f t="shared" ca="1" si="6"/>
        <v>#REF!</v>
      </c>
    </row>
    <row r="37" spans="1:32">
      <c r="A37">
        <f t="shared" si="4"/>
        <v>2042</v>
      </c>
      <c r="B37" s="344">
        <f t="shared" ca="1" si="8"/>
        <v>-35512.836256398594</v>
      </c>
      <c r="C37" s="344">
        <f t="shared" ca="1" si="8"/>
        <v>-8710.5884769694476</v>
      </c>
      <c r="D37" s="344">
        <f t="shared" ca="1" si="8"/>
        <v>-124.43697824242066</v>
      </c>
      <c r="E37" s="344">
        <f t="shared" ca="1" si="8"/>
        <v>-13710.13521560043</v>
      </c>
      <c r="F37" s="344">
        <f t="shared" ca="1" si="8"/>
        <v>-13213.549505801528</v>
      </c>
      <c r="G37" s="344">
        <f t="shared" ca="1" si="8"/>
        <v>-10082.241603025503</v>
      </c>
      <c r="H37" s="344">
        <f t="shared" ca="1" si="8"/>
        <v>-4209.2349191008025</v>
      </c>
      <c r="I37" s="344">
        <f t="shared" ca="1" si="8"/>
        <v>-2370.5244355181135</v>
      </c>
      <c r="J37" s="344">
        <f t="shared" ca="1" si="8"/>
        <v>-1361.6171263411916</v>
      </c>
      <c r="K37" s="344">
        <f t="shared" ca="1" si="8"/>
        <v>-42.106365709288561</v>
      </c>
      <c r="L37" s="344">
        <f t="shared" ca="1" si="8"/>
        <v>-210.73524398304829</v>
      </c>
      <c r="M37" s="344">
        <f t="shared" ca="1" si="8"/>
        <v>-434.13661041049642</v>
      </c>
      <c r="N37" s="344">
        <f t="shared" ca="1" si="8"/>
        <v>-614.83870590410481</v>
      </c>
      <c r="O37" s="344">
        <f t="shared" ca="1" si="8"/>
        <v>-5845.4128478032089</v>
      </c>
      <c r="P37" s="344">
        <f t="shared" ca="1" si="8"/>
        <v>-19033.847405909608</v>
      </c>
      <c r="Q37" s="344">
        <f t="shared" ca="1" si="8"/>
        <v>-66380.446424173453</v>
      </c>
      <c r="R37" s="344">
        <f t="shared" ca="1" si="9"/>
        <v>-69175.400688347028</v>
      </c>
      <c r="S37" s="344">
        <f t="shared" ca="1" si="9"/>
        <v>-23508.317932712511</v>
      </c>
      <c r="T37" s="344">
        <f t="shared" ca="1" si="9"/>
        <v>-5421.6452753228559</v>
      </c>
      <c r="U37" s="344">
        <f t="shared" ca="1" si="9"/>
        <v>-497.52640520481702</v>
      </c>
      <c r="V37" s="344">
        <f t="shared" ca="1" si="9"/>
        <v>-872.87534324606838</v>
      </c>
      <c r="W37" s="344">
        <f t="shared" ca="1" si="5"/>
        <v>-1644.9919849094142</v>
      </c>
      <c r="X37" s="344">
        <f t="shared" ca="1" si="5"/>
        <v>-3794.2634758034219</v>
      </c>
      <c r="Y37" s="344" t="e">
        <f t="shared" ca="1" si="5"/>
        <v>#REF!</v>
      </c>
      <c r="Z37" s="344" t="e">
        <f t="shared" ca="1" si="5"/>
        <v>#REF!</v>
      </c>
      <c r="AA37" s="344" t="e">
        <f t="shared" ca="1" si="6"/>
        <v>#REF!</v>
      </c>
      <c r="AB37" s="344" t="e">
        <f t="shared" ca="1" si="6"/>
        <v>#REF!</v>
      </c>
      <c r="AC37" s="344" t="e">
        <f t="shared" ca="1" si="6"/>
        <v>#REF!</v>
      </c>
      <c r="AD37" s="344" t="e">
        <f t="shared" ca="1" si="6"/>
        <v>#REF!</v>
      </c>
      <c r="AE37" s="344" t="e">
        <f t="shared" ca="1" si="6"/>
        <v>#REF!</v>
      </c>
      <c r="AF37" s="344" t="e">
        <f t="shared" ca="1" si="6"/>
        <v>#REF!</v>
      </c>
    </row>
    <row r="38" spans="1:32">
      <c r="A38">
        <f t="shared" si="4"/>
        <v>2043</v>
      </c>
      <c r="B38" s="344">
        <f t="shared" ca="1" si="8"/>
        <v>-35512.836256398594</v>
      </c>
      <c r="C38" s="344">
        <f t="shared" ca="1" si="8"/>
        <v>-8710.5884769694476</v>
      </c>
      <c r="D38" s="344">
        <f t="shared" ca="1" si="8"/>
        <v>-124.43697824242066</v>
      </c>
      <c r="E38" s="344">
        <f t="shared" ca="1" si="8"/>
        <v>-13710.13521560043</v>
      </c>
      <c r="F38" s="344">
        <f t="shared" ca="1" si="8"/>
        <v>-13213.549505801528</v>
      </c>
      <c r="G38" s="344">
        <f t="shared" ca="1" si="8"/>
        <v>-10082.241603025503</v>
      </c>
      <c r="H38" s="344">
        <f t="shared" ca="1" si="8"/>
        <v>-4245.3900455455369</v>
      </c>
      <c r="I38" s="344">
        <f t="shared" ca="1" si="8"/>
        <v>-2370.5244355181135</v>
      </c>
      <c r="J38" s="344">
        <f t="shared" ca="1" si="8"/>
        <v>-1361.6171263411916</v>
      </c>
      <c r="K38" s="344">
        <f t="shared" ca="1" si="8"/>
        <v>-42.106365709288561</v>
      </c>
      <c r="L38" s="344">
        <f t="shared" ca="1" si="8"/>
        <v>-210.87114228092466</v>
      </c>
      <c r="M38" s="344">
        <f t="shared" ca="1" si="8"/>
        <v>-429.79552130651422</v>
      </c>
      <c r="N38" s="344">
        <f t="shared" ca="1" si="8"/>
        <v>-614.83870590410481</v>
      </c>
      <c r="O38" s="344">
        <f t="shared" ca="1" si="8"/>
        <v>-5845.4128478032089</v>
      </c>
      <c r="P38" s="344">
        <f t="shared" ca="1" si="8"/>
        <v>-19481.275305378116</v>
      </c>
      <c r="Q38" s="344">
        <f t="shared" ca="1" si="8"/>
        <v>-68391.97510369384</v>
      </c>
      <c r="R38" s="344">
        <f t="shared" ca="1" si="9"/>
        <v>-69175.400688347028</v>
      </c>
      <c r="S38" s="344">
        <f t="shared" ca="1" si="9"/>
        <v>-23710.242088454761</v>
      </c>
      <c r="T38" s="344">
        <f t="shared" ca="1" si="9"/>
        <v>-5421.6452753228559</v>
      </c>
      <c r="U38" s="344">
        <f t="shared" ca="1" si="9"/>
        <v>-497.52640520481702</v>
      </c>
      <c r="V38" s="344">
        <f t="shared" ca="1" si="9"/>
        <v>-873.44721017719871</v>
      </c>
      <c r="W38" s="344">
        <f t="shared" ca="1" si="5"/>
        <v>-1644.9919849094142</v>
      </c>
      <c r="X38" s="344">
        <f t="shared" ca="1" si="5"/>
        <v>-3789.5038171851834</v>
      </c>
      <c r="Y38" s="344" t="e">
        <f t="shared" ca="1" si="5"/>
        <v>#REF!</v>
      </c>
      <c r="Z38" s="344" t="e">
        <f t="shared" ca="1" si="5"/>
        <v>#REF!</v>
      </c>
      <c r="AA38" s="344" t="e">
        <f t="shared" ca="1" si="6"/>
        <v>#REF!</v>
      </c>
      <c r="AB38" s="344" t="e">
        <f t="shared" ca="1" si="6"/>
        <v>#REF!</v>
      </c>
      <c r="AC38" s="344" t="e">
        <f t="shared" ca="1" si="6"/>
        <v>#REF!</v>
      </c>
      <c r="AD38" s="344" t="e">
        <f t="shared" ca="1" si="6"/>
        <v>#REF!</v>
      </c>
      <c r="AE38" s="344" t="e">
        <f t="shared" ca="1" si="6"/>
        <v>#REF!</v>
      </c>
      <c r="AF38" s="344" t="e">
        <f t="shared" ca="1" si="6"/>
        <v>#REF!</v>
      </c>
    </row>
    <row r="39" spans="1:32">
      <c r="A39">
        <f t="shared" si="4"/>
        <v>2044</v>
      </c>
      <c r="B39" s="344">
        <f t="shared" ca="1" si="8"/>
        <v>-35512.836256398594</v>
      </c>
      <c r="C39" s="344">
        <f t="shared" ca="1" si="8"/>
        <v>-8710.5884769694476</v>
      </c>
      <c r="D39" s="344">
        <f t="shared" ca="1" si="8"/>
        <v>-124.43697824242066</v>
      </c>
      <c r="E39" s="344">
        <f t="shared" ca="1" si="8"/>
        <v>-13710.13521560043</v>
      </c>
      <c r="F39" s="344">
        <f t="shared" ca="1" si="8"/>
        <v>-13213.549505801528</v>
      </c>
      <c r="G39" s="344">
        <f t="shared" ca="1" si="8"/>
        <v>-10082.241603025503</v>
      </c>
      <c r="H39" s="344">
        <f t="shared" ca="1" si="8"/>
        <v>-4281.5451719902721</v>
      </c>
      <c r="I39" s="344">
        <f t="shared" ca="1" si="8"/>
        <v>-2370.5244355181135</v>
      </c>
      <c r="J39" s="344">
        <f t="shared" ca="1" si="8"/>
        <v>-1361.6171263411916</v>
      </c>
      <c r="K39" s="344">
        <f t="shared" ca="1" si="8"/>
        <v>-42.106365709288561</v>
      </c>
      <c r="L39" s="344">
        <f t="shared" ca="1" si="8"/>
        <v>-211.00505634248034</v>
      </c>
      <c r="M39" s="344">
        <f t="shared" ca="1" si="8"/>
        <v>-425.49704760603981</v>
      </c>
      <c r="N39" s="344">
        <f t="shared" ca="1" si="8"/>
        <v>-614.83870590410481</v>
      </c>
      <c r="O39" s="344">
        <f t="shared" ca="1" si="8"/>
        <v>-5845.4128478032089</v>
      </c>
      <c r="P39" s="344">
        <f t="shared" ca="1" si="8"/>
        <v>-19929.24869033814</v>
      </c>
      <c r="Q39" s="344">
        <f t="shared" ca="1" si="8"/>
        <v>-70403.503783214255</v>
      </c>
      <c r="R39" s="344">
        <f t="shared" ca="1" si="9"/>
        <v>-69175.400688347028</v>
      </c>
      <c r="S39" s="344">
        <f t="shared" ca="1" si="9"/>
        <v>-23912.166244197026</v>
      </c>
      <c r="T39" s="344">
        <f t="shared" ca="1" si="9"/>
        <v>-5421.6452753228559</v>
      </c>
      <c r="U39" s="344">
        <f t="shared" ca="1" si="9"/>
        <v>-497.52640520481702</v>
      </c>
      <c r="V39" s="344">
        <f t="shared" ca="1" si="9"/>
        <v>-874.01047613549053</v>
      </c>
      <c r="W39" s="344">
        <f t="shared" ca="1" si="5"/>
        <v>-1644.9919849094142</v>
      </c>
      <c r="X39" s="344">
        <f t="shared" ca="1" si="5"/>
        <v>-3784.7207921294653</v>
      </c>
      <c r="Y39" s="344" t="e">
        <f t="shared" ca="1" si="5"/>
        <v>#REF!</v>
      </c>
      <c r="Z39" s="344" t="e">
        <f t="shared" ca="1" si="5"/>
        <v>#REF!</v>
      </c>
      <c r="AA39" s="344" t="e">
        <f t="shared" ca="1" si="6"/>
        <v>#REF!</v>
      </c>
      <c r="AB39" s="344" t="e">
        <f t="shared" ca="1" si="6"/>
        <v>#REF!</v>
      </c>
      <c r="AC39" s="344" t="e">
        <f t="shared" ca="1" si="6"/>
        <v>#REF!</v>
      </c>
      <c r="AD39" s="344" t="e">
        <f t="shared" ca="1" si="6"/>
        <v>#REF!</v>
      </c>
      <c r="AE39" s="344" t="e">
        <f t="shared" ca="1" si="6"/>
        <v>#REF!</v>
      </c>
      <c r="AF39" s="344" t="e">
        <f t="shared" ca="1" si="6"/>
        <v>#REF!</v>
      </c>
    </row>
    <row r="40" spans="1:32">
      <c r="A40">
        <f t="shared" si="4"/>
        <v>2045</v>
      </c>
      <c r="B40" s="344">
        <f t="shared" ca="1" si="8"/>
        <v>-35512.836256398594</v>
      </c>
      <c r="C40" s="344">
        <f t="shared" ca="1" si="8"/>
        <v>-8710.5884769694476</v>
      </c>
      <c r="D40" s="344">
        <f t="shared" ca="1" si="8"/>
        <v>-124.43697824242066</v>
      </c>
      <c r="E40" s="344">
        <f t="shared" ca="1" si="8"/>
        <v>-13710.13521560043</v>
      </c>
      <c r="F40" s="344">
        <f t="shared" ca="1" si="8"/>
        <v>-13213.549505801528</v>
      </c>
      <c r="G40" s="344">
        <f t="shared" ca="1" si="8"/>
        <v>-10082.241603025503</v>
      </c>
      <c r="H40" s="344">
        <f t="shared" ca="1" si="8"/>
        <v>-4317.7002984350074</v>
      </c>
      <c r="I40" s="344">
        <f t="shared" ca="1" si="8"/>
        <v>-2370.5244355181135</v>
      </c>
      <c r="J40" s="344">
        <f t="shared" ca="1" si="8"/>
        <v>-1361.6171263411916</v>
      </c>
      <c r="K40" s="344">
        <f t="shared" ca="1" si="8"/>
        <v>-42.106365709288561</v>
      </c>
      <c r="L40" s="344">
        <f t="shared" ca="1" si="8"/>
        <v>-211.13707062501715</v>
      </c>
      <c r="M40" s="344">
        <f t="shared" ca="1" si="8"/>
        <v>-421.24260982252321</v>
      </c>
      <c r="N40" s="344">
        <f t="shared" ca="1" si="8"/>
        <v>-614.83870590410481</v>
      </c>
      <c r="O40" s="344">
        <f t="shared" ca="1" si="8"/>
        <v>-5845.4128478032089</v>
      </c>
      <c r="P40" s="344">
        <f t="shared" ca="1" si="8"/>
        <v>-20377.753857594329</v>
      </c>
      <c r="Q40" s="344">
        <f t="shared" ca="1" si="8"/>
        <v>-72415.032462734671</v>
      </c>
      <c r="R40" s="344">
        <f t="shared" ca="1" si="9"/>
        <v>-69175.400688347028</v>
      </c>
      <c r="S40" s="344">
        <f t="shared" ca="1" si="9"/>
        <v>-24114.090399939276</v>
      </c>
      <c r="T40" s="344">
        <f t="shared" ca="1" si="9"/>
        <v>-5421.6452753228559</v>
      </c>
      <c r="U40" s="344">
        <f t="shared" ca="1" si="9"/>
        <v>-497.52640520481702</v>
      </c>
      <c r="V40" s="344">
        <f t="shared" ca="1" si="9"/>
        <v>-874.56551790856349</v>
      </c>
      <c r="W40" s="344">
        <f t="shared" ca="1" si="5"/>
        <v>-1644.9919849094142</v>
      </c>
      <c r="X40" s="344">
        <f t="shared" ca="1" si="5"/>
        <v>-3779.9149876268702</v>
      </c>
      <c r="Y40" s="344" t="e">
        <f t="shared" ca="1" si="5"/>
        <v>#REF!</v>
      </c>
      <c r="Z40" s="344" t="e">
        <f t="shared" ca="1" si="5"/>
        <v>#REF!</v>
      </c>
      <c r="AA40" s="344" t="e">
        <f t="shared" ca="1" si="6"/>
        <v>#REF!</v>
      </c>
      <c r="AB40" s="344" t="e">
        <f t="shared" ca="1" si="6"/>
        <v>#REF!</v>
      </c>
      <c r="AC40" s="344" t="e">
        <f t="shared" ca="1" si="6"/>
        <v>#REF!</v>
      </c>
      <c r="AD40" s="344" t="e">
        <f t="shared" ca="1" si="6"/>
        <v>#REF!</v>
      </c>
      <c r="AE40" s="344" t="e">
        <f t="shared" ca="1" si="6"/>
        <v>#REF!</v>
      </c>
      <c r="AF40" s="344" t="e">
        <f t="shared" ca="1" si="6"/>
        <v>#REF!</v>
      </c>
    </row>
    <row r="41" spans="1:32">
      <c r="A41">
        <f>A40+1</f>
        <v>2046</v>
      </c>
      <c r="B41" s="344">
        <f t="shared" ca="1" si="8"/>
        <v>-35512.836256398594</v>
      </c>
      <c r="C41" s="344">
        <f t="shared" ca="1" si="8"/>
        <v>-8710.5884769694476</v>
      </c>
      <c r="D41" s="344">
        <f t="shared" ca="1" si="8"/>
        <v>-124.43697824242066</v>
      </c>
      <c r="E41" s="344">
        <f t="shared" ca="1" si="8"/>
        <v>-13710.13521560043</v>
      </c>
      <c r="F41" s="344">
        <f t="shared" ca="1" si="8"/>
        <v>-13213.549505801528</v>
      </c>
      <c r="G41" s="344">
        <f t="shared" ca="1" si="8"/>
        <v>-10082.241603025503</v>
      </c>
      <c r="H41" s="344">
        <f t="shared" ca="1" si="8"/>
        <v>-4353.8554248797409</v>
      </c>
      <c r="I41" s="344">
        <f t="shared" ca="1" si="8"/>
        <v>-2370.5244355181135</v>
      </c>
      <c r="J41" s="344">
        <f t="shared" ca="1" si="8"/>
        <v>-1361.6171263411916</v>
      </c>
      <c r="K41" s="344">
        <f t="shared" ca="1" si="8"/>
        <v>-42.106365709288561</v>
      </c>
      <c r="L41" s="344">
        <f t="shared" ca="1" si="8"/>
        <v>-211.26726375918435</v>
      </c>
      <c r="M41" s="344">
        <f t="shared" ca="1" si="8"/>
        <v>-417.0300771857892</v>
      </c>
      <c r="N41" s="344">
        <f t="shared" ca="1" si="8"/>
        <v>-614.83870590410481</v>
      </c>
      <c r="O41" s="344">
        <f t="shared" ca="1" si="8"/>
        <v>-5845.4128478032089</v>
      </c>
      <c r="P41" s="344">
        <f t="shared" ca="1" si="8"/>
        <v>-20826.777559125614</v>
      </c>
      <c r="Q41" s="344">
        <f t="shared" ca="1" si="8"/>
        <v>-74426.561142255057</v>
      </c>
      <c r="R41" s="344">
        <f t="shared" ca="1" si="9"/>
        <v>-69175.400688347028</v>
      </c>
      <c r="S41" s="344">
        <f t="shared" ca="1" si="9"/>
        <v>-24316.014555681541</v>
      </c>
      <c r="T41" s="344">
        <f t="shared" ca="1" si="9"/>
        <v>-5421.6452753228559</v>
      </c>
      <c r="U41" s="344">
        <f t="shared" ca="1" si="9"/>
        <v>-497.52640520481702</v>
      </c>
      <c r="V41" s="344">
        <f t="shared" ca="1" si="9"/>
        <v>-875.11268555174433</v>
      </c>
      <c r="W41" s="344">
        <f t="shared" ca="1" si="5"/>
        <v>-1644.9919849094142</v>
      </c>
      <c r="X41" s="344">
        <f t="shared" ca="1" si="5"/>
        <v>-3775.0869711701425</v>
      </c>
      <c r="Y41" s="344" t="e">
        <f t="shared" ca="1" si="5"/>
        <v>#REF!</v>
      </c>
      <c r="Z41" s="344" t="e">
        <f t="shared" ca="1" si="5"/>
        <v>#REF!</v>
      </c>
      <c r="AA41" s="344" t="e">
        <f t="shared" ca="1" si="6"/>
        <v>#REF!</v>
      </c>
      <c r="AB41" s="344" t="e">
        <f t="shared" ca="1" si="6"/>
        <v>#REF!</v>
      </c>
      <c r="AC41" s="344" t="e">
        <f t="shared" ca="1" si="6"/>
        <v>#REF!</v>
      </c>
      <c r="AD41" s="344" t="e">
        <f t="shared" ca="1" si="6"/>
        <v>#REF!</v>
      </c>
      <c r="AE41" s="344" t="e">
        <f t="shared" ca="1" si="6"/>
        <v>#REF!</v>
      </c>
      <c r="AF41" s="344" t="e">
        <f t="shared" ca="1" si="6"/>
        <v>#REF!</v>
      </c>
    </row>
    <row r="42" spans="1:32">
      <c r="A42">
        <f t="shared" si="4"/>
        <v>2047</v>
      </c>
      <c r="B42" s="344">
        <f t="shared" ca="1" si="8"/>
        <v>-35512.836256398594</v>
      </c>
      <c r="C42" s="344">
        <f t="shared" ca="1" si="8"/>
        <v>-8710.5884769694476</v>
      </c>
      <c r="D42" s="344">
        <f t="shared" ca="1" si="8"/>
        <v>-124.43697824242066</v>
      </c>
      <c r="E42" s="344">
        <f t="shared" ca="1" si="8"/>
        <v>-13710.13521560043</v>
      </c>
      <c r="F42" s="344">
        <f t="shared" ca="1" si="8"/>
        <v>-13213.549505801528</v>
      </c>
      <c r="G42" s="344">
        <f t="shared" ca="1" si="8"/>
        <v>-10082.241603025503</v>
      </c>
      <c r="H42" s="344">
        <f t="shared" ca="1" si="8"/>
        <v>-4390.0105513244744</v>
      </c>
      <c r="I42" s="344">
        <f t="shared" ca="1" si="8"/>
        <v>-2370.5244355181135</v>
      </c>
      <c r="J42" s="344">
        <f t="shared" ca="1" si="8"/>
        <v>-1361.6171263411916</v>
      </c>
      <c r="K42" s="344">
        <f t="shared" ca="1" si="8"/>
        <v>-42.106365709288561</v>
      </c>
      <c r="L42" s="344">
        <f t="shared" ca="1" si="8"/>
        <v>-211.39570909668265</v>
      </c>
      <c r="M42" s="344">
        <f t="shared" ca="1" si="8"/>
        <v>-412.85944969583778</v>
      </c>
      <c r="N42" s="344">
        <f t="shared" ca="1" si="8"/>
        <v>-614.83870590410481</v>
      </c>
      <c r="O42" s="344">
        <f t="shared" ca="1" si="8"/>
        <v>-5845.4128478032089</v>
      </c>
      <c r="P42" s="344">
        <f t="shared" ca="1" si="8"/>
        <v>-21276.306983341619</v>
      </c>
      <c r="Q42" s="344">
        <f t="shared" ca="1" si="8"/>
        <v>-76438.089821775444</v>
      </c>
      <c r="R42" s="344">
        <f t="shared" ca="1" si="9"/>
        <v>-69175.400688347028</v>
      </c>
      <c r="S42" s="344">
        <f t="shared" ca="1" si="9"/>
        <v>-24517.938711423776</v>
      </c>
      <c r="T42" s="344">
        <f t="shared" ca="1" si="9"/>
        <v>-5421.6452753228559</v>
      </c>
      <c r="U42" s="344">
        <f t="shared" ca="1" si="9"/>
        <v>-497.52640520481702</v>
      </c>
      <c r="V42" s="344">
        <f t="shared" ca="1" si="9"/>
        <v>-875.65230497027721</v>
      </c>
      <c r="W42" s="344">
        <f t="shared" ca="1" si="5"/>
        <v>-1644.9919849094142</v>
      </c>
      <c r="X42" s="344">
        <f t="shared" ca="1" si="5"/>
        <v>-3770.2372915570536</v>
      </c>
      <c r="Y42" s="344" t="e">
        <f t="shared" ca="1" si="5"/>
        <v>#REF!</v>
      </c>
      <c r="Z42" s="344" t="e">
        <f t="shared" ca="1" si="5"/>
        <v>#REF!</v>
      </c>
      <c r="AA42" s="344" t="e">
        <f t="shared" ca="1" si="6"/>
        <v>#REF!</v>
      </c>
      <c r="AB42" s="344" t="e">
        <f t="shared" ca="1" si="6"/>
        <v>#REF!</v>
      </c>
      <c r="AC42" s="344" t="e">
        <f t="shared" ca="1" si="6"/>
        <v>#REF!</v>
      </c>
      <c r="AD42" s="344" t="e">
        <f t="shared" ca="1" si="6"/>
        <v>#REF!</v>
      </c>
      <c r="AE42" s="344" t="e">
        <f t="shared" ca="1" si="6"/>
        <v>#REF!</v>
      </c>
      <c r="AF42" s="344" t="e">
        <f t="shared" ca="1" si="6"/>
        <v>#REF!</v>
      </c>
    </row>
    <row r="43" spans="1:32">
      <c r="A43">
        <f t="shared" si="4"/>
        <v>2048</v>
      </c>
      <c r="B43" s="344">
        <f t="shared" ca="1" si="8"/>
        <v>-35512.836256398594</v>
      </c>
      <c r="C43" s="344">
        <f t="shared" ca="1" si="8"/>
        <v>-8710.5884769694476</v>
      </c>
      <c r="D43" s="344">
        <f t="shared" ca="1" si="8"/>
        <v>-124.43697824242066</v>
      </c>
      <c r="E43" s="344">
        <f t="shared" ca="1" si="8"/>
        <v>-13710.13521560043</v>
      </c>
      <c r="F43" s="344">
        <f t="shared" ca="1" si="8"/>
        <v>-13213.549505801528</v>
      </c>
      <c r="G43" s="344">
        <f t="shared" ca="1" si="8"/>
        <v>-10082.241603025503</v>
      </c>
      <c r="H43" s="344">
        <f t="shared" ca="1" si="8"/>
        <v>-4426.1656777692115</v>
      </c>
      <c r="I43" s="344">
        <f t="shared" ca="1" si="8"/>
        <v>-2370.5244355181135</v>
      </c>
      <c r="J43" s="344">
        <f t="shared" ca="1" si="8"/>
        <v>-1361.6171263411916</v>
      </c>
      <c r="K43" s="344">
        <f t="shared" ca="1" si="8"/>
        <v>-42.106365709288561</v>
      </c>
      <c r="L43" s="344">
        <f t="shared" ca="1" si="8"/>
        <v>-211.52247519350044</v>
      </c>
      <c r="M43" s="344">
        <f t="shared" ca="1" si="8"/>
        <v>-408.73143760939399</v>
      </c>
      <c r="N43" s="344">
        <f t="shared" ca="1" si="8"/>
        <v>-614.83870590410481</v>
      </c>
      <c r="O43" s="344">
        <f t="shared" ca="1" si="8"/>
        <v>-5845.4128478032089</v>
      </c>
      <c r="P43" s="344">
        <f t="shared" ca="1" si="8"/>
        <v>-21726.329737257827</v>
      </c>
      <c r="Q43" s="344">
        <f t="shared" ca="1" si="8"/>
        <v>-78449.618501295859</v>
      </c>
      <c r="R43" s="344">
        <f t="shared" ca="1" si="9"/>
        <v>-69175.400688347028</v>
      </c>
      <c r="S43" s="344">
        <f t="shared" ca="1" si="9"/>
        <v>-24719.862867166041</v>
      </c>
      <c r="T43" s="344">
        <f t="shared" ca="1" si="9"/>
        <v>-5421.6452753228559</v>
      </c>
      <c r="U43" s="344">
        <f t="shared" ca="1" si="9"/>
        <v>-497.52640520481702</v>
      </c>
      <c r="V43" s="344">
        <f t="shared" ca="1" si="9"/>
        <v>-876.18468018942747</v>
      </c>
      <c r="W43" s="344">
        <f t="shared" ca="1" si="5"/>
        <v>-1644.9919849094142</v>
      </c>
      <c r="X43" s="344">
        <f t="shared" ca="1" si="5"/>
        <v>-3765.3664796539692</v>
      </c>
      <c r="Y43" s="344" t="e">
        <f t="shared" ca="1" si="5"/>
        <v>#REF!</v>
      </c>
      <c r="Z43" s="344" t="e">
        <f t="shared" ca="1" si="5"/>
        <v>#REF!</v>
      </c>
      <c r="AA43" s="344" t="e">
        <f t="shared" ca="1" si="6"/>
        <v>#REF!</v>
      </c>
      <c r="AB43" s="344" t="e">
        <f t="shared" ca="1" si="6"/>
        <v>#REF!</v>
      </c>
      <c r="AC43" s="344" t="e">
        <f t="shared" ca="1" si="6"/>
        <v>#REF!</v>
      </c>
      <c r="AD43" s="344" t="e">
        <f t="shared" ca="1" si="6"/>
        <v>#REF!</v>
      </c>
      <c r="AE43" s="344" t="e">
        <f t="shared" ca="1" si="6"/>
        <v>#REF!</v>
      </c>
      <c r="AF43" s="344" t="e">
        <f t="shared" ca="1" si="6"/>
        <v>#REF!</v>
      </c>
    </row>
    <row r="44" spans="1:32">
      <c r="A44">
        <f t="shared" si="4"/>
        <v>2049</v>
      </c>
      <c r="B44" s="344">
        <f t="shared" ca="1" si="8"/>
        <v>-35512.836256398594</v>
      </c>
      <c r="C44" s="344">
        <f t="shared" ca="1" si="8"/>
        <v>-8710.5884769694476</v>
      </c>
      <c r="D44" s="344">
        <f t="shared" ca="1" si="8"/>
        <v>-124.43697824242066</v>
      </c>
      <c r="E44" s="344">
        <f t="shared" ca="1" si="8"/>
        <v>-13710.13521560043</v>
      </c>
      <c r="F44" s="344">
        <f t="shared" ca="1" si="8"/>
        <v>-13213.549505801528</v>
      </c>
      <c r="G44" s="344">
        <f t="shared" ca="1" si="8"/>
        <v>-10082.241603025503</v>
      </c>
      <c r="H44" s="344">
        <f t="shared" ca="1" si="8"/>
        <v>-4462.3208042139468</v>
      </c>
      <c r="I44" s="344">
        <f t="shared" ca="1" si="8"/>
        <v>-2370.5244355181135</v>
      </c>
      <c r="J44" s="344">
        <f t="shared" ca="1" si="8"/>
        <v>-1361.6171263411916</v>
      </c>
      <c r="K44" s="344">
        <f t="shared" ca="1" si="8"/>
        <v>-42.106365709288561</v>
      </c>
      <c r="L44" s="344">
        <f t="shared" ca="1" si="8"/>
        <v>-211.64762623772032</v>
      </c>
      <c r="M44" s="344">
        <f t="shared" ca="1" si="8"/>
        <v>-404.64391015628252</v>
      </c>
      <c r="N44" s="344">
        <f t="shared" ca="1" si="8"/>
        <v>-614.83870590410481</v>
      </c>
      <c r="O44" s="344">
        <f t="shared" ca="1" si="8"/>
        <v>-5845.4128478032089</v>
      </c>
      <c r="P44" s="344">
        <f t="shared" ca="1" si="8"/>
        <v>-22176.83382953706</v>
      </c>
      <c r="Q44" s="344">
        <f t="shared" ca="1" si="8"/>
        <v>-80461.14718081629</v>
      </c>
      <c r="R44" s="344">
        <f t="shared" ca="1" si="9"/>
        <v>-69175.400688347028</v>
      </c>
      <c r="S44" s="344">
        <f t="shared" ca="1" si="9"/>
        <v>-24921.787022908306</v>
      </c>
      <c r="T44" s="344">
        <f t="shared" ca="1" si="9"/>
        <v>-5421.6452753228559</v>
      </c>
      <c r="U44" s="344">
        <f t="shared" ca="1" si="9"/>
        <v>-497.52640520481702</v>
      </c>
      <c r="V44" s="344">
        <f t="shared" ca="1" si="9"/>
        <v>-876.71009535737846</v>
      </c>
      <c r="W44" s="344">
        <f t="shared" ca="1" si="5"/>
        <v>-1644.9919849094142</v>
      </c>
      <c r="X44" s="344">
        <f t="shared" ca="1" si="5"/>
        <v>-3760.4750491222649</v>
      </c>
      <c r="Y44" s="344" t="e">
        <f t="shared" ca="1" si="5"/>
        <v>#REF!</v>
      </c>
      <c r="Z44" s="344" t="e">
        <f t="shared" ca="1" si="5"/>
        <v>#REF!</v>
      </c>
      <c r="AA44" s="344" t="e">
        <f t="shared" ca="1" si="6"/>
        <v>#REF!</v>
      </c>
      <c r="AB44" s="344" t="e">
        <f t="shared" ca="1" si="6"/>
        <v>#REF!</v>
      </c>
      <c r="AC44" s="344" t="e">
        <f t="shared" ca="1" si="6"/>
        <v>#REF!</v>
      </c>
      <c r="AD44" s="344" t="e">
        <f t="shared" ca="1" si="6"/>
        <v>#REF!</v>
      </c>
      <c r="AE44" s="344" t="e">
        <f t="shared" ca="1" si="6"/>
        <v>#REF!</v>
      </c>
      <c r="AF44" s="344" t="e">
        <f t="shared" ca="1" si="6"/>
        <v>#REF!</v>
      </c>
    </row>
    <row r="45" spans="1:32">
      <c r="A45">
        <f t="shared" si="4"/>
        <v>2050</v>
      </c>
      <c r="B45" s="344">
        <f t="shared" ca="1" si="8"/>
        <v>-35512.836256398594</v>
      </c>
      <c r="C45" s="344">
        <f t="shared" ca="1" si="8"/>
        <v>-8710.5884769694476</v>
      </c>
      <c r="D45" s="344">
        <f t="shared" ca="1" si="8"/>
        <v>-124.43697824242066</v>
      </c>
      <c r="E45" s="344">
        <f t="shared" ca="1" si="8"/>
        <v>-13710.13521560043</v>
      </c>
      <c r="F45" s="344">
        <f t="shared" ca="1" si="8"/>
        <v>-13213.549505801528</v>
      </c>
      <c r="G45" s="344">
        <f t="shared" ca="1" si="8"/>
        <v>-10082.241603025503</v>
      </c>
      <c r="H45" s="344">
        <f t="shared" ca="1" si="8"/>
        <v>-4498.4759306586811</v>
      </c>
      <c r="I45" s="344">
        <f t="shared" ca="1" si="8"/>
        <v>-2370.5244355181135</v>
      </c>
      <c r="J45" s="344">
        <f t="shared" ca="1" si="8"/>
        <v>-1361.6171263411916</v>
      </c>
      <c r="K45" s="344">
        <f t="shared" ca="1" si="8"/>
        <v>-42.106365709288561</v>
      </c>
      <c r="L45" s="344">
        <f t="shared" ca="1" si="8"/>
        <v>-211.77122242947524</v>
      </c>
      <c r="M45" s="344">
        <f t="shared" ca="1" si="8"/>
        <v>-404.64391015628252</v>
      </c>
      <c r="N45" s="344">
        <f t="shared" ca="1" si="8"/>
        <v>-614.83870590410481</v>
      </c>
      <c r="O45" s="344">
        <f t="shared" ca="1" si="8"/>
        <v>-5845.4128478032089</v>
      </c>
      <c r="P45" s="344">
        <f t="shared" ca="1" si="8"/>
        <v>-22627.807654349104</v>
      </c>
      <c r="Q45" s="344">
        <f t="shared" ca="1" si="8"/>
        <v>-82472.675860336691</v>
      </c>
      <c r="R45" s="344">
        <f t="shared" ca="1" si="9"/>
        <v>-69175.400688347028</v>
      </c>
      <c r="S45" s="344">
        <f t="shared" ca="1" si="9"/>
        <v>-25123.711178650556</v>
      </c>
      <c r="T45" s="344">
        <f t="shared" ca="1" si="9"/>
        <v>-5421.6452753228559</v>
      </c>
      <c r="U45" s="344">
        <f t="shared" ca="1" si="9"/>
        <v>-497.52640520481702</v>
      </c>
      <c r="V45" s="344">
        <f t="shared" ca="1" si="9"/>
        <v>-877.22881651838861</v>
      </c>
      <c r="W45" s="344">
        <f t="shared" ca="1" si="5"/>
        <v>-1644.9919849094142</v>
      </c>
      <c r="X45" s="344">
        <f t="shared" ca="1" si="5"/>
        <v>-3755.5634971097347</v>
      </c>
      <c r="Y45" s="344" t="e">
        <f t="shared" ca="1" si="5"/>
        <v>#REF!</v>
      </c>
      <c r="Z45" s="344" t="e">
        <f t="shared" ca="1" si="5"/>
        <v>#REF!</v>
      </c>
      <c r="AA45" s="344" t="e">
        <f t="shared" ca="1" si="6"/>
        <v>#REF!</v>
      </c>
      <c r="AB45" s="344" t="e">
        <f t="shared" ca="1" si="6"/>
        <v>#REF!</v>
      </c>
      <c r="AC45" s="344" t="e">
        <f t="shared" ca="1" si="6"/>
        <v>#REF!</v>
      </c>
      <c r="AD45" s="344" t="e">
        <f t="shared" ca="1" si="6"/>
        <v>#REF!</v>
      </c>
      <c r="AE45" s="344" t="e">
        <f t="shared" ca="1" si="6"/>
        <v>#REF!</v>
      </c>
      <c r="AF45" s="344" t="e">
        <f t="shared" ca="1" si="6"/>
        <v>#REF!</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99"/>
  <dimension ref="A1:AF47"/>
  <sheetViews>
    <sheetView workbookViewId="0">
      <selection activeCell="A3" sqref="A3"/>
    </sheetView>
  </sheetViews>
  <sheetFormatPr defaultRowHeight="15"/>
  <cols>
    <col min="1" max="1" width="18.42578125" bestFit="1" customWidth="1"/>
    <col min="2" max="2" width="14.85546875" customWidth="1"/>
    <col min="3" max="26" width="11.7109375" customWidth="1"/>
    <col min="27" max="27" width="9.28515625" bestFit="1" customWidth="1"/>
    <col min="28" max="28" width="10.85546875" bestFit="1" customWidth="1"/>
    <col min="29" max="31" width="9.28515625" bestFit="1" customWidth="1"/>
  </cols>
  <sheetData>
    <row r="1" spans="1:32">
      <c r="B1" s="322" t="s">
        <v>298</v>
      </c>
      <c r="C1">
        <v>18</v>
      </c>
    </row>
    <row r="2" spans="1:32">
      <c r="B2" s="322" t="s">
        <v>299</v>
      </c>
      <c r="C2">
        <v>32</v>
      </c>
    </row>
    <row r="3" spans="1:32" ht="29.25" customHeight="1">
      <c r="A3" s="321" t="s">
        <v>305</v>
      </c>
      <c r="B3" s="264" t="str">
        <f ca="1">OFFSET(Control!$A$5,COLUMN(A3)-1,0)</f>
        <v>GreenPwr1</v>
      </c>
      <c r="C3" s="264" t="str">
        <f ca="1">OFFSET(Control!$A$5,COLUMN(B3)-1,0)</f>
        <v>GreenPwr2</v>
      </c>
      <c r="D3" s="264" t="str">
        <f ca="1">OFFSET(Control!$A$5,COLUMN(C3)-1,0)</f>
        <v>Wind</v>
      </c>
      <c r="E3" s="264" t="str">
        <f ca="1">OFFSET(Control!$A$5,COLUMN(D3)-1,0)</f>
        <v>ShortECM</v>
      </c>
      <c r="F3" s="264" t="str">
        <f ca="1">OFFSET(Control!$A$5,COLUMN(E3)-1,0)</f>
        <v>MidECM</v>
      </c>
      <c r="G3" s="264" t="str">
        <f ca="1">OFFSET(Control!$A$5,COLUMN(F3)-1,0)</f>
        <v>LongECM</v>
      </c>
      <c r="H3" s="264" t="str">
        <f ca="1">OFFSET(Control!$A$5,COLUMN(G3)-1,0)</f>
        <v>SteamLineImp</v>
      </c>
      <c r="I3" s="264" t="str">
        <f ca="1">OFFSET(Control!$A$5,COLUMN(H3)-1,0)</f>
        <v>UnitaryChiller</v>
      </c>
      <c r="J3" s="264" t="str">
        <f ca="1">OFFSET(Control!$A$5,COLUMN(I3)-1,0)</f>
        <v>GeoExchange</v>
      </c>
      <c r="K3" s="264" t="str">
        <f ca="1">OFFSET(Control!$A$5,COLUMN(J3)-1,0)</f>
        <v>SolarDHW</v>
      </c>
      <c r="L3" s="264" t="str">
        <f ca="1">OFFSET(Control!$A$5,COLUMN(K3)-1,0)</f>
        <v>WasteReduction</v>
      </c>
      <c r="M3" s="264" t="str">
        <f ca="1">OFFSET(Control!$A$5,COLUMN(L3)-1,0)</f>
        <v>DishStirling</v>
      </c>
      <c r="N3" s="264" t="str">
        <f ca="1">OFFSET(Control!$A$5,COLUMN(M3)-1,0)</f>
        <v>Parabolic</v>
      </c>
      <c r="O3" s="264" t="str">
        <f ca="1">OFFSET(Control!$A$5,COLUMN(N3)-1,0)</f>
        <v>GreenIT</v>
      </c>
      <c r="P3" s="264" t="str">
        <f ca="1">OFFSET(Control!$A$5,COLUMN(O3)-1,0)</f>
        <v>GreenBuild</v>
      </c>
      <c r="Q3" s="264" t="str">
        <f ca="1">OFFSET(Control!$A$5,COLUMN(P3)-1,0)</f>
        <v>SpacePlanning</v>
      </c>
      <c r="R3" s="264" t="str">
        <f ca="1">OFFSET(Control!$A$5,COLUMN(Q3)-1,0)</f>
        <v>CHP</v>
      </c>
      <c r="S3" s="264" t="str">
        <f ca="1">OFFSET(Control!$A$5,COLUMN(R3)-1,0)</f>
        <v>CoalToNG</v>
      </c>
      <c r="T3" s="264" t="str">
        <f ca="1">OFFSET(Control!$A$5,COLUMN(S3)-1,0)</f>
        <v>CentralChillerExp</v>
      </c>
      <c r="U3" s="264" t="str">
        <f ca="1">OFFSET(Control!$A$5,COLUMN(T3)-1,0)</f>
        <v>RooftopPV</v>
      </c>
      <c r="V3" s="264" t="str">
        <f ca="1">OFFSET(Control!$A$5,COLUMN(U3)-1,0)</f>
        <v>ReducedAir</v>
      </c>
      <c r="W3" s="264" t="str">
        <f ca="1">OFFSET(Control!$A$5,COLUMN(V3)-1,0)</f>
        <v>ReducedAuto</v>
      </c>
      <c r="X3" s="264" t="str">
        <f ca="1">OFFSET(Control!$A$5,COLUMN(W3)-1,0)</f>
        <v>BehaviorChange</v>
      </c>
      <c r="Y3" s="264">
        <f ca="1">OFFSET(Control!$A$5,COLUMN(X3)-1,0)</f>
        <v>0</v>
      </c>
      <c r="Z3" s="264">
        <f ca="1">OFFSET(Control!$A$5,COLUMN(Y3)-1,0)</f>
        <v>0</v>
      </c>
      <c r="AA3" s="264">
        <f ca="1">OFFSET(Control!$A$5,COLUMN(Z3)-1,0)</f>
        <v>0</v>
      </c>
      <c r="AB3" s="264">
        <f ca="1">OFFSET(Control!$A$5,COLUMN(AA3)-1,0)</f>
        <v>0</v>
      </c>
      <c r="AC3" s="264">
        <f ca="1">OFFSET(Control!$A$5,COLUMN(AB3)-1,0)</f>
        <v>0</v>
      </c>
      <c r="AD3" s="264">
        <f ca="1">OFFSET(Control!$A$5,COLUMN(AC3)-1,0)</f>
        <v>0</v>
      </c>
      <c r="AE3" s="264">
        <f ca="1">OFFSET(Control!$A$5,COLUMN(AD3)-1,0)</f>
        <v>0</v>
      </c>
      <c r="AF3" s="264">
        <f ca="1">OFFSET(Control!$A$5,COLUMN(AE3)-1,0)</f>
        <v>0</v>
      </c>
    </row>
    <row r="4" spans="1:32" ht="29.25" customHeight="1">
      <c r="A4" s="321"/>
      <c r="B4" s="264" t="str">
        <f ca="1">INDIRECT(B3)</f>
        <v>Green Power Purchase Opt 1 (Partial)</v>
      </c>
      <c r="C4" s="264" t="str">
        <f t="shared" ref="C4:AE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ca="1">INDIRECT(AF3)</f>
        <v>#REF!</v>
      </c>
    </row>
    <row r="5" spans="1:32">
      <c r="A5">
        <v>2010</v>
      </c>
      <c r="B5" s="312">
        <f ca="1">OFFSET(INDIRECT(B$3),$A5-$A$5+$C$1,$C$2)</f>
        <v>0</v>
      </c>
      <c r="C5" s="312">
        <f t="shared" ref="C5:Z15" ca="1" si="1">OFFSET(INDIRECT(C$3),$A5-$A$5+$C$1,$C$2)</f>
        <v>0</v>
      </c>
      <c r="D5" s="312">
        <f t="shared" ca="1" si="1"/>
        <v>0</v>
      </c>
      <c r="E5" s="312">
        <f t="shared" ca="1" si="1"/>
        <v>0</v>
      </c>
      <c r="F5" s="312">
        <f t="shared" ca="1" si="1"/>
        <v>0</v>
      </c>
      <c r="G5" s="312">
        <f t="shared" ca="1" si="1"/>
        <v>0</v>
      </c>
      <c r="H5" s="312">
        <f t="shared" ca="1" si="1"/>
        <v>0</v>
      </c>
      <c r="I5" s="312">
        <f t="shared" ca="1" si="1"/>
        <v>0</v>
      </c>
      <c r="J5" s="312">
        <f t="shared" ca="1" si="1"/>
        <v>0</v>
      </c>
      <c r="K5" s="312">
        <f t="shared" ca="1" si="1"/>
        <v>0</v>
      </c>
      <c r="L5" s="312">
        <f t="shared" ca="1" si="1"/>
        <v>0</v>
      </c>
      <c r="M5" s="312">
        <f t="shared" ca="1" si="1"/>
        <v>0</v>
      </c>
      <c r="N5" s="312">
        <f t="shared" ca="1" si="1"/>
        <v>0</v>
      </c>
      <c r="O5" s="312">
        <f t="shared" ca="1" si="1"/>
        <v>0</v>
      </c>
      <c r="P5" s="312">
        <f t="shared" ca="1" si="1"/>
        <v>0</v>
      </c>
      <c r="Q5" s="312">
        <f t="shared" ca="1" si="1"/>
        <v>237052.05335287287</v>
      </c>
      <c r="R5" s="312">
        <f t="shared" ca="1" si="1"/>
        <v>0</v>
      </c>
      <c r="S5" s="312">
        <f t="shared" ca="1" si="1"/>
        <v>0</v>
      </c>
      <c r="T5" s="312">
        <f t="shared" ca="1" si="1"/>
        <v>0</v>
      </c>
      <c r="U5" s="312">
        <f t="shared" ca="1" si="1"/>
        <v>0</v>
      </c>
      <c r="V5" s="312">
        <f t="shared" ca="1" si="1"/>
        <v>0</v>
      </c>
      <c r="W5" s="312">
        <f t="shared" ca="1" si="1"/>
        <v>0</v>
      </c>
      <c r="X5" s="312">
        <f t="shared" ca="1" si="1"/>
        <v>0</v>
      </c>
      <c r="Y5" s="312" t="e">
        <f t="shared" ca="1" si="1"/>
        <v>#REF!</v>
      </c>
      <c r="Z5" s="312" t="e">
        <f t="shared" ca="1" si="1"/>
        <v>#REF!</v>
      </c>
      <c r="AA5" s="312" t="e">
        <f t="shared" ref="AA5:AF20" ca="1" si="2">OFFSET(INDIRECT(AA$3),$A5-$A$5+$C$1,$C$2)</f>
        <v>#REF!</v>
      </c>
      <c r="AB5" s="312" t="e">
        <f t="shared" ca="1" si="2"/>
        <v>#REF!</v>
      </c>
      <c r="AC5" s="312" t="e">
        <f t="shared" ca="1" si="2"/>
        <v>#REF!</v>
      </c>
      <c r="AD5" s="312" t="e">
        <f t="shared" ca="1" si="2"/>
        <v>#REF!</v>
      </c>
      <c r="AE5" s="312" t="e">
        <f t="shared" ca="1" si="2"/>
        <v>#REF!</v>
      </c>
      <c r="AF5" s="312" t="e">
        <f t="shared" ca="1" si="2"/>
        <v>#REF!</v>
      </c>
    </row>
    <row r="6" spans="1:32">
      <c r="A6">
        <f>A5+1</f>
        <v>2011</v>
      </c>
      <c r="B6" s="312">
        <f t="shared" ref="B6:Q31" ca="1" si="3">OFFSET(INDIRECT(B$3),$A6-$A$5+$C$1,$C$2)</f>
        <v>-1250000</v>
      </c>
      <c r="C6" s="312">
        <f t="shared" ca="1" si="1"/>
        <v>0</v>
      </c>
      <c r="D6" s="312">
        <f t="shared" ca="1" si="1"/>
        <v>-6057.5400000000009</v>
      </c>
      <c r="E6" s="312">
        <f t="shared" ca="1" si="1"/>
        <v>321577.92419999995</v>
      </c>
      <c r="F6" s="312">
        <f t="shared" ca="1" si="1"/>
        <v>0</v>
      </c>
      <c r="G6" s="312">
        <f t="shared" ca="1" si="1"/>
        <v>0</v>
      </c>
      <c r="H6" s="312">
        <f t="shared" ca="1" si="1"/>
        <v>0</v>
      </c>
      <c r="I6" s="312">
        <f t="shared" ca="1" si="1"/>
        <v>0</v>
      </c>
      <c r="J6" s="312">
        <f t="shared" ca="1" si="1"/>
        <v>0</v>
      </c>
      <c r="K6" s="312">
        <f t="shared" ca="1" si="1"/>
        <v>0</v>
      </c>
      <c r="L6" s="312">
        <f t="shared" ca="1" si="1"/>
        <v>0</v>
      </c>
      <c r="M6" s="312">
        <f t="shared" ca="1" si="1"/>
        <v>0</v>
      </c>
      <c r="N6" s="312">
        <f t="shared" ca="1" si="1"/>
        <v>0</v>
      </c>
      <c r="O6" s="312">
        <f t="shared" ca="1" si="1"/>
        <v>0</v>
      </c>
      <c r="P6" s="312">
        <f t="shared" ca="1" si="1"/>
        <v>91394.641811032852</v>
      </c>
      <c r="Q6" s="312">
        <f t="shared" ca="1" si="1"/>
        <v>476101.70321850991</v>
      </c>
      <c r="R6" s="312">
        <f t="shared" ca="1" si="1"/>
        <v>0</v>
      </c>
      <c r="S6" s="312">
        <f t="shared" ca="1" si="1"/>
        <v>0</v>
      </c>
      <c r="T6" s="312">
        <f t="shared" ca="1" si="1"/>
        <v>0</v>
      </c>
      <c r="U6" s="312">
        <f t="shared" ca="1" si="1"/>
        <v>0</v>
      </c>
      <c r="V6" s="312">
        <f t="shared" ca="1" si="1"/>
        <v>0</v>
      </c>
      <c r="W6" s="312">
        <f t="shared" ca="1" si="1"/>
        <v>0</v>
      </c>
      <c r="X6" s="312">
        <f t="shared" ca="1" si="1"/>
        <v>0</v>
      </c>
      <c r="Y6" s="312" t="e">
        <f t="shared" ca="1" si="1"/>
        <v>#REF!</v>
      </c>
      <c r="Z6" s="312" t="e">
        <f t="shared" ca="1" si="1"/>
        <v>#REF!</v>
      </c>
      <c r="AA6" s="312" t="e">
        <f t="shared" ca="1" si="2"/>
        <v>#REF!</v>
      </c>
      <c r="AB6" s="312" t="e">
        <f t="shared" ca="1" si="2"/>
        <v>#REF!</v>
      </c>
      <c r="AC6" s="312" t="e">
        <f t="shared" ca="1" si="2"/>
        <v>#REF!</v>
      </c>
      <c r="AD6" s="312" t="e">
        <f t="shared" ca="1" si="2"/>
        <v>#REF!</v>
      </c>
      <c r="AE6" s="312" t="e">
        <f t="shared" ca="1" si="2"/>
        <v>#REF!</v>
      </c>
      <c r="AF6" s="312" t="e">
        <f t="shared" ca="1" si="2"/>
        <v>#REF!</v>
      </c>
    </row>
    <row r="7" spans="1:32">
      <c r="A7">
        <f t="shared" ref="A7:A45" si="4">A6+1</f>
        <v>2012</v>
      </c>
      <c r="B7" s="312">
        <f t="shared" ca="1" si="3"/>
        <v>-1250000</v>
      </c>
      <c r="C7" s="312">
        <f t="shared" ca="1" si="1"/>
        <v>0</v>
      </c>
      <c r="D7" s="312">
        <f t="shared" ca="1" si="1"/>
        <v>-5982.7077000000063</v>
      </c>
      <c r="E7" s="312">
        <f t="shared" ca="1" si="1"/>
        <v>645751.78952999983</v>
      </c>
      <c r="F7" s="312">
        <f t="shared" ca="1" si="1"/>
        <v>0</v>
      </c>
      <c r="G7" s="312">
        <f t="shared" ca="1" si="1"/>
        <v>0</v>
      </c>
      <c r="H7" s="312">
        <f t="shared" ca="1" si="1"/>
        <v>318930.98821845633</v>
      </c>
      <c r="I7" s="312">
        <f t="shared" ca="1" si="1"/>
        <v>110553.49840499999</v>
      </c>
      <c r="J7" s="312">
        <f t="shared" ca="1" si="1"/>
        <v>0</v>
      </c>
      <c r="K7" s="312">
        <f t="shared" ca="1" si="1"/>
        <v>4365.7750911300864</v>
      </c>
      <c r="L7" s="312">
        <f t="shared" ca="1" si="1"/>
        <v>0</v>
      </c>
      <c r="M7" s="312">
        <f t="shared" ca="1" si="1"/>
        <v>0</v>
      </c>
      <c r="N7" s="312">
        <f t="shared" ca="1" si="1"/>
        <v>0</v>
      </c>
      <c r="O7" s="312">
        <f t="shared" ca="1" si="1"/>
        <v>235520.99624999994</v>
      </c>
      <c r="P7" s="312">
        <f t="shared" ca="1" si="1"/>
        <v>410164.85540353489</v>
      </c>
      <c r="Q7" s="312">
        <f t="shared" ca="1" si="1"/>
        <v>717163.931570763</v>
      </c>
      <c r="R7" s="312">
        <f t="shared" ca="1" si="1"/>
        <v>0</v>
      </c>
      <c r="S7" s="312">
        <f t="shared" ca="1" si="1"/>
        <v>0</v>
      </c>
      <c r="T7" s="312">
        <f t="shared" ca="1" si="1"/>
        <v>514021.3965714135</v>
      </c>
      <c r="U7" s="312">
        <f t="shared" ca="1" si="1"/>
        <v>0</v>
      </c>
      <c r="V7" s="312">
        <f t="shared" ca="1" si="1"/>
        <v>0</v>
      </c>
      <c r="W7" s="312">
        <f t="shared" ca="1" si="1"/>
        <v>0</v>
      </c>
      <c r="X7" s="312">
        <f t="shared" ca="1" si="1"/>
        <v>53551.203958685095</v>
      </c>
      <c r="Y7" s="312" t="e">
        <f t="shared" ca="1" si="1"/>
        <v>#REF!</v>
      </c>
      <c r="Z7" s="312" t="e">
        <f t="shared" ca="1" si="1"/>
        <v>#REF!</v>
      </c>
      <c r="AA7" s="312" t="e">
        <f t="shared" ca="1" si="2"/>
        <v>#REF!</v>
      </c>
      <c r="AB7" s="312" t="e">
        <f t="shared" ca="1" si="2"/>
        <v>#REF!</v>
      </c>
      <c r="AC7" s="312" t="e">
        <f t="shared" ca="1" si="2"/>
        <v>#REF!</v>
      </c>
      <c r="AD7" s="312" t="e">
        <f t="shared" ca="1" si="2"/>
        <v>#REF!</v>
      </c>
      <c r="AE7" s="312" t="e">
        <f t="shared" ca="1" si="2"/>
        <v>#REF!</v>
      </c>
      <c r="AF7" s="312" t="e">
        <f t="shared" ca="1" si="2"/>
        <v>#REF!</v>
      </c>
    </row>
    <row r="8" spans="1:32">
      <c r="A8">
        <f t="shared" si="4"/>
        <v>2013</v>
      </c>
      <c r="B8" s="312">
        <f t="shared" ca="1" si="3"/>
        <v>-1250000</v>
      </c>
      <c r="C8" s="312">
        <f t="shared" ca="1" si="1"/>
        <v>0</v>
      </c>
      <c r="D8" s="312">
        <f t="shared" ca="1" si="1"/>
        <v>-5907.5012385000064</v>
      </c>
      <c r="E8" s="312">
        <f t="shared" ca="1" si="1"/>
        <v>972541.06554847455</v>
      </c>
      <c r="F8" s="312">
        <f t="shared" ca="1" si="1"/>
        <v>0</v>
      </c>
      <c r="G8" s="312">
        <f t="shared" ca="1" si="1"/>
        <v>0</v>
      </c>
      <c r="H8" s="312">
        <f t="shared" ca="1" si="1"/>
        <v>325674.38291916944</v>
      </c>
      <c r="I8" s="312">
        <f t="shared" ca="1" si="1"/>
        <v>236951.11808651229</v>
      </c>
      <c r="J8" s="312">
        <f t="shared" ca="1" si="1"/>
        <v>64582.351449977352</v>
      </c>
      <c r="K8" s="312">
        <f t="shared" ca="1" si="1"/>
        <v>4387.6039665857361</v>
      </c>
      <c r="L8" s="312">
        <f t="shared" ca="1" si="1"/>
        <v>0</v>
      </c>
      <c r="M8" s="312">
        <f t="shared" ca="1" si="1"/>
        <v>0</v>
      </c>
      <c r="N8" s="312">
        <f t="shared" ca="1" si="1"/>
        <v>0</v>
      </c>
      <c r="O8" s="312">
        <f t="shared" ca="1" si="1"/>
        <v>473397.20246249984</v>
      </c>
      <c r="P8" s="312">
        <f t="shared" ca="1" si="1"/>
        <v>535078.75283020758</v>
      </c>
      <c r="Q8" s="312">
        <f t="shared" ca="1" si="1"/>
        <v>960253.82026329741</v>
      </c>
      <c r="R8" s="312">
        <f t="shared" ca="1" si="1"/>
        <v>0</v>
      </c>
      <c r="S8" s="312">
        <f t="shared" ca="1" si="1"/>
        <v>0</v>
      </c>
      <c r="T8" s="312">
        <f t="shared" ca="1" si="1"/>
        <v>535787.41885800601</v>
      </c>
      <c r="U8" s="312">
        <f t="shared" ca="1" si="1"/>
        <v>0</v>
      </c>
      <c r="V8" s="312">
        <f t="shared" ca="1" si="1"/>
        <v>0</v>
      </c>
      <c r="W8" s="312">
        <f t="shared" ca="1" si="1"/>
        <v>0</v>
      </c>
      <c r="X8" s="312">
        <f t="shared" ca="1" si="1"/>
        <v>106568.76063263653</v>
      </c>
      <c r="Y8" s="312" t="e">
        <f t="shared" ca="1" si="1"/>
        <v>#REF!</v>
      </c>
      <c r="Z8" s="312" t="e">
        <f t="shared" ca="1" si="1"/>
        <v>#REF!</v>
      </c>
      <c r="AA8" s="312" t="e">
        <f t="shared" ca="1" si="2"/>
        <v>#REF!</v>
      </c>
      <c r="AB8" s="312" t="e">
        <f t="shared" ca="1" si="2"/>
        <v>#REF!</v>
      </c>
      <c r="AC8" s="312" t="e">
        <f t="shared" ca="1" si="2"/>
        <v>#REF!</v>
      </c>
      <c r="AD8" s="312" t="e">
        <f t="shared" ca="1" si="2"/>
        <v>#REF!</v>
      </c>
      <c r="AE8" s="312" t="e">
        <f t="shared" ca="1" si="2"/>
        <v>#REF!</v>
      </c>
      <c r="AF8" s="312" t="e">
        <f t="shared" ca="1" si="2"/>
        <v>#REF!</v>
      </c>
    </row>
    <row r="9" spans="1:32">
      <c r="A9">
        <f t="shared" si="4"/>
        <v>2014</v>
      </c>
      <c r="B9" s="312">
        <f t="shared" ca="1" si="3"/>
        <v>-1250000</v>
      </c>
      <c r="C9" s="312">
        <f t="shared" ca="1" si="1"/>
        <v>0</v>
      </c>
      <c r="D9" s="312">
        <f t="shared" ca="1" si="1"/>
        <v>-5831.9187446925116</v>
      </c>
      <c r="E9" s="312">
        <f t="shared" ca="1" si="1"/>
        <v>1301965.3516109558</v>
      </c>
      <c r="F9" s="312">
        <f t="shared" ca="1" si="1"/>
        <v>0</v>
      </c>
      <c r="G9" s="312">
        <f t="shared" ca="1" si="1"/>
        <v>0</v>
      </c>
      <c r="H9" s="312">
        <f t="shared" ca="1" si="1"/>
        <v>331089.05995406612</v>
      </c>
      <c r="I9" s="312">
        <f t="shared" ca="1" si="1"/>
        <v>289409.14791360765</v>
      </c>
      <c r="J9" s="312">
        <f t="shared" ca="1" si="1"/>
        <v>64905.263207227239</v>
      </c>
      <c r="K9" s="312">
        <f t="shared" ca="1" si="1"/>
        <v>4409.5419864186642</v>
      </c>
      <c r="L9" s="312">
        <f t="shared" ca="1" si="1"/>
        <v>0</v>
      </c>
      <c r="M9" s="312">
        <f t="shared" ca="1" si="1"/>
        <v>0</v>
      </c>
      <c r="N9" s="312">
        <f t="shared" ca="1" si="1"/>
        <v>0</v>
      </c>
      <c r="O9" s="312">
        <f t="shared" ca="1" si="1"/>
        <v>713646.28271221824</v>
      </c>
      <c r="P9" s="312">
        <f t="shared" ca="1" si="1"/>
        <v>586445.35079787998</v>
      </c>
      <c r="Q9" s="312">
        <f t="shared" ca="1" si="1"/>
        <v>1205386.5516538648</v>
      </c>
      <c r="R9" s="312">
        <f t="shared" ca="1" si="1"/>
        <v>0</v>
      </c>
      <c r="S9" s="312">
        <f t="shared" ca="1" si="1"/>
        <v>0</v>
      </c>
      <c r="T9" s="312">
        <f t="shared" ca="1" si="1"/>
        <v>887027.37807194912</v>
      </c>
      <c r="U9" s="312">
        <f t="shared" ca="1" si="1"/>
        <v>0</v>
      </c>
      <c r="V9" s="312">
        <f t="shared" ca="1" si="1"/>
        <v>0</v>
      </c>
      <c r="W9" s="312">
        <f t="shared" ca="1" si="1"/>
        <v>0</v>
      </c>
      <c r="X9" s="312">
        <f t="shared" ca="1" si="1"/>
        <v>158816.49713506427</v>
      </c>
      <c r="Y9" s="312" t="e">
        <f t="shared" ca="1" si="1"/>
        <v>#REF!</v>
      </c>
      <c r="Z9" s="312" t="e">
        <f t="shared" ca="1" si="1"/>
        <v>#REF!</v>
      </c>
      <c r="AA9" s="312" t="e">
        <f t="shared" ca="1" si="2"/>
        <v>#REF!</v>
      </c>
      <c r="AB9" s="312" t="e">
        <f t="shared" ca="1" si="2"/>
        <v>#REF!</v>
      </c>
      <c r="AC9" s="312" t="e">
        <f t="shared" ca="1" si="2"/>
        <v>#REF!</v>
      </c>
      <c r="AD9" s="312" t="e">
        <f t="shared" ca="1" si="2"/>
        <v>#REF!</v>
      </c>
      <c r="AE9" s="312" t="e">
        <f t="shared" ca="1" si="2"/>
        <v>#REF!</v>
      </c>
      <c r="AF9" s="312" t="e">
        <f t="shared" ca="1" si="2"/>
        <v>#REF!</v>
      </c>
    </row>
    <row r="10" spans="1:32">
      <c r="A10">
        <f t="shared" si="4"/>
        <v>2015</v>
      </c>
      <c r="B10" s="312">
        <f t="shared" ca="1" si="3"/>
        <v>-1250000</v>
      </c>
      <c r="C10" s="312">
        <f t="shared" ca="1" si="1"/>
        <v>0</v>
      </c>
      <c r="D10" s="312">
        <f t="shared" ca="1" si="1"/>
        <v>-5755.9583384159741</v>
      </c>
      <c r="E10" s="312">
        <f t="shared" ca="1" si="1"/>
        <v>1634044.3776812628</v>
      </c>
      <c r="F10" s="312">
        <f t="shared" ca="1" si="1"/>
        <v>0</v>
      </c>
      <c r="G10" s="312">
        <f t="shared" ca="1" si="1"/>
        <v>0</v>
      </c>
      <c r="H10" s="312">
        <f t="shared" ca="1" si="1"/>
        <v>340270.05984589568</v>
      </c>
      <c r="I10" s="312">
        <f t="shared" ca="1" si="1"/>
        <v>290856.19365317567</v>
      </c>
      <c r="J10" s="312">
        <f t="shared" ca="1" si="1"/>
        <v>130459.57904652669</v>
      </c>
      <c r="K10" s="312">
        <f t="shared" ca="1" si="1"/>
        <v>4431.5896963507566</v>
      </c>
      <c r="L10" s="312">
        <f t="shared" ca="1" si="1"/>
        <v>0</v>
      </c>
      <c r="M10" s="312">
        <f t="shared" ca="1" si="1"/>
        <v>0</v>
      </c>
      <c r="N10" s="312">
        <f t="shared" ca="1" si="1"/>
        <v>0</v>
      </c>
      <c r="O10" s="312">
        <f t="shared" ca="1" si="1"/>
        <v>717214.51412577927</v>
      </c>
      <c r="P10" s="312">
        <f t="shared" ca="1" si="1"/>
        <v>841889.95924922836</v>
      </c>
      <c r="Q10" s="312">
        <f t="shared" ca="1" si="1"/>
        <v>1452577.4092322779</v>
      </c>
      <c r="R10" s="312">
        <f t="shared" ca="1" si="1"/>
        <v>0</v>
      </c>
      <c r="S10" s="312">
        <f t="shared" ca="1" si="1"/>
        <v>-303812.55343383551</v>
      </c>
      <c r="T10" s="312">
        <f t="shared" ca="1" si="1"/>
        <v>911846.02740428899</v>
      </c>
      <c r="U10" s="312">
        <f t="shared" ca="1" si="1"/>
        <v>61044.988312129492</v>
      </c>
      <c r="V10" s="312">
        <f t="shared" ca="1" si="1"/>
        <v>0</v>
      </c>
      <c r="W10" s="312">
        <f t="shared" ca="1" si="1"/>
        <v>0</v>
      </c>
      <c r="X10" s="312">
        <f t="shared" ca="1" si="1"/>
        <v>211097.00682058392</v>
      </c>
      <c r="Y10" s="312" t="e">
        <f t="shared" ca="1" si="1"/>
        <v>#REF!</v>
      </c>
      <c r="Z10" s="312" t="e">
        <f t="shared" ca="1" si="1"/>
        <v>#REF!</v>
      </c>
      <c r="AA10" s="312" t="e">
        <f t="shared" ca="1" si="2"/>
        <v>#REF!</v>
      </c>
      <c r="AB10" s="312" t="e">
        <f t="shared" ca="1" si="2"/>
        <v>#REF!</v>
      </c>
      <c r="AC10" s="312" t="e">
        <f t="shared" ca="1" si="2"/>
        <v>#REF!</v>
      </c>
      <c r="AD10" s="312" t="e">
        <f t="shared" ca="1" si="2"/>
        <v>#REF!</v>
      </c>
      <c r="AE10" s="312" t="e">
        <f t="shared" ca="1" si="2"/>
        <v>#REF!</v>
      </c>
      <c r="AF10" s="312" t="e">
        <f t="shared" ca="1" si="2"/>
        <v>#REF!</v>
      </c>
    </row>
    <row r="11" spans="1:32">
      <c r="A11">
        <f t="shared" si="4"/>
        <v>2016</v>
      </c>
      <c r="B11" s="312">
        <f t="shared" ca="1" si="3"/>
        <v>-1250000</v>
      </c>
      <c r="C11" s="312">
        <f t="shared" ca="1" si="1"/>
        <v>0</v>
      </c>
      <c r="D11" s="312">
        <f t="shared" ca="1" si="1"/>
        <v>-5679.6181301080578</v>
      </c>
      <c r="E11" s="312">
        <f t="shared" ca="1" si="1"/>
        <v>1640665.0042896688</v>
      </c>
      <c r="F11" s="312">
        <f t="shared" ca="1" si="1"/>
        <v>193520.65401359371</v>
      </c>
      <c r="G11" s="312">
        <f t="shared" ca="1" si="1"/>
        <v>0</v>
      </c>
      <c r="H11" s="312">
        <f t="shared" ca="1" si="1"/>
        <v>345795.67297425686</v>
      </c>
      <c r="I11" s="312">
        <f t="shared" ca="1" si="1"/>
        <v>292310.47462144151</v>
      </c>
      <c r="J11" s="312">
        <f t="shared" ca="1" si="1"/>
        <v>131111.87694175931</v>
      </c>
      <c r="K11" s="312">
        <f t="shared" ca="1" si="1"/>
        <v>4453.7476448325096</v>
      </c>
      <c r="L11" s="312">
        <f t="shared" ca="1" si="1"/>
        <v>0</v>
      </c>
      <c r="M11" s="312">
        <f t="shared" ca="1" si="1"/>
        <v>0</v>
      </c>
      <c r="N11" s="312">
        <f t="shared" ca="1" si="1"/>
        <v>0</v>
      </c>
      <c r="O11" s="312">
        <f t="shared" ca="1" si="1"/>
        <v>720800.58669640811</v>
      </c>
      <c r="P11" s="312">
        <f t="shared" ca="1" si="1"/>
        <v>896391.00165602495</v>
      </c>
      <c r="Q11" s="312">
        <f t="shared" ca="1" si="1"/>
        <v>1701841.7782521781</v>
      </c>
      <c r="R11" s="312">
        <f t="shared" ca="1" si="1"/>
        <v>3359454.05753088</v>
      </c>
      <c r="S11" s="312">
        <f t="shared" ca="1" si="1"/>
        <v>-308746.13658415806</v>
      </c>
      <c r="T11" s="312">
        <f t="shared" ca="1" si="1"/>
        <v>462293.59641251189</v>
      </c>
      <c r="U11" s="312">
        <f t="shared" ca="1" si="1"/>
        <v>61350.213253690126</v>
      </c>
      <c r="V11" s="312">
        <f t="shared" ca="1" si="1"/>
        <v>0</v>
      </c>
      <c r="W11" s="312">
        <f t="shared" ca="1" si="1"/>
        <v>0</v>
      </c>
      <c r="X11" s="312">
        <f t="shared" ca="1" si="1"/>
        <v>262678.66776701325</v>
      </c>
      <c r="Y11" s="312" t="e">
        <f t="shared" ca="1" si="1"/>
        <v>#REF!</v>
      </c>
      <c r="Z11" s="312" t="e">
        <f t="shared" ca="1" si="1"/>
        <v>#REF!</v>
      </c>
      <c r="AA11" s="312" t="e">
        <f t="shared" ca="1" si="2"/>
        <v>#REF!</v>
      </c>
      <c r="AB11" s="312" t="e">
        <f t="shared" ca="1" si="2"/>
        <v>#REF!</v>
      </c>
      <c r="AC11" s="312" t="e">
        <f t="shared" ca="1" si="2"/>
        <v>#REF!</v>
      </c>
      <c r="AD11" s="312" t="e">
        <f t="shared" ca="1" si="2"/>
        <v>#REF!</v>
      </c>
      <c r="AE11" s="312" t="e">
        <f t="shared" ca="1" si="2"/>
        <v>#REF!</v>
      </c>
      <c r="AF11" s="312" t="e">
        <f t="shared" ca="1" si="2"/>
        <v>#REF!</v>
      </c>
    </row>
    <row r="12" spans="1:32">
      <c r="A12">
        <f t="shared" si="4"/>
        <v>2017</v>
      </c>
      <c r="B12" s="312">
        <f t="shared" ca="1" si="3"/>
        <v>-1250000</v>
      </c>
      <c r="C12" s="312">
        <f t="shared" ca="1" si="1"/>
        <v>0</v>
      </c>
      <c r="D12" s="312">
        <f t="shared" ca="1" si="1"/>
        <v>-5602.896220758601</v>
      </c>
      <c r="E12" s="312">
        <f t="shared" ca="1" si="1"/>
        <v>1647318.7340311171</v>
      </c>
      <c r="F12" s="312">
        <f t="shared" ca="1" si="1"/>
        <v>388809.16020732332</v>
      </c>
      <c r="G12" s="312">
        <f t="shared" ca="1" si="1"/>
        <v>0</v>
      </c>
      <c r="H12" s="312">
        <f t="shared" ca="1" si="1"/>
        <v>351368.03548240557</v>
      </c>
      <c r="I12" s="312">
        <f t="shared" ca="1" si="1"/>
        <v>293772.02699454862</v>
      </c>
      <c r="J12" s="312">
        <f t="shared" ca="1" si="1"/>
        <v>131767.43632646813</v>
      </c>
      <c r="K12" s="312">
        <f t="shared" ca="1" si="1"/>
        <v>4476.0163830566726</v>
      </c>
      <c r="L12" s="312">
        <f t="shared" ca="1" si="1"/>
        <v>0</v>
      </c>
      <c r="M12" s="312">
        <f t="shared" ca="1" si="1"/>
        <v>0</v>
      </c>
      <c r="N12" s="312">
        <f t="shared" ca="1" si="1"/>
        <v>0</v>
      </c>
      <c r="O12" s="312">
        <f t="shared" ca="1" si="1"/>
        <v>724404.58962989005</v>
      </c>
      <c r="P12" s="312">
        <f t="shared" ca="1" si="1"/>
        <v>951515.66256823449</v>
      </c>
      <c r="Q12" s="312">
        <f t="shared" ca="1" si="1"/>
        <v>1953195.1463666004</v>
      </c>
      <c r="R12" s="312">
        <f t="shared" ca="1" si="1"/>
        <v>3404755.5062910877</v>
      </c>
      <c r="S12" s="312">
        <f t="shared" ca="1" si="1"/>
        <v>-313721.4602521481</v>
      </c>
      <c r="T12" s="312">
        <f t="shared" ca="1" si="1"/>
        <v>488482.75854864938</v>
      </c>
      <c r="U12" s="312">
        <f t="shared" ca="1" si="1"/>
        <v>61656.96431995857</v>
      </c>
      <c r="V12" s="312">
        <f t="shared" ca="1" si="1"/>
        <v>0</v>
      </c>
      <c r="W12" s="312">
        <f t="shared" ca="1" si="1"/>
        <v>0</v>
      </c>
      <c r="X12" s="312">
        <f t="shared" ca="1" si="1"/>
        <v>313757.26014464517</v>
      </c>
      <c r="Y12" s="312" t="e">
        <f t="shared" ca="1" si="1"/>
        <v>#REF!</v>
      </c>
      <c r="Z12" s="312" t="e">
        <f t="shared" ca="1" si="1"/>
        <v>#REF!</v>
      </c>
      <c r="AA12" s="312" t="e">
        <f t="shared" ca="1" si="2"/>
        <v>#REF!</v>
      </c>
      <c r="AB12" s="312" t="e">
        <f t="shared" ca="1" si="2"/>
        <v>#REF!</v>
      </c>
      <c r="AC12" s="312" t="e">
        <f t="shared" ca="1" si="2"/>
        <v>#REF!</v>
      </c>
      <c r="AD12" s="312" t="e">
        <f t="shared" ca="1" si="2"/>
        <v>#REF!</v>
      </c>
      <c r="AE12" s="312" t="e">
        <f t="shared" ca="1" si="2"/>
        <v>#REF!</v>
      </c>
      <c r="AF12" s="312" t="e">
        <f t="shared" ca="1" si="2"/>
        <v>#REF!</v>
      </c>
    </row>
    <row r="13" spans="1:32">
      <c r="A13">
        <f t="shared" si="4"/>
        <v>2018</v>
      </c>
      <c r="B13" s="312">
        <f t="shared" ca="1" si="3"/>
        <v>-1250000</v>
      </c>
      <c r="C13" s="312">
        <f t="shared" ca="1" si="1"/>
        <v>0</v>
      </c>
      <c r="D13" s="312">
        <f t="shared" ca="1" si="1"/>
        <v>-5525.7907018623955</v>
      </c>
      <c r="E13" s="312">
        <f t="shared" ca="1" si="1"/>
        <v>1654005.7324212724</v>
      </c>
      <c r="F13" s="312">
        <f t="shared" ca="1" si="1"/>
        <v>585878.7774725398</v>
      </c>
      <c r="G13" s="312">
        <f t="shared" ca="1" si="1"/>
        <v>0</v>
      </c>
      <c r="H13" s="312">
        <f t="shared" ca="1" si="1"/>
        <v>356987.47672381124</v>
      </c>
      <c r="I13" s="312">
        <f t="shared" ca="1" si="1"/>
        <v>295240.88712952135</v>
      </c>
      <c r="J13" s="312">
        <f t="shared" ca="1" si="1"/>
        <v>132426.27350810042</v>
      </c>
      <c r="K13" s="312">
        <f t="shared" ca="1" si="1"/>
        <v>4498.3964649719546</v>
      </c>
      <c r="L13" s="312">
        <f t="shared" ca="1" si="1"/>
        <v>0</v>
      </c>
      <c r="M13" s="312">
        <f t="shared" ca="1" si="1"/>
        <v>0</v>
      </c>
      <c r="N13" s="312">
        <f t="shared" ca="1" si="1"/>
        <v>0</v>
      </c>
      <c r="O13" s="312">
        <f t="shared" ca="1" si="1"/>
        <v>728026.61257803941</v>
      </c>
      <c r="P13" s="312">
        <f t="shared" ca="1" si="1"/>
        <v>1007264.2710987905</v>
      </c>
      <c r="Q13" s="312">
        <f t="shared" ca="1" si="1"/>
        <v>2206653.1042673085</v>
      </c>
      <c r="R13" s="312">
        <f t="shared" ca="1" si="1"/>
        <v>3450283.4622950982</v>
      </c>
      <c r="S13" s="312">
        <f t="shared" ca="1" si="1"/>
        <v>-318738.8185034031</v>
      </c>
      <c r="T13" s="312">
        <f t="shared" ca="1" si="1"/>
        <v>426598.92461456498</v>
      </c>
      <c r="U13" s="312">
        <f t="shared" ca="1" si="1"/>
        <v>61965.249141558357</v>
      </c>
      <c r="V13" s="312">
        <f t="shared" ca="1" si="1"/>
        <v>0</v>
      </c>
      <c r="W13" s="312">
        <f t="shared" ca="1" si="1"/>
        <v>0</v>
      </c>
      <c r="X13" s="312">
        <f t="shared" ca="1" si="1"/>
        <v>353910.49623076181</v>
      </c>
      <c r="Y13" s="312" t="e">
        <f t="shared" ca="1" si="1"/>
        <v>#REF!</v>
      </c>
      <c r="Z13" s="312" t="e">
        <f t="shared" ca="1" si="1"/>
        <v>#REF!</v>
      </c>
      <c r="AA13" s="312" t="e">
        <f t="shared" ca="1" si="2"/>
        <v>#REF!</v>
      </c>
      <c r="AB13" s="312" t="e">
        <f t="shared" ca="1" si="2"/>
        <v>#REF!</v>
      </c>
      <c r="AC13" s="312" t="e">
        <f t="shared" ca="1" si="2"/>
        <v>#REF!</v>
      </c>
      <c r="AD13" s="312" t="e">
        <f t="shared" ca="1" si="2"/>
        <v>#REF!</v>
      </c>
      <c r="AE13" s="312" t="e">
        <f t="shared" ca="1" si="2"/>
        <v>#REF!</v>
      </c>
      <c r="AF13" s="312" t="e">
        <f t="shared" ca="1" si="2"/>
        <v>#REF!</v>
      </c>
    </row>
    <row r="14" spans="1:32">
      <c r="A14">
        <f t="shared" si="4"/>
        <v>2019</v>
      </c>
      <c r="B14" s="312">
        <f t="shared" ca="1" si="3"/>
        <v>-1250000</v>
      </c>
      <c r="C14" s="312">
        <f t="shared" ca="1" si="1"/>
        <v>0</v>
      </c>
      <c r="D14" s="312">
        <f t="shared" ca="1" si="1"/>
        <v>-5448.2996553717057</v>
      </c>
      <c r="E14" s="312">
        <f t="shared" ca="1" si="1"/>
        <v>1660726.1658033789</v>
      </c>
      <c r="F14" s="312">
        <f t="shared" ca="1" si="1"/>
        <v>784742.85309320339</v>
      </c>
      <c r="G14" s="312">
        <f t="shared" ca="1" si="1"/>
        <v>0</v>
      </c>
      <c r="H14" s="312">
        <f t="shared" ca="1" si="1"/>
        <v>362654.32817674411</v>
      </c>
      <c r="I14" s="312">
        <f t="shared" ca="1" si="1"/>
        <v>296717.09156516899</v>
      </c>
      <c r="J14" s="312">
        <f t="shared" ca="1" si="1"/>
        <v>133088.40487564093</v>
      </c>
      <c r="K14" s="312">
        <f t="shared" ca="1" si="1"/>
        <v>4520.8884472968148</v>
      </c>
      <c r="L14" s="312">
        <f t="shared" ca="1" si="1"/>
        <v>0</v>
      </c>
      <c r="M14" s="312">
        <f t="shared" ca="1" si="1"/>
        <v>0</v>
      </c>
      <c r="N14" s="312">
        <f t="shared" ca="1" si="1"/>
        <v>0</v>
      </c>
      <c r="O14" s="312">
        <f t="shared" ca="1" si="1"/>
        <v>731666.74564092956</v>
      </c>
      <c r="P14" s="312">
        <f t="shared" ca="1" si="1"/>
        <v>1063637.3323598297</v>
      </c>
      <c r="Q14" s="312">
        <f t="shared" ca="1" si="1"/>
        <v>2462231.346328022</v>
      </c>
      <c r="R14" s="312">
        <f t="shared" ca="1" si="1"/>
        <v>3496039.0580791291</v>
      </c>
      <c r="S14" s="312">
        <f t="shared" ca="1" si="1"/>
        <v>-323798.50730066467</v>
      </c>
      <c r="T14" s="312">
        <f t="shared" ca="1" si="1"/>
        <v>453239.89171315613</v>
      </c>
      <c r="U14" s="312">
        <f t="shared" ca="1" si="1"/>
        <v>62275.075387266144</v>
      </c>
      <c r="V14" s="312">
        <f t="shared" ca="1" si="1"/>
        <v>0</v>
      </c>
      <c r="W14" s="312">
        <f t="shared" ca="1" si="1"/>
        <v>0</v>
      </c>
      <c r="X14" s="312">
        <f t="shared" ca="1" si="1"/>
        <v>393634.90475888533</v>
      </c>
      <c r="Y14" s="312" t="e">
        <f t="shared" ca="1" si="1"/>
        <v>#REF!</v>
      </c>
      <c r="Z14" s="312" t="e">
        <f t="shared" ca="1" si="1"/>
        <v>#REF!</v>
      </c>
      <c r="AA14" s="312" t="e">
        <f t="shared" ca="1" si="2"/>
        <v>#REF!</v>
      </c>
      <c r="AB14" s="312" t="e">
        <f t="shared" ca="1" si="2"/>
        <v>#REF!</v>
      </c>
      <c r="AC14" s="312" t="e">
        <f t="shared" ca="1" si="2"/>
        <v>#REF!</v>
      </c>
      <c r="AD14" s="312" t="e">
        <f t="shared" ca="1" si="2"/>
        <v>#REF!</v>
      </c>
      <c r="AE14" s="312" t="e">
        <f t="shared" ca="1" si="2"/>
        <v>#REF!</v>
      </c>
      <c r="AF14" s="312" t="e">
        <f t="shared" ca="1" si="2"/>
        <v>#REF!</v>
      </c>
    </row>
    <row r="15" spans="1:32">
      <c r="A15">
        <f t="shared" si="4"/>
        <v>2020</v>
      </c>
      <c r="B15" s="312">
        <f t="shared" ca="1" si="3"/>
        <v>-1250000</v>
      </c>
      <c r="C15" s="312">
        <f t="shared" ca="1" si="1"/>
        <v>0</v>
      </c>
      <c r="D15" s="312">
        <f t="shared" ca="1" si="1"/>
        <v>-5370.4211536485691</v>
      </c>
      <c r="E15" s="312">
        <f t="shared" ca="1" si="1"/>
        <v>1667480.2013523954</v>
      </c>
      <c r="F15" s="312">
        <f t="shared" ca="1" si="1"/>
        <v>985414.82329833647</v>
      </c>
      <c r="G15" s="312">
        <f t="shared" ca="1" si="1"/>
        <v>0</v>
      </c>
      <c r="H15" s="312">
        <f t="shared" ca="1" si="1"/>
        <v>368368.92345728818</v>
      </c>
      <c r="I15" s="312">
        <f t="shared" ca="1" si="1"/>
        <v>298200.67702299473</v>
      </c>
      <c r="J15" s="312">
        <f t="shared" ca="1" si="1"/>
        <v>133753.84690001915</v>
      </c>
      <c r="K15" s="312">
        <f t="shared" ca="1" si="1"/>
        <v>4543.4928895332978</v>
      </c>
      <c r="L15" s="312">
        <f t="shared" ca="1" si="1"/>
        <v>0</v>
      </c>
      <c r="M15" s="312">
        <f t="shared" ca="1" si="1"/>
        <v>68126.573073337524</v>
      </c>
      <c r="N15" s="312">
        <f t="shared" ca="1" si="1"/>
        <v>77343.779128972834</v>
      </c>
      <c r="O15" s="312">
        <f t="shared" ca="1" si="1"/>
        <v>735325.07936913404</v>
      </c>
      <c r="P15" s="312">
        <f t="shared" ca="1" si="1"/>
        <v>1120635.5196551729</v>
      </c>
      <c r="Q15" s="312">
        <f t="shared" ca="1" si="1"/>
        <v>2719945.6712514381</v>
      </c>
      <c r="R15" s="312">
        <f t="shared" ref="R15:AE45" ca="1" si="5">OFFSET(INDIRECT(R$3),$A15-$A$5+$C$1,$C$2)</f>
        <v>3542023.4318420775</v>
      </c>
      <c r="S15" s="312">
        <f t="shared" ca="1" si="5"/>
        <v>-328900.82451543584</v>
      </c>
      <c r="T15" s="312">
        <f t="shared" ca="1" si="5"/>
        <v>480109.16609978909</v>
      </c>
      <c r="U15" s="312">
        <f t="shared" ca="1" si="5"/>
        <v>62586.450764202462</v>
      </c>
      <c r="V15" s="312">
        <f t="shared" ca="1" si="5"/>
        <v>0</v>
      </c>
      <c r="W15" s="312">
        <f t="shared" ca="1" si="5"/>
        <v>0</v>
      </c>
      <c r="X15" s="312">
        <f t="shared" ca="1" si="5"/>
        <v>432919.79512423207</v>
      </c>
      <c r="Y15" s="312" t="e">
        <f t="shared" ca="1" si="5"/>
        <v>#REF!</v>
      </c>
      <c r="Z15" s="312" t="e">
        <f t="shared" ca="1" si="5"/>
        <v>#REF!</v>
      </c>
      <c r="AA15" s="312" t="e">
        <f t="shared" ca="1" si="2"/>
        <v>#REF!</v>
      </c>
      <c r="AB15" s="312" t="e">
        <f t="shared" ca="1" si="2"/>
        <v>#REF!</v>
      </c>
      <c r="AC15" s="312" t="e">
        <f t="shared" ca="1" si="2"/>
        <v>#REF!</v>
      </c>
      <c r="AD15" s="312" t="e">
        <f t="shared" ca="1" si="2"/>
        <v>#REF!</v>
      </c>
      <c r="AE15" s="312" t="e">
        <f t="shared" ca="1" si="2"/>
        <v>#REF!</v>
      </c>
      <c r="AF15" s="312" t="e">
        <f t="shared" ca="1" si="2"/>
        <v>#REF!</v>
      </c>
    </row>
    <row r="16" spans="1:32">
      <c r="A16">
        <f t="shared" si="4"/>
        <v>2021</v>
      </c>
      <c r="B16" s="312">
        <f t="shared" ca="1" si="3"/>
        <v>-1250000</v>
      </c>
      <c r="C16" s="312">
        <f t="shared" ca="1" si="3"/>
        <v>-1398770.7281591769</v>
      </c>
      <c r="D16" s="312">
        <f t="shared" ca="1" si="3"/>
        <v>-5292.1532594168129</v>
      </c>
      <c r="E16" s="312">
        <f t="shared" ca="1" si="3"/>
        <v>1674268.0070791575</v>
      </c>
      <c r="F16" s="312">
        <f t="shared" ca="1" si="3"/>
        <v>1187908.2138177939</v>
      </c>
      <c r="G16" s="312">
        <f t="shared" ca="1" si="3"/>
        <v>0</v>
      </c>
      <c r="H16" s="312">
        <f t="shared" ca="1" si="3"/>
        <v>374131.59833243315</v>
      </c>
      <c r="I16" s="312">
        <f t="shared" ca="1" si="3"/>
        <v>299691.68040810968</v>
      </c>
      <c r="J16" s="312">
        <f t="shared" ca="1" si="3"/>
        <v>134422.61613451922</v>
      </c>
      <c r="K16" s="312">
        <f t="shared" ca="1" si="3"/>
        <v>4566.210353980965</v>
      </c>
      <c r="L16" s="312">
        <f t="shared" ca="1" si="3"/>
        <v>0</v>
      </c>
      <c r="M16" s="312">
        <f t="shared" ca="1" si="3"/>
        <v>67782.529389634889</v>
      </c>
      <c r="N16" s="312">
        <f t="shared" ca="1" si="3"/>
        <v>77730.4980246177</v>
      </c>
      <c r="O16" s="312">
        <f t="shared" ca="1" si="3"/>
        <v>739001.70476597967</v>
      </c>
      <c r="P16" s="312">
        <f t="shared" ca="1" si="3"/>
        <v>1178259.6671747195</v>
      </c>
      <c r="Q16" s="312">
        <f t="shared" ca="1" si="3"/>
        <v>2979811.9827201911</v>
      </c>
      <c r="R16" s="312">
        <f t="shared" ca="1" si="5"/>
        <v>3588237.7274738438</v>
      </c>
      <c r="S16" s="312">
        <f t="shared" ca="1" si="5"/>
        <v>-334046.06993967295</v>
      </c>
      <c r="T16" s="312">
        <f t="shared" ca="1" si="5"/>
        <v>507208.36482316768</v>
      </c>
      <c r="U16" s="312">
        <f t="shared" ca="1" si="5"/>
        <v>62899.383018023473</v>
      </c>
      <c r="V16" s="312">
        <f t="shared" ca="1" si="5"/>
        <v>0</v>
      </c>
      <c r="W16" s="312">
        <f t="shared" ca="1" si="5"/>
        <v>0</v>
      </c>
      <c r="X16" s="312">
        <f t="shared" ca="1" si="5"/>
        <v>471754.40128885041</v>
      </c>
      <c r="Y16" s="312" t="e">
        <f t="shared" ca="1" si="5"/>
        <v>#REF!</v>
      </c>
      <c r="Z16" s="312" t="e">
        <f t="shared" ca="1" si="5"/>
        <v>#REF!</v>
      </c>
      <c r="AA16" s="312" t="e">
        <f t="shared" ca="1" si="2"/>
        <v>#REF!</v>
      </c>
      <c r="AB16" s="312" t="e">
        <f t="shared" ca="1" si="2"/>
        <v>#REF!</v>
      </c>
      <c r="AC16" s="312" t="e">
        <f t="shared" ca="1" si="2"/>
        <v>#REF!</v>
      </c>
      <c r="AD16" s="312" t="e">
        <f t="shared" ca="1" si="2"/>
        <v>#REF!</v>
      </c>
      <c r="AE16" s="312" t="e">
        <f t="shared" ca="1" si="2"/>
        <v>#REF!</v>
      </c>
      <c r="AF16" s="312" t="e">
        <f t="shared" ca="1" si="2"/>
        <v>#REF!</v>
      </c>
    </row>
    <row r="17" spans="1:32">
      <c r="A17">
        <f t="shared" si="4"/>
        <v>2022</v>
      </c>
      <c r="B17" s="312">
        <f t="shared" ca="1" si="3"/>
        <v>-1250000</v>
      </c>
      <c r="C17" s="312">
        <f t="shared" ca="1" si="3"/>
        <v>906735.41820002696</v>
      </c>
      <c r="D17" s="312">
        <f t="shared" ca="1" si="3"/>
        <v>-5213.4940257139042</v>
      </c>
      <c r="E17" s="312">
        <f t="shared" ca="1" si="3"/>
        <v>1681089.7518345527</v>
      </c>
      <c r="F17" s="312">
        <f t="shared" ca="1" si="3"/>
        <v>1392236.6404413627</v>
      </c>
      <c r="G17" s="312">
        <f t="shared" ca="1" si="3"/>
        <v>0</v>
      </c>
      <c r="H17" s="312">
        <f t="shared" ca="1" si="3"/>
        <v>379942.69073324307</v>
      </c>
      <c r="I17" s="312">
        <f t="shared" ca="1" si="3"/>
        <v>301190.13881015009</v>
      </c>
      <c r="J17" s="312">
        <f t="shared" ca="1" si="3"/>
        <v>135094.72921519179</v>
      </c>
      <c r="K17" s="312">
        <f t="shared" ca="1" si="3"/>
        <v>4589.0414057508669</v>
      </c>
      <c r="L17" s="312">
        <f t="shared" ca="1" si="3"/>
        <v>0</v>
      </c>
      <c r="M17" s="312">
        <f t="shared" ca="1" si="3"/>
        <v>67440.200543432991</v>
      </c>
      <c r="N17" s="312">
        <f t="shared" ca="1" si="3"/>
        <v>78119.150514740759</v>
      </c>
      <c r="O17" s="312">
        <f t="shared" ca="1" si="3"/>
        <v>742696.7132898093</v>
      </c>
      <c r="P17" s="312">
        <f t="shared" ca="1" si="3"/>
        <v>1236510.7631543872</v>
      </c>
      <c r="Q17" s="312">
        <f t="shared" ca="1" si="3"/>
        <v>3241846.2900516591</v>
      </c>
      <c r="R17" s="312">
        <f t="shared" ca="1" si="5"/>
        <v>3634683.0945837647</v>
      </c>
      <c r="S17" s="312">
        <f t="shared" ca="1" si="5"/>
        <v>-339234.54529753793</v>
      </c>
      <c r="T17" s="312">
        <f t="shared" ca="1" si="5"/>
        <v>534539.11539479904</v>
      </c>
      <c r="U17" s="312">
        <f t="shared" ca="1" si="5"/>
        <v>63213.87993311356</v>
      </c>
      <c r="V17" s="312">
        <f t="shared" ca="1" si="5"/>
        <v>0</v>
      </c>
      <c r="W17" s="312">
        <f t="shared" ca="1" si="5"/>
        <v>0</v>
      </c>
      <c r="X17" s="312">
        <f t="shared" ca="1" si="5"/>
        <v>510127.87908462167</v>
      </c>
      <c r="Y17" s="312" t="e">
        <f t="shared" ca="1" si="5"/>
        <v>#REF!</v>
      </c>
      <c r="Z17" s="312" t="e">
        <f t="shared" ca="1" si="5"/>
        <v>#REF!</v>
      </c>
      <c r="AA17" s="312" t="e">
        <f t="shared" ca="1" si="2"/>
        <v>#REF!</v>
      </c>
      <c r="AB17" s="312" t="e">
        <f t="shared" ca="1" si="2"/>
        <v>#REF!</v>
      </c>
      <c r="AC17" s="312" t="e">
        <f t="shared" ca="1" si="2"/>
        <v>#REF!</v>
      </c>
      <c r="AD17" s="312" t="e">
        <f t="shared" ca="1" si="2"/>
        <v>#REF!</v>
      </c>
      <c r="AE17" s="312" t="e">
        <f t="shared" ca="1" si="2"/>
        <v>#REF!</v>
      </c>
      <c r="AF17" s="312" t="e">
        <f t="shared" ca="1" si="2"/>
        <v>#REF!</v>
      </c>
    </row>
    <row r="18" spans="1:32">
      <c r="A18">
        <f t="shared" si="4"/>
        <v>2023</v>
      </c>
      <c r="B18" s="312">
        <f t="shared" ca="1" si="3"/>
        <v>-1250000</v>
      </c>
      <c r="C18" s="312">
        <f t="shared" ca="1" si="3"/>
        <v>912269.09529102687</v>
      </c>
      <c r="D18" s="312">
        <f t="shared" ca="1" si="3"/>
        <v>-5134.4414958424732</v>
      </c>
      <c r="E18" s="312">
        <f t="shared" ca="1" si="3"/>
        <v>1687945.6053137253</v>
      </c>
      <c r="F18" s="312">
        <f t="shared" ca="1" si="3"/>
        <v>1598413.8095812225</v>
      </c>
      <c r="G18" s="312">
        <f t="shared" ca="1" si="3"/>
        <v>0</v>
      </c>
      <c r="H18" s="312">
        <f t="shared" ca="1" si="3"/>
        <v>385802.54076810298</v>
      </c>
      <c r="I18" s="312">
        <f t="shared" ca="1" si="3"/>
        <v>302696.08950420085</v>
      </c>
      <c r="J18" s="312">
        <f t="shared" ca="1" si="3"/>
        <v>135770.20286126772</v>
      </c>
      <c r="K18" s="312">
        <f t="shared" ca="1" si="3"/>
        <v>4611.9866127796213</v>
      </c>
      <c r="L18" s="312">
        <f t="shared" ca="1" si="3"/>
        <v>0</v>
      </c>
      <c r="M18" s="312">
        <f t="shared" ca="1" si="3"/>
        <v>67099.646576392348</v>
      </c>
      <c r="N18" s="312">
        <f t="shared" ca="1" si="3"/>
        <v>78509.746267314462</v>
      </c>
      <c r="O18" s="312">
        <f t="shared" ca="1" si="3"/>
        <v>746410.19685625832</v>
      </c>
      <c r="P18" s="312">
        <f t="shared" ca="1" si="3"/>
        <v>1295389.9434682229</v>
      </c>
      <c r="Q18" s="312">
        <f t="shared" ca="1" si="3"/>
        <v>3506064.7088567321</v>
      </c>
      <c r="R18" s="312">
        <f t="shared" ca="1" si="5"/>
        <v>3681360.68852924</v>
      </c>
      <c r="S18" s="312">
        <f t="shared" ca="1" si="5"/>
        <v>-344466.55425723549</v>
      </c>
      <c r="T18" s="312">
        <f t="shared" ca="1" si="5"/>
        <v>562103.05585319852</v>
      </c>
      <c r="U18" s="312">
        <f t="shared" ca="1" si="5"/>
        <v>63529.949332779128</v>
      </c>
      <c r="V18" s="312">
        <f t="shared" ca="1" si="5"/>
        <v>0</v>
      </c>
      <c r="W18" s="312">
        <f t="shared" ca="1" si="5"/>
        <v>0</v>
      </c>
      <c r="X18" s="312">
        <f t="shared" ca="1" si="5"/>
        <v>507434.54038558574</v>
      </c>
      <c r="Y18" s="312" t="e">
        <f t="shared" ca="1" si="5"/>
        <v>#REF!</v>
      </c>
      <c r="Z18" s="312" t="e">
        <f t="shared" ca="1" si="5"/>
        <v>#REF!</v>
      </c>
      <c r="AA18" s="312" t="e">
        <f t="shared" ca="1" si="2"/>
        <v>#REF!</v>
      </c>
      <c r="AB18" s="312" t="e">
        <f t="shared" ca="1" si="2"/>
        <v>#REF!</v>
      </c>
      <c r="AC18" s="312" t="e">
        <f t="shared" ca="1" si="2"/>
        <v>#REF!</v>
      </c>
      <c r="AD18" s="312" t="e">
        <f t="shared" ca="1" si="2"/>
        <v>#REF!</v>
      </c>
      <c r="AE18" s="312" t="e">
        <f t="shared" ca="1" si="2"/>
        <v>#REF!</v>
      </c>
      <c r="AF18" s="312" t="e">
        <f t="shared" ca="1" si="2"/>
        <v>#REF!</v>
      </c>
    </row>
    <row r="19" spans="1:32">
      <c r="A19">
        <f t="shared" si="4"/>
        <v>2024</v>
      </c>
      <c r="B19" s="312">
        <f t="shared" ca="1" si="3"/>
        <v>-1250000</v>
      </c>
      <c r="C19" s="312">
        <f t="shared" ca="1" si="3"/>
        <v>917830.44076748192</v>
      </c>
      <c r="D19" s="312">
        <f t="shared" ca="1" si="3"/>
        <v>-5054.9937033216884</v>
      </c>
      <c r="E19" s="312">
        <f t="shared" ca="1" si="3"/>
        <v>1694835.7380602937</v>
      </c>
      <c r="F19" s="312">
        <f t="shared" ca="1" si="3"/>
        <v>1605736.461189128</v>
      </c>
      <c r="G19" s="312">
        <f t="shared" ca="1" si="3"/>
        <v>125059.2742997669</v>
      </c>
      <c r="H19" s="312">
        <f t="shared" ca="1" si="3"/>
        <v>391711.49073604314</v>
      </c>
      <c r="I19" s="312">
        <f t="shared" ca="1" si="3"/>
        <v>304209.56995172182</v>
      </c>
      <c r="J19" s="312">
        <f t="shared" ca="1" si="3"/>
        <v>136449.05387557403</v>
      </c>
      <c r="K19" s="312">
        <f t="shared" ca="1" si="3"/>
        <v>4635.0465458435183</v>
      </c>
      <c r="L19" s="312">
        <f t="shared" ca="1" si="3"/>
        <v>0</v>
      </c>
      <c r="M19" s="312">
        <f t="shared" ca="1" si="3"/>
        <v>66760.745964587521</v>
      </c>
      <c r="N19" s="312">
        <f t="shared" ca="1" si="3"/>
        <v>78902.294998651021</v>
      </c>
      <c r="O19" s="312">
        <f t="shared" ca="1" si="3"/>
        <v>750142.24784053955</v>
      </c>
      <c r="P19" s="312">
        <f t="shared" ca="1" si="3"/>
        <v>1354898.485621993</v>
      </c>
      <c r="Q19" s="312">
        <f t="shared" ca="1" si="3"/>
        <v>3772483.4617025219</v>
      </c>
      <c r="R19" s="312">
        <f t="shared" ca="1" si="5"/>
        <v>3728271.6704444401</v>
      </c>
      <c r="S19" s="312">
        <f t="shared" ca="1" si="5"/>
        <v>-349742.40244289581</v>
      </c>
      <c r="T19" s="312">
        <f t="shared" ca="1" si="5"/>
        <v>589901.83482846874</v>
      </c>
      <c r="U19" s="312">
        <f t="shared" ca="1" si="5"/>
        <v>63847.599079443018</v>
      </c>
      <c r="V19" s="312">
        <f t="shared" ca="1" si="5"/>
        <v>0</v>
      </c>
      <c r="W19" s="312">
        <f t="shared" ca="1" si="5"/>
        <v>0</v>
      </c>
      <c r="X19" s="312">
        <f t="shared" ca="1" si="5"/>
        <v>508222.41153454722</v>
      </c>
      <c r="Y19" s="312" t="e">
        <f t="shared" ca="1" si="5"/>
        <v>#REF!</v>
      </c>
      <c r="Z19" s="312" t="e">
        <f t="shared" ca="1" si="5"/>
        <v>#REF!</v>
      </c>
      <c r="AA19" s="312" t="e">
        <f t="shared" ca="1" si="2"/>
        <v>#REF!</v>
      </c>
      <c r="AB19" s="312" t="e">
        <f t="shared" ca="1" si="2"/>
        <v>#REF!</v>
      </c>
      <c r="AC19" s="312" t="e">
        <f t="shared" ca="1" si="2"/>
        <v>#REF!</v>
      </c>
      <c r="AD19" s="312" t="e">
        <f t="shared" ca="1" si="2"/>
        <v>#REF!</v>
      </c>
      <c r="AE19" s="312" t="e">
        <f t="shared" ca="1" si="2"/>
        <v>#REF!</v>
      </c>
      <c r="AF19" s="312" t="e">
        <f t="shared" ca="1" si="2"/>
        <v>#REF!</v>
      </c>
    </row>
    <row r="20" spans="1:32">
      <c r="A20">
        <f t="shared" si="4"/>
        <v>2025</v>
      </c>
      <c r="B20" s="312">
        <f t="shared" ca="1" si="3"/>
        <v>-1250000</v>
      </c>
      <c r="C20" s="312">
        <f t="shared" ca="1" si="3"/>
        <v>923419.59297131933</v>
      </c>
      <c r="D20" s="312">
        <f t="shared" ca="1" si="3"/>
        <v>-4975.1486718383003</v>
      </c>
      <c r="E20" s="312">
        <f t="shared" ca="1" si="3"/>
        <v>1701760.321470595</v>
      </c>
      <c r="F20" s="312">
        <f t="shared" ca="1" si="3"/>
        <v>1613095.7260550736</v>
      </c>
      <c r="G20" s="312">
        <f t="shared" ca="1" si="3"/>
        <v>251040.99033453147</v>
      </c>
      <c r="H20" s="312">
        <f t="shared" ca="1" si="3"/>
        <v>397669.88514014328</v>
      </c>
      <c r="I20" s="312">
        <f t="shared" ca="1" si="3"/>
        <v>305730.61780148034</v>
      </c>
      <c r="J20" s="312">
        <f t="shared" ca="1" si="3"/>
        <v>137131.29914495192</v>
      </c>
      <c r="K20" s="312">
        <f t="shared" ca="1" si="3"/>
        <v>4658.2217785727362</v>
      </c>
      <c r="L20" s="312">
        <f t="shared" ca="1" si="3"/>
        <v>0</v>
      </c>
      <c r="M20" s="312">
        <f t="shared" ca="1" si="3"/>
        <v>66423.649082952368</v>
      </c>
      <c r="N20" s="312">
        <f t="shared" ca="1" si="3"/>
        <v>79296.806473644261</v>
      </c>
      <c r="O20" s="312">
        <f t="shared" ca="1" si="3"/>
        <v>753892.95907974197</v>
      </c>
      <c r="P20" s="312">
        <f t="shared" ca="1" si="3"/>
        <v>1415037.8031201465</v>
      </c>
      <c r="Q20" s="312">
        <f t="shared" ca="1" si="3"/>
        <v>4041118.8787790122</v>
      </c>
      <c r="R20" s="312">
        <f t="shared" ca="1" si="5"/>
        <v>3775417.207269216</v>
      </c>
      <c r="S20" s="312">
        <f t="shared" ca="1" si="5"/>
        <v>-355062.39744655695</v>
      </c>
      <c r="T20" s="312">
        <f t="shared" ca="1" si="5"/>
        <v>617937.11160726706</v>
      </c>
      <c r="U20" s="312">
        <f t="shared" ca="1" si="5"/>
        <v>64166.837074840216</v>
      </c>
      <c r="V20" s="312">
        <f t="shared" ca="1" si="5"/>
        <v>0</v>
      </c>
      <c r="W20" s="312">
        <f t="shared" ca="1" si="5"/>
        <v>0</v>
      </c>
      <c r="X20" s="312">
        <f t="shared" ca="1" si="5"/>
        <v>509000.35785039974</v>
      </c>
      <c r="Y20" s="312" t="e">
        <f t="shared" ca="1" si="5"/>
        <v>#REF!</v>
      </c>
      <c r="Z20" s="312" t="e">
        <f t="shared" ca="1" si="5"/>
        <v>#REF!</v>
      </c>
      <c r="AA20" s="312" t="e">
        <f t="shared" ca="1" si="2"/>
        <v>#REF!</v>
      </c>
      <c r="AB20" s="312" t="e">
        <f t="shared" ca="1" si="2"/>
        <v>#REF!</v>
      </c>
      <c r="AC20" s="312" t="e">
        <f t="shared" ca="1" si="2"/>
        <v>#REF!</v>
      </c>
      <c r="AD20" s="312" t="e">
        <f t="shared" ca="1" si="2"/>
        <v>#REF!</v>
      </c>
      <c r="AE20" s="312" t="e">
        <f t="shared" ca="1" si="2"/>
        <v>#REF!</v>
      </c>
      <c r="AF20" s="312" t="e">
        <f t="shared" ca="1" si="2"/>
        <v>#REF!</v>
      </c>
    </row>
    <row r="21" spans="1:32">
      <c r="A21">
        <f t="shared" si="4"/>
        <v>2026</v>
      </c>
      <c r="B21" s="312">
        <f t="shared" ca="1" si="3"/>
        <v>-1250000</v>
      </c>
      <c r="C21" s="312">
        <f t="shared" ca="1" si="3"/>
        <v>929036.69093617518</v>
      </c>
      <c r="D21" s="312">
        <f t="shared" ca="1" si="3"/>
        <v>-4894.9044151974922</v>
      </c>
      <c r="E21" s="312">
        <f t="shared" ca="1" si="3"/>
        <v>1708719.5277979476</v>
      </c>
      <c r="F21" s="312">
        <f t="shared" ca="1" si="3"/>
        <v>1620491.7872453486</v>
      </c>
      <c r="G21" s="312">
        <f t="shared" ca="1" si="3"/>
        <v>377952.06641730608</v>
      </c>
      <c r="H21" s="312">
        <f t="shared" ca="1" si="3"/>
        <v>403678.07070101617</v>
      </c>
      <c r="I21" s="312">
        <f t="shared" ca="1" si="3"/>
        <v>307259.27089048771</v>
      </c>
      <c r="J21" s="312">
        <f t="shared" ca="1" si="3"/>
        <v>137816.95564067661</v>
      </c>
      <c r="K21" s="312">
        <f t="shared" ca="1" si="3"/>
        <v>4681.5128874655975</v>
      </c>
      <c r="L21" s="312">
        <f t="shared" ca="1" si="3"/>
        <v>0</v>
      </c>
      <c r="M21" s="312">
        <f t="shared" ca="1" si="3"/>
        <v>66088.232670345416</v>
      </c>
      <c r="N21" s="312">
        <f t="shared" ca="1" si="3"/>
        <v>79693.290506012476</v>
      </c>
      <c r="O21" s="312">
        <f t="shared" ca="1" si="3"/>
        <v>757662.42387514061</v>
      </c>
      <c r="P21" s="312">
        <f t="shared" ca="1" si="3"/>
        <v>1475809.4401800768</v>
      </c>
      <c r="Q21" s="312">
        <f t="shared" ca="1" si="3"/>
        <v>4311987.3985697385</v>
      </c>
      <c r="R21" s="312">
        <f t="shared" ca="1" si="5"/>
        <v>3822798.4717781153</v>
      </c>
      <c r="S21" s="312">
        <f t="shared" ca="1" si="5"/>
        <v>-360426.84884019289</v>
      </c>
      <c r="T21" s="312">
        <f t="shared" ca="1" si="5"/>
        <v>646210.55619815481</v>
      </c>
      <c r="U21" s="312">
        <f t="shared" ca="1" si="5"/>
        <v>64487.671260214411</v>
      </c>
      <c r="V21" s="312">
        <f t="shared" ca="1" si="5"/>
        <v>0</v>
      </c>
      <c r="W21" s="312">
        <f t="shared" ca="1" si="5"/>
        <v>0</v>
      </c>
      <c r="X21" s="312">
        <f t="shared" ca="1" si="5"/>
        <v>509768.38845003967</v>
      </c>
      <c r="Y21" s="312" t="e">
        <f t="shared" ca="1" si="5"/>
        <v>#REF!</v>
      </c>
      <c r="Z21" s="312" t="e">
        <f t="shared" ca="1" si="5"/>
        <v>#REF!</v>
      </c>
      <c r="AA21" s="312" t="e">
        <f t="shared" ca="1" si="5"/>
        <v>#REF!</v>
      </c>
      <c r="AB21" s="312" t="e">
        <f t="shared" ca="1" si="5"/>
        <v>#REF!</v>
      </c>
      <c r="AC21" s="312" t="e">
        <f t="shared" ca="1" si="5"/>
        <v>#REF!</v>
      </c>
      <c r="AD21" s="312" t="e">
        <f t="shared" ca="1" si="5"/>
        <v>#REF!</v>
      </c>
      <c r="AE21" s="312" t="e">
        <f t="shared" ca="1" si="5"/>
        <v>#REF!</v>
      </c>
      <c r="AF21" s="312" t="e">
        <f t="shared" ref="AF21:AF45" ca="1" si="6">OFFSET(INDIRECT(AF$3),$A21-$A$5+$C$1,$C$2)</f>
        <v>#REF!</v>
      </c>
    </row>
    <row r="22" spans="1:32">
      <c r="A22">
        <f t="shared" si="4"/>
        <v>2027</v>
      </c>
      <c r="B22" s="312">
        <f t="shared" ca="1" si="3"/>
        <v>-1250000</v>
      </c>
      <c r="C22" s="312">
        <f t="shared" ca="1" si="3"/>
        <v>934681.87439085636</v>
      </c>
      <c r="D22" s="312">
        <f t="shared" ca="1" si="3"/>
        <v>-4814.2589372734819</v>
      </c>
      <c r="E22" s="312">
        <f t="shared" ca="1" si="3"/>
        <v>1715713.5301569374</v>
      </c>
      <c r="F22" s="312">
        <f t="shared" ca="1" si="3"/>
        <v>1627924.8287415751</v>
      </c>
      <c r="G22" s="312">
        <f t="shared" ca="1" si="3"/>
        <v>505799.46698319016</v>
      </c>
      <c r="H22" s="312">
        <f t="shared" ca="1" si="3"/>
        <v>409736.39637036924</v>
      </c>
      <c r="I22" s="312">
        <f t="shared" ca="1" si="3"/>
        <v>308795.56724494015</v>
      </c>
      <c r="J22" s="312">
        <f t="shared" ca="1" si="3"/>
        <v>138506.04041887994</v>
      </c>
      <c r="K22" s="312">
        <f t="shared" ca="1" si="3"/>
        <v>4704.9204519029254</v>
      </c>
      <c r="L22" s="312">
        <f t="shared" ca="1" si="3"/>
        <v>0</v>
      </c>
      <c r="M22" s="312">
        <f t="shared" ca="1" si="3"/>
        <v>65754.463039808354</v>
      </c>
      <c r="N22" s="312">
        <f t="shared" ca="1" si="3"/>
        <v>80091.756958542523</v>
      </c>
      <c r="O22" s="312">
        <f t="shared" ca="1" si="3"/>
        <v>761450.73599451629</v>
      </c>
      <c r="P22" s="312">
        <f t="shared" ca="1" si="3"/>
        <v>1537215.0667698823</v>
      </c>
      <c r="Q22" s="312">
        <f t="shared" ca="1" si="3"/>
        <v>4585105.5685264757</v>
      </c>
      <c r="R22" s="312">
        <f t="shared" ca="1" si="5"/>
        <v>3870416.6426095609</v>
      </c>
      <c r="S22" s="312">
        <f t="shared" ca="1" si="5"/>
        <v>-365836.06818782911</v>
      </c>
      <c r="T22" s="312">
        <f t="shared" ca="1" si="5"/>
        <v>674723.84939733311</v>
      </c>
      <c r="U22" s="312">
        <f t="shared" ca="1" si="5"/>
        <v>64810.109616515474</v>
      </c>
      <c r="V22" s="312">
        <f t="shared" ca="1" si="5"/>
        <v>0</v>
      </c>
      <c r="W22" s="312">
        <f t="shared" ca="1" si="5"/>
        <v>0</v>
      </c>
      <c r="X22" s="312">
        <f t="shared" ca="1" si="5"/>
        <v>510526.50810804113</v>
      </c>
      <c r="Y22" s="312" t="e">
        <f t="shared" ca="1" si="5"/>
        <v>#REF!</v>
      </c>
      <c r="Z22" s="312" t="e">
        <f t="shared" ca="1" si="5"/>
        <v>#REF!</v>
      </c>
      <c r="AA22" s="312" t="e">
        <f t="shared" ca="1" si="5"/>
        <v>#REF!</v>
      </c>
      <c r="AB22" s="312" t="e">
        <f t="shared" ca="1" si="5"/>
        <v>#REF!</v>
      </c>
      <c r="AC22" s="312" t="e">
        <f t="shared" ca="1" si="5"/>
        <v>#REF!</v>
      </c>
      <c r="AD22" s="312" t="e">
        <f t="shared" ca="1" si="5"/>
        <v>#REF!</v>
      </c>
      <c r="AE22" s="312" t="e">
        <f t="shared" ca="1" si="5"/>
        <v>#REF!</v>
      </c>
      <c r="AF22" s="312" t="e">
        <f t="shared" ca="1" si="6"/>
        <v>#REF!</v>
      </c>
    </row>
    <row r="23" spans="1:32">
      <c r="A23">
        <f t="shared" si="4"/>
        <v>2028</v>
      </c>
      <c r="B23" s="312">
        <f t="shared" ca="1" si="3"/>
        <v>-1250000</v>
      </c>
      <c r="C23" s="312">
        <f t="shared" ca="1" si="3"/>
        <v>940355.28376280982</v>
      </c>
      <c r="D23" s="312">
        <f t="shared" ca="1" si="3"/>
        <v>-4733.2102319598544</v>
      </c>
      <c r="E23" s="312">
        <f t="shared" ca="1" si="3"/>
        <v>1722742.5025277217</v>
      </c>
      <c r="F23" s="312">
        <f t="shared" ca="1" si="3"/>
        <v>1635395.0354452827</v>
      </c>
      <c r="G23" s="312">
        <f t="shared" ca="1" si="3"/>
        <v>634590.20287763246</v>
      </c>
      <c r="H23" s="312">
        <f t="shared" ca="1" si="3"/>
        <v>415845.21334464825</v>
      </c>
      <c r="I23" s="312">
        <f t="shared" ca="1" si="3"/>
        <v>310339.54508116475</v>
      </c>
      <c r="J23" s="312">
        <f t="shared" ca="1" si="3"/>
        <v>139198.57062097435</v>
      </c>
      <c r="K23" s="312">
        <f t="shared" ca="1" si="3"/>
        <v>4728.4450541624392</v>
      </c>
      <c r="L23" s="312">
        <f t="shared" ca="1" si="3"/>
        <v>0</v>
      </c>
      <c r="M23" s="312">
        <f t="shared" ca="1" si="3"/>
        <v>65422.398352259304</v>
      </c>
      <c r="N23" s="312">
        <f t="shared" ca="1" si="3"/>
        <v>80492.215743335211</v>
      </c>
      <c r="O23" s="312">
        <f t="shared" ca="1" si="3"/>
        <v>765257.98967448866</v>
      </c>
      <c r="P23" s="312">
        <f t="shared" ca="1" si="3"/>
        <v>1599256.4739475581</v>
      </c>
      <c r="Q23" s="312">
        <f t="shared" ca="1" si="3"/>
        <v>4860490.045747933</v>
      </c>
      <c r="R23" s="312">
        <f t="shared" ca="1" si="5"/>
        <v>3918272.9042951614</v>
      </c>
      <c r="S23" s="312">
        <f t="shared" ca="1" si="5"/>
        <v>-371290.36905772146</v>
      </c>
      <c r="T23" s="312">
        <f t="shared" ca="1" si="5"/>
        <v>703478.68285476975</v>
      </c>
      <c r="U23" s="312">
        <f t="shared" ca="1" si="5"/>
        <v>65134.160164598034</v>
      </c>
      <c r="V23" s="312">
        <f t="shared" ca="1" si="5"/>
        <v>0</v>
      </c>
      <c r="W23" s="312">
        <f t="shared" ca="1" si="5"/>
        <v>0</v>
      </c>
      <c r="X23" s="312">
        <f t="shared" ca="1" si="5"/>
        <v>511274.71743133484</v>
      </c>
      <c r="Y23" s="312" t="e">
        <f t="shared" ca="1" si="5"/>
        <v>#REF!</v>
      </c>
      <c r="Z23" s="312" t="e">
        <f t="shared" ca="1" si="5"/>
        <v>#REF!</v>
      </c>
      <c r="AA23" s="312" t="e">
        <f t="shared" ca="1" si="5"/>
        <v>#REF!</v>
      </c>
      <c r="AB23" s="312" t="e">
        <f t="shared" ca="1" si="5"/>
        <v>#REF!</v>
      </c>
      <c r="AC23" s="312" t="e">
        <f t="shared" ca="1" si="5"/>
        <v>#REF!</v>
      </c>
      <c r="AD23" s="312" t="e">
        <f t="shared" ca="1" si="5"/>
        <v>#REF!</v>
      </c>
      <c r="AE23" s="312" t="e">
        <f t="shared" ca="1" si="5"/>
        <v>#REF!</v>
      </c>
      <c r="AF23" s="312" t="e">
        <f t="shared" ca="1" si="6"/>
        <v>#REF!</v>
      </c>
    </row>
    <row r="24" spans="1:32">
      <c r="A24">
        <f t="shared" si="4"/>
        <v>2029</v>
      </c>
      <c r="B24" s="312">
        <f t="shared" ca="1" si="3"/>
        <v>-1250000</v>
      </c>
      <c r="C24" s="312">
        <f t="shared" ca="1" si="3"/>
        <v>946057.06018162332</v>
      </c>
      <c r="D24" s="312">
        <f t="shared" ca="1" si="3"/>
        <v>-4651.7562831196556</v>
      </c>
      <c r="E24" s="312">
        <f t="shared" ca="1" si="3"/>
        <v>1729806.6197603601</v>
      </c>
      <c r="F24" s="312">
        <f t="shared" ca="1" si="3"/>
        <v>1642902.5931825088</v>
      </c>
      <c r="G24" s="312">
        <f t="shared" ca="1" si="3"/>
        <v>764331.33164642472</v>
      </c>
      <c r="H24" s="312">
        <f t="shared" ca="1" si="3"/>
        <v>422004.87507876102</v>
      </c>
      <c r="I24" s="312">
        <f t="shared" ca="1" si="3"/>
        <v>311891.24280657055</v>
      </c>
      <c r="J24" s="312">
        <f t="shared" ca="1" si="3"/>
        <v>139894.56347407924</v>
      </c>
      <c r="K24" s="312">
        <f t="shared" ca="1" si="3"/>
        <v>4752.0872794332508</v>
      </c>
      <c r="L24" s="312">
        <f t="shared" ca="1" si="3"/>
        <v>0</v>
      </c>
      <c r="M24" s="312">
        <f t="shared" ca="1" si="3"/>
        <v>65092.004026714836</v>
      </c>
      <c r="N24" s="312">
        <f t="shared" ca="1" si="3"/>
        <v>80894.676822051886</v>
      </c>
      <c r="O24" s="312">
        <f t="shared" ca="1" si="3"/>
        <v>769084.27962286095</v>
      </c>
      <c r="P24" s="312">
        <f t="shared" ca="1" si="3"/>
        <v>1661935.5694812641</v>
      </c>
      <c r="Q24" s="312">
        <f t="shared" ca="1" si="3"/>
        <v>5138157.5976625681</v>
      </c>
      <c r="R24" s="312">
        <f t="shared" ca="1" si="5"/>
        <v>3966368.447289193</v>
      </c>
      <c r="S24" s="312">
        <f t="shared" ca="1" si="5"/>
        <v>-376790.06703460775</v>
      </c>
      <c r="T24" s="312">
        <f t="shared" ca="1" si="5"/>
        <v>732476.7591407178</v>
      </c>
      <c r="U24" s="312">
        <f t="shared" ca="1" si="5"/>
        <v>65459.830965421017</v>
      </c>
      <c r="V24" s="312">
        <f t="shared" ca="1" si="5"/>
        <v>0</v>
      </c>
      <c r="W24" s="312">
        <f t="shared" ca="1" si="5"/>
        <v>0</v>
      </c>
      <c r="X24" s="312">
        <f t="shared" ca="1" si="5"/>
        <v>512013.0130234505</v>
      </c>
      <c r="Y24" s="312" t="e">
        <f t="shared" ca="1" si="5"/>
        <v>#REF!</v>
      </c>
      <c r="Z24" s="312" t="e">
        <f t="shared" ca="1" si="5"/>
        <v>#REF!</v>
      </c>
      <c r="AA24" s="312" t="e">
        <f t="shared" ca="1" si="5"/>
        <v>#REF!</v>
      </c>
      <c r="AB24" s="312" t="e">
        <f t="shared" ca="1" si="5"/>
        <v>#REF!</v>
      </c>
      <c r="AC24" s="312" t="e">
        <f t="shared" ca="1" si="5"/>
        <v>#REF!</v>
      </c>
      <c r="AD24" s="312" t="e">
        <f t="shared" ca="1" si="5"/>
        <v>#REF!</v>
      </c>
      <c r="AE24" s="312" t="e">
        <f t="shared" ca="1" si="5"/>
        <v>#REF!</v>
      </c>
      <c r="AF24" s="312" t="e">
        <f t="shared" ca="1" si="6"/>
        <v>#REF!</v>
      </c>
    </row>
    <row r="25" spans="1:32">
      <c r="A25">
        <f t="shared" si="4"/>
        <v>2030</v>
      </c>
      <c r="B25" s="312">
        <f t="shared" ca="1" si="3"/>
        <v>-1250000</v>
      </c>
      <c r="C25" s="312">
        <f t="shared" ca="1" si="3"/>
        <v>951787.34548253193</v>
      </c>
      <c r="D25" s="312">
        <f t="shared" ca="1" si="3"/>
        <v>-4569.8950645352561</v>
      </c>
      <c r="E25" s="312">
        <f t="shared" ca="1" si="3"/>
        <v>1736906.0575791616</v>
      </c>
      <c r="F25" s="312">
        <f t="shared" ca="1" si="3"/>
        <v>1650447.6887084213</v>
      </c>
      <c r="G25" s="312">
        <f t="shared" ca="1" si="3"/>
        <v>895029.95782743301</v>
      </c>
      <c r="H25" s="312">
        <f t="shared" ca="1" si="3"/>
        <v>428215.73729988118</v>
      </c>
      <c r="I25" s="312">
        <f t="shared" ca="1" si="3"/>
        <v>313450.69902060338</v>
      </c>
      <c r="J25" s="312">
        <f t="shared" ca="1" si="3"/>
        <v>140594.03629144956</v>
      </c>
      <c r="K25" s="312">
        <f t="shared" ca="1" si="3"/>
        <v>4775.8477158304167</v>
      </c>
      <c r="L25" s="312">
        <f t="shared" ca="1" si="3"/>
        <v>0</v>
      </c>
      <c r="M25" s="312">
        <f t="shared" ca="1" si="3"/>
        <v>64763.338242764425</v>
      </c>
      <c r="N25" s="312">
        <f t="shared" ca="1" si="3"/>
        <v>81299.150206162129</v>
      </c>
      <c r="O25" s="312">
        <f t="shared" ca="1" si="3"/>
        <v>772929.70102097525</v>
      </c>
      <c r="P25" s="312">
        <f t="shared" ca="1" si="3"/>
        <v>1725254.3737319363</v>
      </c>
      <c r="Q25" s="312">
        <f t="shared" ca="1" si="3"/>
        <v>5418125.102715428</v>
      </c>
      <c r="R25" s="312">
        <f t="shared" ca="1" si="5"/>
        <v>4014704.4679981936</v>
      </c>
      <c r="S25" s="312">
        <f t="shared" ca="1" si="5"/>
        <v>-382335.47973203566</v>
      </c>
      <c r="T25" s="312">
        <f t="shared" ca="1" si="5"/>
        <v>761719.79181262618</v>
      </c>
      <c r="U25" s="312">
        <f t="shared" ca="1" si="5"/>
        <v>65787.130120248112</v>
      </c>
      <c r="V25" s="312">
        <f t="shared" ca="1" si="5"/>
        <v>0</v>
      </c>
      <c r="W25" s="312">
        <f t="shared" ca="1" si="5"/>
        <v>0</v>
      </c>
      <c r="X25" s="312">
        <f t="shared" ca="1" si="5"/>
        <v>512741.38763903326</v>
      </c>
      <c r="Y25" s="312" t="e">
        <f t="shared" ca="1" si="5"/>
        <v>#REF!</v>
      </c>
      <c r="Z25" s="312" t="e">
        <f t="shared" ca="1" si="5"/>
        <v>#REF!</v>
      </c>
      <c r="AA25" s="312" t="e">
        <f t="shared" ca="1" si="5"/>
        <v>#REF!</v>
      </c>
      <c r="AB25" s="312" t="e">
        <f t="shared" ca="1" si="5"/>
        <v>#REF!</v>
      </c>
      <c r="AC25" s="312" t="e">
        <f t="shared" ca="1" si="5"/>
        <v>#REF!</v>
      </c>
      <c r="AD25" s="312" t="e">
        <f t="shared" ca="1" si="5"/>
        <v>#REF!</v>
      </c>
      <c r="AE25" s="312" t="e">
        <f t="shared" ca="1" si="5"/>
        <v>#REF!</v>
      </c>
      <c r="AF25" s="312" t="e">
        <f t="shared" ca="1" si="6"/>
        <v>#REF!</v>
      </c>
    </row>
    <row r="26" spans="1:32">
      <c r="A26">
        <f t="shared" si="4"/>
        <v>2031</v>
      </c>
      <c r="B26" s="312">
        <f t="shared" ca="1" si="3"/>
        <v>-1250000</v>
      </c>
      <c r="C26" s="312">
        <f t="shared" ca="1" si="3"/>
        <v>957546.28220994398</v>
      </c>
      <c r="D26" s="312">
        <f t="shared" ca="1" si="3"/>
        <v>-4487.6245398579376</v>
      </c>
      <c r="E26" s="312">
        <f t="shared" ca="1" si="3"/>
        <v>1744040.9925870569</v>
      </c>
      <c r="F26" s="312">
        <f t="shared" ca="1" si="3"/>
        <v>1658030.5097119631</v>
      </c>
      <c r="G26" s="312">
        <f t="shared" ca="1" si="3"/>
        <v>1026693.2332440799</v>
      </c>
      <c r="H26" s="312">
        <f t="shared" ca="1" si="3"/>
        <v>434478.15802133561</v>
      </c>
      <c r="I26" s="312">
        <f t="shared" ca="1" si="3"/>
        <v>315017.95251570625</v>
      </c>
      <c r="J26" s="312">
        <f t="shared" ca="1" si="3"/>
        <v>141297.0064729068</v>
      </c>
      <c r="K26" s="312">
        <f t="shared" ca="1" si="3"/>
        <v>4799.726954409568</v>
      </c>
      <c r="L26" s="312">
        <f t="shared" ca="1" si="3"/>
        <v>0</v>
      </c>
      <c r="M26" s="312">
        <f t="shared" ca="1" si="3"/>
        <v>64436.271114496842</v>
      </c>
      <c r="N26" s="312">
        <f t="shared" ca="1" si="3"/>
        <v>81705.645957192915</v>
      </c>
      <c r="O26" s="312">
        <f t="shared" ca="1" si="3"/>
        <v>776794.34952607984</v>
      </c>
      <c r="P26" s="312">
        <f t="shared" ca="1" si="3"/>
        <v>1789215.0157808908</v>
      </c>
      <c r="Q26" s="312">
        <f t="shared" ca="1" si="3"/>
        <v>5700409.551059152</v>
      </c>
      <c r="R26" s="312">
        <f t="shared" ca="1" si="5"/>
        <v>4063282.1688107364</v>
      </c>
      <c r="S26" s="312">
        <f t="shared" ca="1" si="5"/>
        <v>-387926.9268047642</v>
      </c>
      <c r="T26" s="312">
        <f t="shared" ca="1" si="5"/>
        <v>771015.87273731804</v>
      </c>
      <c r="U26" s="312">
        <f t="shared" ca="1" si="5"/>
        <v>66116.065770849338</v>
      </c>
      <c r="V26" s="312">
        <f t="shared" ca="1" si="5"/>
        <v>0</v>
      </c>
      <c r="W26" s="312">
        <f t="shared" ca="1" si="5"/>
        <v>0</v>
      </c>
      <c r="X26" s="312">
        <f t="shared" ca="1" si="5"/>
        <v>513459.83032926579</v>
      </c>
      <c r="Y26" s="312" t="e">
        <f t="shared" ca="1" si="5"/>
        <v>#REF!</v>
      </c>
      <c r="Z26" s="312" t="e">
        <f t="shared" ca="1" si="5"/>
        <v>#REF!</v>
      </c>
      <c r="AA26" s="312" t="e">
        <f t="shared" ca="1" si="5"/>
        <v>#REF!</v>
      </c>
      <c r="AB26" s="312" t="e">
        <f t="shared" ca="1" si="5"/>
        <v>#REF!</v>
      </c>
      <c r="AC26" s="312" t="e">
        <f t="shared" ca="1" si="5"/>
        <v>#REF!</v>
      </c>
      <c r="AD26" s="312" t="e">
        <f t="shared" ca="1" si="5"/>
        <v>#REF!</v>
      </c>
      <c r="AE26" s="312" t="e">
        <f t="shared" ca="1" si="5"/>
        <v>#REF!</v>
      </c>
      <c r="AF26" s="312" t="e">
        <f t="shared" ca="1" si="6"/>
        <v>#REF!</v>
      </c>
    </row>
    <row r="27" spans="1:32">
      <c r="A27">
        <f t="shared" si="4"/>
        <v>2032</v>
      </c>
      <c r="B27" s="312">
        <f t="shared" ca="1" si="3"/>
        <v>-1250000</v>
      </c>
      <c r="C27" s="312">
        <f t="shared" ca="1" si="3"/>
        <v>963334.01362099499</v>
      </c>
      <c r="D27" s="312">
        <f t="shared" ca="1" si="3"/>
        <v>-4404.9426625572269</v>
      </c>
      <c r="E27" s="312">
        <f t="shared" ca="1" si="3"/>
        <v>1751211.6022699922</v>
      </c>
      <c r="F27" s="312">
        <f t="shared" ca="1" si="3"/>
        <v>1665651.2448205226</v>
      </c>
      <c r="G27" s="312">
        <f t="shared" ca="1" si="3"/>
        <v>1159328.3573005877</v>
      </c>
      <c r="H27" s="312">
        <f t="shared" ca="1" si="3"/>
        <v>440792.49755657191</v>
      </c>
      <c r="I27" s="312">
        <f t="shared" ca="1" si="3"/>
        <v>316593.04227828479</v>
      </c>
      <c r="J27" s="312">
        <f t="shared" ca="1" si="3"/>
        <v>142003.49150527129</v>
      </c>
      <c r="K27" s="312">
        <f t="shared" ca="1" si="3"/>
        <v>4823.7255891816149</v>
      </c>
      <c r="L27" s="312">
        <f t="shared" ca="1" si="3"/>
        <v>0</v>
      </c>
      <c r="M27" s="312">
        <f t="shared" ca="1" si="3"/>
        <v>64110.859408181641</v>
      </c>
      <c r="N27" s="312">
        <f t="shared" ca="1" si="3"/>
        <v>82114.174186978882</v>
      </c>
      <c r="O27" s="312">
        <f t="shared" ca="1" si="3"/>
        <v>780678.32127371023</v>
      </c>
      <c r="P27" s="312">
        <f t="shared" ca="1" si="3"/>
        <v>1853819.729786362</v>
      </c>
      <c r="Q27" s="312">
        <f t="shared" ca="1" si="3"/>
        <v>5985028.0452490766</v>
      </c>
      <c r="R27" s="312">
        <f t="shared" ca="1" si="5"/>
        <v>4112102.7581273448</v>
      </c>
      <c r="S27" s="312">
        <f t="shared" ca="1" si="5"/>
        <v>-393564.72996122483</v>
      </c>
      <c r="T27" s="312">
        <f t="shared" ca="1" si="5"/>
        <v>927595.5164742202</v>
      </c>
      <c r="U27" s="312">
        <f t="shared" ca="1" si="5"/>
        <v>66446.646099703576</v>
      </c>
      <c r="V27" s="312">
        <f t="shared" ca="1" si="5"/>
        <v>0</v>
      </c>
      <c r="W27" s="312">
        <f t="shared" ca="1" si="5"/>
        <v>0</v>
      </c>
      <c r="X27" s="312">
        <f t="shared" ca="1" si="5"/>
        <v>514168.32657880191</v>
      </c>
      <c r="Y27" s="312" t="e">
        <f t="shared" ca="1" si="5"/>
        <v>#REF!</v>
      </c>
      <c r="Z27" s="312" t="e">
        <f t="shared" ca="1" si="5"/>
        <v>#REF!</v>
      </c>
      <c r="AA27" s="312" t="e">
        <f t="shared" ca="1" si="5"/>
        <v>#REF!</v>
      </c>
      <c r="AB27" s="312" t="e">
        <f t="shared" ca="1" si="5"/>
        <v>#REF!</v>
      </c>
      <c r="AC27" s="312" t="e">
        <f t="shared" ca="1" si="5"/>
        <v>#REF!</v>
      </c>
      <c r="AD27" s="312" t="e">
        <f t="shared" ca="1" si="5"/>
        <v>#REF!</v>
      </c>
      <c r="AE27" s="312" t="e">
        <f t="shared" ca="1" si="5"/>
        <v>#REF!</v>
      </c>
      <c r="AF27" s="312" t="e">
        <f t="shared" ca="1" si="6"/>
        <v>#REF!</v>
      </c>
    </row>
    <row r="28" spans="1:32">
      <c r="A28">
        <f t="shared" si="4"/>
        <v>2033</v>
      </c>
      <c r="B28" s="312">
        <f t="shared" ca="1" si="3"/>
        <v>-1250000</v>
      </c>
      <c r="C28" s="312">
        <f t="shared" ca="1" si="3"/>
        <v>969150.68368909881</v>
      </c>
      <c r="D28" s="312">
        <f t="shared" ca="1" si="3"/>
        <v>-4321.8473758700165</v>
      </c>
      <c r="E28" s="312">
        <f t="shared" ca="1" si="3"/>
        <v>1758418.065001342</v>
      </c>
      <c r="F28" s="312">
        <f t="shared" ca="1" si="3"/>
        <v>1673310.083604625</v>
      </c>
      <c r="G28" s="312">
        <f t="shared" ca="1" si="3"/>
        <v>1292942.5772789896</v>
      </c>
      <c r="H28" s="312">
        <f t="shared" ca="1" si="3"/>
        <v>447159.11853321025</v>
      </c>
      <c r="I28" s="312">
        <f t="shared" ca="1" si="3"/>
        <v>318176.00748967612</v>
      </c>
      <c r="J28" s="312">
        <f t="shared" ca="1" si="3"/>
        <v>142713.50896279767</v>
      </c>
      <c r="K28" s="312">
        <f t="shared" ca="1" si="3"/>
        <v>4847.8442171275219</v>
      </c>
      <c r="L28" s="312">
        <f t="shared" ca="1" si="3"/>
        <v>0</v>
      </c>
      <c r="M28" s="312">
        <f t="shared" ca="1" si="3"/>
        <v>63787.065248678613</v>
      </c>
      <c r="N28" s="312">
        <f t="shared" ca="1" si="3"/>
        <v>82524.745057913751</v>
      </c>
      <c r="O28" s="312">
        <f t="shared" ca="1" si="3"/>
        <v>784581.71288007859</v>
      </c>
      <c r="P28" s="312">
        <f t="shared" ca="1" si="3"/>
        <v>1919070.8515541244</v>
      </c>
      <c r="Q28" s="312">
        <f t="shared" ca="1" si="3"/>
        <v>6271997.8009425001</v>
      </c>
      <c r="R28" s="312">
        <f t="shared" ca="1" si="5"/>
        <v>4161167.4503905345</v>
      </c>
      <c r="S28" s="312">
        <f t="shared" ca="1" si="5"/>
        <v>-399249.21297608037</v>
      </c>
      <c r="T28" s="312">
        <f t="shared" ca="1" si="5"/>
        <v>936984.7906101821</v>
      </c>
      <c r="U28" s="312">
        <f t="shared" ca="1" si="5"/>
        <v>66778.879330202079</v>
      </c>
      <c r="V28" s="312">
        <f t="shared" ca="1" si="5"/>
        <v>0</v>
      </c>
      <c r="W28" s="312">
        <f t="shared" ca="1" si="5"/>
        <v>0</v>
      </c>
      <c r="X28" s="312">
        <f t="shared" ca="1" si="5"/>
        <v>514866.85843475343</v>
      </c>
      <c r="Y28" s="312" t="e">
        <f t="shared" ca="1" si="5"/>
        <v>#REF!</v>
      </c>
      <c r="Z28" s="312" t="e">
        <f t="shared" ca="1" si="5"/>
        <v>#REF!</v>
      </c>
      <c r="AA28" s="312" t="e">
        <f t="shared" ca="1" si="5"/>
        <v>#REF!</v>
      </c>
      <c r="AB28" s="312" t="e">
        <f t="shared" ca="1" si="5"/>
        <v>#REF!</v>
      </c>
      <c r="AC28" s="312" t="e">
        <f t="shared" ca="1" si="5"/>
        <v>#REF!</v>
      </c>
      <c r="AD28" s="312" t="e">
        <f t="shared" ca="1" si="5"/>
        <v>#REF!</v>
      </c>
      <c r="AE28" s="312" t="e">
        <f t="shared" ca="1" si="5"/>
        <v>#REF!</v>
      </c>
      <c r="AF28" s="312" t="e">
        <f t="shared" ca="1" si="6"/>
        <v>#REF!</v>
      </c>
    </row>
    <row r="29" spans="1:32">
      <c r="A29">
        <f t="shared" si="4"/>
        <v>2034</v>
      </c>
      <c r="B29" s="312">
        <f t="shared" ca="1" si="3"/>
        <v>-1250000</v>
      </c>
      <c r="C29" s="312">
        <f t="shared" ca="1" si="3"/>
        <v>974996.43710754439</v>
      </c>
      <c r="D29" s="312">
        <f t="shared" ca="1" si="3"/>
        <v>-4238.3366127493646</v>
      </c>
      <c r="E29" s="312">
        <f t="shared" ca="1" si="3"/>
        <v>1765660.5600463487</v>
      </c>
      <c r="F29" s="312">
        <f t="shared" ca="1" si="3"/>
        <v>1681007.2165826485</v>
      </c>
      <c r="G29" s="312">
        <f t="shared" ca="1" si="3"/>
        <v>1297766.5351253846</v>
      </c>
      <c r="H29" s="312">
        <f t="shared" ca="1" si="3"/>
        <v>453578.38590717589</v>
      </c>
      <c r="I29" s="312">
        <f t="shared" ca="1" si="3"/>
        <v>319766.88752712455</v>
      </c>
      <c r="J29" s="312">
        <f t="shared" ca="1" si="3"/>
        <v>143427.07650761167</v>
      </c>
      <c r="K29" s="312">
        <f t="shared" ca="1" si="3"/>
        <v>4872.0834382131607</v>
      </c>
      <c r="L29" s="312">
        <f t="shared" ca="1" si="3"/>
        <v>0</v>
      </c>
      <c r="M29" s="312">
        <f t="shared" ca="1" si="3"/>
        <v>63464.945359601836</v>
      </c>
      <c r="N29" s="312">
        <f t="shared" ca="1" si="3"/>
        <v>82937.368783203332</v>
      </c>
      <c r="O29" s="312">
        <f t="shared" ca="1" si="3"/>
        <v>788504.6214444791</v>
      </c>
      <c r="P29" s="312">
        <f t="shared" ca="1" si="3"/>
        <v>1984970.815308467</v>
      </c>
      <c r="Q29" s="312">
        <f t="shared" ca="1" si="3"/>
        <v>6561336.1476021642</v>
      </c>
      <c r="R29" s="312">
        <f t="shared" ca="1" si="5"/>
        <v>4210477.4661150444</v>
      </c>
      <c r="S29" s="312">
        <f t="shared" ca="1" si="5"/>
        <v>-404980.70170283597</v>
      </c>
      <c r="T29" s="312">
        <f t="shared" ca="1" si="5"/>
        <v>1146928.6803329373</v>
      </c>
      <c r="U29" s="312">
        <f t="shared" ca="1" si="5"/>
        <v>67112.773726853091</v>
      </c>
      <c r="V29" s="312">
        <f t="shared" ca="1" si="5"/>
        <v>0</v>
      </c>
      <c r="W29" s="312">
        <f t="shared" ca="1" si="5"/>
        <v>0</v>
      </c>
      <c r="X29" s="312">
        <f t="shared" ca="1" si="5"/>
        <v>516831.57492687076</v>
      </c>
      <c r="Y29" s="312" t="e">
        <f t="shared" ca="1" si="5"/>
        <v>#REF!</v>
      </c>
      <c r="Z29" s="312" t="e">
        <f t="shared" ca="1" si="5"/>
        <v>#REF!</v>
      </c>
      <c r="AA29" s="312" t="e">
        <f t="shared" ca="1" si="5"/>
        <v>#REF!</v>
      </c>
      <c r="AB29" s="312" t="e">
        <f t="shared" ca="1" si="5"/>
        <v>#REF!</v>
      </c>
      <c r="AC29" s="312" t="e">
        <f t="shared" ca="1" si="5"/>
        <v>#REF!</v>
      </c>
      <c r="AD29" s="312" t="e">
        <f t="shared" ca="1" si="5"/>
        <v>#REF!</v>
      </c>
      <c r="AE29" s="312" t="e">
        <f t="shared" ca="1" si="5"/>
        <v>#REF!</v>
      </c>
      <c r="AF29" s="312" t="e">
        <f t="shared" ca="1" si="6"/>
        <v>#REF!</v>
      </c>
    </row>
    <row r="30" spans="1:32">
      <c r="A30">
        <f t="shared" si="4"/>
        <v>2035</v>
      </c>
      <c r="B30" s="312">
        <f t="shared" ca="1" si="3"/>
        <v>-1250000</v>
      </c>
      <c r="C30" s="312">
        <f t="shared" ca="1" si="3"/>
        <v>980871.41929308139</v>
      </c>
      <c r="D30" s="312">
        <f t="shared" ca="1" si="3"/>
        <v>-4154.4082958131185</v>
      </c>
      <c r="E30" s="312">
        <f t="shared" ca="1" si="3"/>
        <v>1772939.2675665803</v>
      </c>
      <c r="F30" s="312">
        <f t="shared" ca="1" si="3"/>
        <v>1688742.8352255612</v>
      </c>
      <c r="G30" s="312">
        <f t="shared" ca="1" si="3"/>
        <v>1302614.6127610113</v>
      </c>
      <c r="H30" s="312">
        <f t="shared" ca="1" si="3"/>
        <v>460050.66697691794</v>
      </c>
      <c r="I30" s="312">
        <f t="shared" ca="1" si="3"/>
        <v>321365.7219647601</v>
      </c>
      <c r="J30" s="312">
        <f t="shared" ca="1" si="3"/>
        <v>144144.21189014969</v>
      </c>
      <c r="K30" s="312">
        <f t="shared" ca="1" si="3"/>
        <v>4896.4438554042254</v>
      </c>
      <c r="L30" s="312">
        <f t="shared" ca="1" si="3"/>
        <v>0</v>
      </c>
      <c r="M30" s="312">
        <f t="shared" ca="1" si="3"/>
        <v>63144.460865803172</v>
      </c>
      <c r="N30" s="312">
        <f t="shared" ca="1" si="3"/>
        <v>83352.055627119335</v>
      </c>
      <c r="O30" s="312">
        <f t="shared" ca="1" si="3"/>
        <v>792447.14455170126</v>
      </c>
      <c r="P30" s="312">
        <f t="shared" ca="1" si="3"/>
        <v>2051522.1506507846</v>
      </c>
      <c r="Q30" s="312">
        <f t="shared" ca="1" si="3"/>
        <v>6853060.5292038824</v>
      </c>
      <c r="R30" s="312">
        <f t="shared" ca="1" si="5"/>
        <v>4260034.0319181737</v>
      </c>
      <c r="S30" s="312">
        <f t="shared" ca="1" si="5"/>
        <v>-410759.52408653311</v>
      </c>
      <c r="T30" s="312">
        <f t="shared" ca="1" si="5"/>
        <v>1156412.0819421122</v>
      </c>
      <c r="U30" s="312">
        <f t="shared" ca="1" si="5"/>
        <v>67448.337595487348</v>
      </c>
      <c r="V30" s="312">
        <f t="shared" ca="1" si="5"/>
        <v>0</v>
      </c>
      <c r="W30" s="312">
        <f t="shared" ca="1" si="5"/>
        <v>0</v>
      </c>
      <c r="X30" s="312">
        <f t="shared" ca="1" si="5"/>
        <v>518799.04298926884</v>
      </c>
      <c r="Y30" s="312" t="e">
        <f t="shared" ca="1" si="5"/>
        <v>#REF!</v>
      </c>
      <c r="Z30" s="312" t="e">
        <f t="shared" ca="1" si="5"/>
        <v>#REF!</v>
      </c>
      <c r="AA30" s="312" t="e">
        <f t="shared" ca="1" si="5"/>
        <v>#REF!</v>
      </c>
      <c r="AB30" s="312" t="e">
        <f t="shared" ca="1" si="5"/>
        <v>#REF!</v>
      </c>
      <c r="AC30" s="312" t="e">
        <f t="shared" ca="1" si="5"/>
        <v>#REF!</v>
      </c>
      <c r="AD30" s="312" t="e">
        <f t="shared" ca="1" si="5"/>
        <v>#REF!</v>
      </c>
      <c r="AE30" s="312" t="e">
        <f t="shared" ca="1" si="5"/>
        <v>#REF!</v>
      </c>
      <c r="AF30" s="312" t="e">
        <f t="shared" ca="1" si="6"/>
        <v>#REF!</v>
      </c>
    </row>
    <row r="31" spans="1:32">
      <c r="A31">
        <f t="shared" si="4"/>
        <v>2036</v>
      </c>
      <c r="B31" s="312">
        <f t="shared" ca="1" si="3"/>
        <v>-1250000</v>
      </c>
      <c r="C31" s="312">
        <f t="shared" ca="1" si="3"/>
        <v>986775.77638954669</v>
      </c>
      <c r="D31" s="312">
        <f t="shared" ca="1" si="3"/>
        <v>-4070.0603372921832</v>
      </c>
      <c r="E31" s="312">
        <f t="shared" ca="1" si="3"/>
        <v>1780254.3686244129</v>
      </c>
      <c r="F31" s="312">
        <f t="shared" ca="1" si="3"/>
        <v>1696517.1319616889</v>
      </c>
      <c r="G31" s="312">
        <f t="shared" ref="G31:V31" ca="1" si="7">OFFSET(INDIRECT(G$3),$A31-$A$5+$C$1,$C$2)</f>
        <v>1307486.9307848162</v>
      </c>
      <c r="H31" s="312">
        <f t="shared" ca="1" si="7"/>
        <v>466576.33139770979</v>
      </c>
      <c r="I31" s="312">
        <f t="shared" ca="1" si="7"/>
        <v>322972.55057458387</v>
      </c>
      <c r="J31" s="312">
        <f t="shared" ca="1" si="7"/>
        <v>144864.93294960039</v>
      </c>
      <c r="K31" s="312">
        <f t="shared" ca="1" si="7"/>
        <v>4920.9260746812452</v>
      </c>
      <c r="L31" s="312">
        <f t="shared" ca="1" si="7"/>
        <v>0</v>
      </c>
      <c r="M31" s="312">
        <f t="shared" ca="1" si="7"/>
        <v>62825.571661524664</v>
      </c>
      <c r="N31" s="312">
        <f t="shared" ca="1" si="7"/>
        <v>83768.815905254916</v>
      </c>
      <c r="O31" s="312">
        <f t="shared" ca="1" si="7"/>
        <v>796409.38027445972</v>
      </c>
      <c r="P31" s="312">
        <f t="shared" ca="1" si="7"/>
        <v>2118727.4796939325</v>
      </c>
      <c r="Q31" s="312">
        <f t="shared" ca="1" si="7"/>
        <v>7147188.5049484614</v>
      </c>
      <c r="R31" s="312">
        <f t="shared" ca="1" si="7"/>
        <v>4309838.3805503193</v>
      </c>
      <c r="S31" s="312">
        <f t="shared" ca="1" si="7"/>
        <v>-416586.01017652731</v>
      </c>
      <c r="T31" s="312">
        <f t="shared" ca="1" si="7"/>
        <v>1827396.441667147</v>
      </c>
      <c r="U31" s="312">
        <f t="shared" ca="1" si="7"/>
        <v>67785.579283464773</v>
      </c>
      <c r="V31" s="312">
        <f t="shared" ca="1" si="7"/>
        <v>0</v>
      </c>
      <c r="W31" s="312">
        <f t="shared" ca="1" si="5"/>
        <v>0</v>
      </c>
      <c r="X31" s="312">
        <f t="shared" ca="1" si="5"/>
        <v>520769.33077116887</v>
      </c>
      <c r="Y31" s="312" t="e">
        <f t="shared" ca="1" si="5"/>
        <v>#REF!</v>
      </c>
      <c r="Z31" s="312" t="e">
        <f t="shared" ca="1" si="5"/>
        <v>#REF!</v>
      </c>
      <c r="AA31" s="312" t="e">
        <f t="shared" ca="1" si="5"/>
        <v>#REF!</v>
      </c>
      <c r="AB31" s="312" t="e">
        <f t="shared" ref="AA31:AE45" ca="1" si="8">OFFSET(INDIRECT(AB$3),$A31-$A$5+$C$1,$C$2)</f>
        <v>#REF!</v>
      </c>
      <c r="AC31" s="312" t="e">
        <f t="shared" ca="1" si="8"/>
        <v>#REF!</v>
      </c>
      <c r="AD31" s="312" t="e">
        <f t="shared" ca="1" si="8"/>
        <v>#REF!</v>
      </c>
      <c r="AE31" s="312" t="e">
        <f t="shared" ca="1" si="8"/>
        <v>#REF!</v>
      </c>
      <c r="AF31" s="312" t="e">
        <f t="shared" ca="1" si="6"/>
        <v>#REF!</v>
      </c>
    </row>
    <row r="32" spans="1:32">
      <c r="A32">
        <f t="shared" si="4"/>
        <v>2037</v>
      </c>
      <c r="B32" s="312">
        <f t="shared" ref="B32:Q45" ca="1" si="9">OFFSET(INDIRECT(B$3),$A32-$A$5+$C$1,$C$2)</f>
        <v>-1250000</v>
      </c>
      <c r="C32" s="312">
        <f t="shared" ca="1" si="9"/>
        <v>992709.65527149476</v>
      </c>
      <c r="D32" s="312">
        <f t="shared" ca="1" si="9"/>
        <v>-3985.2906389786476</v>
      </c>
      <c r="E32" s="312">
        <f t="shared" ca="1" si="9"/>
        <v>1787606.0451875348</v>
      </c>
      <c r="F32" s="312">
        <f t="shared" ca="1" si="9"/>
        <v>1704330.3001814969</v>
      </c>
      <c r="G32" s="312">
        <f t="shared" ca="1" si="9"/>
        <v>1312383.61039874</v>
      </c>
      <c r="H32" s="312">
        <f t="shared" ca="1" si="9"/>
        <v>473155.75119603518</v>
      </c>
      <c r="I32" s="312">
        <f t="shared" ca="1" si="9"/>
        <v>324587.41332745674</v>
      </c>
      <c r="J32" s="312">
        <f t="shared" ca="1" si="9"/>
        <v>145589.2576143484</v>
      </c>
      <c r="K32" s="312">
        <f t="shared" ca="1" si="9"/>
        <v>4945.5307050546508</v>
      </c>
      <c r="L32" s="312">
        <f t="shared" ca="1" si="9"/>
        <v>0</v>
      </c>
      <c r="M32" s="312">
        <f t="shared" ca="1" si="9"/>
        <v>62508.333645564293</v>
      </c>
      <c r="N32" s="312">
        <f t="shared" ca="1" si="9"/>
        <v>84187.659984781174</v>
      </c>
      <c r="O32" s="312">
        <f t="shared" ca="1" si="9"/>
        <v>800391.42717583175</v>
      </c>
      <c r="P32" s="312">
        <f t="shared" ca="1" si="9"/>
        <v>2186589.5143613582</v>
      </c>
      <c r="Q32" s="312">
        <f t="shared" ca="1" si="9"/>
        <v>7443737.7499778448</v>
      </c>
      <c r="R32" s="312">
        <f t="shared" ref="R32:V45" ca="1" si="10">OFFSET(INDIRECT(R$3),$A32-$A$5+$C$1,$C$2)</f>
        <v>4359891.7509256229</v>
      </c>
      <c r="S32" s="312">
        <f t="shared" ca="1" si="10"/>
        <v>-422460.49213931803</v>
      </c>
      <c r="T32" s="312">
        <f t="shared" ca="1" si="10"/>
        <v>1836974.914377454</v>
      </c>
      <c r="U32" s="312">
        <f t="shared" ca="1" si="10"/>
        <v>68124.507179882086</v>
      </c>
      <c r="V32" s="312">
        <f t="shared" ca="1" si="10"/>
        <v>0</v>
      </c>
      <c r="W32" s="312">
        <f t="shared" ca="1" si="5"/>
        <v>0</v>
      </c>
      <c r="X32" s="312">
        <f t="shared" ca="1" si="5"/>
        <v>522742.50406854681</v>
      </c>
      <c r="Y32" s="312" t="e">
        <f t="shared" ca="1" si="5"/>
        <v>#REF!</v>
      </c>
      <c r="Z32" s="312" t="e">
        <f t="shared" ca="1" si="5"/>
        <v>#REF!</v>
      </c>
      <c r="AA32" s="312" t="e">
        <f t="shared" ca="1" si="8"/>
        <v>#REF!</v>
      </c>
      <c r="AB32" s="312" t="e">
        <f t="shared" ca="1" si="8"/>
        <v>#REF!</v>
      </c>
      <c r="AC32" s="312" t="e">
        <f t="shared" ca="1" si="8"/>
        <v>#REF!</v>
      </c>
      <c r="AD32" s="312" t="e">
        <f t="shared" ca="1" si="8"/>
        <v>#REF!</v>
      </c>
      <c r="AE32" s="312" t="e">
        <f t="shared" ca="1" si="8"/>
        <v>#REF!</v>
      </c>
      <c r="AF32" s="312" t="e">
        <f t="shared" ca="1" si="6"/>
        <v>#REF!</v>
      </c>
    </row>
    <row r="33" spans="1:32">
      <c r="A33">
        <f t="shared" si="4"/>
        <v>2038</v>
      </c>
      <c r="B33" s="312">
        <f t="shared" ca="1" si="9"/>
        <v>-1250000</v>
      </c>
      <c r="C33" s="312">
        <f t="shared" ca="1" si="9"/>
        <v>998673.20354785025</v>
      </c>
      <c r="D33" s="312">
        <f t="shared" ca="1" si="9"/>
        <v>-3900.0970921735461</v>
      </c>
      <c r="E33" s="312">
        <f t="shared" ca="1" si="9"/>
        <v>1794994.480133472</v>
      </c>
      <c r="F33" s="312">
        <f t="shared" ca="1" si="9"/>
        <v>1712182.5342424042</v>
      </c>
      <c r="G33" s="312">
        <f t="shared" ca="1" si="9"/>
        <v>1317304.7734107336</v>
      </c>
      <c r="H33" s="312">
        <f t="shared" ca="1" si="9"/>
        <v>479789.30078405864</v>
      </c>
      <c r="I33" s="312">
        <f t="shared" ca="1" si="9"/>
        <v>326210.3503940939</v>
      </c>
      <c r="J33" s="312">
        <f t="shared" ca="1" si="9"/>
        <v>146317.20390242006</v>
      </c>
      <c r="K33" s="312">
        <f t="shared" ca="1" si="9"/>
        <v>4970.2583585799221</v>
      </c>
      <c r="L33" s="312">
        <f t="shared" ca="1" si="9"/>
        <v>0</v>
      </c>
      <c r="M33" s="312">
        <f t="shared" ca="1" si="9"/>
        <v>62192.607917151072</v>
      </c>
      <c r="N33" s="312">
        <f t="shared" ca="1" si="9"/>
        <v>84608.598284705062</v>
      </c>
      <c r="O33" s="312">
        <f t="shared" ca="1" si="9"/>
        <v>804393.38431171083</v>
      </c>
      <c r="P33" s="312">
        <f t="shared" ca="1" si="9"/>
        <v>2255111.0538409273</v>
      </c>
      <c r="Q33" s="312">
        <f t="shared" ca="1" si="9"/>
        <v>7742726.0560955405</v>
      </c>
      <c r="R33" s="312">
        <f t="shared" ca="1" si="10"/>
        <v>4410195.3881528042</v>
      </c>
      <c r="S33" s="312">
        <f t="shared" ca="1" si="10"/>
        <v>-428383.304271481</v>
      </c>
      <c r="T33" s="312">
        <f t="shared" ca="1" si="10"/>
        <v>1934899.3798456674</v>
      </c>
      <c r="U33" s="312">
        <f t="shared" ca="1" si="10"/>
        <v>68465.129715781484</v>
      </c>
      <c r="V33" s="312">
        <f t="shared" ca="1" si="10"/>
        <v>0</v>
      </c>
      <c r="W33" s="312">
        <f t="shared" ca="1" si="5"/>
        <v>0</v>
      </c>
      <c r="X33" s="312">
        <f t="shared" ca="1" si="5"/>
        <v>524718.62642436032</v>
      </c>
      <c r="Y33" s="312" t="e">
        <f t="shared" ca="1" si="5"/>
        <v>#REF!</v>
      </c>
      <c r="Z33" s="312" t="e">
        <f t="shared" ca="1" si="5"/>
        <v>#REF!</v>
      </c>
      <c r="AA33" s="312" t="e">
        <f t="shared" ca="1" si="8"/>
        <v>#REF!</v>
      </c>
      <c r="AB33" s="312" t="e">
        <f t="shared" ca="1" si="8"/>
        <v>#REF!</v>
      </c>
      <c r="AC33" s="312" t="e">
        <f t="shared" ca="1" si="8"/>
        <v>#REF!</v>
      </c>
      <c r="AD33" s="312" t="e">
        <f t="shared" ca="1" si="8"/>
        <v>#REF!</v>
      </c>
      <c r="AE33" s="312" t="e">
        <f t="shared" ca="1" si="8"/>
        <v>#REF!</v>
      </c>
      <c r="AF33" s="312" t="e">
        <f t="shared" ca="1" si="6"/>
        <v>#REF!</v>
      </c>
    </row>
    <row r="34" spans="1:32">
      <c r="A34">
        <f t="shared" si="4"/>
        <v>2039</v>
      </c>
      <c r="B34" s="312">
        <f t="shared" ca="1" si="9"/>
        <v>-1250000</v>
      </c>
      <c r="C34" s="312">
        <f t="shared" ca="1" si="9"/>
        <v>1004666.5695655905</v>
      </c>
      <c r="D34" s="312">
        <f t="shared" ca="1" si="9"/>
        <v>-3814.477577634414</v>
      </c>
      <c r="E34" s="312">
        <f t="shared" ca="1" si="9"/>
        <v>1802419.8572541391</v>
      </c>
      <c r="F34" s="312">
        <f t="shared" ca="1" si="9"/>
        <v>1720074.0294736158</v>
      </c>
      <c r="G34" s="312">
        <f t="shared" ca="1" si="9"/>
        <v>1322250.542237787</v>
      </c>
      <c r="H34" s="312">
        <f t="shared" ca="1" si="9"/>
        <v>486477.35697418259</v>
      </c>
      <c r="I34" s="312">
        <f t="shared" ca="1" si="9"/>
        <v>327841.40214606439</v>
      </c>
      <c r="J34" s="312">
        <f t="shared" ca="1" si="9"/>
        <v>147048.78992193216</v>
      </c>
      <c r="K34" s="312">
        <f t="shared" ca="1" si="9"/>
        <v>4995.1096503728222</v>
      </c>
      <c r="L34" s="312">
        <f t="shared" ca="1" si="9"/>
        <v>0</v>
      </c>
      <c r="M34" s="312">
        <f t="shared" ca="1" si="9"/>
        <v>61878.547034513576</v>
      </c>
      <c r="N34" s="312">
        <f t="shared" ca="1" si="9"/>
        <v>85031.641276128576</v>
      </c>
      <c r="O34" s="312">
        <f t="shared" ca="1" si="9"/>
        <v>808415.35123326932</v>
      </c>
      <c r="P34" s="312">
        <f t="shared" ca="1" si="9"/>
        <v>2324294.9821838313</v>
      </c>
      <c r="Q34" s="312">
        <f t="shared" ca="1" si="9"/>
        <v>8044171.3324913569</v>
      </c>
      <c r="R34" s="312">
        <f t="shared" ca="1" si="10"/>
        <v>4460750.5435661245</v>
      </c>
      <c r="S34" s="312">
        <f t="shared" ca="1" si="10"/>
        <v>-434354.78301266301</v>
      </c>
      <c r="T34" s="312">
        <f t="shared" ca="1" si="10"/>
        <v>1944573.8767448955</v>
      </c>
      <c r="U34" s="312">
        <f t="shared" ca="1" si="10"/>
        <v>68807.455364360387</v>
      </c>
      <c r="V34" s="312">
        <f t="shared" ca="1" si="10"/>
        <v>0</v>
      </c>
      <c r="W34" s="312">
        <f t="shared" ca="1" si="5"/>
        <v>0</v>
      </c>
      <c r="X34" s="312">
        <f t="shared" ca="1" si="5"/>
        <v>526697.759223414</v>
      </c>
      <c r="Y34" s="312" t="e">
        <f t="shared" ca="1" si="5"/>
        <v>#REF!</v>
      </c>
      <c r="Z34" s="312" t="e">
        <f t="shared" ca="1" si="5"/>
        <v>#REF!</v>
      </c>
      <c r="AA34" s="312" t="e">
        <f t="shared" ca="1" si="8"/>
        <v>#REF!</v>
      </c>
      <c r="AB34" s="312" t="e">
        <f t="shared" ca="1" si="8"/>
        <v>#REF!</v>
      </c>
      <c r="AC34" s="312" t="e">
        <f t="shared" ca="1" si="8"/>
        <v>#REF!</v>
      </c>
      <c r="AD34" s="312" t="e">
        <f t="shared" ca="1" si="8"/>
        <v>#REF!</v>
      </c>
      <c r="AE34" s="312" t="e">
        <f t="shared" ca="1" si="8"/>
        <v>#REF!</v>
      </c>
      <c r="AF34" s="312" t="e">
        <f t="shared" ca="1" si="6"/>
        <v>#REF!</v>
      </c>
    </row>
    <row r="35" spans="1:32">
      <c r="A35">
        <f t="shared" si="4"/>
        <v>2040</v>
      </c>
      <c r="B35" s="312">
        <f t="shared" ca="1" si="9"/>
        <v>-1250000</v>
      </c>
      <c r="C35" s="312">
        <f t="shared" ca="1" si="9"/>
        <v>1010689.9024134204</v>
      </c>
      <c r="D35" s="312">
        <f t="shared" ca="1" si="9"/>
        <v>-3728.4299655225877</v>
      </c>
      <c r="E35" s="312">
        <f t="shared" ca="1" si="9"/>
        <v>1809882.3612604097</v>
      </c>
      <c r="F35" s="312">
        <f t="shared" ca="1" si="9"/>
        <v>1728004.9821809838</v>
      </c>
      <c r="G35" s="312">
        <f t="shared" ca="1" si="9"/>
        <v>1327221.0399089758</v>
      </c>
      <c r="H35" s="312">
        <f t="shared" ca="1" si="9"/>
        <v>493220.29899368808</v>
      </c>
      <c r="I35" s="312">
        <f t="shared" ca="1" si="9"/>
        <v>329480.60915679467</v>
      </c>
      <c r="J35" s="312">
        <f t="shared" ca="1" si="9"/>
        <v>147784.03387154179</v>
      </c>
      <c r="K35" s="312">
        <f t="shared" ca="1" si="9"/>
        <v>5020.0851986246853</v>
      </c>
      <c r="L35" s="312">
        <f t="shared" ca="1" si="9"/>
        <v>0</v>
      </c>
      <c r="M35" s="312">
        <f t="shared" ca="1" si="9"/>
        <v>61566.108744302728</v>
      </c>
      <c r="N35" s="312">
        <f t="shared" ca="1" si="9"/>
        <v>85456.799482509217</v>
      </c>
      <c r="O35" s="312">
        <f t="shared" ca="1" si="9"/>
        <v>812457.4279894355</v>
      </c>
      <c r="P35" s="312">
        <f t="shared" ca="1" si="9"/>
        <v>2394144.2660398483</v>
      </c>
      <c r="Q35" s="312">
        <f t="shared" ca="1" si="9"/>
        <v>8348091.6064704685</v>
      </c>
      <c r="R35" s="312">
        <f t="shared" ca="1" si="10"/>
        <v>4511558.4747565091</v>
      </c>
      <c r="S35" s="312">
        <f t="shared" ca="1" si="10"/>
        <v>-440375.2669586502</v>
      </c>
      <c r="T35" s="312">
        <f t="shared" ca="1" si="10"/>
        <v>1954296.7461286199</v>
      </c>
      <c r="U35" s="312">
        <f t="shared" ca="1" si="10"/>
        <v>69151.49264118218</v>
      </c>
      <c r="V35" s="312">
        <f t="shared" ca="1" si="10"/>
        <v>0</v>
      </c>
      <c r="W35" s="312">
        <f t="shared" ca="1" si="5"/>
        <v>0</v>
      </c>
      <c r="X35" s="312">
        <f t="shared" ca="1" si="5"/>
        <v>528679.96178219956</v>
      </c>
      <c r="Y35" s="312" t="e">
        <f t="shared" ca="1" si="5"/>
        <v>#REF!</v>
      </c>
      <c r="Z35" s="312" t="e">
        <f t="shared" ca="1" si="5"/>
        <v>#REF!</v>
      </c>
      <c r="AA35" s="312" t="e">
        <f t="shared" ca="1" si="8"/>
        <v>#REF!</v>
      </c>
      <c r="AB35" s="312" t="e">
        <f t="shared" ca="1" si="8"/>
        <v>#REF!</v>
      </c>
      <c r="AC35" s="312" t="e">
        <f t="shared" ca="1" si="8"/>
        <v>#REF!</v>
      </c>
      <c r="AD35" s="312" t="e">
        <f t="shared" ca="1" si="8"/>
        <v>#REF!</v>
      </c>
      <c r="AE35" s="312" t="e">
        <f t="shared" ca="1" si="8"/>
        <v>#REF!</v>
      </c>
      <c r="AF35" s="312" t="e">
        <f t="shared" ca="1" si="6"/>
        <v>#REF!</v>
      </c>
    </row>
    <row r="36" spans="1:32">
      <c r="A36">
        <f t="shared" si="4"/>
        <v>2041</v>
      </c>
      <c r="B36" s="312">
        <f t="shared" ca="1" si="9"/>
        <v>-1250000</v>
      </c>
      <c r="C36" s="312">
        <f t="shared" ca="1" si="9"/>
        <v>1016743.3519254848</v>
      </c>
      <c r="D36" s="312">
        <f t="shared" ca="1" si="9"/>
        <v>-3641.9521153502064</v>
      </c>
      <c r="E36" s="312">
        <f t="shared" ca="1" si="9"/>
        <v>1817382.1777867114</v>
      </c>
      <c r="F36" s="312">
        <f t="shared" ca="1" si="9"/>
        <v>1735975.5896518882</v>
      </c>
      <c r="G36" s="312">
        <f t="shared" ca="1" si="9"/>
        <v>1332216.3900685206</v>
      </c>
      <c r="H36" s="312">
        <f t="shared" ca="1" si="9"/>
        <v>500018.50849946431</v>
      </c>
      <c r="I36" s="312">
        <f t="shared" ca="1" si="9"/>
        <v>331128.01220257854</v>
      </c>
      <c r="J36" s="312">
        <f t="shared" ca="1" si="9"/>
        <v>148522.95404089947</v>
      </c>
      <c r="K36" s="312">
        <f t="shared" ca="1" si="9"/>
        <v>5045.1856246178077</v>
      </c>
      <c r="L36" s="312">
        <f t="shared" ca="1" si="9"/>
        <v>0</v>
      </c>
      <c r="M36" s="312">
        <f t="shared" ca="1" si="9"/>
        <v>61255.150288842939</v>
      </c>
      <c r="N36" s="312">
        <f t="shared" ca="1" si="9"/>
        <v>85884.083479921726</v>
      </c>
      <c r="O36" s="312">
        <f t="shared" ca="1" si="9"/>
        <v>816519.71512938244</v>
      </c>
      <c r="P36" s="312">
        <f t="shared" ca="1" si="9"/>
        <v>2464661.9525207486</v>
      </c>
      <c r="Q36" s="312">
        <f t="shared" ca="1" si="9"/>
        <v>8654505.024186857</v>
      </c>
      <c r="R36" s="312">
        <f t="shared" ca="1" si="10"/>
        <v>4562620.4456028435</v>
      </c>
      <c r="S36" s="312">
        <f t="shared" ca="1" si="10"/>
        <v>-446445.09687452111</v>
      </c>
      <c r="T36" s="312">
        <f t="shared" ca="1" si="10"/>
        <v>1964068.2298592622</v>
      </c>
      <c r="U36" s="312">
        <f t="shared" ca="1" si="10"/>
        <v>69497.250104388062</v>
      </c>
      <c r="V36" s="312">
        <f t="shared" ca="1" si="10"/>
        <v>0</v>
      </c>
      <c r="W36" s="312">
        <f t="shared" ca="1" si="5"/>
        <v>0</v>
      </c>
      <c r="X36" s="312">
        <f t="shared" ca="1" si="5"/>
        <v>530665.29143400711</v>
      </c>
      <c r="Y36" s="312" t="e">
        <f t="shared" ca="1" si="5"/>
        <v>#REF!</v>
      </c>
      <c r="Z36" s="312" t="e">
        <f t="shared" ca="1" si="5"/>
        <v>#REF!</v>
      </c>
      <c r="AA36" s="312" t="e">
        <f t="shared" ca="1" si="8"/>
        <v>#REF!</v>
      </c>
      <c r="AB36" s="312" t="e">
        <f t="shared" ca="1" si="8"/>
        <v>#REF!</v>
      </c>
      <c r="AC36" s="312" t="e">
        <f t="shared" ca="1" si="8"/>
        <v>#REF!</v>
      </c>
      <c r="AD36" s="312" t="e">
        <f t="shared" ca="1" si="8"/>
        <v>#REF!</v>
      </c>
      <c r="AE36" s="312" t="e">
        <f t="shared" ca="1" si="8"/>
        <v>#REF!</v>
      </c>
      <c r="AF36" s="312" t="e">
        <f t="shared" ca="1" si="6"/>
        <v>#REF!</v>
      </c>
    </row>
    <row r="37" spans="1:32">
      <c r="A37">
        <f t="shared" si="4"/>
        <v>2042</v>
      </c>
      <c r="B37" s="312">
        <f t="shared" ca="1" si="9"/>
        <v>-1250000</v>
      </c>
      <c r="C37" s="312">
        <f t="shared" ca="1" si="9"/>
        <v>1022827.0686851144</v>
      </c>
      <c r="D37" s="312">
        <f t="shared" ca="1" si="9"/>
        <v>-3555.0418759269596</v>
      </c>
      <c r="E37" s="312">
        <f t="shared" ca="1" si="9"/>
        <v>1824919.4933956447</v>
      </c>
      <c r="F37" s="312">
        <f t="shared" ca="1" si="9"/>
        <v>1743986.0501601472</v>
      </c>
      <c r="G37" s="312">
        <f t="shared" ca="1" si="9"/>
        <v>1337236.7169788629</v>
      </c>
      <c r="H37" s="312">
        <f t="shared" ca="1" si="9"/>
        <v>506872.36959282338</v>
      </c>
      <c r="I37" s="312">
        <f t="shared" ca="1" si="9"/>
        <v>332783.65226359136</v>
      </c>
      <c r="J37" s="312">
        <f t="shared" ca="1" si="9"/>
        <v>149265.56881110393</v>
      </c>
      <c r="K37" s="312">
        <f t="shared" ca="1" si="9"/>
        <v>5070.4115527408958</v>
      </c>
      <c r="L37" s="312">
        <f t="shared" ca="1" si="9"/>
        <v>0</v>
      </c>
      <c r="M37" s="312">
        <f t="shared" ca="1" si="9"/>
        <v>60945.824742010736</v>
      </c>
      <c r="N37" s="312">
        <f t="shared" ca="1" si="9"/>
        <v>86313.503897321323</v>
      </c>
      <c r="O37" s="312">
        <f t="shared" ca="1" si="9"/>
        <v>820602.3137050292</v>
      </c>
      <c r="P37" s="312">
        <f t="shared" ca="1" si="9"/>
        <v>2535851.1671842001</v>
      </c>
      <c r="Q37" s="312">
        <f t="shared" ca="1" si="9"/>
        <v>8963429.8513810951</v>
      </c>
      <c r="R37" s="312">
        <f t="shared" ca="1" si="10"/>
        <v>4613937.7263034116</v>
      </c>
      <c r="S37" s="312">
        <f t="shared" ca="1" si="10"/>
        <v>-452564.61570787802</v>
      </c>
      <c r="T37" s="312">
        <f t="shared" ca="1" si="10"/>
        <v>1973888.5710085582</v>
      </c>
      <c r="U37" s="312">
        <f t="shared" ca="1" si="10"/>
        <v>69844.736354909997</v>
      </c>
      <c r="V37" s="312">
        <f t="shared" ca="1" si="10"/>
        <v>0</v>
      </c>
      <c r="W37" s="312">
        <f t="shared" ca="1" si="5"/>
        <v>0</v>
      </c>
      <c r="X37" s="312">
        <f t="shared" ca="1" si="5"/>
        <v>532653.80360959505</v>
      </c>
      <c r="Y37" s="312" t="e">
        <f t="shared" ca="1" si="5"/>
        <v>#REF!</v>
      </c>
      <c r="Z37" s="312" t="e">
        <f t="shared" ca="1" si="5"/>
        <v>#REF!</v>
      </c>
      <c r="AA37" s="312" t="e">
        <f t="shared" ca="1" si="8"/>
        <v>#REF!</v>
      </c>
      <c r="AB37" s="312" t="e">
        <f t="shared" ca="1" si="8"/>
        <v>#REF!</v>
      </c>
      <c r="AC37" s="312" t="e">
        <f t="shared" ca="1" si="8"/>
        <v>#REF!</v>
      </c>
      <c r="AD37" s="312" t="e">
        <f t="shared" ca="1" si="8"/>
        <v>#REF!</v>
      </c>
      <c r="AE37" s="312" t="e">
        <f t="shared" ca="1" si="8"/>
        <v>#REF!</v>
      </c>
      <c r="AF37" s="312" t="e">
        <f t="shared" ca="1" si="6"/>
        <v>#REF!</v>
      </c>
    </row>
    <row r="38" spans="1:32">
      <c r="A38">
        <f t="shared" si="4"/>
        <v>2043</v>
      </c>
      <c r="B38" s="312">
        <f t="shared" ca="1" si="9"/>
        <v>-1250000</v>
      </c>
      <c r="C38" s="312">
        <f t="shared" ca="1" si="9"/>
        <v>1028941.2040285394</v>
      </c>
      <c r="D38" s="312">
        <f t="shared" ca="1" si="9"/>
        <v>-3467.6970853065977</v>
      </c>
      <c r="E38" s="312">
        <f t="shared" ca="1" si="9"/>
        <v>1832494.4955826227</v>
      </c>
      <c r="F38" s="312">
        <f t="shared" ca="1" si="9"/>
        <v>1752036.5629709479</v>
      </c>
      <c r="G38" s="312">
        <f t="shared" ca="1" si="9"/>
        <v>1342282.1455237572</v>
      </c>
      <c r="H38" s="312">
        <f t="shared" ca="1" si="9"/>
        <v>513782.26883440372</v>
      </c>
      <c r="I38" s="312">
        <f t="shared" ca="1" si="9"/>
        <v>334447.5705249093</v>
      </c>
      <c r="J38" s="312">
        <f t="shared" ca="1" si="9"/>
        <v>150011.89665515948</v>
      </c>
      <c r="K38" s="312">
        <f t="shared" ca="1" si="9"/>
        <v>5095.7636105045995</v>
      </c>
      <c r="L38" s="312">
        <f t="shared" ca="1" si="9"/>
        <v>0</v>
      </c>
      <c r="M38" s="312">
        <f t="shared" ca="1" si="9"/>
        <v>60638.087407874853</v>
      </c>
      <c r="N38" s="312">
        <f t="shared" ca="1" si="9"/>
        <v>86745.071416807928</v>
      </c>
      <c r="O38" s="312">
        <f t="shared" ca="1" si="9"/>
        <v>824705.32527355431</v>
      </c>
      <c r="P38" s="312">
        <f t="shared" ca="1" si="9"/>
        <v>2607715.1121310932</v>
      </c>
      <c r="Q38" s="312">
        <f t="shared" ca="1" si="9"/>
        <v>9274884.474122569</v>
      </c>
      <c r="R38" s="312">
        <f t="shared" ca="1" si="10"/>
        <v>4665511.5934074838</v>
      </c>
      <c r="S38" s="312">
        <f t="shared" ca="1" si="10"/>
        <v>-458734.16860214621</v>
      </c>
      <c r="T38" s="312">
        <f t="shared" ca="1" si="10"/>
        <v>1983758.0138636008</v>
      </c>
      <c r="U38" s="312">
        <f t="shared" ca="1" si="10"/>
        <v>70193.960036684541</v>
      </c>
      <c r="V38" s="312">
        <f t="shared" ca="1" si="10"/>
        <v>0</v>
      </c>
      <c r="W38" s="312">
        <f t="shared" ca="1" si="5"/>
        <v>0</v>
      </c>
      <c r="X38" s="312">
        <f t="shared" ca="1" si="5"/>
        <v>534645.55191368342</v>
      </c>
      <c r="Y38" s="312" t="e">
        <f t="shared" ca="1" si="5"/>
        <v>#REF!</v>
      </c>
      <c r="Z38" s="312" t="e">
        <f t="shared" ca="1" si="5"/>
        <v>#REF!</v>
      </c>
      <c r="AA38" s="312" t="e">
        <f t="shared" ca="1" si="8"/>
        <v>#REF!</v>
      </c>
      <c r="AB38" s="312" t="e">
        <f t="shared" ca="1" si="8"/>
        <v>#REF!</v>
      </c>
      <c r="AC38" s="312" t="e">
        <f t="shared" ca="1" si="8"/>
        <v>#REF!</v>
      </c>
      <c r="AD38" s="312" t="e">
        <f t="shared" ca="1" si="8"/>
        <v>#REF!</v>
      </c>
      <c r="AE38" s="312" t="e">
        <f t="shared" ca="1" si="8"/>
        <v>#REF!</v>
      </c>
      <c r="AF38" s="312" t="e">
        <f t="shared" ca="1" si="6"/>
        <v>#REF!</v>
      </c>
    </row>
    <row r="39" spans="1:32">
      <c r="A39">
        <f t="shared" si="4"/>
        <v>2044</v>
      </c>
      <c r="B39" s="312">
        <f t="shared" ca="1" si="9"/>
        <v>-1250000</v>
      </c>
      <c r="C39" s="312">
        <f t="shared" ca="1" si="9"/>
        <v>1035085.9100486822</v>
      </c>
      <c r="D39" s="312">
        <f t="shared" ca="1" si="9"/>
        <v>-3379.9155707331338</v>
      </c>
      <c r="E39" s="312">
        <f t="shared" ca="1" si="9"/>
        <v>1840107.3727805358</v>
      </c>
      <c r="F39" s="312">
        <f t="shared" ca="1" si="9"/>
        <v>1760127.3283458026</v>
      </c>
      <c r="G39" s="312">
        <f t="shared" ca="1" si="9"/>
        <v>1347352.8012113757</v>
      </c>
      <c r="H39" s="312">
        <f t="shared" ca="1" si="9"/>
        <v>520748.59525915998</v>
      </c>
      <c r="I39" s="312">
        <f t="shared" ca="1" si="9"/>
        <v>336119.8083775338</v>
      </c>
      <c r="J39" s="312">
        <f t="shared" ca="1" si="9"/>
        <v>150761.95613843526</v>
      </c>
      <c r="K39" s="312">
        <f t="shared" ca="1" si="9"/>
        <v>5121.2424285571224</v>
      </c>
      <c r="L39" s="312">
        <f t="shared" ca="1" si="9"/>
        <v>0</v>
      </c>
      <c r="M39" s="312">
        <f t="shared" ca="1" si="9"/>
        <v>60331.791549446636</v>
      </c>
      <c r="N39" s="312">
        <f t="shared" ca="1" si="9"/>
        <v>87178.796773891954</v>
      </c>
      <c r="O39" s="312">
        <f t="shared" ca="1" si="9"/>
        <v>828828.85189992201</v>
      </c>
      <c r="P39" s="312">
        <f t="shared" ca="1" si="9"/>
        <v>2680257.0642095702</v>
      </c>
      <c r="Q39" s="312">
        <f t="shared" ca="1" si="9"/>
        <v>9588887.3995561264</v>
      </c>
      <c r="R39" s="312">
        <f t="shared" ca="1" si="10"/>
        <v>4717343.329847075</v>
      </c>
      <c r="S39" s="312">
        <f t="shared" ca="1" si="10"/>
        <v>-464954.10290996451</v>
      </c>
      <c r="T39" s="312">
        <f t="shared" ca="1" si="10"/>
        <v>1993676.8039329187</v>
      </c>
      <c r="U39" s="312">
        <f t="shared" ca="1" si="10"/>
        <v>70544.929836867959</v>
      </c>
      <c r="V39" s="312">
        <f t="shared" ca="1" si="10"/>
        <v>0</v>
      </c>
      <c r="W39" s="312">
        <f t="shared" ca="1" si="5"/>
        <v>0</v>
      </c>
      <c r="X39" s="312">
        <f t="shared" ca="1" si="5"/>
        <v>536640.58819751546</v>
      </c>
      <c r="Y39" s="312" t="e">
        <f t="shared" ca="1" si="5"/>
        <v>#REF!</v>
      </c>
      <c r="Z39" s="312" t="e">
        <f t="shared" ca="1" si="5"/>
        <v>#REF!</v>
      </c>
      <c r="AA39" s="312" t="e">
        <f t="shared" ca="1" si="8"/>
        <v>#REF!</v>
      </c>
      <c r="AB39" s="312" t="e">
        <f t="shared" ca="1" si="8"/>
        <v>#REF!</v>
      </c>
      <c r="AC39" s="312" t="e">
        <f t="shared" ca="1" si="8"/>
        <v>#REF!</v>
      </c>
      <c r="AD39" s="312" t="e">
        <f t="shared" ca="1" si="8"/>
        <v>#REF!</v>
      </c>
      <c r="AE39" s="312" t="e">
        <f t="shared" ca="1" si="8"/>
        <v>#REF!</v>
      </c>
      <c r="AF39" s="312" t="e">
        <f t="shared" ca="1" si="6"/>
        <v>#REF!</v>
      </c>
    </row>
    <row r="40" spans="1:32">
      <c r="A40">
        <f t="shared" si="4"/>
        <v>2045</v>
      </c>
      <c r="B40" s="312">
        <f t="shared" ca="1" si="9"/>
        <v>-1250000</v>
      </c>
      <c r="C40" s="312">
        <f t="shared" ca="1" si="9"/>
        <v>1041261.3395989239</v>
      </c>
      <c r="D40" s="312">
        <f t="shared" ca="1" si="9"/>
        <v>-3291.6951485868012</v>
      </c>
      <c r="E40" s="312">
        <f t="shared" ca="1" si="9"/>
        <v>1847758.3143644382</v>
      </c>
      <c r="F40" s="312">
        <f t="shared" ca="1" si="9"/>
        <v>1768258.5475475313</v>
      </c>
      <c r="G40" s="312">
        <f t="shared" ca="1" si="9"/>
        <v>1352448.8101774326</v>
      </c>
      <c r="H40" s="312">
        <f t="shared" ca="1" si="9"/>
        <v>527771.74039144302</v>
      </c>
      <c r="I40" s="312">
        <f t="shared" ca="1" si="9"/>
        <v>337800.40741942142</v>
      </c>
      <c r="J40" s="312">
        <f t="shared" ca="1" si="9"/>
        <v>151515.76591912739</v>
      </c>
      <c r="K40" s="312">
        <f t="shared" ca="1" si="9"/>
        <v>5146.8486406999073</v>
      </c>
      <c r="L40" s="312">
        <f t="shared" ca="1" si="9"/>
        <v>0</v>
      </c>
      <c r="M40" s="312">
        <f t="shared" ca="1" si="9"/>
        <v>60027.191910961184</v>
      </c>
      <c r="N40" s="312">
        <f t="shared" ca="1" si="9"/>
        <v>87614.690757761404</v>
      </c>
      <c r="O40" s="312">
        <f t="shared" ca="1" si="9"/>
        <v>832972.99615942151</v>
      </c>
      <c r="P40" s="312">
        <f t="shared" ca="1" si="9"/>
        <v>2753480.3733196943</v>
      </c>
      <c r="Q40" s="312">
        <f t="shared" ca="1" si="9"/>
        <v>9905457.256653171</v>
      </c>
      <c r="R40" s="312">
        <f t="shared" ca="1" si="10"/>
        <v>4769434.2249688655</v>
      </c>
      <c r="S40" s="312">
        <f t="shared" ca="1" si="10"/>
        <v>-471224.7682066448</v>
      </c>
      <c r="T40" s="312">
        <f t="shared" ca="1" si="10"/>
        <v>2003645.187952583</v>
      </c>
      <c r="U40" s="312">
        <f t="shared" ca="1" si="10"/>
        <v>70897.654486052284</v>
      </c>
      <c r="V40" s="312">
        <f t="shared" ca="1" si="10"/>
        <v>0</v>
      </c>
      <c r="W40" s="312">
        <f t="shared" ca="1" si="5"/>
        <v>0</v>
      </c>
      <c r="X40" s="312">
        <f t="shared" ca="1" si="5"/>
        <v>538638.96262771834</v>
      </c>
      <c r="Y40" s="312" t="e">
        <f t="shared" ca="1" si="5"/>
        <v>#REF!</v>
      </c>
      <c r="Z40" s="312" t="e">
        <f t="shared" ca="1" si="5"/>
        <v>#REF!</v>
      </c>
      <c r="AA40" s="312" t="e">
        <f t="shared" ca="1" si="8"/>
        <v>#REF!</v>
      </c>
      <c r="AB40" s="312" t="e">
        <f t="shared" ca="1" si="8"/>
        <v>#REF!</v>
      </c>
      <c r="AC40" s="312" t="e">
        <f t="shared" ca="1" si="8"/>
        <v>#REF!</v>
      </c>
      <c r="AD40" s="312" t="e">
        <f t="shared" ca="1" si="8"/>
        <v>#REF!</v>
      </c>
      <c r="AE40" s="312" t="e">
        <f t="shared" ca="1" si="8"/>
        <v>#REF!</v>
      </c>
      <c r="AF40" s="312" t="e">
        <f t="shared" ca="1" si="6"/>
        <v>#REF!</v>
      </c>
    </row>
    <row r="41" spans="1:32">
      <c r="A41">
        <f>A40+1</f>
        <v>2046</v>
      </c>
      <c r="B41" s="312">
        <f t="shared" ca="1" si="9"/>
        <v>-1250000</v>
      </c>
      <c r="C41" s="312">
        <f t="shared" ca="1" si="9"/>
        <v>1047467.6462969184</v>
      </c>
      <c r="D41" s="312">
        <f t="shared" ca="1" si="9"/>
        <v>-3203.0336243297388</v>
      </c>
      <c r="E41" s="312">
        <f t="shared" ca="1" si="9"/>
        <v>1855447.5106562597</v>
      </c>
      <c r="F41" s="312">
        <f t="shared" ca="1" si="9"/>
        <v>1776430.4228452686</v>
      </c>
      <c r="G41" s="312">
        <f t="shared" ca="1" si="9"/>
        <v>1357570.2991883194</v>
      </c>
      <c r="H41" s="312">
        <f t="shared" ca="1" si="9"/>
        <v>534852.09826016694</v>
      </c>
      <c r="I41" s="312">
        <f t="shared" ca="1" si="9"/>
        <v>339489.40945651842</v>
      </c>
      <c r="J41" s="312">
        <f t="shared" ca="1" si="9"/>
        <v>152273.34474872297</v>
      </c>
      <c r="K41" s="312">
        <f t="shared" ca="1" si="9"/>
        <v>5172.5828839034039</v>
      </c>
      <c r="L41" s="312">
        <f t="shared" ca="1" si="9"/>
        <v>0</v>
      </c>
      <c r="M41" s="312">
        <f t="shared" ca="1" si="9"/>
        <v>59724.039334134119</v>
      </c>
      <c r="N41" s="312">
        <f t="shared" ca="1" si="9"/>
        <v>88052.76421155018</v>
      </c>
      <c r="O41" s="312">
        <f t="shared" ca="1" si="9"/>
        <v>837137.86114021833</v>
      </c>
      <c r="P41" s="312">
        <f t="shared" ca="1" si="9"/>
        <v>2827388.460812862</v>
      </c>
      <c r="Q41" s="312">
        <f t="shared" ca="1" si="9"/>
        <v>10224612.796967246</v>
      </c>
      <c r="R41" s="312">
        <f t="shared" ca="1" si="10"/>
        <v>4821785.5745662618</v>
      </c>
      <c r="S41" s="312">
        <f t="shared" ca="1" si="10"/>
        <v>-477546.51630371995</v>
      </c>
      <c r="T41" s="312">
        <f t="shared" ca="1" si="10"/>
        <v>2013663.4138923453</v>
      </c>
      <c r="U41" s="312">
        <f t="shared" ca="1" si="10"/>
        <v>71252.142758482529</v>
      </c>
      <c r="V41" s="312">
        <f t="shared" ca="1" si="10"/>
        <v>0</v>
      </c>
      <c r="W41" s="312">
        <f t="shared" ca="1" si="5"/>
        <v>0</v>
      </c>
      <c r="X41" s="312">
        <f t="shared" ca="1" si="5"/>
        <v>540640.72375167708</v>
      </c>
      <c r="Y41" s="312" t="e">
        <f t="shared" ca="1" si="5"/>
        <v>#REF!</v>
      </c>
      <c r="Z41" s="312" t="e">
        <f t="shared" ca="1" si="5"/>
        <v>#REF!</v>
      </c>
      <c r="AA41" s="312" t="e">
        <f t="shared" ca="1" si="8"/>
        <v>#REF!</v>
      </c>
      <c r="AB41" s="312" t="e">
        <f t="shared" ca="1" si="8"/>
        <v>#REF!</v>
      </c>
      <c r="AC41" s="312" t="e">
        <f t="shared" ca="1" si="8"/>
        <v>#REF!</v>
      </c>
      <c r="AD41" s="312" t="e">
        <f t="shared" ca="1" si="8"/>
        <v>#REF!</v>
      </c>
      <c r="AE41" s="312" t="e">
        <f t="shared" ca="1" si="8"/>
        <v>#REF!</v>
      </c>
      <c r="AF41" s="312" t="e">
        <f t="shared" ca="1" si="6"/>
        <v>#REF!</v>
      </c>
    </row>
    <row r="42" spans="1:32">
      <c r="A42">
        <f t="shared" si="4"/>
        <v>2047</v>
      </c>
      <c r="B42" s="312">
        <f t="shared" ca="1" si="9"/>
        <v>-1250000</v>
      </c>
      <c r="C42" s="312">
        <f t="shared" ca="1" si="9"/>
        <v>1053704.9845284037</v>
      </c>
      <c r="D42" s="312">
        <f t="shared" ca="1" si="9"/>
        <v>-3113.9287924513919</v>
      </c>
      <c r="E42" s="312">
        <f t="shared" ca="1" si="9"/>
        <v>1863175.1529295407</v>
      </c>
      <c r="F42" s="312">
        <f t="shared" ca="1" si="9"/>
        <v>1784643.1575194946</v>
      </c>
      <c r="G42" s="312">
        <f t="shared" ca="1" si="9"/>
        <v>1362717.3956442606</v>
      </c>
      <c r="H42" s="312">
        <f t="shared" ca="1" si="9"/>
        <v>541990.06541406864</v>
      </c>
      <c r="I42" s="312">
        <f t="shared" ca="1" si="9"/>
        <v>341186.85650380095</v>
      </c>
      <c r="J42" s="312">
        <f t="shared" ca="1" si="9"/>
        <v>153034.71147246653</v>
      </c>
      <c r="K42" s="312">
        <f t="shared" ca="1" si="9"/>
        <v>5198.4457983229195</v>
      </c>
      <c r="L42" s="312">
        <f t="shared" ca="1" si="9"/>
        <v>0</v>
      </c>
      <c r="M42" s="312">
        <f t="shared" ca="1" si="9"/>
        <v>59422.385911337165</v>
      </c>
      <c r="N42" s="312">
        <f t="shared" ca="1" si="9"/>
        <v>88493.028032607923</v>
      </c>
      <c r="O42" s="312">
        <f t="shared" ca="1" si="9"/>
        <v>841323.55044591927</v>
      </c>
      <c r="P42" s="312">
        <f t="shared" ca="1" si="9"/>
        <v>2901984.8179806438</v>
      </c>
      <c r="Q42" s="312">
        <f t="shared" ca="1" si="9"/>
        <v>10546372.895394152</v>
      </c>
      <c r="R42" s="312">
        <f t="shared" ca="1" si="10"/>
        <v>4874398.6809116472</v>
      </c>
      <c r="S42" s="312">
        <f t="shared" ca="1" si="10"/>
        <v>-483919.70126256067</v>
      </c>
      <c r="T42" s="312">
        <f t="shared" ca="1" si="10"/>
        <v>2023731.7309618066</v>
      </c>
      <c r="U42" s="312">
        <f t="shared" ca="1" si="10"/>
        <v>71608.40347227492</v>
      </c>
      <c r="V42" s="312">
        <f t="shared" ca="1" si="10"/>
        <v>0</v>
      </c>
      <c r="W42" s="312">
        <f t="shared" ca="1" si="5"/>
        <v>0</v>
      </c>
      <c r="X42" s="312">
        <f t="shared" ca="1" si="5"/>
        <v>542645.91855962179</v>
      </c>
      <c r="Y42" s="312" t="e">
        <f t="shared" ca="1" si="5"/>
        <v>#REF!</v>
      </c>
      <c r="Z42" s="312" t="e">
        <f t="shared" ca="1" si="5"/>
        <v>#REF!</v>
      </c>
      <c r="AA42" s="312" t="e">
        <f t="shared" ca="1" si="8"/>
        <v>#REF!</v>
      </c>
      <c r="AB42" s="312" t="e">
        <f t="shared" ca="1" si="8"/>
        <v>#REF!</v>
      </c>
      <c r="AC42" s="312" t="e">
        <f t="shared" ca="1" si="8"/>
        <v>#REF!</v>
      </c>
      <c r="AD42" s="312" t="e">
        <f t="shared" ca="1" si="8"/>
        <v>#REF!</v>
      </c>
      <c r="AE42" s="312" t="e">
        <f t="shared" ca="1" si="8"/>
        <v>#REF!</v>
      </c>
      <c r="AF42" s="312" t="e">
        <f t="shared" ca="1" si="6"/>
        <v>#REF!</v>
      </c>
    </row>
    <row r="43" spans="1:32">
      <c r="A43">
        <f t="shared" si="4"/>
        <v>2048</v>
      </c>
      <c r="B43" s="312">
        <f t="shared" ca="1" si="9"/>
        <v>-1250000</v>
      </c>
      <c r="C43" s="312">
        <f t="shared" ca="1" si="9"/>
        <v>1059973.5094510429</v>
      </c>
      <c r="D43" s="312">
        <f t="shared" ca="1" si="9"/>
        <v>-3024.3784364136518</v>
      </c>
      <c r="E43" s="312">
        <f t="shared" ca="1" si="9"/>
        <v>1870941.4334141887</v>
      </c>
      <c r="F43" s="312">
        <f t="shared" ca="1" si="9"/>
        <v>1792896.9558670921</v>
      </c>
      <c r="G43" s="312">
        <f t="shared" ca="1" si="9"/>
        <v>1367890.2275824822</v>
      </c>
      <c r="H43" s="312">
        <f t="shared" ca="1" si="9"/>
        <v>549186.04093705327</v>
      </c>
      <c r="I43" s="312">
        <f t="shared" ca="1" si="9"/>
        <v>342892.79078631994</v>
      </c>
      <c r="J43" s="312">
        <f t="shared" ca="1" si="9"/>
        <v>153799.8850298289</v>
      </c>
      <c r="K43" s="312">
        <f t="shared" ca="1" si="9"/>
        <v>5224.4380273145352</v>
      </c>
      <c r="L43" s="312">
        <f t="shared" ca="1" si="9"/>
        <v>0</v>
      </c>
      <c r="M43" s="312">
        <f t="shared" ca="1" si="9"/>
        <v>59122.387107289025</v>
      </c>
      <c r="N43" s="312">
        <f t="shared" ca="1" si="9"/>
        <v>88935.493172770948</v>
      </c>
      <c r="O43" s="312">
        <f t="shared" ca="1" si="9"/>
        <v>845530.16819814884</v>
      </c>
      <c r="P43" s="312">
        <f t="shared" ca="1" si="9"/>
        <v>2977273.0046279836</v>
      </c>
      <c r="Q43" s="312">
        <f t="shared" ca="1" si="9"/>
        <v>10870756.550936569</v>
      </c>
      <c r="R43" s="312">
        <f t="shared" ca="1" si="10"/>
        <v>4927274.8527887594</v>
      </c>
      <c r="S43" s="312">
        <f t="shared" ca="1" si="10"/>
        <v>-490344.67940808367</v>
      </c>
      <c r="T43" s="312">
        <f t="shared" ca="1" si="10"/>
        <v>2033850.3896166154</v>
      </c>
      <c r="U43" s="312">
        <f t="shared" ca="1" si="10"/>
        <v>71966.445489636288</v>
      </c>
      <c r="V43" s="312">
        <f t="shared" ca="1" si="10"/>
        <v>0</v>
      </c>
      <c r="W43" s="312">
        <f t="shared" ca="1" si="5"/>
        <v>0</v>
      </c>
      <c r="X43" s="312">
        <f t="shared" ca="1" si="5"/>
        <v>544654.59254361899</v>
      </c>
      <c r="Y43" s="312" t="e">
        <f t="shared" ca="1" si="5"/>
        <v>#REF!</v>
      </c>
      <c r="Z43" s="312" t="e">
        <f t="shared" ca="1" si="5"/>
        <v>#REF!</v>
      </c>
      <c r="AA43" s="312" t="e">
        <f t="shared" ca="1" si="8"/>
        <v>#REF!</v>
      </c>
      <c r="AB43" s="312" t="e">
        <f t="shared" ca="1" si="8"/>
        <v>#REF!</v>
      </c>
      <c r="AC43" s="312" t="e">
        <f t="shared" ca="1" si="8"/>
        <v>#REF!</v>
      </c>
      <c r="AD43" s="312" t="e">
        <f t="shared" ca="1" si="8"/>
        <v>#REF!</v>
      </c>
      <c r="AE43" s="312" t="e">
        <f t="shared" ca="1" si="8"/>
        <v>#REF!</v>
      </c>
      <c r="AF43" s="312" t="e">
        <f t="shared" ca="1" si="6"/>
        <v>#REF!</v>
      </c>
    </row>
    <row r="44" spans="1:32">
      <c r="A44">
        <f t="shared" si="4"/>
        <v>2049</v>
      </c>
      <c r="B44" s="312">
        <f t="shared" ca="1" si="9"/>
        <v>-1250000</v>
      </c>
      <c r="C44" s="312">
        <f t="shared" ca="1" si="9"/>
        <v>1066273.3769982979</v>
      </c>
      <c r="D44" s="312">
        <f t="shared" ca="1" si="9"/>
        <v>-2934.3803285957219</v>
      </c>
      <c r="E44" s="312">
        <f t="shared" ca="1" si="9"/>
        <v>1878746.545301259</v>
      </c>
      <c r="F44" s="312">
        <f t="shared" ca="1" si="9"/>
        <v>1801192.0232064272</v>
      </c>
      <c r="G44" s="312">
        <f t="shared" ca="1" si="9"/>
        <v>1373088.9236803944</v>
      </c>
      <c r="H44" s="312">
        <f t="shared" ca="1" si="9"/>
        <v>556440.42646363203</v>
      </c>
      <c r="I44" s="312">
        <f t="shared" ca="1" si="9"/>
        <v>344607.25474025146</v>
      </c>
      <c r="J44" s="312">
        <f t="shared" ca="1" si="9"/>
        <v>154568.88445497799</v>
      </c>
      <c r="K44" s="312">
        <f t="shared" ca="1" si="9"/>
        <v>5250.5602174511068</v>
      </c>
      <c r="L44" s="312">
        <f t="shared" ca="1" si="9"/>
        <v>0</v>
      </c>
      <c r="M44" s="312">
        <f t="shared" ca="1" si="9"/>
        <v>58823.788077021061</v>
      </c>
      <c r="N44" s="312">
        <f t="shared" ca="1" si="9"/>
        <v>89380.170638634794</v>
      </c>
      <c r="O44" s="312">
        <f t="shared" ca="1" si="9"/>
        <v>849757.81903913943</v>
      </c>
      <c r="P44" s="312">
        <f t="shared" ca="1" si="9"/>
        <v>3053256.6477260254</v>
      </c>
      <c r="Q44" s="312">
        <f t="shared" ca="1" si="9"/>
        <v>11197782.887473233</v>
      </c>
      <c r="R44" s="312">
        <f t="shared" ca="1" si="10"/>
        <v>4980415.4055252578</v>
      </c>
      <c r="S44" s="312">
        <f t="shared" ca="1" si="10"/>
        <v>-496821.80934252869</v>
      </c>
      <c r="T44" s="312">
        <f t="shared" ca="1" si="10"/>
        <v>2044019.6415646982</v>
      </c>
      <c r="U44" s="312">
        <f t="shared" ca="1" si="10"/>
        <v>72326.277717084464</v>
      </c>
      <c r="V44" s="312">
        <f t="shared" ca="1" si="10"/>
        <v>0</v>
      </c>
      <c r="W44" s="312">
        <f t="shared" ca="1" si="5"/>
        <v>0</v>
      </c>
      <c r="X44" s="312">
        <f t="shared" ca="1" si="5"/>
        <v>546666.78975363541</v>
      </c>
      <c r="Y44" s="312" t="e">
        <f t="shared" ca="1" si="5"/>
        <v>#REF!</v>
      </c>
      <c r="Z44" s="312" t="e">
        <f t="shared" ca="1" si="5"/>
        <v>#REF!</v>
      </c>
      <c r="AA44" s="312" t="e">
        <f t="shared" ca="1" si="8"/>
        <v>#REF!</v>
      </c>
      <c r="AB44" s="312" t="e">
        <f t="shared" ca="1" si="8"/>
        <v>#REF!</v>
      </c>
      <c r="AC44" s="312" t="e">
        <f t="shared" ca="1" si="8"/>
        <v>#REF!</v>
      </c>
      <c r="AD44" s="312" t="e">
        <f t="shared" ca="1" si="8"/>
        <v>#REF!</v>
      </c>
      <c r="AE44" s="312" t="e">
        <f t="shared" ca="1" si="8"/>
        <v>#REF!</v>
      </c>
      <c r="AF44" s="312" t="e">
        <f t="shared" ca="1" si="6"/>
        <v>#REF!</v>
      </c>
    </row>
    <row r="45" spans="1:32">
      <c r="A45">
        <f t="shared" si="4"/>
        <v>2050</v>
      </c>
      <c r="B45" s="312">
        <f t="shared" ca="1" si="9"/>
        <v>-1250000</v>
      </c>
      <c r="C45" s="312">
        <f t="shared" ca="1" si="9"/>
        <v>1072604.7438832894</v>
      </c>
      <c r="D45" s="312">
        <f t="shared" ca="1" si="9"/>
        <v>-2843.9322302387009</v>
      </c>
      <c r="E45" s="312">
        <f t="shared" ca="1" si="9"/>
        <v>1886590.6827477654</v>
      </c>
      <c r="F45" s="312">
        <f t="shared" ca="1" si="9"/>
        <v>1809528.5658824593</v>
      </c>
      <c r="G45" s="312">
        <f t="shared" ca="1" si="9"/>
        <v>1378313.6132587963</v>
      </c>
      <c r="H45" s="312">
        <f t="shared" ca="1" si="9"/>
        <v>563753.62619445322</v>
      </c>
      <c r="I45" s="312">
        <f t="shared" ca="1" si="9"/>
        <v>346330.29101395269</v>
      </c>
      <c r="J45" s="312">
        <f t="shared" ca="1" si="9"/>
        <v>155341.72887725296</v>
      </c>
      <c r="K45" s="312">
        <f t="shared" ca="1" si="9"/>
        <v>5276.8130185383625</v>
      </c>
      <c r="L45" s="312">
        <f t="shared" ca="1" si="9"/>
        <v>0</v>
      </c>
      <c r="M45" s="312">
        <f t="shared" ca="1" si="9"/>
        <v>59117.907017406164</v>
      </c>
      <c r="N45" s="312">
        <f t="shared" ca="1" si="9"/>
        <v>89827.071491827955</v>
      </c>
      <c r="O45" s="312">
        <f t="shared" ca="1" si="9"/>
        <v>854006.60813433502</v>
      </c>
      <c r="P45" s="312">
        <f t="shared" ca="1" si="9"/>
        <v>3129939.4401402161</v>
      </c>
      <c r="Q45" s="312">
        <f t="shared" ca="1" si="9"/>
        <v>11527471.154532753</v>
      </c>
      <c r="R45" s="312">
        <f t="shared" ca="1" si="10"/>
        <v>5033821.6610254385</v>
      </c>
      <c r="S45" s="312">
        <f t="shared" ca="1" si="10"/>
        <v>-503351.45195933338</v>
      </c>
      <c r="T45" s="312">
        <f t="shared" ca="1" si="10"/>
        <v>2054239.7397725217</v>
      </c>
      <c r="U45" s="312">
        <f t="shared" ca="1" si="10"/>
        <v>72687.909105669882</v>
      </c>
      <c r="V45" s="312">
        <f t="shared" ca="1" si="10"/>
        <v>0</v>
      </c>
      <c r="W45" s="312">
        <f t="shared" ca="1" si="5"/>
        <v>0</v>
      </c>
      <c r="X45" s="312">
        <f t="shared" ca="1" si="5"/>
        <v>548682.55285084737</v>
      </c>
      <c r="Y45" s="312" t="e">
        <f t="shared" ca="1" si="5"/>
        <v>#REF!</v>
      </c>
      <c r="Z45" s="312" t="e">
        <f t="shared" ca="1" si="5"/>
        <v>#REF!</v>
      </c>
      <c r="AA45" s="312" t="e">
        <f t="shared" ca="1" si="8"/>
        <v>#REF!</v>
      </c>
      <c r="AB45" s="312" t="e">
        <f t="shared" ca="1" si="8"/>
        <v>#REF!</v>
      </c>
      <c r="AC45" s="312" t="e">
        <f t="shared" ca="1" si="8"/>
        <v>#REF!</v>
      </c>
      <c r="AD45" s="312" t="e">
        <f t="shared" ca="1" si="8"/>
        <v>#REF!</v>
      </c>
      <c r="AE45" s="312" t="e">
        <f t="shared" ca="1" si="8"/>
        <v>#REF!</v>
      </c>
      <c r="AF45" s="312" t="e">
        <f t="shared" ca="1" si="6"/>
        <v>#REF!</v>
      </c>
    </row>
    <row r="47" spans="1:32">
      <c r="B47" s="364">
        <f ca="1">COUNTIF(PortfolioDashboard!$AF$3:$BM$3,B4)</f>
        <v>0</v>
      </c>
      <c r="C47" s="364">
        <f ca="1">COUNTIF(PortfolioDashboard!$AF$3:$BM$3,C4)</f>
        <v>0</v>
      </c>
      <c r="D47" s="364">
        <f ca="1">COUNTIF(PortfolioDashboard!$AF$3:$BM$3,D4)</f>
        <v>1</v>
      </c>
      <c r="E47" s="364">
        <f ca="1">COUNTIF(PortfolioDashboard!$AF$3:$BM$3,E4)</f>
        <v>1</v>
      </c>
      <c r="F47" s="364">
        <f ca="1">COUNTIF(PortfolioDashboard!$AF$3:$BM$3,F4)</f>
        <v>1</v>
      </c>
      <c r="G47" s="364">
        <f ca="1">COUNTIF(PortfolioDashboard!$AF$3:$BM$3,G4)</f>
        <v>1</v>
      </c>
      <c r="H47" s="364">
        <f ca="1">COUNTIF(PortfolioDashboard!$AF$3:$BM$3,H4)</f>
        <v>1</v>
      </c>
      <c r="I47" s="364">
        <f ca="1">COUNTIF(PortfolioDashboard!$AF$3:$BM$3,I4)</f>
        <v>0</v>
      </c>
      <c r="J47" s="364">
        <f ca="1">COUNTIF(PortfolioDashboard!$AF$3:$BM$3,J4)</f>
        <v>1</v>
      </c>
      <c r="K47" s="364">
        <f ca="1">COUNTIF(PortfolioDashboard!$AF$3:$BM$3,K4)</f>
        <v>1</v>
      </c>
      <c r="L47" s="364">
        <f ca="1">COUNTIF(PortfolioDashboard!$AF$3:$BM$3,L4)</f>
        <v>1</v>
      </c>
      <c r="M47" s="364">
        <f ca="1">COUNTIF(PortfolioDashboard!$AF$3:$BM$3,M4)</f>
        <v>0</v>
      </c>
      <c r="N47" s="364">
        <f ca="1">COUNTIF(PortfolioDashboard!$AF$3:$BM$3,N4)</f>
        <v>0</v>
      </c>
      <c r="O47" s="364">
        <f ca="1">COUNTIF(PortfolioDashboard!$AF$3:$BM$3,O4)</f>
        <v>1</v>
      </c>
      <c r="P47" s="364">
        <f ca="1">COUNTIF(PortfolioDashboard!$AF$3:$BM$3,P4)</f>
        <v>1</v>
      </c>
      <c r="Q47" s="364">
        <f ca="1">COUNTIF(PortfolioDashboard!$AF$3:$BM$3,Q4)</f>
        <v>1</v>
      </c>
      <c r="R47" s="364">
        <f ca="1">COUNTIF(PortfolioDashboard!$AF$3:$BM$3,R4)</f>
        <v>0</v>
      </c>
      <c r="S47" s="364">
        <f ca="1">COUNTIF(PortfolioDashboard!$AF$3:$BM$3,S4)</f>
        <v>1</v>
      </c>
      <c r="T47" s="364">
        <f ca="1">COUNTIF(PortfolioDashboard!$AF$3:$BM$3,T4)</f>
        <v>1</v>
      </c>
      <c r="U47" s="364">
        <f ca="1">COUNTIF(PortfolioDashboard!$AF$3:$BM$3,U4)</f>
        <v>1</v>
      </c>
      <c r="V47" s="364">
        <f ca="1">COUNTIF(PortfolioDashboard!$AF$3:$BM$3,V4)</f>
        <v>1</v>
      </c>
      <c r="W47" s="364">
        <f ca="1">COUNTIF(PortfolioDashboard!$AF$3:$BM$3,W4)</f>
        <v>1</v>
      </c>
      <c r="X47" s="364">
        <f ca="1">COUNTIF(PortfolioDashboard!$AF$3:$BM$3,X4)</f>
        <v>1</v>
      </c>
      <c r="Y47" s="364">
        <f ca="1">COUNTIF(PortfolioDashboard!$AF$3:$BM$3,Y4)</f>
        <v>0</v>
      </c>
      <c r="Z47" s="364">
        <f ca="1">COUNTIF(PortfolioDashboard!$AF$3:$BM$3,Z4)</f>
        <v>0</v>
      </c>
      <c r="AA47" s="364">
        <f ca="1">COUNTIF(PortfolioDashboard!$AF$3:$BM$3,AA4)</f>
        <v>0</v>
      </c>
      <c r="AB47" s="364">
        <f ca="1">COUNTIF(PortfolioDashboard!$AF$3:$BM$3,AB4)</f>
        <v>0</v>
      </c>
      <c r="AC47" s="364">
        <f ca="1">COUNTIF(PortfolioDashboard!$AF$3:$BM$3,AC4)</f>
        <v>0</v>
      </c>
      <c r="AD47" s="364">
        <f ca="1">COUNTIF(PortfolioDashboard!$AF$3:$BM$3,AD4)</f>
        <v>0</v>
      </c>
      <c r="AE47" s="364">
        <f ca="1">COUNTIF(PortfolioDashboard!$AF$3:$BM$3,AE4)</f>
        <v>0</v>
      </c>
      <c r="AF47" s="364">
        <f ca="1">COUNTIF(PortfolioDashboard!$AF$3:$BM$3,AF4)</f>
        <v>0</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sheetPr codeName="Sheet100"/>
  <dimension ref="A1:AJ47"/>
  <sheetViews>
    <sheetView workbookViewId="0"/>
  </sheetViews>
  <sheetFormatPr defaultRowHeight="15"/>
  <cols>
    <col min="1" max="1" width="18.42578125" bestFit="1" customWidth="1"/>
    <col min="2" max="2" width="13.28515625" customWidth="1"/>
    <col min="3" max="18" width="11.7109375" customWidth="1"/>
    <col min="19" max="19" width="13.140625" customWidth="1"/>
    <col min="20" max="20" width="13.7109375" customWidth="1"/>
    <col min="21" max="21" width="13.42578125" customWidth="1"/>
    <col min="22" max="22" width="14" customWidth="1"/>
    <col min="23" max="24" width="11.7109375" customWidth="1"/>
    <col min="25" max="25" width="14.28515625" customWidth="1"/>
    <col min="26" max="26" width="14" customWidth="1"/>
    <col min="27" max="28" width="12.5703125" bestFit="1" customWidth="1"/>
    <col min="29" max="29" width="9.28515625" bestFit="1" customWidth="1"/>
    <col min="30" max="30" width="10" bestFit="1" customWidth="1"/>
    <col min="31" max="31" width="9.28515625" bestFit="1" customWidth="1"/>
  </cols>
  <sheetData>
    <row r="1" spans="1:36">
      <c r="B1" s="322" t="s">
        <v>298</v>
      </c>
      <c r="C1">
        <v>18</v>
      </c>
    </row>
    <row r="2" spans="1:36">
      <c r="B2" s="322" t="s">
        <v>299</v>
      </c>
      <c r="C2">
        <v>34</v>
      </c>
    </row>
    <row r="3" spans="1:36" ht="29.25" customHeight="1">
      <c r="A3" s="321" t="s">
        <v>306</v>
      </c>
      <c r="B3" s="264" t="str">
        <f ca="1">OFFSET(Control!$A$5,COLUMN(A3)-1,0)</f>
        <v>GreenPwr1</v>
      </c>
      <c r="C3" s="264" t="str">
        <f ca="1">OFFSET(Control!$A$5,COLUMN(B3)-1,0)</f>
        <v>GreenPwr2</v>
      </c>
      <c r="D3" s="264" t="str">
        <f ca="1">OFFSET(Control!$A$5,COLUMN(C3)-1,0)</f>
        <v>Wind</v>
      </c>
      <c r="E3" s="264" t="str">
        <f ca="1">OFFSET(Control!$A$5,COLUMN(D3)-1,0)</f>
        <v>ShortECM</v>
      </c>
      <c r="F3" s="264" t="str">
        <f ca="1">OFFSET(Control!$A$5,COLUMN(E3)-1,0)</f>
        <v>MidECM</v>
      </c>
      <c r="G3" s="264" t="str">
        <f ca="1">OFFSET(Control!$A$5,COLUMN(F3)-1,0)</f>
        <v>LongECM</v>
      </c>
      <c r="H3" s="264" t="str">
        <f ca="1">OFFSET(Control!$A$5,COLUMN(G3)-1,0)</f>
        <v>SteamLineImp</v>
      </c>
      <c r="I3" s="264" t="str">
        <f ca="1">OFFSET(Control!$A$5,COLUMN(H3)-1,0)</f>
        <v>UnitaryChiller</v>
      </c>
      <c r="J3" s="264" t="str">
        <f ca="1">OFFSET(Control!$A$5,COLUMN(I3)-1,0)</f>
        <v>GeoExchange</v>
      </c>
      <c r="K3" s="264" t="str">
        <f ca="1">OFFSET(Control!$A$5,COLUMN(J3)-1,0)</f>
        <v>SolarDHW</v>
      </c>
      <c r="L3" s="264" t="str">
        <f ca="1">OFFSET(Control!$A$5,COLUMN(K3)-1,0)</f>
        <v>WasteReduction</v>
      </c>
      <c r="M3" s="264" t="str">
        <f ca="1">OFFSET(Control!$A$5,COLUMN(L3)-1,0)</f>
        <v>DishStirling</v>
      </c>
      <c r="N3" s="264" t="str">
        <f ca="1">OFFSET(Control!$A$5,COLUMN(M3)-1,0)</f>
        <v>Parabolic</v>
      </c>
      <c r="O3" s="264" t="str">
        <f ca="1">OFFSET(Control!$A$5,COLUMN(N3)-1,0)</f>
        <v>GreenIT</v>
      </c>
      <c r="P3" s="264" t="str">
        <f ca="1">OFFSET(Control!$A$5,COLUMN(O3)-1,0)</f>
        <v>GreenBuild</v>
      </c>
      <c r="Q3" s="264" t="str">
        <f ca="1">OFFSET(Control!$A$5,COLUMN(P3)-1,0)</f>
        <v>SpacePlanning</v>
      </c>
      <c r="R3" s="264" t="str">
        <f ca="1">OFFSET(Control!$A$5,COLUMN(Q3)-1,0)</f>
        <v>CHP</v>
      </c>
      <c r="S3" s="264" t="str">
        <f ca="1">OFFSET(Control!$A$5,COLUMN(R3)-1,0)</f>
        <v>CoalToNG</v>
      </c>
      <c r="T3" s="264" t="str">
        <f ca="1">OFFSET(Control!$A$5,COLUMN(S3)-1,0)</f>
        <v>CentralChillerExp</v>
      </c>
      <c r="U3" s="264" t="str">
        <f ca="1">OFFSET(Control!$A$5,COLUMN(T3)-1,0)</f>
        <v>RooftopPV</v>
      </c>
      <c r="V3" s="264" t="str">
        <f ca="1">OFFSET(Control!$A$5,COLUMN(U3)-1,0)</f>
        <v>ReducedAir</v>
      </c>
      <c r="W3" s="264" t="str">
        <f ca="1">OFFSET(Control!$A$5,COLUMN(V3)-1,0)</f>
        <v>ReducedAuto</v>
      </c>
      <c r="X3" s="264" t="str">
        <f ca="1">OFFSET(Control!$A$5,COLUMN(W3)-1,0)</f>
        <v>BehaviorChange</v>
      </c>
      <c r="Y3" s="264">
        <f ca="1">OFFSET(Control!$A$5,COLUMN(X3)-1,0)</f>
        <v>0</v>
      </c>
      <c r="Z3" s="264">
        <f ca="1">OFFSET(Control!$A$5,COLUMN(Y3)-1,0)</f>
        <v>0</v>
      </c>
      <c r="AA3" s="264">
        <f ca="1">OFFSET(Control!$A$5,COLUMN(Z3)-1,0)</f>
        <v>0</v>
      </c>
      <c r="AB3" s="264">
        <f ca="1">OFFSET(Control!$A$5,COLUMN(AA3)-1,0)</f>
        <v>0</v>
      </c>
      <c r="AC3" s="264">
        <f ca="1">OFFSET(Control!$A$5,COLUMN(AB3)-1,0)</f>
        <v>0</v>
      </c>
      <c r="AD3" s="264">
        <f ca="1">OFFSET(Control!$A$5,COLUMN(AC3)-1,0)</f>
        <v>0</v>
      </c>
      <c r="AE3" s="264">
        <f ca="1">OFFSET(Control!$A$5,COLUMN(AD3)-1,0)</f>
        <v>0</v>
      </c>
      <c r="AF3" s="264">
        <f ca="1">OFFSET(Control!$A$5,COLUMN(AE3)-1,0)</f>
        <v>0</v>
      </c>
    </row>
    <row r="4" spans="1:36" ht="29.25" customHeight="1">
      <c r="A4" s="321"/>
      <c r="B4" s="264" t="str">
        <f ca="1">INDIRECT(B3)</f>
        <v>Green Power Purchase Opt 1 (Partial)</v>
      </c>
      <c r="C4" s="264" t="str">
        <f t="shared" ref="C4:AE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ca="1">INDIRECT(AF3)</f>
        <v>#REF!</v>
      </c>
    </row>
    <row r="5" spans="1:36">
      <c r="A5">
        <v>2010</v>
      </c>
      <c r="B5" s="312">
        <f t="shared" ref="B5:B21" ca="1" si="1">MIN(OFFSET(INDIRECT(B$3),$A5-$A$5+$C$1,$C$2),0)</f>
        <v>0</v>
      </c>
      <c r="C5" s="312">
        <f t="shared" ref="C5:R20" ca="1" si="2">MIN(OFFSET(INDIRECT(C$3),$A5-$A$5+$C$1,$C$2),0)</f>
        <v>0</v>
      </c>
      <c r="D5" s="312">
        <f t="shared" ca="1" si="2"/>
        <v>-100000</v>
      </c>
      <c r="E5" s="312">
        <f t="shared" ca="1" si="2"/>
        <v>0</v>
      </c>
      <c r="F5" s="312">
        <f t="shared" ca="1" si="2"/>
        <v>0</v>
      </c>
      <c r="G5" s="312">
        <f t="shared" ca="1" si="2"/>
        <v>0</v>
      </c>
      <c r="H5" s="312">
        <f t="shared" ca="1" si="2"/>
        <v>0</v>
      </c>
      <c r="I5" s="312">
        <f t="shared" ca="1" si="2"/>
        <v>0</v>
      </c>
      <c r="J5" s="312">
        <f t="shared" ca="1" si="2"/>
        <v>0</v>
      </c>
      <c r="K5" s="312">
        <f t="shared" ca="1" si="2"/>
        <v>0</v>
      </c>
      <c r="L5" s="312">
        <f t="shared" ca="1" si="2"/>
        <v>0</v>
      </c>
      <c r="M5" s="312">
        <f t="shared" ca="1" si="2"/>
        <v>0</v>
      </c>
      <c r="N5" s="312">
        <f t="shared" ca="1" si="2"/>
        <v>0</v>
      </c>
      <c r="O5" s="312">
        <f t="shared" ca="1" si="2"/>
        <v>0</v>
      </c>
      <c r="P5" s="312">
        <f t="shared" ca="1" si="2"/>
        <v>0</v>
      </c>
      <c r="Q5" s="312">
        <f t="shared" ca="1" si="2"/>
        <v>0</v>
      </c>
      <c r="R5" s="312">
        <f t="shared" ca="1" si="2"/>
        <v>0</v>
      </c>
      <c r="S5" s="312">
        <f t="shared" ref="S5:AF20" ca="1" si="3">MIN(OFFSET(INDIRECT(S$3),$A5-$A$5+$C$1,$C$2),0)</f>
        <v>0</v>
      </c>
      <c r="T5" s="312">
        <f t="shared" ca="1" si="3"/>
        <v>0</v>
      </c>
      <c r="U5" s="312">
        <f t="shared" ca="1" si="3"/>
        <v>0</v>
      </c>
      <c r="V5" s="312">
        <f t="shared" ca="1" si="3"/>
        <v>0</v>
      </c>
      <c r="W5" s="312">
        <f t="shared" ca="1" si="3"/>
        <v>0</v>
      </c>
      <c r="X5" s="312">
        <f t="shared" ca="1" si="3"/>
        <v>0</v>
      </c>
      <c r="Y5" s="312" t="e">
        <f t="shared" ca="1" si="3"/>
        <v>#REF!</v>
      </c>
      <c r="Z5" s="312" t="e">
        <f t="shared" ca="1" si="3"/>
        <v>#REF!</v>
      </c>
      <c r="AA5" s="312" t="e">
        <f t="shared" ca="1" si="3"/>
        <v>#REF!</v>
      </c>
      <c r="AB5" s="312" t="e">
        <f t="shared" ca="1" si="3"/>
        <v>#REF!</v>
      </c>
      <c r="AC5" s="312" t="e">
        <f t="shared" ca="1" si="3"/>
        <v>#REF!</v>
      </c>
      <c r="AD5" s="312" t="e">
        <f t="shared" ca="1" si="3"/>
        <v>#REF!</v>
      </c>
      <c r="AE5" s="312" t="e">
        <f t="shared" ca="1" si="3"/>
        <v>#REF!</v>
      </c>
      <c r="AF5" s="312" t="e">
        <f t="shared" ca="1" si="3"/>
        <v>#REF!</v>
      </c>
      <c r="AG5" s="312"/>
      <c r="AH5" s="312"/>
      <c r="AI5" s="312"/>
      <c r="AJ5" s="312"/>
    </row>
    <row r="6" spans="1:36">
      <c r="A6">
        <f>A5+1</f>
        <v>2011</v>
      </c>
      <c r="B6" s="312">
        <f t="shared" ca="1" si="1"/>
        <v>0</v>
      </c>
      <c r="C6" s="312">
        <f t="shared" ca="1" si="2"/>
        <v>0</v>
      </c>
      <c r="D6" s="312">
        <f t="shared" ca="1" si="2"/>
        <v>0</v>
      </c>
      <c r="E6" s="312">
        <f t="shared" ca="1" si="2"/>
        <v>-389653</v>
      </c>
      <c r="F6" s="312">
        <f t="shared" ca="1" si="2"/>
        <v>0</v>
      </c>
      <c r="G6" s="312">
        <f t="shared" ca="1" si="2"/>
        <v>0</v>
      </c>
      <c r="H6" s="312">
        <f t="shared" ca="1" si="2"/>
        <v>-600000</v>
      </c>
      <c r="I6" s="312">
        <f t="shared" ca="1" si="2"/>
        <v>0</v>
      </c>
      <c r="J6" s="312">
        <f t="shared" ca="1" si="2"/>
        <v>0</v>
      </c>
      <c r="K6" s="312">
        <f t="shared" ca="1" si="2"/>
        <v>-61400</v>
      </c>
      <c r="L6" s="312">
        <f t="shared" ca="1" si="2"/>
        <v>0</v>
      </c>
      <c r="M6" s="312">
        <f t="shared" ca="1" si="2"/>
        <v>0</v>
      </c>
      <c r="N6" s="312">
        <f t="shared" ca="1" si="2"/>
        <v>0</v>
      </c>
      <c r="O6" s="312">
        <f t="shared" ca="1" si="2"/>
        <v>0</v>
      </c>
      <c r="P6" s="312">
        <f t="shared" ca="1" si="2"/>
        <v>-440231.70731709298</v>
      </c>
      <c r="Q6" s="312">
        <f t="shared" ca="1" si="2"/>
        <v>0</v>
      </c>
      <c r="R6" s="312">
        <f t="shared" ca="1" si="2"/>
        <v>0</v>
      </c>
      <c r="S6" s="312">
        <f t="shared" ca="1" si="3"/>
        <v>0</v>
      </c>
      <c r="T6" s="312">
        <f t="shared" ca="1" si="3"/>
        <v>-600000</v>
      </c>
      <c r="U6" s="312">
        <f t="shared" ca="1" si="3"/>
        <v>0</v>
      </c>
      <c r="V6" s="312">
        <f t="shared" ca="1" si="3"/>
        <v>0</v>
      </c>
      <c r="W6" s="312">
        <f t="shared" ca="1" si="3"/>
        <v>0</v>
      </c>
      <c r="X6" s="312">
        <f t="shared" ca="1" si="3"/>
        <v>0</v>
      </c>
      <c r="Y6" s="312" t="e">
        <f t="shared" ca="1" si="3"/>
        <v>#REF!</v>
      </c>
      <c r="Z6" s="312" t="e">
        <f t="shared" ca="1" si="3"/>
        <v>#REF!</v>
      </c>
      <c r="AA6" s="312" t="e">
        <f t="shared" ca="1" si="3"/>
        <v>#REF!</v>
      </c>
      <c r="AB6" s="312" t="e">
        <f t="shared" ca="1" si="3"/>
        <v>#REF!</v>
      </c>
      <c r="AC6" s="312" t="e">
        <f t="shared" ca="1" si="3"/>
        <v>#REF!</v>
      </c>
      <c r="AD6" s="312" t="e">
        <f t="shared" ca="1" si="3"/>
        <v>#REF!</v>
      </c>
      <c r="AE6" s="312" t="e">
        <f t="shared" ca="1" si="3"/>
        <v>#REF!</v>
      </c>
      <c r="AF6" s="312" t="e">
        <f t="shared" ca="1" si="3"/>
        <v>#REF!</v>
      </c>
      <c r="AG6" s="312"/>
      <c r="AH6" s="312"/>
      <c r="AI6" s="312"/>
      <c r="AJ6" s="312"/>
    </row>
    <row r="7" spans="1:36">
      <c r="A7">
        <f t="shared" ref="A7:A45" si="4">A6+1</f>
        <v>2012</v>
      </c>
      <c r="B7" s="312">
        <f t="shared" ca="1" si="1"/>
        <v>0</v>
      </c>
      <c r="C7" s="312">
        <f t="shared" ca="1" si="2"/>
        <v>0</v>
      </c>
      <c r="D7" s="312">
        <f t="shared" ca="1" si="2"/>
        <v>0</v>
      </c>
      <c r="E7" s="312">
        <f t="shared" ca="1" si="2"/>
        <v>-389653</v>
      </c>
      <c r="F7" s="312">
        <f t="shared" ca="1" si="2"/>
        <v>0</v>
      </c>
      <c r="G7" s="312">
        <f t="shared" ca="1" si="2"/>
        <v>0</v>
      </c>
      <c r="H7" s="312">
        <f t="shared" ca="1" si="2"/>
        <v>0</v>
      </c>
      <c r="I7" s="312">
        <f t="shared" ca="1" si="2"/>
        <v>-2450000</v>
      </c>
      <c r="J7" s="312">
        <f t="shared" ca="1" si="2"/>
        <v>-862500</v>
      </c>
      <c r="K7" s="312">
        <f t="shared" ca="1" si="2"/>
        <v>0</v>
      </c>
      <c r="L7" s="312">
        <f t="shared" ca="1" si="2"/>
        <v>0</v>
      </c>
      <c r="M7" s="312">
        <f t="shared" ca="1" si="2"/>
        <v>0</v>
      </c>
      <c r="N7" s="312">
        <f t="shared" ca="1" si="2"/>
        <v>0</v>
      </c>
      <c r="O7" s="312">
        <f t="shared" ca="1" si="2"/>
        <v>-9333.3333333333339</v>
      </c>
      <c r="P7" s="312">
        <f t="shared" ca="1" si="2"/>
        <v>-2365231.7073170608</v>
      </c>
      <c r="Q7" s="312">
        <f t="shared" ca="1" si="2"/>
        <v>0</v>
      </c>
      <c r="R7" s="312">
        <f t="shared" ca="1" si="2"/>
        <v>0</v>
      </c>
      <c r="S7" s="312">
        <f t="shared" ca="1" si="3"/>
        <v>0</v>
      </c>
      <c r="T7" s="312">
        <f t="shared" ca="1" si="3"/>
        <v>0</v>
      </c>
      <c r="U7" s="312">
        <f t="shared" ca="1" si="3"/>
        <v>0</v>
      </c>
      <c r="V7" s="312">
        <f t="shared" ca="1" si="3"/>
        <v>0</v>
      </c>
      <c r="W7" s="312">
        <f t="shared" ca="1" si="3"/>
        <v>0</v>
      </c>
      <c r="X7" s="312">
        <f t="shared" ca="1" si="3"/>
        <v>0</v>
      </c>
      <c r="Y7" s="312" t="e">
        <f t="shared" ca="1" si="3"/>
        <v>#REF!</v>
      </c>
      <c r="Z7" s="312" t="e">
        <f t="shared" ca="1" si="3"/>
        <v>#REF!</v>
      </c>
      <c r="AA7" s="312" t="e">
        <f t="shared" ca="1" si="3"/>
        <v>#REF!</v>
      </c>
      <c r="AB7" s="312" t="e">
        <f t="shared" ca="1" si="3"/>
        <v>#REF!</v>
      </c>
      <c r="AC7" s="312" t="e">
        <f t="shared" ca="1" si="3"/>
        <v>#REF!</v>
      </c>
      <c r="AD7" s="312" t="e">
        <f t="shared" ca="1" si="3"/>
        <v>#REF!</v>
      </c>
      <c r="AE7" s="312" t="e">
        <f t="shared" ca="1" si="3"/>
        <v>#REF!</v>
      </c>
      <c r="AF7" s="312" t="e">
        <f t="shared" ca="1" si="3"/>
        <v>#REF!</v>
      </c>
      <c r="AG7" s="312"/>
      <c r="AH7" s="312"/>
      <c r="AI7" s="312"/>
      <c r="AJ7" s="312"/>
    </row>
    <row r="8" spans="1:36">
      <c r="A8">
        <f t="shared" si="4"/>
        <v>2013</v>
      </c>
      <c r="B8" s="312">
        <f t="shared" ca="1" si="1"/>
        <v>0</v>
      </c>
      <c r="C8" s="312">
        <f t="shared" ca="1" si="2"/>
        <v>0</v>
      </c>
      <c r="D8" s="312">
        <f t="shared" ca="1" si="2"/>
        <v>0</v>
      </c>
      <c r="E8" s="312">
        <f t="shared" ca="1" si="2"/>
        <v>-389653</v>
      </c>
      <c r="F8" s="312">
        <f t="shared" ca="1" si="2"/>
        <v>0</v>
      </c>
      <c r="G8" s="312">
        <f t="shared" ca="1" si="2"/>
        <v>0</v>
      </c>
      <c r="H8" s="312">
        <f t="shared" ca="1" si="2"/>
        <v>0</v>
      </c>
      <c r="I8" s="312">
        <f t="shared" ca="1" si="2"/>
        <v>-2775000</v>
      </c>
      <c r="J8" s="312">
        <f t="shared" ca="1" si="2"/>
        <v>0</v>
      </c>
      <c r="K8" s="312">
        <f t="shared" ca="1" si="2"/>
        <v>0</v>
      </c>
      <c r="L8" s="312">
        <f t="shared" ca="1" si="2"/>
        <v>0</v>
      </c>
      <c r="M8" s="312">
        <f t="shared" ca="1" si="2"/>
        <v>0</v>
      </c>
      <c r="N8" s="312">
        <f t="shared" ca="1" si="2"/>
        <v>0</v>
      </c>
      <c r="O8" s="312">
        <f t="shared" ca="1" si="2"/>
        <v>-9333.3333333333339</v>
      </c>
      <c r="P8" s="312">
        <f t="shared" ca="1" si="2"/>
        <v>-965231.70731707709</v>
      </c>
      <c r="Q8" s="312">
        <f t="shared" ca="1" si="2"/>
        <v>0</v>
      </c>
      <c r="R8" s="312">
        <f t="shared" ca="1" si="2"/>
        <v>0</v>
      </c>
      <c r="S8" s="312">
        <f t="shared" ca="1" si="3"/>
        <v>0</v>
      </c>
      <c r="T8" s="312">
        <f t="shared" ca="1" si="3"/>
        <v>-982035.34068419575</v>
      </c>
      <c r="U8" s="312">
        <f t="shared" ca="1" si="3"/>
        <v>0</v>
      </c>
      <c r="V8" s="312">
        <f t="shared" ca="1" si="3"/>
        <v>0</v>
      </c>
      <c r="W8" s="312">
        <f t="shared" ca="1" si="3"/>
        <v>0</v>
      </c>
      <c r="X8" s="312">
        <f t="shared" ca="1" si="3"/>
        <v>0</v>
      </c>
      <c r="Y8" s="312" t="e">
        <f t="shared" ca="1" si="3"/>
        <v>#REF!</v>
      </c>
      <c r="Z8" s="312" t="e">
        <f t="shared" ca="1" si="3"/>
        <v>#REF!</v>
      </c>
      <c r="AA8" s="312" t="e">
        <f t="shared" ca="1" si="3"/>
        <v>#REF!</v>
      </c>
      <c r="AB8" s="312" t="e">
        <f t="shared" ca="1" si="3"/>
        <v>#REF!</v>
      </c>
      <c r="AC8" s="312" t="e">
        <f t="shared" ca="1" si="3"/>
        <v>#REF!</v>
      </c>
      <c r="AD8" s="312" t="e">
        <f t="shared" ca="1" si="3"/>
        <v>#REF!</v>
      </c>
      <c r="AE8" s="312" t="e">
        <f t="shared" ca="1" si="3"/>
        <v>#REF!</v>
      </c>
      <c r="AF8" s="312" t="e">
        <f t="shared" ca="1" si="3"/>
        <v>#REF!</v>
      </c>
      <c r="AG8" s="312"/>
      <c r="AH8" s="312"/>
      <c r="AI8" s="312"/>
      <c r="AJ8" s="312"/>
    </row>
    <row r="9" spans="1:36">
      <c r="A9">
        <f t="shared" si="4"/>
        <v>2014</v>
      </c>
      <c r="B9" s="312">
        <f t="shared" ca="1" si="1"/>
        <v>0</v>
      </c>
      <c r="C9" s="312">
        <f t="shared" ca="1" si="2"/>
        <v>0</v>
      </c>
      <c r="D9" s="312">
        <f t="shared" ca="1" si="2"/>
        <v>0</v>
      </c>
      <c r="E9" s="312">
        <f t="shared" ca="1" si="2"/>
        <v>-389653</v>
      </c>
      <c r="F9" s="312">
        <f t="shared" ca="1" si="2"/>
        <v>0</v>
      </c>
      <c r="G9" s="312">
        <f t="shared" ca="1" si="2"/>
        <v>0</v>
      </c>
      <c r="H9" s="312">
        <f t="shared" ca="1" si="2"/>
        <v>0</v>
      </c>
      <c r="I9" s="312">
        <f t="shared" ca="1" si="2"/>
        <v>-1125000</v>
      </c>
      <c r="J9" s="312">
        <f t="shared" ca="1" si="2"/>
        <v>-862500</v>
      </c>
      <c r="K9" s="312">
        <f t="shared" ca="1" si="2"/>
        <v>0</v>
      </c>
      <c r="L9" s="312">
        <f t="shared" ca="1" si="2"/>
        <v>0</v>
      </c>
      <c r="M9" s="312">
        <f t="shared" ca="1" si="2"/>
        <v>0</v>
      </c>
      <c r="N9" s="312">
        <f t="shared" ca="1" si="2"/>
        <v>0</v>
      </c>
      <c r="O9" s="312">
        <f t="shared" ca="1" si="2"/>
        <v>-9333.3333333333339</v>
      </c>
      <c r="P9" s="312">
        <f t="shared" ca="1" si="2"/>
        <v>-440231.70731707709</v>
      </c>
      <c r="Q9" s="312">
        <f t="shared" ca="1" si="2"/>
        <v>0</v>
      </c>
      <c r="R9" s="312">
        <f t="shared" ca="1" si="2"/>
        <v>0</v>
      </c>
      <c r="S9" s="312">
        <f t="shared" ca="1" si="3"/>
        <v>0</v>
      </c>
      <c r="T9" s="312">
        <f t="shared" ca="1" si="3"/>
        <v>0</v>
      </c>
      <c r="U9" s="312">
        <f t="shared" ca="1" si="3"/>
        <v>-4243000</v>
      </c>
      <c r="V9" s="312">
        <f t="shared" ca="1" si="3"/>
        <v>0</v>
      </c>
      <c r="W9" s="312">
        <f t="shared" ca="1" si="3"/>
        <v>0</v>
      </c>
      <c r="X9" s="312">
        <f t="shared" ca="1" si="3"/>
        <v>0</v>
      </c>
      <c r="Y9" s="312" t="e">
        <f t="shared" ca="1" si="3"/>
        <v>#REF!</v>
      </c>
      <c r="Z9" s="312" t="e">
        <f t="shared" ca="1" si="3"/>
        <v>#REF!</v>
      </c>
      <c r="AA9" s="312" t="e">
        <f t="shared" ca="1" si="3"/>
        <v>#REF!</v>
      </c>
      <c r="AB9" s="312" t="e">
        <f t="shared" ca="1" si="3"/>
        <v>#REF!</v>
      </c>
      <c r="AC9" s="312" t="e">
        <f t="shared" ca="1" si="3"/>
        <v>#REF!</v>
      </c>
      <c r="AD9" s="312" t="e">
        <f t="shared" ca="1" si="3"/>
        <v>#REF!</v>
      </c>
      <c r="AE9" s="312" t="e">
        <f t="shared" ca="1" si="3"/>
        <v>#REF!</v>
      </c>
      <c r="AF9" s="312" t="e">
        <f t="shared" ca="1" si="3"/>
        <v>#REF!</v>
      </c>
      <c r="AG9" s="312"/>
      <c r="AH9" s="312"/>
      <c r="AI9" s="312"/>
      <c r="AJ9" s="312"/>
    </row>
    <row r="10" spans="1:36">
      <c r="A10">
        <f t="shared" si="4"/>
        <v>2015</v>
      </c>
      <c r="B10" s="312">
        <f t="shared" ca="1" si="1"/>
        <v>0</v>
      </c>
      <c r="C10" s="312">
        <f t="shared" ca="1" si="2"/>
        <v>0</v>
      </c>
      <c r="D10" s="312">
        <f t="shared" ca="1" si="2"/>
        <v>0</v>
      </c>
      <c r="E10" s="312">
        <f t="shared" ca="1" si="2"/>
        <v>-389653</v>
      </c>
      <c r="F10" s="312">
        <f t="shared" ca="1" si="2"/>
        <v>0</v>
      </c>
      <c r="G10" s="312">
        <f t="shared" ca="1" si="2"/>
        <v>0</v>
      </c>
      <c r="H10" s="312">
        <f t="shared" ca="1" si="2"/>
        <v>0</v>
      </c>
      <c r="I10" s="312">
        <f t="shared" ca="1" si="2"/>
        <v>0</v>
      </c>
      <c r="J10" s="312">
        <f t="shared" ca="1" si="2"/>
        <v>0</v>
      </c>
      <c r="K10" s="312">
        <f t="shared" ca="1" si="2"/>
        <v>0</v>
      </c>
      <c r="L10" s="312">
        <f t="shared" ca="1" si="2"/>
        <v>0</v>
      </c>
      <c r="M10" s="312">
        <f t="shared" ca="1" si="2"/>
        <v>0</v>
      </c>
      <c r="N10" s="312">
        <f t="shared" ca="1" si="2"/>
        <v>0</v>
      </c>
      <c r="O10" s="312">
        <f t="shared" ca="1" si="2"/>
        <v>0</v>
      </c>
      <c r="P10" s="312">
        <f t="shared" ca="1" si="2"/>
        <v>-1840231.707317061</v>
      </c>
      <c r="Q10" s="312">
        <f t="shared" ca="1" si="2"/>
        <v>0</v>
      </c>
      <c r="R10" s="312">
        <f t="shared" ca="1" si="2"/>
        <v>0</v>
      </c>
      <c r="S10" s="312">
        <f t="shared" ca="1" si="3"/>
        <v>0</v>
      </c>
      <c r="T10" s="312">
        <f t="shared" ca="1" si="3"/>
        <v>-504630.51431030768</v>
      </c>
      <c r="U10" s="312">
        <f t="shared" ca="1" si="3"/>
        <v>0</v>
      </c>
      <c r="V10" s="312">
        <f t="shared" ca="1" si="3"/>
        <v>0</v>
      </c>
      <c r="W10" s="312">
        <f t="shared" ca="1" si="3"/>
        <v>0</v>
      </c>
      <c r="X10" s="312">
        <f t="shared" ca="1" si="3"/>
        <v>0</v>
      </c>
      <c r="Y10" s="312" t="e">
        <f t="shared" ca="1" si="3"/>
        <v>#REF!</v>
      </c>
      <c r="Z10" s="312" t="e">
        <f t="shared" ca="1" si="3"/>
        <v>#REF!</v>
      </c>
      <c r="AA10" s="312" t="e">
        <f t="shared" ca="1" si="3"/>
        <v>#REF!</v>
      </c>
      <c r="AB10" s="312" t="e">
        <f t="shared" ca="1" si="3"/>
        <v>#REF!</v>
      </c>
      <c r="AC10" s="312" t="e">
        <f t="shared" ca="1" si="3"/>
        <v>#REF!</v>
      </c>
      <c r="AD10" s="312" t="e">
        <f t="shared" ca="1" si="3"/>
        <v>#REF!</v>
      </c>
      <c r="AE10" s="312" t="e">
        <f t="shared" ca="1" si="3"/>
        <v>#REF!</v>
      </c>
      <c r="AF10" s="312" t="e">
        <f t="shared" ca="1" si="3"/>
        <v>#REF!</v>
      </c>
      <c r="AG10" s="312"/>
      <c r="AH10" s="312"/>
      <c r="AI10" s="312"/>
      <c r="AJ10" s="312"/>
    </row>
    <row r="11" spans="1:36">
      <c r="A11">
        <f t="shared" si="4"/>
        <v>2016</v>
      </c>
      <c r="B11" s="312">
        <f t="shared" ca="1" si="1"/>
        <v>0</v>
      </c>
      <c r="C11" s="312">
        <f t="shared" ca="1" si="2"/>
        <v>0</v>
      </c>
      <c r="D11" s="312">
        <f t="shared" ca="1" si="2"/>
        <v>0</v>
      </c>
      <c r="E11" s="312">
        <f t="shared" ca="1" si="2"/>
        <v>0</v>
      </c>
      <c r="F11" s="312">
        <f t="shared" ca="1" si="2"/>
        <v>-753244.375</v>
      </c>
      <c r="G11" s="312">
        <f t="shared" ca="1" si="2"/>
        <v>0</v>
      </c>
      <c r="H11" s="312">
        <f t="shared" ca="1" si="2"/>
        <v>0</v>
      </c>
      <c r="I11" s="312">
        <f t="shared" ca="1" si="2"/>
        <v>0</v>
      </c>
      <c r="J11" s="312">
        <f t="shared" ca="1" si="2"/>
        <v>0</v>
      </c>
      <c r="K11" s="312">
        <f t="shared" ca="1" si="2"/>
        <v>0</v>
      </c>
      <c r="L11" s="312">
        <f t="shared" ca="1" si="2"/>
        <v>0</v>
      </c>
      <c r="M11" s="312">
        <f t="shared" ca="1" si="2"/>
        <v>0</v>
      </c>
      <c r="N11" s="312">
        <f t="shared" ca="1" si="2"/>
        <v>0</v>
      </c>
      <c r="O11" s="312">
        <f t="shared" ca="1" si="2"/>
        <v>0</v>
      </c>
      <c r="P11" s="312">
        <f t="shared" ca="1" si="2"/>
        <v>-440231.70731707709</v>
      </c>
      <c r="Q11" s="312">
        <f t="shared" ca="1" si="2"/>
        <v>0</v>
      </c>
      <c r="R11" s="312">
        <f t="shared" ca="1" si="2"/>
        <v>0</v>
      </c>
      <c r="S11" s="312">
        <f t="shared" ca="1" si="3"/>
        <v>0</v>
      </c>
      <c r="T11" s="312">
        <f t="shared" ca="1" si="3"/>
        <v>0</v>
      </c>
      <c r="U11" s="312">
        <f t="shared" ca="1" si="3"/>
        <v>0</v>
      </c>
      <c r="V11" s="312">
        <f t="shared" ca="1" si="3"/>
        <v>0</v>
      </c>
      <c r="W11" s="312">
        <f t="shared" ca="1" si="3"/>
        <v>0</v>
      </c>
      <c r="X11" s="312">
        <f t="shared" ca="1" si="3"/>
        <v>0</v>
      </c>
      <c r="Y11" s="312" t="e">
        <f t="shared" ca="1" si="3"/>
        <v>#REF!</v>
      </c>
      <c r="Z11" s="312" t="e">
        <f t="shared" ca="1" si="3"/>
        <v>#REF!</v>
      </c>
      <c r="AA11" s="312" t="e">
        <f t="shared" ca="1" si="3"/>
        <v>#REF!</v>
      </c>
      <c r="AB11" s="312" t="e">
        <f t="shared" ca="1" si="3"/>
        <v>#REF!</v>
      </c>
      <c r="AC11" s="312" t="e">
        <f t="shared" ca="1" si="3"/>
        <v>#REF!</v>
      </c>
      <c r="AD11" s="312" t="e">
        <f t="shared" ca="1" si="3"/>
        <v>#REF!</v>
      </c>
      <c r="AE11" s="312" t="e">
        <f t="shared" ca="1" si="3"/>
        <v>#REF!</v>
      </c>
      <c r="AF11" s="312" t="e">
        <f t="shared" ca="1" si="3"/>
        <v>#REF!</v>
      </c>
      <c r="AG11" s="312"/>
      <c r="AH11" s="312"/>
      <c r="AI11" s="312"/>
      <c r="AJ11" s="312"/>
    </row>
    <row r="12" spans="1:36">
      <c r="A12">
        <f t="shared" si="4"/>
        <v>2017</v>
      </c>
      <c r="B12" s="312">
        <f t="shared" ca="1" si="1"/>
        <v>0</v>
      </c>
      <c r="C12" s="312">
        <f t="shared" ca="1" si="2"/>
        <v>0</v>
      </c>
      <c r="D12" s="312">
        <f t="shared" ca="1" si="2"/>
        <v>0</v>
      </c>
      <c r="E12" s="312">
        <f t="shared" ca="1" si="2"/>
        <v>0</v>
      </c>
      <c r="F12" s="312">
        <f t="shared" ca="1" si="2"/>
        <v>-753244.375</v>
      </c>
      <c r="G12" s="312">
        <f t="shared" ca="1" si="2"/>
        <v>0</v>
      </c>
      <c r="H12" s="312">
        <f t="shared" ca="1" si="2"/>
        <v>0</v>
      </c>
      <c r="I12" s="312">
        <f t="shared" ca="1" si="2"/>
        <v>0</v>
      </c>
      <c r="J12" s="312">
        <f t="shared" ca="1" si="2"/>
        <v>0</v>
      </c>
      <c r="K12" s="312">
        <f t="shared" ca="1" si="2"/>
        <v>0</v>
      </c>
      <c r="L12" s="312">
        <f t="shared" ca="1" si="2"/>
        <v>0</v>
      </c>
      <c r="M12" s="312">
        <f t="shared" ca="1" si="2"/>
        <v>0</v>
      </c>
      <c r="N12" s="312">
        <f t="shared" ca="1" si="2"/>
        <v>0</v>
      </c>
      <c r="O12" s="312">
        <f t="shared" ca="1" si="2"/>
        <v>0</v>
      </c>
      <c r="P12" s="312">
        <f t="shared" ca="1" si="2"/>
        <v>-440231.70731707709</v>
      </c>
      <c r="Q12" s="312">
        <f t="shared" ca="1" si="2"/>
        <v>0</v>
      </c>
      <c r="R12" s="312">
        <f t="shared" ca="1" si="2"/>
        <v>0</v>
      </c>
      <c r="S12" s="312">
        <f t="shared" ca="1" si="3"/>
        <v>0</v>
      </c>
      <c r="T12" s="312">
        <f t="shared" ca="1" si="3"/>
        <v>0</v>
      </c>
      <c r="U12" s="312">
        <f t="shared" ca="1" si="3"/>
        <v>0</v>
      </c>
      <c r="V12" s="312">
        <f t="shared" ca="1" si="3"/>
        <v>0</v>
      </c>
      <c r="W12" s="312">
        <f t="shared" ca="1" si="3"/>
        <v>0</v>
      </c>
      <c r="X12" s="312">
        <f t="shared" ca="1" si="3"/>
        <v>0</v>
      </c>
      <c r="Y12" s="312" t="e">
        <f t="shared" ca="1" si="3"/>
        <v>#REF!</v>
      </c>
      <c r="Z12" s="312" t="e">
        <f t="shared" ca="1" si="3"/>
        <v>#REF!</v>
      </c>
      <c r="AA12" s="312" t="e">
        <f t="shared" ca="1" si="3"/>
        <v>#REF!</v>
      </c>
      <c r="AB12" s="312" t="e">
        <f t="shared" ca="1" si="3"/>
        <v>#REF!</v>
      </c>
      <c r="AC12" s="312" t="e">
        <f t="shared" ca="1" si="3"/>
        <v>#REF!</v>
      </c>
      <c r="AD12" s="312" t="e">
        <f t="shared" ca="1" si="3"/>
        <v>#REF!</v>
      </c>
      <c r="AE12" s="312" t="e">
        <f t="shared" ca="1" si="3"/>
        <v>#REF!</v>
      </c>
      <c r="AF12" s="312" t="e">
        <f t="shared" ca="1" si="3"/>
        <v>#REF!</v>
      </c>
      <c r="AG12" s="312"/>
      <c r="AH12" s="312"/>
      <c r="AI12" s="312"/>
      <c r="AJ12" s="312"/>
    </row>
    <row r="13" spans="1:36">
      <c r="A13">
        <f t="shared" si="4"/>
        <v>2018</v>
      </c>
      <c r="B13" s="312">
        <f t="shared" ca="1" si="1"/>
        <v>0</v>
      </c>
      <c r="C13" s="312">
        <f t="shared" ca="1" si="2"/>
        <v>0</v>
      </c>
      <c r="D13" s="312">
        <f t="shared" ca="1" si="2"/>
        <v>0</v>
      </c>
      <c r="E13" s="312">
        <f t="shared" ca="1" si="2"/>
        <v>0</v>
      </c>
      <c r="F13" s="312">
        <f t="shared" ca="1" si="2"/>
        <v>-753244.375</v>
      </c>
      <c r="G13" s="312">
        <f t="shared" ca="1" si="2"/>
        <v>0</v>
      </c>
      <c r="H13" s="312">
        <f t="shared" ca="1" si="2"/>
        <v>0</v>
      </c>
      <c r="I13" s="312">
        <f t="shared" ca="1" si="2"/>
        <v>0</v>
      </c>
      <c r="J13" s="312">
        <f t="shared" ca="1" si="2"/>
        <v>0</v>
      </c>
      <c r="K13" s="312">
        <f t="shared" ca="1" si="2"/>
        <v>0</v>
      </c>
      <c r="L13" s="312">
        <f t="shared" ca="1" si="2"/>
        <v>0</v>
      </c>
      <c r="M13" s="312">
        <f t="shared" ca="1" si="2"/>
        <v>0</v>
      </c>
      <c r="N13" s="312">
        <f t="shared" ca="1" si="2"/>
        <v>0</v>
      </c>
      <c r="O13" s="312">
        <f t="shared" ca="1" si="2"/>
        <v>0</v>
      </c>
      <c r="P13" s="312">
        <f t="shared" ca="1" si="2"/>
        <v>-440231.70731707709</v>
      </c>
      <c r="Q13" s="312">
        <f t="shared" ca="1" si="2"/>
        <v>0</v>
      </c>
      <c r="R13" s="312">
        <f t="shared" ca="1" si="2"/>
        <v>0</v>
      </c>
      <c r="S13" s="312">
        <f t="shared" ca="1" si="3"/>
        <v>0</v>
      </c>
      <c r="T13" s="312">
        <f t="shared" ca="1" si="3"/>
        <v>0</v>
      </c>
      <c r="U13" s="312">
        <f t="shared" ca="1" si="3"/>
        <v>0</v>
      </c>
      <c r="V13" s="312">
        <f t="shared" ca="1" si="3"/>
        <v>0</v>
      </c>
      <c r="W13" s="312">
        <f t="shared" ca="1" si="3"/>
        <v>0</v>
      </c>
      <c r="X13" s="312">
        <f t="shared" ca="1" si="3"/>
        <v>0</v>
      </c>
      <c r="Y13" s="312" t="e">
        <f t="shared" ca="1" si="3"/>
        <v>#REF!</v>
      </c>
      <c r="Z13" s="312" t="e">
        <f t="shared" ca="1" si="3"/>
        <v>#REF!</v>
      </c>
      <c r="AA13" s="312" t="e">
        <f t="shared" ca="1" si="3"/>
        <v>#REF!</v>
      </c>
      <c r="AB13" s="312" t="e">
        <f t="shared" ca="1" si="3"/>
        <v>#REF!</v>
      </c>
      <c r="AC13" s="312" t="e">
        <f t="shared" ca="1" si="3"/>
        <v>#REF!</v>
      </c>
      <c r="AD13" s="312" t="e">
        <f t="shared" ca="1" si="3"/>
        <v>#REF!</v>
      </c>
      <c r="AE13" s="312" t="e">
        <f t="shared" ca="1" si="3"/>
        <v>#REF!</v>
      </c>
      <c r="AF13" s="312" t="e">
        <f t="shared" ca="1" si="3"/>
        <v>#REF!</v>
      </c>
      <c r="AG13" s="312"/>
      <c r="AH13" s="312"/>
      <c r="AI13" s="312"/>
      <c r="AJ13" s="312"/>
    </row>
    <row r="14" spans="1:36">
      <c r="A14">
        <f t="shared" si="4"/>
        <v>2019</v>
      </c>
      <c r="B14" s="312">
        <f t="shared" ca="1" si="1"/>
        <v>0</v>
      </c>
      <c r="C14" s="312">
        <f t="shared" ca="1" si="2"/>
        <v>0</v>
      </c>
      <c r="D14" s="312">
        <f t="shared" ca="1" si="2"/>
        <v>0</v>
      </c>
      <c r="E14" s="312">
        <f t="shared" ca="1" si="2"/>
        <v>0</v>
      </c>
      <c r="F14" s="312">
        <f t="shared" ca="1" si="2"/>
        <v>-753244.375</v>
      </c>
      <c r="G14" s="312">
        <f t="shared" ca="1" si="2"/>
        <v>0</v>
      </c>
      <c r="H14" s="312">
        <f t="shared" ca="1" si="2"/>
        <v>0</v>
      </c>
      <c r="I14" s="312">
        <f t="shared" ca="1" si="2"/>
        <v>0</v>
      </c>
      <c r="J14" s="312">
        <f t="shared" ca="1" si="2"/>
        <v>0</v>
      </c>
      <c r="K14" s="312">
        <f t="shared" ca="1" si="2"/>
        <v>0</v>
      </c>
      <c r="L14" s="312">
        <f t="shared" ca="1" si="2"/>
        <v>0</v>
      </c>
      <c r="M14" s="312">
        <f t="shared" ca="1" si="2"/>
        <v>-3014560</v>
      </c>
      <c r="N14" s="312">
        <f t="shared" ca="1" si="2"/>
        <v>-7958650</v>
      </c>
      <c r="O14" s="312">
        <f t="shared" ca="1" si="2"/>
        <v>0</v>
      </c>
      <c r="P14" s="312">
        <f t="shared" ca="1" si="2"/>
        <v>-440231.70731707709</v>
      </c>
      <c r="Q14" s="312">
        <f t="shared" ca="1" si="2"/>
        <v>0</v>
      </c>
      <c r="R14" s="312">
        <f t="shared" ca="1" si="2"/>
        <v>0</v>
      </c>
      <c r="S14" s="312">
        <f t="shared" ca="1" si="3"/>
        <v>0</v>
      </c>
      <c r="T14" s="312">
        <f t="shared" ca="1" si="3"/>
        <v>0</v>
      </c>
      <c r="U14" s="312">
        <f t="shared" ca="1" si="3"/>
        <v>0</v>
      </c>
      <c r="V14" s="312">
        <f t="shared" ca="1" si="3"/>
        <v>0</v>
      </c>
      <c r="W14" s="312">
        <f t="shared" ca="1" si="3"/>
        <v>0</v>
      </c>
      <c r="X14" s="312">
        <f t="shared" ca="1" si="3"/>
        <v>0</v>
      </c>
      <c r="Y14" s="312" t="e">
        <f t="shared" ca="1" si="3"/>
        <v>#REF!</v>
      </c>
      <c r="Z14" s="312" t="e">
        <f t="shared" ca="1" si="3"/>
        <v>#REF!</v>
      </c>
      <c r="AA14" s="312" t="e">
        <f t="shared" ca="1" si="3"/>
        <v>#REF!</v>
      </c>
      <c r="AB14" s="312" t="e">
        <f t="shared" ca="1" si="3"/>
        <v>#REF!</v>
      </c>
      <c r="AC14" s="312" t="e">
        <f t="shared" ca="1" si="3"/>
        <v>#REF!</v>
      </c>
      <c r="AD14" s="312" t="e">
        <f t="shared" ca="1" si="3"/>
        <v>#REF!</v>
      </c>
      <c r="AE14" s="312" t="e">
        <f t="shared" ca="1" si="3"/>
        <v>#REF!</v>
      </c>
      <c r="AF14" s="312" t="e">
        <f t="shared" ca="1" si="3"/>
        <v>#REF!</v>
      </c>
      <c r="AG14" s="312"/>
      <c r="AH14" s="312"/>
      <c r="AI14" s="312"/>
      <c r="AJ14" s="312"/>
    </row>
    <row r="15" spans="1:36">
      <c r="A15">
        <f t="shared" si="4"/>
        <v>2020</v>
      </c>
      <c r="B15" s="312">
        <f t="shared" ca="1" si="1"/>
        <v>0</v>
      </c>
      <c r="C15" s="312">
        <f t="shared" ca="1" si="2"/>
        <v>0</v>
      </c>
      <c r="D15" s="312">
        <f t="shared" ca="1" si="2"/>
        <v>0</v>
      </c>
      <c r="E15" s="312">
        <f t="shared" ca="1" si="2"/>
        <v>0</v>
      </c>
      <c r="F15" s="312">
        <f t="shared" ca="1" si="2"/>
        <v>-753244.375</v>
      </c>
      <c r="G15" s="312">
        <f t="shared" ca="1" si="2"/>
        <v>0</v>
      </c>
      <c r="H15" s="312">
        <f t="shared" ca="1" si="2"/>
        <v>0</v>
      </c>
      <c r="I15" s="312">
        <f t="shared" ca="1" si="2"/>
        <v>0</v>
      </c>
      <c r="J15" s="312">
        <f t="shared" ca="1" si="2"/>
        <v>0</v>
      </c>
      <c r="K15" s="312">
        <f t="shared" ca="1" si="2"/>
        <v>0</v>
      </c>
      <c r="L15" s="312">
        <f t="shared" ca="1" si="2"/>
        <v>0</v>
      </c>
      <c r="M15" s="312">
        <f t="shared" ca="1" si="2"/>
        <v>0</v>
      </c>
      <c r="N15" s="312">
        <f t="shared" ca="1" si="2"/>
        <v>0</v>
      </c>
      <c r="O15" s="312">
        <f t="shared" ca="1" si="2"/>
        <v>0</v>
      </c>
      <c r="P15" s="312">
        <f t="shared" ca="1" si="2"/>
        <v>-440231.70731707709</v>
      </c>
      <c r="Q15" s="312">
        <f t="shared" ca="1" si="2"/>
        <v>0</v>
      </c>
      <c r="R15" s="312">
        <f t="shared" ca="1" si="2"/>
        <v>0</v>
      </c>
      <c r="S15" s="312">
        <f t="shared" ca="1" si="3"/>
        <v>0</v>
      </c>
      <c r="T15" s="312">
        <f t="shared" ca="1" si="3"/>
        <v>0</v>
      </c>
      <c r="U15" s="312">
        <f t="shared" ca="1" si="3"/>
        <v>0</v>
      </c>
      <c r="V15" s="312">
        <f t="shared" ca="1" si="3"/>
        <v>0</v>
      </c>
      <c r="W15" s="312">
        <f t="shared" ca="1" si="3"/>
        <v>0</v>
      </c>
      <c r="X15" s="312">
        <f t="shared" ca="1" si="3"/>
        <v>0</v>
      </c>
      <c r="Y15" s="312" t="e">
        <f t="shared" ca="1" si="3"/>
        <v>#REF!</v>
      </c>
      <c r="Z15" s="312" t="e">
        <f t="shared" ca="1" si="3"/>
        <v>#REF!</v>
      </c>
      <c r="AA15" s="312" t="e">
        <f t="shared" ca="1" si="3"/>
        <v>#REF!</v>
      </c>
      <c r="AB15" s="312" t="e">
        <f t="shared" ca="1" si="3"/>
        <v>#REF!</v>
      </c>
      <c r="AC15" s="312" t="e">
        <f t="shared" ca="1" si="3"/>
        <v>#REF!</v>
      </c>
      <c r="AD15" s="312" t="e">
        <f t="shared" ca="1" si="3"/>
        <v>#REF!</v>
      </c>
      <c r="AE15" s="312" t="e">
        <f t="shared" ca="1" si="3"/>
        <v>#REF!</v>
      </c>
      <c r="AF15" s="312" t="e">
        <f t="shared" ca="1" si="3"/>
        <v>#REF!</v>
      </c>
      <c r="AG15" s="312"/>
      <c r="AH15" s="312"/>
      <c r="AI15" s="312"/>
      <c r="AJ15" s="312"/>
    </row>
    <row r="16" spans="1:36">
      <c r="A16">
        <f t="shared" si="4"/>
        <v>2021</v>
      </c>
      <c r="B16" s="312">
        <f t="shared" ca="1" si="1"/>
        <v>0</v>
      </c>
      <c r="C16" s="312">
        <f t="shared" ca="1" si="2"/>
        <v>0</v>
      </c>
      <c r="D16" s="312">
        <f t="shared" ca="1" si="2"/>
        <v>0</v>
      </c>
      <c r="E16" s="312">
        <f t="shared" ca="1" si="2"/>
        <v>0</v>
      </c>
      <c r="F16" s="312">
        <f t="shared" ca="1" si="2"/>
        <v>-753244.375</v>
      </c>
      <c r="G16" s="312">
        <f t="shared" ca="1" si="2"/>
        <v>0</v>
      </c>
      <c r="H16" s="312">
        <f t="shared" ca="1" si="2"/>
        <v>0</v>
      </c>
      <c r="I16" s="312">
        <f t="shared" ca="1" si="2"/>
        <v>0</v>
      </c>
      <c r="J16" s="312">
        <f t="shared" ca="1" si="2"/>
        <v>0</v>
      </c>
      <c r="K16" s="312">
        <f t="shared" ca="1" si="2"/>
        <v>0</v>
      </c>
      <c r="L16" s="312">
        <f t="shared" ca="1" si="2"/>
        <v>0</v>
      </c>
      <c r="M16" s="312">
        <f t="shared" ca="1" si="2"/>
        <v>0</v>
      </c>
      <c r="N16" s="312">
        <f t="shared" ca="1" si="2"/>
        <v>0</v>
      </c>
      <c r="O16" s="312">
        <f t="shared" ca="1" si="2"/>
        <v>0</v>
      </c>
      <c r="P16" s="312">
        <f t="shared" ca="1" si="2"/>
        <v>-440231.70731706114</v>
      </c>
      <c r="Q16" s="312">
        <f t="shared" ca="1" si="2"/>
        <v>0</v>
      </c>
      <c r="R16" s="312">
        <f t="shared" ca="1" si="2"/>
        <v>0</v>
      </c>
      <c r="S16" s="312">
        <f t="shared" ca="1" si="3"/>
        <v>0</v>
      </c>
      <c r="T16" s="312">
        <f t="shared" ca="1" si="3"/>
        <v>0</v>
      </c>
      <c r="U16" s="312">
        <f t="shared" ca="1" si="3"/>
        <v>0</v>
      </c>
      <c r="V16" s="312">
        <f t="shared" ca="1" si="3"/>
        <v>0</v>
      </c>
      <c r="W16" s="312">
        <f t="shared" ca="1" si="3"/>
        <v>0</v>
      </c>
      <c r="X16" s="312">
        <f t="shared" ca="1" si="3"/>
        <v>0</v>
      </c>
      <c r="Y16" s="312" t="e">
        <f t="shared" ca="1" si="3"/>
        <v>#REF!</v>
      </c>
      <c r="Z16" s="312" t="e">
        <f t="shared" ca="1" si="3"/>
        <v>#REF!</v>
      </c>
      <c r="AA16" s="312" t="e">
        <f t="shared" ca="1" si="3"/>
        <v>#REF!</v>
      </c>
      <c r="AB16" s="312" t="e">
        <f t="shared" ca="1" si="3"/>
        <v>#REF!</v>
      </c>
      <c r="AC16" s="312" t="e">
        <f t="shared" ca="1" si="3"/>
        <v>#REF!</v>
      </c>
      <c r="AD16" s="312" t="e">
        <f t="shared" ca="1" si="3"/>
        <v>#REF!</v>
      </c>
      <c r="AE16" s="312" t="e">
        <f t="shared" ca="1" si="3"/>
        <v>#REF!</v>
      </c>
      <c r="AF16" s="312" t="e">
        <f t="shared" ca="1" si="3"/>
        <v>#REF!</v>
      </c>
      <c r="AG16" s="312"/>
      <c r="AH16" s="312"/>
      <c r="AI16" s="312"/>
      <c r="AJ16" s="312"/>
    </row>
    <row r="17" spans="1:36">
      <c r="A17">
        <f t="shared" si="4"/>
        <v>2022</v>
      </c>
      <c r="B17" s="312">
        <f t="shared" ca="1" si="1"/>
        <v>0</v>
      </c>
      <c r="C17" s="312">
        <f t="shared" ca="1" si="2"/>
        <v>0</v>
      </c>
      <c r="D17" s="312">
        <f t="shared" ca="1" si="2"/>
        <v>0</v>
      </c>
      <c r="E17" s="312">
        <f t="shared" ca="1" si="2"/>
        <v>0</v>
      </c>
      <c r="F17" s="312">
        <f t="shared" ca="1" si="2"/>
        <v>-753244.375</v>
      </c>
      <c r="G17" s="312">
        <f t="shared" ca="1" si="2"/>
        <v>0</v>
      </c>
      <c r="H17" s="312">
        <f t="shared" ca="1" si="2"/>
        <v>0</v>
      </c>
      <c r="I17" s="312">
        <f t="shared" ca="1" si="2"/>
        <v>0</v>
      </c>
      <c r="J17" s="312">
        <f t="shared" ca="1" si="2"/>
        <v>0</v>
      </c>
      <c r="K17" s="312">
        <f t="shared" ca="1" si="2"/>
        <v>0</v>
      </c>
      <c r="L17" s="312">
        <f t="shared" ca="1" si="2"/>
        <v>0</v>
      </c>
      <c r="M17" s="312">
        <f t="shared" ca="1" si="2"/>
        <v>0</v>
      </c>
      <c r="N17" s="312">
        <f t="shared" ca="1" si="2"/>
        <v>0</v>
      </c>
      <c r="O17" s="312">
        <f t="shared" ca="1" si="2"/>
        <v>0</v>
      </c>
      <c r="P17" s="312">
        <f t="shared" ca="1" si="2"/>
        <v>-440231.70731706114</v>
      </c>
      <c r="Q17" s="312">
        <f t="shared" ca="1" si="2"/>
        <v>0</v>
      </c>
      <c r="R17" s="312">
        <f t="shared" ca="1" si="2"/>
        <v>0</v>
      </c>
      <c r="S17" s="312">
        <f t="shared" ca="1" si="3"/>
        <v>0</v>
      </c>
      <c r="T17" s="312">
        <f t="shared" ca="1" si="3"/>
        <v>0</v>
      </c>
      <c r="U17" s="312">
        <f t="shared" ca="1" si="3"/>
        <v>0</v>
      </c>
      <c r="V17" s="312">
        <f t="shared" ca="1" si="3"/>
        <v>0</v>
      </c>
      <c r="W17" s="312">
        <f t="shared" ca="1" si="3"/>
        <v>0</v>
      </c>
      <c r="X17" s="312">
        <f t="shared" ca="1" si="3"/>
        <v>0</v>
      </c>
      <c r="Y17" s="312" t="e">
        <f t="shared" ca="1" si="3"/>
        <v>#REF!</v>
      </c>
      <c r="Z17" s="312" t="e">
        <f t="shared" ca="1" si="3"/>
        <v>#REF!</v>
      </c>
      <c r="AA17" s="312" t="e">
        <f t="shared" ca="1" si="3"/>
        <v>#REF!</v>
      </c>
      <c r="AB17" s="312" t="e">
        <f t="shared" ca="1" si="3"/>
        <v>#REF!</v>
      </c>
      <c r="AC17" s="312" t="e">
        <f t="shared" ca="1" si="3"/>
        <v>#REF!</v>
      </c>
      <c r="AD17" s="312" t="e">
        <f t="shared" ca="1" si="3"/>
        <v>#REF!</v>
      </c>
      <c r="AE17" s="312" t="e">
        <f t="shared" ca="1" si="3"/>
        <v>#REF!</v>
      </c>
      <c r="AF17" s="312" t="e">
        <f t="shared" ca="1" si="3"/>
        <v>#REF!</v>
      </c>
      <c r="AG17" s="312"/>
      <c r="AH17" s="312"/>
      <c r="AI17" s="312"/>
      <c r="AJ17" s="312"/>
    </row>
    <row r="18" spans="1:36">
      <c r="A18">
        <f t="shared" si="4"/>
        <v>2023</v>
      </c>
      <c r="B18" s="312">
        <f t="shared" ca="1" si="1"/>
        <v>0</v>
      </c>
      <c r="C18" s="312">
        <f t="shared" ca="1" si="2"/>
        <v>0</v>
      </c>
      <c r="D18" s="312">
        <f t="shared" ca="1" si="2"/>
        <v>0</v>
      </c>
      <c r="E18" s="312">
        <f t="shared" ca="1" si="2"/>
        <v>0</v>
      </c>
      <c r="F18" s="312">
        <f t="shared" ca="1" si="2"/>
        <v>-753244.375</v>
      </c>
      <c r="G18" s="312">
        <f t="shared" ca="1" si="2"/>
        <v>0</v>
      </c>
      <c r="H18" s="312">
        <f t="shared" ca="1" si="2"/>
        <v>0</v>
      </c>
      <c r="I18" s="312">
        <f t="shared" ca="1" si="2"/>
        <v>0</v>
      </c>
      <c r="J18" s="312">
        <f t="shared" ca="1" si="2"/>
        <v>0</v>
      </c>
      <c r="K18" s="312">
        <f t="shared" ca="1" si="2"/>
        <v>0</v>
      </c>
      <c r="L18" s="312">
        <f t="shared" ca="1" si="2"/>
        <v>0</v>
      </c>
      <c r="M18" s="312">
        <f t="shared" ca="1" si="2"/>
        <v>0</v>
      </c>
      <c r="N18" s="312">
        <f t="shared" ca="1" si="2"/>
        <v>0</v>
      </c>
      <c r="O18" s="312">
        <f t="shared" ca="1" si="2"/>
        <v>0</v>
      </c>
      <c r="P18" s="312">
        <f t="shared" ca="1" si="2"/>
        <v>-440231.70731709298</v>
      </c>
      <c r="Q18" s="312">
        <f t="shared" ca="1" si="2"/>
        <v>0</v>
      </c>
      <c r="R18" s="312">
        <f t="shared" ca="1" si="2"/>
        <v>0</v>
      </c>
      <c r="S18" s="312">
        <f t="shared" ca="1" si="3"/>
        <v>0</v>
      </c>
      <c r="T18" s="312">
        <f t="shared" ca="1" si="3"/>
        <v>0</v>
      </c>
      <c r="U18" s="312">
        <f t="shared" ca="1" si="3"/>
        <v>0</v>
      </c>
      <c r="V18" s="312">
        <f t="shared" ca="1" si="3"/>
        <v>0</v>
      </c>
      <c r="W18" s="312">
        <f t="shared" ca="1" si="3"/>
        <v>0</v>
      </c>
      <c r="X18" s="312">
        <f t="shared" ca="1" si="3"/>
        <v>0</v>
      </c>
      <c r="Y18" s="312" t="e">
        <f t="shared" ca="1" si="3"/>
        <v>#REF!</v>
      </c>
      <c r="Z18" s="312" t="e">
        <f t="shared" ca="1" si="3"/>
        <v>#REF!</v>
      </c>
      <c r="AA18" s="312" t="e">
        <f t="shared" ca="1" si="3"/>
        <v>#REF!</v>
      </c>
      <c r="AB18" s="312" t="e">
        <f t="shared" ca="1" si="3"/>
        <v>#REF!</v>
      </c>
      <c r="AC18" s="312" t="e">
        <f t="shared" ca="1" si="3"/>
        <v>#REF!</v>
      </c>
      <c r="AD18" s="312" t="e">
        <f t="shared" ca="1" si="3"/>
        <v>#REF!</v>
      </c>
      <c r="AE18" s="312" t="e">
        <f t="shared" ca="1" si="3"/>
        <v>#REF!</v>
      </c>
      <c r="AF18" s="312" t="e">
        <f t="shared" ca="1" si="3"/>
        <v>#REF!</v>
      </c>
      <c r="AG18" s="312"/>
      <c r="AH18" s="312"/>
      <c r="AI18" s="312"/>
      <c r="AJ18" s="312"/>
    </row>
    <row r="19" spans="1:36">
      <c r="A19">
        <f t="shared" si="4"/>
        <v>2024</v>
      </c>
      <c r="B19" s="312">
        <f t="shared" ca="1" si="1"/>
        <v>0</v>
      </c>
      <c r="C19" s="312">
        <f t="shared" ca="1" si="2"/>
        <v>0</v>
      </c>
      <c r="D19" s="312">
        <f t="shared" ca="1" si="2"/>
        <v>0</v>
      </c>
      <c r="E19" s="312">
        <f t="shared" ca="1" si="2"/>
        <v>0</v>
      </c>
      <c r="F19" s="312">
        <f t="shared" ca="1" si="2"/>
        <v>0</v>
      </c>
      <c r="G19" s="312">
        <f t="shared" ca="1" si="2"/>
        <v>-831862</v>
      </c>
      <c r="H19" s="312">
        <f t="shared" ca="1" si="2"/>
        <v>0</v>
      </c>
      <c r="I19" s="312">
        <f t="shared" ca="1" si="2"/>
        <v>0</v>
      </c>
      <c r="J19" s="312">
        <f t="shared" ca="1" si="2"/>
        <v>0</v>
      </c>
      <c r="K19" s="312">
        <f t="shared" ca="1" si="2"/>
        <v>0</v>
      </c>
      <c r="L19" s="312">
        <f t="shared" ca="1" si="2"/>
        <v>0</v>
      </c>
      <c r="M19" s="312">
        <f t="shared" ca="1" si="2"/>
        <v>0</v>
      </c>
      <c r="N19" s="312">
        <f t="shared" ca="1" si="2"/>
        <v>0</v>
      </c>
      <c r="O19" s="312">
        <f t="shared" ca="1" si="2"/>
        <v>0</v>
      </c>
      <c r="P19" s="312">
        <f t="shared" ca="1" si="2"/>
        <v>-440231.70731706114</v>
      </c>
      <c r="Q19" s="312">
        <f t="shared" ca="1" si="2"/>
        <v>0</v>
      </c>
      <c r="R19" s="312">
        <f t="shared" ca="1" si="2"/>
        <v>0</v>
      </c>
      <c r="S19" s="312">
        <f t="shared" ca="1" si="3"/>
        <v>0</v>
      </c>
      <c r="T19" s="312">
        <f t="shared" ca="1" si="3"/>
        <v>0</v>
      </c>
      <c r="U19" s="312">
        <f t="shared" ca="1" si="3"/>
        <v>0</v>
      </c>
      <c r="V19" s="312">
        <f t="shared" ca="1" si="3"/>
        <v>0</v>
      </c>
      <c r="W19" s="312">
        <f t="shared" ca="1" si="3"/>
        <v>0</v>
      </c>
      <c r="X19" s="312">
        <f t="shared" ca="1" si="3"/>
        <v>0</v>
      </c>
      <c r="Y19" s="312" t="e">
        <f t="shared" ca="1" si="3"/>
        <v>#REF!</v>
      </c>
      <c r="Z19" s="312" t="e">
        <f t="shared" ca="1" si="3"/>
        <v>#REF!</v>
      </c>
      <c r="AA19" s="312" t="e">
        <f t="shared" ca="1" si="3"/>
        <v>#REF!</v>
      </c>
      <c r="AB19" s="312" t="e">
        <f t="shared" ca="1" si="3"/>
        <v>#REF!</v>
      </c>
      <c r="AC19" s="312" t="e">
        <f t="shared" ca="1" si="3"/>
        <v>#REF!</v>
      </c>
      <c r="AD19" s="312" t="e">
        <f t="shared" ca="1" si="3"/>
        <v>#REF!</v>
      </c>
      <c r="AE19" s="312" t="e">
        <f t="shared" ca="1" si="3"/>
        <v>#REF!</v>
      </c>
      <c r="AF19" s="312" t="e">
        <f t="shared" ca="1" si="3"/>
        <v>#REF!</v>
      </c>
      <c r="AG19" s="312"/>
      <c r="AH19" s="312"/>
      <c r="AI19" s="312"/>
      <c r="AJ19" s="312"/>
    </row>
    <row r="20" spans="1:36">
      <c r="A20">
        <f t="shared" si="4"/>
        <v>2025</v>
      </c>
      <c r="B20" s="312">
        <f t="shared" ca="1" si="1"/>
        <v>0</v>
      </c>
      <c r="C20" s="312">
        <f t="shared" ca="1" si="2"/>
        <v>0</v>
      </c>
      <c r="D20" s="312">
        <f t="shared" ca="1" si="2"/>
        <v>0</v>
      </c>
      <c r="E20" s="312">
        <f t="shared" ca="1" si="2"/>
        <v>0</v>
      </c>
      <c r="F20" s="312">
        <f t="shared" ca="1" si="2"/>
        <v>0</v>
      </c>
      <c r="G20" s="312">
        <f t="shared" ca="1" si="2"/>
        <v>-831862</v>
      </c>
      <c r="H20" s="312">
        <f t="shared" ca="1" si="2"/>
        <v>0</v>
      </c>
      <c r="I20" s="312">
        <f t="shared" ca="1" si="2"/>
        <v>0</v>
      </c>
      <c r="J20" s="312">
        <f t="shared" ca="1" si="2"/>
        <v>0</v>
      </c>
      <c r="K20" s="312">
        <f t="shared" ca="1" si="2"/>
        <v>0</v>
      </c>
      <c r="L20" s="312">
        <f t="shared" ca="1" si="2"/>
        <v>0</v>
      </c>
      <c r="M20" s="312">
        <f t="shared" ca="1" si="2"/>
        <v>0</v>
      </c>
      <c r="N20" s="312">
        <f t="shared" ca="1" si="2"/>
        <v>0</v>
      </c>
      <c r="O20" s="312">
        <f t="shared" ca="1" si="2"/>
        <v>0</v>
      </c>
      <c r="P20" s="312">
        <f t="shared" ca="1" si="2"/>
        <v>-440231.70731707709</v>
      </c>
      <c r="Q20" s="312">
        <f t="shared" ca="1" si="2"/>
        <v>0</v>
      </c>
      <c r="R20" s="312">
        <f t="shared" ref="R20:AF35" ca="1" si="5">MIN(OFFSET(INDIRECT(R$3),$A20-$A$5+$C$1,$C$2),0)</f>
        <v>0</v>
      </c>
      <c r="S20" s="312">
        <f t="shared" ca="1" si="3"/>
        <v>0</v>
      </c>
      <c r="T20" s="312">
        <f t="shared" ca="1" si="3"/>
        <v>0</v>
      </c>
      <c r="U20" s="312">
        <f t="shared" ca="1" si="3"/>
        <v>0</v>
      </c>
      <c r="V20" s="312">
        <f t="shared" ca="1" si="3"/>
        <v>0</v>
      </c>
      <c r="W20" s="312">
        <f t="shared" ca="1" si="3"/>
        <v>0</v>
      </c>
      <c r="X20" s="312">
        <f t="shared" ca="1" si="3"/>
        <v>0</v>
      </c>
      <c r="Y20" s="312" t="e">
        <f t="shared" ca="1" si="3"/>
        <v>#REF!</v>
      </c>
      <c r="Z20" s="312" t="e">
        <f t="shared" ca="1" si="3"/>
        <v>#REF!</v>
      </c>
      <c r="AA20" s="312" t="e">
        <f t="shared" ca="1" si="3"/>
        <v>#REF!</v>
      </c>
      <c r="AB20" s="312" t="e">
        <f t="shared" ca="1" si="3"/>
        <v>#REF!</v>
      </c>
      <c r="AC20" s="312" t="e">
        <f t="shared" ca="1" si="3"/>
        <v>#REF!</v>
      </c>
      <c r="AD20" s="312" t="e">
        <f t="shared" ca="1" si="3"/>
        <v>#REF!</v>
      </c>
      <c r="AE20" s="312" t="e">
        <f t="shared" ca="1" si="3"/>
        <v>#REF!</v>
      </c>
      <c r="AF20" s="312" t="e">
        <f t="shared" ca="1" si="3"/>
        <v>#REF!</v>
      </c>
      <c r="AG20" s="312"/>
      <c r="AH20" s="312"/>
      <c r="AI20" s="312"/>
      <c r="AJ20" s="312"/>
    </row>
    <row r="21" spans="1:36">
      <c r="A21">
        <f t="shared" si="4"/>
        <v>2026</v>
      </c>
      <c r="B21" s="312">
        <f t="shared" ca="1" si="1"/>
        <v>0</v>
      </c>
      <c r="C21" s="312">
        <f t="shared" ref="C21:Q21" ca="1" si="6">MIN(OFFSET(INDIRECT(C$3),$A21-$A$5+$C$1,$C$2),0)</f>
        <v>0</v>
      </c>
      <c r="D21" s="312">
        <f t="shared" ca="1" si="6"/>
        <v>0</v>
      </c>
      <c r="E21" s="312">
        <f t="shared" ca="1" si="6"/>
        <v>0</v>
      </c>
      <c r="F21" s="312">
        <f t="shared" ca="1" si="6"/>
        <v>0</v>
      </c>
      <c r="G21" s="312">
        <f t="shared" ca="1" si="6"/>
        <v>-831862</v>
      </c>
      <c r="H21" s="312">
        <f t="shared" ca="1" si="6"/>
        <v>0</v>
      </c>
      <c r="I21" s="312">
        <f t="shared" ca="1" si="6"/>
        <v>0</v>
      </c>
      <c r="J21" s="312">
        <f t="shared" ca="1" si="6"/>
        <v>0</v>
      </c>
      <c r="K21" s="312">
        <f t="shared" ca="1" si="6"/>
        <v>0</v>
      </c>
      <c r="L21" s="312">
        <f t="shared" ca="1" si="6"/>
        <v>0</v>
      </c>
      <c r="M21" s="312">
        <f t="shared" ca="1" si="6"/>
        <v>0</v>
      </c>
      <c r="N21" s="312">
        <f t="shared" ca="1" si="6"/>
        <v>0</v>
      </c>
      <c r="O21" s="312">
        <f t="shared" ca="1" si="6"/>
        <v>0</v>
      </c>
      <c r="P21" s="312">
        <f t="shared" ca="1" si="6"/>
        <v>-440231.70731707709</v>
      </c>
      <c r="Q21" s="312">
        <f t="shared" ca="1" si="6"/>
        <v>0</v>
      </c>
      <c r="R21" s="312">
        <f t="shared" ca="1" si="5"/>
        <v>0</v>
      </c>
      <c r="S21" s="312">
        <f t="shared" ca="1" si="5"/>
        <v>0</v>
      </c>
      <c r="T21" s="312">
        <f t="shared" ca="1" si="5"/>
        <v>0</v>
      </c>
      <c r="U21" s="312">
        <f t="shared" ca="1" si="5"/>
        <v>0</v>
      </c>
      <c r="V21" s="312">
        <f t="shared" ca="1" si="5"/>
        <v>0</v>
      </c>
      <c r="W21" s="312">
        <f t="shared" ca="1" si="5"/>
        <v>0</v>
      </c>
      <c r="X21" s="312">
        <f t="shared" ca="1" si="5"/>
        <v>0</v>
      </c>
      <c r="Y21" s="312" t="e">
        <f t="shared" ca="1" si="5"/>
        <v>#REF!</v>
      </c>
      <c r="Z21" s="312" t="e">
        <f t="shared" ca="1" si="5"/>
        <v>#REF!</v>
      </c>
      <c r="AA21" s="312" t="e">
        <f t="shared" ca="1" si="5"/>
        <v>#REF!</v>
      </c>
      <c r="AB21" s="312" t="e">
        <f t="shared" ca="1" si="5"/>
        <v>#REF!</v>
      </c>
      <c r="AC21" s="312" t="e">
        <f t="shared" ca="1" si="5"/>
        <v>#REF!</v>
      </c>
      <c r="AD21" s="312" t="e">
        <f t="shared" ca="1" si="5"/>
        <v>#REF!</v>
      </c>
      <c r="AE21" s="312" t="e">
        <f t="shared" ca="1" si="5"/>
        <v>#REF!</v>
      </c>
      <c r="AF21" s="312" t="e">
        <f t="shared" ca="1" si="5"/>
        <v>#REF!</v>
      </c>
      <c r="AG21" s="312"/>
      <c r="AH21" s="312"/>
      <c r="AI21" s="312"/>
      <c r="AJ21" s="312"/>
    </row>
    <row r="22" spans="1:36">
      <c r="A22">
        <f t="shared" si="4"/>
        <v>2027</v>
      </c>
      <c r="B22" s="312">
        <f t="shared" ref="B22:Q37" ca="1" si="7">MIN(OFFSET(INDIRECT(B$3),$A22-$A$5+$C$1,$C$2),0)</f>
        <v>0</v>
      </c>
      <c r="C22" s="312">
        <f t="shared" ca="1" si="7"/>
        <v>0</v>
      </c>
      <c r="D22" s="312">
        <f t="shared" ca="1" si="7"/>
        <v>0</v>
      </c>
      <c r="E22" s="312">
        <f t="shared" ca="1" si="7"/>
        <v>0</v>
      </c>
      <c r="F22" s="312">
        <f t="shared" ca="1" si="7"/>
        <v>0</v>
      </c>
      <c r="G22" s="312">
        <f t="shared" ca="1" si="7"/>
        <v>-831862</v>
      </c>
      <c r="H22" s="312">
        <f t="shared" ca="1" si="7"/>
        <v>0</v>
      </c>
      <c r="I22" s="312">
        <f t="shared" ca="1" si="7"/>
        <v>0</v>
      </c>
      <c r="J22" s="312">
        <f t="shared" ca="1" si="7"/>
        <v>0</v>
      </c>
      <c r="K22" s="312">
        <f t="shared" ca="1" si="7"/>
        <v>0</v>
      </c>
      <c r="L22" s="312">
        <f t="shared" ca="1" si="7"/>
        <v>0</v>
      </c>
      <c r="M22" s="312">
        <f t="shared" ca="1" si="7"/>
        <v>0</v>
      </c>
      <c r="N22" s="312">
        <f t="shared" ca="1" si="7"/>
        <v>0</v>
      </c>
      <c r="O22" s="312">
        <f t="shared" ca="1" si="7"/>
        <v>0</v>
      </c>
      <c r="P22" s="312">
        <f t="shared" ca="1" si="7"/>
        <v>-440231.70731706114</v>
      </c>
      <c r="Q22" s="312">
        <f t="shared" ca="1" si="7"/>
        <v>0</v>
      </c>
      <c r="R22" s="312">
        <f t="shared" ca="1" si="5"/>
        <v>0</v>
      </c>
      <c r="S22" s="312">
        <f t="shared" ca="1" si="5"/>
        <v>0</v>
      </c>
      <c r="T22" s="312">
        <f t="shared" ca="1" si="5"/>
        <v>0</v>
      </c>
      <c r="U22" s="312">
        <f t="shared" ca="1" si="5"/>
        <v>0</v>
      </c>
      <c r="V22" s="312">
        <f t="shared" ca="1" si="5"/>
        <v>0</v>
      </c>
      <c r="W22" s="312">
        <f t="shared" ca="1" si="5"/>
        <v>0</v>
      </c>
      <c r="X22" s="312">
        <f t="shared" ca="1" si="5"/>
        <v>0</v>
      </c>
      <c r="Y22" s="312" t="e">
        <f t="shared" ca="1" si="5"/>
        <v>#REF!</v>
      </c>
      <c r="Z22" s="312" t="e">
        <f t="shared" ca="1" si="5"/>
        <v>#REF!</v>
      </c>
      <c r="AA22" s="312" t="e">
        <f t="shared" ca="1" si="5"/>
        <v>#REF!</v>
      </c>
      <c r="AB22" s="312" t="e">
        <f t="shared" ca="1" si="5"/>
        <v>#REF!</v>
      </c>
      <c r="AC22" s="312" t="e">
        <f t="shared" ca="1" si="5"/>
        <v>#REF!</v>
      </c>
      <c r="AD22" s="312" t="e">
        <f t="shared" ca="1" si="5"/>
        <v>#REF!</v>
      </c>
      <c r="AE22" s="312" t="e">
        <f t="shared" ca="1" si="5"/>
        <v>#REF!</v>
      </c>
      <c r="AF22" s="312" t="e">
        <f t="shared" ca="1" si="5"/>
        <v>#REF!</v>
      </c>
      <c r="AG22" s="312"/>
      <c r="AH22" s="312"/>
      <c r="AI22" s="312"/>
      <c r="AJ22" s="312"/>
    </row>
    <row r="23" spans="1:36">
      <c r="A23">
        <f t="shared" si="4"/>
        <v>2028</v>
      </c>
      <c r="B23" s="312">
        <f t="shared" ca="1" si="7"/>
        <v>0</v>
      </c>
      <c r="C23" s="312">
        <f t="shared" ca="1" si="7"/>
        <v>0</v>
      </c>
      <c r="D23" s="312">
        <f t="shared" ca="1" si="7"/>
        <v>0</v>
      </c>
      <c r="E23" s="312">
        <f t="shared" ca="1" si="7"/>
        <v>0</v>
      </c>
      <c r="F23" s="312">
        <f t="shared" ca="1" si="7"/>
        <v>0</v>
      </c>
      <c r="G23" s="312">
        <f t="shared" ca="1" si="7"/>
        <v>-831862</v>
      </c>
      <c r="H23" s="312">
        <f t="shared" ca="1" si="7"/>
        <v>0</v>
      </c>
      <c r="I23" s="312">
        <f t="shared" ca="1" si="7"/>
        <v>0</v>
      </c>
      <c r="J23" s="312">
        <f t="shared" ca="1" si="7"/>
        <v>0</v>
      </c>
      <c r="K23" s="312">
        <f t="shared" ca="1" si="7"/>
        <v>0</v>
      </c>
      <c r="L23" s="312">
        <f t="shared" ca="1" si="7"/>
        <v>0</v>
      </c>
      <c r="M23" s="312">
        <f t="shared" ca="1" si="7"/>
        <v>0</v>
      </c>
      <c r="N23" s="312">
        <f t="shared" ca="1" si="7"/>
        <v>0</v>
      </c>
      <c r="O23" s="312">
        <f t="shared" ca="1" si="7"/>
        <v>0</v>
      </c>
      <c r="P23" s="312">
        <f t="shared" ca="1" si="7"/>
        <v>-440231.70731707709</v>
      </c>
      <c r="Q23" s="312">
        <f t="shared" ca="1" si="7"/>
        <v>0</v>
      </c>
      <c r="R23" s="312">
        <f t="shared" ca="1" si="5"/>
        <v>0</v>
      </c>
      <c r="S23" s="312">
        <f t="shared" ca="1" si="5"/>
        <v>0</v>
      </c>
      <c r="T23" s="312">
        <f t="shared" ca="1" si="5"/>
        <v>0</v>
      </c>
      <c r="U23" s="312">
        <f t="shared" ca="1" si="5"/>
        <v>0</v>
      </c>
      <c r="V23" s="312">
        <f t="shared" ca="1" si="5"/>
        <v>0</v>
      </c>
      <c r="W23" s="312">
        <f t="shared" ca="1" si="5"/>
        <v>0</v>
      </c>
      <c r="X23" s="312">
        <f t="shared" ca="1" si="5"/>
        <v>0</v>
      </c>
      <c r="Y23" s="312" t="e">
        <f t="shared" ca="1" si="5"/>
        <v>#REF!</v>
      </c>
      <c r="Z23" s="312" t="e">
        <f t="shared" ca="1" si="5"/>
        <v>#REF!</v>
      </c>
      <c r="AA23" s="312" t="e">
        <f t="shared" ca="1" si="5"/>
        <v>#REF!</v>
      </c>
      <c r="AB23" s="312" t="e">
        <f t="shared" ca="1" si="5"/>
        <v>#REF!</v>
      </c>
      <c r="AC23" s="312" t="e">
        <f t="shared" ca="1" si="5"/>
        <v>#REF!</v>
      </c>
      <c r="AD23" s="312" t="e">
        <f t="shared" ca="1" si="5"/>
        <v>#REF!</v>
      </c>
      <c r="AE23" s="312" t="e">
        <f t="shared" ca="1" si="5"/>
        <v>#REF!</v>
      </c>
      <c r="AF23" s="312" t="e">
        <f t="shared" ca="1" si="5"/>
        <v>#REF!</v>
      </c>
      <c r="AG23" s="312"/>
      <c r="AH23" s="312"/>
      <c r="AI23" s="312"/>
      <c r="AJ23" s="312"/>
    </row>
    <row r="24" spans="1:36">
      <c r="A24">
        <f t="shared" si="4"/>
        <v>2029</v>
      </c>
      <c r="B24" s="312">
        <f t="shared" ca="1" si="7"/>
        <v>0</v>
      </c>
      <c r="C24" s="312">
        <f t="shared" ca="1" si="7"/>
        <v>0</v>
      </c>
      <c r="D24" s="312">
        <f t="shared" ca="1" si="7"/>
        <v>0</v>
      </c>
      <c r="E24" s="312">
        <f t="shared" ca="1" si="7"/>
        <v>0</v>
      </c>
      <c r="F24" s="312">
        <f t="shared" ca="1" si="7"/>
        <v>0</v>
      </c>
      <c r="G24" s="312">
        <f t="shared" ca="1" si="7"/>
        <v>-831862</v>
      </c>
      <c r="H24" s="312">
        <f t="shared" ca="1" si="7"/>
        <v>0</v>
      </c>
      <c r="I24" s="312">
        <f t="shared" ca="1" si="7"/>
        <v>0</v>
      </c>
      <c r="J24" s="312">
        <f t="shared" ca="1" si="7"/>
        <v>0</v>
      </c>
      <c r="K24" s="312">
        <f t="shared" ca="1" si="7"/>
        <v>0</v>
      </c>
      <c r="L24" s="312">
        <f t="shared" ca="1" si="7"/>
        <v>0</v>
      </c>
      <c r="M24" s="312">
        <f t="shared" ca="1" si="7"/>
        <v>0</v>
      </c>
      <c r="N24" s="312">
        <f t="shared" ca="1" si="7"/>
        <v>0</v>
      </c>
      <c r="O24" s="312">
        <f t="shared" ca="1" si="7"/>
        <v>0</v>
      </c>
      <c r="P24" s="312">
        <f t="shared" ca="1" si="7"/>
        <v>-440231.70731709298</v>
      </c>
      <c r="Q24" s="312">
        <f t="shared" ca="1" si="7"/>
        <v>0</v>
      </c>
      <c r="R24" s="312">
        <f t="shared" ca="1" si="5"/>
        <v>0</v>
      </c>
      <c r="S24" s="312">
        <f t="shared" ca="1" si="5"/>
        <v>0</v>
      </c>
      <c r="T24" s="312">
        <f t="shared" ca="1" si="5"/>
        <v>0</v>
      </c>
      <c r="U24" s="312">
        <f t="shared" ca="1" si="5"/>
        <v>0</v>
      </c>
      <c r="V24" s="312">
        <f t="shared" ca="1" si="5"/>
        <v>0</v>
      </c>
      <c r="W24" s="312">
        <f t="shared" ca="1" si="5"/>
        <v>0</v>
      </c>
      <c r="X24" s="312">
        <f t="shared" ca="1" si="5"/>
        <v>0</v>
      </c>
      <c r="Y24" s="312" t="e">
        <f t="shared" ca="1" si="5"/>
        <v>#REF!</v>
      </c>
      <c r="Z24" s="312" t="e">
        <f t="shared" ca="1" si="5"/>
        <v>#REF!</v>
      </c>
      <c r="AA24" s="312" t="e">
        <f t="shared" ca="1" si="5"/>
        <v>#REF!</v>
      </c>
      <c r="AB24" s="312" t="e">
        <f t="shared" ca="1" si="5"/>
        <v>#REF!</v>
      </c>
      <c r="AC24" s="312" t="e">
        <f t="shared" ca="1" si="5"/>
        <v>#REF!</v>
      </c>
      <c r="AD24" s="312" t="e">
        <f t="shared" ca="1" si="5"/>
        <v>#REF!</v>
      </c>
      <c r="AE24" s="312" t="e">
        <f t="shared" ca="1" si="5"/>
        <v>#REF!</v>
      </c>
      <c r="AF24" s="312" t="e">
        <f t="shared" ca="1" si="5"/>
        <v>#REF!</v>
      </c>
      <c r="AG24" s="312"/>
      <c r="AH24" s="312"/>
      <c r="AI24" s="312"/>
      <c r="AJ24" s="312"/>
    </row>
    <row r="25" spans="1:36">
      <c r="A25">
        <f t="shared" si="4"/>
        <v>2030</v>
      </c>
      <c r="B25" s="312">
        <f t="shared" ca="1" si="7"/>
        <v>0</v>
      </c>
      <c r="C25" s="312">
        <f t="shared" ca="1" si="7"/>
        <v>0</v>
      </c>
      <c r="D25" s="312">
        <f t="shared" ca="1" si="7"/>
        <v>0</v>
      </c>
      <c r="E25" s="312">
        <f t="shared" ca="1" si="7"/>
        <v>0</v>
      </c>
      <c r="F25" s="312">
        <f t="shared" ca="1" si="7"/>
        <v>0</v>
      </c>
      <c r="G25" s="312">
        <f t="shared" ca="1" si="7"/>
        <v>-831862</v>
      </c>
      <c r="H25" s="312">
        <f t="shared" ca="1" si="7"/>
        <v>0</v>
      </c>
      <c r="I25" s="312">
        <f t="shared" ca="1" si="7"/>
        <v>0</v>
      </c>
      <c r="J25" s="312">
        <f t="shared" ca="1" si="7"/>
        <v>0</v>
      </c>
      <c r="K25" s="312">
        <f t="shared" ca="1" si="7"/>
        <v>0</v>
      </c>
      <c r="L25" s="312">
        <f t="shared" ca="1" si="7"/>
        <v>0</v>
      </c>
      <c r="M25" s="312">
        <f t="shared" ca="1" si="7"/>
        <v>0</v>
      </c>
      <c r="N25" s="312">
        <f t="shared" ca="1" si="7"/>
        <v>0</v>
      </c>
      <c r="O25" s="312">
        <f t="shared" ca="1" si="7"/>
        <v>0</v>
      </c>
      <c r="P25" s="312">
        <f t="shared" ca="1" si="7"/>
        <v>-440231.70731707709</v>
      </c>
      <c r="Q25" s="312">
        <f t="shared" ca="1" si="7"/>
        <v>0</v>
      </c>
      <c r="R25" s="312">
        <f t="shared" ca="1" si="5"/>
        <v>0</v>
      </c>
      <c r="S25" s="312">
        <f t="shared" ca="1" si="5"/>
        <v>0</v>
      </c>
      <c r="T25" s="312">
        <f t="shared" ca="1" si="5"/>
        <v>0</v>
      </c>
      <c r="U25" s="312">
        <f t="shared" ca="1" si="5"/>
        <v>0</v>
      </c>
      <c r="V25" s="312">
        <f t="shared" ca="1" si="5"/>
        <v>0</v>
      </c>
      <c r="W25" s="312">
        <f t="shared" ca="1" si="5"/>
        <v>0</v>
      </c>
      <c r="X25" s="312">
        <f t="shared" ca="1" si="5"/>
        <v>0</v>
      </c>
      <c r="Y25" s="312" t="e">
        <f t="shared" ca="1" si="5"/>
        <v>#REF!</v>
      </c>
      <c r="Z25" s="312" t="e">
        <f t="shared" ca="1" si="5"/>
        <v>#REF!</v>
      </c>
      <c r="AA25" s="312" t="e">
        <f t="shared" ca="1" si="5"/>
        <v>#REF!</v>
      </c>
      <c r="AB25" s="312" t="e">
        <f t="shared" ca="1" si="5"/>
        <v>#REF!</v>
      </c>
      <c r="AC25" s="312" t="e">
        <f t="shared" ca="1" si="5"/>
        <v>#REF!</v>
      </c>
      <c r="AD25" s="312" t="e">
        <f t="shared" ca="1" si="5"/>
        <v>#REF!</v>
      </c>
      <c r="AE25" s="312" t="e">
        <f t="shared" ca="1" si="5"/>
        <v>#REF!</v>
      </c>
      <c r="AF25" s="312" t="e">
        <f t="shared" ca="1" si="5"/>
        <v>#REF!</v>
      </c>
      <c r="AG25" s="312"/>
      <c r="AH25" s="312"/>
      <c r="AI25" s="312"/>
      <c r="AJ25" s="312"/>
    </row>
    <row r="26" spans="1:36">
      <c r="A26">
        <f t="shared" si="4"/>
        <v>2031</v>
      </c>
      <c r="B26" s="312">
        <f t="shared" ca="1" si="7"/>
        <v>0</v>
      </c>
      <c r="C26" s="312">
        <f t="shared" ca="1" si="7"/>
        <v>0</v>
      </c>
      <c r="D26" s="312">
        <f t="shared" ca="1" si="7"/>
        <v>0</v>
      </c>
      <c r="E26" s="312">
        <f t="shared" ca="1" si="7"/>
        <v>0</v>
      </c>
      <c r="F26" s="312">
        <f t="shared" ca="1" si="7"/>
        <v>0</v>
      </c>
      <c r="G26" s="312">
        <f t="shared" ca="1" si="7"/>
        <v>-831862</v>
      </c>
      <c r="H26" s="312">
        <f t="shared" ca="1" si="7"/>
        <v>0</v>
      </c>
      <c r="I26" s="312">
        <f t="shared" ca="1" si="7"/>
        <v>0</v>
      </c>
      <c r="J26" s="312">
        <f t="shared" ca="1" si="7"/>
        <v>0</v>
      </c>
      <c r="K26" s="312">
        <f t="shared" ca="1" si="7"/>
        <v>0</v>
      </c>
      <c r="L26" s="312">
        <f t="shared" ca="1" si="7"/>
        <v>0</v>
      </c>
      <c r="M26" s="312">
        <f t="shared" ca="1" si="7"/>
        <v>0</v>
      </c>
      <c r="N26" s="312">
        <f t="shared" ca="1" si="7"/>
        <v>0</v>
      </c>
      <c r="O26" s="312">
        <f t="shared" ca="1" si="7"/>
        <v>0</v>
      </c>
      <c r="P26" s="312">
        <f t="shared" ca="1" si="7"/>
        <v>-440231.70731706114</v>
      </c>
      <c r="Q26" s="312">
        <f t="shared" ca="1" si="7"/>
        <v>0</v>
      </c>
      <c r="R26" s="312">
        <f t="shared" ca="1" si="5"/>
        <v>0</v>
      </c>
      <c r="S26" s="312">
        <f t="shared" ca="1" si="5"/>
        <v>0</v>
      </c>
      <c r="T26" s="312">
        <f t="shared" ca="1" si="5"/>
        <v>0</v>
      </c>
      <c r="U26" s="312">
        <f t="shared" ca="1" si="5"/>
        <v>0</v>
      </c>
      <c r="V26" s="312">
        <f t="shared" ca="1" si="5"/>
        <v>0</v>
      </c>
      <c r="W26" s="312">
        <f t="shared" ca="1" si="5"/>
        <v>0</v>
      </c>
      <c r="X26" s="312">
        <f t="shared" ca="1" si="5"/>
        <v>0</v>
      </c>
      <c r="Y26" s="312" t="e">
        <f t="shared" ca="1" si="5"/>
        <v>#REF!</v>
      </c>
      <c r="Z26" s="312" t="e">
        <f t="shared" ca="1" si="5"/>
        <v>#REF!</v>
      </c>
      <c r="AA26" s="312" t="e">
        <f t="shared" ca="1" si="5"/>
        <v>#REF!</v>
      </c>
      <c r="AB26" s="312" t="e">
        <f t="shared" ca="1" si="5"/>
        <v>#REF!</v>
      </c>
      <c r="AC26" s="312" t="e">
        <f t="shared" ca="1" si="5"/>
        <v>#REF!</v>
      </c>
      <c r="AD26" s="312" t="e">
        <f t="shared" ca="1" si="5"/>
        <v>#REF!</v>
      </c>
      <c r="AE26" s="312" t="e">
        <f t="shared" ca="1" si="5"/>
        <v>#REF!</v>
      </c>
      <c r="AF26" s="312" t="e">
        <f t="shared" ca="1" si="5"/>
        <v>#REF!</v>
      </c>
      <c r="AG26" s="312"/>
      <c r="AH26" s="312"/>
      <c r="AI26" s="312"/>
      <c r="AJ26" s="312"/>
    </row>
    <row r="27" spans="1:36">
      <c r="A27">
        <f t="shared" si="4"/>
        <v>2032</v>
      </c>
      <c r="B27" s="312">
        <f t="shared" ca="1" si="7"/>
        <v>0</v>
      </c>
      <c r="C27" s="312">
        <f t="shared" ca="1" si="7"/>
        <v>0</v>
      </c>
      <c r="D27" s="312">
        <f t="shared" ca="1" si="7"/>
        <v>0</v>
      </c>
      <c r="E27" s="312">
        <f t="shared" ca="1" si="7"/>
        <v>0</v>
      </c>
      <c r="F27" s="312">
        <f t="shared" ca="1" si="7"/>
        <v>0</v>
      </c>
      <c r="G27" s="312">
        <f t="shared" ca="1" si="7"/>
        <v>-831862</v>
      </c>
      <c r="H27" s="312">
        <f t="shared" ca="1" si="7"/>
        <v>0</v>
      </c>
      <c r="I27" s="312">
        <f t="shared" ca="1" si="7"/>
        <v>0</v>
      </c>
      <c r="J27" s="312">
        <f t="shared" ca="1" si="7"/>
        <v>0</v>
      </c>
      <c r="K27" s="312">
        <f t="shared" ca="1" si="7"/>
        <v>0</v>
      </c>
      <c r="L27" s="312">
        <f t="shared" ca="1" si="7"/>
        <v>0</v>
      </c>
      <c r="M27" s="312">
        <f t="shared" ca="1" si="7"/>
        <v>0</v>
      </c>
      <c r="N27" s="312">
        <f t="shared" ca="1" si="7"/>
        <v>0</v>
      </c>
      <c r="O27" s="312">
        <f t="shared" ca="1" si="7"/>
        <v>0</v>
      </c>
      <c r="P27" s="312">
        <f t="shared" ca="1" si="7"/>
        <v>-440231.70731706114</v>
      </c>
      <c r="Q27" s="312">
        <f t="shared" ca="1" si="7"/>
        <v>0</v>
      </c>
      <c r="R27" s="312">
        <f t="shared" ca="1" si="5"/>
        <v>0</v>
      </c>
      <c r="S27" s="312">
        <f t="shared" ca="1" si="5"/>
        <v>0</v>
      </c>
      <c r="T27" s="312">
        <f t="shared" ca="1" si="5"/>
        <v>0</v>
      </c>
      <c r="U27" s="312">
        <f t="shared" ca="1" si="5"/>
        <v>0</v>
      </c>
      <c r="V27" s="312">
        <f t="shared" ca="1" si="5"/>
        <v>0</v>
      </c>
      <c r="W27" s="312">
        <f t="shared" ca="1" si="5"/>
        <v>0</v>
      </c>
      <c r="X27" s="312">
        <f t="shared" ca="1" si="5"/>
        <v>0</v>
      </c>
      <c r="Y27" s="312" t="e">
        <f t="shared" ca="1" si="5"/>
        <v>#REF!</v>
      </c>
      <c r="Z27" s="312" t="e">
        <f t="shared" ca="1" si="5"/>
        <v>#REF!</v>
      </c>
      <c r="AA27" s="312" t="e">
        <f t="shared" ca="1" si="5"/>
        <v>#REF!</v>
      </c>
      <c r="AB27" s="312" t="e">
        <f t="shared" ca="1" si="5"/>
        <v>#REF!</v>
      </c>
      <c r="AC27" s="312" t="e">
        <f t="shared" ca="1" si="5"/>
        <v>#REF!</v>
      </c>
      <c r="AD27" s="312" t="e">
        <f t="shared" ca="1" si="5"/>
        <v>#REF!</v>
      </c>
      <c r="AE27" s="312" t="e">
        <f t="shared" ca="1" si="5"/>
        <v>#REF!</v>
      </c>
      <c r="AF27" s="312" t="e">
        <f t="shared" ca="1" si="5"/>
        <v>#REF!</v>
      </c>
      <c r="AG27" s="312"/>
      <c r="AH27" s="312"/>
      <c r="AI27" s="312"/>
      <c r="AJ27" s="312"/>
    </row>
    <row r="28" spans="1:36">
      <c r="A28">
        <f t="shared" si="4"/>
        <v>2033</v>
      </c>
      <c r="B28" s="312">
        <f t="shared" ca="1" si="7"/>
        <v>0</v>
      </c>
      <c r="C28" s="312">
        <f t="shared" ca="1" si="7"/>
        <v>0</v>
      </c>
      <c r="D28" s="312">
        <f t="shared" ca="1" si="7"/>
        <v>0</v>
      </c>
      <c r="E28" s="312">
        <f t="shared" ca="1" si="7"/>
        <v>0</v>
      </c>
      <c r="F28" s="312">
        <f t="shared" ca="1" si="7"/>
        <v>0</v>
      </c>
      <c r="G28" s="312">
        <f t="shared" ca="1" si="7"/>
        <v>-831862</v>
      </c>
      <c r="H28" s="312">
        <f t="shared" ca="1" si="7"/>
        <v>0</v>
      </c>
      <c r="I28" s="312">
        <f t="shared" ca="1" si="7"/>
        <v>0</v>
      </c>
      <c r="J28" s="312">
        <f t="shared" ca="1" si="7"/>
        <v>0</v>
      </c>
      <c r="K28" s="312">
        <f t="shared" ca="1" si="7"/>
        <v>0</v>
      </c>
      <c r="L28" s="312">
        <f t="shared" ca="1" si="7"/>
        <v>0</v>
      </c>
      <c r="M28" s="312">
        <f t="shared" ca="1" si="7"/>
        <v>0</v>
      </c>
      <c r="N28" s="312">
        <f t="shared" ca="1" si="7"/>
        <v>0</v>
      </c>
      <c r="O28" s="312">
        <f t="shared" ca="1" si="7"/>
        <v>0</v>
      </c>
      <c r="P28" s="312">
        <f t="shared" ca="1" si="7"/>
        <v>-440231.70731707709</v>
      </c>
      <c r="Q28" s="312">
        <f t="shared" ca="1" si="7"/>
        <v>0</v>
      </c>
      <c r="R28" s="312">
        <f t="shared" ca="1" si="5"/>
        <v>0</v>
      </c>
      <c r="S28" s="312">
        <f t="shared" ca="1" si="5"/>
        <v>0</v>
      </c>
      <c r="T28" s="312">
        <f t="shared" ca="1" si="5"/>
        <v>0</v>
      </c>
      <c r="U28" s="312">
        <f t="shared" ca="1" si="5"/>
        <v>0</v>
      </c>
      <c r="V28" s="312">
        <f t="shared" ca="1" si="5"/>
        <v>0</v>
      </c>
      <c r="W28" s="312">
        <f t="shared" ca="1" si="5"/>
        <v>0</v>
      </c>
      <c r="X28" s="312">
        <f t="shared" ca="1" si="5"/>
        <v>0</v>
      </c>
      <c r="Y28" s="312" t="e">
        <f t="shared" ca="1" si="5"/>
        <v>#REF!</v>
      </c>
      <c r="Z28" s="312" t="e">
        <f t="shared" ca="1" si="5"/>
        <v>#REF!</v>
      </c>
      <c r="AA28" s="312" t="e">
        <f t="shared" ca="1" si="5"/>
        <v>#REF!</v>
      </c>
      <c r="AB28" s="312" t="e">
        <f t="shared" ca="1" si="5"/>
        <v>#REF!</v>
      </c>
      <c r="AC28" s="312" t="e">
        <f t="shared" ca="1" si="5"/>
        <v>#REF!</v>
      </c>
      <c r="AD28" s="312" t="e">
        <f t="shared" ca="1" si="5"/>
        <v>#REF!</v>
      </c>
      <c r="AE28" s="312" t="e">
        <f t="shared" ca="1" si="5"/>
        <v>#REF!</v>
      </c>
      <c r="AF28" s="312" t="e">
        <f t="shared" ca="1" si="5"/>
        <v>#REF!</v>
      </c>
      <c r="AG28" s="312"/>
      <c r="AH28" s="312"/>
      <c r="AI28" s="312"/>
      <c r="AJ28" s="312"/>
    </row>
    <row r="29" spans="1:36">
      <c r="A29">
        <f t="shared" si="4"/>
        <v>2034</v>
      </c>
      <c r="B29" s="312">
        <f t="shared" ca="1" si="7"/>
        <v>0</v>
      </c>
      <c r="C29" s="312">
        <f t="shared" ca="1" si="7"/>
        <v>0</v>
      </c>
      <c r="D29" s="312">
        <f t="shared" ca="1" si="7"/>
        <v>0</v>
      </c>
      <c r="E29" s="312">
        <f t="shared" ca="1" si="7"/>
        <v>0</v>
      </c>
      <c r="F29" s="312">
        <f t="shared" ca="1" si="7"/>
        <v>0</v>
      </c>
      <c r="G29" s="312">
        <f t="shared" ca="1" si="7"/>
        <v>0</v>
      </c>
      <c r="H29" s="312">
        <f t="shared" ca="1" si="7"/>
        <v>0</v>
      </c>
      <c r="I29" s="312">
        <f t="shared" ca="1" si="7"/>
        <v>0</v>
      </c>
      <c r="J29" s="312">
        <f t="shared" ca="1" si="7"/>
        <v>0</v>
      </c>
      <c r="K29" s="312">
        <f t="shared" ca="1" si="7"/>
        <v>0</v>
      </c>
      <c r="L29" s="312">
        <f t="shared" ca="1" si="7"/>
        <v>0</v>
      </c>
      <c r="M29" s="312">
        <f t="shared" ca="1" si="7"/>
        <v>0</v>
      </c>
      <c r="N29" s="312">
        <f t="shared" ca="1" si="7"/>
        <v>0</v>
      </c>
      <c r="O29" s="312">
        <f t="shared" ca="1" si="7"/>
        <v>0</v>
      </c>
      <c r="P29" s="312">
        <f t="shared" ca="1" si="7"/>
        <v>-440231.70731706114</v>
      </c>
      <c r="Q29" s="312">
        <f t="shared" ca="1" si="7"/>
        <v>0</v>
      </c>
      <c r="R29" s="312">
        <f t="shared" ca="1" si="5"/>
        <v>0</v>
      </c>
      <c r="S29" s="312">
        <f t="shared" ca="1" si="5"/>
        <v>0</v>
      </c>
      <c r="T29" s="312">
        <f t="shared" ca="1" si="5"/>
        <v>0</v>
      </c>
      <c r="U29" s="312">
        <f t="shared" ca="1" si="5"/>
        <v>0</v>
      </c>
      <c r="V29" s="312">
        <f t="shared" ca="1" si="5"/>
        <v>0</v>
      </c>
      <c r="W29" s="312">
        <f t="shared" ca="1" si="5"/>
        <v>0</v>
      </c>
      <c r="X29" s="312">
        <f t="shared" ca="1" si="5"/>
        <v>0</v>
      </c>
      <c r="Y29" s="312" t="e">
        <f t="shared" ca="1" si="5"/>
        <v>#REF!</v>
      </c>
      <c r="Z29" s="312" t="e">
        <f t="shared" ca="1" si="5"/>
        <v>#REF!</v>
      </c>
      <c r="AA29" s="312" t="e">
        <f t="shared" ca="1" si="5"/>
        <v>#REF!</v>
      </c>
      <c r="AB29" s="312" t="e">
        <f t="shared" ca="1" si="5"/>
        <v>#REF!</v>
      </c>
      <c r="AC29" s="312" t="e">
        <f t="shared" ca="1" si="5"/>
        <v>#REF!</v>
      </c>
      <c r="AD29" s="312" t="e">
        <f t="shared" ca="1" si="5"/>
        <v>#REF!</v>
      </c>
      <c r="AE29" s="312" t="e">
        <f t="shared" ca="1" si="5"/>
        <v>#REF!</v>
      </c>
      <c r="AF29" s="312" t="e">
        <f t="shared" ca="1" si="5"/>
        <v>#REF!</v>
      </c>
      <c r="AG29" s="312"/>
      <c r="AH29" s="312"/>
      <c r="AI29" s="312"/>
      <c r="AJ29" s="312"/>
    </row>
    <row r="30" spans="1:36">
      <c r="A30">
        <f t="shared" si="4"/>
        <v>2035</v>
      </c>
      <c r="B30" s="312">
        <f t="shared" ca="1" si="7"/>
        <v>0</v>
      </c>
      <c r="C30" s="312">
        <f t="shared" ca="1" si="7"/>
        <v>0</v>
      </c>
      <c r="D30" s="312">
        <f t="shared" ca="1" si="7"/>
        <v>0</v>
      </c>
      <c r="E30" s="312">
        <f t="shared" ca="1" si="7"/>
        <v>0</v>
      </c>
      <c r="F30" s="312">
        <f t="shared" ca="1" si="7"/>
        <v>0</v>
      </c>
      <c r="G30" s="312">
        <f t="shared" ca="1" si="7"/>
        <v>0</v>
      </c>
      <c r="H30" s="312">
        <f t="shared" ca="1" si="7"/>
        <v>0</v>
      </c>
      <c r="I30" s="312">
        <f t="shared" ca="1" si="7"/>
        <v>0</v>
      </c>
      <c r="J30" s="312">
        <f t="shared" ca="1" si="7"/>
        <v>0</v>
      </c>
      <c r="K30" s="312">
        <f t="shared" ca="1" si="7"/>
        <v>0</v>
      </c>
      <c r="L30" s="312">
        <f t="shared" ca="1" si="7"/>
        <v>0</v>
      </c>
      <c r="M30" s="312">
        <f t="shared" ca="1" si="7"/>
        <v>0</v>
      </c>
      <c r="N30" s="312">
        <f t="shared" ca="1" si="7"/>
        <v>0</v>
      </c>
      <c r="O30" s="312">
        <f t="shared" ca="1" si="7"/>
        <v>0</v>
      </c>
      <c r="P30" s="312">
        <f t="shared" ca="1" si="7"/>
        <v>-440231.70731706114</v>
      </c>
      <c r="Q30" s="312">
        <f t="shared" ca="1" si="7"/>
        <v>0</v>
      </c>
      <c r="R30" s="312">
        <f t="shared" ca="1" si="5"/>
        <v>0</v>
      </c>
      <c r="S30" s="312">
        <f t="shared" ca="1" si="5"/>
        <v>0</v>
      </c>
      <c r="T30" s="312">
        <f t="shared" ca="1" si="5"/>
        <v>0</v>
      </c>
      <c r="U30" s="312">
        <f t="shared" ca="1" si="5"/>
        <v>0</v>
      </c>
      <c r="V30" s="312">
        <f t="shared" ca="1" si="5"/>
        <v>0</v>
      </c>
      <c r="W30" s="312">
        <f t="shared" ca="1" si="5"/>
        <v>0</v>
      </c>
      <c r="X30" s="312">
        <f t="shared" ca="1" si="5"/>
        <v>0</v>
      </c>
      <c r="Y30" s="312" t="e">
        <f t="shared" ca="1" si="5"/>
        <v>#REF!</v>
      </c>
      <c r="Z30" s="312" t="e">
        <f t="shared" ca="1" si="5"/>
        <v>#REF!</v>
      </c>
      <c r="AA30" s="312" t="e">
        <f t="shared" ca="1" si="5"/>
        <v>#REF!</v>
      </c>
      <c r="AB30" s="312" t="e">
        <f t="shared" ca="1" si="5"/>
        <v>#REF!</v>
      </c>
      <c r="AC30" s="312" t="e">
        <f t="shared" ca="1" si="5"/>
        <v>#REF!</v>
      </c>
      <c r="AD30" s="312" t="e">
        <f t="shared" ca="1" si="5"/>
        <v>#REF!</v>
      </c>
      <c r="AE30" s="312" t="e">
        <f t="shared" ca="1" si="5"/>
        <v>#REF!</v>
      </c>
      <c r="AF30" s="312" t="e">
        <f t="shared" ca="1" si="5"/>
        <v>#REF!</v>
      </c>
      <c r="AG30" s="312"/>
      <c r="AH30" s="312"/>
      <c r="AI30" s="312"/>
      <c r="AJ30" s="312"/>
    </row>
    <row r="31" spans="1:36">
      <c r="A31">
        <f t="shared" si="4"/>
        <v>2036</v>
      </c>
      <c r="B31" s="312">
        <f t="shared" ca="1" si="7"/>
        <v>0</v>
      </c>
      <c r="C31" s="312">
        <f t="shared" ca="1" si="7"/>
        <v>0</v>
      </c>
      <c r="D31" s="312">
        <f t="shared" ca="1" si="7"/>
        <v>0</v>
      </c>
      <c r="E31" s="312">
        <f t="shared" ca="1" si="7"/>
        <v>0</v>
      </c>
      <c r="F31" s="312">
        <f t="shared" ca="1" si="7"/>
        <v>0</v>
      </c>
      <c r="G31" s="312">
        <f t="shared" ca="1" si="7"/>
        <v>0</v>
      </c>
      <c r="H31" s="312">
        <f t="shared" ca="1" si="7"/>
        <v>-600000</v>
      </c>
      <c r="I31" s="312">
        <f t="shared" ca="1" si="7"/>
        <v>0</v>
      </c>
      <c r="J31" s="312">
        <f t="shared" ca="1" si="7"/>
        <v>0</v>
      </c>
      <c r="K31" s="312">
        <f t="shared" ca="1" si="7"/>
        <v>-61400</v>
      </c>
      <c r="L31" s="312">
        <f t="shared" ca="1" si="7"/>
        <v>0</v>
      </c>
      <c r="M31" s="312">
        <f t="shared" ca="1" si="7"/>
        <v>0</v>
      </c>
      <c r="N31" s="312">
        <f t="shared" ca="1" si="7"/>
        <v>0</v>
      </c>
      <c r="O31" s="312">
        <f t="shared" ca="1" si="7"/>
        <v>0</v>
      </c>
      <c r="P31" s="312">
        <f t="shared" ca="1" si="7"/>
        <v>-440231.70731710887</v>
      </c>
      <c r="Q31" s="312">
        <f t="shared" ca="1" si="7"/>
        <v>0</v>
      </c>
      <c r="R31" s="312">
        <f t="shared" ca="1" si="5"/>
        <v>0</v>
      </c>
      <c r="S31" s="312">
        <f t="shared" ca="1" si="5"/>
        <v>0</v>
      </c>
      <c r="T31" s="312">
        <f t="shared" ca="1" si="5"/>
        <v>0</v>
      </c>
      <c r="U31" s="312">
        <f t="shared" ca="1" si="5"/>
        <v>0</v>
      </c>
      <c r="V31" s="312">
        <f t="shared" ca="1" si="5"/>
        <v>0</v>
      </c>
      <c r="W31" s="312">
        <f t="shared" ca="1" si="5"/>
        <v>0</v>
      </c>
      <c r="X31" s="312">
        <f t="shared" ca="1" si="5"/>
        <v>0</v>
      </c>
      <c r="Y31" s="312" t="e">
        <f t="shared" ca="1" si="5"/>
        <v>#REF!</v>
      </c>
      <c r="Z31" s="312" t="e">
        <f t="shared" ca="1" si="5"/>
        <v>#REF!</v>
      </c>
      <c r="AA31" s="312" t="e">
        <f t="shared" ca="1" si="5"/>
        <v>#REF!</v>
      </c>
      <c r="AB31" s="312" t="e">
        <f t="shared" ca="1" si="5"/>
        <v>#REF!</v>
      </c>
      <c r="AC31" s="312" t="e">
        <f t="shared" ca="1" si="5"/>
        <v>#REF!</v>
      </c>
      <c r="AD31" s="312" t="e">
        <f t="shared" ca="1" si="5"/>
        <v>#REF!</v>
      </c>
      <c r="AE31" s="312" t="e">
        <f t="shared" ca="1" si="5"/>
        <v>#REF!</v>
      </c>
      <c r="AF31" s="312" t="e">
        <f t="shared" ca="1" si="5"/>
        <v>#REF!</v>
      </c>
      <c r="AG31" s="312"/>
      <c r="AH31" s="312"/>
      <c r="AI31" s="312"/>
      <c r="AJ31" s="312"/>
    </row>
    <row r="32" spans="1:36">
      <c r="A32">
        <f t="shared" si="4"/>
        <v>2037</v>
      </c>
      <c r="B32" s="312">
        <f t="shared" ca="1" si="7"/>
        <v>0</v>
      </c>
      <c r="C32" s="312">
        <f t="shared" ca="1" si="7"/>
        <v>0</v>
      </c>
      <c r="D32" s="312">
        <f t="shared" ca="1" si="7"/>
        <v>0</v>
      </c>
      <c r="E32" s="312">
        <f t="shared" ca="1" si="7"/>
        <v>0</v>
      </c>
      <c r="F32" s="312">
        <f t="shared" ca="1" si="7"/>
        <v>0</v>
      </c>
      <c r="G32" s="312">
        <f t="shared" ca="1" si="7"/>
        <v>0</v>
      </c>
      <c r="H32" s="312">
        <f t="shared" ca="1" si="7"/>
        <v>0</v>
      </c>
      <c r="I32" s="312">
        <f t="shared" ca="1" si="7"/>
        <v>0</v>
      </c>
      <c r="J32" s="312">
        <f t="shared" ca="1" si="7"/>
        <v>0</v>
      </c>
      <c r="K32" s="312">
        <f t="shared" ca="1" si="7"/>
        <v>0</v>
      </c>
      <c r="L32" s="312">
        <f t="shared" ca="1" si="7"/>
        <v>0</v>
      </c>
      <c r="M32" s="312">
        <f t="shared" ca="1" si="7"/>
        <v>0</v>
      </c>
      <c r="N32" s="312">
        <f t="shared" ca="1" si="7"/>
        <v>0</v>
      </c>
      <c r="O32" s="312">
        <f t="shared" ca="1" si="7"/>
        <v>0</v>
      </c>
      <c r="P32" s="312">
        <f t="shared" ca="1" si="7"/>
        <v>-440231.70731707709</v>
      </c>
      <c r="Q32" s="312">
        <f t="shared" ca="1" si="7"/>
        <v>0</v>
      </c>
      <c r="R32" s="312">
        <f t="shared" ca="1" si="5"/>
        <v>0</v>
      </c>
      <c r="S32" s="312">
        <f t="shared" ca="1" si="5"/>
        <v>0</v>
      </c>
      <c r="T32" s="312">
        <f t="shared" ca="1" si="5"/>
        <v>0</v>
      </c>
      <c r="U32" s="312">
        <f t="shared" ca="1" si="5"/>
        <v>0</v>
      </c>
      <c r="V32" s="312">
        <f t="shared" ca="1" si="5"/>
        <v>0</v>
      </c>
      <c r="W32" s="312">
        <f t="shared" ca="1" si="5"/>
        <v>0</v>
      </c>
      <c r="X32" s="312">
        <f t="shared" ca="1" si="5"/>
        <v>0</v>
      </c>
      <c r="Y32" s="312" t="e">
        <f t="shared" ca="1" si="5"/>
        <v>#REF!</v>
      </c>
      <c r="Z32" s="312" t="e">
        <f t="shared" ca="1" si="5"/>
        <v>#REF!</v>
      </c>
      <c r="AA32" s="312" t="e">
        <f t="shared" ca="1" si="5"/>
        <v>#REF!</v>
      </c>
      <c r="AB32" s="312" t="e">
        <f t="shared" ca="1" si="5"/>
        <v>#REF!</v>
      </c>
      <c r="AC32" s="312" t="e">
        <f t="shared" ca="1" si="5"/>
        <v>#REF!</v>
      </c>
      <c r="AD32" s="312" t="e">
        <f t="shared" ca="1" si="5"/>
        <v>#REF!</v>
      </c>
      <c r="AE32" s="312" t="e">
        <f t="shared" ca="1" si="5"/>
        <v>#REF!</v>
      </c>
      <c r="AF32" s="312" t="e">
        <f t="shared" ca="1" si="5"/>
        <v>#REF!</v>
      </c>
      <c r="AG32" s="312"/>
      <c r="AH32" s="312"/>
      <c r="AI32" s="312"/>
      <c r="AJ32" s="312"/>
    </row>
    <row r="33" spans="1:36">
      <c r="A33">
        <f t="shared" si="4"/>
        <v>2038</v>
      </c>
      <c r="B33" s="312">
        <f t="shared" ca="1" si="7"/>
        <v>0</v>
      </c>
      <c r="C33" s="312">
        <f t="shared" ca="1" si="7"/>
        <v>0</v>
      </c>
      <c r="D33" s="312">
        <f t="shared" ca="1" si="7"/>
        <v>0</v>
      </c>
      <c r="E33" s="312">
        <f t="shared" ca="1" si="7"/>
        <v>0</v>
      </c>
      <c r="F33" s="312">
        <f t="shared" ca="1" si="7"/>
        <v>0</v>
      </c>
      <c r="G33" s="312">
        <f t="shared" ca="1" si="7"/>
        <v>0</v>
      </c>
      <c r="H33" s="312">
        <f t="shared" ca="1" si="7"/>
        <v>0</v>
      </c>
      <c r="I33" s="312">
        <f t="shared" ca="1" si="7"/>
        <v>0</v>
      </c>
      <c r="J33" s="312">
        <f t="shared" ca="1" si="7"/>
        <v>0</v>
      </c>
      <c r="K33" s="312">
        <f t="shared" ca="1" si="7"/>
        <v>0</v>
      </c>
      <c r="L33" s="312">
        <f t="shared" ca="1" si="7"/>
        <v>0</v>
      </c>
      <c r="M33" s="312">
        <f t="shared" ca="1" si="7"/>
        <v>0</v>
      </c>
      <c r="N33" s="312">
        <f t="shared" ca="1" si="7"/>
        <v>0</v>
      </c>
      <c r="O33" s="312">
        <f t="shared" ca="1" si="7"/>
        <v>0</v>
      </c>
      <c r="P33" s="312">
        <f t="shared" ca="1" si="7"/>
        <v>-440231.70731706114</v>
      </c>
      <c r="Q33" s="312">
        <f t="shared" ca="1" si="7"/>
        <v>0</v>
      </c>
      <c r="R33" s="312">
        <f t="shared" ca="1" si="5"/>
        <v>0</v>
      </c>
      <c r="S33" s="312">
        <f t="shared" ca="1" si="5"/>
        <v>0</v>
      </c>
      <c r="T33" s="312">
        <f t="shared" ca="1" si="5"/>
        <v>0</v>
      </c>
      <c r="U33" s="312">
        <f t="shared" ca="1" si="5"/>
        <v>0</v>
      </c>
      <c r="V33" s="312">
        <f t="shared" ca="1" si="5"/>
        <v>0</v>
      </c>
      <c r="W33" s="312">
        <f t="shared" ca="1" si="5"/>
        <v>0</v>
      </c>
      <c r="X33" s="312">
        <f t="shared" ca="1" si="5"/>
        <v>0</v>
      </c>
      <c r="Y33" s="312" t="e">
        <f t="shared" ca="1" si="5"/>
        <v>#REF!</v>
      </c>
      <c r="Z33" s="312" t="e">
        <f t="shared" ca="1" si="5"/>
        <v>#REF!</v>
      </c>
      <c r="AA33" s="312" t="e">
        <f t="shared" ca="1" si="5"/>
        <v>#REF!</v>
      </c>
      <c r="AB33" s="312" t="e">
        <f t="shared" ca="1" si="5"/>
        <v>#REF!</v>
      </c>
      <c r="AC33" s="312" t="e">
        <f t="shared" ca="1" si="5"/>
        <v>#REF!</v>
      </c>
      <c r="AD33" s="312" t="e">
        <f t="shared" ca="1" si="5"/>
        <v>#REF!</v>
      </c>
      <c r="AE33" s="312" t="e">
        <f t="shared" ca="1" si="5"/>
        <v>#REF!</v>
      </c>
      <c r="AF33" s="312" t="e">
        <f t="shared" ca="1" si="5"/>
        <v>#REF!</v>
      </c>
      <c r="AG33" s="312"/>
      <c r="AH33" s="312"/>
      <c r="AI33" s="312"/>
      <c r="AJ33" s="312"/>
    </row>
    <row r="34" spans="1:36">
      <c r="A34">
        <f t="shared" si="4"/>
        <v>2039</v>
      </c>
      <c r="B34" s="312">
        <f t="shared" ca="1" si="7"/>
        <v>0</v>
      </c>
      <c r="C34" s="312">
        <f t="shared" ca="1" si="7"/>
        <v>0</v>
      </c>
      <c r="D34" s="312">
        <f t="shared" ca="1" si="7"/>
        <v>0</v>
      </c>
      <c r="E34" s="312">
        <f t="shared" ca="1" si="7"/>
        <v>0</v>
      </c>
      <c r="F34" s="312">
        <f t="shared" ca="1" si="7"/>
        <v>0</v>
      </c>
      <c r="G34" s="312">
        <f t="shared" ca="1" si="7"/>
        <v>0</v>
      </c>
      <c r="H34" s="312">
        <f t="shared" ca="1" si="7"/>
        <v>0</v>
      </c>
      <c r="I34" s="312">
        <f t="shared" ca="1" si="7"/>
        <v>0</v>
      </c>
      <c r="J34" s="312">
        <f t="shared" ca="1" si="7"/>
        <v>0</v>
      </c>
      <c r="K34" s="312">
        <f t="shared" ca="1" si="7"/>
        <v>0</v>
      </c>
      <c r="L34" s="312">
        <f t="shared" ca="1" si="7"/>
        <v>0</v>
      </c>
      <c r="M34" s="312">
        <f t="shared" ca="1" si="7"/>
        <v>0</v>
      </c>
      <c r="N34" s="312">
        <f t="shared" ca="1" si="7"/>
        <v>0</v>
      </c>
      <c r="O34" s="312">
        <f t="shared" ca="1" si="7"/>
        <v>0</v>
      </c>
      <c r="P34" s="312">
        <f t="shared" ca="1" si="7"/>
        <v>-440231.70731706114</v>
      </c>
      <c r="Q34" s="312">
        <f t="shared" ca="1" si="7"/>
        <v>0</v>
      </c>
      <c r="R34" s="312">
        <f t="shared" ca="1" si="5"/>
        <v>0</v>
      </c>
      <c r="S34" s="312">
        <f t="shared" ca="1" si="5"/>
        <v>0</v>
      </c>
      <c r="T34" s="312">
        <f t="shared" ca="1" si="5"/>
        <v>0</v>
      </c>
      <c r="U34" s="312">
        <f t="shared" ca="1" si="5"/>
        <v>0</v>
      </c>
      <c r="V34" s="312">
        <f t="shared" ca="1" si="5"/>
        <v>0</v>
      </c>
      <c r="W34" s="312">
        <f t="shared" ca="1" si="5"/>
        <v>0</v>
      </c>
      <c r="X34" s="312">
        <f t="shared" ca="1" si="5"/>
        <v>0</v>
      </c>
      <c r="Y34" s="312" t="e">
        <f t="shared" ca="1" si="5"/>
        <v>#REF!</v>
      </c>
      <c r="Z34" s="312" t="e">
        <f t="shared" ca="1" si="5"/>
        <v>#REF!</v>
      </c>
      <c r="AA34" s="312" t="e">
        <f t="shared" ca="1" si="5"/>
        <v>#REF!</v>
      </c>
      <c r="AB34" s="312" t="e">
        <f t="shared" ca="1" si="5"/>
        <v>#REF!</v>
      </c>
      <c r="AC34" s="312" t="e">
        <f t="shared" ca="1" si="5"/>
        <v>#REF!</v>
      </c>
      <c r="AD34" s="312" t="e">
        <f t="shared" ca="1" si="5"/>
        <v>#REF!</v>
      </c>
      <c r="AE34" s="312" t="e">
        <f t="shared" ca="1" si="5"/>
        <v>#REF!</v>
      </c>
      <c r="AF34" s="312" t="e">
        <f t="shared" ca="1" si="5"/>
        <v>#REF!</v>
      </c>
      <c r="AG34" s="312"/>
      <c r="AH34" s="312"/>
      <c r="AI34" s="312"/>
      <c r="AJ34" s="312"/>
    </row>
    <row r="35" spans="1:36">
      <c r="A35">
        <f t="shared" si="4"/>
        <v>2040</v>
      </c>
      <c r="B35" s="312">
        <f t="shared" ca="1" si="7"/>
        <v>0</v>
      </c>
      <c r="C35" s="312">
        <f t="shared" ca="1" si="7"/>
        <v>0</v>
      </c>
      <c r="D35" s="312">
        <f t="shared" ca="1" si="7"/>
        <v>0</v>
      </c>
      <c r="E35" s="312">
        <f t="shared" ca="1" si="7"/>
        <v>0</v>
      </c>
      <c r="F35" s="312">
        <f t="shared" ca="1" si="7"/>
        <v>0</v>
      </c>
      <c r="G35" s="312">
        <f t="shared" ca="1" si="7"/>
        <v>0</v>
      </c>
      <c r="H35" s="312">
        <f t="shared" ca="1" si="7"/>
        <v>0</v>
      </c>
      <c r="I35" s="312">
        <f t="shared" ca="1" si="7"/>
        <v>0</v>
      </c>
      <c r="J35" s="312">
        <f t="shared" ca="1" si="7"/>
        <v>0</v>
      </c>
      <c r="K35" s="312">
        <f t="shared" ca="1" si="7"/>
        <v>0</v>
      </c>
      <c r="L35" s="312">
        <f t="shared" ca="1" si="7"/>
        <v>0</v>
      </c>
      <c r="M35" s="312">
        <f t="shared" ca="1" si="7"/>
        <v>0</v>
      </c>
      <c r="N35" s="312">
        <f t="shared" ca="1" si="7"/>
        <v>0</v>
      </c>
      <c r="O35" s="312">
        <f t="shared" ca="1" si="7"/>
        <v>0</v>
      </c>
      <c r="P35" s="312">
        <f t="shared" ca="1" si="7"/>
        <v>-440231.70731707709</v>
      </c>
      <c r="Q35" s="312">
        <f t="shared" ca="1" si="7"/>
        <v>0</v>
      </c>
      <c r="R35" s="312">
        <f t="shared" ca="1" si="5"/>
        <v>0</v>
      </c>
      <c r="S35" s="312">
        <f t="shared" ca="1" si="5"/>
        <v>0</v>
      </c>
      <c r="T35" s="312">
        <f t="shared" ca="1" si="5"/>
        <v>0</v>
      </c>
      <c r="U35" s="312">
        <f t="shared" ca="1" si="5"/>
        <v>0</v>
      </c>
      <c r="V35" s="312">
        <f t="shared" ca="1" si="5"/>
        <v>0</v>
      </c>
      <c r="W35" s="312">
        <f t="shared" ca="1" si="5"/>
        <v>0</v>
      </c>
      <c r="X35" s="312">
        <f t="shared" ca="1" si="5"/>
        <v>0</v>
      </c>
      <c r="Y35" s="312" t="e">
        <f t="shared" ca="1" si="5"/>
        <v>#REF!</v>
      </c>
      <c r="Z35" s="312" t="e">
        <f t="shared" ca="1" si="5"/>
        <v>#REF!</v>
      </c>
      <c r="AA35" s="312" t="e">
        <f t="shared" ca="1" si="5"/>
        <v>#REF!</v>
      </c>
      <c r="AB35" s="312" t="e">
        <f t="shared" ca="1" si="5"/>
        <v>#REF!</v>
      </c>
      <c r="AC35" s="312" t="e">
        <f t="shared" ca="1" si="5"/>
        <v>#REF!</v>
      </c>
      <c r="AD35" s="312" t="e">
        <f t="shared" ca="1" si="5"/>
        <v>#REF!</v>
      </c>
      <c r="AE35" s="312" t="e">
        <f t="shared" ca="1" si="5"/>
        <v>#REF!</v>
      </c>
      <c r="AF35" s="312" t="e">
        <f t="shared" ca="1" si="5"/>
        <v>#REF!</v>
      </c>
      <c r="AG35" s="312"/>
      <c r="AH35" s="312"/>
      <c r="AI35" s="312"/>
      <c r="AJ35" s="312"/>
    </row>
    <row r="36" spans="1:36">
      <c r="A36">
        <f t="shared" si="4"/>
        <v>2041</v>
      </c>
      <c r="B36" s="312">
        <f t="shared" ca="1" si="7"/>
        <v>0</v>
      </c>
      <c r="C36" s="312">
        <f t="shared" ca="1" si="7"/>
        <v>0</v>
      </c>
      <c r="D36" s="312">
        <f t="shared" ca="1" si="7"/>
        <v>0</v>
      </c>
      <c r="E36" s="312">
        <f t="shared" ca="1" si="7"/>
        <v>0</v>
      </c>
      <c r="F36" s="312">
        <f t="shared" ca="1" si="7"/>
        <v>0</v>
      </c>
      <c r="G36" s="312">
        <f t="shared" ca="1" si="7"/>
        <v>0</v>
      </c>
      <c r="H36" s="312">
        <f t="shared" ca="1" si="7"/>
        <v>0</v>
      </c>
      <c r="I36" s="312">
        <f t="shared" ca="1" si="7"/>
        <v>0</v>
      </c>
      <c r="J36" s="312">
        <f t="shared" ca="1" si="7"/>
        <v>0</v>
      </c>
      <c r="K36" s="312">
        <f t="shared" ca="1" si="7"/>
        <v>0</v>
      </c>
      <c r="L36" s="312">
        <f t="shared" ca="1" si="7"/>
        <v>0</v>
      </c>
      <c r="M36" s="312">
        <f t="shared" ca="1" si="7"/>
        <v>0</v>
      </c>
      <c r="N36" s="312">
        <f t="shared" ca="1" si="7"/>
        <v>0</v>
      </c>
      <c r="O36" s="312">
        <f t="shared" ca="1" si="7"/>
        <v>0</v>
      </c>
      <c r="P36" s="312">
        <f t="shared" ca="1" si="7"/>
        <v>-440231.70731709298</v>
      </c>
      <c r="Q36" s="312">
        <f t="shared" ca="1" si="7"/>
        <v>0</v>
      </c>
      <c r="R36" s="312">
        <f t="shared" ref="R36:AF45" ca="1" si="8">MIN(OFFSET(INDIRECT(R$3),$A36-$A$5+$C$1,$C$2),0)</f>
        <v>0</v>
      </c>
      <c r="S36" s="312">
        <f t="shared" ca="1" si="8"/>
        <v>0</v>
      </c>
      <c r="T36" s="312">
        <f t="shared" ca="1" si="8"/>
        <v>0</v>
      </c>
      <c r="U36" s="312">
        <f t="shared" ca="1" si="8"/>
        <v>0</v>
      </c>
      <c r="V36" s="312">
        <f t="shared" ca="1" si="8"/>
        <v>0</v>
      </c>
      <c r="W36" s="312">
        <f t="shared" ca="1" si="8"/>
        <v>0</v>
      </c>
      <c r="X36" s="312">
        <f t="shared" ca="1" si="8"/>
        <v>0</v>
      </c>
      <c r="Y36" s="312" t="e">
        <f t="shared" ca="1" si="8"/>
        <v>#REF!</v>
      </c>
      <c r="Z36" s="312" t="e">
        <f t="shared" ca="1" si="8"/>
        <v>#REF!</v>
      </c>
      <c r="AA36" s="312" t="e">
        <f t="shared" ca="1" si="8"/>
        <v>#REF!</v>
      </c>
      <c r="AB36" s="312" t="e">
        <f t="shared" ca="1" si="8"/>
        <v>#REF!</v>
      </c>
      <c r="AC36" s="312" t="e">
        <f t="shared" ca="1" si="8"/>
        <v>#REF!</v>
      </c>
      <c r="AD36" s="312" t="e">
        <f t="shared" ca="1" si="8"/>
        <v>#REF!</v>
      </c>
      <c r="AE36" s="312" t="e">
        <f t="shared" ca="1" si="8"/>
        <v>#REF!</v>
      </c>
      <c r="AF36" s="312" t="e">
        <f t="shared" ca="1" si="8"/>
        <v>#REF!</v>
      </c>
      <c r="AG36" s="312"/>
      <c r="AH36" s="312"/>
      <c r="AI36" s="312"/>
      <c r="AJ36" s="312"/>
    </row>
    <row r="37" spans="1:36">
      <c r="A37">
        <f t="shared" si="4"/>
        <v>2042</v>
      </c>
      <c r="B37" s="312">
        <f t="shared" ca="1" si="7"/>
        <v>0</v>
      </c>
      <c r="C37" s="312">
        <f t="shared" ca="1" si="7"/>
        <v>0</v>
      </c>
      <c r="D37" s="312">
        <f t="shared" ca="1" si="7"/>
        <v>0</v>
      </c>
      <c r="E37" s="312">
        <f t="shared" ca="1" si="7"/>
        <v>0</v>
      </c>
      <c r="F37" s="312">
        <f t="shared" ca="1" si="7"/>
        <v>0</v>
      </c>
      <c r="G37" s="312">
        <f t="shared" ca="1" si="7"/>
        <v>0</v>
      </c>
      <c r="H37" s="312">
        <f t="shared" ca="1" si="7"/>
        <v>0</v>
      </c>
      <c r="I37" s="312">
        <f t="shared" ca="1" si="7"/>
        <v>0</v>
      </c>
      <c r="J37" s="312">
        <f t="shared" ca="1" si="7"/>
        <v>0</v>
      </c>
      <c r="K37" s="312">
        <f t="shared" ca="1" si="7"/>
        <v>0</v>
      </c>
      <c r="L37" s="312">
        <f t="shared" ca="1" si="7"/>
        <v>0</v>
      </c>
      <c r="M37" s="312">
        <f t="shared" ca="1" si="7"/>
        <v>0</v>
      </c>
      <c r="N37" s="312">
        <f t="shared" ca="1" si="7"/>
        <v>0</v>
      </c>
      <c r="O37" s="312">
        <f t="shared" ca="1" si="7"/>
        <v>0</v>
      </c>
      <c r="P37" s="312">
        <f t="shared" ca="1" si="7"/>
        <v>-440231.70731706114</v>
      </c>
      <c r="Q37" s="312">
        <f t="shared" ref="Q37:Q45" ca="1" si="9">MIN(OFFSET(INDIRECT(Q$3),$A37-$A$5+$C$1,$C$2),0)</f>
        <v>0</v>
      </c>
      <c r="R37" s="312">
        <f t="shared" ca="1" si="8"/>
        <v>0</v>
      </c>
      <c r="S37" s="312">
        <f t="shared" ca="1" si="8"/>
        <v>0</v>
      </c>
      <c r="T37" s="312">
        <f t="shared" ca="1" si="8"/>
        <v>0</v>
      </c>
      <c r="U37" s="312">
        <f t="shared" ca="1" si="8"/>
        <v>0</v>
      </c>
      <c r="V37" s="312">
        <f t="shared" ca="1" si="8"/>
        <v>0</v>
      </c>
      <c r="W37" s="312">
        <f t="shared" ca="1" si="8"/>
        <v>0</v>
      </c>
      <c r="X37" s="312">
        <f t="shared" ca="1" si="8"/>
        <v>0</v>
      </c>
      <c r="Y37" s="312" t="e">
        <f t="shared" ca="1" si="8"/>
        <v>#REF!</v>
      </c>
      <c r="Z37" s="312" t="e">
        <f t="shared" ca="1" si="8"/>
        <v>#REF!</v>
      </c>
      <c r="AA37" s="312" t="e">
        <f t="shared" ca="1" si="8"/>
        <v>#REF!</v>
      </c>
      <c r="AB37" s="312" t="e">
        <f t="shared" ca="1" si="8"/>
        <v>#REF!</v>
      </c>
      <c r="AC37" s="312" t="e">
        <f t="shared" ca="1" si="8"/>
        <v>#REF!</v>
      </c>
      <c r="AD37" s="312" t="e">
        <f t="shared" ca="1" si="8"/>
        <v>#REF!</v>
      </c>
      <c r="AE37" s="312" t="e">
        <f t="shared" ca="1" si="8"/>
        <v>#REF!</v>
      </c>
      <c r="AF37" s="312" t="e">
        <f t="shared" ca="1" si="8"/>
        <v>#REF!</v>
      </c>
      <c r="AG37" s="312"/>
      <c r="AH37" s="312"/>
      <c r="AI37" s="312"/>
      <c r="AJ37" s="312"/>
    </row>
    <row r="38" spans="1:36">
      <c r="A38">
        <f t="shared" si="4"/>
        <v>2043</v>
      </c>
      <c r="B38" s="312">
        <f t="shared" ref="B38:P45" ca="1" si="10">MIN(OFFSET(INDIRECT(B$3),$A38-$A$5+$C$1,$C$2),0)</f>
        <v>0</v>
      </c>
      <c r="C38" s="312">
        <f t="shared" ca="1" si="10"/>
        <v>0</v>
      </c>
      <c r="D38" s="312">
        <f t="shared" ca="1" si="10"/>
        <v>0</v>
      </c>
      <c r="E38" s="312">
        <f t="shared" ca="1" si="10"/>
        <v>0</v>
      </c>
      <c r="F38" s="312">
        <f t="shared" ca="1" si="10"/>
        <v>0</v>
      </c>
      <c r="G38" s="312">
        <f t="shared" ca="1" si="10"/>
        <v>0</v>
      </c>
      <c r="H38" s="312">
        <f t="shared" ca="1" si="10"/>
        <v>0</v>
      </c>
      <c r="I38" s="312">
        <f t="shared" ca="1" si="10"/>
        <v>0</v>
      </c>
      <c r="J38" s="312">
        <f t="shared" ca="1" si="10"/>
        <v>0</v>
      </c>
      <c r="K38" s="312">
        <f t="shared" ca="1" si="10"/>
        <v>0</v>
      </c>
      <c r="L38" s="312">
        <f t="shared" ca="1" si="10"/>
        <v>0</v>
      </c>
      <c r="M38" s="312">
        <f t="shared" ca="1" si="10"/>
        <v>0</v>
      </c>
      <c r="N38" s="312">
        <f t="shared" ca="1" si="10"/>
        <v>0</v>
      </c>
      <c r="O38" s="312">
        <f t="shared" ca="1" si="10"/>
        <v>0</v>
      </c>
      <c r="P38" s="312">
        <f t="shared" ca="1" si="10"/>
        <v>-440231.70731707709</v>
      </c>
      <c r="Q38" s="312">
        <f t="shared" ca="1" si="9"/>
        <v>0</v>
      </c>
      <c r="R38" s="312">
        <f t="shared" ca="1" si="8"/>
        <v>0</v>
      </c>
      <c r="S38" s="312">
        <f t="shared" ca="1" si="8"/>
        <v>0</v>
      </c>
      <c r="T38" s="312">
        <f t="shared" ca="1" si="8"/>
        <v>0</v>
      </c>
      <c r="U38" s="312">
        <f t="shared" ca="1" si="8"/>
        <v>0</v>
      </c>
      <c r="V38" s="312">
        <f t="shared" ca="1" si="8"/>
        <v>0</v>
      </c>
      <c r="W38" s="312">
        <f t="shared" ca="1" si="8"/>
        <v>0</v>
      </c>
      <c r="X38" s="312">
        <f t="shared" ca="1" si="8"/>
        <v>0</v>
      </c>
      <c r="Y38" s="312" t="e">
        <f t="shared" ca="1" si="8"/>
        <v>#REF!</v>
      </c>
      <c r="Z38" s="312" t="e">
        <f t="shared" ca="1" si="8"/>
        <v>#REF!</v>
      </c>
      <c r="AA38" s="312" t="e">
        <f t="shared" ca="1" si="8"/>
        <v>#REF!</v>
      </c>
      <c r="AB38" s="312" t="e">
        <f t="shared" ca="1" si="8"/>
        <v>#REF!</v>
      </c>
      <c r="AC38" s="312" t="e">
        <f t="shared" ca="1" si="8"/>
        <v>#REF!</v>
      </c>
      <c r="AD38" s="312" t="e">
        <f t="shared" ca="1" si="8"/>
        <v>#REF!</v>
      </c>
      <c r="AE38" s="312" t="e">
        <f t="shared" ca="1" si="8"/>
        <v>#REF!</v>
      </c>
      <c r="AF38" s="312" t="e">
        <f t="shared" ca="1" si="8"/>
        <v>#REF!</v>
      </c>
      <c r="AG38" s="312"/>
      <c r="AH38" s="312"/>
      <c r="AI38" s="312"/>
      <c r="AJ38" s="312"/>
    </row>
    <row r="39" spans="1:36">
      <c r="A39">
        <f t="shared" si="4"/>
        <v>2044</v>
      </c>
      <c r="B39" s="312">
        <f t="shared" ca="1" si="10"/>
        <v>0</v>
      </c>
      <c r="C39" s="312">
        <f t="shared" ca="1" si="10"/>
        <v>0</v>
      </c>
      <c r="D39" s="312">
        <f t="shared" ca="1" si="10"/>
        <v>0</v>
      </c>
      <c r="E39" s="312">
        <f t="shared" ca="1" si="10"/>
        <v>0</v>
      </c>
      <c r="F39" s="312">
        <f t="shared" ca="1" si="10"/>
        <v>0</v>
      </c>
      <c r="G39" s="312">
        <f t="shared" ca="1" si="10"/>
        <v>0</v>
      </c>
      <c r="H39" s="312">
        <f t="shared" ca="1" si="10"/>
        <v>0</v>
      </c>
      <c r="I39" s="312">
        <f t="shared" ca="1" si="10"/>
        <v>0</v>
      </c>
      <c r="J39" s="312">
        <f t="shared" ca="1" si="10"/>
        <v>0</v>
      </c>
      <c r="K39" s="312">
        <f t="shared" ca="1" si="10"/>
        <v>0</v>
      </c>
      <c r="L39" s="312">
        <f t="shared" ca="1" si="10"/>
        <v>0</v>
      </c>
      <c r="M39" s="312">
        <f t="shared" ca="1" si="10"/>
        <v>0</v>
      </c>
      <c r="N39" s="312">
        <f t="shared" ca="1" si="10"/>
        <v>0</v>
      </c>
      <c r="O39" s="312">
        <f t="shared" ca="1" si="10"/>
        <v>0</v>
      </c>
      <c r="P39" s="312">
        <f t="shared" ca="1" si="10"/>
        <v>-440231.70731706114</v>
      </c>
      <c r="Q39" s="312">
        <f t="shared" ca="1" si="9"/>
        <v>0</v>
      </c>
      <c r="R39" s="312">
        <f t="shared" ca="1" si="8"/>
        <v>0</v>
      </c>
      <c r="S39" s="312">
        <f t="shared" ca="1" si="8"/>
        <v>0</v>
      </c>
      <c r="T39" s="312">
        <f t="shared" ca="1" si="8"/>
        <v>0</v>
      </c>
      <c r="U39" s="312">
        <f t="shared" ca="1" si="8"/>
        <v>0</v>
      </c>
      <c r="V39" s="312">
        <f t="shared" ca="1" si="8"/>
        <v>0</v>
      </c>
      <c r="W39" s="312">
        <f t="shared" ca="1" si="8"/>
        <v>0</v>
      </c>
      <c r="X39" s="312">
        <f t="shared" ca="1" si="8"/>
        <v>0</v>
      </c>
      <c r="Y39" s="312" t="e">
        <f t="shared" ca="1" si="8"/>
        <v>#REF!</v>
      </c>
      <c r="Z39" s="312" t="e">
        <f t="shared" ca="1" si="8"/>
        <v>#REF!</v>
      </c>
      <c r="AA39" s="312" t="e">
        <f t="shared" ca="1" si="8"/>
        <v>#REF!</v>
      </c>
      <c r="AB39" s="312" t="e">
        <f t="shared" ca="1" si="8"/>
        <v>#REF!</v>
      </c>
      <c r="AC39" s="312" t="e">
        <f t="shared" ca="1" si="8"/>
        <v>#REF!</v>
      </c>
      <c r="AD39" s="312" t="e">
        <f t="shared" ca="1" si="8"/>
        <v>#REF!</v>
      </c>
      <c r="AE39" s="312" t="e">
        <f t="shared" ca="1" si="8"/>
        <v>#REF!</v>
      </c>
      <c r="AF39" s="312" t="e">
        <f t="shared" ca="1" si="8"/>
        <v>#REF!</v>
      </c>
      <c r="AG39" s="312"/>
      <c r="AH39" s="312"/>
      <c r="AI39" s="312"/>
      <c r="AJ39" s="312"/>
    </row>
    <row r="40" spans="1:36">
      <c r="A40">
        <f t="shared" si="4"/>
        <v>2045</v>
      </c>
      <c r="B40" s="312">
        <f t="shared" ca="1" si="10"/>
        <v>0</v>
      </c>
      <c r="C40" s="312">
        <f t="shared" ca="1" si="10"/>
        <v>0</v>
      </c>
      <c r="D40" s="312">
        <f t="shared" ca="1" si="10"/>
        <v>0</v>
      </c>
      <c r="E40" s="312">
        <f t="shared" ca="1" si="10"/>
        <v>0</v>
      </c>
      <c r="F40" s="312">
        <f t="shared" ca="1" si="10"/>
        <v>0</v>
      </c>
      <c r="G40" s="312">
        <f t="shared" ca="1" si="10"/>
        <v>0</v>
      </c>
      <c r="H40" s="312">
        <f t="shared" ca="1" si="10"/>
        <v>0</v>
      </c>
      <c r="I40" s="312">
        <f t="shared" ca="1" si="10"/>
        <v>0</v>
      </c>
      <c r="J40" s="312">
        <f t="shared" ca="1" si="10"/>
        <v>0</v>
      </c>
      <c r="K40" s="312">
        <f t="shared" ca="1" si="10"/>
        <v>0</v>
      </c>
      <c r="L40" s="312">
        <f t="shared" ca="1" si="10"/>
        <v>0</v>
      </c>
      <c r="M40" s="312">
        <f t="shared" ca="1" si="10"/>
        <v>0</v>
      </c>
      <c r="N40" s="312">
        <f t="shared" ca="1" si="10"/>
        <v>0</v>
      </c>
      <c r="O40" s="312">
        <f t="shared" ca="1" si="10"/>
        <v>0</v>
      </c>
      <c r="P40" s="312">
        <f t="shared" ca="1" si="10"/>
        <v>-440231.70731706114</v>
      </c>
      <c r="Q40" s="312">
        <f t="shared" ca="1" si="9"/>
        <v>0</v>
      </c>
      <c r="R40" s="312">
        <f t="shared" ca="1" si="8"/>
        <v>0</v>
      </c>
      <c r="S40" s="312">
        <f t="shared" ca="1" si="8"/>
        <v>0</v>
      </c>
      <c r="T40" s="312">
        <f t="shared" ca="1" si="8"/>
        <v>0</v>
      </c>
      <c r="U40" s="312">
        <f t="shared" ca="1" si="8"/>
        <v>0</v>
      </c>
      <c r="V40" s="312">
        <f t="shared" ca="1" si="8"/>
        <v>0</v>
      </c>
      <c r="W40" s="312">
        <f t="shared" ca="1" si="8"/>
        <v>0</v>
      </c>
      <c r="X40" s="312">
        <f t="shared" ca="1" si="8"/>
        <v>0</v>
      </c>
      <c r="Y40" s="312" t="e">
        <f t="shared" ca="1" si="8"/>
        <v>#REF!</v>
      </c>
      <c r="Z40" s="312" t="e">
        <f t="shared" ca="1" si="8"/>
        <v>#REF!</v>
      </c>
      <c r="AA40" s="312" t="e">
        <f t="shared" ca="1" si="8"/>
        <v>#REF!</v>
      </c>
      <c r="AB40" s="312" t="e">
        <f t="shared" ca="1" si="8"/>
        <v>#REF!</v>
      </c>
      <c r="AC40" s="312" t="e">
        <f t="shared" ca="1" si="8"/>
        <v>#REF!</v>
      </c>
      <c r="AD40" s="312" t="e">
        <f t="shared" ca="1" si="8"/>
        <v>#REF!</v>
      </c>
      <c r="AE40" s="312" t="e">
        <f t="shared" ca="1" si="8"/>
        <v>#REF!</v>
      </c>
      <c r="AF40" s="312" t="e">
        <f t="shared" ca="1" si="8"/>
        <v>#REF!</v>
      </c>
      <c r="AG40" s="312"/>
      <c r="AH40" s="312"/>
      <c r="AI40" s="312"/>
      <c r="AJ40" s="312"/>
    </row>
    <row r="41" spans="1:36">
      <c r="A41">
        <f>A40+1</f>
        <v>2046</v>
      </c>
      <c r="B41" s="312">
        <f t="shared" ca="1" si="10"/>
        <v>0</v>
      </c>
      <c r="C41" s="312">
        <f t="shared" ca="1" si="10"/>
        <v>0</v>
      </c>
      <c r="D41" s="312">
        <f t="shared" ca="1" si="10"/>
        <v>0</v>
      </c>
      <c r="E41" s="312">
        <f t="shared" ca="1" si="10"/>
        <v>0</v>
      </c>
      <c r="F41" s="312">
        <f t="shared" ca="1" si="10"/>
        <v>0</v>
      </c>
      <c r="G41" s="312">
        <f t="shared" ca="1" si="10"/>
        <v>0</v>
      </c>
      <c r="H41" s="312">
        <f t="shared" ca="1" si="10"/>
        <v>0</v>
      </c>
      <c r="I41" s="312">
        <f t="shared" ca="1" si="10"/>
        <v>0</v>
      </c>
      <c r="J41" s="312">
        <f t="shared" ca="1" si="10"/>
        <v>0</v>
      </c>
      <c r="K41" s="312">
        <f t="shared" ca="1" si="10"/>
        <v>0</v>
      </c>
      <c r="L41" s="312">
        <f t="shared" ca="1" si="10"/>
        <v>0</v>
      </c>
      <c r="M41" s="312">
        <f t="shared" ca="1" si="10"/>
        <v>0</v>
      </c>
      <c r="N41" s="312">
        <f t="shared" ca="1" si="10"/>
        <v>0</v>
      </c>
      <c r="O41" s="312">
        <f t="shared" ca="1" si="10"/>
        <v>0</v>
      </c>
      <c r="P41" s="312">
        <f t="shared" ca="1" si="10"/>
        <v>-440231.70731707709</v>
      </c>
      <c r="Q41" s="312">
        <f t="shared" ca="1" si="9"/>
        <v>0</v>
      </c>
      <c r="R41" s="312">
        <f t="shared" ca="1" si="8"/>
        <v>0</v>
      </c>
      <c r="S41" s="312">
        <f t="shared" ca="1" si="8"/>
        <v>0</v>
      </c>
      <c r="T41" s="312">
        <f t="shared" ca="1" si="8"/>
        <v>0</v>
      </c>
      <c r="U41" s="312">
        <f t="shared" ca="1" si="8"/>
        <v>0</v>
      </c>
      <c r="V41" s="312">
        <f t="shared" ca="1" si="8"/>
        <v>0</v>
      </c>
      <c r="W41" s="312">
        <f t="shared" ca="1" si="8"/>
        <v>0</v>
      </c>
      <c r="X41" s="312">
        <f t="shared" ca="1" si="8"/>
        <v>0</v>
      </c>
      <c r="Y41" s="312" t="e">
        <f t="shared" ca="1" si="8"/>
        <v>#REF!</v>
      </c>
      <c r="Z41" s="312" t="e">
        <f t="shared" ca="1" si="8"/>
        <v>#REF!</v>
      </c>
      <c r="AA41" s="312" t="e">
        <f t="shared" ca="1" si="8"/>
        <v>#REF!</v>
      </c>
      <c r="AB41" s="312" t="e">
        <f t="shared" ca="1" si="8"/>
        <v>#REF!</v>
      </c>
      <c r="AC41" s="312" t="e">
        <f t="shared" ca="1" si="8"/>
        <v>#REF!</v>
      </c>
      <c r="AD41" s="312" t="e">
        <f t="shared" ca="1" si="8"/>
        <v>#REF!</v>
      </c>
      <c r="AE41" s="312" t="e">
        <f t="shared" ca="1" si="8"/>
        <v>#REF!</v>
      </c>
      <c r="AF41" s="312" t="e">
        <f t="shared" ca="1" si="8"/>
        <v>#REF!</v>
      </c>
      <c r="AG41" s="312"/>
      <c r="AH41" s="312"/>
      <c r="AI41" s="312"/>
      <c r="AJ41" s="312"/>
    </row>
    <row r="42" spans="1:36">
      <c r="A42">
        <f t="shared" si="4"/>
        <v>2047</v>
      </c>
      <c r="B42" s="312">
        <f t="shared" ca="1" si="10"/>
        <v>0</v>
      </c>
      <c r="C42" s="312">
        <f t="shared" ca="1" si="10"/>
        <v>0</v>
      </c>
      <c r="D42" s="312">
        <f t="shared" ca="1" si="10"/>
        <v>0</v>
      </c>
      <c r="E42" s="312">
        <f t="shared" ca="1" si="10"/>
        <v>0</v>
      </c>
      <c r="F42" s="312">
        <f t="shared" ca="1" si="10"/>
        <v>0</v>
      </c>
      <c r="G42" s="312">
        <f t="shared" ca="1" si="10"/>
        <v>0</v>
      </c>
      <c r="H42" s="312">
        <f t="shared" ca="1" si="10"/>
        <v>0</v>
      </c>
      <c r="I42" s="312">
        <f t="shared" ca="1" si="10"/>
        <v>0</v>
      </c>
      <c r="J42" s="312">
        <f t="shared" ca="1" si="10"/>
        <v>0</v>
      </c>
      <c r="K42" s="312">
        <f t="shared" ca="1" si="10"/>
        <v>0</v>
      </c>
      <c r="L42" s="312">
        <f t="shared" ca="1" si="10"/>
        <v>0</v>
      </c>
      <c r="M42" s="312">
        <f t="shared" ca="1" si="10"/>
        <v>0</v>
      </c>
      <c r="N42" s="312">
        <f t="shared" ca="1" si="10"/>
        <v>0</v>
      </c>
      <c r="O42" s="312">
        <f t="shared" ca="1" si="10"/>
        <v>0</v>
      </c>
      <c r="P42" s="312">
        <f t="shared" ca="1" si="10"/>
        <v>-440231.70731707709</v>
      </c>
      <c r="Q42" s="312">
        <f t="shared" ca="1" si="9"/>
        <v>0</v>
      </c>
      <c r="R42" s="312">
        <f t="shared" ca="1" si="8"/>
        <v>0</v>
      </c>
      <c r="S42" s="312">
        <f t="shared" ca="1" si="8"/>
        <v>0</v>
      </c>
      <c r="T42" s="312">
        <f t="shared" ca="1" si="8"/>
        <v>0</v>
      </c>
      <c r="U42" s="312">
        <f t="shared" ca="1" si="8"/>
        <v>0</v>
      </c>
      <c r="V42" s="312">
        <f t="shared" ca="1" si="8"/>
        <v>0</v>
      </c>
      <c r="W42" s="312">
        <f t="shared" ca="1" si="8"/>
        <v>0</v>
      </c>
      <c r="X42" s="312">
        <f t="shared" ca="1" si="8"/>
        <v>0</v>
      </c>
      <c r="Y42" s="312" t="e">
        <f t="shared" ca="1" si="8"/>
        <v>#REF!</v>
      </c>
      <c r="Z42" s="312" t="e">
        <f t="shared" ca="1" si="8"/>
        <v>#REF!</v>
      </c>
      <c r="AA42" s="312" t="e">
        <f t="shared" ca="1" si="8"/>
        <v>#REF!</v>
      </c>
      <c r="AB42" s="312" t="e">
        <f t="shared" ca="1" si="8"/>
        <v>#REF!</v>
      </c>
      <c r="AC42" s="312" t="e">
        <f t="shared" ca="1" si="8"/>
        <v>#REF!</v>
      </c>
      <c r="AD42" s="312" t="e">
        <f t="shared" ca="1" si="8"/>
        <v>#REF!</v>
      </c>
      <c r="AE42" s="312" t="e">
        <f t="shared" ca="1" si="8"/>
        <v>#REF!</v>
      </c>
      <c r="AF42" s="312" t="e">
        <f t="shared" ca="1" si="8"/>
        <v>#REF!</v>
      </c>
      <c r="AG42" s="312"/>
      <c r="AH42" s="312"/>
      <c r="AI42" s="312"/>
      <c r="AJ42" s="312"/>
    </row>
    <row r="43" spans="1:36">
      <c r="A43">
        <f t="shared" si="4"/>
        <v>2048</v>
      </c>
      <c r="B43" s="312">
        <f t="shared" ca="1" si="10"/>
        <v>0</v>
      </c>
      <c r="C43" s="312">
        <f t="shared" ca="1" si="10"/>
        <v>0</v>
      </c>
      <c r="D43" s="312">
        <f t="shared" ca="1" si="10"/>
        <v>0</v>
      </c>
      <c r="E43" s="312">
        <f t="shared" ca="1" si="10"/>
        <v>0</v>
      </c>
      <c r="F43" s="312">
        <f t="shared" ca="1" si="10"/>
        <v>0</v>
      </c>
      <c r="G43" s="312">
        <f t="shared" ca="1" si="10"/>
        <v>0</v>
      </c>
      <c r="H43" s="312">
        <f t="shared" ca="1" si="10"/>
        <v>0</v>
      </c>
      <c r="I43" s="312">
        <f t="shared" ca="1" si="10"/>
        <v>0</v>
      </c>
      <c r="J43" s="312">
        <f t="shared" ca="1" si="10"/>
        <v>0</v>
      </c>
      <c r="K43" s="312">
        <f t="shared" ca="1" si="10"/>
        <v>0</v>
      </c>
      <c r="L43" s="312">
        <f t="shared" ca="1" si="10"/>
        <v>0</v>
      </c>
      <c r="M43" s="312">
        <f t="shared" ca="1" si="10"/>
        <v>0</v>
      </c>
      <c r="N43" s="312">
        <f t="shared" ca="1" si="10"/>
        <v>0</v>
      </c>
      <c r="O43" s="312">
        <f t="shared" ca="1" si="10"/>
        <v>0</v>
      </c>
      <c r="P43" s="312">
        <f t="shared" ca="1" si="10"/>
        <v>-440231.70731709298</v>
      </c>
      <c r="Q43" s="312">
        <f t="shared" ca="1" si="9"/>
        <v>0</v>
      </c>
      <c r="R43" s="312">
        <f t="shared" ca="1" si="8"/>
        <v>0</v>
      </c>
      <c r="S43" s="312">
        <f t="shared" ca="1" si="8"/>
        <v>0</v>
      </c>
      <c r="T43" s="312">
        <f t="shared" ca="1" si="8"/>
        <v>0</v>
      </c>
      <c r="U43" s="312">
        <f t="shared" ca="1" si="8"/>
        <v>0</v>
      </c>
      <c r="V43" s="312">
        <f t="shared" ca="1" si="8"/>
        <v>0</v>
      </c>
      <c r="W43" s="312">
        <f t="shared" ca="1" si="8"/>
        <v>0</v>
      </c>
      <c r="X43" s="312">
        <f t="shared" ca="1" si="8"/>
        <v>0</v>
      </c>
      <c r="Y43" s="312" t="e">
        <f t="shared" ca="1" si="8"/>
        <v>#REF!</v>
      </c>
      <c r="Z43" s="312" t="e">
        <f t="shared" ca="1" si="8"/>
        <v>#REF!</v>
      </c>
      <c r="AA43" s="312" t="e">
        <f t="shared" ca="1" si="8"/>
        <v>#REF!</v>
      </c>
      <c r="AB43" s="312" t="e">
        <f t="shared" ca="1" si="8"/>
        <v>#REF!</v>
      </c>
      <c r="AC43" s="312" t="e">
        <f t="shared" ca="1" si="8"/>
        <v>#REF!</v>
      </c>
      <c r="AD43" s="312" t="e">
        <f t="shared" ca="1" si="8"/>
        <v>#REF!</v>
      </c>
      <c r="AE43" s="312" t="e">
        <f t="shared" ca="1" si="8"/>
        <v>#REF!</v>
      </c>
      <c r="AF43" s="312" t="e">
        <f t="shared" ca="1" si="8"/>
        <v>#REF!</v>
      </c>
      <c r="AG43" s="312"/>
      <c r="AH43" s="312"/>
      <c r="AI43" s="312"/>
      <c r="AJ43" s="312"/>
    </row>
    <row r="44" spans="1:36">
      <c r="A44">
        <f t="shared" si="4"/>
        <v>2049</v>
      </c>
      <c r="B44" s="312">
        <f t="shared" ca="1" si="10"/>
        <v>0</v>
      </c>
      <c r="C44" s="312">
        <f t="shared" ca="1" si="10"/>
        <v>0</v>
      </c>
      <c r="D44" s="312">
        <f t="shared" ca="1" si="10"/>
        <v>0</v>
      </c>
      <c r="E44" s="312">
        <f t="shared" ca="1" si="10"/>
        <v>0</v>
      </c>
      <c r="F44" s="312">
        <f t="shared" ca="1" si="10"/>
        <v>0</v>
      </c>
      <c r="G44" s="312">
        <f t="shared" ca="1" si="10"/>
        <v>0</v>
      </c>
      <c r="H44" s="312">
        <f t="shared" ca="1" si="10"/>
        <v>0</v>
      </c>
      <c r="I44" s="312">
        <f t="shared" ca="1" si="10"/>
        <v>0</v>
      </c>
      <c r="J44" s="312">
        <f t="shared" ca="1" si="10"/>
        <v>0</v>
      </c>
      <c r="K44" s="312">
        <f t="shared" ca="1" si="10"/>
        <v>0</v>
      </c>
      <c r="L44" s="312">
        <f t="shared" ca="1" si="10"/>
        <v>0</v>
      </c>
      <c r="M44" s="312">
        <f t="shared" ca="1" si="10"/>
        <v>0</v>
      </c>
      <c r="N44" s="312">
        <f t="shared" ca="1" si="10"/>
        <v>0</v>
      </c>
      <c r="O44" s="312">
        <f t="shared" ca="1" si="10"/>
        <v>0</v>
      </c>
      <c r="P44" s="312">
        <f t="shared" ca="1" si="10"/>
        <v>-440231.70731706114</v>
      </c>
      <c r="Q44" s="312">
        <f t="shared" ca="1" si="9"/>
        <v>0</v>
      </c>
      <c r="R44" s="312">
        <f t="shared" ca="1" si="8"/>
        <v>0</v>
      </c>
      <c r="S44" s="312">
        <f t="shared" ca="1" si="8"/>
        <v>0</v>
      </c>
      <c r="T44" s="312">
        <f t="shared" ca="1" si="8"/>
        <v>0</v>
      </c>
      <c r="U44" s="312">
        <f t="shared" ca="1" si="8"/>
        <v>0</v>
      </c>
      <c r="V44" s="312">
        <f t="shared" ca="1" si="8"/>
        <v>0</v>
      </c>
      <c r="W44" s="312">
        <f t="shared" ca="1" si="8"/>
        <v>0</v>
      </c>
      <c r="X44" s="312">
        <f t="shared" ca="1" si="8"/>
        <v>0</v>
      </c>
      <c r="Y44" s="312" t="e">
        <f t="shared" ca="1" si="8"/>
        <v>#REF!</v>
      </c>
      <c r="Z44" s="312" t="e">
        <f t="shared" ca="1" si="8"/>
        <v>#REF!</v>
      </c>
      <c r="AA44" s="312" t="e">
        <f t="shared" ca="1" si="8"/>
        <v>#REF!</v>
      </c>
      <c r="AB44" s="312" t="e">
        <f t="shared" ca="1" si="8"/>
        <v>#REF!</v>
      </c>
      <c r="AC44" s="312" t="e">
        <f t="shared" ca="1" si="8"/>
        <v>#REF!</v>
      </c>
      <c r="AD44" s="312" t="e">
        <f t="shared" ca="1" si="8"/>
        <v>#REF!</v>
      </c>
      <c r="AE44" s="312" t="e">
        <f t="shared" ca="1" si="8"/>
        <v>#REF!</v>
      </c>
      <c r="AF44" s="312" t="e">
        <f t="shared" ca="1" si="8"/>
        <v>#REF!</v>
      </c>
      <c r="AG44" s="312"/>
      <c r="AH44" s="312"/>
      <c r="AI44" s="312"/>
      <c r="AJ44" s="312"/>
    </row>
    <row r="45" spans="1:36">
      <c r="A45">
        <f t="shared" si="4"/>
        <v>2050</v>
      </c>
      <c r="B45" s="312">
        <f t="shared" ca="1" si="10"/>
        <v>0</v>
      </c>
      <c r="C45" s="312">
        <f t="shared" ca="1" si="10"/>
        <v>0</v>
      </c>
      <c r="D45" s="312">
        <f t="shared" ca="1" si="10"/>
        <v>0</v>
      </c>
      <c r="E45" s="312">
        <f t="shared" ca="1" si="10"/>
        <v>0</v>
      </c>
      <c r="F45" s="312">
        <f t="shared" ca="1" si="10"/>
        <v>0</v>
      </c>
      <c r="G45" s="312">
        <f t="shared" ca="1" si="10"/>
        <v>0</v>
      </c>
      <c r="H45" s="312">
        <f t="shared" ca="1" si="10"/>
        <v>0</v>
      </c>
      <c r="I45" s="312">
        <f t="shared" ca="1" si="10"/>
        <v>0</v>
      </c>
      <c r="J45" s="312">
        <f t="shared" ca="1" si="10"/>
        <v>0</v>
      </c>
      <c r="K45" s="312">
        <f t="shared" ca="1" si="10"/>
        <v>0</v>
      </c>
      <c r="L45" s="312">
        <f t="shared" ca="1" si="10"/>
        <v>0</v>
      </c>
      <c r="M45" s="312">
        <f t="shared" ca="1" si="10"/>
        <v>0</v>
      </c>
      <c r="N45" s="312">
        <f t="shared" ca="1" si="10"/>
        <v>0</v>
      </c>
      <c r="O45" s="312">
        <f t="shared" ca="1" si="10"/>
        <v>0</v>
      </c>
      <c r="P45" s="312">
        <f t="shared" ca="1" si="10"/>
        <v>-440231.70731707709</v>
      </c>
      <c r="Q45" s="312">
        <f t="shared" ca="1" si="9"/>
        <v>0</v>
      </c>
      <c r="R45" s="312">
        <f t="shared" ca="1" si="8"/>
        <v>0</v>
      </c>
      <c r="S45" s="312">
        <f t="shared" ca="1" si="8"/>
        <v>0</v>
      </c>
      <c r="T45" s="312">
        <f t="shared" ca="1" si="8"/>
        <v>0</v>
      </c>
      <c r="U45" s="312">
        <f t="shared" ca="1" si="8"/>
        <v>0</v>
      </c>
      <c r="V45" s="312">
        <f t="shared" ca="1" si="8"/>
        <v>0</v>
      </c>
      <c r="W45" s="312">
        <f t="shared" ca="1" si="8"/>
        <v>0</v>
      </c>
      <c r="X45" s="312">
        <f t="shared" ca="1" si="8"/>
        <v>0</v>
      </c>
      <c r="Y45" s="312" t="e">
        <f t="shared" ca="1" si="8"/>
        <v>#REF!</v>
      </c>
      <c r="Z45" s="312" t="e">
        <f t="shared" ca="1" si="8"/>
        <v>#REF!</v>
      </c>
      <c r="AA45" s="312" t="e">
        <f t="shared" ca="1" si="8"/>
        <v>#REF!</v>
      </c>
      <c r="AB45" s="312" t="e">
        <f t="shared" ca="1" si="8"/>
        <v>#REF!</v>
      </c>
      <c r="AC45" s="312" t="e">
        <f t="shared" ca="1" si="8"/>
        <v>#REF!</v>
      </c>
      <c r="AD45" s="312" t="e">
        <f t="shared" ca="1" si="8"/>
        <v>#REF!</v>
      </c>
      <c r="AE45" s="312" t="e">
        <f t="shared" ca="1" si="8"/>
        <v>#REF!</v>
      </c>
      <c r="AF45" s="312" t="e">
        <f t="shared" ca="1" si="8"/>
        <v>#REF!</v>
      </c>
      <c r="AG45" s="312"/>
      <c r="AH45" s="312"/>
      <c r="AI45" s="312"/>
      <c r="AJ45" s="312"/>
    </row>
    <row r="47" spans="1:36">
      <c r="B47" s="364">
        <f ca="1">COUNTIF(PortfolioDashboard!$AF$3:$BM$3,B4)</f>
        <v>0</v>
      </c>
      <c r="C47" s="364">
        <f ca="1">COUNTIF(PortfolioDashboard!$AF$3:$BM$3,C4)</f>
        <v>0</v>
      </c>
      <c r="D47" s="364">
        <f ca="1">COUNTIF(PortfolioDashboard!$AF$3:$BM$3,D4)</f>
        <v>1</v>
      </c>
      <c r="E47" s="364">
        <f ca="1">COUNTIF(PortfolioDashboard!$AF$3:$BM$3,E4)</f>
        <v>1</v>
      </c>
      <c r="F47" s="364">
        <f ca="1">COUNTIF(PortfolioDashboard!$AF$3:$BM$3,F4)</f>
        <v>1</v>
      </c>
      <c r="G47" s="364">
        <f ca="1">COUNTIF(PortfolioDashboard!$AF$3:$BM$3,G4)</f>
        <v>1</v>
      </c>
      <c r="H47" s="364">
        <f ca="1">COUNTIF(PortfolioDashboard!$AF$3:$BM$3,H4)</f>
        <v>1</v>
      </c>
      <c r="I47" s="364">
        <f ca="1">COUNTIF(PortfolioDashboard!$AF$3:$BM$3,I4)</f>
        <v>0</v>
      </c>
      <c r="J47" s="364">
        <f ca="1">COUNTIF(PortfolioDashboard!$AF$3:$BM$3,J4)</f>
        <v>1</v>
      </c>
      <c r="K47" s="364">
        <f ca="1">COUNTIF(PortfolioDashboard!$AF$3:$BM$3,K4)</f>
        <v>1</v>
      </c>
      <c r="L47" s="364">
        <f ca="1">COUNTIF(PortfolioDashboard!$AF$3:$BM$3,L4)</f>
        <v>1</v>
      </c>
      <c r="M47" s="364">
        <f ca="1">COUNTIF(PortfolioDashboard!$AF$3:$BM$3,M4)</f>
        <v>0</v>
      </c>
      <c r="N47" s="364">
        <f ca="1">COUNTIF(PortfolioDashboard!$AF$3:$BM$3,N4)</f>
        <v>0</v>
      </c>
      <c r="O47" s="364">
        <f ca="1">COUNTIF(PortfolioDashboard!$AF$3:$BM$3,O4)</f>
        <v>1</v>
      </c>
      <c r="P47" s="364">
        <f ca="1">COUNTIF(PortfolioDashboard!$AF$3:$BM$3,P4)</f>
        <v>1</v>
      </c>
      <c r="Q47" s="364">
        <f ca="1">COUNTIF(PortfolioDashboard!$AF$3:$BM$3,Q4)</f>
        <v>1</v>
      </c>
      <c r="R47" s="364">
        <f ca="1">COUNTIF(PortfolioDashboard!$AF$3:$BM$3,R4)</f>
        <v>0</v>
      </c>
      <c r="S47" s="364">
        <f ca="1">COUNTIF(PortfolioDashboard!$AF$3:$BM$3,S4)</f>
        <v>1</v>
      </c>
      <c r="T47" s="364">
        <f ca="1">COUNTIF(PortfolioDashboard!$AF$3:$BM$3,T4)</f>
        <v>1</v>
      </c>
      <c r="U47" s="364">
        <f ca="1">COUNTIF(PortfolioDashboard!$AF$3:$BM$3,U4)</f>
        <v>1</v>
      </c>
      <c r="V47" s="364">
        <f ca="1">COUNTIF(PortfolioDashboard!$AF$3:$BM$3,V4)</f>
        <v>1</v>
      </c>
      <c r="W47" s="364">
        <f ca="1">COUNTIF(PortfolioDashboard!$AF$3:$BM$3,W4)</f>
        <v>1</v>
      </c>
      <c r="X47" s="364">
        <f ca="1">COUNTIF(PortfolioDashboard!$AF$3:$BM$3,X4)</f>
        <v>1</v>
      </c>
      <c r="Y47" s="364">
        <f ca="1">COUNTIF(PortfolioDashboard!$AF$3:$BM$3,Y4)</f>
        <v>0</v>
      </c>
      <c r="Z47" s="364">
        <f ca="1">COUNTIF(PortfolioDashboard!$AF$3:$BM$3,Z4)</f>
        <v>0</v>
      </c>
      <c r="AA47" s="364">
        <f ca="1">COUNTIF(PortfolioDashboard!$AF$3:$BM$3,AA4)</f>
        <v>0</v>
      </c>
      <c r="AB47" s="364">
        <f ca="1">COUNTIF(PortfolioDashboard!$AF$3:$BM$3,AB4)</f>
        <v>0</v>
      </c>
      <c r="AC47" s="364">
        <f ca="1">COUNTIF(PortfolioDashboard!$AF$3:$BM$3,AC4)</f>
        <v>0</v>
      </c>
      <c r="AD47" s="364">
        <f ca="1">COUNTIF(PortfolioDashboard!$AF$3:$BM$3,AD4)</f>
        <v>0</v>
      </c>
      <c r="AE47" s="364">
        <f ca="1">COUNTIF(PortfolioDashboard!$AF$3:$BM$3,AE4)</f>
        <v>0</v>
      </c>
      <c r="AF47" s="364">
        <f ca="1">COUNTIF(PortfolioDashboard!$AF$3:$BM$3,AF4)</f>
        <v>0</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sheetPr codeName="Sheet101"/>
  <dimension ref="A1:AJ47"/>
  <sheetViews>
    <sheetView workbookViewId="0">
      <selection activeCell="B11" sqref="B11"/>
    </sheetView>
  </sheetViews>
  <sheetFormatPr defaultRowHeight="15"/>
  <cols>
    <col min="1" max="1" width="18.42578125" bestFit="1" customWidth="1"/>
    <col min="2" max="2" width="13.28515625" customWidth="1"/>
    <col min="3" max="18" width="11.7109375" customWidth="1"/>
    <col min="19" max="19" width="13.140625" customWidth="1"/>
    <col min="20" max="20" width="13.7109375" customWidth="1"/>
    <col min="21" max="21" width="13.42578125" customWidth="1"/>
    <col min="22" max="22" width="14" customWidth="1"/>
    <col min="23" max="24" width="11.7109375" customWidth="1"/>
    <col min="25" max="25" width="14.28515625" customWidth="1"/>
    <col min="26" max="26" width="14" customWidth="1"/>
    <col min="27" max="28" width="12.5703125" bestFit="1" customWidth="1"/>
    <col min="29" max="29" width="9.28515625" bestFit="1" customWidth="1"/>
    <col min="30" max="30" width="10" bestFit="1" customWidth="1"/>
    <col min="31" max="31" width="9.28515625" bestFit="1" customWidth="1"/>
  </cols>
  <sheetData>
    <row r="1" spans="1:36">
      <c r="B1" s="322" t="s">
        <v>298</v>
      </c>
      <c r="C1">
        <v>18</v>
      </c>
    </row>
    <row r="2" spans="1:36">
      <c r="B2" s="322" t="s">
        <v>299</v>
      </c>
      <c r="C2">
        <v>33</v>
      </c>
    </row>
    <row r="3" spans="1:36" ht="29.25" customHeight="1">
      <c r="A3" s="354" t="s">
        <v>306</v>
      </c>
      <c r="B3" s="264" t="str">
        <f ca="1">OFFSET(Control!$A$5,COLUMN(A3)-1,0)</f>
        <v>GreenPwr1</v>
      </c>
      <c r="C3" s="264" t="str">
        <f ca="1">OFFSET(Control!$A$5,COLUMN(B3)-1,0)</f>
        <v>GreenPwr2</v>
      </c>
      <c r="D3" s="264" t="str">
        <f ca="1">OFFSET(Control!$A$5,COLUMN(C3)-1,0)</f>
        <v>Wind</v>
      </c>
      <c r="E3" s="264" t="str">
        <f ca="1">OFFSET(Control!$A$5,COLUMN(D3)-1,0)</f>
        <v>ShortECM</v>
      </c>
      <c r="F3" s="264" t="str">
        <f ca="1">OFFSET(Control!$A$5,COLUMN(E3)-1,0)</f>
        <v>MidECM</v>
      </c>
      <c r="G3" s="264" t="str">
        <f ca="1">OFFSET(Control!$A$5,COLUMN(F3)-1,0)</f>
        <v>LongECM</v>
      </c>
      <c r="H3" s="264" t="str">
        <f ca="1">OFFSET(Control!$A$5,COLUMN(G3)-1,0)</f>
        <v>SteamLineImp</v>
      </c>
      <c r="I3" s="264" t="str">
        <f ca="1">OFFSET(Control!$A$5,COLUMN(H3)-1,0)</f>
        <v>UnitaryChiller</v>
      </c>
      <c r="J3" s="264" t="str">
        <f ca="1">OFFSET(Control!$A$5,COLUMN(I3)-1,0)</f>
        <v>GeoExchange</v>
      </c>
      <c r="K3" s="264" t="str">
        <f ca="1">OFFSET(Control!$A$5,COLUMN(J3)-1,0)</f>
        <v>SolarDHW</v>
      </c>
      <c r="L3" s="264" t="str">
        <f ca="1">OFFSET(Control!$A$5,COLUMN(K3)-1,0)</f>
        <v>WasteReduction</v>
      </c>
      <c r="M3" s="264" t="str">
        <f ca="1">OFFSET(Control!$A$5,COLUMN(L3)-1,0)</f>
        <v>DishStirling</v>
      </c>
      <c r="N3" s="264" t="str">
        <f ca="1">OFFSET(Control!$A$5,COLUMN(M3)-1,0)</f>
        <v>Parabolic</v>
      </c>
      <c r="O3" s="264" t="str">
        <f ca="1">OFFSET(Control!$A$5,COLUMN(N3)-1,0)</f>
        <v>GreenIT</v>
      </c>
      <c r="P3" s="264" t="str">
        <f ca="1">OFFSET(Control!$A$5,COLUMN(O3)-1,0)</f>
        <v>GreenBuild</v>
      </c>
      <c r="Q3" s="264" t="str">
        <f ca="1">OFFSET(Control!$A$5,COLUMN(P3)-1,0)</f>
        <v>SpacePlanning</v>
      </c>
      <c r="R3" s="264" t="str">
        <f ca="1">OFFSET(Control!$A$5,COLUMN(Q3)-1,0)</f>
        <v>CHP</v>
      </c>
      <c r="S3" s="264" t="str">
        <f ca="1">OFFSET(Control!$A$5,COLUMN(R3)-1,0)</f>
        <v>CoalToNG</v>
      </c>
      <c r="T3" s="264" t="str">
        <f ca="1">OFFSET(Control!$A$5,COLUMN(S3)-1,0)</f>
        <v>CentralChillerExp</v>
      </c>
      <c r="U3" s="264" t="str">
        <f ca="1">OFFSET(Control!$A$5,COLUMN(T3)-1,0)</f>
        <v>RooftopPV</v>
      </c>
      <c r="V3" s="264" t="str">
        <f ca="1">OFFSET(Control!$A$5,COLUMN(U3)-1,0)</f>
        <v>ReducedAir</v>
      </c>
      <c r="W3" s="264" t="str">
        <f ca="1">OFFSET(Control!$A$5,COLUMN(V3)-1,0)</f>
        <v>ReducedAuto</v>
      </c>
      <c r="X3" s="264" t="str">
        <f ca="1">OFFSET(Control!$A$5,COLUMN(W3)-1,0)</f>
        <v>BehaviorChange</v>
      </c>
      <c r="Y3" s="264">
        <f ca="1">OFFSET(Control!$A$5,COLUMN(X3)-1,0)</f>
        <v>0</v>
      </c>
      <c r="Z3" s="264">
        <f ca="1">OFFSET(Control!$A$5,COLUMN(Y3)-1,0)</f>
        <v>0</v>
      </c>
      <c r="AA3" s="264">
        <f ca="1">OFFSET(Control!$A$5,COLUMN(Z3)-1,0)</f>
        <v>0</v>
      </c>
      <c r="AB3" s="264">
        <f ca="1">OFFSET(Control!$A$5,COLUMN(AA3)-1,0)</f>
        <v>0</v>
      </c>
      <c r="AC3" s="264">
        <f ca="1">OFFSET(Control!$A$5,COLUMN(AB3)-1,0)</f>
        <v>0</v>
      </c>
      <c r="AD3" s="264">
        <f ca="1">OFFSET(Control!$A$5,COLUMN(AC3)-1,0)</f>
        <v>0</v>
      </c>
      <c r="AE3" s="264">
        <f ca="1">OFFSET(Control!$A$5,COLUMN(AD3)-1,0)</f>
        <v>0</v>
      </c>
      <c r="AF3" s="264">
        <f ca="1">OFFSET(Control!$A$5,COLUMN(AE3)-1,0)</f>
        <v>0</v>
      </c>
    </row>
    <row r="4" spans="1:36" ht="29.25" customHeight="1">
      <c r="A4" s="354"/>
      <c r="B4" s="264" t="str">
        <f ca="1">INDIRECT(B3)</f>
        <v>Green Power Purchase Opt 1 (Partial)</v>
      </c>
      <c r="C4" s="264" t="str">
        <f t="shared" ref="C4:AF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t="shared" ca="1" si="0"/>
        <v>#REF!</v>
      </c>
    </row>
    <row r="5" spans="1:36">
      <c r="A5">
        <v>2010</v>
      </c>
      <c r="B5" s="312">
        <f t="shared" ref="B5:B21" ca="1" si="1">MAX(OFFSET(INDIRECT(B$3),$A5-$A$5+$C$1,$C$2),0)</f>
        <v>0</v>
      </c>
      <c r="C5" s="312">
        <f t="shared" ref="C5:R20" ca="1" si="2">MAX(OFFSET(INDIRECT(C$3),$A5-$A$5+$C$1,$C$2),0)</f>
        <v>0</v>
      </c>
      <c r="D5" s="312">
        <f t="shared" ca="1" si="2"/>
        <v>0</v>
      </c>
      <c r="E5" s="312">
        <f t="shared" ca="1" si="2"/>
        <v>0</v>
      </c>
      <c r="F5" s="312">
        <f t="shared" ca="1" si="2"/>
        <v>0</v>
      </c>
      <c r="G5" s="312">
        <f t="shared" ca="1" si="2"/>
        <v>0</v>
      </c>
      <c r="H5" s="312">
        <f t="shared" ca="1" si="2"/>
        <v>0</v>
      </c>
      <c r="I5" s="312">
        <f t="shared" ca="1" si="2"/>
        <v>0</v>
      </c>
      <c r="J5" s="312">
        <f t="shared" ca="1" si="2"/>
        <v>0</v>
      </c>
      <c r="K5" s="312">
        <f t="shared" ca="1" si="2"/>
        <v>0</v>
      </c>
      <c r="L5" s="312">
        <f t="shared" ca="1" si="2"/>
        <v>0</v>
      </c>
      <c r="M5" s="312">
        <f t="shared" ca="1" si="2"/>
        <v>0</v>
      </c>
      <c r="N5" s="312">
        <f t="shared" ca="1" si="2"/>
        <v>0</v>
      </c>
      <c r="O5" s="312">
        <f t="shared" ca="1" si="2"/>
        <v>0</v>
      </c>
      <c r="P5" s="312">
        <f t="shared" ca="1" si="2"/>
        <v>0</v>
      </c>
      <c r="Q5" s="312">
        <f t="shared" ca="1" si="2"/>
        <v>0</v>
      </c>
      <c r="R5" s="312">
        <f t="shared" ca="1" si="2"/>
        <v>0</v>
      </c>
      <c r="S5" s="312">
        <f t="shared" ref="S5:AF20" ca="1" si="3">MAX(OFFSET(INDIRECT(S$3),$A5-$A$5+$C$1,$C$2),0)</f>
        <v>0</v>
      </c>
      <c r="T5" s="312">
        <f t="shared" ca="1" si="3"/>
        <v>0</v>
      </c>
      <c r="U5" s="312">
        <f t="shared" ca="1" si="3"/>
        <v>0</v>
      </c>
      <c r="V5" s="312">
        <f t="shared" ca="1" si="3"/>
        <v>0</v>
      </c>
      <c r="W5" s="312">
        <f t="shared" ca="1" si="3"/>
        <v>0</v>
      </c>
      <c r="X5" s="312">
        <f t="shared" ca="1" si="3"/>
        <v>0</v>
      </c>
      <c r="Y5" s="312" t="e">
        <f t="shared" ca="1" si="3"/>
        <v>#REF!</v>
      </c>
      <c r="Z5" s="312" t="e">
        <f t="shared" ca="1" si="3"/>
        <v>#REF!</v>
      </c>
      <c r="AA5" s="312" t="e">
        <f t="shared" ca="1" si="3"/>
        <v>#REF!</v>
      </c>
      <c r="AB5" s="312" t="e">
        <f t="shared" ca="1" si="3"/>
        <v>#REF!</v>
      </c>
      <c r="AC5" s="312" t="e">
        <f t="shared" ca="1" si="3"/>
        <v>#REF!</v>
      </c>
      <c r="AD5" s="312" t="e">
        <f t="shared" ca="1" si="3"/>
        <v>#REF!</v>
      </c>
      <c r="AE5" s="312" t="e">
        <f t="shared" ca="1" si="3"/>
        <v>#REF!</v>
      </c>
      <c r="AF5" s="312" t="e">
        <f t="shared" ca="1" si="3"/>
        <v>#REF!</v>
      </c>
      <c r="AG5" s="312"/>
      <c r="AH5" s="312"/>
      <c r="AI5" s="312"/>
      <c r="AJ5" s="312"/>
    </row>
    <row r="6" spans="1:36">
      <c r="A6">
        <f>A5+1</f>
        <v>2011</v>
      </c>
      <c r="B6" s="312">
        <f t="shared" ca="1" si="1"/>
        <v>0</v>
      </c>
      <c r="C6" s="312">
        <f t="shared" ca="1" si="2"/>
        <v>0</v>
      </c>
      <c r="D6" s="312">
        <f t="shared" ca="1" si="2"/>
        <v>0</v>
      </c>
      <c r="E6" s="312">
        <f t="shared" ca="1" si="2"/>
        <v>0</v>
      </c>
      <c r="F6" s="312">
        <f t="shared" ca="1" si="2"/>
        <v>0</v>
      </c>
      <c r="G6" s="312">
        <f t="shared" ca="1" si="2"/>
        <v>0</v>
      </c>
      <c r="H6" s="312">
        <f t="shared" ca="1" si="2"/>
        <v>0</v>
      </c>
      <c r="I6" s="312">
        <f t="shared" ca="1" si="2"/>
        <v>0</v>
      </c>
      <c r="J6" s="312">
        <f t="shared" ca="1" si="2"/>
        <v>0</v>
      </c>
      <c r="K6" s="312">
        <f t="shared" ca="1" si="2"/>
        <v>0</v>
      </c>
      <c r="L6" s="312">
        <f t="shared" ca="1" si="2"/>
        <v>0</v>
      </c>
      <c r="M6" s="312">
        <f t="shared" ca="1" si="2"/>
        <v>0</v>
      </c>
      <c r="N6" s="312">
        <f t="shared" ca="1" si="2"/>
        <v>0</v>
      </c>
      <c r="O6" s="312">
        <f t="shared" ca="1" si="2"/>
        <v>0</v>
      </c>
      <c r="P6" s="312">
        <f t="shared" ca="1" si="2"/>
        <v>0</v>
      </c>
      <c r="Q6" s="312">
        <f t="shared" ca="1" si="2"/>
        <v>25224484.237428442</v>
      </c>
      <c r="R6" s="312">
        <f t="shared" ca="1" si="2"/>
        <v>0</v>
      </c>
      <c r="S6" s="312">
        <f t="shared" ca="1" si="3"/>
        <v>0</v>
      </c>
      <c r="T6" s="312">
        <f t="shared" ca="1" si="3"/>
        <v>0</v>
      </c>
      <c r="U6" s="312">
        <f t="shared" ca="1" si="3"/>
        <v>0</v>
      </c>
      <c r="V6" s="312">
        <f t="shared" ca="1" si="3"/>
        <v>0</v>
      </c>
      <c r="W6" s="312">
        <f t="shared" ca="1" si="3"/>
        <v>0</v>
      </c>
      <c r="X6" s="312">
        <f t="shared" ca="1" si="3"/>
        <v>0</v>
      </c>
      <c r="Y6" s="312" t="e">
        <f t="shared" ca="1" si="3"/>
        <v>#REF!</v>
      </c>
      <c r="Z6" s="312" t="e">
        <f t="shared" ca="1" si="3"/>
        <v>#REF!</v>
      </c>
      <c r="AA6" s="312" t="e">
        <f t="shared" ca="1" si="3"/>
        <v>#REF!</v>
      </c>
      <c r="AB6" s="312" t="e">
        <f t="shared" ca="1" si="3"/>
        <v>#REF!</v>
      </c>
      <c r="AC6" s="312" t="e">
        <f t="shared" ca="1" si="3"/>
        <v>#REF!</v>
      </c>
      <c r="AD6" s="312" t="e">
        <f t="shared" ca="1" si="3"/>
        <v>#REF!</v>
      </c>
      <c r="AE6" s="312" t="e">
        <f t="shared" ca="1" si="3"/>
        <v>#REF!</v>
      </c>
      <c r="AF6" s="312" t="e">
        <f t="shared" ca="1" si="3"/>
        <v>#REF!</v>
      </c>
      <c r="AG6" s="312"/>
      <c r="AH6" s="312"/>
      <c r="AI6" s="312"/>
      <c r="AJ6" s="312"/>
    </row>
    <row r="7" spans="1:36">
      <c r="A7">
        <f t="shared" ref="A7:A45" si="4">A6+1</f>
        <v>2012</v>
      </c>
      <c r="B7" s="312">
        <f t="shared" ca="1" si="1"/>
        <v>0</v>
      </c>
      <c r="C7" s="312">
        <f t="shared" ca="1" si="2"/>
        <v>0</v>
      </c>
      <c r="D7" s="312">
        <f t="shared" ca="1" si="2"/>
        <v>0</v>
      </c>
      <c r="E7" s="312">
        <f t="shared" ca="1" si="2"/>
        <v>0</v>
      </c>
      <c r="F7" s="312">
        <f t="shared" ca="1" si="2"/>
        <v>0</v>
      </c>
      <c r="G7" s="312">
        <f t="shared" ca="1" si="2"/>
        <v>0</v>
      </c>
      <c r="H7" s="312">
        <f t="shared" ca="1" si="2"/>
        <v>0</v>
      </c>
      <c r="I7" s="312">
        <f t="shared" ca="1" si="2"/>
        <v>0</v>
      </c>
      <c r="J7" s="312">
        <f t="shared" ca="1" si="2"/>
        <v>0</v>
      </c>
      <c r="K7" s="312">
        <f t="shared" ca="1" si="2"/>
        <v>0</v>
      </c>
      <c r="L7" s="312">
        <f t="shared" ca="1" si="2"/>
        <v>0</v>
      </c>
      <c r="M7" s="312">
        <f t="shared" ca="1" si="2"/>
        <v>0</v>
      </c>
      <c r="N7" s="312">
        <f t="shared" ca="1" si="2"/>
        <v>0</v>
      </c>
      <c r="O7" s="312">
        <f t="shared" ca="1" si="2"/>
        <v>0</v>
      </c>
      <c r="P7" s="312">
        <f t="shared" ca="1" si="2"/>
        <v>0</v>
      </c>
      <c r="Q7" s="312">
        <f t="shared" ca="1" si="2"/>
        <v>25224484.237428762</v>
      </c>
      <c r="R7" s="312">
        <f t="shared" ca="1" si="2"/>
        <v>0</v>
      </c>
      <c r="S7" s="312">
        <f t="shared" ca="1" si="3"/>
        <v>0</v>
      </c>
      <c r="T7" s="312">
        <f t="shared" ca="1" si="3"/>
        <v>0</v>
      </c>
      <c r="U7" s="312">
        <f t="shared" ca="1" si="3"/>
        <v>0</v>
      </c>
      <c r="V7" s="312">
        <f t="shared" ca="1" si="3"/>
        <v>0</v>
      </c>
      <c r="W7" s="312">
        <f t="shared" ca="1" si="3"/>
        <v>0</v>
      </c>
      <c r="X7" s="312">
        <f t="shared" ca="1" si="3"/>
        <v>0</v>
      </c>
      <c r="Y7" s="312" t="e">
        <f t="shared" ca="1" si="3"/>
        <v>#REF!</v>
      </c>
      <c r="Z7" s="312" t="e">
        <f t="shared" ca="1" si="3"/>
        <v>#REF!</v>
      </c>
      <c r="AA7" s="312" t="e">
        <f t="shared" ca="1" si="3"/>
        <v>#REF!</v>
      </c>
      <c r="AB7" s="312" t="e">
        <f t="shared" ca="1" si="3"/>
        <v>#REF!</v>
      </c>
      <c r="AC7" s="312" t="e">
        <f t="shared" ca="1" si="3"/>
        <v>#REF!</v>
      </c>
      <c r="AD7" s="312" t="e">
        <f t="shared" ca="1" si="3"/>
        <v>#REF!</v>
      </c>
      <c r="AE7" s="312" t="e">
        <f t="shared" ca="1" si="3"/>
        <v>#REF!</v>
      </c>
      <c r="AF7" s="312" t="e">
        <f t="shared" ca="1" si="3"/>
        <v>#REF!</v>
      </c>
      <c r="AG7" s="312"/>
      <c r="AH7" s="312"/>
      <c r="AI7" s="312"/>
      <c r="AJ7" s="312"/>
    </row>
    <row r="8" spans="1:36">
      <c r="A8">
        <f t="shared" si="4"/>
        <v>2013</v>
      </c>
      <c r="B8" s="312">
        <f t="shared" ca="1" si="1"/>
        <v>0</v>
      </c>
      <c r="C8" s="312">
        <f t="shared" ca="1" si="2"/>
        <v>0</v>
      </c>
      <c r="D8" s="312">
        <f t="shared" ca="1" si="2"/>
        <v>0</v>
      </c>
      <c r="E8" s="312">
        <f t="shared" ca="1" si="2"/>
        <v>0</v>
      </c>
      <c r="F8" s="312">
        <f t="shared" ca="1" si="2"/>
        <v>0</v>
      </c>
      <c r="G8" s="312">
        <f t="shared" ca="1" si="2"/>
        <v>0</v>
      </c>
      <c r="H8" s="312">
        <f t="shared" ca="1" si="2"/>
        <v>0</v>
      </c>
      <c r="I8" s="312">
        <f t="shared" ca="1" si="2"/>
        <v>0</v>
      </c>
      <c r="J8" s="312">
        <f t="shared" ca="1" si="2"/>
        <v>0</v>
      </c>
      <c r="K8" s="312">
        <f t="shared" ca="1" si="2"/>
        <v>0</v>
      </c>
      <c r="L8" s="312">
        <f t="shared" ca="1" si="2"/>
        <v>0</v>
      </c>
      <c r="M8" s="312">
        <f t="shared" ca="1" si="2"/>
        <v>0</v>
      </c>
      <c r="N8" s="312">
        <f t="shared" ca="1" si="2"/>
        <v>0</v>
      </c>
      <c r="O8" s="312">
        <f t="shared" ca="1" si="2"/>
        <v>0</v>
      </c>
      <c r="P8" s="312">
        <f t="shared" ca="1" si="2"/>
        <v>0</v>
      </c>
      <c r="Q8" s="312">
        <f t="shared" ca="1" si="2"/>
        <v>25224484.237428442</v>
      </c>
      <c r="R8" s="312">
        <f t="shared" ca="1" si="2"/>
        <v>0</v>
      </c>
      <c r="S8" s="312">
        <f t="shared" ca="1" si="3"/>
        <v>0</v>
      </c>
      <c r="T8" s="312">
        <f t="shared" ca="1" si="3"/>
        <v>0</v>
      </c>
      <c r="U8" s="312">
        <f t="shared" ca="1" si="3"/>
        <v>0</v>
      </c>
      <c r="V8" s="312">
        <f t="shared" ca="1" si="3"/>
        <v>0</v>
      </c>
      <c r="W8" s="312">
        <f t="shared" ca="1" si="3"/>
        <v>0</v>
      </c>
      <c r="X8" s="312">
        <f t="shared" ca="1" si="3"/>
        <v>0</v>
      </c>
      <c r="Y8" s="312" t="e">
        <f t="shared" ca="1" si="3"/>
        <v>#REF!</v>
      </c>
      <c r="Z8" s="312" t="e">
        <f t="shared" ca="1" si="3"/>
        <v>#REF!</v>
      </c>
      <c r="AA8" s="312" t="e">
        <f t="shared" ca="1" si="3"/>
        <v>#REF!</v>
      </c>
      <c r="AB8" s="312" t="e">
        <f t="shared" ca="1" si="3"/>
        <v>#REF!</v>
      </c>
      <c r="AC8" s="312" t="e">
        <f t="shared" ca="1" si="3"/>
        <v>#REF!</v>
      </c>
      <c r="AD8" s="312" t="e">
        <f t="shared" ca="1" si="3"/>
        <v>#REF!</v>
      </c>
      <c r="AE8" s="312" t="e">
        <f t="shared" ca="1" si="3"/>
        <v>#REF!</v>
      </c>
      <c r="AF8" s="312" t="e">
        <f t="shared" ca="1" si="3"/>
        <v>#REF!</v>
      </c>
      <c r="AG8" s="312"/>
      <c r="AH8" s="312"/>
      <c r="AI8" s="312"/>
      <c r="AJ8" s="312"/>
    </row>
    <row r="9" spans="1:36">
      <c r="A9">
        <f t="shared" si="4"/>
        <v>2014</v>
      </c>
      <c r="B9" s="312">
        <f t="shared" ca="1" si="1"/>
        <v>0</v>
      </c>
      <c r="C9" s="312">
        <f t="shared" ca="1" si="2"/>
        <v>0</v>
      </c>
      <c r="D9" s="312">
        <f t="shared" ca="1" si="2"/>
        <v>0</v>
      </c>
      <c r="E9" s="312">
        <f t="shared" ca="1" si="2"/>
        <v>0</v>
      </c>
      <c r="F9" s="312">
        <f t="shared" ca="1" si="2"/>
        <v>0</v>
      </c>
      <c r="G9" s="312">
        <f t="shared" ca="1" si="2"/>
        <v>0</v>
      </c>
      <c r="H9" s="312">
        <f t="shared" ca="1" si="2"/>
        <v>0</v>
      </c>
      <c r="I9" s="312">
        <f t="shared" ca="1" si="2"/>
        <v>0</v>
      </c>
      <c r="J9" s="312">
        <f t="shared" ca="1" si="2"/>
        <v>0</v>
      </c>
      <c r="K9" s="312">
        <f t="shared" ca="1" si="2"/>
        <v>0</v>
      </c>
      <c r="L9" s="312">
        <f t="shared" ca="1" si="2"/>
        <v>0</v>
      </c>
      <c r="M9" s="312">
        <f t="shared" ca="1" si="2"/>
        <v>0</v>
      </c>
      <c r="N9" s="312">
        <f t="shared" ca="1" si="2"/>
        <v>0</v>
      </c>
      <c r="O9" s="312">
        <f t="shared" ca="1" si="2"/>
        <v>0</v>
      </c>
      <c r="P9" s="312">
        <f t="shared" ca="1" si="2"/>
        <v>0</v>
      </c>
      <c r="Q9" s="312">
        <f t="shared" ca="1" si="2"/>
        <v>25224484.237428762</v>
      </c>
      <c r="R9" s="312">
        <f t="shared" ca="1" si="2"/>
        <v>0</v>
      </c>
      <c r="S9" s="312">
        <f t="shared" ca="1" si="3"/>
        <v>0</v>
      </c>
      <c r="T9" s="312">
        <f t="shared" ca="1" si="3"/>
        <v>550000</v>
      </c>
      <c r="U9" s="312">
        <f t="shared" ca="1" si="3"/>
        <v>0</v>
      </c>
      <c r="V9" s="312">
        <f t="shared" ca="1" si="3"/>
        <v>0</v>
      </c>
      <c r="W9" s="312">
        <f t="shared" ca="1" si="3"/>
        <v>0</v>
      </c>
      <c r="X9" s="312">
        <f t="shared" ca="1" si="3"/>
        <v>0</v>
      </c>
      <c r="Y9" s="312" t="e">
        <f t="shared" ca="1" si="3"/>
        <v>#REF!</v>
      </c>
      <c r="Z9" s="312" t="e">
        <f t="shared" ca="1" si="3"/>
        <v>#REF!</v>
      </c>
      <c r="AA9" s="312" t="e">
        <f t="shared" ca="1" si="3"/>
        <v>#REF!</v>
      </c>
      <c r="AB9" s="312" t="e">
        <f t="shared" ca="1" si="3"/>
        <v>#REF!</v>
      </c>
      <c r="AC9" s="312" t="e">
        <f t="shared" ca="1" si="3"/>
        <v>#REF!</v>
      </c>
      <c r="AD9" s="312" t="e">
        <f t="shared" ca="1" si="3"/>
        <v>#REF!</v>
      </c>
      <c r="AE9" s="312" t="e">
        <f t="shared" ca="1" si="3"/>
        <v>#REF!</v>
      </c>
      <c r="AF9" s="312" t="e">
        <f t="shared" ca="1" si="3"/>
        <v>#REF!</v>
      </c>
      <c r="AG9" s="312"/>
      <c r="AH9" s="312"/>
      <c r="AI9" s="312"/>
      <c r="AJ9" s="312"/>
    </row>
    <row r="10" spans="1:36">
      <c r="A10">
        <f t="shared" si="4"/>
        <v>2015</v>
      </c>
      <c r="B10" s="312">
        <f t="shared" ca="1" si="1"/>
        <v>0</v>
      </c>
      <c r="C10" s="312">
        <f t="shared" ca="1" si="2"/>
        <v>0</v>
      </c>
      <c r="D10" s="312">
        <f t="shared" ca="1" si="2"/>
        <v>0</v>
      </c>
      <c r="E10" s="312">
        <f t="shared" ca="1" si="2"/>
        <v>0</v>
      </c>
      <c r="F10" s="312">
        <f t="shared" ca="1" si="2"/>
        <v>0</v>
      </c>
      <c r="G10" s="312">
        <f t="shared" ca="1" si="2"/>
        <v>0</v>
      </c>
      <c r="H10" s="312">
        <f t="shared" ca="1" si="2"/>
        <v>0</v>
      </c>
      <c r="I10" s="312">
        <f t="shared" ca="1" si="2"/>
        <v>0</v>
      </c>
      <c r="J10" s="312">
        <f t="shared" ca="1" si="2"/>
        <v>0</v>
      </c>
      <c r="K10" s="312">
        <f t="shared" ca="1" si="2"/>
        <v>0</v>
      </c>
      <c r="L10" s="312">
        <f t="shared" ca="1" si="2"/>
        <v>0</v>
      </c>
      <c r="M10" s="312">
        <f t="shared" ca="1" si="2"/>
        <v>0</v>
      </c>
      <c r="N10" s="312">
        <f t="shared" ca="1" si="2"/>
        <v>0</v>
      </c>
      <c r="O10" s="312">
        <f t="shared" ca="1" si="2"/>
        <v>0</v>
      </c>
      <c r="P10" s="312">
        <f t="shared" ca="1" si="2"/>
        <v>0</v>
      </c>
      <c r="Q10" s="312">
        <f t="shared" ca="1" si="2"/>
        <v>25224484.237428762</v>
      </c>
      <c r="R10" s="312">
        <f t="shared" ca="1" si="2"/>
        <v>0</v>
      </c>
      <c r="S10" s="312">
        <f t="shared" ca="1" si="3"/>
        <v>0</v>
      </c>
      <c r="T10" s="312">
        <f t="shared" ca="1" si="3"/>
        <v>550000</v>
      </c>
      <c r="U10" s="312">
        <f t="shared" ca="1" si="3"/>
        <v>0</v>
      </c>
      <c r="V10" s="312">
        <f t="shared" ca="1" si="3"/>
        <v>0</v>
      </c>
      <c r="W10" s="312">
        <f t="shared" ca="1" si="3"/>
        <v>0</v>
      </c>
      <c r="X10" s="312">
        <f t="shared" ca="1" si="3"/>
        <v>0</v>
      </c>
      <c r="Y10" s="312" t="e">
        <f t="shared" ca="1" si="3"/>
        <v>#REF!</v>
      </c>
      <c r="Z10" s="312" t="e">
        <f t="shared" ca="1" si="3"/>
        <v>#REF!</v>
      </c>
      <c r="AA10" s="312" t="e">
        <f t="shared" ca="1" si="3"/>
        <v>#REF!</v>
      </c>
      <c r="AB10" s="312" t="e">
        <f t="shared" ca="1" si="3"/>
        <v>#REF!</v>
      </c>
      <c r="AC10" s="312" t="e">
        <f t="shared" ca="1" si="3"/>
        <v>#REF!</v>
      </c>
      <c r="AD10" s="312" t="e">
        <f t="shared" ca="1" si="3"/>
        <v>#REF!</v>
      </c>
      <c r="AE10" s="312" t="e">
        <f t="shared" ca="1" si="3"/>
        <v>#REF!</v>
      </c>
      <c r="AF10" s="312" t="e">
        <f t="shared" ca="1" si="3"/>
        <v>#REF!</v>
      </c>
      <c r="AG10" s="312"/>
      <c r="AH10" s="312"/>
      <c r="AI10" s="312"/>
      <c r="AJ10" s="312"/>
    </row>
    <row r="11" spans="1:36">
      <c r="A11">
        <f t="shared" si="4"/>
        <v>2016</v>
      </c>
      <c r="B11" s="312">
        <f t="shared" ca="1" si="1"/>
        <v>0</v>
      </c>
      <c r="C11" s="312">
        <f t="shared" ca="1" si="2"/>
        <v>0</v>
      </c>
      <c r="D11" s="312">
        <f t="shared" ca="1" si="2"/>
        <v>0</v>
      </c>
      <c r="E11" s="312">
        <f t="shared" ca="1" si="2"/>
        <v>0</v>
      </c>
      <c r="F11" s="312">
        <f t="shared" ca="1" si="2"/>
        <v>0</v>
      </c>
      <c r="G11" s="312">
        <f t="shared" ca="1" si="2"/>
        <v>0</v>
      </c>
      <c r="H11" s="312">
        <f t="shared" ca="1" si="2"/>
        <v>0</v>
      </c>
      <c r="I11" s="312">
        <f t="shared" ca="1" si="2"/>
        <v>0</v>
      </c>
      <c r="J11" s="312">
        <f t="shared" ca="1" si="2"/>
        <v>0</v>
      </c>
      <c r="K11" s="312">
        <f t="shared" ca="1" si="2"/>
        <v>0</v>
      </c>
      <c r="L11" s="312">
        <f t="shared" ca="1" si="2"/>
        <v>0</v>
      </c>
      <c r="M11" s="312">
        <f t="shared" ca="1" si="2"/>
        <v>0</v>
      </c>
      <c r="N11" s="312">
        <f t="shared" ca="1" si="2"/>
        <v>0</v>
      </c>
      <c r="O11" s="312">
        <f t="shared" ca="1" si="2"/>
        <v>0</v>
      </c>
      <c r="P11" s="312">
        <f t="shared" ca="1" si="2"/>
        <v>0</v>
      </c>
      <c r="Q11" s="312">
        <f t="shared" ca="1" si="2"/>
        <v>25224484.237428442</v>
      </c>
      <c r="R11" s="312">
        <f t="shared" ca="1" si="2"/>
        <v>0</v>
      </c>
      <c r="S11" s="312">
        <f t="shared" ca="1" si="3"/>
        <v>0</v>
      </c>
      <c r="T11" s="312">
        <f t="shared" ca="1" si="3"/>
        <v>550000</v>
      </c>
      <c r="U11" s="312">
        <f t="shared" ca="1" si="3"/>
        <v>0</v>
      </c>
      <c r="V11" s="312">
        <f t="shared" ca="1" si="3"/>
        <v>0</v>
      </c>
      <c r="W11" s="312">
        <f t="shared" ca="1" si="3"/>
        <v>0</v>
      </c>
      <c r="X11" s="312">
        <f t="shared" ca="1" si="3"/>
        <v>0</v>
      </c>
      <c r="Y11" s="312" t="e">
        <f t="shared" ca="1" si="3"/>
        <v>#REF!</v>
      </c>
      <c r="Z11" s="312" t="e">
        <f t="shared" ca="1" si="3"/>
        <v>#REF!</v>
      </c>
      <c r="AA11" s="312" t="e">
        <f t="shared" ca="1" si="3"/>
        <v>#REF!</v>
      </c>
      <c r="AB11" s="312" t="e">
        <f t="shared" ca="1" si="3"/>
        <v>#REF!</v>
      </c>
      <c r="AC11" s="312" t="e">
        <f t="shared" ca="1" si="3"/>
        <v>#REF!</v>
      </c>
      <c r="AD11" s="312" t="e">
        <f t="shared" ca="1" si="3"/>
        <v>#REF!</v>
      </c>
      <c r="AE11" s="312" t="e">
        <f t="shared" ca="1" si="3"/>
        <v>#REF!</v>
      </c>
      <c r="AF11" s="312" t="e">
        <f t="shared" ca="1" si="3"/>
        <v>#REF!</v>
      </c>
      <c r="AG11" s="312"/>
      <c r="AH11" s="312"/>
      <c r="AI11" s="312"/>
      <c r="AJ11" s="312"/>
    </row>
    <row r="12" spans="1:36">
      <c r="A12">
        <f t="shared" si="4"/>
        <v>2017</v>
      </c>
      <c r="B12" s="312">
        <f t="shared" ca="1" si="1"/>
        <v>0</v>
      </c>
      <c r="C12" s="312">
        <f t="shared" ca="1" si="2"/>
        <v>0</v>
      </c>
      <c r="D12" s="312">
        <f t="shared" ca="1" si="2"/>
        <v>0</v>
      </c>
      <c r="E12" s="312">
        <f t="shared" ca="1" si="2"/>
        <v>0</v>
      </c>
      <c r="F12" s="312">
        <f t="shared" ca="1" si="2"/>
        <v>0</v>
      </c>
      <c r="G12" s="312">
        <f t="shared" ca="1" si="2"/>
        <v>0</v>
      </c>
      <c r="H12" s="312">
        <f t="shared" ca="1" si="2"/>
        <v>0</v>
      </c>
      <c r="I12" s="312">
        <f t="shared" ca="1" si="2"/>
        <v>0</v>
      </c>
      <c r="J12" s="312">
        <f t="shared" ca="1" si="2"/>
        <v>0</v>
      </c>
      <c r="K12" s="312">
        <f t="shared" ca="1" si="2"/>
        <v>0</v>
      </c>
      <c r="L12" s="312">
        <f t="shared" ca="1" si="2"/>
        <v>0</v>
      </c>
      <c r="M12" s="312">
        <f t="shared" ca="1" si="2"/>
        <v>0</v>
      </c>
      <c r="N12" s="312">
        <f t="shared" ca="1" si="2"/>
        <v>0</v>
      </c>
      <c r="O12" s="312">
        <f t="shared" ca="1" si="2"/>
        <v>0</v>
      </c>
      <c r="P12" s="312">
        <f t="shared" ca="1" si="2"/>
        <v>0</v>
      </c>
      <c r="Q12" s="312">
        <f t="shared" ca="1" si="2"/>
        <v>25224484.237428762</v>
      </c>
      <c r="R12" s="312">
        <f t="shared" ca="1" si="2"/>
        <v>0</v>
      </c>
      <c r="S12" s="312">
        <f t="shared" ca="1" si="3"/>
        <v>0</v>
      </c>
      <c r="T12" s="312">
        <f t="shared" ca="1" si="3"/>
        <v>550000</v>
      </c>
      <c r="U12" s="312">
        <f t="shared" ca="1" si="3"/>
        <v>0</v>
      </c>
      <c r="V12" s="312">
        <f t="shared" ca="1" si="3"/>
        <v>0</v>
      </c>
      <c r="W12" s="312">
        <f t="shared" ca="1" si="3"/>
        <v>0</v>
      </c>
      <c r="X12" s="312">
        <f t="shared" ca="1" si="3"/>
        <v>0</v>
      </c>
      <c r="Y12" s="312" t="e">
        <f t="shared" ca="1" si="3"/>
        <v>#REF!</v>
      </c>
      <c r="Z12" s="312" t="e">
        <f t="shared" ca="1" si="3"/>
        <v>#REF!</v>
      </c>
      <c r="AA12" s="312" t="e">
        <f t="shared" ca="1" si="3"/>
        <v>#REF!</v>
      </c>
      <c r="AB12" s="312" t="e">
        <f t="shared" ca="1" si="3"/>
        <v>#REF!</v>
      </c>
      <c r="AC12" s="312" t="e">
        <f t="shared" ca="1" si="3"/>
        <v>#REF!</v>
      </c>
      <c r="AD12" s="312" t="e">
        <f t="shared" ca="1" si="3"/>
        <v>#REF!</v>
      </c>
      <c r="AE12" s="312" t="e">
        <f t="shared" ca="1" si="3"/>
        <v>#REF!</v>
      </c>
      <c r="AF12" s="312" t="e">
        <f t="shared" ca="1" si="3"/>
        <v>#REF!</v>
      </c>
      <c r="AG12" s="312"/>
      <c r="AH12" s="312"/>
      <c r="AI12" s="312"/>
      <c r="AJ12" s="312"/>
    </row>
    <row r="13" spans="1:36">
      <c r="A13">
        <f t="shared" si="4"/>
        <v>2018</v>
      </c>
      <c r="B13" s="312">
        <f t="shared" ca="1" si="1"/>
        <v>0</v>
      </c>
      <c r="C13" s="312">
        <f t="shared" ca="1" si="2"/>
        <v>0</v>
      </c>
      <c r="D13" s="312">
        <f t="shared" ca="1" si="2"/>
        <v>0</v>
      </c>
      <c r="E13" s="312">
        <f t="shared" ca="1" si="2"/>
        <v>0</v>
      </c>
      <c r="F13" s="312">
        <f t="shared" ca="1" si="2"/>
        <v>0</v>
      </c>
      <c r="G13" s="312">
        <f t="shared" ca="1" si="2"/>
        <v>0</v>
      </c>
      <c r="H13" s="312">
        <f t="shared" ca="1" si="2"/>
        <v>0</v>
      </c>
      <c r="I13" s="312">
        <f t="shared" ca="1" si="2"/>
        <v>0</v>
      </c>
      <c r="J13" s="312">
        <f t="shared" ca="1" si="2"/>
        <v>0</v>
      </c>
      <c r="K13" s="312">
        <f t="shared" ca="1" si="2"/>
        <v>0</v>
      </c>
      <c r="L13" s="312">
        <f t="shared" ca="1" si="2"/>
        <v>0</v>
      </c>
      <c r="M13" s="312">
        <f t="shared" ca="1" si="2"/>
        <v>0</v>
      </c>
      <c r="N13" s="312">
        <f t="shared" ca="1" si="2"/>
        <v>0</v>
      </c>
      <c r="O13" s="312">
        <f t="shared" ca="1" si="2"/>
        <v>0</v>
      </c>
      <c r="P13" s="312">
        <f t="shared" ca="1" si="2"/>
        <v>0</v>
      </c>
      <c r="Q13" s="312">
        <f t="shared" ca="1" si="2"/>
        <v>25224484.237428442</v>
      </c>
      <c r="R13" s="312">
        <f t="shared" ca="1" si="2"/>
        <v>0</v>
      </c>
      <c r="S13" s="312">
        <f t="shared" ca="1" si="3"/>
        <v>0</v>
      </c>
      <c r="T13" s="312">
        <f t="shared" ca="1" si="3"/>
        <v>550000</v>
      </c>
      <c r="U13" s="312">
        <f t="shared" ca="1" si="3"/>
        <v>0</v>
      </c>
      <c r="V13" s="312">
        <f t="shared" ca="1" si="3"/>
        <v>0</v>
      </c>
      <c r="W13" s="312">
        <f t="shared" ca="1" si="3"/>
        <v>0</v>
      </c>
      <c r="X13" s="312">
        <f t="shared" ca="1" si="3"/>
        <v>0</v>
      </c>
      <c r="Y13" s="312" t="e">
        <f t="shared" ca="1" si="3"/>
        <v>#REF!</v>
      </c>
      <c r="Z13" s="312" t="e">
        <f t="shared" ca="1" si="3"/>
        <v>#REF!</v>
      </c>
      <c r="AA13" s="312" t="e">
        <f t="shared" ca="1" si="3"/>
        <v>#REF!</v>
      </c>
      <c r="AB13" s="312" t="e">
        <f t="shared" ca="1" si="3"/>
        <v>#REF!</v>
      </c>
      <c r="AC13" s="312" t="e">
        <f t="shared" ca="1" si="3"/>
        <v>#REF!</v>
      </c>
      <c r="AD13" s="312" t="e">
        <f t="shared" ca="1" si="3"/>
        <v>#REF!</v>
      </c>
      <c r="AE13" s="312" t="e">
        <f t="shared" ca="1" si="3"/>
        <v>#REF!</v>
      </c>
      <c r="AF13" s="312" t="e">
        <f t="shared" ca="1" si="3"/>
        <v>#REF!</v>
      </c>
      <c r="AG13" s="312"/>
      <c r="AH13" s="312"/>
      <c r="AI13" s="312"/>
      <c r="AJ13" s="312"/>
    </row>
    <row r="14" spans="1:36">
      <c r="A14">
        <f t="shared" si="4"/>
        <v>2019</v>
      </c>
      <c r="B14" s="312">
        <f t="shared" ca="1" si="1"/>
        <v>0</v>
      </c>
      <c r="C14" s="312">
        <f t="shared" ca="1" si="2"/>
        <v>0</v>
      </c>
      <c r="D14" s="312">
        <f t="shared" ca="1" si="2"/>
        <v>0</v>
      </c>
      <c r="E14" s="312">
        <f t="shared" ca="1" si="2"/>
        <v>0</v>
      </c>
      <c r="F14" s="312">
        <f t="shared" ca="1" si="2"/>
        <v>0</v>
      </c>
      <c r="G14" s="312">
        <f t="shared" ca="1" si="2"/>
        <v>0</v>
      </c>
      <c r="H14" s="312">
        <f t="shared" ca="1" si="2"/>
        <v>0</v>
      </c>
      <c r="I14" s="312">
        <f t="shared" ca="1" si="2"/>
        <v>0</v>
      </c>
      <c r="J14" s="312">
        <f t="shared" ca="1" si="2"/>
        <v>0</v>
      </c>
      <c r="K14" s="312">
        <f t="shared" ca="1" si="2"/>
        <v>0</v>
      </c>
      <c r="L14" s="312">
        <f t="shared" ca="1" si="2"/>
        <v>0</v>
      </c>
      <c r="M14" s="312">
        <f t="shared" ca="1" si="2"/>
        <v>0</v>
      </c>
      <c r="N14" s="312">
        <f t="shared" ca="1" si="2"/>
        <v>0</v>
      </c>
      <c r="O14" s="312">
        <f t="shared" ca="1" si="2"/>
        <v>0</v>
      </c>
      <c r="P14" s="312">
        <f t="shared" ca="1" si="2"/>
        <v>0</v>
      </c>
      <c r="Q14" s="312">
        <f t="shared" ca="1" si="2"/>
        <v>25224484.237428762</v>
      </c>
      <c r="R14" s="312">
        <f t="shared" ca="1" si="2"/>
        <v>0</v>
      </c>
      <c r="S14" s="312">
        <f t="shared" ca="1" si="3"/>
        <v>0</v>
      </c>
      <c r="T14" s="312">
        <f t="shared" ca="1" si="3"/>
        <v>550000</v>
      </c>
      <c r="U14" s="312">
        <f t="shared" ca="1" si="3"/>
        <v>0</v>
      </c>
      <c r="V14" s="312">
        <f t="shared" ca="1" si="3"/>
        <v>0</v>
      </c>
      <c r="W14" s="312">
        <f t="shared" ca="1" si="3"/>
        <v>0</v>
      </c>
      <c r="X14" s="312">
        <f t="shared" ca="1" si="3"/>
        <v>0</v>
      </c>
      <c r="Y14" s="312" t="e">
        <f t="shared" ca="1" si="3"/>
        <v>#REF!</v>
      </c>
      <c r="Z14" s="312" t="e">
        <f t="shared" ca="1" si="3"/>
        <v>#REF!</v>
      </c>
      <c r="AA14" s="312" t="e">
        <f t="shared" ca="1" si="3"/>
        <v>#REF!</v>
      </c>
      <c r="AB14" s="312" t="e">
        <f t="shared" ca="1" si="3"/>
        <v>#REF!</v>
      </c>
      <c r="AC14" s="312" t="e">
        <f t="shared" ca="1" si="3"/>
        <v>#REF!</v>
      </c>
      <c r="AD14" s="312" t="e">
        <f t="shared" ca="1" si="3"/>
        <v>#REF!</v>
      </c>
      <c r="AE14" s="312" t="e">
        <f t="shared" ca="1" si="3"/>
        <v>#REF!</v>
      </c>
      <c r="AF14" s="312" t="e">
        <f t="shared" ca="1" si="3"/>
        <v>#REF!</v>
      </c>
      <c r="AG14" s="312"/>
      <c r="AH14" s="312"/>
      <c r="AI14" s="312"/>
      <c r="AJ14" s="312"/>
    </row>
    <row r="15" spans="1:36">
      <c r="A15">
        <f t="shared" si="4"/>
        <v>2020</v>
      </c>
      <c r="B15" s="312">
        <f t="shared" ca="1" si="1"/>
        <v>0</v>
      </c>
      <c r="C15" s="312">
        <f t="shared" ca="1" si="2"/>
        <v>0</v>
      </c>
      <c r="D15" s="312">
        <f t="shared" ca="1" si="2"/>
        <v>0</v>
      </c>
      <c r="E15" s="312">
        <f t="shared" ca="1" si="2"/>
        <v>0</v>
      </c>
      <c r="F15" s="312">
        <f t="shared" ca="1" si="2"/>
        <v>0</v>
      </c>
      <c r="G15" s="312">
        <f t="shared" ca="1" si="2"/>
        <v>0</v>
      </c>
      <c r="H15" s="312">
        <f t="shared" ca="1" si="2"/>
        <v>0</v>
      </c>
      <c r="I15" s="312">
        <f t="shared" ca="1" si="2"/>
        <v>0</v>
      </c>
      <c r="J15" s="312">
        <f t="shared" ca="1" si="2"/>
        <v>0</v>
      </c>
      <c r="K15" s="312">
        <f t="shared" ca="1" si="2"/>
        <v>0</v>
      </c>
      <c r="L15" s="312">
        <f t="shared" ca="1" si="2"/>
        <v>0</v>
      </c>
      <c r="M15" s="312">
        <f t="shared" ca="1" si="2"/>
        <v>0</v>
      </c>
      <c r="N15" s="312">
        <f t="shared" ca="1" si="2"/>
        <v>0</v>
      </c>
      <c r="O15" s="312">
        <f t="shared" ca="1" si="2"/>
        <v>0</v>
      </c>
      <c r="P15" s="312">
        <f t="shared" ca="1" si="2"/>
        <v>0</v>
      </c>
      <c r="Q15" s="312">
        <f t="shared" ca="1" si="2"/>
        <v>25224484.237428442</v>
      </c>
      <c r="R15" s="312">
        <f t="shared" ca="1" si="2"/>
        <v>0</v>
      </c>
      <c r="S15" s="312">
        <f t="shared" ca="1" si="3"/>
        <v>0</v>
      </c>
      <c r="T15" s="312">
        <f t="shared" ca="1" si="3"/>
        <v>550000</v>
      </c>
      <c r="U15" s="312">
        <f t="shared" ca="1" si="3"/>
        <v>0</v>
      </c>
      <c r="V15" s="312">
        <f t="shared" ca="1" si="3"/>
        <v>0</v>
      </c>
      <c r="W15" s="312">
        <f t="shared" ca="1" si="3"/>
        <v>0</v>
      </c>
      <c r="X15" s="312">
        <f t="shared" ca="1" si="3"/>
        <v>0</v>
      </c>
      <c r="Y15" s="312" t="e">
        <f t="shared" ca="1" si="3"/>
        <v>#REF!</v>
      </c>
      <c r="Z15" s="312" t="e">
        <f t="shared" ca="1" si="3"/>
        <v>#REF!</v>
      </c>
      <c r="AA15" s="312" t="e">
        <f t="shared" ca="1" si="3"/>
        <v>#REF!</v>
      </c>
      <c r="AB15" s="312" t="e">
        <f t="shared" ca="1" si="3"/>
        <v>#REF!</v>
      </c>
      <c r="AC15" s="312" t="e">
        <f t="shared" ca="1" si="3"/>
        <v>#REF!</v>
      </c>
      <c r="AD15" s="312" t="e">
        <f t="shared" ca="1" si="3"/>
        <v>#REF!</v>
      </c>
      <c r="AE15" s="312" t="e">
        <f t="shared" ca="1" si="3"/>
        <v>#REF!</v>
      </c>
      <c r="AF15" s="312" t="e">
        <f t="shared" ca="1" si="3"/>
        <v>#REF!</v>
      </c>
      <c r="AG15" s="312"/>
      <c r="AH15" s="312"/>
      <c r="AI15" s="312"/>
      <c r="AJ15" s="312"/>
    </row>
    <row r="16" spans="1:36">
      <c r="A16">
        <f t="shared" si="4"/>
        <v>2021</v>
      </c>
      <c r="B16" s="312">
        <f t="shared" ca="1" si="1"/>
        <v>0</v>
      </c>
      <c r="C16" s="312">
        <f t="shared" ca="1" si="2"/>
        <v>0</v>
      </c>
      <c r="D16" s="312">
        <f t="shared" ca="1" si="2"/>
        <v>0</v>
      </c>
      <c r="E16" s="312">
        <f t="shared" ca="1" si="2"/>
        <v>0</v>
      </c>
      <c r="F16" s="312">
        <f t="shared" ca="1" si="2"/>
        <v>0</v>
      </c>
      <c r="G16" s="312">
        <f t="shared" ca="1" si="2"/>
        <v>0</v>
      </c>
      <c r="H16" s="312">
        <f t="shared" ca="1" si="2"/>
        <v>0</v>
      </c>
      <c r="I16" s="312">
        <f t="shared" ca="1" si="2"/>
        <v>0</v>
      </c>
      <c r="J16" s="312">
        <f t="shared" ca="1" si="2"/>
        <v>0</v>
      </c>
      <c r="K16" s="312">
        <f t="shared" ca="1" si="2"/>
        <v>0</v>
      </c>
      <c r="L16" s="312">
        <f t="shared" ca="1" si="2"/>
        <v>0</v>
      </c>
      <c r="M16" s="312">
        <f t="shared" ca="1" si="2"/>
        <v>0</v>
      </c>
      <c r="N16" s="312">
        <f t="shared" ca="1" si="2"/>
        <v>0</v>
      </c>
      <c r="O16" s="312">
        <f t="shared" ca="1" si="2"/>
        <v>0</v>
      </c>
      <c r="P16" s="312">
        <f t="shared" ca="1" si="2"/>
        <v>0</v>
      </c>
      <c r="Q16" s="312">
        <f t="shared" ca="1" si="2"/>
        <v>25224484.237428762</v>
      </c>
      <c r="R16" s="312">
        <f t="shared" ca="1" si="2"/>
        <v>0</v>
      </c>
      <c r="S16" s="312">
        <f t="shared" ca="1" si="3"/>
        <v>0</v>
      </c>
      <c r="T16" s="312">
        <f t="shared" ca="1" si="3"/>
        <v>550000</v>
      </c>
      <c r="U16" s="312">
        <f t="shared" ca="1" si="3"/>
        <v>0</v>
      </c>
      <c r="V16" s="312">
        <f t="shared" ca="1" si="3"/>
        <v>0</v>
      </c>
      <c r="W16" s="312">
        <f t="shared" ca="1" si="3"/>
        <v>0</v>
      </c>
      <c r="X16" s="312">
        <f t="shared" ca="1" si="3"/>
        <v>0</v>
      </c>
      <c r="Y16" s="312" t="e">
        <f t="shared" ca="1" si="3"/>
        <v>#REF!</v>
      </c>
      <c r="Z16" s="312" t="e">
        <f t="shared" ca="1" si="3"/>
        <v>#REF!</v>
      </c>
      <c r="AA16" s="312" t="e">
        <f t="shared" ca="1" si="3"/>
        <v>#REF!</v>
      </c>
      <c r="AB16" s="312" t="e">
        <f t="shared" ca="1" si="3"/>
        <v>#REF!</v>
      </c>
      <c r="AC16" s="312" t="e">
        <f t="shared" ca="1" si="3"/>
        <v>#REF!</v>
      </c>
      <c r="AD16" s="312" t="e">
        <f t="shared" ca="1" si="3"/>
        <v>#REF!</v>
      </c>
      <c r="AE16" s="312" t="e">
        <f t="shared" ca="1" si="3"/>
        <v>#REF!</v>
      </c>
      <c r="AF16" s="312" t="e">
        <f t="shared" ca="1" si="3"/>
        <v>#REF!</v>
      </c>
      <c r="AG16" s="312"/>
      <c r="AH16" s="312"/>
      <c r="AI16" s="312"/>
      <c r="AJ16" s="312"/>
    </row>
    <row r="17" spans="1:36">
      <c r="A17">
        <f t="shared" si="4"/>
        <v>2022</v>
      </c>
      <c r="B17" s="312">
        <f t="shared" ca="1" si="1"/>
        <v>0</v>
      </c>
      <c r="C17" s="312">
        <f t="shared" ca="1" si="2"/>
        <v>0</v>
      </c>
      <c r="D17" s="312">
        <f t="shared" ca="1" si="2"/>
        <v>0</v>
      </c>
      <c r="E17" s="312">
        <f t="shared" ca="1" si="2"/>
        <v>0</v>
      </c>
      <c r="F17" s="312">
        <f t="shared" ca="1" si="2"/>
        <v>0</v>
      </c>
      <c r="G17" s="312">
        <f t="shared" ca="1" si="2"/>
        <v>0</v>
      </c>
      <c r="H17" s="312">
        <f t="shared" ca="1" si="2"/>
        <v>0</v>
      </c>
      <c r="I17" s="312">
        <f t="shared" ca="1" si="2"/>
        <v>0</v>
      </c>
      <c r="J17" s="312">
        <f t="shared" ca="1" si="2"/>
        <v>0</v>
      </c>
      <c r="K17" s="312">
        <f t="shared" ca="1" si="2"/>
        <v>0</v>
      </c>
      <c r="L17" s="312">
        <f t="shared" ca="1" si="2"/>
        <v>0</v>
      </c>
      <c r="M17" s="312">
        <f t="shared" ca="1" si="2"/>
        <v>0</v>
      </c>
      <c r="N17" s="312">
        <f t="shared" ca="1" si="2"/>
        <v>0</v>
      </c>
      <c r="O17" s="312">
        <f t="shared" ca="1" si="2"/>
        <v>0</v>
      </c>
      <c r="P17" s="312">
        <f t="shared" ca="1" si="2"/>
        <v>0</v>
      </c>
      <c r="Q17" s="312">
        <f t="shared" ca="1" si="2"/>
        <v>25224484.237428762</v>
      </c>
      <c r="R17" s="312">
        <f t="shared" ca="1" si="2"/>
        <v>0</v>
      </c>
      <c r="S17" s="312">
        <f t="shared" ca="1" si="3"/>
        <v>0</v>
      </c>
      <c r="T17" s="312">
        <f t="shared" ca="1" si="3"/>
        <v>550000</v>
      </c>
      <c r="U17" s="312">
        <f t="shared" ca="1" si="3"/>
        <v>0</v>
      </c>
      <c r="V17" s="312">
        <f t="shared" ca="1" si="3"/>
        <v>0</v>
      </c>
      <c r="W17" s="312">
        <f t="shared" ca="1" si="3"/>
        <v>0</v>
      </c>
      <c r="X17" s="312">
        <f t="shared" ca="1" si="3"/>
        <v>0</v>
      </c>
      <c r="Y17" s="312" t="e">
        <f t="shared" ca="1" si="3"/>
        <v>#REF!</v>
      </c>
      <c r="Z17" s="312" t="e">
        <f t="shared" ca="1" si="3"/>
        <v>#REF!</v>
      </c>
      <c r="AA17" s="312" t="e">
        <f t="shared" ca="1" si="3"/>
        <v>#REF!</v>
      </c>
      <c r="AB17" s="312" t="e">
        <f t="shared" ca="1" si="3"/>
        <v>#REF!</v>
      </c>
      <c r="AC17" s="312" t="e">
        <f t="shared" ca="1" si="3"/>
        <v>#REF!</v>
      </c>
      <c r="AD17" s="312" t="e">
        <f t="shared" ca="1" si="3"/>
        <v>#REF!</v>
      </c>
      <c r="AE17" s="312" t="e">
        <f t="shared" ca="1" si="3"/>
        <v>#REF!</v>
      </c>
      <c r="AF17" s="312" t="e">
        <f t="shared" ca="1" si="3"/>
        <v>#REF!</v>
      </c>
      <c r="AG17" s="312"/>
      <c r="AH17" s="312"/>
      <c r="AI17" s="312"/>
      <c r="AJ17" s="312"/>
    </row>
    <row r="18" spans="1:36">
      <c r="A18">
        <f t="shared" si="4"/>
        <v>2023</v>
      </c>
      <c r="B18" s="312">
        <f t="shared" ca="1" si="1"/>
        <v>0</v>
      </c>
      <c r="C18" s="312">
        <f t="shared" ca="1" si="2"/>
        <v>0</v>
      </c>
      <c r="D18" s="312">
        <f t="shared" ca="1" si="2"/>
        <v>0</v>
      </c>
      <c r="E18" s="312">
        <f t="shared" ca="1" si="2"/>
        <v>0</v>
      </c>
      <c r="F18" s="312">
        <f t="shared" ca="1" si="2"/>
        <v>0</v>
      </c>
      <c r="G18" s="312">
        <f t="shared" ca="1" si="2"/>
        <v>0</v>
      </c>
      <c r="H18" s="312">
        <f t="shared" ca="1" si="2"/>
        <v>0</v>
      </c>
      <c r="I18" s="312">
        <f t="shared" ca="1" si="2"/>
        <v>0</v>
      </c>
      <c r="J18" s="312">
        <f t="shared" ca="1" si="2"/>
        <v>0</v>
      </c>
      <c r="K18" s="312">
        <f t="shared" ca="1" si="2"/>
        <v>0</v>
      </c>
      <c r="L18" s="312">
        <f t="shared" ca="1" si="2"/>
        <v>0</v>
      </c>
      <c r="M18" s="312">
        <f t="shared" ca="1" si="2"/>
        <v>0</v>
      </c>
      <c r="N18" s="312">
        <f t="shared" ca="1" si="2"/>
        <v>0</v>
      </c>
      <c r="O18" s="312">
        <f t="shared" ca="1" si="2"/>
        <v>0</v>
      </c>
      <c r="P18" s="312">
        <f t="shared" ca="1" si="2"/>
        <v>0</v>
      </c>
      <c r="Q18" s="312">
        <f t="shared" ca="1" si="2"/>
        <v>25224484.237428442</v>
      </c>
      <c r="R18" s="312">
        <f t="shared" ca="1" si="2"/>
        <v>0</v>
      </c>
      <c r="S18" s="312">
        <f t="shared" ca="1" si="3"/>
        <v>0</v>
      </c>
      <c r="T18" s="312">
        <f t="shared" ca="1" si="3"/>
        <v>550000</v>
      </c>
      <c r="U18" s="312">
        <f t="shared" ca="1" si="3"/>
        <v>0</v>
      </c>
      <c r="V18" s="312">
        <f t="shared" ca="1" si="3"/>
        <v>0</v>
      </c>
      <c r="W18" s="312">
        <f t="shared" ca="1" si="3"/>
        <v>0</v>
      </c>
      <c r="X18" s="312">
        <f t="shared" ca="1" si="3"/>
        <v>0</v>
      </c>
      <c r="Y18" s="312" t="e">
        <f t="shared" ca="1" si="3"/>
        <v>#REF!</v>
      </c>
      <c r="Z18" s="312" t="e">
        <f t="shared" ca="1" si="3"/>
        <v>#REF!</v>
      </c>
      <c r="AA18" s="312" t="e">
        <f t="shared" ca="1" si="3"/>
        <v>#REF!</v>
      </c>
      <c r="AB18" s="312" t="e">
        <f t="shared" ca="1" si="3"/>
        <v>#REF!</v>
      </c>
      <c r="AC18" s="312" t="e">
        <f t="shared" ca="1" si="3"/>
        <v>#REF!</v>
      </c>
      <c r="AD18" s="312" t="e">
        <f t="shared" ca="1" si="3"/>
        <v>#REF!</v>
      </c>
      <c r="AE18" s="312" t="e">
        <f t="shared" ca="1" si="3"/>
        <v>#REF!</v>
      </c>
      <c r="AF18" s="312" t="e">
        <f t="shared" ca="1" si="3"/>
        <v>#REF!</v>
      </c>
      <c r="AG18" s="312"/>
      <c r="AH18" s="312"/>
      <c r="AI18" s="312"/>
      <c r="AJ18" s="312"/>
    </row>
    <row r="19" spans="1:36">
      <c r="A19">
        <f t="shared" si="4"/>
        <v>2024</v>
      </c>
      <c r="B19" s="312">
        <f t="shared" ca="1" si="1"/>
        <v>0</v>
      </c>
      <c r="C19" s="312">
        <f t="shared" ca="1" si="2"/>
        <v>0</v>
      </c>
      <c r="D19" s="312">
        <f t="shared" ca="1" si="2"/>
        <v>0</v>
      </c>
      <c r="E19" s="312">
        <f t="shared" ca="1" si="2"/>
        <v>0</v>
      </c>
      <c r="F19" s="312">
        <f t="shared" ca="1" si="2"/>
        <v>0</v>
      </c>
      <c r="G19" s="312">
        <f t="shared" ca="1" si="2"/>
        <v>0</v>
      </c>
      <c r="H19" s="312">
        <f t="shared" ca="1" si="2"/>
        <v>0</v>
      </c>
      <c r="I19" s="312">
        <f t="shared" ca="1" si="2"/>
        <v>0</v>
      </c>
      <c r="J19" s="312">
        <f t="shared" ca="1" si="2"/>
        <v>0</v>
      </c>
      <c r="K19" s="312">
        <f t="shared" ca="1" si="2"/>
        <v>0</v>
      </c>
      <c r="L19" s="312">
        <f t="shared" ca="1" si="2"/>
        <v>0</v>
      </c>
      <c r="M19" s="312">
        <f t="shared" ca="1" si="2"/>
        <v>0</v>
      </c>
      <c r="N19" s="312">
        <f t="shared" ca="1" si="2"/>
        <v>0</v>
      </c>
      <c r="O19" s="312">
        <f t="shared" ca="1" si="2"/>
        <v>0</v>
      </c>
      <c r="P19" s="312">
        <f t="shared" ca="1" si="2"/>
        <v>0</v>
      </c>
      <c r="Q19" s="312">
        <f t="shared" ca="1" si="2"/>
        <v>25224484.237428762</v>
      </c>
      <c r="R19" s="312">
        <f t="shared" ca="1" si="2"/>
        <v>0</v>
      </c>
      <c r="S19" s="312">
        <f t="shared" ca="1" si="3"/>
        <v>0</v>
      </c>
      <c r="T19" s="312">
        <f t="shared" ca="1" si="3"/>
        <v>550000</v>
      </c>
      <c r="U19" s="312">
        <f t="shared" ca="1" si="3"/>
        <v>0</v>
      </c>
      <c r="V19" s="312">
        <f t="shared" ca="1" si="3"/>
        <v>0</v>
      </c>
      <c r="W19" s="312">
        <f t="shared" ca="1" si="3"/>
        <v>0</v>
      </c>
      <c r="X19" s="312">
        <f t="shared" ca="1" si="3"/>
        <v>0</v>
      </c>
      <c r="Y19" s="312" t="e">
        <f t="shared" ca="1" si="3"/>
        <v>#REF!</v>
      </c>
      <c r="Z19" s="312" t="e">
        <f t="shared" ca="1" si="3"/>
        <v>#REF!</v>
      </c>
      <c r="AA19" s="312" t="e">
        <f t="shared" ca="1" si="3"/>
        <v>#REF!</v>
      </c>
      <c r="AB19" s="312" t="e">
        <f t="shared" ca="1" si="3"/>
        <v>#REF!</v>
      </c>
      <c r="AC19" s="312" t="e">
        <f t="shared" ca="1" si="3"/>
        <v>#REF!</v>
      </c>
      <c r="AD19" s="312" t="e">
        <f t="shared" ca="1" si="3"/>
        <v>#REF!</v>
      </c>
      <c r="AE19" s="312" t="e">
        <f t="shared" ca="1" si="3"/>
        <v>#REF!</v>
      </c>
      <c r="AF19" s="312" t="e">
        <f t="shared" ca="1" si="3"/>
        <v>#REF!</v>
      </c>
      <c r="AG19" s="312"/>
      <c r="AH19" s="312"/>
      <c r="AI19" s="312"/>
      <c r="AJ19" s="312"/>
    </row>
    <row r="20" spans="1:36">
      <c r="A20">
        <f t="shared" si="4"/>
        <v>2025</v>
      </c>
      <c r="B20" s="312">
        <f t="shared" ca="1" si="1"/>
        <v>0</v>
      </c>
      <c r="C20" s="312">
        <f t="shared" ca="1" si="2"/>
        <v>0</v>
      </c>
      <c r="D20" s="312">
        <f t="shared" ca="1" si="2"/>
        <v>0</v>
      </c>
      <c r="E20" s="312">
        <f t="shared" ca="1" si="2"/>
        <v>0</v>
      </c>
      <c r="F20" s="312">
        <f t="shared" ca="1" si="2"/>
        <v>0</v>
      </c>
      <c r="G20" s="312">
        <f t="shared" ca="1" si="2"/>
        <v>0</v>
      </c>
      <c r="H20" s="312">
        <f t="shared" ca="1" si="2"/>
        <v>0</v>
      </c>
      <c r="I20" s="312">
        <f t="shared" ca="1" si="2"/>
        <v>0</v>
      </c>
      <c r="J20" s="312">
        <f t="shared" ca="1" si="2"/>
        <v>0</v>
      </c>
      <c r="K20" s="312">
        <f t="shared" ca="1" si="2"/>
        <v>0</v>
      </c>
      <c r="L20" s="312">
        <f t="shared" ca="1" si="2"/>
        <v>0</v>
      </c>
      <c r="M20" s="312">
        <f t="shared" ca="1" si="2"/>
        <v>0</v>
      </c>
      <c r="N20" s="312">
        <f t="shared" ca="1" si="2"/>
        <v>0</v>
      </c>
      <c r="O20" s="312">
        <f t="shared" ca="1" si="2"/>
        <v>0</v>
      </c>
      <c r="P20" s="312">
        <f t="shared" ca="1" si="2"/>
        <v>0</v>
      </c>
      <c r="Q20" s="312">
        <f t="shared" ca="1" si="2"/>
        <v>25224484.237428762</v>
      </c>
      <c r="R20" s="312">
        <f t="shared" ref="R20:AF35" ca="1" si="5">MAX(OFFSET(INDIRECT(R$3),$A20-$A$5+$C$1,$C$2),0)</f>
        <v>0</v>
      </c>
      <c r="S20" s="312">
        <f t="shared" ca="1" si="3"/>
        <v>0</v>
      </c>
      <c r="T20" s="312">
        <f t="shared" ca="1" si="3"/>
        <v>550000</v>
      </c>
      <c r="U20" s="312">
        <f t="shared" ca="1" si="3"/>
        <v>0</v>
      </c>
      <c r="V20" s="312">
        <f t="shared" ca="1" si="3"/>
        <v>0</v>
      </c>
      <c r="W20" s="312">
        <f t="shared" ca="1" si="3"/>
        <v>0</v>
      </c>
      <c r="X20" s="312">
        <f t="shared" ca="1" si="3"/>
        <v>0</v>
      </c>
      <c r="Y20" s="312" t="e">
        <f t="shared" ca="1" si="3"/>
        <v>#REF!</v>
      </c>
      <c r="Z20" s="312" t="e">
        <f t="shared" ca="1" si="3"/>
        <v>#REF!</v>
      </c>
      <c r="AA20" s="312" t="e">
        <f t="shared" ca="1" si="3"/>
        <v>#REF!</v>
      </c>
      <c r="AB20" s="312" t="e">
        <f t="shared" ca="1" si="3"/>
        <v>#REF!</v>
      </c>
      <c r="AC20" s="312" t="e">
        <f t="shared" ca="1" si="3"/>
        <v>#REF!</v>
      </c>
      <c r="AD20" s="312" t="e">
        <f t="shared" ca="1" si="3"/>
        <v>#REF!</v>
      </c>
      <c r="AE20" s="312" t="e">
        <f t="shared" ca="1" si="3"/>
        <v>#REF!</v>
      </c>
      <c r="AF20" s="312" t="e">
        <f t="shared" ca="1" si="3"/>
        <v>#REF!</v>
      </c>
      <c r="AG20" s="312"/>
      <c r="AH20" s="312"/>
      <c r="AI20" s="312"/>
      <c r="AJ20" s="312"/>
    </row>
    <row r="21" spans="1:36">
      <c r="A21">
        <f t="shared" si="4"/>
        <v>2026</v>
      </c>
      <c r="B21" s="312">
        <f t="shared" ca="1" si="1"/>
        <v>0</v>
      </c>
      <c r="C21" s="312">
        <f t="shared" ref="C21:Q21" ca="1" si="6">MAX(OFFSET(INDIRECT(C$3),$A21-$A$5+$C$1,$C$2),0)</f>
        <v>0</v>
      </c>
      <c r="D21" s="312">
        <f t="shared" ca="1" si="6"/>
        <v>0</v>
      </c>
      <c r="E21" s="312">
        <f t="shared" ca="1" si="6"/>
        <v>0</v>
      </c>
      <c r="F21" s="312">
        <f t="shared" ca="1" si="6"/>
        <v>0</v>
      </c>
      <c r="G21" s="312">
        <f t="shared" ca="1" si="6"/>
        <v>0</v>
      </c>
      <c r="H21" s="312">
        <f t="shared" ca="1" si="6"/>
        <v>0</v>
      </c>
      <c r="I21" s="312">
        <f t="shared" ca="1" si="6"/>
        <v>0</v>
      </c>
      <c r="J21" s="312">
        <f t="shared" ca="1" si="6"/>
        <v>0</v>
      </c>
      <c r="K21" s="312">
        <f t="shared" ca="1" si="6"/>
        <v>0</v>
      </c>
      <c r="L21" s="312">
        <f t="shared" ca="1" si="6"/>
        <v>0</v>
      </c>
      <c r="M21" s="312">
        <f t="shared" ca="1" si="6"/>
        <v>0</v>
      </c>
      <c r="N21" s="312">
        <f t="shared" ca="1" si="6"/>
        <v>0</v>
      </c>
      <c r="O21" s="312">
        <f t="shared" ca="1" si="6"/>
        <v>0</v>
      </c>
      <c r="P21" s="312">
        <f t="shared" ca="1" si="6"/>
        <v>0</v>
      </c>
      <c r="Q21" s="312">
        <f t="shared" ca="1" si="6"/>
        <v>25224484.237428442</v>
      </c>
      <c r="R21" s="312">
        <f t="shared" ca="1" si="5"/>
        <v>0</v>
      </c>
      <c r="S21" s="312">
        <f t="shared" ca="1" si="5"/>
        <v>0</v>
      </c>
      <c r="T21" s="312">
        <f t="shared" ca="1" si="5"/>
        <v>550000</v>
      </c>
      <c r="U21" s="312">
        <f t="shared" ca="1" si="5"/>
        <v>0</v>
      </c>
      <c r="V21" s="312">
        <f t="shared" ca="1" si="5"/>
        <v>0</v>
      </c>
      <c r="W21" s="312">
        <f t="shared" ca="1" si="5"/>
        <v>0</v>
      </c>
      <c r="X21" s="312">
        <f t="shared" ca="1" si="5"/>
        <v>0</v>
      </c>
      <c r="Y21" s="312" t="e">
        <f t="shared" ca="1" si="5"/>
        <v>#REF!</v>
      </c>
      <c r="Z21" s="312" t="e">
        <f t="shared" ca="1" si="5"/>
        <v>#REF!</v>
      </c>
      <c r="AA21" s="312" t="e">
        <f t="shared" ca="1" si="5"/>
        <v>#REF!</v>
      </c>
      <c r="AB21" s="312" t="e">
        <f t="shared" ca="1" si="5"/>
        <v>#REF!</v>
      </c>
      <c r="AC21" s="312" t="e">
        <f t="shared" ca="1" si="5"/>
        <v>#REF!</v>
      </c>
      <c r="AD21" s="312" t="e">
        <f t="shared" ca="1" si="5"/>
        <v>#REF!</v>
      </c>
      <c r="AE21" s="312" t="e">
        <f t="shared" ca="1" si="5"/>
        <v>#REF!</v>
      </c>
      <c r="AF21" s="312" t="e">
        <f t="shared" ca="1" si="5"/>
        <v>#REF!</v>
      </c>
      <c r="AG21" s="312"/>
      <c r="AH21" s="312"/>
      <c r="AI21" s="312"/>
      <c r="AJ21" s="312"/>
    </row>
    <row r="22" spans="1:36">
      <c r="A22">
        <f t="shared" si="4"/>
        <v>2027</v>
      </c>
      <c r="B22" s="312">
        <f t="shared" ref="B22:Q37" ca="1" si="7">MAX(OFFSET(INDIRECT(B$3),$A22-$A$5+$C$1,$C$2),0)</f>
        <v>0</v>
      </c>
      <c r="C22" s="312">
        <f t="shared" ca="1" si="7"/>
        <v>0</v>
      </c>
      <c r="D22" s="312">
        <f t="shared" ca="1" si="7"/>
        <v>0</v>
      </c>
      <c r="E22" s="312">
        <f t="shared" ca="1" si="7"/>
        <v>0</v>
      </c>
      <c r="F22" s="312">
        <f t="shared" ca="1" si="7"/>
        <v>0</v>
      </c>
      <c r="G22" s="312">
        <f t="shared" ca="1" si="7"/>
        <v>0</v>
      </c>
      <c r="H22" s="312">
        <f t="shared" ca="1" si="7"/>
        <v>0</v>
      </c>
      <c r="I22" s="312">
        <f t="shared" ca="1" si="7"/>
        <v>0</v>
      </c>
      <c r="J22" s="312">
        <f t="shared" ca="1" si="7"/>
        <v>0</v>
      </c>
      <c r="K22" s="312">
        <f t="shared" ca="1" si="7"/>
        <v>0</v>
      </c>
      <c r="L22" s="312">
        <f t="shared" ca="1" si="7"/>
        <v>0</v>
      </c>
      <c r="M22" s="312">
        <f t="shared" ca="1" si="7"/>
        <v>0</v>
      </c>
      <c r="N22" s="312">
        <f t="shared" ca="1" si="7"/>
        <v>0</v>
      </c>
      <c r="O22" s="312">
        <f t="shared" ca="1" si="7"/>
        <v>0</v>
      </c>
      <c r="P22" s="312">
        <f t="shared" ca="1" si="7"/>
        <v>0</v>
      </c>
      <c r="Q22" s="312">
        <f t="shared" ca="1" si="7"/>
        <v>25224484.237428762</v>
      </c>
      <c r="R22" s="312">
        <f t="shared" ca="1" si="5"/>
        <v>0</v>
      </c>
      <c r="S22" s="312">
        <f t="shared" ca="1" si="5"/>
        <v>0</v>
      </c>
      <c r="T22" s="312">
        <f t="shared" ca="1" si="5"/>
        <v>550000</v>
      </c>
      <c r="U22" s="312">
        <f t="shared" ca="1" si="5"/>
        <v>0</v>
      </c>
      <c r="V22" s="312">
        <f t="shared" ca="1" si="5"/>
        <v>0</v>
      </c>
      <c r="W22" s="312">
        <f t="shared" ca="1" si="5"/>
        <v>0</v>
      </c>
      <c r="X22" s="312">
        <f t="shared" ca="1" si="5"/>
        <v>0</v>
      </c>
      <c r="Y22" s="312" t="e">
        <f t="shared" ca="1" si="5"/>
        <v>#REF!</v>
      </c>
      <c r="Z22" s="312" t="e">
        <f t="shared" ca="1" si="5"/>
        <v>#REF!</v>
      </c>
      <c r="AA22" s="312" t="e">
        <f t="shared" ca="1" si="5"/>
        <v>#REF!</v>
      </c>
      <c r="AB22" s="312" t="e">
        <f t="shared" ca="1" si="5"/>
        <v>#REF!</v>
      </c>
      <c r="AC22" s="312" t="e">
        <f t="shared" ca="1" si="5"/>
        <v>#REF!</v>
      </c>
      <c r="AD22" s="312" t="e">
        <f t="shared" ca="1" si="5"/>
        <v>#REF!</v>
      </c>
      <c r="AE22" s="312" t="e">
        <f t="shared" ca="1" si="5"/>
        <v>#REF!</v>
      </c>
      <c r="AF22" s="312" t="e">
        <f t="shared" ca="1" si="5"/>
        <v>#REF!</v>
      </c>
      <c r="AG22" s="312"/>
      <c r="AH22" s="312"/>
      <c r="AI22" s="312"/>
      <c r="AJ22" s="312"/>
    </row>
    <row r="23" spans="1:36">
      <c r="A23">
        <f t="shared" si="4"/>
        <v>2028</v>
      </c>
      <c r="B23" s="312">
        <f t="shared" ca="1" si="7"/>
        <v>0</v>
      </c>
      <c r="C23" s="312">
        <f t="shared" ca="1" si="7"/>
        <v>0</v>
      </c>
      <c r="D23" s="312">
        <f t="shared" ca="1" si="7"/>
        <v>0</v>
      </c>
      <c r="E23" s="312">
        <f t="shared" ca="1" si="7"/>
        <v>0</v>
      </c>
      <c r="F23" s="312">
        <f t="shared" ca="1" si="7"/>
        <v>0</v>
      </c>
      <c r="G23" s="312">
        <f t="shared" ca="1" si="7"/>
        <v>0</v>
      </c>
      <c r="H23" s="312">
        <f t="shared" ca="1" si="7"/>
        <v>0</v>
      </c>
      <c r="I23" s="312">
        <f t="shared" ca="1" si="7"/>
        <v>0</v>
      </c>
      <c r="J23" s="312">
        <f t="shared" ca="1" si="7"/>
        <v>0</v>
      </c>
      <c r="K23" s="312">
        <f t="shared" ca="1" si="7"/>
        <v>0</v>
      </c>
      <c r="L23" s="312">
        <f t="shared" ca="1" si="7"/>
        <v>0</v>
      </c>
      <c r="M23" s="312">
        <f t="shared" ca="1" si="7"/>
        <v>0</v>
      </c>
      <c r="N23" s="312">
        <f t="shared" ca="1" si="7"/>
        <v>0</v>
      </c>
      <c r="O23" s="312">
        <f t="shared" ca="1" si="7"/>
        <v>0</v>
      </c>
      <c r="P23" s="312">
        <f t="shared" ca="1" si="7"/>
        <v>0</v>
      </c>
      <c r="Q23" s="312">
        <f t="shared" ca="1" si="7"/>
        <v>25224484.237428442</v>
      </c>
      <c r="R23" s="312">
        <f t="shared" ca="1" si="5"/>
        <v>0</v>
      </c>
      <c r="S23" s="312">
        <f t="shared" ca="1" si="5"/>
        <v>0</v>
      </c>
      <c r="T23" s="312">
        <f t="shared" ca="1" si="5"/>
        <v>550000</v>
      </c>
      <c r="U23" s="312">
        <f t="shared" ca="1" si="5"/>
        <v>0</v>
      </c>
      <c r="V23" s="312">
        <f t="shared" ca="1" si="5"/>
        <v>0</v>
      </c>
      <c r="W23" s="312">
        <f t="shared" ca="1" si="5"/>
        <v>0</v>
      </c>
      <c r="X23" s="312">
        <f t="shared" ca="1" si="5"/>
        <v>0</v>
      </c>
      <c r="Y23" s="312" t="e">
        <f t="shared" ca="1" si="5"/>
        <v>#REF!</v>
      </c>
      <c r="Z23" s="312" t="e">
        <f t="shared" ca="1" si="5"/>
        <v>#REF!</v>
      </c>
      <c r="AA23" s="312" t="e">
        <f t="shared" ca="1" si="5"/>
        <v>#REF!</v>
      </c>
      <c r="AB23" s="312" t="e">
        <f t="shared" ca="1" si="5"/>
        <v>#REF!</v>
      </c>
      <c r="AC23" s="312" t="e">
        <f t="shared" ca="1" si="5"/>
        <v>#REF!</v>
      </c>
      <c r="AD23" s="312" t="e">
        <f t="shared" ca="1" si="5"/>
        <v>#REF!</v>
      </c>
      <c r="AE23" s="312" t="e">
        <f t="shared" ca="1" si="5"/>
        <v>#REF!</v>
      </c>
      <c r="AF23" s="312" t="e">
        <f t="shared" ca="1" si="5"/>
        <v>#REF!</v>
      </c>
      <c r="AG23" s="312"/>
      <c r="AH23" s="312"/>
      <c r="AI23" s="312"/>
      <c r="AJ23" s="312"/>
    </row>
    <row r="24" spans="1:36">
      <c r="A24">
        <f t="shared" si="4"/>
        <v>2029</v>
      </c>
      <c r="B24" s="312">
        <f t="shared" ca="1" si="7"/>
        <v>0</v>
      </c>
      <c r="C24" s="312">
        <f t="shared" ca="1" si="7"/>
        <v>0</v>
      </c>
      <c r="D24" s="312">
        <f t="shared" ca="1" si="7"/>
        <v>0</v>
      </c>
      <c r="E24" s="312">
        <f t="shared" ca="1" si="7"/>
        <v>0</v>
      </c>
      <c r="F24" s="312">
        <f t="shared" ca="1" si="7"/>
        <v>0</v>
      </c>
      <c r="G24" s="312">
        <f t="shared" ca="1" si="7"/>
        <v>0</v>
      </c>
      <c r="H24" s="312">
        <f t="shared" ca="1" si="7"/>
        <v>0</v>
      </c>
      <c r="I24" s="312">
        <f t="shared" ca="1" si="7"/>
        <v>0</v>
      </c>
      <c r="J24" s="312">
        <f t="shared" ca="1" si="7"/>
        <v>0</v>
      </c>
      <c r="K24" s="312">
        <f t="shared" ca="1" si="7"/>
        <v>0</v>
      </c>
      <c r="L24" s="312">
        <f t="shared" ca="1" si="7"/>
        <v>0</v>
      </c>
      <c r="M24" s="312">
        <f t="shared" ca="1" si="7"/>
        <v>0</v>
      </c>
      <c r="N24" s="312">
        <f t="shared" ca="1" si="7"/>
        <v>0</v>
      </c>
      <c r="O24" s="312">
        <f t="shared" ca="1" si="7"/>
        <v>0</v>
      </c>
      <c r="P24" s="312">
        <f t="shared" ca="1" si="7"/>
        <v>0</v>
      </c>
      <c r="Q24" s="312">
        <f t="shared" ca="1" si="7"/>
        <v>25224484.237428762</v>
      </c>
      <c r="R24" s="312">
        <f t="shared" ca="1" si="5"/>
        <v>0</v>
      </c>
      <c r="S24" s="312">
        <f t="shared" ca="1" si="5"/>
        <v>0</v>
      </c>
      <c r="T24" s="312">
        <f t="shared" ca="1" si="5"/>
        <v>550000</v>
      </c>
      <c r="U24" s="312">
        <f t="shared" ca="1" si="5"/>
        <v>0</v>
      </c>
      <c r="V24" s="312">
        <f t="shared" ca="1" si="5"/>
        <v>0</v>
      </c>
      <c r="W24" s="312">
        <f t="shared" ca="1" si="5"/>
        <v>0</v>
      </c>
      <c r="X24" s="312">
        <f t="shared" ca="1" si="5"/>
        <v>0</v>
      </c>
      <c r="Y24" s="312" t="e">
        <f t="shared" ca="1" si="5"/>
        <v>#REF!</v>
      </c>
      <c r="Z24" s="312" t="e">
        <f t="shared" ca="1" si="5"/>
        <v>#REF!</v>
      </c>
      <c r="AA24" s="312" t="e">
        <f t="shared" ca="1" si="5"/>
        <v>#REF!</v>
      </c>
      <c r="AB24" s="312" t="e">
        <f t="shared" ca="1" si="5"/>
        <v>#REF!</v>
      </c>
      <c r="AC24" s="312" t="e">
        <f t="shared" ca="1" si="5"/>
        <v>#REF!</v>
      </c>
      <c r="AD24" s="312" t="e">
        <f t="shared" ca="1" si="5"/>
        <v>#REF!</v>
      </c>
      <c r="AE24" s="312" t="e">
        <f t="shared" ca="1" si="5"/>
        <v>#REF!</v>
      </c>
      <c r="AF24" s="312" t="e">
        <f t="shared" ca="1" si="5"/>
        <v>#REF!</v>
      </c>
      <c r="AG24" s="312"/>
      <c r="AH24" s="312"/>
      <c r="AI24" s="312"/>
      <c r="AJ24" s="312"/>
    </row>
    <row r="25" spans="1:36">
      <c r="A25">
        <f t="shared" si="4"/>
        <v>2030</v>
      </c>
      <c r="B25" s="312">
        <f t="shared" ca="1" si="7"/>
        <v>0</v>
      </c>
      <c r="C25" s="312">
        <f t="shared" ca="1" si="7"/>
        <v>0</v>
      </c>
      <c r="D25" s="312">
        <f t="shared" ca="1" si="7"/>
        <v>0</v>
      </c>
      <c r="E25" s="312">
        <f t="shared" ca="1" si="7"/>
        <v>0</v>
      </c>
      <c r="F25" s="312">
        <f t="shared" ca="1" si="7"/>
        <v>0</v>
      </c>
      <c r="G25" s="312">
        <f t="shared" ca="1" si="7"/>
        <v>0</v>
      </c>
      <c r="H25" s="312">
        <f t="shared" ca="1" si="7"/>
        <v>0</v>
      </c>
      <c r="I25" s="312">
        <f t="shared" ca="1" si="7"/>
        <v>0</v>
      </c>
      <c r="J25" s="312">
        <f t="shared" ca="1" si="7"/>
        <v>0</v>
      </c>
      <c r="K25" s="312">
        <f t="shared" ca="1" si="7"/>
        <v>0</v>
      </c>
      <c r="L25" s="312">
        <f t="shared" ca="1" si="7"/>
        <v>0</v>
      </c>
      <c r="M25" s="312">
        <f t="shared" ca="1" si="7"/>
        <v>0</v>
      </c>
      <c r="N25" s="312">
        <f t="shared" ca="1" si="7"/>
        <v>0</v>
      </c>
      <c r="O25" s="312">
        <f t="shared" ca="1" si="7"/>
        <v>0</v>
      </c>
      <c r="P25" s="312">
        <f t="shared" ca="1" si="7"/>
        <v>0</v>
      </c>
      <c r="Q25" s="312">
        <f t="shared" ca="1" si="7"/>
        <v>25224484.237428442</v>
      </c>
      <c r="R25" s="312">
        <f t="shared" ca="1" si="5"/>
        <v>0</v>
      </c>
      <c r="S25" s="312">
        <f t="shared" ca="1" si="5"/>
        <v>0</v>
      </c>
      <c r="T25" s="312">
        <f t="shared" ca="1" si="5"/>
        <v>550000</v>
      </c>
      <c r="U25" s="312">
        <f t="shared" ca="1" si="5"/>
        <v>0</v>
      </c>
      <c r="V25" s="312">
        <f t="shared" ca="1" si="5"/>
        <v>0</v>
      </c>
      <c r="W25" s="312">
        <f t="shared" ca="1" si="5"/>
        <v>0</v>
      </c>
      <c r="X25" s="312">
        <f t="shared" ca="1" si="5"/>
        <v>0</v>
      </c>
      <c r="Y25" s="312" t="e">
        <f t="shared" ca="1" si="5"/>
        <v>#REF!</v>
      </c>
      <c r="Z25" s="312" t="e">
        <f t="shared" ca="1" si="5"/>
        <v>#REF!</v>
      </c>
      <c r="AA25" s="312" t="e">
        <f t="shared" ca="1" si="5"/>
        <v>#REF!</v>
      </c>
      <c r="AB25" s="312" t="e">
        <f t="shared" ca="1" si="5"/>
        <v>#REF!</v>
      </c>
      <c r="AC25" s="312" t="e">
        <f t="shared" ca="1" si="5"/>
        <v>#REF!</v>
      </c>
      <c r="AD25" s="312" t="e">
        <f t="shared" ca="1" si="5"/>
        <v>#REF!</v>
      </c>
      <c r="AE25" s="312" t="e">
        <f t="shared" ca="1" si="5"/>
        <v>#REF!</v>
      </c>
      <c r="AF25" s="312" t="e">
        <f t="shared" ca="1" si="5"/>
        <v>#REF!</v>
      </c>
      <c r="AG25" s="312"/>
      <c r="AH25" s="312"/>
      <c r="AI25" s="312"/>
      <c r="AJ25" s="312"/>
    </row>
    <row r="26" spans="1:36">
      <c r="A26">
        <f t="shared" si="4"/>
        <v>2031</v>
      </c>
      <c r="B26" s="312">
        <f t="shared" ca="1" si="7"/>
        <v>0</v>
      </c>
      <c r="C26" s="312">
        <f t="shared" ca="1" si="7"/>
        <v>0</v>
      </c>
      <c r="D26" s="312">
        <f t="shared" ca="1" si="7"/>
        <v>0</v>
      </c>
      <c r="E26" s="312">
        <f t="shared" ca="1" si="7"/>
        <v>0</v>
      </c>
      <c r="F26" s="312">
        <f t="shared" ca="1" si="7"/>
        <v>0</v>
      </c>
      <c r="G26" s="312">
        <f t="shared" ca="1" si="7"/>
        <v>0</v>
      </c>
      <c r="H26" s="312">
        <f t="shared" ca="1" si="7"/>
        <v>0</v>
      </c>
      <c r="I26" s="312">
        <f t="shared" ca="1" si="7"/>
        <v>0</v>
      </c>
      <c r="J26" s="312">
        <f t="shared" ca="1" si="7"/>
        <v>0</v>
      </c>
      <c r="K26" s="312">
        <f t="shared" ca="1" si="7"/>
        <v>0</v>
      </c>
      <c r="L26" s="312">
        <f t="shared" ca="1" si="7"/>
        <v>0</v>
      </c>
      <c r="M26" s="312">
        <f t="shared" ca="1" si="7"/>
        <v>0</v>
      </c>
      <c r="N26" s="312">
        <f t="shared" ca="1" si="7"/>
        <v>0</v>
      </c>
      <c r="O26" s="312">
        <f t="shared" ca="1" si="7"/>
        <v>0</v>
      </c>
      <c r="P26" s="312">
        <f t="shared" ca="1" si="7"/>
        <v>0</v>
      </c>
      <c r="Q26" s="312">
        <f t="shared" ca="1" si="7"/>
        <v>25224484.237428762</v>
      </c>
      <c r="R26" s="312">
        <f t="shared" ca="1" si="5"/>
        <v>0</v>
      </c>
      <c r="S26" s="312">
        <f t="shared" ca="1" si="5"/>
        <v>0</v>
      </c>
      <c r="T26" s="312">
        <f t="shared" ca="1" si="5"/>
        <v>550000</v>
      </c>
      <c r="U26" s="312">
        <f t="shared" ca="1" si="5"/>
        <v>0</v>
      </c>
      <c r="V26" s="312">
        <f t="shared" ca="1" si="5"/>
        <v>0</v>
      </c>
      <c r="W26" s="312">
        <f t="shared" ca="1" si="5"/>
        <v>0</v>
      </c>
      <c r="X26" s="312">
        <f t="shared" ca="1" si="5"/>
        <v>0</v>
      </c>
      <c r="Y26" s="312" t="e">
        <f t="shared" ca="1" si="5"/>
        <v>#REF!</v>
      </c>
      <c r="Z26" s="312" t="e">
        <f t="shared" ca="1" si="5"/>
        <v>#REF!</v>
      </c>
      <c r="AA26" s="312" t="e">
        <f t="shared" ca="1" si="5"/>
        <v>#REF!</v>
      </c>
      <c r="AB26" s="312" t="e">
        <f t="shared" ca="1" si="5"/>
        <v>#REF!</v>
      </c>
      <c r="AC26" s="312" t="e">
        <f t="shared" ca="1" si="5"/>
        <v>#REF!</v>
      </c>
      <c r="AD26" s="312" t="e">
        <f t="shared" ca="1" si="5"/>
        <v>#REF!</v>
      </c>
      <c r="AE26" s="312" t="e">
        <f t="shared" ca="1" si="5"/>
        <v>#REF!</v>
      </c>
      <c r="AF26" s="312" t="e">
        <f t="shared" ca="1" si="5"/>
        <v>#REF!</v>
      </c>
      <c r="AG26" s="312"/>
      <c r="AH26" s="312"/>
      <c r="AI26" s="312"/>
      <c r="AJ26" s="312"/>
    </row>
    <row r="27" spans="1:36">
      <c r="A27">
        <f t="shared" si="4"/>
        <v>2032</v>
      </c>
      <c r="B27" s="312">
        <f t="shared" ca="1" si="7"/>
        <v>0</v>
      </c>
      <c r="C27" s="312">
        <f t="shared" ca="1" si="7"/>
        <v>0</v>
      </c>
      <c r="D27" s="312">
        <f t="shared" ca="1" si="7"/>
        <v>0</v>
      </c>
      <c r="E27" s="312">
        <f t="shared" ca="1" si="7"/>
        <v>0</v>
      </c>
      <c r="F27" s="312">
        <f t="shared" ca="1" si="7"/>
        <v>0</v>
      </c>
      <c r="G27" s="312">
        <f t="shared" ca="1" si="7"/>
        <v>0</v>
      </c>
      <c r="H27" s="312">
        <f t="shared" ca="1" si="7"/>
        <v>0</v>
      </c>
      <c r="I27" s="312">
        <f t="shared" ca="1" si="7"/>
        <v>0</v>
      </c>
      <c r="J27" s="312">
        <f t="shared" ca="1" si="7"/>
        <v>0</v>
      </c>
      <c r="K27" s="312">
        <f t="shared" ca="1" si="7"/>
        <v>0</v>
      </c>
      <c r="L27" s="312">
        <f t="shared" ca="1" si="7"/>
        <v>0</v>
      </c>
      <c r="M27" s="312">
        <f t="shared" ca="1" si="7"/>
        <v>0</v>
      </c>
      <c r="N27" s="312">
        <f t="shared" ca="1" si="7"/>
        <v>0</v>
      </c>
      <c r="O27" s="312">
        <f t="shared" ca="1" si="7"/>
        <v>0</v>
      </c>
      <c r="P27" s="312">
        <f t="shared" ca="1" si="7"/>
        <v>0</v>
      </c>
      <c r="Q27" s="312">
        <f t="shared" ca="1" si="7"/>
        <v>25224484.237428762</v>
      </c>
      <c r="R27" s="312">
        <f t="shared" ca="1" si="5"/>
        <v>0</v>
      </c>
      <c r="S27" s="312">
        <f t="shared" ca="1" si="5"/>
        <v>0</v>
      </c>
      <c r="T27" s="312">
        <f t="shared" ca="1" si="5"/>
        <v>550000</v>
      </c>
      <c r="U27" s="312">
        <f t="shared" ca="1" si="5"/>
        <v>0</v>
      </c>
      <c r="V27" s="312">
        <f t="shared" ca="1" si="5"/>
        <v>0</v>
      </c>
      <c r="W27" s="312">
        <f t="shared" ca="1" si="5"/>
        <v>0</v>
      </c>
      <c r="X27" s="312">
        <f t="shared" ca="1" si="5"/>
        <v>0</v>
      </c>
      <c r="Y27" s="312" t="e">
        <f t="shared" ca="1" si="5"/>
        <v>#REF!</v>
      </c>
      <c r="Z27" s="312" t="e">
        <f t="shared" ca="1" si="5"/>
        <v>#REF!</v>
      </c>
      <c r="AA27" s="312" t="e">
        <f t="shared" ca="1" si="5"/>
        <v>#REF!</v>
      </c>
      <c r="AB27" s="312" t="e">
        <f t="shared" ca="1" si="5"/>
        <v>#REF!</v>
      </c>
      <c r="AC27" s="312" t="e">
        <f t="shared" ca="1" si="5"/>
        <v>#REF!</v>
      </c>
      <c r="AD27" s="312" t="e">
        <f t="shared" ca="1" si="5"/>
        <v>#REF!</v>
      </c>
      <c r="AE27" s="312" t="e">
        <f t="shared" ca="1" si="5"/>
        <v>#REF!</v>
      </c>
      <c r="AF27" s="312" t="e">
        <f t="shared" ca="1" si="5"/>
        <v>#REF!</v>
      </c>
      <c r="AG27" s="312"/>
      <c r="AH27" s="312"/>
      <c r="AI27" s="312"/>
      <c r="AJ27" s="312"/>
    </row>
    <row r="28" spans="1:36">
      <c r="A28">
        <f t="shared" si="4"/>
        <v>2033</v>
      </c>
      <c r="B28" s="312">
        <f t="shared" ca="1" si="7"/>
        <v>0</v>
      </c>
      <c r="C28" s="312">
        <f t="shared" ca="1" si="7"/>
        <v>0</v>
      </c>
      <c r="D28" s="312">
        <f t="shared" ca="1" si="7"/>
        <v>0</v>
      </c>
      <c r="E28" s="312">
        <f t="shared" ca="1" si="7"/>
        <v>0</v>
      </c>
      <c r="F28" s="312">
        <f t="shared" ca="1" si="7"/>
        <v>0</v>
      </c>
      <c r="G28" s="312">
        <f t="shared" ca="1" si="7"/>
        <v>0</v>
      </c>
      <c r="H28" s="312">
        <f t="shared" ca="1" si="7"/>
        <v>0</v>
      </c>
      <c r="I28" s="312">
        <f t="shared" ca="1" si="7"/>
        <v>0</v>
      </c>
      <c r="J28" s="312">
        <f t="shared" ca="1" si="7"/>
        <v>0</v>
      </c>
      <c r="K28" s="312">
        <f t="shared" ca="1" si="7"/>
        <v>0</v>
      </c>
      <c r="L28" s="312">
        <f t="shared" ca="1" si="7"/>
        <v>0</v>
      </c>
      <c r="M28" s="312">
        <f t="shared" ca="1" si="7"/>
        <v>0</v>
      </c>
      <c r="N28" s="312">
        <f t="shared" ca="1" si="7"/>
        <v>0</v>
      </c>
      <c r="O28" s="312">
        <f t="shared" ca="1" si="7"/>
        <v>0</v>
      </c>
      <c r="P28" s="312">
        <f t="shared" ca="1" si="7"/>
        <v>0</v>
      </c>
      <c r="Q28" s="312">
        <f t="shared" ca="1" si="7"/>
        <v>25224484.237428442</v>
      </c>
      <c r="R28" s="312">
        <f t="shared" ca="1" si="5"/>
        <v>0</v>
      </c>
      <c r="S28" s="312">
        <f t="shared" ca="1" si="5"/>
        <v>0</v>
      </c>
      <c r="T28" s="312">
        <f t="shared" ca="1" si="5"/>
        <v>550000</v>
      </c>
      <c r="U28" s="312">
        <f t="shared" ca="1" si="5"/>
        <v>0</v>
      </c>
      <c r="V28" s="312">
        <f t="shared" ca="1" si="5"/>
        <v>0</v>
      </c>
      <c r="W28" s="312">
        <f t="shared" ca="1" si="5"/>
        <v>0</v>
      </c>
      <c r="X28" s="312">
        <f t="shared" ca="1" si="5"/>
        <v>0</v>
      </c>
      <c r="Y28" s="312" t="e">
        <f t="shared" ca="1" si="5"/>
        <v>#REF!</v>
      </c>
      <c r="Z28" s="312" t="e">
        <f t="shared" ca="1" si="5"/>
        <v>#REF!</v>
      </c>
      <c r="AA28" s="312" t="e">
        <f t="shared" ca="1" si="5"/>
        <v>#REF!</v>
      </c>
      <c r="AB28" s="312" t="e">
        <f t="shared" ca="1" si="5"/>
        <v>#REF!</v>
      </c>
      <c r="AC28" s="312" t="e">
        <f t="shared" ca="1" si="5"/>
        <v>#REF!</v>
      </c>
      <c r="AD28" s="312" t="e">
        <f t="shared" ca="1" si="5"/>
        <v>#REF!</v>
      </c>
      <c r="AE28" s="312" t="e">
        <f t="shared" ca="1" si="5"/>
        <v>#REF!</v>
      </c>
      <c r="AF28" s="312" t="e">
        <f t="shared" ca="1" si="5"/>
        <v>#REF!</v>
      </c>
      <c r="AG28" s="312"/>
      <c r="AH28" s="312"/>
      <c r="AI28" s="312"/>
      <c r="AJ28" s="312"/>
    </row>
    <row r="29" spans="1:36">
      <c r="A29">
        <f t="shared" si="4"/>
        <v>2034</v>
      </c>
      <c r="B29" s="312">
        <f t="shared" ca="1" si="7"/>
        <v>0</v>
      </c>
      <c r="C29" s="312">
        <f t="shared" ca="1" si="7"/>
        <v>0</v>
      </c>
      <c r="D29" s="312">
        <f t="shared" ca="1" si="7"/>
        <v>0</v>
      </c>
      <c r="E29" s="312">
        <f t="shared" ca="1" si="7"/>
        <v>0</v>
      </c>
      <c r="F29" s="312">
        <f t="shared" ca="1" si="7"/>
        <v>0</v>
      </c>
      <c r="G29" s="312">
        <f t="shared" ca="1" si="7"/>
        <v>0</v>
      </c>
      <c r="H29" s="312">
        <f t="shared" ca="1" si="7"/>
        <v>0</v>
      </c>
      <c r="I29" s="312">
        <f t="shared" ca="1" si="7"/>
        <v>0</v>
      </c>
      <c r="J29" s="312">
        <f t="shared" ca="1" si="7"/>
        <v>0</v>
      </c>
      <c r="K29" s="312">
        <f t="shared" ca="1" si="7"/>
        <v>0</v>
      </c>
      <c r="L29" s="312">
        <f t="shared" ca="1" si="7"/>
        <v>0</v>
      </c>
      <c r="M29" s="312">
        <f t="shared" ca="1" si="7"/>
        <v>0</v>
      </c>
      <c r="N29" s="312">
        <f t="shared" ca="1" si="7"/>
        <v>0</v>
      </c>
      <c r="O29" s="312">
        <f t="shared" ca="1" si="7"/>
        <v>0</v>
      </c>
      <c r="P29" s="312">
        <f t="shared" ca="1" si="7"/>
        <v>0</v>
      </c>
      <c r="Q29" s="312">
        <f t="shared" ca="1" si="7"/>
        <v>25224484.237428762</v>
      </c>
      <c r="R29" s="312">
        <f t="shared" ca="1" si="5"/>
        <v>0</v>
      </c>
      <c r="S29" s="312">
        <f t="shared" ca="1" si="5"/>
        <v>0</v>
      </c>
      <c r="T29" s="312">
        <f t="shared" ca="1" si="5"/>
        <v>0</v>
      </c>
      <c r="U29" s="312">
        <f t="shared" ca="1" si="5"/>
        <v>0</v>
      </c>
      <c r="V29" s="312">
        <f t="shared" ca="1" si="5"/>
        <v>0</v>
      </c>
      <c r="W29" s="312">
        <f t="shared" ca="1" si="5"/>
        <v>0</v>
      </c>
      <c r="X29" s="312">
        <f t="shared" ca="1" si="5"/>
        <v>0</v>
      </c>
      <c r="Y29" s="312" t="e">
        <f t="shared" ca="1" si="5"/>
        <v>#REF!</v>
      </c>
      <c r="Z29" s="312" t="e">
        <f t="shared" ca="1" si="5"/>
        <v>#REF!</v>
      </c>
      <c r="AA29" s="312" t="e">
        <f t="shared" ca="1" si="5"/>
        <v>#REF!</v>
      </c>
      <c r="AB29" s="312" t="e">
        <f t="shared" ca="1" si="5"/>
        <v>#REF!</v>
      </c>
      <c r="AC29" s="312" t="e">
        <f t="shared" ca="1" si="5"/>
        <v>#REF!</v>
      </c>
      <c r="AD29" s="312" t="e">
        <f t="shared" ca="1" si="5"/>
        <v>#REF!</v>
      </c>
      <c r="AE29" s="312" t="e">
        <f t="shared" ca="1" si="5"/>
        <v>#REF!</v>
      </c>
      <c r="AF29" s="312" t="e">
        <f t="shared" ca="1" si="5"/>
        <v>#REF!</v>
      </c>
      <c r="AG29" s="312"/>
      <c r="AH29" s="312"/>
      <c r="AI29" s="312"/>
      <c r="AJ29" s="312"/>
    </row>
    <row r="30" spans="1:36">
      <c r="A30">
        <f t="shared" si="4"/>
        <v>2035</v>
      </c>
      <c r="B30" s="312">
        <f t="shared" ca="1" si="7"/>
        <v>0</v>
      </c>
      <c r="C30" s="312">
        <f t="shared" ca="1" si="7"/>
        <v>0</v>
      </c>
      <c r="D30" s="312">
        <f t="shared" ca="1" si="7"/>
        <v>0</v>
      </c>
      <c r="E30" s="312">
        <f t="shared" ca="1" si="7"/>
        <v>0</v>
      </c>
      <c r="F30" s="312">
        <f t="shared" ca="1" si="7"/>
        <v>0</v>
      </c>
      <c r="G30" s="312">
        <f t="shared" ca="1" si="7"/>
        <v>0</v>
      </c>
      <c r="H30" s="312">
        <f t="shared" ca="1" si="7"/>
        <v>0</v>
      </c>
      <c r="I30" s="312">
        <f t="shared" ca="1" si="7"/>
        <v>0</v>
      </c>
      <c r="J30" s="312">
        <f t="shared" ca="1" si="7"/>
        <v>0</v>
      </c>
      <c r="K30" s="312">
        <f t="shared" ca="1" si="7"/>
        <v>0</v>
      </c>
      <c r="L30" s="312">
        <f t="shared" ca="1" si="7"/>
        <v>0</v>
      </c>
      <c r="M30" s="312">
        <f t="shared" ca="1" si="7"/>
        <v>0</v>
      </c>
      <c r="N30" s="312">
        <f t="shared" ca="1" si="7"/>
        <v>0</v>
      </c>
      <c r="O30" s="312">
        <f t="shared" ca="1" si="7"/>
        <v>0</v>
      </c>
      <c r="P30" s="312">
        <f t="shared" ca="1" si="7"/>
        <v>0</v>
      </c>
      <c r="Q30" s="312">
        <f t="shared" ca="1" si="7"/>
        <v>25224484.237428762</v>
      </c>
      <c r="R30" s="312">
        <f t="shared" ca="1" si="5"/>
        <v>0</v>
      </c>
      <c r="S30" s="312">
        <f t="shared" ca="1" si="5"/>
        <v>0</v>
      </c>
      <c r="T30" s="312">
        <f t="shared" ca="1" si="5"/>
        <v>0</v>
      </c>
      <c r="U30" s="312">
        <f t="shared" ca="1" si="5"/>
        <v>0</v>
      </c>
      <c r="V30" s="312">
        <f t="shared" ca="1" si="5"/>
        <v>0</v>
      </c>
      <c r="W30" s="312">
        <f t="shared" ca="1" si="5"/>
        <v>0</v>
      </c>
      <c r="X30" s="312">
        <f t="shared" ca="1" si="5"/>
        <v>0</v>
      </c>
      <c r="Y30" s="312" t="e">
        <f t="shared" ca="1" si="5"/>
        <v>#REF!</v>
      </c>
      <c r="Z30" s="312" t="e">
        <f t="shared" ca="1" si="5"/>
        <v>#REF!</v>
      </c>
      <c r="AA30" s="312" t="e">
        <f t="shared" ca="1" si="5"/>
        <v>#REF!</v>
      </c>
      <c r="AB30" s="312" t="e">
        <f t="shared" ca="1" si="5"/>
        <v>#REF!</v>
      </c>
      <c r="AC30" s="312" t="e">
        <f t="shared" ca="1" si="5"/>
        <v>#REF!</v>
      </c>
      <c r="AD30" s="312" t="e">
        <f t="shared" ca="1" si="5"/>
        <v>#REF!</v>
      </c>
      <c r="AE30" s="312" t="e">
        <f t="shared" ca="1" si="5"/>
        <v>#REF!</v>
      </c>
      <c r="AF30" s="312" t="e">
        <f t="shared" ca="1" si="5"/>
        <v>#REF!</v>
      </c>
      <c r="AG30" s="312"/>
      <c r="AH30" s="312"/>
      <c r="AI30" s="312"/>
      <c r="AJ30" s="312"/>
    </row>
    <row r="31" spans="1:36">
      <c r="A31">
        <f t="shared" si="4"/>
        <v>2036</v>
      </c>
      <c r="B31" s="312">
        <f t="shared" ca="1" si="7"/>
        <v>0</v>
      </c>
      <c r="C31" s="312">
        <f t="shared" ca="1" si="7"/>
        <v>0</v>
      </c>
      <c r="D31" s="312">
        <f t="shared" ca="1" si="7"/>
        <v>0</v>
      </c>
      <c r="E31" s="312">
        <f t="shared" ca="1" si="7"/>
        <v>0</v>
      </c>
      <c r="F31" s="312">
        <f t="shared" ca="1" si="7"/>
        <v>0</v>
      </c>
      <c r="G31" s="312">
        <f t="shared" ca="1" si="7"/>
        <v>0</v>
      </c>
      <c r="H31" s="312">
        <f t="shared" ca="1" si="7"/>
        <v>0</v>
      </c>
      <c r="I31" s="312">
        <f t="shared" ca="1" si="7"/>
        <v>0</v>
      </c>
      <c r="J31" s="312">
        <f t="shared" ca="1" si="7"/>
        <v>0</v>
      </c>
      <c r="K31" s="312">
        <f t="shared" ca="1" si="7"/>
        <v>0</v>
      </c>
      <c r="L31" s="312">
        <f t="shared" ca="1" si="7"/>
        <v>0</v>
      </c>
      <c r="M31" s="312">
        <f t="shared" ca="1" si="7"/>
        <v>0</v>
      </c>
      <c r="N31" s="312">
        <f t="shared" ca="1" si="7"/>
        <v>0</v>
      </c>
      <c r="O31" s="312">
        <f t="shared" ca="1" si="7"/>
        <v>0</v>
      </c>
      <c r="P31" s="312">
        <f t="shared" ca="1" si="7"/>
        <v>0</v>
      </c>
      <c r="Q31" s="312">
        <f t="shared" ca="1" si="7"/>
        <v>25224484.237428442</v>
      </c>
      <c r="R31" s="312">
        <f t="shared" ca="1" si="5"/>
        <v>0</v>
      </c>
      <c r="S31" s="312">
        <f t="shared" ca="1" si="5"/>
        <v>0</v>
      </c>
      <c r="T31" s="312">
        <f t="shared" ca="1" si="5"/>
        <v>0</v>
      </c>
      <c r="U31" s="312">
        <f t="shared" ca="1" si="5"/>
        <v>0</v>
      </c>
      <c r="V31" s="312">
        <f t="shared" ca="1" si="5"/>
        <v>0</v>
      </c>
      <c r="W31" s="312">
        <f t="shared" ca="1" si="5"/>
        <v>0</v>
      </c>
      <c r="X31" s="312">
        <f t="shared" ca="1" si="5"/>
        <v>0</v>
      </c>
      <c r="Y31" s="312" t="e">
        <f t="shared" ca="1" si="5"/>
        <v>#REF!</v>
      </c>
      <c r="Z31" s="312" t="e">
        <f t="shared" ca="1" si="5"/>
        <v>#REF!</v>
      </c>
      <c r="AA31" s="312" t="e">
        <f t="shared" ca="1" si="5"/>
        <v>#REF!</v>
      </c>
      <c r="AB31" s="312" t="e">
        <f t="shared" ca="1" si="5"/>
        <v>#REF!</v>
      </c>
      <c r="AC31" s="312" t="e">
        <f t="shared" ca="1" si="5"/>
        <v>#REF!</v>
      </c>
      <c r="AD31" s="312" t="e">
        <f t="shared" ca="1" si="5"/>
        <v>#REF!</v>
      </c>
      <c r="AE31" s="312" t="e">
        <f t="shared" ca="1" si="5"/>
        <v>#REF!</v>
      </c>
      <c r="AF31" s="312" t="e">
        <f t="shared" ca="1" si="5"/>
        <v>#REF!</v>
      </c>
      <c r="AG31" s="312"/>
      <c r="AH31" s="312"/>
      <c r="AI31" s="312"/>
      <c r="AJ31" s="312"/>
    </row>
    <row r="32" spans="1:36">
      <c r="A32">
        <f t="shared" si="4"/>
        <v>2037</v>
      </c>
      <c r="B32" s="312">
        <f t="shared" ca="1" si="7"/>
        <v>0</v>
      </c>
      <c r="C32" s="312">
        <f t="shared" ca="1" si="7"/>
        <v>0</v>
      </c>
      <c r="D32" s="312">
        <f t="shared" ca="1" si="7"/>
        <v>0</v>
      </c>
      <c r="E32" s="312">
        <f t="shared" ca="1" si="7"/>
        <v>0</v>
      </c>
      <c r="F32" s="312">
        <f t="shared" ca="1" si="7"/>
        <v>0</v>
      </c>
      <c r="G32" s="312">
        <f t="shared" ca="1" si="7"/>
        <v>0</v>
      </c>
      <c r="H32" s="312">
        <f t="shared" ca="1" si="7"/>
        <v>0</v>
      </c>
      <c r="I32" s="312">
        <f t="shared" ca="1" si="7"/>
        <v>0</v>
      </c>
      <c r="J32" s="312">
        <f t="shared" ca="1" si="7"/>
        <v>0</v>
      </c>
      <c r="K32" s="312">
        <f t="shared" ca="1" si="7"/>
        <v>0</v>
      </c>
      <c r="L32" s="312">
        <f t="shared" ca="1" si="7"/>
        <v>0</v>
      </c>
      <c r="M32" s="312">
        <f t="shared" ca="1" si="7"/>
        <v>0</v>
      </c>
      <c r="N32" s="312">
        <f t="shared" ca="1" si="7"/>
        <v>0</v>
      </c>
      <c r="O32" s="312">
        <f t="shared" ca="1" si="7"/>
        <v>0</v>
      </c>
      <c r="P32" s="312">
        <f t="shared" ca="1" si="7"/>
        <v>0</v>
      </c>
      <c r="Q32" s="312">
        <f t="shared" ca="1" si="7"/>
        <v>25224484.237428442</v>
      </c>
      <c r="R32" s="312">
        <f t="shared" ca="1" si="5"/>
        <v>0</v>
      </c>
      <c r="S32" s="312">
        <f t="shared" ca="1" si="5"/>
        <v>0</v>
      </c>
      <c r="T32" s="312">
        <f t="shared" ca="1" si="5"/>
        <v>0</v>
      </c>
      <c r="U32" s="312">
        <f t="shared" ca="1" si="5"/>
        <v>0</v>
      </c>
      <c r="V32" s="312">
        <f t="shared" ca="1" si="5"/>
        <v>0</v>
      </c>
      <c r="W32" s="312">
        <f t="shared" ca="1" si="5"/>
        <v>0</v>
      </c>
      <c r="X32" s="312">
        <f t="shared" ca="1" si="5"/>
        <v>0</v>
      </c>
      <c r="Y32" s="312" t="e">
        <f t="shared" ca="1" si="5"/>
        <v>#REF!</v>
      </c>
      <c r="Z32" s="312" t="e">
        <f t="shared" ca="1" si="5"/>
        <v>#REF!</v>
      </c>
      <c r="AA32" s="312" t="e">
        <f t="shared" ca="1" si="5"/>
        <v>#REF!</v>
      </c>
      <c r="AB32" s="312" t="e">
        <f t="shared" ca="1" si="5"/>
        <v>#REF!</v>
      </c>
      <c r="AC32" s="312" t="e">
        <f t="shared" ca="1" si="5"/>
        <v>#REF!</v>
      </c>
      <c r="AD32" s="312" t="e">
        <f t="shared" ca="1" si="5"/>
        <v>#REF!</v>
      </c>
      <c r="AE32" s="312" t="e">
        <f t="shared" ca="1" si="5"/>
        <v>#REF!</v>
      </c>
      <c r="AF32" s="312" t="e">
        <f t="shared" ca="1" si="5"/>
        <v>#REF!</v>
      </c>
      <c r="AG32" s="312"/>
      <c r="AH32" s="312"/>
      <c r="AI32" s="312"/>
      <c r="AJ32" s="312"/>
    </row>
    <row r="33" spans="1:36">
      <c r="A33">
        <f t="shared" si="4"/>
        <v>2038</v>
      </c>
      <c r="B33" s="312">
        <f t="shared" ca="1" si="7"/>
        <v>0</v>
      </c>
      <c r="C33" s="312">
        <f t="shared" ca="1" si="7"/>
        <v>0</v>
      </c>
      <c r="D33" s="312">
        <f t="shared" ca="1" si="7"/>
        <v>0</v>
      </c>
      <c r="E33" s="312">
        <f t="shared" ca="1" si="7"/>
        <v>0</v>
      </c>
      <c r="F33" s="312">
        <f t="shared" ca="1" si="7"/>
        <v>0</v>
      </c>
      <c r="G33" s="312">
        <f t="shared" ca="1" si="7"/>
        <v>0</v>
      </c>
      <c r="H33" s="312">
        <f t="shared" ca="1" si="7"/>
        <v>0</v>
      </c>
      <c r="I33" s="312">
        <f t="shared" ca="1" si="7"/>
        <v>0</v>
      </c>
      <c r="J33" s="312">
        <f t="shared" ca="1" si="7"/>
        <v>0</v>
      </c>
      <c r="K33" s="312">
        <f t="shared" ca="1" si="7"/>
        <v>0</v>
      </c>
      <c r="L33" s="312">
        <f t="shared" ca="1" si="7"/>
        <v>0</v>
      </c>
      <c r="M33" s="312">
        <f t="shared" ca="1" si="7"/>
        <v>0</v>
      </c>
      <c r="N33" s="312">
        <f t="shared" ca="1" si="7"/>
        <v>0</v>
      </c>
      <c r="O33" s="312">
        <f t="shared" ca="1" si="7"/>
        <v>0</v>
      </c>
      <c r="P33" s="312">
        <f t="shared" ca="1" si="7"/>
        <v>0</v>
      </c>
      <c r="Q33" s="312">
        <f t="shared" ca="1" si="7"/>
        <v>25224484.237428762</v>
      </c>
      <c r="R33" s="312">
        <f t="shared" ca="1" si="5"/>
        <v>0</v>
      </c>
      <c r="S33" s="312">
        <f t="shared" ca="1" si="5"/>
        <v>0</v>
      </c>
      <c r="T33" s="312">
        <f t="shared" ca="1" si="5"/>
        <v>0</v>
      </c>
      <c r="U33" s="312">
        <f t="shared" ca="1" si="5"/>
        <v>0</v>
      </c>
      <c r="V33" s="312">
        <f t="shared" ca="1" si="5"/>
        <v>0</v>
      </c>
      <c r="W33" s="312">
        <f t="shared" ca="1" si="5"/>
        <v>0</v>
      </c>
      <c r="X33" s="312">
        <f t="shared" ca="1" si="5"/>
        <v>0</v>
      </c>
      <c r="Y33" s="312" t="e">
        <f t="shared" ca="1" si="5"/>
        <v>#REF!</v>
      </c>
      <c r="Z33" s="312" t="e">
        <f t="shared" ca="1" si="5"/>
        <v>#REF!</v>
      </c>
      <c r="AA33" s="312" t="e">
        <f t="shared" ca="1" si="5"/>
        <v>#REF!</v>
      </c>
      <c r="AB33" s="312" t="e">
        <f t="shared" ca="1" si="5"/>
        <v>#REF!</v>
      </c>
      <c r="AC33" s="312" t="e">
        <f t="shared" ca="1" si="5"/>
        <v>#REF!</v>
      </c>
      <c r="AD33" s="312" t="e">
        <f t="shared" ca="1" si="5"/>
        <v>#REF!</v>
      </c>
      <c r="AE33" s="312" t="e">
        <f t="shared" ca="1" si="5"/>
        <v>#REF!</v>
      </c>
      <c r="AF33" s="312" t="e">
        <f t="shared" ca="1" si="5"/>
        <v>#REF!</v>
      </c>
      <c r="AG33" s="312"/>
      <c r="AH33" s="312"/>
      <c r="AI33" s="312"/>
      <c r="AJ33" s="312"/>
    </row>
    <row r="34" spans="1:36">
      <c r="A34">
        <f t="shared" si="4"/>
        <v>2039</v>
      </c>
      <c r="B34" s="312">
        <f t="shared" ca="1" si="7"/>
        <v>0</v>
      </c>
      <c r="C34" s="312">
        <f t="shared" ca="1" si="7"/>
        <v>0</v>
      </c>
      <c r="D34" s="312">
        <f t="shared" ca="1" si="7"/>
        <v>0</v>
      </c>
      <c r="E34" s="312">
        <f t="shared" ca="1" si="7"/>
        <v>0</v>
      </c>
      <c r="F34" s="312">
        <f t="shared" ca="1" si="7"/>
        <v>0</v>
      </c>
      <c r="G34" s="312">
        <f t="shared" ca="1" si="7"/>
        <v>0</v>
      </c>
      <c r="H34" s="312">
        <f t="shared" ca="1" si="7"/>
        <v>0</v>
      </c>
      <c r="I34" s="312">
        <f t="shared" ca="1" si="7"/>
        <v>0</v>
      </c>
      <c r="J34" s="312">
        <f t="shared" ca="1" si="7"/>
        <v>0</v>
      </c>
      <c r="K34" s="312">
        <f t="shared" ca="1" si="7"/>
        <v>0</v>
      </c>
      <c r="L34" s="312">
        <f t="shared" ca="1" si="7"/>
        <v>0</v>
      </c>
      <c r="M34" s="312">
        <f t="shared" ca="1" si="7"/>
        <v>0</v>
      </c>
      <c r="N34" s="312">
        <f t="shared" ca="1" si="7"/>
        <v>0</v>
      </c>
      <c r="O34" s="312">
        <f t="shared" ca="1" si="7"/>
        <v>0</v>
      </c>
      <c r="P34" s="312">
        <f t="shared" ca="1" si="7"/>
        <v>0</v>
      </c>
      <c r="Q34" s="312">
        <f t="shared" ca="1" si="7"/>
        <v>25224484.237428762</v>
      </c>
      <c r="R34" s="312">
        <f t="shared" ca="1" si="5"/>
        <v>0</v>
      </c>
      <c r="S34" s="312">
        <f t="shared" ca="1" si="5"/>
        <v>0</v>
      </c>
      <c r="T34" s="312">
        <f t="shared" ca="1" si="5"/>
        <v>0</v>
      </c>
      <c r="U34" s="312">
        <f t="shared" ca="1" si="5"/>
        <v>0</v>
      </c>
      <c r="V34" s="312">
        <f t="shared" ca="1" si="5"/>
        <v>0</v>
      </c>
      <c r="W34" s="312">
        <f t="shared" ca="1" si="5"/>
        <v>0</v>
      </c>
      <c r="X34" s="312">
        <f t="shared" ca="1" si="5"/>
        <v>0</v>
      </c>
      <c r="Y34" s="312" t="e">
        <f t="shared" ca="1" si="5"/>
        <v>#REF!</v>
      </c>
      <c r="Z34" s="312" t="e">
        <f t="shared" ca="1" si="5"/>
        <v>#REF!</v>
      </c>
      <c r="AA34" s="312" t="e">
        <f t="shared" ca="1" si="5"/>
        <v>#REF!</v>
      </c>
      <c r="AB34" s="312" t="e">
        <f t="shared" ca="1" si="5"/>
        <v>#REF!</v>
      </c>
      <c r="AC34" s="312" t="e">
        <f t="shared" ca="1" si="5"/>
        <v>#REF!</v>
      </c>
      <c r="AD34" s="312" t="e">
        <f t="shared" ca="1" si="5"/>
        <v>#REF!</v>
      </c>
      <c r="AE34" s="312" t="e">
        <f t="shared" ca="1" si="5"/>
        <v>#REF!</v>
      </c>
      <c r="AF34" s="312" t="e">
        <f t="shared" ca="1" si="5"/>
        <v>#REF!</v>
      </c>
      <c r="AG34" s="312"/>
      <c r="AH34" s="312"/>
      <c r="AI34" s="312"/>
      <c r="AJ34" s="312"/>
    </row>
    <row r="35" spans="1:36">
      <c r="A35">
        <f t="shared" si="4"/>
        <v>2040</v>
      </c>
      <c r="B35" s="312">
        <f t="shared" ca="1" si="7"/>
        <v>0</v>
      </c>
      <c r="C35" s="312">
        <f t="shared" ca="1" si="7"/>
        <v>0</v>
      </c>
      <c r="D35" s="312">
        <f t="shared" ca="1" si="7"/>
        <v>0</v>
      </c>
      <c r="E35" s="312">
        <f t="shared" ca="1" si="7"/>
        <v>0</v>
      </c>
      <c r="F35" s="312">
        <f t="shared" ca="1" si="7"/>
        <v>0</v>
      </c>
      <c r="G35" s="312">
        <f t="shared" ca="1" si="7"/>
        <v>0</v>
      </c>
      <c r="H35" s="312">
        <f t="shared" ca="1" si="7"/>
        <v>0</v>
      </c>
      <c r="I35" s="312">
        <f t="shared" ca="1" si="7"/>
        <v>0</v>
      </c>
      <c r="J35" s="312">
        <f t="shared" ca="1" si="7"/>
        <v>0</v>
      </c>
      <c r="K35" s="312">
        <f t="shared" ca="1" si="7"/>
        <v>0</v>
      </c>
      <c r="L35" s="312">
        <f t="shared" ca="1" si="7"/>
        <v>0</v>
      </c>
      <c r="M35" s="312">
        <f t="shared" ca="1" si="7"/>
        <v>0</v>
      </c>
      <c r="N35" s="312">
        <f t="shared" ca="1" si="7"/>
        <v>0</v>
      </c>
      <c r="O35" s="312">
        <f t="shared" ca="1" si="7"/>
        <v>0</v>
      </c>
      <c r="P35" s="312">
        <f t="shared" ca="1" si="7"/>
        <v>0</v>
      </c>
      <c r="Q35" s="312">
        <f t="shared" ca="1" si="7"/>
        <v>25224484.237428442</v>
      </c>
      <c r="R35" s="312">
        <f t="shared" ca="1" si="5"/>
        <v>0</v>
      </c>
      <c r="S35" s="312">
        <f t="shared" ca="1" si="5"/>
        <v>0</v>
      </c>
      <c r="T35" s="312">
        <f t="shared" ca="1" si="5"/>
        <v>0</v>
      </c>
      <c r="U35" s="312">
        <f t="shared" ca="1" si="5"/>
        <v>0</v>
      </c>
      <c r="V35" s="312">
        <f t="shared" ca="1" si="5"/>
        <v>0</v>
      </c>
      <c r="W35" s="312">
        <f t="shared" ca="1" si="5"/>
        <v>0</v>
      </c>
      <c r="X35" s="312">
        <f t="shared" ca="1" si="5"/>
        <v>0</v>
      </c>
      <c r="Y35" s="312" t="e">
        <f t="shared" ca="1" si="5"/>
        <v>#REF!</v>
      </c>
      <c r="Z35" s="312" t="e">
        <f t="shared" ca="1" si="5"/>
        <v>#REF!</v>
      </c>
      <c r="AA35" s="312" t="e">
        <f t="shared" ca="1" si="5"/>
        <v>#REF!</v>
      </c>
      <c r="AB35" s="312" t="e">
        <f t="shared" ca="1" si="5"/>
        <v>#REF!</v>
      </c>
      <c r="AC35" s="312" t="e">
        <f t="shared" ca="1" si="5"/>
        <v>#REF!</v>
      </c>
      <c r="AD35" s="312" t="e">
        <f t="shared" ca="1" si="5"/>
        <v>#REF!</v>
      </c>
      <c r="AE35" s="312" t="e">
        <f t="shared" ca="1" si="5"/>
        <v>#REF!</v>
      </c>
      <c r="AF35" s="312" t="e">
        <f t="shared" ca="1" si="5"/>
        <v>#REF!</v>
      </c>
      <c r="AG35" s="312"/>
      <c r="AH35" s="312"/>
      <c r="AI35" s="312"/>
      <c r="AJ35" s="312"/>
    </row>
    <row r="36" spans="1:36">
      <c r="A36">
        <f t="shared" si="4"/>
        <v>2041</v>
      </c>
      <c r="B36" s="312">
        <f t="shared" ca="1" si="7"/>
        <v>0</v>
      </c>
      <c r="C36" s="312">
        <f t="shared" ca="1" si="7"/>
        <v>0</v>
      </c>
      <c r="D36" s="312">
        <f t="shared" ca="1" si="7"/>
        <v>0</v>
      </c>
      <c r="E36" s="312">
        <f t="shared" ca="1" si="7"/>
        <v>0</v>
      </c>
      <c r="F36" s="312">
        <f t="shared" ca="1" si="7"/>
        <v>0</v>
      </c>
      <c r="G36" s="312">
        <f t="shared" ca="1" si="7"/>
        <v>0</v>
      </c>
      <c r="H36" s="312">
        <f t="shared" ca="1" si="7"/>
        <v>0</v>
      </c>
      <c r="I36" s="312">
        <f t="shared" ca="1" si="7"/>
        <v>0</v>
      </c>
      <c r="J36" s="312">
        <f t="shared" ca="1" si="7"/>
        <v>0</v>
      </c>
      <c r="K36" s="312">
        <f t="shared" ca="1" si="7"/>
        <v>0</v>
      </c>
      <c r="L36" s="312">
        <f t="shared" ca="1" si="7"/>
        <v>0</v>
      </c>
      <c r="M36" s="312">
        <f t="shared" ca="1" si="7"/>
        <v>0</v>
      </c>
      <c r="N36" s="312">
        <f t="shared" ca="1" si="7"/>
        <v>0</v>
      </c>
      <c r="O36" s="312">
        <f t="shared" ca="1" si="7"/>
        <v>0</v>
      </c>
      <c r="P36" s="312">
        <f t="shared" ca="1" si="7"/>
        <v>0</v>
      </c>
      <c r="Q36" s="312">
        <f t="shared" ca="1" si="7"/>
        <v>25224484.237428762</v>
      </c>
      <c r="R36" s="312">
        <f t="shared" ref="R36:AF45" ca="1" si="8">MAX(OFFSET(INDIRECT(R$3),$A36-$A$5+$C$1,$C$2),0)</f>
        <v>0</v>
      </c>
      <c r="S36" s="312">
        <f t="shared" ca="1" si="8"/>
        <v>0</v>
      </c>
      <c r="T36" s="312">
        <f t="shared" ca="1" si="8"/>
        <v>0</v>
      </c>
      <c r="U36" s="312">
        <f t="shared" ca="1" si="8"/>
        <v>0</v>
      </c>
      <c r="V36" s="312">
        <f t="shared" ca="1" si="8"/>
        <v>0</v>
      </c>
      <c r="W36" s="312">
        <f t="shared" ca="1" si="8"/>
        <v>0</v>
      </c>
      <c r="X36" s="312">
        <f t="shared" ca="1" si="8"/>
        <v>0</v>
      </c>
      <c r="Y36" s="312" t="e">
        <f t="shared" ca="1" si="8"/>
        <v>#REF!</v>
      </c>
      <c r="Z36" s="312" t="e">
        <f t="shared" ca="1" si="8"/>
        <v>#REF!</v>
      </c>
      <c r="AA36" s="312" t="e">
        <f t="shared" ca="1" si="8"/>
        <v>#REF!</v>
      </c>
      <c r="AB36" s="312" t="e">
        <f t="shared" ca="1" si="8"/>
        <v>#REF!</v>
      </c>
      <c r="AC36" s="312" t="e">
        <f t="shared" ca="1" si="8"/>
        <v>#REF!</v>
      </c>
      <c r="AD36" s="312" t="e">
        <f t="shared" ca="1" si="8"/>
        <v>#REF!</v>
      </c>
      <c r="AE36" s="312" t="e">
        <f t="shared" ca="1" si="8"/>
        <v>#REF!</v>
      </c>
      <c r="AF36" s="312" t="e">
        <f t="shared" ca="1" si="8"/>
        <v>#REF!</v>
      </c>
      <c r="AG36" s="312"/>
      <c r="AH36" s="312"/>
      <c r="AI36" s="312"/>
      <c r="AJ36" s="312"/>
    </row>
    <row r="37" spans="1:36">
      <c r="A37">
        <f t="shared" si="4"/>
        <v>2042</v>
      </c>
      <c r="B37" s="312">
        <f t="shared" ca="1" si="7"/>
        <v>0</v>
      </c>
      <c r="C37" s="312">
        <f t="shared" ca="1" si="7"/>
        <v>0</v>
      </c>
      <c r="D37" s="312">
        <f t="shared" ca="1" si="7"/>
        <v>0</v>
      </c>
      <c r="E37" s="312">
        <f t="shared" ca="1" si="7"/>
        <v>0</v>
      </c>
      <c r="F37" s="312">
        <f t="shared" ca="1" si="7"/>
        <v>0</v>
      </c>
      <c r="G37" s="312">
        <f t="shared" ca="1" si="7"/>
        <v>0</v>
      </c>
      <c r="H37" s="312">
        <f t="shared" ca="1" si="7"/>
        <v>0</v>
      </c>
      <c r="I37" s="312">
        <f t="shared" ca="1" si="7"/>
        <v>0</v>
      </c>
      <c r="J37" s="312">
        <f t="shared" ca="1" si="7"/>
        <v>0</v>
      </c>
      <c r="K37" s="312">
        <f t="shared" ca="1" si="7"/>
        <v>0</v>
      </c>
      <c r="L37" s="312">
        <f t="shared" ca="1" si="7"/>
        <v>0</v>
      </c>
      <c r="M37" s="312">
        <f t="shared" ca="1" si="7"/>
        <v>0</v>
      </c>
      <c r="N37" s="312">
        <f t="shared" ca="1" si="7"/>
        <v>0</v>
      </c>
      <c r="O37" s="312">
        <f t="shared" ca="1" si="7"/>
        <v>0</v>
      </c>
      <c r="P37" s="312">
        <f t="shared" ca="1" si="7"/>
        <v>0</v>
      </c>
      <c r="Q37" s="312">
        <f t="shared" ref="Q37:Q45" ca="1" si="9">MAX(OFFSET(INDIRECT(Q$3),$A37-$A$5+$C$1,$C$2),0)</f>
        <v>25224484.237428762</v>
      </c>
      <c r="R37" s="312">
        <f t="shared" ca="1" si="8"/>
        <v>0</v>
      </c>
      <c r="S37" s="312">
        <f t="shared" ca="1" si="8"/>
        <v>0</v>
      </c>
      <c r="T37" s="312">
        <f t="shared" ca="1" si="8"/>
        <v>0</v>
      </c>
      <c r="U37" s="312">
        <f t="shared" ca="1" si="8"/>
        <v>0</v>
      </c>
      <c r="V37" s="312">
        <f t="shared" ca="1" si="8"/>
        <v>0</v>
      </c>
      <c r="W37" s="312">
        <f t="shared" ca="1" si="8"/>
        <v>0</v>
      </c>
      <c r="X37" s="312">
        <f t="shared" ca="1" si="8"/>
        <v>0</v>
      </c>
      <c r="Y37" s="312" t="e">
        <f t="shared" ca="1" si="8"/>
        <v>#REF!</v>
      </c>
      <c r="Z37" s="312" t="e">
        <f t="shared" ca="1" si="8"/>
        <v>#REF!</v>
      </c>
      <c r="AA37" s="312" t="e">
        <f t="shared" ca="1" si="8"/>
        <v>#REF!</v>
      </c>
      <c r="AB37" s="312" t="e">
        <f t="shared" ca="1" si="8"/>
        <v>#REF!</v>
      </c>
      <c r="AC37" s="312" t="e">
        <f t="shared" ca="1" si="8"/>
        <v>#REF!</v>
      </c>
      <c r="AD37" s="312" t="e">
        <f t="shared" ca="1" si="8"/>
        <v>#REF!</v>
      </c>
      <c r="AE37" s="312" t="e">
        <f t="shared" ca="1" si="8"/>
        <v>#REF!</v>
      </c>
      <c r="AF37" s="312" t="e">
        <f t="shared" ca="1" si="8"/>
        <v>#REF!</v>
      </c>
      <c r="AG37" s="312"/>
      <c r="AH37" s="312"/>
      <c r="AI37" s="312"/>
      <c r="AJ37" s="312"/>
    </row>
    <row r="38" spans="1:36">
      <c r="A38">
        <f t="shared" si="4"/>
        <v>2043</v>
      </c>
      <c r="B38" s="312">
        <f t="shared" ref="B38:P45" ca="1" si="10">MAX(OFFSET(INDIRECT(B$3),$A38-$A$5+$C$1,$C$2),0)</f>
        <v>0</v>
      </c>
      <c r="C38" s="312">
        <f t="shared" ca="1" si="10"/>
        <v>0</v>
      </c>
      <c r="D38" s="312">
        <f t="shared" ca="1" si="10"/>
        <v>0</v>
      </c>
      <c r="E38" s="312">
        <f t="shared" ca="1" si="10"/>
        <v>0</v>
      </c>
      <c r="F38" s="312">
        <f t="shared" ca="1" si="10"/>
        <v>0</v>
      </c>
      <c r="G38" s="312">
        <f t="shared" ca="1" si="10"/>
        <v>0</v>
      </c>
      <c r="H38" s="312">
        <f t="shared" ca="1" si="10"/>
        <v>0</v>
      </c>
      <c r="I38" s="312">
        <f t="shared" ca="1" si="10"/>
        <v>0</v>
      </c>
      <c r="J38" s="312">
        <f t="shared" ca="1" si="10"/>
        <v>0</v>
      </c>
      <c r="K38" s="312">
        <f t="shared" ca="1" si="10"/>
        <v>0</v>
      </c>
      <c r="L38" s="312">
        <f t="shared" ca="1" si="10"/>
        <v>0</v>
      </c>
      <c r="M38" s="312">
        <f t="shared" ca="1" si="10"/>
        <v>0</v>
      </c>
      <c r="N38" s="312">
        <f t="shared" ca="1" si="10"/>
        <v>0</v>
      </c>
      <c r="O38" s="312">
        <f t="shared" ca="1" si="10"/>
        <v>0</v>
      </c>
      <c r="P38" s="312">
        <f t="shared" ca="1" si="10"/>
        <v>0</v>
      </c>
      <c r="Q38" s="312">
        <f t="shared" ca="1" si="9"/>
        <v>25224484.237428442</v>
      </c>
      <c r="R38" s="312">
        <f t="shared" ca="1" si="8"/>
        <v>0</v>
      </c>
      <c r="S38" s="312">
        <f t="shared" ca="1" si="8"/>
        <v>0</v>
      </c>
      <c r="T38" s="312">
        <f t="shared" ca="1" si="8"/>
        <v>0</v>
      </c>
      <c r="U38" s="312">
        <f t="shared" ca="1" si="8"/>
        <v>0</v>
      </c>
      <c r="V38" s="312">
        <f t="shared" ca="1" si="8"/>
        <v>0</v>
      </c>
      <c r="W38" s="312">
        <f t="shared" ca="1" si="8"/>
        <v>0</v>
      </c>
      <c r="X38" s="312">
        <f t="shared" ca="1" si="8"/>
        <v>0</v>
      </c>
      <c r="Y38" s="312" t="e">
        <f t="shared" ca="1" si="8"/>
        <v>#REF!</v>
      </c>
      <c r="Z38" s="312" t="e">
        <f t="shared" ca="1" si="8"/>
        <v>#REF!</v>
      </c>
      <c r="AA38" s="312" t="e">
        <f t="shared" ca="1" si="8"/>
        <v>#REF!</v>
      </c>
      <c r="AB38" s="312" t="e">
        <f t="shared" ca="1" si="8"/>
        <v>#REF!</v>
      </c>
      <c r="AC38" s="312" t="e">
        <f t="shared" ca="1" si="8"/>
        <v>#REF!</v>
      </c>
      <c r="AD38" s="312" t="e">
        <f t="shared" ca="1" si="8"/>
        <v>#REF!</v>
      </c>
      <c r="AE38" s="312" t="e">
        <f t="shared" ca="1" si="8"/>
        <v>#REF!</v>
      </c>
      <c r="AF38" s="312" t="e">
        <f t="shared" ca="1" si="8"/>
        <v>#REF!</v>
      </c>
      <c r="AG38" s="312"/>
      <c r="AH38" s="312"/>
      <c r="AI38" s="312"/>
      <c r="AJ38" s="312"/>
    </row>
    <row r="39" spans="1:36">
      <c r="A39">
        <f t="shared" si="4"/>
        <v>2044</v>
      </c>
      <c r="B39" s="312">
        <f t="shared" ca="1" si="10"/>
        <v>0</v>
      </c>
      <c r="C39" s="312">
        <f t="shared" ca="1" si="10"/>
        <v>0</v>
      </c>
      <c r="D39" s="312">
        <f t="shared" ca="1" si="10"/>
        <v>0</v>
      </c>
      <c r="E39" s="312">
        <f t="shared" ca="1" si="10"/>
        <v>0</v>
      </c>
      <c r="F39" s="312">
        <f t="shared" ca="1" si="10"/>
        <v>0</v>
      </c>
      <c r="G39" s="312">
        <f t="shared" ca="1" si="10"/>
        <v>0</v>
      </c>
      <c r="H39" s="312">
        <f t="shared" ca="1" si="10"/>
        <v>0</v>
      </c>
      <c r="I39" s="312">
        <f t="shared" ca="1" si="10"/>
        <v>0</v>
      </c>
      <c r="J39" s="312">
        <f t="shared" ca="1" si="10"/>
        <v>0</v>
      </c>
      <c r="K39" s="312">
        <f t="shared" ca="1" si="10"/>
        <v>0</v>
      </c>
      <c r="L39" s="312">
        <f t="shared" ca="1" si="10"/>
        <v>0</v>
      </c>
      <c r="M39" s="312">
        <f t="shared" ca="1" si="10"/>
        <v>0</v>
      </c>
      <c r="N39" s="312">
        <f t="shared" ca="1" si="10"/>
        <v>0</v>
      </c>
      <c r="O39" s="312">
        <f t="shared" ca="1" si="10"/>
        <v>0</v>
      </c>
      <c r="P39" s="312">
        <f t="shared" ca="1" si="10"/>
        <v>0</v>
      </c>
      <c r="Q39" s="312">
        <f t="shared" ca="1" si="9"/>
        <v>25224484.237428762</v>
      </c>
      <c r="R39" s="312">
        <f t="shared" ca="1" si="8"/>
        <v>0</v>
      </c>
      <c r="S39" s="312">
        <f t="shared" ca="1" si="8"/>
        <v>0</v>
      </c>
      <c r="T39" s="312">
        <f t="shared" ca="1" si="8"/>
        <v>0</v>
      </c>
      <c r="U39" s="312">
        <f t="shared" ca="1" si="8"/>
        <v>0</v>
      </c>
      <c r="V39" s="312">
        <f t="shared" ca="1" si="8"/>
        <v>0</v>
      </c>
      <c r="W39" s="312">
        <f t="shared" ca="1" si="8"/>
        <v>0</v>
      </c>
      <c r="X39" s="312">
        <f t="shared" ca="1" si="8"/>
        <v>0</v>
      </c>
      <c r="Y39" s="312" t="e">
        <f t="shared" ca="1" si="8"/>
        <v>#REF!</v>
      </c>
      <c r="Z39" s="312" t="e">
        <f t="shared" ca="1" si="8"/>
        <v>#REF!</v>
      </c>
      <c r="AA39" s="312" t="e">
        <f t="shared" ca="1" si="8"/>
        <v>#REF!</v>
      </c>
      <c r="AB39" s="312" t="e">
        <f t="shared" ca="1" si="8"/>
        <v>#REF!</v>
      </c>
      <c r="AC39" s="312" t="e">
        <f t="shared" ca="1" si="8"/>
        <v>#REF!</v>
      </c>
      <c r="AD39" s="312" t="e">
        <f t="shared" ca="1" si="8"/>
        <v>#REF!</v>
      </c>
      <c r="AE39" s="312" t="e">
        <f t="shared" ca="1" si="8"/>
        <v>#REF!</v>
      </c>
      <c r="AF39" s="312" t="e">
        <f t="shared" ca="1" si="8"/>
        <v>#REF!</v>
      </c>
      <c r="AG39" s="312"/>
      <c r="AH39" s="312"/>
      <c r="AI39" s="312"/>
      <c r="AJ39" s="312"/>
    </row>
    <row r="40" spans="1:36">
      <c r="A40">
        <f t="shared" si="4"/>
        <v>2045</v>
      </c>
      <c r="B40" s="312">
        <f t="shared" ca="1" si="10"/>
        <v>0</v>
      </c>
      <c r="C40" s="312">
        <f t="shared" ca="1" si="10"/>
        <v>0</v>
      </c>
      <c r="D40" s="312">
        <f t="shared" ca="1" si="10"/>
        <v>0</v>
      </c>
      <c r="E40" s="312">
        <f t="shared" ca="1" si="10"/>
        <v>0</v>
      </c>
      <c r="F40" s="312">
        <f t="shared" ca="1" si="10"/>
        <v>0</v>
      </c>
      <c r="G40" s="312">
        <f t="shared" ca="1" si="10"/>
        <v>0</v>
      </c>
      <c r="H40" s="312">
        <f t="shared" ca="1" si="10"/>
        <v>0</v>
      </c>
      <c r="I40" s="312">
        <f t="shared" ca="1" si="10"/>
        <v>0</v>
      </c>
      <c r="J40" s="312">
        <f t="shared" ca="1" si="10"/>
        <v>0</v>
      </c>
      <c r="K40" s="312">
        <f t="shared" ca="1" si="10"/>
        <v>0</v>
      </c>
      <c r="L40" s="312">
        <f t="shared" ca="1" si="10"/>
        <v>0</v>
      </c>
      <c r="M40" s="312">
        <f t="shared" ca="1" si="10"/>
        <v>0</v>
      </c>
      <c r="N40" s="312">
        <f t="shared" ca="1" si="10"/>
        <v>0</v>
      </c>
      <c r="O40" s="312">
        <f t="shared" ca="1" si="10"/>
        <v>0</v>
      </c>
      <c r="P40" s="312">
        <f t="shared" ca="1" si="10"/>
        <v>0</v>
      </c>
      <c r="Q40" s="312">
        <f t="shared" ca="1" si="9"/>
        <v>25224484.237428762</v>
      </c>
      <c r="R40" s="312">
        <f t="shared" ca="1" si="8"/>
        <v>0</v>
      </c>
      <c r="S40" s="312">
        <f t="shared" ca="1" si="8"/>
        <v>0</v>
      </c>
      <c r="T40" s="312">
        <f t="shared" ca="1" si="8"/>
        <v>0</v>
      </c>
      <c r="U40" s="312">
        <f t="shared" ca="1" si="8"/>
        <v>0</v>
      </c>
      <c r="V40" s="312">
        <f t="shared" ca="1" si="8"/>
        <v>0</v>
      </c>
      <c r="W40" s="312">
        <f t="shared" ca="1" si="8"/>
        <v>0</v>
      </c>
      <c r="X40" s="312">
        <f t="shared" ca="1" si="8"/>
        <v>0</v>
      </c>
      <c r="Y40" s="312" t="e">
        <f t="shared" ca="1" si="8"/>
        <v>#REF!</v>
      </c>
      <c r="Z40" s="312" t="e">
        <f t="shared" ca="1" si="8"/>
        <v>#REF!</v>
      </c>
      <c r="AA40" s="312" t="e">
        <f t="shared" ca="1" si="8"/>
        <v>#REF!</v>
      </c>
      <c r="AB40" s="312" t="e">
        <f t="shared" ca="1" si="8"/>
        <v>#REF!</v>
      </c>
      <c r="AC40" s="312" t="e">
        <f t="shared" ca="1" si="8"/>
        <v>#REF!</v>
      </c>
      <c r="AD40" s="312" t="e">
        <f t="shared" ca="1" si="8"/>
        <v>#REF!</v>
      </c>
      <c r="AE40" s="312" t="e">
        <f t="shared" ca="1" si="8"/>
        <v>#REF!</v>
      </c>
      <c r="AF40" s="312" t="e">
        <f t="shared" ca="1" si="8"/>
        <v>#REF!</v>
      </c>
      <c r="AG40" s="312"/>
      <c r="AH40" s="312"/>
      <c r="AI40" s="312"/>
      <c r="AJ40" s="312"/>
    </row>
    <row r="41" spans="1:36">
      <c r="A41">
        <f>A40+1</f>
        <v>2046</v>
      </c>
      <c r="B41" s="312">
        <f t="shared" ca="1" si="10"/>
        <v>0</v>
      </c>
      <c r="C41" s="312">
        <f t="shared" ca="1" si="10"/>
        <v>0</v>
      </c>
      <c r="D41" s="312">
        <f t="shared" ca="1" si="10"/>
        <v>0</v>
      </c>
      <c r="E41" s="312">
        <f t="shared" ca="1" si="10"/>
        <v>0</v>
      </c>
      <c r="F41" s="312">
        <f t="shared" ca="1" si="10"/>
        <v>0</v>
      </c>
      <c r="G41" s="312">
        <f t="shared" ca="1" si="10"/>
        <v>0</v>
      </c>
      <c r="H41" s="312">
        <f t="shared" ca="1" si="10"/>
        <v>0</v>
      </c>
      <c r="I41" s="312">
        <f t="shared" ca="1" si="10"/>
        <v>0</v>
      </c>
      <c r="J41" s="312">
        <f t="shared" ca="1" si="10"/>
        <v>0</v>
      </c>
      <c r="K41" s="312">
        <f t="shared" ca="1" si="10"/>
        <v>0</v>
      </c>
      <c r="L41" s="312">
        <f t="shared" ca="1" si="10"/>
        <v>0</v>
      </c>
      <c r="M41" s="312">
        <f t="shared" ca="1" si="10"/>
        <v>0</v>
      </c>
      <c r="N41" s="312">
        <f t="shared" ca="1" si="10"/>
        <v>0</v>
      </c>
      <c r="O41" s="312">
        <f t="shared" ca="1" si="10"/>
        <v>0</v>
      </c>
      <c r="P41" s="312">
        <f t="shared" ca="1" si="10"/>
        <v>0</v>
      </c>
      <c r="Q41" s="312">
        <f t="shared" ca="1" si="9"/>
        <v>25224484.237428442</v>
      </c>
      <c r="R41" s="312">
        <f t="shared" ca="1" si="8"/>
        <v>0</v>
      </c>
      <c r="S41" s="312">
        <f t="shared" ca="1" si="8"/>
        <v>0</v>
      </c>
      <c r="T41" s="312">
        <f t="shared" ca="1" si="8"/>
        <v>0</v>
      </c>
      <c r="U41" s="312">
        <f t="shared" ca="1" si="8"/>
        <v>0</v>
      </c>
      <c r="V41" s="312">
        <f t="shared" ca="1" si="8"/>
        <v>0</v>
      </c>
      <c r="W41" s="312">
        <f t="shared" ca="1" si="8"/>
        <v>0</v>
      </c>
      <c r="X41" s="312">
        <f t="shared" ca="1" si="8"/>
        <v>0</v>
      </c>
      <c r="Y41" s="312" t="e">
        <f t="shared" ca="1" si="8"/>
        <v>#REF!</v>
      </c>
      <c r="Z41" s="312" t="e">
        <f t="shared" ca="1" si="8"/>
        <v>#REF!</v>
      </c>
      <c r="AA41" s="312" t="e">
        <f t="shared" ca="1" si="8"/>
        <v>#REF!</v>
      </c>
      <c r="AB41" s="312" t="e">
        <f t="shared" ca="1" si="8"/>
        <v>#REF!</v>
      </c>
      <c r="AC41" s="312" t="e">
        <f t="shared" ca="1" si="8"/>
        <v>#REF!</v>
      </c>
      <c r="AD41" s="312" t="e">
        <f t="shared" ca="1" si="8"/>
        <v>#REF!</v>
      </c>
      <c r="AE41" s="312" t="e">
        <f t="shared" ca="1" si="8"/>
        <v>#REF!</v>
      </c>
      <c r="AF41" s="312" t="e">
        <f t="shared" ca="1" si="8"/>
        <v>#REF!</v>
      </c>
      <c r="AG41" s="312"/>
      <c r="AH41" s="312"/>
      <c r="AI41" s="312"/>
      <c r="AJ41" s="312"/>
    </row>
    <row r="42" spans="1:36">
      <c r="A42">
        <f t="shared" si="4"/>
        <v>2047</v>
      </c>
      <c r="B42" s="312">
        <f t="shared" ca="1" si="10"/>
        <v>0</v>
      </c>
      <c r="C42" s="312">
        <f t="shared" ca="1" si="10"/>
        <v>0</v>
      </c>
      <c r="D42" s="312">
        <f t="shared" ca="1" si="10"/>
        <v>0</v>
      </c>
      <c r="E42" s="312">
        <f t="shared" ca="1" si="10"/>
        <v>0</v>
      </c>
      <c r="F42" s="312">
        <f t="shared" ca="1" si="10"/>
        <v>0</v>
      </c>
      <c r="G42" s="312">
        <f t="shared" ca="1" si="10"/>
        <v>0</v>
      </c>
      <c r="H42" s="312">
        <f t="shared" ca="1" si="10"/>
        <v>0</v>
      </c>
      <c r="I42" s="312">
        <f t="shared" ca="1" si="10"/>
        <v>0</v>
      </c>
      <c r="J42" s="312">
        <f t="shared" ca="1" si="10"/>
        <v>0</v>
      </c>
      <c r="K42" s="312">
        <f t="shared" ca="1" si="10"/>
        <v>0</v>
      </c>
      <c r="L42" s="312">
        <f t="shared" ca="1" si="10"/>
        <v>0</v>
      </c>
      <c r="M42" s="312">
        <f t="shared" ca="1" si="10"/>
        <v>0</v>
      </c>
      <c r="N42" s="312">
        <f t="shared" ca="1" si="10"/>
        <v>0</v>
      </c>
      <c r="O42" s="312">
        <f t="shared" ca="1" si="10"/>
        <v>0</v>
      </c>
      <c r="P42" s="312">
        <f t="shared" ca="1" si="10"/>
        <v>0</v>
      </c>
      <c r="Q42" s="312">
        <f t="shared" ca="1" si="9"/>
        <v>25224484.237428442</v>
      </c>
      <c r="R42" s="312">
        <f t="shared" ca="1" si="8"/>
        <v>0</v>
      </c>
      <c r="S42" s="312">
        <f t="shared" ca="1" si="8"/>
        <v>0</v>
      </c>
      <c r="T42" s="312">
        <f t="shared" ca="1" si="8"/>
        <v>0</v>
      </c>
      <c r="U42" s="312">
        <f t="shared" ca="1" si="8"/>
        <v>0</v>
      </c>
      <c r="V42" s="312">
        <f t="shared" ca="1" si="8"/>
        <v>0</v>
      </c>
      <c r="W42" s="312">
        <f t="shared" ca="1" si="8"/>
        <v>0</v>
      </c>
      <c r="X42" s="312">
        <f t="shared" ca="1" si="8"/>
        <v>0</v>
      </c>
      <c r="Y42" s="312" t="e">
        <f t="shared" ca="1" si="8"/>
        <v>#REF!</v>
      </c>
      <c r="Z42" s="312" t="e">
        <f t="shared" ca="1" si="8"/>
        <v>#REF!</v>
      </c>
      <c r="AA42" s="312" t="e">
        <f t="shared" ca="1" si="8"/>
        <v>#REF!</v>
      </c>
      <c r="AB42" s="312" t="e">
        <f t="shared" ca="1" si="8"/>
        <v>#REF!</v>
      </c>
      <c r="AC42" s="312" t="e">
        <f t="shared" ca="1" si="8"/>
        <v>#REF!</v>
      </c>
      <c r="AD42" s="312" t="e">
        <f t="shared" ca="1" si="8"/>
        <v>#REF!</v>
      </c>
      <c r="AE42" s="312" t="e">
        <f t="shared" ca="1" si="8"/>
        <v>#REF!</v>
      </c>
      <c r="AF42" s="312" t="e">
        <f t="shared" ca="1" si="8"/>
        <v>#REF!</v>
      </c>
      <c r="AG42" s="312"/>
      <c r="AH42" s="312"/>
      <c r="AI42" s="312"/>
      <c r="AJ42" s="312"/>
    </row>
    <row r="43" spans="1:36">
      <c r="A43">
        <f t="shared" si="4"/>
        <v>2048</v>
      </c>
      <c r="B43" s="312">
        <f t="shared" ca="1" si="10"/>
        <v>0</v>
      </c>
      <c r="C43" s="312">
        <f t="shared" ca="1" si="10"/>
        <v>0</v>
      </c>
      <c r="D43" s="312">
        <f t="shared" ca="1" si="10"/>
        <v>0</v>
      </c>
      <c r="E43" s="312">
        <f t="shared" ca="1" si="10"/>
        <v>0</v>
      </c>
      <c r="F43" s="312">
        <f t="shared" ca="1" si="10"/>
        <v>0</v>
      </c>
      <c r="G43" s="312">
        <f t="shared" ca="1" si="10"/>
        <v>0</v>
      </c>
      <c r="H43" s="312">
        <f t="shared" ca="1" si="10"/>
        <v>0</v>
      </c>
      <c r="I43" s="312">
        <f t="shared" ca="1" si="10"/>
        <v>0</v>
      </c>
      <c r="J43" s="312">
        <f t="shared" ca="1" si="10"/>
        <v>0</v>
      </c>
      <c r="K43" s="312">
        <f t="shared" ca="1" si="10"/>
        <v>0</v>
      </c>
      <c r="L43" s="312">
        <f t="shared" ca="1" si="10"/>
        <v>0</v>
      </c>
      <c r="M43" s="312">
        <f t="shared" ca="1" si="10"/>
        <v>0</v>
      </c>
      <c r="N43" s="312">
        <f t="shared" ca="1" si="10"/>
        <v>0</v>
      </c>
      <c r="O43" s="312">
        <f t="shared" ca="1" si="10"/>
        <v>0</v>
      </c>
      <c r="P43" s="312">
        <f t="shared" ca="1" si="10"/>
        <v>0</v>
      </c>
      <c r="Q43" s="312">
        <f t="shared" ca="1" si="9"/>
        <v>25224484.237428762</v>
      </c>
      <c r="R43" s="312">
        <f t="shared" ca="1" si="8"/>
        <v>0</v>
      </c>
      <c r="S43" s="312">
        <f t="shared" ca="1" si="8"/>
        <v>0</v>
      </c>
      <c r="T43" s="312">
        <f t="shared" ca="1" si="8"/>
        <v>0</v>
      </c>
      <c r="U43" s="312">
        <f t="shared" ca="1" si="8"/>
        <v>0</v>
      </c>
      <c r="V43" s="312">
        <f t="shared" ca="1" si="8"/>
        <v>0</v>
      </c>
      <c r="W43" s="312">
        <f t="shared" ca="1" si="8"/>
        <v>0</v>
      </c>
      <c r="X43" s="312">
        <f t="shared" ca="1" si="8"/>
        <v>0</v>
      </c>
      <c r="Y43" s="312" t="e">
        <f t="shared" ca="1" si="8"/>
        <v>#REF!</v>
      </c>
      <c r="Z43" s="312" t="e">
        <f t="shared" ca="1" si="8"/>
        <v>#REF!</v>
      </c>
      <c r="AA43" s="312" t="e">
        <f t="shared" ca="1" si="8"/>
        <v>#REF!</v>
      </c>
      <c r="AB43" s="312" t="e">
        <f t="shared" ca="1" si="8"/>
        <v>#REF!</v>
      </c>
      <c r="AC43" s="312" t="e">
        <f t="shared" ca="1" si="8"/>
        <v>#REF!</v>
      </c>
      <c r="AD43" s="312" t="e">
        <f t="shared" ca="1" si="8"/>
        <v>#REF!</v>
      </c>
      <c r="AE43" s="312" t="e">
        <f t="shared" ca="1" si="8"/>
        <v>#REF!</v>
      </c>
      <c r="AF43" s="312" t="e">
        <f t="shared" ca="1" si="8"/>
        <v>#REF!</v>
      </c>
      <c r="AG43" s="312"/>
      <c r="AH43" s="312"/>
      <c r="AI43" s="312"/>
      <c r="AJ43" s="312"/>
    </row>
    <row r="44" spans="1:36">
      <c r="A44">
        <f t="shared" si="4"/>
        <v>2049</v>
      </c>
      <c r="B44" s="312">
        <f t="shared" ca="1" si="10"/>
        <v>0</v>
      </c>
      <c r="C44" s="312">
        <f t="shared" ca="1" si="10"/>
        <v>0</v>
      </c>
      <c r="D44" s="312">
        <f t="shared" ca="1" si="10"/>
        <v>0</v>
      </c>
      <c r="E44" s="312">
        <f t="shared" ca="1" si="10"/>
        <v>0</v>
      </c>
      <c r="F44" s="312">
        <f t="shared" ca="1" si="10"/>
        <v>0</v>
      </c>
      <c r="G44" s="312">
        <f t="shared" ca="1" si="10"/>
        <v>0</v>
      </c>
      <c r="H44" s="312">
        <f t="shared" ca="1" si="10"/>
        <v>0</v>
      </c>
      <c r="I44" s="312">
        <f t="shared" ca="1" si="10"/>
        <v>0</v>
      </c>
      <c r="J44" s="312">
        <f t="shared" ca="1" si="10"/>
        <v>0</v>
      </c>
      <c r="K44" s="312">
        <f t="shared" ca="1" si="10"/>
        <v>0</v>
      </c>
      <c r="L44" s="312">
        <f t="shared" ca="1" si="10"/>
        <v>0</v>
      </c>
      <c r="M44" s="312">
        <f t="shared" ca="1" si="10"/>
        <v>0</v>
      </c>
      <c r="N44" s="312">
        <f t="shared" ca="1" si="10"/>
        <v>0</v>
      </c>
      <c r="O44" s="312">
        <f t="shared" ca="1" si="10"/>
        <v>0</v>
      </c>
      <c r="P44" s="312">
        <f t="shared" ca="1" si="10"/>
        <v>0</v>
      </c>
      <c r="Q44" s="312">
        <f t="shared" ca="1" si="9"/>
        <v>25224484.237428762</v>
      </c>
      <c r="R44" s="312">
        <f t="shared" ca="1" si="8"/>
        <v>0</v>
      </c>
      <c r="S44" s="312">
        <f t="shared" ca="1" si="8"/>
        <v>0</v>
      </c>
      <c r="T44" s="312">
        <f t="shared" ca="1" si="8"/>
        <v>0</v>
      </c>
      <c r="U44" s="312">
        <f t="shared" ca="1" si="8"/>
        <v>0</v>
      </c>
      <c r="V44" s="312">
        <f t="shared" ca="1" si="8"/>
        <v>0</v>
      </c>
      <c r="W44" s="312">
        <f t="shared" ca="1" si="8"/>
        <v>0</v>
      </c>
      <c r="X44" s="312">
        <f t="shared" ca="1" si="8"/>
        <v>0</v>
      </c>
      <c r="Y44" s="312" t="e">
        <f t="shared" ca="1" si="8"/>
        <v>#REF!</v>
      </c>
      <c r="Z44" s="312" t="e">
        <f t="shared" ca="1" si="8"/>
        <v>#REF!</v>
      </c>
      <c r="AA44" s="312" t="e">
        <f t="shared" ca="1" si="8"/>
        <v>#REF!</v>
      </c>
      <c r="AB44" s="312" t="e">
        <f t="shared" ca="1" si="8"/>
        <v>#REF!</v>
      </c>
      <c r="AC44" s="312" t="e">
        <f t="shared" ca="1" si="8"/>
        <v>#REF!</v>
      </c>
      <c r="AD44" s="312" t="e">
        <f t="shared" ca="1" si="8"/>
        <v>#REF!</v>
      </c>
      <c r="AE44" s="312" t="e">
        <f t="shared" ca="1" si="8"/>
        <v>#REF!</v>
      </c>
      <c r="AF44" s="312" t="e">
        <f t="shared" ca="1" si="8"/>
        <v>#REF!</v>
      </c>
      <c r="AG44" s="312"/>
      <c r="AH44" s="312"/>
      <c r="AI44" s="312"/>
      <c r="AJ44" s="312"/>
    </row>
    <row r="45" spans="1:36">
      <c r="A45">
        <f t="shared" si="4"/>
        <v>2050</v>
      </c>
      <c r="B45" s="312">
        <f t="shared" ca="1" si="10"/>
        <v>0</v>
      </c>
      <c r="C45" s="312">
        <f t="shared" ca="1" si="10"/>
        <v>0</v>
      </c>
      <c r="D45" s="312">
        <f t="shared" ca="1" si="10"/>
        <v>0</v>
      </c>
      <c r="E45" s="312">
        <f t="shared" ca="1" si="10"/>
        <v>0</v>
      </c>
      <c r="F45" s="312">
        <f t="shared" ca="1" si="10"/>
        <v>0</v>
      </c>
      <c r="G45" s="312">
        <f t="shared" ca="1" si="10"/>
        <v>0</v>
      </c>
      <c r="H45" s="312">
        <f t="shared" ca="1" si="10"/>
        <v>0</v>
      </c>
      <c r="I45" s="312">
        <f t="shared" ca="1" si="10"/>
        <v>0</v>
      </c>
      <c r="J45" s="312">
        <f t="shared" ca="1" si="10"/>
        <v>0</v>
      </c>
      <c r="K45" s="312">
        <f t="shared" ca="1" si="10"/>
        <v>0</v>
      </c>
      <c r="L45" s="312">
        <f t="shared" ca="1" si="10"/>
        <v>0</v>
      </c>
      <c r="M45" s="312">
        <f t="shared" ca="1" si="10"/>
        <v>0</v>
      </c>
      <c r="N45" s="312">
        <f t="shared" ca="1" si="10"/>
        <v>0</v>
      </c>
      <c r="O45" s="312">
        <f t="shared" ca="1" si="10"/>
        <v>0</v>
      </c>
      <c r="P45" s="312">
        <f t="shared" ca="1" si="10"/>
        <v>0</v>
      </c>
      <c r="Q45" s="312">
        <f t="shared" ca="1" si="9"/>
        <v>25224484.237428442</v>
      </c>
      <c r="R45" s="312">
        <f t="shared" ca="1" si="8"/>
        <v>0</v>
      </c>
      <c r="S45" s="312">
        <f t="shared" ca="1" si="8"/>
        <v>0</v>
      </c>
      <c r="T45" s="312">
        <f t="shared" ca="1" si="8"/>
        <v>0</v>
      </c>
      <c r="U45" s="312">
        <f t="shared" ca="1" si="8"/>
        <v>0</v>
      </c>
      <c r="V45" s="312">
        <f t="shared" ca="1" si="8"/>
        <v>0</v>
      </c>
      <c r="W45" s="312">
        <f t="shared" ca="1" si="8"/>
        <v>0</v>
      </c>
      <c r="X45" s="312">
        <f t="shared" ca="1" si="8"/>
        <v>0</v>
      </c>
      <c r="Y45" s="312" t="e">
        <f t="shared" ca="1" si="8"/>
        <v>#REF!</v>
      </c>
      <c r="Z45" s="312" t="e">
        <f t="shared" ca="1" si="8"/>
        <v>#REF!</v>
      </c>
      <c r="AA45" s="312" t="e">
        <f t="shared" ca="1" si="8"/>
        <v>#REF!</v>
      </c>
      <c r="AB45" s="312" t="e">
        <f t="shared" ca="1" si="8"/>
        <v>#REF!</v>
      </c>
      <c r="AC45" s="312" t="e">
        <f t="shared" ca="1" si="8"/>
        <v>#REF!</v>
      </c>
      <c r="AD45" s="312" t="e">
        <f t="shared" ca="1" si="8"/>
        <v>#REF!</v>
      </c>
      <c r="AE45" s="312" t="e">
        <f t="shared" ca="1" si="8"/>
        <v>#REF!</v>
      </c>
      <c r="AF45" s="312" t="e">
        <f t="shared" ca="1" si="8"/>
        <v>#REF!</v>
      </c>
      <c r="AG45" s="312"/>
      <c r="AH45" s="312"/>
      <c r="AI45" s="312"/>
      <c r="AJ45" s="312"/>
    </row>
    <row r="47" spans="1:36">
      <c r="B47" s="364">
        <f ca="1">COUNTIF(PortfolioDashboard!$AF$3:$BM$3,B4)</f>
        <v>0</v>
      </c>
      <c r="C47" s="364">
        <f ca="1">COUNTIF(PortfolioDashboard!$AF$3:$BM$3,C4)</f>
        <v>0</v>
      </c>
      <c r="D47" s="364">
        <f ca="1">COUNTIF(PortfolioDashboard!$AF$3:$BM$3,D4)</f>
        <v>1</v>
      </c>
      <c r="E47" s="364">
        <f ca="1">COUNTIF(PortfolioDashboard!$AF$3:$BM$3,E4)</f>
        <v>1</v>
      </c>
      <c r="F47" s="364">
        <f ca="1">COUNTIF(PortfolioDashboard!$AF$3:$BM$3,F4)</f>
        <v>1</v>
      </c>
      <c r="G47" s="364">
        <f ca="1">COUNTIF(PortfolioDashboard!$AF$3:$BM$3,G4)</f>
        <v>1</v>
      </c>
      <c r="H47" s="364">
        <f ca="1">COUNTIF(PortfolioDashboard!$AF$3:$BM$3,H4)</f>
        <v>1</v>
      </c>
      <c r="I47" s="364">
        <f ca="1">COUNTIF(PortfolioDashboard!$AF$3:$BM$3,I4)</f>
        <v>0</v>
      </c>
      <c r="J47" s="364">
        <f ca="1">COUNTIF(PortfolioDashboard!$AF$3:$BM$3,J4)</f>
        <v>1</v>
      </c>
      <c r="K47" s="364">
        <f ca="1">COUNTIF(PortfolioDashboard!$AF$3:$BM$3,K4)</f>
        <v>1</v>
      </c>
      <c r="L47" s="364">
        <f ca="1">COUNTIF(PortfolioDashboard!$AF$3:$BM$3,L4)</f>
        <v>1</v>
      </c>
      <c r="M47" s="364">
        <f ca="1">COUNTIF(PortfolioDashboard!$AF$3:$BM$3,M4)</f>
        <v>0</v>
      </c>
      <c r="N47" s="364">
        <f ca="1">COUNTIF(PortfolioDashboard!$AF$3:$BM$3,N4)</f>
        <v>0</v>
      </c>
      <c r="O47" s="364">
        <f ca="1">COUNTIF(PortfolioDashboard!$AF$3:$BM$3,O4)</f>
        <v>1</v>
      </c>
      <c r="P47" s="364">
        <f ca="1">COUNTIF(PortfolioDashboard!$AF$3:$BM$3,P4)</f>
        <v>1</v>
      </c>
      <c r="Q47" s="364">
        <f ca="1">COUNTIF(PortfolioDashboard!$AF$3:$BM$3,Q4)</f>
        <v>1</v>
      </c>
      <c r="R47" s="364">
        <f ca="1">COUNTIF(PortfolioDashboard!$AF$3:$BM$3,R4)</f>
        <v>0</v>
      </c>
      <c r="S47" s="364">
        <f ca="1">COUNTIF(PortfolioDashboard!$AF$3:$BM$3,S4)</f>
        <v>1</v>
      </c>
      <c r="T47" s="364">
        <f ca="1">COUNTIF(PortfolioDashboard!$AF$3:$BM$3,T4)</f>
        <v>1</v>
      </c>
      <c r="U47" s="364">
        <f ca="1">COUNTIF(PortfolioDashboard!$AF$3:$BM$3,U4)</f>
        <v>1</v>
      </c>
      <c r="V47" s="364">
        <f ca="1">COUNTIF(PortfolioDashboard!$AF$3:$BM$3,V4)</f>
        <v>1</v>
      </c>
      <c r="W47" s="364">
        <f ca="1">COUNTIF(PortfolioDashboard!$AF$3:$BM$3,W4)</f>
        <v>1</v>
      </c>
      <c r="X47" s="364">
        <f ca="1">COUNTIF(PortfolioDashboard!$AF$3:$BM$3,X4)</f>
        <v>1</v>
      </c>
      <c r="Y47" s="364">
        <f ca="1">COUNTIF(PortfolioDashboard!$AF$3:$BM$3,Y4)</f>
        <v>0</v>
      </c>
      <c r="Z47" s="364">
        <f ca="1">COUNTIF(PortfolioDashboard!$AF$3:$BM$3,Z4)</f>
        <v>0</v>
      </c>
      <c r="AA47" s="364">
        <f ca="1">COUNTIF(PortfolioDashboard!$AF$3:$BM$3,AA4)</f>
        <v>0</v>
      </c>
      <c r="AB47" s="364">
        <f ca="1">COUNTIF(PortfolioDashboard!$AF$3:$BM$3,AB4)</f>
        <v>0</v>
      </c>
      <c r="AC47" s="364">
        <f ca="1">COUNTIF(PortfolioDashboard!$AF$3:$BM$3,AC4)</f>
        <v>0</v>
      </c>
      <c r="AD47" s="364">
        <f ca="1">COUNTIF(PortfolioDashboard!$AF$3:$BM$3,AD4)</f>
        <v>0</v>
      </c>
      <c r="AE47" s="364">
        <f ca="1">COUNTIF(PortfolioDashboard!$AF$3:$BM$3,AE4)</f>
        <v>0</v>
      </c>
      <c r="AF47" s="364">
        <f ca="1">COUNTIF(PortfolioDashboard!$AF$3:$BM$3,AF4)</f>
        <v>0</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sheetPr codeName="Sheet102"/>
  <dimension ref="A1:AG47"/>
  <sheetViews>
    <sheetView workbookViewId="0">
      <selection activeCell="C1" sqref="C1"/>
    </sheetView>
  </sheetViews>
  <sheetFormatPr defaultRowHeight="15"/>
  <cols>
    <col min="1" max="1" width="18.42578125" bestFit="1" customWidth="1"/>
    <col min="2" max="26" width="11.7109375" customWidth="1"/>
    <col min="27" max="27" width="10" bestFit="1" customWidth="1"/>
    <col min="28" max="28" width="11.5703125" bestFit="1" customWidth="1"/>
    <col min="29" max="33" width="9.28515625" bestFit="1" customWidth="1"/>
  </cols>
  <sheetData>
    <row r="1" spans="1:33">
      <c r="B1" s="322" t="s">
        <v>298</v>
      </c>
      <c r="C1">
        <v>18</v>
      </c>
    </row>
    <row r="2" spans="1:33">
      <c r="B2" s="322" t="s">
        <v>299</v>
      </c>
      <c r="C2">
        <v>38</v>
      </c>
    </row>
    <row r="3" spans="1:33" ht="29.25" customHeight="1">
      <c r="A3" s="321" t="s">
        <v>307</v>
      </c>
      <c r="B3" s="264" t="str">
        <f ca="1">OFFSET(Control!$A$5,COLUMN(A3)-1,0)</f>
        <v>GreenPwr1</v>
      </c>
      <c r="C3" s="264" t="str">
        <f ca="1">OFFSET(Control!$A$5,COLUMN(B3)-1,0)</f>
        <v>GreenPwr2</v>
      </c>
      <c r="D3" s="264" t="str">
        <f ca="1">OFFSET(Control!$A$5,COLUMN(C3)-1,0)</f>
        <v>Wind</v>
      </c>
      <c r="E3" s="264" t="str">
        <f ca="1">OFFSET(Control!$A$5,COLUMN(D3)-1,0)</f>
        <v>ShortECM</v>
      </c>
      <c r="F3" s="264" t="str">
        <f ca="1">OFFSET(Control!$A$5,COLUMN(E3)-1,0)</f>
        <v>MidECM</v>
      </c>
      <c r="G3" s="264" t="str">
        <f ca="1">OFFSET(Control!$A$5,COLUMN(F3)-1,0)</f>
        <v>LongECM</v>
      </c>
      <c r="H3" s="264" t="str">
        <f ca="1">OFFSET(Control!$A$5,COLUMN(G3)-1,0)</f>
        <v>SteamLineImp</v>
      </c>
      <c r="I3" s="264" t="str">
        <f ca="1">OFFSET(Control!$A$5,COLUMN(H3)-1,0)</f>
        <v>UnitaryChiller</v>
      </c>
      <c r="J3" s="264" t="str">
        <f ca="1">OFFSET(Control!$A$5,COLUMN(I3)-1,0)</f>
        <v>GeoExchange</v>
      </c>
      <c r="K3" s="264" t="str">
        <f ca="1">OFFSET(Control!$A$5,COLUMN(J3)-1,0)</f>
        <v>SolarDHW</v>
      </c>
      <c r="L3" s="264" t="str">
        <f ca="1">OFFSET(Control!$A$5,COLUMN(K3)-1,0)</f>
        <v>WasteReduction</v>
      </c>
      <c r="M3" s="264" t="str">
        <f ca="1">OFFSET(Control!$A$5,COLUMN(L3)-1,0)</f>
        <v>DishStirling</v>
      </c>
      <c r="N3" s="264" t="str">
        <f ca="1">OFFSET(Control!$A$5,COLUMN(M3)-1,0)</f>
        <v>Parabolic</v>
      </c>
      <c r="O3" s="264" t="str">
        <f ca="1">OFFSET(Control!$A$5,COLUMN(N3)-1,0)</f>
        <v>GreenIT</v>
      </c>
      <c r="P3" s="264" t="str">
        <f ca="1">OFFSET(Control!$A$5,COLUMN(O3)-1,0)</f>
        <v>GreenBuild</v>
      </c>
      <c r="Q3" s="264" t="str">
        <f ca="1">OFFSET(Control!$A$5,COLUMN(P3)-1,0)</f>
        <v>SpacePlanning</v>
      </c>
      <c r="R3" s="264" t="str">
        <f ca="1">OFFSET(Control!$A$5,COLUMN(Q3)-1,0)</f>
        <v>CHP</v>
      </c>
      <c r="S3" s="264" t="str">
        <f ca="1">OFFSET(Control!$A$5,COLUMN(R3)-1,0)</f>
        <v>CoalToNG</v>
      </c>
      <c r="T3" s="264" t="str">
        <f ca="1">OFFSET(Control!$A$5,COLUMN(S3)-1,0)</f>
        <v>CentralChillerExp</v>
      </c>
      <c r="U3" s="264" t="str">
        <f ca="1">OFFSET(Control!$A$5,COLUMN(T3)-1,0)</f>
        <v>RooftopPV</v>
      </c>
      <c r="V3" s="264" t="str">
        <f ca="1">OFFSET(Control!$A$5,COLUMN(U3)-1,0)</f>
        <v>ReducedAir</v>
      </c>
      <c r="W3" s="264" t="str">
        <f ca="1">OFFSET(Control!$A$5,COLUMN(V3)-1,0)</f>
        <v>ReducedAuto</v>
      </c>
      <c r="X3" s="264" t="str">
        <f ca="1">OFFSET(Control!$A$5,COLUMN(W3)-1,0)</f>
        <v>BehaviorChange</v>
      </c>
      <c r="Y3" s="264">
        <f ca="1">OFFSET(Control!$A$5,COLUMN(X3)-1,0)</f>
        <v>0</v>
      </c>
      <c r="Z3" s="264">
        <f ca="1">OFFSET(Control!$A$5,COLUMN(Y3)-1,0)</f>
        <v>0</v>
      </c>
      <c r="AA3" s="264">
        <f ca="1">OFFSET(Control!$A$5,COLUMN(Z3)-1,0)</f>
        <v>0</v>
      </c>
      <c r="AB3" s="264">
        <f ca="1">OFFSET(Control!$A$5,COLUMN(AA3)-1,0)</f>
        <v>0</v>
      </c>
      <c r="AC3" s="264">
        <f ca="1">OFFSET(Control!$A$5,COLUMN(AB3)-1,0)</f>
        <v>0</v>
      </c>
      <c r="AD3" s="264">
        <f ca="1">OFFSET(Control!$A$5,COLUMN(AC3)-1,0)</f>
        <v>0</v>
      </c>
      <c r="AE3" s="264">
        <f ca="1">OFFSET(Control!$A$5,COLUMN(AD3)-1,0)</f>
        <v>0</v>
      </c>
      <c r="AF3" s="264">
        <f ca="1">OFFSET(Control!$A$5,COLUMN(AE3)-1,0)</f>
        <v>0</v>
      </c>
      <c r="AG3" s="264">
        <f ca="1">OFFSET(Control!$A$5,COLUMN(AF3)-1,0)</f>
        <v>0</v>
      </c>
    </row>
    <row r="4" spans="1:33" ht="29.25" customHeight="1">
      <c r="A4" s="321"/>
      <c r="B4" s="264" t="str">
        <f ca="1">INDIRECT(B3)</f>
        <v>Green Power Purchase Opt 1 (Partial)</v>
      </c>
      <c r="C4" s="264" t="str">
        <f t="shared" ref="C4:AG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t="shared" ca="1" si="0"/>
        <v>#REF!</v>
      </c>
      <c r="AG4" s="264" t="e">
        <f t="shared" ca="1" si="0"/>
        <v>#REF!</v>
      </c>
    </row>
    <row r="5" spans="1:33">
      <c r="A5">
        <v>2010</v>
      </c>
      <c r="B5" s="312">
        <f ca="1">OFFSET(INDIRECT(B$3),$A5-$A$5+$C$1,$C$2)</f>
        <v>0</v>
      </c>
      <c r="C5" s="312">
        <f t="shared" ref="C5:Z15" ca="1" si="1">OFFSET(INDIRECT(C$3),$A5-$A$5+$C$1,$C$2)</f>
        <v>0</v>
      </c>
      <c r="D5" s="312">
        <f t="shared" ca="1" si="1"/>
        <v>0</v>
      </c>
      <c r="E5" s="312">
        <f t="shared" ca="1" si="1"/>
        <v>0</v>
      </c>
      <c r="F5" s="312">
        <f t="shared" ca="1" si="1"/>
        <v>0</v>
      </c>
      <c r="G5" s="312">
        <f t="shared" ca="1" si="1"/>
        <v>0</v>
      </c>
      <c r="H5" s="312">
        <f t="shared" ca="1" si="1"/>
        <v>0</v>
      </c>
      <c r="I5" s="312">
        <f t="shared" ca="1" si="1"/>
        <v>0</v>
      </c>
      <c r="J5" s="312">
        <f t="shared" ca="1" si="1"/>
        <v>0</v>
      </c>
      <c r="K5" s="312">
        <f t="shared" ca="1" si="1"/>
        <v>0</v>
      </c>
      <c r="L5" s="312">
        <f t="shared" ca="1" si="1"/>
        <v>0</v>
      </c>
      <c r="M5" s="312">
        <f t="shared" ca="1" si="1"/>
        <v>0</v>
      </c>
      <c r="N5" s="312">
        <f t="shared" ca="1" si="1"/>
        <v>0</v>
      </c>
      <c r="O5" s="312">
        <f t="shared" ca="1" si="1"/>
        <v>0</v>
      </c>
      <c r="P5" s="312">
        <f t="shared" ca="1" si="1"/>
        <v>0</v>
      </c>
      <c r="Q5" s="312">
        <f t="shared" ca="1" si="1"/>
        <v>0</v>
      </c>
      <c r="R5" s="312">
        <f t="shared" ca="1" si="1"/>
        <v>0</v>
      </c>
      <c r="S5" s="312">
        <f t="shared" ca="1" si="1"/>
        <v>0</v>
      </c>
      <c r="T5" s="312">
        <f t="shared" ca="1" si="1"/>
        <v>0</v>
      </c>
      <c r="U5" s="312">
        <f t="shared" ca="1" si="1"/>
        <v>0</v>
      </c>
      <c r="V5" s="312">
        <f t="shared" ca="1" si="1"/>
        <v>0</v>
      </c>
      <c r="W5" s="312">
        <f t="shared" ca="1" si="1"/>
        <v>0</v>
      </c>
      <c r="X5" s="312">
        <f t="shared" ca="1" si="1"/>
        <v>0</v>
      </c>
      <c r="Y5" s="312" t="e">
        <f t="shared" ca="1" si="1"/>
        <v>#REF!</v>
      </c>
      <c r="Z5" s="312" t="e">
        <f t="shared" ca="1" si="1"/>
        <v>#REF!</v>
      </c>
      <c r="AA5" s="312" t="e">
        <f t="shared" ref="AA5:AG20" ca="1" si="2">OFFSET(INDIRECT(AA$3),$A5-$A$5+$C$1,$C$2)</f>
        <v>#REF!</v>
      </c>
      <c r="AB5" s="312" t="e">
        <f t="shared" ca="1" si="2"/>
        <v>#REF!</v>
      </c>
      <c r="AC5" s="312" t="e">
        <f t="shared" ca="1" si="2"/>
        <v>#REF!</v>
      </c>
      <c r="AD5" s="312" t="e">
        <f t="shared" ca="1" si="2"/>
        <v>#REF!</v>
      </c>
      <c r="AE5" s="312" t="e">
        <f t="shared" ca="1" si="2"/>
        <v>#REF!</v>
      </c>
      <c r="AF5" s="312" t="e">
        <f t="shared" ca="1" si="2"/>
        <v>#REF!</v>
      </c>
      <c r="AG5" s="312" t="e">
        <f t="shared" ca="1" si="2"/>
        <v>#REF!</v>
      </c>
    </row>
    <row r="6" spans="1:33">
      <c r="A6">
        <f>A5+1</f>
        <v>2011</v>
      </c>
      <c r="B6" s="312">
        <f t="shared" ref="B6:Q31" ca="1" si="3">OFFSET(INDIRECT(B$3),$A6-$A$5+$C$1,$C$2)</f>
        <v>0</v>
      </c>
      <c r="C6" s="312">
        <f t="shared" ca="1" si="1"/>
        <v>-642763.17567092506</v>
      </c>
      <c r="D6" s="312">
        <f t="shared" ca="1" si="1"/>
        <v>0</v>
      </c>
      <c r="E6" s="312">
        <f t="shared" ca="1" si="1"/>
        <v>0</v>
      </c>
      <c r="F6" s="312">
        <f t="shared" ca="1" si="1"/>
        <v>0</v>
      </c>
      <c r="G6" s="312">
        <f t="shared" ca="1" si="1"/>
        <v>0</v>
      </c>
      <c r="H6" s="312">
        <f t="shared" ca="1" si="1"/>
        <v>0</v>
      </c>
      <c r="I6" s="312">
        <f t="shared" ca="1" si="1"/>
        <v>0</v>
      </c>
      <c r="J6" s="312">
        <f t="shared" ca="1" si="1"/>
        <v>0</v>
      </c>
      <c r="K6" s="312">
        <f t="shared" ca="1" si="1"/>
        <v>0</v>
      </c>
      <c r="L6" s="312">
        <f t="shared" ca="1" si="1"/>
        <v>0</v>
      </c>
      <c r="M6" s="312">
        <f t="shared" ca="1" si="1"/>
        <v>0</v>
      </c>
      <c r="N6" s="312">
        <f t="shared" ca="1" si="1"/>
        <v>0</v>
      </c>
      <c r="O6" s="312">
        <f t="shared" ca="1" si="1"/>
        <v>0</v>
      </c>
      <c r="P6" s="312">
        <f t="shared" ca="1" si="1"/>
        <v>-100000</v>
      </c>
      <c r="Q6" s="312">
        <f t="shared" ca="1" si="1"/>
        <v>109357.34419598413</v>
      </c>
      <c r="R6" s="312">
        <f t="shared" ca="1" si="1"/>
        <v>0</v>
      </c>
      <c r="S6" s="312">
        <f t="shared" ca="1" si="1"/>
        <v>0</v>
      </c>
      <c r="T6" s="312">
        <f t="shared" ca="1" si="1"/>
        <v>0</v>
      </c>
      <c r="U6" s="312">
        <f t="shared" ca="1" si="1"/>
        <v>0</v>
      </c>
      <c r="V6" s="312">
        <f t="shared" ca="1" si="1"/>
        <v>123606.77688805692</v>
      </c>
      <c r="W6" s="312">
        <f t="shared" ca="1" si="1"/>
        <v>0</v>
      </c>
      <c r="X6" s="312">
        <f t="shared" ca="1" si="1"/>
        <v>0</v>
      </c>
      <c r="Y6" s="312" t="e">
        <f t="shared" ca="1" si="1"/>
        <v>#REF!</v>
      </c>
      <c r="Z6" s="312" t="e">
        <f t="shared" ca="1" si="1"/>
        <v>#REF!</v>
      </c>
      <c r="AA6" s="312" t="e">
        <f t="shared" ca="1" si="2"/>
        <v>#REF!</v>
      </c>
      <c r="AB6" s="312" t="e">
        <f t="shared" ca="1" si="2"/>
        <v>#REF!</v>
      </c>
      <c r="AC6" s="312" t="e">
        <f t="shared" ca="1" si="2"/>
        <v>#REF!</v>
      </c>
      <c r="AD6" s="312" t="e">
        <f t="shared" ca="1" si="2"/>
        <v>#REF!</v>
      </c>
      <c r="AE6" s="312" t="e">
        <f t="shared" ca="1" si="2"/>
        <v>#REF!</v>
      </c>
      <c r="AF6" s="312" t="e">
        <f t="shared" ca="1" si="2"/>
        <v>#REF!</v>
      </c>
      <c r="AG6" s="312"/>
    </row>
    <row r="7" spans="1:33">
      <c r="A7">
        <f t="shared" ref="A7:A45" si="4">A6+1</f>
        <v>2012</v>
      </c>
      <c r="B7" s="312">
        <f t="shared" ca="1" si="3"/>
        <v>0</v>
      </c>
      <c r="C7" s="312">
        <f t="shared" ca="1" si="1"/>
        <v>-650646.30367518531</v>
      </c>
      <c r="D7" s="312">
        <f t="shared" ca="1" si="1"/>
        <v>0</v>
      </c>
      <c r="E7" s="312">
        <f t="shared" ca="1" si="1"/>
        <v>0</v>
      </c>
      <c r="F7" s="312">
        <f t="shared" ca="1" si="1"/>
        <v>0</v>
      </c>
      <c r="G7" s="312">
        <f t="shared" ca="1" si="1"/>
        <v>0</v>
      </c>
      <c r="H7" s="312">
        <f t="shared" ca="1" si="1"/>
        <v>0</v>
      </c>
      <c r="I7" s="312">
        <f t="shared" ca="1" si="1"/>
        <v>0</v>
      </c>
      <c r="J7" s="312">
        <f t="shared" ca="1" si="1"/>
        <v>0</v>
      </c>
      <c r="K7" s="312">
        <f t="shared" ca="1" si="1"/>
        <v>0</v>
      </c>
      <c r="L7" s="312">
        <f t="shared" ca="1" si="1"/>
        <v>3148</v>
      </c>
      <c r="M7" s="312">
        <f t="shared" ca="1" si="1"/>
        <v>0</v>
      </c>
      <c r="N7" s="312">
        <f t="shared" ca="1" si="1"/>
        <v>0</v>
      </c>
      <c r="O7" s="312">
        <f t="shared" ca="1" si="1"/>
        <v>-7000</v>
      </c>
      <c r="P7" s="312">
        <f t="shared" ca="1" si="1"/>
        <v>0</v>
      </c>
      <c r="Q7" s="312">
        <f t="shared" ca="1" si="1"/>
        <v>614036.0162939775</v>
      </c>
      <c r="R7" s="312">
        <f t="shared" ca="1" si="1"/>
        <v>0</v>
      </c>
      <c r="S7" s="312">
        <f t="shared" ca="1" si="1"/>
        <v>0</v>
      </c>
      <c r="T7" s="312">
        <f t="shared" ca="1" si="1"/>
        <v>0</v>
      </c>
      <c r="U7" s="312">
        <f t="shared" ca="1" si="1"/>
        <v>0</v>
      </c>
      <c r="V7" s="312">
        <f t="shared" ca="1" si="1"/>
        <v>124003.00400854273</v>
      </c>
      <c r="W7" s="312">
        <f t="shared" ca="1" si="1"/>
        <v>-102475</v>
      </c>
      <c r="X7" s="312">
        <f t="shared" ca="1" si="1"/>
        <v>-100000</v>
      </c>
      <c r="Y7" s="312" t="e">
        <f t="shared" ca="1" si="1"/>
        <v>#REF!</v>
      </c>
      <c r="Z7" s="312" t="e">
        <f t="shared" ca="1" si="1"/>
        <v>#REF!</v>
      </c>
      <c r="AA7" s="312" t="e">
        <f t="shared" ca="1" si="2"/>
        <v>#REF!</v>
      </c>
      <c r="AB7" s="312" t="e">
        <f t="shared" ca="1" si="2"/>
        <v>#REF!</v>
      </c>
      <c r="AC7" s="312" t="e">
        <f t="shared" ca="1" si="2"/>
        <v>#REF!</v>
      </c>
      <c r="AD7" s="312" t="e">
        <f t="shared" ca="1" si="2"/>
        <v>#REF!</v>
      </c>
      <c r="AE7" s="312" t="e">
        <f t="shared" ca="1" si="2"/>
        <v>#REF!</v>
      </c>
      <c r="AF7" s="312" t="e">
        <f t="shared" ca="1" si="2"/>
        <v>#REF!</v>
      </c>
      <c r="AG7" s="312"/>
    </row>
    <row r="8" spans="1:33">
      <c r="A8">
        <f t="shared" si="4"/>
        <v>2013</v>
      </c>
      <c r="B8" s="312">
        <f t="shared" ca="1" si="3"/>
        <v>0</v>
      </c>
      <c r="C8" s="312">
        <f t="shared" ca="1" si="1"/>
        <v>-719126.83988513984</v>
      </c>
      <c r="D8" s="312">
        <f t="shared" ca="1" si="1"/>
        <v>0</v>
      </c>
      <c r="E8" s="312">
        <f t="shared" ca="1" si="1"/>
        <v>0</v>
      </c>
      <c r="F8" s="312">
        <f t="shared" ca="1" si="1"/>
        <v>0</v>
      </c>
      <c r="G8" s="312">
        <f t="shared" ca="1" si="1"/>
        <v>0</v>
      </c>
      <c r="H8" s="312">
        <f t="shared" ca="1" si="1"/>
        <v>0</v>
      </c>
      <c r="I8" s="312">
        <f t="shared" ca="1" si="1"/>
        <v>0</v>
      </c>
      <c r="J8" s="312">
        <f t="shared" ca="1" si="1"/>
        <v>-15000</v>
      </c>
      <c r="K8" s="312">
        <f t="shared" ca="1" si="1"/>
        <v>0</v>
      </c>
      <c r="L8" s="312">
        <f t="shared" ca="1" si="1"/>
        <v>3148</v>
      </c>
      <c r="M8" s="312">
        <f t="shared" ca="1" si="1"/>
        <v>0</v>
      </c>
      <c r="N8" s="312">
        <f t="shared" ca="1" si="1"/>
        <v>0</v>
      </c>
      <c r="O8" s="312">
        <f t="shared" ca="1" si="1"/>
        <v>-14000</v>
      </c>
      <c r="P8" s="312">
        <f t="shared" ca="1" si="1"/>
        <v>0</v>
      </c>
      <c r="Q8" s="312">
        <f t="shared" ca="1" si="1"/>
        <v>818714.68839196826</v>
      </c>
      <c r="R8" s="312">
        <f t="shared" ca="1" si="1"/>
        <v>0</v>
      </c>
      <c r="S8" s="312">
        <f t="shared" ca="1" si="1"/>
        <v>0</v>
      </c>
      <c r="T8" s="312">
        <f t="shared" ca="1" si="1"/>
        <v>0</v>
      </c>
      <c r="U8" s="312">
        <f t="shared" ca="1" si="1"/>
        <v>0</v>
      </c>
      <c r="V8" s="312">
        <f t="shared" ca="1" si="1"/>
        <v>124307.03977146068</v>
      </c>
      <c r="W8" s="312">
        <f t="shared" ca="1" si="1"/>
        <v>-104950</v>
      </c>
      <c r="X8" s="312">
        <f t="shared" ca="1" si="1"/>
        <v>-100000</v>
      </c>
      <c r="Y8" s="312" t="e">
        <f t="shared" ca="1" si="1"/>
        <v>#REF!</v>
      </c>
      <c r="Z8" s="312" t="e">
        <f t="shared" ca="1" si="1"/>
        <v>#REF!</v>
      </c>
      <c r="AA8" s="312" t="e">
        <f t="shared" ca="1" si="2"/>
        <v>#REF!</v>
      </c>
      <c r="AB8" s="312" t="e">
        <f t="shared" ca="1" si="2"/>
        <v>#REF!</v>
      </c>
      <c r="AC8" s="312" t="e">
        <f t="shared" ca="1" si="2"/>
        <v>#REF!</v>
      </c>
      <c r="AD8" s="312" t="e">
        <f t="shared" ca="1" si="2"/>
        <v>#REF!</v>
      </c>
      <c r="AE8" s="312" t="e">
        <f t="shared" ca="1" si="2"/>
        <v>#REF!</v>
      </c>
      <c r="AF8" s="312" t="e">
        <f t="shared" ca="1" si="2"/>
        <v>#REF!</v>
      </c>
      <c r="AG8" s="312"/>
    </row>
    <row r="9" spans="1:33">
      <c r="A9">
        <f t="shared" si="4"/>
        <v>2014</v>
      </c>
      <c r="B9" s="312">
        <f t="shared" ca="1" si="3"/>
        <v>0</v>
      </c>
      <c r="C9" s="312">
        <f t="shared" ca="1" si="1"/>
        <v>-729900.17012731661</v>
      </c>
      <c r="D9" s="312">
        <f t="shared" ca="1" si="1"/>
        <v>0</v>
      </c>
      <c r="E9" s="312">
        <f t="shared" ca="1" si="1"/>
        <v>0</v>
      </c>
      <c r="F9" s="312">
        <f t="shared" ca="1" si="1"/>
        <v>0</v>
      </c>
      <c r="G9" s="312">
        <f t="shared" ca="1" si="1"/>
        <v>0</v>
      </c>
      <c r="H9" s="312">
        <f t="shared" ca="1" si="1"/>
        <v>0</v>
      </c>
      <c r="I9" s="312">
        <f t="shared" ca="1" si="1"/>
        <v>0</v>
      </c>
      <c r="J9" s="312">
        <f t="shared" ca="1" si="1"/>
        <v>-15000</v>
      </c>
      <c r="K9" s="312">
        <f t="shared" ca="1" si="1"/>
        <v>0</v>
      </c>
      <c r="L9" s="312">
        <f t="shared" ca="1" si="1"/>
        <v>3148</v>
      </c>
      <c r="M9" s="312">
        <f t="shared" ca="1" si="1"/>
        <v>0</v>
      </c>
      <c r="N9" s="312">
        <f t="shared" ca="1" si="1"/>
        <v>0</v>
      </c>
      <c r="O9" s="312">
        <f t="shared" ca="1" si="1"/>
        <v>-21000</v>
      </c>
      <c r="P9" s="312">
        <f t="shared" ca="1" si="1"/>
        <v>0</v>
      </c>
      <c r="Q9" s="312">
        <f t="shared" ca="1" si="1"/>
        <v>1023393.3604899617</v>
      </c>
      <c r="R9" s="312">
        <f t="shared" ca="1" si="1"/>
        <v>0</v>
      </c>
      <c r="S9" s="312">
        <f t="shared" ca="1" si="1"/>
        <v>0</v>
      </c>
      <c r="T9" s="312">
        <f t="shared" ca="1" si="1"/>
        <v>0</v>
      </c>
      <c r="U9" s="312">
        <f t="shared" ca="1" si="1"/>
        <v>0</v>
      </c>
      <c r="V9" s="312">
        <f t="shared" ca="1" si="1"/>
        <v>124563.3537761138</v>
      </c>
      <c r="W9" s="312">
        <f t="shared" ca="1" si="1"/>
        <v>-107425</v>
      </c>
      <c r="X9" s="312">
        <f t="shared" ca="1" si="1"/>
        <v>-100000</v>
      </c>
      <c r="Y9" s="312" t="e">
        <f t="shared" ca="1" si="1"/>
        <v>#REF!</v>
      </c>
      <c r="Z9" s="312" t="e">
        <f t="shared" ca="1" si="1"/>
        <v>#REF!</v>
      </c>
      <c r="AA9" s="312" t="e">
        <f t="shared" ca="1" si="2"/>
        <v>#REF!</v>
      </c>
      <c r="AB9" s="312" t="e">
        <f t="shared" ca="1" si="2"/>
        <v>#REF!</v>
      </c>
      <c r="AC9" s="312" t="e">
        <f t="shared" ca="1" si="2"/>
        <v>#REF!</v>
      </c>
      <c r="AD9" s="312" t="e">
        <f t="shared" ca="1" si="2"/>
        <v>#REF!</v>
      </c>
      <c r="AE9" s="312" t="e">
        <f t="shared" ca="1" si="2"/>
        <v>#REF!</v>
      </c>
      <c r="AF9" s="312" t="e">
        <f t="shared" ca="1" si="2"/>
        <v>#REF!</v>
      </c>
      <c r="AG9" s="312"/>
    </row>
    <row r="10" spans="1:33">
      <c r="A10">
        <f t="shared" si="4"/>
        <v>2015</v>
      </c>
      <c r="B10" s="312">
        <f t="shared" ca="1" si="3"/>
        <v>0</v>
      </c>
      <c r="C10" s="312">
        <f t="shared" ca="1" si="1"/>
        <v>-737783.29813157674</v>
      </c>
      <c r="D10" s="312">
        <f t="shared" ca="1" si="1"/>
        <v>0</v>
      </c>
      <c r="E10" s="312">
        <f t="shared" ca="1" si="1"/>
        <v>0</v>
      </c>
      <c r="F10" s="312">
        <f t="shared" ca="1" si="1"/>
        <v>0</v>
      </c>
      <c r="G10" s="312">
        <f t="shared" ca="1" si="1"/>
        <v>0</v>
      </c>
      <c r="H10" s="312">
        <f t="shared" ca="1" si="1"/>
        <v>0</v>
      </c>
      <c r="I10" s="312">
        <f t="shared" ca="1" si="1"/>
        <v>0</v>
      </c>
      <c r="J10" s="312">
        <f t="shared" ca="1" si="1"/>
        <v>-30000</v>
      </c>
      <c r="K10" s="312">
        <f t="shared" ca="1" si="1"/>
        <v>0</v>
      </c>
      <c r="L10" s="312">
        <f t="shared" ca="1" si="1"/>
        <v>3148</v>
      </c>
      <c r="M10" s="312">
        <f t="shared" ca="1" si="1"/>
        <v>0</v>
      </c>
      <c r="N10" s="312">
        <f t="shared" ca="1" si="1"/>
        <v>0</v>
      </c>
      <c r="O10" s="312">
        <f t="shared" ca="1" si="1"/>
        <v>-21000</v>
      </c>
      <c r="P10" s="312">
        <f t="shared" ca="1" si="1"/>
        <v>0</v>
      </c>
      <c r="Q10" s="312">
        <f t="shared" ca="1" si="1"/>
        <v>1228072.032587955</v>
      </c>
      <c r="R10" s="312">
        <f t="shared" ca="1" si="1"/>
        <v>0</v>
      </c>
      <c r="S10" s="312">
        <f t="shared" ca="1" si="1"/>
        <v>0</v>
      </c>
      <c r="T10" s="312">
        <f t="shared" ca="1" si="1"/>
        <v>0</v>
      </c>
      <c r="U10" s="312">
        <f t="shared" ca="1" si="1"/>
        <v>0</v>
      </c>
      <c r="V10" s="312">
        <f t="shared" ca="1" si="1"/>
        <v>124789.17094740043</v>
      </c>
      <c r="W10" s="312">
        <f t="shared" ca="1" si="1"/>
        <v>-109900</v>
      </c>
      <c r="X10" s="312">
        <f t="shared" ca="1" si="1"/>
        <v>-100000</v>
      </c>
      <c r="Y10" s="312" t="e">
        <f t="shared" ca="1" si="1"/>
        <v>#REF!</v>
      </c>
      <c r="Z10" s="312" t="e">
        <f t="shared" ca="1" si="1"/>
        <v>#REF!</v>
      </c>
      <c r="AA10" s="312" t="e">
        <f t="shared" ca="1" si="2"/>
        <v>#REF!</v>
      </c>
      <c r="AB10" s="312" t="e">
        <f t="shared" ca="1" si="2"/>
        <v>#REF!</v>
      </c>
      <c r="AC10" s="312" t="e">
        <f t="shared" ca="1" si="2"/>
        <v>#REF!</v>
      </c>
      <c r="AD10" s="312" t="e">
        <f t="shared" ca="1" si="2"/>
        <v>#REF!</v>
      </c>
      <c r="AE10" s="312" t="e">
        <f t="shared" ca="1" si="2"/>
        <v>#REF!</v>
      </c>
      <c r="AF10" s="312" t="e">
        <f t="shared" ca="1" si="2"/>
        <v>#REF!</v>
      </c>
      <c r="AG10" s="312"/>
    </row>
    <row r="11" spans="1:33">
      <c r="A11">
        <f t="shared" si="4"/>
        <v>2016</v>
      </c>
      <c r="B11" s="312">
        <f t="shared" ca="1" si="3"/>
        <v>0</v>
      </c>
      <c r="C11" s="312">
        <f t="shared" ca="1" si="1"/>
        <v>-803373.63210361463</v>
      </c>
      <c r="D11" s="312">
        <f t="shared" ca="1" si="1"/>
        <v>0</v>
      </c>
      <c r="E11" s="312">
        <f t="shared" ca="1" si="1"/>
        <v>0</v>
      </c>
      <c r="F11" s="312">
        <f t="shared" ca="1" si="1"/>
        <v>0</v>
      </c>
      <c r="G11" s="312">
        <f t="shared" ca="1" si="1"/>
        <v>0</v>
      </c>
      <c r="H11" s="312">
        <f t="shared" ca="1" si="1"/>
        <v>0</v>
      </c>
      <c r="I11" s="312">
        <f t="shared" ca="1" si="1"/>
        <v>0</v>
      </c>
      <c r="J11" s="312">
        <f t="shared" ca="1" si="1"/>
        <v>-30000</v>
      </c>
      <c r="K11" s="312">
        <f t="shared" ca="1" si="1"/>
        <v>0</v>
      </c>
      <c r="L11" s="312">
        <f t="shared" ca="1" si="1"/>
        <v>3148</v>
      </c>
      <c r="M11" s="312">
        <f t="shared" ca="1" si="1"/>
        <v>0</v>
      </c>
      <c r="N11" s="312">
        <f t="shared" ca="1" si="1"/>
        <v>0</v>
      </c>
      <c r="O11" s="312">
        <f t="shared" ca="1" si="1"/>
        <v>-21000</v>
      </c>
      <c r="P11" s="312">
        <f t="shared" ca="1" si="1"/>
        <v>0</v>
      </c>
      <c r="Q11" s="312">
        <f t="shared" ca="1" si="1"/>
        <v>1432750.7046859458</v>
      </c>
      <c r="R11" s="312">
        <f t="shared" ca="1" si="1"/>
        <v>-1970858.8010423069</v>
      </c>
      <c r="S11" s="312">
        <f t="shared" ca="1" si="1"/>
        <v>0</v>
      </c>
      <c r="T11" s="312">
        <f t="shared" ca="1" si="1"/>
        <v>0</v>
      </c>
      <c r="U11" s="312">
        <f t="shared" ca="1" si="1"/>
        <v>0</v>
      </c>
      <c r="V11" s="312">
        <f t="shared" ca="1" si="1"/>
        <v>187489.9879132183</v>
      </c>
      <c r="W11" s="312">
        <f t="shared" ca="1" si="1"/>
        <v>-112375</v>
      </c>
      <c r="X11" s="312">
        <f t="shared" ca="1" si="1"/>
        <v>-100000</v>
      </c>
      <c r="Y11" s="312" t="e">
        <f t="shared" ca="1" si="1"/>
        <v>#REF!</v>
      </c>
      <c r="Z11" s="312" t="e">
        <f t="shared" ca="1" si="1"/>
        <v>#REF!</v>
      </c>
      <c r="AA11" s="312" t="e">
        <f t="shared" ca="1" si="2"/>
        <v>#REF!</v>
      </c>
      <c r="AB11" s="312" t="e">
        <f t="shared" ca="1" si="2"/>
        <v>#REF!</v>
      </c>
      <c r="AC11" s="312" t="e">
        <f t="shared" ca="1" si="2"/>
        <v>#REF!</v>
      </c>
      <c r="AD11" s="312" t="e">
        <f t="shared" ca="1" si="2"/>
        <v>#REF!</v>
      </c>
      <c r="AE11" s="312" t="e">
        <f t="shared" ca="1" si="2"/>
        <v>#REF!</v>
      </c>
      <c r="AF11" s="312" t="e">
        <f t="shared" ca="1" si="2"/>
        <v>#REF!</v>
      </c>
      <c r="AG11" s="312"/>
    </row>
    <row r="12" spans="1:33">
      <c r="A12">
        <f t="shared" si="4"/>
        <v>2017</v>
      </c>
      <c r="B12" s="312">
        <f t="shared" ca="1" si="3"/>
        <v>0</v>
      </c>
      <c r="C12" s="312">
        <f t="shared" ca="1" si="1"/>
        <v>-811256.76010787475</v>
      </c>
      <c r="D12" s="312">
        <f t="shared" ca="1" si="1"/>
        <v>0</v>
      </c>
      <c r="E12" s="312">
        <f t="shared" ca="1" si="1"/>
        <v>0</v>
      </c>
      <c r="F12" s="312">
        <f t="shared" ca="1" si="1"/>
        <v>0</v>
      </c>
      <c r="G12" s="312">
        <f t="shared" ca="1" si="1"/>
        <v>0</v>
      </c>
      <c r="H12" s="312">
        <f t="shared" ca="1" si="1"/>
        <v>0</v>
      </c>
      <c r="I12" s="312">
        <f t="shared" ca="1" si="1"/>
        <v>0</v>
      </c>
      <c r="J12" s="312">
        <f t="shared" ca="1" si="1"/>
        <v>-30000</v>
      </c>
      <c r="K12" s="312">
        <f t="shared" ca="1" si="1"/>
        <v>0</v>
      </c>
      <c r="L12" s="312">
        <f t="shared" ca="1" si="1"/>
        <v>3148</v>
      </c>
      <c r="M12" s="312">
        <f t="shared" ca="1" si="1"/>
        <v>0</v>
      </c>
      <c r="N12" s="312">
        <f t="shared" ca="1" si="1"/>
        <v>0</v>
      </c>
      <c r="O12" s="312">
        <f t="shared" ca="1" si="1"/>
        <v>-21000</v>
      </c>
      <c r="P12" s="312">
        <f t="shared" ca="1" si="1"/>
        <v>0</v>
      </c>
      <c r="Q12" s="312">
        <f t="shared" ca="1" si="1"/>
        <v>1637429.3767839391</v>
      </c>
      <c r="R12" s="312">
        <f t="shared" ca="1" si="1"/>
        <v>-1970858.8010423069</v>
      </c>
      <c r="S12" s="312">
        <f t="shared" ca="1" si="1"/>
        <v>0</v>
      </c>
      <c r="T12" s="312">
        <f t="shared" ca="1" si="1"/>
        <v>0</v>
      </c>
      <c r="U12" s="312">
        <f t="shared" ca="1" si="1"/>
        <v>0</v>
      </c>
      <c r="V12" s="312">
        <f t="shared" ca="1" si="1"/>
        <v>187771.59683356594</v>
      </c>
      <c r="W12" s="312">
        <f t="shared" ca="1" si="1"/>
        <v>-164850</v>
      </c>
      <c r="X12" s="312">
        <f t="shared" ca="1" si="1"/>
        <v>-50000</v>
      </c>
      <c r="Y12" s="312" t="e">
        <f t="shared" ca="1" si="1"/>
        <v>#REF!</v>
      </c>
      <c r="Z12" s="312" t="e">
        <f t="shared" ca="1" si="1"/>
        <v>#REF!</v>
      </c>
      <c r="AA12" s="312" t="e">
        <f t="shared" ca="1" si="2"/>
        <v>#REF!</v>
      </c>
      <c r="AB12" s="312" t="e">
        <f t="shared" ca="1" si="2"/>
        <v>#REF!</v>
      </c>
      <c r="AC12" s="312" t="e">
        <f t="shared" ca="1" si="2"/>
        <v>#REF!</v>
      </c>
      <c r="AD12" s="312" t="e">
        <f t="shared" ca="1" si="2"/>
        <v>#REF!</v>
      </c>
      <c r="AE12" s="312" t="e">
        <f t="shared" ca="1" si="2"/>
        <v>#REF!</v>
      </c>
      <c r="AF12" s="312" t="e">
        <f t="shared" ca="1" si="2"/>
        <v>#REF!</v>
      </c>
      <c r="AG12" s="312"/>
    </row>
    <row r="13" spans="1:33">
      <c r="A13">
        <f t="shared" si="4"/>
        <v>2018</v>
      </c>
      <c r="B13" s="312">
        <f t="shared" ca="1" si="3"/>
        <v>0</v>
      </c>
      <c r="C13" s="312">
        <f t="shared" ca="1" si="1"/>
        <v>-869139.888112135</v>
      </c>
      <c r="D13" s="312">
        <f t="shared" ca="1" si="1"/>
        <v>0</v>
      </c>
      <c r="E13" s="312">
        <f t="shared" ca="1" si="1"/>
        <v>0</v>
      </c>
      <c r="F13" s="312">
        <f t="shared" ca="1" si="1"/>
        <v>0</v>
      </c>
      <c r="G13" s="312">
        <f t="shared" ca="1" si="1"/>
        <v>0</v>
      </c>
      <c r="H13" s="312">
        <f t="shared" ca="1" si="1"/>
        <v>0</v>
      </c>
      <c r="I13" s="312">
        <f t="shared" ca="1" si="1"/>
        <v>0</v>
      </c>
      <c r="J13" s="312">
        <f t="shared" ca="1" si="1"/>
        <v>-30000</v>
      </c>
      <c r="K13" s="312">
        <f t="shared" ca="1" si="1"/>
        <v>0</v>
      </c>
      <c r="L13" s="312">
        <f t="shared" ca="1" si="1"/>
        <v>3148</v>
      </c>
      <c r="M13" s="312">
        <f t="shared" ca="1" si="1"/>
        <v>0</v>
      </c>
      <c r="N13" s="312">
        <f t="shared" ca="1" si="1"/>
        <v>0</v>
      </c>
      <c r="O13" s="312">
        <f t="shared" ca="1" si="1"/>
        <v>-21000</v>
      </c>
      <c r="P13" s="312">
        <f t="shared" ca="1" si="1"/>
        <v>0</v>
      </c>
      <c r="Q13" s="312">
        <f t="shared" ca="1" si="1"/>
        <v>1842108.0488819298</v>
      </c>
      <c r="R13" s="312">
        <f t="shared" ca="1" si="1"/>
        <v>-1970858.8010423069</v>
      </c>
      <c r="S13" s="312">
        <f t="shared" ca="1" si="1"/>
        <v>0</v>
      </c>
      <c r="T13" s="312">
        <f t="shared" ca="1" si="1"/>
        <v>0</v>
      </c>
      <c r="U13" s="312">
        <f t="shared" ca="1" si="1"/>
        <v>0</v>
      </c>
      <c r="V13" s="312">
        <f t="shared" ca="1" si="1"/>
        <v>188033.71202562816</v>
      </c>
      <c r="W13" s="312">
        <f t="shared" ca="1" si="1"/>
        <v>-167325</v>
      </c>
      <c r="X13" s="312">
        <f t="shared" ca="1" si="1"/>
        <v>-50000</v>
      </c>
      <c r="Y13" s="312" t="e">
        <f t="shared" ca="1" si="1"/>
        <v>#REF!</v>
      </c>
      <c r="Z13" s="312" t="e">
        <f t="shared" ca="1" si="1"/>
        <v>#REF!</v>
      </c>
      <c r="AA13" s="312" t="e">
        <f t="shared" ca="1" si="2"/>
        <v>#REF!</v>
      </c>
      <c r="AB13" s="312" t="e">
        <f t="shared" ca="1" si="2"/>
        <v>#REF!</v>
      </c>
      <c r="AC13" s="312" t="e">
        <f t="shared" ca="1" si="2"/>
        <v>#REF!</v>
      </c>
      <c r="AD13" s="312" t="e">
        <f t="shared" ca="1" si="2"/>
        <v>#REF!</v>
      </c>
      <c r="AE13" s="312" t="e">
        <f t="shared" ca="1" si="2"/>
        <v>#REF!</v>
      </c>
      <c r="AF13" s="312" t="e">
        <f t="shared" ca="1" si="2"/>
        <v>#REF!</v>
      </c>
      <c r="AG13" s="312"/>
    </row>
    <row r="14" spans="1:33">
      <c r="A14">
        <f t="shared" si="4"/>
        <v>2019</v>
      </c>
      <c r="B14" s="312">
        <f t="shared" ca="1" si="3"/>
        <v>0</v>
      </c>
      <c r="C14" s="312">
        <f t="shared" ca="1" si="1"/>
        <v>-877023.01611639513</v>
      </c>
      <c r="D14" s="312">
        <f t="shared" ca="1" si="1"/>
        <v>0</v>
      </c>
      <c r="E14" s="312">
        <f t="shared" ca="1" si="1"/>
        <v>0</v>
      </c>
      <c r="F14" s="312">
        <f t="shared" ca="1" si="1"/>
        <v>0</v>
      </c>
      <c r="G14" s="312">
        <f t="shared" ca="1" si="1"/>
        <v>0</v>
      </c>
      <c r="H14" s="312">
        <f t="shared" ca="1" si="1"/>
        <v>0</v>
      </c>
      <c r="I14" s="312">
        <f t="shared" ca="1" si="1"/>
        <v>0</v>
      </c>
      <c r="J14" s="312">
        <f t="shared" ca="1" si="1"/>
        <v>-30000</v>
      </c>
      <c r="K14" s="312">
        <f t="shared" ca="1" si="1"/>
        <v>0</v>
      </c>
      <c r="L14" s="312">
        <f t="shared" ca="1" si="1"/>
        <v>3148</v>
      </c>
      <c r="M14" s="312">
        <f t="shared" ca="1" si="1"/>
        <v>0</v>
      </c>
      <c r="N14" s="312">
        <f t="shared" ca="1" si="1"/>
        <v>0</v>
      </c>
      <c r="O14" s="312">
        <f t="shared" ca="1" si="1"/>
        <v>-21000</v>
      </c>
      <c r="P14" s="312">
        <f t="shared" ca="1" si="1"/>
        <v>0</v>
      </c>
      <c r="Q14" s="312">
        <f t="shared" ca="1" si="1"/>
        <v>2046786.7209799234</v>
      </c>
      <c r="R14" s="312">
        <f t="shared" ca="1" si="1"/>
        <v>-1970858.8010423069</v>
      </c>
      <c r="S14" s="312">
        <f t="shared" ca="1" si="1"/>
        <v>0</v>
      </c>
      <c r="T14" s="312">
        <f t="shared" ca="1" si="1"/>
        <v>0</v>
      </c>
      <c r="U14" s="312">
        <f t="shared" ca="1" si="1"/>
        <v>0</v>
      </c>
      <c r="V14" s="312">
        <f t="shared" ca="1" si="1"/>
        <v>188279.89599625603</v>
      </c>
      <c r="W14" s="312">
        <f t="shared" ca="1" si="1"/>
        <v>-169800</v>
      </c>
      <c r="X14" s="312">
        <f t="shared" ca="1" si="1"/>
        <v>-50000</v>
      </c>
      <c r="Y14" s="312" t="e">
        <f t="shared" ca="1" si="1"/>
        <v>#REF!</v>
      </c>
      <c r="Z14" s="312" t="e">
        <f t="shared" ca="1" si="1"/>
        <v>#REF!</v>
      </c>
      <c r="AA14" s="312" t="e">
        <f t="shared" ca="1" si="2"/>
        <v>#REF!</v>
      </c>
      <c r="AB14" s="312" t="e">
        <f t="shared" ca="1" si="2"/>
        <v>#REF!</v>
      </c>
      <c r="AC14" s="312" t="e">
        <f t="shared" ca="1" si="2"/>
        <v>#REF!</v>
      </c>
      <c r="AD14" s="312" t="e">
        <f t="shared" ca="1" si="2"/>
        <v>#REF!</v>
      </c>
      <c r="AE14" s="312" t="e">
        <f t="shared" ca="1" si="2"/>
        <v>#REF!</v>
      </c>
      <c r="AF14" s="312" t="e">
        <f t="shared" ca="1" si="2"/>
        <v>#REF!</v>
      </c>
      <c r="AG14" s="312"/>
    </row>
    <row r="15" spans="1:33">
      <c r="A15">
        <f t="shared" si="4"/>
        <v>2020</v>
      </c>
      <c r="B15" s="312">
        <f t="shared" ca="1" si="3"/>
        <v>0</v>
      </c>
      <c r="C15" s="312">
        <f t="shared" ca="1" si="1"/>
        <v>-934906.14412065514</v>
      </c>
      <c r="D15" s="312">
        <f t="shared" ca="1" si="1"/>
        <v>0</v>
      </c>
      <c r="E15" s="312">
        <f t="shared" ca="1" si="1"/>
        <v>0</v>
      </c>
      <c r="F15" s="312">
        <f t="shared" ca="1" si="1"/>
        <v>0</v>
      </c>
      <c r="G15" s="312">
        <f t="shared" ca="1" si="1"/>
        <v>0</v>
      </c>
      <c r="H15" s="312">
        <f t="shared" ca="1" si="1"/>
        <v>0</v>
      </c>
      <c r="I15" s="312">
        <f t="shared" ca="1" si="1"/>
        <v>0</v>
      </c>
      <c r="J15" s="312">
        <f t="shared" ca="1" si="1"/>
        <v>-30000</v>
      </c>
      <c r="K15" s="312">
        <f t="shared" ca="1" si="1"/>
        <v>0</v>
      </c>
      <c r="L15" s="312">
        <f t="shared" ca="1" si="1"/>
        <v>3148</v>
      </c>
      <c r="M15" s="312">
        <f t="shared" ca="1" si="1"/>
        <v>-140970.62</v>
      </c>
      <c r="N15" s="312">
        <f t="shared" ca="1" si="1"/>
        <v>-104690.24000000001</v>
      </c>
      <c r="O15" s="312">
        <f t="shared" ca="1" si="1"/>
        <v>-21000</v>
      </c>
      <c r="P15" s="312">
        <f t="shared" ca="1" si="1"/>
        <v>0</v>
      </c>
      <c r="Q15" s="312">
        <f t="shared" ca="1" si="1"/>
        <v>2251465.3930779141</v>
      </c>
      <c r="R15" s="312">
        <f t="shared" ref="R15:AE45" ca="1" si="5">OFFSET(INDIRECT(R$3),$A15-$A$5+$C$1,$C$2)</f>
        <v>-1970858.8010423069</v>
      </c>
      <c r="S15" s="312">
        <f t="shared" ca="1" si="5"/>
        <v>0</v>
      </c>
      <c r="T15" s="312">
        <f t="shared" ca="1" si="5"/>
        <v>0</v>
      </c>
      <c r="U15" s="312">
        <f t="shared" ca="1" si="5"/>
        <v>0</v>
      </c>
      <c r="V15" s="312">
        <f t="shared" ca="1" si="5"/>
        <v>188512.74258500358</v>
      </c>
      <c r="W15" s="312">
        <f t="shared" ca="1" si="5"/>
        <v>-172275</v>
      </c>
      <c r="X15" s="312">
        <f t="shared" ca="1" si="5"/>
        <v>-50000</v>
      </c>
      <c r="Y15" s="312" t="e">
        <f t="shared" ca="1" si="5"/>
        <v>#REF!</v>
      </c>
      <c r="Z15" s="312" t="e">
        <f t="shared" ca="1" si="5"/>
        <v>#REF!</v>
      </c>
      <c r="AA15" s="312" t="e">
        <f t="shared" ca="1" si="2"/>
        <v>#REF!</v>
      </c>
      <c r="AB15" s="312" t="e">
        <f t="shared" ca="1" si="2"/>
        <v>#REF!</v>
      </c>
      <c r="AC15" s="312" t="e">
        <f t="shared" ca="1" si="2"/>
        <v>#REF!</v>
      </c>
      <c r="AD15" s="312" t="e">
        <f t="shared" ca="1" si="2"/>
        <v>#REF!</v>
      </c>
      <c r="AE15" s="312" t="e">
        <f t="shared" ca="1" si="2"/>
        <v>#REF!</v>
      </c>
      <c r="AF15" s="312" t="e">
        <f t="shared" ca="1" si="2"/>
        <v>#REF!</v>
      </c>
      <c r="AG15" s="312"/>
    </row>
    <row r="16" spans="1:33">
      <c r="A16">
        <f t="shared" si="4"/>
        <v>2021</v>
      </c>
      <c r="B16" s="312">
        <f t="shared" ca="1" si="3"/>
        <v>0</v>
      </c>
      <c r="C16" s="312">
        <f t="shared" ca="1" si="3"/>
        <v>-200000</v>
      </c>
      <c r="D16" s="312">
        <f t="shared" ca="1" si="3"/>
        <v>0</v>
      </c>
      <c r="E16" s="312">
        <f t="shared" ca="1" si="3"/>
        <v>0</v>
      </c>
      <c r="F16" s="312">
        <f t="shared" ca="1" si="3"/>
        <v>0</v>
      </c>
      <c r="G16" s="312">
        <f t="shared" ca="1" si="3"/>
        <v>0</v>
      </c>
      <c r="H16" s="312">
        <f t="shared" ca="1" si="3"/>
        <v>0</v>
      </c>
      <c r="I16" s="312">
        <f t="shared" ca="1" si="3"/>
        <v>0</v>
      </c>
      <c r="J16" s="312">
        <f t="shared" ca="1" si="3"/>
        <v>-30000</v>
      </c>
      <c r="K16" s="312">
        <f t="shared" ca="1" si="3"/>
        <v>0</v>
      </c>
      <c r="L16" s="312">
        <f t="shared" ca="1" si="3"/>
        <v>3148</v>
      </c>
      <c r="M16" s="312">
        <f t="shared" ca="1" si="3"/>
        <v>-144489.42000000001</v>
      </c>
      <c r="N16" s="312">
        <f t="shared" ca="1" si="3"/>
        <v>-107307.5</v>
      </c>
      <c r="O16" s="312">
        <f t="shared" ca="1" si="3"/>
        <v>-21000</v>
      </c>
      <c r="P16" s="312">
        <f t="shared" ca="1" si="3"/>
        <v>0</v>
      </c>
      <c r="Q16" s="312">
        <f t="shared" ca="1" si="3"/>
        <v>2456144.0651759072</v>
      </c>
      <c r="R16" s="312">
        <f t="shared" ca="1" si="5"/>
        <v>-1970858.8010423069</v>
      </c>
      <c r="S16" s="312">
        <f t="shared" ca="1" si="5"/>
        <v>0</v>
      </c>
      <c r="T16" s="312">
        <f t="shared" ca="1" si="5"/>
        <v>0</v>
      </c>
      <c r="U16" s="312">
        <f t="shared" ca="1" si="5"/>
        <v>0</v>
      </c>
      <c r="V16" s="312">
        <f t="shared" ca="1" si="5"/>
        <v>188734.2099312158</v>
      </c>
      <c r="W16" s="312">
        <f t="shared" ca="1" si="5"/>
        <v>-174750</v>
      </c>
      <c r="X16" s="312">
        <f t="shared" ca="1" si="5"/>
        <v>-50000</v>
      </c>
      <c r="Y16" s="312" t="e">
        <f t="shared" ca="1" si="5"/>
        <v>#REF!</v>
      </c>
      <c r="Z16" s="312" t="e">
        <f t="shared" ca="1" si="5"/>
        <v>#REF!</v>
      </c>
      <c r="AA16" s="312" t="e">
        <f t="shared" ca="1" si="2"/>
        <v>#REF!</v>
      </c>
      <c r="AB16" s="312" t="e">
        <f t="shared" ca="1" si="2"/>
        <v>#REF!</v>
      </c>
      <c r="AC16" s="312" t="e">
        <f t="shared" ca="1" si="2"/>
        <v>#REF!</v>
      </c>
      <c r="AD16" s="312" t="e">
        <f t="shared" ca="1" si="2"/>
        <v>#REF!</v>
      </c>
      <c r="AE16" s="312" t="e">
        <f t="shared" ca="1" si="2"/>
        <v>#REF!</v>
      </c>
      <c r="AF16" s="312" t="e">
        <f t="shared" ca="1" si="2"/>
        <v>#REF!</v>
      </c>
      <c r="AG16" s="312"/>
    </row>
    <row r="17" spans="1:33">
      <c r="A17">
        <f t="shared" si="4"/>
        <v>2022</v>
      </c>
      <c r="B17" s="312">
        <f t="shared" ca="1" si="3"/>
        <v>0</v>
      </c>
      <c r="C17" s="312">
        <f t="shared" ca="1" si="3"/>
        <v>-200000</v>
      </c>
      <c r="D17" s="312">
        <f t="shared" ca="1" si="3"/>
        <v>0</v>
      </c>
      <c r="E17" s="312">
        <f t="shared" ca="1" si="3"/>
        <v>0</v>
      </c>
      <c r="F17" s="312">
        <f t="shared" ca="1" si="3"/>
        <v>0</v>
      </c>
      <c r="G17" s="312">
        <f t="shared" ca="1" si="3"/>
        <v>0</v>
      </c>
      <c r="H17" s="312">
        <f t="shared" ca="1" si="3"/>
        <v>0</v>
      </c>
      <c r="I17" s="312">
        <f t="shared" ca="1" si="3"/>
        <v>0</v>
      </c>
      <c r="J17" s="312">
        <f t="shared" ca="1" si="3"/>
        <v>-30000</v>
      </c>
      <c r="K17" s="312">
        <f t="shared" ca="1" si="3"/>
        <v>0</v>
      </c>
      <c r="L17" s="312">
        <f t="shared" ca="1" si="3"/>
        <v>3148</v>
      </c>
      <c r="M17" s="312">
        <f t="shared" ca="1" si="3"/>
        <v>-148096.1</v>
      </c>
      <c r="N17" s="312">
        <f t="shared" ca="1" si="3"/>
        <v>-109990.19</v>
      </c>
      <c r="O17" s="312">
        <f t="shared" ca="1" si="3"/>
        <v>-21000</v>
      </c>
      <c r="P17" s="312">
        <f t="shared" ca="1" si="3"/>
        <v>0</v>
      </c>
      <c r="Q17" s="312">
        <f t="shared" ca="1" si="3"/>
        <v>2660822.7372739008</v>
      </c>
      <c r="R17" s="312">
        <f t="shared" ca="1" si="5"/>
        <v>-1970858.8010423069</v>
      </c>
      <c r="S17" s="312">
        <f t="shared" ca="1" si="5"/>
        <v>0</v>
      </c>
      <c r="T17" s="312">
        <f t="shared" ca="1" si="5"/>
        <v>0</v>
      </c>
      <c r="U17" s="312">
        <f t="shared" ca="1" si="5"/>
        <v>0</v>
      </c>
      <c r="V17" s="312">
        <f t="shared" ca="1" si="5"/>
        <v>188945.81931438201</v>
      </c>
      <c r="W17" s="312">
        <f t="shared" ca="1" si="5"/>
        <v>-174750</v>
      </c>
      <c r="X17" s="312">
        <f t="shared" ca="1" si="5"/>
        <v>-50000</v>
      </c>
      <c r="Y17" s="312" t="e">
        <f t="shared" ca="1" si="5"/>
        <v>#REF!</v>
      </c>
      <c r="Z17" s="312" t="e">
        <f t="shared" ca="1" si="5"/>
        <v>#REF!</v>
      </c>
      <c r="AA17" s="312" t="e">
        <f t="shared" ca="1" si="2"/>
        <v>#REF!</v>
      </c>
      <c r="AB17" s="312" t="e">
        <f t="shared" ca="1" si="2"/>
        <v>#REF!</v>
      </c>
      <c r="AC17" s="312" t="e">
        <f t="shared" ca="1" si="2"/>
        <v>#REF!</v>
      </c>
      <c r="AD17" s="312" t="e">
        <f t="shared" ca="1" si="2"/>
        <v>#REF!</v>
      </c>
      <c r="AE17" s="312" t="e">
        <f t="shared" ca="1" si="2"/>
        <v>#REF!</v>
      </c>
      <c r="AF17" s="312" t="e">
        <f t="shared" ca="1" si="2"/>
        <v>#REF!</v>
      </c>
      <c r="AG17" s="312"/>
    </row>
    <row r="18" spans="1:33">
      <c r="A18">
        <f t="shared" si="4"/>
        <v>2023</v>
      </c>
      <c r="B18" s="312">
        <f t="shared" ca="1" si="3"/>
        <v>0</v>
      </c>
      <c r="C18" s="312">
        <f t="shared" ca="1" si="3"/>
        <v>-200000</v>
      </c>
      <c r="D18" s="312">
        <f t="shared" ca="1" si="3"/>
        <v>0</v>
      </c>
      <c r="E18" s="312">
        <f t="shared" ca="1" si="3"/>
        <v>0</v>
      </c>
      <c r="F18" s="312">
        <f t="shared" ca="1" si="3"/>
        <v>0</v>
      </c>
      <c r="G18" s="312">
        <f t="shared" ca="1" si="3"/>
        <v>0</v>
      </c>
      <c r="H18" s="312">
        <f t="shared" ca="1" si="3"/>
        <v>0</v>
      </c>
      <c r="I18" s="312">
        <f t="shared" ca="1" si="3"/>
        <v>0</v>
      </c>
      <c r="J18" s="312">
        <f t="shared" ca="1" si="3"/>
        <v>-30000</v>
      </c>
      <c r="K18" s="312">
        <f t="shared" ca="1" si="3"/>
        <v>0</v>
      </c>
      <c r="L18" s="312">
        <f t="shared" ca="1" si="3"/>
        <v>3148</v>
      </c>
      <c r="M18" s="312">
        <f t="shared" ca="1" si="3"/>
        <v>-151792.87</v>
      </c>
      <c r="N18" s="312">
        <f t="shared" ca="1" si="3"/>
        <v>-112739.94</v>
      </c>
      <c r="O18" s="312">
        <f t="shared" ca="1" si="3"/>
        <v>-21000</v>
      </c>
      <c r="P18" s="312">
        <f t="shared" ca="1" si="3"/>
        <v>0</v>
      </c>
      <c r="Q18" s="312">
        <f t="shared" ca="1" si="3"/>
        <v>2865501.4093718915</v>
      </c>
      <c r="R18" s="312">
        <f t="shared" ca="1" si="5"/>
        <v>-1970858.8010423069</v>
      </c>
      <c r="S18" s="312">
        <f t="shared" ca="1" si="5"/>
        <v>0</v>
      </c>
      <c r="T18" s="312">
        <f t="shared" ca="1" si="5"/>
        <v>0</v>
      </c>
      <c r="U18" s="312">
        <f t="shared" ca="1" si="5"/>
        <v>0</v>
      </c>
      <c r="V18" s="312">
        <f t="shared" ca="1" si="5"/>
        <v>189148.78052821939</v>
      </c>
      <c r="W18" s="312">
        <f t="shared" ca="1" si="5"/>
        <v>-174750</v>
      </c>
      <c r="X18" s="312">
        <f t="shared" ca="1" si="5"/>
        <v>-50000</v>
      </c>
      <c r="Y18" s="312" t="e">
        <f t="shared" ca="1" si="5"/>
        <v>#REF!</v>
      </c>
      <c r="Z18" s="312" t="e">
        <f t="shared" ca="1" si="5"/>
        <v>#REF!</v>
      </c>
      <c r="AA18" s="312" t="e">
        <f t="shared" ca="1" si="2"/>
        <v>#REF!</v>
      </c>
      <c r="AB18" s="312" t="e">
        <f t="shared" ca="1" si="2"/>
        <v>#REF!</v>
      </c>
      <c r="AC18" s="312" t="e">
        <f t="shared" ca="1" si="2"/>
        <v>#REF!</v>
      </c>
      <c r="AD18" s="312" t="e">
        <f t="shared" ca="1" si="2"/>
        <v>#REF!</v>
      </c>
      <c r="AE18" s="312" t="e">
        <f t="shared" ca="1" si="2"/>
        <v>#REF!</v>
      </c>
      <c r="AF18" s="312" t="e">
        <f t="shared" ca="1" si="2"/>
        <v>#REF!</v>
      </c>
      <c r="AG18" s="312"/>
    </row>
    <row r="19" spans="1:33">
      <c r="A19">
        <f t="shared" si="4"/>
        <v>2024</v>
      </c>
      <c r="B19" s="312">
        <f t="shared" ca="1" si="3"/>
        <v>0</v>
      </c>
      <c r="C19" s="312">
        <f t="shared" ca="1" si="3"/>
        <v>-200000</v>
      </c>
      <c r="D19" s="312">
        <f t="shared" ca="1" si="3"/>
        <v>0</v>
      </c>
      <c r="E19" s="312">
        <f t="shared" ca="1" si="3"/>
        <v>0</v>
      </c>
      <c r="F19" s="312">
        <f t="shared" ca="1" si="3"/>
        <v>0</v>
      </c>
      <c r="G19" s="312">
        <f t="shared" ca="1" si="3"/>
        <v>0</v>
      </c>
      <c r="H19" s="312">
        <f t="shared" ca="1" si="3"/>
        <v>0</v>
      </c>
      <c r="I19" s="312">
        <f t="shared" ca="1" si="3"/>
        <v>0</v>
      </c>
      <c r="J19" s="312">
        <f t="shared" ca="1" si="3"/>
        <v>-30000</v>
      </c>
      <c r="K19" s="312">
        <f t="shared" ca="1" si="3"/>
        <v>0</v>
      </c>
      <c r="L19" s="312">
        <f t="shared" ca="1" si="3"/>
        <v>3148</v>
      </c>
      <c r="M19" s="312">
        <f t="shared" ca="1" si="3"/>
        <v>-155581.98000000001</v>
      </c>
      <c r="N19" s="312">
        <f t="shared" ca="1" si="3"/>
        <v>-115558.44</v>
      </c>
      <c r="O19" s="312">
        <f t="shared" ca="1" si="3"/>
        <v>-21000</v>
      </c>
      <c r="P19" s="312">
        <f t="shared" ca="1" si="3"/>
        <v>0</v>
      </c>
      <c r="Q19" s="312">
        <f t="shared" ca="1" si="3"/>
        <v>3070180.0814698851</v>
      </c>
      <c r="R19" s="312">
        <f t="shared" ca="1" si="5"/>
        <v>-1970858.8010423069</v>
      </c>
      <c r="S19" s="312">
        <f t="shared" ca="1" si="5"/>
        <v>0</v>
      </c>
      <c r="T19" s="312">
        <f t="shared" ca="1" si="5"/>
        <v>0</v>
      </c>
      <c r="U19" s="312">
        <f t="shared" ca="1" si="5"/>
        <v>0</v>
      </c>
      <c r="V19" s="312">
        <f t="shared" ca="1" si="5"/>
        <v>189344.074468823</v>
      </c>
      <c r="W19" s="312">
        <f t="shared" ca="1" si="5"/>
        <v>-174750</v>
      </c>
      <c r="X19" s="312">
        <f t="shared" ca="1" si="5"/>
        <v>-50000</v>
      </c>
      <c r="Y19" s="312" t="e">
        <f t="shared" ca="1" si="5"/>
        <v>#REF!</v>
      </c>
      <c r="Z19" s="312" t="e">
        <f t="shared" ca="1" si="5"/>
        <v>#REF!</v>
      </c>
      <c r="AA19" s="312" t="e">
        <f t="shared" ca="1" si="2"/>
        <v>#REF!</v>
      </c>
      <c r="AB19" s="312" t="e">
        <f t="shared" ca="1" si="2"/>
        <v>#REF!</v>
      </c>
      <c r="AC19" s="312" t="e">
        <f t="shared" ca="1" si="2"/>
        <v>#REF!</v>
      </c>
      <c r="AD19" s="312" t="e">
        <f t="shared" ca="1" si="2"/>
        <v>#REF!</v>
      </c>
      <c r="AE19" s="312" t="e">
        <f t="shared" ca="1" si="2"/>
        <v>#REF!</v>
      </c>
      <c r="AF19" s="312" t="e">
        <f t="shared" ca="1" si="2"/>
        <v>#REF!</v>
      </c>
      <c r="AG19" s="312"/>
    </row>
    <row r="20" spans="1:33">
      <c r="A20">
        <f t="shared" si="4"/>
        <v>2025</v>
      </c>
      <c r="B20" s="312">
        <f t="shared" ca="1" si="3"/>
        <v>0</v>
      </c>
      <c r="C20" s="312">
        <f t="shared" ca="1" si="3"/>
        <v>-200000</v>
      </c>
      <c r="D20" s="312">
        <f t="shared" ca="1" si="3"/>
        <v>0</v>
      </c>
      <c r="E20" s="312">
        <f t="shared" ca="1" si="3"/>
        <v>0</v>
      </c>
      <c r="F20" s="312">
        <f t="shared" ca="1" si="3"/>
        <v>0</v>
      </c>
      <c r="G20" s="312">
        <f t="shared" ca="1" si="3"/>
        <v>0</v>
      </c>
      <c r="H20" s="312">
        <f t="shared" ca="1" si="3"/>
        <v>0</v>
      </c>
      <c r="I20" s="312">
        <f t="shared" ca="1" si="3"/>
        <v>0</v>
      </c>
      <c r="J20" s="312">
        <f t="shared" ca="1" si="3"/>
        <v>-30000</v>
      </c>
      <c r="K20" s="312">
        <f t="shared" ca="1" si="3"/>
        <v>0</v>
      </c>
      <c r="L20" s="312">
        <f t="shared" ca="1" si="3"/>
        <v>3148</v>
      </c>
      <c r="M20" s="312">
        <f t="shared" ca="1" si="3"/>
        <v>-159465.72</v>
      </c>
      <c r="N20" s="312">
        <f t="shared" ca="1" si="3"/>
        <v>-118447.4</v>
      </c>
      <c r="O20" s="312">
        <f t="shared" ca="1" si="3"/>
        <v>-21000</v>
      </c>
      <c r="P20" s="312">
        <f t="shared" ca="1" si="3"/>
        <v>0</v>
      </c>
      <c r="Q20" s="312">
        <f t="shared" ca="1" si="3"/>
        <v>3274858.7535678782</v>
      </c>
      <c r="R20" s="312">
        <f t="shared" ca="1" si="5"/>
        <v>-1970858.8010423069</v>
      </c>
      <c r="S20" s="312">
        <f t="shared" ca="1" si="5"/>
        <v>0</v>
      </c>
      <c r="T20" s="312">
        <f t="shared" ca="1" si="5"/>
        <v>0</v>
      </c>
      <c r="U20" s="312">
        <f t="shared" ca="1" si="5"/>
        <v>0</v>
      </c>
      <c r="V20" s="312">
        <f t="shared" ca="1" si="5"/>
        <v>189532.50953521696</v>
      </c>
      <c r="W20" s="312">
        <f t="shared" ca="1" si="5"/>
        <v>-174750</v>
      </c>
      <c r="X20" s="312">
        <f t="shared" ca="1" si="5"/>
        <v>-50000</v>
      </c>
      <c r="Y20" s="312" t="e">
        <f t="shared" ca="1" si="5"/>
        <v>#REF!</v>
      </c>
      <c r="Z20" s="312" t="e">
        <f t="shared" ca="1" si="5"/>
        <v>#REF!</v>
      </c>
      <c r="AA20" s="312" t="e">
        <f t="shared" ca="1" si="2"/>
        <v>#REF!</v>
      </c>
      <c r="AB20" s="312" t="e">
        <f t="shared" ca="1" si="2"/>
        <v>#REF!</v>
      </c>
      <c r="AC20" s="312" t="e">
        <f t="shared" ca="1" si="2"/>
        <v>#REF!</v>
      </c>
      <c r="AD20" s="312" t="e">
        <f t="shared" ca="1" si="2"/>
        <v>#REF!</v>
      </c>
      <c r="AE20" s="312" t="e">
        <f t="shared" ca="1" si="2"/>
        <v>#REF!</v>
      </c>
      <c r="AF20" s="312" t="e">
        <f t="shared" ca="1" si="2"/>
        <v>#REF!</v>
      </c>
      <c r="AG20" s="312"/>
    </row>
    <row r="21" spans="1:33">
      <c r="A21">
        <f t="shared" si="4"/>
        <v>2026</v>
      </c>
      <c r="B21" s="312">
        <f t="shared" ca="1" si="3"/>
        <v>0</v>
      </c>
      <c r="C21" s="312">
        <f t="shared" ca="1" si="3"/>
        <v>-200000</v>
      </c>
      <c r="D21" s="312">
        <f t="shared" ca="1" si="3"/>
        <v>0</v>
      </c>
      <c r="E21" s="312">
        <f t="shared" ca="1" si="3"/>
        <v>0</v>
      </c>
      <c r="F21" s="312">
        <f t="shared" ca="1" si="3"/>
        <v>0</v>
      </c>
      <c r="G21" s="312">
        <f t="shared" ca="1" si="3"/>
        <v>0</v>
      </c>
      <c r="H21" s="312">
        <f t="shared" ca="1" si="3"/>
        <v>0</v>
      </c>
      <c r="I21" s="312">
        <f t="shared" ca="1" si="3"/>
        <v>0</v>
      </c>
      <c r="J21" s="312">
        <f t="shared" ca="1" si="3"/>
        <v>-30000</v>
      </c>
      <c r="K21" s="312">
        <f t="shared" ca="1" si="3"/>
        <v>0</v>
      </c>
      <c r="L21" s="312">
        <f t="shared" ca="1" si="3"/>
        <v>3148</v>
      </c>
      <c r="M21" s="312">
        <f t="shared" ca="1" si="3"/>
        <v>-163446.48000000001</v>
      </c>
      <c r="N21" s="312">
        <f t="shared" ca="1" si="3"/>
        <v>-121408.59</v>
      </c>
      <c r="O21" s="312">
        <f t="shared" ca="1" si="3"/>
        <v>-21000</v>
      </c>
      <c r="P21" s="312">
        <f t="shared" ca="1" si="3"/>
        <v>0</v>
      </c>
      <c r="Q21" s="312">
        <f t="shared" ca="1" si="3"/>
        <v>3479537.4256658689</v>
      </c>
      <c r="R21" s="312">
        <f t="shared" ca="1" si="5"/>
        <v>-1970858.8010423069</v>
      </c>
      <c r="S21" s="312">
        <f t="shared" ca="1" si="5"/>
        <v>0</v>
      </c>
      <c r="T21" s="312">
        <f t="shared" ca="1" si="5"/>
        <v>0</v>
      </c>
      <c r="U21" s="312">
        <f t="shared" ca="1" si="5"/>
        <v>0</v>
      </c>
      <c r="V21" s="312">
        <f t="shared" ca="1" si="5"/>
        <v>189714.76132834144</v>
      </c>
      <c r="W21" s="312">
        <f t="shared" ca="1" si="5"/>
        <v>-174750</v>
      </c>
      <c r="X21" s="312">
        <f t="shared" ca="1" si="5"/>
        <v>-50000</v>
      </c>
      <c r="Y21" s="312" t="e">
        <f t="shared" ca="1" si="5"/>
        <v>#REF!</v>
      </c>
      <c r="Z21" s="312" t="e">
        <f t="shared" ca="1" si="5"/>
        <v>#REF!</v>
      </c>
      <c r="AA21" s="312" t="e">
        <f t="shared" ca="1" si="5"/>
        <v>#REF!</v>
      </c>
      <c r="AB21" s="312" t="e">
        <f t="shared" ca="1" si="5"/>
        <v>#REF!</v>
      </c>
      <c r="AC21" s="312" t="e">
        <f t="shared" ca="1" si="5"/>
        <v>#REF!</v>
      </c>
      <c r="AD21" s="312" t="e">
        <f t="shared" ca="1" si="5"/>
        <v>#REF!</v>
      </c>
      <c r="AE21" s="312" t="e">
        <f t="shared" ca="1" si="5"/>
        <v>#REF!</v>
      </c>
      <c r="AF21" s="312" t="e">
        <f t="shared" ref="AF21:AF45" ca="1" si="6">OFFSET(INDIRECT(AF$3),$A21-$A$5+$C$1,$C$2)</f>
        <v>#REF!</v>
      </c>
      <c r="AG21" s="312"/>
    </row>
    <row r="22" spans="1:33">
      <c r="A22">
        <f t="shared" si="4"/>
        <v>2027</v>
      </c>
      <c r="B22" s="312">
        <f t="shared" ca="1" si="3"/>
        <v>0</v>
      </c>
      <c r="C22" s="312">
        <f t="shared" ca="1" si="3"/>
        <v>-200000</v>
      </c>
      <c r="D22" s="312">
        <f t="shared" ca="1" si="3"/>
        <v>0</v>
      </c>
      <c r="E22" s="312">
        <f t="shared" ca="1" si="3"/>
        <v>0</v>
      </c>
      <c r="F22" s="312">
        <f t="shared" ca="1" si="3"/>
        <v>0</v>
      </c>
      <c r="G22" s="312">
        <f t="shared" ca="1" si="3"/>
        <v>0</v>
      </c>
      <c r="H22" s="312">
        <f t="shared" ca="1" si="3"/>
        <v>0</v>
      </c>
      <c r="I22" s="312">
        <f t="shared" ca="1" si="3"/>
        <v>0</v>
      </c>
      <c r="J22" s="312">
        <f t="shared" ca="1" si="3"/>
        <v>-30000</v>
      </c>
      <c r="K22" s="312">
        <f t="shared" ca="1" si="3"/>
        <v>0</v>
      </c>
      <c r="L22" s="312">
        <f t="shared" ca="1" si="3"/>
        <v>3148</v>
      </c>
      <c r="M22" s="312">
        <f t="shared" ca="1" si="3"/>
        <v>-167526.67000000001</v>
      </c>
      <c r="N22" s="312">
        <f t="shared" ca="1" si="3"/>
        <v>-124443.8</v>
      </c>
      <c r="O22" s="312">
        <f t="shared" ca="1" si="3"/>
        <v>-21000</v>
      </c>
      <c r="P22" s="312">
        <f t="shared" ca="1" si="3"/>
        <v>0</v>
      </c>
      <c r="Q22" s="312">
        <f t="shared" ca="1" si="3"/>
        <v>3684216.0977638625</v>
      </c>
      <c r="R22" s="312">
        <f t="shared" ca="1" si="5"/>
        <v>-1970858.8010423069</v>
      </c>
      <c r="S22" s="312">
        <f t="shared" ca="1" si="5"/>
        <v>0</v>
      </c>
      <c r="T22" s="312">
        <f t="shared" ca="1" si="5"/>
        <v>0</v>
      </c>
      <c r="U22" s="312">
        <f t="shared" ca="1" si="5"/>
        <v>0</v>
      </c>
      <c r="V22" s="312">
        <f t="shared" ca="1" si="5"/>
        <v>189891.40132272491</v>
      </c>
      <c r="W22" s="312">
        <f t="shared" ca="1" si="5"/>
        <v>-174750</v>
      </c>
      <c r="X22" s="312">
        <f t="shared" ca="1" si="5"/>
        <v>-50000</v>
      </c>
      <c r="Y22" s="312" t="e">
        <f t="shared" ca="1" si="5"/>
        <v>#REF!</v>
      </c>
      <c r="Z22" s="312" t="e">
        <f t="shared" ca="1" si="5"/>
        <v>#REF!</v>
      </c>
      <c r="AA22" s="312" t="e">
        <f t="shared" ca="1" si="5"/>
        <v>#REF!</v>
      </c>
      <c r="AB22" s="312" t="e">
        <f t="shared" ca="1" si="5"/>
        <v>#REF!</v>
      </c>
      <c r="AC22" s="312" t="e">
        <f t="shared" ca="1" si="5"/>
        <v>#REF!</v>
      </c>
      <c r="AD22" s="312" t="e">
        <f t="shared" ca="1" si="5"/>
        <v>#REF!</v>
      </c>
      <c r="AE22" s="312" t="e">
        <f t="shared" ca="1" si="5"/>
        <v>#REF!</v>
      </c>
      <c r="AF22" s="312" t="e">
        <f t="shared" ca="1" si="6"/>
        <v>#REF!</v>
      </c>
      <c r="AG22" s="312"/>
    </row>
    <row r="23" spans="1:33">
      <c r="A23">
        <f t="shared" si="4"/>
        <v>2028</v>
      </c>
      <c r="B23" s="312">
        <f t="shared" ca="1" si="3"/>
        <v>0</v>
      </c>
      <c r="C23" s="312">
        <f t="shared" ca="1" si="3"/>
        <v>-200000</v>
      </c>
      <c r="D23" s="312">
        <f t="shared" ca="1" si="3"/>
        <v>0</v>
      </c>
      <c r="E23" s="312">
        <f t="shared" ca="1" si="3"/>
        <v>0</v>
      </c>
      <c r="F23" s="312">
        <f t="shared" ca="1" si="3"/>
        <v>0</v>
      </c>
      <c r="G23" s="312">
        <f t="shared" ca="1" si="3"/>
        <v>0</v>
      </c>
      <c r="H23" s="312">
        <f t="shared" ca="1" si="3"/>
        <v>0</v>
      </c>
      <c r="I23" s="312">
        <f t="shared" ca="1" si="3"/>
        <v>0</v>
      </c>
      <c r="J23" s="312">
        <f t="shared" ca="1" si="3"/>
        <v>-30000</v>
      </c>
      <c r="K23" s="312">
        <f t="shared" ca="1" si="3"/>
        <v>0</v>
      </c>
      <c r="L23" s="312">
        <f t="shared" ca="1" si="3"/>
        <v>3148</v>
      </c>
      <c r="M23" s="312">
        <f t="shared" ca="1" si="3"/>
        <v>-171708.77</v>
      </c>
      <c r="N23" s="312">
        <f t="shared" ca="1" si="3"/>
        <v>-127554.9</v>
      </c>
      <c r="O23" s="312">
        <f t="shared" ca="1" si="3"/>
        <v>-21000</v>
      </c>
      <c r="P23" s="312">
        <f t="shared" ca="1" si="3"/>
        <v>0</v>
      </c>
      <c r="Q23" s="312">
        <f t="shared" ca="1" si="3"/>
        <v>3888894.7698618532</v>
      </c>
      <c r="R23" s="312">
        <f t="shared" ca="1" si="5"/>
        <v>-1970858.8010423069</v>
      </c>
      <c r="S23" s="312">
        <f t="shared" ca="1" si="5"/>
        <v>0</v>
      </c>
      <c r="T23" s="312">
        <f t="shared" ca="1" si="5"/>
        <v>0</v>
      </c>
      <c r="U23" s="312">
        <f t="shared" ca="1" si="5"/>
        <v>0</v>
      </c>
      <c r="V23" s="312">
        <f t="shared" ca="1" si="5"/>
        <v>190062.91803844224</v>
      </c>
      <c r="W23" s="312">
        <f t="shared" ca="1" si="5"/>
        <v>-174750</v>
      </c>
      <c r="X23" s="312">
        <f t="shared" ca="1" si="5"/>
        <v>-50000</v>
      </c>
      <c r="Y23" s="312" t="e">
        <f t="shared" ca="1" si="5"/>
        <v>#REF!</v>
      </c>
      <c r="Z23" s="312" t="e">
        <f t="shared" ca="1" si="5"/>
        <v>#REF!</v>
      </c>
      <c r="AA23" s="312" t="e">
        <f t="shared" ca="1" si="5"/>
        <v>#REF!</v>
      </c>
      <c r="AB23" s="312" t="e">
        <f t="shared" ca="1" si="5"/>
        <v>#REF!</v>
      </c>
      <c r="AC23" s="312" t="e">
        <f t="shared" ca="1" si="5"/>
        <v>#REF!</v>
      </c>
      <c r="AD23" s="312" t="e">
        <f t="shared" ca="1" si="5"/>
        <v>#REF!</v>
      </c>
      <c r="AE23" s="312" t="e">
        <f t="shared" ca="1" si="5"/>
        <v>#REF!</v>
      </c>
      <c r="AF23" s="312" t="e">
        <f t="shared" ca="1" si="6"/>
        <v>#REF!</v>
      </c>
      <c r="AG23" s="312"/>
    </row>
    <row r="24" spans="1:33">
      <c r="A24">
        <f t="shared" si="4"/>
        <v>2029</v>
      </c>
      <c r="B24" s="312">
        <f t="shared" ca="1" si="3"/>
        <v>0</v>
      </c>
      <c r="C24" s="312">
        <f t="shared" ca="1" si="3"/>
        <v>-200000</v>
      </c>
      <c r="D24" s="312">
        <f t="shared" ca="1" si="3"/>
        <v>0</v>
      </c>
      <c r="E24" s="312">
        <f t="shared" ca="1" si="3"/>
        <v>0</v>
      </c>
      <c r="F24" s="312">
        <f t="shared" ca="1" si="3"/>
        <v>0</v>
      </c>
      <c r="G24" s="312">
        <f t="shared" ca="1" si="3"/>
        <v>0</v>
      </c>
      <c r="H24" s="312">
        <f t="shared" ca="1" si="3"/>
        <v>0</v>
      </c>
      <c r="I24" s="312">
        <f t="shared" ca="1" si="3"/>
        <v>0</v>
      </c>
      <c r="J24" s="312">
        <f t="shared" ca="1" si="3"/>
        <v>-30000</v>
      </c>
      <c r="K24" s="312">
        <f t="shared" ca="1" si="3"/>
        <v>0</v>
      </c>
      <c r="L24" s="312">
        <f t="shared" ca="1" si="3"/>
        <v>3148</v>
      </c>
      <c r="M24" s="312">
        <f t="shared" ca="1" si="3"/>
        <v>-175995.34</v>
      </c>
      <c r="N24" s="312">
        <f t="shared" ca="1" si="3"/>
        <v>-130743.77</v>
      </c>
      <c r="O24" s="312">
        <f t="shared" ca="1" si="3"/>
        <v>-21000</v>
      </c>
      <c r="P24" s="312">
        <f t="shared" ca="1" si="3"/>
        <v>0</v>
      </c>
      <c r="Q24" s="312">
        <f t="shared" ca="1" si="3"/>
        <v>4093573.4419598468</v>
      </c>
      <c r="R24" s="312">
        <f t="shared" ca="1" si="5"/>
        <v>-1970858.8010423069</v>
      </c>
      <c r="S24" s="312">
        <f t="shared" ca="1" si="5"/>
        <v>0</v>
      </c>
      <c r="T24" s="312">
        <f t="shared" ca="1" si="5"/>
        <v>0</v>
      </c>
      <c r="U24" s="312">
        <f t="shared" ca="1" si="5"/>
        <v>0</v>
      </c>
      <c r="V24" s="312">
        <f t="shared" ca="1" si="5"/>
        <v>190229.73298014997</v>
      </c>
      <c r="W24" s="312">
        <f t="shared" ca="1" si="5"/>
        <v>-174750</v>
      </c>
      <c r="X24" s="312">
        <f t="shared" ca="1" si="5"/>
        <v>-50000</v>
      </c>
      <c r="Y24" s="312" t="e">
        <f t="shared" ca="1" si="5"/>
        <v>#REF!</v>
      </c>
      <c r="Z24" s="312" t="e">
        <f t="shared" ca="1" si="5"/>
        <v>#REF!</v>
      </c>
      <c r="AA24" s="312" t="e">
        <f t="shared" ca="1" si="5"/>
        <v>#REF!</v>
      </c>
      <c r="AB24" s="312" t="e">
        <f t="shared" ca="1" si="5"/>
        <v>#REF!</v>
      </c>
      <c r="AC24" s="312" t="e">
        <f t="shared" ca="1" si="5"/>
        <v>#REF!</v>
      </c>
      <c r="AD24" s="312" t="e">
        <f t="shared" ca="1" si="5"/>
        <v>#REF!</v>
      </c>
      <c r="AE24" s="312" t="e">
        <f t="shared" ca="1" si="5"/>
        <v>#REF!</v>
      </c>
      <c r="AF24" s="312" t="e">
        <f t="shared" ca="1" si="6"/>
        <v>#REF!</v>
      </c>
      <c r="AG24" s="312"/>
    </row>
    <row r="25" spans="1:33">
      <c r="A25">
        <f t="shared" si="4"/>
        <v>2030</v>
      </c>
      <c r="B25" s="312">
        <f t="shared" ca="1" si="3"/>
        <v>0</v>
      </c>
      <c r="C25" s="312">
        <f t="shared" ca="1" si="3"/>
        <v>-200000</v>
      </c>
      <c r="D25" s="312">
        <f t="shared" ca="1" si="3"/>
        <v>0</v>
      </c>
      <c r="E25" s="312">
        <f t="shared" ca="1" si="3"/>
        <v>0</v>
      </c>
      <c r="F25" s="312">
        <f t="shared" ca="1" si="3"/>
        <v>0</v>
      </c>
      <c r="G25" s="312">
        <f t="shared" ca="1" si="3"/>
        <v>0</v>
      </c>
      <c r="H25" s="312">
        <f t="shared" ca="1" si="3"/>
        <v>0</v>
      </c>
      <c r="I25" s="312">
        <f t="shared" ca="1" si="3"/>
        <v>0</v>
      </c>
      <c r="J25" s="312">
        <f t="shared" ca="1" si="3"/>
        <v>-30000</v>
      </c>
      <c r="K25" s="312">
        <f t="shared" ca="1" si="3"/>
        <v>0</v>
      </c>
      <c r="L25" s="312">
        <f t="shared" ca="1" si="3"/>
        <v>3148</v>
      </c>
      <c r="M25" s="312">
        <f t="shared" ca="1" si="3"/>
        <v>-180388.99</v>
      </c>
      <c r="N25" s="312">
        <f t="shared" ca="1" si="3"/>
        <v>-134012.35999999999</v>
      </c>
      <c r="O25" s="312">
        <f t="shared" ca="1" si="3"/>
        <v>-21000</v>
      </c>
      <c r="P25" s="312">
        <f t="shared" ca="1" si="3"/>
        <v>0</v>
      </c>
      <c r="Q25" s="312">
        <f t="shared" ca="1" si="3"/>
        <v>4298252.1140578371</v>
      </c>
      <c r="R25" s="312">
        <f t="shared" ca="1" si="5"/>
        <v>-1970858.8010423069</v>
      </c>
      <c r="S25" s="312">
        <f t="shared" ca="1" si="5"/>
        <v>0</v>
      </c>
      <c r="T25" s="312">
        <f t="shared" ca="1" si="5"/>
        <v>0</v>
      </c>
      <c r="U25" s="312">
        <f t="shared" ca="1" si="5"/>
        <v>0</v>
      </c>
      <c r="V25" s="312">
        <f t="shared" ca="1" si="5"/>
        <v>190392.21284220132</v>
      </c>
      <c r="W25" s="312">
        <f t="shared" ca="1" si="5"/>
        <v>-174750</v>
      </c>
      <c r="X25" s="312">
        <f t="shared" ca="1" si="5"/>
        <v>-50000</v>
      </c>
      <c r="Y25" s="312" t="e">
        <f t="shared" ca="1" si="5"/>
        <v>#REF!</v>
      </c>
      <c r="Z25" s="312" t="e">
        <f t="shared" ca="1" si="5"/>
        <v>#REF!</v>
      </c>
      <c r="AA25" s="312" t="e">
        <f t="shared" ca="1" si="5"/>
        <v>#REF!</v>
      </c>
      <c r="AB25" s="312" t="e">
        <f t="shared" ca="1" si="5"/>
        <v>#REF!</v>
      </c>
      <c r="AC25" s="312" t="e">
        <f t="shared" ca="1" si="5"/>
        <v>#REF!</v>
      </c>
      <c r="AD25" s="312" t="e">
        <f t="shared" ca="1" si="5"/>
        <v>#REF!</v>
      </c>
      <c r="AE25" s="312" t="e">
        <f t="shared" ca="1" si="5"/>
        <v>#REF!</v>
      </c>
      <c r="AF25" s="312" t="e">
        <f t="shared" ca="1" si="6"/>
        <v>#REF!</v>
      </c>
      <c r="AG25" s="312"/>
    </row>
    <row r="26" spans="1:33">
      <c r="A26">
        <f t="shared" si="4"/>
        <v>2031</v>
      </c>
      <c r="B26" s="312">
        <f t="shared" ca="1" si="3"/>
        <v>0</v>
      </c>
      <c r="C26" s="312">
        <f t="shared" ca="1" si="3"/>
        <v>-200000</v>
      </c>
      <c r="D26" s="312">
        <f t="shared" ca="1" si="3"/>
        <v>0</v>
      </c>
      <c r="E26" s="312">
        <f t="shared" ca="1" si="3"/>
        <v>0</v>
      </c>
      <c r="F26" s="312">
        <f t="shared" ca="1" si="3"/>
        <v>0</v>
      </c>
      <c r="G26" s="312">
        <f t="shared" ca="1" si="3"/>
        <v>0</v>
      </c>
      <c r="H26" s="312">
        <f t="shared" ca="1" si="3"/>
        <v>0</v>
      </c>
      <c r="I26" s="312">
        <f t="shared" ca="1" si="3"/>
        <v>0</v>
      </c>
      <c r="J26" s="312">
        <f t="shared" ca="1" si="3"/>
        <v>-30000</v>
      </c>
      <c r="K26" s="312">
        <f t="shared" ca="1" si="3"/>
        <v>0</v>
      </c>
      <c r="L26" s="312">
        <f t="shared" ca="1" si="3"/>
        <v>3148</v>
      </c>
      <c r="M26" s="312">
        <f t="shared" ca="1" si="3"/>
        <v>-184892.38</v>
      </c>
      <c r="N26" s="312">
        <f t="shared" ca="1" si="3"/>
        <v>-137362.67000000001</v>
      </c>
      <c r="O26" s="312">
        <f t="shared" ca="1" si="3"/>
        <v>-21000</v>
      </c>
      <c r="P26" s="312">
        <f t="shared" ca="1" si="3"/>
        <v>0</v>
      </c>
      <c r="Q26" s="312">
        <f t="shared" ca="1" si="3"/>
        <v>4502930.7861558311</v>
      </c>
      <c r="R26" s="312">
        <f t="shared" ca="1" si="5"/>
        <v>-1970858.8010423069</v>
      </c>
      <c r="S26" s="312">
        <f t="shared" ca="1" si="5"/>
        <v>0</v>
      </c>
      <c r="T26" s="312">
        <f t="shared" ca="1" si="5"/>
        <v>0</v>
      </c>
      <c r="U26" s="312">
        <f t="shared" ca="1" si="5"/>
        <v>0</v>
      </c>
      <c r="V26" s="312">
        <f t="shared" ca="1" si="5"/>
        <v>190550.67899634904</v>
      </c>
      <c r="W26" s="312">
        <f t="shared" ca="1" si="5"/>
        <v>-174750</v>
      </c>
      <c r="X26" s="312">
        <f t="shared" ca="1" si="5"/>
        <v>-50000</v>
      </c>
      <c r="Y26" s="312" t="e">
        <f t="shared" ca="1" si="5"/>
        <v>#REF!</v>
      </c>
      <c r="Z26" s="312" t="e">
        <f t="shared" ca="1" si="5"/>
        <v>#REF!</v>
      </c>
      <c r="AA26" s="312" t="e">
        <f t="shared" ca="1" si="5"/>
        <v>#REF!</v>
      </c>
      <c r="AB26" s="312" t="e">
        <f t="shared" ca="1" si="5"/>
        <v>#REF!</v>
      </c>
      <c r="AC26" s="312" t="e">
        <f t="shared" ca="1" si="5"/>
        <v>#REF!</v>
      </c>
      <c r="AD26" s="312" t="e">
        <f t="shared" ca="1" si="5"/>
        <v>#REF!</v>
      </c>
      <c r="AE26" s="312" t="e">
        <f t="shared" ca="1" si="5"/>
        <v>#REF!</v>
      </c>
      <c r="AF26" s="312" t="e">
        <f t="shared" ca="1" si="6"/>
        <v>#REF!</v>
      </c>
      <c r="AG26" s="312"/>
    </row>
    <row r="27" spans="1:33">
      <c r="A27">
        <f t="shared" si="4"/>
        <v>2032</v>
      </c>
      <c r="B27" s="312">
        <f t="shared" ca="1" si="3"/>
        <v>0</v>
      </c>
      <c r="C27" s="312">
        <f t="shared" ca="1" si="3"/>
        <v>-200000</v>
      </c>
      <c r="D27" s="312">
        <f t="shared" ca="1" si="3"/>
        <v>0</v>
      </c>
      <c r="E27" s="312">
        <f t="shared" ca="1" si="3"/>
        <v>0</v>
      </c>
      <c r="F27" s="312">
        <f t="shared" ca="1" si="3"/>
        <v>0</v>
      </c>
      <c r="G27" s="312">
        <f t="shared" ca="1" si="3"/>
        <v>0</v>
      </c>
      <c r="H27" s="312">
        <f t="shared" ca="1" si="3"/>
        <v>0</v>
      </c>
      <c r="I27" s="312">
        <f t="shared" ca="1" si="3"/>
        <v>0</v>
      </c>
      <c r="J27" s="312">
        <f t="shared" ca="1" si="3"/>
        <v>-30000</v>
      </c>
      <c r="K27" s="312">
        <f t="shared" ca="1" si="3"/>
        <v>0</v>
      </c>
      <c r="L27" s="312">
        <f t="shared" ca="1" si="3"/>
        <v>3148</v>
      </c>
      <c r="M27" s="312">
        <f t="shared" ca="1" si="3"/>
        <v>-189508.26</v>
      </c>
      <c r="N27" s="312">
        <f t="shared" ca="1" si="3"/>
        <v>-140796.74</v>
      </c>
      <c r="O27" s="312">
        <f t="shared" ca="1" si="3"/>
        <v>-21000</v>
      </c>
      <c r="P27" s="312">
        <f t="shared" ca="1" si="3"/>
        <v>0</v>
      </c>
      <c r="Q27" s="312">
        <f t="shared" ca="1" si="3"/>
        <v>4707609.4582538242</v>
      </c>
      <c r="R27" s="312">
        <f t="shared" ca="1" si="5"/>
        <v>-1970858.8010423069</v>
      </c>
      <c r="S27" s="312">
        <f t="shared" ca="1" si="5"/>
        <v>0</v>
      </c>
      <c r="T27" s="312">
        <f t="shared" ca="1" si="5"/>
        <v>0</v>
      </c>
      <c r="U27" s="312">
        <f t="shared" ca="1" si="5"/>
        <v>0</v>
      </c>
      <c r="V27" s="312">
        <f t="shared" ca="1" si="5"/>
        <v>190705.41496683744</v>
      </c>
      <c r="W27" s="312">
        <f t="shared" ca="1" si="5"/>
        <v>-174750</v>
      </c>
      <c r="X27" s="312">
        <f t="shared" ca="1" si="5"/>
        <v>-50000</v>
      </c>
      <c r="Y27" s="312" t="e">
        <f t="shared" ca="1" si="5"/>
        <v>#REF!</v>
      </c>
      <c r="Z27" s="312" t="e">
        <f t="shared" ca="1" si="5"/>
        <v>#REF!</v>
      </c>
      <c r="AA27" s="312" t="e">
        <f t="shared" ca="1" si="5"/>
        <v>#REF!</v>
      </c>
      <c r="AB27" s="312" t="e">
        <f t="shared" ca="1" si="5"/>
        <v>#REF!</v>
      </c>
      <c r="AC27" s="312" t="e">
        <f t="shared" ca="1" si="5"/>
        <v>#REF!</v>
      </c>
      <c r="AD27" s="312" t="e">
        <f t="shared" ca="1" si="5"/>
        <v>#REF!</v>
      </c>
      <c r="AE27" s="312" t="e">
        <f t="shared" ca="1" si="5"/>
        <v>#REF!</v>
      </c>
      <c r="AF27" s="312" t="e">
        <f t="shared" ca="1" si="6"/>
        <v>#REF!</v>
      </c>
      <c r="AG27" s="312"/>
    </row>
    <row r="28" spans="1:33">
      <c r="A28">
        <f t="shared" si="4"/>
        <v>2033</v>
      </c>
      <c r="B28" s="312">
        <f t="shared" ca="1" si="3"/>
        <v>0</v>
      </c>
      <c r="C28" s="312">
        <f t="shared" ca="1" si="3"/>
        <v>-200000</v>
      </c>
      <c r="D28" s="312">
        <f t="shared" ca="1" si="3"/>
        <v>0</v>
      </c>
      <c r="E28" s="312">
        <f t="shared" ca="1" si="3"/>
        <v>0</v>
      </c>
      <c r="F28" s="312">
        <f t="shared" ca="1" si="3"/>
        <v>0</v>
      </c>
      <c r="G28" s="312">
        <f t="shared" ca="1" si="3"/>
        <v>0</v>
      </c>
      <c r="H28" s="312">
        <f t="shared" ca="1" si="3"/>
        <v>0</v>
      </c>
      <c r="I28" s="312">
        <f t="shared" ca="1" si="3"/>
        <v>0</v>
      </c>
      <c r="J28" s="312">
        <f t="shared" ca="1" si="3"/>
        <v>-30000</v>
      </c>
      <c r="K28" s="312">
        <f t="shared" ca="1" si="3"/>
        <v>0</v>
      </c>
      <c r="L28" s="312">
        <f t="shared" ca="1" si="3"/>
        <v>3148</v>
      </c>
      <c r="M28" s="312">
        <f t="shared" ca="1" si="3"/>
        <v>-194239.44</v>
      </c>
      <c r="N28" s="312">
        <f t="shared" ca="1" si="3"/>
        <v>-144316.66</v>
      </c>
      <c r="O28" s="312">
        <f t="shared" ca="1" si="3"/>
        <v>-21000</v>
      </c>
      <c r="P28" s="312">
        <f t="shared" ca="1" si="3"/>
        <v>0</v>
      </c>
      <c r="Q28" s="312">
        <f t="shared" ca="1" si="3"/>
        <v>4912288.1303518144</v>
      </c>
      <c r="R28" s="312">
        <f t="shared" ca="1" si="5"/>
        <v>-1970858.8010423069</v>
      </c>
      <c r="S28" s="312">
        <f t="shared" ca="1" si="5"/>
        <v>0</v>
      </c>
      <c r="T28" s="312">
        <f t="shared" ca="1" si="5"/>
        <v>0</v>
      </c>
      <c r="U28" s="312">
        <f t="shared" ca="1" si="5"/>
        <v>0</v>
      </c>
      <c r="V28" s="312">
        <f t="shared" ca="1" si="5"/>
        <v>190856.67239132349</v>
      </c>
      <c r="W28" s="312">
        <f t="shared" ca="1" si="5"/>
        <v>-174750</v>
      </c>
      <c r="X28" s="312">
        <f t="shared" ca="1" si="5"/>
        <v>-50000</v>
      </c>
      <c r="Y28" s="312" t="e">
        <f t="shared" ca="1" si="5"/>
        <v>#REF!</v>
      </c>
      <c r="Z28" s="312" t="e">
        <f t="shared" ca="1" si="5"/>
        <v>#REF!</v>
      </c>
      <c r="AA28" s="312" t="e">
        <f t="shared" ca="1" si="5"/>
        <v>#REF!</v>
      </c>
      <c r="AB28" s="312" t="e">
        <f t="shared" ca="1" si="5"/>
        <v>#REF!</v>
      </c>
      <c r="AC28" s="312" t="e">
        <f t="shared" ca="1" si="5"/>
        <v>#REF!</v>
      </c>
      <c r="AD28" s="312" t="e">
        <f t="shared" ca="1" si="5"/>
        <v>#REF!</v>
      </c>
      <c r="AE28" s="312" t="e">
        <f t="shared" ca="1" si="5"/>
        <v>#REF!</v>
      </c>
      <c r="AF28" s="312" t="e">
        <f t="shared" ca="1" si="6"/>
        <v>#REF!</v>
      </c>
      <c r="AG28" s="312"/>
    </row>
    <row r="29" spans="1:33">
      <c r="A29">
        <f t="shared" si="4"/>
        <v>2034</v>
      </c>
      <c r="B29" s="312">
        <f t="shared" ca="1" si="3"/>
        <v>0</v>
      </c>
      <c r="C29" s="312">
        <f t="shared" ca="1" si="3"/>
        <v>-200000</v>
      </c>
      <c r="D29" s="312">
        <f t="shared" ca="1" si="3"/>
        <v>0</v>
      </c>
      <c r="E29" s="312">
        <f t="shared" ca="1" si="3"/>
        <v>0</v>
      </c>
      <c r="F29" s="312">
        <f t="shared" ca="1" si="3"/>
        <v>0</v>
      </c>
      <c r="G29" s="312">
        <f t="shared" ca="1" si="3"/>
        <v>0</v>
      </c>
      <c r="H29" s="312">
        <f t="shared" ca="1" si="3"/>
        <v>0</v>
      </c>
      <c r="I29" s="312">
        <f t="shared" ca="1" si="3"/>
        <v>0</v>
      </c>
      <c r="J29" s="312">
        <f t="shared" ca="1" si="3"/>
        <v>-30000</v>
      </c>
      <c r="K29" s="312">
        <f t="shared" ca="1" si="3"/>
        <v>0</v>
      </c>
      <c r="L29" s="312">
        <f t="shared" ca="1" si="3"/>
        <v>3148</v>
      </c>
      <c r="M29" s="312">
        <f t="shared" ca="1" si="3"/>
        <v>-199088.81</v>
      </c>
      <c r="N29" s="312">
        <f t="shared" ca="1" si="3"/>
        <v>-147924.57</v>
      </c>
      <c r="O29" s="312">
        <f t="shared" ca="1" si="3"/>
        <v>-21000</v>
      </c>
      <c r="P29" s="312">
        <f t="shared" ca="1" si="3"/>
        <v>0</v>
      </c>
      <c r="Q29" s="312">
        <f t="shared" ca="1" si="3"/>
        <v>5116966.8024498075</v>
      </c>
      <c r="R29" s="312">
        <f t="shared" ca="1" si="5"/>
        <v>-1970858.8010423069</v>
      </c>
      <c r="S29" s="312">
        <f t="shared" ca="1" si="5"/>
        <v>0</v>
      </c>
      <c r="T29" s="312">
        <f t="shared" ca="1" si="5"/>
        <v>0</v>
      </c>
      <c r="U29" s="312">
        <f t="shared" ca="1" si="5"/>
        <v>0</v>
      </c>
      <c r="V29" s="312">
        <f t="shared" ca="1" si="5"/>
        <v>191004.67582643646</v>
      </c>
      <c r="W29" s="312">
        <f t="shared" ca="1" si="5"/>
        <v>-174750</v>
      </c>
      <c r="X29" s="312">
        <f t="shared" ca="1" si="5"/>
        <v>-50000</v>
      </c>
      <c r="Y29" s="312" t="e">
        <f t="shared" ca="1" si="5"/>
        <v>#REF!</v>
      </c>
      <c r="Z29" s="312" t="e">
        <f t="shared" ca="1" si="5"/>
        <v>#REF!</v>
      </c>
      <c r="AA29" s="312" t="e">
        <f t="shared" ca="1" si="5"/>
        <v>#REF!</v>
      </c>
      <c r="AB29" s="312" t="e">
        <f t="shared" ca="1" si="5"/>
        <v>#REF!</v>
      </c>
      <c r="AC29" s="312" t="e">
        <f t="shared" ca="1" si="5"/>
        <v>#REF!</v>
      </c>
      <c r="AD29" s="312" t="e">
        <f t="shared" ca="1" si="5"/>
        <v>#REF!</v>
      </c>
      <c r="AE29" s="312" t="e">
        <f t="shared" ca="1" si="5"/>
        <v>#REF!</v>
      </c>
      <c r="AF29" s="312" t="e">
        <f t="shared" ca="1" si="6"/>
        <v>#REF!</v>
      </c>
      <c r="AG29" s="312"/>
    </row>
    <row r="30" spans="1:33">
      <c r="A30">
        <f t="shared" si="4"/>
        <v>2035</v>
      </c>
      <c r="B30" s="312">
        <f t="shared" ca="1" si="3"/>
        <v>0</v>
      </c>
      <c r="C30" s="312">
        <f t="shared" ca="1" si="3"/>
        <v>-200000</v>
      </c>
      <c r="D30" s="312">
        <f t="shared" ca="1" si="3"/>
        <v>0</v>
      </c>
      <c r="E30" s="312">
        <f t="shared" ca="1" si="3"/>
        <v>0</v>
      </c>
      <c r="F30" s="312">
        <f t="shared" ca="1" si="3"/>
        <v>0</v>
      </c>
      <c r="G30" s="312">
        <f t="shared" ca="1" si="3"/>
        <v>0</v>
      </c>
      <c r="H30" s="312">
        <f t="shared" ca="1" si="3"/>
        <v>0</v>
      </c>
      <c r="I30" s="312">
        <f t="shared" ca="1" si="3"/>
        <v>0</v>
      </c>
      <c r="J30" s="312">
        <f t="shared" ca="1" si="3"/>
        <v>-30000</v>
      </c>
      <c r="K30" s="312">
        <f t="shared" ca="1" si="3"/>
        <v>0</v>
      </c>
      <c r="L30" s="312">
        <f t="shared" ca="1" si="3"/>
        <v>3148</v>
      </c>
      <c r="M30" s="312">
        <f t="shared" ca="1" si="3"/>
        <v>-204059.32</v>
      </c>
      <c r="N30" s="312">
        <f t="shared" ca="1" si="3"/>
        <v>-151622.69</v>
      </c>
      <c r="O30" s="312">
        <f t="shared" ca="1" si="3"/>
        <v>-21000</v>
      </c>
      <c r="P30" s="312">
        <f t="shared" ca="1" si="3"/>
        <v>0</v>
      </c>
      <c r="Q30" s="312">
        <f t="shared" ca="1" si="3"/>
        <v>5321645.4745478015</v>
      </c>
      <c r="R30" s="312">
        <f t="shared" ca="1" si="5"/>
        <v>-1970858.8010423069</v>
      </c>
      <c r="S30" s="312">
        <f t="shared" ca="1" si="5"/>
        <v>0</v>
      </c>
      <c r="T30" s="312">
        <f t="shared" ca="1" si="5"/>
        <v>0</v>
      </c>
      <c r="U30" s="312">
        <f t="shared" ca="1" si="5"/>
        <v>0</v>
      </c>
      <c r="V30" s="312">
        <f t="shared" ca="1" si="5"/>
        <v>191149.62666042676</v>
      </c>
      <c r="W30" s="312">
        <f t="shared" ca="1" si="5"/>
        <v>-174750</v>
      </c>
      <c r="X30" s="312">
        <f t="shared" ca="1" si="5"/>
        <v>-50000</v>
      </c>
      <c r="Y30" s="312" t="e">
        <f t="shared" ca="1" si="5"/>
        <v>#REF!</v>
      </c>
      <c r="Z30" s="312" t="e">
        <f t="shared" ca="1" si="5"/>
        <v>#REF!</v>
      </c>
      <c r="AA30" s="312" t="e">
        <f t="shared" ca="1" si="5"/>
        <v>#REF!</v>
      </c>
      <c r="AB30" s="312" t="e">
        <f t="shared" ca="1" si="5"/>
        <v>#REF!</v>
      </c>
      <c r="AC30" s="312" t="e">
        <f t="shared" ca="1" si="5"/>
        <v>#REF!</v>
      </c>
      <c r="AD30" s="312" t="e">
        <f t="shared" ca="1" si="5"/>
        <v>#REF!</v>
      </c>
      <c r="AE30" s="312" t="e">
        <f t="shared" ca="1" si="5"/>
        <v>#REF!</v>
      </c>
      <c r="AF30" s="312" t="e">
        <f t="shared" ca="1" si="6"/>
        <v>#REF!</v>
      </c>
      <c r="AG30" s="312"/>
    </row>
    <row r="31" spans="1:33">
      <c r="A31">
        <f t="shared" si="4"/>
        <v>2036</v>
      </c>
      <c r="B31" s="312">
        <f t="shared" ca="1" si="3"/>
        <v>0</v>
      </c>
      <c r="C31" s="312">
        <f t="shared" ca="1" si="3"/>
        <v>-200000</v>
      </c>
      <c r="D31" s="312">
        <f t="shared" ca="1" si="3"/>
        <v>0</v>
      </c>
      <c r="E31" s="312">
        <f t="shared" ca="1" si="3"/>
        <v>0</v>
      </c>
      <c r="F31" s="312">
        <f t="shared" ca="1" si="3"/>
        <v>0</v>
      </c>
      <c r="G31" s="312">
        <f t="shared" ref="G31:V31" ca="1" si="7">OFFSET(INDIRECT(G$3),$A31-$A$5+$C$1,$C$2)</f>
        <v>0</v>
      </c>
      <c r="H31" s="312">
        <f t="shared" ca="1" si="7"/>
        <v>0</v>
      </c>
      <c r="I31" s="312">
        <f t="shared" ca="1" si="7"/>
        <v>0</v>
      </c>
      <c r="J31" s="312">
        <f t="shared" ca="1" si="7"/>
        <v>-30000</v>
      </c>
      <c r="K31" s="312">
        <f t="shared" ca="1" si="7"/>
        <v>0</v>
      </c>
      <c r="L31" s="312">
        <f t="shared" ca="1" si="7"/>
        <v>3148</v>
      </c>
      <c r="M31" s="312">
        <f t="shared" ca="1" si="7"/>
        <v>-209153.98</v>
      </c>
      <c r="N31" s="312">
        <f t="shared" ca="1" si="7"/>
        <v>-155413.25</v>
      </c>
      <c r="O31" s="312">
        <f t="shared" ca="1" si="7"/>
        <v>-21000</v>
      </c>
      <c r="P31" s="312">
        <f t="shared" ca="1" si="7"/>
        <v>0</v>
      </c>
      <c r="Q31" s="312">
        <f t="shared" ca="1" si="7"/>
        <v>5526324.1466457918</v>
      </c>
      <c r="R31" s="312">
        <f t="shared" ca="1" si="7"/>
        <v>-811008.71817115345</v>
      </c>
      <c r="S31" s="312">
        <f t="shared" ca="1" si="7"/>
        <v>0</v>
      </c>
      <c r="T31" s="312">
        <f t="shared" ca="1" si="7"/>
        <v>0</v>
      </c>
      <c r="U31" s="312">
        <f t="shared" ca="1" si="7"/>
        <v>0</v>
      </c>
      <c r="V31" s="312">
        <f t="shared" ca="1" si="7"/>
        <v>191291.70632768099</v>
      </c>
      <c r="W31" s="312">
        <f t="shared" ca="1" si="5"/>
        <v>-174750</v>
      </c>
      <c r="X31" s="312">
        <f t="shared" ca="1" si="5"/>
        <v>-50000</v>
      </c>
      <c r="Y31" s="312" t="e">
        <f t="shared" ca="1" si="5"/>
        <v>#REF!</v>
      </c>
      <c r="Z31" s="312" t="e">
        <f t="shared" ca="1" si="5"/>
        <v>#REF!</v>
      </c>
      <c r="AA31" s="312" t="e">
        <f t="shared" ca="1" si="5"/>
        <v>#REF!</v>
      </c>
      <c r="AB31" s="312" t="e">
        <f t="shared" ref="AA31:AE45" ca="1" si="8">OFFSET(INDIRECT(AB$3),$A31-$A$5+$C$1,$C$2)</f>
        <v>#REF!</v>
      </c>
      <c r="AC31" s="312" t="e">
        <f t="shared" ca="1" si="8"/>
        <v>#REF!</v>
      </c>
      <c r="AD31" s="312" t="e">
        <f t="shared" ca="1" si="8"/>
        <v>#REF!</v>
      </c>
      <c r="AE31" s="312" t="e">
        <f t="shared" ca="1" si="8"/>
        <v>#REF!</v>
      </c>
      <c r="AF31" s="312" t="e">
        <f t="shared" ca="1" si="6"/>
        <v>#REF!</v>
      </c>
      <c r="AG31" s="312"/>
    </row>
    <row r="32" spans="1:33">
      <c r="A32">
        <f t="shared" si="4"/>
        <v>2037</v>
      </c>
      <c r="B32" s="312">
        <f t="shared" ref="B32:Q45" ca="1" si="9">OFFSET(INDIRECT(B$3),$A32-$A$5+$C$1,$C$2)</f>
        <v>0</v>
      </c>
      <c r="C32" s="312">
        <f t="shared" ca="1" si="9"/>
        <v>-200000</v>
      </c>
      <c r="D32" s="312">
        <f t="shared" ca="1" si="9"/>
        <v>0</v>
      </c>
      <c r="E32" s="312">
        <f t="shared" ca="1" si="9"/>
        <v>0</v>
      </c>
      <c r="F32" s="312">
        <f t="shared" ca="1" si="9"/>
        <v>0</v>
      </c>
      <c r="G32" s="312">
        <f t="shared" ca="1" si="9"/>
        <v>0</v>
      </c>
      <c r="H32" s="312">
        <f t="shared" ca="1" si="9"/>
        <v>0</v>
      </c>
      <c r="I32" s="312">
        <f t="shared" ca="1" si="9"/>
        <v>0</v>
      </c>
      <c r="J32" s="312">
        <f t="shared" ca="1" si="9"/>
        <v>-30000</v>
      </c>
      <c r="K32" s="312">
        <f t="shared" ca="1" si="9"/>
        <v>0</v>
      </c>
      <c r="L32" s="312">
        <f t="shared" ca="1" si="9"/>
        <v>3148</v>
      </c>
      <c r="M32" s="312">
        <f t="shared" ca="1" si="9"/>
        <v>-214375.92</v>
      </c>
      <c r="N32" s="312">
        <f t="shared" ca="1" si="9"/>
        <v>-159298.59</v>
      </c>
      <c r="O32" s="312">
        <f t="shared" ca="1" si="9"/>
        <v>-21000</v>
      </c>
      <c r="P32" s="312">
        <f t="shared" ca="1" si="9"/>
        <v>0</v>
      </c>
      <c r="Q32" s="312">
        <f t="shared" ca="1" si="9"/>
        <v>5731002.818743783</v>
      </c>
      <c r="R32" s="312">
        <f t="shared" ref="R32:V45" ca="1" si="10">OFFSET(INDIRECT(R$3),$A32-$A$5+$C$1,$C$2)</f>
        <v>-811008.71817115345</v>
      </c>
      <c r="S32" s="312">
        <f t="shared" ca="1" si="10"/>
        <v>0</v>
      </c>
      <c r="T32" s="312">
        <f t="shared" ca="1" si="10"/>
        <v>0</v>
      </c>
      <c r="U32" s="312">
        <f t="shared" ca="1" si="10"/>
        <v>0</v>
      </c>
      <c r="V32" s="312">
        <f t="shared" ca="1" si="10"/>
        <v>191431.07897157304</v>
      </c>
      <c r="W32" s="312">
        <f t="shared" ca="1" si="5"/>
        <v>-174750</v>
      </c>
      <c r="X32" s="312">
        <f t="shared" ca="1" si="5"/>
        <v>-50000</v>
      </c>
      <c r="Y32" s="312" t="e">
        <f t="shared" ca="1" si="5"/>
        <v>#REF!</v>
      </c>
      <c r="Z32" s="312" t="e">
        <f t="shared" ca="1" si="5"/>
        <v>#REF!</v>
      </c>
      <c r="AA32" s="312" t="e">
        <f t="shared" ca="1" si="8"/>
        <v>#REF!</v>
      </c>
      <c r="AB32" s="312" t="e">
        <f t="shared" ca="1" si="8"/>
        <v>#REF!</v>
      </c>
      <c r="AC32" s="312" t="e">
        <f t="shared" ca="1" si="8"/>
        <v>#REF!</v>
      </c>
      <c r="AD32" s="312" t="e">
        <f t="shared" ca="1" si="8"/>
        <v>#REF!</v>
      </c>
      <c r="AE32" s="312" t="e">
        <f t="shared" ca="1" si="8"/>
        <v>#REF!</v>
      </c>
      <c r="AF32" s="312" t="e">
        <f t="shared" ca="1" si="6"/>
        <v>#REF!</v>
      </c>
      <c r="AG32" s="312"/>
    </row>
    <row r="33" spans="1:33">
      <c r="A33">
        <f t="shared" si="4"/>
        <v>2038</v>
      </c>
      <c r="B33" s="312">
        <f t="shared" ca="1" si="9"/>
        <v>0</v>
      </c>
      <c r="C33" s="312">
        <f t="shared" ca="1" si="9"/>
        <v>-200000</v>
      </c>
      <c r="D33" s="312">
        <f t="shared" ca="1" si="9"/>
        <v>0</v>
      </c>
      <c r="E33" s="312">
        <f t="shared" ca="1" si="9"/>
        <v>0</v>
      </c>
      <c r="F33" s="312">
        <f t="shared" ca="1" si="9"/>
        <v>0</v>
      </c>
      <c r="G33" s="312">
        <f t="shared" ca="1" si="9"/>
        <v>0</v>
      </c>
      <c r="H33" s="312">
        <f t="shared" ca="1" si="9"/>
        <v>0</v>
      </c>
      <c r="I33" s="312">
        <f t="shared" ca="1" si="9"/>
        <v>0</v>
      </c>
      <c r="J33" s="312">
        <f t="shared" ca="1" si="9"/>
        <v>-30000</v>
      </c>
      <c r="K33" s="312">
        <f t="shared" ca="1" si="9"/>
        <v>0</v>
      </c>
      <c r="L33" s="312">
        <f t="shared" ca="1" si="9"/>
        <v>3148</v>
      </c>
      <c r="M33" s="312">
        <f t="shared" ca="1" si="9"/>
        <v>-219728.3</v>
      </c>
      <c r="N33" s="312">
        <f t="shared" ca="1" si="9"/>
        <v>-163281.04999999999</v>
      </c>
      <c r="O33" s="312">
        <f t="shared" ca="1" si="9"/>
        <v>-21000</v>
      </c>
      <c r="P33" s="312">
        <f t="shared" ca="1" si="9"/>
        <v>0</v>
      </c>
      <c r="Q33" s="312">
        <f t="shared" ca="1" si="9"/>
        <v>5935681.4908417761</v>
      </c>
      <c r="R33" s="312">
        <f t="shared" ca="1" si="10"/>
        <v>-811008.71817115345</v>
      </c>
      <c r="S33" s="312">
        <f t="shared" ca="1" si="10"/>
        <v>0</v>
      </c>
      <c r="T33" s="312">
        <f t="shared" ca="1" si="10"/>
        <v>0</v>
      </c>
      <c r="U33" s="312">
        <f t="shared" ca="1" si="10"/>
        <v>0</v>
      </c>
      <c r="V33" s="312">
        <f t="shared" ca="1" si="10"/>
        <v>191567.89366713187</v>
      </c>
      <c r="W33" s="312">
        <f t="shared" ca="1" si="5"/>
        <v>-174750</v>
      </c>
      <c r="X33" s="312">
        <f t="shared" ca="1" si="5"/>
        <v>-50000</v>
      </c>
      <c r="Y33" s="312" t="e">
        <f t="shared" ca="1" si="5"/>
        <v>#REF!</v>
      </c>
      <c r="Z33" s="312" t="e">
        <f t="shared" ca="1" si="5"/>
        <v>#REF!</v>
      </c>
      <c r="AA33" s="312" t="e">
        <f t="shared" ca="1" si="8"/>
        <v>#REF!</v>
      </c>
      <c r="AB33" s="312" t="e">
        <f t="shared" ca="1" si="8"/>
        <v>#REF!</v>
      </c>
      <c r="AC33" s="312" t="e">
        <f t="shared" ca="1" si="8"/>
        <v>#REF!</v>
      </c>
      <c r="AD33" s="312" t="e">
        <f t="shared" ca="1" si="8"/>
        <v>#REF!</v>
      </c>
      <c r="AE33" s="312" t="e">
        <f t="shared" ca="1" si="8"/>
        <v>#REF!</v>
      </c>
      <c r="AF33" s="312" t="e">
        <f t="shared" ca="1" si="6"/>
        <v>#REF!</v>
      </c>
      <c r="AG33" s="312"/>
    </row>
    <row r="34" spans="1:33">
      <c r="A34">
        <f t="shared" si="4"/>
        <v>2039</v>
      </c>
      <c r="B34" s="312">
        <f t="shared" ca="1" si="9"/>
        <v>0</v>
      </c>
      <c r="C34" s="312">
        <f t="shared" ca="1" si="9"/>
        <v>-200000</v>
      </c>
      <c r="D34" s="312">
        <f t="shared" ca="1" si="9"/>
        <v>0</v>
      </c>
      <c r="E34" s="312">
        <f t="shared" ca="1" si="9"/>
        <v>0</v>
      </c>
      <c r="F34" s="312">
        <f t="shared" ca="1" si="9"/>
        <v>0</v>
      </c>
      <c r="G34" s="312">
        <f t="shared" ca="1" si="9"/>
        <v>0</v>
      </c>
      <c r="H34" s="312">
        <f t="shared" ca="1" si="9"/>
        <v>0</v>
      </c>
      <c r="I34" s="312">
        <f t="shared" ca="1" si="9"/>
        <v>0</v>
      </c>
      <c r="J34" s="312">
        <f t="shared" ca="1" si="9"/>
        <v>-30000</v>
      </c>
      <c r="K34" s="312">
        <f t="shared" ca="1" si="9"/>
        <v>0</v>
      </c>
      <c r="L34" s="312">
        <f t="shared" ca="1" si="9"/>
        <v>3148</v>
      </c>
      <c r="M34" s="312">
        <f t="shared" ca="1" si="9"/>
        <v>-225214.39</v>
      </c>
      <c r="N34" s="312">
        <f t="shared" ca="1" si="9"/>
        <v>-167363.07999999999</v>
      </c>
      <c r="O34" s="312">
        <f t="shared" ca="1" si="9"/>
        <v>-21000</v>
      </c>
      <c r="P34" s="312">
        <f t="shared" ca="1" si="9"/>
        <v>0</v>
      </c>
      <c r="Q34" s="312">
        <f t="shared" ca="1" si="9"/>
        <v>6140360.1629397701</v>
      </c>
      <c r="R34" s="312">
        <f t="shared" ca="1" si="10"/>
        <v>-811008.71817115345</v>
      </c>
      <c r="S34" s="312">
        <f t="shared" ca="1" si="10"/>
        <v>0</v>
      </c>
      <c r="T34" s="312">
        <f t="shared" ca="1" si="10"/>
        <v>0</v>
      </c>
      <c r="U34" s="312">
        <f t="shared" ca="1" si="10"/>
        <v>0</v>
      </c>
      <c r="V34" s="312">
        <f t="shared" ca="1" si="10"/>
        <v>191702.28628932338</v>
      </c>
      <c r="W34" s="312">
        <f t="shared" ca="1" si="5"/>
        <v>-174750</v>
      </c>
      <c r="X34" s="312">
        <f t="shared" ca="1" si="5"/>
        <v>-50000</v>
      </c>
      <c r="Y34" s="312" t="e">
        <f t="shared" ca="1" si="5"/>
        <v>#REF!</v>
      </c>
      <c r="Z34" s="312" t="e">
        <f t="shared" ca="1" si="5"/>
        <v>#REF!</v>
      </c>
      <c r="AA34" s="312" t="e">
        <f t="shared" ca="1" si="8"/>
        <v>#REF!</v>
      </c>
      <c r="AB34" s="312" t="e">
        <f t="shared" ca="1" si="8"/>
        <v>#REF!</v>
      </c>
      <c r="AC34" s="312" t="e">
        <f t="shared" ca="1" si="8"/>
        <v>#REF!</v>
      </c>
      <c r="AD34" s="312" t="e">
        <f t="shared" ca="1" si="8"/>
        <v>#REF!</v>
      </c>
      <c r="AE34" s="312" t="e">
        <f t="shared" ca="1" si="8"/>
        <v>#REF!</v>
      </c>
      <c r="AF34" s="312" t="e">
        <f t="shared" ca="1" si="6"/>
        <v>#REF!</v>
      </c>
      <c r="AG34" s="312"/>
    </row>
    <row r="35" spans="1:33">
      <c r="A35">
        <f t="shared" si="4"/>
        <v>2040</v>
      </c>
      <c r="B35" s="312">
        <f t="shared" ca="1" si="9"/>
        <v>0</v>
      </c>
      <c r="C35" s="312">
        <f t="shared" ca="1" si="9"/>
        <v>-200000</v>
      </c>
      <c r="D35" s="312">
        <f t="shared" ca="1" si="9"/>
        <v>0</v>
      </c>
      <c r="E35" s="312">
        <f t="shared" ca="1" si="9"/>
        <v>0</v>
      </c>
      <c r="F35" s="312">
        <f t="shared" ca="1" si="9"/>
        <v>0</v>
      </c>
      <c r="G35" s="312">
        <f t="shared" ca="1" si="9"/>
        <v>0</v>
      </c>
      <c r="H35" s="312">
        <f t="shared" ca="1" si="9"/>
        <v>0</v>
      </c>
      <c r="I35" s="312">
        <f t="shared" ca="1" si="9"/>
        <v>0</v>
      </c>
      <c r="J35" s="312">
        <f t="shared" ca="1" si="9"/>
        <v>-30000</v>
      </c>
      <c r="K35" s="312">
        <f t="shared" ca="1" si="9"/>
        <v>0</v>
      </c>
      <c r="L35" s="312">
        <f t="shared" ca="1" si="9"/>
        <v>3148</v>
      </c>
      <c r="M35" s="312">
        <f t="shared" ca="1" si="9"/>
        <v>-230837.52</v>
      </c>
      <c r="N35" s="312">
        <f t="shared" ca="1" si="9"/>
        <v>-171547.15</v>
      </c>
      <c r="O35" s="312">
        <f t="shared" ca="1" si="9"/>
        <v>-21000</v>
      </c>
      <c r="P35" s="312">
        <f t="shared" ca="1" si="9"/>
        <v>0</v>
      </c>
      <c r="Q35" s="312">
        <f t="shared" ca="1" si="9"/>
        <v>6345038.8350377604</v>
      </c>
      <c r="R35" s="312">
        <f t="shared" ca="1" si="10"/>
        <v>-811008.71817115345</v>
      </c>
      <c r="S35" s="312">
        <f t="shared" ca="1" si="10"/>
        <v>0</v>
      </c>
      <c r="T35" s="312">
        <f t="shared" ca="1" si="10"/>
        <v>0</v>
      </c>
      <c r="U35" s="312">
        <f t="shared" ca="1" si="10"/>
        <v>0</v>
      </c>
      <c r="V35" s="312">
        <f t="shared" ca="1" si="10"/>
        <v>191834.38109365286</v>
      </c>
      <c r="W35" s="312">
        <f t="shared" ca="1" si="5"/>
        <v>-174750</v>
      </c>
      <c r="X35" s="312">
        <f t="shared" ca="1" si="5"/>
        <v>-50000</v>
      </c>
      <c r="Y35" s="312" t="e">
        <f t="shared" ca="1" si="5"/>
        <v>#REF!</v>
      </c>
      <c r="Z35" s="312" t="e">
        <f t="shared" ca="1" si="5"/>
        <v>#REF!</v>
      </c>
      <c r="AA35" s="312" t="e">
        <f t="shared" ca="1" si="8"/>
        <v>#REF!</v>
      </c>
      <c r="AB35" s="312" t="e">
        <f t="shared" ca="1" si="8"/>
        <v>#REF!</v>
      </c>
      <c r="AC35" s="312" t="e">
        <f t="shared" ca="1" si="8"/>
        <v>#REF!</v>
      </c>
      <c r="AD35" s="312" t="e">
        <f t="shared" ca="1" si="8"/>
        <v>#REF!</v>
      </c>
      <c r="AE35" s="312" t="e">
        <f t="shared" ca="1" si="8"/>
        <v>#REF!</v>
      </c>
      <c r="AF35" s="312" t="e">
        <f t="shared" ca="1" si="6"/>
        <v>#REF!</v>
      </c>
      <c r="AG35" s="312"/>
    </row>
    <row r="36" spans="1:33">
      <c r="A36">
        <f t="shared" si="4"/>
        <v>2041</v>
      </c>
      <c r="B36" s="312">
        <f t="shared" ca="1" si="9"/>
        <v>0</v>
      </c>
      <c r="C36" s="312">
        <f t="shared" ca="1" si="9"/>
        <v>-200000</v>
      </c>
      <c r="D36" s="312">
        <f t="shared" ca="1" si="9"/>
        <v>0</v>
      </c>
      <c r="E36" s="312">
        <f t="shared" ca="1" si="9"/>
        <v>0</v>
      </c>
      <c r="F36" s="312">
        <f t="shared" ca="1" si="9"/>
        <v>0</v>
      </c>
      <c r="G36" s="312">
        <f t="shared" ca="1" si="9"/>
        <v>0</v>
      </c>
      <c r="H36" s="312">
        <f t="shared" ca="1" si="9"/>
        <v>0</v>
      </c>
      <c r="I36" s="312">
        <f t="shared" ca="1" si="9"/>
        <v>0</v>
      </c>
      <c r="J36" s="312">
        <f t="shared" ca="1" si="9"/>
        <v>-30000</v>
      </c>
      <c r="K36" s="312">
        <f t="shared" ca="1" si="9"/>
        <v>0</v>
      </c>
      <c r="L36" s="312">
        <f t="shared" ca="1" si="9"/>
        <v>3148</v>
      </c>
      <c r="M36" s="312">
        <f t="shared" ca="1" si="9"/>
        <v>-236601.13</v>
      </c>
      <c r="N36" s="312">
        <f t="shared" ca="1" si="9"/>
        <v>-175835.83</v>
      </c>
      <c r="O36" s="312">
        <f t="shared" ca="1" si="9"/>
        <v>-21000</v>
      </c>
      <c r="P36" s="312">
        <f t="shared" ca="1" si="9"/>
        <v>0</v>
      </c>
      <c r="Q36" s="312">
        <f t="shared" ca="1" si="9"/>
        <v>6549717.5071357545</v>
      </c>
      <c r="R36" s="312">
        <f t="shared" ca="1" si="10"/>
        <v>-811008.71817115345</v>
      </c>
      <c r="S36" s="312">
        <f t="shared" ca="1" si="10"/>
        <v>0</v>
      </c>
      <c r="T36" s="312">
        <f t="shared" ca="1" si="10"/>
        <v>0</v>
      </c>
      <c r="U36" s="312">
        <f t="shared" ca="1" si="10"/>
        <v>0</v>
      </c>
      <c r="V36" s="312">
        <f t="shared" ca="1" si="10"/>
        <v>191964.29206144507</v>
      </c>
      <c r="W36" s="312">
        <f t="shared" ca="1" si="5"/>
        <v>-174750</v>
      </c>
      <c r="X36" s="312">
        <f t="shared" ca="1" si="5"/>
        <v>-50000</v>
      </c>
      <c r="Y36" s="312" t="e">
        <f t="shared" ca="1" si="5"/>
        <v>#REF!</v>
      </c>
      <c r="Z36" s="312" t="e">
        <f t="shared" ca="1" si="5"/>
        <v>#REF!</v>
      </c>
      <c r="AA36" s="312" t="e">
        <f t="shared" ca="1" si="8"/>
        <v>#REF!</v>
      </c>
      <c r="AB36" s="312" t="e">
        <f t="shared" ca="1" si="8"/>
        <v>#REF!</v>
      </c>
      <c r="AC36" s="312" t="e">
        <f t="shared" ca="1" si="8"/>
        <v>#REF!</v>
      </c>
      <c r="AD36" s="312" t="e">
        <f t="shared" ca="1" si="8"/>
        <v>#REF!</v>
      </c>
      <c r="AE36" s="312" t="e">
        <f t="shared" ca="1" si="8"/>
        <v>#REF!</v>
      </c>
      <c r="AF36" s="312" t="e">
        <f t="shared" ca="1" si="6"/>
        <v>#REF!</v>
      </c>
      <c r="AG36" s="312"/>
    </row>
    <row r="37" spans="1:33">
      <c r="A37">
        <f t="shared" si="4"/>
        <v>2042</v>
      </c>
      <c r="B37" s="312">
        <f t="shared" ca="1" si="9"/>
        <v>0</v>
      </c>
      <c r="C37" s="312">
        <f t="shared" ca="1" si="9"/>
        <v>-200000</v>
      </c>
      <c r="D37" s="312">
        <f t="shared" ca="1" si="9"/>
        <v>0</v>
      </c>
      <c r="E37" s="312">
        <f t="shared" ca="1" si="9"/>
        <v>0</v>
      </c>
      <c r="F37" s="312">
        <f t="shared" ca="1" si="9"/>
        <v>0</v>
      </c>
      <c r="G37" s="312">
        <f t="shared" ca="1" si="9"/>
        <v>0</v>
      </c>
      <c r="H37" s="312">
        <f t="shared" ca="1" si="9"/>
        <v>0</v>
      </c>
      <c r="I37" s="312">
        <f t="shared" ca="1" si="9"/>
        <v>0</v>
      </c>
      <c r="J37" s="312">
        <f t="shared" ca="1" si="9"/>
        <v>-30000</v>
      </c>
      <c r="K37" s="312">
        <f t="shared" ca="1" si="9"/>
        <v>0</v>
      </c>
      <c r="L37" s="312">
        <f t="shared" ca="1" si="9"/>
        <v>3148</v>
      </c>
      <c r="M37" s="312">
        <f t="shared" ca="1" si="9"/>
        <v>-242508.71</v>
      </c>
      <c r="N37" s="312">
        <f t="shared" ca="1" si="9"/>
        <v>-180231.73</v>
      </c>
      <c r="O37" s="312">
        <f t="shared" ca="1" si="9"/>
        <v>-21000</v>
      </c>
      <c r="P37" s="312">
        <f t="shared" ca="1" si="9"/>
        <v>0</v>
      </c>
      <c r="Q37" s="312">
        <f t="shared" ca="1" si="9"/>
        <v>6754396.1792337466</v>
      </c>
      <c r="R37" s="312">
        <f t="shared" ca="1" si="10"/>
        <v>-811008.71817115345</v>
      </c>
      <c r="S37" s="312">
        <f t="shared" ca="1" si="10"/>
        <v>0</v>
      </c>
      <c r="T37" s="312">
        <f t="shared" ca="1" si="10"/>
        <v>0</v>
      </c>
      <c r="U37" s="312">
        <f t="shared" ca="1" si="10"/>
        <v>0</v>
      </c>
      <c r="V37" s="312">
        <f t="shared" ca="1" si="10"/>
        <v>192092.12405125631</v>
      </c>
      <c r="W37" s="312">
        <f t="shared" ca="1" si="5"/>
        <v>-174750</v>
      </c>
      <c r="X37" s="312">
        <f t="shared" ca="1" si="5"/>
        <v>-50000</v>
      </c>
      <c r="Y37" s="312" t="e">
        <f t="shared" ca="1" si="5"/>
        <v>#REF!</v>
      </c>
      <c r="Z37" s="312" t="e">
        <f t="shared" ca="1" si="5"/>
        <v>#REF!</v>
      </c>
      <c r="AA37" s="312" t="e">
        <f t="shared" ca="1" si="8"/>
        <v>#REF!</v>
      </c>
      <c r="AB37" s="312" t="e">
        <f t="shared" ca="1" si="8"/>
        <v>#REF!</v>
      </c>
      <c r="AC37" s="312" t="e">
        <f t="shared" ca="1" si="8"/>
        <v>#REF!</v>
      </c>
      <c r="AD37" s="312" t="e">
        <f t="shared" ca="1" si="8"/>
        <v>#REF!</v>
      </c>
      <c r="AE37" s="312" t="e">
        <f t="shared" ca="1" si="8"/>
        <v>#REF!</v>
      </c>
      <c r="AF37" s="312" t="e">
        <f t="shared" ca="1" si="6"/>
        <v>#REF!</v>
      </c>
      <c r="AG37" s="312"/>
    </row>
    <row r="38" spans="1:33">
      <c r="A38">
        <f t="shared" si="4"/>
        <v>2043</v>
      </c>
      <c r="B38" s="312">
        <f t="shared" ca="1" si="9"/>
        <v>0</v>
      </c>
      <c r="C38" s="312">
        <f t="shared" ca="1" si="9"/>
        <v>-200000</v>
      </c>
      <c r="D38" s="312">
        <f t="shared" ca="1" si="9"/>
        <v>0</v>
      </c>
      <c r="E38" s="312">
        <f t="shared" ca="1" si="9"/>
        <v>0</v>
      </c>
      <c r="F38" s="312">
        <f t="shared" ca="1" si="9"/>
        <v>0</v>
      </c>
      <c r="G38" s="312">
        <f t="shared" ca="1" si="9"/>
        <v>0</v>
      </c>
      <c r="H38" s="312">
        <f t="shared" ca="1" si="9"/>
        <v>0</v>
      </c>
      <c r="I38" s="312">
        <f t="shared" ca="1" si="9"/>
        <v>0</v>
      </c>
      <c r="J38" s="312">
        <f t="shared" ca="1" si="9"/>
        <v>-30000</v>
      </c>
      <c r="K38" s="312">
        <f t="shared" ca="1" si="9"/>
        <v>0</v>
      </c>
      <c r="L38" s="312">
        <f t="shared" ca="1" si="9"/>
        <v>3148</v>
      </c>
      <c r="M38" s="312">
        <f t="shared" ca="1" si="9"/>
        <v>-248563.88</v>
      </c>
      <c r="N38" s="312">
        <f t="shared" ca="1" si="9"/>
        <v>-184737.52</v>
      </c>
      <c r="O38" s="312">
        <f t="shared" ca="1" si="9"/>
        <v>-21000</v>
      </c>
      <c r="P38" s="312">
        <f t="shared" ca="1" si="9"/>
        <v>0</v>
      </c>
      <c r="Q38" s="312">
        <f t="shared" ca="1" si="9"/>
        <v>6959074.8513317378</v>
      </c>
      <c r="R38" s="312">
        <f t="shared" ca="1" si="10"/>
        <v>-811008.71817115345</v>
      </c>
      <c r="S38" s="312">
        <f t="shared" ca="1" si="10"/>
        <v>0</v>
      </c>
      <c r="T38" s="312">
        <f t="shared" ca="1" si="10"/>
        <v>0</v>
      </c>
      <c r="U38" s="312">
        <f t="shared" ca="1" si="10"/>
        <v>0</v>
      </c>
      <c r="V38" s="312">
        <f t="shared" ca="1" si="10"/>
        <v>192217.97378950985</v>
      </c>
      <c r="W38" s="312">
        <f t="shared" ca="1" si="5"/>
        <v>-174750</v>
      </c>
      <c r="X38" s="312">
        <f t="shared" ca="1" si="5"/>
        <v>-50000</v>
      </c>
      <c r="Y38" s="312" t="e">
        <f t="shared" ca="1" si="5"/>
        <v>#REF!</v>
      </c>
      <c r="Z38" s="312" t="e">
        <f t="shared" ca="1" si="5"/>
        <v>#REF!</v>
      </c>
      <c r="AA38" s="312" t="e">
        <f t="shared" ca="1" si="8"/>
        <v>#REF!</v>
      </c>
      <c r="AB38" s="312" t="e">
        <f t="shared" ca="1" si="8"/>
        <v>#REF!</v>
      </c>
      <c r="AC38" s="312" t="e">
        <f t="shared" ca="1" si="8"/>
        <v>#REF!</v>
      </c>
      <c r="AD38" s="312" t="e">
        <f t="shared" ca="1" si="8"/>
        <v>#REF!</v>
      </c>
      <c r="AE38" s="312" t="e">
        <f t="shared" ca="1" si="8"/>
        <v>#REF!</v>
      </c>
      <c r="AF38" s="312" t="e">
        <f t="shared" ca="1" si="6"/>
        <v>#REF!</v>
      </c>
      <c r="AG38" s="312"/>
    </row>
    <row r="39" spans="1:33">
      <c r="A39">
        <f t="shared" si="4"/>
        <v>2044</v>
      </c>
      <c r="B39" s="312">
        <f t="shared" ca="1" si="9"/>
        <v>0</v>
      </c>
      <c r="C39" s="312">
        <f t="shared" ca="1" si="9"/>
        <v>-200000</v>
      </c>
      <c r="D39" s="312">
        <f t="shared" ca="1" si="9"/>
        <v>0</v>
      </c>
      <c r="E39" s="312">
        <f t="shared" ca="1" si="9"/>
        <v>0</v>
      </c>
      <c r="F39" s="312">
        <f t="shared" ca="1" si="9"/>
        <v>0</v>
      </c>
      <c r="G39" s="312">
        <f t="shared" ca="1" si="9"/>
        <v>0</v>
      </c>
      <c r="H39" s="312">
        <f t="shared" ca="1" si="9"/>
        <v>0</v>
      </c>
      <c r="I39" s="312">
        <f t="shared" ca="1" si="9"/>
        <v>0</v>
      </c>
      <c r="J39" s="312">
        <f t="shared" ca="1" si="9"/>
        <v>-30000</v>
      </c>
      <c r="K39" s="312">
        <f t="shared" ca="1" si="9"/>
        <v>0</v>
      </c>
      <c r="L39" s="312">
        <f t="shared" ca="1" si="9"/>
        <v>3148</v>
      </c>
      <c r="M39" s="312">
        <f t="shared" ca="1" si="9"/>
        <v>-254770.32</v>
      </c>
      <c r="N39" s="312">
        <f t="shared" ca="1" si="9"/>
        <v>-189355.96</v>
      </c>
      <c r="O39" s="312">
        <f t="shared" ca="1" si="9"/>
        <v>-21000</v>
      </c>
      <c r="P39" s="312">
        <f t="shared" ca="1" si="9"/>
        <v>0</v>
      </c>
      <c r="Q39" s="312">
        <f t="shared" ca="1" si="9"/>
        <v>7163753.5234297309</v>
      </c>
      <c r="R39" s="312">
        <f t="shared" ca="1" si="10"/>
        <v>-811008.71817115345</v>
      </c>
      <c r="S39" s="312">
        <f t="shared" ca="1" si="10"/>
        <v>0</v>
      </c>
      <c r="T39" s="312">
        <f t="shared" ca="1" si="10"/>
        <v>0</v>
      </c>
      <c r="U39" s="312">
        <f t="shared" ca="1" si="10"/>
        <v>0</v>
      </c>
      <c r="V39" s="312">
        <f t="shared" ca="1" si="10"/>
        <v>192341.9307269709</v>
      </c>
      <c r="W39" s="312">
        <f t="shared" ca="1" si="5"/>
        <v>-174750</v>
      </c>
      <c r="X39" s="312">
        <f t="shared" ca="1" si="5"/>
        <v>-50000</v>
      </c>
      <c r="Y39" s="312" t="e">
        <f t="shared" ca="1" si="5"/>
        <v>#REF!</v>
      </c>
      <c r="Z39" s="312" t="e">
        <f t="shared" ca="1" si="5"/>
        <v>#REF!</v>
      </c>
      <c r="AA39" s="312" t="e">
        <f t="shared" ca="1" si="8"/>
        <v>#REF!</v>
      </c>
      <c r="AB39" s="312" t="e">
        <f t="shared" ca="1" si="8"/>
        <v>#REF!</v>
      </c>
      <c r="AC39" s="312" t="e">
        <f t="shared" ca="1" si="8"/>
        <v>#REF!</v>
      </c>
      <c r="AD39" s="312" t="e">
        <f t="shared" ca="1" si="8"/>
        <v>#REF!</v>
      </c>
      <c r="AE39" s="312" t="e">
        <f t="shared" ca="1" si="8"/>
        <v>#REF!</v>
      </c>
      <c r="AF39" s="312" t="e">
        <f t="shared" ca="1" si="6"/>
        <v>#REF!</v>
      </c>
      <c r="AG39" s="312"/>
    </row>
    <row r="40" spans="1:33">
      <c r="A40">
        <f t="shared" si="4"/>
        <v>2045</v>
      </c>
      <c r="B40" s="312">
        <f t="shared" ca="1" si="9"/>
        <v>0</v>
      </c>
      <c r="C40" s="312">
        <f t="shared" ca="1" si="9"/>
        <v>-200000</v>
      </c>
      <c r="D40" s="312">
        <f t="shared" ca="1" si="9"/>
        <v>0</v>
      </c>
      <c r="E40" s="312">
        <f t="shared" ca="1" si="9"/>
        <v>0</v>
      </c>
      <c r="F40" s="312">
        <f t="shared" ca="1" si="9"/>
        <v>0</v>
      </c>
      <c r="G40" s="312">
        <f t="shared" ca="1" si="9"/>
        <v>0</v>
      </c>
      <c r="H40" s="312">
        <f t="shared" ca="1" si="9"/>
        <v>0</v>
      </c>
      <c r="I40" s="312">
        <f t="shared" ca="1" si="9"/>
        <v>0</v>
      </c>
      <c r="J40" s="312">
        <f t="shared" ca="1" si="9"/>
        <v>-30000</v>
      </c>
      <c r="K40" s="312">
        <f t="shared" ca="1" si="9"/>
        <v>0</v>
      </c>
      <c r="L40" s="312">
        <f t="shared" ca="1" si="9"/>
        <v>3148</v>
      </c>
      <c r="M40" s="312">
        <f t="shared" ca="1" si="9"/>
        <v>-261131.8</v>
      </c>
      <c r="N40" s="312">
        <f t="shared" ca="1" si="9"/>
        <v>-194089.86</v>
      </c>
      <c r="O40" s="312">
        <f t="shared" ca="1" si="9"/>
        <v>-21000</v>
      </c>
      <c r="P40" s="312">
        <f t="shared" ca="1" si="9"/>
        <v>0</v>
      </c>
      <c r="Q40" s="312">
        <f t="shared" ca="1" si="9"/>
        <v>7368432.1955277249</v>
      </c>
      <c r="R40" s="312">
        <f t="shared" ca="1" si="10"/>
        <v>-811008.71817115345</v>
      </c>
      <c r="S40" s="312">
        <f t="shared" ca="1" si="10"/>
        <v>0</v>
      </c>
      <c r="T40" s="312">
        <f t="shared" ca="1" si="10"/>
        <v>0</v>
      </c>
      <c r="U40" s="312">
        <f t="shared" ca="1" si="10"/>
        <v>0</v>
      </c>
      <c r="V40" s="312">
        <f t="shared" ca="1" si="10"/>
        <v>192464.07778262065</v>
      </c>
      <c r="W40" s="312">
        <f t="shared" ca="1" si="5"/>
        <v>-174750</v>
      </c>
      <c r="X40" s="312">
        <f t="shared" ca="1" si="5"/>
        <v>-50000</v>
      </c>
      <c r="Y40" s="312" t="e">
        <f t="shared" ca="1" si="5"/>
        <v>#REF!</v>
      </c>
      <c r="Z40" s="312" t="e">
        <f t="shared" ca="1" si="5"/>
        <v>#REF!</v>
      </c>
      <c r="AA40" s="312" t="e">
        <f t="shared" ca="1" si="8"/>
        <v>#REF!</v>
      </c>
      <c r="AB40" s="312" t="e">
        <f t="shared" ca="1" si="8"/>
        <v>#REF!</v>
      </c>
      <c r="AC40" s="312" t="e">
        <f t="shared" ca="1" si="8"/>
        <v>#REF!</v>
      </c>
      <c r="AD40" s="312" t="e">
        <f t="shared" ca="1" si="8"/>
        <v>#REF!</v>
      </c>
      <c r="AE40" s="312" t="e">
        <f t="shared" ca="1" si="8"/>
        <v>#REF!</v>
      </c>
      <c r="AF40" s="312" t="e">
        <f t="shared" ca="1" si="6"/>
        <v>#REF!</v>
      </c>
      <c r="AG40" s="312"/>
    </row>
    <row r="41" spans="1:33">
      <c r="A41">
        <f>A40+1</f>
        <v>2046</v>
      </c>
      <c r="B41" s="312">
        <f t="shared" ca="1" si="9"/>
        <v>0</v>
      </c>
      <c r="C41" s="312">
        <f t="shared" ca="1" si="9"/>
        <v>-200000</v>
      </c>
      <c r="D41" s="312">
        <f t="shared" ca="1" si="9"/>
        <v>0</v>
      </c>
      <c r="E41" s="312">
        <f t="shared" ca="1" si="9"/>
        <v>0</v>
      </c>
      <c r="F41" s="312">
        <f t="shared" ca="1" si="9"/>
        <v>0</v>
      </c>
      <c r="G41" s="312">
        <f t="shared" ca="1" si="9"/>
        <v>0</v>
      </c>
      <c r="H41" s="312">
        <f t="shared" ca="1" si="9"/>
        <v>0</v>
      </c>
      <c r="I41" s="312">
        <f t="shared" ca="1" si="9"/>
        <v>0</v>
      </c>
      <c r="J41" s="312">
        <f t="shared" ca="1" si="9"/>
        <v>-30000</v>
      </c>
      <c r="K41" s="312">
        <f t="shared" ca="1" si="9"/>
        <v>0</v>
      </c>
      <c r="L41" s="312">
        <f t="shared" ca="1" si="9"/>
        <v>3148</v>
      </c>
      <c r="M41" s="312">
        <f t="shared" ca="1" si="9"/>
        <v>-267652.21000000002</v>
      </c>
      <c r="N41" s="312">
        <f t="shared" ca="1" si="9"/>
        <v>-198942.11</v>
      </c>
      <c r="O41" s="312">
        <f t="shared" ca="1" si="9"/>
        <v>-21000</v>
      </c>
      <c r="P41" s="312">
        <f t="shared" ca="1" si="9"/>
        <v>0</v>
      </c>
      <c r="Q41" s="312">
        <f t="shared" ca="1" si="9"/>
        <v>7573110.8676257152</v>
      </c>
      <c r="R41" s="312">
        <f t="shared" ca="1" si="10"/>
        <v>-811008.71817115345</v>
      </c>
      <c r="S41" s="312">
        <f t="shared" ca="1" si="10"/>
        <v>0</v>
      </c>
      <c r="T41" s="312">
        <f t="shared" ca="1" si="10"/>
        <v>0</v>
      </c>
      <c r="U41" s="312">
        <f t="shared" ca="1" si="10"/>
        <v>0</v>
      </c>
      <c r="V41" s="312">
        <f t="shared" ca="1" si="10"/>
        <v>192584.49199251211</v>
      </c>
      <c r="W41" s="312">
        <f t="shared" ca="1" si="5"/>
        <v>-174750</v>
      </c>
      <c r="X41" s="312">
        <f t="shared" ca="1" si="5"/>
        <v>-50000</v>
      </c>
      <c r="Y41" s="312" t="e">
        <f t="shared" ca="1" si="5"/>
        <v>#REF!</v>
      </c>
      <c r="Z41" s="312" t="e">
        <f t="shared" ca="1" si="5"/>
        <v>#REF!</v>
      </c>
      <c r="AA41" s="312" t="e">
        <f t="shared" ca="1" si="8"/>
        <v>#REF!</v>
      </c>
      <c r="AB41" s="312" t="e">
        <f t="shared" ca="1" si="8"/>
        <v>#REF!</v>
      </c>
      <c r="AC41" s="312" t="e">
        <f t="shared" ca="1" si="8"/>
        <v>#REF!</v>
      </c>
      <c r="AD41" s="312" t="e">
        <f t="shared" ca="1" si="8"/>
        <v>#REF!</v>
      </c>
      <c r="AE41" s="312" t="e">
        <f t="shared" ca="1" si="8"/>
        <v>#REF!</v>
      </c>
      <c r="AF41" s="312" t="e">
        <f t="shared" ca="1" si="6"/>
        <v>#REF!</v>
      </c>
      <c r="AG41" s="312"/>
    </row>
    <row r="42" spans="1:33">
      <c r="A42">
        <f t="shared" si="4"/>
        <v>2047</v>
      </c>
      <c r="B42" s="312">
        <f t="shared" ca="1" si="9"/>
        <v>0</v>
      </c>
      <c r="C42" s="312">
        <f t="shared" ca="1" si="9"/>
        <v>-200000</v>
      </c>
      <c r="D42" s="312">
        <f t="shared" ca="1" si="9"/>
        <v>0</v>
      </c>
      <c r="E42" s="312">
        <f t="shared" ca="1" si="9"/>
        <v>0</v>
      </c>
      <c r="F42" s="312">
        <f t="shared" ca="1" si="9"/>
        <v>0</v>
      </c>
      <c r="G42" s="312">
        <f t="shared" ca="1" si="9"/>
        <v>0</v>
      </c>
      <c r="H42" s="312">
        <f t="shared" ca="1" si="9"/>
        <v>0</v>
      </c>
      <c r="I42" s="312">
        <f t="shared" ca="1" si="9"/>
        <v>0</v>
      </c>
      <c r="J42" s="312">
        <f t="shared" ca="1" si="9"/>
        <v>-30000</v>
      </c>
      <c r="K42" s="312">
        <f t="shared" ca="1" si="9"/>
        <v>0</v>
      </c>
      <c r="L42" s="312">
        <f t="shared" ca="1" si="9"/>
        <v>3148</v>
      </c>
      <c r="M42" s="312">
        <f t="shared" ca="1" si="9"/>
        <v>-274335.51</v>
      </c>
      <c r="N42" s="312">
        <f t="shared" ca="1" si="9"/>
        <v>-203915.66</v>
      </c>
      <c r="O42" s="312">
        <f t="shared" ca="1" si="9"/>
        <v>-21000</v>
      </c>
      <c r="P42" s="312">
        <f t="shared" ca="1" si="9"/>
        <v>0</v>
      </c>
      <c r="Q42" s="312">
        <f t="shared" ca="1" si="9"/>
        <v>7777789.5397237064</v>
      </c>
      <c r="R42" s="312">
        <f t="shared" ca="1" si="10"/>
        <v>-811008.71817115345</v>
      </c>
      <c r="S42" s="312">
        <f t="shared" ca="1" si="10"/>
        <v>0</v>
      </c>
      <c r="T42" s="312">
        <f t="shared" ca="1" si="10"/>
        <v>0</v>
      </c>
      <c r="U42" s="312">
        <f t="shared" ca="1" si="10"/>
        <v>0</v>
      </c>
      <c r="V42" s="312">
        <f t="shared" ca="1" si="10"/>
        <v>192703.24507803266</v>
      </c>
      <c r="W42" s="312">
        <f t="shared" ca="1" si="5"/>
        <v>-174750</v>
      </c>
      <c r="X42" s="312">
        <f t="shared" ca="1" si="5"/>
        <v>-50000</v>
      </c>
      <c r="Y42" s="312" t="e">
        <f t="shared" ca="1" si="5"/>
        <v>#REF!</v>
      </c>
      <c r="Z42" s="312" t="e">
        <f t="shared" ca="1" si="5"/>
        <v>#REF!</v>
      </c>
      <c r="AA42" s="312" t="e">
        <f t="shared" ca="1" si="8"/>
        <v>#REF!</v>
      </c>
      <c r="AB42" s="312" t="e">
        <f t="shared" ca="1" si="8"/>
        <v>#REF!</v>
      </c>
      <c r="AC42" s="312" t="e">
        <f t="shared" ca="1" si="8"/>
        <v>#REF!</v>
      </c>
      <c r="AD42" s="312" t="e">
        <f t="shared" ca="1" si="8"/>
        <v>#REF!</v>
      </c>
      <c r="AE42" s="312" t="e">
        <f t="shared" ca="1" si="8"/>
        <v>#REF!</v>
      </c>
      <c r="AF42" s="312" t="e">
        <f t="shared" ca="1" si="6"/>
        <v>#REF!</v>
      </c>
      <c r="AG42" s="312"/>
    </row>
    <row r="43" spans="1:33">
      <c r="A43">
        <f t="shared" si="4"/>
        <v>2048</v>
      </c>
      <c r="B43" s="312">
        <f t="shared" ca="1" si="9"/>
        <v>0</v>
      </c>
      <c r="C43" s="312">
        <f t="shared" ca="1" si="9"/>
        <v>-200000</v>
      </c>
      <c r="D43" s="312">
        <f t="shared" ca="1" si="9"/>
        <v>0</v>
      </c>
      <c r="E43" s="312">
        <f t="shared" ca="1" si="9"/>
        <v>0</v>
      </c>
      <c r="F43" s="312">
        <f t="shared" ca="1" si="9"/>
        <v>0</v>
      </c>
      <c r="G43" s="312">
        <f t="shared" ca="1" si="9"/>
        <v>0</v>
      </c>
      <c r="H43" s="312">
        <f t="shared" ca="1" si="9"/>
        <v>0</v>
      </c>
      <c r="I43" s="312">
        <f t="shared" ca="1" si="9"/>
        <v>0</v>
      </c>
      <c r="J43" s="312">
        <f t="shared" ca="1" si="9"/>
        <v>-30000</v>
      </c>
      <c r="K43" s="312">
        <f t="shared" ca="1" si="9"/>
        <v>0</v>
      </c>
      <c r="L43" s="312">
        <f t="shared" ca="1" si="9"/>
        <v>3148</v>
      </c>
      <c r="M43" s="312">
        <f t="shared" ca="1" si="9"/>
        <v>-281185.77</v>
      </c>
      <c r="N43" s="312">
        <f t="shared" ca="1" si="9"/>
        <v>-209013.55</v>
      </c>
      <c r="O43" s="312">
        <f t="shared" ca="1" si="9"/>
        <v>-21000</v>
      </c>
      <c r="P43" s="312">
        <f t="shared" ca="1" si="9"/>
        <v>0</v>
      </c>
      <c r="Q43" s="312">
        <f t="shared" ca="1" si="9"/>
        <v>7982468.2118216995</v>
      </c>
      <c r="R43" s="312">
        <f t="shared" ca="1" si="10"/>
        <v>-811008.71817115345</v>
      </c>
      <c r="S43" s="312">
        <f t="shared" ca="1" si="10"/>
        <v>0</v>
      </c>
      <c r="T43" s="312">
        <f t="shared" ca="1" si="10"/>
        <v>0</v>
      </c>
      <c r="U43" s="312">
        <f t="shared" ca="1" si="10"/>
        <v>0</v>
      </c>
      <c r="V43" s="312">
        <f t="shared" ca="1" si="10"/>
        <v>192820.40394548161</v>
      </c>
      <c r="W43" s="312">
        <f t="shared" ca="1" si="5"/>
        <v>-174750</v>
      </c>
      <c r="X43" s="312">
        <f t="shared" ca="1" si="5"/>
        <v>-50000</v>
      </c>
      <c r="Y43" s="312" t="e">
        <f t="shared" ca="1" si="5"/>
        <v>#REF!</v>
      </c>
      <c r="Z43" s="312" t="e">
        <f t="shared" ca="1" si="5"/>
        <v>#REF!</v>
      </c>
      <c r="AA43" s="312" t="e">
        <f t="shared" ca="1" si="8"/>
        <v>#REF!</v>
      </c>
      <c r="AB43" s="312" t="e">
        <f t="shared" ca="1" si="8"/>
        <v>#REF!</v>
      </c>
      <c r="AC43" s="312" t="e">
        <f t="shared" ca="1" si="8"/>
        <v>#REF!</v>
      </c>
      <c r="AD43" s="312" t="e">
        <f t="shared" ca="1" si="8"/>
        <v>#REF!</v>
      </c>
      <c r="AE43" s="312" t="e">
        <f t="shared" ca="1" si="8"/>
        <v>#REF!</v>
      </c>
      <c r="AF43" s="312" t="e">
        <f t="shared" ca="1" si="6"/>
        <v>#REF!</v>
      </c>
      <c r="AG43" s="312"/>
    </row>
    <row r="44" spans="1:33">
      <c r="A44">
        <f t="shared" si="4"/>
        <v>2049</v>
      </c>
      <c r="B44" s="312">
        <f t="shared" ca="1" si="9"/>
        <v>0</v>
      </c>
      <c r="C44" s="312">
        <f t="shared" ca="1" si="9"/>
        <v>-200000</v>
      </c>
      <c r="D44" s="312">
        <f t="shared" ca="1" si="9"/>
        <v>0</v>
      </c>
      <c r="E44" s="312">
        <f t="shared" ca="1" si="9"/>
        <v>0</v>
      </c>
      <c r="F44" s="312">
        <f t="shared" ca="1" si="9"/>
        <v>0</v>
      </c>
      <c r="G44" s="312">
        <f t="shared" ca="1" si="9"/>
        <v>0</v>
      </c>
      <c r="H44" s="312">
        <f t="shared" ca="1" si="9"/>
        <v>0</v>
      </c>
      <c r="I44" s="312">
        <f t="shared" ca="1" si="9"/>
        <v>0</v>
      </c>
      <c r="J44" s="312">
        <f t="shared" ca="1" si="9"/>
        <v>-30000</v>
      </c>
      <c r="K44" s="312">
        <f t="shared" ca="1" si="9"/>
        <v>0</v>
      </c>
      <c r="L44" s="312">
        <f t="shared" ca="1" si="9"/>
        <v>3148</v>
      </c>
      <c r="M44" s="312">
        <f t="shared" ca="1" si="9"/>
        <v>-288207.17</v>
      </c>
      <c r="N44" s="312">
        <f t="shared" ca="1" si="9"/>
        <v>-214238.89</v>
      </c>
      <c r="O44" s="312">
        <f t="shared" ca="1" si="9"/>
        <v>-21000</v>
      </c>
      <c r="P44" s="312">
        <f t="shared" ca="1" si="9"/>
        <v>0</v>
      </c>
      <c r="Q44" s="312">
        <f t="shared" ca="1" si="9"/>
        <v>8187146.8839196935</v>
      </c>
      <c r="R44" s="312">
        <f t="shared" ca="1" si="10"/>
        <v>-811008.71817115345</v>
      </c>
      <c r="S44" s="312">
        <f t="shared" ca="1" si="10"/>
        <v>0</v>
      </c>
      <c r="T44" s="312">
        <f t="shared" ca="1" si="10"/>
        <v>0</v>
      </c>
      <c r="U44" s="312">
        <f t="shared" ca="1" si="10"/>
        <v>0</v>
      </c>
      <c r="V44" s="312">
        <f t="shared" ca="1" si="10"/>
        <v>192936.03112684423</v>
      </c>
      <c r="W44" s="312">
        <f t="shared" ca="1" si="5"/>
        <v>-174750</v>
      </c>
      <c r="X44" s="312">
        <f t="shared" ca="1" si="5"/>
        <v>-50000</v>
      </c>
      <c r="Y44" s="312" t="e">
        <f t="shared" ca="1" si="5"/>
        <v>#REF!</v>
      </c>
      <c r="Z44" s="312" t="e">
        <f t="shared" ca="1" si="5"/>
        <v>#REF!</v>
      </c>
      <c r="AA44" s="312" t="e">
        <f t="shared" ca="1" si="8"/>
        <v>#REF!</v>
      </c>
      <c r="AB44" s="312" t="e">
        <f t="shared" ca="1" si="8"/>
        <v>#REF!</v>
      </c>
      <c r="AC44" s="312" t="e">
        <f t="shared" ca="1" si="8"/>
        <v>#REF!</v>
      </c>
      <c r="AD44" s="312" t="e">
        <f t="shared" ca="1" si="8"/>
        <v>#REF!</v>
      </c>
      <c r="AE44" s="312" t="e">
        <f t="shared" ca="1" si="8"/>
        <v>#REF!</v>
      </c>
      <c r="AF44" s="312" t="e">
        <f t="shared" ca="1" si="6"/>
        <v>#REF!</v>
      </c>
      <c r="AG44" s="312"/>
    </row>
    <row r="45" spans="1:33">
      <c r="A45">
        <f t="shared" si="4"/>
        <v>2050</v>
      </c>
      <c r="B45" s="312">
        <f t="shared" ca="1" si="9"/>
        <v>0</v>
      </c>
      <c r="C45" s="312">
        <f t="shared" ca="1" si="9"/>
        <v>-200000</v>
      </c>
      <c r="D45" s="312">
        <f t="shared" ca="1" si="9"/>
        <v>0</v>
      </c>
      <c r="E45" s="312">
        <f t="shared" ca="1" si="9"/>
        <v>0</v>
      </c>
      <c r="F45" s="312">
        <f t="shared" ca="1" si="9"/>
        <v>0</v>
      </c>
      <c r="G45" s="312">
        <f t="shared" ca="1" si="9"/>
        <v>0</v>
      </c>
      <c r="H45" s="312">
        <f t="shared" ca="1" si="9"/>
        <v>0</v>
      </c>
      <c r="I45" s="312">
        <f t="shared" ca="1" si="9"/>
        <v>0</v>
      </c>
      <c r="J45" s="312">
        <f t="shared" ca="1" si="9"/>
        <v>-30000</v>
      </c>
      <c r="K45" s="312">
        <f t="shared" ca="1" si="9"/>
        <v>0</v>
      </c>
      <c r="L45" s="312">
        <f t="shared" ca="1" si="9"/>
        <v>3148</v>
      </c>
      <c r="M45" s="312">
        <f t="shared" ca="1" si="9"/>
        <v>-288207.17</v>
      </c>
      <c r="N45" s="312">
        <f t="shared" ca="1" si="9"/>
        <v>0</v>
      </c>
      <c r="O45" s="312">
        <f t="shared" ca="1" si="9"/>
        <v>-21000</v>
      </c>
      <c r="P45" s="312">
        <f t="shared" ca="1" si="9"/>
        <v>0</v>
      </c>
      <c r="Q45" s="312">
        <f t="shared" ca="1" si="9"/>
        <v>8391825.5560176838</v>
      </c>
      <c r="R45" s="312">
        <f t="shared" ca="1" si="10"/>
        <v>-811008.71817115345</v>
      </c>
      <c r="S45" s="312">
        <f t="shared" ca="1" si="10"/>
        <v>0</v>
      </c>
      <c r="T45" s="312">
        <f t="shared" ca="1" si="10"/>
        <v>0</v>
      </c>
      <c r="U45" s="312">
        <f t="shared" ca="1" si="10"/>
        <v>0</v>
      </c>
      <c r="V45" s="312">
        <f t="shared" ca="1" si="10"/>
        <v>193050.18517000714</v>
      </c>
      <c r="W45" s="312">
        <f t="shared" ca="1" si="5"/>
        <v>-174750</v>
      </c>
      <c r="X45" s="312">
        <f t="shared" ca="1" si="5"/>
        <v>-50000</v>
      </c>
      <c r="Y45" s="312" t="e">
        <f t="shared" ca="1" si="5"/>
        <v>#REF!</v>
      </c>
      <c r="Z45" s="312" t="e">
        <f t="shared" ca="1" si="5"/>
        <v>#REF!</v>
      </c>
      <c r="AA45" s="312" t="e">
        <f t="shared" ca="1" si="8"/>
        <v>#REF!</v>
      </c>
      <c r="AB45" s="312" t="e">
        <f t="shared" ca="1" si="8"/>
        <v>#REF!</v>
      </c>
      <c r="AC45" s="312" t="e">
        <f t="shared" ca="1" si="8"/>
        <v>#REF!</v>
      </c>
      <c r="AD45" s="312" t="e">
        <f t="shared" ca="1" si="8"/>
        <v>#REF!</v>
      </c>
      <c r="AE45" s="312" t="e">
        <f t="shared" ca="1" si="8"/>
        <v>#REF!</v>
      </c>
      <c r="AF45" s="312" t="e">
        <f t="shared" ca="1" si="6"/>
        <v>#REF!</v>
      </c>
      <c r="AG45" s="312"/>
    </row>
    <row r="47" spans="1:33">
      <c r="B47" s="364">
        <f ca="1">COUNTIF(PortfolioDashboard!$AF$3:$BM$3,B4)</f>
        <v>0</v>
      </c>
      <c r="C47" s="364">
        <f ca="1">COUNTIF(PortfolioDashboard!$AF$3:$BM$3,C4)</f>
        <v>0</v>
      </c>
      <c r="D47" s="364">
        <f ca="1">COUNTIF(PortfolioDashboard!$AF$3:$BM$3,D4)</f>
        <v>1</v>
      </c>
      <c r="E47" s="364">
        <f ca="1">COUNTIF(PortfolioDashboard!$AF$3:$BM$3,E4)</f>
        <v>1</v>
      </c>
      <c r="F47" s="364">
        <f ca="1">COUNTIF(PortfolioDashboard!$AF$3:$BM$3,F4)</f>
        <v>1</v>
      </c>
      <c r="G47" s="364">
        <f ca="1">COUNTIF(PortfolioDashboard!$AF$3:$BM$3,G4)</f>
        <v>1</v>
      </c>
      <c r="H47" s="364">
        <f ca="1">COUNTIF(PortfolioDashboard!$AF$3:$BM$3,H4)</f>
        <v>1</v>
      </c>
      <c r="I47" s="364">
        <f ca="1">COUNTIF(PortfolioDashboard!$AF$3:$BM$3,I4)</f>
        <v>0</v>
      </c>
      <c r="J47" s="364">
        <f ca="1">COUNTIF(PortfolioDashboard!$AF$3:$BM$3,J4)</f>
        <v>1</v>
      </c>
      <c r="K47" s="364">
        <f ca="1">COUNTIF(PortfolioDashboard!$AF$3:$BM$3,K4)</f>
        <v>1</v>
      </c>
      <c r="L47" s="364">
        <f ca="1">COUNTIF(PortfolioDashboard!$AF$3:$BM$3,L4)</f>
        <v>1</v>
      </c>
      <c r="M47" s="364">
        <f ca="1">COUNTIF(PortfolioDashboard!$AF$3:$BM$3,M4)</f>
        <v>0</v>
      </c>
      <c r="N47" s="364">
        <f ca="1">COUNTIF(PortfolioDashboard!$AF$3:$BM$3,N4)</f>
        <v>0</v>
      </c>
      <c r="O47" s="364">
        <f ca="1">COUNTIF(PortfolioDashboard!$AF$3:$BM$3,O4)</f>
        <v>1</v>
      </c>
      <c r="P47" s="364">
        <f ca="1">COUNTIF(PortfolioDashboard!$AF$3:$BM$3,P4)</f>
        <v>1</v>
      </c>
      <c r="Q47" s="364">
        <f ca="1">COUNTIF(PortfolioDashboard!$AF$3:$BM$3,Q4)</f>
        <v>1</v>
      </c>
      <c r="R47" s="364">
        <f ca="1">COUNTIF(PortfolioDashboard!$AF$3:$BM$3,R4)</f>
        <v>0</v>
      </c>
      <c r="S47" s="364">
        <f ca="1">COUNTIF(PortfolioDashboard!$AF$3:$BM$3,S4)</f>
        <v>1</v>
      </c>
      <c r="T47" s="364">
        <f ca="1">COUNTIF(PortfolioDashboard!$AF$3:$BM$3,T4)</f>
        <v>1</v>
      </c>
      <c r="U47" s="364">
        <f ca="1">COUNTIF(PortfolioDashboard!$AF$3:$BM$3,U4)</f>
        <v>1</v>
      </c>
      <c r="V47" s="364">
        <f ca="1">COUNTIF(PortfolioDashboard!$AF$3:$BM$3,V4)</f>
        <v>1</v>
      </c>
      <c r="W47" s="364">
        <f ca="1">COUNTIF(PortfolioDashboard!$AF$3:$BM$3,W4)</f>
        <v>1</v>
      </c>
      <c r="X47" s="364">
        <f ca="1">COUNTIF(PortfolioDashboard!$AF$3:$BM$3,X4)</f>
        <v>1</v>
      </c>
      <c r="Y47" s="364">
        <f ca="1">COUNTIF(PortfolioDashboard!$AF$3:$BM$3,Y4)</f>
        <v>0</v>
      </c>
      <c r="Z47" s="364">
        <f ca="1">COUNTIF(PortfolioDashboard!$AF$3:$BM$3,Z4)</f>
        <v>0</v>
      </c>
      <c r="AA47" s="364">
        <f ca="1">COUNTIF(PortfolioDashboard!$AF$3:$BM$3,AA4)</f>
        <v>0</v>
      </c>
      <c r="AB47" s="364">
        <f ca="1">COUNTIF(PortfolioDashboard!$AF$3:$BM$3,AB4)</f>
        <v>0</v>
      </c>
      <c r="AC47" s="364">
        <f ca="1">COUNTIF(PortfolioDashboard!$AF$3:$BM$3,AC4)</f>
        <v>0</v>
      </c>
      <c r="AD47" s="364">
        <f ca="1">COUNTIF(PortfolioDashboard!$AF$3:$BM$3,AD4)</f>
        <v>0</v>
      </c>
      <c r="AE47" s="364">
        <f ca="1">COUNTIF(PortfolioDashboard!$AF$3:$BM$3,AE4)</f>
        <v>0</v>
      </c>
      <c r="AF47" s="364">
        <f ca="1">COUNTIF(PortfolioDashboard!$AF$3:$BM$3,AF4)</f>
        <v>0</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sheetPr codeName="Sheet103"/>
  <dimension ref="A1:AG47"/>
  <sheetViews>
    <sheetView workbookViewId="0">
      <selection activeCell="A3" sqref="A3"/>
    </sheetView>
  </sheetViews>
  <sheetFormatPr defaultRowHeight="15"/>
  <cols>
    <col min="1" max="1" width="18.42578125" bestFit="1" customWidth="1"/>
    <col min="2" max="26" width="11.7109375" customWidth="1"/>
  </cols>
  <sheetData>
    <row r="1" spans="1:33">
      <c r="B1" s="322" t="s">
        <v>298</v>
      </c>
      <c r="C1">
        <v>18</v>
      </c>
    </row>
    <row r="2" spans="1:33">
      <c r="B2" s="322" t="s">
        <v>299</v>
      </c>
      <c r="C2">
        <v>23</v>
      </c>
    </row>
    <row r="3" spans="1:33" ht="29.25" customHeight="1">
      <c r="A3" s="1269" t="s">
        <v>1504</v>
      </c>
      <c r="B3" s="264" t="str">
        <f ca="1">OFFSET(Control!$A$5,COLUMN(A3)-1,0)</f>
        <v>GreenPwr1</v>
      </c>
      <c r="C3" s="264" t="str">
        <f ca="1">OFFSET(Control!$A$5,COLUMN(B3)-1,0)</f>
        <v>GreenPwr2</v>
      </c>
      <c r="D3" s="264" t="str">
        <f ca="1">OFFSET(Control!$A$5,COLUMN(C3)-1,0)</f>
        <v>Wind</v>
      </c>
      <c r="E3" s="264" t="str">
        <f ca="1">OFFSET(Control!$A$5,COLUMN(D3)-1,0)</f>
        <v>ShortECM</v>
      </c>
      <c r="F3" s="264" t="str">
        <f ca="1">OFFSET(Control!$A$5,COLUMN(E3)-1,0)</f>
        <v>MidECM</v>
      </c>
      <c r="G3" s="264" t="str">
        <f ca="1">OFFSET(Control!$A$5,COLUMN(F3)-1,0)</f>
        <v>LongECM</v>
      </c>
      <c r="H3" s="264" t="str">
        <f ca="1">OFFSET(Control!$A$5,COLUMN(G3)-1,0)</f>
        <v>SteamLineImp</v>
      </c>
      <c r="I3" s="264" t="str">
        <f ca="1">OFFSET(Control!$A$5,COLUMN(H3)-1,0)</f>
        <v>UnitaryChiller</v>
      </c>
      <c r="J3" s="264" t="str">
        <f ca="1">OFFSET(Control!$A$5,COLUMN(I3)-1,0)</f>
        <v>GeoExchange</v>
      </c>
      <c r="K3" s="264" t="str">
        <f ca="1">OFFSET(Control!$A$5,COLUMN(J3)-1,0)</f>
        <v>SolarDHW</v>
      </c>
      <c r="L3" s="264" t="str">
        <f ca="1">OFFSET(Control!$A$5,COLUMN(K3)-1,0)</f>
        <v>WasteReduction</v>
      </c>
      <c r="M3" s="264" t="str">
        <f ca="1">OFFSET(Control!$A$5,COLUMN(L3)-1,0)</f>
        <v>DishStirling</v>
      </c>
      <c r="N3" s="264" t="str">
        <f ca="1">OFFSET(Control!$A$5,COLUMN(M3)-1,0)</f>
        <v>Parabolic</v>
      </c>
      <c r="O3" s="264" t="str">
        <f ca="1">OFFSET(Control!$A$5,COLUMN(N3)-1,0)</f>
        <v>GreenIT</v>
      </c>
      <c r="P3" s="264" t="str">
        <f ca="1">OFFSET(Control!$A$5,COLUMN(O3)-1,0)</f>
        <v>GreenBuild</v>
      </c>
      <c r="Q3" s="264" t="str">
        <f ca="1">OFFSET(Control!$A$5,COLUMN(P3)-1,0)</f>
        <v>SpacePlanning</v>
      </c>
      <c r="R3" s="264" t="str">
        <f ca="1">OFFSET(Control!$A$5,COLUMN(Q3)-1,0)</f>
        <v>CHP</v>
      </c>
      <c r="S3" s="264" t="str">
        <f ca="1">OFFSET(Control!$A$5,COLUMN(R3)-1,0)</f>
        <v>CoalToNG</v>
      </c>
      <c r="T3" s="264" t="str">
        <f ca="1">OFFSET(Control!$A$5,COLUMN(S3)-1,0)</f>
        <v>CentralChillerExp</v>
      </c>
      <c r="U3" s="264" t="str">
        <f ca="1">OFFSET(Control!$A$5,COLUMN(T3)-1,0)</f>
        <v>RooftopPV</v>
      </c>
      <c r="V3" s="264" t="str">
        <f ca="1">OFFSET(Control!$A$5,COLUMN(U3)-1,0)</f>
        <v>ReducedAir</v>
      </c>
      <c r="W3" s="264" t="str">
        <f ca="1">OFFSET(Control!$A$5,COLUMN(V3)-1,0)</f>
        <v>ReducedAuto</v>
      </c>
      <c r="X3" s="264" t="str">
        <f ca="1">OFFSET(Control!$A$5,COLUMN(W3)-1,0)</f>
        <v>BehaviorChange</v>
      </c>
      <c r="Y3" s="264">
        <f ca="1">OFFSET(Control!$A$5,COLUMN(X3)-1,0)</f>
        <v>0</v>
      </c>
      <c r="Z3" s="264">
        <f ca="1">OFFSET(Control!$A$5,COLUMN(Y3)-1,0)</f>
        <v>0</v>
      </c>
      <c r="AA3" s="264">
        <f ca="1">OFFSET(Control!$A$5,COLUMN(Z3)-1,0)</f>
        <v>0</v>
      </c>
      <c r="AB3" s="264">
        <f ca="1">OFFSET(Control!$A$5,COLUMN(AA3)-1,0)</f>
        <v>0</v>
      </c>
      <c r="AC3" s="264">
        <f ca="1">OFFSET(Control!$A$5,COLUMN(AB3)-1,0)</f>
        <v>0</v>
      </c>
      <c r="AD3" s="264">
        <f ca="1">OFFSET(Control!$A$5,COLUMN(AC3)-1,0)</f>
        <v>0</v>
      </c>
      <c r="AE3" s="264">
        <f ca="1">OFFSET(Control!$A$5,COLUMN(AD3)-1,0)</f>
        <v>0</v>
      </c>
      <c r="AF3" s="264">
        <f ca="1">OFFSET(Control!$A$5,COLUMN(AE3)-1,0)</f>
        <v>0</v>
      </c>
      <c r="AG3" s="264">
        <f ca="1">OFFSET(Control!$A$5,COLUMN(AF3)-1,0)</f>
        <v>0</v>
      </c>
    </row>
    <row r="4" spans="1:33" ht="29.25" customHeight="1">
      <c r="A4" s="321"/>
      <c r="B4" s="264" t="str">
        <f ca="1">INDIRECT(B3)</f>
        <v>Green Power Purchase Opt 1 (Partial)</v>
      </c>
      <c r="C4" s="264" t="str">
        <f t="shared" ref="C4:Z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ref="AA4:AG4" ca="1" si="1">INDIRECT(AA3)</f>
        <v>#REF!</v>
      </c>
      <c r="AB4" s="264" t="e">
        <f t="shared" ca="1" si="1"/>
        <v>#REF!</v>
      </c>
      <c r="AC4" s="264" t="e">
        <f t="shared" ca="1" si="1"/>
        <v>#REF!</v>
      </c>
      <c r="AD4" s="264" t="e">
        <f t="shared" ca="1" si="1"/>
        <v>#REF!</v>
      </c>
      <c r="AE4" s="264" t="e">
        <f t="shared" ca="1" si="1"/>
        <v>#REF!</v>
      </c>
      <c r="AF4" s="264" t="e">
        <f t="shared" ca="1" si="1"/>
        <v>#REF!</v>
      </c>
      <c r="AG4" s="264" t="e">
        <f t="shared" ca="1" si="1"/>
        <v>#REF!</v>
      </c>
    </row>
    <row r="5" spans="1:33">
      <c r="A5">
        <v>2010</v>
      </c>
      <c r="B5" s="312">
        <f ca="1">OFFSET(INDIRECT(B$3),$A5-$A$5+$C$1,$C$2)</f>
        <v>0</v>
      </c>
      <c r="C5" s="312">
        <f t="shared" ref="C5:Z15" ca="1" si="2">OFFSET(INDIRECT(C$3),$A5-$A$5+$C$1,$C$2)</f>
        <v>0</v>
      </c>
      <c r="D5" s="312">
        <f t="shared" ca="1" si="2"/>
        <v>0</v>
      </c>
      <c r="E5" s="312">
        <f t="shared" ca="1" si="2"/>
        <v>0</v>
      </c>
      <c r="F5" s="312">
        <f t="shared" ca="1" si="2"/>
        <v>0</v>
      </c>
      <c r="G5" s="312">
        <f t="shared" ca="1" si="2"/>
        <v>0</v>
      </c>
      <c r="H5" s="312">
        <f t="shared" ca="1" si="2"/>
        <v>0</v>
      </c>
      <c r="I5" s="312">
        <f t="shared" ca="1" si="2"/>
        <v>0</v>
      </c>
      <c r="J5" s="312">
        <f t="shared" ca="1" si="2"/>
        <v>0</v>
      </c>
      <c r="K5" s="312">
        <f t="shared" ca="1" si="2"/>
        <v>0</v>
      </c>
      <c r="L5" s="312">
        <f t="shared" ca="1" si="2"/>
        <v>0</v>
      </c>
      <c r="M5" s="312">
        <f t="shared" ca="1" si="2"/>
        <v>0</v>
      </c>
      <c r="N5" s="312">
        <f t="shared" ca="1" si="2"/>
        <v>0</v>
      </c>
      <c r="O5" s="312">
        <f t="shared" ca="1" si="2"/>
        <v>0</v>
      </c>
      <c r="P5" s="312">
        <f t="shared" ca="1" si="2"/>
        <v>0</v>
      </c>
      <c r="Q5" s="312">
        <f t="shared" ca="1" si="2"/>
        <v>0</v>
      </c>
      <c r="R5" s="312">
        <f t="shared" ca="1" si="2"/>
        <v>0</v>
      </c>
      <c r="S5" s="312">
        <f t="shared" ca="1" si="2"/>
        <v>0</v>
      </c>
      <c r="T5" s="312">
        <f t="shared" ca="1" si="2"/>
        <v>0</v>
      </c>
      <c r="U5" s="312">
        <f t="shared" ca="1" si="2"/>
        <v>0</v>
      </c>
      <c r="V5" s="312">
        <f t="shared" ca="1" si="2"/>
        <v>0</v>
      </c>
      <c r="W5" s="312">
        <f t="shared" ca="1" si="2"/>
        <v>0</v>
      </c>
      <c r="X5" s="312">
        <f t="shared" ca="1" si="2"/>
        <v>0</v>
      </c>
      <c r="Y5" s="312" t="e">
        <f t="shared" ca="1" si="2"/>
        <v>#REF!</v>
      </c>
      <c r="Z5" s="312" t="e">
        <f t="shared" ca="1" si="2"/>
        <v>#REF!</v>
      </c>
      <c r="AA5" s="312" t="e">
        <f t="shared" ref="AA5:AF20" ca="1" si="3">OFFSET(INDIRECT(AA$3),$A5-$A$5+$C$1,$C$2)</f>
        <v>#REF!</v>
      </c>
      <c r="AB5" s="312" t="e">
        <f t="shared" ca="1" si="3"/>
        <v>#REF!</v>
      </c>
      <c r="AC5" s="312" t="e">
        <f t="shared" ca="1" si="3"/>
        <v>#REF!</v>
      </c>
      <c r="AD5" s="312" t="e">
        <f t="shared" ca="1" si="3"/>
        <v>#REF!</v>
      </c>
      <c r="AE5" s="312" t="e">
        <f t="shared" ca="1" si="3"/>
        <v>#REF!</v>
      </c>
      <c r="AF5" s="312" t="e">
        <f t="shared" ca="1" si="3"/>
        <v>#REF!</v>
      </c>
      <c r="AG5" s="312"/>
    </row>
    <row r="6" spans="1:33">
      <c r="A6">
        <f>A5+1</f>
        <v>2011</v>
      </c>
      <c r="B6" s="312">
        <f t="shared" ref="B6:Q31" ca="1" si="4">OFFSET(INDIRECT(B$3),$A6-$A$5+$C$1,$C$2)</f>
        <v>0</v>
      </c>
      <c r="C6" s="312">
        <f t="shared" ca="1" si="2"/>
        <v>0</v>
      </c>
      <c r="D6" s="312">
        <f t="shared" ca="1" si="2"/>
        <v>0</v>
      </c>
      <c r="E6" s="312">
        <f t="shared" ca="1" si="2"/>
        <v>0</v>
      </c>
      <c r="F6" s="312">
        <f t="shared" ca="1" si="2"/>
        <v>0</v>
      </c>
      <c r="G6" s="312">
        <f t="shared" ca="1" si="2"/>
        <v>0</v>
      </c>
      <c r="H6" s="312">
        <f t="shared" ca="1" si="2"/>
        <v>0</v>
      </c>
      <c r="I6" s="312">
        <f t="shared" ca="1" si="2"/>
        <v>0</v>
      </c>
      <c r="J6" s="312">
        <f t="shared" ca="1" si="2"/>
        <v>0</v>
      </c>
      <c r="K6" s="312">
        <f t="shared" ca="1" si="2"/>
        <v>0</v>
      </c>
      <c r="L6" s="312">
        <f t="shared" ca="1" si="2"/>
        <v>0</v>
      </c>
      <c r="M6" s="312">
        <f t="shared" ca="1" si="2"/>
        <v>0</v>
      </c>
      <c r="N6" s="312">
        <f t="shared" ca="1" si="2"/>
        <v>0</v>
      </c>
      <c r="O6" s="312">
        <f t="shared" ca="1" si="2"/>
        <v>0</v>
      </c>
      <c r="P6" s="312">
        <f t="shared" ca="1" si="2"/>
        <v>0</v>
      </c>
      <c r="Q6" s="312">
        <f t="shared" ca="1" si="2"/>
        <v>0</v>
      </c>
      <c r="R6" s="312">
        <f t="shared" ca="1" si="2"/>
        <v>0</v>
      </c>
      <c r="S6" s="312">
        <f t="shared" ca="1" si="2"/>
        <v>0</v>
      </c>
      <c r="T6" s="312">
        <f t="shared" ca="1" si="2"/>
        <v>0</v>
      </c>
      <c r="U6" s="312">
        <f t="shared" ca="1" si="2"/>
        <v>0</v>
      </c>
      <c r="V6" s="312">
        <f t="shared" ca="1" si="2"/>
        <v>0</v>
      </c>
      <c r="W6" s="312">
        <f t="shared" ca="1" si="2"/>
        <v>0</v>
      </c>
      <c r="X6" s="312">
        <f t="shared" ca="1" si="2"/>
        <v>0</v>
      </c>
      <c r="Y6" s="312" t="e">
        <f t="shared" ca="1" si="2"/>
        <v>#REF!</v>
      </c>
      <c r="Z6" s="312" t="e">
        <f t="shared" ca="1" si="2"/>
        <v>#REF!</v>
      </c>
      <c r="AA6" s="312" t="e">
        <f t="shared" ca="1" si="3"/>
        <v>#REF!</v>
      </c>
      <c r="AB6" s="312" t="e">
        <f t="shared" ca="1" si="3"/>
        <v>#REF!</v>
      </c>
      <c r="AC6" s="312" t="e">
        <f t="shared" ca="1" si="3"/>
        <v>#REF!</v>
      </c>
      <c r="AD6" s="312" t="e">
        <f t="shared" ca="1" si="3"/>
        <v>#REF!</v>
      </c>
      <c r="AE6" s="312" t="e">
        <f t="shared" ca="1" si="3"/>
        <v>#REF!</v>
      </c>
      <c r="AF6" s="312" t="e">
        <f t="shared" ca="1" si="3"/>
        <v>#REF!</v>
      </c>
      <c r="AG6" s="312"/>
    </row>
    <row r="7" spans="1:33">
      <c r="A7">
        <f t="shared" ref="A7:A45" si="5">A6+1</f>
        <v>2012</v>
      </c>
      <c r="B7" s="312">
        <f t="shared" ca="1" si="4"/>
        <v>0</v>
      </c>
      <c r="C7" s="312">
        <f t="shared" ca="1" si="2"/>
        <v>0</v>
      </c>
      <c r="D7" s="312">
        <f t="shared" ca="1" si="2"/>
        <v>0</v>
      </c>
      <c r="E7" s="312">
        <f t="shared" ca="1" si="2"/>
        <v>0</v>
      </c>
      <c r="F7" s="312">
        <f t="shared" ca="1" si="2"/>
        <v>0</v>
      </c>
      <c r="G7" s="312">
        <f t="shared" ca="1" si="2"/>
        <v>0</v>
      </c>
      <c r="H7" s="312">
        <f t="shared" ca="1" si="2"/>
        <v>0</v>
      </c>
      <c r="I7" s="312">
        <f t="shared" ca="1" si="2"/>
        <v>0</v>
      </c>
      <c r="J7" s="312">
        <f t="shared" ca="1" si="2"/>
        <v>0</v>
      </c>
      <c r="K7" s="312">
        <f t="shared" ca="1" si="2"/>
        <v>0</v>
      </c>
      <c r="L7" s="312">
        <f t="shared" ca="1" si="2"/>
        <v>0</v>
      </c>
      <c r="M7" s="312">
        <f t="shared" ca="1" si="2"/>
        <v>0</v>
      </c>
      <c r="N7" s="312">
        <f t="shared" ca="1" si="2"/>
        <v>0</v>
      </c>
      <c r="O7" s="312">
        <f t="shared" ca="1" si="2"/>
        <v>0</v>
      </c>
      <c r="P7" s="312">
        <f t="shared" ca="1" si="2"/>
        <v>0</v>
      </c>
      <c r="Q7" s="312">
        <f t="shared" ca="1" si="2"/>
        <v>0</v>
      </c>
      <c r="R7" s="312">
        <f t="shared" ca="1" si="2"/>
        <v>0</v>
      </c>
      <c r="S7" s="312">
        <f t="shared" ca="1" si="2"/>
        <v>0</v>
      </c>
      <c r="T7" s="312">
        <f t="shared" ca="1" si="2"/>
        <v>0</v>
      </c>
      <c r="U7" s="312">
        <f t="shared" ca="1" si="2"/>
        <v>0</v>
      </c>
      <c r="V7" s="312">
        <f t="shared" ca="1" si="2"/>
        <v>0</v>
      </c>
      <c r="W7" s="312">
        <f t="shared" ca="1" si="2"/>
        <v>0</v>
      </c>
      <c r="X7" s="312">
        <f t="shared" ca="1" si="2"/>
        <v>0</v>
      </c>
      <c r="Y7" s="312" t="e">
        <f t="shared" ca="1" si="2"/>
        <v>#REF!</v>
      </c>
      <c r="Z7" s="312" t="e">
        <f t="shared" ca="1" si="2"/>
        <v>#REF!</v>
      </c>
      <c r="AA7" s="312" t="e">
        <f t="shared" ca="1" si="3"/>
        <v>#REF!</v>
      </c>
      <c r="AB7" s="312" t="e">
        <f t="shared" ca="1" si="3"/>
        <v>#REF!</v>
      </c>
      <c r="AC7" s="312" t="e">
        <f t="shared" ca="1" si="3"/>
        <v>#REF!</v>
      </c>
      <c r="AD7" s="312" t="e">
        <f t="shared" ca="1" si="3"/>
        <v>#REF!</v>
      </c>
      <c r="AE7" s="312" t="e">
        <f t="shared" ca="1" si="3"/>
        <v>#REF!</v>
      </c>
      <c r="AF7" s="312" t="e">
        <f t="shared" ca="1" si="3"/>
        <v>#REF!</v>
      </c>
      <c r="AG7" s="312"/>
    </row>
    <row r="8" spans="1:33">
      <c r="A8">
        <f t="shared" si="5"/>
        <v>2013</v>
      </c>
      <c r="B8" s="312">
        <f t="shared" ca="1" si="4"/>
        <v>0</v>
      </c>
      <c r="C8" s="312">
        <f t="shared" ca="1" si="2"/>
        <v>0</v>
      </c>
      <c r="D8" s="312">
        <f t="shared" ca="1" si="2"/>
        <v>0</v>
      </c>
      <c r="E8" s="312">
        <f t="shared" ca="1" si="2"/>
        <v>0</v>
      </c>
      <c r="F8" s="312">
        <f t="shared" ca="1" si="2"/>
        <v>0</v>
      </c>
      <c r="G8" s="312">
        <f t="shared" ca="1" si="2"/>
        <v>0</v>
      </c>
      <c r="H8" s="312">
        <f t="shared" ca="1" si="2"/>
        <v>0</v>
      </c>
      <c r="I8" s="312">
        <f t="shared" ca="1" si="2"/>
        <v>0</v>
      </c>
      <c r="J8" s="312">
        <f t="shared" ca="1" si="2"/>
        <v>0</v>
      </c>
      <c r="K8" s="312">
        <f t="shared" ca="1" si="2"/>
        <v>0</v>
      </c>
      <c r="L8" s="312">
        <f t="shared" ca="1" si="2"/>
        <v>0</v>
      </c>
      <c r="M8" s="312">
        <f t="shared" ca="1" si="2"/>
        <v>0</v>
      </c>
      <c r="N8" s="312">
        <f t="shared" ca="1" si="2"/>
        <v>0</v>
      </c>
      <c r="O8" s="312">
        <f t="shared" ca="1" si="2"/>
        <v>0</v>
      </c>
      <c r="P8" s="312">
        <f t="shared" ca="1" si="2"/>
        <v>0</v>
      </c>
      <c r="Q8" s="312">
        <f t="shared" ca="1" si="2"/>
        <v>0</v>
      </c>
      <c r="R8" s="312">
        <f t="shared" ca="1" si="2"/>
        <v>0</v>
      </c>
      <c r="S8" s="312">
        <f t="shared" ca="1" si="2"/>
        <v>0</v>
      </c>
      <c r="T8" s="312">
        <f t="shared" ca="1" si="2"/>
        <v>0</v>
      </c>
      <c r="U8" s="312">
        <f t="shared" ca="1" si="2"/>
        <v>0</v>
      </c>
      <c r="V8" s="312">
        <f t="shared" ca="1" si="2"/>
        <v>0</v>
      </c>
      <c r="W8" s="312">
        <f t="shared" ca="1" si="2"/>
        <v>0</v>
      </c>
      <c r="X8" s="312">
        <f t="shared" ca="1" si="2"/>
        <v>0</v>
      </c>
      <c r="Y8" s="312" t="e">
        <f t="shared" ca="1" si="2"/>
        <v>#REF!</v>
      </c>
      <c r="Z8" s="312" t="e">
        <f t="shared" ca="1" si="2"/>
        <v>#REF!</v>
      </c>
      <c r="AA8" s="312" t="e">
        <f t="shared" ca="1" si="3"/>
        <v>#REF!</v>
      </c>
      <c r="AB8" s="312" t="e">
        <f t="shared" ca="1" si="3"/>
        <v>#REF!</v>
      </c>
      <c r="AC8" s="312" t="e">
        <f t="shared" ca="1" si="3"/>
        <v>#REF!</v>
      </c>
      <c r="AD8" s="312" t="e">
        <f t="shared" ca="1" si="3"/>
        <v>#REF!</v>
      </c>
      <c r="AE8" s="312" t="e">
        <f t="shared" ca="1" si="3"/>
        <v>#REF!</v>
      </c>
      <c r="AF8" s="312" t="e">
        <f t="shared" ca="1" si="3"/>
        <v>#REF!</v>
      </c>
      <c r="AG8" s="312"/>
    </row>
    <row r="9" spans="1:33">
      <c r="A9">
        <f t="shared" si="5"/>
        <v>2014</v>
      </c>
      <c r="B9" s="312">
        <f t="shared" ca="1" si="4"/>
        <v>0</v>
      </c>
      <c r="C9" s="312">
        <f t="shared" ca="1" si="2"/>
        <v>0</v>
      </c>
      <c r="D9" s="312">
        <f t="shared" ca="1" si="2"/>
        <v>0</v>
      </c>
      <c r="E9" s="312">
        <f t="shared" ca="1" si="2"/>
        <v>0</v>
      </c>
      <c r="F9" s="312">
        <f t="shared" ca="1" si="2"/>
        <v>0</v>
      </c>
      <c r="G9" s="312">
        <f t="shared" ca="1" si="2"/>
        <v>0</v>
      </c>
      <c r="H9" s="312">
        <f t="shared" ca="1" si="2"/>
        <v>0</v>
      </c>
      <c r="I9" s="312">
        <f t="shared" ca="1" si="2"/>
        <v>0</v>
      </c>
      <c r="J9" s="312">
        <f t="shared" ca="1" si="2"/>
        <v>0</v>
      </c>
      <c r="K9" s="312">
        <f t="shared" ca="1" si="2"/>
        <v>0</v>
      </c>
      <c r="L9" s="312">
        <f t="shared" ca="1" si="2"/>
        <v>0</v>
      </c>
      <c r="M9" s="312">
        <f t="shared" ca="1" si="2"/>
        <v>0</v>
      </c>
      <c r="N9" s="312">
        <f t="shared" ca="1" si="2"/>
        <v>0</v>
      </c>
      <c r="O9" s="312">
        <f t="shared" ca="1" si="2"/>
        <v>0</v>
      </c>
      <c r="P9" s="312">
        <f t="shared" ca="1" si="2"/>
        <v>0</v>
      </c>
      <c r="Q9" s="312">
        <f t="shared" ca="1" si="2"/>
        <v>0</v>
      </c>
      <c r="R9" s="312">
        <f t="shared" ca="1" si="2"/>
        <v>0</v>
      </c>
      <c r="S9" s="312">
        <f t="shared" ca="1" si="2"/>
        <v>0</v>
      </c>
      <c r="T9" s="312">
        <f t="shared" ca="1" si="2"/>
        <v>0</v>
      </c>
      <c r="U9" s="312">
        <f t="shared" ca="1" si="2"/>
        <v>0</v>
      </c>
      <c r="V9" s="312">
        <f t="shared" ca="1" si="2"/>
        <v>0</v>
      </c>
      <c r="W9" s="312">
        <f t="shared" ca="1" si="2"/>
        <v>0</v>
      </c>
      <c r="X9" s="312">
        <f t="shared" ca="1" si="2"/>
        <v>0</v>
      </c>
      <c r="Y9" s="312" t="e">
        <f t="shared" ca="1" si="2"/>
        <v>#REF!</v>
      </c>
      <c r="Z9" s="312" t="e">
        <f t="shared" ca="1" si="2"/>
        <v>#REF!</v>
      </c>
      <c r="AA9" s="312" t="e">
        <f t="shared" ca="1" si="3"/>
        <v>#REF!</v>
      </c>
      <c r="AB9" s="312" t="e">
        <f t="shared" ca="1" si="3"/>
        <v>#REF!</v>
      </c>
      <c r="AC9" s="312" t="e">
        <f t="shared" ca="1" si="3"/>
        <v>#REF!</v>
      </c>
      <c r="AD9" s="312" t="e">
        <f t="shared" ca="1" si="3"/>
        <v>#REF!</v>
      </c>
      <c r="AE9" s="312" t="e">
        <f t="shared" ca="1" si="3"/>
        <v>#REF!</v>
      </c>
      <c r="AF9" s="312" t="e">
        <f t="shared" ca="1" si="3"/>
        <v>#REF!</v>
      </c>
      <c r="AG9" s="312"/>
    </row>
    <row r="10" spans="1:33">
      <c r="A10">
        <f t="shared" si="5"/>
        <v>2015</v>
      </c>
      <c r="B10" s="312">
        <f t="shared" ca="1" si="4"/>
        <v>361141.99159034586</v>
      </c>
      <c r="C10" s="312">
        <f t="shared" ca="1" si="2"/>
        <v>22145.22692432001</v>
      </c>
      <c r="D10" s="312">
        <f t="shared" ca="1" si="2"/>
        <v>1265.4415385325717</v>
      </c>
      <c r="E10" s="312">
        <f t="shared" ca="1" si="2"/>
        <v>139422.98218556857</v>
      </c>
      <c r="F10" s="312">
        <f t="shared" ca="1" si="2"/>
        <v>0</v>
      </c>
      <c r="G10" s="312">
        <f t="shared" ca="1" si="2"/>
        <v>0</v>
      </c>
      <c r="H10" s="312">
        <f t="shared" ca="1" si="2"/>
        <v>32877.938707109228</v>
      </c>
      <c r="I10" s="312">
        <f t="shared" ca="1" si="2"/>
        <v>24106.661309045492</v>
      </c>
      <c r="J10" s="312">
        <f t="shared" ca="1" si="2"/>
        <v>13846.74311114145</v>
      </c>
      <c r="K10" s="312">
        <f t="shared" ca="1" si="2"/>
        <v>428.19381310734025</v>
      </c>
      <c r="L10" s="312">
        <f t="shared" ca="1" si="2"/>
        <v>1672.2602911792515</v>
      </c>
      <c r="M10" s="312">
        <f t="shared" ca="1" si="2"/>
        <v>0</v>
      </c>
      <c r="N10" s="312">
        <f t="shared" ca="1" si="2"/>
        <v>0</v>
      </c>
      <c r="O10" s="312">
        <f t="shared" ca="1" si="2"/>
        <v>59443.971815770929</v>
      </c>
      <c r="P10" s="312">
        <f t="shared" ca="1" si="2"/>
        <v>73487.263821772271</v>
      </c>
      <c r="Q10" s="312">
        <f t="shared" ca="1" si="2"/>
        <v>122735.47540132786</v>
      </c>
      <c r="R10" s="312">
        <f t="shared" ca="1" si="2"/>
        <v>0</v>
      </c>
      <c r="S10" s="312">
        <f t="shared" ca="1" si="2"/>
        <v>183621.26394790778</v>
      </c>
      <c r="T10" s="312">
        <f t="shared" ca="1" si="2"/>
        <v>41243.715550787223</v>
      </c>
      <c r="U10" s="312">
        <f t="shared" ca="1" si="2"/>
        <v>5059.5135670719428</v>
      </c>
      <c r="V10" s="312">
        <f t="shared" ca="1" si="2"/>
        <v>5766.4986715287514</v>
      </c>
      <c r="W10" s="312">
        <f t="shared" ca="1" si="2"/>
        <v>0</v>
      </c>
      <c r="X10" s="312">
        <f t="shared" ca="1" si="2"/>
        <v>17496.082799065818</v>
      </c>
      <c r="Y10" s="312" t="e">
        <f t="shared" ca="1" si="2"/>
        <v>#REF!</v>
      </c>
      <c r="Z10" s="312" t="e">
        <f t="shared" ca="1" si="2"/>
        <v>#REF!</v>
      </c>
      <c r="AA10" s="312" t="e">
        <f t="shared" ca="1" si="3"/>
        <v>#REF!</v>
      </c>
      <c r="AB10" s="312" t="e">
        <f t="shared" ca="1" si="3"/>
        <v>#REF!</v>
      </c>
      <c r="AC10" s="312" t="e">
        <f t="shared" ca="1" si="3"/>
        <v>#REF!</v>
      </c>
      <c r="AD10" s="312" t="e">
        <f t="shared" ca="1" si="3"/>
        <v>#REF!</v>
      </c>
      <c r="AE10" s="312" t="e">
        <f t="shared" ca="1" si="3"/>
        <v>#REF!</v>
      </c>
      <c r="AF10" s="312" t="e">
        <f t="shared" ca="1" si="3"/>
        <v>#REF!</v>
      </c>
      <c r="AG10" s="312"/>
    </row>
    <row r="11" spans="1:33">
      <c r="A11">
        <f t="shared" si="5"/>
        <v>2016</v>
      </c>
      <c r="B11" s="312">
        <f t="shared" ca="1" si="4"/>
        <v>416867.64625827415</v>
      </c>
      <c r="C11" s="312">
        <f t="shared" ca="1" si="2"/>
        <v>25562.324068557369</v>
      </c>
      <c r="D11" s="312">
        <f t="shared" ca="1" si="2"/>
        <v>1460.7042324889924</v>
      </c>
      <c r="E11" s="312">
        <f t="shared" ca="1" si="2"/>
        <v>160936.50633664211</v>
      </c>
      <c r="F11" s="312">
        <f t="shared" ca="1" si="2"/>
        <v>19388.416491967022</v>
      </c>
      <c r="G11" s="312">
        <f t="shared" ca="1" si="2"/>
        <v>0</v>
      </c>
      <c r="H11" s="312">
        <f t="shared" ca="1" si="2"/>
        <v>38375.543407555328</v>
      </c>
      <c r="I11" s="312">
        <f t="shared" ca="1" si="2"/>
        <v>27826.4156289153</v>
      </c>
      <c r="J11" s="312">
        <f t="shared" ca="1" si="2"/>
        <v>15983.350990743145</v>
      </c>
      <c r="K11" s="312">
        <f t="shared" ca="1" si="2"/>
        <v>494.26583219070881</v>
      </c>
      <c r="L11" s="312">
        <f t="shared" ca="1" si="2"/>
        <v>2416.4950522919544</v>
      </c>
      <c r="M11" s="312">
        <f t="shared" ca="1" si="2"/>
        <v>0</v>
      </c>
      <c r="N11" s="312">
        <f t="shared" ca="1" si="2"/>
        <v>0</v>
      </c>
      <c r="O11" s="312">
        <f t="shared" ca="1" si="2"/>
        <v>68616.414574111914</v>
      </c>
      <c r="P11" s="312">
        <f t="shared" ca="1" si="2"/>
        <v>89816.906834069232</v>
      </c>
      <c r="Q11" s="312">
        <f t="shared" ca="1" si="2"/>
        <v>165286.39221349719</v>
      </c>
      <c r="R11" s="312">
        <f t="shared" ca="1" si="2"/>
        <v>812015.86535427626</v>
      </c>
      <c r="S11" s="312">
        <f t="shared" ca="1" si="2"/>
        <v>214325.04780658349</v>
      </c>
      <c r="T11" s="312">
        <f t="shared" ca="1" si="2"/>
        <v>55317.803067885754</v>
      </c>
      <c r="U11" s="312">
        <f t="shared" ca="1" si="2"/>
        <v>5840.2167596991985</v>
      </c>
      <c r="V11" s="312">
        <f t="shared" ca="1" si="2"/>
        <v>10000.773224241382</v>
      </c>
      <c r="W11" s="312">
        <f t="shared" ca="1" si="2"/>
        <v>0</v>
      </c>
      <c r="X11" s="312">
        <f t="shared" ca="1" si="2"/>
        <v>25005.623885359433</v>
      </c>
      <c r="Y11" s="312" t="e">
        <f t="shared" ca="1" si="2"/>
        <v>#REF!</v>
      </c>
      <c r="Z11" s="312" t="e">
        <f t="shared" ca="1" si="2"/>
        <v>#REF!</v>
      </c>
      <c r="AA11" s="312" t="e">
        <f t="shared" ca="1" si="3"/>
        <v>#REF!</v>
      </c>
      <c r="AB11" s="312" t="e">
        <f t="shared" ca="1" si="3"/>
        <v>#REF!</v>
      </c>
      <c r="AC11" s="312" t="e">
        <f t="shared" ca="1" si="3"/>
        <v>#REF!</v>
      </c>
      <c r="AD11" s="312" t="e">
        <f t="shared" ca="1" si="3"/>
        <v>#REF!</v>
      </c>
      <c r="AE11" s="312" t="e">
        <f t="shared" ca="1" si="3"/>
        <v>#REF!</v>
      </c>
      <c r="AF11" s="312" t="e">
        <f t="shared" ca="1" si="3"/>
        <v>#REF!</v>
      </c>
      <c r="AG11" s="312"/>
    </row>
    <row r="12" spans="1:33">
      <c r="A12">
        <f t="shared" si="5"/>
        <v>2017</v>
      </c>
      <c r="B12" s="312">
        <f t="shared" ca="1" si="4"/>
        <v>475192.20730296022</v>
      </c>
      <c r="C12" s="312">
        <f t="shared" ca="1" si="2"/>
        <v>58277.572303635039</v>
      </c>
      <c r="D12" s="312">
        <f t="shared" ca="1" si="2"/>
        <v>1665.0734943895725</v>
      </c>
      <c r="E12" s="312">
        <f t="shared" ca="1" si="2"/>
        <v>183453.36791705477</v>
      </c>
      <c r="F12" s="312">
        <f t="shared" ca="1" si="2"/>
        <v>44202.156303676245</v>
      </c>
      <c r="G12" s="312">
        <f t="shared" ca="1" si="2"/>
        <v>0</v>
      </c>
      <c r="H12" s="312">
        <f t="shared" ca="1" si="2"/>
        <v>44228.508317648877</v>
      </c>
      <c r="I12" s="312">
        <f t="shared" ca="1" si="2"/>
        <v>31719.650068121351</v>
      </c>
      <c r="J12" s="312">
        <f t="shared" ca="1" si="2"/>
        <v>18219.60496469793</v>
      </c>
      <c r="K12" s="312">
        <f t="shared" ca="1" si="2"/>
        <v>563.41928643610981</v>
      </c>
      <c r="L12" s="312">
        <f t="shared" ca="1" si="2"/>
        <v>2758.4356067679014</v>
      </c>
      <c r="M12" s="312">
        <f t="shared" ca="1" si="2"/>
        <v>0</v>
      </c>
      <c r="N12" s="312">
        <f t="shared" ca="1" si="2"/>
        <v>0</v>
      </c>
      <c r="O12" s="312">
        <f t="shared" ca="1" si="2"/>
        <v>78216.637322067254</v>
      </c>
      <c r="P12" s="312">
        <f t="shared" ca="1" si="2"/>
        <v>108087.76577715263</v>
      </c>
      <c r="Q12" s="312">
        <f t="shared" ca="1" si="2"/>
        <v>215327.83163209885</v>
      </c>
      <c r="R12" s="312">
        <f t="shared" ca="1" si="2"/>
        <v>925626.19067745202</v>
      </c>
      <c r="S12" s="312">
        <f t="shared" ca="1" si="2"/>
        <v>247013.49656270165</v>
      </c>
      <c r="T12" s="312">
        <f t="shared" ca="1" si="2"/>
        <v>63735.173812197834</v>
      </c>
      <c r="U12" s="312">
        <f t="shared" ca="1" si="2"/>
        <v>6657.3300136844582</v>
      </c>
      <c r="V12" s="312">
        <f t="shared" ca="1" si="2"/>
        <v>11417.118738569285</v>
      </c>
      <c r="W12" s="312">
        <f t="shared" ca="1" si="2"/>
        <v>0</v>
      </c>
      <c r="X12" s="312">
        <f t="shared" ca="1" si="2"/>
        <v>33877.529456898701</v>
      </c>
      <c r="Y12" s="312" t="e">
        <f t="shared" ca="1" si="2"/>
        <v>#REF!</v>
      </c>
      <c r="Z12" s="312" t="e">
        <f t="shared" ca="1" si="2"/>
        <v>#REF!</v>
      </c>
      <c r="AA12" s="312" t="e">
        <f t="shared" ca="1" si="3"/>
        <v>#REF!</v>
      </c>
      <c r="AB12" s="312" t="e">
        <f t="shared" ca="1" si="3"/>
        <v>#REF!</v>
      </c>
      <c r="AC12" s="312" t="e">
        <f t="shared" ca="1" si="3"/>
        <v>#REF!</v>
      </c>
      <c r="AD12" s="312" t="e">
        <f t="shared" ca="1" si="3"/>
        <v>#REF!</v>
      </c>
      <c r="AE12" s="312" t="e">
        <f t="shared" ca="1" si="3"/>
        <v>#REF!</v>
      </c>
      <c r="AF12" s="312" t="e">
        <f t="shared" ca="1" si="3"/>
        <v>#REF!</v>
      </c>
      <c r="AG12" s="312"/>
    </row>
    <row r="13" spans="1:33">
      <c r="A13">
        <f t="shared" si="5"/>
        <v>2018</v>
      </c>
      <c r="B13" s="312">
        <f t="shared" ca="1" si="4"/>
        <v>536035.13171772158</v>
      </c>
      <c r="C13" s="312">
        <f t="shared" ca="1" si="2"/>
        <v>65739.34855386139</v>
      </c>
      <c r="D13" s="312">
        <f t="shared" ca="1" si="2"/>
        <v>1878.2671015388967</v>
      </c>
      <c r="E13" s="312">
        <f t="shared" ca="1" si="2"/>
        <v>206942.47238103967</v>
      </c>
      <c r="F13" s="312">
        <f t="shared" ca="1" si="2"/>
        <v>74792.60490484738</v>
      </c>
      <c r="G13" s="312">
        <f t="shared" ca="1" si="2"/>
        <v>0</v>
      </c>
      <c r="H13" s="312">
        <f t="shared" ca="1" si="2"/>
        <v>50437.192630102036</v>
      </c>
      <c r="I13" s="312">
        <f t="shared" ca="1" si="2"/>
        <v>35780.988284315979</v>
      </c>
      <c r="J13" s="312">
        <f t="shared" ca="1" si="2"/>
        <v>20552.416889425433</v>
      </c>
      <c r="K13" s="312">
        <f t="shared" ca="1" si="2"/>
        <v>635.55867873173247</v>
      </c>
      <c r="L13" s="312">
        <f t="shared" ca="1" si="2"/>
        <v>3115.6956253460958</v>
      </c>
      <c r="M13" s="312">
        <f t="shared" ca="1" si="2"/>
        <v>0</v>
      </c>
      <c r="N13" s="312">
        <f t="shared" ca="1" si="2"/>
        <v>0</v>
      </c>
      <c r="O13" s="312">
        <f t="shared" ca="1" si="2"/>
        <v>88231.382680736991</v>
      </c>
      <c r="P13" s="312">
        <f t="shared" ca="1" si="2"/>
        <v>128379.44704642137</v>
      </c>
      <c r="Q13" s="312">
        <f t="shared" ca="1" si="2"/>
        <v>273260.35848172446</v>
      </c>
      <c r="R13" s="312">
        <f t="shared" ca="1" si="2"/>
        <v>1044142.0322468113</v>
      </c>
      <c r="S13" s="312">
        <f t="shared" ca="1" si="2"/>
        <v>281688.61628545017</v>
      </c>
      <c r="T13" s="312">
        <f t="shared" ca="1" si="2"/>
        <v>72660.29111211632</v>
      </c>
      <c r="U13" s="312">
        <f t="shared" ca="1" si="2"/>
        <v>7509.7249406250112</v>
      </c>
      <c r="V13" s="312">
        <f t="shared" ca="1" si="2"/>
        <v>12896.928201513143</v>
      </c>
      <c r="W13" s="312">
        <f t="shared" ca="1" si="2"/>
        <v>0</v>
      </c>
      <c r="X13" s="312">
        <f t="shared" ca="1" si="2"/>
        <v>42891.306290425833</v>
      </c>
      <c r="Y13" s="312" t="e">
        <f t="shared" ca="1" si="2"/>
        <v>#REF!</v>
      </c>
      <c r="Z13" s="312" t="e">
        <f t="shared" ca="1" si="2"/>
        <v>#REF!</v>
      </c>
      <c r="AA13" s="312" t="e">
        <f t="shared" ca="1" si="3"/>
        <v>#REF!</v>
      </c>
      <c r="AB13" s="312" t="e">
        <f t="shared" ca="1" si="3"/>
        <v>#REF!</v>
      </c>
      <c r="AC13" s="312" t="e">
        <f t="shared" ca="1" si="3"/>
        <v>#REF!</v>
      </c>
      <c r="AD13" s="312" t="e">
        <f t="shared" ca="1" si="3"/>
        <v>#REF!</v>
      </c>
      <c r="AE13" s="312" t="e">
        <f t="shared" ca="1" si="3"/>
        <v>#REF!</v>
      </c>
      <c r="AF13" s="312" t="e">
        <f t="shared" ca="1" si="3"/>
        <v>#REF!</v>
      </c>
      <c r="AG13" s="312"/>
    </row>
    <row r="14" spans="1:33">
      <c r="A14">
        <f t="shared" si="5"/>
        <v>2019</v>
      </c>
      <c r="B14" s="312">
        <f t="shared" ca="1" si="4"/>
        <v>599316.71605208237</v>
      </c>
      <c r="C14" s="312">
        <f t="shared" ca="1" si="2"/>
        <v>110250.30308494106</v>
      </c>
      <c r="D14" s="312">
        <f t="shared" ca="1" si="2"/>
        <v>2100.0057730464964</v>
      </c>
      <c r="E14" s="312">
        <f t="shared" ca="1" si="2"/>
        <v>231373.04930307259</v>
      </c>
      <c r="F14" s="312">
        <f t="shared" ca="1" si="2"/>
        <v>111496.31981002005</v>
      </c>
      <c r="G14" s="312">
        <f t="shared" ca="1" si="2"/>
        <v>0</v>
      </c>
      <c r="H14" s="312">
        <f t="shared" ca="1" si="2"/>
        <v>57001.707389915086</v>
      </c>
      <c r="I14" s="312">
        <f t="shared" ca="1" si="2"/>
        <v>40005.10997653575</v>
      </c>
      <c r="J14" s="312">
        <f t="shared" ca="1" si="2"/>
        <v>22978.730811230114</v>
      </c>
      <c r="K14" s="312">
        <f t="shared" ca="1" si="2"/>
        <v>710.58950739909028</v>
      </c>
      <c r="L14" s="312">
        <f t="shared" ca="1" si="2"/>
        <v>3487.8269049360006</v>
      </c>
      <c r="M14" s="312">
        <f t="shared" ca="1" si="2"/>
        <v>0</v>
      </c>
      <c r="N14" s="312">
        <f t="shared" ca="1" si="2"/>
        <v>0</v>
      </c>
      <c r="O14" s="312">
        <f t="shared" ca="1" si="2"/>
        <v>98647.531462172759</v>
      </c>
      <c r="P14" s="312">
        <f t="shared" ca="1" si="2"/>
        <v>150768.15523207784</v>
      </c>
      <c r="Q14" s="312">
        <f t="shared" ca="1" si="2"/>
        <v>339466.76456672506</v>
      </c>
      <c r="R14" s="312">
        <f t="shared" ca="1" si="2"/>
        <v>1167408.1358302471</v>
      </c>
      <c r="S14" s="312">
        <f t="shared" ca="1" si="2"/>
        <v>318351.02715432027</v>
      </c>
      <c r="T14" s="312">
        <f t="shared" ca="1" si="2"/>
        <v>82093.013350032998</v>
      </c>
      <c r="U14" s="312">
        <f t="shared" ca="1" si="2"/>
        <v>8396.284914101283</v>
      </c>
      <c r="V14" s="312">
        <f t="shared" ca="1" si="2"/>
        <v>14438.352782641783</v>
      </c>
      <c r="W14" s="312">
        <f t="shared" ca="1" si="2"/>
        <v>0</v>
      </c>
      <c r="X14" s="312">
        <f t="shared" ca="1" si="2"/>
        <v>53072.128647579862</v>
      </c>
      <c r="Y14" s="312" t="e">
        <f t="shared" ca="1" si="2"/>
        <v>#REF!</v>
      </c>
      <c r="Z14" s="312" t="e">
        <f t="shared" ca="1" si="2"/>
        <v>#REF!</v>
      </c>
      <c r="AA14" s="312" t="e">
        <f t="shared" ca="1" si="3"/>
        <v>#REF!</v>
      </c>
      <c r="AB14" s="312" t="e">
        <f t="shared" ca="1" si="3"/>
        <v>#REF!</v>
      </c>
      <c r="AC14" s="312" t="e">
        <f t="shared" ca="1" si="3"/>
        <v>#REF!</v>
      </c>
      <c r="AD14" s="312" t="e">
        <f t="shared" ca="1" si="3"/>
        <v>#REF!</v>
      </c>
      <c r="AE14" s="312" t="e">
        <f t="shared" ca="1" si="3"/>
        <v>#REF!</v>
      </c>
      <c r="AF14" s="312" t="e">
        <f t="shared" ca="1" si="3"/>
        <v>#REF!</v>
      </c>
      <c r="AG14" s="312"/>
    </row>
    <row r="15" spans="1:33">
      <c r="A15">
        <f t="shared" si="5"/>
        <v>2020</v>
      </c>
      <c r="B15" s="312">
        <f t="shared" ca="1" si="4"/>
        <v>664958.11545698845</v>
      </c>
      <c r="C15" s="312">
        <f t="shared" ca="1" si="2"/>
        <v>122325.6949194676</v>
      </c>
      <c r="D15" s="312">
        <f t="shared" ca="1" si="2"/>
        <v>2330.0132365612876</v>
      </c>
      <c r="E15" s="312">
        <f t="shared" ca="1" si="2"/>
        <v>256714.6597304951</v>
      </c>
      <c r="F15" s="312">
        <f t="shared" ca="1" si="2"/>
        <v>154635.23024530828</v>
      </c>
      <c r="G15" s="312">
        <f t="shared" ca="1" si="2"/>
        <v>0</v>
      </c>
      <c r="H15" s="312">
        <f t="shared" ca="1" si="2"/>
        <v>63921.921598881265</v>
      </c>
      <c r="I15" s="312">
        <f t="shared" ca="1" si="2"/>
        <v>44386.752156492526</v>
      </c>
      <c r="J15" s="312">
        <f t="shared" ca="1" si="2"/>
        <v>25495.523696524338</v>
      </c>
      <c r="K15" s="312">
        <f t="shared" ca="1" si="2"/>
        <v>788.41828877428838</v>
      </c>
      <c r="L15" s="312">
        <f t="shared" ca="1" si="2"/>
        <v>3874.3846792431527</v>
      </c>
      <c r="M15" s="312">
        <f t="shared" ca="1" si="2"/>
        <v>10140.54476490753</v>
      </c>
      <c r="N15" s="312">
        <f t="shared" ca="1" si="2"/>
        <v>11512.512947043007</v>
      </c>
      <c r="O15" s="312">
        <f t="shared" ca="1" si="2"/>
        <v>109452.10580422032</v>
      </c>
      <c r="P15" s="312">
        <f t="shared" ca="1" si="2"/>
        <v>175326.70979346914</v>
      </c>
      <c r="Q15" s="312">
        <f t="shared" ca="1" si="2"/>
        <v>414312.31830958859</v>
      </c>
      <c r="R15" s="312">
        <f t="shared" ref="R15:AE45" ca="1" si="6">OFFSET(INDIRECT(R$3),$A15-$A$5+$C$1,$C$2)</f>
        <v>1295270.9196640805</v>
      </c>
      <c r="S15" s="312">
        <f t="shared" ca="1" si="6"/>
        <v>356999.99755239056</v>
      </c>
      <c r="T15" s="312">
        <f t="shared" ca="1" si="6"/>
        <v>92032.86301170908</v>
      </c>
      <c r="U15" s="312">
        <f t="shared" ca="1" si="6"/>
        <v>9315.9053364957999</v>
      </c>
      <c r="V15" s="312">
        <f t="shared" ca="1" si="6"/>
        <v>16039.554837929236</v>
      </c>
      <c r="W15" s="312">
        <f t="shared" ca="1" si="6"/>
        <v>0</v>
      </c>
      <c r="X15" s="312">
        <f t="shared" ca="1" si="6"/>
        <v>64439.503765234709</v>
      </c>
      <c r="Y15" s="312" t="e">
        <f t="shared" ca="1" si="6"/>
        <v>#REF!</v>
      </c>
      <c r="Z15" s="312" t="e">
        <f t="shared" ca="1" si="6"/>
        <v>#REF!</v>
      </c>
      <c r="AA15" s="312" t="e">
        <f t="shared" ca="1" si="3"/>
        <v>#REF!</v>
      </c>
      <c r="AB15" s="312" t="e">
        <f t="shared" ca="1" si="3"/>
        <v>#REF!</v>
      </c>
      <c r="AC15" s="312" t="e">
        <f t="shared" ca="1" si="3"/>
        <v>#REF!</v>
      </c>
      <c r="AD15" s="312" t="e">
        <f t="shared" ca="1" si="3"/>
        <v>#REF!</v>
      </c>
      <c r="AE15" s="312" t="e">
        <f t="shared" ca="1" si="3"/>
        <v>#REF!</v>
      </c>
      <c r="AF15" s="312" t="e">
        <f t="shared" ca="1" si="3"/>
        <v>#REF!</v>
      </c>
      <c r="AG15" s="312"/>
    </row>
    <row r="16" spans="1:33">
      <c r="A16">
        <f t="shared" si="5"/>
        <v>2021</v>
      </c>
      <c r="B16" s="312">
        <f t="shared" ca="1" si="4"/>
        <v>740690.92106463085</v>
      </c>
      <c r="C16" s="312">
        <f t="shared" ca="1" si="4"/>
        <v>181676.66911873268</v>
      </c>
      <c r="D16" s="312">
        <f t="shared" ca="1" si="4"/>
        <v>2595.3809874104663</v>
      </c>
      <c r="E16" s="312">
        <f t="shared" ca="1" si="4"/>
        <v>285952.17254532914</v>
      </c>
      <c r="F16" s="312">
        <f t="shared" ca="1" si="4"/>
        <v>206696.16649293559</v>
      </c>
      <c r="G16" s="312">
        <f t="shared" ca="1" si="4"/>
        <v>0</v>
      </c>
      <c r="H16" s="312">
        <f t="shared" ca="1" si="4"/>
        <v>71956.146186071681</v>
      </c>
      <c r="I16" s="312">
        <f t="shared" ca="1" si="4"/>
        <v>49442.00781016938</v>
      </c>
      <c r="J16" s="312">
        <f t="shared" ca="1" si="4"/>
        <v>28399.236720083652</v>
      </c>
      <c r="K16" s="312">
        <f t="shared" ca="1" si="4"/>
        <v>878.21210828458709</v>
      </c>
      <c r="L16" s="312">
        <f t="shared" ca="1" si="4"/>
        <v>4320.4812913478672</v>
      </c>
      <c r="M16" s="312">
        <f t="shared" ca="1" si="4"/>
        <v>11182.507111681158</v>
      </c>
      <c r="N16" s="312">
        <f t="shared" ca="1" si="4"/>
        <v>12823.685613120904</v>
      </c>
      <c r="O16" s="312">
        <f t="shared" ca="1" si="4"/>
        <v>121917.72560723824</v>
      </c>
      <c r="P16" s="312">
        <f t="shared" ca="1" si="4"/>
        <v>204278.39830349787</v>
      </c>
      <c r="Q16" s="312">
        <f t="shared" ca="1" si="4"/>
        <v>503453.23689434386</v>
      </c>
      <c r="R16" s="312">
        <f t="shared" ca="1" si="6"/>
        <v>1442790.7385638573</v>
      </c>
      <c r="S16" s="312">
        <f t="shared" ca="1" si="6"/>
        <v>401870.64734231401</v>
      </c>
      <c r="T16" s="312">
        <f t="shared" ca="1" si="6"/>
        <v>103571.04851356204</v>
      </c>
      <c r="U16" s="312">
        <f t="shared" ca="1" si="6"/>
        <v>10376.903964090818</v>
      </c>
      <c r="V16" s="312">
        <f t="shared" ca="1" si="6"/>
        <v>17887.306840137651</v>
      </c>
      <c r="W16" s="312">
        <f t="shared" ca="1" si="6"/>
        <v>0</v>
      </c>
      <c r="X16" s="312">
        <f t="shared" ca="1" si="6"/>
        <v>77828.269244053256</v>
      </c>
      <c r="Y16" s="312" t="e">
        <f t="shared" ca="1" si="6"/>
        <v>#REF!</v>
      </c>
      <c r="Z16" s="312" t="e">
        <f t="shared" ca="1" si="6"/>
        <v>#REF!</v>
      </c>
      <c r="AA16" s="312" t="e">
        <f t="shared" ca="1" si="3"/>
        <v>#REF!</v>
      </c>
      <c r="AB16" s="312" t="e">
        <f t="shared" ca="1" si="3"/>
        <v>#REF!</v>
      </c>
      <c r="AC16" s="312" t="e">
        <f t="shared" ca="1" si="3"/>
        <v>#REF!</v>
      </c>
      <c r="AD16" s="312" t="e">
        <f t="shared" ca="1" si="3"/>
        <v>#REF!</v>
      </c>
      <c r="AE16" s="312" t="e">
        <f t="shared" ca="1" si="3"/>
        <v>#REF!</v>
      </c>
      <c r="AF16" s="312" t="e">
        <f t="shared" ca="1" si="3"/>
        <v>#REF!</v>
      </c>
      <c r="AG16" s="312"/>
    </row>
    <row r="17" spans="1:33">
      <c r="A17">
        <f t="shared" si="5"/>
        <v>2022</v>
      </c>
      <c r="B17" s="312">
        <f t="shared" ca="1" si="4"/>
        <v>819346.30398037157</v>
      </c>
      <c r="C17" s="312">
        <f t="shared" ca="1" si="4"/>
        <v>200969.26144030556</v>
      </c>
      <c r="D17" s="312">
        <f t="shared" ca="1" si="4"/>
        <v>2870.9894491472219</v>
      </c>
      <c r="E17" s="312">
        <f t="shared" ca="1" si="4"/>
        <v>316317.97964177968</v>
      </c>
      <c r="F17" s="312">
        <f t="shared" ca="1" si="4"/>
        <v>266753.23150451784</v>
      </c>
      <c r="G17" s="312">
        <f t="shared" ca="1" si="4"/>
        <v>0</v>
      </c>
      <c r="H17" s="312">
        <f t="shared" ca="1" si="4"/>
        <v>80431.471833990217</v>
      </c>
      <c r="I17" s="312">
        <f t="shared" ca="1" si="4"/>
        <v>54692.349006254575</v>
      </c>
      <c r="J17" s="312">
        <f t="shared" ca="1" si="4"/>
        <v>31415.005882641046</v>
      </c>
      <c r="K17" s="312">
        <f t="shared" ca="1" si="4"/>
        <v>971.4711286045308</v>
      </c>
      <c r="L17" s="312">
        <f t="shared" ca="1" si="4"/>
        <v>4784.4152408516129</v>
      </c>
      <c r="M17" s="312">
        <f t="shared" ca="1" si="4"/>
        <v>12246.293984738308</v>
      </c>
      <c r="N17" s="312">
        <f t="shared" ca="1" si="4"/>
        <v>14185.457269294731</v>
      </c>
      <c r="O17" s="312">
        <f t="shared" ca="1" si="4"/>
        <v>134864.40163516917</v>
      </c>
      <c r="P17" s="312">
        <f t="shared" ca="1" si="4"/>
        <v>235932.08092468753</v>
      </c>
      <c r="Q17" s="312">
        <f t="shared" ca="1" si="4"/>
        <v>603325.55533471052</v>
      </c>
      <c r="R17" s="312">
        <f t="shared" ca="1" si="6"/>
        <v>1596003.4414358051</v>
      </c>
      <c r="S17" s="312">
        <f t="shared" ca="1" si="6"/>
        <v>449204.81940537051</v>
      </c>
      <c r="T17" s="312">
        <f t="shared" ca="1" si="6"/>
        <v>115738.1058966859</v>
      </c>
      <c r="U17" s="312">
        <f t="shared" ca="1" si="6"/>
        <v>11478.847205952441</v>
      </c>
      <c r="V17" s="312">
        <f t="shared" ca="1" si="6"/>
        <v>19808.979116144983</v>
      </c>
      <c r="W17" s="312">
        <f t="shared" ca="1" si="6"/>
        <v>0</v>
      </c>
      <c r="X17" s="312">
        <f t="shared" ca="1" si="6"/>
        <v>92632.820287329843</v>
      </c>
      <c r="Y17" s="312" t="e">
        <f t="shared" ca="1" si="6"/>
        <v>#REF!</v>
      </c>
      <c r="Z17" s="312" t="e">
        <f t="shared" ca="1" si="6"/>
        <v>#REF!</v>
      </c>
      <c r="AA17" s="312" t="e">
        <f t="shared" ca="1" si="3"/>
        <v>#REF!</v>
      </c>
      <c r="AB17" s="312" t="e">
        <f t="shared" ca="1" si="3"/>
        <v>#REF!</v>
      </c>
      <c r="AC17" s="312" t="e">
        <f t="shared" ca="1" si="3"/>
        <v>#REF!</v>
      </c>
      <c r="AD17" s="312" t="e">
        <f t="shared" ca="1" si="3"/>
        <v>#REF!</v>
      </c>
      <c r="AE17" s="312" t="e">
        <f t="shared" ca="1" si="3"/>
        <v>#REF!</v>
      </c>
      <c r="AF17" s="312" t="e">
        <f t="shared" ca="1" si="3"/>
        <v>#REF!</v>
      </c>
      <c r="AG17" s="312"/>
    </row>
    <row r="18" spans="1:33">
      <c r="A18">
        <f t="shared" si="5"/>
        <v>2023</v>
      </c>
      <c r="B18" s="312">
        <f t="shared" ca="1" si="4"/>
        <v>900806.41597994196</v>
      </c>
      <c r="C18" s="312">
        <f t="shared" ca="1" si="4"/>
        <v>220949.79771156018</v>
      </c>
      <c r="D18" s="312">
        <f t="shared" ca="1" si="4"/>
        <v>3156.4256815937165</v>
      </c>
      <c r="E18" s="312">
        <f t="shared" ca="1" si="4"/>
        <v>347766.584369622</v>
      </c>
      <c r="F18" s="312">
        <f t="shared" ca="1" si="4"/>
        <v>335170.36168999283</v>
      </c>
      <c r="G18" s="312">
        <f t="shared" ca="1" si="4"/>
        <v>0</v>
      </c>
      <c r="H18" s="312">
        <f t="shared" ca="1" si="4"/>
        <v>89345.136249247065</v>
      </c>
      <c r="I18" s="312">
        <f t="shared" ca="1" si="4"/>
        <v>60129.90923436029</v>
      </c>
      <c r="J18" s="312">
        <f t="shared" ca="1" si="4"/>
        <v>34538.312700814487</v>
      </c>
      <c r="K18" s="312">
        <f t="shared" ca="1" si="4"/>
        <v>1068.055621090836</v>
      </c>
      <c r="L18" s="312">
        <f t="shared" ca="1" si="4"/>
        <v>5265.5168841692885</v>
      </c>
      <c r="M18" s="312">
        <f t="shared" ca="1" si="4"/>
        <v>13329.196504998561</v>
      </c>
      <c r="N18" s="312">
        <f t="shared" ca="1" si="4"/>
        <v>15595.787592758974</v>
      </c>
      <c r="O18" s="312">
        <f t="shared" ca="1" si="4"/>
        <v>148272.73607029844</v>
      </c>
      <c r="P18" s="312">
        <f t="shared" ca="1" si="4"/>
        <v>270364.93831232237</v>
      </c>
      <c r="Q18" s="312">
        <f t="shared" ca="1" si="4"/>
        <v>714332.44540090126</v>
      </c>
      <c r="R18" s="312">
        <f t="shared" ca="1" si="6"/>
        <v>1754679.4718999334</v>
      </c>
      <c r="S18" s="312">
        <f t="shared" ca="1" si="6"/>
        <v>498987.08650300425</v>
      </c>
      <c r="T18" s="312">
        <f t="shared" ca="1" si="6"/>
        <v>128529.72581900941</v>
      </c>
      <c r="U18" s="312">
        <f t="shared" ca="1" si="6"/>
        <v>12620.084036435834</v>
      </c>
      <c r="V18" s="312">
        <f t="shared" ca="1" si="6"/>
        <v>21801.798659870939</v>
      </c>
      <c r="W18" s="312">
        <f t="shared" ca="1" si="6"/>
        <v>0</v>
      </c>
      <c r="X18" s="312">
        <f t="shared" ca="1" si="6"/>
        <v>100800.75003856682</v>
      </c>
      <c r="Y18" s="312" t="e">
        <f t="shared" ca="1" si="6"/>
        <v>#REF!</v>
      </c>
      <c r="Z18" s="312" t="e">
        <f t="shared" ca="1" si="6"/>
        <v>#REF!</v>
      </c>
      <c r="AA18" s="312" t="e">
        <f t="shared" ca="1" si="3"/>
        <v>#REF!</v>
      </c>
      <c r="AB18" s="312" t="e">
        <f t="shared" ca="1" si="3"/>
        <v>#REF!</v>
      </c>
      <c r="AC18" s="312" t="e">
        <f t="shared" ca="1" si="3"/>
        <v>#REF!</v>
      </c>
      <c r="AD18" s="312" t="e">
        <f t="shared" ca="1" si="3"/>
        <v>#REF!</v>
      </c>
      <c r="AE18" s="312" t="e">
        <f t="shared" ca="1" si="3"/>
        <v>#REF!</v>
      </c>
      <c r="AF18" s="312" t="e">
        <f t="shared" ca="1" si="3"/>
        <v>#REF!</v>
      </c>
      <c r="AG18" s="312"/>
    </row>
    <row r="19" spans="1:33">
      <c r="A19">
        <f t="shared" si="5"/>
        <v>2024</v>
      </c>
      <c r="B19" s="312">
        <f t="shared" ca="1" si="4"/>
        <v>984954.2219494438</v>
      </c>
      <c r="C19" s="312">
        <f t="shared" ca="1" si="4"/>
        <v>241589.57155975961</v>
      </c>
      <c r="D19" s="312">
        <f t="shared" ca="1" si="4"/>
        <v>3451.2795937108508</v>
      </c>
      <c r="E19" s="312">
        <f t="shared" ca="1" si="4"/>
        <v>380252.80398915778</v>
      </c>
      <c r="F19" s="312">
        <f t="shared" ca="1" si="4"/>
        <v>366479.91950607003</v>
      </c>
      <c r="G19" s="312">
        <f t="shared" ca="1" si="4"/>
        <v>27963.259149218313</v>
      </c>
      <c r="H19" s="312">
        <f t="shared" ca="1" si="4"/>
        <v>98693.978694828198</v>
      </c>
      <c r="I19" s="312">
        <f t="shared" ca="1" si="4"/>
        <v>65746.876260191711</v>
      </c>
      <c r="J19" s="312">
        <f t="shared" ca="1" si="4"/>
        <v>37764.669867132485</v>
      </c>
      <c r="K19" s="312">
        <f t="shared" ca="1" si="4"/>
        <v>1167.8268211776131</v>
      </c>
      <c r="L19" s="312">
        <f t="shared" ca="1" si="4"/>
        <v>5763.1188991398913</v>
      </c>
      <c r="M19" s="312">
        <f t="shared" ca="1" si="4"/>
        <v>14428.574698252962</v>
      </c>
      <c r="N19" s="312">
        <f t="shared" ca="1" si="4"/>
        <v>17052.650338201795</v>
      </c>
      <c r="O19" s="312">
        <f t="shared" ca="1" si="4"/>
        <v>162123.46493287844</v>
      </c>
      <c r="P19" s="312">
        <f t="shared" ca="1" si="4"/>
        <v>307648.88781283196</v>
      </c>
      <c r="Q19" s="312">
        <f t="shared" ca="1" si="4"/>
        <v>836851.06893244968</v>
      </c>
      <c r="R19" s="312">
        <f t="shared" ca="1" si="6"/>
        <v>1918590.8574327286</v>
      </c>
      <c r="S19" s="312">
        <f t="shared" ca="1" si="6"/>
        <v>551199.79611354484</v>
      </c>
      <c r="T19" s="312">
        <f t="shared" ca="1" si="6"/>
        <v>141941.04375809454</v>
      </c>
      <c r="U19" s="312">
        <f t="shared" ca="1" si="6"/>
        <v>13798.974821379417</v>
      </c>
      <c r="V19" s="312">
        <f t="shared" ca="1" si="6"/>
        <v>23863.001727256778</v>
      </c>
      <c r="W19" s="312">
        <f t="shared" ca="1" si="6"/>
        <v>0</v>
      </c>
      <c r="X19" s="312">
        <f t="shared" ca="1" si="6"/>
        <v>109838.87196290676</v>
      </c>
      <c r="Y19" s="312" t="e">
        <f t="shared" ca="1" si="6"/>
        <v>#REF!</v>
      </c>
      <c r="Z19" s="312" t="e">
        <f t="shared" ca="1" si="6"/>
        <v>#REF!</v>
      </c>
      <c r="AA19" s="312" t="e">
        <f t="shared" ca="1" si="3"/>
        <v>#REF!</v>
      </c>
      <c r="AB19" s="312" t="e">
        <f t="shared" ca="1" si="3"/>
        <v>#REF!</v>
      </c>
      <c r="AC19" s="312" t="e">
        <f t="shared" ca="1" si="3"/>
        <v>#REF!</v>
      </c>
      <c r="AD19" s="312" t="e">
        <f t="shared" ca="1" si="3"/>
        <v>#REF!</v>
      </c>
      <c r="AE19" s="312" t="e">
        <f t="shared" ca="1" si="3"/>
        <v>#REF!</v>
      </c>
      <c r="AF19" s="312" t="e">
        <f t="shared" ca="1" si="3"/>
        <v>#REF!</v>
      </c>
      <c r="AG19" s="312"/>
    </row>
    <row r="20" spans="1:33">
      <c r="A20">
        <f t="shared" si="5"/>
        <v>2025</v>
      </c>
      <c r="B20" s="312">
        <f t="shared" ca="1" si="4"/>
        <v>1071673.5018456003</v>
      </c>
      <c r="C20" s="312">
        <f t="shared" ca="1" si="4"/>
        <v>262860.07653268886</v>
      </c>
      <c r="D20" s="312">
        <f t="shared" ca="1" si="4"/>
        <v>3755.1439504669834</v>
      </c>
      <c r="E20" s="312">
        <f t="shared" ca="1" si="4"/>
        <v>413731.77042799263</v>
      </c>
      <c r="F20" s="312">
        <f t="shared" ca="1" si="4"/>
        <v>398746.26651767665</v>
      </c>
      <c r="G20" s="312">
        <f t="shared" ca="1" si="4"/>
        <v>60850.510993590105</v>
      </c>
      <c r="H20" s="312">
        <f t="shared" ca="1" si="4"/>
        <v>108474.44432759333</v>
      </c>
      <c r="I20" s="312">
        <f t="shared" ca="1" si="4"/>
        <v>71535.492256396028</v>
      </c>
      <c r="J20" s="312">
        <f t="shared" ca="1" si="4"/>
        <v>41089.621325193148</v>
      </c>
      <c r="K20" s="312">
        <f t="shared" ca="1" si="4"/>
        <v>1270.6469307005696</v>
      </c>
      <c r="L20" s="312">
        <f t="shared" ca="1" si="4"/>
        <v>6276.5564164460939</v>
      </c>
      <c r="M20" s="312">
        <f t="shared" ca="1" si="4"/>
        <v>15541.944960515819</v>
      </c>
      <c r="N20" s="312">
        <f t="shared" ca="1" si="4"/>
        <v>18554.033371743142</v>
      </c>
      <c r="O20" s="312">
        <f t="shared" ca="1" si="4"/>
        <v>176397.45840378583</v>
      </c>
      <c r="P20" s="312">
        <f t="shared" ca="1" si="4"/>
        <v>347850.59107927594</v>
      </c>
      <c r="Q20" s="312">
        <f t="shared" ca="1" si="4"/>
        <v>971232.80989693839</v>
      </c>
      <c r="R20" s="312">
        <f t="shared" ca="1" si="6"/>
        <v>2087511.2131855218</v>
      </c>
      <c r="S20" s="312">
        <f t="shared" ca="1" si="6"/>
        <v>605823.09465686511</v>
      </c>
      <c r="T20" s="312">
        <f t="shared" ca="1" si="6"/>
        <v>155966.64609520053</v>
      </c>
      <c r="U20" s="312">
        <f t="shared" ca="1" si="6"/>
        <v>15013.891345567525</v>
      </c>
      <c r="V20" s="312">
        <f t="shared" ca="1" si="6"/>
        <v>25989.834480178448</v>
      </c>
      <c r="W20" s="312">
        <f t="shared" ca="1" si="6"/>
        <v>0</v>
      </c>
      <c r="X20" s="312">
        <f t="shared" ca="1" si="6"/>
        <v>119096.97307828412</v>
      </c>
      <c r="Y20" s="312" t="e">
        <f t="shared" ca="1" si="6"/>
        <v>#REF!</v>
      </c>
      <c r="Z20" s="312" t="e">
        <f t="shared" ca="1" si="6"/>
        <v>#REF!</v>
      </c>
      <c r="AA20" s="312" t="e">
        <f t="shared" ca="1" si="3"/>
        <v>#REF!</v>
      </c>
      <c r="AB20" s="312" t="e">
        <f t="shared" ca="1" si="3"/>
        <v>#REF!</v>
      </c>
      <c r="AC20" s="312" t="e">
        <f t="shared" ca="1" si="3"/>
        <v>#REF!</v>
      </c>
      <c r="AD20" s="312" t="e">
        <f t="shared" ca="1" si="3"/>
        <v>#REF!</v>
      </c>
      <c r="AE20" s="312" t="e">
        <f t="shared" ca="1" si="3"/>
        <v>#REF!</v>
      </c>
      <c r="AF20" s="312" t="e">
        <f t="shared" ca="1" si="3"/>
        <v>#REF!</v>
      </c>
      <c r="AG20" s="312"/>
    </row>
    <row r="21" spans="1:33">
      <c r="A21">
        <f t="shared" si="5"/>
        <v>2026</v>
      </c>
      <c r="B21" s="312">
        <f t="shared" ca="1" si="4"/>
        <v>1169702.8652781448</v>
      </c>
      <c r="C21" s="312">
        <f t="shared" ca="1" si="4"/>
        <v>286904.7187954234</v>
      </c>
      <c r="D21" s="312">
        <f t="shared" ca="1" si="4"/>
        <v>4098.6388399346197</v>
      </c>
      <c r="E21" s="312">
        <f t="shared" ca="1" si="4"/>
        <v>451577.1235295001</v>
      </c>
      <c r="F21" s="312">
        <f t="shared" ca="1" si="4"/>
        <v>435220.84819811763</v>
      </c>
      <c r="G21" s="312">
        <f t="shared" ca="1" si="4"/>
        <v>99625.049430068379</v>
      </c>
      <c r="H21" s="312">
        <f t="shared" ca="1" si="4"/>
        <v>119587.80298167359</v>
      </c>
      <c r="I21" s="312">
        <f t="shared" ca="1" si="4"/>
        <v>78079.069900754504</v>
      </c>
      <c r="J21" s="312">
        <f t="shared" ca="1" si="4"/>
        <v>44848.218897360537</v>
      </c>
      <c r="K21" s="312">
        <f t="shared" ca="1" si="4"/>
        <v>1386.8770227478014</v>
      </c>
      <c r="L21" s="312">
        <f t="shared" ca="1" si="4"/>
        <v>6857.0714325545105</v>
      </c>
      <c r="M21" s="312">
        <f t="shared" ca="1" si="4"/>
        <v>16793.985494173663</v>
      </c>
      <c r="N21" s="312">
        <f t="shared" ca="1" si="4"/>
        <v>20251.229464961663</v>
      </c>
      <c r="O21" s="312">
        <f t="shared" ca="1" si="4"/>
        <v>192533.09162478268</v>
      </c>
      <c r="P21" s="312">
        <f t="shared" ca="1" si="4"/>
        <v>394013.93525231071</v>
      </c>
      <c r="Q21" s="312">
        <f t="shared" ca="1" si="4"/>
        <v>1126329.2047873025</v>
      </c>
      <c r="R21" s="312">
        <f t="shared" ca="1" si="6"/>
        <v>2278462.463761799</v>
      </c>
      <c r="S21" s="312">
        <f t="shared" ca="1" si="6"/>
        <v>667890.51868084713</v>
      </c>
      <c r="T21" s="312">
        <f t="shared" ca="1" si="6"/>
        <v>171901.7789107775</v>
      </c>
      <c r="U21" s="312">
        <f t="shared" ca="1" si="6"/>
        <v>16387.259455086594</v>
      </c>
      <c r="V21" s="312">
        <f t="shared" ca="1" si="6"/>
        <v>28394.484316667786</v>
      </c>
      <c r="W21" s="312">
        <f t="shared" ca="1" si="6"/>
        <v>0</v>
      </c>
      <c r="X21" s="312">
        <f t="shared" ca="1" si="6"/>
        <v>129539.595403036</v>
      </c>
      <c r="Y21" s="312" t="e">
        <f t="shared" ca="1" si="6"/>
        <v>#REF!</v>
      </c>
      <c r="Z21" s="312" t="e">
        <f t="shared" ca="1" si="6"/>
        <v>#REF!</v>
      </c>
      <c r="AA21" s="312" t="e">
        <f t="shared" ca="1" si="6"/>
        <v>#REF!</v>
      </c>
      <c r="AB21" s="312" t="e">
        <f t="shared" ca="1" si="6"/>
        <v>#REF!</v>
      </c>
      <c r="AC21" s="312" t="e">
        <f t="shared" ca="1" si="6"/>
        <v>#REF!</v>
      </c>
      <c r="AD21" s="312" t="e">
        <f t="shared" ca="1" si="6"/>
        <v>#REF!</v>
      </c>
      <c r="AE21" s="312" t="e">
        <f t="shared" ca="1" si="6"/>
        <v>#REF!</v>
      </c>
      <c r="AF21" s="312" t="e">
        <f t="shared" ref="AF21:AF45" ca="1" si="7">OFFSET(INDIRECT(AF$3),$A21-$A$5+$C$1,$C$2)</f>
        <v>#REF!</v>
      </c>
      <c r="AG21" s="312"/>
    </row>
    <row r="22" spans="1:33">
      <c r="A22">
        <f t="shared" si="5"/>
        <v>2027</v>
      </c>
      <c r="B22" s="312">
        <f t="shared" ca="1" si="4"/>
        <v>1270775.682533825</v>
      </c>
      <c r="C22" s="312">
        <f t="shared" ca="1" si="4"/>
        <v>311695.85941189661</v>
      </c>
      <c r="D22" s="312">
        <f t="shared" ca="1" si="4"/>
        <v>4452.7979915985225</v>
      </c>
      <c r="E22" s="312">
        <f t="shared" ca="1" si="4"/>
        <v>490597.43666901661</v>
      </c>
      <c r="F22" s="312">
        <f t="shared" ca="1" si="4"/>
        <v>472827.83246871718</v>
      </c>
      <c r="G22" s="312">
        <f t="shared" ca="1" si="4"/>
        <v>144311.39616168712</v>
      </c>
      <c r="H22" s="312">
        <f t="shared" ca="1" si="4"/>
        <v>131215.02071387976</v>
      </c>
      <c r="I22" s="312">
        <f t="shared" ca="1" si="4"/>
        <v>84825.801739951858</v>
      </c>
      <c r="J22" s="312">
        <f t="shared" ca="1" si="4"/>
        <v>48723.507201264758</v>
      </c>
      <c r="K22" s="312">
        <f t="shared" ca="1" si="4"/>
        <v>1506.7156347896364</v>
      </c>
      <c r="L22" s="312">
        <f t="shared" ca="1" si="4"/>
        <v>7456.3126283988549</v>
      </c>
      <c r="M22" s="312">
        <f t="shared" ca="1" si="4"/>
        <v>18062.678473967539</v>
      </c>
      <c r="N22" s="312">
        <f t="shared" ca="1" si="4"/>
        <v>22001.117300303671</v>
      </c>
      <c r="O22" s="312">
        <f t="shared" ca="1" si="4"/>
        <v>209169.67734506761</v>
      </c>
      <c r="P22" s="312">
        <f t="shared" ca="1" si="4"/>
        <v>443675.31030509446</v>
      </c>
      <c r="Q22" s="312">
        <f t="shared" ca="1" si="4"/>
        <v>1295633.8046212837</v>
      </c>
      <c r="R22" s="312">
        <f t="shared" ca="1" si="6"/>
        <v>2475342.0534933005</v>
      </c>
      <c r="S22" s="312">
        <f t="shared" ca="1" si="6"/>
        <v>732827.81402666413</v>
      </c>
      <c r="T22" s="312">
        <f t="shared" ca="1" si="6"/>
        <v>188568.16696599306</v>
      </c>
      <c r="U22" s="312">
        <f t="shared" ca="1" si="6"/>
        <v>17803.265630151858</v>
      </c>
      <c r="V22" s="312">
        <f t="shared" ca="1" si="6"/>
        <v>30876.744436090801</v>
      </c>
      <c r="W22" s="312">
        <f t="shared" ca="1" si="6"/>
        <v>0</v>
      </c>
      <c r="X22" s="312">
        <f t="shared" ca="1" si="6"/>
        <v>140241.06869841157</v>
      </c>
      <c r="Y22" s="312" t="e">
        <f t="shared" ca="1" si="6"/>
        <v>#REF!</v>
      </c>
      <c r="Z22" s="312" t="e">
        <f t="shared" ca="1" si="6"/>
        <v>#REF!</v>
      </c>
      <c r="AA22" s="312" t="e">
        <f t="shared" ca="1" si="6"/>
        <v>#REF!</v>
      </c>
      <c r="AB22" s="312" t="e">
        <f t="shared" ca="1" si="6"/>
        <v>#REF!</v>
      </c>
      <c r="AC22" s="312" t="e">
        <f t="shared" ca="1" si="6"/>
        <v>#REF!</v>
      </c>
      <c r="AD22" s="312" t="e">
        <f t="shared" ca="1" si="6"/>
        <v>#REF!</v>
      </c>
      <c r="AE22" s="312" t="e">
        <f t="shared" ca="1" si="6"/>
        <v>#REF!</v>
      </c>
      <c r="AF22" s="312" t="e">
        <f t="shared" ca="1" si="7"/>
        <v>#REF!</v>
      </c>
      <c r="AG22" s="312"/>
    </row>
    <row r="23" spans="1:33">
      <c r="A23">
        <f t="shared" si="5"/>
        <v>2028</v>
      </c>
      <c r="B23" s="312">
        <f t="shared" ca="1" si="4"/>
        <v>1374744.1951013333</v>
      </c>
      <c r="C23" s="312">
        <f t="shared" ca="1" si="4"/>
        <v>337197.25617445505</v>
      </c>
      <c r="D23" s="312">
        <f t="shared" ca="1" si="4"/>
        <v>4817.1036596350714</v>
      </c>
      <c r="E23" s="312">
        <f t="shared" ca="1" si="4"/>
        <v>530735.66598908568</v>
      </c>
      <c r="F23" s="312">
        <f t="shared" ca="1" si="4"/>
        <v>511512.24161972647</v>
      </c>
      <c r="G23" s="312">
        <f t="shared" ca="1" si="4"/>
        <v>195147.79131265712</v>
      </c>
      <c r="H23" s="312">
        <f t="shared" ca="1" si="4"/>
        <v>143349.98565741605</v>
      </c>
      <c r="I23" s="312">
        <f t="shared" ca="1" si="4"/>
        <v>91765.824716048111</v>
      </c>
      <c r="J23" s="312">
        <f t="shared" ca="1" si="4"/>
        <v>52709.820946808861</v>
      </c>
      <c r="K23" s="312">
        <f t="shared" ca="1" si="4"/>
        <v>1629.9875745697066</v>
      </c>
      <c r="L23" s="312">
        <f t="shared" ca="1" si="4"/>
        <v>8073.4305435557571</v>
      </c>
      <c r="M23" s="312">
        <f t="shared" ca="1" si="4"/>
        <v>19345.070374859137</v>
      </c>
      <c r="N23" s="312">
        <f t="shared" ca="1" si="4"/>
        <v>23801.138713976703</v>
      </c>
      <c r="O23" s="312">
        <f t="shared" ca="1" si="4"/>
        <v>226282.89451367946</v>
      </c>
      <c r="P23" s="312">
        <f t="shared" ca="1" si="4"/>
        <v>496899.95826281962</v>
      </c>
      <c r="Q23" s="312">
        <f t="shared" ca="1" si="4"/>
        <v>1479504.7558076496</v>
      </c>
      <c r="R23" s="312">
        <f t="shared" ca="1" si="6"/>
        <v>2677862.163796599</v>
      </c>
      <c r="S23" s="312">
        <f t="shared" ca="1" si="6"/>
        <v>800600.84629446454</v>
      </c>
      <c r="T23" s="312">
        <f t="shared" ca="1" si="6"/>
        <v>205956.69670166046</v>
      </c>
      <c r="U23" s="312">
        <f t="shared" ca="1" si="6"/>
        <v>19259.839809097764</v>
      </c>
      <c r="V23" s="312">
        <f t="shared" ca="1" si="6"/>
        <v>33433.096003216859</v>
      </c>
      <c r="W23" s="312">
        <f t="shared" ca="1" si="6"/>
        <v>0</v>
      </c>
      <c r="X23" s="312">
        <f t="shared" ca="1" si="6"/>
        <v>151181.33297927052</v>
      </c>
      <c r="Y23" s="312" t="e">
        <f t="shared" ca="1" si="6"/>
        <v>#REF!</v>
      </c>
      <c r="Z23" s="312" t="e">
        <f t="shared" ca="1" si="6"/>
        <v>#REF!</v>
      </c>
      <c r="AA23" s="312" t="e">
        <f t="shared" ca="1" si="6"/>
        <v>#REF!</v>
      </c>
      <c r="AB23" s="312" t="e">
        <f t="shared" ca="1" si="6"/>
        <v>#REF!</v>
      </c>
      <c r="AC23" s="312" t="e">
        <f t="shared" ca="1" si="6"/>
        <v>#REF!</v>
      </c>
      <c r="AD23" s="312" t="e">
        <f t="shared" ca="1" si="6"/>
        <v>#REF!</v>
      </c>
      <c r="AE23" s="312" t="e">
        <f t="shared" ca="1" si="6"/>
        <v>#REF!</v>
      </c>
      <c r="AF23" s="312" t="e">
        <f t="shared" ca="1" si="7"/>
        <v>#REF!</v>
      </c>
      <c r="AG23" s="312"/>
    </row>
    <row r="24" spans="1:33">
      <c r="A24">
        <f t="shared" si="5"/>
        <v>2029</v>
      </c>
      <c r="B24" s="312">
        <f t="shared" ca="1" si="4"/>
        <v>1481461.4370481102</v>
      </c>
      <c r="C24" s="312">
        <f t="shared" ca="1" si="4"/>
        <v>363372.86127916048</v>
      </c>
      <c r="D24" s="312">
        <f t="shared" ca="1" si="4"/>
        <v>5191.0408754165783</v>
      </c>
      <c r="E24" s="312">
        <f t="shared" ca="1" si="4"/>
        <v>571935.07361631049</v>
      </c>
      <c r="F24" s="312">
        <f t="shared" ca="1" si="4"/>
        <v>551219.39284261037</v>
      </c>
      <c r="G24" s="312">
        <f t="shared" ca="1" si="4"/>
        <v>252355.83031518414</v>
      </c>
      <c r="H24" s="312">
        <f t="shared" ca="1" si="4"/>
        <v>155986.06767413343</v>
      </c>
      <c r="I24" s="312">
        <f t="shared" ca="1" si="4"/>
        <v>98889.328676685793</v>
      </c>
      <c r="J24" s="312">
        <f t="shared" ca="1" si="4"/>
        <v>56801.525232592205</v>
      </c>
      <c r="K24" s="312">
        <f t="shared" ca="1" si="4"/>
        <v>1756.5185895653899</v>
      </c>
      <c r="L24" s="312">
        <f t="shared" ca="1" si="4"/>
        <v>8707.5775932468114</v>
      </c>
      <c r="M24" s="312">
        <f t="shared" ca="1" si="4"/>
        <v>20638.298537974708</v>
      </c>
      <c r="N24" s="312">
        <f t="shared" ca="1" si="4"/>
        <v>25648.749264215119</v>
      </c>
      <c r="O24" s="312">
        <f t="shared" ca="1" si="4"/>
        <v>243848.55253811897</v>
      </c>
      <c r="P24" s="312">
        <f t="shared" ca="1" si="4"/>
        <v>553746.30846772087</v>
      </c>
      <c r="Q24" s="312">
        <f t="shared" ca="1" si="4"/>
        <v>1678267.6250978755</v>
      </c>
      <c r="R24" s="312">
        <f t="shared" ca="1" si="6"/>
        <v>2885736.5199512267</v>
      </c>
      <c r="S24" s="312">
        <f t="shared" ca="1" si="6"/>
        <v>871172.58657079085</v>
      </c>
      <c r="T24" s="312">
        <f t="shared" ca="1" si="6"/>
        <v>224057.53142522086</v>
      </c>
      <c r="U24" s="312">
        <f t="shared" ca="1" si="6"/>
        <v>20754.923034098869</v>
      </c>
      <c r="V24" s="312">
        <f t="shared" ca="1" si="6"/>
        <v>36060.027832174092</v>
      </c>
      <c r="W24" s="312">
        <f t="shared" ca="1" si="6"/>
        <v>0</v>
      </c>
      <c r="X24" s="312">
        <f t="shared" ca="1" si="6"/>
        <v>162340.63731958537</v>
      </c>
      <c r="Y24" s="312" t="e">
        <f t="shared" ca="1" si="6"/>
        <v>#REF!</v>
      </c>
      <c r="Z24" s="312" t="e">
        <f t="shared" ca="1" si="6"/>
        <v>#REF!</v>
      </c>
      <c r="AA24" s="312" t="e">
        <f t="shared" ca="1" si="6"/>
        <v>#REF!</v>
      </c>
      <c r="AB24" s="312" t="e">
        <f t="shared" ca="1" si="6"/>
        <v>#REF!</v>
      </c>
      <c r="AC24" s="312" t="e">
        <f t="shared" ca="1" si="6"/>
        <v>#REF!</v>
      </c>
      <c r="AD24" s="312" t="e">
        <f t="shared" ca="1" si="6"/>
        <v>#REF!</v>
      </c>
      <c r="AE24" s="312" t="e">
        <f t="shared" ca="1" si="6"/>
        <v>#REF!</v>
      </c>
      <c r="AF24" s="312" t="e">
        <f t="shared" ca="1" si="7"/>
        <v>#REF!</v>
      </c>
      <c r="AG24" s="312"/>
    </row>
    <row r="25" spans="1:33">
      <c r="A25">
        <f t="shared" si="5"/>
        <v>2030</v>
      </c>
      <c r="B25" s="312">
        <f t="shared" ca="1" si="4"/>
        <v>1590781.2200093784</v>
      </c>
      <c r="C25" s="312">
        <f t="shared" ca="1" si="4"/>
        <v>390186.81764390034</v>
      </c>
      <c r="D25" s="312">
        <f t="shared" ca="1" si="4"/>
        <v>5574.0973949128611</v>
      </c>
      <c r="E25" s="312">
        <f t="shared" ca="1" si="4"/>
        <v>614139.22186619951</v>
      </c>
      <c r="F25" s="312">
        <f t="shared" ca="1" si="4"/>
        <v>591894.89264479617</v>
      </c>
      <c r="G25" s="312">
        <f t="shared" ca="1" si="4"/>
        <v>316140.57343449432</v>
      </c>
      <c r="H25" s="312">
        <f t="shared" ca="1" si="4"/>
        <v>169116.1207932797</v>
      </c>
      <c r="I25" s="312">
        <f t="shared" ca="1" si="4"/>
        <v>106186.55537309001</v>
      </c>
      <c r="J25" s="312">
        <f t="shared" ca="1" si="4"/>
        <v>60993.014970366814</v>
      </c>
      <c r="K25" s="312">
        <f t="shared" ca="1" si="4"/>
        <v>1886.1353491898158</v>
      </c>
      <c r="L25" s="312">
        <f t="shared" ca="1" si="4"/>
        <v>9357.9081125472567</v>
      </c>
      <c r="M25" s="312">
        <f t="shared" ca="1" si="4"/>
        <v>21939.640983252146</v>
      </c>
      <c r="N25" s="312">
        <f t="shared" ca="1" si="4"/>
        <v>27541.41797139317</v>
      </c>
      <c r="O25" s="312">
        <f t="shared" ca="1" si="4"/>
        <v>261842.58881354373</v>
      </c>
      <c r="P25" s="312">
        <f t="shared" ca="1" si="4"/>
        <v>614265.97885240603</v>
      </c>
      <c r="Q25" s="312">
        <f t="shared" ca="1" si="4"/>
        <v>1892215.6061981767</v>
      </c>
      <c r="R25" s="312">
        <f t="shared" ca="1" si="6"/>
        <v>3098680.3618598357</v>
      </c>
      <c r="S25" s="312">
        <f t="shared" ca="1" si="6"/>
        <v>944503.12504884624</v>
      </c>
      <c r="T25" s="312">
        <f t="shared" ca="1" si="6"/>
        <v>242860.11467141582</v>
      </c>
      <c r="U25" s="312">
        <f t="shared" ca="1" si="6"/>
        <v>22286.467240869762</v>
      </c>
      <c r="V25" s="312">
        <f t="shared" ca="1" si="6"/>
        <v>38754.036586871021</v>
      </c>
      <c r="W25" s="312">
        <f t="shared" ca="1" si="6"/>
        <v>0</v>
      </c>
      <c r="X25" s="312">
        <f t="shared" ca="1" si="6"/>
        <v>173699.53846243749</v>
      </c>
      <c r="Y25" s="312" t="e">
        <f t="shared" ca="1" si="6"/>
        <v>#REF!</v>
      </c>
      <c r="Z25" s="312" t="e">
        <f t="shared" ca="1" si="6"/>
        <v>#REF!</v>
      </c>
      <c r="AA25" s="312" t="e">
        <f t="shared" ca="1" si="6"/>
        <v>#REF!</v>
      </c>
      <c r="AB25" s="312" t="e">
        <f t="shared" ca="1" si="6"/>
        <v>#REF!</v>
      </c>
      <c r="AC25" s="312" t="e">
        <f t="shared" ca="1" si="6"/>
        <v>#REF!</v>
      </c>
      <c r="AD25" s="312" t="e">
        <f t="shared" ca="1" si="6"/>
        <v>#REF!</v>
      </c>
      <c r="AE25" s="312" t="e">
        <f t="shared" ca="1" si="6"/>
        <v>#REF!</v>
      </c>
      <c r="AF25" s="312" t="e">
        <f t="shared" ca="1" si="7"/>
        <v>#REF!</v>
      </c>
      <c r="AG25" s="312"/>
    </row>
    <row r="26" spans="1:33">
      <c r="A26">
        <f t="shared" si="5"/>
        <v>2031</v>
      </c>
      <c r="B26" s="312">
        <f t="shared" ca="1" si="4"/>
        <v>1715962.8811177982</v>
      </c>
      <c r="C26" s="312">
        <f t="shared" ca="1" si="4"/>
        <v>420891.37548057362</v>
      </c>
      <c r="D26" s="312">
        <f t="shared" ca="1" si="4"/>
        <v>6012.733935436765</v>
      </c>
      <c r="E26" s="312">
        <f t="shared" ca="1" si="4"/>
        <v>662467.02897005144</v>
      </c>
      <c r="F26" s="312">
        <f t="shared" ca="1" si="4"/>
        <v>638472.25031716586</v>
      </c>
      <c r="G26" s="312">
        <f t="shared" ca="1" si="4"/>
        <v>389735.18700323295</v>
      </c>
      <c r="H26" s="312">
        <f t="shared" ca="1" si="4"/>
        <v>184171.19453671575</v>
      </c>
      <c r="I26" s="312">
        <f t="shared" ca="1" si="4"/>
        <v>114542.58147007036</v>
      </c>
      <c r="J26" s="312">
        <f t="shared" ca="1" si="4"/>
        <v>65792.673675135928</v>
      </c>
      <c r="K26" s="312">
        <f t="shared" ca="1" si="4"/>
        <v>2034.5589998571897</v>
      </c>
      <c r="L26" s="312">
        <f t="shared" ca="1" si="4"/>
        <v>10102.497099752361</v>
      </c>
      <c r="M26" s="312">
        <f t="shared" ca="1" si="4"/>
        <v>23429.448305463819</v>
      </c>
      <c r="N26" s="312">
        <f t="shared" ca="1" si="4"/>
        <v>29708.705595595802</v>
      </c>
      <c r="O26" s="312">
        <f t="shared" ca="1" si="4"/>
        <v>282447.49023198965</v>
      </c>
      <c r="P26" s="312">
        <f t="shared" ca="1" si="4"/>
        <v>683845.84736944898</v>
      </c>
      <c r="Q26" s="312">
        <f t="shared" ca="1" si="4"/>
        <v>2138313.8061876986</v>
      </c>
      <c r="R26" s="312">
        <f t="shared" ca="1" si="6"/>
        <v>3342521.5325139421</v>
      </c>
      <c r="S26" s="312">
        <f t="shared" ca="1" si="6"/>
        <v>1028584.7852230258</v>
      </c>
      <c r="T26" s="312">
        <f t="shared" ca="1" si="6"/>
        <v>261971.24836418717</v>
      </c>
      <c r="U26" s="312">
        <f t="shared" ca="1" si="6"/>
        <v>24040.232594872377</v>
      </c>
      <c r="V26" s="312">
        <f t="shared" ca="1" si="6"/>
        <v>41838.460716169888</v>
      </c>
      <c r="W26" s="312">
        <f t="shared" ca="1" si="6"/>
        <v>0</v>
      </c>
      <c r="X26" s="312">
        <f t="shared" ca="1" si="6"/>
        <v>186697.34209565757</v>
      </c>
      <c r="Y26" s="312" t="e">
        <f t="shared" ca="1" si="6"/>
        <v>#REF!</v>
      </c>
      <c r="Z26" s="312" t="e">
        <f t="shared" ca="1" si="6"/>
        <v>#REF!</v>
      </c>
      <c r="AA26" s="312" t="e">
        <f t="shared" ca="1" si="6"/>
        <v>#REF!</v>
      </c>
      <c r="AB26" s="312" t="e">
        <f t="shared" ca="1" si="6"/>
        <v>#REF!</v>
      </c>
      <c r="AC26" s="312" t="e">
        <f t="shared" ca="1" si="6"/>
        <v>#REF!</v>
      </c>
      <c r="AD26" s="312" t="e">
        <f t="shared" ca="1" si="6"/>
        <v>#REF!</v>
      </c>
      <c r="AE26" s="312" t="e">
        <f t="shared" ca="1" si="6"/>
        <v>#REF!</v>
      </c>
      <c r="AF26" s="312" t="e">
        <f t="shared" ca="1" si="7"/>
        <v>#REF!</v>
      </c>
      <c r="AG26" s="312"/>
    </row>
    <row r="27" spans="1:33">
      <c r="A27">
        <f t="shared" si="5"/>
        <v>2032</v>
      </c>
      <c r="B27" s="312">
        <f t="shared" ca="1" si="4"/>
        <v>1844208.8952596723</v>
      </c>
      <c r="C27" s="312">
        <f t="shared" ca="1" si="4"/>
        <v>452347.55782929243</v>
      </c>
      <c r="D27" s="312">
        <f t="shared" ca="1" si="4"/>
        <v>6462.1079689898907</v>
      </c>
      <c r="E27" s="312">
        <f t="shared" ca="1" si="4"/>
        <v>711977.86449026689</v>
      </c>
      <c r="F27" s="312">
        <f t="shared" ca="1" si="4"/>
        <v>686189.78671867051</v>
      </c>
      <c r="G27" s="312">
        <f t="shared" ca="1" si="4"/>
        <v>471220.70348847302</v>
      </c>
      <c r="H27" s="312">
        <f t="shared" ca="1" si="4"/>
        <v>199813.17095670223</v>
      </c>
      <c r="I27" s="312">
        <f t="shared" ca="1" si="4"/>
        <v>123103.15680925742</v>
      </c>
      <c r="J27" s="312">
        <f t="shared" ca="1" si="4"/>
        <v>70709.824419723591</v>
      </c>
      <c r="K27" s="312">
        <f t="shared" ca="1" si="4"/>
        <v>2186.615950004149</v>
      </c>
      <c r="L27" s="312">
        <f t="shared" ca="1" si="4"/>
        <v>10866.139607992709</v>
      </c>
      <c r="M27" s="312">
        <f t="shared" ca="1" si="4"/>
        <v>24928.688015715663</v>
      </c>
      <c r="N27" s="312">
        <f t="shared" ca="1" si="4"/>
        <v>31929.046792876048</v>
      </c>
      <c r="O27" s="312">
        <f t="shared" ca="1" si="4"/>
        <v>303556.78415974206</v>
      </c>
      <c r="P27" s="312">
        <f t="shared" ca="1" si="4"/>
        <v>757823.27502777812</v>
      </c>
      <c r="Q27" s="312">
        <f t="shared" ca="1" si="4"/>
        <v>2402585.3162595769</v>
      </c>
      <c r="R27" s="312">
        <f t="shared" ca="1" si="6"/>
        <v>3592331.7518638284</v>
      </c>
      <c r="S27" s="312">
        <f t="shared" ca="1" si="6"/>
        <v>1115944.2607201994</v>
      </c>
      <c r="T27" s="312">
        <f t="shared" ca="1" si="6"/>
        <v>281550.20825438743</v>
      </c>
      <c r="U27" s="312">
        <f t="shared" ca="1" si="6"/>
        <v>25836.928807396271</v>
      </c>
      <c r="V27" s="312">
        <f t="shared" ca="1" si="6"/>
        <v>45001.858043105094</v>
      </c>
      <c r="W27" s="312">
        <f t="shared" ca="1" si="6"/>
        <v>0</v>
      </c>
      <c r="X27" s="312">
        <f t="shared" ca="1" si="6"/>
        <v>199927.78008540967</v>
      </c>
      <c r="Y27" s="312" t="e">
        <f t="shared" ca="1" si="6"/>
        <v>#REF!</v>
      </c>
      <c r="Z27" s="312" t="e">
        <f t="shared" ca="1" si="6"/>
        <v>#REF!</v>
      </c>
      <c r="AA27" s="312" t="e">
        <f t="shared" ca="1" si="6"/>
        <v>#REF!</v>
      </c>
      <c r="AB27" s="312" t="e">
        <f t="shared" ca="1" si="6"/>
        <v>#REF!</v>
      </c>
      <c r="AC27" s="312" t="e">
        <f t="shared" ca="1" si="6"/>
        <v>#REF!</v>
      </c>
      <c r="AD27" s="312" t="e">
        <f t="shared" ca="1" si="6"/>
        <v>#REF!</v>
      </c>
      <c r="AE27" s="312" t="e">
        <f t="shared" ca="1" si="6"/>
        <v>#REF!</v>
      </c>
      <c r="AF27" s="312" t="e">
        <f t="shared" ca="1" si="7"/>
        <v>#REF!</v>
      </c>
      <c r="AG27" s="312"/>
    </row>
    <row r="28" spans="1:33">
      <c r="A28">
        <f t="shared" si="5"/>
        <v>2033</v>
      </c>
      <c r="B28" s="312">
        <f t="shared" ca="1" si="4"/>
        <v>1959173.7532571305</v>
      </c>
      <c r="C28" s="312">
        <f t="shared" ca="1" si="4"/>
        <v>480546.13819890906</v>
      </c>
      <c r="D28" s="312">
        <f t="shared" ca="1" si="4"/>
        <v>6864.9448314129859</v>
      </c>
      <c r="E28" s="312">
        <f t="shared" ca="1" si="4"/>
        <v>756361.35830100044</v>
      </c>
      <c r="F28" s="312">
        <f t="shared" ca="1" si="4"/>
        <v>728965.6954523233</v>
      </c>
      <c r="G28" s="312">
        <f t="shared" ca="1" si="4"/>
        <v>556217.55975870998</v>
      </c>
      <c r="H28" s="312">
        <f t="shared" ca="1" si="4"/>
        <v>214263.79314996989</v>
      </c>
      <c r="I28" s="312">
        <f t="shared" ca="1" si="4"/>
        <v>130777.19903841737</v>
      </c>
      <c r="J28" s="312">
        <f t="shared" ca="1" si="4"/>
        <v>75117.75507461511</v>
      </c>
      <c r="K28" s="312">
        <f t="shared" ca="1" si="4"/>
        <v>2322.9258836745475</v>
      </c>
      <c r="L28" s="312">
        <f t="shared" ca="1" si="4"/>
        <v>11552.467980511932</v>
      </c>
      <c r="M28" s="312">
        <f t="shared" ca="1" si="4"/>
        <v>26217.859083462248</v>
      </c>
      <c r="N28" s="312">
        <f t="shared" ca="1" si="4"/>
        <v>33919.449474466164</v>
      </c>
      <c r="O28" s="312">
        <f t="shared" ca="1" si="4"/>
        <v>322479.99978612375</v>
      </c>
      <c r="P28" s="312">
        <f t="shared" ca="1" si="4"/>
        <v>829399.52198487974</v>
      </c>
      <c r="Q28" s="312">
        <f t="shared" ca="1" si="4"/>
        <v>2663330.5192886963</v>
      </c>
      <c r="R28" s="312">
        <f t="shared" ca="1" si="6"/>
        <v>3816271.6270017996</v>
      </c>
      <c r="S28" s="312">
        <f t="shared" ca="1" si="6"/>
        <v>1196650.0961924132</v>
      </c>
      <c r="T28" s="312">
        <f t="shared" ca="1" si="6"/>
        <v>299101.57122325705</v>
      </c>
      <c r="U28" s="312">
        <f t="shared" ca="1" si="6"/>
        <v>27447.559175283375</v>
      </c>
      <c r="V28" s="312">
        <f t="shared" ca="1" si="6"/>
        <v>47845.115764107228</v>
      </c>
      <c r="W28" s="312">
        <f t="shared" ca="1" si="6"/>
        <v>0</v>
      </c>
      <c r="X28" s="312">
        <f t="shared" ca="1" si="6"/>
        <v>211621.3794844074</v>
      </c>
      <c r="Y28" s="312" t="e">
        <f t="shared" ca="1" si="6"/>
        <v>#REF!</v>
      </c>
      <c r="Z28" s="312" t="e">
        <f t="shared" ca="1" si="6"/>
        <v>#REF!</v>
      </c>
      <c r="AA28" s="312" t="e">
        <f t="shared" ca="1" si="6"/>
        <v>#REF!</v>
      </c>
      <c r="AB28" s="312" t="e">
        <f t="shared" ca="1" si="6"/>
        <v>#REF!</v>
      </c>
      <c r="AC28" s="312" t="e">
        <f t="shared" ca="1" si="6"/>
        <v>#REF!</v>
      </c>
      <c r="AD28" s="312" t="e">
        <f t="shared" ca="1" si="6"/>
        <v>#REF!</v>
      </c>
      <c r="AE28" s="312" t="e">
        <f t="shared" ca="1" si="6"/>
        <v>#REF!</v>
      </c>
      <c r="AF28" s="312" t="e">
        <f t="shared" ca="1" si="7"/>
        <v>#REF!</v>
      </c>
      <c r="AG28" s="312"/>
    </row>
    <row r="29" spans="1:33">
      <c r="A29">
        <f t="shared" si="5"/>
        <v>2034</v>
      </c>
      <c r="B29" s="312">
        <f t="shared" ca="1" si="4"/>
        <v>2060205.4036082295</v>
      </c>
      <c r="C29" s="312">
        <f t="shared" ca="1" si="4"/>
        <v>505327.18139702658</v>
      </c>
      <c r="D29" s="312">
        <f t="shared" ca="1" si="4"/>
        <v>7218.9597342432362</v>
      </c>
      <c r="E29" s="312">
        <f t="shared" ca="1" si="4"/>
        <v>795365.77848777873</v>
      </c>
      <c r="F29" s="312">
        <f t="shared" ca="1" si="4"/>
        <v>766557.36241827952</v>
      </c>
      <c r="G29" s="312">
        <f t="shared" ca="1" si="4"/>
        <v>584900.86460763309</v>
      </c>
      <c r="H29" s="312">
        <f t="shared" ca="1" si="4"/>
        <v>227410.52199051436</v>
      </c>
      <c r="I29" s="312">
        <f t="shared" ca="1" si="4"/>
        <v>137521.18293733362</v>
      </c>
      <c r="J29" s="312">
        <f t="shared" ca="1" si="4"/>
        <v>78991.46497565927</v>
      </c>
      <c r="K29" s="312">
        <f t="shared" ca="1" si="4"/>
        <v>2442.7156855135895</v>
      </c>
      <c r="L29" s="312">
        <f t="shared" ca="1" si="4"/>
        <v>12157.430529000159</v>
      </c>
      <c r="M29" s="312">
        <f t="shared" ca="1" si="4"/>
        <v>27294.17804451484</v>
      </c>
      <c r="N29" s="312">
        <f t="shared" ca="1" si="4"/>
        <v>35668.624581425785</v>
      </c>
      <c r="O29" s="312">
        <f t="shared" ca="1" si="4"/>
        <v>339109.8094339146</v>
      </c>
      <c r="P29" s="312">
        <f t="shared" ca="1" si="4"/>
        <v>897801.48089181597</v>
      </c>
      <c r="Q29" s="312">
        <f t="shared" ca="1" si="4"/>
        <v>2917369.2472353484</v>
      </c>
      <c r="R29" s="312">
        <f t="shared" ca="1" si="6"/>
        <v>4013071.0277813696</v>
      </c>
      <c r="S29" s="312">
        <f t="shared" ca="1" si="6"/>
        <v>1270073.7675480391</v>
      </c>
      <c r="T29" s="312">
        <f t="shared" ca="1" si="6"/>
        <v>314525.79039373831</v>
      </c>
      <c r="U29" s="312">
        <f t="shared" ca="1" si="6"/>
        <v>28862.988611788482</v>
      </c>
      <c r="V29" s="312">
        <f t="shared" ca="1" si="6"/>
        <v>50351.432303536581</v>
      </c>
      <c r="W29" s="312">
        <f t="shared" ca="1" si="6"/>
        <v>0</v>
      </c>
      <c r="X29" s="312">
        <f t="shared" ca="1" si="6"/>
        <v>222272.19995466043</v>
      </c>
      <c r="Y29" s="312" t="e">
        <f t="shared" ca="1" si="6"/>
        <v>#REF!</v>
      </c>
      <c r="Z29" s="312" t="e">
        <f t="shared" ca="1" si="6"/>
        <v>#REF!</v>
      </c>
      <c r="AA29" s="312" t="e">
        <f t="shared" ca="1" si="6"/>
        <v>#REF!</v>
      </c>
      <c r="AB29" s="312" t="e">
        <f t="shared" ca="1" si="6"/>
        <v>#REF!</v>
      </c>
      <c r="AC29" s="312" t="e">
        <f t="shared" ca="1" si="6"/>
        <v>#REF!</v>
      </c>
      <c r="AD29" s="312" t="e">
        <f t="shared" ca="1" si="6"/>
        <v>#REF!</v>
      </c>
      <c r="AE29" s="312" t="e">
        <f t="shared" ca="1" si="6"/>
        <v>#REF!</v>
      </c>
      <c r="AF29" s="312" t="e">
        <f t="shared" ca="1" si="7"/>
        <v>#REF!</v>
      </c>
      <c r="AG29" s="312"/>
    </row>
    <row r="30" spans="1:33">
      <c r="A30">
        <f t="shared" si="5"/>
        <v>2035</v>
      </c>
      <c r="B30" s="312">
        <f t="shared" ca="1" si="4"/>
        <v>2163311.5244562384</v>
      </c>
      <c r="C30" s="312">
        <f t="shared" ca="1" si="4"/>
        <v>530617.05071862612</v>
      </c>
      <c r="D30" s="312">
        <f t="shared" ca="1" si="4"/>
        <v>7580.2435816946581</v>
      </c>
      <c r="E30" s="312">
        <f t="shared" ca="1" si="4"/>
        <v>835171.07165490894</v>
      </c>
      <c r="F30" s="312">
        <f t="shared" ca="1" si="4"/>
        <v>804920.89447581396</v>
      </c>
      <c r="G30" s="312">
        <f t="shared" ca="1" si="4"/>
        <v>614173.12024035712</v>
      </c>
      <c r="H30" s="312">
        <f t="shared" ca="1" si="4"/>
        <v>240994.06580486492</v>
      </c>
      <c r="I30" s="312">
        <f t="shared" ca="1" si="4"/>
        <v>144403.64023128324</v>
      </c>
      <c r="J30" s="312">
        <f t="shared" ca="1" si="4"/>
        <v>82944.713287442821</v>
      </c>
      <c r="K30" s="312">
        <f t="shared" ca="1" si="4"/>
        <v>2564.9651166755443</v>
      </c>
      <c r="L30" s="312">
        <f t="shared" ca="1" si="4"/>
        <v>12775.356423488065</v>
      </c>
      <c r="M30" s="312">
        <f t="shared" ca="1" si="4"/>
        <v>28373.561292463128</v>
      </c>
      <c r="N30" s="312">
        <f t="shared" ca="1" si="4"/>
        <v>37453.715286524282</v>
      </c>
      <c r="O30" s="312">
        <f t="shared" ca="1" si="4"/>
        <v>356081.0769254968</v>
      </c>
      <c r="P30" s="312">
        <f t="shared" ca="1" si="4"/>
        <v>969689.35155097651</v>
      </c>
      <c r="Q30" s="312">
        <f t="shared" ca="1" si="4"/>
        <v>3185908.3772368035</v>
      </c>
      <c r="R30" s="312">
        <f t="shared" ca="1" si="6"/>
        <v>4213911.2865426522</v>
      </c>
      <c r="S30" s="312">
        <f t="shared" ca="1" si="6"/>
        <v>1345937.0236451591</v>
      </c>
      <c r="T30" s="312">
        <f t="shared" ca="1" si="6"/>
        <v>330266.71316646546</v>
      </c>
      <c r="U30" s="312">
        <f t="shared" ca="1" si="6"/>
        <v>30307.480887475991</v>
      </c>
      <c r="V30" s="312">
        <f t="shared" ca="1" si="6"/>
        <v>52911.469850755871</v>
      </c>
      <c r="W30" s="312">
        <f t="shared" ca="1" si="6"/>
        <v>0</v>
      </c>
      <c r="X30" s="312">
        <f t="shared" ca="1" si="6"/>
        <v>233119.04548541587</v>
      </c>
      <c r="Y30" s="312" t="e">
        <f t="shared" ca="1" si="6"/>
        <v>#REF!</v>
      </c>
      <c r="Z30" s="312" t="e">
        <f t="shared" ca="1" si="6"/>
        <v>#REF!</v>
      </c>
      <c r="AA30" s="312" t="e">
        <f t="shared" ca="1" si="6"/>
        <v>#REF!</v>
      </c>
      <c r="AB30" s="312" t="e">
        <f t="shared" ca="1" si="6"/>
        <v>#REF!</v>
      </c>
      <c r="AC30" s="312" t="e">
        <f t="shared" ca="1" si="6"/>
        <v>#REF!</v>
      </c>
      <c r="AD30" s="312" t="e">
        <f t="shared" ca="1" si="6"/>
        <v>#REF!</v>
      </c>
      <c r="AE30" s="312" t="e">
        <f t="shared" ca="1" si="6"/>
        <v>#REF!</v>
      </c>
      <c r="AF30" s="312" t="e">
        <f t="shared" ca="1" si="7"/>
        <v>#REF!</v>
      </c>
      <c r="AG30" s="312"/>
    </row>
    <row r="31" spans="1:33">
      <c r="A31">
        <f t="shared" si="5"/>
        <v>2036</v>
      </c>
      <c r="B31" s="312">
        <f t="shared" ca="1" si="4"/>
        <v>2283942.7679449986</v>
      </c>
      <c r="C31" s="312">
        <f t="shared" ca="1" si="4"/>
        <v>560205.4821215492</v>
      </c>
      <c r="D31" s="312">
        <f t="shared" ca="1" si="4"/>
        <v>8002.935458879273</v>
      </c>
      <c r="E31" s="312">
        <f t="shared" ca="1" si="4"/>
        <v>881742.13817058131</v>
      </c>
      <c r="F31" s="312">
        <f t="shared" ca="1" si="4"/>
        <v>849805.14129510126</v>
      </c>
      <c r="G31" s="312">
        <f t="shared" ref="G31:V31" ca="1" si="8">OFFSET(INDIRECT(G$3),$A31-$A$5+$C$1,$C$2)</f>
        <v>648420.8309257559</v>
      </c>
      <c r="H31" s="312">
        <f t="shared" ca="1" si="8"/>
        <v>256757.70160468121</v>
      </c>
      <c r="I31" s="312">
        <f t="shared" ca="1" si="8"/>
        <v>152455.92049165015</v>
      </c>
      <c r="J31" s="312">
        <f t="shared" ca="1" si="8"/>
        <v>87569.901935295056</v>
      </c>
      <c r="K31" s="312">
        <f t="shared" ca="1" si="8"/>
        <v>2707.9934914759033</v>
      </c>
      <c r="L31" s="312">
        <f t="shared" ca="1" si="8"/>
        <v>13497.56677436415</v>
      </c>
      <c r="M31" s="312">
        <f t="shared" ca="1" si="8"/>
        <v>29656.174622369344</v>
      </c>
      <c r="N31" s="312">
        <f t="shared" ca="1" si="8"/>
        <v>39542.220893419275</v>
      </c>
      <c r="O31" s="312">
        <f t="shared" ca="1" si="8"/>
        <v>375936.97960374673</v>
      </c>
      <c r="P31" s="312">
        <f t="shared" ca="1" si="8"/>
        <v>1052263.9779986974</v>
      </c>
      <c r="Q31" s="312">
        <f t="shared" ca="1" si="8"/>
        <v>3492929.7498865351</v>
      </c>
      <c r="R31" s="312">
        <f t="shared" ca="1" si="8"/>
        <v>4448888.7055136589</v>
      </c>
      <c r="S31" s="312">
        <f t="shared" ca="1" si="8"/>
        <v>1433975.9592901985</v>
      </c>
      <c r="T31" s="312">
        <f t="shared" ca="1" si="8"/>
        <v>348683.14734241267</v>
      </c>
      <c r="U31" s="312">
        <f t="shared" ca="1" si="8"/>
        <v>31997.495970896318</v>
      </c>
      <c r="V31" s="312">
        <f t="shared" ca="1" si="8"/>
        <v>55903.457164338826</v>
      </c>
      <c r="W31" s="312">
        <f t="shared" ca="1" si="6"/>
        <v>0</v>
      </c>
      <c r="X31" s="312">
        <f t="shared" ca="1" si="6"/>
        <v>245823.88672131029</v>
      </c>
      <c r="Y31" s="312" t="e">
        <f t="shared" ca="1" si="6"/>
        <v>#REF!</v>
      </c>
      <c r="Z31" s="312" t="e">
        <f t="shared" ca="1" si="6"/>
        <v>#REF!</v>
      </c>
      <c r="AA31" s="312" t="e">
        <f t="shared" ca="1" si="6"/>
        <v>#REF!</v>
      </c>
      <c r="AB31" s="312" t="e">
        <f t="shared" ref="AA31:AE45" ca="1" si="9">OFFSET(INDIRECT(AB$3),$A31-$A$5+$C$1,$C$2)</f>
        <v>#REF!</v>
      </c>
      <c r="AC31" s="312" t="e">
        <f t="shared" ca="1" si="9"/>
        <v>#REF!</v>
      </c>
      <c r="AD31" s="312" t="e">
        <f t="shared" ca="1" si="9"/>
        <v>#REF!</v>
      </c>
      <c r="AE31" s="312" t="e">
        <f t="shared" ca="1" si="9"/>
        <v>#REF!</v>
      </c>
      <c r="AF31" s="312" t="e">
        <f t="shared" ca="1" si="7"/>
        <v>#REF!</v>
      </c>
      <c r="AG31" s="312"/>
    </row>
    <row r="32" spans="1:33">
      <c r="A32">
        <f t="shared" si="5"/>
        <v>2037</v>
      </c>
      <c r="B32" s="312">
        <f t="shared" ref="B32:Q45" ca="1" si="10">OFFSET(INDIRECT(B$3),$A32-$A$5+$C$1,$C$2)</f>
        <v>2404049.6561694765</v>
      </c>
      <c r="C32" s="312">
        <f t="shared" ca="1" si="10"/>
        <v>589665.2996652493</v>
      </c>
      <c r="D32" s="312">
        <f t="shared" ca="1" si="10"/>
        <v>8423.789995217845</v>
      </c>
      <c r="E32" s="312">
        <f t="shared" ca="1" si="10"/>
        <v>928110.77135982446</v>
      </c>
      <c r="F32" s="312">
        <f t="shared" ca="1" si="10"/>
        <v>894494.2869911443</v>
      </c>
      <c r="G32" s="312">
        <f t="shared" ca="1" si="10"/>
        <v>682519.67497537984</v>
      </c>
      <c r="H32" s="312">
        <f t="shared" ca="1" si="10"/>
        <v>272707.48226325499</v>
      </c>
      <c r="I32" s="312">
        <f t="shared" ca="1" si="10"/>
        <v>160473.19940889996</v>
      </c>
      <c r="J32" s="312">
        <f t="shared" ca="1" si="10"/>
        <v>92174.985990459216</v>
      </c>
      <c r="K32" s="312">
        <f t="shared" ca="1" si="10"/>
        <v>2850.4001560202855</v>
      </c>
      <c r="L32" s="312">
        <f t="shared" ca="1" si="10"/>
        <v>14217.524276483166</v>
      </c>
      <c r="M32" s="312">
        <f t="shared" ca="1" si="10"/>
        <v>30903.57752012739</v>
      </c>
      <c r="N32" s="312">
        <f t="shared" ca="1" si="10"/>
        <v>41621.648264214018</v>
      </c>
      <c r="O32" s="312">
        <f t="shared" ca="1" si="10"/>
        <v>395706.5734054959</v>
      </c>
      <c r="P32" s="312">
        <f t="shared" ca="1" si="10"/>
        <v>1137645.7230835902</v>
      </c>
      <c r="Q32" s="312">
        <f t="shared" ca="1" si="10"/>
        <v>3812785.1651424663</v>
      </c>
      <c r="R32" s="312">
        <f t="shared" ref="R32:V45" ca="1" si="11">OFFSET(INDIRECT(R$3),$A32-$A$5+$C$1,$C$2)</f>
        <v>4682844.7336487472</v>
      </c>
      <c r="S32" s="312">
        <f t="shared" ca="1" si="11"/>
        <v>1523054.5025136492</v>
      </c>
      <c r="T32" s="312">
        <f t="shared" ca="1" si="11"/>
        <v>367019.52966835676</v>
      </c>
      <c r="U32" s="312">
        <f t="shared" ca="1" si="11"/>
        <v>33680.16496154599</v>
      </c>
      <c r="V32" s="312">
        <f t="shared" ca="1" si="11"/>
        <v>58886.153838620339</v>
      </c>
      <c r="W32" s="312">
        <f t="shared" ca="1" si="6"/>
        <v>0</v>
      </c>
      <c r="X32" s="312">
        <f t="shared" ca="1" si="6"/>
        <v>258439.35608886936</v>
      </c>
      <c r="Y32" s="312" t="e">
        <f t="shared" ca="1" si="6"/>
        <v>#REF!</v>
      </c>
      <c r="Z32" s="312" t="e">
        <f t="shared" ca="1" si="6"/>
        <v>#REF!</v>
      </c>
      <c r="AA32" s="312" t="e">
        <f t="shared" ca="1" si="9"/>
        <v>#REF!</v>
      </c>
      <c r="AB32" s="312" t="e">
        <f t="shared" ca="1" si="9"/>
        <v>#REF!</v>
      </c>
      <c r="AC32" s="312" t="e">
        <f t="shared" ca="1" si="9"/>
        <v>#REF!</v>
      </c>
      <c r="AD32" s="312" t="e">
        <f t="shared" ca="1" si="9"/>
        <v>#REF!</v>
      </c>
      <c r="AE32" s="312" t="e">
        <f t="shared" ca="1" si="9"/>
        <v>#REF!</v>
      </c>
      <c r="AF32" s="312" t="e">
        <f t="shared" ca="1" si="7"/>
        <v>#REF!</v>
      </c>
      <c r="AG32" s="312"/>
    </row>
    <row r="33" spans="1:33">
      <c r="A33">
        <f t="shared" si="5"/>
        <v>2038</v>
      </c>
      <c r="B33" s="312">
        <f t="shared" ca="1" si="10"/>
        <v>2523313.8870107844</v>
      </c>
      <c r="C33" s="312">
        <f t="shared" ca="1" si="10"/>
        <v>618918.43020600511</v>
      </c>
      <c r="D33" s="312">
        <f t="shared" ca="1" si="10"/>
        <v>8841.6918600857862</v>
      </c>
      <c r="E33" s="312">
        <f t="shared" ca="1" si="10"/>
        <v>974154.08706160262</v>
      </c>
      <c r="F33" s="312">
        <f t="shared" ca="1" si="10"/>
        <v>938869.89830855955</v>
      </c>
      <c r="G33" s="312">
        <f t="shared" ca="1" si="10"/>
        <v>716379.28509661916</v>
      </c>
      <c r="H33" s="312">
        <f t="shared" ca="1" si="10"/>
        <v>288805.37506016018</v>
      </c>
      <c r="I33" s="312">
        <f t="shared" ca="1" si="10"/>
        <v>168434.22993463423</v>
      </c>
      <c r="J33" s="312">
        <f t="shared" ca="1" si="10"/>
        <v>96747.761256872196</v>
      </c>
      <c r="K33" s="312">
        <f t="shared" ca="1" si="10"/>
        <v>2991.8077102799457</v>
      </c>
      <c r="L33" s="312">
        <f t="shared" ca="1" si="10"/>
        <v>14933.320661841983</v>
      </c>
      <c r="M33" s="312">
        <f t="shared" ca="1" si="10"/>
        <v>32112.298121432126</v>
      </c>
      <c r="N33" s="312">
        <f t="shared" ca="1" si="10"/>
        <v>43686.486589761895</v>
      </c>
      <c r="O33" s="312">
        <f t="shared" ca="1" si="10"/>
        <v>415337.46580197511</v>
      </c>
      <c r="P33" s="312">
        <f t="shared" ca="1" si="10"/>
        <v>1225665.7271711442</v>
      </c>
      <c r="Q33" s="312">
        <f t="shared" ca="1" si="10"/>
        <v>4144862.6693947506</v>
      </c>
      <c r="R33" s="312">
        <f t="shared" ca="1" si="11"/>
        <v>4915159.3507260717</v>
      </c>
      <c r="S33" s="312">
        <f t="shared" ca="1" si="11"/>
        <v>1612960.2429129556</v>
      </c>
      <c r="T33" s="312">
        <f t="shared" ca="1" si="11"/>
        <v>385227.26585105283</v>
      </c>
      <c r="U33" s="312">
        <f t="shared" ca="1" si="11"/>
        <v>35351.02852230431</v>
      </c>
      <c r="V33" s="312">
        <f t="shared" ca="1" si="11"/>
        <v>61851.652906990712</v>
      </c>
      <c r="W33" s="312">
        <f t="shared" ca="1" si="6"/>
        <v>0</v>
      </c>
      <c r="X33" s="312">
        <f t="shared" ca="1" si="6"/>
        <v>270931.24932232767</v>
      </c>
      <c r="Y33" s="312" t="e">
        <f t="shared" ca="1" si="6"/>
        <v>#REF!</v>
      </c>
      <c r="Z33" s="312" t="e">
        <f t="shared" ca="1" si="6"/>
        <v>#REF!</v>
      </c>
      <c r="AA33" s="312" t="e">
        <f t="shared" ca="1" si="9"/>
        <v>#REF!</v>
      </c>
      <c r="AB33" s="312" t="e">
        <f t="shared" ca="1" si="9"/>
        <v>#REF!</v>
      </c>
      <c r="AC33" s="312" t="e">
        <f t="shared" ca="1" si="9"/>
        <v>#REF!</v>
      </c>
      <c r="AD33" s="312" t="e">
        <f t="shared" ca="1" si="9"/>
        <v>#REF!</v>
      </c>
      <c r="AE33" s="312" t="e">
        <f t="shared" ca="1" si="9"/>
        <v>#REF!</v>
      </c>
      <c r="AF33" s="312" t="e">
        <f t="shared" ca="1" si="7"/>
        <v>#REF!</v>
      </c>
      <c r="AG33" s="312"/>
    </row>
    <row r="34" spans="1:33">
      <c r="A34">
        <f t="shared" si="5"/>
        <v>2039</v>
      </c>
      <c r="B34" s="312">
        <f t="shared" ca="1" si="10"/>
        <v>2641476.0501624923</v>
      </c>
      <c r="C34" s="312">
        <f t="shared" ca="1" si="10"/>
        <v>647901.24558385613</v>
      </c>
      <c r="D34" s="312">
        <f t="shared" ca="1" si="10"/>
        <v>9255.7320797693737</v>
      </c>
      <c r="E34" s="312">
        <f t="shared" ca="1" si="10"/>
        <v>1019771.9369703343</v>
      </c>
      <c r="F34" s="312">
        <f t="shared" ca="1" si="10"/>
        <v>982835.45434708556</v>
      </c>
      <c r="G34" s="312">
        <f t="shared" ca="1" si="10"/>
        <v>749926.01362684136</v>
      </c>
      <c r="H34" s="312">
        <f t="shared" ca="1" si="10"/>
        <v>305018.85144635959</v>
      </c>
      <c r="I34" s="312">
        <f t="shared" ca="1" si="10"/>
        <v>176321.69611960655</v>
      </c>
      <c r="J34" s="312">
        <f t="shared" ca="1" si="10"/>
        <v>101278.2815417424</v>
      </c>
      <c r="K34" s="312">
        <f t="shared" ca="1" si="10"/>
        <v>3131.9085802511522</v>
      </c>
      <c r="L34" s="312">
        <f t="shared" ca="1" si="10"/>
        <v>15643.392538508546</v>
      </c>
      <c r="M34" s="312">
        <f t="shared" ca="1" si="10"/>
        <v>33279.90392647624</v>
      </c>
      <c r="N34" s="312">
        <f t="shared" ca="1" si="10"/>
        <v>45732.244663110258</v>
      </c>
      <c r="O34" s="312">
        <f t="shared" ca="1" si="10"/>
        <v>434786.95785674633</v>
      </c>
      <c r="P34" s="312">
        <f t="shared" ca="1" si="10"/>
        <v>1316168.2700211494</v>
      </c>
      <c r="Q34" s="312">
        <f t="shared" ca="1" si="10"/>
        <v>4488578.2646077331</v>
      </c>
      <c r="R34" s="312">
        <f t="shared" ca="1" si="11"/>
        <v>5145327.2517972933</v>
      </c>
      <c r="S34" s="312">
        <f t="shared" ca="1" si="11"/>
        <v>1703511.5105439688</v>
      </c>
      <c r="T34" s="312">
        <f t="shared" ca="1" si="11"/>
        <v>403266.75244536728</v>
      </c>
      <c r="U34" s="312">
        <f t="shared" ca="1" si="11"/>
        <v>37006.452376362206</v>
      </c>
      <c r="V34" s="312">
        <f t="shared" ca="1" si="11"/>
        <v>64793.475791868754</v>
      </c>
      <c r="W34" s="312">
        <f t="shared" ca="1" si="6"/>
        <v>0</v>
      </c>
      <c r="X34" s="312">
        <f t="shared" ca="1" si="6"/>
        <v>283271.85535673302</v>
      </c>
      <c r="Y34" s="312" t="e">
        <f t="shared" ca="1" si="6"/>
        <v>#REF!</v>
      </c>
      <c r="Z34" s="312" t="e">
        <f t="shared" ca="1" si="6"/>
        <v>#REF!</v>
      </c>
      <c r="AA34" s="312" t="e">
        <f t="shared" ca="1" si="9"/>
        <v>#REF!</v>
      </c>
      <c r="AB34" s="312" t="e">
        <f t="shared" ca="1" si="9"/>
        <v>#REF!</v>
      </c>
      <c r="AC34" s="312" t="e">
        <f t="shared" ca="1" si="9"/>
        <v>#REF!</v>
      </c>
      <c r="AD34" s="312" t="e">
        <f t="shared" ca="1" si="9"/>
        <v>#REF!</v>
      </c>
      <c r="AE34" s="312" t="e">
        <f t="shared" ca="1" si="9"/>
        <v>#REF!</v>
      </c>
      <c r="AF34" s="312" t="e">
        <f t="shared" ca="1" si="7"/>
        <v>#REF!</v>
      </c>
      <c r="AG34" s="312"/>
    </row>
    <row r="35" spans="1:33">
      <c r="A35">
        <f t="shared" si="5"/>
        <v>2040</v>
      </c>
      <c r="B35" s="312">
        <f t="shared" ca="1" si="10"/>
        <v>2765400.1817033454</v>
      </c>
      <c r="C35" s="312">
        <f t="shared" ca="1" si="10"/>
        <v>678297.35656819667</v>
      </c>
      <c r="D35" s="312">
        <f t="shared" ca="1" si="10"/>
        <v>9689.9622366885214</v>
      </c>
      <c r="E35" s="312">
        <f t="shared" ca="1" si="10"/>
        <v>1067614.2604511806</v>
      </c>
      <c r="F35" s="312">
        <f t="shared" ca="1" si="10"/>
        <v>1028944.9127765988</v>
      </c>
      <c r="G35" s="312">
        <f t="shared" ca="1" si="10"/>
        <v>785108.58889678691</v>
      </c>
      <c r="H35" s="312">
        <f t="shared" ca="1" si="10"/>
        <v>322144.14362842118</v>
      </c>
      <c r="I35" s="312">
        <f t="shared" ca="1" si="10"/>
        <v>184593.78060891634</v>
      </c>
      <c r="J35" s="312">
        <f t="shared" ca="1" si="10"/>
        <v>106029.72461586694</v>
      </c>
      <c r="K35" s="312">
        <f t="shared" ca="1" si="10"/>
        <v>3278.8412207530769</v>
      </c>
      <c r="L35" s="312">
        <f t="shared" ca="1" si="10"/>
        <v>16388.388819263651</v>
      </c>
      <c r="M35" s="312">
        <f t="shared" ca="1" si="10"/>
        <v>34492.83646638583</v>
      </c>
      <c r="N35" s="312">
        <f t="shared" ca="1" si="10"/>
        <v>47877.76050185546</v>
      </c>
      <c r="O35" s="312">
        <f t="shared" ca="1" si="10"/>
        <v>455184.86990837066</v>
      </c>
      <c r="P35" s="312">
        <f t="shared" ca="1" si="10"/>
        <v>1412623.1423385399</v>
      </c>
      <c r="Q35" s="312">
        <f t="shared" ca="1" si="10"/>
        <v>4855797.3180808295</v>
      </c>
      <c r="R35" s="312">
        <f t="shared" ca="1" si="11"/>
        <v>5386718.8824854605</v>
      </c>
      <c r="S35" s="312">
        <f t="shared" ca="1" si="11"/>
        <v>1799155.2132699979</v>
      </c>
      <c r="T35" s="312">
        <f t="shared" ca="1" si="11"/>
        <v>422185.90262014099</v>
      </c>
      <c r="U35" s="312">
        <f t="shared" ca="1" si="11"/>
        <v>38742.600039660734</v>
      </c>
      <c r="V35" s="312">
        <f t="shared" ca="1" si="11"/>
        <v>67879.985438770716</v>
      </c>
      <c r="W35" s="312">
        <f t="shared" ca="1" si="6"/>
        <v>0</v>
      </c>
      <c r="X35" s="312">
        <f t="shared" ca="1" si="6"/>
        <v>296196.58992165932</v>
      </c>
      <c r="Y35" s="312" t="e">
        <f t="shared" ca="1" si="6"/>
        <v>#REF!</v>
      </c>
      <c r="Z35" s="312" t="e">
        <f t="shared" ca="1" si="6"/>
        <v>#REF!</v>
      </c>
      <c r="AA35" s="312" t="e">
        <f t="shared" ca="1" si="9"/>
        <v>#REF!</v>
      </c>
      <c r="AB35" s="312" t="e">
        <f t="shared" ca="1" si="9"/>
        <v>#REF!</v>
      </c>
      <c r="AC35" s="312" t="e">
        <f t="shared" ca="1" si="9"/>
        <v>#REF!</v>
      </c>
      <c r="AD35" s="312" t="e">
        <f t="shared" ca="1" si="9"/>
        <v>#REF!</v>
      </c>
      <c r="AE35" s="312" t="e">
        <f t="shared" ca="1" si="9"/>
        <v>#REF!</v>
      </c>
      <c r="AF35" s="312" t="e">
        <f t="shared" ca="1" si="7"/>
        <v>#REF!</v>
      </c>
      <c r="AG35" s="312"/>
    </row>
    <row r="36" spans="1:33">
      <c r="A36">
        <f t="shared" si="5"/>
        <v>2041</v>
      </c>
      <c r="B36" s="312">
        <f t="shared" ca="1" si="10"/>
        <v>2885452.0639062752</v>
      </c>
      <c r="C36" s="312">
        <f t="shared" ca="1" si="10"/>
        <v>707743.68223493116</v>
      </c>
      <c r="D36" s="312">
        <f t="shared" ca="1" si="10"/>
        <v>10110.624031927586</v>
      </c>
      <c r="E36" s="312">
        <f t="shared" ca="1" si="10"/>
        <v>1113961.6579388408</v>
      </c>
      <c r="F36" s="312">
        <f t="shared" ca="1" si="10"/>
        <v>1073613.5919353142</v>
      </c>
      <c r="G36" s="312">
        <f t="shared" ca="1" si="10"/>
        <v>819191.81650860037</v>
      </c>
      <c r="H36" s="312">
        <f t="shared" ca="1" si="10"/>
        <v>339066.74233589187</v>
      </c>
      <c r="I36" s="312">
        <f t="shared" ca="1" si="10"/>
        <v>192607.38780822052</v>
      </c>
      <c r="J36" s="312">
        <f t="shared" ca="1" si="10"/>
        <v>110632.69965499949</v>
      </c>
      <c r="K36" s="312">
        <f t="shared" ca="1" si="10"/>
        <v>3421.1826665229623</v>
      </c>
      <c r="L36" s="312">
        <f t="shared" ca="1" si="10"/>
        <v>17111.230557616724</v>
      </c>
      <c r="M36" s="312">
        <f t="shared" ca="1" si="10"/>
        <v>35630.312302651299</v>
      </c>
      <c r="N36" s="312">
        <f t="shared" ca="1" si="10"/>
        <v>49956.235545698291</v>
      </c>
      <c r="O36" s="312">
        <f t="shared" ca="1" si="10"/>
        <v>474945.40971897286</v>
      </c>
      <c r="P36" s="312">
        <f t="shared" ca="1" si="10"/>
        <v>1510209.914541946</v>
      </c>
      <c r="Q36" s="312">
        <f t="shared" ca="1" si="10"/>
        <v>5230036.4075893108</v>
      </c>
      <c r="R36" s="312">
        <f t="shared" ca="1" si="11"/>
        <v>5620567.7644733526</v>
      </c>
      <c r="S36" s="312">
        <f t="shared" ca="1" si="11"/>
        <v>1893666.8854168016</v>
      </c>
      <c r="T36" s="312">
        <f t="shared" ca="1" si="11"/>
        <v>440513.88733079209</v>
      </c>
      <c r="U36" s="312">
        <f t="shared" ca="1" si="11"/>
        <v>40424.498409006941</v>
      </c>
      <c r="V36" s="312">
        <f t="shared" ca="1" si="11"/>
        <v>70874.763631201378</v>
      </c>
      <c r="W36" s="312">
        <f t="shared" ca="1" si="6"/>
        <v>0</v>
      </c>
      <c r="X36" s="312">
        <f t="shared" ca="1" si="6"/>
        <v>308672.33159682597</v>
      </c>
      <c r="Y36" s="312" t="e">
        <f t="shared" ca="1" si="6"/>
        <v>#REF!</v>
      </c>
      <c r="Z36" s="312" t="e">
        <f t="shared" ca="1" si="6"/>
        <v>#REF!</v>
      </c>
      <c r="AA36" s="312" t="e">
        <f t="shared" ca="1" si="9"/>
        <v>#REF!</v>
      </c>
      <c r="AB36" s="312" t="e">
        <f t="shared" ca="1" si="9"/>
        <v>#REF!</v>
      </c>
      <c r="AC36" s="312" t="e">
        <f t="shared" ca="1" si="9"/>
        <v>#REF!</v>
      </c>
      <c r="AD36" s="312" t="e">
        <f t="shared" ca="1" si="9"/>
        <v>#REF!</v>
      </c>
      <c r="AE36" s="312" t="e">
        <f t="shared" ca="1" si="9"/>
        <v>#REF!</v>
      </c>
      <c r="AF36" s="312" t="e">
        <f t="shared" ca="1" si="7"/>
        <v>#REF!</v>
      </c>
      <c r="AG36" s="312"/>
    </row>
    <row r="37" spans="1:33">
      <c r="A37">
        <f t="shared" si="5"/>
        <v>2042</v>
      </c>
      <c r="B37" s="312">
        <f t="shared" ca="1" si="10"/>
        <v>3000825.8901333716</v>
      </c>
      <c r="C37" s="312">
        <f t="shared" ca="1" si="10"/>
        <v>736042.57433191349</v>
      </c>
      <c r="D37" s="312">
        <f t="shared" ca="1" si="10"/>
        <v>10514.893919027334</v>
      </c>
      <c r="E37" s="312">
        <f t="shared" ca="1" si="10"/>
        <v>1158503.0385960864</v>
      </c>
      <c r="F37" s="312">
        <f t="shared" ca="1" si="10"/>
        <v>1116541.6688007831</v>
      </c>
      <c r="G37" s="312">
        <f t="shared" ca="1" si="10"/>
        <v>851946.92461341934</v>
      </c>
      <c r="H37" s="312">
        <f t="shared" ca="1" si="10"/>
        <v>355679.31076232437</v>
      </c>
      <c r="I37" s="312">
        <f t="shared" ca="1" si="10"/>
        <v>200308.72915747069</v>
      </c>
      <c r="J37" s="312">
        <f t="shared" ca="1" si="10"/>
        <v>115056.31078501794</v>
      </c>
      <c r="K37" s="312">
        <f t="shared" ca="1" si="10"/>
        <v>3557.9774999551341</v>
      </c>
      <c r="L37" s="312">
        <f t="shared" ca="1" si="10"/>
        <v>17807.076053914559</v>
      </c>
      <c r="M37" s="312">
        <f t="shared" ca="1" si="10"/>
        <v>36684.436325184644</v>
      </c>
      <c r="N37" s="312">
        <f t="shared" ca="1" si="10"/>
        <v>51953.718751503693</v>
      </c>
      <c r="O37" s="312">
        <f t="shared" ca="1" si="10"/>
        <v>493935.94151595299</v>
      </c>
      <c r="P37" s="312">
        <f t="shared" ca="1" si="10"/>
        <v>1608355.4034412066</v>
      </c>
      <c r="Q37" s="312">
        <f t="shared" ca="1" si="10"/>
        <v>5609131.323392407</v>
      </c>
      <c r="R37" s="312">
        <f t="shared" ca="1" si="11"/>
        <v>5845304.268214846</v>
      </c>
      <c r="S37" s="312">
        <f t="shared" ca="1" si="11"/>
        <v>1986447.0575272585</v>
      </c>
      <c r="T37" s="312">
        <f t="shared" ca="1" si="11"/>
        <v>458127.68633416953</v>
      </c>
      <c r="U37" s="312">
        <f t="shared" ca="1" si="11"/>
        <v>42040.858324702218</v>
      </c>
      <c r="V37" s="312">
        <f t="shared" ca="1" si="11"/>
        <v>73757.750858322659</v>
      </c>
      <c r="W37" s="312">
        <f t="shared" ca="1" si="6"/>
        <v>0</v>
      </c>
      <c r="X37" s="312">
        <f t="shared" ca="1" si="6"/>
        <v>320614.32632339705</v>
      </c>
      <c r="Y37" s="312" t="e">
        <f t="shared" ca="1" si="6"/>
        <v>#REF!</v>
      </c>
      <c r="Z37" s="312" t="e">
        <f t="shared" ca="1" si="6"/>
        <v>#REF!</v>
      </c>
      <c r="AA37" s="312" t="e">
        <f t="shared" ca="1" si="9"/>
        <v>#REF!</v>
      </c>
      <c r="AB37" s="312" t="e">
        <f t="shared" ca="1" si="9"/>
        <v>#REF!</v>
      </c>
      <c r="AC37" s="312" t="e">
        <f t="shared" ca="1" si="9"/>
        <v>#REF!</v>
      </c>
      <c r="AD37" s="312" t="e">
        <f t="shared" ca="1" si="9"/>
        <v>#REF!</v>
      </c>
      <c r="AE37" s="312" t="e">
        <f t="shared" ca="1" si="9"/>
        <v>#REF!</v>
      </c>
      <c r="AF37" s="312" t="e">
        <f t="shared" ca="1" si="7"/>
        <v>#REF!</v>
      </c>
      <c r="AG37" s="312"/>
    </row>
    <row r="38" spans="1:33">
      <c r="A38">
        <f t="shared" si="5"/>
        <v>2043</v>
      </c>
      <c r="B38" s="312">
        <f t="shared" ca="1" si="10"/>
        <v>3130593.4781022663</v>
      </c>
      <c r="C38" s="312">
        <f t="shared" ca="1" si="10"/>
        <v>767871.96830892388</v>
      </c>
      <c r="D38" s="312">
        <f t="shared" ca="1" si="10"/>
        <v>10969.59954727034</v>
      </c>
      <c r="E38" s="312">
        <f t="shared" ca="1" si="10"/>
        <v>1208601.2950352721</v>
      </c>
      <c r="F38" s="312">
        <f t="shared" ca="1" si="10"/>
        <v>1164825.3495379558</v>
      </c>
      <c r="G38" s="312">
        <f t="shared" ca="1" si="10"/>
        <v>888788.48141553276</v>
      </c>
      <c r="H38" s="312">
        <f t="shared" ca="1" si="10"/>
        <v>374247.50568016042</v>
      </c>
      <c r="I38" s="312">
        <f t="shared" ca="1" si="10"/>
        <v>208970.87137549996</v>
      </c>
      <c r="J38" s="312">
        <f t="shared" ca="1" si="10"/>
        <v>120031.80102597548</v>
      </c>
      <c r="K38" s="312">
        <f t="shared" ca="1" si="10"/>
        <v>3711.8385285922391</v>
      </c>
      <c r="L38" s="312">
        <f t="shared" ca="1" si="10"/>
        <v>18589.104457284615</v>
      </c>
      <c r="M38" s="312">
        <f t="shared" ca="1" si="10"/>
        <v>37888.132792471799</v>
      </c>
      <c r="N38" s="312">
        <f t="shared" ca="1" si="10"/>
        <v>54200.403169471479</v>
      </c>
      <c r="O38" s="312">
        <f t="shared" ca="1" si="10"/>
        <v>515295.68649563316</v>
      </c>
      <c r="P38" s="312">
        <f t="shared" ca="1" si="10"/>
        <v>1717349.5514637427</v>
      </c>
      <c r="Q38" s="312">
        <f t="shared" ca="1" si="10"/>
        <v>6029016.3722301759</v>
      </c>
      <c r="R38" s="312">
        <f t="shared" ca="1" si="11"/>
        <v>6098078.3589491844</v>
      </c>
      <c r="S38" s="312">
        <f t="shared" ca="1" si="11"/>
        <v>2090149.2832177919</v>
      </c>
      <c r="T38" s="312">
        <f t="shared" ca="1" si="11"/>
        <v>477938.94064013439</v>
      </c>
      <c r="U38" s="312">
        <f t="shared" ca="1" si="11"/>
        <v>43858.871425321049</v>
      </c>
      <c r="V38" s="312">
        <f t="shared" ca="1" si="11"/>
        <v>76997.740194707221</v>
      </c>
      <c r="W38" s="312">
        <f t="shared" ca="1" si="6"/>
        <v>0</v>
      </c>
      <c r="X38" s="312">
        <f t="shared" ca="1" si="6"/>
        <v>334059.37643705012</v>
      </c>
      <c r="Y38" s="312" t="e">
        <f t="shared" ca="1" si="6"/>
        <v>#REF!</v>
      </c>
      <c r="Z38" s="312" t="e">
        <f t="shared" ca="1" si="6"/>
        <v>#REF!</v>
      </c>
      <c r="AA38" s="312" t="e">
        <f t="shared" ca="1" si="9"/>
        <v>#REF!</v>
      </c>
      <c r="AB38" s="312" t="e">
        <f t="shared" ca="1" si="9"/>
        <v>#REF!</v>
      </c>
      <c r="AC38" s="312" t="e">
        <f t="shared" ca="1" si="9"/>
        <v>#REF!</v>
      </c>
      <c r="AD38" s="312" t="e">
        <f t="shared" ca="1" si="9"/>
        <v>#REF!</v>
      </c>
      <c r="AE38" s="312" t="e">
        <f t="shared" ca="1" si="9"/>
        <v>#REF!</v>
      </c>
      <c r="AF38" s="312" t="e">
        <f t="shared" ca="1" si="7"/>
        <v>#REF!</v>
      </c>
      <c r="AG38" s="312"/>
    </row>
    <row r="39" spans="1:33">
      <c r="A39">
        <f t="shared" si="5"/>
        <v>2044</v>
      </c>
      <c r="B39" s="312">
        <f t="shared" ca="1" si="10"/>
        <v>3277687.8011430902</v>
      </c>
      <c r="C39" s="312">
        <f t="shared" ca="1" si="10"/>
        <v>803951.26386437716</v>
      </c>
      <c r="D39" s="312">
        <f t="shared" ca="1" si="10"/>
        <v>11485.018055205386</v>
      </c>
      <c r="E39" s="312">
        <f t="shared" ca="1" si="10"/>
        <v>1265388.7350408151</v>
      </c>
      <c r="F39" s="312">
        <f t="shared" ca="1" si="10"/>
        <v>1219555.9293623732</v>
      </c>
      <c r="G39" s="312">
        <f t="shared" ca="1" si="10"/>
        <v>930549.17021615908</v>
      </c>
      <c r="H39" s="312">
        <f t="shared" ca="1" si="10"/>
        <v>395168.8983373465</v>
      </c>
      <c r="I39" s="312">
        <f t="shared" ca="1" si="10"/>
        <v>218789.59395166262</v>
      </c>
      <c r="J39" s="312">
        <f t="shared" ca="1" si="10"/>
        <v>125671.625116451</v>
      </c>
      <c r="K39" s="312">
        <f t="shared" ca="1" si="10"/>
        <v>3886.2432794547167</v>
      </c>
      <c r="L39" s="312">
        <f t="shared" ca="1" si="10"/>
        <v>19474.893364188742</v>
      </c>
      <c r="M39" s="312">
        <f t="shared" ca="1" si="10"/>
        <v>39271.616389395938</v>
      </c>
      <c r="N39" s="312">
        <f t="shared" ca="1" si="10"/>
        <v>56747.06777748248</v>
      </c>
      <c r="O39" s="312">
        <f t="shared" ca="1" si="10"/>
        <v>539507.41206815268</v>
      </c>
      <c r="P39" s="312">
        <f t="shared" ca="1" si="10"/>
        <v>1839387.1682524015</v>
      </c>
      <c r="Q39" s="312">
        <f t="shared" ca="1" si="10"/>
        <v>6497952.0036616335</v>
      </c>
      <c r="R39" s="312">
        <f t="shared" ca="1" si="11"/>
        <v>6384603.1710443255</v>
      </c>
      <c r="S39" s="312">
        <f t="shared" ca="1" si="11"/>
        <v>2206993.9734365349</v>
      </c>
      <c r="T39" s="312">
        <f t="shared" ca="1" si="11"/>
        <v>500395.41907467245</v>
      </c>
      <c r="U39" s="312">
        <f t="shared" ca="1" si="11"/>
        <v>45919.627970930698</v>
      </c>
      <c r="V39" s="312">
        <f t="shared" ca="1" si="11"/>
        <v>80667.549474717103</v>
      </c>
      <c r="W39" s="312">
        <f t="shared" ca="1" si="6"/>
        <v>0</v>
      </c>
      <c r="X39" s="312">
        <f t="shared" ca="1" si="6"/>
        <v>349314.06440003065</v>
      </c>
      <c r="Y39" s="312" t="e">
        <f t="shared" ca="1" si="6"/>
        <v>#REF!</v>
      </c>
      <c r="Z39" s="312" t="e">
        <f t="shared" ca="1" si="6"/>
        <v>#REF!</v>
      </c>
      <c r="AA39" s="312" t="e">
        <f t="shared" ca="1" si="9"/>
        <v>#REF!</v>
      </c>
      <c r="AB39" s="312" t="e">
        <f t="shared" ca="1" si="9"/>
        <v>#REF!</v>
      </c>
      <c r="AC39" s="312" t="e">
        <f t="shared" ca="1" si="9"/>
        <v>#REF!</v>
      </c>
      <c r="AD39" s="312" t="e">
        <f t="shared" ca="1" si="9"/>
        <v>#REF!</v>
      </c>
      <c r="AE39" s="312" t="e">
        <f t="shared" ca="1" si="9"/>
        <v>#REF!</v>
      </c>
      <c r="AF39" s="312" t="e">
        <f t="shared" ca="1" si="7"/>
        <v>#REF!</v>
      </c>
      <c r="AG39" s="312"/>
    </row>
    <row r="40" spans="1:33">
      <c r="A40">
        <f t="shared" si="5"/>
        <v>2045</v>
      </c>
      <c r="B40" s="312">
        <f t="shared" ca="1" si="10"/>
        <v>3446311.1628110022</v>
      </c>
      <c r="C40" s="312">
        <f t="shared" ca="1" si="10"/>
        <v>845311.20201428258</v>
      </c>
      <c r="D40" s="312">
        <f t="shared" ca="1" si="10"/>
        <v>12075.874314489751</v>
      </c>
      <c r="E40" s="312">
        <f t="shared" ca="1" si="10"/>
        <v>1330487.7057984557</v>
      </c>
      <c r="F40" s="312">
        <f t="shared" ca="1" si="10"/>
        <v>1282296.9934989267</v>
      </c>
      <c r="G40" s="312">
        <f t="shared" ca="1" si="10"/>
        <v>978422.04243553651</v>
      </c>
      <c r="H40" s="312">
        <f t="shared" ca="1" si="10"/>
        <v>419007.33100381139</v>
      </c>
      <c r="I40" s="312">
        <f t="shared" ca="1" si="10"/>
        <v>230045.40569102977</v>
      </c>
      <c r="J40" s="312">
        <f t="shared" ca="1" si="10"/>
        <v>132136.90588114591</v>
      </c>
      <c r="K40" s="312">
        <f t="shared" ca="1" si="10"/>
        <v>4086.1742813678479</v>
      </c>
      <c r="L40" s="312">
        <f t="shared" ca="1" si="10"/>
        <v>20489.606578441249</v>
      </c>
      <c r="M40" s="312">
        <f t="shared" ca="1" si="10"/>
        <v>40879.109119915265</v>
      </c>
      <c r="N40" s="312">
        <f t="shared" ca="1" si="10"/>
        <v>59666.467645309676</v>
      </c>
      <c r="O40" s="312">
        <f t="shared" ca="1" si="10"/>
        <v>567262.81739869097</v>
      </c>
      <c r="P40" s="312">
        <f t="shared" ca="1" si="10"/>
        <v>1977540.7428852944</v>
      </c>
      <c r="Q40" s="312">
        <f t="shared" ca="1" si="10"/>
        <v>7027451.5087957187</v>
      </c>
      <c r="R40" s="312">
        <f t="shared" ca="1" si="11"/>
        <v>6713064.365317205</v>
      </c>
      <c r="S40" s="312">
        <f t="shared" ca="1" si="11"/>
        <v>2340130.1525549316</v>
      </c>
      <c r="T40" s="312">
        <f t="shared" ca="1" si="11"/>
        <v>526138.67555509985</v>
      </c>
      <c r="U40" s="312">
        <f t="shared" ca="1" si="11"/>
        <v>48282.001236712087</v>
      </c>
      <c r="V40" s="312">
        <f t="shared" ca="1" si="11"/>
        <v>84871.421849185863</v>
      </c>
      <c r="W40" s="312">
        <f t="shared" ca="1" si="6"/>
        <v>0</v>
      </c>
      <c r="X40" s="312">
        <f t="shared" ca="1" si="6"/>
        <v>366818.44058535231</v>
      </c>
      <c r="Y40" s="312" t="e">
        <f t="shared" ca="1" si="6"/>
        <v>#REF!</v>
      </c>
      <c r="Z40" s="312" t="e">
        <f t="shared" ca="1" si="6"/>
        <v>#REF!</v>
      </c>
      <c r="AA40" s="312" t="e">
        <f t="shared" ca="1" si="9"/>
        <v>#REF!</v>
      </c>
      <c r="AB40" s="312" t="e">
        <f t="shared" ca="1" si="9"/>
        <v>#REF!</v>
      </c>
      <c r="AC40" s="312" t="e">
        <f t="shared" ca="1" si="9"/>
        <v>#REF!</v>
      </c>
      <c r="AD40" s="312" t="e">
        <f t="shared" ca="1" si="9"/>
        <v>#REF!</v>
      </c>
      <c r="AE40" s="312" t="e">
        <f t="shared" ca="1" si="9"/>
        <v>#REF!</v>
      </c>
      <c r="AF40" s="312" t="e">
        <f t="shared" ca="1" si="7"/>
        <v>#REF!</v>
      </c>
      <c r="AG40" s="312"/>
    </row>
    <row r="41" spans="1:33">
      <c r="A41">
        <f>A40+1</f>
        <v>2046</v>
      </c>
      <c r="B41" s="312">
        <f t="shared" ca="1" si="10"/>
        <v>3626256.892262985</v>
      </c>
      <c r="C41" s="312">
        <f t="shared" ca="1" si="10"/>
        <v>889448.29053426499</v>
      </c>
      <c r="D41" s="312">
        <f t="shared" ca="1" si="10"/>
        <v>12706.404150489498</v>
      </c>
      <c r="E41" s="312">
        <f t="shared" ca="1" si="10"/>
        <v>1399957.8056926038</v>
      </c>
      <c r="F41" s="312">
        <f t="shared" ca="1" si="10"/>
        <v>1349250.863004152</v>
      </c>
      <c r="G41" s="312">
        <f t="shared" ca="1" si="10"/>
        <v>1029509.3818603244</v>
      </c>
      <c r="H41" s="312">
        <f t="shared" ca="1" si="10"/>
        <v>444577.22634142119</v>
      </c>
      <c r="I41" s="312">
        <f t="shared" ca="1" si="10"/>
        <v>242056.99906682491</v>
      </c>
      <c r="J41" s="312">
        <f t="shared" ca="1" si="10"/>
        <v>139036.3037570233</v>
      </c>
      <c r="K41" s="312">
        <f t="shared" ca="1" si="10"/>
        <v>4299.5298308211732</v>
      </c>
      <c r="L41" s="312">
        <f t="shared" ca="1" si="10"/>
        <v>21572.745296519337</v>
      </c>
      <c r="M41" s="312">
        <f t="shared" ca="1" si="10"/>
        <v>42583.424786395612</v>
      </c>
      <c r="N41" s="312">
        <f t="shared" ca="1" si="10"/>
        <v>62781.893251713976</v>
      </c>
      <c r="O41" s="312">
        <f t="shared" ca="1" si="10"/>
        <v>596881.88446648733</v>
      </c>
      <c r="P41" s="312">
        <f t="shared" ca="1" si="10"/>
        <v>2126646.4081364316</v>
      </c>
      <c r="Q41" s="312">
        <f t="shared" ca="1" si="10"/>
        <v>7599782.4662880013</v>
      </c>
      <c r="R41" s="312">
        <f t="shared" ca="1" si="11"/>
        <v>7063580.3828812763</v>
      </c>
      <c r="S41" s="312">
        <f t="shared" ca="1" si="11"/>
        <v>2482936.444115188</v>
      </c>
      <c r="T41" s="312">
        <f t="shared" ca="1" si="11"/>
        <v>553610.4862224916</v>
      </c>
      <c r="U41" s="312">
        <f t="shared" ca="1" si="11"/>
        <v>50802.998187218189</v>
      </c>
      <c r="V41" s="312">
        <f t="shared" ca="1" si="11"/>
        <v>89358.771137774515</v>
      </c>
      <c r="W41" s="312">
        <f t="shared" ca="1" si="6"/>
        <v>0</v>
      </c>
      <c r="X41" s="312">
        <f t="shared" ca="1" si="6"/>
        <v>385478.50836981251</v>
      </c>
      <c r="Y41" s="312" t="e">
        <f t="shared" ca="1" si="6"/>
        <v>#REF!</v>
      </c>
      <c r="Z41" s="312" t="e">
        <f t="shared" ca="1" si="6"/>
        <v>#REF!</v>
      </c>
      <c r="AA41" s="312" t="e">
        <f t="shared" ca="1" si="9"/>
        <v>#REF!</v>
      </c>
      <c r="AB41" s="312" t="e">
        <f t="shared" ca="1" si="9"/>
        <v>#REF!</v>
      </c>
      <c r="AC41" s="312" t="e">
        <f t="shared" ca="1" si="9"/>
        <v>#REF!</v>
      </c>
      <c r="AD41" s="312" t="e">
        <f t="shared" ca="1" si="9"/>
        <v>#REF!</v>
      </c>
      <c r="AE41" s="312" t="e">
        <f t="shared" ca="1" si="9"/>
        <v>#REF!</v>
      </c>
      <c r="AF41" s="312" t="e">
        <f t="shared" ca="1" si="7"/>
        <v>#REF!</v>
      </c>
      <c r="AG41" s="312"/>
    </row>
    <row r="42" spans="1:33">
      <c r="A42">
        <f t="shared" si="5"/>
        <v>2047</v>
      </c>
      <c r="B42" s="312">
        <f t="shared" ca="1" si="10"/>
        <v>3818941.99844892</v>
      </c>
      <c r="C42" s="312">
        <f t="shared" ca="1" si="10"/>
        <v>936710.0933795512</v>
      </c>
      <c r="D42" s="312">
        <f t="shared" ca="1" si="10"/>
        <v>13381.572762565014</v>
      </c>
      <c r="E42" s="312">
        <f t="shared" ca="1" si="10"/>
        <v>1474346.0871795693</v>
      </c>
      <c r="F42" s="312">
        <f t="shared" ca="1" si="10"/>
        <v>1420944.7759103547</v>
      </c>
      <c r="G42" s="312">
        <f t="shared" ca="1" si="10"/>
        <v>1084213.4832124431</v>
      </c>
      <c r="H42" s="312">
        <f t="shared" ca="1" si="10"/>
        <v>472088.33299160184</v>
      </c>
      <c r="I42" s="312">
        <f t="shared" ca="1" si="10"/>
        <v>254918.96112686349</v>
      </c>
      <c r="J42" s="312">
        <f t="shared" ca="1" si="10"/>
        <v>146424.14906116651</v>
      </c>
      <c r="K42" s="312">
        <f t="shared" ca="1" si="10"/>
        <v>4527.9900272758068</v>
      </c>
      <c r="L42" s="312">
        <f t="shared" ca="1" si="10"/>
        <v>22732.849213522153</v>
      </c>
      <c r="M42" s="312">
        <f t="shared" ca="1" si="10"/>
        <v>44397.644854847706</v>
      </c>
      <c r="N42" s="312">
        <f t="shared" ca="1" si="10"/>
        <v>66117.877471025946</v>
      </c>
      <c r="O42" s="312">
        <f t="shared" ca="1" si="10"/>
        <v>628597.85294469225</v>
      </c>
      <c r="P42" s="312">
        <f t="shared" ca="1" si="10"/>
        <v>2287989.1012910986</v>
      </c>
      <c r="Q42" s="312">
        <f t="shared" ca="1" si="10"/>
        <v>8219918.8314336129</v>
      </c>
      <c r="R42" s="312">
        <f t="shared" ca="1" si="11"/>
        <v>7438911.4133530287</v>
      </c>
      <c r="S42" s="312">
        <f t="shared" ca="1" si="11"/>
        <v>2636584.2813690342</v>
      </c>
      <c r="T42" s="312">
        <f t="shared" ca="1" si="11"/>
        <v>583027.18186560099</v>
      </c>
      <c r="U42" s="312">
        <f t="shared" ca="1" si="11"/>
        <v>53502.470781438933</v>
      </c>
      <c r="V42" s="312">
        <f t="shared" ca="1" si="11"/>
        <v>94164.975710355153</v>
      </c>
      <c r="W42" s="312">
        <f t="shared" ca="1" si="6"/>
        <v>0</v>
      </c>
      <c r="X42" s="312">
        <f t="shared" ca="1" si="6"/>
        <v>405439.80866217898</v>
      </c>
      <c r="Y42" s="312" t="e">
        <f t="shared" ca="1" si="6"/>
        <v>#REF!</v>
      </c>
      <c r="Z42" s="312" t="e">
        <f t="shared" ca="1" si="6"/>
        <v>#REF!</v>
      </c>
      <c r="AA42" s="312" t="e">
        <f t="shared" ca="1" si="9"/>
        <v>#REF!</v>
      </c>
      <c r="AB42" s="312" t="e">
        <f t="shared" ca="1" si="9"/>
        <v>#REF!</v>
      </c>
      <c r="AC42" s="312" t="e">
        <f t="shared" ca="1" si="9"/>
        <v>#REF!</v>
      </c>
      <c r="AD42" s="312" t="e">
        <f t="shared" ca="1" si="9"/>
        <v>#REF!</v>
      </c>
      <c r="AE42" s="312" t="e">
        <f t="shared" ca="1" si="9"/>
        <v>#REF!</v>
      </c>
      <c r="AF42" s="312" t="e">
        <f t="shared" ca="1" si="7"/>
        <v>#REF!</v>
      </c>
      <c r="AG42" s="312"/>
    </row>
    <row r="43" spans="1:33">
      <c r="A43">
        <f t="shared" si="5"/>
        <v>2048</v>
      </c>
      <c r="B43" s="312">
        <f t="shared" ca="1" si="10"/>
        <v>4025902.6024023481</v>
      </c>
      <c r="C43" s="312">
        <f t="shared" ca="1" si="10"/>
        <v>987473.39031724806</v>
      </c>
      <c r="D43" s="312">
        <f t="shared" ca="1" si="10"/>
        <v>14106.762718817828</v>
      </c>
      <c r="E43" s="312">
        <f t="shared" ca="1" si="10"/>
        <v>1554245.5872932104</v>
      </c>
      <c r="F43" s="312">
        <f t="shared" ca="1" si="10"/>
        <v>1497950.2892505201</v>
      </c>
      <c r="G43" s="312">
        <f t="shared" ca="1" si="10"/>
        <v>1142970.4576287169</v>
      </c>
      <c r="H43" s="312">
        <f t="shared" ca="1" si="10"/>
        <v>501771.01575727831</v>
      </c>
      <c r="I43" s="312">
        <f t="shared" ca="1" si="10"/>
        <v>268733.82979347958</v>
      </c>
      <c r="J43" s="312">
        <f t="shared" ca="1" si="10"/>
        <v>154359.33905236665</v>
      </c>
      <c r="K43" s="312">
        <f t="shared" ca="1" si="10"/>
        <v>4773.376197351371</v>
      </c>
      <c r="L43" s="312">
        <f t="shared" ca="1" si="10"/>
        <v>23979.18536271984</v>
      </c>
      <c r="M43" s="312">
        <f t="shared" ca="1" si="10"/>
        <v>46335.723412089588</v>
      </c>
      <c r="N43" s="312">
        <f t="shared" ca="1" si="10"/>
        <v>69701.01538175621</v>
      </c>
      <c r="O43" s="312">
        <f t="shared" ca="1" si="10"/>
        <v>662663.56835542654</v>
      </c>
      <c r="P43" s="312">
        <f t="shared" ca="1" si="10"/>
        <v>2462999.2039601761</v>
      </c>
      <c r="Q43" s="312">
        <f t="shared" ca="1" si="10"/>
        <v>8893418.7346112933</v>
      </c>
      <c r="R43" s="312">
        <f t="shared" ca="1" si="11"/>
        <v>7842049.6645987658</v>
      </c>
      <c r="S43" s="312">
        <f t="shared" ca="1" si="11"/>
        <v>2802360.2375611942</v>
      </c>
      <c r="T43" s="312">
        <f t="shared" ca="1" si="11"/>
        <v>614623.27778147988</v>
      </c>
      <c r="U43" s="312">
        <f t="shared" ca="1" si="11"/>
        <v>56401.939710379083</v>
      </c>
      <c r="V43" s="312">
        <f t="shared" ca="1" si="11"/>
        <v>99328.42757734179</v>
      </c>
      <c r="W43" s="312">
        <f t="shared" ca="1" si="6"/>
        <v>0</v>
      </c>
      <c r="X43" s="312">
        <f t="shared" ca="1" si="6"/>
        <v>426859.70222122659</v>
      </c>
      <c r="Y43" s="312" t="e">
        <f t="shared" ca="1" si="6"/>
        <v>#REF!</v>
      </c>
      <c r="Z43" s="312" t="e">
        <f t="shared" ca="1" si="6"/>
        <v>#REF!</v>
      </c>
      <c r="AA43" s="312" t="e">
        <f t="shared" ca="1" si="9"/>
        <v>#REF!</v>
      </c>
      <c r="AB43" s="312" t="e">
        <f t="shared" ca="1" si="9"/>
        <v>#REF!</v>
      </c>
      <c r="AC43" s="312" t="e">
        <f t="shared" ca="1" si="9"/>
        <v>#REF!</v>
      </c>
      <c r="AD43" s="312" t="e">
        <f t="shared" ca="1" si="9"/>
        <v>#REF!</v>
      </c>
      <c r="AE43" s="312" t="e">
        <f t="shared" ca="1" si="9"/>
        <v>#REF!</v>
      </c>
      <c r="AF43" s="312" t="e">
        <f t="shared" ca="1" si="7"/>
        <v>#REF!</v>
      </c>
      <c r="AG43" s="312"/>
    </row>
    <row r="44" spans="1:33">
      <c r="A44">
        <f t="shared" si="5"/>
        <v>2049</v>
      </c>
      <c r="B44" s="312">
        <f t="shared" ca="1" si="10"/>
        <v>4248781.4424440311</v>
      </c>
      <c r="C44" s="312">
        <f t="shared" ca="1" si="10"/>
        <v>1042141.1122026719</v>
      </c>
      <c r="D44" s="312">
        <f t="shared" ca="1" si="10"/>
        <v>14887.730174323884</v>
      </c>
      <c r="E44" s="312">
        <f t="shared" ca="1" si="10"/>
        <v>1640290.5038863502</v>
      </c>
      <c r="F44" s="312">
        <f t="shared" ca="1" si="10"/>
        <v>1580878.630017889</v>
      </c>
      <c r="G44" s="312">
        <f t="shared" ca="1" si="10"/>
        <v>1206246.6853363095</v>
      </c>
      <c r="H44" s="312">
        <f t="shared" ca="1" si="10"/>
        <v>533875.29191673861</v>
      </c>
      <c r="I44" s="312">
        <f t="shared" ca="1" si="10"/>
        <v>283611.25982087001</v>
      </c>
      <c r="J44" s="312">
        <f t="shared" ca="1" si="10"/>
        <v>162904.8588612818</v>
      </c>
      <c r="K44" s="312">
        <f t="shared" ca="1" si="10"/>
        <v>5037.6360801695519</v>
      </c>
      <c r="L44" s="312">
        <f t="shared" ca="1" si="10"/>
        <v>25321.675244514816</v>
      </c>
      <c r="M44" s="312">
        <f t="shared" ca="1" si="10"/>
        <v>48411.890389640022</v>
      </c>
      <c r="N44" s="312">
        <f t="shared" ca="1" si="10"/>
        <v>73559.747942435468</v>
      </c>
      <c r="O44" s="312">
        <f t="shared" ca="1" si="10"/>
        <v>699349.42542628758</v>
      </c>
      <c r="P44" s="312">
        <f t="shared" ca="1" si="10"/>
        <v>2653252.4562896597</v>
      </c>
      <c r="Q44" s="312">
        <f t="shared" ca="1" si="10"/>
        <v>9626429.9058348089</v>
      </c>
      <c r="R44" s="312">
        <f t="shared" ca="1" si="11"/>
        <v>8276195.0241392748</v>
      </c>
      <c r="S44" s="312">
        <f t="shared" ca="1" si="11"/>
        <v>2981660.64380163</v>
      </c>
      <c r="T44" s="312">
        <f t="shared" ca="1" si="11"/>
        <v>648649.56622989138</v>
      </c>
      <c r="U44" s="312">
        <f t="shared" ca="1" si="11"/>
        <v>59524.419347926443</v>
      </c>
      <c r="V44" s="312">
        <f t="shared" ca="1" si="11"/>
        <v>104890.23058209317</v>
      </c>
      <c r="W44" s="312">
        <f t="shared" ca="1" si="6"/>
        <v>0</v>
      </c>
      <c r="X44" s="312">
        <f t="shared" ca="1" si="6"/>
        <v>449905.95761288202</v>
      </c>
      <c r="Y44" s="312" t="e">
        <f t="shared" ca="1" si="6"/>
        <v>#REF!</v>
      </c>
      <c r="Z44" s="312" t="e">
        <f t="shared" ca="1" si="6"/>
        <v>#REF!</v>
      </c>
      <c r="AA44" s="312" t="e">
        <f t="shared" ca="1" si="9"/>
        <v>#REF!</v>
      </c>
      <c r="AB44" s="312" t="e">
        <f t="shared" ca="1" si="9"/>
        <v>#REF!</v>
      </c>
      <c r="AC44" s="312" t="e">
        <f t="shared" ca="1" si="9"/>
        <v>#REF!</v>
      </c>
      <c r="AD44" s="312" t="e">
        <f t="shared" ca="1" si="9"/>
        <v>#REF!</v>
      </c>
      <c r="AE44" s="312" t="e">
        <f t="shared" ca="1" si="9"/>
        <v>#REF!</v>
      </c>
      <c r="AF44" s="312" t="e">
        <f t="shared" ca="1" si="7"/>
        <v>#REF!</v>
      </c>
      <c r="AG44" s="312"/>
    </row>
    <row r="45" spans="1:33">
      <c r="A45">
        <f t="shared" si="5"/>
        <v>2050</v>
      </c>
      <c r="B45" s="312">
        <f t="shared" ca="1" si="10"/>
        <v>4489315.5599221941</v>
      </c>
      <c r="C45" s="312">
        <f t="shared" ca="1" si="10"/>
        <v>1101139.3205377159</v>
      </c>
      <c r="D45" s="312">
        <f t="shared" ca="1" si="10"/>
        <v>15730.56172196737</v>
      </c>
      <c r="E45" s="312">
        <f t="shared" ca="1" si="10"/>
        <v>1733151.4415704408</v>
      </c>
      <c r="F45" s="312">
        <f t="shared" ca="1" si="10"/>
        <v>1670376.1132992851</v>
      </c>
      <c r="G45" s="312">
        <f t="shared" ca="1" si="10"/>
        <v>1274535.3195832688</v>
      </c>
      <c r="H45" s="312">
        <f t="shared" ca="1" si="10"/>
        <v>568669.8140817408</v>
      </c>
      <c r="I45" s="312">
        <f t="shared" ca="1" si="10"/>
        <v>299667.20080347836</v>
      </c>
      <c r="J45" s="312">
        <f t="shared" ca="1" si="10"/>
        <v>172127.30934265166</v>
      </c>
      <c r="K45" s="312">
        <f t="shared" ca="1" si="10"/>
        <v>5322.8292267538845</v>
      </c>
      <c r="L45" s="312">
        <f t="shared" ca="1" si="10"/>
        <v>26770.822728221025</v>
      </c>
      <c r="M45" s="312">
        <f t="shared" ca="1" si="10"/>
        <v>51152.608284421462</v>
      </c>
      <c r="N45" s="312">
        <f t="shared" ca="1" si="10"/>
        <v>77724.148793111352</v>
      </c>
      <c r="O45" s="312">
        <f t="shared" ca="1" si="10"/>
        <v>738941.34116319322</v>
      </c>
      <c r="P45" s="312">
        <f t="shared" ca="1" si="10"/>
        <v>2860469.0500126695</v>
      </c>
      <c r="Q45" s="312">
        <f t="shared" ca="1" si="10"/>
        <v>10425691.272166956</v>
      </c>
      <c r="R45" s="312">
        <f t="shared" ca="1" si="11"/>
        <v>8744731.0722216628</v>
      </c>
      <c r="S45" s="312">
        <f t="shared" ca="1" si="11"/>
        <v>3175985.9083906673</v>
      </c>
      <c r="T45" s="312">
        <f t="shared" ca="1" si="11"/>
        <v>685371.23644975375</v>
      </c>
      <c r="U45" s="312">
        <f t="shared" ca="1" si="11"/>
        <v>62894.245230996021</v>
      </c>
      <c r="V45" s="312">
        <f t="shared" ca="1" si="11"/>
        <v>110893.90177610972</v>
      </c>
      <c r="W45" s="312">
        <f t="shared" ca="1" si="6"/>
        <v>0</v>
      </c>
      <c r="X45" s="312">
        <f t="shared" ca="1" si="6"/>
        <v>474755.36794988532</v>
      </c>
      <c r="Y45" s="312" t="e">
        <f t="shared" ca="1" si="6"/>
        <v>#REF!</v>
      </c>
      <c r="Z45" s="312" t="e">
        <f t="shared" ca="1" si="6"/>
        <v>#REF!</v>
      </c>
      <c r="AA45" s="312" t="e">
        <f t="shared" ca="1" si="9"/>
        <v>#REF!</v>
      </c>
      <c r="AB45" s="312" t="e">
        <f t="shared" ca="1" si="9"/>
        <v>#REF!</v>
      </c>
      <c r="AC45" s="312" t="e">
        <f t="shared" ca="1" si="9"/>
        <v>#REF!</v>
      </c>
      <c r="AD45" s="312" t="e">
        <f t="shared" ca="1" si="9"/>
        <v>#REF!</v>
      </c>
      <c r="AE45" s="312" t="e">
        <f t="shared" ca="1" si="9"/>
        <v>#REF!</v>
      </c>
      <c r="AF45" s="312" t="e">
        <f t="shared" ca="1" si="7"/>
        <v>#REF!</v>
      </c>
      <c r="AG45" s="312"/>
    </row>
    <row r="47" spans="1:33">
      <c r="B47" s="364">
        <f ca="1">COUNTIF(PortfolioDashboard!$AF$3:$BM$3,B4)</f>
        <v>0</v>
      </c>
      <c r="C47" s="364">
        <f ca="1">COUNTIF(PortfolioDashboard!$AF$3:$BM$3,C4)</f>
        <v>0</v>
      </c>
      <c r="D47" s="364">
        <f ca="1">COUNTIF(PortfolioDashboard!$AF$3:$BM$3,D4)</f>
        <v>1</v>
      </c>
      <c r="E47" s="364">
        <f ca="1">COUNTIF(PortfolioDashboard!$AF$3:$BM$3,E4)</f>
        <v>1</v>
      </c>
      <c r="F47" s="364">
        <f ca="1">COUNTIF(PortfolioDashboard!$AF$3:$BM$3,F4)</f>
        <v>1</v>
      </c>
      <c r="G47" s="364">
        <f ca="1">COUNTIF(PortfolioDashboard!$AF$3:$BM$3,G4)</f>
        <v>1</v>
      </c>
      <c r="H47" s="364">
        <f ca="1">COUNTIF(PortfolioDashboard!$AF$3:$BM$3,H4)</f>
        <v>1</v>
      </c>
      <c r="I47" s="364">
        <f ca="1">COUNTIF(PortfolioDashboard!$AF$3:$BM$3,I4)</f>
        <v>0</v>
      </c>
      <c r="J47" s="364">
        <f ca="1">COUNTIF(PortfolioDashboard!$AF$3:$BM$3,J4)</f>
        <v>1</v>
      </c>
      <c r="K47" s="364">
        <f ca="1">COUNTIF(PortfolioDashboard!$AF$3:$BM$3,K4)</f>
        <v>1</v>
      </c>
      <c r="L47" s="364">
        <f ca="1">COUNTIF(PortfolioDashboard!$AF$3:$BM$3,L4)</f>
        <v>1</v>
      </c>
      <c r="M47" s="364">
        <f ca="1">COUNTIF(PortfolioDashboard!$AF$3:$BM$3,M4)</f>
        <v>0</v>
      </c>
      <c r="N47" s="364">
        <f ca="1">COUNTIF(PortfolioDashboard!$AF$3:$BM$3,N4)</f>
        <v>0</v>
      </c>
      <c r="O47" s="364">
        <f ca="1">COUNTIF(PortfolioDashboard!$AF$3:$BM$3,O4)</f>
        <v>1</v>
      </c>
      <c r="P47" s="364">
        <f ca="1">COUNTIF(PortfolioDashboard!$AF$3:$BM$3,P4)</f>
        <v>1</v>
      </c>
      <c r="Q47" s="364">
        <f ca="1">COUNTIF(PortfolioDashboard!$AF$3:$BM$3,Q4)</f>
        <v>1</v>
      </c>
      <c r="R47" s="364">
        <f ca="1">COUNTIF(PortfolioDashboard!$AF$3:$BM$3,R4)</f>
        <v>0</v>
      </c>
      <c r="S47" s="364">
        <f ca="1">COUNTIF(PortfolioDashboard!$AF$3:$BM$3,S4)</f>
        <v>1</v>
      </c>
      <c r="T47" s="364">
        <f ca="1">COUNTIF(PortfolioDashboard!$AF$3:$BM$3,T4)</f>
        <v>1</v>
      </c>
      <c r="U47" s="364">
        <f ca="1">COUNTIF(PortfolioDashboard!$AF$3:$BM$3,U4)</f>
        <v>1</v>
      </c>
      <c r="V47" s="364">
        <f ca="1">COUNTIF(PortfolioDashboard!$AF$3:$BM$3,V4)</f>
        <v>1</v>
      </c>
      <c r="W47" s="364">
        <f ca="1">COUNTIF(PortfolioDashboard!$AF$3:$BM$3,W4)</f>
        <v>1</v>
      </c>
      <c r="X47" s="364">
        <f ca="1">COUNTIF(PortfolioDashboard!$AF$3:$BM$3,X4)</f>
        <v>1</v>
      </c>
      <c r="Y47" s="364">
        <f ca="1">COUNTIF(PortfolioDashboard!$AF$3:$BM$3,Y4)</f>
        <v>0</v>
      </c>
      <c r="Z47" s="364">
        <f ca="1">COUNTIF(PortfolioDashboard!$AF$3:$BM$3,Z4)</f>
        <v>0</v>
      </c>
      <c r="AA47" s="364">
        <f ca="1">COUNTIF(PortfolioDashboard!$AF$3:$BM$3,AA4)</f>
        <v>0</v>
      </c>
      <c r="AB47" s="364">
        <f ca="1">COUNTIF(PortfolioDashboard!$AF$3:$BM$3,AB4)</f>
        <v>0</v>
      </c>
      <c r="AC47" s="364">
        <f ca="1">COUNTIF(PortfolioDashboard!$AF$3:$BM$3,AC4)</f>
        <v>0</v>
      </c>
      <c r="AD47" s="364">
        <f ca="1">COUNTIF(PortfolioDashboard!$AF$3:$BM$3,AD4)</f>
        <v>0</v>
      </c>
      <c r="AE47" s="364">
        <f ca="1">COUNTIF(PortfolioDashboard!$AF$3:$BM$3,AE4)</f>
        <v>0</v>
      </c>
      <c r="AF47" s="364">
        <f ca="1">COUNTIF(PortfolioDashboard!$AF$3:$BM$3,AF4)</f>
        <v>0</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sheetPr codeName="Sheet104"/>
  <dimension ref="A1:AG45"/>
  <sheetViews>
    <sheetView topLeftCell="O1" workbookViewId="0">
      <selection activeCell="Q7" sqref="Q7"/>
    </sheetView>
  </sheetViews>
  <sheetFormatPr defaultRowHeight="15"/>
  <cols>
    <col min="1" max="1" width="18.42578125" bestFit="1" customWidth="1"/>
    <col min="2" max="26" width="11.7109375" customWidth="1"/>
  </cols>
  <sheetData>
    <row r="1" spans="1:33">
      <c r="B1" s="322" t="s">
        <v>298</v>
      </c>
      <c r="C1">
        <v>18</v>
      </c>
      <c r="E1" t="s">
        <v>386</v>
      </c>
    </row>
    <row r="2" spans="1:33">
      <c r="B2" s="322" t="s">
        <v>299</v>
      </c>
      <c r="C2">
        <v>10</v>
      </c>
      <c r="D2">
        <v>7</v>
      </c>
    </row>
    <row r="3" spans="1:33" ht="29.25" customHeight="1">
      <c r="A3" s="372" t="s">
        <v>284</v>
      </c>
      <c r="B3" s="264" t="str">
        <f ca="1">OFFSET(Control!$A$5,COLUMN(A3)-1,0)</f>
        <v>GreenPwr1</v>
      </c>
      <c r="C3" s="264" t="str">
        <f ca="1">OFFSET(Control!$A$5,COLUMN(B3)-1,0)</f>
        <v>GreenPwr2</v>
      </c>
      <c r="D3" s="264" t="str">
        <f ca="1">OFFSET(Control!$A$5,COLUMN(C3)-1,0)</f>
        <v>Wind</v>
      </c>
      <c r="E3" s="264" t="str">
        <f ca="1">OFFSET(Control!$A$5,COLUMN(D3)-1,0)</f>
        <v>ShortECM</v>
      </c>
      <c r="F3" s="264" t="str">
        <f ca="1">OFFSET(Control!$A$5,COLUMN(E3)-1,0)</f>
        <v>MidECM</v>
      </c>
      <c r="G3" s="264" t="str">
        <f ca="1">OFFSET(Control!$A$5,COLUMN(F3)-1,0)</f>
        <v>LongECM</v>
      </c>
      <c r="H3" s="264" t="str">
        <f ca="1">OFFSET(Control!$A$5,COLUMN(G3)-1,0)</f>
        <v>SteamLineImp</v>
      </c>
      <c r="I3" s="264" t="str">
        <f ca="1">OFFSET(Control!$A$5,COLUMN(H3)-1,0)</f>
        <v>UnitaryChiller</v>
      </c>
      <c r="J3" s="264" t="str">
        <f ca="1">OFFSET(Control!$A$5,COLUMN(I3)-1,0)</f>
        <v>GeoExchange</v>
      </c>
      <c r="K3" s="264" t="str">
        <f ca="1">OFFSET(Control!$A$5,COLUMN(J3)-1,0)</f>
        <v>SolarDHW</v>
      </c>
      <c r="L3" s="264" t="str">
        <f ca="1">OFFSET(Control!$A$5,COLUMN(K3)-1,0)</f>
        <v>WasteReduction</v>
      </c>
      <c r="M3" s="264" t="str">
        <f ca="1">OFFSET(Control!$A$5,COLUMN(L3)-1,0)</f>
        <v>DishStirling</v>
      </c>
      <c r="N3" s="264" t="str">
        <f ca="1">OFFSET(Control!$A$5,COLUMN(M3)-1,0)</f>
        <v>Parabolic</v>
      </c>
      <c r="O3" s="264" t="str">
        <f ca="1">OFFSET(Control!$A$5,COLUMN(N3)-1,0)</f>
        <v>GreenIT</v>
      </c>
      <c r="P3" s="264" t="str">
        <f ca="1">OFFSET(Control!$A$5,COLUMN(O3)-1,0)</f>
        <v>GreenBuild</v>
      </c>
      <c r="Q3" s="264" t="str">
        <f ca="1">OFFSET(Control!$A$5,COLUMN(P3)-1,0)</f>
        <v>SpacePlanning</v>
      </c>
      <c r="R3" s="264" t="str">
        <f ca="1">OFFSET(Control!$A$5,COLUMN(Q3)-1,0)</f>
        <v>CHP</v>
      </c>
      <c r="S3" s="264" t="str">
        <f ca="1">OFFSET(Control!$A$5,COLUMN(R3)-1,0)</f>
        <v>CoalToNG</v>
      </c>
      <c r="T3" s="264" t="str">
        <f ca="1">OFFSET(Control!$A$5,COLUMN(S3)-1,0)</f>
        <v>CentralChillerExp</v>
      </c>
      <c r="U3" s="264" t="str">
        <f ca="1">OFFSET(Control!$A$5,COLUMN(T3)-1,0)</f>
        <v>RooftopPV</v>
      </c>
      <c r="V3" s="264" t="str">
        <f ca="1">OFFSET(Control!$A$5,COLUMN(U3)-1,0)</f>
        <v>ReducedAir</v>
      </c>
      <c r="W3" s="264" t="str">
        <f ca="1">OFFSET(Control!$A$5,COLUMN(V3)-1,0)</f>
        <v>ReducedAuto</v>
      </c>
      <c r="X3" s="264" t="str">
        <f ca="1">OFFSET(Control!$A$5,COLUMN(W3)-1,0)</f>
        <v>BehaviorChange</v>
      </c>
      <c r="Y3" s="264">
        <f ca="1">OFFSET(Control!$A$5,COLUMN(X3)-1,0)</f>
        <v>0</v>
      </c>
      <c r="Z3" s="264">
        <f ca="1">OFFSET(Control!$A$5,COLUMN(Y3)-1,0)</f>
        <v>0</v>
      </c>
      <c r="AA3" s="264">
        <f ca="1">OFFSET(Control!$A$5,COLUMN(Z3)-1,0)</f>
        <v>0</v>
      </c>
      <c r="AB3" s="264">
        <f ca="1">OFFSET(Control!$A$5,COLUMN(AA3)-1,0)</f>
        <v>0</v>
      </c>
      <c r="AC3" s="264">
        <f ca="1">OFFSET(Control!$A$5,COLUMN(AB3)-1,0)</f>
        <v>0</v>
      </c>
      <c r="AD3" s="264">
        <f ca="1">OFFSET(Control!$A$5,COLUMN(AC3)-1,0)</f>
        <v>0</v>
      </c>
      <c r="AE3" s="264">
        <f ca="1">OFFSET(Control!$A$5,COLUMN(AD3)-1,0)</f>
        <v>0</v>
      </c>
      <c r="AF3" s="264">
        <f ca="1">OFFSET(Control!$A$5,COLUMN(AE3)-1,0)</f>
        <v>0</v>
      </c>
      <c r="AG3" s="264">
        <f ca="1">OFFSET(Control!$A$5,COLUMN(AF3)-1,0)</f>
        <v>0</v>
      </c>
    </row>
    <row r="4" spans="1:33" ht="29.25" customHeight="1">
      <c r="A4" s="354" t="s">
        <v>60</v>
      </c>
      <c r="B4" s="264" t="str">
        <f ca="1">INDIRECT(B3)</f>
        <v>Green Power Purchase Opt 1 (Partial)</v>
      </c>
      <c r="C4" s="264" t="str">
        <f t="shared" ref="C4:AG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t="shared" ca="1" si="0"/>
        <v>#REF!</v>
      </c>
      <c r="AG4" s="264" t="e">
        <f t="shared" ca="1" si="0"/>
        <v>#REF!</v>
      </c>
    </row>
    <row r="5" spans="1:33">
      <c r="A5">
        <v>2010</v>
      </c>
      <c r="B5" s="123">
        <f ca="1">OFFSET(INDIRECT(B$3),$A5-$A$5+$C$1,$C$2)-OFFSET(INDIRECT(B$3),$A5-$A$5+$C$1,$D$2)+OFFSET(INDIRECT(B$3),$A5-$A$5+$C$1,0)</f>
        <v>0</v>
      </c>
      <c r="C5" s="123">
        <f t="shared" ref="C5:AF13" ca="1" si="1">OFFSET(INDIRECT(C$3),$A5-$A$5+$C$1,$C$2)-OFFSET(INDIRECT(C$3),$A5-$A$5+$C$1,$D$2)+OFFSET(INDIRECT(C$3),$A5-$A$5+$C$1,0)</f>
        <v>0</v>
      </c>
      <c r="D5" s="123">
        <f t="shared" ca="1" si="1"/>
        <v>0</v>
      </c>
      <c r="E5" s="123">
        <f t="shared" ca="1" si="1"/>
        <v>0</v>
      </c>
      <c r="F5" s="123">
        <f t="shared" ca="1" si="1"/>
        <v>0</v>
      </c>
      <c r="G5" s="123">
        <f t="shared" ca="1" si="1"/>
        <v>0</v>
      </c>
      <c r="H5" s="123">
        <f t="shared" ca="1" si="1"/>
        <v>0</v>
      </c>
      <c r="I5" s="123">
        <f t="shared" ca="1" si="1"/>
        <v>0</v>
      </c>
      <c r="J5" s="123">
        <f t="shared" ca="1" si="1"/>
        <v>0</v>
      </c>
      <c r="K5" s="123">
        <f t="shared" ca="1" si="1"/>
        <v>0</v>
      </c>
      <c r="L5" s="123">
        <f t="shared" ca="1" si="1"/>
        <v>0</v>
      </c>
      <c r="M5" s="123">
        <f t="shared" ca="1" si="1"/>
        <v>0</v>
      </c>
      <c r="N5" s="123">
        <f t="shared" ca="1" si="1"/>
        <v>0</v>
      </c>
      <c r="O5" s="123">
        <f t="shared" ca="1" si="1"/>
        <v>0</v>
      </c>
      <c r="P5" s="123">
        <f t="shared" ca="1" si="1"/>
        <v>0</v>
      </c>
      <c r="Q5" s="123">
        <f t="shared" ca="1" si="1"/>
        <v>-1388.6449674916055</v>
      </c>
      <c r="R5" s="123">
        <f t="shared" ca="1" si="1"/>
        <v>0</v>
      </c>
      <c r="S5" s="123">
        <f t="shared" ca="1" si="1"/>
        <v>0</v>
      </c>
      <c r="T5" s="123">
        <f t="shared" ca="1" si="1"/>
        <v>0</v>
      </c>
      <c r="U5" s="123">
        <f t="shared" ca="1" si="1"/>
        <v>0</v>
      </c>
      <c r="V5" s="123">
        <f t="shared" ca="1" si="1"/>
        <v>0</v>
      </c>
      <c r="W5" s="123">
        <f t="shared" ca="1" si="1"/>
        <v>0</v>
      </c>
      <c r="X5" s="123">
        <f t="shared" ca="1" si="1"/>
        <v>0</v>
      </c>
      <c r="Y5" s="123" t="e">
        <f t="shared" ca="1" si="1"/>
        <v>#REF!</v>
      </c>
      <c r="Z5" s="123" t="e">
        <f t="shared" ca="1" si="1"/>
        <v>#REF!</v>
      </c>
      <c r="AA5" s="123" t="e">
        <f t="shared" ca="1" si="1"/>
        <v>#REF!</v>
      </c>
      <c r="AB5" s="123" t="e">
        <f t="shared" ca="1" si="1"/>
        <v>#REF!</v>
      </c>
      <c r="AC5" s="123" t="e">
        <f t="shared" ca="1" si="1"/>
        <v>#REF!</v>
      </c>
      <c r="AD5" s="123" t="e">
        <f t="shared" ca="1" si="1"/>
        <v>#REF!</v>
      </c>
      <c r="AE5" s="123" t="e">
        <f t="shared" ca="1" si="1"/>
        <v>#REF!</v>
      </c>
      <c r="AF5" s="123" t="e">
        <f t="shared" ca="1" si="1"/>
        <v>#REF!</v>
      </c>
      <c r="AG5" s="312"/>
    </row>
    <row r="6" spans="1:33">
      <c r="A6">
        <f>A5+1</f>
        <v>2011</v>
      </c>
      <c r="B6" s="123">
        <f t="shared" ref="B6:Q29" ca="1" si="2">OFFSET(INDIRECT(B$3),$A6-$A$5+$C$1,$C$2)-OFFSET(INDIRECT(B$3),$A6-$A$5+$C$1,$D$2)+OFFSET(INDIRECT(B$3),$A6-$A$5+$C$1,0)</f>
        <v>-50000</v>
      </c>
      <c r="C6" s="123">
        <f t="shared" ca="1" si="1"/>
        <v>0</v>
      </c>
      <c r="D6" s="123">
        <f t="shared" ca="1" si="1"/>
        <v>-175.19999999999709</v>
      </c>
      <c r="E6" s="123">
        <f t="shared" ca="1" si="1"/>
        <v>-1316.4</v>
      </c>
      <c r="F6" s="123">
        <f t="shared" ca="1" si="1"/>
        <v>0</v>
      </c>
      <c r="G6" s="123">
        <f t="shared" ca="1" si="1"/>
        <v>0</v>
      </c>
      <c r="H6" s="123">
        <f t="shared" ca="1" si="1"/>
        <v>0</v>
      </c>
      <c r="I6" s="123">
        <f t="shared" ca="1" si="1"/>
        <v>0</v>
      </c>
      <c r="J6" s="123">
        <f t="shared" ca="1" si="1"/>
        <v>0</v>
      </c>
      <c r="K6" s="123">
        <f t="shared" ca="1" si="1"/>
        <v>0</v>
      </c>
      <c r="L6" s="123">
        <f t="shared" ca="1" si="1"/>
        <v>0</v>
      </c>
      <c r="M6" s="123">
        <f t="shared" ca="1" si="1"/>
        <v>0</v>
      </c>
      <c r="N6" s="123">
        <f t="shared" ca="1" si="1"/>
        <v>0</v>
      </c>
      <c r="O6" s="123">
        <f t="shared" ca="1" si="1"/>
        <v>0</v>
      </c>
      <c r="P6" s="123">
        <f t="shared" ca="1" si="1"/>
        <v>-517.2011600986034</v>
      </c>
      <c r="Q6" s="123">
        <f t="shared" ca="1" si="1"/>
        <v>-2777.2899349831932</v>
      </c>
      <c r="R6" s="123">
        <f t="shared" ca="1" si="1"/>
        <v>0</v>
      </c>
      <c r="S6" s="123">
        <f t="shared" ca="1" si="1"/>
        <v>0</v>
      </c>
      <c r="T6" s="123">
        <f t="shared" ca="1" si="1"/>
        <v>0</v>
      </c>
      <c r="U6" s="123">
        <f t="shared" ca="1" si="1"/>
        <v>0</v>
      </c>
      <c r="V6" s="123">
        <f t="shared" ca="1" si="1"/>
        <v>0</v>
      </c>
      <c r="W6" s="123">
        <f t="shared" ca="1" si="1"/>
        <v>0</v>
      </c>
      <c r="X6" s="123">
        <f t="shared" ca="1" si="1"/>
        <v>0</v>
      </c>
      <c r="Y6" s="123" t="e">
        <f t="shared" ca="1" si="1"/>
        <v>#REF!</v>
      </c>
      <c r="Z6" s="123" t="e">
        <f t="shared" ca="1" si="1"/>
        <v>#REF!</v>
      </c>
      <c r="AA6" s="123" t="e">
        <f t="shared" ca="1" si="1"/>
        <v>#REF!</v>
      </c>
      <c r="AB6" s="123" t="e">
        <f t="shared" ca="1" si="1"/>
        <v>#REF!</v>
      </c>
      <c r="AC6" s="123" t="e">
        <f t="shared" ca="1" si="1"/>
        <v>#REF!</v>
      </c>
      <c r="AD6" s="123" t="e">
        <f t="shared" ca="1" si="1"/>
        <v>#REF!</v>
      </c>
      <c r="AE6" s="123" t="e">
        <f t="shared" ca="1" si="1"/>
        <v>#REF!</v>
      </c>
      <c r="AF6" s="123" t="e">
        <f t="shared" ca="1" si="1"/>
        <v>#REF!</v>
      </c>
      <c r="AG6" s="312"/>
    </row>
    <row r="7" spans="1:33">
      <c r="A7">
        <f t="shared" ref="A7:A45" si="3">A6+1</f>
        <v>2012</v>
      </c>
      <c r="B7" s="123">
        <f ca="1">OFFSET(INDIRECT(B$3),$A7-$A$5+$C$1,$C$2)-OFFSET(INDIRECT(B$3),$A7-$A$5+$C$1,$D$2)+OFFSET(INDIRECT(B$3),$A7-$A$5+$C$1,0)</f>
        <v>-50000</v>
      </c>
      <c r="C7" s="123">
        <f t="shared" ca="1" si="1"/>
        <v>0</v>
      </c>
      <c r="D7" s="123">
        <f t="shared" ca="1" si="1"/>
        <v>-175.20000000001164</v>
      </c>
      <c r="E7" s="123">
        <f t="shared" ca="1" si="1"/>
        <v>-2632.8</v>
      </c>
      <c r="F7" s="123">
        <f t="shared" ca="1" si="1"/>
        <v>0</v>
      </c>
      <c r="G7" s="123">
        <f t="shared" ca="1" si="1"/>
        <v>0</v>
      </c>
      <c r="H7" s="123">
        <f t="shared" ca="1" si="1"/>
        <v>0</v>
      </c>
      <c r="I7" s="123">
        <f t="shared" ca="1" si="1"/>
        <v>-1287.7200000000012</v>
      </c>
      <c r="J7" s="123">
        <f t="shared" ca="1" si="1"/>
        <v>0</v>
      </c>
      <c r="K7" s="123">
        <f t="shared" ca="1" si="1"/>
        <v>0</v>
      </c>
      <c r="L7" s="123">
        <f t="shared" ca="1" si="1"/>
        <v>0</v>
      </c>
      <c r="M7" s="123">
        <f t="shared" ca="1" si="1"/>
        <v>0</v>
      </c>
      <c r="N7" s="123">
        <f t="shared" ca="1" si="1"/>
        <v>0</v>
      </c>
      <c r="O7" s="123">
        <f t="shared" ca="1" si="1"/>
        <v>-2743.3333333333335</v>
      </c>
      <c r="P7" s="123">
        <f t="shared" ca="1" si="1"/>
        <v>-2274.4409565709784</v>
      </c>
      <c r="Q7" s="123">
        <f t="shared" ca="1" si="1"/>
        <v>-4165.9349024747989</v>
      </c>
      <c r="R7" s="123">
        <f t="shared" ca="1" si="1"/>
        <v>0</v>
      </c>
      <c r="S7" s="123">
        <f t="shared" ca="1" si="1"/>
        <v>0</v>
      </c>
      <c r="T7" s="123">
        <f t="shared" ca="1" si="1"/>
        <v>-7702.2960000000003</v>
      </c>
      <c r="U7" s="123">
        <f t="shared" ca="1" si="1"/>
        <v>0</v>
      </c>
      <c r="V7" s="123">
        <f t="shared" ca="1" si="1"/>
        <v>0</v>
      </c>
      <c r="W7" s="123">
        <f t="shared" ca="1" si="1"/>
        <v>0</v>
      </c>
      <c r="X7" s="123">
        <f t="shared" ca="1" si="1"/>
        <v>-623.76096058991095</v>
      </c>
      <c r="Y7" s="123" t="e">
        <f t="shared" ca="1" si="1"/>
        <v>#REF!</v>
      </c>
      <c r="Z7" s="123" t="e">
        <f t="shared" ca="1" si="1"/>
        <v>#REF!</v>
      </c>
      <c r="AA7" s="123" t="e">
        <f t="shared" ca="1" si="1"/>
        <v>#REF!</v>
      </c>
      <c r="AB7" s="123" t="e">
        <f t="shared" ca="1" si="1"/>
        <v>#REF!</v>
      </c>
      <c r="AC7" s="123" t="e">
        <f t="shared" ca="1" si="1"/>
        <v>#REF!</v>
      </c>
      <c r="AD7" s="123" t="e">
        <f t="shared" ca="1" si="1"/>
        <v>#REF!</v>
      </c>
      <c r="AE7" s="123" t="e">
        <f t="shared" ca="1" si="1"/>
        <v>#REF!</v>
      </c>
      <c r="AF7" s="123" t="e">
        <f t="shared" ca="1" si="1"/>
        <v>#REF!</v>
      </c>
      <c r="AG7" s="312"/>
    </row>
    <row r="8" spans="1:33">
      <c r="A8">
        <f t="shared" si="3"/>
        <v>2013</v>
      </c>
      <c r="B8" s="123">
        <f t="shared" ca="1" si="2"/>
        <v>-50000</v>
      </c>
      <c r="C8" s="123">
        <f t="shared" ca="1" si="1"/>
        <v>0</v>
      </c>
      <c r="D8" s="123">
        <f t="shared" ca="1" si="1"/>
        <v>-175.20000000001164</v>
      </c>
      <c r="E8" s="123">
        <f t="shared" ca="1" si="1"/>
        <v>-3949.2000000000003</v>
      </c>
      <c r="F8" s="123">
        <f t="shared" ca="1" si="1"/>
        <v>0</v>
      </c>
      <c r="G8" s="123">
        <f t="shared" ca="1" si="1"/>
        <v>0</v>
      </c>
      <c r="H8" s="123">
        <f t="shared" ca="1" si="1"/>
        <v>0</v>
      </c>
      <c r="I8" s="123">
        <f t="shared" ca="1" si="1"/>
        <v>-2746.2600000000093</v>
      </c>
      <c r="J8" s="123">
        <f t="shared" ca="1" si="1"/>
        <v>518.29999999998836</v>
      </c>
      <c r="K8" s="123">
        <f t="shared" ca="1" si="1"/>
        <v>0</v>
      </c>
      <c r="L8" s="123">
        <f t="shared" ca="1" si="1"/>
        <v>0</v>
      </c>
      <c r="M8" s="123">
        <f t="shared" ca="1" si="1"/>
        <v>0</v>
      </c>
      <c r="N8" s="123">
        <f t="shared" ca="1" si="1"/>
        <v>0</v>
      </c>
      <c r="O8" s="123">
        <f t="shared" ca="1" si="1"/>
        <v>-5486.666666666667</v>
      </c>
      <c r="P8" s="123">
        <f t="shared" ca="1" si="1"/>
        <v>-2963.2161338192936</v>
      </c>
      <c r="Q8" s="123">
        <f t="shared" ca="1" si="1"/>
        <v>-5554.5798699663865</v>
      </c>
      <c r="R8" s="123">
        <f t="shared" ca="1" si="1"/>
        <v>0</v>
      </c>
      <c r="S8" s="123">
        <f t="shared" ca="1" si="1"/>
        <v>0</v>
      </c>
      <c r="T8" s="123">
        <f t="shared" ca="1" si="1"/>
        <v>-7916.2439999999997</v>
      </c>
      <c r="U8" s="123">
        <f t="shared" ca="1" si="1"/>
        <v>0</v>
      </c>
      <c r="V8" s="123">
        <f t="shared" ca="1" si="1"/>
        <v>0</v>
      </c>
      <c r="W8" s="123">
        <f t="shared" ca="1" si="1"/>
        <v>0</v>
      </c>
      <c r="X8" s="123">
        <f t="shared" ca="1" si="1"/>
        <v>-1235.1303802167765</v>
      </c>
      <c r="Y8" s="123" t="e">
        <f t="shared" ca="1" si="1"/>
        <v>#REF!</v>
      </c>
      <c r="Z8" s="123" t="e">
        <f t="shared" ca="1" si="1"/>
        <v>#REF!</v>
      </c>
      <c r="AA8" s="123" t="e">
        <f t="shared" ca="1" si="1"/>
        <v>#REF!</v>
      </c>
      <c r="AB8" s="123" t="e">
        <f t="shared" ca="1" si="1"/>
        <v>#REF!</v>
      </c>
      <c r="AC8" s="123" t="e">
        <f t="shared" ca="1" si="1"/>
        <v>#REF!</v>
      </c>
      <c r="AD8" s="123" t="e">
        <f t="shared" ca="1" si="1"/>
        <v>#REF!</v>
      </c>
      <c r="AE8" s="123" t="e">
        <f t="shared" ca="1" si="1"/>
        <v>#REF!</v>
      </c>
      <c r="AF8" s="123" t="e">
        <f t="shared" ca="1" si="1"/>
        <v>#REF!</v>
      </c>
      <c r="AG8" s="312"/>
    </row>
    <row r="9" spans="1:33">
      <c r="A9">
        <f t="shared" si="3"/>
        <v>2014</v>
      </c>
      <c r="B9" s="123">
        <f t="shared" ca="1" si="2"/>
        <v>-50000</v>
      </c>
      <c r="C9" s="123">
        <f t="shared" ca="1" si="1"/>
        <v>-3066</v>
      </c>
      <c r="D9" s="123">
        <f t="shared" ca="1" si="1"/>
        <v>-175.20000000001164</v>
      </c>
      <c r="E9" s="123">
        <f t="shared" ca="1" si="1"/>
        <v>-5265.6</v>
      </c>
      <c r="F9" s="123">
        <f t="shared" ca="1" si="1"/>
        <v>0</v>
      </c>
      <c r="G9" s="123">
        <f t="shared" ca="1" si="1"/>
        <v>0</v>
      </c>
      <c r="H9" s="123">
        <f t="shared" ca="1" si="1"/>
        <v>0</v>
      </c>
      <c r="I9" s="123">
        <f t="shared" ca="1" si="1"/>
        <v>-3337.5599999999977</v>
      </c>
      <c r="J9" s="123">
        <f t="shared" ca="1" si="1"/>
        <v>518.29999999998836</v>
      </c>
      <c r="K9" s="123">
        <f t="shared" ca="1" si="1"/>
        <v>0</v>
      </c>
      <c r="L9" s="123">
        <f t="shared" ca="1" si="1"/>
        <v>0</v>
      </c>
      <c r="M9" s="123">
        <f t="shared" ca="1" si="1"/>
        <v>0</v>
      </c>
      <c r="N9" s="123">
        <f t="shared" ca="1" si="1"/>
        <v>0</v>
      </c>
      <c r="O9" s="123">
        <f t="shared" ca="1" si="1"/>
        <v>-8230</v>
      </c>
      <c r="P9" s="123">
        <f t="shared" ca="1" si="1"/>
        <v>-3246.2836344032548</v>
      </c>
      <c r="Q9" s="123">
        <f t="shared" ca="1" si="1"/>
        <v>-6943.2248374579913</v>
      </c>
      <c r="R9" s="123">
        <f t="shared" ca="1" si="1"/>
        <v>0</v>
      </c>
      <c r="S9" s="123">
        <f t="shared" ca="1" si="1"/>
        <v>0</v>
      </c>
      <c r="T9" s="123">
        <f t="shared" ca="1" si="1"/>
        <v>-14239.791999999999</v>
      </c>
      <c r="U9" s="123">
        <f t="shared" ca="1" si="1"/>
        <v>0</v>
      </c>
      <c r="V9" s="123">
        <f t="shared" ca="1" si="1"/>
        <v>0</v>
      </c>
      <c r="W9" s="123">
        <f t="shared" ca="1" si="1"/>
        <v>0</v>
      </c>
      <c r="X9" s="123">
        <f t="shared" ca="1" si="1"/>
        <v>-1831.5232673168114</v>
      </c>
      <c r="Y9" s="123" t="e">
        <f t="shared" ca="1" si="1"/>
        <v>#REF!</v>
      </c>
      <c r="Z9" s="123" t="e">
        <f t="shared" ca="1" si="1"/>
        <v>#REF!</v>
      </c>
      <c r="AA9" s="123" t="e">
        <f t="shared" ca="1" si="1"/>
        <v>#REF!</v>
      </c>
      <c r="AB9" s="123" t="e">
        <f t="shared" ca="1" si="1"/>
        <v>#REF!</v>
      </c>
      <c r="AC9" s="123" t="e">
        <f t="shared" ca="1" si="1"/>
        <v>#REF!</v>
      </c>
      <c r="AD9" s="123" t="e">
        <f t="shared" ca="1" si="1"/>
        <v>#REF!</v>
      </c>
      <c r="AE9" s="123" t="e">
        <f t="shared" ca="1" si="1"/>
        <v>#REF!</v>
      </c>
      <c r="AF9" s="123" t="e">
        <f t="shared" ca="1" si="1"/>
        <v>#REF!</v>
      </c>
      <c r="AG9" s="312"/>
    </row>
    <row r="10" spans="1:33">
      <c r="A10">
        <f t="shared" si="3"/>
        <v>2015</v>
      </c>
      <c r="B10" s="123">
        <f t="shared" ca="1" si="2"/>
        <v>-50000</v>
      </c>
      <c r="C10" s="123">
        <f t="shared" ca="1" si="1"/>
        <v>-3066</v>
      </c>
      <c r="D10" s="123">
        <f t="shared" ca="1" si="1"/>
        <v>-175.20000000001164</v>
      </c>
      <c r="E10" s="123">
        <f t="shared" ca="1" si="1"/>
        <v>-6582</v>
      </c>
      <c r="F10" s="123">
        <f t="shared" ca="1" si="1"/>
        <v>0</v>
      </c>
      <c r="G10" s="123">
        <f t="shared" ca="1" si="1"/>
        <v>0</v>
      </c>
      <c r="H10" s="123">
        <f t="shared" ca="1" si="1"/>
        <v>0</v>
      </c>
      <c r="I10" s="123">
        <f t="shared" ca="1" si="1"/>
        <v>-3337.5599999999977</v>
      </c>
      <c r="J10" s="123">
        <f t="shared" ca="1" si="1"/>
        <v>1036.6000000000058</v>
      </c>
      <c r="K10" s="123">
        <f t="shared" ca="1" si="1"/>
        <v>0</v>
      </c>
      <c r="L10" s="123">
        <f t="shared" ca="1" si="1"/>
        <v>0</v>
      </c>
      <c r="M10" s="123">
        <f t="shared" ca="1" si="1"/>
        <v>0</v>
      </c>
      <c r="N10" s="123">
        <f t="shared" ca="1" si="1"/>
        <v>0</v>
      </c>
      <c r="O10" s="123">
        <f t="shared" ca="1" si="1"/>
        <v>-8230</v>
      </c>
      <c r="P10" s="123">
        <f t="shared" ca="1" si="1"/>
        <v>-4644.486832664943</v>
      </c>
      <c r="Q10" s="123">
        <f t="shared" ca="1" si="1"/>
        <v>-8331.8698049495979</v>
      </c>
      <c r="R10" s="123">
        <f t="shared" ca="1" si="1"/>
        <v>0</v>
      </c>
      <c r="S10" s="123">
        <f t="shared" ca="1" si="1"/>
        <v>0</v>
      </c>
      <c r="T10" s="123">
        <f t="shared" ca="1" si="1"/>
        <v>-14453.74</v>
      </c>
      <c r="U10" s="123">
        <f t="shared" ca="1" si="1"/>
        <v>-700.48813000001246</v>
      </c>
      <c r="V10" s="123">
        <f t="shared" ca="1" si="1"/>
        <v>0</v>
      </c>
      <c r="W10" s="123">
        <f t="shared" ca="1" si="1"/>
        <v>0</v>
      </c>
      <c r="X10" s="123">
        <f t="shared" ca="1" si="1"/>
        <v>-2422.3273956621674</v>
      </c>
      <c r="Y10" s="123" t="e">
        <f t="shared" ca="1" si="1"/>
        <v>#REF!</v>
      </c>
      <c r="Z10" s="123" t="e">
        <f t="shared" ca="1" si="1"/>
        <v>#REF!</v>
      </c>
      <c r="AA10" s="123" t="e">
        <f t="shared" ca="1" si="1"/>
        <v>#REF!</v>
      </c>
      <c r="AB10" s="123" t="e">
        <f t="shared" ca="1" si="1"/>
        <v>#REF!</v>
      </c>
      <c r="AC10" s="123" t="e">
        <f t="shared" ca="1" si="1"/>
        <v>#REF!</v>
      </c>
      <c r="AD10" s="123" t="e">
        <f t="shared" ca="1" si="1"/>
        <v>#REF!</v>
      </c>
      <c r="AE10" s="123" t="e">
        <f t="shared" ca="1" si="1"/>
        <v>#REF!</v>
      </c>
      <c r="AF10" s="123" t="e">
        <f t="shared" ca="1" si="1"/>
        <v>#REF!</v>
      </c>
      <c r="AG10" s="312"/>
    </row>
    <row r="11" spans="1:33">
      <c r="A11">
        <f t="shared" si="3"/>
        <v>2016</v>
      </c>
      <c r="B11" s="123">
        <f t="shared" ca="1" si="2"/>
        <v>-50000</v>
      </c>
      <c r="C11" s="123">
        <f t="shared" ca="1" si="1"/>
        <v>-3066</v>
      </c>
      <c r="D11" s="123">
        <f t="shared" ca="1" si="1"/>
        <v>-175.20000000001164</v>
      </c>
      <c r="E11" s="123">
        <f t="shared" ca="1" si="1"/>
        <v>-6582</v>
      </c>
      <c r="F11" s="123">
        <f t="shared" ca="1" si="1"/>
        <v>-1040.125</v>
      </c>
      <c r="G11" s="123">
        <f t="shared" ca="1" si="1"/>
        <v>0</v>
      </c>
      <c r="H11" s="123">
        <f t="shared" ca="1" si="1"/>
        <v>0</v>
      </c>
      <c r="I11" s="123">
        <f t="shared" ca="1" si="1"/>
        <v>-3337.5599999999977</v>
      </c>
      <c r="J11" s="123">
        <f t="shared" ca="1" si="1"/>
        <v>1036.6000000000058</v>
      </c>
      <c r="K11" s="123">
        <f t="shared" ca="1" si="1"/>
        <v>0</v>
      </c>
      <c r="L11" s="123">
        <f t="shared" ca="1" si="1"/>
        <v>0</v>
      </c>
      <c r="M11" s="123">
        <f t="shared" ca="1" si="1"/>
        <v>0</v>
      </c>
      <c r="N11" s="123">
        <f t="shared" ca="1" si="1"/>
        <v>0</v>
      </c>
      <c r="O11" s="123">
        <f t="shared" ca="1" si="1"/>
        <v>-8230</v>
      </c>
      <c r="P11" s="123">
        <f t="shared" ca="1" si="1"/>
        <v>-4939.5848303704188</v>
      </c>
      <c r="Q11" s="123">
        <f t="shared" ca="1" si="1"/>
        <v>-9720.5147724411854</v>
      </c>
      <c r="R11" s="123">
        <f t="shared" ca="1" si="1"/>
        <v>-103449.11760000001</v>
      </c>
      <c r="S11" s="123">
        <f t="shared" ca="1" si="1"/>
        <v>0</v>
      </c>
      <c r="T11" s="123">
        <f t="shared" ca="1" si="1"/>
        <v>-16801.288</v>
      </c>
      <c r="U11" s="123">
        <f t="shared" ca="1" si="1"/>
        <v>-700.48813000001246</v>
      </c>
      <c r="V11" s="123">
        <f t="shared" ca="1" si="1"/>
        <v>0</v>
      </c>
      <c r="W11" s="123">
        <f t="shared" ca="1" si="1"/>
        <v>0</v>
      </c>
      <c r="X11" s="123">
        <f t="shared" ca="1" si="1"/>
        <v>-2999.2281854690841</v>
      </c>
      <c r="Y11" s="123" t="e">
        <f t="shared" ca="1" si="1"/>
        <v>#REF!</v>
      </c>
      <c r="Z11" s="123" t="e">
        <f t="shared" ca="1" si="1"/>
        <v>#REF!</v>
      </c>
      <c r="AA11" s="123" t="e">
        <f t="shared" ca="1" si="1"/>
        <v>#REF!</v>
      </c>
      <c r="AB11" s="123" t="e">
        <f t="shared" ca="1" si="1"/>
        <v>#REF!</v>
      </c>
      <c r="AC11" s="123" t="e">
        <f t="shared" ca="1" si="1"/>
        <v>#REF!</v>
      </c>
      <c r="AD11" s="123" t="e">
        <f t="shared" ca="1" si="1"/>
        <v>#REF!</v>
      </c>
      <c r="AE11" s="123" t="e">
        <f t="shared" ca="1" si="1"/>
        <v>#REF!</v>
      </c>
      <c r="AF11" s="123" t="e">
        <f t="shared" ca="1" si="1"/>
        <v>#REF!</v>
      </c>
      <c r="AG11" s="312"/>
    </row>
    <row r="12" spans="1:33">
      <c r="A12">
        <f t="shared" si="3"/>
        <v>2017</v>
      </c>
      <c r="B12" s="123">
        <f t="shared" ca="1" si="2"/>
        <v>-50000</v>
      </c>
      <c r="C12" s="123">
        <f t="shared" ca="1" si="1"/>
        <v>-6132</v>
      </c>
      <c r="D12" s="123">
        <f t="shared" ca="1" si="1"/>
        <v>-175.20000000001164</v>
      </c>
      <c r="E12" s="123">
        <f t="shared" ca="1" si="1"/>
        <v>-6582</v>
      </c>
      <c r="F12" s="123">
        <f t="shared" ca="1" si="1"/>
        <v>-2080.25</v>
      </c>
      <c r="G12" s="123">
        <f t="shared" ca="1" si="1"/>
        <v>0</v>
      </c>
      <c r="H12" s="123">
        <f t="shared" ca="1" si="1"/>
        <v>0</v>
      </c>
      <c r="I12" s="123">
        <f t="shared" ca="1" si="1"/>
        <v>-3337.5599999999977</v>
      </c>
      <c r="J12" s="123">
        <f t="shared" ca="1" si="1"/>
        <v>1036.6000000000058</v>
      </c>
      <c r="K12" s="123">
        <f t="shared" ca="1" si="1"/>
        <v>0</v>
      </c>
      <c r="L12" s="123">
        <f t="shared" ca="1" si="1"/>
        <v>0</v>
      </c>
      <c r="M12" s="123">
        <f t="shared" ca="1" si="1"/>
        <v>0</v>
      </c>
      <c r="N12" s="123">
        <f t="shared" ca="1" si="1"/>
        <v>0</v>
      </c>
      <c r="O12" s="123">
        <f t="shared" ca="1" si="1"/>
        <v>-8230</v>
      </c>
      <c r="P12" s="123">
        <f t="shared" ca="1" si="1"/>
        <v>-5236.1238030454897</v>
      </c>
      <c r="Q12" s="123">
        <f t="shared" ca="1" si="1"/>
        <v>-11109.159739932793</v>
      </c>
      <c r="R12" s="123">
        <f t="shared" ca="1" si="1"/>
        <v>-103449.11760000001</v>
      </c>
      <c r="S12" s="123">
        <f t="shared" ca="1" si="1"/>
        <v>0</v>
      </c>
      <c r="T12" s="123">
        <f t="shared" ca="1" si="1"/>
        <v>-17015.236000000001</v>
      </c>
      <c r="U12" s="123">
        <f t="shared" ca="1" si="1"/>
        <v>-700.48813000001246</v>
      </c>
      <c r="V12" s="123">
        <f t="shared" ca="1" si="1"/>
        <v>0</v>
      </c>
      <c r="W12" s="123">
        <f t="shared" ca="1" si="1"/>
        <v>0</v>
      </c>
      <c r="X12" s="123">
        <f t="shared" ca="1" si="1"/>
        <v>-3564.6133223834609</v>
      </c>
      <c r="Y12" s="123" t="e">
        <f t="shared" ca="1" si="1"/>
        <v>#REF!</v>
      </c>
      <c r="Z12" s="123" t="e">
        <f t="shared" ca="1" si="1"/>
        <v>#REF!</v>
      </c>
      <c r="AA12" s="123" t="e">
        <f t="shared" ca="1" si="1"/>
        <v>#REF!</v>
      </c>
      <c r="AB12" s="123" t="e">
        <f t="shared" ca="1" si="1"/>
        <v>#REF!</v>
      </c>
      <c r="AC12" s="123" t="e">
        <f t="shared" ca="1" si="1"/>
        <v>#REF!</v>
      </c>
      <c r="AD12" s="123" t="e">
        <f t="shared" ca="1" si="1"/>
        <v>#REF!</v>
      </c>
      <c r="AE12" s="123" t="e">
        <f t="shared" ca="1" si="1"/>
        <v>#REF!</v>
      </c>
      <c r="AF12" s="123" t="e">
        <f t="shared" ca="1" si="1"/>
        <v>#REF!</v>
      </c>
      <c r="AG12" s="312"/>
    </row>
    <row r="13" spans="1:33">
      <c r="A13">
        <f t="shared" si="3"/>
        <v>2018</v>
      </c>
      <c r="B13" s="123">
        <f t="shared" ca="1" si="2"/>
        <v>-50000</v>
      </c>
      <c r="C13" s="123">
        <f t="shared" ca="1" si="1"/>
        <v>-6132</v>
      </c>
      <c r="D13" s="123">
        <f t="shared" ca="1" si="1"/>
        <v>-175.20000000001164</v>
      </c>
      <c r="E13" s="123">
        <f t="shared" ca="1" si="1"/>
        <v>-6582</v>
      </c>
      <c r="F13" s="123">
        <f t="shared" ca="1" si="1"/>
        <v>-3120.375</v>
      </c>
      <c r="G13" s="123">
        <f t="shared" ca="1" si="1"/>
        <v>0</v>
      </c>
      <c r="H13" s="123">
        <f t="shared" ca="1" si="1"/>
        <v>0</v>
      </c>
      <c r="I13" s="123">
        <f t="shared" ca="1" si="1"/>
        <v>-3337.5599999999977</v>
      </c>
      <c r="J13" s="123">
        <f t="shared" ca="1" si="1"/>
        <v>1036.6000000000058</v>
      </c>
      <c r="K13" s="123">
        <f t="shared" ca="1" si="1"/>
        <v>0</v>
      </c>
      <c r="L13" s="123">
        <f t="shared" ca="1" si="1"/>
        <v>0</v>
      </c>
      <c r="M13" s="123">
        <f t="shared" ca="1" si="1"/>
        <v>0</v>
      </c>
      <c r="N13" s="123">
        <f t="shared" ca="1" si="1"/>
        <v>0</v>
      </c>
      <c r="O13" s="123">
        <f t="shared" ca="1" si="1"/>
        <v>-8230</v>
      </c>
      <c r="P13" s="123">
        <f t="shared" ca="1" si="1"/>
        <v>-5534.0569766842273</v>
      </c>
      <c r="Q13" s="123">
        <f t="shared" ca="1" si="1"/>
        <v>-12497.804707424379</v>
      </c>
      <c r="R13" s="123">
        <f t="shared" ref="R13:AF30" ca="1" si="4">OFFSET(INDIRECT(R$3),$A13-$A$5+$C$1,$C$2)-OFFSET(INDIRECT(R$3),$A13-$A$5+$C$1,$D$2)+OFFSET(INDIRECT(R$3),$A13-$A$5+$C$1,0)</f>
        <v>-103449.11760000001</v>
      </c>
      <c r="S13" s="123">
        <f t="shared" ca="1" si="4"/>
        <v>0</v>
      </c>
      <c r="T13" s="123">
        <f t="shared" ca="1" si="4"/>
        <v>-17229.184000000001</v>
      </c>
      <c r="U13" s="123">
        <f t="shared" ca="1" si="4"/>
        <v>-700.48813000001246</v>
      </c>
      <c r="V13" s="123">
        <f t="shared" ca="1" si="4"/>
        <v>0</v>
      </c>
      <c r="W13" s="123">
        <f t="shared" ca="1" si="4"/>
        <v>0</v>
      </c>
      <c r="X13" s="123">
        <f t="shared" ca="1" si="4"/>
        <v>-4000.7924623317945</v>
      </c>
      <c r="Y13" s="123" t="e">
        <f t="shared" ca="1" si="4"/>
        <v>#REF!</v>
      </c>
      <c r="Z13" s="123" t="e">
        <f t="shared" ca="1" si="4"/>
        <v>#REF!</v>
      </c>
      <c r="AA13" s="123" t="e">
        <f t="shared" ca="1" si="4"/>
        <v>#REF!</v>
      </c>
      <c r="AB13" s="123" t="e">
        <f t="shared" ca="1" si="4"/>
        <v>#REF!</v>
      </c>
      <c r="AC13" s="123" t="e">
        <f t="shared" ca="1" si="4"/>
        <v>#REF!</v>
      </c>
      <c r="AD13" s="123" t="e">
        <f t="shared" ca="1" si="4"/>
        <v>#REF!</v>
      </c>
      <c r="AE13" s="123" t="e">
        <f t="shared" ca="1" si="4"/>
        <v>#REF!</v>
      </c>
      <c r="AF13" s="123" t="e">
        <f t="shared" ca="1" si="4"/>
        <v>#REF!</v>
      </c>
      <c r="AG13" s="312"/>
    </row>
    <row r="14" spans="1:33">
      <c r="A14">
        <f t="shared" si="3"/>
        <v>2019</v>
      </c>
      <c r="B14" s="123">
        <f t="shared" ca="1" si="2"/>
        <v>-50000</v>
      </c>
      <c r="C14" s="123">
        <f t="shared" ca="1" si="2"/>
        <v>-9198</v>
      </c>
      <c r="D14" s="123">
        <f t="shared" ca="1" si="2"/>
        <v>-175.20000000001164</v>
      </c>
      <c r="E14" s="123">
        <f t="shared" ca="1" si="2"/>
        <v>-6582</v>
      </c>
      <c r="F14" s="123">
        <f t="shared" ca="1" si="2"/>
        <v>-4160.5</v>
      </c>
      <c r="G14" s="123">
        <f t="shared" ca="1" si="2"/>
        <v>0</v>
      </c>
      <c r="H14" s="123">
        <f t="shared" ca="1" si="2"/>
        <v>0</v>
      </c>
      <c r="I14" s="123">
        <f t="shared" ca="1" si="2"/>
        <v>-3337.5599999999977</v>
      </c>
      <c r="J14" s="123">
        <f t="shared" ca="1" si="2"/>
        <v>1036.6000000000058</v>
      </c>
      <c r="K14" s="123">
        <f t="shared" ca="1" si="2"/>
        <v>0</v>
      </c>
      <c r="L14" s="123">
        <f t="shared" ca="1" si="2"/>
        <v>0</v>
      </c>
      <c r="M14" s="123">
        <f t="shared" ca="1" si="2"/>
        <v>0</v>
      </c>
      <c r="N14" s="123">
        <f t="shared" ca="1" si="2"/>
        <v>0</v>
      </c>
      <c r="O14" s="123">
        <f t="shared" ca="1" si="2"/>
        <v>-8230</v>
      </c>
      <c r="P14" s="123">
        <f t="shared" ca="1" si="2"/>
        <v>-5833.3395799886057</v>
      </c>
      <c r="Q14" s="123">
        <f t="shared" ca="1" si="2"/>
        <v>-13886.449674915983</v>
      </c>
      <c r="R14" s="123">
        <f t="shared" ca="1" si="4"/>
        <v>-103449.11760000001</v>
      </c>
      <c r="S14" s="123">
        <f t="shared" ca="1" si="4"/>
        <v>0</v>
      </c>
      <c r="T14" s="123">
        <f t="shared" ca="1" si="4"/>
        <v>-17443.132000000001</v>
      </c>
      <c r="U14" s="123">
        <f t="shared" ca="1" si="4"/>
        <v>-700.48813000001246</v>
      </c>
      <c r="V14" s="123">
        <f t="shared" ca="1" si="4"/>
        <v>0</v>
      </c>
      <c r="W14" s="123">
        <f t="shared" ca="1" si="4"/>
        <v>0</v>
      </c>
      <c r="X14" s="123">
        <f t="shared" ca="1" si="4"/>
        <v>-4427.7197036306052</v>
      </c>
      <c r="Y14" s="123" t="e">
        <f t="shared" ca="1" si="4"/>
        <v>#REF!</v>
      </c>
      <c r="Z14" s="123" t="e">
        <f t="shared" ca="1" si="4"/>
        <v>#REF!</v>
      </c>
      <c r="AA14" s="123" t="e">
        <f t="shared" ca="1" si="4"/>
        <v>#REF!</v>
      </c>
      <c r="AB14" s="123" t="e">
        <f t="shared" ca="1" si="4"/>
        <v>#REF!</v>
      </c>
      <c r="AC14" s="123" t="e">
        <f t="shared" ca="1" si="4"/>
        <v>#REF!</v>
      </c>
      <c r="AD14" s="123" t="e">
        <f t="shared" ca="1" si="4"/>
        <v>#REF!</v>
      </c>
      <c r="AE14" s="123" t="e">
        <f t="shared" ca="1" si="4"/>
        <v>#REF!</v>
      </c>
      <c r="AF14" s="123" t="e">
        <f t="shared" ca="1" si="4"/>
        <v>#REF!</v>
      </c>
      <c r="AG14" s="312"/>
    </row>
    <row r="15" spans="1:33">
      <c r="A15">
        <f t="shared" si="3"/>
        <v>2020</v>
      </c>
      <c r="B15" s="123">
        <f t="shared" ca="1" si="2"/>
        <v>-50000</v>
      </c>
      <c r="C15" s="123">
        <f t="shared" ca="1" si="2"/>
        <v>-9198</v>
      </c>
      <c r="D15" s="123">
        <f t="shared" ca="1" si="2"/>
        <v>-175.20000000001164</v>
      </c>
      <c r="E15" s="123">
        <f t="shared" ca="1" si="2"/>
        <v>-6582</v>
      </c>
      <c r="F15" s="123">
        <f t="shared" ca="1" si="2"/>
        <v>-5200.625</v>
      </c>
      <c r="G15" s="123">
        <f t="shared" ca="1" si="2"/>
        <v>0</v>
      </c>
      <c r="H15" s="123">
        <f t="shared" ca="1" si="2"/>
        <v>0</v>
      </c>
      <c r="I15" s="123">
        <f t="shared" ca="1" si="2"/>
        <v>-3337.5599999999977</v>
      </c>
      <c r="J15" s="123">
        <f t="shared" ca="1" si="2"/>
        <v>1036.6000000000058</v>
      </c>
      <c r="K15" s="123">
        <f t="shared" ca="1" si="2"/>
        <v>0</v>
      </c>
      <c r="L15" s="123">
        <f t="shared" ca="1" si="2"/>
        <v>0</v>
      </c>
      <c r="M15" s="123">
        <f t="shared" ca="1" si="2"/>
        <v>-762.49499999999534</v>
      </c>
      <c r="N15" s="123">
        <f t="shared" ca="1" si="2"/>
        <v>-865.65700000000652</v>
      </c>
      <c r="O15" s="123">
        <f t="shared" ca="1" si="2"/>
        <v>-8230</v>
      </c>
      <c r="P15" s="123">
        <f t="shared" ca="1" si="2"/>
        <v>-6133.9287383170322</v>
      </c>
      <c r="Q15" s="123">
        <f t="shared" ca="1" si="2"/>
        <v>-15275.094642407574</v>
      </c>
      <c r="R15" s="123">
        <f t="shared" ca="1" si="4"/>
        <v>-103449.11760000001</v>
      </c>
      <c r="S15" s="123">
        <f t="shared" ca="1" si="4"/>
        <v>0</v>
      </c>
      <c r="T15" s="123">
        <f t="shared" ca="1" si="4"/>
        <v>-17657.080000000002</v>
      </c>
      <c r="U15" s="123">
        <f t="shared" ca="1" si="4"/>
        <v>-700.48813000001246</v>
      </c>
      <c r="V15" s="123">
        <f t="shared" ca="1" si="4"/>
        <v>0</v>
      </c>
      <c r="W15" s="123">
        <f t="shared" ca="1" si="4"/>
        <v>0</v>
      </c>
      <c r="X15" s="123">
        <f t="shared" ca="1" si="4"/>
        <v>-4845.380653858856</v>
      </c>
      <c r="Y15" s="123" t="e">
        <f t="shared" ca="1" si="4"/>
        <v>#REF!</v>
      </c>
      <c r="Z15" s="123" t="e">
        <f t="shared" ca="1" si="4"/>
        <v>#REF!</v>
      </c>
      <c r="AA15" s="123" t="e">
        <f t="shared" ca="1" si="4"/>
        <v>#REF!</v>
      </c>
      <c r="AB15" s="123" t="e">
        <f t="shared" ca="1" si="4"/>
        <v>#REF!</v>
      </c>
      <c r="AC15" s="123" t="e">
        <f t="shared" ca="1" si="4"/>
        <v>#REF!</v>
      </c>
      <c r="AD15" s="123" t="e">
        <f t="shared" ca="1" si="4"/>
        <v>#REF!</v>
      </c>
      <c r="AE15" s="123" t="e">
        <f t="shared" ca="1" si="4"/>
        <v>#REF!</v>
      </c>
      <c r="AF15" s="123" t="e">
        <f t="shared" ca="1" si="4"/>
        <v>#REF!</v>
      </c>
      <c r="AG15" s="312"/>
    </row>
    <row r="16" spans="1:33">
      <c r="A16">
        <f t="shared" si="3"/>
        <v>2021</v>
      </c>
      <c r="B16" s="123">
        <f t="shared" ca="1" si="2"/>
        <v>-50000</v>
      </c>
      <c r="C16" s="123">
        <f t="shared" ca="1" si="2"/>
        <v>-12264</v>
      </c>
      <c r="D16" s="123">
        <f t="shared" ca="1" si="2"/>
        <v>-175.20000000001164</v>
      </c>
      <c r="E16" s="123">
        <f t="shared" ca="1" si="2"/>
        <v>-6582</v>
      </c>
      <c r="F16" s="123">
        <f t="shared" ca="1" si="2"/>
        <v>-6240.75</v>
      </c>
      <c r="G16" s="123">
        <f t="shared" ca="1" si="2"/>
        <v>0</v>
      </c>
      <c r="H16" s="123">
        <f t="shared" ca="1" si="2"/>
        <v>0</v>
      </c>
      <c r="I16" s="123">
        <f t="shared" ca="1" si="2"/>
        <v>-3337.5599999999977</v>
      </c>
      <c r="J16" s="123">
        <f t="shared" ca="1" si="2"/>
        <v>1036.6000000000058</v>
      </c>
      <c r="K16" s="123">
        <f t="shared" ca="1" si="2"/>
        <v>0</v>
      </c>
      <c r="L16" s="123">
        <f t="shared" ca="1" si="2"/>
        <v>0</v>
      </c>
      <c r="M16" s="123">
        <f t="shared" ca="1" si="2"/>
        <v>-754.86999999999534</v>
      </c>
      <c r="N16" s="123">
        <f t="shared" ca="1" si="2"/>
        <v>-865.65700000000652</v>
      </c>
      <c r="O16" s="123">
        <f t="shared" ca="1" si="2"/>
        <v>-8230</v>
      </c>
      <c r="P16" s="123">
        <f t="shared" ca="1" si="2"/>
        <v>-6435.7833743013107</v>
      </c>
      <c r="Q16" s="123">
        <f t="shared" ca="1" si="2"/>
        <v>-16663.739609899178</v>
      </c>
      <c r="R16" s="123">
        <f t="shared" ca="1" si="4"/>
        <v>-103449.11760000001</v>
      </c>
      <c r="S16" s="123">
        <f t="shared" ca="1" si="4"/>
        <v>0</v>
      </c>
      <c r="T16" s="123">
        <f t="shared" ca="1" si="4"/>
        <v>-17871.027999999998</v>
      </c>
      <c r="U16" s="123">
        <f t="shared" ca="1" si="4"/>
        <v>-700.48813000001246</v>
      </c>
      <c r="V16" s="123">
        <f t="shared" ca="1" si="4"/>
        <v>0</v>
      </c>
      <c r="W16" s="123">
        <f t="shared" ca="1" si="4"/>
        <v>0</v>
      </c>
      <c r="X16" s="123">
        <f t="shared" ca="1" si="4"/>
        <v>-5253.7615239151928</v>
      </c>
      <c r="Y16" s="123" t="e">
        <f t="shared" ca="1" si="4"/>
        <v>#REF!</v>
      </c>
      <c r="Z16" s="123" t="e">
        <f t="shared" ca="1" si="4"/>
        <v>#REF!</v>
      </c>
      <c r="AA16" s="123" t="e">
        <f t="shared" ca="1" si="4"/>
        <v>#REF!</v>
      </c>
      <c r="AB16" s="123" t="e">
        <f t="shared" ca="1" si="4"/>
        <v>#REF!</v>
      </c>
      <c r="AC16" s="123" t="e">
        <f t="shared" ca="1" si="4"/>
        <v>#REF!</v>
      </c>
      <c r="AD16" s="123" t="e">
        <f t="shared" ca="1" si="4"/>
        <v>#REF!</v>
      </c>
      <c r="AE16" s="123" t="e">
        <f t="shared" ca="1" si="4"/>
        <v>#REF!</v>
      </c>
      <c r="AF16" s="123" t="e">
        <f t="shared" ca="1" si="4"/>
        <v>#REF!</v>
      </c>
      <c r="AG16" s="312"/>
    </row>
    <row r="17" spans="1:33">
      <c r="A17">
        <f t="shared" si="3"/>
        <v>2022</v>
      </c>
      <c r="B17" s="123">
        <f t="shared" ca="1" si="2"/>
        <v>-50000</v>
      </c>
      <c r="C17" s="123">
        <f t="shared" ca="1" si="2"/>
        <v>-12264</v>
      </c>
      <c r="D17" s="123">
        <f t="shared" ca="1" si="2"/>
        <v>-175.20000000001164</v>
      </c>
      <c r="E17" s="123">
        <f t="shared" ca="1" si="2"/>
        <v>-6582</v>
      </c>
      <c r="F17" s="123">
        <f t="shared" ca="1" si="2"/>
        <v>-7280.875</v>
      </c>
      <c r="G17" s="123">
        <f t="shared" ca="1" si="2"/>
        <v>0</v>
      </c>
      <c r="H17" s="123">
        <f t="shared" ca="1" si="2"/>
        <v>0</v>
      </c>
      <c r="I17" s="123">
        <f t="shared" ca="1" si="2"/>
        <v>-3337.5599999999977</v>
      </c>
      <c r="J17" s="123">
        <f t="shared" ca="1" si="2"/>
        <v>1036.6000000000058</v>
      </c>
      <c r="K17" s="123">
        <f t="shared" ca="1" si="2"/>
        <v>0</v>
      </c>
      <c r="L17" s="123">
        <f t="shared" ca="1" si="2"/>
        <v>0</v>
      </c>
      <c r="M17" s="123">
        <f t="shared" ca="1" si="2"/>
        <v>-747.32099999999627</v>
      </c>
      <c r="N17" s="123">
        <f t="shared" ca="1" si="2"/>
        <v>-865.65700000000652</v>
      </c>
      <c r="O17" s="123">
        <f t="shared" ca="1" si="2"/>
        <v>-8230</v>
      </c>
      <c r="P17" s="123">
        <f t="shared" ca="1" si="2"/>
        <v>-6738.8641146478949</v>
      </c>
      <c r="Q17" s="123">
        <f t="shared" ca="1" si="2"/>
        <v>-18052.384577390785</v>
      </c>
      <c r="R17" s="123">
        <f t="shared" ca="1" si="4"/>
        <v>-103449.11760000001</v>
      </c>
      <c r="S17" s="123">
        <f t="shared" ca="1" si="4"/>
        <v>0</v>
      </c>
      <c r="T17" s="123">
        <f t="shared" ca="1" si="4"/>
        <v>-18084.975999999999</v>
      </c>
      <c r="U17" s="123">
        <f t="shared" ca="1" si="4"/>
        <v>-700.48813000001246</v>
      </c>
      <c r="V17" s="123">
        <f t="shared" ca="1" si="4"/>
        <v>0</v>
      </c>
      <c r="W17" s="123">
        <f t="shared" ca="1" si="4"/>
        <v>0</v>
      </c>
      <c r="X17" s="123">
        <f t="shared" ca="1" si="4"/>
        <v>-5652.8490967324215</v>
      </c>
      <c r="Y17" s="123" t="e">
        <f t="shared" ca="1" si="4"/>
        <v>#REF!</v>
      </c>
      <c r="Z17" s="123" t="e">
        <f t="shared" ca="1" si="4"/>
        <v>#REF!</v>
      </c>
      <c r="AA17" s="123" t="e">
        <f t="shared" ca="1" si="4"/>
        <v>#REF!</v>
      </c>
      <c r="AB17" s="123" t="e">
        <f t="shared" ca="1" si="4"/>
        <v>#REF!</v>
      </c>
      <c r="AC17" s="123" t="e">
        <f t="shared" ca="1" si="4"/>
        <v>#REF!</v>
      </c>
      <c r="AD17" s="123" t="e">
        <f t="shared" ca="1" si="4"/>
        <v>#REF!</v>
      </c>
      <c r="AE17" s="123" t="e">
        <f t="shared" ca="1" si="4"/>
        <v>#REF!</v>
      </c>
      <c r="AF17" s="123" t="e">
        <f t="shared" ca="1" si="4"/>
        <v>#REF!</v>
      </c>
      <c r="AG17" s="312"/>
    </row>
    <row r="18" spans="1:33">
      <c r="A18">
        <f t="shared" si="3"/>
        <v>2023</v>
      </c>
      <c r="B18" s="123">
        <f t="shared" ca="1" si="2"/>
        <v>-50000</v>
      </c>
      <c r="C18" s="123">
        <f t="shared" ca="1" si="2"/>
        <v>-12264</v>
      </c>
      <c r="D18" s="123">
        <f t="shared" ca="1" si="2"/>
        <v>-175.20000000001164</v>
      </c>
      <c r="E18" s="123">
        <f t="shared" ca="1" si="2"/>
        <v>-6582</v>
      </c>
      <c r="F18" s="123">
        <f t="shared" ca="1" si="2"/>
        <v>-8321</v>
      </c>
      <c r="G18" s="123">
        <f t="shared" ca="1" si="2"/>
        <v>0</v>
      </c>
      <c r="H18" s="123">
        <f t="shared" ca="1" si="2"/>
        <v>0</v>
      </c>
      <c r="I18" s="123">
        <f t="shared" ca="1" si="2"/>
        <v>-3337.5599999999977</v>
      </c>
      <c r="J18" s="123">
        <f t="shared" ca="1" si="2"/>
        <v>1036.6000000000058</v>
      </c>
      <c r="K18" s="123">
        <f t="shared" ca="1" si="2"/>
        <v>0</v>
      </c>
      <c r="L18" s="123">
        <f t="shared" ca="1" si="2"/>
        <v>0</v>
      </c>
      <c r="M18" s="123">
        <f t="shared" ca="1" si="2"/>
        <v>-739.84799999999814</v>
      </c>
      <c r="N18" s="123">
        <f t="shared" ca="1" si="2"/>
        <v>-865.65700000000652</v>
      </c>
      <c r="O18" s="123">
        <f t="shared" ca="1" si="2"/>
        <v>-8230</v>
      </c>
      <c r="P18" s="123">
        <f t="shared" ca="1" si="2"/>
        <v>-7043.1332026790515</v>
      </c>
      <c r="Q18" s="123">
        <f t="shared" ca="1" si="2"/>
        <v>-19441.029544882371</v>
      </c>
      <c r="R18" s="123">
        <f t="shared" ca="1" si="4"/>
        <v>-103449.11760000001</v>
      </c>
      <c r="S18" s="123">
        <f t="shared" ca="1" si="4"/>
        <v>0</v>
      </c>
      <c r="T18" s="123">
        <f t="shared" ca="1" si="4"/>
        <v>-18298.923999999999</v>
      </c>
      <c r="U18" s="123">
        <f t="shared" ca="1" si="4"/>
        <v>-700.48813000001246</v>
      </c>
      <c r="V18" s="123">
        <f t="shared" ca="1" si="4"/>
        <v>0</v>
      </c>
      <c r="W18" s="123">
        <f t="shared" ca="1" si="4"/>
        <v>0</v>
      </c>
      <c r="X18" s="123">
        <f t="shared" ca="1" si="4"/>
        <v>-5595.0284239988878</v>
      </c>
      <c r="Y18" s="123" t="e">
        <f t="shared" ca="1" si="4"/>
        <v>#REF!</v>
      </c>
      <c r="Z18" s="123" t="e">
        <f t="shared" ca="1" si="4"/>
        <v>#REF!</v>
      </c>
      <c r="AA18" s="123" t="e">
        <f t="shared" ca="1" si="4"/>
        <v>#REF!</v>
      </c>
      <c r="AB18" s="123" t="e">
        <f t="shared" ca="1" si="4"/>
        <v>#REF!</v>
      </c>
      <c r="AC18" s="123" t="e">
        <f t="shared" ca="1" si="4"/>
        <v>#REF!</v>
      </c>
      <c r="AD18" s="123" t="e">
        <f t="shared" ca="1" si="4"/>
        <v>#REF!</v>
      </c>
      <c r="AE18" s="123" t="e">
        <f t="shared" ca="1" si="4"/>
        <v>#REF!</v>
      </c>
      <c r="AF18" s="123" t="e">
        <f t="shared" ca="1" si="4"/>
        <v>#REF!</v>
      </c>
      <c r="AG18" s="312"/>
    </row>
    <row r="19" spans="1:33">
      <c r="A19">
        <f t="shared" si="3"/>
        <v>2024</v>
      </c>
      <c r="B19" s="123">
        <f t="shared" ca="1" si="2"/>
        <v>-50000</v>
      </c>
      <c r="C19" s="123">
        <f t="shared" ca="1" si="2"/>
        <v>-12264</v>
      </c>
      <c r="D19" s="123">
        <f t="shared" ca="1" si="2"/>
        <v>-175.20000000001164</v>
      </c>
      <c r="E19" s="123">
        <f t="shared" ca="1" si="2"/>
        <v>-6582</v>
      </c>
      <c r="F19" s="123">
        <f t="shared" ca="1" si="2"/>
        <v>-8321</v>
      </c>
      <c r="G19" s="123">
        <f t="shared" ca="1" si="2"/>
        <v>-266.39999999999998</v>
      </c>
      <c r="H19" s="123">
        <f t="shared" ca="1" si="2"/>
        <v>0</v>
      </c>
      <c r="I19" s="123">
        <f t="shared" ca="1" si="2"/>
        <v>-3337.5599999999977</v>
      </c>
      <c r="J19" s="123">
        <f t="shared" ca="1" si="2"/>
        <v>1036.6000000000058</v>
      </c>
      <c r="K19" s="123">
        <f t="shared" ca="1" si="2"/>
        <v>0</v>
      </c>
      <c r="L19" s="123">
        <f t="shared" ca="1" si="2"/>
        <v>0</v>
      </c>
      <c r="M19" s="123">
        <f t="shared" ca="1" si="2"/>
        <v>-732.44899999999325</v>
      </c>
      <c r="N19" s="123">
        <f t="shared" ca="1" si="2"/>
        <v>-865.65700000000652</v>
      </c>
      <c r="O19" s="123">
        <f t="shared" ca="1" si="2"/>
        <v>-8230</v>
      </c>
      <c r="P19" s="123">
        <f t="shared" ca="1" si="2"/>
        <v>-7348.5544162056012</v>
      </c>
      <c r="Q19" s="123">
        <f t="shared" ca="1" si="2"/>
        <v>-20829.674512373978</v>
      </c>
      <c r="R19" s="123">
        <f t="shared" ca="1" si="4"/>
        <v>-103449.11760000001</v>
      </c>
      <c r="S19" s="123">
        <f t="shared" ca="1" si="4"/>
        <v>0</v>
      </c>
      <c r="T19" s="123">
        <f t="shared" ca="1" si="4"/>
        <v>-18512.871999999999</v>
      </c>
      <c r="U19" s="123">
        <f t="shared" ca="1" si="4"/>
        <v>-700.48813000001246</v>
      </c>
      <c r="V19" s="123">
        <f t="shared" ca="1" si="4"/>
        <v>0</v>
      </c>
      <c r="W19" s="123">
        <f t="shared" ca="1" si="4"/>
        <v>0</v>
      </c>
      <c r="X19" s="123">
        <f t="shared" ca="1" si="4"/>
        <v>-5575.8363949905797</v>
      </c>
      <c r="Y19" s="123" t="e">
        <f t="shared" ca="1" si="4"/>
        <v>#REF!</v>
      </c>
      <c r="Z19" s="123" t="e">
        <f t="shared" ca="1" si="4"/>
        <v>#REF!</v>
      </c>
      <c r="AA19" s="123" t="e">
        <f t="shared" ca="1" si="4"/>
        <v>#REF!</v>
      </c>
      <c r="AB19" s="123" t="e">
        <f t="shared" ca="1" si="4"/>
        <v>#REF!</v>
      </c>
      <c r="AC19" s="123" t="e">
        <f t="shared" ca="1" si="4"/>
        <v>#REF!</v>
      </c>
      <c r="AD19" s="123" t="e">
        <f t="shared" ca="1" si="4"/>
        <v>#REF!</v>
      </c>
      <c r="AE19" s="123" t="e">
        <f t="shared" ca="1" si="4"/>
        <v>#REF!</v>
      </c>
      <c r="AF19" s="123" t="e">
        <f t="shared" ca="1" si="4"/>
        <v>#REF!</v>
      </c>
      <c r="AG19" s="312"/>
    </row>
    <row r="20" spans="1:33">
      <c r="A20">
        <f t="shared" si="3"/>
        <v>2025</v>
      </c>
      <c r="B20" s="123">
        <f t="shared" ca="1" si="2"/>
        <v>-50000</v>
      </c>
      <c r="C20" s="123">
        <f t="shared" ca="1" si="2"/>
        <v>-12264</v>
      </c>
      <c r="D20" s="123">
        <f t="shared" ca="1" si="2"/>
        <v>-175.20000000001164</v>
      </c>
      <c r="E20" s="123">
        <f t="shared" ca="1" si="2"/>
        <v>-6582</v>
      </c>
      <c r="F20" s="123">
        <f t="shared" ca="1" si="2"/>
        <v>-8321</v>
      </c>
      <c r="G20" s="123">
        <f t="shared" ca="1" si="2"/>
        <v>-532.79999999999995</v>
      </c>
      <c r="H20" s="123">
        <f t="shared" ca="1" si="2"/>
        <v>0</v>
      </c>
      <c r="I20" s="123">
        <f t="shared" ca="1" si="2"/>
        <v>-3337.5599999999977</v>
      </c>
      <c r="J20" s="123">
        <f t="shared" ca="1" si="2"/>
        <v>1036.6000000000058</v>
      </c>
      <c r="K20" s="123">
        <f t="shared" ca="1" si="2"/>
        <v>0</v>
      </c>
      <c r="L20" s="123">
        <f t="shared" ca="1" si="2"/>
        <v>0</v>
      </c>
      <c r="M20" s="123">
        <f t="shared" ca="1" si="2"/>
        <v>-725.125</v>
      </c>
      <c r="N20" s="123">
        <f t="shared" ca="1" si="2"/>
        <v>-865.65700000000652</v>
      </c>
      <c r="O20" s="123">
        <f t="shared" ca="1" si="2"/>
        <v>-8230</v>
      </c>
      <c r="P20" s="123">
        <f t="shared" ca="1" si="2"/>
        <v>-7655.0929903562728</v>
      </c>
      <c r="Q20" s="123">
        <f t="shared" ca="1" si="2"/>
        <v>-22218.319479865586</v>
      </c>
      <c r="R20" s="123">
        <f t="shared" ca="1" si="4"/>
        <v>-103449.11760000001</v>
      </c>
      <c r="S20" s="123">
        <f t="shared" ca="1" si="4"/>
        <v>0</v>
      </c>
      <c r="T20" s="123">
        <f t="shared" ca="1" si="4"/>
        <v>-18726.82</v>
      </c>
      <c r="U20" s="123">
        <f t="shared" ca="1" si="4"/>
        <v>-700.48813000001246</v>
      </c>
      <c r="V20" s="123">
        <f t="shared" ca="1" si="4"/>
        <v>0</v>
      </c>
      <c r="W20" s="123">
        <f t="shared" ca="1" si="4"/>
        <v>0</v>
      </c>
      <c r="X20" s="123">
        <f t="shared" ca="1" si="4"/>
        <v>-5556.5884979510683</v>
      </c>
      <c r="Y20" s="123" t="e">
        <f t="shared" ca="1" si="4"/>
        <v>#REF!</v>
      </c>
      <c r="Z20" s="123" t="e">
        <f t="shared" ca="1" si="4"/>
        <v>#REF!</v>
      </c>
      <c r="AA20" s="123" t="e">
        <f t="shared" ca="1" si="4"/>
        <v>#REF!</v>
      </c>
      <c r="AB20" s="123" t="e">
        <f t="shared" ca="1" si="4"/>
        <v>#REF!</v>
      </c>
      <c r="AC20" s="123" t="e">
        <f t="shared" ca="1" si="4"/>
        <v>#REF!</v>
      </c>
      <c r="AD20" s="123" t="e">
        <f t="shared" ca="1" si="4"/>
        <v>#REF!</v>
      </c>
      <c r="AE20" s="123" t="e">
        <f t="shared" ca="1" si="4"/>
        <v>#REF!</v>
      </c>
      <c r="AF20" s="123" t="e">
        <f t="shared" ca="1" si="4"/>
        <v>#REF!</v>
      </c>
      <c r="AG20" s="312"/>
    </row>
    <row r="21" spans="1:33">
      <c r="A21">
        <f t="shared" si="3"/>
        <v>2026</v>
      </c>
      <c r="B21" s="123">
        <f t="shared" ca="1" si="2"/>
        <v>-50000</v>
      </c>
      <c r="C21" s="123">
        <f t="shared" ca="1" si="2"/>
        <v>-12264</v>
      </c>
      <c r="D21" s="123">
        <f t="shared" ca="1" si="2"/>
        <v>-175.20000000001164</v>
      </c>
      <c r="E21" s="123">
        <f t="shared" ca="1" si="2"/>
        <v>-6582</v>
      </c>
      <c r="F21" s="123">
        <f t="shared" ca="1" si="2"/>
        <v>-8321</v>
      </c>
      <c r="G21" s="123">
        <f t="shared" ca="1" si="2"/>
        <v>-799.19999999999993</v>
      </c>
      <c r="H21" s="123">
        <f t="shared" ca="1" si="2"/>
        <v>0</v>
      </c>
      <c r="I21" s="123">
        <f t="shared" ca="1" si="2"/>
        <v>-3337.5599999999977</v>
      </c>
      <c r="J21" s="123">
        <f t="shared" ca="1" si="2"/>
        <v>1036.6000000000058</v>
      </c>
      <c r="K21" s="123">
        <f t="shared" ca="1" si="2"/>
        <v>0</v>
      </c>
      <c r="L21" s="123">
        <f t="shared" ca="1" si="2"/>
        <v>0</v>
      </c>
      <c r="M21" s="123">
        <f t="shared" ca="1" si="2"/>
        <v>-717.87400000001071</v>
      </c>
      <c r="N21" s="123">
        <f t="shared" ca="1" si="2"/>
        <v>-865.65700000000652</v>
      </c>
      <c r="O21" s="123">
        <f t="shared" ca="1" si="2"/>
        <v>-8230</v>
      </c>
      <c r="P21" s="123">
        <f t="shared" ca="1" si="2"/>
        <v>-7962.7155450174951</v>
      </c>
      <c r="Q21" s="123">
        <f t="shared" ca="1" si="2"/>
        <v>-23606.964447357168</v>
      </c>
      <c r="R21" s="123">
        <f t="shared" ca="1" si="4"/>
        <v>-103449.11760000001</v>
      </c>
      <c r="S21" s="123">
        <f t="shared" ca="1" si="4"/>
        <v>0</v>
      </c>
      <c r="T21" s="123">
        <f t="shared" ca="1" si="4"/>
        <v>-18940.768</v>
      </c>
      <c r="U21" s="123">
        <f t="shared" ca="1" si="4"/>
        <v>-700.48813000001246</v>
      </c>
      <c r="V21" s="123">
        <f t="shared" ca="1" si="4"/>
        <v>0</v>
      </c>
      <c r="W21" s="123">
        <f t="shared" ca="1" si="4"/>
        <v>0</v>
      </c>
      <c r="X21" s="123">
        <f t="shared" ca="1" si="4"/>
        <v>-5537.2864018860309</v>
      </c>
      <c r="Y21" s="123" t="e">
        <f t="shared" ca="1" si="4"/>
        <v>#REF!</v>
      </c>
      <c r="Z21" s="123" t="e">
        <f t="shared" ca="1" si="4"/>
        <v>#REF!</v>
      </c>
      <c r="AA21" s="123" t="e">
        <f t="shared" ca="1" si="4"/>
        <v>#REF!</v>
      </c>
      <c r="AB21" s="123" t="e">
        <f t="shared" ca="1" si="4"/>
        <v>#REF!</v>
      </c>
      <c r="AC21" s="123" t="e">
        <f t="shared" ca="1" si="4"/>
        <v>#REF!</v>
      </c>
      <c r="AD21" s="123" t="e">
        <f t="shared" ca="1" si="4"/>
        <v>#REF!</v>
      </c>
      <c r="AE21" s="123" t="e">
        <f t="shared" ca="1" si="4"/>
        <v>#REF!</v>
      </c>
      <c r="AF21" s="123" t="e">
        <f t="shared" ca="1" si="4"/>
        <v>#REF!</v>
      </c>
      <c r="AG21" s="312"/>
    </row>
    <row r="22" spans="1:33">
      <c r="A22">
        <f t="shared" si="3"/>
        <v>2027</v>
      </c>
      <c r="B22" s="123">
        <f t="shared" ca="1" si="2"/>
        <v>-50000</v>
      </c>
      <c r="C22" s="123">
        <f t="shared" ca="1" si="2"/>
        <v>-12264</v>
      </c>
      <c r="D22" s="123">
        <f t="shared" ca="1" si="2"/>
        <v>-175.20000000001164</v>
      </c>
      <c r="E22" s="123">
        <f t="shared" ca="1" si="2"/>
        <v>-6582</v>
      </c>
      <c r="F22" s="123">
        <f t="shared" ca="1" si="2"/>
        <v>-8321</v>
      </c>
      <c r="G22" s="123">
        <f t="shared" ca="1" si="2"/>
        <v>-1065.5999999999999</v>
      </c>
      <c r="H22" s="123">
        <f t="shared" ca="1" si="2"/>
        <v>0</v>
      </c>
      <c r="I22" s="123">
        <f t="shared" ca="1" si="2"/>
        <v>-3337.5599999999977</v>
      </c>
      <c r="J22" s="123">
        <f t="shared" ca="1" si="2"/>
        <v>1036.6000000000058</v>
      </c>
      <c r="K22" s="123">
        <f t="shared" ca="1" si="2"/>
        <v>0</v>
      </c>
      <c r="L22" s="123">
        <f t="shared" ca="1" si="2"/>
        <v>0</v>
      </c>
      <c r="M22" s="123">
        <f t="shared" ca="1" si="2"/>
        <v>-710.69500000000698</v>
      </c>
      <c r="N22" s="123">
        <f t="shared" ca="1" si="2"/>
        <v>-865.65700000000652</v>
      </c>
      <c r="O22" s="123">
        <f t="shared" ca="1" si="2"/>
        <v>-8230</v>
      </c>
      <c r="P22" s="123">
        <f t="shared" ca="1" si="2"/>
        <v>-8271.3900165660216</v>
      </c>
      <c r="Q22" s="123">
        <f t="shared" ca="1" si="2"/>
        <v>-24995.609414848775</v>
      </c>
      <c r="R22" s="123">
        <f t="shared" ca="1" si="4"/>
        <v>-103449.11760000001</v>
      </c>
      <c r="S22" s="123">
        <f t="shared" ca="1" si="4"/>
        <v>0</v>
      </c>
      <c r="T22" s="123">
        <f t="shared" ca="1" si="4"/>
        <v>-19154.716</v>
      </c>
      <c r="U22" s="123">
        <f t="shared" ca="1" si="4"/>
        <v>-700.48813000001246</v>
      </c>
      <c r="V22" s="123">
        <f t="shared" ca="1" si="4"/>
        <v>0</v>
      </c>
      <c r="W22" s="123">
        <f t="shared" ca="1" si="4"/>
        <v>0</v>
      </c>
      <c r="X22" s="123">
        <f t="shared" ca="1" si="4"/>
        <v>-5517.9317099766222</v>
      </c>
      <c r="Y22" s="123" t="e">
        <f t="shared" ca="1" si="4"/>
        <v>#REF!</v>
      </c>
      <c r="Z22" s="123" t="e">
        <f t="shared" ca="1" si="4"/>
        <v>#REF!</v>
      </c>
      <c r="AA22" s="123" t="e">
        <f t="shared" ca="1" si="4"/>
        <v>#REF!</v>
      </c>
      <c r="AB22" s="123" t="e">
        <f t="shared" ca="1" si="4"/>
        <v>#REF!</v>
      </c>
      <c r="AC22" s="123" t="e">
        <f t="shared" ca="1" si="4"/>
        <v>#REF!</v>
      </c>
      <c r="AD22" s="123" t="e">
        <f t="shared" ca="1" si="4"/>
        <v>#REF!</v>
      </c>
      <c r="AE22" s="123" t="e">
        <f t="shared" ca="1" si="4"/>
        <v>#REF!</v>
      </c>
      <c r="AF22" s="123" t="e">
        <f t="shared" ca="1" si="4"/>
        <v>#REF!</v>
      </c>
      <c r="AG22" s="312"/>
    </row>
    <row r="23" spans="1:33">
      <c r="A23">
        <f t="shared" si="3"/>
        <v>2028</v>
      </c>
      <c r="B23" s="123">
        <f t="shared" ca="1" si="2"/>
        <v>-50000</v>
      </c>
      <c r="C23" s="123">
        <f t="shared" ca="1" si="2"/>
        <v>-12264</v>
      </c>
      <c r="D23" s="123">
        <f t="shared" ca="1" si="2"/>
        <v>-175.20000000001164</v>
      </c>
      <c r="E23" s="123">
        <f t="shared" ca="1" si="2"/>
        <v>-6582</v>
      </c>
      <c r="F23" s="123">
        <f t="shared" ca="1" si="2"/>
        <v>-8321</v>
      </c>
      <c r="G23" s="123">
        <f t="shared" ca="1" si="2"/>
        <v>-1332</v>
      </c>
      <c r="H23" s="123">
        <f t="shared" ca="1" si="2"/>
        <v>0</v>
      </c>
      <c r="I23" s="123">
        <f t="shared" ca="1" si="2"/>
        <v>-3337.5599999999977</v>
      </c>
      <c r="J23" s="123">
        <f t="shared" ca="1" si="2"/>
        <v>1036.6000000000058</v>
      </c>
      <c r="K23" s="123">
        <f t="shared" ca="1" si="2"/>
        <v>0</v>
      </c>
      <c r="L23" s="123">
        <f t="shared" ca="1" si="2"/>
        <v>0</v>
      </c>
      <c r="M23" s="123">
        <f t="shared" ca="1" si="2"/>
        <v>-703.58799999998882</v>
      </c>
      <c r="N23" s="123">
        <f t="shared" ca="1" si="2"/>
        <v>-865.65700000000652</v>
      </c>
      <c r="O23" s="123">
        <f t="shared" ca="1" si="2"/>
        <v>-8230</v>
      </c>
      <c r="P23" s="123">
        <f t="shared" ca="1" si="2"/>
        <v>-8581.0855936007174</v>
      </c>
      <c r="Q23" s="123">
        <f t="shared" ca="1" si="2"/>
        <v>-26384.254382340361</v>
      </c>
      <c r="R23" s="123">
        <f t="shared" ca="1" si="4"/>
        <v>-103449.11760000001</v>
      </c>
      <c r="S23" s="123">
        <f t="shared" ca="1" si="4"/>
        <v>0</v>
      </c>
      <c r="T23" s="123">
        <f t="shared" ca="1" si="4"/>
        <v>-19368.664000000001</v>
      </c>
      <c r="U23" s="123">
        <f t="shared" ca="1" si="4"/>
        <v>-700.48813000001246</v>
      </c>
      <c r="V23" s="123">
        <f t="shared" ca="1" si="4"/>
        <v>0</v>
      </c>
      <c r="W23" s="123">
        <f t="shared" ca="1" si="4"/>
        <v>0</v>
      </c>
      <c r="X23" s="123">
        <f t="shared" ca="1" si="4"/>
        <v>-5498.5259627929117</v>
      </c>
      <c r="Y23" s="123" t="e">
        <f t="shared" ca="1" si="4"/>
        <v>#REF!</v>
      </c>
      <c r="Z23" s="123" t="e">
        <f t="shared" ca="1" si="4"/>
        <v>#REF!</v>
      </c>
      <c r="AA23" s="123" t="e">
        <f t="shared" ca="1" si="4"/>
        <v>#REF!</v>
      </c>
      <c r="AB23" s="123" t="e">
        <f t="shared" ca="1" si="4"/>
        <v>#REF!</v>
      </c>
      <c r="AC23" s="123" t="e">
        <f t="shared" ca="1" si="4"/>
        <v>#REF!</v>
      </c>
      <c r="AD23" s="123" t="e">
        <f t="shared" ca="1" si="4"/>
        <v>#REF!</v>
      </c>
      <c r="AE23" s="123" t="e">
        <f t="shared" ca="1" si="4"/>
        <v>#REF!</v>
      </c>
      <c r="AF23" s="123" t="e">
        <f t="shared" ca="1" si="4"/>
        <v>#REF!</v>
      </c>
      <c r="AG23" s="312"/>
    </row>
    <row r="24" spans="1:33">
      <c r="A24">
        <f t="shared" si="3"/>
        <v>2029</v>
      </c>
      <c r="B24" s="123">
        <f t="shared" ca="1" si="2"/>
        <v>-50000</v>
      </c>
      <c r="C24" s="123">
        <f t="shared" ca="1" si="2"/>
        <v>-12264</v>
      </c>
      <c r="D24" s="123">
        <f t="shared" ca="1" si="2"/>
        <v>-175.20000000001164</v>
      </c>
      <c r="E24" s="123">
        <f t="shared" ca="1" si="2"/>
        <v>-6582</v>
      </c>
      <c r="F24" s="123">
        <f t="shared" ca="1" si="2"/>
        <v>-8321</v>
      </c>
      <c r="G24" s="123">
        <f t="shared" ca="1" si="2"/>
        <v>-1598.4</v>
      </c>
      <c r="H24" s="123">
        <f t="shared" ca="1" si="2"/>
        <v>0</v>
      </c>
      <c r="I24" s="123">
        <f t="shared" ca="1" si="2"/>
        <v>-3337.5599999999977</v>
      </c>
      <c r="J24" s="123">
        <f t="shared" ca="1" si="2"/>
        <v>1036.6000000000058</v>
      </c>
      <c r="K24" s="123">
        <f t="shared" ca="1" si="2"/>
        <v>0</v>
      </c>
      <c r="L24" s="123">
        <f t="shared" ca="1" si="2"/>
        <v>0</v>
      </c>
      <c r="M24" s="123">
        <f t="shared" ca="1" si="2"/>
        <v>-696.55199999999604</v>
      </c>
      <c r="N24" s="123">
        <f t="shared" ca="1" si="2"/>
        <v>-865.65700000000652</v>
      </c>
      <c r="O24" s="123">
        <f t="shared" ca="1" si="2"/>
        <v>-8230</v>
      </c>
      <c r="P24" s="123">
        <f t="shared" ca="1" si="2"/>
        <v>-8891.7726564027671</v>
      </c>
      <c r="Q24" s="123">
        <f t="shared" ca="1" si="2"/>
        <v>-27772.899349831965</v>
      </c>
      <c r="R24" s="123">
        <f t="shared" ca="1" si="4"/>
        <v>-103449.11760000001</v>
      </c>
      <c r="S24" s="123">
        <f t="shared" ca="1" si="4"/>
        <v>0</v>
      </c>
      <c r="T24" s="123">
        <f t="shared" ca="1" si="4"/>
        <v>-19582.612000000001</v>
      </c>
      <c r="U24" s="123">
        <f t="shared" ca="1" si="4"/>
        <v>-700.48813000001246</v>
      </c>
      <c r="V24" s="123">
        <f t="shared" ca="1" si="4"/>
        <v>0</v>
      </c>
      <c r="W24" s="123">
        <f t="shared" ca="1" si="4"/>
        <v>0</v>
      </c>
      <c r="X24" s="123">
        <f t="shared" ca="1" si="4"/>
        <v>-5479.07064132083</v>
      </c>
      <c r="Y24" s="123" t="e">
        <f t="shared" ca="1" si="4"/>
        <v>#REF!</v>
      </c>
      <c r="Z24" s="123" t="e">
        <f t="shared" ca="1" si="4"/>
        <v>#REF!</v>
      </c>
      <c r="AA24" s="123" t="e">
        <f t="shared" ca="1" si="4"/>
        <v>#REF!</v>
      </c>
      <c r="AB24" s="123" t="e">
        <f t="shared" ca="1" si="4"/>
        <v>#REF!</v>
      </c>
      <c r="AC24" s="123" t="e">
        <f t="shared" ca="1" si="4"/>
        <v>#REF!</v>
      </c>
      <c r="AD24" s="123" t="e">
        <f t="shared" ca="1" si="4"/>
        <v>#REF!</v>
      </c>
      <c r="AE24" s="123" t="e">
        <f t="shared" ca="1" si="4"/>
        <v>#REF!</v>
      </c>
      <c r="AF24" s="123" t="e">
        <f t="shared" ca="1" si="4"/>
        <v>#REF!</v>
      </c>
      <c r="AG24" s="312"/>
    </row>
    <row r="25" spans="1:33">
      <c r="A25">
        <f t="shared" si="3"/>
        <v>2030</v>
      </c>
      <c r="B25" s="123">
        <f t="shared" ca="1" si="2"/>
        <v>-50000</v>
      </c>
      <c r="C25" s="123">
        <f t="shared" ca="1" si="2"/>
        <v>-12264</v>
      </c>
      <c r="D25" s="123">
        <f t="shared" ca="1" si="2"/>
        <v>-175.20000000001164</v>
      </c>
      <c r="E25" s="123">
        <f t="shared" ca="1" si="2"/>
        <v>-6582</v>
      </c>
      <c r="F25" s="123">
        <f t="shared" ca="1" si="2"/>
        <v>-8321</v>
      </c>
      <c r="G25" s="123">
        <f t="shared" ca="1" si="2"/>
        <v>-1864.8000000000002</v>
      </c>
      <c r="H25" s="123">
        <f t="shared" ca="1" si="2"/>
        <v>0</v>
      </c>
      <c r="I25" s="123">
        <f t="shared" ca="1" si="2"/>
        <v>-3337.5599999999977</v>
      </c>
      <c r="J25" s="123">
        <f t="shared" ca="1" si="2"/>
        <v>1036.6000000000058</v>
      </c>
      <c r="K25" s="123">
        <f t="shared" ca="1" si="2"/>
        <v>0</v>
      </c>
      <c r="L25" s="123">
        <f t="shared" ca="1" si="2"/>
        <v>0</v>
      </c>
      <c r="M25" s="123">
        <f t="shared" ca="1" si="2"/>
        <v>-689.58699999999953</v>
      </c>
      <c r="N25" s="123">
        <f t="shared" ca="1" si="2"/>
        <v>-865.65700000000652</v>
      </c>
      <c r="O25" s="123">
        <f t="shared" ca="1" si="2"/>
        <v>-8230</v>
      </c>
      <c r="P25" s="123">
        <f t="shared" ca="1" si="2"/>
        <v>-9203.4227198745357</v>
      </c>
      <c r="Q25" s="123">
        <f t="shared" ca="1" si="2"/>
        <v>-29161.544317323558</v>
      </c>
      <c r="R25" s="123">
        <f t="shared" ca="1" si="4"/>
        <v>-103449.11760000001</v>
      </c>
      <c r="S25" s="123">
        <f t="shared" ca="1" si="4"/>
        <v>0</v>
      </c>
      <c r="T25" s="123">
        <f t="shared" ca="1" si="4"/>
        <v>-19796.560000000001</v>
      </c>
      <c r="U25" s="123">
        <f t="shared" ca="1" si="4"/>
        <v>-700.48813000001246</v>
      </c>
      <c r="V25" s="123">
        <f t="shared" ca="1" si="4"/>
        <v>0</v>
      </c>
      <c r="W25" s="123">
        <f t="shared" ca="1" si="4"/>
        <v>0</v>
      </c>
      <c r="X25" s="123">
        <f t="shared" ca="1" si="4"/>
        <v>-5459.5671698152637</v>
      </c>
      <c r="Y25" s="123" t="e">
        <f t="shared" ca="1" si="4"/>
        <v>#REF!</v>
      </c>
      <c r="Z25" s="123" t="e">
        <f t="shared" ca="1" si="4"/>
        <v>#REF!</v>
      </c>
      <c r="AA25" s="123" t="e">
        <f t="shared" ca="1" si="4"/>
        <v>#REF!</v>
      </c>
      <c r="AB25" s="123" t="e">
        <f t="shared" ca="1" si="4"/>
        <v>#REF!</v>
      </c>
      <c r="AC25" s="123" t="e">
        <f t="shared" ca="1" si="4"/>
        <v>#REF!</v>
      </c>
      <c r="AD25" s="123" t="e">
        <f t="shared" ca="1" si="4"/>
        <v>#REF!</v>
      </c>
      <c r="AE25" s="123" t="e">
        <f t="shared" ca="1" si="4"/>
        <v>#REF!</v>
      </c>
      <c r="AF25" s="123" t="e">
        <f t="shared" ca="1" si="4"/>
        <v>#REF!</v>
      </c>
      <c r="AG25" s="312"/>
    </row>
    <row r="26" spans="1:33">
      <c r="A26">
        <f t="shared" si="3"/>
        <v>2031</v>
      </c>
      <c r="B26" s="123">
        <f t="shared" ca="1" si="2"/>
        <v>-50000</v>
      </c>
      <c r="C26" s="123">
        <f t="shared" ca="1" si="2"/>
        <v>-12264</v>
      </c>
      <c r="D26" s="123">
        <f t="shared" ca="1" si="2"/>
        <v>-175.20000000001164</v>
      </c>
      <c r="E26" s="123">
        <f t="shared" ca="1" si="2"/>
        <v>-6582</v>
      </c>
      <c r="F26" s="123">
        <f t="shared" ca="1" si="2"/>
        <v>-8321</v>
      </c>
      <c r="G26" s="123">
        <f t="shared" ca="1" si="2"/>
        <v>-2131.2000000000003</v>
      </c>
      <c r="H26" s="123">
        <f t="shared" ca="1" si="2"/>
        <v>0</v>
      </c>
      <c r="I26" s="123">
        <f t="shared" ca="1" si="2"/>
        <v>-3337.5599999999977</v>
      </c>
      <c r="J26" s="123">
        <f t="shared" ca="1" si="2"/>
        <v>1036.6000000000058</v>
      </c>
      <c r="K26" s="123">
        <f t="shared" ca="1" si="2"/>
        <v>0</v>
      </c>
      <c r="L26" s="123">
        <f t="shared" ca="1" si="2"/>
        <v>0</v>
      </c>
      <c r="M26" s="123">
        <f t="shared" ca="1" si="2"/>
        <v>-682.69099999999162</v>
      </c>
      <c r="N26" s="123">
        <f t="shared" ca="1" si="2"/>
        <v>-865.65700000000652</v>
      </c>
      <c r="O26" s="123">
        <f t="shared" ca="1" si="2"/>
        <v>-8230</v>
      </c>
      <c r="P26" s="123">
        <f t="shared" ca="1" si="2"/>
        <v>-9516.0083797260704</v>
      </c>
      <c r="Q26" s="123">
        <f t="shared" ca="1" si="2"/>
        <v>-30550.189284815162</v>
      </c>
      <c r="R26" s="123">
        <f t="shared" ca="1" si="4"/>
        <v>-103449.11760000001</v>
      </c>
      <c r="S26" s="123">
        <f t="shared" ca="1" si="4"/>
        <v>0</v>
      </c>
      <c r="T26" s="123">
        <f t="shared" ca="1" si="4"/>
        <v>-19796.560000000001</v>
      </c>
      <c r="U26" s="123">
        <f t="shared" ca="1" si="4"/>
        <v>-700.48813000001246</v>
      </c>
      <c r="V26" s="123">
        <f t="shared" ca="1" si="4"/>
        <v>0</v>
      </c>
      <c r="W26" s="123">
        <f t="shared" ca="1" si="4"/>
        <v>0</v>
      </c>
      <c r="X26" s="123">
        <f t="shared" ca="1" si="4"/>
        <v>-5440.0169184907063</v>
      </c>
      <c r="Y26" s="123" t="e">
        <f t="shared" ca="1" si="4"/>
        <v>#REF!</v>
      </c>
      <c r="Z26" s="123" t="e">
        <f t="shared" ca="1" si="4"/>
        <v>#REF!</v>
      </c>
      <c r="AA26" s="123" t="e">
        <f t="shared" ca="1" si="4"/>
        <v>#REF!</v>
      </c>
      <c r="AB26" s="123" t="e">
        <f t="shared" ca="1" si="4"/>
        <v>#REF!</v>
      </c>
      <c r="AC26" s="123" t="e">
        <f t="shared" ca="1" si="4"/>
        <v>#REF!</v>
      </c>
      <c r="AD26" s="123" t="e">
        <f t="shared" ca="1" si="4"/>
        <v>#REF!</v>
      </c>
      <c r="AE26" s="123" t="e">
        <f t="shared" ca="1" si="4"/>
        <v>#REF!</v>
      </c>
      <c r="AF26" s="123" t="e">
        <f t="shared" ca="1" si="4"/>
        <v>#REF!</v>
      </c>
      <c r="AG26" s="312"/>
    </row>
    <row r="27" spans="1:33">
      <c r="A27">
        <f t="shared" si="3"/>
        <v>2032</v>
      </c>
      <c r="B27" s="123">
        <f t="shared" ca="1" si="2"/>
        <v>-50000</v>
      </c>
      <c r="C27" s="123">
        <f t="shared" ca="1" si="2"/>
        <v>-12264</v>
      </c>
      <c r="D27" s="123">
        <f t="shared" ca="1" si="2"/>
        <v>-175.20000000001164</v>
      </c>
      <c r="E27" s="123">
        <f t="shared" ca="1" si="2"/>
        <v>-6582</v>
      </c>
      <c r="F27" s="123">
        <f t="shared" ca="1" si="2"/>
        <v>-8321</v>
      </c>
      <c r="G27" s="123">
        <f t="shared" ca="1" si="2"/>
        <v>-2397.6000000000004</v>
      </c>
      <c r="H27" s="123">
        <f t="shared" ca="1" si="2"/>
        <v>0</v>
      </c>
      <c r="I27" s="123">
        <f t="shared" ca="1" si="2"/>
        <v>-3337.5599999999977</v>
      </c>
      <c r="J27" s="123">
        <f t="shared" ca="1" si="2"/>
        <v>1036.6000000000058</v>
      </c>
      <c r="K27" s="123">
        <f t="shared" ca="1" si="2"/>
        <v>0</v>
      </c>
      <c r="L27" s="123">
        <f t="shared" ca="1" si="2"/>
        <v>0</v>
      </c>
      <c r="M27" s="123">
        <f t="shared" ca="1" si="2"/>
        <v>-675.8640000000014</v>
      </c>
      <c r="N27" s="123">
        <f t="shared" ca="1" si="2"/>
        <v>-865.65700000000652</v>
      </c>
      <c r="O27" s="123">
        <f t="shared" ca="1" si="2"/>
        <v>-8230</v>
      </c>
      <c r="P27" s="123">
        <f t="shared" ca="1" si="2"/>
        <v>-9829.5032616955414</v>
      </c>
      <c r="Q27" s="123">
        <f t="shared" ca="1" si="2"/>
        <v>-31938.834252306769</v>
      </c>
      <c r="R27" s="123">
        <f t="shared" ca="1" si="4"/>
        <v>-103449.11760000001</v>
      </c>
      <c r="S27" s="123">
        <f t="shared" ca="1" si="4"/>
        <v>0</v>
      </c>
      <c r="T27" s="123">
        <f t="shared" ca="1" si="4"/>
        <v>-19796.560000000001</v>
      </c>
      <c r="U27" s="123">
        <f t="shared" ca="1" si="4"/>
        <v>-700.48813000001246</v>
      </c>
      <c r="V27" s="123">
        <f t="shared" ca="1" si="4"/>
        <v>0</v>
      </c>
      <c r="W27" s="123">
        <f t="shared" ca="1" si="4"/>
        <v>0</v>
      </c>
      <c r="X27" s="123">
        <f t="shared" ca="1" si="4"/>
        <v>-5420.4212060602549</v>
      </c>
      <c r="Y27" s="123" t="e">
        <f t="shared" ca="1" si="4"/>
        <v>#REF!</v>
      </c>
      <c r="Z27" s="123" t="e">
        <f t="shared" ca="1" si="4"/>
        <v>#REF!</v>
      </c>
      <c r="AA27" s="123" t="e">
        <f t="shared" ca="1" si="4"/>
        <v>#REF!</v>
      </c>
      <c r="AB27" s="123" t="e">
        <f t="shared" ca="1" si="4"/>
        <v>#REF!</v>
      </c>
      <c r="AC27" s="123" t="e">
        <f t="shared" ca="1" si="4"/>
        <v>#REF!</v>
      </c>
      <c r="AD27" s="123" t="e">
        <f t="shared" ca="1" si="4"/>
        <v>#REF!</v>
      </c>
      <c r="AE27" s="123" t="e">
        <f t="shared" ca="1" si="4"/>
        <v>#REF!</v>
      </c>
      <c r="AF27" s="123" t="e">
        <f t="shared" ca="1" si="4"/>
        <v>#REF!</v>
      </c>
      <c r="AG27" s="312"/>
    </row>
    <row r="28" spans="1:33">
      <c r="A28">
        <f t="shared" si="3"/>
        <v>2033</v>
      </c>
      <c r="B28" s="123">
        <f t="shared" ca="1" si="2"/>
        <v>-50000</v>
      </c>
      <c r="C28" s="123">
        <f t="shared" ca="1" si="2"/>
        <v>-12264</v>
      </c>
      <c r="D28" s="123">
        <f t="shared" ca="1" si="2"/>
        <v>-175.20000000001164</v>
      </c>
      <c r="E28" s="123">
        <f t="shared" ca="1" si="2"/>
        <v>-6582</v>
      </c>
      <c r="F28" s="123">
        <f t="shared" ca="1" si="2"/>
        <v>-8321</v>
      </c>
      <c r="G28" s="123">
        <f t="shared" ca="1" si="2"/>
        <v>-2664.0000000000005</v>
      </c>
      <c r="H28" s="123">
        <f t="shared" ca="1" si="2"/>
        <v>0</v>
      </c>
      <c r="I28" s="123">
        <f t="shared" ca="1" si="2"/>
        <v>-3337.5599999999977</v>
      </c>
      <c r="J28" s="123">
        <f t="shared" ca="1" si="2"/>
        <v>1036.6000000000058</v>
      </c>
      <c r="K28" s="123">
        <f t="shared" ca="1" si="2"/>
        <v>0</v>
      </c>
      <c r="L28" s="123">
        <f t="shared" ca="1" si="2"/>
        <v>0</v>
      </c>
      <c r="M28" s="123">
        <f t="shared" ca="1" si="2"/>
        <v>-669.10500000001048</v>
      </c>
      <c r="N28" s="123">
        <f t="shared" ca="1" si="2"/>
        <v>-865.65700000000652</v>
      </c>
      <c r="O28" s="123">
        <f t="shared" ca="1" si="2"/>
        <v>-8230</v>
      </c>
      <c r="P28" s="123">
        <f t="shared" ca="1" si="2"/>
        <v>-10143.881973605912</v>
      </c>
      <c r="Q28" s="123">
        <f t="shared" ca="1" si="2"/>
        <v>-33327.479219798355</v>
      </c>
      <c r="R28" s="123">
        <f t="shared" ca="1" si="4"/>
        <v>-103449.11760000001</v>
      </c>
      <c r="S28" s="123">
        <f t="shared" ca="1" si="4"/>
        <v>0</v>
      </c>
      <c r="T28" s="123">
        <f t="shared" ca="1" si="4"/>
        <v>-19796.560000000001</v>
      </c>
      <c r="U28" s="123">
        <f t="shared" ca="1" si="4"/>
        <v>-700.48813000001246</v>
      </c>
      <c r="V28" s="123">
        <f t="shared" ca="1" si="4"/>
        <v>0</v>
      </c>
      <c r="W28" s="123">
        <f t="shared" ca="1" si="4"/>
        <v>0</v>
      </c>
      <c r="X28" s="123">
        <f t="shared" ca="1" si="4"/>
        <v>-5400.7813021327584</v>
      </c>
      <c r="Y28" s="123" t="e">
        <f t="shared" ca="1" si="4"/>
        <v>#REF!</v>
      </c>
      <c r="Z28" s="123" t="e">
        <f t="shared" ca="1" si="4"/>
        <v>#REF!</v>
      </c>
      <c r="AA28" s="123" t="e">
        <f t="shared" ca="1" si="4"/>
        <v>#REF!</v>
      </c>
      <c r="AB28" s="123" t="e">
        <f t="shared" ca="1" si="4"/>
        <v>#REF!</v>
      </c>
      <c r="AC28" s="123" t="e">
        <f t="shared" ca="1" si="4"/>
        <v>#REF!</v>
      </c>
      <c r="AD28" s="123" t="e">
        <f t="shared" ca="1" si="4"/>
        <v>#REF!</v>
      </c>
      <c r="AE28" s="123" t="e">
        <f t="shared" ca="1" si="4"/>
        <v>#REF!</v>
      </c>
      <c r="AF28" s="123" t="e">
        <f t="shared" ca="1" si="4"/>
        <v>#REF!</v>
      </c>
      <c r="AG28" s="312"/>
    </row>
    <row r="29" spans="1:33">
      <c r="A29">
        <f t="shared" si="3"/>
        <v>2034</v>
      </c>
      <c r="B29" s="123">
        <f t="shared" ca="1" si="2"/>
        <v>-50000</v>
      </c>
      <c r="C29" s="123">
        <f t="shared" ca="1" si="2"/>
        <v>-12264</v>
      </c>
      <c r="D29" s="123">
        <f t="shared" ca="1" si="2"/>
        <v>-175.20000000001164</v>
      </c>
      <c r="E29" s="123">
        <f t="shared" ca="1" si="2"/>
        <v>-6582</v>
      </c>
      <c r="F29" s="123">
        <f t="shared" ca="1" si="2"/>
        <v>-8321</v>
      </c>
      <c r="G29" s="123">
        <f t="shared" ca="1" si="2"/>
        <v>-2664.0000000000005</v>
      </c>
      <c r="H29" s="123">
        <f t="shared" ca="1" si="2"/>
        <v>0</v>
      </c>
      <c r="I29" s="123">
        <f t="shared" ref="I29:X30" ca="1" si="5">OFFSET(INDIRECT(I$3),$A29-$A$5+$C$1,$C$2)-OFFSET(INDIRECT(I$3),$A29-$A$5+$C$1,$D$2)+OFFSET(INDIRECT(I$3),$A29-$A$5+$C$1,0)</f>
        <v>-3337.5599999999977</v>
      </c>
      <c r="J29" s="123">
        <f t="shared" ca="1" si="5"/>
        <v>1036.6000000000058</v>
      </c>
      <c r="K29" s="123">
        <f t="shared" ca="1" si="5"/>
        <v>0</v>
      </c>
      <c r="L29" s="123">
        <f t="shared" ca="1" si="5"/>
        <v>0</v>
      </c>
      <c r="M29" s="123">
        <f t="shared" ca="1" si="5"/>
        <v>-662.41399999998976</v>
      </c>
      <c r="N29" s="123">
        <f t="shared" ca="1" si="5"/>
        <v>-865.65700000000652</v>
      </c>
      <c r="O29" s="123">
        <f t="shared" ca="1" si="5"/>
        <v>-8230</v>
      </c>
      <c r="P29" s="123">
        <f t="shared" ca="1" si="5"/>
        <v>-10459.120060074812</v>
      </c>
      <c r="Q29" s="123">
        <f t="shared" ca="1" si="5"/>
        <v>-34716.124187289963</v>
      </c>
      <c r="R29" s="123">
        <f t="shared" ca="1" si="5"/>
        <v>-103449.11760000001</v>
      </c>
      <c r="S29" s="123">
        <f t="shared" ca="1" si="5"/>
        <v>0</v>
      </c>
      <c r="T29" s="123">
        <f t="shared" ca="1" si="5"/>
        <v>-19796.560000000001</v>
      </c>
      <c r="U29" s="123">
        <f t="shared" ca="1" si="5"/>
        <v>-700.48813000001246</v>
      </c>
      <c r="V29" s="123">
        <f t="shared" ca="1" si="5"/>
        <v>0</v>
      </c>
      <c r="W29" s="123">
        <f t="shared" ca="1" si="5"/>
        <v>0</v>
      </c>
      <c r="X29" s="123">
        <f t="shared" ca="1" si="5"/>
        <v>-5394.418429477334</v>
      </c>
      <c r="Y29" s="123" t="e">
        <f t="shared" ca="1" si="4"/>
        <v>#REF!</v>
      </c>
      <c r="Z29" s="123" t="e">
        <f t="shared" ca="1" si="4"/>
        <v>#REF!</v>
      </c>
      <c r="AA29" s="123" t="e">
        <f t="shared" ca="1" si="4"/>
        <v>#REF!</v>
      </c>
      <c r="AB29" s="123" t="e">
        <f t="shared" ca="1" si="4"/>
        <v>#REF!</v>
      </c>
      <c r="AC29" s="123" t="e">
        <f t="shared" ca="1" si="4"/>
        <v>#REF!</v>
      </c>
      <c r="AD29" s="123" t="e">
        <f t="shared" ca="1" si="4"/>
        <v>#REF!</v>
      </c>
      <c r="AE29" s="123" t="e">
        <f t="shared" ca="1" si="4"/>
        <v>#REF!</v>
      </c>
      <c r="AF29" s="123" t="e">
        <f t="shared" ca="1" si="4"/>
        <v>#REF!</v>
      </c>
      <c r="AG29" s="312"/>
    </row>
    <row r="30" spans="1:33">
      <c r="A30">
        <f t="shared" si="3"/>
        <v>2035</v>
      </c>
      <c r="B30" s="123">
        <f t="shared" ref="B30:Q30" ca="1" si="6">OFFSET(INDIRECT(B$3),$A30-$A$5+$C$1,$C$2)-OFFSET(INDIRECT(B$3),$A30-$A$5+$C$1,$D$2)+OFFSET(INDIRECT(B$3),$A30-$A$5+$C$1,0)</f>
        <v>-50000</v>
      </c>
      <c r="C30" s="123">
        <f t="shared" ca="1" si="6"/>
        <v>-12264</v>
      </c>
      <c r="D30" s="123">
        <f t="shared" ca="1" si="6"/>
        <v>-175.20000000001164</v>
      </c>
      <c r="E30" s="123">
        <f t="shared" ca="1" si="6"/>
        <v>-6582</v>
      </c>
      <c r="F30" s="123">
        <f t="shared" ca="1" si="6"/>
        <v>-8321</v>
      </c>
      <c r="G30" s="123">
        <f t="shared" ca="1" si="6"/>
        <v>-2664.0000000000005</v>
      </c>
      <c r="H30" s="123">
        <f t="shared" ca="1" si="6"/>
        <v>0</v>
      </c>
      <c r="I30" s="123">
        <f t="shared" ca="1" si="6"/>
        <v>-3337.5599999999977</v>
      </c>
      <c r="J30" s="123">
        <f t="shared" ca="1" si="6"/>
        <v>1036.6000000000058</v>
      </c>
      <c r="K30" s="123">
        <f t="shared" ca="1" si="6"/>
        <v>0</v>
      </c>
      <c r="L30" s="123">
        <f t="shared" ca="1" si="6"/>
        <v>0</v>
      </c>
      <c r="M30" s="123">
        <f t="shared" ca="1" si="6"/>
        <v>-655.79000000000815</v>
      </c>
      <c r="N30" s="123">
        <f t="shared" ca="1" si="6"/>
        <v>-865.65700000000652</v>
      </c>
      <c r="O30" s="123">
        <f t="shared" ca="1" si="6"/>
        <v>-8230</v>
      </c>
      <c r="P30" s="123">
        <f t="shared" ca="1" si="6"/>
        <v>-10775.193959707907</v>
      </c>
      <c r="Q30" s="123">
        <f t="shared" ca="1" si="6"/>
        <v>-36104.76915478157</v>
      </c>
      <c r="R30" s="123">
        <f t="shared" ca="1" si="5"/>
        <v>-103449.11760000001</v>
      </c>
      <c r="S30" s="123">
        <f t="shared" ca="1" si="5"/>
        <v>0</v>
      </c>
      <c r="T30" s="123">
        <f t="shared" ca="1" si="5"/>
        <v>-19796.560000000001</v>
      </c>
      <c r="U30" s="123">
        <f t="shared" ca="1" si="5"/>
        <v>-700.48813000001246</v>
      </c>
      <c r="V30" s="123">
        <f t="shared" ca="1" si="5"/>
        <v>0</v>
      </c>
      <c r="W30" s="123">
        <f t="shared" ca="1" si="5"/>
        <v>0</v>
      </c>
      <c r="X30" s="123">
        <f t="shared" ca="1" si="5"/>
        <v>-5388.0137661637009</v>
      </c>
      <c r="Y30" s="123" t="e">
        <f t="shared" ca="1" si="4"/>
        <v>#REF!</v>
      </c>
      <c r="Z30" s="123" t="e">
        <f t="shared" ca="1" si="4"/>
        <v>#REF!</v>
      </c>
      <c r="AA30" s="123" t="e">
        <f t="shared" ca="1" si="4"/>
        <v>#REF!</v>
      </c>
      <c r="AB30" s="123" t="e">
        <f t="shared" ca="1" si="4"/>
        <v>#REF!</v>
      </c>
      <c r="AC30" s="123" t="e">
        <f t="shared" ca="1" si="4"/>
        <v>#REF!</v>
      </c>
      <c r="AD30" s="123" t="e">
        <f t="shared" ca="1" si="4"/>
        <v>#REF!</v>
      </c>
      <c r="AE30" s="123" t="e">
        <f t="shared" ca="1" si="4"/>
        <v>#REF!</v>
      </c>
      <c r="AF30" s="123" t="e">
        <f t="shared" ref="C30:AF39" ca="1" si="7">OFFSET(INDIRECT(AF$3),$A30-$A$5+$C$1,$C$2)-OFFSET(INDIRECT(AF$3),$A30-$A$5+$C$1,$D$2)+OFFSET(INDIRECT(AF$3),$A30-$A$5+$C$1,0)</f>
        <v>#REF!</v>
      </c>
      <c r="AG30" s="312"/>
    </row>
    <row r="31" spans="1:33">
      <c r="A31">
        <f t="shared" si="3"/>
        <v>2036</v>
      </c>
      <c r="B31" s="123">
        <f t="shared" ref="B31:B45" ca="1" si="8">OFFSET(INDIRECT(B$3),$A31-$A$5+$C$1,$C$2)-OFFSET(INDIRECT(B$3),$A31-$A$5+$C$1,$D$2)+OFFSET(INDIRECT(B$3),$A31-$A$5+$C$1,0)</f>
        <v>-50000</v>
      </c>
      <c r="C31" s="123">
        <f t="shared" ca="1" si="7"/>
        <v>-12264</v>
      </c>
      <c r="D31" s="123">
        <f t="shared" ca="1" si="7"/>
        <v>-175.20000000001164</v>
      </c>
      <c r="E31" s="123">
        <f t="shared" ca="1" si="7"/>
        <v>-6582</v>
      </c>
      <c r="F31" s="123">
        <f t="shared" ca="1" si="7"/>
        <v>-8321</v>
      </c>
      <c r="G31" s="123">
        <f t="shared" ca="1" si="7"/>
        <v>-2664.0000000000005</v>
      </c>
      <c r="H31" s="123">
        <f t="shared" ca="1" si="7"/>
        <v>0</v>
      </c>
      <c r="I31" s="123">
        <f t="shared" ca="1" si="7"/>
        <v>-3337.5599999999977</v>
      </c>
      <c r="J31" s="123">
        <f t="shared" ca="1" si="7"/>
        <v>1036.6000000000058</v>
      </c>
      <c r="K31" s="123">
        <f t="shared" ca="1" si="7"/>
        <v>0</v>
      </c>
      <c r="L31" s="123">
        <f t="shared" ca="1" si="7"/>
        <v>0</v>
      </c>
      <c r="M31" s="123">
        <f t="shared" ca="1" si="7"/>
        <v>-649.23199999998906</v>
      </c>
      <c r="N31" s="123">
        <f t="shared" ca="1" si="7"/>
        <v>-865.65700000000652</v>
      </c>
      <c r="O31" s="123">
        <f t="shared" ca="1" si="7"/>
        <v>-8230</v>
      </c>
      <c r="P31" s="123">
        <f t="shared" ca="1" si="7"/>
        <v>-11092.080964618208</v>
      </c>
      <c r="Q31" s="123">
        <f t="shared" ca="1" si="7"/>
        <v>-37493.414122273156</v>
      </c>
      <c r="R31" s="123">
        <f t="shared" ca="1" si="7"/>
        <v>-103449.11760000001</v>
      </c>
      <c r="S31" s="123">
        <f t="shared" ca="1" si="7"/>
        <v>0</v>
      </c>
      <c r="T31" s="123">
        <f t="shared" ca="1" si="7"/>
        <v>-19796.560000000001</v>
      </c>
      <c r="U31" s="123">
        <f t="shared" ca="1" si="7"/>
        <v>-700.48813000001246</v>
      </c>
      <c r="V31" s="123">
        <f t="shared" ca="1" si="7"/>
        <v>0</v>
      </c>
      <c r="W31" s="123">
        <f t="shared" ca="1" si="7"/>
        <v>0</v>
      </c>
      <c r="X31" s="123">
        <f t="shared" ca="1" si="7"/>
        <v>-5381.5684475862099</v>
      </c>
      <c r="Y31" s="123" t="e">
        <f t="shared" ca="1" si="7"/>
        <v>#REF!</v>
      </c>
      <c r="Z31" s="123" t="e">
        <f t="shared" ca="1" si="7"/>
        <v>#REF!</v>
      </c>
      <c r="AA31" s="123" t="e">
        <f t="shared" ca="1" si="7"/>
        <v>#REF!</v>
      </c>
      <c r="AB31" s="123" t="e">
        <f t="shared" ca="1" si="7"/>
        <v>#REF!</v>
      </c>
      <c r="AC31" s="123" t="e">
        <f t="shared" ca="1" si="7"/>
        <v>#REF!</v>
      </c>
      <c r="AD31" s="123" t="e">
        <f t="shared" ca="1" si="7"/>
        <v>#REF!</v>
      </c>
      <c r="AE31" s="123" t="e">
        <f t="shared" ca="1" si="7"/>
        <v>#REF!</v>
      </c>
      <c r="AF31" s="123" t="e">
        <f t="shared" ca="1" si="7"/>
        <v>#REF!</v>
      </c>
      <c r="AG31" s="312"/>
    </row>
    <row r="32" spans="1:33">
      <c r="A32">
        <f t="shared" si="3"/>
        <v>2037</v>
      </c>
      <c r="B32" s="123">
        <f t="shared" ca="1" si="8"/>
        <v>-50000</v>
      </c>
      <c r="C32" s="123">
        <f t="shared" ca="1" si="7"/>
        <v>-12264</v>
      </c>
      <c r="D32" s="123">
        <f t="shared" ca="1" si="7"/>
        <v>-175.20000000001164</v>
      </c>
      <c r="E32" s="123">
        <f t="shared" ca="1" si="7"/>
        <v>-6582</v>
      </c>
      <c r="F32" s="123">
        <f t="shared" ca="1" si="7"/>
        <v>-8321</v>
      </c>
      <c r="G32" s="123">
        <f t="shared" ca="1" si="7"/>
        <v>-2664.0000000000005</v>
      </c>
      <c r="H32" s="123">
        <f t="shared" ca="1" si="7"/>
        <v>0</v>
      </c>
      <c r="I32" s="123">
        <f t="shared" ca="1" si="7"/>
        <v>-3337.5599999999977</v>
      </c>
      <c r="J32" s="123">
        <f t="shared" ca="1" si="7"/>
        <v>1036.6000000000058</v>
      </c>
      <c r="K32" s="123">
        <f t="shared" ca="1" si="7"/>
        <v>0</v>
      </c>
      <c r="L32" s="123">
        <f t="shared" ca="1" si="7"/>
        <v>0</v>
      </c>
      <c r="M32" s="123">
        <f t="shared" ca="1" si="7"/>
        <v>-642.73999999999069</v>
      </c>
      <c r="N32" s="123">
        <f t="shared" ca="1" si="7"/>
        <v>-865.65700000000652</v>
      </c>
      <c r="O32" s="123">
        <f t="shared" ca="1" si="7"/>
        <v>-8230</v>
      </c>
      <c r="P32" s="123">
        <f t="shared" ca="1" si="7"/>
        <v>-11409.759182125072</v>
      </c>
      <c r="Q32" s="123">
        <f t="shared" ca="1" si="7"/>
        <v>-38882.059089764742</v>
      </c>
      <c r="R32" s="123">
        <f t="shared" ca="1" si="7"/>
        <v>-103449.11760000001</v>
      </c>
      <c r="S32" s="123">
        <f t="shared" ca="1" si="7"/>
        <v>0</v>
      </c>
      <c r="T32" s="123">
        <f t="shared" ca="1" si="7"/>
        <v>-19796.560000000001</v>
      </c>
      <c r="U32" s="123">
        <f t="shared" ca="1" si="7"/>
        <v>-700.48813000001246</v>
      </c>
      <c r="V32" s="123">
        <f t="shared" ca="1" si="7"/>
        <v>0</v>
      </c>
      <c r="W32" s="123">
        <f t="shared" ca="1" si="7"/>
        <v>0</v>
      </c>
      <c r="X32" s="123">
        <f t="shared" ca="1" si="7"/>
        <v>-5375.0835683788873</v>
      </c>
      <c r="Y32" s="123" t="e">
        <f t="shared" ca="1" si="7"/>
        <v>#REF!</v>
      </c>
      <c r="Z32" s="123" t="e">
        <f t="shared" ca="1" si="7"/>
        <v>#REF!</v>
      </c>
      <c r="AA32" s="123" t="e">
        <f t="shared" ca="1" si="7"/>
        <v>#REF!</v>
      </c>
      <c r="AB32" s="123" t="e">
        <f t="shared" ca="1" si="7"/>
        <v>#REF!</v>
      </c>
      <c r="AC32" s="123" t="e">
        <f t="shared" ca="1" si="7"/>
        <v>#REF!</v>
      </c>
      <c r="AD32" s="123" t="e">
        <f t="shared" ca="1" si="7"/>
        <v>#REF!</v>
      </c>
      <c r="AE32" s="123" t="e">
        <f t="shared" ca="1" si="7"/>
        <v>#REF!</v>
      </c>
      <c r="AF32" s="123" t="e">
        <f t="shared" ca="1" si="7"/>
        <v>#REF!</v>
      </c>
      <c r="AG32" s="312"/>
    </row>
    <row r="33" spans="1:33">
      <c r="A33">
        <f t="shared" si="3"/>
        <v>2038</v>
      </c>
      <c r="B33" s="123">
        <f t="shared" ca="1" si="8"/>
        <v>-50000</v>
      </c>
      <c r="C33" s="123">
        <f t="shared" ca="1" si="7"/>
        <v>-12264</v>
      </c>
      <c r="D33" s="123">
        <f t="shared" ca="1" si="7"/>
        <v>-175.20000000001164</v>
      </c>
      <c r="E33" s="123">
        <f t="shared" ca="1" si="7"/>
        <v>-6582</v>
      </c>
      <c r="F33" s="123">
        <f t="shared" ca="1" si="7"/>
        <v>-8321</v>
      </c>
      <c r="G33" s="123">
        <f t="shared" ca="1" si="7"/>
        <v>-2664.0000000000005</v>
      </c>
      <c r="H33" s="123">
        <f t="shared" ca="1" si="7"/>
        <v>0</v>
      </c>
      <c r="I33" s="123">
        <f t="shared" ca="1" si="7"/>
        <v>-3337.5599999999977</v>
      </c>
      <c r="J33" s="123">
        <f t="shared" ca="1" si="7"/>
        <v>1036.6000000000058</v>
      </c>
      <c r="K33" s="123">
        <f t="shared" ca="1" si="7"/>
        <v>0</v>
      </c>
      <c r="L33" s="123">
        <f t="shared" ca="1" si="7"/>
        <v>0</v>
      </c>
      <c r="M33" s="123">
        <f t="shared" ca="1" si="7"/>
        <v>-636.31200000000536</v>
      </c>
      <c r="N33" s="123">
        <f t="shared" ca="1" si="7"/>
        <v>-865.65700000000652</v>
      </c>
      <c r="O33" s="123">
        <f t="shared" ca="1" si="7"/>
        <v>-8230</v>
      </c>
      <c r="P33" s="123">
        <f t="shared" ca="1" si="7"/>
        <v>-11728.207498497741</v>
      </c>
      <c r="Q33" s="123">
        <f t="shared" ca="1" si="7"/>
        <v>-40270.704057256349</v>
      </c>
      <c r="R33" s="123">
        <f t="shared" ca="1" si="7"/>
        <v>-103449.11760000001</v>
      </c>
      <c r="S33" s="123">
        <f t="shared" ca="1" si="7"/>
        <v>0</v>
      </c>
      <c r="T33" s="123">
        <f t="shared" ca="1" si="7"/>
        <v>-19796.560000000001</v>
      </c>
      <c r="U33" s="123">
        <f t="shared" ca="1" si="7"/>
        <v>-700.48813000001246</v>
      </c>
      <c r="V33" s="123">
        <f t="shared" ca="1" si="7"/>
        <v>0</v>
      </c>
      <c r="W33" s="123">
        <f t="shared" ca="1" si="7"/>
        <v>0</v>
      </c>
      <c r="X33" s="123">
        <f t="shared" ca="1" si="7"/>
        <v>-5368.5601842282767</v>
      </c>
      <c r="Y33" s="123" t="e">
        <f t="shared" ca="1" si="7"/>
        <v>#REF!</v>
      </c>
      <c r="Z33" s="123" t="e">
        <f t="shared" ca="1" si="7"/>
        <v>#REF!</v>
      </c>
      <c r="AA33" s="123" t="e">
        <f t="shared" ca="1" si="7"/>
        <v>#REF!</v>
      </c>
      <c r="AB33" s="123" t="e">
        <f t="shared" ca="1" si="7"/>
        <v>#REF!</v>
      </c>
      <c r="AC33" s="123" t="e">
        <f t="shared" ca="1" si="7"/>
        <v>#REF!</v>
      </c>
      <c r="AD33" s="123" t="e">
        <f t="shared" ca="1" si="7"/>
        <v>#REF!</v>
      </c>
      <c r="AE33" s="123" t="e">
        <f t="shared" ca="1" si="7"/>
        <v>#REF!</v>
      </c>
      <c r="AF33" s="123" t="e">
        <f t="shared" ca="1" si="7"/>
        <v>#REF!</v>
      </c>
      <c r="AG33" s="312"/>
    </row>
    <row r="34" spans="1:33">
      <c r="A34">
        <f t="shared" si="3"/>
        <v>2039</v>
      </c>
      <c r="B34" s="123">
        <f t="shared" ca="1" si="8"/>
        <v>-50000</v>
      </c>
      <c r="C34" s="123">
        <f t="shared" ca="1" si="7"/>
        <v>-12264</v>
      </c>
      <c r="D34" s="123">
        <f t="shared" ca="1" si="7"/>
        <v>-175.20000000001164</v>
      </c>
      <c r="E34" s="123">
        <f t="shared" ca="1" si="7"/>
        <v>-6582</v>
      </c>
      <c r="F34" s="123">
        <f t="shared" ca="1" si="7"/>
        <v>-8321</v>
      </c>
      <c r="G34" s="123">
        <f t="shared" ca="1" si="7"/>
        <v>-2664.0000000000005</v>
      </c>
      <c r="H34" s="123">
        <f t="shared" ca="1" si="7"/>
        <v>0</v>
      </c>
      <c r="I34" s="123">
        <f t="shared" ca="1" si="7"/>
        <v>-3337.5599999999977</v>
      </c>
      <c r="J34" s="123">
        <f t="shared" ca="1" si="7"/>
        <v>1036.6000000000058</v>
      </c>
      <c r="K34" s="123">
        <f t="shared" ca="1" si="7"/>
        <v>0</v>
      </c>
      <c r="L34" s="123">
        <f t="shared" ca="1" si="7"/>
        <v>0</v>
      </c>
      <c r="M34" s="123">
        <f t="shared" ca="1" si="7"/>
        <v>-629.94899999999325</v>
      </c>
      <c r="N34" s="123">
        <f t="shared" ca="1" si="7"/>
        <v>-865.65700000000652</v>
      </c>
      <c r="O34" s="123">
        <f t="shared" ca="1" si="7"/>
        <v>-8230</v>
      </c>
      <c r="P34" s="123">
        <f t="shared" ca="1" si="7"/>
        <v>-12047.405544616535</v>
      </c>
      <c r="Q34" s="123">
        <f t="shared" ca="1" si="7"/>
        <v>-41659.349024747957</v>
      </c>
      <c r="R34" s="123">
        <f t="shared" ca="1" si="7"/>
        <v>-103449.11760000001</v>
      </c>
      <c r="S34" s="123">
        <f t="shared" ca="1" si="7"/>
        <v>0</v>
      </c>
      <c r="T34" s="123">
        <f t="shared" ca="1" si="7"/>
        <v>-19796.560000000001</v>
      </c>
      <c r="U34" s="123">
        <f t="shared" ca="1" si="7"/>
        <v>-700.48813000001246</v>
      </c>
      <c r="V34" s="123">
        <f t="shared" ca="1" si="7"/>
        <v>0</v>
      </c>
      <c r="W34" s="123">
        <f t="shared" ca="1" si="7"/>
        <v>0</v>
      </c>
      <c r="X34" s="123">
        <f t="shared" ca="1" si="7"/>
        <v>-5361.9993135903569</v>
      </c>
      <c r="Y34" s="123" t="e">
        <f t="shared" ca="1" si="7"/>
        <v>#REF!</v>
      </c>
      <c r="Z34" s="123" t="e">
        <f t="shared" ca="1" si="7"/>
        <v>#REF!</v>
      </c>
      <c r="AA34" s="123" t="e">
        <f t="shared" ca="1" si="7"/>
        <v>#REF!</v>
      </c>
      <c r="AB34" s="123" t="e">
        <f t="shared" ca="1" si="7"/>
        <v>#REF!</v>
      </c>
      <c r="AC34" s="123" t="e">
        <f t="shared" ca="1" si="7"/>
        <v>#REF!</v>
      </c>
      <c r="AD34" s="123" t="e">
        <f t="shared" ca="1" si="7"/>
        <v>#REF!</v>
      </c>
      <c r="AE34" s="123" t="e">
        <f t="shared" ca="1" si="7"/>
        <v>#REF!</v>
      </c>
      <c r="AF34" s="123" t="e">
        <f t="shared" ca="1" si="7"/>
        <v>#REF!</v>
      </c>
      <c r="AG34" s="312"/>
    </row>
    <row r="35" spans="1:33">
      <c r="A35">
        <f t="shared" si="3"/>
        <v>2040</v>
      </c>
      <c r="B35" s="123">
        <f t="shared" ca="1" si="8"/>
        <v>-50000</v>
      </c>
      <c r="C35" s="123">
        <f t="shared" ca="1" si="7"/>
        <v>-12264</v>
      </c>
      <c r="D35" s="123">
        <f t="shared" ca="1" si="7"/>
        <v>-175.20000000001164</v>
      </c>
      <c r="E35" s="123">
        <f t="shared" ca="1" si="7"/>
        <v>-6582</v>
      </c>
      <c r="F35" s="123">
        <f t="shared" ca="1" si="7"/>
        <v>-8321</v>
      </c>
      <c r="G35" s="123">
        <f t="shared" ca="1" si="7"/>
        <v>-2664.0000000000005</v>
      </c>
      <c r="H35" s="123">
        <f t="shared" ca="1" si="7"/>
        <v>0</v>
      </c>
      <c r="I35" s="123">
        <f t="shared" ca="1" si="7"/>
        <v>-3337.5599999999977</v>
      </c>
      <c r="J35" s="123">
        <f t="shared" ca="1" si="7"/>
        <v>1036.6000000000058</v>
      </c>
      <c r="K35" s="123">
        <f t="shared" ca="1" si="7"/>
        <v>0</v>
      </c>
      <c r="L35" s="123">
        <f t="shared" ca="1" si="7"/>
        <v>0</v>
      </c>
      <c r="M35" s="123">
        <f t="shared" ca="1" si="7"/>
        <v>-623.64999999999418</v>
      </c>
      <c r="N35" s="123">
        <f t="shared" ca="1" si="7"/>
        <v>-865.65700000000652</v>
      </c>
      <c r="O35" s="123">
        <f t="shared" ca="1" si="7"/>
        <v>-8230</v>
      </c>
      <c r="P35" s="123">
        <f t="shared" ca="1" si="7"/>
        <v>-12367.333663434774</v>
      </c>
      <c r="Q35" s="123">
        <f t="shared" ca="1" si="7"/>
        <v>-43047.993992239542</v>
      </c>
      <c r="R35" s="123">
        <f t="shared" ca="1" si="7"/>
        <v>-103449.11760000001</v>
      </c>
      <c r="S35" s="123">
        <f t="shared" ca="1" si="7"/>
        <v>0</v>
      </c>
      <c r="T35" s="123">
        <f t="shared" ca="1" si="7"/>
        <v>-19796.560000000001</v>
      </c>
      <c r="U35" s="123">
        <f t="shared" ca="1" si="7"/>
        <v>-700.48813000001246</v>
      </c>
      <c r="V35" s="123">
        <f t="shared" ca="1" si="7"/>
        <v>0</v>
      </c>
      <c r="W35" s="123">
        <f t="shared" ca="1" si="7"/>
        <v>0</v>
      </c>
      <c r="X35" s="123">
        <f t="shared" ca="1" si="7"/>
        <v>-5355.4019393174649</v>
      </c>
      <c r="Y35" s="123" t="e">
        <f t="shared" ca="1" si="7"/>
        <v>#REF!</v>
      </c>
      <c r="Z35" s="123" t="e">
        <f t="shared" ca="1" si="7"/>
        <v>#REF!</v>
      </c>
      <c r="AA35" s="123" t="e">
        <f t="shared" ca="1" si="7"/>
        <v>#REF!</v>
      </c>
      <c r="AB35" s="123" t="e">
        <f t="shared" ca="1" si="7"/>
        <v>#REF!</v>
      </c>
      <c r="AC35" s="123" t="e">
        <f t="shared" ca="1" si="7"/>
        <v>#REF!</v>
      </c>
      <c r="AD35" s="123" t="e">
        <f t="shared" ca="1" si="7"/>
        <v>#REF!</v>
      </c>
      <c r="AE35" s="123" t="e">
        <f t="shared" ca="1" si="7"/>
        <v>#REF!</v>
      </c>
      <c r="AF35" s="123" t="e">
        <f t="shared" ca="1" si="7"/>
        <v>#REF!</v>
      </c>
      <c r="AG35" s="312"/>
    </row>
    <row r="36" spans="1:33">
      <c r="A36">
        <f t="shared" si="3"/>
        <v>2041</v>
      </c>
      <c r="B36" s="123">
        <f t="shared" ca="1" si="8"/>
        <v>-50000</v>
      </c>
      <c r="C36" s="123">
        <f t="shared" ca="1" si="7"/>
        <v>-12264</v>
      </c>
      <c r="D36" s="123">
        <f t="shared" ca="1" si="7"/>
        <v>-175.20000000001164</v>
      </c>
      <c r="E36" s="123">
        <f t="shared" ca="1" si="7"/>
        <v>-6582</v>
      </c>
      <c r="F36" s="123">
        <f t="shared" ca="1" si="7"/>
        <v>-8321</v>
      </c>
      <c r="G36" s="123">
        <f t="shared" ca="1" si="7"/>
        <v>-2664.0000000000005</v>
      </c>
      <c r="H36" s="123">
        <f t="shared" ca="1" si="7"/>
        <v>0</v>
      </c>
      <c r="I36" s="123">
        <f t="shared" ca="1" si="7"/>
        <v>-3337.5599999999977</v>
      </c>
      <c r="J36" s="123">
        <f t="shared" ca="1" si="7"/>
        <v>1036.6000000000058</v>
      </c>
      <c r="K36" s="123">
        <f t="shared" ca="1" si="7"/>
        <v>0</v>
      </c>
      <c r="L36" s="123">
        <f t="shared" ca="1" si="7"/>
        <v>0</v>
      </c>
      <c r="M36" s="123">
        <f t="shared" ca="1" si="7"/>
        <v>-617.41300000000047</v>
      </c>
      <c r="N36" s="123">
        <f t="shared" ca="1" si="7"/>
        <v>-865.65700000000652</v>
      </c>
      <c r="O36" s="123">
        <f t="shared" ca="1" si="7"/>
        <v>-8230</v>
      </c>
      <c r="P36" s="123">
        <f t="shared" ca="1" si="7"/>
        <v>-12687.97287913215</v>
      </c>
      <c r="Q36" s="123">
        <f t="shared" ca="1" si="7"/>
        <v>-44436.63895973115</v>
      </c>
      <c r="R36" s="123">
        <f t="shared" ca="1" si="7"/>
        <v>-103449.11760000001</v>
      </c>
      <c r="S36" s="123">
        <f t="shared" ca="1" si="7"/>
        <v>0</v>
      </c>
      <c r="T36" s="123">
        <f t="shared" ca="1" si="7"/>
        <v>-19796.560000000001</v>
      </c>
      <c r="U36" s="123">
        <f t="shared" ca="1" si="7"/>
        <v>-700.48813000001246</v>
      </c>
      <c r="V36" s="123">
        <f t="shared" ca="1" si="7"/>
        <v>0</v>
      </c>
      <c r="W36" s="123">
        <f t="shared" ca="1" si="7"/>
        <v>0</v>
      </c>
      <c r="X36" s="123">
        <f t="shared" ca="1" si="7"/>
        <v>-5348.7690102006191</v>
      </c>
      <c r="Y36" s="123" t="e">
        <f t="shared" ca="1" si="7"/>
        <v>#REF!</v>
      </c>
      <c r="Z36" s="123" t="e">
        <f t="shared" ca="1" si="7"/>
        <v>#REF!</v>
      </c>
      <c r="AA36" s="123" t="e">
        <f t="shared" ca="1" si="7"/>
        <v>#REF!</v>
      </c>
      <c r="AB36" s="123" t="e">
        <f t="shared" ca="1" si="7"/>
        <v>#REF!</v>
      </c>
      <c r="AC36" s="123" t="e">
        <f t="shared" ca="1" si="7"/>
        <v>#REF!</v>
      </c>
      <c r="AD36" s="123" t="e">
        <f t="shared" ca="1" si="7"/>
        <v>#REF!</v>
      </c>
      <c r="AE36" s="123" t="e">
        <f t="shared" ca="1" si="7"/>
        <v>#REF!</v>
      </c>
      <c r="AF36" s="123" t="e">
        <f t="shared" ca="1" si="7"/>
        <v>#REF!</v>
      </c>
      <c r="AG36" s="312"/>
    </row>
    <row r="37" spans="1:33">
      <c r="A37">
        <f t="shared" si="3"/>
        <v>2042</v>
      </c>
      <c r="B37" s="123">
        <f t="shared" ca="1" si="8"/>
        <v>-50000</v>
      </c>
      <c r="C37" s="123">
        <f t="shared" ca="1" si="7"/>
        <v>-12264</v>
      </c>
      <c r="D37" s="123">
        <f t="shared" ca="1" si="7"/>
        <v>-175.20000000001164</v>
      </c>
      <c r="E37" s="123">
        <f t="shared" ca="1" si="7"/>
        <v>-6582</v>
      </c>
      <c r="F37" s="123">
        <f t="shared" ca="1" si="7"/>
        <v>-8321</v>
      </c>
      <c r="G37" s="123">
        <f t="shared" ca="1" si="7"/>
        <v>-2664.0000000000005</v>
      </c>
      <c r="H37" s="123">
        <f t="shared" ca="1" si="7"/>
        <v>0</v>
      </c>
      <c r="I37" s="123">
        <f t="shared" ca="1" si="7"/>
        <v>-3337.5599999999977</v>
      </c>
      <c r="J37" s="123">
        <f t="shared" ca="1" si="7"/>
        <v>1036.6000000000058</v>
      </c>
      <c r="K37" s="123">
        <f t="shared" ca="1" si="7"/>
        <v>0</v>
      </c>
      <c r="L37" s="123">
        <f t="shared" ca="1" si="7"/>
        <v>0</v>
      </c>
      <c r="M37" s="123">
        <f t="shared" ca="1" si="7"/>
        <v>-611.2390000000014</v>
      </c>
      <c r="N37" s="123">
        <f t="shared" ca="1" si="7"/>
        <v>-865.65700000000652</v>
      </c>
      <c r="O37" s="123">
        <f t="shared" ca="1" si="7"/>
        <v>-8230</v>
      </c>
      <c r="P37" s="123">
        <f t="shared" ca="1" si="7"/>
        <v>-13009.304867857798</v>
      </c>
      <c r="Q37" s="123">
        <f t="shared" ca="1" si="7"/>
        <v>-45825.283927222757</v>
      </c>
      <c r="R37" s="123">
        <f t="shared" ca="1" si="7"/>
        <v>-103449.11760000001</v>
      </c>
      <c r="S37" s="123">
        <f t="shared" ca="1" si="7"/>
        <v>0</v>
      </c>
      <c r="T37" s="123">
        <f t="shared" ca="1" si="7"/>
        <v>-19796.560000000001</v>
      </c>
      <c r="U37" s="123">
        <f t="shared" ca="1" si="7"/>
        <v>-700.48813000001246</v>
      </c>
      <c r="V37" s="123">
        <f t="shared" ca="1" si="7"/>
        <v>0</v>
      </c>
      <c r="W37" s="123">
        <f t="shared" ca="1" si="7"/>
        <v>0</v>
      </c>
      <c r="X37" s="123">
        <f t="shared" ca="1" si="7"/>
        <v>-5342.1014424323585</v>
      </c>
      <c r="Y37" s="123" t="e">
        <f t="shared" ca="1" si="7"/>
        <v>#REF!</v>
      </c>
      <c r="Z37" s="123" t="e">
        <f t="shared" ca="1" si="7"/>
        <v>#REF!</v>
      </c>
      <c r="AA37" s="123" t="e">
        <f t="shared" ca="1" si="7"/>
        <v>#REF!</v>
      </c>
      <c r="AB37" s="123" t="e">
        <f t="shared" ca="1" si="7"/>
        <v>#REF!</v>
      </c>
      <c r="AC37" s="123" t="e">
        <f t="shared" ca="1" si="7"/>
        <v>#REF!</v>
      </c>
      <c r="AD37" s="123" t="e">
        <f t="shared" ca="1" si="7"/>
        <v>#REF!</v>
      </c>
      <c r="AE37" s="123" t="e">
        <f t="shared" ca="1" si="7"/>
        <v>#REF!</v>
      </c>
      <c r="AF37" s="123" t="e">
        <f t="shared" ca="1" si="7"/>
        <v>#REF!</v>
      </c>
      <c r="AG37" s="312"/>
    </row>
    <row r="38" spans="1:33">
      <c r="A38">
        <f t="shared" si="3"/>
        <v>2043</v>
      </c>
      <c r="B38" s="123">
        <f t="shared" ca="1" si="8"/>
        <v>-50000</v>
      </c>
      <c r="C38" s="123">
        <f t="shared" ca="1" si="7"/>
        <v>-12264</v>
      </c>
      <c r="D38" s="123">
        <f t="shared" ca="1" si="7"/>
        <v>-175.20000000001164</v>
      </c>
      <c r="E38" s="123">
        <f t="shared" ca="1" si="7"/>
        <v>-6582</v>
      </c>
      <c r="F38" s="123">
        <f t="shared" ca="1" si="7"/>
        <v>-8321</v>
      </c>
      <c r="G38" s="123">
        <f t="shared" ca="1" si="7"/>
        <v>-2664.0000000000005</v>
      </c>
      <c r="H38" s="123">
        <f t="shared" ca="1" si="7"/>
        <v>0</v>
      </c>
      <c r="I38" s="123">
        <f t="shared" ca="1" si="7"/>
        <v>-3337.5599999999977</v>
      </c>
      <c r="J38" s="123">
        <f t="shared" ca="1" si="7"/>
        <v>1036.6000000000058</v>
      </c>
      <c r="K38" s="123">
        <f t="shared" ca="1" si="7"/>
        <v>0</v>
      </c>
      <c r="L38" s="123">
        <f t="shared" ca="1" si="7"/>
        <v>0</v>
      </c>
      <c r="M38" s="123">
        <f t="shared" ca="1" si="7"/>
        <v>-605.12700000000768</v>
      </c>
      <c r="N38" s="123">
        <f t="shared" ca="1" si="7"/>
        <v>-865.65700000000652</v>
      </c>
      <c r="O38" s="123">
        <f t="shared" ca="1" si="7"/>
        <v>-8230</v>
      </c>
      <c r="P38" s="123">
        <f t="shared" ca="1" si="7"/>
        <v>-13331.31192996851</v>
      </c>
      <c r="Q38" s="123">
        <f t="shared" ca="1" si="7"/>
        <v>-47213.928894714336</v>
      </c>
      <c r="R38" s="123">
        <f t="shared" ca="1" si="7"/>
        <v>-103449.11760000001</v>
      </c>
      <c r="S38" s="123">
        <f t="shared" ca="1" si="7"/>
        <v>0</v>
      </c>
      <c r="T38" s="123">
        <f t="shared" ca="1" si="7"/>
        <v>-19796.560000000001</v>
      </c>
      <c r="U38" s="123">
        <f t="shared" ca="1" si="7"/>
        <v>-700.48813000001246</v>
      </c>
      <c r="V38" s="123">
        <f t="shared" ca="1" si="7"/>
        <v>0</v>
      </c>
      <c r="W38" s="123">
        <f t="shared" ca="1" si="7"/>
        <v>0</v>
      </c>
      <c r="X38" s="123">
        <f t="shared" ca="1" si="7"/>
        <v>-5335.4001209948447</v>
      </c>
      <c r="Y38" s="123" t="e">
        <f t="shared" ca="1" si="7"/>
        <v>#REF!</v>
      </c>
      <c r="Z38" s="123" t="e">
        <f t="shared" ca="1" si="7"/>
        <v>#REF!</v>
      </c>
      <c r="AA38" s="123" t="e">
        <f t="shared" ca="1" si="7"/>
        <v>#REF!</v>
      </c>
      <c r="AB38" s="123" t="e">
        <f t="shared" ca="1" si="7"/>
        <v>#REF!</v>
      </c>
      <c r="AC38" s="123" t="e">
        <f t="shared" ca="1" si="7"/>
        <v>#REF!</v>
      </c>
      <c r="AD38" s="123" t="e">
        <f t="shared" ca="1" si="7"/>
        <v>#REF!</v>
      </c>
      <c r="AE38" s="123" t="e">
        <f t="shared" ca="1" si="7"/>
        <v>#REF!</v>
      </c>
      <c r="AF38" s="123" t="e">
        <f t="shared" ca="1" si="7"/>
        <v>#REF!</v>
      </c>
      <c r="AG38" s="312"/>
    </row>
    <row r="39" spans="1:33">
      <c r="A39">
        <f t="shared" si="3"/>
        <v>2044</v>
      </c>
      <c r="B39" s="123">
        <f t="shared" ca="1" si="8"/>
        <v>-50000</v>
      </c>
      <c r="C39" s="123">
        <f t="shared" ca="1" si="7"/>
        <v>-12264</v>
      </c>
      <c r="D39" s="123">
        <f t="shared" ca="1" si="7"/>
        <v>-175.20000000001164</v>
      </c>
      <c r="E39" s="123">
        <f t="shared" ca="1" si="7"/>
        <v>-6582</v>
      </c>
      <c r="F39" s="123">
        <f t="shared" ca="1" si="7"/>
        <v>-8321</v>
      </c>
      <c r="G39" s="123">
        <f t="shared" ca="1" si="7"/>
        <v>-2664.0000000000005</v>
      </c>
      <c r="H39" s="123">
        <f t="shared" ca="1" si="7"/>
        <v>0</v>
      </c>
      <c r="I39" s="123">
        <f t="shared" ca="1" si="7"/>
        <v>-3337.5599999999977</v>
      </c>
      <c r="J39" s="123">
        <f t="shared" ca="1" si="7"/>
        <v>1036.6000000000058</v>
      </c>
      <c r="K39" s="123">
        <f t="shared" ca="1" si="7"/>
        <v>0</v>
      </c>
      <c r="L39" s="123">
        <f t="shared" ca="1" si="7"/>
        <v>0</v>
      </c>
      <c r="M39" s="123">
        <f t="shared" ca="1" si="7"/>
        <v>-599.07500000001164</v>
      </c>
      <c r="N39" s="123">
        <f t="shared" ca="1" si="7"/>
        <v>-865.65700000000652</v>
      </c>
      <c r="O39" s="123">
        <f t="shared" ca="1" si="7"/>
        <v>-8230</v>
      </c>
      <c r="P39" s="123">
        <f t="shared" ca="1" si="7"/>
        <v>-13653.976963673216</v>
      </c>
      <c r="Q39" s="123">
        <f t="shared" ref="Q39:AF45" ca="1" si="9">OFFSET(INDIRECT(Q$3),$A39-$A$5+$C$1,$C$2)-OFFSET(INDIRECT(Q$3),$A39-$A$5+$C$1,$D$2)+OFFSET(INDIRECT(Q$3),$A39-$A$5+$C$1,0)</f>
        <v>-48602.573862205943</v>
      </c>
      <c r="R39" s="123">
        <f t="shared" ca="1" si="9"/>
        <v>-103449.11760000001</v>
      </c>
      <c r="S39" s="123">
        <f t="shared" ca="1" si="9"/>
        <v>0</v>
      </c>
      <c r="T39" s="123">
        <f t="shared" ca="1" si="9"/>
        <v>-19796.560000000001</v>
      </c>
      <c r="U39" s="123">
        <f t="shared" ca="1" si="9"/>
        <v>-700.48813000001246</v>
      </c>
      <c r="V39" s="123">
        <f t="shared" ca="1" si="9"/>
        <v>0</v>
      </c>
      <c r="W39" s="123">
        <f t="shared" ca="1" si="9"/>
        <v>0</v>
      </c>
      <c r="X39" s="123">
        <f t="shared" ca="1" si="9"/>
        <v>-5328.6659009776304</v>
      </c>
      <c r="Y39" s="123" t="e">
        <f t="shared" ca="1" si="9"/>
        <v>#REF!</v>
      </c>
      <c r="Z39" s="123" t="e">
        <f t="shared" ca="1" si="9"/>
        <v>#REF!</v>
      </c>
      <c r="AA39" s="123" t="e">
        <f t="shared" ca="1" si="9"/>
        <v>#REF!</v>
      </c>
      <c r="AB39" s="123" t="e">
        <f t="shared" ca="1" si="9"/>
        <v>#REF!</v>
      </c>
      <c r="AC39" s="123" t="e">
        <f t="shared" ca="1" si="9"/>
        <v>#REF!</v>
      </c>
      <c r="AD39" s="123" t="e">
        <f t="shared" ca="1" si="9"/>
        <v>#REF!</v>
      </c>
      <c r="AE39" s="123" t="e">
        <f t="shared" ca="1" si="9"/>
        <v>#REF!</v>
      </c>
      <c r="AF39" s="123" t="e">
        <f t="shared" ca="1" si="9"/>
        <v>#REF!</v>
      </c>
      <c r="AG39" s="312"/>
    </row>
    <row r="40" spans="1:33">
      <c r="A40">
        <f t="shared" si="3"/>
        <v>2045</v>
      </c>
      <c r="B40" s="123">
        <f t="shared" ca="1" si="8"/>
        <v>-50000</v>
      </c>
      <c r="C40" s="123">
        <f t="shared" ref="C40:Q45" ca="1" si="10">OFFSET(INDIRECT(C$3),$A40-$A$5+$C$1,$C$2)-OFFSET(INDIRECT(C$3),$A40-$A$5+$C$1,$D$2)+OFFSET(INDIRECT(C$3),$A40-$A$5+$C$1,0)</f>
        <v>-12264</v>
      </c>
      <c r="D40" s="123">
        <f t="shared" ca="1" si="10"/>
        <v>-175.20000000001164</v>
      </c>
      <c r="E40" s="123">
        <f t="shared" ca="1" si="10"/>
        <v>-6582</v>
      </c>
      <c r="F40" s="123">
        <f t="shared" ca="1" si="10"/>
        <v>-8321</v>
      </c>
      <c r="G40" s="123">
        <f t="shared" ca="1" si="10"/>
        <v>-2664.0000000000005</v>
      </c>
      <c r="H40" s="123">
        <f t="shared" ca="1" si="10"/>
        <v>0</v>
      </c>
      <c r="I40" s="123">
        <f t="shared" ca="1" si="10"/>
        <v>-3337.5599999999977</v>
      </c>
      <c r="J40" s="123">
        <f t="shared" ca="1" si="10"/>
        <v>1036.6000000000058</v>
      </c>
      <c r="K40" s="123">
        <f t="shared" ca="1" si="10"/>
        <v>0</v>
      </c>
      <c r="L40" s="123">
        <f t="shared" ca="1" si="10"/>
        <v>0</v>
      </c>
      <c r="M40" s="123">
        <f t="shared" ca="1" si="10"/>
        <v>-593.08499999999185</v>
      </c>
      <c r="N40" s="123">
        <f t="shared" ca="1" si="10"/>
        <v>-865.65700000000652</v>
      </c>
      <c r="O40" s="123">
        <f t="shared" ca="1" si="10"/>
        <v>-8230</v>
      </c>
      <c r="P40" s="123">
        <f t="shared" ca="1" si="10"/>
        <v>-13977.283440001984</v>
      </c>
      <c r="Q40" s="123">
        <f t="shared" ca="1" si="10"/>
        <v>-49991.218829697551</v>
      </c>
      <c r="R40" s="123">
        <f t="shared" ca="1" si="9"/>
        <v>-103449.11760000001</v>
      </c>
      <c r="S40" s="123">
        <f t="shared" ca="1" si="9"/>
        <v>0</v>
      </c>
      <c r="T40" s="123">
        <f t="shared" ca="1" si="9"/>
        <v>-19796.560000000001</v>
      </c>
      <c r="U40" s="123">
        <f t="shared" ca="1" si="9"/>
        <v>-700.48813000001246</v>
      </c>
      <c r="V40" s="123">
        <f t="shared" ca="1" si="9"/>
        <v>0</v>
      </c>
      <c r="W40" s="123">
        <f t="shared" ca="1" si="9"/>
        <v>0</v>
      </c>
      <c r="X40" s="123">
        <f t="shared" ca="1" si="9"/>
        <v>-5321.8996088292115</v>
      </c>
      <c r="Y40" s="123" t="e">
        <f t="shared" ca="1" si="9"/>
        <v>#REF!</v>
      </c>
      <c r="Z40" s="123" t="e">
        <f t="shared" ca="1" si="9"/>
        <v>#REF!</v>
      </c>
      <c r="AA40" s="123" t="e">
        <f t="shared" ca="1" si="9"/>
        <v>#REF!</v>
      </c>
      <c r="AB40" s="123" t="e">
        <f t="shared" ca="1" si="9"/>
        <v>#REF!</v>
      </c>
      <c r="AC40" s="123" t="e">
        <f t="shared" ca="1" si="9"/>
        <v>#REF!</v>
      </c>
      <c r="AD40" s="123" t="e">
        <f t="shared" ca="1" si="9"/>
        <v>#REF!</v>
      </c>
      <c r="AE40" s="123" t="e">
        <f t="shared" ca="1" si="9"/>
        <v>#REF!</v>
      </c>
      <c r="AF40" s="123" t="e">
        <f t="shared" ca="1" si="9"/>
        <v>#REF!</v>
      </c>
      <c r="AG40" s="312"/>
    </row>
    <row r="41" spans="1:33">
      <c r="A41">
        <f>A40+1</f>
        <v>2046</v>
      </c>
      <c r="B41" s="123">
        <f t="shared" ca="1" si="8"/>
        <v>-50000</v>
      </c>
      <c r="C41" s="123">
        <f t="shared" ca="1" si="10"/>
        <v>-12264</v>
      </c>
      <c r="D41" s="123">
        <f t="shared" ca="1" si="10"/>
        <v>-175.20000000001164</v>
      </c>
      <c r="E41" s="123">
        <f t="shared" ca="1" si="10"/>
        <v>-6582</v>
      </c>
      <c r="F41" s="123">
        <f t="shared" ca="1" si="10"/>
        <v>-8321</v>
      </c>
      <c r="G41" s="123">
        <f t="shared" ca="1" si="10"/>
        <v>-2664.0000000000005</v>
      </c>
      <c r="H41" s="123">
        <f t="shared" ca="1" si="10"/>
        <v>0</v>
      </c>
      <c r="I41" s="123">
        <f t="shared" ca="1" si="10"/>
        <v>-3337.5599999999977</v>
      </c>
      <c r="J41" s="123">
        <f t="shared" ca="1" si="10"/>
        <v>1036.6000000000058</v>
      </c>
      <c r="K41" s="123">
        <f t="shared" ca="1" si="10"/>
        <v>0</v>
      </c>
      <c r="L41" s="123">
        <f t="shared" ca="1" si="10"/>
        <v>0</v>
      </c>
      <c r="M41" s="123">
        <f t="shared" ca="1" si="10"/>
        <v>-587.15400000000955</v>
      </c>
      <c r="N41" s="123">
        <f t="shared" ca="1" si="10"/>
        <v>-865.65700000000652</v>
      </c>
      <c r="O41" s="123">
        <f t="shared" ca="1" si="10"/>
        <v>-8230</v>
      </c>
      <c r="P41" s="123">
        <f t="shared" ca="1" si="10"/>
        <v>-14301.21537902192</v>
      </c>
      <c r="Q41" s="123">
        <f t="shared" ca="1" si="10"/>
        <v>-51379.863797189137</v>
      </c>
      <c r="R41" s="123">
        <f t="shared" ca="1" si="9"/>
        <v>-103449.11760000001</v>
      </c>
      <c r="S41" s="123">
        <f t="shared" ca="1" si="9"/>
        <v>0</v>
      </c>
      <c r="T41" s="123">
        <f t="shared" ca="1" si="9"/>
        <v>-19796.560000000001</v>
      </c>
      <c r="U41" s="123">
        <f t="shared" ca="1" si="9"/>
        <v>-700.48813000001246</v>
      </c>
      <c r="V41" s="123">
        <f t="shared" ca="1" si="9"/>
        <v>0</v>
      </c>
      <c r="W41" s="123">
        <f t="shared" ca="1" si="9"/>
        <v>0</v>
      </c>
      <c r="X41" s="123">
        <f t="shared" ca="1" si="9"/>
        <v>-5315.1020435462387</v>
      </c>
      <c r="Y41" s="123" t="e">
        <f t="shared" ca="1" si="9"/>
        <v>#REF!</v>
      </c>
      <c r="Z41" s="123" t="e">
        <f t="shared" ca="1" si="9"/>
        <v>#REF!</v>
      </c>
      <c r="AA41" s="123" t="e">
        <f t="shared" ca="1" si="9"/>
        <v>#REF!</v>
      </c>
      <c r="AB41" s="123" t="e">
        <f t="shared" ca="1" si="9"/>
        <v>#REF!</v>
      </c>
      <c r="AC41" s="123" t="e">
        <f t="shared" ca="1" si="9"/>
        <v>#REF!</v>
      </c>
      <c r="AD41" s="123" t="e">
        <f t="shared" ca="1" si="9"/>
        <v>#REF!</v>
      </c>
      <c r="AE41" s="123" t="e">
        <f t="shared" ca="1" si="9"/>
        <v>#REF!</v>
      </c>
      <c r="AF41" s="123" t="e">
        <f t="shared" ca="1" si="9"/>
        <v>#REF!</v>
      </c>
      <c r="AG41" s="312"/>
    </row>
    <row r="42" spans="1:33">
      <c r="A42">
        <f t="shared" si="3"/>
        <v>2047</v>
      </c>
      <c r="B42" s="123">
        <f t="shared" ca="1" si="8"/>
        <v>-50000</v>
      </c>
      <c r="C42" s="123">
        <f t="shared" ca="1" si="10"/>
        <v>-12264</v>
      </c>
      <c r="D42" s="123">
        <f t="shared" ca="1" si="10"/>
        <v>-175.20000000001164</v>
      </c>
      <c r="E42" s="123">
        <f t="shared" ca="1" si="10"/>
        <v>-6582</v>
      </c>
      <c r="F42" s="123">
        <f t="shared" ca="1" si="10"/>
        <v>-8321</v>
      </c>
      <c r="G42" s="123">
        <f t="shared" ca="1" si="10"/>
        <v>-2664.0000000000005</v>
      </c>
      <c r="H42" s="123">
        <f t="shared" ca="1" si="10"/>
        <v>0</v>
      </c>
      <c r="I42" s="123">
        <f t="shared" ca="1" si="10"/>
        <v>-3337.5599999999977</v>
      </c>
      <c r="J42" s="123">
        <f t="shared" ca="1" si="10"/>
        <v>1036.6000000000058</v>
      </c>
      <c r="K42" s="123">
        <f t="shared" ca="1" si="10"/>
        <v>0</v>
      </c>
      <c r="L42" s="123">
        <f t="shared" ca="1" si="10"/>
        <v>0</v>
      </c>
      <c r="M42" s="123">
        <f t="shared" ca="1" si="10"/>
        <v>-581.28200000000652</v>
      </c>
      <c r="N42" s="123">
        <f t="shared" ca="1" si="10"/>
        <v>-865.65700000000652</v>
      </c>
      <c r="O42" s="123">
        <f t="shared" ca="1" si="10"/>
        <v>-8230</v>
      </c>
      <c r="P42" s="123">
        <f t="shared" ca="1" si="10"/>
        <v>-14625.757327228459</v>
      </c>
      <c r="Q42" s="123">
        <f t="shared" ca="1" si="10"/>
        <v>-52768.508764680722</v>
      </c>
      <c r="R42" s="123">
        <f t="shared" ca="1" si="9"/>
        <v>-103449.11760000001</v>
      </c>
      <c r="S42" s="123">
        <f t="shared" ca="1" si="9"/>
        <v>0</v>
      </c>
      <c r="T42" s="123">
        <f t="shared" ca="1" si="9"/>
        <v>-19796.560000000001</v>
      </c>
      <c r="U42" s="123">
        <f t="shared" ca="1" si="9"/>
        <v>-700.48813000001246</v>
      </c>
      <c r="V42" s="123">
        <f t="shared" ca="1" si="9"/>
        <v>0</v>
      </c>
      <c r="W42" s="123">
        <f t="shared" ca="1" si="9"/>
        <v>0</v>
      </c>
      <c r="X42" s="123">
        <f t="shared" ca="1" si="9"/>
        <v>-5308.2739778039322</v>
      </c>
      <c r="Y42" s="123" t="e">
        <f t="shared" ca="1" si="9"/>
        <v>#REF!</v>
      </c>
      <c r="Z42" s="123" t="e">
        <f t="shared" ca="1" si="9"/>
        <v>#REF!</v>
      </c>
      <c r="AA42" s="123" t="e">
        <f t="shared" ca="1" si="9"/>
        <v>#REF!</v>
      </c>
      <c r="AB42" s="123" t="e">
        <f t="shared" ca="1" si="9"/>
        <v>#REF!</v>
      </c>
      <c r="AC42" s="123" t="e">
        <f t="shared" ca="1" si="9"/>
        <v>#REF!</v>
      </c>
      <c r="AD42" s="123" t="e">
        <f t="shared" ca="1" si="9"/>
        <v>#REF!</v>
      </c>
      <c r="AE42" s="123" t="e">
        <f t="shared" ca="1" si="9"/>
        <v>#REF!</v>
      </c>
      <c r="AF42" s="123" t="e">
        <f t="shared" ca="1" si="9"/>
        <v>#REF!</v>
      </c>
      <c r="AG42" s="312"/>
    </row>
    <row r="43" spans="1:33">
      <c r="A43">
        <f t="shared" si="3"/>
        <v>2048</v>
      </c>
      <c r="B43" s="123">
        <f t="shared" ca="1" si="8"/>
        <v>-50000</v>
      </c>
      <c r="C43" s="123">
        <f t="shared" ca="1" si="10"/>
        <v>-12264</v>
      </c>
      <c r="D43" s="123">
        <f t="shared" ca="1" si="10"/>
        <v>-175.20000000001164</v>
      </c>
      <c r="E43" s="123">
        <f t="shared" ca="1" si="10"/>
        <v>-6582</v>
      </c>
      <c r="F43" s="123">
        <f t="shared" ca="1" si="10"/>
        <v>-8321</v>
      </c>
      <c r="G43" s="123">
        <f t="shared" ca="1" si="10"/>
        <v>-2664.0000000000005</v>
      </c>
      <c r="H43" s="123">
        <f t="shared" ca="1" si="10"/>
        <v>0</v>
      </c>
      <c r="I43" s="123">
        <f t="shared" ca="1" si="10"/>
        <v>-3337.5599999999977</v>
      </c>
      <c r="J43" s="123">
        <f t="shared" ca="1" si="10"/>
        <v>1036.6000000000058</v>
      </c>
      <c r="K43" s="123">
        <f t="shared" ca="1" si="10"/>
        <v>0</v>
      </c>
      <c r="L43" s="123">
        <f t="shared" ca="1" si="10"/>
        <v>0</v>
      </c>
      <c r="M43" s="123">
        <f t="shared" ca="1" si="10"/>
        <v>-575.47000000000116</v>
      </c>
      <c r="N43" s="123">
        <f t="shared" ca="1" si="10"/>
        <v>-865.65700000000652</v>
      </c>
      <c r="O43" s="123">
        <f t="shared" ca="1" si="10"/>
        <v>-8230</v>
      </c>
      <c r="P43" s="123">
        <f t="shared" ca="1" si="10"/>
        <v>-14950.894336044752</v>
      </c>
      <c r="Q43" s="123">
        <f t="shared" ca="1" si="10"/>
        <v>-54157.15373217233</v>
      </c>
      <c r="R43" s="123">
        <f t="shared" ca="1" si="9"/>
        <v>-103449.11760000001</v>
      </c>
      <c r="S43" s="123">
        <f t="shared" ca="1" si="9"/>
        <v>0</v>
      </c>
      <c r="T43" s="123">
        <f t="shared" ca="1" si="9"/>
        <v>-19796.560000000001</v>
      </c>
      <c r="U43" s="123">
        <f t="shared" ca="1" si="9"/>
        <v>-700.48813000001246</v>
      </c>
      <c r="V43" s="123">
        <f t="shared" ca="1" si="9"/>
        <v>0</v>
      </c>
      <c r="W43" s="123">
        <f t="shared" ca="1" si="9"/>
        <v>0</v>
      </c>
      <c r="X43" s="123">
        <f t="shared" ca="1" si="9"/>
        <v>-5301.4161590311405</v>
      </c>
      <c r="Y43" s="123" t="e">
        <f t="shared" ca="1" si="9"/>
        <v>#REF!</v>
      </c>
      <c r="Z43" s="123" t="e">
        <f t="shared" ca="1" si="9"/>
        <v>#REF!</v>
      </c>
      <c r="AA43" s="123" t="e">
        <f t="shared" ca="1" si="9"/>
        <v>#REF!</v>
      </c>
      <c r="AB43" s="123" t="e">
        <f t="shared" ca="1" si="9"/>
        <v>#REF!</v>
      </c>
      <c r="AC43" s="123" t="e">
        <f t="shared" ca="1" si="9"/>
        <v>#REF!</v>
      </c>
      <c r="AD43" s="123" t="e">
        <f t="shared" ca="1" si="9"/>
        <v>#REF!</v>
      </c>
      <c r="AE43" s="123" t="e">
        <f t="shared" ca="1" si="9"/>
        <v>#REF!</v>
      </c>
      <c r="AF43" s="123" t="e">
        <f t="shared" ca="1" si="9"/>
        <v>#REF!</v>
      </c>
      <c r="AG43" s="312"/>
    </row>
    <row r="44" spans="1:33">
      <c r="A44">
        <f t="shared" si="3"/>
        <v>2049</v>
      </c>
      <c r="B44" s="123">
        <f t="shared" ca="1" si="8"/>
        <v>-50000</v>
      </c>
      <c r="C44" s="123">
        <f t="shared" ca="1" si="10"/>
        <v>-12264</v>
      </c>
      <c r="D44" s="123">
        <f t="shared" ca="1" si="10"/>
        <v>-175.20000000001164</v>
      </c>
      <c r="E44" s="123">
        <f t="shared" ca="1" si="10"/>
        <v>-6582</v>
      </c>
      <c r="F44" s="123">
        <f t="shared" ca="1" si="10"/>
        <v>-8321</v>
      </c>
      <c r="G44" s="123">
        <f t="shared" ca="1" si="10"/>
        <v>-2664.0000000000005</v>
      </c>
      <c r="H44" s="123">
        <f t="shared" ca="1" si="10"/>
        <v>0</v>
      </c>
      <c r="I44" s="123">
        <f t="shared" ca="1" si="10"/>
        <v>-3337.5599999999977</v>
      </c>
      <c r="J44" s="123">
        <f t="shared" ca="1" si="10"/>
        <v>1036.6000000000058</v>
      </c>
      <c r="K44" s="123">
        <f t="shared" ca="1" si="10"/>
        <v>0</v>
      </c>
      <c r="L44" s="123">
        <f t="shared" ca="1" si="10"/>
        <v>0</v>
      </c>
      <c r="M44" s="123">
        <f t="shared" ca="1" si="10"/>
        <v>-569.71499999999651</v>
      </c>
      <c r="N44" s="123">
        <f t="shared" ca="1" si="10"/>
        <v>-865.65700000000652</v>
      </c>
      <c r="O44" s="123">
        <f t="shared" ca="1" si="10"/>
        <v>-8230</v>
      </c>
      <c r="P44" s="123">
        <f t="shared" ca="1" si="10"/>
        <v>-15276.611941366187</v>
      </c>
      <c r="Q44" s="123">
        <f t="shared" ca="1" si="10"/>
        <v>-55545.79869966393</v>
      </c>
      <c r="R44" s="123">
        <f t="shared" ca="1" si="9"/>
        <v>-103449.11760000001</v>
      </c>
      <c r="S44" s="123">
        <f t="shared" ca="1" si="9"/>
        <v>0</v>
      </c>
      <c r="T44" s="123">
        <f t="shared" ca="1" si="9"/>
        <v>-19796.560000000001</v>
      </c>
      <c r="U44" s="123">
        <f t="shared" ca="1" si="9"/>
        <v>-700.48813000001246</v>
      </c>
      <c r="V44" s="123">
        <f t="shared" ca="1" si="9"/>
        <v>0</v>
      </c>
      <c r="W44" s="123">
        <f t="shared" ca="1" si="9"/>
        <v>0</v>
      </c>
      <c r="X44" s="123">
        <f t="shared" ca="1" si="9"/>
        <v>-5294.5293104330885</v>
      </c>
      <c r="Y44" s="123" t="e">
        <f t="shared" ca="1" si="9"/>
        <v>#REF!</v>
      </c>
      <c r="Z44" s="123" t="e">
        <f t="shared" ca="1" si="9"/>
        <v>#REF!</v>
      </c>
      <c r="AA44" s="123" t="e">
        <f t="shared" ca="1" si="9"/>
        <v>#REF!</v>
      </c>
      <c r="AB44" s="123" t="e">
        <f t="shared" ca="1" si="9"/>
        <v>#REF!</v>
      </c>
      <c r="AC44" s="123" t="e">
        <f t="shared" ca="1" si="9"/>
        <v>#REF!</v>
      </c>
      <c r="AD44" s="123" t="e">
        <f t="shared" ca="1" si="9"/>
        <v>#REF!</v>
      </c>
      <c r="AE44" s="123" t="e">
        <f t="shared" ca="1" si="9"/>
        <v>#REF!</v>
      </c>
      <c r="AF44" s="123" t="e">
        <f t="shared" ca="1" si="9"/>
        <v>#REF!</v>
      </c>
      <c r="AG44" s="312"/>
    </row>
    <row r="45" spans="1:33">
      <c r="A45">
        <f t="shared" si="3"/>
        <v>2050</v>
      </c>
      <c r="B45" s="123">
        <f t="shared" ca="1" si="8"/>
        <v>-50000</v>
      </c>
      <c r="C45" s="123">
        <f t="shared" ca="1" si="10"/>
        <v>-12264</v>
      </c>
      <c r="D45" s="123">
        <f t="shared" ca="1" si="10"/>
        <v>-175.20000000001164</v>
      </c>
      <c r="E45" s="123">
        <f t="shared" ca="1" si="10"/>
        <v>-6582</v>
      </c>
      <c r="F45" s="123">
        <f t="shared" ca="1" si="10"/>
        <v>-8321</v>
      </c>
      <c r="G45" s="123">
        <f t="shared" ca="1" si="10"/>
        <v>-2664.0000000000005</v>
      </c>
      <c r="H45" s="123">
        <f t="shared" ca="1" si="10"/>
        <v>0</v>
      </c>
      <c r="I45" s="123">
        <f t="shared" ca="1" si="10"/>
        <v>-3337.5599999999977</v>
      </c>
      <c r="J45" s="123">
        <f t="shared" ca="1" si="10"/>
        <v>1036.6000000000058</v>
      </c>
      <c r="K45" s="123">
        <f t="shared" ca="1" si="10"/>
        <v>0</v>
      </c>
      <c r="L45" s="123">
        <f t="shared" ca="1" si="10"/>
        <v>0</v>
      </c>
      <c r="M45" s="123">
        <f t="shared" ca="1" si="10"/>
        <v>-569.71499999999651</v>
      </c>
      <c r="N45" s="123">
        <f t="shared" ca="1" si="10"/>
        <v>-865.65700000000652</v>
      </c>
      <c r="O45" s="123">
        <f t="shared" ca="1" si="10"/>
        <v>-8230</v>
      </c>
      <c r="P45" s="123">
        <f t="shared" ca="1" si="10"/>
        <v>-15602.896144091515</v>
      </c>
      <c r="Q45" s="123">
        <f t="shared" ca="1" si="10"/>
        <v>-56934.44366715553</v>
      </c>
      <c r="R45" s="123">
        <f t="shared" ca="1" si="9"/>
        <v>-103449.11760000001</v>
      </c>
      <c r="S45" s="123">
        <f t="shared" ca="1" si="9"/>
        <v>0</v>
      </c>
      <c r="T45" s="123">
        <f t="shared" ca="1" si="9"/>
        <v>-19796.560000000001</v>
      </c>
      <c r="U45" s="123">
        <f t="shared" ca="1" si="9"/>
        <v>-700.48813000001246</v>
      </c>
      <c r="V45" s="123">
        <f t="shared" ca="1" si="9"/>
        <v>0</v>
      </c>
      <c r="W45" s="123">
        <f t="shared" ca="1" si="9"/>
        <v>0</v>
      </c>
      <c r="X45" s="123">
        <f t="shared" ca="1" si="9"/>
        <v>-5287.614131964845</v>
      </c>
      <c r="Y45" s="123" t="e">
        <f t="shared" ca="1" si="9"/>
        <v>#REF!</v>
      </c>
      <c r="Z45" s="123" t="e">
        <f t="shared" ca="1" si="9"/>
        <v>#REF!</v>
      </c>
      <c r="AA45" s="123" t="e">
        <f t="shared" ca="1" si="9"/>
        <v>#REF!</v>
      </c>
      <c r="AB45" s="123" t="e">
        <f t="shared" ca="1" si="9"/>
        <v>#REF!</v>
      </c>
      <c r="AC45" s="123" t="e">
        <f t="shared" ca="1" si="9"/>
        <v>#REF!</v>
      </c>
      <c r="AD45" s="123" t="e">
        <f t="shared" ca="1" si="9"/>
        <v>#REF!</v>
      </c>
      <c r="AE45" s="123" t="e">
        <f t="shared" ca="1" si="9"/>
        <v>#REF!</v>
      </c>
      <c r="AF45" s="123" t="e">
        <f t="shared" ca="1" si="9"/>
        <v>#REF!</v>
      </c>
      <c r="AG45" s="312"/>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sheetPr codeName="Sheet105"/>
  <dimension ref="A1:AG45"/>
  <sheetViews>
    <sheetView workbookViewId="0">
      <selection activeCell="D3" sqref="D3"/>
    </sheetView>
  </sheetViews>
  <sheetFormatPr defaultRowHeight="15"/>
  <cols>
    <col min="1" max="1" width="18.42578125" bestFit="1" customWidth="1"/>
    <col min="2" max="26" width="11.7109375" customWidth="1"/>
  </cols>
  <sheetData>
    <row r="1" spans="1:33">
      <c r="B1" s="322" t="s">
        <v>298</v>
      </c>
      <c r="C1">
        <v>18</v>
      </c>
    </row>
    <row r="2" spans="1:33">
      <c r="B2" s="322" t="s">
        <v>299</v>
      </c>
      <c r="C2">
        <v>14</v>
      </c>
      <c r="D2">
        <v>11</v>
      </c>
      <c r="E2">
        <v>3</v>
      </c>
    </row>
    <row r="3" spans="1:33" ht="29.25" customHeight="1">
      <c r="A3" s="815" t="s">
        <v>670</v>
      </c>
      <c r="B3" s="264" t="str">
        <f ca="1">OFFSET(Control!$A$5,COLUMN(A3)-1,0)</f>
        <v>GreenPwr1</v>
      </c>
      <c r="C3" s="264" t="str">
        <f ca="1">OFFSET(Control!$A$5,COLUMN(B3)-1,0)</f>
        <v>GreenPwr2</v>
      </c>
      <c r="D3" s="264" t="str">
        <f ca="1">OFFSET(Control!$A$5,COLUMN(C3)-1,0)</f>
        <v>Wind</v>
      </c>
      <c r="E3" s="264" t="str">
        <f ca="1">OFFSET(Control!$A$5,COLUMN(D3)-1,0)</f>
        <v>ShortECM</v>
      </c>
      <c r="F3" s="264" t="str">
        <f ca="1">OFFSET(Control!$A$5,COLUMN(E3)-1,0)</f>
        <v>MidECM</v>
      </c>
      <c r="G3" s="264" t="str">
        <f ca="1">OFFSET(Control!$A$5,COLUMN(F3)-1,0)</f>
        <v>LongECM</v>
      </c>
      <c r="H3" s="264" t="str">
        <f ca="1">OFFSET(Control!$A$5,COLUMN(G3)-1,0)</f>
        <v>SteamLineImp</v>
      </c>
      <c r="I3" s="264" t="str">
        <f ca="1">OFFSET(Control!$A$5,COLUMN(H3)-1,0)</f>
        <v>UnitaryChiller</v>
      </c>
      <c r="J3" s="264" t="str">
        <f ca="1">OFFSET(Control!$A$5,COLUMN(I3)-1,0)</f>
        <v>GeoExchange</v>
      </c>
      <c r="K3" s="264" t="str">
        <f ca="1">OFFSET(Control!$A$5,COLUMN(J3)-1,0)</f>
        <v>SolarDHW</v>
      </c>
      <c r="L3" s="264" t="str">
        <f ca="1">OFFSET(Control!$A$5,COLUMN(K3)-1,0)</f>
        <v>WasteReduction</v>
      </c>
      <c r="M3" s="264" t="str">
        <f ca="1">OFFSET(Control!$A$5,COLUMN(L3)-1,0)</f>
        <v>DishStirling</v>
      </c>
      <c r="N3" s="264" t="str">
        <f ca="1">OFFSET(Control!$A$5,COLUMN(M3)-1,0)</f>
        <v>Parabolic</v>
      </c>
      <c r="O3" s="264" t="str">
        <f ca="1">OFFSET(Control!$A$5,COLUMN(N3)-1,0)</f>
        <v>GreenIT</v>
      </c>
      <c r="P3" s="264" t="str">
        <f ca="1">OFFSET(Control!$A$5,COLUMN(O3)-1,0)</f>
        <v>GreenBuild</v>
      </c>
      <c r="Q3" s="264" t="str">
        <f ca="1">OFFSET(Control!$A$5,COLUMN(P3)-1,0)</f>
        <v>SpacePlanning</v>
      </c>
      <c r="R3" s="264" t="str">
        <f ca="1">OFFSET(Control!$A$5,COLUMN(Q3)-1,0)</f>
        <v>CHP</v>
      </c>
      <c r="S3" s="264" t="str">
        <f ca="1">OFFSET(Control!$A$5,COLUMN(R3)-1,0)</f>
        <v>CoalToNG</v>
      </c>
      <c r="T3" s="264" t="str">
        <f ca="1">OFFSET(Control!$A$5,COLUMN(S3)-1,0)</f>
        <v>CentralChillerExp</v>
      </c>
      <c r="U3" s="264" t="str">
        <f ca="1">OFFSET(Control!$A$5,COLUMN(T3)-1,0)</f>
        <v>RooftopPV</v>
      </c>
      <c r="V3" s="264" t="str">
        <f ca="1">OFFSET(Control!$A$5,COLUMN(U3)-1,0)</f>
        <v>ReducedAir</v>
      </c>
      <c r="W3" s="264" t="str">
        <f ca="1">OFFSET(Control!$A$5,COLUMN(V3)-1,0)</f>
        <v>ReducedAuto</v>
      </c>
      <c r="X3" s="264" t="str">
        <f ca="1">OFFSET(Control!$A$5,COLUMN(W3)-1,0)</f>
        <v>BehaviorChange</v>
      </c>
      <c r="Y3" s="264">
        <f ca="1">OFFSET(Control!$A$5,COLUMN(X3)-1,0)</f>
        <v>0</v>
      </c>
      <c r="Z3" s="264">
        <f ca="1">OFFSET(Control!$A$5,COLUMN(Y3)-1,0)</f>
        <v>0</v>
      </c>
      <c r="AA3" s="264">
        <f ca="1">OFFSET(Control!$A$5,COLUMN(Z3)-1,0)</f>
        <v>0</v>
      </c>
      <c r="AB3" s="264">
        <f ca="1">OFFSET(Control!$A$5,COLUMN(AA3)-1,0)</f>
        <v>0</v>
      </c>
      <c r="AC3" s="264">
        <f ca="1">OFFSET(Control!$A$5,COLUMN(AB3)-1,0)</f>
        <v>0</v>
      </c>
      <c r="AD3" s="264">
        <f ca="1">OFFSET(Control!$A$5,COLUMN(AC3)-1,0)</f>
        <v>0</v>
      </c>
      <c r="AE3" s="264">
        <f ca="1">OFFSET(Control!$A$5,COLUMN(AD3)-1,0)</f>
        <v>0</v>
      </c>
      <c r="AF3" s="264">
        <f ca="1">OFFSET(Control!$A$5,COLUMN(AE3)-1,0)</f>
        <v>0</v>
      </c>
      <c r="AG3" s="264">
        <f ca="1">OFFSET(Control!$A$5,COLUMN(AF3)-1,0)</f>
        <v>0</v>
      </c>
    </row>
    <row r="4" spans="1:33" ht="29.25" customHeight="1">
      <c r="A4" s="354" t="s">
        <v>63</v>
      </c>
      <c r="B4" s="264" t="str">
        <f ca="1">INDIRECT(B3)</f>
        <v>Green Power Purchase Opt 1 (Partial)</v>
      </c>
      <c r="C4" s="264" t="str">
        <f t="shared" ref="C4:AG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t="shared" ca="1" si="0"/>
        <v>#REF!</v>
      </c>
      <c r="AG4" s="264" t="e">
        <f t="shared" ca="1" si="0"/>
        <v>#REF!</v>
      </c>
    </row>
    <row r="5" spans="1:33">
      <c r="A5">
        <v>2010</v>
      </c>
      <c r="B5" s="123">
        <f ca="1">OFFSET(INDIRECT(B$3),$A5-$A$5+$C$1,$C$2)-OFFSET(INDIRECT(B$3),$A5-$A$5+$C$1,$D$2)+OFFSET(INDIRECT(B$3),$A5-$A$5+$C$1,$E$2)</f>
        <v>0</v>
      </c>
      <c r="C5" s="123">
        <f t="shared" ref="C5:AF13" ca="1" si="1">OFFSET(INDIRECT(C$3),$A5-$A$5+$C$1,$C$2)-OFFSET(INDIRECT(C$3),$A5-$A$5+$C$1,$D$2)+OFFSET(INDIRECT(C$3),$A5-$A$5+$C$1,$E$2)</f>
        <v>0</v>
      </c>
      <c r="D5" s="123">
        <f t="shared" ca="1" si="1"/>
        <v>0</v>
      </c>
      <c r="E5" s="123">
        <f t="shared" ca="1" si="1"/>
        <v>0</v>
      </c>
      <c r="F5" s="123">
        <f t="shared" ca="1" si="1"/>
        <v>0</v>
      </c>
      <c r="G5" s="123">
        <f t="shared" ca="1" si="1"/>
        <v>0</v>
      </c>
      <c r="H5" s="123">
        <f t="shared" ca="1" si="1"/>
        <v>0</v>
      </c>
      <c r="I5" s="123">
        <f t="shared" ca="1" si="1"/>
        <v>0</v>
      </c>
      <c r="J5" s="123">
        <f t="shared" ca="1" si="1"/>
        <v>0</v>
      </c>
      <c r="K5" s="123">
        <f t="shared" ca="1" si="1"/>
        <v>0</v>
      </c>
      <c r="L5" s="123">
        <f t="shared" ca="1" si="1"/>
        <v>0</v>
      </c>
      <c r="M5" s="123">
        <f t="shared" ca="1" si="1"/>
        <v>0</v>
      </c>
      <c r="N5" s="123">
        <f t="shared" ca="1" si="1"/>
        <v>0</v>
      </c>
      <c r="O5" s="123">
        <f t="shared" ca="1" si="1"/>
        <v>0</v>
      </c>
      <c r="P5" s="123">
        <f t="shared" ca="1" si="1"/>
        <v>0</v>
      </c>
      <c r="Q5" s="123">
        <f t="shared" ca="1" si="1"/>
        <v>-7386.6672401485412</v>
      </c>
      <c r="R5" s="123">
        <f t="shared" ca="1" si="1"/>
        <v>0</v>
      </c>
      <c r="S5" s="123">
        <f t="shared" ca="1" si="1"/>
        <v>0</v>
      </c>
      <c r="T5" s="123">
        <f t="shared" ca="1" si="1"/>
        <v>0</v>
      </c>
      <c r="U5" s="123">
        <f t="shared" ca="1" si="1"/>
        <v>0</v>
      </c>
      <c r="V5" s="123">
        <f t="shared" ca="1" si="1"/>
        <v>0</v>
      </c>
      <c r="W5" s="123">
        <f t="shared" ca="1" si="1"/>
        <v>0</v>
      </c>
      <c r="X5" s="123">
        <f t="shared" ca="1" si="1"/>
        <v>0</v>
      </c>
      <c r="Y5" s="123" t="e">
        <f t="shared" ca="1" si="1"/>
        <v>#REF!</v>
      </c>
      <c r="Z5" s="123" t="e">
        <f t="shared" ca="1" si="1"/>
        <v>#REF!</v>
      </c>
      <c r="AA5" s="123" t="e">
        <f t="shared" ca="1" si="1"/>
        <v>#REF!</v>
      </c>
      <c r="AB5" s="123" t="e">
        <f t="shared" ca="1" si="1"/>
        <v>#REF!</v>
      </c>
      <c r="AC5" s="123" t="e">
        <f t="shared" ca="1" si="1"/>
        <v>#REF!</v>
      </c>
      <c r="AD5" s="123" t="e">
        <f t="shared" ca="1" si="1"/>
        <v>#REF!</v>
      </c>
      <c r="AE5" s="123" t="e">
        <f t="shared" ca="1" si="1"/>
        <v>#REF!</v>
      </c>
      <c r="AF5" s="123" t="e">
        <f t="shared" ca="1" si="1"/>
        <v>#REF!</v>
      </c>
      <c r="AG5" s="312"/>
    </row>
    <row r="6" spans="1:33">
      <c r="A6">
        <f>A5+1</f>
        <v>2011</v>
      </c>
      <c r="B6" s="123">
        <f t="shared" ref="B6:Q29" ca="1" si="2">OFFSET(INDIRECT(B$3),$A6-$A$5+$C$1,$C$2)-OFFSET(INDIRECT(B$3),$A6-$A$5+$C$1,$D$2)+OFFSET(INDIRECT(B$3),$A6-$A$5+$C$1,$E$2)</f>
        <v>0</v>
      </c>
      <c r="C6" s="123">
        <f t="shared" ca="1" si="1"/>
        <v>0</v>
      </c>
      <c r="D6" s="123">
        <f t="shared" ca="1" si="1"/>
        <v>0</v>
      </c>
      <c r="E6" s="123">
        <f t="shared" ca="1" si="1"/>
        <v>-13233.084999999999</v>
      </c>
      <c r="F6" s="123">
        <f t="shared" ca="1" si="1"/>
        <v>0</v>
      </c>
      <c r="G6" s="123">
        <f t="shared" ca="1" si="1"/>
        <v>0</v>
      </c>
      <c r="H6" s="123">
        <f t="shared" ca="1" si="1"/>
        <v>0</v>
      </c>
      <c r="I6" s="123">
        <f t="shared" ca="1" si="1"/>
        <v>0</v>
      </c>
      <c r="J6" s="123">
        <f t="shared" ca="1" si="1"/>
        <v>0</v>
      </c>
      <c r="K6" s="123">
        <f t="shared" ca="1" si="1"/>
        <v>0</v>
      </c>
      <c r="L6" s="123">
        <f t="shared" ca="1" si="1"/>
        <v>0</v>
      </c>
      <c r="M6" s="123">
        <f t="shared" ca="1" si="1"/>
        <v>0</v>
      </c>
      <c r="N6" s="123">
        <f t="shared" ca="1" si="1"/>
        <v>0</v>
      </c>
      <c r="O6" s="123">
        <f t="shared" ca="1" si="1"/>
        <v>0</v>
      </c>
      <c r="P6" s="123">
        <f t="shared" ca="1" si="1"/>
        <v>-3352.7716255836644</v>
      </c>
      <c r="Q6" s="123">
        <f t="shared" ca="1" si="1"/>
        <v>-14773.33448029699</v>
      </c>
      <c r="R6" s="123">
        <f t="shared" ca="1" si="1"/>
        <v>0</v>
      </c>
      <c r="S6" s="123">
        <f t="shared" ca="1" si="1"/>
        <v>0</v>
      </c>
      <c r="T6" s="123">
        <f t="shared" ca="1" si="1"/>
        <v>0</v>
      </c>
      <c r="U6" s="123">
        <f t="shared" ca="1" si="1"/>
        <v>0</v>
      </c>
      <c r="V6" s="123">
        <f t="shared" ca="1" si="1"/>
        <v>0</v>
      </c>
      <c r="W6" s="123">
        <f t="shared" ca="1" si="1"/>
        <v>0</v>
      </c>
      <c r="X6" s="123">
        <f t="shared" ca="1" si="1"/>
        <v>0</v>
      </c>
      <c r="Y6" s="123" t="e">
        <f t="shared" ca="1" si="1"/>
        <v>#REF!</v>
      </c>
      <c r="Z6" s="123" t="e">
        <f t="shared" ca="1" si="1"/>
        <v>#REF!</v>
      </c>
      <c r="AA6" s="123" t="e">
        <f t="shared" ca="1" si="1"/>
        <v>#REF!</v>
      </c>
      <c r="AB6" s="123" t="e">
        <f t="shared" ca="1" si="1"/>
        <v>#REF!</v>
      </c>
      <c r="AC6" s="123" t="e">
        <f t="shared" ca="1" si="1"/>
        <v>#REF!</v>
      </c>
      <c r="AD6" s="123" t="e">
        <f t="shared" ca="1" si="1"/>
        <v>#REF!</v>
      </c>
      <c r="AE6" s="123" t="e">
        <f t="shared" ca="1" si="1"/>
        <v>#REF!</v>
      </c>
      <c r="AF6" s="123" t="e">
        <f t="shared" ca="1" si="1"/>
        <v>#REF!</v>
      </c>
      <c r="AG6" s="312"/>
    </row>
    <row r="7" spans="1:33">
      <c r="A7">
        <f t="shared" ref="A7:A45" si="3">A6+1</f>
        <v>2012</v>
      </c>
      <c r="B7" s="123">
        <f t="shared" ca="1" si="2"/>
        <v>0</v>
      </c>
      <c r="C7" s="123">
        <f t="shared" ca="1" si="1"/>
        <v>0</v>
      </c>
      <c r="D7" s="123">
        <f t="shared" ca="1" si="1"/>
        <v>0</v>
      </c>
      <c r="E7" s="123">
        <f t="shared" ca="1" si="1"/>
        <v>-26466.17</v>
      </c>
      <c r="F7" s="123">
        <f t="shared" ca="1" si="1"/>
        <v>0</v>
      </c>
      <c r="G7" s="123">
        <f t="shared" ca="1" si="1"/>
        <v>0</v>
      </c>
      <c r="H7" s="123">
        <f t="shared" ca="1" si="1"/>
        <v>-28540.337817737665</v>
      </c>
      <c r="I7" s="123">
        <f t="shared" ca="1" si="1"/>
        <v>0</v>
      </c>
      <c r="J7" s="123">
        <f t="shared" ca="1" si="1"/>
        <v>0</v>
      </c>
      <c r="K7" s="123">
        <f t="shared" ca="1" si="1"/>
        <v>-390.68231228680816</v>
      </c>
      <c r="L7" s="123">
        <f t="shared" ca="1" si="1"/>
        <v>0</v>
      </c>
      <c r="M7" s="123">
        <f t="shared" ca="1" si="1"/>
        <v>0</v>
      </c>
      <c r="N7" s="123">
        <f t="shared" ca="1" si="1"/>
        <v>0</v>
      </c>
      <c r="O7" s="123">
        <f t="shared" ca="1" si="1"/>
        <v>0</v>
      </c>
      <c r="P7" s="123">
        <f t="shared" ca="1" si="1"/>
        <v>-16303.389492790942</v>
      </c>
      <c r="Q7" s="123">
        <f t="shared" ca="1" si="1"/>
        <v>-22160.001720445529</v>
      </c>
      <c r="R7" s="123">
        <f t="shared" ca="1" si="1"/>
        <v>0</v>
      </c>
      <c r="S7" s="123">
        <f t="shared" ca="1" si="1"/>
        <v>0</v>
      </c>
      <c r="T7" s="123">
        <f t="shared" ca="1" si="1"/>
        <v>0</v>
      </c>
      <c r="U7" s="123">
        <f t="shared" ca="1" si="1"/>
        <v>0</v>
      </c>
      <c r="V7" s="123">
        <f t="shared" ca="1" si="1"/>
        <v>0</v>
      </c>
      <c r="W7" s="123">
        <f t="shared" ca="1" si="1"/>
        <v>0</v>
      </c>
      <c r="X7" s="123">
        <f t="shared" ca="1" si="1"/>
        <v>0</v>
      </c>
      <c r="Y7" s="123" t="e">
        <f t="shared" ca="1" si="1"/>
        <v>#REF!</v>
      </c>
      <c r="Z7" s="123" t="e">
        <f t="shared" ca="1" si="1"/>
        <v>#REF!</v>
      </c>
      <c r="AA7" s="123" t="e">
        <f t="shared" ca="1" si="1"/>
        <v>#REF!</v>
      </c>
      <c r="AB7" s="123" t="e">
        <f t="shared" ca="1" si="1"/>
        <v>#REF!</v>
      </c>
      <c r="AC7" s="123" t="e">
        <f t="shared" ca="1" si="1"/>
        <v>#REF!</v>
      </c>
      <c r="AD7" s="123" t="e">
        <f t="shared" ca="1" si="1"/>
        <v>#REF!</v>
      </c>
      <c r="AE7" s="123" t="e">
        <f t="shared" ca="1" si="1"/>
        <v>#REF!</v>
      </c>
      <c r="AF7" s="123" t="e">
        <f t="shared" ca="1" si="1"/>
        <v>#REF!</v>
      </c>
      <c r="AG7" s="312"/>
    </row>
    <row r="8" spans="1:33">
      <c r="A8">
        <f t="shared" si="3"/>
        <v>2013</v>
      </c>
      <c r="B8" s="123">
        <f t="shared" ca="1" si="2"/>
        <v>0</v>
      </c>
      <c r="C8" s="123">
        <f t="shared" ca="1" si="1"/>
        <v>0</v>
      </c>
      <c r="D8" s="123">
        <f t="shared" ca="1" si="1"/>
        <v>0</v>
      </c>
      <c r="E8" s="123">
        <f t="shared" ca="1" si="1"/>
        <v>-39699.254999999997</v>
      </c>
      <c r="F8" s="123">
        <f t="shared" ca="1" si="1"/>
        <v>0</v>
      </c>
      <c r="G8" s="123">
        <f t="shared" ca="1" si="1"/>
        <v>0</v>
      </c>
      <c r="H8" s="123">
        <f t="shared" ca="1" si="1"/>
        <v>-28998.793405336473</v>
      </c>
      <c r="I8" s="123">
        <f t="shared" ca="1" si="1"/>
        <v>0</v>
      </c>
      <c r="J8" s="123">
        <f t="shared" ca="1" si="1"/>
        <v>-9732.5</v>
      </c>
      <c r="K8" s="123">
        <f t="shared" ca="1" si="1"/>
        <v>-390.68231228680816</v>
      </c>
      <c r="L8" s="123">
        <f t="shared" ca="1" si="1"/>
        <v>0</v>
      </c>
      <c r="M8" s="123">
        <f t="shared" ca="1" si="1"/>
        <v>0</v>
      </c>
      <c r="N8" s="123">
        <f t="shared" ca="1" si="1"/>
        <v>0</v>
      </c>
      <c r="O8" s="123">
        <f t="shared" ca="1" si="1"/>
        <v>0</v>
      </c>
      <c r="P8" s="123">
        <f t="shared" ca="1" si="1"/>
        <v>-21054.565865877918</v>
      </c>
      <c r="Q8" s="123">
        <f t="shared" ca="1" si="1"/>
        <v>-29546.668960593979</v>
      </c>
      <c r="R8" s="123">
        <f t="shared" ca="1" si="1"/>
        <v>0</v>
      </c>
      <c r="S8" s="123">
        <f t="shared" ca="1" si="1"/>
        <v>0</v>
      </c>
      <c r="T8" s="123">
        <f t="shared" ca="1" si="1"/>
        <v>0</v>
      </c>
      <c r="U8" s="123">
        <f t="shared" ca="1" si="1"/>
        <v>0</v>
      </c>
      <c r="V8" s="123">
        <f t="shared" ca="1" si="1"/>
        <v>0</v>
      </c>
      <c r="W8" s="123">
        <f t="shared" ca="1" si="1"/>
        <v>0</v>
      </c>
      <c r="X8" s="123">
        <f t="shared" ca="1" si="1"/>
        <v>0</v>
      </c>
      <c r="Y8" s="123" t="e">
        <f t="shared" ca="1" si="1"/>
        <v>#REF!</v>
      </c>
      <c r="Z8" s="123" t="e">
        <f t="shared" ca="1" si="1"/>
        <v>#REF!</v>
      </c>
      <c r="AA8" s="123" t="e">
        <f t="shared" ca="1" si="1"/>
        <v>#REF!</v>
      </c>
      <c r="AB8" s="123" t="e">
        <f t="shared" ca="1" si="1"/>
        <v>#REF!</v>
      </c>
      <c r="AC8" s="123" t="e">
        <f t="shared" ca="1" si="1"/>
        <v>#REF!</v>
      </c>
      <c r="AD8" s="123" t="e">
        <f t="shared" ca="1" si="1"/>
        <v>#REF!</v>
      </c>
      <c r="AE8" s="123" t="e">
        <f t="shared" ca="1" si="1"/>
        <v>#REF!</v>
      </c>
      <c r="AF8" s="123" t="e">
        <f t="shared" ca="1" si="1"/>
        <v>#REF!</v>
      </c>
      <c r="AG8" s="312"/>
    </row>
    <row r="9" spans="1:33">
      <c r="A9">
        <f t="shared" si="3"/>
        <v>2014</v>
      </c>
      <c r="B9" s="123">
        <f t="shared" ca="1" si="2"/>
        <v>0</v>
      </c>
      <c r="C9" s="123">
        <f t="shared" ca="1" si="1"/>
        <v>0</v>
      </c>
      <c r="D9" s="123">
        <f t="shared" ca="1" si="1"/>
        <v>0</v>
      </c>
      <c r="E9" s="123">
        <f t="shared" ca="1" si="1"/>
        <v>-52932.34</v>
      </c>
      <c r="F9" s="123">
        <f t="shared" ca="1" si="1"/>
        <v>0</v>
      </c>
      <c r="G9" s="123">
        <f t="shared" ca="1" si="1"/>
        <v>0</v>
      </c>
      <c r="H9" s="123">
        <f t="shared" ca="1" si="1"/>
        <v>-29334.257370523505</v>
      </c>
      <c r="I9" s="123">
        <f t="shared" ca="1" si="1"/>
        <v>0</v>
      </c>
      <c r="J9" s="123">
        <f t="shared" ca="1" si="1"/>
        <v>-9732.5</v>
      </c>
      <c r="K9" s="123">
        <f t="shared" ca="1" si="1"/>
        <v>-390.68231228680816</v>
      </c>
      <c r="L9" s="123">
        <f t="shared" ca="1" si="1"/>
        <v>0</v>
      </c>
      <c r="M9" s="123">
        <f t="shared" ca="1" si="1"/>
        <v>0</v>
      </c>
      <c r="N9" s="123">
        <f t="shared" ca="1" si="1"/>
        <v>0</v>
      </c>
      <c r="O9" s="123">
        <f t="shared" ca="1" si="1"/>
        <v>0</v>
      </c>
      <c r="P9" s="123">
        <f t="shared" ca="1" si="1"/>
        <v>-22730.951678669753</v>
      </c>
      <c r="Q9" s="123">
        <f t="shared" ca="1" si="1"/>
        <v>-36933.336200742517</v>
      </c>
      <c r="R9" s="123">
        <f t="shared" ca="1" si="1"/>
        <v>0</v>
      </c>
      <c r="S9" s="123">
        <f t="shared" ca="1" si="1"/>
        <v>0</v>
      </c>
      <c r="T9" s="123">
        <f t="shared" ca="1" si="1"/>
        <v>0</v>
      </c>
      <c r="U9" s="123">
        <f t="shared" ca="1" si="1"/>
        <v>0</v>
      </c>
      <c r="V9" s="123">
        <f t="shared" ca="1" si="1"/>
        <v>0</v>
      </c>
      <c r="W9" s="123">
        <f t="shared" ca="1" si="1"/>
        <v>0</v>
      </c>
      <c r="X9" s="123">
        <f t="shared" ca="1" si="1"/>
        <v>0</v>
      </c>
      <c r="Y9" s="123" t="e">
        <f t="shared" ca="1" si="1"/>
        <v>#REF!</v>
      </c>
      <c r="Z9" s="123" t="e">
        <f t="shared" ca="1" si="1"/>
        <v>#REF!</v>
      </c>
      <c r="AA9" s="123" t="e">
        <f t="shared" ca="1" si="1"/>
        <v>#REF!</v>
      </c>
      <c r="AB9" s="123" t="e">
        <f t="shared" ca="1" si="1"/>
        <v>#REF!</v>
      </c>
      <c r="AC9" s="123" t="e">
        <f t="shared" ca="1" si="1"/>
        <v>#REF!</v>
      </c>
      <c r="AD9" s="123" t="e">
        <f t="shared" ca="1" si="1"/>
        <v>#REF!</v>
      </c>
      <c r="AE9" s="123" t="e">
        <f t="shared" ca="1" si="1"/>
        <v>#REF!</v>
      </c>
      <c r="AF9" s="123" t="e">
        <f t="shared" ca="1" si="1"/>
        <v>#REF!</v>
      </c>
      <c r="AG9" s="312"/>
    </row>
    <row r="10" spans="1:33">
      <c r="A10">
        <f t="shared" si="3"/>
        <v>2015</v>
      </c>
      <c r="B10" s="123">
        <f t="shared" ca="1" si="2"/>
        <v>0</v>
      </c>
      <c r="C10" s="123">
        <f t="shared" ca="1" si="1"/>
        <v>0</v>
      </c>
      <c r="D10" s="123">
        <f t="shared" ca="1" si="1"/>
        <v>0</v>
      </c>
      <c r="E10" s="123">
        <f t="shared" ca="1" si="1"/>
        <v>-66165.424999999988</v>
      </c>
      <c r="F10" s="123">
        <f t="shared" ca="1" si="1"/>
        <v>0</v>
      </c>
      <c r="G10" s="123">
        <f t="shared" ca="1" si="1"/>
        <v>0</v>
      </c>
      <c r="H10" s="123">
        <f t="shared" ca="1" si="1"/>
        <v>-29997.698995475323</v>
      </c>
      <c r="I10" s="123">
        <f t="shared" ca="1" si="1"/>
        <v>0</v>
      </c>
      <c r="J10" s="123">
        <f t="shared" ca="1" si="1"/>
        <v>-19465</v>
      </c>
      <c r="K10" s="123">
        <f t="shared" ca="1" si="1"/>
        <v>-390.68231228680816</v>
      </c>
      <c r="L10" s="123">
        <f t="shared" ca="1" si="1"/>
        <v>0</v>
      </c>
      <c r="M10" s="123">
        <f t="shared" ca="1" si="1"/>
        <v>0</v>
      </c>
      <c r="N10" s="123">
        <f t="shared" ca="1" si="1"/>
        <v>0</v>
      </c>
      <c r="O10" s="123">
        <f t="shared" ca="1" si="1"/>
        <v>0</v>
      </c>
      <c r="P10" s="123">
        <f t="shared" ca="1" si="1"/>
        <v>-32606.778985581885</v>
      </c>
      <c r="Q10" s="123">
        <f t="shared" ca="1" si="1"/>
        <v>-44320.003440891058</v>
      </c>
      <c r="R10" s="123">
        <f t="shared" ca="1" si="1"/>
        <v>0</v>
      </c>
      <c r="S10" s="123">
        <f t="shared" ca="1" si="1"/>
        <v>0</v>
      </c>
      <c r="T10" s="123">
        <f t="shared" ca="1" si="1"/>
        <v>0</v>
      </c>
      <c r="U10" s="123">
        <f t="shared" ca="1" si="1"/>
        <v>0</v>
      </c>
      <c r="V10" s="123">
        <f t="shared" ca="1" si="1"/>
        <v>0</v>
      </c>
      <c r="W10" s="123">
        <f t="shared" ca="1" si="1"/>
        <v>0</v>
      </c>
      <c r="X10" s="123">
        <f t="shared" ca="1" si="1"/>
        <v>0</v>
      </c>
      <c r="Y10" s="123" t="e">
        <f t="shared" ca="1" si="1"/>
        <v>#REF!</v>
      </c>
      <c r="Z10" s="123" t="e">
        <f t="shared" ca="1" si="1"/>
        <v>#REF!</v>
      </c>
      <c r="AA10" s="123" t="e">
        <f t="shared" ca="1" si="1"/>
        <v>#REF!</v>
      </c>
      <c r="AB10" s="123" t="e">
        <f t="shared" ca="1" si="1"/>
        <v>#REF!</v>
      </c>
      <c r="AC10" s="123" t="e">
        <f t="shared" ca="1" si="1"/>
        <v>#REF!</v>
      </c>
      <c r="AD10" s="123" t="e">
        <f t="shared" ca="1" si="1"/>
        <v>#REF!</v>
      </c>
      <c r="AE10" s="123" t="e">
        <f t="shared" ca="1" si="1"/>
        <v>#REF!</v>
      </c>
      <c r="AF10" s="123" t="e">
        <f t="shared" ca="1" si="1"/>
        <v>#REF!</v>
      </c>
      <c r="AG10" s="312"/>
    </row>
    <row r="11" spans="1:33">
      <c r="A11">
        <f t="shared" si="3"/>
        <v>2016</v>
      </c>
      <c r="B11" s="123">
        <f t="shared" ca="1" si="2"/>
        <v>0</v>
      </c>
      <c r="C11" s="123">
        <f t="shared" ca="1" si="1"/>
        <v>0</v>
      </c>
      <c r="D11" s="123">
        <f t="shared" ca="1" si="1"/>
        <v>0</v>
      </c>
      <c r="E11" s="123">
        <f t="shared" ca="1" si="1"/>
        <v>-66165.424999999988</v>
      </c>
      <c r="F11" s="123">
        <f t="shared" ca="1" si="1"/>
        <v>-7516.6218749999998</v>
      </c>
      <c r="G11" s="123">
        <f t="shared" ca="1" si="1"/>
        <v>0</v>
      </c>
      <c r="H11" s="123">
        <f t="shared" ca="1" si="1"/>
        <v>-30333.162960662339</v>
      </c>
      <c r="I11" s="123">
        <f t="shared" ca="1" si="1"/>
        <v>0</v>
      </c>
      <c r="J11" s="123">
        <f t="shared" ca="1" si="1"/>
        <v>-19465</v>
      </c>
      <c r="K11" s="123">
        <f t="shared" ca="1" si="1"/>
        <v>-390.68231228680816</v>
      </c>
      <c r="L11" s="123">
        <f t="shared" ca="1" si="1"/>
        <v>0</v>
      </c>
      <c r="M11" s="123">
        <f t="shared" ca="1" si="1"/>
        <v>0</v>
      </c>
      <c r="N11" s="123">
        <f t="shared" ca="1" si="1"/>
        <v>0</v>
      </c>
      <c r="O11" s="123">
        <f t="shared" ca="1" si="1"/>
        <v>0</v>
      </c>
      <c r="P11" s="123">
        <f t="shared" ca="1" si="1"/>
        <v>-34283.16479837372</v>
      </c>
      <c r="Q11" s="123">
        <f t="shared" ca="1" si="1"/>
        <v>-51706.670681039512</v>
      </c>
      <c r="R11" s="123">
        <f t="shared" ca="1" si="1"/>
        <v>0</v>
      </c>
      <c r="S11" s="123">
        <f t="shared" ca="1" si="1"/>
        <v>0</v>
      </c>
      <c r="T11" s="123">
        <f t="shared" ca="1" si="1"/>
        <v>0</v>
      </c>
      <c r="U11" s="123">
        <f t="shared" ca="1" si="1"/>
        <v>0</v>
      </c>
      <c r="V11" s="123">
        <f t="shared" ca="1" si="1"/>
        <v>0</v>
      </c>
      <c r="W11" s="123">
        <f t="shared" ca="1" si="1"/>
        <v>0</v>
      </c>
      <c r="X11" s="123">
        <f t="shared" ca="1" si="1"/>
        <v>0</v>
      </c>
      <c r="Y11" s="123" t="e">
        <f t="shared" ca="1" si="1"/>
        <v>#REF!</v>
      </c>
      <c r="Z11" s="123" t="e">
        <f t="shared" ca="1" si="1"/>
        <v>#REF!</v>
      </c>
      <c r="AA11" s="123" t="e">
        <f t="shared" ca="1" si="1"/>
        <v>#REF!</v>
      </c>
      <c r="AB11" s="123" t="e">
        <f t="shared" ca="1" si="1"/>
        <v>#REF!</v>
      </c>
      <c r="AC11" s="123" t="e">
        <f t="shared" ca="1" si="1"/>
        <v>#REF!</v>
      </c>
      <c r="AD11" s="123" t="e">
        <f t="shared" ca="1" si="1"/>
        <v>#REF!</v>
      </c>
      <c r="AE11" s="123" t="e">
        <f t="shared" ca="1" si="1"/>
        <v>#REF!</v>
      </c>
      <c r="AF11" s="123" t="e">
        <f t="shared" ca="1" si="1"/>
        <v>#REF!</v>
      </c>
      <c r="AG11" s="312"/>
    </row>
    <row r="12" spans="1:33">
      <c r="A12">
        <f t="shared" si="3"/>
        <v>2017</v>
      </c>
      <c r="B12" s="123">
        <f t="shared" ca="1" si="2"/>
        <v>0</v>
      </c>
      <c r="C12" s="123">
        <f t="shared" ca="1" si="1"/>
        <v>0</v>
      </c>
      <c r="D12" s="123">
        <f t="shared" ca="1" si="1"/>
        <v>0</v>
      </c>
      <c r="E12" s="123">
        <f t="shared" ca="1" si="1"/>
        <v>-66165.424999999988</v>
      </c>
      <c r="F12" s="123">
        <f t="shared" ca="1" si="1"/>
        <v>-15033.24375</v>
      </c>
      <c r="G12" s="123">
        <f t="shared" ca="1" si="1"/>
        <v>0</v>
      </c>
      <c r="H12" s="123">
        <f t="shared" ca="1" si="1"/>
        <v>-30668.626925849356</v>
      </c>
      <c r="I12" s="123">
        <f t="shared" ca="1" si="1"/>
        <v>0</v>
      </c>
      <c r="J12" s="123">
        <f t="shared" ca="1" si="1"/>
        <v>-19465</v>
      </c>
      <c r="K12" s="123">
        <f t="shared" ca="1" si="1"/>
        <v>-390.68231228680816</v>
      </c>
      <c r="L12" s="123">
        <f t="shared" ca="1" si="1"/>
        <v>0</v>
      </c>
      <c r="M12" s="123">
        <f t="shared" ca="1" si="1"/>
        <v>0</v>
      </c>
      <c r="N12" s="123">
        <f t="shared" ca="1" si="1"/>
        <v>0</v>
      </c>
      <c r="O12" s="123">
        <f t="shared" ca="1" si="1"/>
        <v>0</v>
      </c>
      <c r="P12" s="123">
        <f t="shared" ca="1" si="1"/>
        <v>-35959.550611165556</v>
      </c>
      <c r="Q12" s="123">
        <f t="shared" ca="1" si="1"/>
        <v>-59093.337921188053</v>
      </c>
      <c r="R12" s="123">
        <f t="shared" ca="1" si="1"/>
        <v>0</v>
      </c>
      <c r="S12" s="123">
        <f t="shared" ca="1" si="1"/>
        <v>0</v>
      </c>
      <c r="T12" s="123">
        <f t="shared" ca="1" si="1"/>
        <v>0</v>
      </c>
      <c r="U12" s="123">
        <f t="shared" ca="1" si="1"/>
        <v>0</v>
      </c>
      <c r="V12" s="123">
        <f t="shared" ca="1" si="1"/>
        <v>0</v>
      </c>
      <c r="W12" s="123">
        <f t="shared" ca="1" si="1"/>
        <v>0</v>
      </c>
      <c r="X12" s="123">
        <f t="shared" ca="1" si="1"/>
        <v>0</v>
      </c>
      <c r="Y12" s="123" t="e">
        <f t="shared" ca="1" si="1"/>
        <v>#REF!</v>
      </c>
      <c r="Z12" s="123" t="e">
        <f t="shared" ca="1" si="1"/>
        <v>#REF!</v>
      </c>
      <c r="AA12" s="123" t="e">
        <f t="shared" ca="1" si="1"/>
        <v>#REF!</v>
      </c>
      <c r="AB12" s="123" t="e">
        <f t="shared" ca="1" si="1"/>
        <v>#REF!</v>
      </c>
      <c r="AC12" s="123" t="e">
        <f t="shared" ca="1" si="1"/>
        <v>#REF!</v>
      </c>
      <c r="AD12" s="123" t="e">
        <f t="shared" ca="1" si="1"/>
        <v>#REF!</v>
      </c>
      <c r="AE12" s="123" t="e">
        <f t="shared" ca="1" si="1"/>
        <v>#REF!</v>
      </c>
      <c r="AF12" s="123" t="e">
        <f t="shared" ca="1" si="1"/>
        <v>#REF!</v>
      </c>
      <c r="AG12" s="312"/>
    </row>
    <row r="13" spans="1:33">
      <c r="A13">
        <f t="shared" si="3"/>
        <v>2018</v>
      </c>
      <c r="B13" s="123">
        <f t="shared" ca="1" si="2"/>
        <v>0</v>
      </c>
      <c r="C13" s="123">
        <f t="shared" ca="1" si="1"/>
        <v>0</v>
      </c>
      <c r="D13" s="123">
        <f t="shared" ca="1" si="1"/>
        <v>0</v>
      </c>
      <c r="E13" s="123">
        <f t="shared" ca="1" si="1"/>
        <v>-66165.424999999988</v>
      </c>
      <c r="F13" s="123">
        <f t="shared" ca="1" si="1"/>
        <v>-22549.865624999999</v>
      </c>
      <c r="G13" s="123">
        <f t="shared" ca="1" si="1"/>
        <v>0</v>
      </c>
      <c r="H13" s="123">
        <f t="shared" ca="1" si="1"/>
        <v>-31004.090891036365</v>
      </c>
      <c r="I13" s="123">
        <f t="shared" ca="1" si="1"/>
        <v>0</v>
      </c>
      <c r="J13" s="123">
        <f t="shared" ca="1" si="1"/>
        <v>-19465</v>
      </c>
      <c r="K13" s="123">
        <f t="shared" ca="1" si="1"/>
        <v>-390.68231228680816</v>
      </c>
      <c r="L13" s="123">
        <f t="shared" ca="1" si="1"/>
        <v>0</v>
      </c>
      <c r="M13" s="123">
        <f t="shared" ca="1" si="1"/>
        <v>0</v>
      </c>
      <c r="N13" s="123">
        <f t="shared" ca="1" si="1"/>
        <v>0</v>
      </c>
      <c r="O13" s="123">
        <f t="shared" ca="1" si="1"/>
        <v>0</v>
      </c>
      <c r="P13" s="123">
        <f t="shared" ca="1" si="1"/>
        <v>-37635.936423957384</v>
      </c>
      <c r="Q13" s="123">
        <f t="shared" ca="1" si="1"/>
        <v>-66480.005161336492</v>
      </c>
      <c r="R13" s="123">
        <f t="shared" ref="R13:AF30" ca="1" si="4">OFFSET(INDIRECT(R$3),$A13-$A$5+$C$1,$C$2)-OFFSET(INDIRECT(R$3),$A13-$A$5+$C$1,$D$2)+OFFSET(INDIRECT(R$3),$A13-$A$5+$C$1,$E$2)</f>
        <v>0</v>
      </c>
      <c r="S13" s="123">
        <f t="shared" ca="1" si="4"/>
        <v>0</v>
      </c>
      <c r="T13" s="123">
        <f t="shared" ca="1" si="4"/>
        <v>0</v>
      </c>
      <c r="U13" s="123">
        <f t="shared" ca="1" si="4"/>
        <v>0</v>
      </c>
      <c r="V13" s="123">
        <f t="shared" ca="1" si="4"/>
        <v>0</v>
      </c>
      <c r="W13" s="123">
        <f t="shared" ca="1" si="4"/>
        <v>0</v>
      </c>
      <c r="X13" s="123">
        <f t="shared" ca="1" si="4"/>
        <v>0</v>
      </c>
      <c r="Y13" s="123" t="e">
        <f t="shared" ca="1" si="4"/>
        <v>#REF!</v>
      </c>
      <c r="Z13" s="123" t="e">
        <f t="shared" ca="1" si="4"/>
        <v>#REF!</v>
      </c>
      <c r="AA13" s="123" t="e">
        <f t="shared" ca="1" si="4"/>
        <v>#REF!</v>
      </c>
      <c r="AB13" s="123" t="e">
        <f t="shared" ca="1" si="4"/>
        <v>#REF!</v>
      </c>
      <c r="AC13" s="123" t="e">
        <f t="shared" ca="1" si="4"/>
        <v>#REF!</v>
      </c>
      <c r="AD13" s="123" t="e">
        <f t="shared" ca="1" si="4"/>
        <v>#REF!</v>
      </c>
      <c r="AE13" s="123" t="e">
        <f t="shared" ca="1" si="4"/>
        <v>#REF!</v>
      </c>
      <c r="AF13" s="123" t="e">
        <f t="shared" ca="1" si="4"/>
        <v>#REF!</v>
      </c>
      <c r="AG13" s="312"/>
    </row>
    <row r="14" spans="1:33">
      <c r="A14">
        <f t="shared" si="3"/>
        <v>2019</v>
      </c>
      <c r="B14" s="123">
        <f t="shared" ca="1" si="2"/>
        <v>0</v>
      </c>
      <c r="C14" s="123">
        <f t="shared" ca="1" si="2"/>
        <v>0</v>
      </c>
      <c r="D14" s="123">
        <f t="shared" ca="1" si="2"/>
        <v>0</v>
      </c>
      <c r="E14" s="123">
        <f t="shared" ca="1" si="2"/>
        <v>-66165.424999999988</v>
      </c>
      <c r="F14" s="123">
        <f t="shared" ca="1" si="2"/>
        <v>-30066.487499999999</v>
      </c>
      <c r="G14" s="123">
        <f t="shared" ca="1" si="2"/>
        <v>0</v>
      </c>
      <c r="H14" s="123">
        <f t="shared" ca="1" si="2"/>
        <v>-31339.554856223382</v>
      </c>
      <c r="I14" s="123">
        <f t="shared" ca="1" si="2"/>
        <v>0</v>
      </c>
      <c r="J14" s="123">
        <f t="shared" ca="1" si="2"/>
        <v>-19465</v>
      </c>
      <c r="K14" s="123">
        <f t="shared" ca="1" si="2"/>
        <v>-390.68231228680816</v>
      </c>
      <c r="L14" s="123">
        <f t="shared" ca="1" si="2"/>
        <v>0</v>
      </c>
      <c r="M14" s="123">
        <f t="shared" ca="1" si="2"/>
        <v>0</v>
      </c>
      <c r="N14" s="123">
        <f t="shared" ca="1" si="2"/>
        <v>0</v>
      </c>
      <c r="O14" s="123">
        <f t="shared" ca="1" si="2"/>
        <v>0</v>
      </c>
      <c r="P14" s="123">
        <f t="shared" ca="1" si="2"/>
        <v>-39312.322236749213</v>
      </c>
      <c r="Q14" s="123">
        <f t="shared" ca="1" si="2"/>
        <v>-73866.672401485033</v>
      </c>
      <c r="R14" s="123">
        <f t="shared" ca="1" si="4"/>
        <v>0</v>
      </c>
      <c r="S14" s="123">
        <f t="shared" ca="1" si="4"/>
        <v>0</v>
      </c>
      <c r="T14" s="123">
        <f t="shared" ca="1" si="4"/>
        <v>0</v>
      </c>
      <c r="U14" s="123">
        <f t="shared" ca="1" si="4"/>
        <v>0</v>
      </c>
      <c r="V14" s="123">
        <f t="shared" ca="1" si="4"/>
        <v>0</v>
      </c>
      <c r="W14" s="123">
        <f t="shared" ca="1" si="4"/>
        <v>0</v>
      </c>
      <c r="X14" s="123">
        <f t="shared" ca="1" si="4"/>
        <v>0</v>
      </c>
      <c r="Y14" s="123" t="e">
        <f t="shared" ca="1" si="4"/>
        <v>#REF!</v>
      </c>
      <c r="Z14" s="123" t="e">
        <f t="shared" ca="1" si="4"/>
        <v>#REF!</v>
      </c>
      <c r="AA14" s="123" t="e">
        <f t="shared" ca="1" si="4"/>
        <v>#REF!</v>
      </c>
      <c r="AB14" s="123" t="e">
        <f t="shared" ca="1" si="4"/>
        <v>#REF!</v>
      </c>
      <c r="AC14" s="123" t="e">
        <f t="shared" ca="1" si="4"/>
        <v>#REF!</v>
      </c>
      <c r="AD14" s="123" t="e">
        <f t="shared" ca="1" si="4"/>
        <v>#REF!</v>
      </c>
      <c r="AE14" s="123" t="e">
        <f t="shared" ca="1" si="4"/>
        <v>#REF!</v>
      </c>
      <c r="AF14" s="123" t="e">
        <f t="shared" ca="1" si="4"/>
        <v>#REF!</v>
      </c>
      <c r="AG14" s="312"/>
    </row>
    <row r="15" spans="1:33">
      <c r="A15">
        <f t="shared" si="3"/>
        <v>2020</v>
      </c>
      <c r="B15" s="123">
        <f t="shared" ca="1" si="2"/>
        <v>0</v>
      </c>
      <c r="C15" s="123">
        <f t="shared" ca="1" si="2"/>
        <v>0</v>
      </c>
      <c r="D15" s="123">
        <f t="shared" ca="1" si="2"/>
        <v>0</v>
      </c>
      <c r="E15" s="123">
        <f t="shared" ca="1" si="2"/>
        <v>-66165.424999999988</v>
      </c>
      <c r="F15" s="123">
        <f t="shared" ca="1" si="2"/>
        <v>-37583.109375</v>
      </c>
      <c r="G15" s="123">
        <f t="shared" ca="1" si="2"/>
        <v>0</v>
      </c>
      <c r="H15" s="123">
        <f t="shared" ca="1" si="2"/>
        <v>-31675.018821410406</v>
      </c>
      <c r="I15" s="123">
        <f t="shared" ca="1" si="2"/>
        <v>0</v>
      </c>
      <c r="J15" s="123">
        <f t="shared" ca="1" si="2"/>
        <v>-19465</v>
      </c>
      <c r="K15" s="123">
        <f t="shared" ca="1" si="2"/>
        <v>-390.68231228680816</v>
      </c>
      <c r="L15" s="123">
        <f t="shared" ca="1" si="2"/>
        <v>0</v>
      </c>
      <c r="M15" s="123">
        <f t="shared" ca="1" si="2"/>
        <v>0</v>
      </c>
      <c r="N15" s="123">
        <f t="shared" ca="1" si="2"/>
        <v>0</v>
      </c>
      <c r="O15" s="123">
        <f t="shared" ca="1" si="2"/>
        <v>0</v>
      </c>
      <c r="P15" s="123">
        <f t="shared" ca="1" si="2"/>
        <v>-40988.708049541048</v>
      </c>
      <c r="Q15" s="123">
        <f t="shared" ca="1" si="2"/>
        <v>-81253.339641633487</v>
      </c>
      <c r="R15" s="123">
        <f t="shared" ca="1" si="4"/>
        <v>0</v>
      </c>
      <c r="S15" s="123">
        <f t="shared" ca="1" si="4"/>
        <v>0</v>
      </c>
      <c r="T15" s="123">
        <f t="shared" ca="1" si="4"/>
        <v>0</v>
      </c>
      <c r="U15" s="123">
        <f t="shared" ca="1" si="4"/>
        <v>0</v>
      </c>
      <c r="V15" s="123">
        <f t="shared" ca="1" si="4"/>
        <v>0</v>
      </c>
      <c r="W15" s="123">
        <f t="shared" ca="1" si="4"/>
        <v>0</v>
      </c>
      <c r="X15" s="123">
        <f t="shared" ca="1" si="4"/>
        <v>0</v>
      </c>
      <c r="Y15" s="123" t="e">
        <f t="shared" ca="1" si="4"/>
        <v>#REF!</v>
      </c>
      <c r="Z15" s="123" t="e">
        <f t="shared" ca="1" si="4"/>
        <v>#REF!</v>
      </c>
      <c r="AA15" s="123" t="e">
        <f t="shared" ca="1" si="4"/>
        <v>#REF!</v>
      </c>
      <c r="AB15" s="123" t="e">
        <f t="shared" ca="1" si="4"/>
        <v>#REF!</v>
      </c>
      <c r="AC15" s="123" t="e">
        <f t="shared" ca="1" si="4"/>
        <v>#REF!</v>
      </c>
      <c r="AD15" s="123" t="e">
        <f t="shared" ca="1" si="4"/>
        <v>#REF!</v>
      </c>
      <c r="AE15" s="123" t="e">
        <f t="shared" ca="1" si="4"/>
        <v>#REF!</v>
      </c>
      <c r="AF15" s="123" t="e">
        <f t="shared" ca="1" si="4"/>
        <v>#REF!</v>
      </c>
      <c r="AG15" s="312"/>
    </row>
    <row r="16" spans="1:33">
      <c r="A16">
        <f t="shared" si="3"/>
        <v>2021</v>
      </c>
      <c r="B16" s="123">
        <f t="shared" ca="1" si="2"/>
        <v>0</v>
      </c>
      <c r="C16" s="123">
        <f t="shared" ca="1" si="2"/>
        <v>0</v>
      </c>
      <c r="D16" s="123">
        <f t="shared" ca="1" si="2"/>
        <v>0</v>
      </c>
      <c r="E16" s="123">
        <f t="shared" ca="1" si="2"/>
        <v>-66165.424999999988</v>
      </c>
      <c r="F16" s="123">
        <f t="shared" ca="1" si="2"/>
        <v>-45099.731249999997</v>
      </c>
      <c r="G16" s="123">
        <f t="shared" ca="1" si="2"/>
        <v>0</v>
      </c>
      <c r="H16" s="123">
        <f t="shared" ca="1" si="2"/>
        <v>-32010.482786597415</v>
      </c>
      <c r="I16" s="123">
        <f t="shared" ca="1" si="2"/>
        <v>0</v>
      </c>
      <c r="J16" s="123">
        <f t="shared" ca="1" si="2"/>
        <v>-19465</v>
      </c>
      <c r="K16" s="123">
        <f t="shared" ca="1" si="2"/>
        <v>-390.68231228680816</v>
      </c>
      <c r="L16" s="123">
        <f t="shared" ca="1" si="2"/>
        <v>0</v>
      </c>
      <c r="M16" s="123">
        <f t="shared" ca="1" si="2"/>
        <v>0</v>
      </c>
      <c r="N16" s="123">
        <f t="shared" ca="1" si="2"/>
        <v>0</v>
      </c>
      <c r="O16" s="123">
        <f t="shared" ca="1" si="2"/>
        <v>0</v>
      </c>
      <c r="P16" s="123">
        <f t="shared" ca="1" si="2"/>
        <v>-42665.093862332782</v>
      </c>
      <c r="Q16" s="123">
        <f t="shared" ca="1" si="2"/>
        <v>-88640.006881782028</v>
      </c>
      <c r="R16" s="123">
        <f t="shared" ca="1" si="4"/>
        <v>0</v>
      </c>
      <c r="S16" s="123">
        <f t="shared" ca="1" si="4"/>
        <v>0</v>
      </c>
      <c r="T16" s="123">
        <f t="shared" ca="1" si="4"/>
        <v>0</v>
      </c>
      <c r="U16" s="123">
        <f t="shared" ca="1" si="4"/>
        <v>0</v>
      </c>
      <c r="V16" s="123">
        <f t="shared" ca="1" si="4"/>
        <v>0</v>
      </c>
      <c r="W16" s="123">
        <f t="shared" ca="1" si="4"/>
        <v>0</v>
      </c>
      <c r="X16" s="123">
        <f t="shared" ca="1" si="4"/>
        <v>0</v>
      </c>
      <c r="Y16" s="123" t="e">
        <f t="shared" ca="1" si="4"/>
        <v>#REF!</v>
      </c>
      <c r="Z16" s="123" t="e">
        <f t="shared" ca="1" si="4"/>
        <v>#REF!</v>
      </c>
      <c r="AA16" s="123" t="e">
        <f t="shared" ca="1" si="4"/>
        <v>#REF!</v>
      </c>
      <c r="AB16" s="123" t="e">
        <f t="shared" ca="1" si="4"/>
        <v>#REF!</v>
      </c>
      <c r="AC16" s="123" t="e">
        <f t="shared" ca="1" si="4"/>
        <v>#REF!</v>
      </c>
      <c r="AD16" s="123" t="e">
        <f t="shared" ca="1" si="4"/>
        <v>#REF!</v>
      </c>
      <c r="AE16" s="123" t="e">
        <f t="shared" ca="1" si="4"/>
        <v>#REF!</v>
      </c>
      <c r="AF16" s="123" t="e">
        <f t="shared" ca="1" si="4"/>
        <v>#REF!</v>
      </c>
      <c r="AG16" s="312"/>
    </row>
    <row r="17" spans="1:33">
      <c r="A17">
        <f t="shared" si="3"/>
        <v>2022</v>
      </c>
      <c r="B17" s="123">
        <f t="shared" ca="1" si="2"/>
        <v>0</v>
      </c>
      <c r="C17" s="123">
        <f t="shared" ca="1" si="2"/>
        <v>0</v>
      </c>
      <c r="D17" s="123">
        <f t="shared" ca="1" si="2"/>
        <v>0</v>
      </c>
      <c r="E17" s="123">
        <f t="shared" ca="1" si="2"/>
        <v>-66165.424999999988</v>
      </c>
      <c r="F17" s="123">
        <f t="shared" ca="1" si="2"/>
        <v>-52616.353124999994</v>
      </c>
      <c r="G17" s="123">
        <f t="shared" ca="1" si="2"/>
        <v>0</v>
      </c>
      <c r="H17" s="123">
        <f t="shared" ca="1" si="2"/>
        <v>-32345.946751784431</v>
      </c>
      <c r="I17" s="123">
        <f t="shared" ca="1" si="2"/>
        <v>0</v>
      </c>
      <c r="J17" s="123">
        <f t="shared" ca="1" si="2"/>
        <v>-19465</v>
      </c>
      <c r="K17" s="123">
        <f t="shared" ca="1" si="2"/>
        <v>-390.68231228680816</v>
      </c>
      <c r="L17" s="123">
        <f t="shared" ca="1" si="2"/>
        <v>0</v>
      </c>
      <c r="M17" s="123">
        <f t="shared" ca="1" si="2"/>
        <v>0</v>
      </c>
      <c r="N17" s="123">
        <f t="shared" ca="1" si="2"/>
        <v>0</v>
      </c>
      <c r="O17" s="123">
        <f t="shared" ca="1" si="2"/>
        <v>0</v>
      </c>
      <c r="P17" s="123">
        <f t="shared" ca="1" si="2"/>
        <v>-44341.47967512453</v>
      </c>
      <c r="Q17" s="123">
        <f t="shared" ca="1" si="2"/>
        <v>-96026.67412193057</v>
      </c>
      <c r="R17" s="123">
        <f t="shared" ca="1" si="4"/>
        <v>0</v>
      </c>
      <c r="S17" s="123">
        <f t="shared" ca="1" si="4"/>
        <v>0</v>
      </c>
      <c r="T17" s="123">
        <f t="shared" ca="1" si="4"/>
        <v>0</v>
      </c>
      <c r="U17" s="123">
        <f t="shared" ca="1" si="4"/>
        <v>0</v>
      </c>
      <c r="V17" s="123">
        <f t="shared" ca="1" si="4"/>
        <v>0</v>
      </c>
      <c r="W17" s="123">
        <f t="shared" ca="1" si="4"/>
        <v>0</v>
      </c>
      <c r="X17" s="123">
        <f t="shared" ca="1" si="4"/>
        <v>0</v>
      </c>
      <c r="Y17" s="123" t="e">
        <f t="shared" ca="1" si="4"/>
        <v>#REF!</v>
      </c>
      <c r="Z17" s="123" t="e">
        <f t="shared" ca="1" si="4"/>
        <v>#REF!</v>
      </c>
      <c r="AA17" s="123" t="e">
        <f t="shared" ca="1" si="4"/>
        <v>#REF!</v>
      </c>
      <c r="AB17" s="123" t="e">
        <f t="shared" ca="1" si="4"/>
        <v>#REF!</v>
      </c>
      <c r="AC17" s="123" t="e">
        <f t="shared" ca="1" si="4"/>
        <v>#REF!</v>
      </c>
      <c r="AD17" s="123" t="e">
        <f t="shared" ca="1" si="4"/>
        <v>#REF!</v>
      </c>
      <c r="AE17" s="123" t="e">
        <f t="shared" ca="1" si="4"/>
        <v>#REF!</v>
      </c>
      <c r="AF17" s="123" t="e">
        <f t="shared" ca="1" si="4"/>
        <v>#REF!</v>
      </c>
      <c r="AG17" s="312"/>
    </row>
    <row r="18" spans="1:33">
      <c r="A18">
        <f t="shared" si="3"/>
        <v>2023</v>
      </c>
      <c r="B18" s="123">
        <f t="shared" ca="1" si="2"/>
        <v>0</v>
      </c>
      <c r="C18" s="123">
        <f t="shared" ca="1" si="2"/>
        <v>0</v>
      </c>
      <c r="D18" s="123">
        <f t="shared" ca="1" si="2"/>
        <v>0</v>
      </c>
      <c r="E18" s="123">
        <f t="shared" ca="1" si="2"/>
        <v>-66165.424999999988</v>
      </c>
      <c r="F18" s="123">
        <f t="shared" ca="1" si="2"/>
        <v>-60132.974999999991</v>
      </c>
      <c r="G18" s="123">
        <f t="shared" ca="1" si="2"/>
        <v>0</v>
      </c>
      <c r="H18" s="123">
        <f t="shared" ca="1" si="2"/>
        <v>-32681.410716971448</v>
      </c>
      <c r="I18" s="123">
        <f t="shared" ca="1" si="2"/>
        <v>0</v>
      </c>
      <c r="J18" s="123">
        <f t="shared" ca="1" si="2"/>
        <v>-19465</v>
      </c>
      <c r="K18" s="123">
        <f t="shared" ca="1" si="2"/>
        <v>-390.68231228680816</v>
      </c>
      <c r="L18" s="123">
        <f t="shared" ca="1" si="2"/>
        <v>0</v>
      </c>
      <c r="M18" s="123">
        <f t="shared" ca="1" si="2"/>
        <v>0</v>
      </c>
      <c r="N18" s="123">
        <f t="shared" ca="1" si="2"/>
        <v>0</v>
      </c>
      <c r="O18" s="123">
        <f t="shared" ca="1" si="2"/>
        <v>0</v>
      </c>
      <c r="P18" s="123">
        <f t="shared" ca="1" si="2"/>
        <v>-46017.865487916453</v>
      </c>
      <c r="Q18" s="123">
        <f t="shared" ca="1" si="2"/>
        <v>-103413.34136207902</v>
      </c>
      <c r="R18" s="123">
        <f t="shared" ca="1" si="4"/>
        <v>0</v>
      </c>
      <c r="S18" s="123">
        <f t="shared" ca="1" si="4"/>
        <v>0</v>
      </c>
      <c r="T18" s="123">
        <f t="shared" ca="1" si="4"/>
        <v>0</v>
      </c>
      <c r="U18" s="123">
        <f t="shared" ca="1" si="4"/>
        <v>0</v>
      </c>
      <c r="V18" s="123">
        <f t="shared" ca="1" si="4"/>
        <v>0</v>
      </c>
      <c r="W18" s="123">
        <f t="shared" ca="1" si="4"/>
        <v>0</v>
      </c>
      <c r="X18" s="123">
        <f t="shared" ca="1" si="4"/>
        <v>0</v>
      </c>
      <c r="Y18" s="123" t="e">
        <f t="shared" ca="1" si="4"/>
        <v>#REF!</v>
      </c>
      <c r="Z18" s="123" t="e">
        <f t="shared" ca="1" si="4"/>
        <v>#REF!</v>
      </c>
      <c r="AA18" s="123" t="e">
        <f t="shared" ca="1" si="4"/>
        <v>#REF!</v>
      </c>
      <c r="AB18" s="123" t="e">
        <f t="shared" ca="1" si="4"/>
        <v>#REF!</v>
      </c>
      <c r="AC18" s="123" t="e">
        <f t="shared" ca="1" si="4"/>
        <v>#REF!</v>
      </c>
      <c r="AD18" s="123" t="e">
        <f t="shared" ca="1" si="4"/>
        <v>#REF!</v>
      </c>
      <c r="AE18" s="123" t="e">
        <f t="shared" ca="1" si="4"/>
        <v>#REF!</v>
      </c>
      <c r="AF18" s="123" t="e">
        <f t="shared" ca="1" si="4"/>
        <v>#REF!</v>
      </c>
      <c r="AG18" s="312"/>
    </row>
    <row r="19" spans="1:33">
      <c r="A19">
        <f t="shared" si="3"/>
        <v>2024</v>
      </c>
      <c r="B19" s="123">
        <f t="shared" ca="1" si="2"/>
        <v>0</v>
      </c>
      <c r="C19" s="123">
        <f t="shared" ca="1" si="2"/>
        <v>0</v>
      </c>
      <c r="D19" s="123">
        <f t="shared" ca="1" si="2"/>
        <v>0</v>
      </c>
      <c r="E19" s="123">
        <f t="shared" ca="1" si="2"/>
        <v>-66165.424999999988</v>
      </c>
      <c r="F19" s="123">
        <f t="shared" ca="1" si="2"/>
        <v>-60132.974999999991</v>
      </c>
      <c r="G19" s="123">
        <f t="shared" ca="1" si="2"/>
        <v>-5728.4775</v>
      </c>
      <c r="H19" s="123">
        <f t="shared" ca="1" si="2"/>
        <v>-33016.874682158472</v>
      </c>
      <c r="I19" s="123">
        <f t="shared" ca="1" si="2"/>
        <v>0</v>
      </c>
      <c r="J19" s="123">
        <f t="shared" ca="1" si="2"/>
        <v>-19465</v>
      </c>
      <c r="K19" s="123">
        <f t="shared" ca="1" si="2"/>
        <v>-390.68231228680816</v>
      </c>
      <c r="L19" s="123">
        <f t="shared" ca="1" si="2"/>
        <v>0</v>
      </c>
      <c r="M19" s="123">
        <f t="shared" ca="1" si="2"/>
        <v>0</v>
      </c>
      <c r="N19" s="123">
        <f t="shared" ca="1" si="2"/>
        <v>0</v>
      </c>
      <c r="O19" s="123">
        <f t="shared" ca="1" si="2"/>
        <v>0</v>
      </c>
      <c r="P19" s="123">
        <f t="shared" ca="1" si="2"/>
        <v>-47694.251300708194</v>
      </c>
      <c r="Q19" s="123">
        <f t="shared" ca="1" si="2"/>
        <v>-110800.00860222756</v>
      </c>
      <c r="R19" s="123">
        <f t="shared" ca="1" si="4"/>
        <v>0</v>
      </c>
      <c r="S19" s="123">
        <f t="shared" ca="1" si="4"/>
        <v>0</v>
      </c>
      <c r="T19" s="123">
        <f t="shared" ca="1" si="4"/>
        <v>0</v>
      </c>
      <c r="U19" s="123">
        <f t="shared" ca="1" si="4"/>
        <v>0</v>
      </c>
      <c r="V19" s="123">
        <f t="shared" ca="1" si="4"/>
        <v>0</v>
      </c>
      <c r="W19" s="123">
        <f t="shared" ca="1" si="4"/>
        <v>0</v>
      </c>
      <c r="X19" s="123">
        <f t="shared" ca="1" si="4"/>
        <v>0</v>
      </c>
      <c r="Y19" s="123" t="e">
        <f t="shared" ca="1" si="4"/>
        <v>#REF!</v>
      </c>
      <c r="Z19" s="123" t="e">
        <f t="shared" ca="1" si="4"/>
        <v>#REF!</v>
      </c>
      <c r="AA19" s="123" t="e">
        <f t="shared" ca="1" si="4"/>
        <v>#REF!</v>
      </c>
      <c r="AB19" s="123" t="e">
        <f t="shared" ca="1" si="4"/>
        <v>#REF!</v>
      </c>
      <c r="AC19" s="123" t="e">
        <f t="shared" ca="1" si="4"/>
        <v>#REF!</v>
      </c>
      <c r="AD19" s="123" t="e">
        <f t="shared" ca="1" si="4"/>
        <v>#REF!</v>
      </c>
      <c r="AE19" s="123" t="e">
        <f t="shared" ca="1" si="4"/>
        <v>#REF!</v>
      </c>
      <c r="AF19" s="123" t="e">
        <f t="shared" ca="1" si="4"/>
        <v>#REF!</v>
      </c>
      <c r="AG19" s="312"/>
    </row>
    <row r="20" spans="1:33">
      <c r="A20">
        <f t="shared" si="3"/>
        <v>2025</v>
      </c>
      <c r="B20" s="123">
        <f t="shared" ca="1" si="2"/>
        <v>0</v>
      </c>
      <c r="C20" s="123">
        <f t="shared" ca="1" si="2"/>
        <v>0</v>
      </c>
      <c r="D20" s="123">
        <f t="shared" ca="1" si="2"/>
        <v>0</v>
      </c>
      <c r="E20" s="123">
        <f t="shared" ca="1" si="2"/>
        <v>-66165.424999999988</v>
      </c>
      <c r="F20" s="123">
        <f t="shared" ca="1" si="2"/>
        <v>-60132.974999999991</v>
      </c>
      <c r="G20" s="123">
        <f t="shared" ca="1" si="2"/>
        <v>-11456.955</v>
      </c>
      <c r="H20" s="123">
        <f t="shared" ca="1" si="2"/>
        <v>-33352.338647345474</v>
      </c>
      <c r="I20" s="123">
        <f t="shared" ca="1" si="2"/>
        <v>0</v>
      </c>
      <c r="J20" s="123">
        <f t="shared" ca="1" si="2"/>
        <v>-19465</v>
      </c>
      <c r="K20" s="123">
        <f t="shared" ca="1" si="2"/>
        <v>-390.68231228680816</v>
      </c>
      <c r="L20" s="123">
        <f t="shared" ca="1" si="2"/>
        <v>0</v>
      </c>
      <c r="M20" s="123">
        <f t="shared" ca="1" si="2"/>
        <v>0</v>
      </c>
      <c r="N20" s="123">
        <f t="shared" ca="1" si="2"/>
        <v>0</v>
      </c>
      <c r="O20" s="123">
        <f t="shared" ca="1" si="2"/>
        <v>0</v>
      </c>
      <c r="P20" s="123">
        <f t="shared" ca="1" si="2"/>
        <v>-49370.637113500015</v>
      </c>
      <c r="Q20" s="123">
        <f t="shared" ca="1" si="2"/>
        <v>-118186.67584237611</v>
      </c>
      <c r="R20" s="123">
        <f t="shared" ca="1" si="4"/>
        <v>0</v>
      </c>
      <c r="S20" s="123">
        <f t="shared" ca="1" si="4"/>
        <v>0</v>
      </c>
      <c r="T20" s="123">
        <f t="shared" ca="1" si="4"/>
        <v>0</v>
      </c>
      <c r="U20" s="123">
        <f t="shared" ca="1" si="4"/>
        <v>0</v>
      </c>
      <c r="V20" s="123">
        <f t="shared" ca="1" si="4"/>
        <v>0</v>
      </c>
      <c r="W20" s="123">
        <f t="shared" ca="1" si="4"/>
        <v>0</v>
      </c>
      <c r="X20" s="123">
        <f t="shared" ca="1" si="4"/>
        <v>0</v>
      </c>
      <c r="Y20" s="123" t="e">
        <f t="shared" ca="1" si="4"/>
        <v>#REF!</v>
      </c>
      <c r="Z20" s="123" t="e">
        <f t="shared" ca="1" si="4"/>
        <v>#REF!</v>
      </c>
      <c r="AA20" s="123" t="e">
        <f t="shared" ca="1" si="4"/>
        <v>#REF!</v>
      </c>
      <c r="AB20" s="123" t="e">
        <f t="shared" ca="1" si="4"/>
        <v>#REF!</v>
      </c>
      <c r="AC20" s="123" t="e">
        <f t="shared" ca="1" si="4"/>
        <v>#REF!</v>
      </c>
      <c r="AD20" s="123" t="e">
        <f t="shared" ca="1" si="4"/>
        <v>#REF!</v>
      </c>
      <c r="AE20" s="123" t="e">
        <f t="shared" ca="1" si="4"/>
        <v>#REF!</v>
      </c>
      <c r="AF20" s="123" t="e">
        <f t="shared" ca="1" si="4"/>
        <v>#REF!</v>
      </c>
      <c r="AG20" s="312"/>
    </row>
    <row r="21" spans="1:33">
      <c r="A21">
        <f t="shared" si="3"/>
        <v>2026</v>
      </c>
      <c r="B21" s="123">
        <f t="shared" ca="1" si="2"/>
        <v>0</v>
      </c>
      <c r="C21" s="123">
        <f t="shared" ca="1" si="2"/>
        <v>0</v>
      </c>
      <c r="D21" s="123">
        <f t="shared" ca="1" si="2"/>
        <v>0</v>
      </c>
      <c r="E21" s="123">
        <f t="shared" ca="1" si="2"/>
        <v>-66165.424999999988</v>
      </c>
      <c r="F21" s="123">
        <f t="shared" ca="1" si="2"/>
        <v>-60132.974999999991</v>
      </c>
      <c r="G21" s="123">
        <f t="shared" ca="1" si="2"/>
        <v>-17185.432499999999</v>
      </c>
      <c r="H21" s="123">
        <f t="shared" ca="1" si="2"/>
        <v>-33687.802612532498</v>
      </c>
      <c r="I21" s="123">
        <f t="shared" ca="1" si="2"/>
        <v>0</v>
      </c>
      <c r="J21" s="123">
        <f t="shared" ca="1" si="2"/>
        <v>-19465</v>
      </c>
      <c r="K21" s="123">
        <f t="shared" ca="1" si="2"/>
        <v>-390.68231228680816</v>
      </c>
      <c r="L21" s="123">
        <f t="shared" ca="1" si="2"/>
        <v>0</v>
      </c>
      <c r="M21" s="123">
        <f t="shared" ca="1" si="2"/>
        <v>0</v>
      </c>
      <c r="N21" s="123">
        <f t="shared" ca="1" si="2"/>
        <v>0</v>
      </c>
      <c r="O21" s="123">
        <f t="shared" ca="1" si="2"/>
        <v>0</v>
      </c>
      <c r="P21" s="123">
        <f t="shared" ca="1" si="2"/>
        <v>-51047.022926291858</v>
      </c>
      <c r="Q21" s="123">
        <f t="shared" ca="1" si="2"/>
        <v>-125573.34308252455</v>
      </c>
      <c r="R21" s="123">
        <f t="shared" ca="1" si="4"/>
        <v>0</v>
      </c>
      <c r="S21" s="123">
        <f t="shared" ca="1" si="4"/>
        <v>0</v>
      </c>
      <c r="T21" s="123">
        <f t="shared" ca="1" si="4"/>
        <v>0</v>
      </c>
      <c r="U21" s="123">
        <f t="shared" ca="1" si="4"/>
        <v>0</v>
      </c>
      <c r="V21" s="123">
        <f t="shared" ca="1" si="4"/>
        <v>0</v>
      </c>
      <c r="W21" s="123">
        <f t="shared" ca="1" si="4"/>
        <v>0</v>
      </c>
      <c r="X21" s="123">
        <f t="shared" ca="1" si="4"/>
        <v>0</v>
      </c>
      <c r="Y21" s="123" t="e">
        <f t="shared" ca="1" si="4"/>
        <v>#REF!</v>
      </c>
      <c r="Z21" s="123" t="e">
        <f t="shared" ca="1" si="4"/>
        <v>#REF!</v>
      </c>
      <c r="AA21" s="123" t="e">
        <f t="shared" ca="1" si="4"/>
        <v>#REF!</v>
      </c>
      <c r="AB21" s="123" t="e">
        <f t="shared" ca="1" si="4"/>
        <v>#REF!</v>
      </c>
      <c r="AC21" s="123" t="e">
        <f t="shared" ca="1" si="4"/>
        <v>#REF!</v>
      </c>
      <c r="AD21" s="123" t="e">
        <f t="shared" ca="1" si="4"/>
        <v>#REF!</v>
      </c>
      <c r="AE21" s="123" t="e">
        <f t="shared" ca="1" si="4"/>
        <v>#REF!</v>
      </c>
      <c r="AF21" s="123" t="e">
        <f t="shared" ca="1" si="4"/>
        <v>#REF!</v>
      </c>
      <c r="AG21" s="312"/>
    </row>
    <row r="22" spans="1:33">
      <c r="A22">
        <f t="shared" si="3"/>
        <v>2027</v>
      </c>
      <c r="B22" s="123">
        <f t="shared" ca="1" si="2"/>
        <v>0</v>
      </c>
      <c r="C22" s="123">
        <f t="shared" ca="1" si="2"/>
        <v>0</v>
      </c>
      <c r="D22" s="123">
        <f t="shared" ca="1" si="2"/>
        <v>0</v>
      </c>
      <c r="E22" s="123">
        <f t="shared" ca="1" si="2"/>
        <v>-66165.424999999988</v>
      </c>
      <c r="F22" s="123">
        <f t="shared" ca="1" si="2"/>
        <v>-60132.974999999991</v>
      </c>
      <c r="G22" s="123">
        <f t="shared" ca="1" si="2"/>
        <v>-22913.91</v>
      </c>
      <c r="H22" s="123">
        <f t="shared" ca="1" si="2"/>
        <v>-34023.266577719507</v>
      </c>
      <c r="I22" s="123">
        <f t="shared" ca="1" si="2"/>
        <v>0</v>
      </c>
      <c r="J22" s="123">
        <f t="shared" ca="1" si="2"/>
        <v>-19465</v>
      </c>
      <c r="K22" s="123">
        <f t="shared" ca="1" si="2"/>
        <v>-390.68231228680816</v>
      </c>
      <c r="L22" s="123">
        <f t="shared" ca="1" si="2"/>
        <v>0</v>
      </c>
      <c r="M22" s="123">
        <f t="shared" ca="1" si="2"/>
        <v>0</v>
      </c>
      <c r="N22" s="123">
        <f t="shared" ca="1" si="2"/>
        <v>0</v>
      </c>
      <c r="O22" s="123">
        <f t="shared" ca="1" si="2"/>
        <v>0</v>
      </c>
      <c r="P22" s="123">
        <f t="shared" ca="1" si="2"/>
        <v>-52723.408739083592</v>
      </c>
      <c r="Q22" s="123">
        <f t="shared" ca="1" si="2"/>
        <v>-132960.0103226731</v>
      </c>
      <c r="R22" s="123">
        <f t="shared" ca="1" si="4"/>
        <v>0</v>
      </c>
      <c r="S22" s="123">
        <f t="shared" ca="1" si="4"/>
        <v>0</v>
      </c>
      <c r="T22" s="123">
        <f t="shared" ca="1" si="4"/>
        <v>0</v>
      </c>
      <c r="U22" s="123">
        <f t="shared" ca="1" si="4"/>
        <v>0</v>
      </c>
      <c r="V22" s="123">
        <f t="shared" ca="1" si="4"/>
        <v>0</v>
      </c>
      <c r="W22" s="123">
        <f t="shared" ca="1" si="4"/>
        <v>0</v>
      </c>
      <c r="X22" s="123">
        <f t="shared" ca="1" si="4"/>
        <v>0</v>
      </c>
      <c r="Y22" s="123" t="e">
        <f t="shared" ca="1" si="4"/>
        <v>#REF!</v>
      </c>
      <c r="Z22" s="123" t="e">
        <f t="shared" ca="1" si="4"/>
        <v>#REF!</v>
      </c>
      <c r="AA22" s="123" t="e">
        <f t="shared" ca="1" si="4"/>
        <v>#REF!</v>
      </c>
      <c r="AB22" s="123" t="e">
        <f t="shared" ca="1" si="4"/>
        <v>#REF!</v>
      </c>
      <c r="AC22" s="123" t="e">
        <f t="shared" ca="1" si="4"/>
        <v>#REF!</v>
      </c>
      <c r="AD22" s="123" t="e">
        <f t="shared" ca="1" si="4"/>
        <v>#REF!</v>
      </c>
      <c r="AE22" s="123" t="e">
        <f t="shared" ca="1" si="4"/>
        <v>#REF!</v>
      </c>
      <c r="AF22" s="123" t="e">
        <f t="shared" ca="1" si="4"/>
        <v>#REF!</v>
      </c>
      <c r="AG22" s="312"/>
    </row>
    <row r="23" spans="1:33">
      <c r="A23">
        <f t="shared" si="3"/>
        <v>2028</v>
      </c>
      <c r="B23" s="123">
        <f t="shared" ca="1" si="2"/>
        <v>0</v>
      </c>
      <c r="C23" s="123">
        <f t="shared" ca="1" si="2"/>
        <v>0</v>
      </c>
      <c r="D23" s="123">
        <f t="shared" ca="1" si="2"/>
        <v>0</v>
      </c>
      <c r="E23" s="123">
        <f t="shared" ca="1" si="2"/>
        <v>-66165.424999999988</v>
      </c>
      <c r="F23" s="123">
        <f t="shared" ca="1" si="2"/>
        <v>-60132.974999999991</v>
      </c>
      <c r="G23" s="123">
        <f t="shared" ca="1" si="2"/>
        <v>-28642.387500000001</v>
      </c>
      <c r="H23" s="123">
        <f t="shared" ca="1" si="2"/>
        <v>-34358.730542906516</v>
      </c>
      <c r="I23" s="123">
        <f t="shared" ca="1" si="2"/>
        <v>0</v>
      </c>
      <c r="J23" s="123">
        <f t="shared" ca="1" si="2"/>
        <v>-19465</v>
      </c>
      <c r="K23" s="123">
        <f t="shared" ca="1" si="2"/>
        <v>-390.68231228680816</v>
      </c>
      <c r="L23" s="123">
        <f t="shared" ca="1" si="2"/>
        <v>0</v>
      </c>
      <c r="M23" s="123">
        <f t="shared" ca="1" si="2"/>
        <v>0</v>
      </c>
      <c r="N23" s="123">
        <f t="shared" ca="1" si="2"/>
        <v>0</v>
      </c>
      <c r="O23" s="123">
        <f t="shared" ca="1" si="2"/>
        <v>0</v>
      </c>
      <c r="P23" s="123">
        <f t="shared" ca="1" si="2"/>
        <v>-54399.79455187542</v>
      </c>
      <c r="Q23" s="123">
        <f t="shared" ca="1" si="2"/>
        <v>-140346.67756282154</v>
      </c>
      <c r="R23" s="123">
        <f t="shared" ca="1" si="4"/>
        <v>0</v>
      </c>
      <c r="S23" s="123">
        <f t="shared" ca="1" si="4"/>
        <v>0</v>
      </c>
      <c r="T23" s="123">
        <f t="shared" ca="1" si="4"/>
        <v>0</v>
      </c>
      <c r="U23" s="123">
        <f t="shared" ca="1" si="4"/>
        <v>0</v>
      </c>
      <c r="V23" s="123">
        <f t="shared" ca="1" si="4"/>
        <v>0</v>
      </c>
      <c r="W23" s="123">
        <f t="shared" ca="1" si="4"/>
        <v>0</v>
      </c>
      <c r="X23" s="123">
        <f t="shared" ca="1" si="4"/>
        <v>0</v>
      </c>
      <c r="Y23" s="123" t="e">
        <f t="shared" ca="1" si="4"/>
        <v>#REF!</v>
      </c>
      <c r="Z23" s="123" t="e">
        <f t="shared" ca="1" si="4"/>
        <v>#REF!</v>
      </c>
      <c r="AA23" s="123" t="e">
        <f t="shared" ca="1" si="4"/>
        <v>#REF!</v>
      </c>
      <c r="AB23" s="123" t="e">
        <f t="shared" ca="1" si="4"/>
        <v>#REF!</v>
      </c>
      <c r="AC23" s="123" t="e">
        <f t="shared" ca="1" si="4"/>
        <v>#REF!</v>
      </c>
      <c r="AD23" s="123" t="e">
        <f t="shared" ca="1" si="4"/>
        <v>#REF!</v>
      </c>
      <c r="AE23" s="123" t="e">
        <f t="shared" ca="1" si="4"/>
        <v>#REF!</v>
      </c>
      <c r="AF23" s="123" t="e">
        <f t="shared" ca="1" si="4"/>
        <v>#REF!</v>
      </c>
      <c r="AG23" s="312"/>
    </row>
    <row r="24" spans="1:33">
      <c r="A24">
        <f t="shared" si="3"/>
        <v>2029</v>
      </c>
      <c r="B24" s="123">
        <f t="shared" ca="1" si="2"/>
        <v>0</v>
      </c>
      <c r="C24" s="123">
        <f t="shared" ca="1" si="2"/>
        <v>0</v>
      </c>
      <c r="D24" s="123">
        <f t="shared" ca="1" si="2"/>
        <v>0</v>
      </c>
      <c r="E24" s="123">
        <f t="shared" ca="1" si="2"/>
        <v>-66165.424999999988</v>
      </c>
      <c r="F24" s="123">
        <f t="shared" ca="1" si="2"/>
        <v>-60132.974999999991</v>
      </c>
      <c r="G24" s="123">
        <f t="shared" ca="1" si="2"/>
        <v>-34370.864999999998</v>
      </c>
      <c r="H24" s="123">
        <f t="shared" ca="1" si="2"/>
        <v>-34694.19450809354</v>
      </c>
      <c r="I24" s="123">
        <f t="shared" ca="1" si="2"/>
        <v>0</v>
      </c>
      <c r="J24" s="123">
        <f t="shared" ca="1" si="2"/>
        <v>-19465</v>
      </c>
      <c r="K24" s="123">
        <f t="shared" ca="1" si="2"/>
        <v>-390.68231228680816</v>
      </c>
      <c r="L24" s="123">
        <f t="shared" ca="1" si="2"/>
        <v>0</v>
      </c>
      <c r="M24" s="123">
        <f t="shared" ca="1" si="2"/>
        <v>0</v>
      </c>
      <c r="N24" s="123">
        <f t="shared" ca="1" si="2"/>
        <v>0</v>
      </c>
      <c r="O24" s="123">
        <f t="shared" ca="1" si="2"/>
        <v>0</v>
      </c>
      <c r="P24" s="123">
        <f t="shared" ca="1" si="2"/>
        <v>-56076.180364667351</v>
      </c>
      <c r="Q24" s="123">
        <f t="shared" ca="1" si="2"/>
        <v>-147733.34480297007</v>
      </c>
      <c r="R24" s="123">
        <f t="shared" ca="1" si="4"/>
        <v>0</v>
      </c>
      <c r="S24" s="123">
        <f t="shared" ca="1" si="4"/>
        <v>0</v>
      </c>
      <c r="T24" s="123">
        <f t="shared" ca="1" si="4"/>
        <v>0</v>
      </c>
      <c r="U24" s="123">
        <f t="shared" ca="1" si="4"/>
        <v>0</v>
      </c>
      <c r="V24" s="123">
        <f t="shared" ca="1" si="4"/>
        <v>0</v>
      </c>
      <c r="W24" s="123">
        <f t="shared" ca="1" si="4"/>
        <v>0</v>
      </c>
      <c r="X24" s="123">
        <f t="shared" ca="1" si="4"/>
        <v>0</v>
      </c>
      <c r="Y24" s="123" t="e">
        <f t="shared" ca="1" si="4"/>
        <v>#REF!</v>
      </c>
      <c r="Z24" s="123" t="e">
        <f t="shared" ca="1" si="4"/>
        <v>#REF!</v>
      </c>
      <c r="AA24" s="123" t="e">
        <f t="shared" ca="1" si="4"/>
        <v>#REF!</v>
      </c>
      <c r="AB24" s="123" t="e">
        <f t="shared" ca="1" si="4"/>
        <v>#REF!</v>
      </c>
      <c r="AC24" s="123" t="e">
        <f t="shared" ca="1" si="4"/>
        <v>#REF!</v>
      </c>
      <c r="AD24" s="123" t="e">
        <f t="shared" ca="1" si="4"/>
        <v>#REF!</v>
      </c>
      <c r="AE24" s="123" t="e">
        <f t="shared" ca="1" si="4"/>
        <v>#REF!</v>
      </c>
      <c r="AF24" s="123" t="e">
        <f t="shared" ca="1" si="4"/>
        <v>#REF!</v>
      </c>
      <c r="AG24" s="312"/>
    </row>
    <row r="25" spans="1:33">
      <c r="A25">
        <f t="shared" si="3"/>
        <v>2030</v>
      </c>
      <c r="B25" s="123">
        <f t="shared" ca="1" si="2"/>
        <v>0</v>
      </c>
      <c r="C25" s="123">
        <f t="shared" ca="1" si="2"/>
        <v>0</v>
      </c>
      <c r="D25" s="123">
        <f t="shared" ca="1" si="2"/>
        <v>0</v>
      </c>
      <c r="E25" s="123">
        <f t="shared" ca="1" si="2"/>
        <v>-66165.424999999988</v>
      </c>
      <c r="F25" s="123">
        <f t="shared" ca="1" si="2"/>
        <v>-60132.974999999991</v>
      </c>
      <c r="G25" s="123">
        <f t="shared" ca="1" si="2"/>
        <v>-40099.342499999999</v>
      </c>
      <c r="H25" s="123">
        <f t="shared" ca="1" si="2"/>
        <v>-35029.658473280557</v>
      </c>
      <c r="I25" s="123">
        <f t="shared" ca="1" si="2"/>
        <v>0</v>
      </c>
      <c r="J25" s="123">
        <f t="shared" ca="1" si="2"/>
        <v>-19465</v>
      </c>
      <c r="K25" s="123">
        <f t="shared" ca="1" si="2"/>
        <v>-390.68231228680816</v>
      </c>
      <c r="L25" s="123">
        <f t="shared" ca="1" si="2"/>
        <v>0</v>
      </c>
      <c r="M25" s="123">
        <f t="shared" ca="1" si="2"/>
        <v>0</v>
      </c>
      <c r="N25" s="123">
        <f t="shared" ca="1" si="2"/>
        <v>0</v>
      </c>
      <c r="O25" s="123">
        <f t="shared" ca="1" si="2"/>
        <v>0</v>
      </c>
      <c r="P25" s="123">
        <f t="shared" ca="1" si="2"/>
        <v>-57752.566177459186</v>
      </c>
      <c r="Q25" s="123">
        <f t="shared" ca="1" si="2"/>
        <v>-155120.01204311854</v>
      </c>
      <c r="R25" s="123">
        <f t="shared" ca="1" si="4"/>
        <v>0</v>
      </c>
      <c r="S25" s="123">
        <f t="shared" ca="1" si="4"/>
        <v>0</v>
      </c>
      <c r="T25" s="123">
        <f t="shared" ca="1" si="4"/>
        <v>0</v>
      </c>
      <c r="U25" s="123">
        <f t="shared" ca="1" si="4"/>
        <v>0</v>
      </c>
      <c r="V25" s="123">
        <f t="shared" ca="1" si="4"/>
        <v>0</v>
      </c>
      <c r="W25" s="123">
        <f t="shared" ca="1" si="4"/>
        <v>0</v>
      </c>
      <c r="X25" s="123">
        <f t="shared" ca="1" si="4"/>
        <v>0</v>
      </c>
      <c r="Y25" s="123" t="e">
        <f t="shared" ca="1" si="4"/>
        <v>#REF!</v>
      </c>
      <c r="Z25" s="123" t="e">
        <f t="shared" ca="1" si="4"/>
        <v>#REF!</v>
      </c>
      <c r="AA25" s="123" t="e">
        <f t="shared" ca="1" si="4"/>
        <v>#REF!</v>
      </c>
      <c r="AB25" s="123" t="e">
        <f t="shared" ca="1" si="4"/>
        <v>#REF!</v>
      </c>
      <c r="AC25" s="123" t="e">
        <f t="shared" ca="1" si="4"/>
        <v>#REF!</v>
      </c>
      <c r="AD25" s="123" t="e">
        <f t="shared" ca="1" si="4"/>
        <v>#REF!</v>
      </c>
      <c r="AE25" s="123" t="e">
        <f t="shared" ca="1" si="4"/>
        <v>#REF!</v>
      </c>
      <c r="AF25" s="123" t="e">
        <f t="shared" ca="1" si="4"/>
        <v>#REF!</v>
      </c>
      <c r="AG25" s="312"/>
    </row>
    <row r="26" spans="1:33">
      <c r="A26">
        <f t="shared" si="3"/>
        <v>2031</v>
      </c>
      <c r="B26" s="123">
        <f t="shared" ca="1" si="2"/>
        <v>0</v>
      </c>
      <c r="C26" s="123">
        <f t="shared" ca="1" si="2"/>
        <v>0</v>
      </c>
      <c r="D26" s="123">
        <f t="shared" ca="1" si="2"/>
        <v>0</v>
      </c>
      <c r="E26" s="123">
        <f t="shared" ca="1" si="2"/>
        <v>-66165.424999999988</v>
      </c>
      <c r="F26" s="123">
        <f t="shared" ca="1" si="2"/>
        <v>-60132.974999999991</v>
      </c>
      <c r="G26" s="123">
        <f t="shared" ca="1" si="2"/>
        <v>-45827.82</v>
      </c>
      <c r="H26" s="123">
        <f t="shared" ca="1" si="2"/>
        <v>-35365.122438467581</v>
      </c>
      <c r="I26" s="123">
        <f t="shared" ca="1" si="2"/>
        <v>0</v>
      </c>
      <c r="J26" s="123">
        <f t="shared" ca="1" si="2"/>
        <v>-19465</v>
      </c>
      <c r="K26" s="123">
        <f t="shared" ca="1" si="2"/>
        <v>-390.68231228680816</v>
      </c>
      <c r="L26" s="123">
        <f t="shared" ca="1" si="2"/>
        <v>0</v>
      </c>
      <c r="M26" s="123">
        <f t="shared" ca="1" si="2"/>
        <v>0</v>
      </c>
      <c r="N26" s="123">
        <f t="shared" ca="1" si="2"/>
        <v>0</v>
      </c>
      <c r="O26" s="123">
        <f t="shared" ca="1" si="2"/>
        <v>0</v>
      </c>
      <c r="P26" s="123">
        <f t="shared" ca="1" si="2"/>
        <v>-59428.95199025092</v>
      </c>
      <c r="Q26" s="123">
        <f t="shared" ca="1" si="2"/>
        <v>-162506.67928326706</v>
      </c>
      <c r="R26" s="123">
        <f t="shared" ca="1" si="4"/>
        <v>0</v>
      </c>
      <c r="S26" s="123">
        <f t="shared" ca="1" si="4"/>
        <v>0</v>
      </c>
      <c r="T26" s="123">
        <f t="shared" ca="1" si="4"/>
        <v>0</v>
      </c>
      <c r="U26" s="123">
        <f t="shared" ca="1" si="4"/>
        <v>0</v>
      </c>
      <c r="V26" s="123">
        <f t="shared" ca="1" si="4"/>
        <v>0</v>
      </c>
      <c r="W26" s="123">
        <f t="shared" ca="1" si="4"/>
        <v>0</v>
      </c>
      <c r="X26" s="123">
        <f t="shared" ca="1" si="4"/>
        <v>0</v>
      </c>
      <c r="Y26" s="123" t="e">
        <f t="shared" ca="1" si="4"/>
        <v>#REF!</v>
      </c>
      <c r="Z26" s="123" t="e">
        <f t="shared" ca="1" si="4"/>
        <v>#REF!</v>
      </c>
      <c r="AA26" s="123" t="e">
        <f t="shared" ca="1" si="4"/>
        <v>#REF!</v>
      </c>
      <c r="AB26" s="123" t="e">
        <f t="shared" ca="1" si="4"/>
        <v>#REF!</v>
      </c>
      <c r="AC26" s="123" t="e">
        <f t="shared" ca="1" si="4"/>
        <v>#REF!</v>
      </c>
      <c r="AD26" s="123" t="e">
        <f t="shared" ca="1" si="4"/>
        <v>#REF!</v>
      </c>
      <c r="AE26" s="123" t="e">
        <f t="shared" ca="1" si="4"/>
        <v>#REF!</v>
      </c>
      <c r="AF26" s="123" t="e">
        <f t="shared" ca="1" si="4"/>
        <v>#REF!</v>
      </c>
      <c r="AG26" s="312"/>
    </row>
    <row r="27" spans="1:33">
      <c r="A27">
        <f t="shared" si="3"/>
        <v>2032</v>
      </c>
      <c r="B27" s="123">
        <f t="shared" ca="1" si="2"/>
        <v>0</v>
      </c>
      <c r="C27" s="123">
        <f t="shared" ca="1" si="2"/>
        <v>0</v>
      </c>
      <c r="D27" s="123">
        <f t="shared" ca="1" si="2"/>
        <v>0</v>
      </c>
      <c r="E27" s="123">
        <f t="shared" ca="1" si="2"/>
        <v>-66165.424999999988</v>
      </c>
      <c r="F27" s="123">
        <f t="shared" ca="1" si="2"/>
        <v>-60132.974999999991</v>
      </c>
      <c r="G27" s="123">
        <f t="shared" ca="1" si="2"/>
        <v>-51556.297500000001</v>
      </c>
      <c r="H27" s="123">
        <f t="shared" ca="1" si="2"/>
        <v>-35700.58640365459</v>
      </c>
      <c r="I27" s="123">
        <f t="shared" ca="1" si="2"/>
        <v>0</v>
      </c>
      <c r="J27" s="123">
        <f t="shared" ca="1" si="2"/>
        <v>-19465</v>
      </c>
      <c r="K27" s="123">
        <f t="shared" ca="1" si="2"/>
        <v>-390.68231228680816</v>
      </c>
      <c r="L27" s="123">
        <f t="shared" ca="1" si="2"/>
        <v>0</v>
      </c>
      <c r="M27" s="123">
        <f t="shared" ca="1" si="2"/>
        <v>0</v>
      </c>
      <c r="N27" s="123">
        <f t="shared" ca="1" si="2"/>
        <v>0</v>
      </c>
      <c r="O27" s="123">
        <f t="shared" ca="1" si="2"/>
        <v>0</v>
      </c>
      <c r="P27" s="123">
        <f t="shared" ca="1" si="2"/>
        <v>-61105.337803042661</v>
      </c>
      <c r="Q27" s="123">
        <f t="shared" ca="1" si="2"/>
        <v>-169893.34652341562</v>
      </c>
      <c r="R27" s="123">
        <f t="shared" ca="1" si="4"/>
        <v>0</v>
      </c>
      <c r="S27" s="123">
        <f t="shared" ca="1" si="4"/>
        <v>0</v>
      </c>
      <c r="T27" s="123">
        <f t="shared" ca="1" si="4"/>
        <v>0</v>
      </c>
      <c r="U27" s="123">
        <f t="shared" ca="1" si="4"/>
        <v>0</v>
      </c>
      <c r="V27" s="123">
        <f t="shared" ca="1" si="4"/>
        <v>0</v>
      </c>
      <c r="W27" s="123">
        <f t="shared" ca="1" si="4"/>
        <v>0</v>
      </c>
      <c r="X27" s="123">
        <f t="shared" ca="1" si="4"/>
        <v>0</v>
      </c>
      <c r="Y27" s="123" t="e">
        <f t="shared" ca="1" si="4"/>
        <v>#REF!</v>
      </c>
      <c r="Z27" s="123" t="e">
        <f t="shared" ca="1" si="4"/>
        <v>#REF!</v>
      </c>
      <c r="AA27" s="123" t="e">
        <f t="shared" ca="1" si="4"/>
        <v>#REF!</v>
      </c>
      <c r="AB27" s="123" t="e">
        <f t="shared" ca="1" si="4"/>
        <v>#REF!</v>
      </c>
      <c r="AC27" s="123" t="e">
        <f t="shared" ca="1" si="4"/>
        <v>#REF!</v>
      </c>
      <c r="AD27" s="123" t="e">
        <f t="shared" ca="1" si="4"/>
        <v>#REF!</v>
      </c>
      <c r="AE27" s="123" t="e">
        <f t="shared" ca="1" si="4"/>
        <v>#REF!</v>
      </c>
      <c r="AF27" s="123" t="e">
        <f t="shared" ca="1" si="4"/>
        <v>#REF!</v>
      </c>
      <c r="AG27" s="312"/>
    </row>
    <row r="28" spans="1:33">
      <c r="A28">
        <f t="shared" si="3"/>
        <v>2033</v>
      </c>
      <c r="B28" s="123">
        <f t="shared" ca="1" si="2"/>
        <v>0</v>
      </c>
      <c r="C28" s="123">
        <f t="shared" ca="1" si="2"/>
        <v>0</v>
      </c>
      <c r="D28" s="123">
        <f t="shared" ca="1" si="2"/>
        <v>0</v>
      </c>
      <c r="E28" s="123">
        <f t="shared" ca="1" si="2"/>
        <v>-66165.424999999988</v>
      </c>
      <c r="F28" s="123">
        <f t="shared" ca="1" si="2"/>
        <v>-60132.974999999991</v>
      </c>
      <c r="G28" s="123">
        <f t="shared" ca="1" si="2"/>
        <v>-57284.775000000001</v>
      </c>
      <c r="H28" s="123">
        <f t="shared" ca="1" si="2"/>
        <v>-36036.050368841607</v>
      </c>
      <c r="I28" s="123">
        <f t="shared" ca="1" si="2"/>
        <v>0</v>
      </c>
      <c r="J28" s="123">
        <f t="shared" ca="1" si="2"/>
        <v>-19465</v>
      </c>
      <c r="K28" s="123">
        <f t="shared" ca="1" si="2"/>
        <v>-390.68231228680816</v>
      </c>
      <c r="L28" s="123">
        <f t="shared" ca="1" si="2"/>
        <v>0</v>
      </c>
      <c r="M28" s="123">
        <f t="shared" ca="1" si="2"/>
        <v>0</v>
      </c>
      <c r="N28" s="123">
        <f t="shared" ca="1" si="2"/>
        <v>0</v>
      </c>
      <c r="O28" s="123">
        <f t="shared" ca="1" si="2"/>
        <v>0</v>
      </c>
      <c r="P28" s="123">
        <f t="shared" ca="1" si="2"/>
        <v>-62781.723615834504</v>
      </c>
      <c r="Q28" s="123">
        <f t="shared" ca="1" si="2"/>
        <v>-177280.01376356406</v>
      </c>
      <c r="R28" s="123">
        <f t="shared" ca="1" si="4"/>
        <v>0</v>
      </c>
      <c r="S28" s="123">
        <f t="shared" ca="1" si="4"/>
        <v>0</v>
      </c>
      <c r="T28" s="123">
        <f t="shared" ca="1" si="4"/>
        <v>0</v>
      </c>
      <c r="U28" s="123">
        <f t="shared" ca="1" si="4"/>
        <v>0</v>
      </c>
      <c r="V28" s="123">
        <f t="shared" ca="1" si="4"/>
        <v>0</v>
      </c>
      <c r="W28" s="123">
        <f t="shared" ca="1" si="4"/>
        <v>0</v>
      </c>
      <c r="X28" s="123">
        <f t="shared" ca="1" si="4"/>
        <v>0</v>
      </c>
      <c r="Y28" s="123" t="e">
        <f t="shared" ca="1" si="4"/>
        <v>#REF!</v>
      </c>
      <c r="Z28" s="123" t="e">
        <f t="shared" ca="1" si="4"/>
        <v>#REF!</v>
      </c>
      <c r="AA28" s="123" t="e">
        <f t="shared" ca="1" si="4"/>
        <v>#REF!</v>
      </c>
      <c r="AB28" s="123" t="e">
        <f t="shared" ca="1" si="4"/>
        <v>#REF!</v>
      </c>
      <c r="AC28" s="123" t="e">
        <f t="shared" ca="1" si="4"/>
        <v>#REF!</v>
      </c>
      <c r="AD28" s="123" t="e">
        <f t="shared" ca="1" si="4"/>
        <v>#REF!</v>
      </c>
      <c r="AE28" s="123" t="e">
        <f t="shared" ca="1" si="4"/>
        <v>#REF!</v>
      </c>
      <c r="AF28" s="123" t="e">
        <f t="shared" ca="1" si="4"/>
        <v>#REF!</v>
      </c>
      <c r="AG28" s="312"/>
    </row>
    <row r="29" spans="1:33">
      <c r="A29">
        <f t="shared" si="3"/>
        <v>2034</v>
      </c>
      <c r="B29" s="123">
        <f t="shared" ca="1" si="2"/>
        <v>0</v>
      </c>
      <c r="C29" s="123">
        <f t="shared" ca="1" si="2"/>
        <v>0</v>
      </c>
      <c r="D29" s="123">
        <f t="shared" ca="1" si="2"/>
        <v>0</v>
      </c>
      <c r="E29" s="123">
        <f t="shared" ca="1" si="2"/>
        <v>-66165.424999999988</v>
      </c>
      <c r="F29" s="123">
        <f t="shared" ca="1" si="2"/>
        <v>-60132.974999999991</v>
      </c>
      <c r="G29" s="123">
        <f t="shared" ca="1" si="2"/>
        <v>-57284.775000000001</v>
      </c>
      <c r="H29" s="123">
        <f t="shared" ca="1" si="2"/>
        <v>-36371.514334028609</v>
      </c>
      <c r="I29" s="123">
        <f t="shared" ref="I29:X30" ca="1" si="5">OFFSET(INDIRECT(I$3),$A29-$A$5+$C$1,$C$2)-OFFSET(INDIRECT(I$3),$A29-$A$5+$C$1,$D$2)+OFFSET(INDIRECT(I$3),$A29-$A$5+$C$1,$E$2)</f>
        <v>0</v>
      </c>
      <c r="J29" s="123">
        <f t="shared" ca="1" si="5"/>
        <v>-19465</v>
      </c>
      <c r="K29" s="123">
        <f t="shared" ca="1" si="5"/>
        <v>-390.68231228680816</v>
      </c>
      <c r="L29" s="123">
        <f t="shared" ca="1" si="5"/>
        <v>0</v>
      </c>
      <c r="M29" s="123">
        <f t="shared" ca="1" si="5"/>
        <v>0</v>
      </c>
      <c r="N29" s="123">
        <f t="shared" ca="1" si="5"/>
        <v>0</v>
      </c>
      <c r="O29" s="123">
        <f t="shared" ca="1" si="5"/>
        <v>0</v>
      </c>
      <c r="P29" s="123">
        <f t="shared" ca="1" si="5"/>
        <v>-64458.109428626223</v>
      </c>
      <c r="Q29" s="123">
        <f t="shared" ca="1" si="5"/>
        <v>-184666.68100371261</v>
      </c>
      <c r="R29" s="123">
        <f t="shared" ca="1" si="5"/>
        <v>0</v>
      </c>
      <c r="S29" s="123">
        <f t="shared" ca="1" si="5"/>
        <v>0</v>
      </c>
      <c r="T29" s="123">
        <f t="shared" ca="1" si="5"/>
        <v>0</v>
      </c>
      <c r="U29" s="123">
        <f t="shared" ca="1" si="5"/>
        <v>0</v>
      </c>
      <c r="V29" s="123">
        <f t="shared" ca="1" si="5"/>
        <v>0</v>
      </c>
      <c r="W29" s="123">
        <f t="shared" ca="1" si="5"/>
        <v>0</v>
      </c>
      <c r="X29" s="123">
        <f t="shared" ca="1" si="5"/>
        <v>0</v>
      </c>
      <c r="Y29" s="123" t="e">
        <f t="shared" ca="1" si="4"/>
        <v>#REF!</v>
      </c>
      <c r="Z29" s="123" t="e">
        <f t="shared" ca="1" si="4"/>
        <v>#REF!</v>
      </c>
      <c r="AA29" s="123" t="e">
        <f t="shared" ca="1" si="4"/>
        <v>#REF!</v>
      </c>
      <c r="AB29" s="123" t="e">
        <f t="shared" ca="1" si="4"/>
        <v>#REF!</v>
      </c>
      <c r="AC29" s="123" t="e">
        <f t="shared" ca="1" si="4"/>
        <v>#REF!</v>
      </c>
      <c r="AD29" s="123" t="e">
        <f t="shared" ca="1" si="4"/>
        <v>#REF!</v>
      </c>
      <c r="AE29" s="123" t="e">
        <f t="shared" ca="1" si="4"/>
        <v>#REF!</v>
      </c>
      <c r="AF29" s="123" t="e">
        <f t="shared" ca="1" si="4"/>
        <v>#REF!</v>
      </c>
      <c r="AG29" s="312"/>
    </row>
    <row r="30" spans="1:33">
      <c r="A30">
        <f t="shared" si="3"/>
        <v>2035</v>
      </c>
      <c r="B30" s="123">
        <f t="shared" ref="B30:Q30" ca="1" si="6">OFFSET(INDIRECT(B$3),$A30-$A$5+$C$1,$C$2)-OFFSET(INDIRECT(B$3),$A30-$A$5+$C$1,$D$2)+OFFSET(INDIRECT(B$3),$A30-$A$5+$C$1,$E$2)</f>
        <v>0</v>
      </c>
      <c r="C30" s="123">
        <f t="shared" ca="1" si="6"/>
        <v>0</v>
      </c>
      <c r="D30" s="123">
        <f t="shared" ca="1" si="6"/>
        <v>0</v>
      </c>
      <c r="E30" s="123">
        <f t="shared" ca="1" si="6"/>
        <v>-66165.424999999988</v>
      </c>
      <c r="F30" s="123">
        <f t="shared" ca="1" si="6"/>
        <v>-60132.974999999991</v>
      </c>
      <c r="G30" s="123">
        <f t="shared" ca="1" si="6"/>
        <v>-57284.775000000001</v>
      </c>
      <c r="H30" s="123">
        <f t="shared" ca="1" si="6"/>
        <v>-36706.978299215625</v>
      </c>
      <c r="I30" s="123">
        <f t="shared" ca="1" si="6"/>
        <v>0</v>
      </c>
      <c r="J30" s="123">
        <f t="shared" ca="1" si="6"/>
        <v>-19465</v>
      </c>
      <c r="K30" s="123">
        <f t="shared" ca="1" si="6"/>
        <v>-390.68231228680816</v>
      </c>
      <c r="L30" s="123">
        <f t="shared" ca="1" si="6"/>
        <v>0</v>
      </c>
      <c r="M30" s="123">
        <f t="shared" ca="1" si="6"/>
        <v>0</v>
      </c>
      <c r="N30" s="123">
        <f t="shared" ca="1" si="6"/>
        <v>0</v>
      </c>
      <c r="O30" s="123">
        <f t="shared" ca="1" si="6"/>
        <v>0</v>
      </c>
      <c r="P30" s="123">
        <f t="shared" ca="1" si="6"/>
        <v>-66134.495241417972</v>
      </c>
      <c r="Q30" s="123">
        <f t="shared" ca="1" si="6"/>
        <v>-192053.34824386114</v>
      </c>
      <c r="R30" s="123">
        <f t="shared" ca="1" si="5"/>
        <v>0</v>
      </c>
      <c r="S30" s="123">
        <f t="shared" ca="1" si="5"/>
        <v>0</v>
      </c>
      <c r="T30" s="123">
        <f t="shared" ca="1" si="5"/>
        <v>0</v>
      </c>
      <c r="U30" s="123">
        <f t="shared" ca="1" si="5"/>
        <v>0</v>
      </c>
      <c r="V30" s="123">
        <f t="shared" ca="1" si="5"/>
        <v>0</v>
      </c>
      <c r="W30" s="123">
        <f t="shared" ca="1" si="5"/>
        <v>0</v>
      </c>
      <c r="X30" s="123">
        <f t="shared" ca="1" si="5"/>
        <v>0</v>
      </c>
      <c r="Y30" s="123" t="e">
        <f t="shared" ca="1" si="4"/>
        <v>#REF!</v>
      </c>
      <c r="Z30" s="123" t="e">
        <f t="shared" ca="1" si="4"/>
        <v>#REF!</v>
      </c>
      <c r="AA30" s="123" t="e">
        <f t="shared" ca="1" si="4"/>
        <v>#REF!</v>
      </c>
      <c r="AB30" s="123" t="e">
        <f t="shared" ca="1" si="4"/>
        <v>#REF!</v>
      </c>
      <c r="AC30" s="123" t="e">
        <f t="shared" ca="1" si="4"/>
        <v>#REF!</v>
      </c>
      <c r="AD30" s="123" t="e">
        <f t="shared" ca="1" si="4"/>
        <v>#REF!</v>
      </c>
      <c r="AE30" s="123" t="e">
        <f t="shared" ca="1" si="4"/>
        <v>#REF!</v>
      </c>
      <c r="AF30" s="123" t="e">
        <f t="shared" ref="C30:AF39" ca="1" si="7">OFFSET(INDIRECT(AF$3),$A30-$A$5+$C$1,$C$2)-OFFSET(INDIRECT(AF$3),$A30-$A$5+$C$1,$D$2)+OFFSET(INDIRECT(AF$3),$A30-$A$5+$C$1,$E$2)</f>
        <v>#REF!</v>
      </c>
      <c r="AG30" s="312"/>
    </row>
    <row r="31" spans="1:33">
      <c r="A31">
        <f t="shared" si="3"/>
        <v>2036</v>
      </c>
      <c r="B31" s="123">
        <f t="shared" ref="B31:B45" ca="1" si="8">OFFSET(INDIRECT(B$3),$A31-$A$5+$C$1,$C$2)-OFFSET(INDIRECT(B$3),$A31-$A$5+$C$1,$D$2)+OFFSET(INDIRECT(B$3),$A31-$A$5+$C$1,$E$2)</f>
        <v>0</v>
      </c>
      <c r="C31" s="123">
        <f t="shared" ca="1" si="7"/>
        <v>0</v>
      </c>
      <c r="D31" s="123">
        <f t="shared" ca="1" si="7"/>
        <v>0</v>
      </c>
      <c r="E31" s="123">
        <f t="shared" ca="1" si="7"/>
        <v>-66165.424999999988</v>
      </c>
      <c r="F31" s="123">
        <f t="shared" ca="1" si="7"/>
        <v>-60132.974999999991</v>
      </c>
      <c r="G31" s="123">
        <f t="shared" ca="1" si="7"/>
        <v>-57284.775000000001</v>
      </c>
      <c r="H31" s="123">
        <f t="shared" ca="1" si="7"/>
        <v>-37042.442264402649</v>
      </c>
      <c r="I31" s="123">
        <f t="shared" ca="1" si="7"/>
        <v>0</v>
      </c>
      <c r="J31" s="123">
        <f t="shared" ca="1" si="7"/>
        <v>-19465</v>
      </c>
      <c r="K31" s="123">
        <f t="shared" ca="1" si="7"/>
        <v>-390.68231228680816</v>
      </c>
      <c r="L31" s="123">
        <f t="shared" ca="1" si="7"/>
        <v>0</v>
      </c>
      <c r="M31" s="123">
        <f t="shared" ca="1" si="7"/>
        <v>0</v>
      </c>
      <c r="N31" s="123">
        <f t="shared" ca="1" si="7"/>
        <v>0</v>
      </c>
      <c r="O31" s="123">
        <f t="shared" ca="1" si="7"/>
        <v>0</v>
      </c>
      <c r="P31" s="123">
        <f t="shared" ca="1" si="7"/>
        <v>-67810.881054210011</v>
      </c>
      <c r="Q31" s="123">
        <f t="shared" ca="1" si="7"/>
        <v>-199440.01548400958</v>
      </c>
      <c r="R31" s="123">
        <f t="shared" ca="1" si="7"/>
        <v>0</v>
      </c>
      <c r="S31" s="123">
        <f t="shared" ca="1" si="7"/>
        <v>0</v>
      </c>
      <c r="T31" s="123">
        <f t="shared" ca="1" si="7"/>
        <v>0</v>
      </c>
      <c r="U31" s="123">
        <f t="shared" ca="1" si="7"/>
        <v>0</v>
      </c>
      <c r="V31" s="123">
        <f t="shared" ca="1" si="7"/>
        <v>0</v>
      </c>
      <c r="W31" s="123">
        <f t="shared" ca="1" si="7"/>
        <v>0</v>
      </c>
      <c r="X31" s="123">
        <f t="shared" ca="1" si="7"/>
        <v>0</v>
      </c>
      <c r="Y31" s="123" t="e">
        <f t="shared" ca="1" si="7"/>
        <v>#REF!</v>
      </c>
      <c r="Z31" s="123" t="e">
        <f t="shared" ca="1" si="7"/>
        <v>#REF!</v>
      </c>
      <c r="AA31" s="123" t="e">
        <f t="shared" ca="1" si="7"/>
        <v>#REF!</v>
      </c>
      <c r="AB31" s="123" t="e">
        <f t="shared" ca="1" si="7"/>
        <v>#REF!</v>
      </c>
      <c r="AC31" s="123" t="e">
        <f t="shared" ca="1" si="7"/>
        <v>#REF!</v>
      </c>
      <c r="AD31" s="123" t="e">
        <f t="shared" ca="1" si="7"/>
        <v>#REF!</v>
      </c>
      <c r="AE31" s="123" t="e">
        <f t="shared" ca="1" si="7"/>
        <v>#REF!</v>
      </c>
      <c r="AF31" s="123" t="e">
        <f t="shared" ca="1" si="7"/>
        <v>#REF!</v>
      </c>
      <c r="AG31" s="312"/>
    </row>
    <row r="32" spans="1:33">
      <c r="A32">
        <f t="shared" si="3"/>
        <v>2037</v>
      </c>
      <c r="B32" s="123">
        <f t="shared" ca="1" si="8"/>
        <v>0</v>
      </c>
      <c r="C32" s="123">
        <f t="shared" ca="1" si="7"/>
        <v>0</v>
      </c>
      <c r="D32" s="123">
        <f t="shared" ca="1" si="7"/>
        <v>0</v>
      </c>
      <c r="E32" s="123">
        <f t="shared" ca="1" si="7"/>
        <v>-66165.424999999988</v>
      </c>
      <c r="F32" s="123">
        <f t="shared" ca="1" si="7"/>
        <v>-60132.974999999991</v>
      </c>
      <c r="G32" s="123">
        <f t="shared" ca="1" si="7"/>
        <v>-57284.775000000001</v>
      </c>
      <c r="H32" s="123">
        <f t="shared" ca="1" si="7"/>
        <v>-37377.906229589673</v>
      </c>
      <c r="I32" s="123">
        <f t="shared" ca="1" si="7"/>
        <v>0</v>
      </c>
      <c r="J32" s="123">
        <f t="shared" ca="1" si="7"/>
        <v>-19465</v>
      </c>
      <c r="K32" s="123">
        <f t="shared" ca="1" si="7"/>
        <v>-390.68231228680816</v>
      </c>
      <c r="L32" s="123">
        <f t="shared" ca="1" si="7"/>
        <v>0</v>
      </c>
      <c r="M32" s="123">
        <f t="shared" ca="1" si="7"/>
        <v>0</v>
      </c>
      <c r="N32" s="123">
        <f t="shared" ca="1" si="7"/>
        <v>0</v>
      </c>
      <c r="O32" s="123">
        <f t="shared" ca="1" si="7"/>
        <v>0</v>
      </c>
      <c r="P32" s="123">
        <f t="shared" ca="1" si="7"/>
        <v>-69487.266867001832</v>
      </c>
      <c r="Q32" s="123">
        <f t="shared" ca="1" si="7"/>
        <v>-206826.68272415805</v>
      </c>
      <c r="R32" s="123">
        <f t="shared" ca="1" si="7"/>
        <v>0</v>
      </c>
      <c r="S32" s="123">
        <f t="shared" ca="1" si="7"/>
        <v>0</v>
      </c>
      <c r="T32" s="123">
        <f t="shared" ca="1" si="7"/>
        <v>0</v>
      </c>
      <c r="U32" s="123">
        <f t="shared" ca="1" si="7"/>
        <v>0</v>
      </c>
      <c r="V32" s="123">
        <f t="shared" ca="1" si="7"/>
        <v>0</v>
      </c>
      <c r="W32" s="123">
        <f t="shared" ca="1" si="7"/>
        <v>0</v>
      </c>
      <c r="X32" s="123">
        <f t="shared" ca="1" si="7"/>
        <v>0</v>
      </c>
      <c r="Y32" s="123" t="e">
        <f t="shared" ca="1" si="7"/>
        <v>#REF!</v>
      </c>
      <c r="Z32" s="123" t="e">
        <f t="shared" ca="1" si="7"/>
        <v>#REF!</v>
      </c>
      <c r="AA32" s="123" t="e">
        <f t="shared" ca="1" si="7"/>
        <v>#REF!</v>
      </c>
      <c r="AB32" s="123" t="e">
        <f t="shared" ca="1" si="7"/>
        <v>#REF!</v>
      </c>
      <c r="AC32" s="123" t="e">
        <f t="shared" ca="1" si="7"/>
        <v>#REF!</v>
      </c>
      <c r="AD32" s="123" t="e">
        <f t="shared" ca="1" si="7"/>
        <v>#REF!</v>
      </c>
      <c r="AE32" s="123" t="e">
        <f t="shared" ca="1" si="7"/>
        <v>#REF!</v>
      </c>
      <c r="AF32" s="123" t="e">
        <f t="shared" ca="1" si="7"/>
        <v>#REF!</v>
      </c>
      <c r="AG32" s="312"/>
    </row>
    <row r="33" spans="1:33">
      <c r="A33">
        <f t="shared" si="3"/>
        <v>2038</v>
      </c>
      <c r="B33" s="123">
        <f t="shared" ca="1" si="8"/>
        <v>0</v>
      </c>
      <c r="C33" s="123">
        <f t="shared" ca="1" si="7"/>
        <v>0</v>
      </c>
      <c r="D33" s="123">
        <f t="shared" ca="1" si="7"/>
        <v>0</v>
      </c>
      <c r="E33" s="123">
        <f t="shared" ca="1" si="7"/>
        <v>-66165.424999999988</v>
      </c>
      <c r="F33" s="123">
        <f t="shared" ca="1" si="7"/>
        <v>-60132.974999999991</v>
      </c>
      <c r="G33" s="123">
        <f t="shared" ca="1" si="7"/>
        <v>-57284.775000000001</v>
      </c>
      <c r="H33" s="123">
        <f t="shared" ca="1" si="7"/>
        <v>-37713.370194776682</v>
      </c>
      <c r="I33" s="123">
        <f t="shared" ca="1" si="7"/>
        <v>0</v>
      </c>
      <c r="J33" s="123">
        <f t="shared" ca="1" si="7"/>
        <v>-19465</v>
      </c>
      <c r="K33" s="123">
        <f t="shared" ca="1" si="7"/>
        <v>-390.68231228680816</v>
      </c>
      <c r="L33" s="123">
        <f t="shared" ca="1" si="7"/>
        <v>0</v>
      </c>
      <c r="M33" s="123">
        <f t="shared" ca="1" si="7"/>
        <v>0</v>
      </c>
      <c r="N33" s="123">
        <f t="shared" ca="1" si="7"/>
        <v>0</v>
      </c>
      <c r="O33" s="123">
        <f t="shared" ca="1" si="7"/>
        <v>0</v>
      </c>
      <c r="P33" s="123">
        <f t="shared" ca="1" si="7"/>
        <v>-71163.652679793566</v>
      </c>
      <c r="Q33" s="123">
        <f t="shared" ca="1" si="7"/>
        <v>-214213.34996430657</v>
      </c>
      <c r="R33" s="123">
        <f t="shared" ca="1" si="7"/>
        <v>0</v>
      </c>
      <c r="S33" s="123">
        <f t="shared" ca="1" si="7"/>
        <v>0</v>
      </c>
      <c r="T33" s="123">
        <f t="shared" ca="1" si="7"/>
        <v>0</v>
      </c>
      <c r="U33" s="123">
        <f t="shared" ca="1" si="7"/>
        <v>0</v>
      </c>
      <c r="V33" s="123">
        <f t="shared" ca="1" si="7"/>
        <v>0</v>
      </c>
      <c r="W33" s="123">
        <f t="shared" ca="1" si="7"/>
        <v>0</v>
      </c>
      <c r="X33" s="123">
        <f t="shared" ca="1" si="7"/>
        <v>0</v>
      </c>
      <c r="Y33" s="123" t="e">
        <f t="shared" ca="1" si="7"/>
        <v>#REF!</v>
      </c>
      <c r="Z33" s="123" t="e">
        <f t="shared" ca="1" si="7"/>
        <v>#REF!</v>
      </c>
      <c r="AA33" s="123" t="e">
        <f t="shared" ca="1" si="7"/>
        <v>#REF!</v>
      </c>
      <c r="AB33" s="123" t="e">
        <f t="shared" ca="1" si="7"/>
        <v>#REF!</v>
      </c>
      <c r="AC33" s="123" t="e">
        <f t="shared" ca="1" si="7"/>
        <v>#REF!</v>
      </c>
      <c r="AD33" s="123" t="e">
        <f t="shared" ca="1" si="7"/>
        <v>#REF!</v>
      </c>
      <c r="AE33" s="123" t="e">
        <f t="shared" ca="1" si="7"/>
        <v>#REF!</v>
      </c>
      <c r="AF33" s="123" t="e">
        <f t="shared" ca="1" si="7"/>
        <v>#REF!</v>
      </c>
      <c r="AG33" s="312"/>
    </row>
    <row r="34" spans="1:33">
      <c r="A34">
        <f t="shared" si="3"/>
        <v>2039</v>
      </c>
      <c r="B34" s="123">
        <f t="shared" ca="1" si="8"/>
        <v>0</v>
      </c>
      <c r="C34" s="123">
        <f t="shared" ca="1" si="7"/>
        <v>0</v>
      </c>
      <c r="D34" s="123">
        <f t="shared" ca="1" si="7"/>
        <v>0</v>
      </c>
      <c r="E34" s="123">
        <f t="shared" ca="1" si="7"/>
        <v>-66165.424999999988</v>
      </c>
      <c r="F34" s="123">
        <f t="shared" ca="1" si="7"/>
        <v>-60132.974999999991</v>
      </c>
      <c r="G34" s="123">
        <f t="shared" ca="1" si="7"/>
        <v>-57284.775000000001</v>
      </c>
      <c r="H34" s="123">
        <f t="shared" ca="1" si="7"/>
        <v>-38048.834159963699</v>
      </c>
      <c r="I34" s="123">
        <f t="shared" ca="1" si="7"/>
        <v>0</v>
      </c>
      <c r="J34" s="123">
        <f t="shared" ca="1" si="7"/>
        <v>-19465</v>
      </c>
      <c r="K34" s="123">
        <f t="shared" ca="1" si="7"/>
        <v>-390.68231228680816</v>
      </c>
      <c r="L34" s="123">
        <f t="shared" ca="1" si="7"/>
        <v>0</v>
      </c>
      <c r="M34" s="123">
        <f t="shared" ca="1" si="7"/>
        <v>0</v>
      </c>
      <c r="N34" s="123">
        <f t="shared" ca="1" si="7"/>
        <v>0</v>
      </c>
      <c r="O34" s="123">
        <f t="shared" ca="1" si="7"/>
        <v>0</v>
      </c>
      <c r="P34" s="123">
        <f t="shared" ca="1" si="7"/>
        <v>-72840.038492585314</v>
      </c>
      <c r="Q34" s="123">
        <f t="shared" ca="1" si="7"/>
        <v>-221600.01720445513</v>
      </c>
      <c r="R34" s="123">
        <f t="shared" ca="1" si="7"/>
        <v>0</v>
      </c>
      <c r="S34" s="123">
        <f t="shared" ca="1" si="7"/>
        <v>0</v>
      </c>
      <c r="T34" s="123">
        <f t="shared" ca="1" si="7"/>
        <v>0</v>
      </c>
      <c r="U34" s="123">
        <f t="shared" ca="1" si="7"/>
        <v>0</v>
      </c>
      <c r="V34" s="123">
        <f t="shared" ca="1" si="7"/>
        <v>0</v>
      </c>
      <c r="W34" s="123">
        <f t="shared" ca="1" si="7"/>
        <v>0</v>
      </c>
      <c r="X34" s="123">
        <f t="shared" ca="1" si="7"/>
        <v>0</v>
      </c>
      <c r="Y34" s="123" t="e">
        <f t="shared" ca="1" si="7"/>
        <v>#REF!</v>
      </c>
      <c r="Z34" s="123" t="e">
        <f t="shared" ca="1" si="7"/>
        <v>#REF!</v>
      </c>
      <c r="AA34" s="123" t="e">
        <f t="shared" ca="1" si="7"/>
        <v>#REF!</v>
      </c>
      <c r="AB34" s="123" t="e">
        <f t="shared" ca="1" si="7"/>
        <v>#REF!</v>
      </c>
      <c r="AC34" s="123" t="e">
        <f t="shared" ca="1" si="7"/>
        <v>#REF!</v>
      </c>
      <c r="AD34" s="123" t="e">
        <f t="shared" ca="1" si="7"/>
        <v>#REF!</v>
      </c>
      <c r="AE34" s="123" t="e">
        <f t="shared" ca="1" si="7"/>
        <v>#REF!</v>
      </c>
      <c r="AF34" s="123" t="e">
        <f t="shared" ca="1" si="7"/>
        <v>#REF!</v>
      </c>
      <c r="AG34" s="312"/>
    </row>
    <row r="35" spans="1:33">
      <c r="A35">
        <f t="shared" si="3"/>
        <v>2040</v>
      </c>
      <c r="B35" s="123">
        <f t="shared" ca="1" si="8"/>
        <v>0</v>
      </c>
      <c r="C35" s="123">
        <f t="shared" ca="1" si="7"/>
        <v>0</v>
      </c>
      <c r="D35" s="123">
        <f t="shared" ca="1" si="7"/>
        <v>0</v>
      </c>
      <c r="E35" s="123">
        <f t="shared" ca="1" si="7"/>
        <v>-66165.424999999988</v>
      </c>
      <c r="F35" s="123">
        <f t="shared" ca="1" si="7"/>
        <v>-60132.974999999991</v>
      </c>
      <c r="G35" s="123">
        <f t="shared" ca="1" si="7"/>
        <v>-57284.775000000001</v>
      </c>
      <c r="H35" s="123">
        <f t="shared" ca="1" si="7"/>
        <v>-38384.298125150708</v>
      </c>
      <c r="I35" s="123">
        <f t="shared" ca="1" si="7"/>
        <v>0</v>
      </c>
      <c r="J35" s="123">
        <f t="shared" ca="1" si="7"/>
        <v>-19465</v>
      </c>
      <c r="K35" s="123">
        <f t="shared" ca="1" si="7"/>
        <v>-390.68231228680816</v>
      </c>
      <c r="L35" s="123">
        <f t="shared" ca="1" si="7"/>
        <v>0</v>
      </c>
      <c r="M35" s="123">
        <f t="shared" ca="1" si="7"/>
        <v>0</v>
      </c>
      <c r="N35" s="123">
        <f t="shared" ca="1" si="7"/>
        <v>0</v>
      </c>
      <c r="O35" s="123">
        <f t="shared" ca="1" si="7"/>
        <v>0</v>
      </c>
      <c r="P35" s="123">
        <f t="shared" ca="1" si="7"/>
        <v>-74516.42430537715</v>
      </c>
      <c r="Q35" s="123">
        <f t="shared" ca="1" si="7"/>
        <v>-228986.68444460357</v>
      </c>
      <c r="R35" s="123">
        <f t="shared" ca="1" si="7"/>
        <v>0</v>
      </c>
      <c r="S35" s="123">
        <f t="shared" ca="1" si="7"/>
        <v>0</v>
      </c>
      <c r="T35" s="123">
        <f t="shared" ca="1" si="7"/>
        <v>0</v>
      </c>
      <c r="U35" s="123">
        <f t="shared" ca="1" si="7"/>
        <v>0</v>
      </c>
      <c r="V35" s="123">
        <f t="shared" ca="1" si="7"/>
        <v>0</v>
      </c>
      <c r="W35" s="123">
        <f t="shared" ca="1" si="7"/>
        <v>0</v>
      </c>
      <c r="X35" s="123">
        <f t="shared" ca="1" si="7"/>
        <v>0</v>
      </c>
      <c r="Y35" s="123" t="e">
        <f t="shared" ca="1" si="7"/>
        <v>#REF!</v>
      </c>
      <c r="Z35" s="123" t="e">
        <f t="shared" ca="1" si="7"/>
        <v>#REF!</v>
      </c>
      <c r="AA35" s="123" t="e">
        <f t="shared" ca="1" si="7"/>
        <v>#REF!</v>
      </c>
      <c r="AB35" s="123" t="e">
        <f t="shared" ca="1" si="7"/>
        <v>#REF!</v>
      </c>
      <c r="AC35" s="123" t="e">
        <f t="shared" ca="1" si="7"/>
        <v>#REF!</v>
      </c>
      <c r="AD35" s="123" t="e">
        <f t="shared" ca="1" si="7"/>
        <v>#REF!</v>
      </c>
      <c r="AE35" s="123" t="e">
        <f t="shared" ca="1" si="7"/>
        <v>#REF!</v>
      </c>
      <c r="AF35" s="123" t="e">
        <f t="shared" ca="1" si="7"/>
        <v>#REF!</v>
      </c>
      <c r="AG35" s="312"/>
    </row>
    <row r="36" spans="1:33">
      <c r="A36">
        <f t="shared" si="3"/>
        <v>2041</v>
      </c>
      <c r="B36" s="123">
        <f t="shared" ca="1" si="8"/>
        <v>0</v>
      </c>
      <c r="C36" s="123">
        <f t="shared" ca="1" si="7"/>
        <v>0</v>
      </c>
      <c r="D36" s="123">
        <f t="shared" ca="1" si="7"/>
        <v>0</v>
      </c>
      <c r="E36" s="123">
        <f t="shared" ca="1" si="7"/>
        <v>-66165.424999999988</v>
      </c>
      <c r="F36" s="123">
        <f t="shared" ca="1" si="7"/>
        <v>-60132.974999999991</v>
      </c>
      <c r="G36" s="123">
        <f t="shared" ca="1" si="7"/>
        <v>-57284.775000000001</v>
      </c>
      <c r="H36" s="123">
        <f t="shared" ca="1" si="7"/>
        <v>-38719.762090337725</v>
      </c>
      <c r="I36" s="123">
        <f t="shared" ca="1" si="7"/>
        <v>0</v>
      </c>
      <c r="J36" s="123">
        <f t="shared" ca="1" si="7"/>
        <v>-19465</v>
      </c>
      <c r="K36" s="123">
        <f t="shared" ca="1" si="7"/>
        <v>-390.68231228680816</v>
      </c>
      <c r="L36" s="123">
        <f t="shared" ca="1" si="7"/>
        <v>0</v>
      </c>
      <c r="M36" s="123">
        <f t="shared" ca="1" si="7"/>
        <v>0</v>
      </c>
      <c r="N36" s="123">
        <f t="shared" ca="1" si="7"/>
        <v>0</v>
      </c>
      <c r="O36" s="123">
        <f t="shared" ca="1" si="7"/>
        <v>0</v>
      </c>
      <c r="P36" s="123">
        <f t="shared" ca="1" si="7"/>
        <v>-76192.810118169058</v>
      </c>
      <c r="Q36" s="123">
        <f t="shared" ca="1" si="7"/>
        <v>-236373.3516847521</v>
      </c>
      <c r="R36" s="123">
        <f t="shared" ca="1" si="7"/>
        <v>0</v>
      </c>
      <c r="S36" s="123">
        <f t="shared" ca="1" si="7"/>
        <v>0</v>
      </c>
      <c r="T36" s="123">
        <f t="shared" ca="1" si="7"/>
        <v>0</v>
      </c>
      <c r="U36" s="123">
        <f t="shared" ca="1" si="7"/>
        <v>0</v>
      </c>
      <c r="V36" s="123">
        <f t="shared" ca="1" si="7"/>
        <v>0</v>
      </c>
      <c r="W36" s="123">
        <f t="shared" ca="1" si="7"/>
        <v>0</v>
      </c>
      <c r="X36" s="123">
        <f t="shared" ca="1" si="7"/>
        <v>0</v>
      </c>
      <c r="Y36" s="123" t="e">
        <f t="shared" ca="1" si="7"/>
        <v>#REF!</v>
      </c>
      <c r="Z36" s="123" t="e">
        <f t="shared" ca="1" si="7"/>
        <v>#REF!</v>
      </c>
      <c r="AA36" s="123" t="e">
        <f t="shared" ca="1" si="7"/>
        <v>#REF!</v>
      </c>
      <c r="AB36" s="123" t="e">
        <f t="shared" ca="1" si="7"/>
        <v>#REF!</v>
      </c>
      <c r="AC36" s="123" t="e">
        <f t="shared" ca="1" si="7"/>
        <v>#REF!</v>
      </c>
      <c r="AD36" s="123" t="e">
        <f t="shared" ca="1" si="7"/>
        <v>#REF!</v>
      </c>
      <c r="AE36" s="123" t="e">
        <f t="shared" ca="1" si="7"/>
        <v>#REF!</v>
      </c>
      <c r="AF36" s="123" t="e">
        <f t="shared" ca="1" si="7"/>
        <v>#REF!</v>
      </c>
      <c r="AG36" s="312"/>
    </row>
    <row r="37" spans="1:33">
      <c r="A37">
        <f t="shared" si="3"/>
        <v>2042</v>
      </c>
      <c r="B37" s="123">
        <f t="shared" ca="1" si="8"/>
        <v>0</v>
      </c>
      <c r="C37" s="123">
        <f t="shared" ca="1" si="7"/>
        <v>0</v>
      </c>
      <c r="D37" s="123">
        <f t="shared" ca="1" si="7"/>
        <v>0</v>
      </c>
      <c r="E37" s="123">
        <f t="shared" ca="1" si="7"/>
        <v>-66165.424999999988</v>
      </c>
      <c r="F37" s="123">
        <f t="shared" ca="1" si="7"/>
        <v>-60132.974999999991</v>
      </c>
      <c r="G37" s="123">
        <f t="shared" ca="1" si="7"/>
        <v>-57284.775000000001</v>
      </c>
      <c r="H37" s="123">
        <f t="shared" ca="1" si="7"/>
        <v>-39055.226055524734</v>
      </c>
      <c r="I37" s="123">
        <f t="shared" ca="1" si="7"/>
        <v>0</v>
      </c>
      <c r="J37" s="123">
        <f t="shared" ca="1" si="7"/>
        <v>-19465</v>
      </c>
      <c r="K37" s="123">
        <f t="shared" ca="1" si="7"/>
        <v>-390.68231228680816</v>
      </c>
      <c r="L37" s="123">
        <f t="shared" ca="1" si="7"/>
        <v>0</v>
      </c>
      <c r="M37" s="123">
        <f t="shared" ca="1" si="7"/>
        <v>0</v>
      </c>
      <c r="N37" s="123">
        <f t="shared" ca="1" si="7"/>
        <v>0</v>
      </c>
      <c r="O37" s="123">
        <f t="shared" ca="1" si="7"/>
        <v>0</v>
      </c>
      <c r="P37" s="123">
        <f t="shared" ca="1" si="7"/>
        <v>-77869.195930960792</v>
      </c>
      <c r="Q37" s="123">
        <f t="shared" ca="1" si="7"/>
        <v>-243760.01892490065</v>
      </c>
      <c r="R37" s="123">
        <f t="shared" ca="1" si="7"/>
        <v>0</v>
      </c>
      <c r="S37" s="123">
        <f t="shared" ca="1" si="7"/>
        <v>0</v>
      </c>
      <c r="T37" s="123">
        <f t="shared" ca="1" si="7"/>
        <v>0</v>
      </c>
      <c r="U37" s="123">
        <f t="shared" ca="1" si="7"/>
        <v>0</v>
      </c>
      <c r="V37" s="123">
        <f t="shared" ca="1" si="7"/>
        <v>0</v>
      </c>
      <c r="W37" s="123">
        <f t="shared" ca="1" si="7"/>
        <v>0</v>
      </c>
      <c r="X37" s="123">
        <f t="shared" ca="1" si="7"/>
        <v>0</v>
      </c>
      <c r="Y37" s="123" t="e">
        <f t="shared" ca="1" si="7"/>
        <v>#REF!</v>
      </c>
      <c r="Z37" s="123" t="e">
        <f t="shared" ca="1" si="7"/>
        <v>#REF!</v>
      </c>
      <c r="AA37" s="123" t="e">
        <f t="shared" ca="1" si="7"/>
        <v>#REF!</v>
      </c>
      <c r="AB37" s="123" t="e">
        <f t="shared" ca="1" si="7"/>
        <v>#REF!</v>
      </c>
      <c r="AC37" s="123" t="e">
        <f t="shared" ca="1" si="7"/>
        <v>#REF!</v>
      </c>
      <c r="AD37" s="123" t="e">
        <f t="shared" ca="1" si="7"/>
        <v>#REF!</v>
      </c>
      <c r="AE37" s="123" t="e">
        <f t="shared" ca="1" si="7"/>
        <v>#REF!</v>
      </c>
      <c r="AF37" s="123" t="e">
        <f t="shared" ca="1" si="7"/>
        <v>#REF!</v>
      </c>
      <c r="AG37" s="312"/>
    </row>
    <row r="38" spans="1:33">
      <c r="A38">
        <f t="shared" si="3"/>
        <v>2043</v>
      </c>
      <c r="B38" s="123">
        <f t="shared" ca="1" si="8"/>
        <v>0</v>
      </c>
      <c r="C38" s="123">
        <f t="shared" ca="1" si="7"/>
        <v>0</v>
      </c>
      <c r="D38" s="123">
        <f t="shared" ca="1" si="7"/>
        <v>0</v>
      </c>
      <c r="E38" s="123">
        <f t="shared" ca="1" si="7"/>
        <v>-66165.424999999988</v>
      </c>
      <c r="F38" s="123">
        <f t="shared" ca="1" si="7"/>
        <v>-60132.974999999991</v>
      </c>
      <c r="G38" s="123">
        <f t="shared" ca="1" si="7"/>
        <v>-57284.775000000001</v>
      </c>
      <c r="H38" s="123">
        <f t="shared" ca="1" si="7"/>
        <v>-39390.690020711751</v>
      </c>
      <c r="I38" s="123">
        <f t="shared" ca="1" si="7"/>
        <v>0</v>
      </c>
      <c r="J38" s="123">
        <f t="shared" ca="1" si="7"/>
        <v>-19465</v>
      </c>
      <c r="K38" s="123">
        <f t="shared" ca="1" si="7"/>
        <v>-390.68231228680816</v>
      </c>
      <c r="L38" s="123">
        <f t="shared" ca="1" si="7"/>
        <v>0</v>
      </c>
      <c r="M38" s="123">
        <f t="shared" ca="1" si="7"/>
        <v>0</v>
      </c>
      <c r="N38" s="123">
        <f t="shared" ca="1" si="7"/>
        <v>0</v>
      </c>
      <c r="O38" s="123">
        <f t="shared" ca="1" si="7"/>
        <v>0</v>
      </c>
      <c r="P38" s="123">
        <f t="shared" ca="1" si="7"/>
        <v>-79545.581743752642</v>
      </c>
      <c r="Q38" s="123">
        <f t="shared" ca="1" si="7"/>
        <v>-251146.68616504909</v>
      </c>
      <c r="R38" s="123">
        <f t="shared" ca="1" si="7"/>
        <v>0</v>
      </c>
      <c r="S38" s="123">
        <f t="shared" ca="1" si="7"/>
        <v>0</v>
      </c>
      <c r="T38" s="123">
        <f t="shared" ca="1" si="7"/>
        <v>0</v>
      </c>
      <c r="U38" s="123">
        <f t="shared" ca="1" si="7"/>
        <v>0</v>
      </c>
      <c r="V38" s="123">
        <f t="shared" ca="1" si="7"/>
        <v>0</v>
      </c>
      <c r="W38" s="123">
        <f t="shared" ca="1" si="7"/>
        <v>0</v>
      </c>
      <c r="X38" s="123">
        <f t="shared" ca="1" si="7"/>
        <v>0</v>
      </c>
      <c r="Y38" s="123" t="e">
        <f t="shared" ca="1" si="7"/>
        <v>#REF!</v>
      </c>
      <c r="Z38" s="123" t="e">
        <f t="shared" ca="1" si="7"/>
        <v>#REF!</v>
      </c>
      <c r="AA38" s="123" t="e">
        <f t="shared" ca="1" si="7"/>
        <v>#REF!</v>
      </c>
      <c r="AB38" s="123" t="e">
        <f t="shared" ca="1" si="7"/>
        <v>#REF!</v>
      </c>
      <c r="AC38" s="123" t="e">
        <f t="shared" ca="1" si="7"/>
        <v>#REF!</v>
      </c>
      <c r="AD38" s="123" t="e">
        <f t="shared" ca="1" si="7"/>
        <v>#REF!</v>
      </c>
      <c r="AE38" s="123" t="e">
        <f t="shared" ca="1" si="7"/>
        <v>#REF!</v>
      </c>
      <c r="AF38" s="123" t="e">
        <f t="shared" ca="1" si="7"/>
        <v>#REF!</v>
      </c>
      <c r="AG38" s="312"/>
    </row>
    <row r="39" spans="1:33">
      <c r="A39">
        <f t="shared" si="3"/>
        <v>2044</v>
      </c>
      <c r="B39" s="123">
        <f t="shared" ca="1" si="8"/>
        <v>0</v>
      </c>
      <c r="C39" s="123">
        <f t="shared" ca="1" si="7"/>
        <v>0</v>
      </c>
      <c r="D39" s="123">
        <f t="shared" ca="1" si="7"/>
        <v>0</v>
      </c>
      <c r="E39" s="123">
        <f t="shared" ca="1" si="7"/>
        <v>-66165.424999999988</v>
      </c>
      <c r="F39" s="123">
        <f t="shared" ca="1" si="7"/>
        <v>-60132.974999999991</v>
      </c>
      <c r="G39" s="123">
        <f t="shared" ca="1" si="7"/>
        <v>-57284.775000000001</v>
      </c>
      <c r="H39" s="123">
        <f t="shared" ca="1" si="7"/>
        <v>-39726.153985898767</v>
      </c>
      <c r="I39" s="123">
        <f t="shared" ca="1" si="7"/>
        <v>0</v>
      </c>
      <c r="J39" s="123">
        <f t="shared" ca="1" si="7"/>
        <v>-19465</v>
      </c>
      <c r="K39" s="123">
        <f t="shared" ca="1" si="7"/>
        <v>-390.68231228680816</v>
      </c>
      <c r="L39" s="123">
        <f t="shared" ca="1" si="7"/>
        <v>0</v>
      </c>
      <c r="M39" s="123">
        <f t="shared" ca="1" si="7"/>
        <v>0</v>
      </c>
      <c r="N39" s="123">
        <f t="shared" ca="1" si="7"/>
        <v>0</v>
      </c>
      <c r="O39" s="123">
        <f t="shared" ca="1" si="7"/>
        <v>0</v>
      </c>
      <c r="P39" s="123">
        <f t="shared" ca="1" si="7"/>
        <v>-81221.967556544376</v>
      </c>
      <c r="Q39" s="123">
        <f t="shared" ref="Q39:AF45" ca="1" si="9">OFFSET(INDIRECT(Q$3),$A39-$A$5+$C$1,$C$2)-OFFSET(INDIRECT(Q$3),$A39-$A$5+$C$1,$D$2)+OFFSET(INDIRECT(Q$3),$A39-$A$5+$C$1,$E$2)</f>
        <v>-258533.35340519765</v>
      </c>
      <c r="R39" s="123">
        <f t="shared" ca="1" si="9"/>
        <v>0</v>
      </c>
      <c r="S39" s="123">
        <f t="shared" ca="1" si="9"/>
        <v>0</v>
      </c>
      <c r="T39" s="123">
        <f t="shared" ca="1" si="9"/>
        <v>0</v>
      </c>
      <c r="U39" s="123">
        <f t="shared" ca="1" si="9"/>
        <v>0</v>
      </c>
      <c r="V39" s="123">
        <f t="shared" ca="1" si="9"/>
        <v>0</v>
      </c>
      <c r="W39" s="123">
        <f t="shared" ca="1" si="9"/>
        <v>0</v>
      </c>
      <c r="X39" s="123">
        <f t="shared" ca="1" si="9"/>
        <v>0</v>
      </c>
      <c r="Y39" s="123" t="e">
        <f t="shared" ca="1" si="9"/>
        <v>#REF!</v>
      </c>
      <c r="Z39" s="123" t="e">
        <f t="shared" ca="1" si="9"/>
        <v>#REF!</v>
      </c>
      <c r="AA39" s="123" t="e">
        <f t="shared" ca="1" si="9"/>
        <v>#REF!</v>
      </c>
      <c r="AB39" s="123" t="e">
        <f t="shared" ca="1" si="9"/>
        <v>#REF!</v>
      </c>
      <c r="AC39" s="123" t="e">
        <f t="shared" ca="1" si="9"/>
        <v>#REF!</v>
      </c>
      <c r="AD39" s="123" t="e">
        <f t="shared" ca="1" si="9"/>
        <v>#REF!</v>
      </c>
      <c r="AE39" s="123" t="e">
        <f t="shared" ca="1" si="9"/>
        <v>#REF!</v>
      </c>
      <c r="AF39" s="123" t="e">
        <f t="shared" ca="1" si="9"/>
        <v>#REF!</v>
      </c>
      <c r="AG39" s="312"/>
    </row>
    <row r="40" spans="1:33">
      <c r="A40">
        <f t="shared" si="3"/>
        <v>2045</v>
      </c>
      <c r="B40" s="123">
        <f t="shared" ca="1" si="8"/>
        <v>0</v>
      </c>
      <c r="C40" s="123">
        <f t="shared" ref="C40:Q45" ca="1" si="10">OFFSET(INDIRECT(C$3),$A40-$A$5+$C$1,$C$2)-OFFSET(INDIRECT(C$3),$A40-$A$5+$C$1,$D$2)+OFFSET(INDIRECT(C$3),$A40-$A$5+$C$1,$E$2)</f>
        <v>0</v>
      </c>
      <c r="D40" s="123">
        <f t="shared" ca="1" si="10"/>
        <v>0</v>
      </c>
      <c r="E40" s="123">
        <f t="shared" ca="1" si="10"/>
        <v>-66165.424999999988</v>
      </c>
      <c r="F40" s="123">
        <f t="shared" ca="1" si="10"/>
        <v>-60132.974999999991</v>
      </c>
      <c r="G40" s="123">
        <f t="shared" ca="1" si="10"/>
        <v>-57284.775000000001</v>
      </c>
      <c r="H40" s="123">
        <f t="shared" ca="1" si="10"/>
        <v>-40061.617951085791</v>
      </c>
      <c r="I40" s="123">
        <f t="shared" ca="1" si="10"/>
        <v>0</v>
      </c>
      <c r="J40" s="123">
        <f t="shared" ca="1" si="10"/>
        <v>-19465</v>
      </c>
      <c r="K40" s="123">
        <f t="shared" ca="1" si="10"/>
        <v>-390.68231228680816</v>
      </c>
      <c r="L40" s="123">
        <f t="shared" ca="1" si="10"/>
        <v>0</v>
      </c>
      <c r="M40" s="123">
        <f t="shared" ca="1" si="10"/>
        <v>0</v>
      </c>
      <c r="N40" s="123">
        <f t="shared" ca="1" si="10"/>
        <v>0</v>
      </c>
      <c r="O40" s="123">
        <f t="shared" ca="1" si="10"/>
        <v>0</v>
      </c>
      <c r="P40" s="123">
        <f t="shared" ca="1" si="10"/>
        <v>-82898.35336933611</v>
      </c>
      <c r="Q40" s="123">
        <f t="shared" ca="1" si="10"/>
        <v>-265920.0206453462</v>
      </c>
      <c r="R40" s="123">
        <f t="shared" ca="1" si="9"/>
        <v>0</v>
      </c>
      <c r="S40" s="123">
        <f t="shared" ca="1" si="9"/>
        <v>0</v>
      </c>
      <c r="T40" s="123">
        <f t="shared" ca="1" si="9"/>
        <v>0</v>
      </c>
      <c r="U40" s="123">
        <f t="shared" ca="1" si="9"/>
        <v>0</v>
      </c>
      <c r="V40" s="123">
        <f t="shared" ca="1" si="9"/>
        <v>0</v>
      </c>
      <c r="W40" s="123">
        <f t="shared" ca="1" si="9"/>
        <v>0</v>
      </c>
      <c r="X40" s="123">
        <f t="shared" ca="1" si="9"/>
        <v>0</v>
      </c>
      <c r="Y40" s="123" t="e">
        <f t="shared" ca="1" si="9"/>
        <v>#REF!</v>
      </c>
      <c r="Z40" s="123" t="e">
        <f t="shared" ca="1" si="9"/>
        <v>#REF!</v>
      </c>
      <c r="AA40" s="123" t="e">
        <f t="shared" ca="1" si="9"/>
        <v>#REF!</v>
      </c>
      <c r="AB40" s="123" t="e">
        <f t="shared" ca="1" si="9"/>
        <v>#REF!</v>
      </c>
      <c r="AC40" s="123" t="e">
        <f t="shared" ca="1" si="9"/>
        <v>#REF!</v>
      </c>
      <c r="AD40" s="123" t="e">
        <f t="shared" ca="1" si="9"/>
        <v>#REF!</v>
      </c>
      <c r="AE40" s="123" t="e">
        <f t="shared" ca="1" si="9"/>
        <v>#REF!</v>
      </c>
      <c r="AF40" s="123" t="e">
        <f t="shared" ca="1" si="9"/>
        <v>#REF!</v>
      </c>
      <c r="AG40" s="312"/>
    </row>
    <row r="41" spans="1:33">
      <c r="A41">
        <f>A40+1</f>
        <v>2046</v>
      </c>
      <c r="B41" s="123">
        <f t="shared" ca="1" si="8"/>
        <v>0</v>
      </c>
      <c r="C41" s="123">
        <f t="shared" ca="1" si="10"/>
        <v>0</v>
      </c>
      <c r="D41" s="123">
        <f t="shared" ca="1" si="10"/>
        <v>0</v>
      </c>
      <c r="E41" s="123">
        <f t="shared" ca="1" si="10"/>
        <v>-66165.424999999988</v>
      </c>
      <c r="F41" s="123">
        <f t="shared" ca="1" si="10"/>
        <v>-60132.974999999991</v>
      </c>
      <c r="G41" s="123">
        <f t="shared" ca="1" si="10"/>
        <v>-57284.775000000001</v>
      </c>
      <c r="H41" s="123">
        <f t="shared" ca="1" si="10"/>
        <v>-40397.081916272786</v>
      </c>
      <c r="I41" s="123">
        <f t="shared" ca="1" si="10"/>
        <v>0</v>
      </c>
      <c r="J41" s="123">
        <f t="shared" ca="1" si="10"/>
        <v>-19465</v>
      </c>
      <c r="K41" s="123">
        <f t="shared" ca="1" si="10"/>
        <v>-390.68231228680816</v>
      </c>
      <c r="L41" s="123">
        <f t="shared" ca="1" si="10"/>
        <v>0</v>
      </c>
      <c r="M41" s="123">
        <f t="shared" ca="1" si="10"/>
        <v>0</v>
      </c>
      <c r="N41" s="123">
        <f t="shared" ca="1" si="10"/>
        <v>0</v>
      </c>
      <c r="O41" s="123">
        <f t="shared" ca="1" si="10"/>
        <v>0</v>
      </c>
      <c r="P41" s="123">
        <f t="shared" ca="1" si="10"/>
        <v>-84574.73918212796</v>
      </c>
      <c r="Q41" s="123">
        <f t="shared" ca="1" si="10"/>
        <v>-273306.68788549461</v>
      </c>
      <c r="R41" s="123">
        <f t="shared" ca="1" si="9"/>
        <v>0</v>
      </c>
      <c r="S41" s="123">
        <f t="shared" ca="1" si="9"/>
        <v>0</v>
      </c>
      <c r="T41" s="123">
        <f t="shared" ca="1" si="9"/>
        <v>0</v>
      </c>
      <c r="U41" s="123">
        <f t="shared" ca="1" si="9"/>
        <v>0</v>
      </c>
      <c r="V41" s="123">
        <f t="shared" ca="1" si="9"/>
        <v>0</v>
      </c>
      <c r="W41" s="123">
        <f t="shared" ca="1" si="9"/>
        <v>0</v>
      </c>
      <c r="X41" s="123">
        <f t="shared" ca="1" si="9"/>
        <v>0</v>
      </c>
      <c r="Y41" s="123" t="e">
        <f t="shared" ca="1" si="9"/>
        <v>#REF!</v>
      </c>
      <c r="Z41" s="123" t="e">
        <f t="shared" ca="1" si="9"/>
        <v>#REF!</v>
      </c>
      <c r="AA41" s="123" t="e">
        <f t="shared" ca="1" si="9"/>
        <v>#REF!</v>
      </c>
      <c r="AB41" s="123" t="e">
        <f t="shared" ca="1" si="9"/>
        <v>#REF!</v>
      </c>
      <c r="AC41" s="123" t="e">
        <f t="shared" ca="1" si="9"/>
        <v>#REF!</v>
      </c>
      <c r="AD41" s="123" t="e">
        <f t="shared" ca="1" si="9"/>
        <v>#REF!</v>
      </c>
      <c r="AE41" s="123" t="e">
        <f t="shared" ca="1" si="9"/>
        <v>#REF!</v>
      </c>
      <c r="AF41" s="123" t="e">
        <f t="shared" ca="1" si="9"/>
        <v>#REF!</v>
      </c>
      <c r="AG41" s="312"/>
    </row>
    <row r="42" spans="1:33">
      <c r="A42">
        <f t="shared" si="3"/>
        <v>2047</v>
      </c>
      <c r="B42" s="123">
        <f t="shared" ca="1" si="8"/>
        <v>0</v>
      </c>
      <c r="C42" s="123">
        <f t="shared" ca="1" si="10"/>
        <v>0</v>
      </c>
      <c r="D42" s="123">
        <f t="shared" ca="1" si="10"/>
        <v>0</v>
      </c>
      <c r="E42" s="123">
        <f t="shared" ca="1" si="10"/>
        <v>-66165.424999999988</v>
      </c>
      <c r="F42" s="123">
        <f t="shared" ca="1" si="10"/>
        <v>-60132.974999999991</v>
      </c>
      <c r="G42" s="123">
        <f t="shared" ca="1" si="10"/>
        <v>-57284.775000000001</v>
      </c>
      <c r="H42" s="123">
        <f t="shared" ca="1" si="10"/>
        <v>-40732.545881459795</v>
      </c>
      <c r="I42" s="123">
        <f t="shared" ca="1" si="10"/>
        <v>0</v>
      </c>
      <c r="J42" s="123">
        <f t="shared" ca="1" si="10"/>
        <v>-19465</v>
      </c>
      <c r="K42" s="123">
        <f t="shared" ca="1" si="10"/>
        <v>-390.68231228680816</v>
      </c>
      <c r="L42" s="123">
        <f t="shared" ca="1" si="10"/>
        <v>0</v>
      </c>
      <c r="M42" s="123">
        <f t="shared" ca="1" si="10"/>
        <v>0</v>
      </c>
      <c r="N42" s="123">
        <f t="shared" ca="1" si="10"/>
        <v>0</v>
      </c>
      <c r="O42" s="123">
        <f t="shared" ca="1" si="10"/>
        <v>0</v>
      </c>
      <c r="P42" s="123">
        <f t="shared" ca="1" si="10"/>
        <v>-86251.124994919752</v>
      </c>
      <c r="Q42" s="123">
        <f t="shared" ca="1" si="10"/>
        <v>-280693.35512564308</v>
      </c>
      <c r="R42" s="123">
        <f t="shared" ca="1" si="9"/>
        <v>0</v>
      </c>
      <c r="S42" s="123">
        <f t="shared" ca="1" si="9"/>
        <v>0</v>
      </c>
      <c r="T42" s="123">
        <f t="shared" ca="1" si="9"/>
        <v>0</v>
      </c>
      <c r="U42" s="123">
        <f t="shared" ca="1" si="9"/>
        <v>0</v>
      </c>
      <c r="V42" s="123">
        <f t="shared" ca="1" si="9"/>
        <v>0</v>
      </c>
      <c r="W42" s="123">
        <f t="shared" ca="1" si="9"/>
        <v>0</v>
      </c>
      <c r="X42" s="123">
        <f t="shared" ca="1" si="9"/>
        <v>0</v>
      </c>
      <c r="Y42" s="123" t="e">
        <f t="shared" ca="1" si="9"/>
        <v>#REF!</v>
      </c>
      <c r="Z42" s="123" t="e">
        <f t="shared" ca="1" si="9"/>
        <v>#REF!</v>
      </c>
      <c r="AA42" s="123" t="e">
        <f t="shared" ca="1" si="9"/>
        <v>#REF!</v>
      </c>
      <c r="AB42" s="123" t="e">
        <f t="shared" ca="1" si="9"/>
        <v>#REF!</v>
      </c>
      <c r="AC42" s="123" t="e">
        <f t="shared" ca="1" si="9"/>
        <v>#REF!</v>
      </c>
      <c r="AD42" s="123" t="e">
        <f t="shared" ca="1" si="9"/>
        <v>#REF!</v>
      </c>
      <c r="AE42" s="123" t="e">
        <f t="shared" ca="1" si="9"/>
        <v>#REF!</v>
      </c>
      <c r="AF42" s="123" t="e">
        <f t="shared" ca="1" si="9"/>
        <v>#REF!</v>
      </c>
      <c r="AG42" s="312"/>
    </row>
    <row r="43" spans="1:33">
      <c r="A43">
        <f t="shared" si="3"/>
        <v>2048</v>
      </c>
      <c r="B43" s="123">
        <f t="shared" ca="1" si="8"/>
        <v>0</v>
      </c>
      <c r="C43" s="123">
        <f t="shared" ca="1" si="10"/>
        <v>0</v>
      </c>
      <c r="D43" s="123">
        <f t="shared" ca="1" si="10"/>
        <v>0</v>
      </c>
      <c r="E43" s="123">
        <f t="shared" ca="1" si="10"/>
        <v>-66165.424999999988</v>
      </c>
      <c r="F43" s="123">
        <f t="shared" ca="1" si="10"/>
        <v>-60132.974999999991</v>
      </c>
      <c r="G43" s="123">
        <f t="shared" ca="1" si="10"/>
        <v>-57284.775000000001</v>
      </c>
      <c r="H43" s="123">
        <f t="shared" ca="1" si="10"/>
        <v>-41068.009846646826</v>
      </c>
      <c r="I43" s="123">
        <f t="shared" ca="1" si="10"/>
        <v>0</v>
      </c>
      <c r="J43" s="123">
        <f t="shared" ca="1" si="10"/>
        <v>-19465</v>
      </c>
      <c r="K43" s="123">
        <f t="shared" ca="1" si="10"/>
        <v>-390.68231228680816</v>
      </c>
      <c r="L43" s="123">
        <f t="shared" ca="1" si="10"/>
        <v>0</v>
      </c>
      <c r="M43" s="123">
        <f t="shared" ca="1" si="10"/>
        <v>0</v>
      </c>
      <c r="N43" s="123">
        <f t="shared" ca="1" si="10"/>
        <v>0</v>
      </c>
      <c r="O43" s="123">
        <f t="shared" ca="1" si="10"/>
        <v>0</v>
      </c>
      <c r="P43" s="123">
        <f t="shared" ca="1" si="10"/>
        <v>-87927.510807711689</v>
      </c>
      <c r="Q43" s="123">
        <f t="shared" ca="1" si="10"/>
        <v>-288080.02236579161</v>
      </c>
      <c r="R43" s="123">
        <f t="shared" ca="1" si="9"/>
        <v>0</v>
      </c>
      <c r="S43" s="123">
        <f t="shared" ca="1" si="9"/>
        <v>0</v>
      </c>
      <c r="T43" s="123">
        <f t="shared" ca="1" si="9"/>
        <v>0</v>
      </c>
      <c r="U43" s="123">
        <f t="shared" ca="1" si="9"/>
        <v>0</v>
      </c>
      <c r="V43" s="123">
        <f t="shared" ca="1" si="9"/>
        <v>0</v>
      </c>
      <c r="W43" s="123">
        <f t="shared" ca="1" si="9"/>
        <v>0</v>
      </c>
      <c r="X43" s="123">
        <f t="shared" ca="1" si="9"/>
        <v>0</v>
      </c>
      <c r="Y43" s="123" t="e">
        <f t="shared" ca="1" si="9"/>
        <v>#REF!</v>
      </c>
      <c r="Z43" s="123" t="e">
        <f t="shared" ca="1" si="9"/>
        <v>#REF!</v>
      </c>
      <c r="AA43" s="123" t="e">
        <f t="shared" ca="1" si="9"/>
        <v>#REF!</v>
      </c>
      <c r="AB43" s="123" t="e">
        <f t="shared" ca="1" si="9"/>
        <v>#REF!</v>
      </c>
      <c r="AC43" s="123" t="e">
        <f t="shared" ca="1" si="9"/>
        <v>#REF!</v>
      </c>
      <c r="AD43" s="123" t="e">
        <f t="shared" ca="1" si="9"/>
        <v>#REF!</v>
      </c>
      <c r="AE43" s="123" t="e">
        <f t="shared" ca="1" si="9"/>
        <v>#REF!</v>
      </c>
      <c r="AF43" s="123" t="e">
        <f t="shared" ca="1" si="9"/>
        <v>#REF!</v>
      </c>
      <c r="AG43" s="312"/>
    </row>
    <row r="44" spans="1:33">
      <c r="A44">
        <f t="shared" si="3"/>
        <v>2049</v>
      </c>
      <c r="B44" s="123">
        <f t="shared" ca="1" si="8"/>
        <v>0</v>
      </c>
      <c r="C44" s="123">
        <f t="shared" ca="1" si="10"/>
        <v>0</v>
      </c>
      <c r="D44" s="123">
        <f t="shared" ca="1" si="10"/>
        <v>0</v>
      </c>
      <c r="E44" s="123">
        <f t="shared" ca="1" si="10"/>
        <v>-66165.424999999988</v>
      </c>
      <c r="F44" s="123">
        <f t="shared" ca="1" si="10"/>
        <v>-60132.974999999991</v>
      </c>
      <c r="G44" s="123">
        <f t="shared" ca="1" si="10"/>
        <v>-57284.775000000001</v>
      </c>
      <c r="H44" s="123">
        <f t="shared" ca="1" si="10"/>
        <v>-41403.473811833843</v>
      </c>
      <c r="I44" s="123">
        <f t="shared" ca="1" si="10"/>
        <v>0</v>
      </c>
      <c r="J44" s="123">
        <f t="shared" ca="1" si="10"/>
        <v>-19465</v>
      </c>
      <c r="K44" s="123">
        <f t="shared" ca="1" si="10"/>
        <v>-390.68231228680816</v>
      </c>
      <c r="L44" s="123">
        <f t="shared" ca="1" si="10"/>
        <v>0</v>
      </c>
      <c r="M44" s="123">
        <f t="shared" ca="1" si="10"/>
        <v>0</v>
      </c>
      <c r="N44" s="123">
        <f t="shared" ca="1" si="10"/>
        <v>0</v>
      </c>
      <c r="O44" s="123">
        <f t="shared" ca="1" si="10"/>
        <v>0</v>
      </c>
      <c r="P44" s="123">
        <f t="shared" ca="1" si="10"/>
        <v>-89603.896620503438</v>
      </c>
      <c r="Q44" s="123">
        <f t="shared" ca="1" si="10"/>
        <v>-295466.68960594013</v>
      </c>
      <c r="R44" s="123">
        <f t="shared" ca="1" si="9"/>
        <v>0</v>
      </c>
      <c r="S44" s="123">
        <f t="shared" ca="1" si="9"/>
        <v>0</v>
      </c>
      <c r="T44" s="123">
        <f t="shared" ca="1" si="9"/>
        <v>0</v>
      </c>
      <c r="U44" s="123">
        <f t="shared" ca="1" si="9"/>
        <v>0</v>
      </c>
      <c r="V44" s="123">
        <f t="shared" ca="1" si="9"/>
        <v>0</v>
      </c>
      <c r="W44" s="123">
        <f t="shared" ca="1" si="9"/>
        <v>0</v>
      </c>
      <c r="X44" s="123">
        <f t="shared" ca="1" si="9"/>
        <v>0</v>
      </c>
      <c r="Y44" s="123" t="e">
        <f t="shared" ca="1" si="9"/>
        <v>#REF!</v>
      </c>
      <c r="Z44" s="123" t="e">
        <f t="shared" ca="1" si="9"/>
        <v>#REF!</v>
      </c>
      <c r="AA44" s="123" t="e">
        <f t="shared" ca="1" si="9"/>
        <v>#REF!</v>
      </c>
      <c r="AB44" s="123" t="e">
        <f t="shared" ca="1" si="9"/>
        <v>#REF!</v>
      </c>
      <c r="AC44" s="123" t="e">
        <f t="shared" ca="1" si="9"/>
        <v>#REF!</v>
      </c>
      <c r="AD44" s="123" t="e">
        <f t="shared" ca="1" si="9"/>
        <v>#REF!</v>
      </c>
      <c r="AE44" s="123" t="e">
        <f t="shared" ca="1" si="9"/>
        <v>#REF!</v>
      </c>
      <c r="AF44" s="123" t="e">
        <f t="shared" ca="1" si="9"/>
        <v>#REF!</v>
      </c>
      <c r="AG44" s="312"/>
    </row>
    <row r="45" spans="1:33">
      <c r="A45">
        <f t="shared" si="3"/>
        <v>2050</v>
      </c>
      <c r="B45" s="123">
        <f t="shared" ca="1" si="8"/>
        <v>0</v>
      </c>
      <c r="C45" s="123">
        <f t="shared" ca="1" si="10"/>
        <v>0</v>
      </c>
      <c r="D45" s="123">
        <f t="shared" ca="1" si="10"/>
        <v>0</v>
      </c>
      <c r="E45" s="123">
        <f t="shared" ca="1" si="10"/>
        <v>-66165.424999999988</v>
      </c>
      <c r="F45" s="123">
        <f t="shared" ca="1" si="10"/>
        <v>-60132.974999999991</v>
      </c>
      <c r="G45" s="123">
        <f t="shared" ca="1" si="10"/>
        <v>-57284.775000000001</v>
      </c>
      <c r="H45" s="123">
        <f t="shared" ca="1" si="10"/>
        <v>-41738.937777020859</v>
      </c>
      <c r="I45" s="123">
        <f t="shared" ca="1" si="10"/>
        <v>0</v>
      </c>
      <c r="J45" s="123">
        <f t="shared" ca="1" si="10"/>
        <v>-19465</v>
      </c>
      <c r="K45" s="123">
        <f t="shared" ca="1" si="10"/>
        <v>-390.68231228680816</v>
      </c>
      <c r="L45" s="123">
        <f t="shared" ca="1" si="10"/>
        <v>0</v>
      </c>
      <c r="M45" s="123">
        <f t="shared" ca="1" si="10"/>
        <v>0</v>
      </c>
      <c r="N45" s="123">
        <f t="shared" ca="1" si="10"/>
        <v>0</v>
      </c>
      <c r="O45" s="123">
        <f t="shared" ca="1" si="10"/>
        <v>0</v>
      </c>
      <c r="P45" s="123">
        <f t="shared" ca="1" si="10"/>
        <v>-91280.282433295288</v>
      </c>
      <c r="Q45" s="123">
        <f t="shared" ca="1" si="10"/>
        <v>-302853.3568460886</v>
      </c>
      <c r="R45" s="123">
        <f t="shared" ca="1" si="9"/>
        <v>0</v>
      </c>
      <c r="S45" s="123">
        <f t="shared" ca="1" si="9"/>
        <v>0</v>
      </c>
      <c r="T45" s="123">
        <f t="shared" ca="1" si="9"/>
        <v>0</v>
      </c>
      <c r="U45" s="123">
        <f t="shared" ca="1" si="9"/>
        <v>0</v>
      </c>
      <c r="V45" s="123">
        <f t="shared" ca="1" si="9"/>
        <v>0</v>
      </c>
      <c r="W45" s="123">
        <f t="shared" ca="1" si="9"/>
        <v>0</v>
      </c>
      <c r="X45" s="123">
        <f t="shared" ca="1" si="9"/>
        <v>0</v>
      </c>
      <c r="Y45" s="123" t="e">
        <f t="shared" ca="1" si="9"/>
        <v>#REF!</v>
      </c>
      <c r="Z45" s="123" t="e">
        <f t="shared" ca="1" si="9"/>
        <v>#REF!</v>
      </c>
      <c r="AA45" s="123" t="e">
        <f t="shared" ca="1" si="9"/>
        <v>#REF!</v>
      </c>
      <c r="AB45" s="123" t="e">
        <f t="shared" ca="1" si="9"/>
        <v>#REF!</v>
      </c>
      <c r="AC45" s="123" t="e">
        <f t="shared" ca="1" si="9"/>
        <v>#REF!</v>
      </c>
      <c r="AD45" s="123" t="e">
        <f t="shared" ca="1" si="9"/>
        <v>#REF!</v>
      </c>
      <c r="AE45" s="123" t="e">
        <f t="shared" ca="1" si="9"/>
        <v>#REF!</v>
      </c>
      <c r="AF45" s="123" t="e">
        <f t="shared" ca="1" si="9"/>
        <v>#REF!</v>
      </c>
      <c r="AG45" s="312"/>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sheetPr codeName="Sheet52"/>
  <dimension ref="A1:AG45"/>
  <sheetViews>
    <sheetView workbookViewId="0"/>
  </sheetViews>
  <sheetFormatPr defaultRowHeight="15"/>
  <cols>
    <col min="1" max="1" width="18.42578125" bestFit="1" customWidth="1"/>
    <col min="2" max="26" width="11.7109375" customWidth="1"/>
  </cols>
  <sheetData>
    <row r="1" spans="1:33">
      <c r="B1" s="322" t="s">
        <v>298</v>
      </c>
      <c r="C1">
        <v>18</v>
      </c>
    </row>
    <row r="2" spans="1:33">
      <c r="B2" s="322" t="s">
        <v>299</v>
      </c>
      <c r="C2">
        <v>18</v>
      </c>
      <c r="D2">
        <v>15</v>
      </c>
      <c r="E2">
        <v>6</v>
      </c>
    </row>
    <row r="3" spans="1:33" ht="29.25" customHeight="1">
      <c r="A3" s="815" t="s">
        <v>671</v>
      </c>
      <c r="B3" s="264" t="str">
        <f ca="1">OFFSET(Control!$A$5,COLUMN(A3)-1,0)</f>
        <v>GreenPwr1</v>
      </c>
      <c r="C3" s="264" t="str">
        <f ca="1">OFFSET(Control!$A$5,COLUMN(B3)-1,0)</f>
        <v>GreenPwr2</v>
      </c>
      <c r="D3" s="264" t="str">
        <f ca="1">OFFSET(Control!$A$5,COLUMN(C3)-1,0)</f>
        <v>Wind</v>
      </c>
      <c r="E3" s="264" t="str">
        <f ca="1">OFFSET(Control!$A$5,COLUMN(D3)-1,0)</f>
        <v>ShortECM</v>
      </c>
      <c r="F3" s="264" t="str">
        <f ca="1">OFFSET(Control!$A$5,COLUMN(E3)-1,0)</f>
        <v>MidECM</v>
      </c>
      <c r="G3" s="264" t="str">
        <f ca="1">OFFSET(Control!$A$5,COLUMN(F3)-1,0)</f>
        <v>LongECM</v>
      </c>
      <c r="H3" s="264" t="str">
        <f ca="1">OFFSET(Control!$A$5,COLUMN(G3)-1,0)</f>
        <v>SteamLineImp</v>
      </c>
      <c r="I3" s="264" t="str">
        <f ca="1">OFFSET(Control!$A$5,COLUMN(H3)-1,0)</f>
        <v>UnitaryChiller</v>
      </c>
      <c r="J3" s="264" t="str">
        <f ca="1">OFFSET(Control!$A$5,COLUMN(I3)-1,0)</f>
        <v>GeoExchange</v>
      </c>
      <c r="K3" s="264" t="str">
        <f ca="1">OFFSET(Control!$A$5,COLUMN(J3)-1,0)</f>
        <v>SolarDHW</v>
      </c>
      <c r="L3" s="264" t="str">
        <f ca="1">OFFSET(Control!$A$5,COLUMN(K3)-1,0)</f>
        <v>WasteReduction</v>
      </c>
      <c r="M3" s="264" t="str">
        <f ca="1">OFFSET(Control!$A$5,COLUMN(L3)-1,0)</f>
        <v>DishStirling</v>
      </c>
      <c r="N3" s="264" t="str">
        <f ca="1">OFFSET(Control!$A$5,COLUMN(M3)-1,0)</f>
        <v>Parabolic</v>
      </c>
      <c r="O3" s="264" t="str">
        <f ca="1">OFFSET(Control!$A$5,COLUMN(N3)-1,0)</f>
        <v>GreenIT</v>
      </c>
      <c r="P3" s="264" t="str">
        <f ca="1">OFFSET(Control!$A$5,COLUMN(O3)-1,0)</f>
        <v>GreenBuild</v>
      </c>
      <c r="Q3" s="264" t="str">
        <f ca="1">OFFSET(Control!$A$5,COLUMN(P3)-1,0)</f>
        <v>SpacePlanning</v>
      </c>
      <c r="R3" s="264" t="str">
        <f ca="1">OFFSET(Control!$A$5,COLUMN(Q3)-1,0)</f>
        <v>CHP</v>
      </c>
      <c r="S3" s="264" t="str">
        <f ca="1">OFFSET(Control!$A$5,COLUMN(R3)-1,0)</f>
        <v>CoalToNG</v>
      </c>
      <c r="T3" s="264" t="str">
        <f ca="1">OFFSET(Control!$A$5,COLUMN(S3)-1,0)</f>
        <v>CentralChillerExp</v>
      </c>
      <c r="U3" s="264" t="str">
        <f ca="1">OFFSET(Control!$A$5,COLUMN(T3)-1,0)</f>
        <v>RooftopPV</v>
      </c>
      <c r="V3" s="264" t="str">
        <f ca="1">OFFSET(Control!$A$5,COLUMN(U3)-1,0)</f>
        <v>ReducedAir</v>
      </c>
      <c r="W3" s="264" t="str">
        <f ca="1">OFFSET(Control!$A$5,COLUMN(V3)-1,0)</f>
        <v>ReducedAuto</v>
      </c>
      <c r="X3" s="264" t="str">
        <f ca="1">OFFSET(Control!$A$5,COLUMN(W3)-1,0)</f>
        <v>BehaviorChange</v>
      </c>
      <c r="Y3" s="264">
        <f ca="1">OFFSET(Control!$A$5,COLUMN(X3)-1,0)</f>
        <v>0</v>
      </c>
      <c r="Z3" s="264">
        <f ca="1">OFFSET(Control!$A$5,COLUMN(Y3)-1,0)</f>
        <v>0</v>
      </c>
      <c r="AA3" s="264">
        <f ca="1">OFFSET(Control!$A$5,COLUMN(Z3)-1,0)</f>
        <v>0</v>
      </c>
      <c r="AB3" s="264">
        <f ca="1">OFFSET(Control!$A$5,COLUMN(AA3)-1,0)</f>
        <v>0</v>
      </c>
      <c r="AC3" s="264">
        <f ca="1">OFFSET(Control!$A$5,COLUMN(AB3)-1,0)</f>
        <v>0</v>
      </c>
      <c r="AD3" s="264">
        <f ca="1">OFFSET(Control!$A$5,COLUMN(AC3)-1,0)</f>
        <v>0</v>
      </c>
      <c r="AE3" s="264">
        <f ca="1">OFFSET(Control!$A$5,COLUMN(AD3)-1,0)</f>
        <v>0</v>
      </c>
      <c r="AF3" s="264">
        <f ca="1">OFFSET(Control!$A$5,COLUMN(AE3)-1,0)</f>
        <v>0</v>
      </c>
      <c r="AG3" s="264">
        <f ca="1">OFFSET(Control!$A$5,COLUMN(AF3)-1,0)</f>
        <v>0</v>
      </c>
    </row>
    <row r="4" spans="1:33" ht="29.25" customHeight="1">
      <c r="A4" s="815" t="s">
        <v>63</v>
      </c>
      <c r="B4" s="264" t="str">
        <f ca="1">INDIRECT(B3)</f>
        <v>Green Power Purchase Opt 1 (Partial)</v>
      </c>
      <c r="C4" s="264" t="str">
        <f t="shared" ref="C4:AG4" ca="1" si="0">INDIRECT(C3)</f>
        <v>Green Power Purchase (MCCo Reserve Fund)</v>
      </c>
      <c r="D4" s="264" t="str">
        <f t="shared" ca="1" si="0"/>
        <v>On-site Wind</v>
      </c>
      <c r="E4" s="264" t="str">
        <f t="shared" ca="1" si="0"/>
        <v>Short-term Energy Conservation Measures</v>
      </c>
      <c r="F4" s="264" t="str">
        <f t="shared" ca="1" si="0"/>
        <v>Mid-term Energy Conservation Measures</v>
      </c>
      <c r="G4" s="264" t="str">
        <f t="shared" ca="1" si="0"/>
        <v>Long-term Energy Conservation Measures</v>
      </c>
      <c r="H4" s="264" t="str">
        <f t="shared" ca="1" si="0"/>
        <v>Steam Line Improvements</v>
      </c>
      <c r="I4" s="264" t="str">
        <f t="shared" ca="1" si="0"/>
        <v>Unitary Chiller Upgrades</v>
      </c>
      <c r="J4" s="264" t="str">
        <f t="shared" ca="1" si="0"/>
        <v>Geo Exchange</v>
      </c>
      <c r="K4" s="264" t="str">
        <f t="shared" ca="1" si="0"/>
        <v>Solar DHW</v>
      </c>
      <c r="L4" s="264" t="str">
        <f t="shared" ca="1" si="0"/>
        <v>Waste Reduction</v>
      </c>
      <c r="M4" s="264" t="str">
        <f t="shared" ca="1" si="0"/>
        <v>Dish Stirling</v>
      </c>
      <c r="N4" s="264" t="str">
        <f t="shared" ca="1" si="0"/>
        <v>Parabolic Trough</v>
      </c>
      <c r="O4" s="264" t="str">
        <f t="shared" ca="1" si="0"/>
        <v>Green IT</v>
      </c>
      <c r="P4" s="264" t="str">
        <f t="shared" ca="1" si="0"/>
        <v>Building Design &amp; Construction Standards</v>
      </c>
      <c r="Q4" s="264" t="str">
        <f t="shared" ca="1" si="0"/>
        <v>Space Planning &amp; Management</v>
      </c>
      <c r="R4" s="264" t="str">
        <f t="shared" ca="1" si="0"/>
        <v>Combined Heat &amp; Power</v>
      </c>
      <c r="S4" s="264" t="str">
        <f t="shared" ca="1" si="0"/>
        <v>Coal to Natural Gas Conversion @ Steam Plant</v>
      </c>
      <c r="T4" s="264" t="str">
        <f t="shared" ca="1" si="0"/>
        <v>Central Chiller Expansion</v>
      </c>
      <c r="U4" s="264" t="str">
        <f t="shared" ca="1" si="0"/>
        <v>Rooftop Solar PV</v>
      </c>
      <c r="V4" s="264" t="str">
        <f t="shared" ca="1" si="0"/>
        <v>Reduced Air Travel</v>
      </c>
      <c r="W4" s="264" t="str">
        <f t="shared" ca="1" si="0"/>
        <v>Reduced Automobile Reliance Strategies</v>
      </c>
      <c r="X4" s="264" t="str">
        <f t="shared" ca="1" si="0"/>
        <v>Behavior Change</v>
      </c>
      <c r="Y4" s="264" t="e">
        <f t="shared" ca="1" si="0"/>
        <v>#REF!</v>
      </c>
      <c r="Z4" s="264" t="e">
        <f t="shared" ca="1" si="0"/>
        <v>#REF!</v>
      </c>
      <c r="AA4" s="264" t="e">
        <f t="shared" ca="1" si="0"/>
        <v>#REF!</v>
      </c>
      <c r="AB4" s="264" t="e">
        <f t="shared" ca="1" si="0"/>
        <v>#REF!</v>
      </c>
      <c r="AC4" s="264" t="e">
        <f t="shared" ca="1" si="0"/>
        <v>#REF!</v>
      </c>
      <c r="AD4" s="264" t="e">
        <f t="shared" ca="1" si="0"/>
        <v>#REF!</v>
      </c>
      <c r="AE4" s="264" t="e">
        <f t="shared" ca="1" si="0"/>
        <v>#REF!</v>
      </c>
      <c r="AF4" s="264" t="e">
        <f t="shared" ca="1" si="0"/>
        <v>#REF!</v>
      </c>
      <c r="AG4" s="264" t="e">
        <f t="shared" ca="1" si="0"/>
        <v>#REF!</v>
      </c>
    </row>
    <row r="5" spans="1:33">
      <c r="A5">
        <v>2010</v>
      </c>
      <c r="B5" s="123">
        <f ca="1">OFFSET(INDIRECT(B$3),$A5-$A$5+$C$1,$C$2)-OFFSET(INDIRECT(B$3),$A5-$A$5+$C$1,$D$2)+OFFSET(INDIRECT(B$3),$A5-$A$5+$C$1,$E$2)</f>
        <v>0</v>
      </c>
      <c r="C5" s="123">
        <f t="shared" ref="C5:AF13" ca="1" si="1">OFFSET(INDIRECT(C$3),$A5-$A$5+$C$1,$C$2)-OFFSET(INDIRECT(C$3),$A5-$A$5+$C$1,$D$2)+OFFSET(INDIRECT(C$3),$A5-$A$5+$C$1,$E$2)</f>
        <v>0</v>
      </c>
      <c r="D5" s="123">
        <f t="shared" ca="1" si="1"/>
        <v>0</v>
      </c>
      <c r="E5" s="123">
        <f t="shared" ca="1" si="1"/>
        <v>0</v>
      </c>
      <c r="F5" s="123">
        <f t="shared" ca="1" si="1"/>
        <v>0</v>
      </c>
      <c r="G5" s="123">
        <f t="shared" ca="1" si="1"/>
        <v>0</v>
      </c>
      <c r="H5" s="123">
        <f t="shared" ca="1" si="1"/>
        <v>0</v>
      </c>
      <c r="I5" s="123">
        <f t="shared" ca="1" si="1"/>
        <v>0</v>
      </c>
      <c r="J5" s="123">
        <f t="shared" ca="1" si="1"/>
        <v>0</v>
      </c>
      <c r="K5" s="123">
        <f t="shared" ca="1" si="1"/>
        <v>0</v>
      </c>
      <c r="L5" s="123">
        <f t="shared" ca="1" si="1"/>
        <v>0</v>
      </c>
      <c r="M5" s="123">
        <f t="shared" ca="1" si="1"/>
        <v>0</v>
      </c>
      <c r="N5" s="123">
        <f t="shared" ca="1" si="1"/>
        <v>0</v>
      </c>
      <c r="O5" s="123">
        <f t="shared" ca="1" si="1"/>
        <v>0</v>
      </c>
      <c r="P5" s="123">
        <f t="shared" ca="1" si="1"/>
        <v>0</v>
      </c>
      <c r="Q5" s="123">
        <f t="shared" ca="1" si="1"/>
        <v>-1928.9173487661249</v>
      </c>
      <c r="R5" s="123">
        <f t="shared" ca="1" si="1"/>
        <v>0</v>
      </c>
      <c r="S5" s="123">
        <f t="shared" ca="1" si="1"/>
        <v>0</v>
      </c>
      <c r="T5" s="123">
        <f t="shared" ca="1" si="1"/>
        <v>0</v>
      </c>
      <c r="U5" s="123">
        <f t="shared" ca="1" si="1"/>
        <v>0</v>
      </c>
      <c r="V5" s="123">
        <f t="shared" ca="1" si="1"/>
        <v>0</v>
      </c>
      <c r="W5" s="123">
        <f t="shared" ca="1" si="1"/>
        <v>0</v>
      </c>
      <c r="X5" s="123">
        <f t="shared" ca="1" si="1"/>
        <v>0</v>
      </c>
      <c r="Y5" s="123" t="e">
        <f t="shared" ca="1" si="1"/>
        <v>#REF!</v>
      </c>
      <c r="Z5" s="123" t="e">
        <f t="shared" ca="1" si="1"/>
        <v>#REF!</v>
      </c>
      <c r="AA5" s="123" t="e">
        <f t="shared" ca="1" si="1"/>
        <v>#REF!</v>
      </c>
      <c r="AB5" s="123" t="e">
        <f t="shared" ca="1" si="1"/>
        <v>#REF!</v>
      </c>
      <c r="AC5" s="123" t="e">
        <f t="shared" ca="1" si="1"/>
        <v>#REF!</v>
      </c>
      <c r="AD5" s="123" t="e">
        <f t="shared" ca="1" si="1"/>
        <v>#REF!</v>
      </c>
      <c r="AE5" s="123" t="e">
        <f t="shared" ca="1" si="1"/>
        <v>#REF!</v>
      </c>
      <c r="AF5" s="123" t="e">
        <f t="shared" ca="1" si="1"/>
        <v>#REF!</v>
      </c>
      <c r="AG5" s="312"/>
    </row>
    <row r="6" spans="1:33">
      <c r="A6">
        <f>A5+1</f>
        <v>2011</v>
      </c>
      <c r="B6" s="123">
        <f t="shared" ref="B6:Q29" ca="1" si="2">OFFSET(INDIRECT(B$3),$A6-$A$5+$C$1,$C$2)-OFFSET(INDIRECT(B$3),$A6-$A$5+$C$1,$D$2)+OFFSET(INDIRECT(B$3),$A6-$A$5+$C$1,$E$2)</f>
        <v>0</v>
      </c>
      <c r="C6" s="123">
        <f t="shared" ca="1" si="1"/>
        <v>0</v>
      </c>
      <c r="D6" s="123">
        <f t="shared" ca="1" si="1"/>
        <v>0</v>
      </c>
      <c r="E6" s="123">
        <f t="shared" ca="1" si="1"/>
        <v>-3206.0591999999997</v>
      </c>
      <c r="F6" s="123">
        <f t="shared" ca="1" si="1"/>
        <v>0</v>
      </c>
      <c r="G6" s="123">
        <f t="shared" ca="1" si="1"/>
        <v>0</v>
      </c>
      <c r="H6" s="123">
        <f t="shared" ca="1" si="1"/>
        <v>0</v>
      </c>
      <c r="I6" s="123">
        <f t="shared" ca="1" si="1"/>
        <v>0</v>
      </c>
      <c r="J6" s="123">
        <f t="shared" ca="1" si="1"/>
        <v>0</v>
      </c>
      <c r="K6" s="123">
        <f t="shared" ca="1" si="1"/>
        <v>0</v>
      </c>
      <c r="L6" s="123">
        <f t="shared" ca="1" si="1"/>
        <v>0</v>
      </c>
      <c r="M6" s="123">
        <f t="shared" ca="1" si="1"/>
        <v>0</v>
      </c>
      <c r="N6" s="123">
        <f t="shared" ca="1" si="1"/>
        <v>0</v>
      </c>
      <c r="O6" s="123">
        <f t="shared" ca="1" si="1"/>
        <v>0</v>
      </c>
      <c r="P6" s="123">
        <f t="shared" ca="1" si="1"/>
        <v>-513.76374081617519</v>
      </c>
      <c r="Q6" s="123">
        <f t="shared" ca="1" si="1"/>
        <v>-3857.8346975322252</v>
      </c>
      <c r="R6" s="123">
        <f t="shared" ca="1" si="1"/>
        <v>0</v>
      </c>
      <c r="S6" s="123">
        <f t="shared" ca="1" si="1"/>
        <v>0</v>
      </c>
      <c r="T6" s="123">
        <f t="shared" ca="1" si="1"/>
        <v>0</v>
      </c>
      <c r="U6" s="123">
        <f t="shared" ca="1" si="1"/>
        <v>0</v>
      </c>
      <c r="V6" s="123">
        <f t="shared" ca="1" si="1"/>
        <v>0</v>
      </c>
      <c r="W6" s="123">
        <f t="shared" ca="1" si="1"/>
        <v>0</v>
      </c>
      <c r="X6" s="123">
        <f t="shared" ca="1" si="1"/>
        <v>0</v>
      </c>
      <c r="Y6" s="123" t="e">
        <f t="shared" ca="1" si="1"/>
        <v>#REF!</v>
      </c>
      <c r="Z6" s="123" t="e">
        <f t="shared" ca="1" si="1"/>
        <v>#REF!</v>
      </c>
      <c r="AA6" s="123" t="e">
        <f t="shared" ca="1" si="1"/>
        <v>#REF!</v>
      </c>
      <c r="AB6" s="123" t="e">
        <f t="shared" ca="1" si="1"/>
        <v>#REF!</v>
      </c>
      <c r="AC6" s="123" t="e">
        <f t="shared" ca="1" si="1"/>
        <v>#REF!</v>
      </c>
      <c r="AD6" s="123" t="e">
        <f t="shared" ca="1" si="1"/>
        <v>#REF!</v>
      </c>
      <c r="AE6" s="123" t="e">
        <f t="shared" ca="1" si="1"/>
        <v>#REF!</v>
      </c>
      <c r="AF6" s="123" t="e">
        <f t="shared" ca="1" si="1"/>
        <v>#REF!</v>
      </c>
      <c r="AG6" s="312"/>
    </row>
    <row r="7" spans="1:33">
      <c r="A7">
        <f t="shared" ref="A7:A45" si="3">A6+1</f>
        <v>2012</v>
      </c>
      <c r="B7" s="123">
        <f t="shared" ca="1" si="2"/>
        <v>0</v>
      </c>
      <c r="C7" s="123">
        <f t="shared" ca="1" si="1"/>
        <v>0</v>
      </c>
      <c r="D7" s="123">
        <f t="shared" ca="1" si="1"/>
        <v>0</v>
      </c>
      <c r="E7" s="123">
        <f t="shared" ca="1" si="1"/>
        <v>-6412.1183999999994</v>
      </c>
      <c r="F7" s="123">
        <f t="shared" ca="1" si="1"/>
        <v>0</v>
      </c>
      <c r="G7" s="123">
        <f t="shared" ca="1" si="1"/>
        <v>0</v>
      </c>
      <c r="H7" s="123">
        <f t="shared" ca="1" si="1"/>
        <v>0</v>
      </c>
      <c r="I7" s="123">
        <f t="shared" ca="1" si="1"/>
        <v>0</v>
      </c>
      <c r="J7" s="123">
        <f t="shared" ca="1" si="1"/>
        <v>0</v>
      </c>
      <c r="K7" s="123">
        <f t="shared" ca="1" si="1"/>
        <v>0</v>
      </c>
      <c r="L7" s="123">
        <f t="shared" ca="1" si="1"/>
        <v>0</v>
      </c>
      <c r="M7" s="123">
        <f t="shared" ca="1" si="1"/>
        <v>0</v>
      </c>
      <c r="N7" s="123">
        <f t="shared" ca="1" si="1"/>
        <v>0</v>
      </c>
      <c r="O7" s="123">
        <f t="shared" ca="1" si="1"/>
        <v>0</v>
      </c>
      <c r="P7" s="123">
        <f t="shared" ca="1" si="1"/>
        <v>-1692.0543662314726</v>
      </c>
      <c r="Q7" s="123">
        <f t="shared" ca="1" si="1"/>
        <v>-5786.7520462983503</v>
      </c>
      <c r="R7" s="123">
        <f t="shared" ca="1" si="1"/>
        <v>0</v>
      </c>
      <c r="S7" s="123">
        <f t="shared" ca="1" si="1"/>
        <v>0</v>
      </c>
      <c r="T7" s="123">
        <f t="shared" ca="1" si="1"/>
        <v>92998.080000000002</v>
      </c>
      <c r="U7" s="123">
        <f t="shared" ca="1" si="1"/>
        <v>0</v>
      </c>
      <c r="V7" s="123">
        <f t="shared" ca="1" si="1"/>
        <v>0</v>
      </c>
      <c r="W7" s="123">
        <f t="shared" ca="1" si="1"/>
        <v>0</v>
      </c>
      <c r="X7" s="123">
        <f t="shared" ca="1" si="1"/>
        <v>0</v>
      </c>
      <c r="Y7" s="123" t="e">
        <f t="shared" ca="1" si="1"/>
        <v>#REF!</v>
      </c>
      <c r="Z7" s="123" t="e">
        <f t="shared" ca="1" si="1"/>
        <v>#REF!</v>
      </c>
      <c r="AA7" s="123" t="e">
        <f t="shared" ca="1" si="1"/>
        <v>#REF!</v>
      </c>
      <c r="AB7" s="123" t="e">
        <f t="shared" ca="1" si="1"/>
        <v>#REF!</v>
      </c>
      <c r="AC7" s="123" t="e">
        <f t="shared" ca="1" si="1"/>
        <v>#REF!</v>
      </c>
      <c r="AD7" s="123" t="e">
        <f t="shared" ca="1" si="1"/>
        <v>#REF!</v>
      </c>
      <c r="AE7" s="123" t="e">
        <f t="shared" ca="1" si="1"/>
        <v>#REF!</v>
      </c>
      <c r="AF7" s="123" t="e">
        <f t="shared" ca="1" si="1"/>
        <v>#REF!</v>
      </c>
      <c r="AG7" s="312"/>
    </row>
    <row r="8" spans="1:33">
      <c r="A8">
        <f t="shared" si="3"/>
        <v>2013</v>
      </c>
      <c r="B8" s="123">
        <f t="shared" ca="1" si="2"/>
        <v>0</v>
      </c>
      <c r="C8" s="123">
        <f t="shared" ca="1" si="1"/>
        <v>0</v>
      </c>
      <c r="D8" s="123">
        <f t="shared" ca="1" si="1"/>
        <v>0</v>
      </c>
      <c r="E8" s="123">
        <f t="shared" ca="1" si="1"/>
        <v>-9618.1775999999991</v>
      </c>
      <c r="F8" s="123">
        <f t="shared" ca="1" si="1"/>
        <v>0</v>
      </c>
      <c r="G8" s="123">
        <f t="shared" ca="1" si="1"/>
        <v>0</v>
      </c>
      <c r="H8" s="123">
        <f t="shared" ca="1" si="1"/>
        <v>0</v>
      </c>
      <c r="I8" s="123">
        <f t="shared" ca="1" si="1"/>
        <v>0</v>
      </c>
      <c r="J8" s="123">
        <f t="shared" ca="1" si="1"/>
        <v>0</v>
      </c>
      <c r="K8" s="123">
        <f t="shared" ca="1" si="1"/>
        <v>0</v>
      </c>
      <c r="L8" s="123">
        <f t="shared" ca="1" si="1"/>
        <v>0</v>
      </c>
      <c r="M8" s="123">
        <f t="shared" ca="1" si="1"/>
        <v>0</v>
      </c>
      <c r="N8" s="123">
        <f t="shared" ca="1" si="1"/>
        <v>0</v>
      </c>
      <c r="O8" s="123">
        <f t="shared" ca="1" si="1"/>
        <v>0</v>
      </c>
      <c r="P8" s="123">
        <f t="shared" ca="1" si="1"/>
        <v>-2221.6843443615194</v>
      </c>
      <c r="Q8" s="123">
        <f t="shared" ca="1" si="1"/>
        <v>-7715.6693950644503</v>
      </c>
      <c r="R8" s="123">
        <f t="shared" ca="1" si="1"/>
        <v>0</v>
      </c>
      <c r="S8" s="123">
        <f t="shared" ca="1" si="1"/>
        <v>0</v>
      </c>
      <c r="T8" s="123">
        <f t="shared" ca="1" si="1"/>
        <v>95850.72</v>
      </c>
      <c r="U8" s="123">
        <f t="shared" ca="1" si="1"/>
        <v>0</v>
      </c>
      <c r="V8" s="123">
        <f t="shared" ca="1" si="1"/>
        <v>0</v>
      </c>
      <c r="W8" s="123">
        <f t="shared" ca="1" si="1"/>
        <v>0</v>
      </c>
      <c r="X8" s="123">
        <f t="shared" ca="1" si="1"/>
        <v>0</v>
      </c>
      <c r="Y8" s="123" t="e">
        <f t="shared" ca="1" si="1"/>
        <v>#REF!</v>
      </c>
      <c r="Z8" s="123" t="e">
        <f t="shared" ca="1" si="1"/>
        <v>#REF!</v>
      </c>
      <c r="AA8" s="123" t="e">
        <f t="shared" ca="1" si="1"/>
        <v>#REF!</v>
      </c>
      <c r="AB8" s="123" t="e">
        <f t="shared" ca="1" si="1"/>
        <v>#REF!</v>
      </c>
      <c r="AC8" s="123" t="e">
        <f t="shared" ca="1" si="1"/>
        <v>#REF!</v>
      </c>
      <c r="AD8" s="123" t="e">
        <f t="shared" ca="1" si="1"/>
        <v>#REF!</v>
      </c>
      <c r="AE8" s="123" t="e">
        <f t="shared" ca="1" si="1"/>
        <v>#REF!</v>
      </c>
      <c r="AF8" s="123" t="e">
        <f t="shared" ca="1" si="1"/>
        <v>#REF!</v>
      </c>
      <c r="AG8" s="312"/>
    </row>
    <row r="9" spans="1:33">
      <c r="A9">
        <f t="shared" si="3"/>
        <v>2014</v>
      </c>
      <c r="B9" s="123">
        <f t="shared" ca="1" si="2"/>
        <v>0</v>
      </c>
      <c r="C9" s="123">
        <f t="shared" ca="1" si="1"/>
        <v>0</v>
      </c>
      <c r="D9" s="123">
        <f t="shared" ca="1" si="1"/>
        <v>0</v>
      </c>
      <c r="E9" s="123">
        <f t="shared" ca="1" si="1"/>
        <v>-12824.236799999999</v>
      </c>
      <c r="F9" s="123">
        <f t="shared" ca="1" si="1"/>
        <v>0</v>
      </c>
      <c r="G9" s="123">
        <f t="shared" ca="1" si="1"/>
        <v>0</v>
      </c>
      <c r="H9" s="123">
        <f t="shared" ca="1" si="1"/>
        <v>0</v>
      </c>
      <c r="I9" s="123">
        <f t="shared" ca="1" si="1"/>
        <v>0</v>
      </c>
      <c r="J9" s="123">
        <f t="shared" ca="1" si="1"/>
        <v>0</v>
      </c>
      <c r="K9" s="123">
        <f t="shared" ca="1" si="1"/>
        <v>0</v>
      </c>
      <c r="L9" s="123">
        <f t="shared" ca="1" si="1"/>
        <v>0</v>
      </c>
      <c r="M9" s="123">
        <f t="shared" ca="1" si="1"/>
        <v>0</v>
      </c>
      <c r="N9" s="123">
        <f t="shared" ca="1" si="1"/>
        <v>0</v>
      </c>
      <c r="O9" s="123">
        <f t="shared" ca="1" si="1"/>
        <v>0</v>
      </c>
      <c r="P9" s="123">
        <f t="shared" ca="1" si="1"/>
        <v>-2503.0331353042661</v>
      </c>
      <c r="Q9" s="123">
        <f t="shared" ca="1" si="1"/>
        <v>-9644.5867438305759</v>
      </c>
      <c r="R9" s="123">
        <f t="shared" ca="1" si="1"/>
        <v>0</v>
      </c>
      <c r="S9" s="123">
        <f t="shared" ca="1" si="1"/>
        <v>0</v>
      </c>
      <c r="T9" s="123">
        <f t="shared" ca="1" si="1"/>
        <v>172018.56</v>
      </c>
      <c r="U9" s="123">
        <f t="shared" ca="1" si="1"/>
        <v>0</v>
      </c>
      <c r="V9" s="123">
        <f t="shared" ca="1" si="1"/>
        <v>0</v>
      </c>
      <c r="W9" s="123">
        <f t="shared" ca="1" si="1"/>
        <v>0</v>
      </c>
      <c r="X9" s="123">
        <f t="shared" ca="1" si="1"/>
        <v>0</v>
      </c>
      <c r="Y9" s="123" t="e">
        <f t="shared" ca="1" si="1"/>
        <v>#REF!</v>
      </c>
      <c r="Z9" s="123" t="e">
        <f t="shared" ca="1" si="1"/>
        <v>#REF!</v>
      </c>
      <c r="AA9" s="123" t="e">
        <f t="shared" ca="1" si="1"/>
        <v>#REF!</v>
      </c>
      <c r="AB9" s="123" t="e">
        <f t="shared" ca="1" si="1"/>
        <v>#REF!</v>
      </c>
      <c r="AC9" s="123" t="e">
        <f t="shared" ca="1" si="1"/>
        <v>#REF!</v>
      </c>
      <c r="AD9" s="123" t="e">
        <f t="shared" ca="1" si="1"/>
        <v>#REF!</v>
      </c>
      <c r="AE9" s="123" t="e">
        <f t="shared" ca="1" si="1"/>
        <v>#REF!</v>
      </c>
      <c r="AF9" s="123" t="e">
        <f t="shared" ca="1" si="1"/>
        <v>#REF!</v>
      </c>
      <c r="AG9" s="312"/>
    </row>
    <row r="10" spans="1:33">
      <c r="A10">
        <f t="shared" si="3"/>
        <v>2015</v>
      </c>
      <c r="B10" s="123">
        <f t="shared" ca="1" si="2"/>
        <v>0</v>
      </c>
      <c r="C10" s="123">
        <f t="shared" ca="1" si="1"/>
        <v>0</v>
      </c>
      <c r="D10" s="123">
        <f t="shared" ca="1" si="1"/>
        <v>0</v>
      </c>
      <c r="E10" s="123">
        <f t="shared" ca="1" si="1"/>
        <v>-16030.295999999998</v>
      </c>
      <c r="F10" s="123">
        <f t="shared" ca="1" si="1"/>
        <v>0</v>
      </c>
      <c r="G10" s="123">
        <f t="shared" ca="1" si="1"/>
        <v>0</v>
      </c>
      <c r="H10" s="123">
        <f t="shared" ca="1" si="1"/>
        <v>0</v>
      </c>
      <c r="I10" s="123">
        <f t="shared" ca="1" si="1"/>
        <v>0</v>
      </c>
      <c r="J10" s="123">
        <f t="shared" ca="1" si="1"/>
        <v>0</v>
      </c>
      <c r="K10" s="123">
        <f t="shared" ca="1" si="1"/>
        <v>0</v>
      </c>
      <c r="L10" s="123">
        <f t="shared" ca="1" si="1"/>
        <v>0</v>
      </c>
      <c r="M10" s="123">
        <f t="shared" ca="1" si="1"/>
        <v>0</v>
      </c>
      <c r="N10" s="123">
        <f t="shared" ca="1" si="1"/>
        <v>0</v>
      </c>
      <c r="O10" s="123">
        <f t="shared" ca="1" si="1"/>
        <v>0</v>
      </c>
      <c r="P10" s="123">
        <f t="shared" ca="1" si="1"/>
        <v>-3479.7136519859314</v>
      </c>
      <c r="Q10" s="123">
        <f t="shared" ca="1" si="1"/>
        <v>-11573.504092596701</v>
      </c>
      <c r="R10" s="123">
        <f t="shared" ca="1" si="1"/>
        <v>0</v>
      </c>
      <c r="S10" s="123">
        <f t="shared" ca="1" si="1"/>
        <v>0</v>
      </c>
      <c r="T10" s="123">
        <f t="shared" ca="1" si="1"/>
        <v>174871.2</v>
      </c>
      <c r="U10" s="123">
        <f t="shared" ca="1" si="1"/>
        <v>0</v>
      </c>
      <c r="V10" s="123">
        <f t="shared" ca="1" si="1"/>
        <v>0</v>
      </c>
      <c r="W10" s="123">
        <f t="shared" ca="1" si="1"/>
        <v>0</v>
      </c>
      <c r="X10" s="123">
        <f t="shared" ca="1" si="1"/>
        <v>0</v>
      </c>
      <c r="Y10" s="123" t="e">
        <f t="shared" ca="1" si="1"/>
        <v>#REF!</v>
      </c>
      <c r="Z10" s="123" t="e">
        <f t="shared" ca="1" si="1"/>
        <v>#REF!</v>
      </c>
      <c r="AA10" s="123" t="e">
        <f t="shared" ca="1" si="1"/>
        <v>#REF!</v>
      </c>
      <c r="AB10" s="123" t="e">
        <f t="shared" ca="1" si="1"/>
        <v>#REF!</v>
      </c>
      <c r="AC10" s="123" t="e">
        <f t="shared" ca="1" si="1"/>
        <v>#REF!</v>
      </c>
      <c r="AD10" s="123" t="e">
        <f t="shared" ca="1" si="1"/>
        <v>#REF!</v>
      </c>
      <c r="AE10" s="123" t="e">
        <f t="shared" ca="1" si="1"/>
        <v>#REF!</v>
      </c>
      <c r="AF10" s="123" t="e">
        <f t="shared" ca="1" si="1"/>
        <v>#REF!</v>
      </c>
      <c r="AG10" s="312"/>
    </row>
    <row r="11" spans="1:33">
      <c r="A11">
        <f t="shared" si="3"/>
        <v>2016</v>
      </c>
      <c r="B11" s="123">
        <f t="shared" ca="1" si="2"/>
        <v>0</v>
      </c>
      <c r="C11" s="123">
        <f t="shared" ca="1" si="1"/>
        <v>0</v>
      </c>
      <c r="D11" s="123">
        <f t="shared" ca="1" si="1"/>
        <v>0</v>
      </c>
      <c r="E11" s="123">
        <f t="shared" ca="1" si="1"/>
        <v>-16030.295999999998</v>
      </c>
      <c r="F11" s="123">
        <f t="shared" ca="1" si="1"/>
        <v>-865.62599999999998</v>
      </c>
      <c r="G11" s="123">
        <f t="shared" ca="1" si="1"/>
        <v>0</v>
      </c>
      <c r="H11" s="123">
        <f t="shared" ca="1" si="1"/>
        <v>0</v>
      </c>
      <c r="I11" s="123">
        <f t="shared" ca="1" si="1"/>
        <v>0</v>
      </c>
      <c r="J11" s="123">
        <f t="shared" ca="1" si="1"/>
        <v>0</v>
      </c>
      <c r="K11" s="123">
        <f t="shared" ca="1" si="1"/>
        <v>0</v>
      </c>
      <c r="L11" s="123">
        <f t="shared" ca="1" si="1"/>
        <v>0</v>
      </c>
      <c r="M11" s="123">
        <f t="shared" ca="1" si="1"/>
        <v>0</v>
      </c>
      <c r="N11" s="123">
        <f t="shared" ca="1" si="1"/>
        <v>0</v>
      </c>
      <c r="O11" s="123">
        <f t="shared" ca="1" si="1"/>
        <v>0</v>
      </c>
      <c r="P11" s="123">
        <f t="shared" ca="1" si="1"/>
        <v>-3773.092940050195</v>
      </c>
      <c r="Q11" s="123">
        <f t="shared" ca="1" si="1"/>
        <v>-13502.421441362801</v>
      </c>
      <c r="R11" s="123">
        <f t="shared" ca="1" si="1"/>
        <v>0</v>
      </c>
      <c r="S11" s="123">
        <f t="shared" ca="1" si="1"/>
        <v>0</v>
      </c>
      <c r="T11" s="123">
        <f t="shared" ca="1" si="1"/>
        <v>203327.04</v>
      </c>
      <c r="U11" s="123">
        <f t="shared" ca="1" si="1"/>
        <v>0</v>
      </c>
      <c r="V11" s="123">
        <f t="shared" ca="1" si="1"/>
        <v>0</v>
      </c>
      <c r="W11" s="123">
        <f t="shared" ca="1" si="1"/>
        <v>0</v>
      </c>
      <c r="X11" s="123">
        <f t="shared" ca="1" si="1"/>
        <v>0</v>
      </c>
      <c r="Y11" s="123" t="e">
        <f t="shared" ca="1" si="1"/>
        <v>#REF!</v>
      </c>
      <c r="Z11" s="123" t="e">
        <f t="shared" ca="1" si="1"/>
        <v>#REF!</v>
      </c>
      <c r="AA11" s="123" t="e">
        <f t="shared" ca="1" si="1"/>
        <v>#REF!</v>
      </c>
      <c r="AB11" s="123" t="e">
        <f t="shared" ca="1" si="1"/>
        <v>#REF!</v>
      </c>
      <c r="AC11" s="123" t="e">
        <f t="shared" ca="1" si="1"/>
        <v>#REF!</v>
      </c>
      <c r="AD11" s="123" t="e">
        <f t="shared" ca="1" si="1"/>
        <v>#REF!</v>
      </c>
      <c r="AE11" s="123" t="e">
        <f t="shared" ca="1" si="1"/>
        <v>#REF!</v>
      </c>
      <c r="AF11" s="123" t="e">
        <f t="shared" ca="1" si="1"/>
        <v>#REF!</v>
      </c>
      <c r="AG11" s="312"/>
    </row>
    <row r="12" spans="1:33">
      <c r="A12">
        <f t="shared" si="3"/>
        <v>2017</v>
      </c>
      <c r="B12" s="123">
        <f t="shared" ca="1" si="2"/>
        <v>0</v>
      </c>
      <c r="C12" s="123">
        <f t="shared" ca="1" si="1"/>
        <v>0</v>
      </c>
      <c r="D12" s="123">
        <f t="shared" ca="1" si="1"/>
        <v>0</v>
      </c>
      <c r="E12" s="123">
        <f t="shared" ca="1" si="1"/>
        <v>-16030.295999999998</v>
      </c>
      <c r="F12" s="123">
        <f t="shared" ca="1" si="1"/>
        <v>-1731.252</v>
      </c>
      <c r="G12" s="123">
        <f t="shared" ca="1" si="1"/>
        <v>0</v>
      </c>
      <c r="H12" s="123">
        <f t="shared" ca="1" si="1"/>
        <v>0</v>
      </c>
      <c r="I12" s="123">
        <f t="shared" ca="1" si="1"/>
        <v>0</v>
      </c>
      <c r="J12" s="123">
        <f t="shared" ca="1" si="1"/>
        <v>0</v>
      </c>
      <c r="K12" s="123">
        <f t="shared" ca="1" si="1"/>
        <v>0</v>
      </c>
      <c r="L12" s="123">
        <f t="shared" ca="1" si="1"/>
        <v>0</v>
      </c>
      <c r="M12" s="123">
        <f t="shared" ca="1" si="1"/>
        <v>0</v>
      </c>
      <c r="N12" s="123">
        <f t="shared" ca="1" si="1"/>
        <v>0</v>
      </c>
      <c r="O12" s="123">
        <f t="shared" ca="1" si="1"/>
        <v>0</v>
      </c>
      <c r="P12" s="123">
        <f t="shared" ca="1" si="1"/>
        <v>-4067.913203084051</v>
      </c>
      <c r="Q12" s="123">
        <f t="shared" ca="1" si="1"/>
        <v>-15431.338790128926</v>
      </c>
      <c r="R12" s="123">
        <f t="shared" ca="1" si="1"/>
        <v>0</v>
      </c>
      <c r="S12" s="123">
        <f t="shared" ca="1" si="1"/>
        <v>0</v>
      </c>
      <c r="T12" s="123">
        <f t="shared" ca="1" si="1"/>
        <v>206179.68</v>
      </c>
      <c r="U12" s="123">
        <f t="shared" ca="1" si="1"/>
        <v>0</v>
      </c>
      <c r="V12" s="123">
        <f t="shared" ca="1" si="1"/>
        <v>0</v>
      </c>
      <c r="W12" s="123">
        <f t="shared" ca="1" si="1"/>
        <v>0</v>
      </c>
      <c r="X12" s="123">
        <f t="shared" ca="1" si="1"/>
        <v>0</v>
      </c>
      <c r="Y12" s="123" t="e">
        <f t="shared" ca="1" si="1"/>
        <v>#REF!</v>
      </c>
      <c r="Z12" s="123" t="e">
        <f t="shared" ca="1" si="1"/>
        <v>#REF!</v>
      </c>
      <c r="AA12" s="123" t="e">
        <f t="shared" ca="1" si="1"/>
        <v>#REF!</v>
      </c>
      <c r="AB12" s="123" t="e">
        <f t="shared" ca="1" si="1"/>
        <v>#REF!</v>
      </c>
      <c r="AC12" s="123" t="e">
        <f t="shared" ca="1" si="1"/>
        <v>#REF!</v>
      </c>
      <c r="AD12" s="123" t="e">
        <f t="shared" ca="1" si="1"/>
        <v>#REF!</v>
      </c>
      <c r="AE12" s="123" t="e">
        <f t="shared" ca="1" si="1"/>
        <v>#REF!</v>
      </c>
      <c r="AF12" s="123" t="e">
        <f t="shared" ca="1" si="1"/>
        <v>#REF!</v>
      </c>
      <c r="AG12" s="312"/>
    </row>
    <row r="13" spans="1:33">
      <c r="A13">
        <f t="shared" si="3"/>
        <v>2018</v>
      </c>
      <c r="B13" s="123">
        <f t="shared" ca="1" si="2"/>
        <v>0</v>
      </c>
      <c r="C13" s="123">
        <f t="shared" ca="1" si="1"/>
        <v>0</v>
      </c>
      <c r="D13" s="123">
        <f t="shared" ca="1" si="1"/>
        <v>0</v>
      </c>
      <c r="E13" s="123">
        <f t="shared" ca="1" si="1"/>
        <v>-16030.295999999998</v>
      </c>
      <c r="F13" s="123">
        <f t="shared" ca="1" si="1"/>
        <v>-2596.8779999999997</v>
      </c>
      <c r="G13" s="123">
        <f t="shared" ca="1" si="1"/>
        <v>0</v>
      </c>
      <c r="H13" s="123">
        <f t="shared" ca="1" si="1"/>
        <v>0</v>
      </c>
      <c r="I13" s="123">
        <f t="shared" ca="1" si="1"/>
        <v>0</v>
      </c>
      <c r="J13" s="123">
        <f t="shared" ca="1" si="1"/>
        <v>0</v>
      </c>
      <c r="K13" s="123">
        <f t="shared" ca="1" si="1"/>
        <v>0</v>
      </c>
      <c r="L13" s="123">
        <f t="shared" ca="1" si="1"/>
        <v>0</v>
      </c>
      <c r="M13" s="123">
        <f t="shared" ca="1" si="1"/>
        <v>0</v>
      </c>
      <c r="N13" s="123">
        <f t="shared" ca="1" si="1"/>
        <v>0</v>
      </c>
      <c r="O13" s="123">
        <f t="shared" ca="1" si="1"/>
        <v>0</v>
      </c>
      <c r="P13" s="123">
        <f t="shared" ca="1" si="1"/>
        <v>-4364.1276670815732</v>
      </c>
      <c r="Q13" s="123">
        <f t="shared" ca="1" si="1"/>
        <v>-17360.256138895027</v>
      </c>
      <c r="R13" s="123">
        <f t="shared" ref="R13:AF30" ca="1" si="4">OFFSET(INDIRECT(R$3),$A13-$A$5+$C$1,$C$2)-OFFSET(INDIRECT(R$3),$A13-$A$5+$C$1,$D$2)+OFFSET(INDIRECT(R$3),$A13-$A$5+$C$1,$E$2)</f>
        <v>0</v>
      </c>
      <c r="S13" s="123">
        <f t="shared" ca="1" si="4"/>
        <v>0</v>
      </c>
      <c r="T13" s="123">
        <f t="shared" ca="1" si="4"/>
        <v>209032.32000000001</v>
      </c>
      <c r="U13" s="123">
        <f t="shared" ca="1" si="4"/>
        <v>0</v>
      </c>
      <c r="V13" s="123">
        <f t="shared" ca="1" si="4"/>
        <v>0</v>
      </c>
      <c r="W13" s="123">
        <f t="shared" ca="1" si="4"/>
        <v>0</v>
      </c>
      <c r="X13" s="123">
        <f t="shared" ca="1" si="4"/>
        <v>0</v>
      </c>
      <c r="Y13" s="123" t="e">
        <f t="shared" ca="1" si="4"/>
        <v>#REF!</v>
      </c>
      <c r="Z13" s="123" t="e">
        <f t="shared" ca="1" si="4"/>
        <v>#REF!</v>
      </c>
      <c r="AA13" s="123" t="e">
        <f t="shared" ca="1" si="4"/>
        <v>#REF!</v>
      </c>
      <c r="AB13" s="123" t="e">
        <f t="shared" ca="1" si="4"/>
        <v>#REF!</v>
      </c>
      <c r="AC13" s="123" t="e">
        <f t="shared" ca="1" si="4"/>
        <v>#REF!</v>
      </c>
      <c r="AD13" s="123" t="e">
        <f t="shared" ca="1" si="4"/>
        <v>#REF!</v>
      </c>
      <c r="AE13" s="123" t="e">
        <f t="shared" ca="1" si="4"/>
        <v>#REF!</v>
      </c>
      <c r="AF13" s="123" t="e">
        <f t="shared" ca="1" si="4"/>
        <v>#REF!</v>
      </c>
      <c r="AG13" s="312"/>
    </row>
    <row r="14" spans="1:33">
      <c r="A14">
        <f t="shared" si="3"/>
        <v>2019</v>
      </c>
      <c r="B14" s="123">
        <f t="shared" ca="1" si="2"/>
        <v>0</v>
      </c>
      <c r="C14" s="123">
        <f t="shared" ca="1" si="2"/>
        <v>0</v>
      </c>
      <c r="D14" s="123">
        <f t="shared" ca="1" si="2"/>
        <v>0</v>
      </c>
      <c r="E14" s="123">
        <f t="shared" ca="1" si="2"/>
        <v>-16030.295999999998</v>
      </c>
      <c r="F14" s="123">
        <f t="shared" ca="1" si="2"/>
        <v>-3462.5039999999999</v>
      </c>
      <c r="G14" s="123">
        <f t="shared" ca="1" si="2"/>
        <v>0</v>
      </c>
      <c r="H14" s="123">
        <f t="shared" ca="1" si="2"/>
        <v>0</v>
      </c>
      <c r="I14" s="123">
        <f t="shared" ca="1" si="2"/>
        <v>0</v>
      </c>
      <c r="J14" s="123">
        <f t="shared" ca="1" si="2"/>
        <v>0</v>
      </c>
      <c r="K14" s="123">
        <f t="shared" ca="1" si="2"/>
        <v>0</v>
      </c>
      <c r="L14" s="123">
        <f t="shared" ca="1" si="2"/>
        <v>0</v>
      </c>
      <c r="M14" s="123">
        <f t="shared" ca="1" si="2"/>
        <v>0</v>
      </c>
      <c r="N14" s="123">
        <f t="shared" ca="1" si="2"/>
        <v>0</v>
      </c>
      <c r="O14" s="123">
        <f t="shared" ca="1" si="2"/>
        <v>0</v>
      </c>
      <c r="P14" s="123">
        <f t="shared" ca="1" si="2"/>
        <v>-4661.6915607447381</v>
      </c>
      <c r="Q14" s="123">
        <f t="shared" ca="1" si="2"/>
        <v>-19289.173487661152</v>
      </c>
      <c r="R14" s="123">
        <f t="shared" ca="1" si="4"/>
        <v>0</v>
      </c>
      <c r="S14" s="123">
        <f t="shared" ca="1" si="4"/>
        <v>0</v>
      </c>
      <c r="T14" s="123">
        <f t="shared" ca="1" si="4"/>
        <v>211884.96</v>
      </c>
      <c r="U14" s="123">
        <f t="shared" ca="1" si="4"/>
        <v>0</v>
      </c>
      <c r="V14" s="123">
        <f t="shared" ca="1" si="4"/>
        <v>0</v>
      </c>
      <c r="W14" s="123">
        <f t="shared" ca="1" si="4"/>
        <v>0</v>
      </c>
      <c r="X14" s="123">
        <f t="shared" ca="1" si="4"/>
        <v>0</v>
      </c>
      <c r="Y14" s="123" t="e">
        <f t="shared" ca="1" si="4"/>
        <v>#REF!</v>
      </c>
      <c r="Z14" s="123" t="e">
        <f t="shared" ca="1" si="4"/>
        <v>#REF!</v>
      </c>
      <c r="AA14" s="123" t="e">
        <f t="shared" ca="1" si="4"/>
        <v>#REF!</v>
      </c>
      <c r="AB14" s="123" t="e">
        <f t="shared" ca="1" si="4"/>
        <v>#REF!</v>
      </c>
      <c r="AC14" s="123" t="e">
        <f t="shared" ca="1" si="4"/>
        <v>#REF!</v>
      </c>
      <c r="AD14" s="123" t="e">
        <f t="shared" ca="1" si="4"/>
        <v>#REF!</v>
      </c>
      <c r="AE14" s="123" t="e">
        <f t="shared" ca="1" si="4"/>
        <v>#REF!</v>
      </c>
      <c r="AF14" s="123" t="e">
        <f t="shared" ca="1" si="4"/>
        <v>#REF!</v>
      </c>
      <c r="AG14" s="312"/>
    </row>
    <row r="15" spans="1:33">
      <c r="A15">
        <f t="shared" si="3"/>
        <v>2020</v>
      </c>
      <c r="B15" s="123">
        <f t="shared" ca="1" si="2"/>
        <v>0</v>
      </c>
      <c r="C15" s="123">
        <f t="shared" ca="1" si="2"/>
        <v>0</v>
      </c>
      <c r="D15" s="123">
        <f t="shared" ca="1" si="2"/>
        <v>0</v>
      </c>
      <c r="E15" s="123">
        <f t="shared" ca="1" si="2"/>
        <v>-16030.295999999998</v>
      </c>
      <c r="F15" s="123">
        <f t="shared" ca="1" si="2"/>
        <v>-4328.13</v>
      </c>
      <c r="G15" s="123">
        <f t="shared" ca="1" si="2"/>
        <v>0</v>
      </c>
      <c r="H15" s="123">
        <f t="shared" ca="1" si="2"/>
        <v>0</v>
      </c>
      <c r="I15" s="123">
        <f t="shared" ca="1" si="2"/>
        <v>0</v>
      </c>
      <c r="J15" s="123">
        <f t="shared" ca="1" si="2"/>
        <v>0</v>
      </c>
      <c r="K15" s="123">
        <f t="shared" ca="1" si="2"/>
        <v>0</v>
      </c>
      <c r="L15" s="123">
        <f t="shared" ca="1" si="2"/>
        <v>0</v>
      </c>
      <c r="M15" s="123">
        <f t="shared" ca="1" si="2"/>
        <v>0</v>
      </c>
      <c r="N15" s="123">
        <f t="shared" ca="1" si="2"/>
        <v>0</v>
      </c>
      <c r="O15" s="123">
        <f t="shared" ca="1" si="2"/>
        <v>0</v>
      </c>
      <c r="P15" s="123">
        <f t="shared" ca="1" si="2"/>
        <v>-4960.5620094319511</v>
      </c>
      <c r="Q15" s="123">
        <f t="shared" ca="1" si="2"/>
        <v>-21218.090836427251</v>
      </c>
      <c r="R15" s="123">
        <f t="shared" ca="1" si="4"/>
        <v>0</v>
      </c>
      <c r="S15" s="123">
        <f t="shared" ca="1" si="4"/>
        <v>0</v>
      </c>
      <c r="T15" s="123">
        <f t="shared" ca="1" si="4"/>
        <v>214737.6</v>
      </c>
      <c r="U15" s="123">
        <f t="shared" ca="1" si="4"/>
        <v>0</v>
      </c>
      <c r="V15" s="123">
        <f t="shared" ca="1" si="4"/>
        <v>0</v>
      </c>
      <c r="W15" s="123">
        <f t="shared" ca="1" si="4"/>
        <v>0</v>
      </c>
      <c r="X15" s="123">
        <f t="shared" ca="1" si="4"/>
        <v>0</v>
      </c>
      <c r="Y15" s="123" t="e">
        <f t="shared" ca="1" si="4"/>
        <v>#REF!</v>
      </c>
      <c r="Z15" s="123" t="e">
        <f t="shared" ca="1" si="4"/>
        <v>#REF!</v>
      </c>
      <c r="AA15" s="123" t="e">
        <f t="shared" ca="1" si="4"/>
        <v>#REF!</v>
      </c>
      <c r="AB15" s="123" t="e">
        <f t="shared" ca="1" si="4"/>
        <v>#REF!</v>
      </c>
      <c r="AC15" s="123" t="e">
        <f t="shared" ca="1" si="4"/>
        <v>#REF!</v>
      </c>
      <c r="AD15" s="123" t="e">
        <f t="shared" ca="1" si="4"/>
        <v>#REF!</v>
      </c>
      <c r="AE15" s="123" t="e">
        <f t="shared" ca="1" si="4"/>
        <v>#REF!</v>
      </c>
      <c r="AF15" s="123" t="e">
        <f t="shared" ca="1" si="4"/>
        <v>#REF!</v>
      </c>
      <c r="AG15" s="312"/>
    </row>
    <row r="16" spans="1:33">
      <c r="A16">
        <f t="shared" si="3"/>
        <v>2021</v>
      </c>
      <c r="B16" s="123">
        <f t="shared" ca="1" si="2"/>
        <v>0</v>
      </c>
      <c r="C16" s="123">
        <f t="shared" ca="1" si="2"/>
        <v>0</v>
      </c>
      <c r="D16" s="123">
        <f t="shared" ca="1" si="2"/>
        <v>0</v>
      </c>
      <c r="E16" s="123">
        <f t="shared" ca="1" si="2"/>
        <v>-16030.295999999998</v>
      </c>
      <c r="F16" s="123">
        <f t="shared" ca="1" si="2"/>
        <v>-5193.7560000000003</v>
      </c>
      <c r="G16" s="123">
        <f t="shared" ca="1" si="2"/>
        <v>0</v>
      </c>
      <c r="H16" s="123">
        <f t="shared" ca="1" si="2"/>
        <v>0</v>
      </c>
      <c r="I16" s="123">
        <f t="shared" ca="1" si="2"/>
        <v>0</v>
      </c>
      <c r="J16" s="123">
        <f t="shared" ca="1" si="2"/>
        <v>0</v>
      </c>
      <c r="K16" s="123">
        <f t="shared" ca="1" si="2"/>
        <v>0</v>
      </c>
      <c r="L16" s="123">
        <f t="shared" ca="1" si="2"/>
        <v>0</v>
      </c>
      <c r="M16" s="123">
        <f t="shared" ca="1" si="2"/>
        <v>0</v>
      </c>
      <c r="N16" s="123">
        <f t="shared" ca="1" si="2"/>
        <v>0</v>
      </c>
      <c r="O16" s="123">
        <f t="shared" ca="1" si="2"/>
        <v>0</v>
      </c>
      <c r="P16" s="123">
        <f t="shared" ca="1" si="2"/>
        <v>-5260.6979357750215</v>
      </c>
      <c r="Q16" s="123">
        <f t="shared" ca="1" si="2"/>
        <v>-23147.008185193376</v>
      </c>
      <c r="R16" s="123">
        <f t="shared" ca="1" si="4"/>
        <v>0</v>
      </c>
      <c r="S16" s="123">
        <f t="shared" ca="1" si="4"/>
        <v>0</v>
      </c>
      <c r="T16" s="123">
        <f t="shared" ca="1" si="4"/>
        <v>217590.24</v>
      </c>
      <c r="U16" s="123">
        <f t="shared" ca="1" si="4"/>
        <v>0</v>
      </c>
      <c r="V16" s="123">
        <f t="shared" ca="1" si="4"/>
        <v>0</v>
      </c>
      <c r="W16" s="123">
        <f t="shared" ca="1" si="4"/>
        <v>0</v>
      </c>
      <c r="X16" s="123">
        <f t="shared" ca="1" si="4"/>
        <v>0</v>
      </c>
      <c r="Y16" s="123" t="e">
        <f t="shared" ca="1" si="4"/>
        <v>#REF!</v>
      </c>
      <c r="Z16" s="123" t="e">
        <f t="shared" ca="1" si="4"/>
        <v>#REF!</v>
      </c>
      <c r="AA16" s="123" t="e">
        <f t="shared" ca="1" si="4"/>
        <v>#REF!</v>
      </c>
      <c r="AB16" s="123" t="e">
        <f t="shared" ca="1" si="4"/>
        <v>#REF!</v>
      </c>
      <c r="AC16" s="123" t="e">
        <f t="shared" ca="1" si="4"/>
        <v>#REF!</v>
      </c>
      <c r="AD16" s="123" t="e">
        <f t="shared" ca="1" si="4"/>
        <v>#REF!</v>
      </c>
      <c r="AE16" s="123" t="e">
        <f t="shared" ca="1" si="4"/>
        <v>#REF!</v>
      </c>
      <c r="AF16" s="123" t="e">
        <f t="shared" ca="1" si="4"/>
        <v>#REF!</v>
      </c>
      <c r="AG16" s="312"/>
    </row>
    <row r="17" spans="1:33">
      <c r="A17">
        <f t="shared" si="3"/>
        <v>2022</v>
      </c>
      <c r="B17" s="123">
        <f t="shared" ca="1" si="2"/>
        <v>0</v>
      </c>
      <c r="C17" s="123">
        <f t="shared" ca="1" si="2"/>
        <v>0</v>
      </c>
      <c r="D17" s="123">
        <f t="shared" ca="1" si="2"/>
        <v>0</v>
      </c>
      <c r="E17" s="123">
        <f t="shared" ca="1" si="2"/>
        <v>-16030.295999999998</v>
      </c>
      <c r="F17" s="123">
        <f t="shared" ca="1" si="2"/>
        <v>-6059.3820000000005</v>
      </c>
      <c r="G17" s="123">
        <f t="shared" ca="1" si="2"/>
        <v>0</v>
      </c>
      <c r="H17" s="123">
        <f t="shared" ca="1" si="2"/>
        <v>0</v>
      </c>
      <c r="I17" s="123">
        <f t="shared" ca="1" si="2"/>
        <v>0</v>
      </c>
      <c r="J17" s="123">
        <f t="shared" ca="1" si="2"/>
        <v>0</v>
      </c>
      <c r="K17" s="123">
        <f t="shared" ca="1" si="2"/>
        <v>0</v>
      </c>
      <c r="L17" s="123">
        <f t="shared" ca="1" si="2"/>
        <v>0</v>
      </c>
      <c r="M17" s="123">
        <f t="shared" ca="1" si="2"/>
        <v>0</v>
      </c>
      <c r="N17" s="123">
        <f t="shared" ca="1" si="2"/>
        <v>0</v>
      </c>
      <c r="O17" s="123">
        <f t="shared" ca="1" si="2"/>
        <v>0</v>
      </c>
      <c r="P17" s="123">
        <f t="shared" ca="1" si="2"/>
        <v>-5562.0599664803958</v>
      </c>
      <c r="Q17" s="123">
        <f t="shared" ca="1" si="2"/>
        <v>-25075.9255339595</v>
      </c>
      <c r="R17" s="123">
        <f t="shared" ca="1" si="4"/>
        <v>0</v>
      </c>
      <c r="S17" s="123">
        <f t="shared" ca="1" si="4"/>
        <v>0</v>
      </c>
      <c r="T17" s="123">
        <f t="shared" ca="1" si="4"/>
        <v>220442.88</v>
      </c>
      <c r="U17" s="123">
        <f t="shared" ca="1" si="4"/>
        <v>0</v>
      </c>
      <c r="V17" s="123">
        <f t="shared" ca="1" si="4"/>
        <v>0</v>
      </c>
      <c r="W17" s="123">
        <f t="shared" ca="1" si="4"/>
        <v>0</v>
      </c>
      <c r="X17" s="123">
        <f t="shared" ca="1" si="4"/>
        <v>0</v>
      </c>
      <c r="Y17" s="123" t="e">
        <f t="shared" ca="1" si="4"/>
        <v>#REF!</v>
      </c>
      <c r="Z17" s="123" t="e">
        <f t="shared" ca="1" si="4"/>
        <v>#REF!</v>
      </c>
      <c r="AA17" s="123" t="e">
        <f t="shared" ca="1" si="4"/>
        <v>#REF!</v>
      </c>
      <c r="AB17" s="123" t="e">
        <f t="shared" ca="1" si="4"/>
        <v>#REF!</v>
      </c>
      <c r="AC17" s="123" t="e">
        <f t="shared" ca="1" si="4"/>
        <v>#REF!</v>
      </c>
      <c r="AD17" s="123" t="e">
        <f t="shared" ca="1" si="4"/>
        <v>#REF!</v>
      </c>
      <c r="AE17" s="123" t="e">
        <f t="shared" ca="1" si="4"/>
        <v>#REF!</v>
      </c>
      <c r="AF17" s="123" t="e">
        <f t="shared" ca="1" si="4"/>
        <v>#REF!</v>
      </c>
      <c r="AG17" s="312"/>
    </row>
    <row r="18" spans="1:33">
      <c r="A18">
        <f t="shared" si="3"/>
        <v>2023</v>
      </c>
      <c r="B18" s="123">
        <f t="shared" ca="1" si="2"/>
        <v>0</v>
      </c>
      <c r="C18" s="123">
        <f t="shared" ca="1" si="2"/>
        <v>0</v>
      </c>
      <c r="D18" s="123">
        <f t="shared" ca="1" si="2"/>
        <v>0</v>
      </c>
      <c r="E18" s="123">
        <f t="shared" ca="1" si="2"/>
        <v>-16030.295999999998</v>
      </c>
      <c r="F18" s="123">
        <f t="shared" ca="1" si="2"/>
        <v>-6925.0080000000007</v>
      </c>
      <c r="G18" s="123">
        <f t="shared" ca="1" si="2"/>
        <v>0</v>
      </c>
      <c r="H18" s="123">
        <f t="shared" ca="1" si="2"/>
        <v>0</v>
      </c>
      <c r="I18" s="123">
        <f t="shared" ca="1" si="2"/>
        <v>0</v>
      </c>
      <c r="J18" s="123">
        <f t="shared" ca="1" si="2"/>
        <v>0</v>
      </c>
      <c r="K18" s="123">
        <f t="shared" ca="1" si="2"/>
        <v>0</v>
      </c>
      <c r="L18" s="123">
        <f t="shared" ca="1" si="2"/>
        <v>0</v>
      </c>
      <c r="M18" s="123">
        <f t="shared" ca="1" si="2"/>
        <v>0</v>
      </c>
      <c r="N18" s="123">
        <f t="shared" ca="1" si="2"/>
        <v>0</v>
      </c>
      <c r="O18" s="123">
        <f t="shared" ca="1" si="2"/>
        <v>0</v>
      </c>
      <c r="P18" s="123">
        <f t="shared" ca="1" si="2"/>
        <v>-5864.6103448703334</v>
      </c>
      <c r="Q18" s="123">
        <f t="shared" ca="1" si="2"/>
        <v>-27004.842882725603</v>
      </c>
      <c r="R18" s="123">
        <f t="shared" ca="1" si="4"/>
        <v>0</v>
      </c>
      <c r="S18" s="123">
        <f t="shared" ca="1" si="4"/>
        <v>0</v>
      </c>
      <c r="T18" s="123">
        <f t="shared" ca="1" si="4"/>
        <v>223295.52</v>
      </c>
      <c r="U18" s="123">
        <f t="shared" ca="1" si="4"/>
        <v>0</v>
      </c>
      <c r="V18" s="123">
        <f t="shared" ca="1" si="4"/>
        <v>0</v>
      </c>
      <c r="W18" s="123">
        <f t="shared" ca="1" si="4"/>
        <v>0</v>
      </c>
      <c r="X18" s="123">
        <f t="shared" ca="1" si="4"/>
        <v>0</v>
      </c>
      <c r="Y18" s="123" t="e">
        <f t="shared" ca="1" si="4"/>
        <v>#REF!</v>
      </c>
      <c r="Z18" s="123" t="e">
        <f t="shared" ca="1" si="4"/>
        <v>#REF!</v>
      </c>
      <c r="AA18" s="123" t="e">
        <f t="shared" ca="1" si="4"/>
        <v>#REF!</v>
      </c>
      <c r="AB18" s="123" t="e">
        <f t="shared" ca="1" si="4"/>
        <v>#REF!</v>
      </c>
      <c r="AC18" s="123" t="e">
        <f t="shared" ca="1" si="4"/>
        <v>#REF!</v>
      </c>
      <c r="AD18" s="123" t="e">
        <f t="shared" ca="1" si="4"/>
        <v>#REF!</v>
      </c>
      <c r="AE18" s="123" t="e">
        <f t="shared" ca="1" si="4"/>
        <v>#REF!</v>
      </c>
      <c r="AF18" s="123" t="e">
        <f t="shared" ca="1" si="4"/>
        <v>#REF!</v>
      </c>
      <c r="AG18" s="312"/>
    </row>
    <row r="19" spans="1:33">
      <c r="A19">
        <f t="shared" si="3"/>
        <v>2024</v>
      </c>
      <c r="B19" s="123">
        <f t="shared" ca="1" si="2"/>
        <v>0</v>
      </c>
      <c r="C19" s="123">
        <f t="shared" ca="1" si="2"/>
        <v>0</v>
      </c>
      <c r="D19" s="123">
        <f t="shared" ca="1" si="2"/>
        <v>0</v>
      </c>
      <c r="E19" s="123">
        <f t="shared" ca="1" si="2"/>
        <v>-16030.295999999998</v>
      </c>
      <c r="F19" s="123">
        <f t="shared" ca="1" si="2"/>
        <v>-6925.0080000000007</v>
      </c>
      <c r="G19" s="123">
        <f t="shared" ca="1" si="2"/>
        <v>-1697.3327999999999</v>
      </c>
      <c r="H19" s="123">
        <f t="shared" ca="1" si="2"/>
        <v>0</v>
      </c>
      <c r="I19" s="123">
        <f t="shared" ca="1" si="2"/>
        <v>0</v>
      </c>
      <c r="J19" s="123">
        <f t="shared" ca="1" si="2"/>
        <v>0</v>
      </c>
      <c r="K19" s="123">
        <f t="shared" ca="1" si="2"/>
        <v>0</v>
      </c>
      <c r="L19" s="123">
        <f t="shared" ca="1" si="2"/>
        <v>0</v>
      </c>
      <c r="M19" s="123">
        <f t="shared" ca="1" si="2"/>
        <v>0</v>
      </c>
      <c r="N19" s="123">
        <f t="shared" ca="1" si="2"/>
        <v>0</v>
      </c>
      <c r="O19" s="123">
        <f t="shared" ca="1" si="2"/>
        <v>0</v>
      </c>
      <c r="P19" s="123">
        <f t="shared" ca="1" si="2"/>
        <v>-6168.3128487556733</v>
      </c>
      <c r="Q19" s="123">
        <f t="shared" ca="1" si="2"/>
        <v>-28933.760231491728</v>
      </c>
      <c r="R19" s="123">
        <f t="shared" ca="1" si="4"/>
        <v>0</v>
      </c>
      <c r="S19" s="123">
        <f t="shared" ca="1" si="4"/>
        <v>0</v>
      </c>
      <c r="T19" s="123">
        <f t="shared" ca="1" si="4"/>
        <v>226148.16</v>
      </c>
      <c r="U19" s="123">
        <f t="shared" ca="1" si="4"/>
        <v>0</v>
      </c>
      <c r="V19" s="123">
        <f t="shared" ca="1" si="4"/>
        <v>0</v>
      </c>
      <c r="W19" s="123">
        <f t="shared" ca="1" si="4"/>
        <v>0</v>
      </c>
      <c r="X19" s="123">
        <f t="shared" ca="1" si="4"/>
        <v>0</v>
      </c>
      <c r="Y19" s="123" t="e">
        <f t="shared" ca="1" si="4"/>
        <v>#REF!</v>
      </c>
      <c r="Z19" s="123" t="e">
        <f t="shared" ca="1" si="4"/>
        <v>#REF!</v>
      </c>
      <c r="AA19" s="123" t="e">
        <f t="shared" ca="1" si="4"/>
        <v>#REF!</v>
      </c>
      <c r="AB19" s="123" t="e">
        <f t="shared" ca="1" si="4"/>
        <v>#REF!</v>
      </c>
      <c r="AC19" s="123" t="e">
        <f t="shared" ca="1" si="4"/>
        <v>#REF!</v>
      </c>
      <c r="AD19" s="123" t="e">
        <f t="shared" ca="1" si="4"/>
        <v>#REF!</v>
      </c>
      <c r="AE19" s="123" t="e">
        <f t="shared" ca="1" si="4"/>
        <v>#REF!</v>
      </c>
      <c r="AF19" s="123" t="e">
        <f t="shared" ca="1" si="4"/>
        <v>#REF!</v>
      </c>
      <c r="AG19" s="312"/>
    </row>
    <row r="20" spans="1:33">
      <c r="A20">
        <f t="shared" si="3"/>
        <v>2025</v>
      </c>
      <c r="B20" s="123">
        <f t="shared" ca="1" si="2"/>
        <v>0</v>
      </c>
      <c r="C20" s="123">
        <f t="shared" ca="1" si="2"/>
        <v>0</v>
      </c>
      <c r="D20" s="123">
        <f t="shared" ca="1" si="2"/>
        <v>0</v>
      </c>
      <c r="E20" s="123">
        <f t="shared" ca="1" si="2"/>
        <v>-16030.295999999998</v>
      </c>
      <c r="F20" s="123">
        <f t="shared" ca="1" si="2"/>
        <v>-6925.0080000000007</v>
      </c>
      <c r="G20" s="123">
        <f t="shared" ca="1" si="2"/>
        <v>-3394.6655999999998</v>
      </c>
      <c r="H20" s="123">
        <f t="shared" ca="1" si="2"/>
        <v>0</v>
      </c>
      <c r="I20" s="123">
        <f t="shared" ca="1" si="2"/>
        <v>0</v>
      </c>
      <c r="J20" s="123">
        <f t="shared" ca="1" si="2"/>
        <v>0</v>
      </c>
      <c r="K20" s="123">
        <f t="shared" ca="1" si="2"/>
        <v>0</v>
      </c>
      <c r="L20" s="123">
        <f t="shared" ca="1" si="2"/>
        <v>0</v>
      </c>
      <c r="M20" s="123">
        <f t="shared" ca="1" si="2"/>
        <v>0</v>
      </c>
      <c r="N20" s="123">
        <f t="shared" ca="1" si="2"/>
        <v>0</v>
      </c>
      <c r="O20" s="123">
        <f t="shared" ca="1" si="2"/>
        <v>0</v>
      </c>
      <c r="P20" s="123">
        <f t="shared" ca="1" si="2"/>
        <v>-6473.1327132651304</v>
      </c>
      <c r="Q20" s="123">
        <f t="shared" ca="1" si="2"/>
        <v>-30862.677580257852</v>
      </c>
      <c r="R20" s="123">
        <f t="shared" ca="1" si="4"/>
        <v>0</v>
      </c>
      <c r="S20" s="123">
        <f t="shared" ca="1" si="4"/>
        <v>0</v>
      </c>
      <c r="T20" s="123">
        <f t="shared" ca="1" si="4"/>
        <v>229000.8</v>
      </c>
      <c r="U20" s="123">
        <f t="shared" ca="1" si="4"/>
        <v>0</v>
      </c>
      <c r="V20" s="123">
        <f t="shared" ca="1" si="4"/>
        <v>0</v>
      </c>
      <c r="W20" s="123">
        <f t="shared" ca="1" si="4"/>
        <v>0</v>
      </c>
      <c r="X20" s="123">
        <f t="shared" ca="1" si="4"/>
        <v>0</v>
      </c>
      <c r="Y20" s="123" t="e">
        <f t="shared" ca="1" si="4"/>
        <v>#REF!</v>
      </c>
      <c r="Z20" s="123" t="e">
        <f t="shared" ca="1" si="4"/>
        <v>#REF!</v>
      </c>
      <c r="AA20" s="123" t="e">
        <f t="shared" ca="1" si="4"/>
        <v>#REF!</v>
      </c>
      <c r="AB20" s="123" t="e">
        <f t="shared" ca="1" si="4"/>
        <v>#REF!</v>
      </c>
      <c r="AC20" s="123" t="e">
        <f t="shared" ca="1" si="4"/>
        <v>#REF!</v>
      </c>
      <c r="AD20" s="123" t="e">
        <f t="shared" ca="1" si="4"/>
        <v>#REF!</v>
      </c>
      <c r="AE20" s="123" t="e">
        <f t="shared" ca="1" si="4"/>
        <v>#REF!</v>
      </c>
      <c r="AF20" s="123" t="e">
        <f t="shared" ca="1" si="4"/>
        <v>#REF!</v>
      </c>
      <c r="AG20" s="312"/>
    </row>
    <row r="21" spans="1:33">
      <c r="A21">
        <f t="shared" si="3"/>
        <v>2026</v>
      </c>
      <c r="B21" s="123">
        <f t="shared" ca="1" si="2"/>
        <v>0</v>
      </c>
      <c r="C21" s="123">
        <f t="shared" ca="1" si="2"/>
        <v>0</v>
      </c>
      <c r="D21" s="123">
        <f t="shared" ca="1" si="2"/>
        <v>0</v>
      </c>
      <c r="E21" s="123">
        <f t="shared" ca="1" si="2"/>
        <v>-16030.295999999998</v>
      </c>
      <c r="F21" s="123">
        <f t="shared" ca="1" si="2"/>
        <v>-6925.0080000000007</v>
      </c>
      <c r="G21" s="123">
        <f t="shared" ca="1" si="2"/>
        <v>-5091.9983999999995</v>
      </c>
      <c r="H21" s="123">
        <f t="shared" ca="1" si="2"/>
        <v>0</v>
      </c>
      <c r="I21" s="123">
        <f t="shared" ca="1" si="2"/>
        <v>0</v>
      </c>
      <c r="J21" s="123">
        <f t="shared" ca="1" si="2"/>
        <v>0</v>
      </c>
      <c r="K21" s="123">
        <f t="shared" ca="1" si="2"/>
        <v>0</v>
      </c>
      <c r="L21" s="123">
        <f t="shared" ca="1" si="2"/>
        <v>0</v>
      </c>
      <c r="M21" s="123">
        <f t="shared" ca="1" si="2"/>
        <v>0</v>
      </c>
      <c r="N21" s="123">
        <f t="shared" ca="1" si="2"/>
        <v>0</v>
      </c>
      <c r="O21" s="123">
        <f t="shared" ca="1" si="2"/>
        <v>0</v>
      </c>
      <c r="P21" s="123">
        <f t="shared" ca="1" si="2"/>
        <v>-6779.0365582851391</v>
      </c>
      <c r="Q21" s="123">
        <f t="shared" ca="1" si="2"/>
        <v>-32791.594929023951</v>
      </c>
      <c r="R21" s="123">
        <f t="shared" ca="1" si="4"/>
        <v>0</v>
      </c>
      <c r="S21" s="123">
        <f t="shared" ca="1" si="4"/>
        <v>0</v>
      </c>
      <c r="T21" s="123">
        <f t="shared" ca="1" si="4"/>
        <v>231853.44</v>
      </c>
      <c r="U21" s="123">
        <f t="shared" ca="1" si="4"/>
        <v>0</v>
      </c>
      <c r="V21" s="123">
        <f t="shared" ca="1" si="4"/>
        <v>0</v>
      </c>
      <c r="W21" s="123">
        <f t="shared" ca="1" si="4"/>
        <v>0</v>
      </c>
      <c r="X21" s="123">
        <f t="shared" ca="1" si="4"/>
        <v>0</v>
      </c>
      <c r="Y21" s="123" t="e">
        <f t="shared" ca="1" si="4"/>
        <v>#REF!</v>
      </c>
      <c r="Z21" s="123" t="e">
        <f t="shared" ca="1" si="4"/>
        <v>#REF!</v>
      </c>
      <c r="AA21" s="123" t="e">
        <f t="shared" ca="1" si="4"/>
        <v>#REF!</v>
      </c>
      <c r="AB21" s="123" t="e">
        <f t="shared" ca="1" si="4"/>
        <v>#REF!</v>
      </c>
      <c r="AC21" s="123" t="e">
        <f t="shared" ca="1" si="4"/>
        <v>#REF!</v>
      </c>
      <c r="AD21" s="123" t="e">
        <f t="shared" ca="1" si="4"/>
        <v>#REF!</v>
      </c>
      <c r="AE21" s="123" t="e">
        <f t="shared" ca="1" si="4"/>
        <v>#REF!</v>
      </c>
      <c r="AF21" s="123" t="e">
        <f t="shared" ca="1" si="4"/>
        <v>#REF!</v>
      </c>
      <c r="AG21" s="312"/>
    </row>
    <row r="22" spans="1:33">
      <c r="A22">
        <f t="shared" si="3"/>
        <v>2027</v>
      </c>
      <c r="B22" s="123">
        <f t="shared" ca="1" si="2"/>
        <v>0</v>
      </c>
      <c r="C22" s="123">
        <f t="shared" ca="1" si="2"/>
        <v>0</v>
      </c>
      <c r="D22" s="123">
        <f t="shared" ca="1" si="2"/>
        <v>0</v>
      </c>
      <c r="E22" s="123">
        <f t="shared" ca="1" si="2"/>
        <v>-16030.295999999998</v>
      </c>
      <c r="F22" s="123">
        <f t="shared" ca="1" si="2"/>
        <v>-6925.0080000000007</v>
      </c>
      <c r="G22" s="123">
        <f t="shared" ca="1" si="2"/>
        <v>-6789.3311999999996</v>
      </c>
      <c r="H22" s="123">
        <f t="shared" ca="1" si="2"/>
        <v>0</v>
      </c>
      <c r="I22" s="123">
        <f t="shared" ca="1" si="2"/>
        <v>0</v>
      </c>
      <c r="J22" s="123">
        <f t="shared" ca="1" si="2"/>
        <v>0</v>
      </c>
      <c r="K22" s="123">
        <f t="shared" ca="1" si="2"/>
        <v>0</v>
      </c>
      <c r="L22" s="123">
        <f t="shared" ca="1" si="2"/>
        <v>0</v>
      </c>
      <c r="M22" s="123">
        <f t="shared" ca="1" si="2"/>
        <v>0</v>
      </c>
      <c r="N22" s="123">
        <f t="shared" ca="1" si="2"/>
        <v>0</v>
      </c>
      <c r="O22" s="123">
        <f t="shared" ca="1" si="2"/>
        <v>0</v>
      </c>
      <c r="P22" s="123">
        <f t="shared" ca="1" si="2"/>
        <v>-7085.9923201924557</v>
      </c>
      <c r="Q22" s="123">
        <f t="shared" ca="1" si="2"/>
        <v>-34720.512277790076</v>
      </c>
      <c r="R22" s="123">
        <f t="shared" ca="1" si="4"/>
        <v>0</v>
      </c>
      <c r="S22" s="123">
        <f t="shared" ca="1" si="4"/>
        <v>0</v>
      </c>
      <c r="T22" s="123">
        <f t="shared" ca="1" si="4"/>
        <v>234706.08</v>
      </c>
      <c r="U22" s="123">
        <f t="shared" ca="1" si="4"/>
        <v>0</v>
      </c>
      <c r="V22" s="123">
        <f t="shared" ca="1" si="4"/>
        <v>0</v>
      </c>
      <c r="W22" s="123">
        <f t="shared" ca="1" si="4"/>
        <v>0</v>
      </c>
      <c r="X22" s="123">
        <f t="shared" ca="1" si="4"/>
        <v>0</v>
      </c>
      <c r="Y22" s="123" t="e">
        <f t="shared" ca="1" si="4"/>
        <v>#REF!</v>
      </c>
      <c r="Z22" s="123" t="e">
        <f t="shared" ca="1" si="4"/>
        <v>#REF!</v>
      </c>
      <c r="AA22" s="123" t="e">
        <f t="shared" ca="1" si="4"/>
        <v>#REF!</v>
      </c>
      <c r="AB22" s="123" t="e">
        <f t="shared" ca="1" si="4"/>
        <v>#REF!</v>
      </c>
      <c r="AC22" s="123" t="e">
        <f t="shared" ca="1" si="4"/>
        <v>#REF!</v>
      </c>
      <c r="AD22" s="123" t="e">
        <f t="shared" ca="1" si="4"/>
        <v>#REF!</v>
      </c>
      <c r="AE22" s="123" t="e">
        <f t="shared" ca="1" si="4"/>
        <v>#REF!</v>
      </c>
      <c r="AF22" s="123" t="e">
        <f t="shared" ca="1" si="4"/>
        <v>#REF!</v>
      </c>
      <c r="AG22" s="312"/>
    </row>
    <row r="23" spans="1:33">
      <c r="A23">
        <f t="shared" si="3"/>
        <v>2028</v>
      </c>
      <c r="B23" s="123">
        <f t="shared" ca="1" si="2"/>
        <v>0</v>
      </c>
      <c r="C23" s="123">
        <f t="shared" ca="1" si="2"/>
        <v>0</v>
      </c>
      <c r="D23" s="123">
        <f t="shared" ca="1" si="2"/>
        <v>0</v>
      </c>
      <c r="E23" s="123">
        <f t="shared" ca="1" si="2"/>
        <v>-16030.295999999998</v>
      </c>
      <c r="F23" s="123">
        <f t="shared" ca="1" si="2"/>
        <v>-6925.0080000000007</v>
      </c>
      <c r="G23" s="123">
        <f t="shared" ca="1" si="2"/>
        <v>-8486.6639999999989</v>
      </c>
      <c r="H23" s="123">
        <f t="shared" ca="1" si="2"/>
        <v>0</v>
      </c>
      <c r="I23" s="123">
        <f t="shared" ca="1" si="2"/>
        <v>0</v>
      </c>
      <c r="J23" s="123">
        <f t="shared" ca="1" si="2"/>
        <v>0</v>
      </c>
      <c r="K23" s="123">
        <f t="shared" ca="1" si="2"/>
        <v>0</v>
      </c>
      <c r="L23" s="123">
        <f t="shared" ca="1" si="2"/>
        <v>0</v>
      </c>
      <c r="M23" s="123">
        <f t="shared" ca="1" si="2"/>
        <v>0</v>
      </c>
      <c r="N23" s="123">
        <f t="shared" ca="1" si="2"/>
        <v>0</v>
      </c>
      <c r="O23" s="123">
        <f t="shared" ca="1" si="2"/>
        <v>0</v>
      </c>
      <c r="P23" s="123">
        <f t="shared" ca="1" si="2"/>
        <v>-7393.9691875859371</v>
      </c>
      <c r="Q23" s="123">
        <f t="shared" ca="1" si="2"/>
        <v>-36649.429626556179</v>
      </c>
      <c r="R23" s="123">
        <f t="shared" ca="1" si="4"/>
        <v>0</v>
      </c>
      <c r="S23" s="123">
        <f t="shared" ca="1" si="4"/>
        <v>0</v>
      </c>
      <c r="T23" s="123">
        <f t="shared" ca="1" si="4"/>
        <v>237558.72</v>
      </c>
      <c r="U23" s="123">
        <f t="shared" ca="1" si="4"/>
        <v>0</v>
      </c>
      <c r="V23" s="123">
        <f t="shared" ca="1" si="4"/>
        <v>0</v>
      </c>
      <c r="W23" s="123">
        <f t="shared" ca="1" si="4"/>
        <v>0</v>
      </c>
      <c r="X23" s="123">
        <f t="shared" ca="1" si="4"/>
        <v>0</v>
      </c>
      <c r="Y23" s="123" t="e">
        <f t="shared" ca="1" si="4"/>
        <v>#REF!</v>
      </c>
      <c r="Z23" s="123" t="e">
        <f t="shared" ca="1" si="4"/>
        <v>#REF!</v>
      </c>
      <c r="AA23" s="123" t="e">
        <f t="shared" ca="1" si="4"/>
        <v>#REF!</v>
      </c>
      <c r="AB23" s="123" t="e">
        <f t="shared" ca="1" si="4"/>
        <v>#REF!</v>
      </c>
      <c r="AC23" s="123" t="e">
        <f t="shared" ca="1" si="4"/>
        <v>#REF!</v>
      </c>
      <c r="AD23" s="123" t="e">
        <f t="shared" ca="1" si="4"/>
        <v>#REF!</v>
      </c>
      <c r="AE23" s="123" t="e">
        <f t="shared" ca="1" si="4"/>
        <v>#REF!</v>
      </c>
      <c r="AF23" s="123" t="e">
        <f t="shared" ca="1" si="4"/>
        <v>#REF!</v>
      </c>
      <c r="AG23" s="312"/>
    </row>
    <row r="24" spans="1:33">
      <c r="A24">
        <f t="shared" si="3"/>
        <v>2029</v>
      </c>
      <c r="B24" s="123">
        <f t="shared" ca="1" si="2"/>
        <v>0</v>
      </c>
      <c r="C24" s="123">
        <f t="shared" ca="1" si="2"/>
        <v>0</v>
      </c>
      <c r="D24" s="123">
        <f t="shared" ca="1" si="2"/>
        <v>0</v>
      </c>
      <c r="E24" s="123">
        <f t="shared" ca="1" si="2"/>
        <v>-16030.295999999998</v>
      </c>
      <c r="F24" s="123">
        <f t="shared" ca="1" si="2"/>
        <v>-6925.0080000000007</v>
      </c>
      <c r="G24" s="123">
        <f t="shared" ca="1" si="2"/>
        <v>-10183.996799999999</v>
      </c>
      <c r="H24" s="123">
        <f t="shared" ca="1" si="2"/>
        <v>0</v>
      </c>
      <c r="I24" s="123">
        <f t="shared" ca="1" si="2"/>
        <v>0</v>
      </c>
      <c r="J24" s="123">
        <f t="shared" ca="1" si="2"/>
        <v>0</v>
      </c>
      <c r="K24" s="123">
        <f t="shared" ca="1" si="2"/>
        <v>0</v>
      </c>
      <c r="L24" s="123">
        <f t="shared" ca="1" si="2"/>
        <v>0</v>
      </c>
      <c r="M24" s="123">
        <f t="shared" ca="1" si="2"/>
        <v>0</v>
      </c>
      <c r="N24" s="123">
        <f t="shared" ca="1" si="2"/>
        <v>0</v>
      </c>
      <c r="O24" s="123">
        <f t="shared" ca="1" si="2"/>
        <v>0</v>
      </c>
      <c r="P24" s="123">
        <f t="shared" ca="1" si="2"/>
        <v>-7702.9375407467678</v>
      </c>
      <c r="Q24" s="123">
        <f t="shared" ca="1" si="2"/>
        <v>-38578.346975322303</v>
      </c>
      <c r="R24" s="123">
        <f t="shared" ca="1" si="4"/>
        <v>0</v>
      </c>
      <c r="S24" s="123">
        <f t="shared" ca="1" si="4"/>
        <v>0</v>
      </c>
      <c r="T24" s="123">
        <f t="shared" ca="1" si="4"/>
        <v>240411.36</v>
      </c>
      <c r="U24" s="123">
        <f t="shared" ca="1" si="4"/>
        <v>0</v>
      </c>
      <c r="V24" s="123">
        <f t="shared" ca="1" si="4"/>
        <v>0</v>
      </c>
      <c r="W24" s="123">
        <f t="shared" ca="1" si="4"/>
        <v>0</v>
      </c>
      <c r="X24" s="123">
        <f t="shared" ca="1" si="4"/>
        <v>0</v>
      </c>
      <c r="Y24" s="123" t="e">
        <f t="shared" ca="1" si="4"/>
        <v>#REF!</v>
      </c>
      <c r="Z24" s="123" t="e">
        <f t="shared" ca="1" si="4"/>
        <v>#REF!</v>
      </c>
      <c r="AA24" s="123" t="e">
        <f t="shared" ca="1" si="4"/>
        <v>#REF!</v>
      </c>
      <c r="AB24" s="123" t="e">
        <f t="shared" ca="1" si="4"/>
        <v>#REF!</v>
      </c>
      <c r="AC24" s="123" t="e">
        <f t="shared" ca="1" si="4"/>
        <v>#REF!</v>
      </c>
      <c r="AD24" s="123" t="e">
        <f t="shared" ca="1" si="4"/>
        <v>#REF!</v>
      </c>
      <c r="AE24" s="123" t="e">
        <f t="shared" ca="1" si="4"/>
        <v>#REF!</v>
      </c>
      <c r="AF24" s="123" t="e">
        <f t="shared" ca="1" si="4"/>
        <v>#REF!</v>
      </c>
      <c r="AG24" s="312"/>
    </row>
    <row r="25" spans="1:33">
      <c r="A25">
        <f t="shared" si="3"/>
        <v>2030</v>
      </c>
      <c r="B25" s="123">
        <f t="shared" ca="1" si="2"/>
        <v>0</v>
      </c>
      <c r="C25" s="123">
        <f t="shared" ca="1" si="2"/>
        <v>0</v>
      </c>
      <c r="D25" s="123">
        <f t="shared" ca="1" si="2"/>
        <v>0</v>
      </c>
      <c r="E25" s="123">
        <f t="shared" ca="1" si="2"/>
        <v>-16030.295999999998</v>
      </c>
      <c r="F25" s="123">
        <f t="shared" ca="1" si="2"/>
        <v>-6925.0080000000007</v>
      </c>
      <c r="G25" s="123">
        <f t="shared" ca="1" si="2"/>
        <v>-11881.329599999999</v>
      </c>
      <c r="H25" s="123">
        <f t="shared" ca="1" si="2"/>
        <v>0</v>
      </c>
      <c r="I25" s="123">
        <f t="shared" ca="1" si="2"/>
        <v>0</v>
      </c>
      <c r="J25" s="123">
        <f t="shared" ca="1" si="2"/>
        <v>0</v>
      </c>
      <c r="K25" s="123">
        <f t="shared" ca="1" si="2"/>
        <v>0</v>
      </c>
      <c r="L25" s="123">
        <f t="shared" ca="1" si="2"/>
        <v>0</v>
      </c>
      <c r="M25" s="123">
        <f t="shared" ca="1" si="2"/>
        <v>0</v>
      </c>
      <c r="N25" s="123">
        <f t="shared" ca="1" si="2"/>
        <v>0</v>
      </c>
      <c r="O25" s="123">
        <f t="shared" ca="1" si="2"/>
        <v>0</v>
      </c>
      <c r="P25" s="123">
        <f t="shared" ca="1" si="2"/>
        <v>-8012.8688945773238</v>
      </c>
      <c r="Q25" s="123">
        <f t="shared" ca="1" si="2"/>
        <v>-40507.264324088406</v>
      </c>
      <c r="R25" s="123">
        <f t="shared" ca="1" si="4"/>
        <v>0</v>
      </c>
      <c r="S25" s="123">
        <f t="shared" ca="1" si="4"/>
        <v>0</v>
      </c>
      <c r="T25" s="123">
        <f t="shared" ca="1" si="4"/>
        <v>243264</v>
      </c>
      <c r="U25" s="123">
        <f t="shared" ca="1" si="4"/>
        <v>0</v>
      </c>
      <c r="V25" s="123">
        <f t="shared" ca="1" si="4"/>
        <v>0</v>
      </c>
      <c r="W25" s="123">
        <f t="shared" ca="1" si="4"/>
        <v>0</v>
      </c>
      <c r="X25" s="123">
        <f t="shared" ca="1" si="4"/>
        <v>0</v>
      </c>
      <c r="Y25" s="123" t="e">
        <f t="shared" ca="1" si="4"/>
        <v>#REF!</v>
      </c>
      <c r="Z25" s="123" t="e">
        <f t="shared" ca="1" si="4"/>
        <v>#REF!</v>
      </c>
      <c r="AA25" s="123" t="e">
        <f t="shared" ca="1" si="4"/>
        <v>#REF!</v>
      </c>
      <c r="AB25" s="123" t="e">
        <f t="shared" ca="1" si="4"/>
        <v>#REF!</v>
      </c>
      <c r="AC25" s="123" t="e">
        <f t="shared" ca="1" si="4"/>
        <v>#REF!</v>
      </c>
      <c r="AD25" s="123" t="e">
        <f t="shared" ca="1" si="4"/>
        <v>#REF!</v>
      </c>
      <c r="AE25" s="123" t="e">
        <f t="shared" ca="1" si="4"/>
        <v>#REF!</v>
      </c>
      <c r="AF25" s="123" t="e">
        <f t="shared" ca="1" si="4"/>
        <v>#REF!</v>
      </c>
      <c r="AG25" s="312"/>
    </row>
    <row r="26" spans="1:33">
      <c r="A26">
        <f t="shared" si="3"/>
        <v>2031</v>
      </c>
      <c r="B26" s="123">
        <f t="shared" ca="1" si="2"/>
        <v>0</v>
      </c>
      <c r="C26" s="123">
        <f t="shared" ca="1" si="2"/>
        <v>0</v>
      </c>
      <c r="D26" s="123">
        <f t="shared" ca="1" si="2"/>
        <v>0</v>
      </c>
      <c r="E26" s="123">
        <f t="shared" ca="1" si="2"/>
        <v>-16030.295999999998</v>
      </c>
      <c r="F26" s="123">
        <f t="shared" ca="1" si="2"/>
        <v>-6925.0080000000007</v>
      </c>
      <c r="G26" s="123">
        <f t="shared" ca="1" si="2"/>
        <v>-13578.662399999999</v>
      </c>
      <c r="H26" s="123">
        <f t="shared" ca="1" si="2"/>
        <v>0</v>
      </c>
      <c r="I26" s="123">
        <f t="shared" ca="1" si="2"/>
        <v>0</v>
      </c>
      <c r="J26" s="123">
        <f t="shared" ca="1" si="2"/>
        <v>0</v>
      </c>
      <c r="K26" s="123">
        <f t="shared" ca="1" si="2"/>
        <v>0</v>
      </c>
      <c r="L26" s="123">
        <f t="shared" ca="1" si="2"/>
        <v>0</v>
      </c>
      <c r="M26" s="123">
        <f t="shared" ca="1" si="2"/>
        <v>0</v>
      </c>
      <c r="N26" s="123">
        <f t="shared" ca="1" si="2"/>
        <v>0</v>
      </c>
      <c r="O26" s="123">
        <f t="shared" ca="1" si="2"/>
        <v>0</v>
      </c>
      <c r="P26" s="123">
        <f t="shared" ca="1" si="2"/>
        <v>-8323.7358447876504</v>
      </c>
      <c r="Q26" s="123">
        <f t="shared" ca="1" si="2"/>
        <v>-42436.181672854531</v>
      </c>
      <c r="R26" s="123">
        <f t="shared" ca="1" si="4"/>
        <v>0</v>
      </c>
      <c r="S26" s="123">
        <f t="shared" ca="1" si="4"/>
        <v>0</v>
      </c>
      <c r="T26" s="123">
        <f t="shared" ca="1" si="4"/>
        <v>243264</v>
      </c>
      <c r="U26" s="123">
        <f t="shared" ca="1" si="4"/>
        <v>0</v>
      </c>
      <c r="V26" s="123">
        <f t="shared" ca="1" si="4"/>
        <v>0</v>
      </c>
      <c r="W26" s="123">
        <f t="shared" ca="1" si="4"/>
        <v>0</v>
      </c>
      <c r="X26" s="123">
        <f t="shared" ca="1" si="4"/>
        <v>0</v>
      </c>
      <c r="Y26" s="123" t="e">
        <f t="shared" ca="1" si="4"/>
        <v>#REF!</v>
      </c>
      <c r="Z26" s="123" t="e">
        <f t="shared" ca="1" si="4"/>
        <v>#REF!</v>
      </c>
      <c r="AA26" s="123" t="e">
        <f t="shared" ca="1" si="4"/>
        <v>#REF!</v>
      </c>
      <c r="AB26" s="123" t="e">
        <f t="shared" ca="1" si="4"/>
        <v>#REF!</v>
      </c>
      <c r="AC26" s="123" t="e">
        <f t="shared" ca="1" si="4"/>
        <v>#REF!</v>
      </c>
      <c r="AD26" s="123" t="e">
        <f t="shared" ca="1" si="4"/>
        <v>#REF!</v>
      </c>
      <c r="AE26" s="123" t="e">
        <f t="shared" ca="1" si="4"/>
        <v>#REF!</v>
      </c>
      <c r="AF26" s="123" t="e">
        <f t="shared" ca="1" si="4"/>
        <v>#REF!</v>
      </c>
      <c r="AG26" s="312"/>
    </row>
    <row r="27" spans="1:33">
      <c r="A27">
        <f t="shared" si="3"/>
        <v>2032</v>
      </c>
      <c r="B27" s="123">
        <f t="shared" ca="1" si="2"/>
        <v>0</v>
      </c>
      <c r="C27" s="123">
        <f t="shared" ca="1" si="2"/>
        <v>0</v>
      </c>
      <c r="D27" s="123">
        <f t="shared" ca="1" si="2"/>
        <v>0</v>
      </c>
      <c r="E27" s="123">
        <f t="shared" ca="1" si="2"/>
        <v>-16030.295999999998</v>
      </c>
      <c r="F27" s="123">
        <f t="shared" ca="1" si="2"/>
        <v>-6925.0080000000007</v>
      </c>
      <c r="G27" s="123">
        <f t="shared" ca="1" si="2"/>
        <v>-15275.995199999999</v>
      </c>
      <c r="H27" s="123">
        <f t="shared" ca="1" si="2"/>
        <v>0</v>
      </c>
      <c r="I27" s="123">
        <f t="shared" ca="1" si="2"/>
        <v>0</v>
      </c>
      <c r="J27" s="123">
        <f t="shared" ca="1" si="2"/>
        <v>0</v>
      </c>
      <c r="K27" s="123">
        <f t="shared" ca="1" si="2"/>
        <v>0</v>
      </c>
      <c r="L27" s="123">
        <f t="shared" ca="1" si="2"/>
        <v>0</v>
      </c>
      <c r="M27" s="123">
        <f t="shared" ca="1" si="2"/>
        <v>0</v>
      </c>
      <c r="N27" s="123">
        <f t="shared" ca="1" si="2"/>
        <v>0</v>
      </c>
      <c r="O27" s="123">
        <f t="shared" ca="1" si="2"/>
        <v>0</v>
      </c>
      <c r="P27" s="123">
        <f t="shared" ca="1" si="2"/>
        <v>-8635.5120171159087</v>
      </c>
      <c r="Q27" s="123">
        <f t="shared" ca="1" si="2"/>
        <v>-44365.099021620656</v>
      </c>
      <c r="R27" s="123">
        <f t="shared" ca="1" si="4"/>
        <v>0</v>
      </c>
      <c r="S27" s="123">
        <f t="shared" ca="1" si="4"/>
        <v>0</v>
      </c>
      <c r="T27" s="123">
        <f t="shared" ca="1" si="4"/>
        <v>243264</v>
      </c>
      <c r="U27" s="123">
        <f t="shared" ca="1" si="4"/>
        <v>0</v>
      </c>
      <c r="V27" s="123">
        <f t="shared" ca="1" si="4"/>
        <v>0</v>
      </c>
      <c r="W27" s="123">
        <f t="shared" ca="1" si="4"/>
        <v>0</v>
      </c>
      <c r="X27" s="123">
        <f t="shared" ca="1" si="4"/>
        <v>0</v>
      </c>
      <c r="Y27" s="123" t="e">
        <f t="shared" ca="1" si="4"/>
        <v>#REF!</v>
      </c>
      <c r="Z27" s="123" t="e">
        <f t="shared" ca="1" si="4"/>
        <v>#REF!</v>
      </c>
      <c r="AA27" s="123" t="e">
        <f t="shared" ca="1" si="4"/>
        <v>#REF!</v>
      </c>
      <c r="AB27" s="123" t="e">
        <f t="shared" ca="1" si="4"/>
        <v>#REF!</v>
      </c>
      <c r="AC27" s="123" t="e">
        <f t="shared" ca="1" si="4"/>
        <v>#REF!</v>
      </c>
      <c r="AD27" s="123" t="e">
        <f t="shared" ca="1" si="4"/>
        <v>#REF!</v>
      </c>
      <c r="AE27" s="123" t="e">
        <f t="shared" ca="1" si="4"/>
        <v>#REF!</v>
      </c>
      <c r="AF27" s="123" t="e">
        <f t="shared" ca="1" si="4"/>
        <v>#REF!</v>
      </c>
      <c r="AG27" s="312"/>
    </row>
    <row r="28" spans="1:33">
      <c r="A28">
        <f t="shared" si="3"/>
        <v>2033</v>
      </c>
      <c r="B28" s="123">
        <f t="shared" ca="1" si="2"/>
        <v>0</v>
      </c>
      <c r="C28" s="123">
        <f t="shared" ca="1" si="2"/>
        <v>0</v>
      </c>
      <c r="D28" s="123">
        <f t="shared" ca="1" si="2"/>
        <v>0</v>
      </c>
      <c r="E28" s="123">
        <f t="shared" ca="1" si="2"/>
        <v>-16030.295999999998</v>
      </c>
      <c r="F28" s="123">
        <f t="shared" ca="1" si="2"/>
        <v>-6925.0080000000007</v>
      </c>
      <c r="G28" s="123">
        <f t="shared" ca="1" si="2"/>
        <v>-16973.327999999998</v>
      </c>
      <c r="H28" s="123">
        <f t="shared" ca="1" si="2"/>
        <v>0</v>
      </c>
      <c r="I28" s="123">
        <f t="shared" ca="1" si="2"/>
        <v>0</v>
      </c>
      <c r="J28" s="123">
        <f t="shared" ca="1" si="2"/>
        <v>0</v>
      </c>
      <c r="K28" s="123">
        <f t="shared" ca="1" si="2"/>
        <v>0</v>
      </c>
      <c r="L28" s="123">
        <f t="shared" ca="1" si="2"/>
        <v>0</v>
      </c>
      <c r="M28" s="123">
        <f t="shared" ca="1" si="2"/>
        <v>0</v>
      </c>
      <c r="N28" s="123">
        <f t="shared" ca="1" si="2"/>
        <v>0</v>
      </c>
      <c r="O28" s="123">
        <f t="shared" ca="1" si="2"/>
        <v>0</v>
      </c>
      <c r="P28" s="123">
        <f t="shared" ca="1" si="2"/>
        <v>-8948.1720193850688</v>
      </c>
      <c r="Q28" s="123">
        <f t="shared" ca="1" si="2"/>
        <v>-46294.016370386751</v>
      </c>
      <c r="R28" s="123">
        <f t="shared" ca="1" si="4"/>
        <v>0</v>
      </c>
      <c r="S28" s="123">
        <f t="shared" ca="1" si="4"/>
        <v>0</v>
      </c>
      <c r="T28" s="123">
        <f t="shared" ca="1" si="4"/>
        <v>243264</v>
      </c>
      <c r="U28" s="123">
        <f t="shared" ca="1" si="4"/>
        <v>0</v>
      </c>
      <c r="V28" s="123">
        <f t="shared" ca="1" si="4"/>
        <v>0</v>
      </c>
      <c r="W28" s="123">
        <f t="shared" ca="1" si="4"/>
        <v>0</v>
      </c>
      <c r="X28" s="123">
        <f t="shared" ca="1" si="4"/>
        <v>0</v>
      </c>
      <c r="Y28" s="123" t="e">
        <f t="shared" ca="1" si="4"/>
        <v>#REF!</v>
      </c>
      <c r="Z28" s="123" t="e">
        <f t="shared" ca="1" si="4"/>
        <v>#REF!</v>
      </c>
      <c r="AA28" s="123" t="e">
        <f t="shared" ca="1" si="4"/>
        <v>#REF!</v>
      </c>
      <c r="AB28" s="123" t="e">
        <f t="shared" ca="1" si="4"/>
        <v>#REF!</v>
      </c>
      <c r="AC28" s="123" t="e">
        <f t="shared" ca="1" si="4"/>
        <v>#REF!</v>
      </c>
      <c r="AD28" s="123" t="e">
        <f t="shared" ca="1" si="4"/>
        <v>#REF!</v>
      </c>
      <c r="AE28" s="123" t="e">
        <f t="shared" ca="1" si="4"/>
        <v>#REF!</v>
      </c>
      <c r="AF28" s="123" t="e">
        <f t="shared" ca="1" si="4"/>
        <v>#REF!</v>
      </c>
      <c r="AG28" s="312"/>
    </row>
    <row r="29" spans="1:33">
      <c r="A29">
        <f t="shared" si="3"/>
        <v>2034</v>
      </c>
      <c r="B29" s="123">
        <f t="shared" ca="1" si="2"/>
        <v>0</v>
      </c>
      <c r="C29" s="123">
        <f t="shared" ca="1" si="2"/>
        <v>0</v>
      </c>
      <c r="D29" s="123">
        <f t="shared" ca="1" si="2"/>
        <v>0</v>
      </c>
      <c r="E29" s="123">
        <f t="shared" ca="1" si="2"/>
        <v>-16030.295999999998</v>
      </c>
      <c r="F29" s="123">
        <f t="shared" ca="1" si="2"/>
        <v>-6925.0080000000007</v>
      </c>
      <c r="G29" s="123">
        <f t="shared" ca="1" si="2"/>
        <v>-16973.327999999998</v>
      </c>
      <c r="H29" s="123">
        <f t="shared" ca="1" si="2"/>
        <v>0</v>
      </c>
      <c r="I29" s="123">
        <f t="shared" ref="I29:X29" ca="1" si="5">OFFSET(INDIRECT(I$3),$A29-$A$5+$C$1,$C$2)-OFFSET(INDIRECT(I$3),$A29-$A$5+$C$1,$D$2)+OFFSET(INDIRECT(I$3),$A29-$A$5+$C$1,$E$2)</f>
        <v>0</v>
      </c>
      <c r="J29" s="123">
        <f t="shared" ca="1" si="5"/>
        <v>0</v>
      </c>
      <c r="K29" s="123">
        <f t="shared" ca="1" si="5"/>
        <v>0</v>
      </c>
      <c r="L29" s="123">
        <f t="shared" ca="1" si="5"/>
        <v>0</v>
      </c>
      <c r="M29" s="123">
        <f t="shared" ca="1" si="5"/>
        <v>0</v>
      </c>
      <c r="N29" s="123">
        <f t="shared" ca="1" si="5"/>
        <v>0</v>
      </c>
      <c r="O29" s="123">
        <f t="shared" ca="1" si="5"/>
        <v>0</v>
      </c>
      <c r="P29" s="123">
        <f t="shared" ca="1" si="5"/>
        <v>-9261.6913962127583</v>
      </c>
      <c r="Q29" s="123">
        <f t="shared" ca="1" si="5"/>
        <v>-48222.933719152876</v>
      </c>
      <c r="R29" s="123">
        <f t="shared" ca="1" si="5"/>
        <v>0</v>
      </c>
      <c r="S29" s="123">
        <f t="shared" ca="1" si="5"/>
        <v>0</v>
      </c>
      <c r="T29" s="123">
        <f t="shared" ca="1" si="5"/>
        <v>243264</v>
      </c>
      <c r="U29" s="123">
        <f t="shared" ca="1" si="5"/>
        <v>0</v>
      </c>
      <c r="V29" s="123">
        <f t="shared" ca="1" si="5"/>
        <v>0</v>
      </c>
      <c r="W29" s="123">
        <f t="shared" ca="1" si="5"/>
        <v>0</v>
      </c>
      <c r="X29" s="123">
        <f t="shared" ca="1" si="5"/>
        <v>0</v>
      </c>
      <c r="Y29" s="123" t="e">
        <f t="shared" ca="1" si="4"/>
        <v>#REF!</v>
      </c>
      <c r="Z29" s="123" t="e">
        <f t="shared" ca="1" si="4"/>
        <v>#REF!</v>
      </c>
      <c r="AA29" s="123" t="e">
        <f t="shared" ca="1" si="4"/>
        <v>#REF!</v>
      </c>
      <c r="AB29" s="123" t="e">
        <f t="shared" ca="1" si="4"/>
        <v>#REF!</v>
      </c>
      <c r="AC29" s="123" t="e">
        <f t="shared" ca="1" si="4"/>
        <v>#REF!</v>
      </c>
      <c r="AD29" s="123" t="e">
        <f t="shared" ca="1" si="4"/>
        <v>#REF!</v>
      </c>
      <c r="AE29" s="123" t="e">
        <f t="shared" ca="1" si="4"/>
        <v>#REF!</v>
      </c>
      <c r="AF29" s="123" t="e">
        <f t="shared" ca="1" si="4"/>
        <v>#REF!</v>
      </c>
      <c r="AG29" s="312"/>
    </row>
    <row r="30" spans="1:33">
      <c r="A30">
        <f t="shared" si="3"/>
        <v>2035</v>
      </c>
      <c r="B30" s="123">
        <f t="shared" ref="B30:Q45" ca="1" si="6">OFFSET(INDIRECT(B$3),$A30-$A$5+$C$1,$C$2)-OFFSET(INDIRECT(B$3),$A30-$A$5+$C$1,$D$2)+OFFSET(INDIRECT(B$3),$A30-$A$5+$C$1,$E$2)</f>
        <v>0</v>
      </c>
      <c r="C30" s="123">
        <f t="shared" ca="1" si="6"/>
        <v>0</v>
      </c>
      <c r="D30" s="123">
        <f t="shared" ca="1" si="6"/>
        <v>0</v>
      </c>
      <c r="E30" s="123">
        <f t="shared" ca="1" si="6"/>
        <v>-16030.295999999998</v>
      </c>
      <c r="F30" s="123">
        <f t="shared" ca="1" si="6"/>
        <v>-6925.0080000000007</v>
      </c>
      <c r="G30" s="123">
        <f t="shared" ca="1" si="6"/>
        <v>-16973.327999999998</v>
      </c>
      <c r="H30" s="123">
        <f t="shared" ca="1" si="6"/>
        <v>0</v>
      </c>
      <c r="I30" s="123">
        <f t="shared" ca="1" si="6"/>
        <v>0</v>
      </c>
      <c r="J30" s="123">
        <f t="shared" ca="1" si="6"/>
        <v>0</v>
      </c>
      <c r="K30" s="123">
        <f t="shared" ca="1" si="6"/>
        <v>0</v>
      </c>
      <c r="L30" s="123">
        <f t="shared" ca="1" si="6"/>
        <v>0</v>
      </c>
      <c r="M30" s="123">
        <f t="shared" ca="1" si="6"/>
        <v>0</v>
      </c>
      <c r="N30" s="123">
        <f t="shared" ca="1" si="6"/>
        <v>0</v>
      </c>
      <c r="O30" s="123">
        <f t="shared" ca="1" si="6"/>
        <v>0</v>
      </c>
      <c r="P30" s="123">
        <f t="shared" ca="1" si="6"/>
        <v>-9576.0465862046458</v>
      </c>
      <c r="Q30" s="123">
        <f t="shared" ca="1" si="6"/>
        <v>-50151.851067919</v>
      </c>
      <c r="R30" s="123">
        <f t="shared" ref="R30:X44" ca="1" si="7">OFFSET(INDIRECT(R$3),$A30-$A$5+$C$1,$C$2)-OFFSET(INDIRECT(R$3),$A30-$A$5+$C$1,$D$2)+OFFSET(INDIRECT(R$3),$A30-$A$5+$C$1,$E$2)</f>
        <v>0</v>
      </c>
      <c r="S30" s="123">
        <f t="shared" ca="1" si="7"/>
        <v>0</v>
      </c>
      <c r="T30" s="123">
        <f t="shared" ca="1" si="7"/>
        <v>243264</v>
      </c>
      <c r="U30" s="123">
        <f t="shared" ca="1" si="7"/>
        <v>0</v>
      </c>
      <c r="V30" s="123">
        <f t="shared" ca="1" si="7"/>
        <v>0</v>
      </c>
      <c r="W30" s="123">
        <f t="shared" ca="1" si="7"/>
        <v>0</v>
      </c>
      <c r="X30" s="123">
        <f t="shared" ca="1" si="7"/>
        <v>0</v>
      </c>
      <c r="Y30" s="123" t="e">
        <f t="shared" ca="1" si="4"/>
        <v>#REF!</v>
      </c>
      <c r="Z30" s="123" t="e">
        <f t="shared" ca="1" si="4"/>
        <v>#REF!</v>
      </c>
      <c r="AA30" s="123" t="e">
        <f t="shared" ca="1" si="4"/>
        <v>#REF!</v>
      </c>
      <c r="AB30" s="123" t="e">
        <f t="shared" ca="1" si="4"/>
        <v>#REF!</v>
      </c>
      <c r="AC30" s="123" t="e">
        <f t="shared" ca="1" si="4"/>
        <v>#REF!</v>
      </c>
      <c r="AD30" s="123" t="e">
        <f t="shared" ca="1" si="4"/>
        <v>#REF!</v>
      </c>
      <c r="AE30" s="123" t="e">
        <f t="shared" ca="1" si="4"/>
        <v>#REF!</v>
      </c>
      <c r="AF30" s="123" t="e">
        <f ca="1">OFFSET(INDIRECT(AF$3),$A30-$A$5+$C$1,$C$2)-OFFSET(INDIRECT(AF$3),$A30-$A$5+$C$1,$D$2)+OFFSET(INDIRECT(AF$3),$A30-$A$5+$C$1,$E$2)</f>
        <v>#REF!</v>
      </c>
      <c r="AG30" s="312"/>
    </row>
    <row r="31" spans="1:33">
      <c r="A31">
        <f t="shared" si="3"/>
        <v>2036</v>
      </c>
      <c r="B31" s="123">
        <f t="shared" ca="1" si="6"/>
        <v>0</v>
      </c>
      <c r="C31" s="123">
        <f t="shared" ca="1" si="6"/>
        <v>0</v>
      </c>
      <c r="D31" s="123">
        <f t="shared" ca="1" si="6"/>
        <v>0</v>
      </c>
      <c r="E31" s="123">
        <f t="shared" ca="1" si="6"/>
        <v>-16030.295999999998</v>
      </c>
      <c r="F31" s="123">
        <f t="shared" ca="1" si="6"/>
        <v>-6925.0080000000007</v>
      </c>
      <c r="G31" s="123">
        <f t="shared" ca="1" si="6"/>
        <v>-16973.327999999998</v>
      </c>
      <c r="H31" s="123">
        <f t="shared" ca="1" si="6"/>
        <v>0</v>
      </c>
      <c r="I31" s="123">
        <f t="shared" ca="1" si="6"/>
        <v>0</v>
      </c>
      <c r="J31" s="123">
        <f t="shared" ca="1" si="6"/>
        <v>0</v>
      </c>
      <c r="K31" s="123">
        <f t="shared" ca="1" si="6"/>
        <v>0</v>
      </c>
      <c r="L31" s="123">
        <f t="shared" ca="1" si="6"/>
        <v>0</v>
      </c>
      <c r="M31" s="123">
        <f t="shared" ca="1" si="6"/>
        <v>0</v>
      </c>
      <c r="N31" s="123">
        <f t="shared" ca="1" si="6"/>
        <v>0</v>
      </c>
      <c r="O31" s="123">
        <f t="shared" ca="1" si="6"/>
        <v>0</v>
      </c>
      <c r="P31" s="123">
        <f t="shared" ca="1" si="6"/>
        <v>-9891.2148814737211</v>
      </c>
      <c r="Q31" s="123">
        <f t="shared" ca="1" si="6"/>
        <v>-52080.768416685103</v>
      </c>
      <c r="R31" s="123">
        <f t="shared" ca="1" si="7"/>
        <v>0</v>
      </c>
      <c r="S31" s="123">
        <f t="shared" ca="1" si="7"/>
        <v>0</v>
      </c>
      <c r="T31" s="123">
        <f t="shared" ca="1" si="7"/>
        <v>243264</v>
      </c>
      <c r="U31" s="123">
        <f t="shared" ca="1" si="7"/>
        <v>0</v>
      </c>
      <c r="V31" s="123">
        <f t="shared" ca="1" si="7"/>
        <v>0</v>
      </c>
      <c r="W31" s="123">
        <f t="shared" ca="1" si="7"/>
        <v>0</v>
      </c>
      <c r="X31" s="123">
        <f t="shared" ca="1" si="7"/>
        <v>0</v>
      </c>
      <c r="Y31" s="123" t="e">
        <f t="shared" ref="Y31:AF44" ca="1" si="8">OFFSET(INDIRECT(Y$3),$A31-$A$5+$C$1,$C$2)-OFFSET(INDIRECT(Y$3),$A31-$A$5+$C$1,$D$2)+OFFSET(INDIRECT(Y$3),$A31-$A$5+$C$1,$E$2)</f>
        <v>#REF!</v>
      </c>
      <c r="Z31" s="123" t="e">
        <f t="shared" ca="1" si="8"/>
        <v>#REF!</v>
      </c>
      <c r="AA31" s="123" t="e">
        <f t="shared" ca="1" si="8"/>
        <v>#REF!</v>
      </c>
      <c r="AB31" s="123" t="e">
        <f t="shared" ca="1" si="8"/>
        <v>#REF!</v>
      </c>
      <c r="AC31" s="123" t="e">
        <f t="shared" ca="1" si="8"/>
        <v>#REF!</v>
      </c>
      <c r="AD31" s="123" t="e">
        <f t="shared" ca="1" si="8"/>
        <v>#REF!</v>
      </c>
      <c r="AE31" s="123" t="e">
        <f t="shared" ca="1" si="8"/>
        <v>#REF!</v>
      </c>
      <c r="AF31" s="123" t="e">
        <f t="shared" ca="1" si="8"/>
        <v>#REF!</v>
      </c>
      <c r="AG31" s="312"/>
    </row>
    <row r="32" spans="1:33">
      <c r="A32">
        <f t="shared" si="3"/>
        <v>2037</v>
      </c>
      <c r="B32" s="123">
        <f t="shared" ca="1" si="6"/>
        <v>0</v>
      </c>
      <c r="C32" s="123">
        <f t="shared" ca="1" si="6"/>
        <v>0</v>
      </c>
      <c r="D32" s="123">
        <f t="shared" ca="1" si="6"/>
        <v>0</v>
      </c>
      <c r="E32" s="123">
        <f t="shared" ca="1" si="6"/>
        <v>-16030.295999999998</v>
      </c>
      <c r="F32" s="123">
        <f t="shared" ca="1" si="6"/>
        <v>-6925.0080000000007</v>
      </c>
      <c r="G32" s="123">
        <f t="shared" ca="1" si="6"/>
        <v>-16973.327999999998</v>
      </c>
      <c r="H32" s="123">
        <f t="shared" ca="1" si="6"/>
        <v>0</v>
      </c>
      <c r="I32" s="123">
        <f t="shared" ca="1" si="6"/>
        <v>0</v>
      </c>
      <c r="J32" s="123">
        <f t="shared" ca="1" si="6"/>
        <v>0</v>
      </c>
      <c r="K32" s="123">
        <f t="shared" ca="1" si="6"/>
        <v>0</v>
      </c>
      <c r="L32" s="123">
        <f t="shared" ca="1" si="6"/>
        <v>0</v>
      </c>
      <c r="M32" s="123">
        <f t="shared" ca="1" si="6"/>
        <v>0</v>
      </c>
      <c r="N32" s="123">
        <f t="shared" ca="1" si="6"/>
        <v>0</v>
      </c>
      <c r="O32" s="123">
        <f t="shared" ca="1" si="6"/>
        <v>0</v>
      </c>
      <c r="P32" s="123">
        <f t="shared" ca="1" si="6"/>
        <v>-10207.174389339374</v>
      </c>
      <c r="Q32" s="123">
        <f t="shared" ca="1" si="6"/>
        <v>-54009.685765451206</v>
      </c>
      <c r="R32" s="123">
        <f t="shared" ca="1" si="7"/>
        <v>0</v>
      </c>
      <c r="S32" s="123">
        <f t="shared" ca="1" si="7"/>
        <v>0</v>
      </c>
      <c r="T32" s="123">
        <f t="shared" ca="1" si="7"/>
        <v>243264</v>
      </c>
      <c r="U32" s="123">
        <f t="shared" ca="1" si="7"/>
        <v>0</v>
      </c>
      <c r="V32" s="123">
        <f t="shared" ca="1" si="7"/>
        <v>0</v>
      </c>
      <c r="W32" s="123">
        <f t="shared" ca="1" si="7"/>
        <v>0</v>
      </c>
      <c r="X32" s="123">
        <f t="shared" ca="1" si="7"/>
        <v>0</v>
      </c>
      <c r="Y32" s="123" t="e">
        <f t="shared" ca="1" si="8"/>
        <v>#REF!</v>
      </c>
      <c r="Z32" s="123" t="e">
        <f t="shared" ca="1" si="8"/>
        <v>#REF!</v>
      </c>
      <c r="AA32" s="123" t="e">
        <f t="shared" ca="1" si="8"/>
        <v>#REF!</v>
      </c>
      <c r="AB32" s="123" t="e">
        <f t="shared" ca="1" si="8"/>
        <v>#REF!</v>
      </c>
      <c r="AC32" s="123" t="e">
        <f t="shared" ca="1" si="8"/>
        <v>#REF!</v>
      </c>
      <c r="AD32" s="123" t="e">
        <f t="shared" ca="1" si="8"/>
        <v>#REF!</v>
      </c>
      <c r="AE32" s="123" t="e">
        <f t="shared" ca="1" si="8"/>
        <v>#REF!</v>
      </c>
      <c r="AF32" s="123" t="e">
        <f t="shared" ca="1" si="8"/>
        <v>#REF!</v>
      </c>
      <c r="AG32" s="312"/>
    </row>
    <row r="33" spans="1:33">
      <c r="A33">
        <f t="shared" si="3"/>
        <v>2038</v>
      </c>
      <c r="B33" s="123">
        <f t="shared" ca="1" si="6"/>
        <v>0</v>
      </c>
      <c r="C33" s="123">
        <f t="shared" ca="1" si="6"/>
        <v>0</v>
      </c>
      <c r="D33" s="123">
        <f t="shared" ca="1" si="6"/>
        <v>0</v>
      </c>
      <c r="E33" s="123">
        <f t="shared" ca="1" si="6"/>
        <v>-16030.295999999998</v>
      </c>
      <c r="F33" s="123">
        <f t="shared" ca="1" si="6"/>
        <v>-6925.0080000000007</v>
      </c>
      <c r="G33" s="123">
        <f t="shared" ca="1" si="6"/>
        <v>-16973.327999999998</v>
      </c>
      <c r="H33" s="123">
        <f t="shared" ca="1" si="6"/>
        <v>0</v>
      </c>
      <c r="I33" s="123">
        <f t="shared" ca="1" si="6"/>
        <v>0</v>
      </c>
      <c r="J33" s="123">
        <f t="shared" ca="1" si="6"/>
        <v>0</v>
      </c>
      <c r="K33" s="123">
        <f t="shared" ca="1" si="6"/>
        <v>0</v>
      </c>
      <c r="L33" s="123">
        <f t="shared" ca="1" si="6"/>
        <v>0</v>
      </c>
      <c r="M33" s="123">
        <f t="shared" ca="1" si="6"/>
        <v>0</v>
      </c>
      <c r="N33" s="123">
        <f t="shared" ca="1" si="6"/>
        <v>0</v>
      </c>
      <c r="O33" s="123">
        <f t="shared" ca="1" si="6"/>
        <v>0</v>
      </c>
      <c r="P33" s="123">
        <f t="shared" ca="1" si="6"/>
        <v>-10523.903996070831</v>
      </c>
      <c r="Q33" s="123">
        <f t="shared" ca="1" si="6"/>
        <v>-55938.603114217331</v>
      </c>
      <c r="R33" s="123">
        <f t="shared" ca="1" si="7"/>
        <v>0</v>
      </c>
      <c r="S33" s="123">
        <f t="shared" ca="1" si="7"/>
        <v>0</v>
      </c>
      <c r="T33" s="123">
        <f t="shared" ca="1" si="7"/>
        <v>243264</v>
      </c>
      <c r="U33" s="123">
        <f t="shared" ca="1" si="7"/>
        <v>0</v>
      </c>
      <c r="V33" s="123">
        <f t="shared" ca="1" si="7"/>
        <v>0</v>
      </c>
      <c r="W33" s="123">
        <f t="shared" ca="1" si="7"/>
        <v>0</v>
      </c>
      <c r="X33" s="123">
        <f t="shared" ca="1" si="7"/>
        <v>0</v>
      </c>
      <c r="Y33" s="123" t="e">
        <f t="shared" ca="1" si="8"/>
        <v>#REF!</v>
      </c>
      <c r="Z33" s="123" t="e">
        <f t="shared" ca="1" si="8"/>
        <v>#REF!</v>
      </c>
      <c r="AA33" s="123" t="e">
        <f t="shared" ca="1" si="8"/>
        <v>#REF!</v>
      </c>
      <c r="AB33" s="123" t="e">
        <f t="shared" ca="1" si="8"/>
        <v>#REF!</v>
      </c>
      <c r="AC33" s="123" t="e">
        <f t="shared" ca="1" si="8"/>
        <v>#REF!</v>
      </c>
      <c r="AD33" s="123" t="e">
        <f t="shared" ca="1" si="8"/>
        <v>#REF!</v>
      </c>
      <c r="AE33" s="123" t="e">
        <f t="shared" ca="1" si="8"/>
        <v>#REF!</v>
      </c>
      <c r="AF33" s="123" t="e">
        <f t="shared" ca="1" si="8"/>
        <v>#REF!</v>
      </c>
      <c r="AG33" s="312"/>
    </row>
    <row r="34" spans="1:33">
      <c r="A34">
        <f t="shared" si="3"/>
        <v>2039</v>
      </c>
      <c r="B34" s="123">
        <f t="shared" ca="1" si="6"/>
        <v>0</v>
      </c>
      <c r="C34" s="123">
        <f t="shared" ca="1" si="6"/>
        <v>0</v>
      </c>
      <c r="D34" s="123">
        <f t="shared" ca="1" si="6"/>
        <v>0</v>
      </c>
      <c r="E34" s="123">
        <f t="shared" ca="1" si="6"/>
        <v>-16030.295999999998</v>
      </c>
      <c r="F34" s="123">
        <f t="shared" ca="1" si="6"/>
        <v>-6925.0080000000007</v>
      </c>
      <c r="G34" s="123">
        <f t="shared" ca="1" si="6"/>
        <v>-16973.327999999998</v>
      </c>
      <c r="H34" s="123">
        <f t="shared" ca="1" si="6"/>
        <v>0</v>
      </c>
      <c r="I34" s="123">
        <f t="shared" ca="1" si="6"/>
        <v>0</v>
      </c>
      <c r="J34" s="123">
        <f t="shared" ca="1" si="6"/>
        <v>0</v>
      </c>
      <c r="K34" s="123">
        <f t="shared" ca="1" si="6"/>
        <v>0</v>
      </c>
      <c r="L34" s="123">
        <f t="shared" ca="1" si="6"/>
        <v>0</v>
      </c>
      <c r="M34" s="123">
        <f t="shared" ca="1" si="6"/>
        <v>0</v>
      </c>
      <c r="N34" s="123">
        <f t="shared" ca="1" si="6"/>
        <v>0</v>
      </c>
      <c r="O34" s="123">
        <f t="shared" ca="1" si="6"/>
        <v>0</v>
      </c>
      <c r="P34" s="123">
        <f t="shared" ca="1" si="6"/>
        <v>-10841.383332548414</v>
      </c>
      <c r="Q34" s="123">
        <f t="shared" ca="1" si="6"/>
        <v>-57867.520462983455</v>
      </c>
      <c r="R34" s="123">
        <f t="shared" ca="1" si="7"/>
        <v>0</v>
      </c>
      <c r="S34" s="123">
        <f t="shared" ca="1" si="7"/>
        <v>0</v>
      </c>
      <c r="T34" s="123">
        <f t="shared" ca="1" si="7"/>
        <v>243264</v>
      </c>
      <c r="U34" s="123">
        <f t="shared" ca="1" si="7"/>
        <v>0</v>
      </c>
      <c r="V34" s="123">
        <f t="shared" ca="1" si="7"/>
        <v>0</v>
      </c>
      <c r="W34" s="123">
        <f t="shared" ca="1" si="7"/>
        <v>0</v>
      </c>
      <c r="X34" s="123">
        <f t="shared" ca="1" si="7"/>
        <v>0</v>
      </c>
      <c r="Y34" s="123" t="e">
        <f t="shared" ca="1" si="8"/>
        <v>#REF!</v>
      </c>
      <c r="Z34" s="123" t="e">
        <f t="shared" ca="1" si="8"/>
        <v>#REF!</v>
      </c>
      <c r="AA34" s="123" t="e">
        <f t="shared" ca="1" si="8"/>
        <v>#REF!</v>
      </c>
      <c r="AB34" s="123" t="e">
        <f t="shared" ca="1" si="8"/>
        <v>#REF!</v>
      </c>
      <c r="AC34" s="123" t="e">
        <f t="shared" ca="1" si="8"/>
        <v>#REF!</v>
      </c>
      <c r="AD34" s="123" t="e">
        <f t="shared" ca="1" si="8"/>
        <v>#REF!</v>
      </c>
      <c r="AE34" s="123" t="e">
        <f t="shared" ca="1" si="8"/>
        <v>#REF!</v>
      </c>
      <c r="AF34" s="123" t="e">
        <f t="shared" ca="1" si="8"/>
        <v>#REF!</v>
      </c>
      <c r="AG34" s="312"/>
    </row>
    <row r="35" spans="1:33">
      <c r="A35">
        <f t="shared" si="3"/>
        <v>2040</v>
      </c>
      <c r="B35" s="123">
        <f t="shared" ca="1" si="6"/>
        <v>0</v>
      </c>
      <c r="C35" s="123">
        <f t="shared" ca="1" si="6"/>
        <v>0</v>
      </c>
      <c r="D35" s="123">
        <f t="shared" ca="1" si="6"/>
        <v>0</v>
      </c>
      <c r="E35" s="123">
        <f t="shared" ca="1" si="6"/>
        <v>-16030.295999999998</v>
      </c>
      <c r="F35" s="123">
        <f t="shared" ca="1" si="6"/>
        <v>-6925.0080000000007</v>
      </c>
      <c r="G35" s="123">
        <f t="shared" ca="1" si="6"/>
        <v>-16973.327999999998</v>
      </c>
      <c r="H35" s="123">
        <f t="shared" ca="1" si="6"/>
        <v>0</v>
      </c>
      <c r="I35" s="123">
        <f t="shared" ca="1" si="6"/>
        <v>0</v>
      </c>
      <c r="J35" s="123">
        <f t="shared" ca="1" si="6"/>
        <v>0</v>
      </c>
      <c r="K35" s="123">
        <f t="shared" ca="1" si="6"/>
        <v>0</v>
      </c>
      <c r="L35" s="123">
        <f t="shared" ca="1" si="6"/>
        <v>0</v>
      </c>
      <c r="M35" s="123">
        <f t="shared" ca="1" si="6"/>
        <v>0</v>
      </c>
      <c r="N35" s="123">
        <f t="shared" ca="1" si="6"/>
        <v>0</v>
      </c>
      <c r="O35" s="123">
        <f t="shared" ca="1" si="6"/>
        <v>0</v>
      </c>
      <c r="P35" s="123">
        <f t="shared" ca="1" si="6"/>
        <v>-11159.592741725441</v>
      </c>
      <c r="Q35" s="123">
        <f t="shared" ca="1" si="6"/>
        <v>-59796.437811749551</v>
      </c>
      <c r="R35" s="123">
        <f t="shared" ca="1" si="7"/>
        <v>0</v>
      </c>
      <c r="S35" s="123">
        <f t="shared" ca="1" si="7"/>
        <v>0</v>
      </c>
      <c r="T35" s="123">
        <f t="shared" ca="1" si="7"/>
        <v>243264</v>
      </c>
      <c r="U35" s="123">
        <f t="shared" ca="1" si="7"/>
        <v>0</v>
      </c>
      <c r="V35" s="123">
        <f t="shared" ca="1" si="7"/>
        <v>0</v>
      </c>
      <c r="W35" s="123">
        <f t="shared" ca="1" si="7"/>
        <v>0</v>
      </c>
      <c r="X35" s="123">
        <f t="shared" ca="1" si="7"/>
        <v>0</v>
      </c>
      <c r="Y35" s="123" t="e">
        <f t="shared" ca="1" si="8"/>
        <v>#REF!</v>
      </c>
      <c r="Z35" s="123" t="e">
        <f t="shared" ca="1" si="8"/>
        <v>#REF!</v>
      </c>
      <c r="AA35" s="123" t="e">
        <f t="shared" ca="1" si="8"/>
        <v>#REF!</v>
      </c>
      <c r="AB35" s="123" t="e">
        <f t="shared" ca="1" si="8"/>
        <v>#REF!</v>
      </c>
      <c r="AC35" s="123" t="e">
        <f t="shared" ca="1" si="8"/>
        <v>#REF!</v>
      </c>
      <c r="AD35" s="123" t="e">
        <f t="shared" ca="1" si="8"/>
        <v>#REF!</v>
      </c>
      <c r="AE35" s="123" t="e">
        <f t="shared" ca="1" si="8"/>
        <v>#REF!</v>
      </c>
      <c r="AF35" s="123" t="e">
        <f t="shared" ca="1" si="8"/>
        <v>#REF!</v>
      </c>
      <c r="AG35" s="312"/>
    </row>
    <row r="36" spans="1:33">
      <c r="A36">
        <f t="shared" si="3"/>
        <v>2041</v>
      </c>
      <c r="B36" s="123">
        <f t="shared" ca="1" si="6"/>
        <v>0</v>
      </c>
      <c r="C36" s="123">
        <f t="shared" ca="1" si="6"/>
        <v>0</v>
      </c>
      <c r="D36" s="123">
        <f t="shared" ca="1" si="6"/>
        <v>0</v>
      </c>
      <c r="E36" s="123">
        <f t="shared" ca="1" si="6"/>
        <v>-16030.295999999998</v>
      </c>
      <c r="F36" s="123">
        <f t="shared" ca="1" si="6"/>
        <v>-6925.0080000000007</v>
      </c>
      <c r="G36" s="123">
        <f t="shared" ca="1" si="6"/>
        <v>-16973.327999999998</v>
      </c>
      <c r="H36" s="123">
        <f t="shared" ca="1" si="6"/>
        <v>0</v>
      </c>
      <c r="I36" s="123">
        <f t="shared" ca="1" si="6"/>
        <v>0</v>
      </c>
      <c r="J36" s="123">
        <f t="shared" ca="1" si="6"/>
        <v>0</v>
      </c>
      <c r="K36" s="123">
        <f t="shared" ca="1" si="6"/>
        <v>0</v>
      </c>
      <c r="L36" s="123">
        <f t="shared" ca="1" si="6"/>
        <v>0</v>
      </c>
      <c r="M36" s="123">
        <f t="shared" ca="1" si="6"/>
        <v>0</v>
      </c>
      <c r="N36" s="123">
        <f t="shared" ca="1" si="6"/>
        <v>0</v>
      </c>
      <c r="O36" s="123">
        <f t="shared" ca="1" si="6"/>
        <v>0</v>
      </c>
      <c r="P36" s="123">
        <f t="shared" ca="1" si="6"/>
        <v>-11478.513247781599</v>
      </c>
      <c r="Q36" s="123">
        <f t="shared" ca="1" si="6"/>
        <v>-61725.355160515675</v>
      </c>
      <c r="R36" s="123">
        <f t="shared" ca="1" si="7"/>
        <v>0</v>
      </c>
      <c r="S36" s="123">
        <f t="shared" ca="1" si="7"/>
        <v>0</v>
      </c>
      <c r="T36" s="123">
        <f t="shared" ca="1" si="7"/>
        <v>243264</v>
      </c>
      <c r="U36" s="123">
        <f t="shared" ca="1" si="7"/>
        <v>0</v>
      </c>
      <c r="V36" s="123">
        <f t="shared" ca="1" si="7"/>
        <v>0</v>
      </c>
      <c r="W36" s="123">
        <f t="shared" ca="1" si="7"/>
        <v>0</v>
      </c>
      <c r="X36" s="123">
        <f t="shared" ca="1" si="7"/>
        <v>0</v>
      </c>
      <c r="Y36" s="123" t="e">
        <f t="shared" ca="1" si="8"/>
        <v>#REF!</v>
      </c>
      <c r="Z36" s="123" t="e">
        <f t="shared" ca="1" si="8"/>
        <v>#REF!</v>
      </c>
      <c r="AA36" s="123" t="e">
        <f t="shared" ca="1" si="8"/>
        <v>#REF!</v>
      </c>
      <c r="AB36" s="123" t="e">
        <f t="shared" ca="1" si="8"/>
        <v>#REF!</v>
      </c>
      <c r="AC36" s="123" t="e">
        <f t="shared" ca="1" si="8"/>
        <v>#REF!</v>
      </c>
      <c r="AD36" s="123" t="e">
        <f t="shared" ca="1" si="8"/>
        <v>#REF!</v>
      </c>
      <c r="AE36" s="123" t="e">
        <f t="shared" ca="1" si="8"/>
        <v>#REF!</v>
      </c>
      <c r="AF36" s="123" t="e">
        <f t="shared" ca="1" si="8"/>
        <v>#REF!</v>
      </c>
      <c r="AG36" s="312"/>
    </row>
    <row r="37" spans="1:33">
      <c r="A37">
        <f t="shared" si="3"/>
        <v>2042</v>
      </c>
      <c r="B37" s="123">
        <f t="shared" ca="1" si="6"/>
        <v>0</v>
      </c>
      <c r="C37" s="123">
        <f t="shared" ca="1" si="6"/>
        <v>0</v>
      </c>
      <c r="D37" s="123">
        <f t="shared" ca="1" si="6"/>
        <v>0</v>
      </c>
      <c r="E37" s="123">
        <f t="shared" ca="1" si="6"/>
        <v>-16030.295999999998</v>
      </c>
      <c r="F37" s="123">
        <f t="shared" ca="1" si="6"/>
        <v>-6925.0080000000007</v>
      </c>
      <c r="G37" s="123">
        <f t="shared" ca="1" si="6"/>
        <v>-16973.327999999998</v>
      </c>
      <c r="H37" s="123">
        <f t="shared" ca="1" si="6"/>
        <v>0</v>
      </c>
      <c r="I37" s="123">
        <f t="shared" ca="1" si="6"/>
        <v>0</v>
      </c>
      <c r="J37" s="123">
        <f t="shared" ca="1" si="6"/>
        <v>0</v>
      </c>
      <c r="K37" s="123">
        <f t="shared" ca="1" si="6"/>
        <v>0</v>
      </c>
      <c r="L37" s="123">
        <f t="shared" ca="1" si="6"/>
        <v>0</v>
      </c>
      <c r="M37" s="123">
        <f t="shared" ca="1" si="6"/>
        <v>0</v>
      </c>
      <c r="N37" s="123">
        <f t="shared" ca="1" si="6"/>
        <v>0</v>
      </c>
      <c r="O37" s="123">
        <f t="shared" ca="1" si="6"/>
        <v>0</v>
      </c>
      <c r="P37" s="123">
        <f t="shared" ca="1" si="6"/>
        <v>-11798.126526866039</v>
      </c>
      <c r="Q37" s="123">
        <f t="shared" ca="1" si="6"/>
        <v>-63654.2725092818</v>
      </c>
      <c r="R37" s="123">
        <f t="shared" ca="1" si="7"/>
        <v>0</v>
      </c>
      <c r="S37" s="123">
        <f t="shared" ca="1" si="7"/>
        <v>0</v>
      </c>
      <c r="T37" s="123">
        <f t="shared" ca="1" si="7"/>
        <v>243264</v>
      </c>
      <c r="U37" s="123">
        <f t="shared" ca="1" si="7"/>
        <v>0</v>
      </c>
      <c r="V37" s="123">
        <f t="shared" ca="1" si="7"/>
        <v>0</v>
      </c>
      <c r="W37" s="123">
        <f t="shared" ca="1" si="7"/>
        <v>0</v>
      </c>
      <c r="X37" s="123">
        <f t="shared" ca="1" si="7"/>
        <v>0</v>
      </c>
      <c r="Y37" s="123" t="e">
        <f t="shared" ca="1" si="8"/>
        <v>#REF!</v>
      </c>
      <c r="Z37" s="123" t="e">
        <f t="shared" ca="1" si="8"/>
        <v>#REF!</v>
      </c>
      <c r="AA37" s="123" t="e">
        <f t="shared" ca="1" si="8"/>
        <v>#REF!</v>
      </c>
      <c r="AB37" s="123" t="e">
        <f t="shared" ca="1" si="8"/>
        <v>#REF!</v>
      </c>
      <c r="AC37" s="123" t="e">
        <f t="shared" ca="1" si="8"/>
        <v>#REF!</v>
      </c>
      <c r="AD37" s="123" t="e">
        <f t="shared" ca="1" si="8"/>
        <v>#REF!</v>
      </c>
      <c r="AE37" s="123" t="e">
        <f t="shared" ca="1" si="8"/>
        <v>#REF!</v>
      </c>
      <c r="AF37" s="123" t="e">
        <f t="shared" ca="1" si="8"/>
        <v>#REF!</v>
      </c>
      <c r="AG37" s="312"/>
    </row>
    <row r="38" spans="1:33">
      <c r="A38">
        <f t="shared" si="3"/>
        <v>2043</v>
      </c>
      <c r="B38" s="123">
        <f t="shared" ca="1" si="6"/>
        <v>0</v>
      </c>
      <c r="C38" s="123">
        <f t="shared" ca="1" si="6"/>
        <v>0</v>
      </c>
      <c r="D38" s="123">
        <f t="shared" ca="1" si="6"/>
        <v>0</v>
      </c>
      <c r="E38" s="123">
        <f t="shared" ca="1" si="6"/>
        <v>-16030.295999999998</v>
      </c>
      <c r="F38" s="123">
        <f t="shared" ca="1" si="6"/>
        <v>-6925.0080000000007</v>
      </c>
      <c r="G38" s="123">
        <f t="shared" ca="1" si="6"/>
        <v>-16973.327999999998</v>
      </c>
      <c r="H38" s="123">
        <f t="shared" ca="1" si="6"/>
        <v>0</v>
      </c>
      <c r="I38" s="123">
        <f t="shared" ca="1" si="6"/>
        <v>0</v>
      </c>
      <c r="J38" s="123">
        <f t="shared" ca="1" si="6"/>
        <v>0</v>
      </c>
      <c r="K38" s="123">
        <f t="shared" ca="1" si="6"/>
        <v>0</v>
      </c>
      <c r="L38" s="123">
        <f t="shared" ca="1" si="6"/>
        <v>0</v>
      </c>
      <c r="M38" s="123">
        <f t="shared" ca="1" si="6"/>
        <v>0</v>
      </c>
      <c r="N38" s="123">
        <f t="shared" ca="1" si="6"/>
        <v>0</v>
      </c>
      <c r="O38" s="123">
        <f t="shared" ca="1" si="6"/>
        <v>0</v>
      </c>
      <c r="P38" s="123">
        <f t="shared" ca="1" si="6"/>
        <v>-12118.414879335533</v>
      </c>
      <c r="Q38" s="123">
        <f t="shared" ca="1" si="6"/>
        <v>-65583.189858047903</v>
      </c>
      <c r="R38" s="123">
        <f t="shared" ca="1" si="7"/>
        <v>0</v>
      </c>
      <c r="S38" s="123">
        <f t="shared" ca="1" si="7"/>
        <v>0</v>
      </c>
      <c r="T38" s="123">
        <f t="shared" ca="1" si="7"/>
        <v>243264</v>
      </c>
      <c r="U38" s="123">
        <f t="shared" ca="1" si="7"/>
        <v>0</v>
      </c>
      <c r="V38" s="123">
        <f t="shared" ca="1" si="7"/>
        <v>0</v>
      </c>
      <c r="W38" s="123">
        <f t="shared" ca="1" si="7"/>
        <v>0</v>
      </c>
      <c r="X38" s="123">
        <f t="shared" ca="1" si="7"/>
        <v>0</v>
      </c>
      <c r="Y38" s="123" t="e">
        <f t="shared" ca="1" si="8"/>
        <v>#REF!</v>
      </c>
      <c r="Z38" s="123" t="e">
        <f t="shared" ca="1" si="8"/>
        <v>#REF!</v>
      </c>
      <c r="AA38" s="123" t="e">
        <f t="shared" ca="1" si="8"/>
        <v>#REF!</v>
      </c>
      <c r="AB38" s="123" t="e">
        <f t="shared" ca="1" si="8"/>
        <v>#REF!</v>
      </c>
      <c r="AC38" s="123" t="e">
        <f t="shared" ca="1" si="8"/>
        <v>#REF!</v>
      </c>
      <c r="AD38" s="123" t="e">
        <f t="shared" ca="1" si="8"/>
        <v>#REF!</v>
      </c>
      <c r="AE38" s="123" t="e">
        <f t="shared" ca="1" si="8"/>
        <v>#REF!</v>
      </c>
      <c r="AF38" s="123" t="e">
        <f t="shared" ca="1" si="8"/>
        <v>#REF!</v>
      </c>
      <c r="AG38" s="312"/>
    </row>
    <row r="39" spans="1:33">
      <c r="A39">
        <f t="shared" si="3"/>
        <v>2044</v>
      </c>
      <c r="B39" s="123">
        <f t="shared" ca="1" si="6"/>
        <v>0</v>
      </c>
      <c r="C39" s="123">
        <f t="shared" ca="1" si="6"/>
        <v>0</v>
      </c>
      <c r="D39" s="123">
        <f t="shared" ca="1" si="6"/>
        <v>0</v>
      </c>
      <c r="E39" s="123">
        <f t="shared" ca="1" si="6"/>
        <v>-16030.295999999998</v>
      </c>
      <c r="F39" s="123">
        <f t="shared" ca="1" si="6"/>
        <v>-6925.0080000000007</v>
      </c>
      <c r="G39" s="123">
        <f t="shared" ca="1" si="6"/>
        <v>-16973.327999999998</v>
      </c>
      <c r="H39" s="123">
        <f t="shared" ca="1" si="6"/>
        <v>0</v>
      </c>
      <c r="I39" s="123">
        <f t="shared" ca="1" si="6"/>
        <v>0</v>
      </c>
      <c r="J39" s="123">
        <f t="shared" ca="1" si="6"/>
        <v>0</v>
      </c>
      <c r="K39" s="123">
        <f t="shared" ca="1" si="6"/>
        <v>0</v>
      </c>
      <c r="L39" s="123">
        <f t="shared" ca="1" si="6"/>
        <v>0</v>
      </c>
      <c r="M39" s="123">
        <f t="shared" ca="1" si="6"/>
        <v>0</v>
      </c>
      <c r="N39" s="123">
        <f t="shared" ca="1" si="6"/>
        <v>0</v>
      </c>
      <c r="O39" s="123">
        <f t="shared" ca="1" si="6"/>
        <v>0</v>
      </c>
      <c r="P39" s="123">
        <f t="shared" ca="1" si="6"/>
        <v>-12439.36120339903</v>
      </c>
      <c r="Q39" s="123">
        <f t="shared" ca="1" si="6"/>
        <v>-67512.107206814035</v>
      </c>
      <c r="R39" s="123">
        <f t="shared" ca="1" si="7"/>
        <v>0</v>
      </c>
      <c r="S39" s="123">
        <f t="shared" ca="1" si="7"/>
        <v>0</v>
      </c>
      <c r="T39" s="123">
        <f t="shared" ca="1" si="7"/>
        <v>243264</v>
      </c>
      <c r="U39" s="123">
        <f t="shared" ca="1" si="7"/>
        <v>0</v>
      </c>
      <c r="V39" s="123">
        <f t="shared" ca="1" si="7"/>
        <v>0</v>
      </c>
      <c r="W39" s="123">
        <f t="shared" ca="1" si="7"/>
        <v>0</v>
      </c>
      <c r="X39" s="123">
        <f t="shared" ca="1" si="7"/>
        <v>0</v>
      </c>
      <c r="Y39" s="123" t="e">
        <f t="shared" ca="1" si="8"/>
        <v>#REF!</v>
      </c>
      <c r="Z39" s="123" t="e">
        <f t="shared" ca="1" si="8"/>
        <v>#REF!</v>
      </c>
      <c r="AA39" s="123" t="e">
        <f t="shared" ca="1" si="8"/>
        <v>#REF!</v>
      </c>
      <c r="AB39" s="123" t="e">
        <f t="shared" ca="1" si="8"/>
        <v>#REF!</v>
      </c>
      <c r="AC39" s="123" t="e">
        <f t="shared" ca="1" si="8"/>
        <v>#REF!</v>
      </c>
      <c r="AD39" s="123" t="e">
        <f t="shared" ca="1" si="8"/>
        <v>#REF!</v>
      </c>
      <c r="AE39" s="123" t="e">
        <f t="shared" ca="1" si="8"/>
        <v>#REF!</v>
      </c>
      <c r="AF39" s="123" t="e">
        <f t="shared" ca="1" si="8"/>
        <v>#REF!</v>
      </c>
      <c r="AG39" s="312"/>
    </row>
    <row r="40" spans="1:33">
      <c r="A40">
        <f t="shared" si="3"/>
        <v>2045</v>
      </c>
      <c r="B40" s="123">
        <f t="shared" ca="1" si="6"/>
        <v>0</v>
      </c>
      <c r="C40" s="123">
        <f t="shared" ca="1" si="6"/>
        <v>0</v>
      </c>
      <c r="D40" s="123">
        <f t="shared" ca="1" si="6"/>
        <v>0</v>
      </c>
      <c r="E40" s="123">
        <f t="shared" ca="1" si="6"/>
        <v>-16030.295999999998</v>
      </c>
      <c r="F40" s="123">
        <f t="shared" ca="1" si="6"/>
        <v>-6925.0080000000007</v>
      </c>
      <c r="G40" s="123">
        <f t="shared" ca="1" si="6"/>
        <v>-16973.327999999998</v>
      </c>
      <c r="H40" s="123">
        <f t="shared" ca="1" si="6"/>
        <v>0</v>
      </c>
      <c r="I40" s="123">
        <f t="shared" ca="1" si="6"/>
        <v>0</v>
      </c>
      <c r="J40" s="123">
        <f t="shared" ca="1" si="6"/>
        <v>0</v>
      </c>
      <c r="K40" s="123">
        <f t="shared" ca="1" si="6"/>
        <v>0</v>
      </c>
      <c r="L40" s="123">
        <f t="shared" ca="1" si="6"/>
        <v>0</v>
      </c>
      <c r="M40" s="123">
        <f t="shared" ca="1" si="6"/>
        <v>0</v>
      </c>
      <c r="N40" s="123">
        <f t="shared" ca="1" si="6"/>
        <v>0</v>
      </c>
      <c r="O40" s="123">
        <f t="shared" ca="1" si="6"/>
        <v>0</v>
      </c>
      <c r="P40" s="123">
        <f t="shared" ca="1" si="6"/>
        <v>-12760.948970086587</v>
      </c>
      <c r="Q40" s="123">
        <f t="shared" ca="1" si="6"/>
        <v>-69441.024555580152</v>
      </c>
      <c r="R40" s="123">
        <f t="shared" ca="1" si="7"/>
        <v>0</v>
      </c>
      <c r="S40" s="123">
        <f t="shared" ca="1" si="7"/>
        <v>0</v>
      </c>
      <c r="T40" s="123">
        <f t="shared" ca="1" si="7"/>
        <v>243264</v>
      </c>
      <c r="U40" s="123">
        <f t="shared" ca="1" si="7"/>
        <v>0</v>
      </c>
      <c r="V40" s="123">
        <f t="shared" ca="1" si="7"/>
        <v>0</v>
      </c>
      <c r="W40" s="123">
        <f t="shared" ca="1" si="7"/>
        <v>0</v>
      </c>
      <c r="X40" s="123">
        <f t="shared" ca="1" si="7"/>
        <v>0</v>
      </c>
      <c r="Y40" s="123" t="e">
        <f t="shared" ca="1" si="8"/>
        <v>#REF!</v>
      </c>
      <c r="Z40" s="123" t="e">
        <f t="shared" ca="1" si="8"/>
        <v>#REF!</v>
      </c>
      <c r="AA40" s="123" t="e">
        <f t="shared" ca="1" si="8"/>
        <v>#REF!</v>
      </c>
      <c r="AB40" s="123" t="e">
        <f t="shared" ca="1" si="8"/>
        <v>#REF!</v>
      </c>
      <c r="AC40" s="123" t="e">
        <f t="shared" ca="1" si="8"/>
        <v>#REF!</v>
      </c>
      <c r="AD40" s="123" t="e">
        <f t="shared" ca="1" si="8"/>
        <v>#REF!</v>
      </c>
      <c r="AE40" s="123" t="e">
        <f t="shared" ca="1" si="8"/>
        <v>#REF!</v>
      </c>
      <c r="AF40" s="123" t="e">
        <f t="shared" ca="1" si="8"/>
        <v>#REF!</v>
      </c>
      <c r="AG40" s="312"/>
    </row>
    <row r="41" spans="1:33">
      <c r="A41">
        <f>A40+1</f>
        <v>2046</v>
      </c>
      <c r="B41" s="123">
        <f t="shared" ca="1" si="6"/>
        <v>0</v>
      </c>
      <c r="C41" s="123">
        <f t="shared" ca="1" si="6"/>
        <v>0</v>
      </c>
      <c r="D41" s="123">
        <f t="shared" ca="1" si="6"/>
        <v>0</v>
      </c>
      <c r="E41" s="123">
        <f t="shared" ca="1" si="6"/>
        <v>-16030.295999999998</v>
      </c>
      <c r="F41" s="123">
        <f t="shared" ca="1" si="6"/>
        <v>-6925.0080000000007</v>
      </c>
      <c r="G41" s="123">
        <f t="shared" ca="1" si="6"/>
        <v>-16973.327999999998</v>
      </c>
      <c r="H41" s="123">
        <f t="shared" ca="1" si="6"/>
        <v>0</v>
      </c>
      <c r="I41" s="123">
        <f t="shared" ca="1" si="6"/>
        <v>0</v>
      </c>
      <c r="J41" s="123">
        <f t="shared" ca="1" si="6"/>
        <v>0</v>
      </c>
      <c r="K41" s="123">
        <f t="shared" ca="1" si="6"/>
        <v>0</v>
      </c>
      <c r="L41" s="123">
        <f t="shared" ca="1" si="6"/>
        <v>0</v>
      </c>
      <c r="M41" s="123">
        <f t="shared" ca="1" si="6"/>
        <v>0</v>
      </c>
      <c r="N41" s="123">
        <f t="shared" ca="1" si="6"/>
        <v>0</v>
      </c>
      <c r="O41" s="123">
        <f t="shared" ca="1" si="6"/>
        <v>0</v>
      </c>
      <c r="P41" s="123">
        <f t="shared" ca="1" si="6"/>
        <v>-13083.162199465314</v>
      </c>
      <c r="Q41" s="123">
        <f t="shared" ca="1" si="6"/>
        <v>-71369.941904346255</v>
      </c>
      <c r="R41" s="123">
        <f t="shared" ca="1" si="7"/>
        <v>0</v>
      </c>
      <c r="S41" s="123">
        <f t="shared" ca="1" si="7"/>
        <v>0</v>
      </c>
      <c r="T41" s="123">
        <f t="shared" ca="1" si="7"/>
        <v>243264</v>
      </c>
      <c r="U41" s="123">
        <f t="shared" ca="1" si="7"/>
        <v>0</v>
      </c>
      <c r="V41" s="123">
        <f t="shared" ca="1" si="7"/>
        <v>0</v>
      </c>
      <c r="W41" s="123">
        <f t="shared" ca="1" si="7"/>
        <v>0</v>
      </c>
      <c r="X41" s="123">
        <f t="shared" ca="1" si="7"/>
        <v>0</v>
      </c>
      <c r="Y41" s="123" t="e">
        <f t="shared" ca="1" si="8"/>
        <v>#REF!</v>
      </c>
      <c r="Z41" s="123" t="e">
        <f t="shared" ca="1" si="8"/>
        <v>#REF!</v>
      </c>
      <c r="AA41" s="123" t="e">
        <f t="shared" ca="1" si="8"/>
        <v>#REF!</v>
      </c>
      <c r="AB41" s="123" t="e">
        <f t="shared" ca="1" si="8"/>
        <v>#REF!</v>
      </c>
      <c r="AC41" s="123" t="e">
        <f t="shared" ca="1" si="8"/>
        <v>#REF!</v>
      </c>
      <c r="AD41" s="123" t="e">
        <f t="shared" ca="1" si="8"/>
        <v>#REF!</v>
      </c>
      <c r="AE41" s="123" t="e">
        <f t="shared" ca="1" si="8"/>
        <v>#REF!</v>
      </c>
      <c r="AF41" s="123" t="e">
        <f t="shared" ca="1" si="8"/>
        <v>#REF!</v>
      </c>
      <c r="AG41" s="312"/>
    </row>
    <row r="42" spans="1:33">
      <c r="A42">
        <f t="shared" si="3"/>
        <v>2047</v>
      </c>
      <c r="B42" s="123">
        <f t="shared" ca="1" si="6"/>
        <v>0</v>
      </c>
      <c r="C42" s="123">
        <f t="shared" ca="1" si="6"/>
        <v>0</v>
      </c>
      <c r="D42" s="123">
        <f t="shared" ca="1" si="6"/>
        <v>0</v>
      </c>
      <c r="E42" s="123">
        <f t="shared" ca="1" si="6"/>
        <v>-16030.295999999998</v>
      </c>
      <c r="F42" s="123">
        <f t="shared" ca="1" si="6"/>
        <v>-6925.0080000000007</v>
      </c>
      <c r="G42" s="123">
        <f t="shared" ca="1" si="6"/>
        <v>-16973.327999999998</v>
      </c>
      <c r="H42" s="123">
        <f t="shared" ca="1" si="6"/>
        <v>0</v>
      </c>
      <c r="I42" s="123">
        <f t="shared" ca="1" si="6"/>
        <v>0</v>
      </c>
      <c r="J42" s="123">
        <f t="shared" ca="1" si="6"/>
        <v>0</v>
      </c>
      <c r="K42" s="123">
        <f t="shared" ca="1" si="6"/>
        <v>0</v>
      </c>
      <c r="L42" s="123">
        <f t="shared" ca="1" si="6"/>
        <v>0</v>
      </c>
      <c r="M42" s="123">
        <f t="shared" ca="1" si="6"/>
        <v>0</v>
      </c>
      <c r="N42" s="123">
        <f t="shared" ca="1" si="6"/>
        <v>0</v>
      </c>
      <c r="O42" s="123">
        <f t="shared" ca="1" si="6"/>
        <v>0</v>
      </c>
      <c r="P42" s="123">
        <f t="shared" ca="1" si="6"/>
        <v>-13405.985438030639</v>
      </c>
      <c r="Q42" s="123">
        <f t="shared" ca="1" si="6"/>
        <v>-73298.859253112358</v>
      </c>
      <c r="R42" s="123">
        <f t="shared" ca="1" si="7"/>
        <v>0</v>
      </c>
      <c r="S42" s="123">
        <f t="shared" ca="1" si="7"/>
        <v>0</v>
      </c>
      <c r="T42" s="123">
        <f t="shared" ca="1" si="7"/>
        <v>243264</v>
      </c>
      <c r="U42" s="123">
        <f t="shared" ca="1" si="7"/>
        <v>0</v>
      </c>
      <c r="V42" s="123">
        <f t="shared" ca="1" si="7"/>
        <v>0</v>
      </c>
      <c r="W42" s="123">
        <f t="shared" ca="1" si="7"/>
        <v>0</v>
      </c>
      <c r="X42" s="123">
        <f t="shared" ca="1" si="7"/>
        <v>0</v>
      </c>
      <c r="Y42" s="123" t="e">
        <f t="shared" ca="1" si="8"/>
        <v>#REF!</v>
      </c>
      <c r="Z42" s="123" t="e">
        <f t="shared" ca="1" si="8"/>
        <v>#REF!</v>
      </c>
      <c r="AA42" s="123" t="e">
        <f t="shared" ca="1" si="8"/>
        <v>#REF!</v>
      </c>
      <c r="AB42" s="123" t="e">
        <f t="shared" ca="1" si="8"/>
        <v>#REF!</v>
      </c>
      <c r="AC42" s="123" t="e">
        <f t="shared" ca="1" si="8"/>
        <v>#REF!</v>
      </c>
      <c r="AD42" s="123" t="e">
        <f t="shared" ca="1" si="8"/>
        <v>#REF!</v>
      </c>
      <c r="AE42" s="123" t="e">
        <f t="shared" ca="1" si="8"/>
        <v>#REF!</v>
      </c>
      <c r="AF42" s="123" t="e">
        <f t="shared" ca="1" si="8"/>
        <v>#REF!</v>
      </c>
      <c r="AG42" s="312"/>
    </row>
    <row r="43" spans="1:33">
      <c r="A43">
        <f t="shared" si="3"/>
        <v>2048</v>
      </c>
      <c r="B43" s="123">
        <f t="shared" ca="1" si="6"/>
        <v>0</v>
      </c>
      <c r="C43" s="123">
        <f t="shared" ca="1" si="6"/>
        <v>0</v>
      </c>
      <c r="D43" s="123">
        <f t="shared" ca="1" si="6"/>
        <v>0</v>
      </c>
      <c r="E43" s="123">
        <f t="shared" ca="1" si="6"/>
        <v>-16030.295999999998</v>
      </c>
      <c r="F43" s="123">
        <f t="shared" ca="1" si="6"/>
        <v>-6925.0080000000007</v>
      </c>
      <c r="G43" s="123">
        <f t="shared" ca="1" si="6"/>
        <v>-16973.327999999998</v>
      </c>
      <c r="H43" s="123">
        <f t="shared" ca="1" si="6"/>
        <v>0</v>
      </c>
      <c r="I43" s="123">
        <f t="shared" ca="1" si="6"/>
        <v>0</v>
      </c>
      <c r="J43" s="123">
        <f t="shared" ca="1" si="6"/>
        <v>0</v>
      </c>
      <c r="K43" s="123">
        <f t="shared" ca="1" si="6"/>
        <v>0</v>
      </c>
      <c r="L43" s="123">
        <f t="shared" ca="1" si="6"/>
        <v>0</v>
      </c>
      <c r="M43" s="123">
        <f t="shared" ca="1" si="6"/>
        <v>0</v>
      </c>
      <c r="N43" s="123">
        <f t="shared" ca="1" si="6"/>
        <v>0</v>
      </c>
      <c r="O43" s="123">
        <f t="shared" ca="1" si="6"/>
        <v>0</v>
      </c>
      <c r="P43" s="123">
        <f t="shared" ca="1" si="6"/>
        <v>-13729.403737205708</v>
      </c>
      <c r="Q43" s="123">
        <f t="shared" ca="1" si="6"/>
        <v>-75227.776601878475</v>
      </c>
      <c r="R43" s="123">
        <f t="shared" ca="1" si="7"/>
        <v>0</v>
      </c>
      <c r="S43" s="123">
        <f t="shared" ca="1" si="7"/>
        <v>0</v>
      </c>
      <c r="T43" s="123">
        <f t="shared" ca="1" si="7"/>
        <v>243264</v>
      </c>
      <c r="U43" s="123">
        <f t="shared" ca="1" si="7"/>
        <v>0</v>
      </c>
      <c r="V43" s="123">
        <f t="shared" ca="1" si="7"/>
        <v>0</v>
      </c>
      <c r="W43" s="123">
        <f t="shared" ca="1" si="7"/>
        <v>0</v>
      </c>
      <c r="X43" s="123">
        <f t="shared" ca="1" si="7"/>
        <v>0</v>
      </c>
      <c r="Y43" s="123" t="e">
        <f t="shared" ca="1" si="8"/>
        <v>#REF!</v>
      </c>
      <c r="Z43" s="123" t="e">
        <f t="shared" ca="1" si="8"/>
        <v>#REF!</v>
      </c>
      <c r="AA43" s="123" t="e">
        <f t="shared" ca="1" si="8"/>
        <v>#REF!</v>
      </c>
      <c r="AB43" s="123" t="e">
        <f t="shared" ca="1" si="8"/>
        <v>#REF!</v>
      </c>
      <c r="AC43" s="123" t="e">
        <f t="shared" ca="1" si="8"/>
        <v>#REF!</v>
      </c>
      <c r="AD43" s="123" t="e">
        <f t="shared" ca="1" si="8"/>
        <v>#REF!</v>
      </c>
      <c r="AE43" s="123" t="e">
        <f t="shared" ca="1" si="8"/>
        <v>#REF!</v>
      </c>
      <c r="AF43" s="123" t="e">
        <f t="shared" ca="1" si="8"/>
        <v>#REF!</v>
      </c>
      <c r="AG43" s="312"/>
    </row>
    <row r="44" spans="1:33">
      <c r="A44">
        <f t="shared" si="3"/>
        <v>2049</v>
      </c>
      <c r="B44" s="123">
        <f t="shared" ca="1" si="6"/>
        <v>0</v>
      </c>
      <c r="C44" s="123">
        <f t="shared" ca="1" si="6"/>
        <v>0</v>
      </c>
      <c r="D44" s="123">
        <f t="shared" ca="1" si="6"/>
        <v>0</v>
      </c>
      <c r="E44" s="123">
        <f t="shared" ca="1" si="6"/>
        <v>-16030.295999999998</v>
      </c>
      <c r="F44" s="123">
        <f t="shared" ca="1" si="6"/>
        <v>-6925.0080000000007</v>
      </c>
      <c r="G44" s="123">
        <f t="shared" ca="1" si="6"/>
        <v>-16973.327999999998</v>
      </c>
      <c r="H44" s="123">
        <f t="shared" ca="1" si="6"/>
        <v>0</v>
      </c>
      <c r="I44" s="123">
        <f t="shared" ca="1" si="6"/>
        <v>0</v>
      </c>
      <c r="J44" s="123">
        <f t="shared" ca="1" si="6"/>
        <v>0</v>
      </c>
      <c r="K44" s="123">
        <f t="shared" ca="1" si="6"/>
        <v>0</v>
      </c>
      <c r="L44" s="123">
        <f t="shared" ca="1" si="6"/>
        <v>0</v>
      </c>
      <c r="M44" s="123">
        <f t="shared" ca="1" si="6"/>
        <v>0</v>
      </c>
      <c r="N44" s="123">
        <f t="shared" ca="1" si="6"/>
        <v>0</v>
      </c>
      <c r="O44" s="123">
        <f t="shared" ca="1" si="6"/>
        <v>0</v>
      </c>
      <c r="P44" s="123">
        <f t="shared" ca="1" si="6"/>
        <v>-14053.402632885935</v>
      </c>
      <c r="Q44" s="123">
        <f t="shared" ca="1" si="6"/>
        <v>-77156.693950644607</v>
      </c>
      <c r="R44" s="123">
        <f t="shared" ca="1" si="7"/>
        <v>0</v>
      </c>
      <c r="S44" s="123">
        <f t="shared" ca="1" si="7"/>
        <v>0</v>
      </c>
      <c r="T44" s="123">
        <f t="shared" ca="1" si="7"/>
        <v>243264</v>
      </c>
      <c r="U44" s="123">
        <f t="shared" ca="1" si="7"/>
        <v>0</v>
      </c>
      <c r="V44" s="123">
        <f t="shared" ca="1" si="7"/>
        <v>0</v>
      </c>
      <c r="W44" s="123">
        <f t="shared" ca="1" si="7"/>
        <v>0</v>
      </c>
      <c r="X44" s="123">
        <f t="shared" ca="1" si="7"/>
        <v>0</v>
      </c>
      <c r="Y44" s="123" t="e">
        <f t="shared" ca="1" si="8"/>
        <v>#REF!</v>
      </c>
      <c r="Z44" s="123" t="e">
        <f t="shared" ca="1" si="8"/>
        <v>#REF!</v>
      </c>
      <c r="AA44" s="123" t="e">
        <f t="shared" ca="1" si="8"/>
        <v>#REF!</v>
      </c>
      <c r="AB44" s="123" t="e">
        <f t="shared" ca="1" si="8"/>
        <v>#REF!</v>
      </c>
      <c r="AC44" s="123" t="e">
        <f t="shared" ca="1" si="8"/>
        <v>#REF!</v>
      </c>
      <c r="AD44" s="123" t="e">
        <f t="shared" ca="1" si="8"/>
        <v>#REF!</v>
      </c>
      <c r="AE44" s="123" t="e">
        <f t="shared" ca="1" si="8"/>
        <v>#REF!</v>
      </c>
      <c r="AF44" s="123" t="e">
        <f t="shared" ca="1" si="8"/>
        <v>#REF!</v>
      </c>
      <c r="AG44" s="312"/>
    </row>
    <row r="45" spans="1:33">
      <c r="A45">
        <f t="shared" si="3"/>
        <v>2050</v>
      </c>
      <c r="B45" s="123">
        <f t="shared" ca="1" si="6"/>
        <v>0</v>
      </c>
      <c r="C45" s="123">
        <f t="shared" ca="1" si="6"/>
        <v>0</v>
      </c>
      <c r="D45" s="123">
        <f t="shared" ca="1" si="6"/>
        <v>0</v>
      </c>
      <c r="E45" s="123">
        <f t="shared" ca="1" si="6"/>
        <v>-16030.295999999998</v>
      </c>
      <c r="F45" s="123">
        <f t="shared" ca="1" si="6"/>
        <v>-6925.0080000000007</v>
      </c>
      <c r="G45" s="123">
        <f t="shared" ca="1" si="6"/>
        <v>-16973.327999999998</v>
      </c>
      <c r="H45" s="123">
        <f t="shared" ca="1" si="6"/>
        <v>0</v>
      </c>
      <c r="I45" s="123">
        <f t="shared" ca="1" si="6"/>
        <v>0</v>
      </c>
      <c r="J45" s="123">
        <f t="shared" ca="1" si="6"/>
        <v>0</v>
      </c>
      <c r="K45" s="123">
        <f t="shared" ca="1" si="6"/>
        <v>0</v>
      </c>
      <c r="L45" s="123">
        <f t="shared" ca="1" si="6"/>
        <v>0</v>
      </c>
      <c r="M45" s="123">
        <f t="shared" ca="1" si="6"/>
        <v>0</v>
      </c>
      <c r="N45" s="123">
        <f t="shared" ca="1" si="6"/>
        <v>0</v>
      </c>
      <c r="O45" s="123">
        <f t="shared" ca="1" si="6"/>
        <v>0</v>
      </c>
      <c r="P45" s="123">
        <f t="shared" ca="1" si="6"/>
        <v>-14377.968125970052</v>
      </c>
      <c r="Q45" s="123">
        <f t="shared" ref="Q45:AF45" ca="1" si="9">OFFSET(INDIRECT(Q$3),$A45-$A$5+$C$1,$C$2)-OFFSET(INDIRECT(Q$3),$A45-$A$5+$C$1,$D$2)+OFFSET(INDIRECT(Q$3),$A45-$A$5+$C$1,$E$2)</f>
        <v>-79085.61129941071</v>
      </c>
      <c r="R45" s="123">
        <f t="shared" ca="1" si="9"/>
        <v>0</v>
      </c>
      <c r="S45" s="123">
        <f t="shared" ca="1" si="9"/>
        <v>0</v>
      </c>
      <c r="T45" s="123">
        <f t="shared" ca="1" si="9"/>
        <v>243264</v>
      </c>
      <c r="U45" s="123">
        <f t="shared" ca="1" si="9"/>
        <v>0</v>
      </c>
      <c r="V45" s="123">
        <f t="shared" ca="1" si="9"/>
        <v>0</v>
      </c>
      <c r="W45" s="123">
        <f t="shared" ca="1" si="9"/>
        <v>0</v>
      </c>
      <c r="X45" s="123">
        <f t="shared" ca="1" si="9"/>
        <v>0</v>
      </c>
      <c r="Y45" s="123" t="e">
        <f t="shared" ca="1" si="9"/>
        <v>#REF!</v>
      </c>
      <c r="Z45" s="123" t="e">
        <f t="shared" ca="1" si="9"/>
        <v>#REF!</v>
      </c>
      <c r="AA45" s="123" t="e">
        <f t="shared" ca="1" si="9"/>
        <v>#REF!</v>
      </c>
      <c r="AB45" s="123" t="e">
        <f t="shared" ca="1" si="9"/>
        <v>#REF!</v>
      </c>
      <c r="AC45" s="123" t="e">
        <f t="shared" ca="1" si="9"/>
        <v>#REF!</v>
      </c>
      <c r="AD45" s="123" t="e">
        <f t="shared" ca="1" si="9"/>
        <v>#REF!</v>
      </c>
      <c r="AE45" s="123" t="e">
        <f t="shared" ca="1" si="9"/>
        <v>#REF!</v>
      </c>
      <c r="AF45" s="123" t="e">
        <f t="shared" ca="1" si="9"/>
        <v>#REF!</v>
      </c>
      <c r="AG45" s="3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10"/>
  <dimension ref="A1:CQ36"/>
  <sheetViews>
    <sheetView workbookViewId="0"/>
  </sheetViews>
  <sheetFormatPr defaultRowHeight="15"/>
  <cols>
    <col min="2" max="2" width="13.42578125" customWidth="1"/>
  </cols>
  <sheetData>
    <row r="1" spans="1:95">
      <c r="A1" s="425"/>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row>
    <row r="2" spans="1:95" ht="15.75" thickBot="1">
      <c r="A2" s="425"/>
      <c r="B2" s="426" t="s">
        <v>553</v>
      </c>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612"/>
      <c r="BF2" s="425"/>
      <c r="BG2" s="425"/>
      <c r="BH2" s="612"/>
      <c r="BI2" s="612"/>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row>
    <row r="3" spans="1:95">
      <c r="A3" s="425"/>
      <c r="B3" s="428" t="s">
        <v>457</v>
      </c>
      <c r="C3" s="429" t="s">
        <v>458</v>
      </c>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30"/>
      <c r="BR3" s="430"/>
      <c r="BS3" s="430"/>
      <c r="BT3" s="430"/>
      <c r="BU3" s="430"/>
      <c r="BV3" s="430"/>
      <c r="BW3" s="430"/>
      <c r="BX3" s="430"/>
      <c r="BY3" s="430"/>
      <c r="BZ3" s="430"/>
      <c r="CA3" s="430"/>
      <c r="CB3" s="430"/>
      <c r="CC3" s="430"/>
      <c r="CD3" s="430"/>
      <c r="CE3" s="430"/>
      <c r="CF3" s="430"/>
      <c r="CG3" s="430"/>
      <c r="CH3" s="430"/>
      <c r="CI3" s="430"/>
      <c r="CJ3" s="430"/>
      <c r="CK3" s="430"/>
      <c r="CL3" s="430"/>
      <c r="CM3" s="430"/>
      <c r="CN3" s="430"/>
      <c r="CO3" s="430"/>
      <c r="CP3" s="430"/>
      <c r="CQ3" s="431"/>
    </row>
    <row r="4" spans="1:95">
      <c r="A4" s="425"/>
      <c r="B4" s="432" t="s">
        <v>459</v>
      </c>
      <c r="C4" s="613" t="s">
        <v>33</v>
      </c>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5"/>
    </row>
    <row r="5" spans="1:95" ht="15.75" thickBot="1">
      <c r="A5" s="425"/>
      <c r="B5" s="616" t="s">
        <v>460</v>
      </c>
      <c r="C5" s="617" t="s">
        <v>461</v>
      </c>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c r="AT5" s="618"/>
      <c r="AU5" s="618"/>
      <c r="AV5" s="618"/>
      <c r="AW5" s="618"/>
      <c r="AX5" s="618"/>
      <c r="AY5" s="618"/>
      <c r="AZ5" s="618"/>
      <c r="BA5" s="618"/>
      <c r="BB5" s="618"/>
      <c r="BC5" s="618"/>
      <c r="BD5" s="618"/>
      <c r="BE5" s="618"/>
      <c r="BF5" s="618"/>
      <c r="BG5" s="618"/>
      <c r="BH5" s="618"/>
      <c r="BI5" s="618"/>
      <c r="BJ5" s="618"/>
      <c r="BK5" s="618"/>
      <c r="BL5" s="618"/>
      <c r="BM5" s="618"/>
      <c r="BN5" s="618"/>
      <c r="BO5" s="618"/>
      <c r="BP5" s="618"/>
      <c r="BQ5" s="618"/>
      <c r="BR5" s="618"/>
      <c r="BS5" s="618"/>
      <c r="BT5" s="618"/>
      <c r="BU5" s="618"/>
      <c r="BV5" s="618"/>
      <c r="BW5" s="618"/>
      <c r="BX5" s="618"/>
      <c r="BY5" s="618"/>
      <c r="BZ5" s="618"/>
      <c r="CA5" s="618"/>
      <c r="CB5" s="618"/>
      <c r="CC5" s="618"/>
      <c r="CD5" s="618"/>
      <c r="CE5" s="618"/>
      <c r="CF5" s="618"/>
      <c r="CG5" s="618"/>
      <c r="CH5" s="618"/>
      <c r="CI5" s="618"/>
      <c r="CJ5" s="618"/>
      <c r="CK5" s="618"/>
      <c r="CL5" s="618"/>
      <c r="CM5" s="618"/>
      <c r="CN5" s="618"/>
      <c r="CO5" s="618"/>
      <c r="CP5" s="618"/>
      <c r="CQ5" s="619"/>
    </row>
    <row r="6" spans="1:95" ht="15.75" thickBot="1">
      <c r="A6" s="425"/>
      <c r="B6" s="441"/>
      <c r="C6" s="442" t="s">
        <v>462</v>
      </c>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3"/>
      <c r="AV6" s="443"/>
      <c r="AW6" s="443"/>
      <c r="AX6" s="443"/>
      <c r="AY6" s="443"/>
      <c r="AZ6" s="443"/>
      <c r="BA6" s="445" t="s">
        <v>463</v>
      </c>
      <c r="BB6" s="446"/>
      <c r="BC6" s="446"/>
      <c r="BD6" s="447" t="s">
        <v>464</v>
      </c>
      <c r="BE6" s="448"/>
      <c r="BF6" s="448"/>
      <c r="BG6" s="448"/>
      <c r="BH6" s="448"/>
      <c r="BI6" s="448"/>
      <c r="BJ6" s="448"/>
      <c r="BK6" s="448"/>
      <c r="BL6" s="448"/>
      <c r="BM6" s="448"/>
      <c r="BN6" s="448"/>
      <c r="BO6" s="448"/>
      <c r="BP6" s="448"/>
      <c r="BQ6" s="448"/>
      <c r="BR6" s="448"/>
      <c r="BS6" s="448"/>
      <c r="BT6" s="448"/>
      <c r="BU6" s="448"/>
      <c r="BV6" s="448"/>
      <c r="BW6" s="448"/>
      <c r="BX6" s="620"/>
      <c r="BY6" s="620"/>
      <c r="BZ6" s="620"/>
      <c r="CA6" s="620"/>
      <c r="CB6" s="620"/>
      <c r="CC6" s="620"/>
      <c r="CD6" s="620"/>
      <c r="CE6" s="620"/>
      <c r="CF6" s="620"/>
      <c r="CG6" s="620"/>
      <c r="CH6" s="621"/>
      <c r="CI6" s="450" t="s">
        <v>465</v>
      </c>
      <c r="CJ6" s="451"/>
      <c r="CK6" s="451"/>
      <c r="CL6" s="451"/>
      <c r="CM6" s="452"/>
      <c r="CN6" s="451"/>
      <c r="CO6" s="451"/>
      <c r="CP6" s="451"/>
      <c r="CQ6" s="453"/>
    </row>
    <row r="7" spans="1:95" ht="21.75" thickBot="1">
      <c r="A7" s="425"/>
      <c r="B7" s="454"/>
      <c r="C7" s="455" t="s">
        <v>466</v>
      </c>
      <c r="D7" s="456"/>
      <c r="E7" s="456"/>
      <c r="F7" s="456"/>
      <c r="G7" s="456"/>
      <c r="H7" s="456"/>
      <c r="I7" s="456"/>
      <c r="J7" s="456"/>
      <c r="K7" s="456"/>
      <c r="L7" s="456"/>
      <c r="M7" s="456"/>
      <c r="N7" s="456"/>
      <c r="O7" s="456"/>
      <c r="P7" s="456"/>
      <c r="Q7" s="456"/>
      <c r="R7" s="456"/>
      <c r="S7" s="456"/>
      <c r="T7" s="456"/>
      <c r="U7" s="456"/>
      <c r="V7" s="456"/>
      <c r="W7" s="456"/>
      <c r="X7" s="456"/>
      <c r="Y7" s="456"/>
      <c r="Z7" s="457"/>
      <c r="AA7" s="455" t="s">
        <v>467</v>
      </c>
      <c r="AB7" s="456"/>
      <c r="AC7" s="456"/>
      <c r="AD7" s="456"/>
      <c r="AE7" s="456"/>
      <c r="AF7" s="456"/>
      <c r="AG7" s="456"/>
      <c r="AH7" s="456"/>
      <c r="AI7" s="458"/>
      <c r="AJ7" s="459" t="s">
        <v>39</v>
      </c>
      <c r="AK7" s="455" t="s">
        <v>468</v>
      </c>
      <c r="AL7" s="456"/>
      <c r="AM7" s="456"/>
      <c r="AN7" s="456"/>
      <c r="AO7" s="456"/>
      <c r="AP7" s="457"/>
      <c r="AQ7" s="455" t="s">
        <v>469</v>
      </c>
      <c r="AR7" s="622"/>
      <c r="AS7" s="623"/>
      <c r="AT7" s="456"/>
      <c r="AU7" s="456"/>
      <c r="AV7" s="456"/>
      <c r="AW7" s="456"/>
      <c r="AX7" s="456"/>
      <c r="AY7" s="456"/>
      <c r="AZ7" s="458"/>
      <c r="BA7" s="459" t="s">
        <v>470</v>
      </c>
      <c r="BB7" s="460"/>
      <c r="BC7" s="461"/>
      <c r="BD7" s="462" t="s">
        <v>471</v>
      </c>
      <c r="BE7" s="624"/>
      <c r="BF7" s="624"/>
      <c r="BG7" s="624"/>
      <c r="BH7" s="624"/>
      <c r="BI7" s="624"/>
      <c r="BJ7" s="624"/>
      <c r="BK7" s="625"/>
      <c r="BL7" s="465" t="s">
        <v>472</v>
      </c>
      <c r="BM7" s="466"/>
      <c r="BN7" s="467"/>
      <c r="BO7" s="467"/>
      <c r="BP7" s="467"/>
      <c r="BQ7" s="467"/>
      <c r="BR7" s="468"/>
      <c r="BS7" s="1527" t="s">
        <v>473</v>
      </c>
      <c r="BT7" s="626" t="s">
        <v>474</v>
      </c>
      <c r="BU7" s="627"/>
      <c r="BV7" s="627"/>
      <c r="BW7" s="627"/>
      <c r="BX7" s="628"/>
      <c r="BY7" s="470" t="s">
        <v>475</v>
      </c>
      <c r="BZ7" s="471"/>
      <c r="CA7" s="471"/>
      <c r="CB7" s="471"/>
      <c r="CC7" s="470" t="s">
        <v>476</v>
      </c>
      <c r="CD7" s="471"/>
      <c r="CE7" s="471"/>
      <c r="CF7" s="471"/>
      <c r="CG7" s="472"/>
      <c r="CH7" s="471" t="s">
        <v>477</v>
      </c>
      <c r="CI7" s="473"/>
      <c r="CJ7" s="474"/>
      <c r="CK7" s="474"/>
      <c r="CL7" s="474"/>
      <c r="CM7" s="474"/>
      <c r="CN7" s="474"/>
      <c r="CO7" s="474"/>
      <c r="CP7" s="474"/>
      <c r="CQ7" s="475"/>
    </row>
    <row r="8" spans="1:95" ht="45">
      <c r="A8" s="425"/>
      <c r="B8" s="476" t="s">
        <v>478</v>
      </c>
      <c r="C8" s="477" t="s">
        <v>479</v>
      </c>
      <c r="D8" s="478"/>
      <c r="E8" s="478"/>
      <c r="F8" s="478"/>
      <c r="G8" s="478"/>
      <c r="H8" s="478"/>
      <c r="I8" s="478"/>
      <c r="J8" s="478"/>
      <c r="K8" s="478"/>
      <c r="L8" s="478"/>
      <c r="M8" s="478"/>
      <c r="N8" s="479"/>
      <c r="O8" s="480" t="s">
        <v>480</v>
      </c>
      <c r="P8" s="478"/>
      <c r="Q8" s="478"/>
      <c r="R8" s="478"/>
      <c r="S8" s="478"/>
      <c r="T8" s="478"/>
      <c r="U8" s="478"/>
      <c r="V8" s="478"/>
      <c r="W8" s="478"/>
      <c r="X8" s="478"/>
      <c r="Y8" s="478"/>
      <c r="Z8" s="481"/>
      <c r="AA8" s="477" t="s">
        <v>481</v>
      </c>
      <c r="AB8" s="478"/>
      <c r="AC8" s="478"/>
      <c r="AD8" s="478"/>
      <c r="AE8" s="478"/>
      <c r="AF8" s="478"/>
      <c r="AG8" s="478"/>
      <c r="AH8" s="478"/>
      <c r="AI8" s="482"/>
      <c r="AJ8" s="483" t="s">
        <v>39</v>
      </c>
      <c r="AK8" s="477" t="s">
        <v>468</v>
      </c>
      <c r="AL8" s="478"/>
      <c r="AM8" s="478"/>
      <c r="AN8" s="478"/>
      <c r="AO8" s="478"/>
      <c r="AP8" s="481"/>
      <c r="AQ8" s="629" t="s">
        <v>482</v>
      </c>
      <c r="AR8" s="630"/>
      <c r="AS8" s="630" t="s">
        <v>483</v>
      </c>
      <c r="AT8" s="630"/>
      <c r="AU8" s="630"/>
      <c r="AV8" s="630"/>
      <c r="AW8" s="630"/>
      <c r="AX8" s="630"/>
      <c r="AY8" s="630"/>
      <c r="AZ8" s="631"/>
      <c r="BA8" s="484" t="s">
        <v>103</v>
      </c>
      <c r="BB8" s="485" t="s">
        <v>9</v>
      </c>
      <c r="BC8" s="486" t="s">
        <v>10</v>
      </c>
      <c r="BD8" s="487" t="s">
        <v>484</v>
      </c>
      <c r="BE8" s="488"/>
      <c r="BF8" s="488"/>
      <c r="BG8" s="489"/>
      <c r="BH8" s="490" t="s">
        <v>485</v>
      </c>
      <c r="BI8" s="488"/>
      <c r="BJ8" s="488"/>
      <c r="BK8" s="491"/>
      <c r="BL8" s="487" t="s">
        <v>424</v>
      </c>
      <c r="BM8" s="492"/>
      <c r="BN8" s="488" t="s">
        <v>26</v>
      </c>
      <c r="BO8" s="488"/>
      <c r="BP8" s="488"/>
      <c r="BQ8" s="488"/>
      <c r="BR8" s="489"/>
      <c r="BS8" s="1529">
        <v>0</v>
      </c>
      <c r="BT8" s="632" t="s">
        <v>486</v>
      </c>
      <c r="BU8" s="633"/>
      <c r="BV8" s="633" t="s">
        <v>487</v>
      </c>
      <c r="BW8" s="634"/>
      <c r="BX8" s="635"/>
      <c r="BY8" s="487" t="s">
        <v>488</v>
      </c>
      <c r="BZ8" s="488" t="s">
        <v>489</v>
      </c>
      <c r="CA8" s="488"/>
      <c r="CB8" s="491"/>
      <c r="CC8" s="492" t="s">
        <v>490</v>
      </c>
      <c r="CD8" s="488" t="s">
        <v>490</v>
      </c>
      <c r="CE8" s="488" t="s">
        <v>490</v>
      </c>
      <c r="CF8" s="488" t="s">
        <v>490</v>
      </c>
      <c r="CG8" s="491" t="s">
        <v>491</v>
      </c>
      <c r="CH8" s="636" t="s">
        <v>262</v>
      </c>
      <c r="CI8" s="637" t="s">
        <v>492</v>
      </c>
      <c r="CJ8" s="634"/>
      <c r="CK8" s="634"/>
      <c r="CL8" s="634"/>
      <c r="CM8" s="638"/>
      <c r="CN8" s="639" t="s">
        <v>493</v>
      </c>
      <c r="CO8" s="634"/>
      <c r="CP8" s="634"/>
      <c r="CQ8" s="635"/>
    </row>
    <row r="9" spans="1:95" ht="75.75" thickBot="1">
      <c r="A9" s="425"/>
      <c r="B9" s="454"/>
      <c r="C9" s="640" t="s">
        <v>494</v>
      </c>
      <c r="D9" s="641" t="s">
        <v>495</v>
      </c>
      <c r="E9" s="641" t="s">
        <v>85</v>
      </c>
      <c r="F9" s="641" t="s">
        <v>496</v>
      </c>
      <c r="G9" s="641" t="s">
        <v>497</v>
      </c>
      <c r="H9" s="641" t="s">
        <v>486</v>
      </c>
      <c r="I9" s="641" t="s">
        <v>498</v>
      </c>
      <c r="J9" s="641" t="s">
        <v>499</v>
      </c>
      <c r="K9" s="641" t="s">
        <v>500</v>
      </c>
      <c r="L9" s="641" t="s">
        <v>501</v>
      </c>
      <c r="M9" s="641" t="s">
        <v>502</v>
      </c>
      <c r="N9" s="642" t="s">
        <v>26</v>
      </c>
      <c r="O9" s="643" t="s">
        <v>494</v>
      </c>
      <c r="P9" s="641" t="s">
        <v>495</v>
      </c>
      <c r="Q9" s="641" t="s">
        <v>85</v>
      </c>
      <c r="R9" s="641" t="s">
        <v>496</v>
      </c>
      <c r="S9" s="641" t="s">
        <v>497</v>
      </c>
      <c r="T9" s="641" t="s">
        <v>486</v>
      </c>
      <c r="U9" s="641" t="s">
        <v>498</v>
      </c>
      <c r="V9" s="641" t="s">
        <v>499</v>
      </c>
      <c r="W9" s="641" t="s">
        <v>500</v>
      </c>
      <c r="X9" s="641" t="s">
        <v>501</v>
      </c>
      <c r="Y9" s="641" t="s">
        <v>502</v>
      </c>
      <c r="Z9" s="644" t="s">
        <v>26</v>
      </c>
      <c r="AA9" s="640" t="s">
        <v>504</v>
      </c>
      <c r="AB9" s="641" t="s">
        <v>505</v>
      </c>
      <c r="AC9" s="641" t="s">
        <v>506</v>
      </c>
      <c r="AD9" s="641" t="s">
        <v>507</v>
      </c>
      <c r="AE9" s="641" t="s">
        <v>508</v>
      </c>
      <c r="AF9" s="641" t="s">
        <v>509</v>
      </c>
      <c r="AG9" s="641" t="s">
        <v>510</v>
      </c>
      <c r="AH9" s="641" t="s">
        <v>511</v>
      </c>
      <c r="AI9" s="644" t="s">
        <v>512</v>
      </c>
      <c r="AJ9" s="645" t="s">
        <v>513</v>
      </c>
      <c r="AK9" s="646" t="s">
        <v>514</v>
      </c>
      <c r="AL9" s="647" t="s">
        <v>515</v>
      </c>
      <c r="AM9" s="647" t="s">
        <v>516</v>
      </c>
      <c r="AN9" s="647" t="s">
        <v>517</v>
      </c>
      <c r="AO9" s="647" t="s">
        <v>518</v>
      </c>
      <c r="AP9" s="648" t="s">
        <v>26</v>
      </c>
      <c r="AQ9" s="640" t="s">
        <v>519</v>
      </c>
      <c r="AR9" s="641" t="s">
        <v>520</v>
      </c>
      <c r="AS9" s="641" t="s">
        <v>521</v>
      </c>
      <c r="AT9" s="641" t="s">
        <v>522</v>
      </c>
      <c r="AU9" s="641" t="s">
        <v>523</v>
      </c>
      <c r="AV9" s="641" t="s">
        <v>524</v>
      </c>
      <c r="AW9" s="641" t="s">
        <v>525</v>
      </c>
      <c r="AX9" s="641" t="s">
        <v>526</v>
      </c>
      <c r="AY9" s="641" t="s">
        <v>527</v>
      </c>
      <c r="AZ9" s="644" t="s">
        <v>26</v>
      </c>
      <c r="BA9" s="649"/>
      <c r="BB9" s="650"/>
      <c r="BC9" s="651"/>
      <c r="BD9" s="523" t="s">
        <v>528</v>
      </c>
      <c r="BE9" s="524" t="s">
        <v>529</v>
      </c>
      <c r="BF9" s="524" t="s">
        <v>530</v>
      </c>
      <c r="BG9" s="652" t="s">
        <v>531</v>
      </c>
      <c r="BH9" s="653" t="s">
        <v>528</v>
      </c>
      <c r="BI9" s="524" t="s">
        <v>529</v>
      </c>
      <c r="BJ9" s="524" t="s">
        <v>530</v>
      </c>
      <c r="BK9" s="525" t="s">
        <v>531</v>
      </c>
      <c r="BL9" s="523" t="s">
        <v>532</v>
      </c>
      <c r="BM9" s="654" t="s">
        <v>4</v>
      </c>
      <c r="BN9" s="524" t="s">
        <v>533</v>
      </c>
      <c r="BO9" s="524" t="s">
        <v>534</v>
      </c>
      <c r="BP9" s="524" t="s">
        <v>529</v>
      </c>
      <c r="BQ9" s="524" t="s">
        <v>535</v>
      </c>
      <c r="BR9" s="652" t="s">
        <v>536</v>
      </c>
      <c r="BS9" s="655" t="s">
        <v>537</v>
      </c>
      <c r="BT9" s="520" t="s">
        <v>538</v>
      </c>
      <c r="BU9" s="521" t="s">
        <v>539</v>
      </c>
      <c r="BV9" s="521" t="s">
        <v>540</v>
      </c>
      <c r="BW9" s="524" t="s">
        <v>541</v>
      </c>
      <c r="BX9" s="525" t="s">
        <v>542</v>
      </c>
      <c r="BY9" s="523"/>
      <c r="BZ9" s="524" t="s">
        <v>543</v>
      </c>
      <c r="CA9" s="524" t="s">
        <v>544</v>
      </c>
      <c r="CB9" s="525" t="s">
        <v>545</v>
      </c>
      <c r="CC9" s="526">
        <v>0</v>
      </c>
      <c r="CD9" s="527">
        <v>0.25</v>
      </c>
      <c r="CE9" s="527">
        <v>0.5</v>
      </c>
      <c r="CF9" s="527">
        <v>0.75</v>
      </c>
      <c r="CG9" s="528">
        <v>1</v>
      </c>
      <c r="CH9" s="656" t="s">
        <v>546</v>
      </c>
      <c r="CI9" s="654" t="s">
        <v>547</v>
      </c>
      <c r="CJ9" s="524" t="s">
        <v>548</v>
      </c>
      <c r="CK9" s="524" t="s">
        <v>549</v>
      </c>
      <c r="CL9" s="524" t="s">
        <v>550</v>
      </c>
      <c r="CM9" s="652" t="s">
        <v>26</v>
      </c>
      <c r="CN9" s="653" t="s">
        <v>551</v>
      </c>
      <c r="CO9" s="524" t="s">
        <v>549</v>
      </c>
      <c r="CP9" s="524" t="s">
        <v>550</v>
      </c>
      <c r="CQ9" s="525" t="s">
        <v>26</v>
      </c>
    </row>
    <row r="10" spans="1:95" ht="16.5" thickTop="1" thickBot="1">
      <c r="A10" s="425"/>
      <c r="B10" s="532"/>
      <c r="C10" s="539" t="s">
        <v>554</v>
      </c>
      <c r="D10" s="540" t="s">
        <v>554</v>
      </c>
      <c r="E10" s="540" t="s">
        <v>554</v>
      </c>
      <c r="F10" s="540" t="s">
        <v>554</v>
      </c>
      <c r="G10" s="540" t="s">
        <v>554</v>
      </c>
      <c r="H10" s="540" t="s">
        <v>554</v>
      </c>
      <c r="I10" s="540" t="s">
        <v>554</v>
      </c>
      <c r="J10" s="540" t="s">
        <v>554</v>
      </c>
      <c r="K10" s="540" t="s">
        <v>554</v>
      </c>
      <c r="L10" s="540" t="s">
        <v>554</v>
      </c>
      <c r="M10" s="540" t="s">
        <v>554</v>
      </c>
      <c r="N10" s="657" t="s">
        <v>554</v>
      </c>
      <c r="O10" s="658" t="s">
        <v>554</v>
      </c>
      <c r="P10" s="540" t="s">
        <v>554</v>
      </c>
      <c r="Q10" s="540" t="s">
        <v>554</v>
      </c>
      <c r="R10" s="540" t="s">
        <v>554</v>
      </c>
      <c r="S10" s="540" t="s">
        <v>554</v>
      </c>
      <c r="T10" s="540" t="s">
        <v>554</v>
      </c>
      <c r="U10" s="540" t="s">
        <v>554</v>
      </c>
      <c r="V10" s="540" t="s">
        <v>554</v>
      </c>
      <c r="W10" s="540" t="s">
        <v>554</v>
      </c>
      <c r="X10" s="540" t="s">
        <v>554</v>
      </c>
      <c r="Y10" s="540" t="s">
        <v>554</v>
      </c>
      <c r="Z10" s="659" t="s">
        <v>554</v>
      </c>
      <c r="AA10" s="539" t="s">
        <v>554</v>
      </c>
      <c r="AB10" s="540" t="s">
        <v>554</v>
      </c>
      <c r="AC10" s="540" t="s">
        <v>554</v>
      </c>
      <c r="AD10" s="540" t="s">
        <v>554</v>
      </c>
      <c r="AE10" s="540" t="s">
        <v>554</v>
      </c>
      <c r="AF10" s="540" t="s">
        <v>554</v>
      </c>
      <c r="AG10" s="540" t="s">
        <v>554</v>
      </c>
      <c r="AH10" s="540" t="s">
        <v>554</v>
      </c>
      <c r="AI10" s="659" t="s">
        <v>554</v>
      </c>
      <c r="AJ10" s="660" t="s">
        <v>554</v>
      </c>
      <c r="AK10" s="539" t="s">
        <v>554</v>
      </c>
      <c r="AL10" s="540" t="s">
        <v>554</v>
      </c>
      <c r="AM10" s="540" t="s">
        <v>554</v>
      </c>
      <c r="AN10" s="540" t="s">
        <v>554</v>
      </c>
      <c r="AO10" s="540" t="s">
        <v>554</v>
      </c>
      <c r="AP10" s="541" t="s">
        <v>554</v>
      </c>
      <c r="AQ10" s="539" t="s">
        <v>554</v>
      </c>
      <c r="AR10" s="540" t="s">
        <v>554</v>
      </c>
      <c r="AS10" s="540" t="s">
        <v>554</v>
      </c>
      <c r="AT10" s="540" t="s">
        <v>554</v>
      </c>
      <c r="AU10" s="540" t="s">
        <v>554</v>
      </c>
      <c r="AV10" s="540" t="s">
        <v>554</v>
      </c>
      <c r="AW10" s="540" t="s">
        <v>554</v>
      </c>
      <c r="AX10" s="540" t="s">
        <v>554</v>
      </c>
      <c r="AY10" s="540" t="s">
        <v>554</v>
      </c>
      <c r="AZ10" s="659" t="s">
        <v>554</v>
      </c>
      <c r="BA10" s="542" t="s">
        <v>554</v>
      </c>
      <c r="BB10" s="661" t="s">
        <v>554</v>
      </c>
      <c r="BC10" s="662" t="s">
        <v>554</v>
      </c>
      <c r="BD10" s="552" t="s">
        <v>554</v>
      </c>
      <c r="BE10" s="553" t="s">
        <v>554</v>
      </c>
      <c r="BF10" s="553" t="s">
        <v>554</v>
      </c>
      <c r="BG10" s="663" t="s">
        <v>554</v>
      </c>
      <c r="BH10" s="664" t="s">
        <v>554</v>
      </c>
      <c r="BI10" s="553" t="s">
        <v>554</v>
      </c>
      <c r="BJ10" s="553" t="s">
        <v>554</v>
      </c>
      <c r="BK10" s="554" t="s">
        <v>554</v>
      </c>
      <c r="BL10" s="552" t="s">
        <v>554</v>
      </c>
      <c r="BM10" s="560" t="s">
        <v>554</v>
      </c>
      <c r="BN10" s="553" t="s">
        <v>554</v>
      </c>
      <c r="BO10" s="553" t="s">
        <v>554</v>
      </c>
      <c r="BP10" s="553" t="s">
        <v>554</v>
      </c>
      <c r="BQ10" s="553" t="s">
        <v>554</v>
      </c>
      <c r="BR10" s="663" t="s">
        <v>554</v>
      </c>
      <c r="BS10" s="558" t="s">
        <v>554</v>
      </c>
      <c r="BT10" s="552" t="s">
        <v>554</v>
      </c>
      <c r="BU10" s="553" t="s">
        <v>554</v>
      </c>
      <c r="BV10" s="553" t="s">
        <v>554</v>
      </c>
      <c r="BW10" s="553" t="s">
        <v>554</v>
      </c>
      <c r="BX10" s="554" t="s">
        <v>554</v>
      </c>
      <c r="BY10" s="552" t="s">
        <v>554</v>
      </c>
      <c r="BZ10" s="553" t="s">
        <v>554</v>
      </c>
      <c r="CA10" s="553" t="s">
        <v>554</v>
      </c>
      <c r="CB10" s="554" t="s">
        <v>554</v>
      </c>
      <c r="CC10" s="552" t="s">
        <v>554</v>
      </c>
      <c r="CD10" s="553" t="s">
        <v>554</v>
      </c>
      <c r="CE10" s="553" t="s">
        <v>554</v>
      </c>
      <c r="CF10" s="553" t="s">
        <v>554</v>
      </c>
      <c r="CG10" s="554" t="s">
        <v>554</v>
      </c>
      <c r="CH10" s="558" t="s">
        <v>554</v>
      </c>
      <c r="CI10" s="552" t="s">
        <v>554</v>
      </c>
      <c r="CJ10" s="553" t="s">
        <v>554</v>
      </c>
      <c r="CK10" s="553" t="s">
        <v>554</v>
      </c>
      <c r="CL10" s="553" t="s">
        <v>554</v>
      </c>
      <c r="CM10" s="559" t="s">
        <v>554</v>
      </c>
      <c r="CN10" s="560" t="s">
        <v>554</v>
      </c>
      <c r="CO10" s="553" t="s">
        <v>554</v>
      </c>
      <c r="CP10" s="553" t="s">
        <v>554</v>
      </c>
      <c r="CQ10" s="554" t="s">
        <v>554</v>
      </c>
    </row>
    <row r="11" spans="1:95" ht="16.5" thickTop="1" thickBot="1">
      <c r="A11" s="425"/>
      <c r="B11" s="561">
        <v>1990</v>
      </c>
      <c r="C11" s="604">
        <v>0</v>
      </c>
      <c r="D11" s="578">
        <v>0</v>
      </c>
      <c r="E11" s="578">
        <v>0</v>
      </c>
      <c r="F11" s="578">
        <v>0</v>
      </c>
      <c r="G11" s="578">
        <v>0</v>
      </c>
      <c r="H11" s="578">
        <v>0</v>
      </c>
      <c r="I11" s="578">
        <v>0</v>
      </c>
      <c r="J11" s="578">
        <v>0</v>
      </c>
      <c r="K11" s="578">
        <v>0</v>
      </c>
      <c r="L11" s="578">
        <v>0</v>
      </c>
      <c r="M11" s="578">
        <v>0</v>
      </c>
      <c r="N11" s="665">
        <v>0</v>
      </c>
      <c r="O11" s="582">
        <v>0</v>
      </c>
      <c r="P11" s="578">
        <v>0</v>
      </c>
      <c r="Q11" s="578">
        <v>0</v>
      </c>
      <c r="R11" s="578">
        <v>0</v>
      </c>
      <c r="S11" s="578">
        <v>0</v>
      </c>
      <c r="T11" s="578">
        <v>0</v>
      </c>
      <c r="U11" s="578">
        <v>0</v>
      </c>
      <c r="V11" s="578">
        <v>0</v>
      </c>
      <c r="W11" s="578">
        <v>0</v>
      </c>
      <c r="X11" s="578">
        <v>0</v>
      </c>
      <c r="Y11" s="578">
        <v>0</v>
      </c>
      <c r="Z11" s="576">
        <v>0</v>
      </c>
      <c r="AA11" s="577">
        <v>0</v>
      </c>
      <c r="AB11" s="578">
        <v>0</v>
      </c>
      <c r="AC11" s="578">
        <v>0</v>
      </c>
      <c r="AD11" s="578">
        <v>0</v>
      </c>
      <c r="AE11" s="578">
        <v>0</v>
      </c>
      <c r="AF11" s="578">
        <v>0</v>
      </c>
      <c r="AG11" s="578">
        <v>0</v>
      </c>
      <c r="AH11" s="578">
        <v>0</v>
      </c>
      <c r="AI11" s="576">
        <v>0</v>
      </c>
      <c r="AJ11" s="583">
        <v>0</v>
      </c>
      <c r="AK11" s="666"/>
      <c r="AL11" s="667"/>
      <c r="AM11" s="667"/>
      <c r="AN11" s="667"/>
      <c r="AO11" s="667"/>
      <c r="AP11" s="668"/>
      <c r="AQ11" s="666"/>
      <c r="AR11" s="667"/>
      <c r="AS11" s="578">
        <v>0</v>
      </c>
      <c r="AT11" s="578">
        <v>0</v>
      </c>
      <c r="AU11" s="578">
        <v>0</v>
      </c>
      <c r="AV11" s="578">
        <v>0</v>
      </c>
      <c r="AW11" s="578">
        <v>0</v>
      </c>
      <c r="AX11" s="578">
        <v>0</v>
      </c>
      <c r="AY11" s="578">
        <v>0</v>
      </c>
      <c r="AZ11" s="576">
        <v>0</v>
      </c>
      <c r="BA11" s="574">
        <v>0</v>
      </c>
      <c r="BB11" s="575">
        <v>0</v>
      </c>
      <c r="BC11" s="576">
        <v>0</v>
      </c>
      <c r="BD11" s="577">
        <v>0</v>
      </c>
      <c r="BE11" s="578">
        <v>0</v>
      </c>
      <c r="BF11" s="578">
        <v>0</v>
      </c>
      <c r="BG11" s="579">
        <v>0</v>
      </c>
      <c r="BH11" s="580">
        <v>0</v>
      </c>
      <c r="BI11" s="578">
        <v>0</v>
      </c>
      <c r="BJ11" s="578">
        <v>0</v>
      </c>
      <c r="BK11" s="581">
        <v>0</v>
      </c>
      <c r="BL11" s="577">
        <v>0</v>
      </c>
      <c r="BM11" s="582">
        <v>0</v>
      </c>
      <c r="BN11" s="578">
        <v>0</v>
      </c>
      <c r="BO11" s="578">
        <v>0</v>
      </c>
      <c r="BP11" s="578">
        <v>0</v>
      </c>
      <c r="BQ11" s="578">
        <v>0</v>
      </c>
      <c r="BR11" s="579">
        <v>0</v>
      </c>
      <c r="BS11" s="583">
        <v>0</v>
      </c>
      <c r="BT11" s="669"/>
      <c r="BU11" s="670"/>
      <c r="BV11" s="578">
        <v>0</v>
      </c>
      <c r="BW11" s="578">
        <v>0</v>
      </c>
      <c r="BX11" s="581">
        <v>0</v>
      </c>
      <c r="BY11" s="671">
        <v>0</v>
      </c>
      <c r="BZ11" s="672">
        <v>0</v>
      </c>
      <c r="CA11" s="672">
        <v>0</v>
      </c>
      <c r="CB11" s="673">
        <v>0</v>
      </c>
      <c r="CC11" s="586"/>
      <c r="CD11" s="667"/>
      <c r="CE11" s="667"/>
      <c r="CF11" s="667"/>
      <c r="CG11" s="668"/>
      <c r="CH11" s="590">
        <v>0</v>
      </c>
      <c r="CI11" s="591"/>
      <c r="CJ11" s="584"/>
      <c r="CK11" s="584"/>
      <c r="CL11" s="584"/>
      <c r="CM11" s="674"/>
      <c r="CN11" s="675"/>
      <c r="CO11" s="584"/>
      <c r="CP11" s="584"/>
      <c r="CQ11" s="585"/>
    </row>
    <row r="12" spans="1:95" ht="15.75" thickBot="1">
      <c r="A12" s="425"/>
      <c r="B12" s="561">
        <v>1991</v>
      </c>
      <c r="C12" s="604">
        <v>0</v>
      </c>
      <c r="D12" s="605">
        <v>0</v>
      </c>
      <c r="E12" s="605">
        <v>0</v>
      </c>
      <c r="F12" s="605">
        <v>0</v>
      </c>
      <c r="G12" s="605">
        <v>0</v>
      </c>
      <c r="H12" s="605">
        <v>0</v>
      </c>
      <c r="I12" s="605">
        <v>0</v>
      </c>
      <c r="J12" s="605">
        <v>0</v>
      </c>
      <c r="K12" s="605">
        <v>0</v>
      </c>
      <c r="L12" s="605">
        <v>0</v>
      </c>
      <c r="M12" s="605">
        <v>0</v>
      </c>
      <c r="N12" s="676">
        <v>0</v>
      </c>
      <c r="O12" s="609">
        <v>0</v>
      </c>
      <c r="P12" s="605">
        <v>0</v>
      </c>
      <c r="Q12" s="605">
        <v>0</v>
      </c>
      <c r="R12" s="605">
        <v>0</v>
      </c>
      <c r="S12" s="605">
        <v>0</v>
      </c>
      <c r="T12" s="605">
        <v>0</v>
      </c>
      <c r="U12" s="605">
        <v>0</v>
      </c>
      <c r="V12" s="605">
        <v>0</v>
      </c>
      <c r="W12" s="605">
        <v>0</v>
      </c>
      <c r="X12" s="605">
        <v>0</v>
      </c>
      <c r="Y12" s="605">
        <v>0</v>
      </c>
      <c r="Z12" s="603">
        <v>0</v>
      </c>
      <c r="AA12" s="604">
        <v>0</v>
      </c>
      <c r="AB12" s="605">
        <v>0</v>
      </c>
      <c r="AC12" s="605">
        <v>0</v>
      </c>
      <c r="AD12" s="605">
        <v>0</v>
      </c>
      <c r="AE12" s="605">
        <v>0</v>
      </c>
      <c r="AF12" s="605">
        <v>0</v>
      </c>
      <c r="AG12" s="605">
        <v>0</v>
      </c>
      <c r="AH12" s="605">
        <v>0</v>
      </c>
      <c r="AI12" s="603">
        <v>0</v>
      </c>
      <c r="AJ12" s="610">
        <v>0</v>
      </c>
      <c r="AK12" s="666"/>
      <c r="AL12" s="667"/>
      <c r="AM12" s="667"/>
      <c r="AN12" s="667"/>
      <c r="AO12" s="667"/>
      <c r="AP12" s="668"/>
      <c r="AQ12" s="666"/>
      <c r="AR12" s="667"/>
      <c r="AS12" s="605">
        <v>0</v>
      </c>
      <c r="AT12" s="605">
        <v>0</v>
      </c>
      <c r="AU12" s="605">
        <v>0</v>
      </c>
      <c r="AV12" s="605">
        <v>0</v>
      </c>
      <c r="AW12" s="605">
        <v>0</v>
      </c>
      <c r="AX12" s="605">
        <v>0</v>
      </c>
      <c r="AY12" s="605">
        <v>0</v>
      </c>
      <c r="AZ12" s="603">
        <v>0</v>
      </c>
      <c r="BA12" s="601">
        <v>0</v>
      </c>
      <c r="BB12" s="602">
        <v>0</v>
      </c>
      <c r="BC12" s="603">
        <v>0</v>
      </c>
      <c r="BD12" s="604">
        <v>0</v>
      </c>
      <c r="BE12" s="605">
        <v>0</v>
      </c>
      <c r="BF12" s="605">
        <v>0</v>
      </c>
      <c r="BG12" s="606">
        <v>0</v>
      </c>
      <c r="BH12" s="607">
        <v>0</v>
      </c>
      <c r="BI12" s="605">
        <v>0</v>
      </c>
      <c r="BJ12" s="605">
        <v>0</v>
      </c>
      <c r="BK12" s="608">
        <v>0</v>
      </c>
      <c r="BL12" s="604">
        <v>0</v>
      </c>
      <c r="BM12" s="609">
        <v>0</v>
      </c>
      <c r="BN12" s="605">
        <v>0</v>
      </c>
      <c r="BO12" s="605">
        <v>0</v>
      </c>
      <c r="BP12" s="605">
        <v>0</v>
      </c>
      <c r="BQ12" s="605">
        <v>0</v>
      </c>
      <c r="BR12" s="606">
        <v>0</v>
      </c>
      <c r="BS12" s="610">
        <v>0</v>
      </c>
      <c r="BT12" s="666"/>
      <c r="BU12" s="667"/>
      <c r="BV12" s="605">
        <v>0</v>
      </c>
      <c r="BW12" s="605">
        <v>0</v>
      </c>
      <c r="BX12" s="608">
        <v>0</v>
      </c>
      <c r="BY12" s="677">
        <v>0</v>
      </c>
      <c r="BZ12" s="678">
        <v>0</v>
      </c>
      <c r="CA12" s="678">
        <v>0</v>
      </c>
      <c r="CB12" s="679">
        <v>0</v>
      </c>
      <c r="CC12" s="586"/>
      <c r="CD12" s="667"/>
      <c r="CE12" s="667"/>
      <c r="CF12" s="667"/>
      <c r="CG12" s="668"/>
      <c r="CH12" s="611">
        <v>0</v>
      </c>
      <c r="CI12" s="591"/>
      <c r="CJ12" s="584"/>
      <c r="CK12" s="584"/>
      <c r="CL12" s="584"/>
      <c r="CM12" s="674"/>
      <c r="CN12" s="675"/>
      <c r="CO12" s="584"/>
      <c r="CP12" s="584"/>
      <c r="CQ12" s="585"/>
    </row>
    <row r="13" spans="1:95" ht="15.75" thickBot="1">
      <c r="A13" s="425"/>
      <c r="B13" s="561">
        <v>1992</v>
      </c>
      <c r="C13" s="604">
        <v>0</v>
      </c>
      <c r="D13" s="605">
        <v>0</v>
      </c>
      <c r="E13" s="605">
        <v>0</v>
      </c>
      <c r="F13" s="605">
        <v>0</v>
      </c>
      <c r="G13" s="605">
        <v>0</v>
      </c>
      <c r="H13" s="605">
        <v>0</v>
      </c>
      <c r="I13" s="605">
        <v>0</v>
      </c>
      <c r="J13" s="605">
        <v>0</v>
      </c>
      <c r="K13" s="605">
        <v>0</v>
      </c>
      <c r="L13" s="605">
        <v>0</v>
      </c>
      <c r="M13" s="605">
        <v>0</v>
      </c>
      <c r="N13" s="676">
        <v>0</v>
      </c>
      <c r="O13" s="609">
        <v>0</v>
      </c>
      <c r="P13" s="605">
        <v>0</v>
      </c>
      <c r="Q13" s="605">
        <v>0</v>
      </c>
      <c r="R13" s="605">
        <v>0</v>
      </c>
      <c r="S13" s="605">
        <v>0</v>
      </c>
      <c r="T13" s="605">
        <v>0</v>
      </c>
      <c r="U13" s="605">
        <v>0</v>
      </c>
      <c r="V13" s="605">
        <v>0</v>
      </c>
      <c r="W13" s="605">
        <v>0</v>
      </c>
      <c r="X13" s="605">
        <v>0</v>
      </c>
      <c r="Y13" s="605">
        <v>0</v>
      </c>
      <c r="Z13" s="603">
        <v>0</v>
      </c>
      <c r="AA13" s="604">
        <v>0</v>
      </c>
      <c r="AB13" s="605">
        <v>0</v>
      </c>
      <c r="AC13" s="605">
        <v>0</v>
      </c>
      <c r="AD13" s="605">
        <v>0</v>
      </c>
      <c r="AE13" s="605">
        <v>0</v>
      </c>
      <c r="AF13" s="605">
        <v>0</v>
      </c>
      <c r="AG13" s="605">
        <v>0</v>
      </c>
      <c r="AH13" s="605">
        <v>0</v>
      </c>
      <c r="AI13" s="603">
        <v>0</v>
      </c>
      <c r="AJ13" s="610">
        <v>0</v>
      </c>
      <c r="AK13" s="666"/>
      <c r="AL13" s="667"/>
      <c r="AM13" s="667"/>
      <c r="AN13" s="667"/>
      <c r="AO13" s="667"/>
      <c r="AP13" s="668"/>
      <c r="AQ13" s="666"/>
      <c r="AR13" s="667"/>
      <c r="AS13" s="605">
        <v>0</v>
      </c>
      <c r="AT13" s="605">
        <v>0</v>
      </c>
      <c r="AU13" s="605">
        <v>0</v>
      </c>
      <c r="AV13" s="605">
        <v>0</v>
      </c>
      <c r="AW13" s="605">
        <v>0</v>
      </c>
      <c r="AX13" s="605">
        <v>0</v>
      </c>
      <c r="AY13" s="605">
        <v>0</v>
      </c>
      <c r="AZ13" s="603">
        <v>0</v>
      </c>
      <c r="BA13" s="601">
        <v>0</v>
      </c>
      <c r="BB13" s="602">
        <v>0</v>
      </c>
      <c r="BC13" s="603">
        <v>0</v>
      </c>
      <c r="BD13" s="604">
        <v>0</v>
      </c>
      <c r="BE13" s="605">
        <v>0</v>
      </c>
      <c r="BF13" s="605">
        <v>0</v>
      </c>
      <c r="BG13" s="606">
        <v>0</v>
      </c>
      <c r="BH13" s="607">
        <v>0</v>
      </c>
      <c r="BI13" s="605">
        <v>0</v>
      </c>
      <c r="BJ13" s="605">
        <v>0</v>
      </c>
      <c r="BK13" s="608">
        <v>0</v>
      </c>
      <c r="BL13" s="604">
        <v>0</v>
      </c>
      <c r="BM13" s="609">
        <v>0</v>
      </c>
      <c r="BN13" s="605">
        <v>0</v>
      </c>
      <c r="BO13" s="605">
        <v>0</v>
      </c>
      <c r="BP13" s="605">
        <v>0</v>
      </c>
      <c r="BQ13" s="605">
        <v>0</v>
      </c>
      <c r="BR13" s="606">
        <v>0</v>
      </c>
      <c r="BS13" s="610">
        <v>0</v>
      </c>
      <c r="BT13" s="666"/>
      <c r="BU13" s="667"/>
      <c r="BV13" s="605">
        <v>0</v>
      </c>
      <c r="BW13" s="605">
        <v>0</v>
      </c>
      <c r="BX13" s="608">
        <v>0</v>
      </c>
      <c r="BY13" s="677">
        <v>0</v>
      </c>
      <c r="BZ13" s="678">
        <v>0</v>
      </c>
      <c r="CA13" s="678">
        <v>0</v>
      </c>
      <c r="CB13" s="679">
        <v>0</v>
      </c>
      <c r="CC13" s="586"/>
      <c r="CD13" s="667"/>
      <c r="CE13" s="667"/>
      <c r="CF13" s="667"/>
      <c r="CG13" s="668"/>
      <c r="CH13" s="611">
        <v>0</v>
      </c>
      <c r="CI13" s="591"/>
      <c r="CJ13" s="584"/>
      <c r="CK13" s="584"/>
      <c r="CL13" s="584"/>
      <c r="CM13" s="674"/>
      <c r="CN13" s="675"/>
      <c r="CO13" s="584"/>
      <c r="CP13" s="584"/>
      <c r="CQ13" s="585"/>
    </row>
    <row r="14" spans="1:95" ht="15.75" thickBot="1">
      <c r="A14" s="425"/>
      <c r="B14" s="561">
        <v>1993</v>
      </c>
      <c r="C14" s="604">
        <v>0</v>
      </c>
      <c r="D14" s="605">
        <v>0</v>
      </c>
      <c r="E14" s="605">
        <v>0</v>
      </c>
      <c r="F14" s="605">
        <v>0</v>
      </c>
      <c r="G14" s="605">
        <v>0</v>
      </c>
      <c r="H14" s="605">
        <v>0</v>
      </c>
      <c r="I14" s="605">
        <v>0</v>
      </c>
      <c r="J14" s="605">
        <v>0</v>
      </c>
      <c r="K14" s="605">
        <v>0</v>
      </c>
      <c r="L14" s="605">
        <v>0</v>
      </c>
      <c r="M14" s="605">
        <v>0</v>
      </c>
      <c r="N14" s="676">
        <v>0</v>
      </c>
      <c r="O14" s="609">
        <v>0</v>
      </c>
      <c r="P14" s="605">
        <v>0</v>
      </c>
      <c r="Q14" s="605">
        <v>0</v>
      </c>
      <c r="R14" s="605">
        <v>0</v>
      </c>
      <c r="S14" s="605">
        <v>0</v>
      </c>
      <c r="T14" s="605">
        <v>0</v>
      </c>
      <c r="U14" s="605">
        <v>0</v>
      </c>
      <c r="V14" s="605">
        <v>0</v>
      </c>
      <c r="W14" s="605">
        <v>0</v>
      </c>
      <c r="X14" s="605">
        <v>0</v>
      </c>
      <c r="Y14" s="605">
        <v>0</v>
      </c>
      <c r="Z14" s="603">
        <v>0</v>
      </c>
      <c r="AA14" s="604">
        <v>0</v>
      </c>
      <c r="AB14" s="605">
        <v>0</v>
      </c>
      <c r="AC14" s="605">
        <v>0</v>
      </c>
      <c r="AD14" s="605">
        <v>0</v>
      </c>
      <c r="AE14" s="605">
        <v>0</v>
      </c>
      <c r="AF14" s="605">
        <v>0</v>
      </c>
      <c r="AG14" s="605">
        <v>0</v>
      </c>
      <c r="AH14" s="605">
        <v>0</v>
      </c>
      <c r="AI14" s="603">
        <v>0</v>
      </c>
      <c r="AJ14" s="610">
        <v>0</v>
      </c>
      <c r="AK14" s="666"/>
      <c r="AL14" s="667"/>
      <c r="AM14" s="667"/>
      <c r="AN14" s="667"/>
      <c r="AO14" s="667"/>
      <c r="AP14" s="668"/>
      <c r="AQ14" s="666"/>
      <c r="AR14" s="667"/>
      <c r="AS14" s="605">
        <v>0</v>
      </c>
      <c r="AT14" s="605">
        <v>0</v>
      </c>
      <c r="AU14" s="605">
        <v>0</v>
      </c>
      <c r="AV14" s="605">
        <v>0</v>
      </c>
      <c r="AW14" s="605">
        <v>0</v>
      </c>
      <c r="AX14" s="605">
        <v>0</v>
      </c>
      <c r="AY14" s="605">
        <v>0</v>
      </c>
      <c r="AZ14" s="603">
        <v>0</v>
      </c>
      <c r="BA14" s="601">
        <v>0</v>
      </c>
      <c r="BB14" s="602">
        <v>0</v>
      </c>
      <c r="BC14" s="603">
        <v>0</v>
      </c>
      <c r="BD14" s="604">
        <v>0</v>
      </c>
      <c r="BE14" s="605">
        <v>0</v>
      </c>
      <c r="BF14" s="605">
        <v>0</v>
      </c>
      <c r="BG14" s="606">
        <v>0</v>
      </c>
      <c r="BH14" s="607">
        <v>0</v>
      </c>
      <c r="BI14" s="605">
        <v>0</v>
      </c>
      <c r="BJ14" s="605">
        <v>0</v>
      </c>
      <c r="BK14" s="608">
        <v>0</v>
      </c>
      <c r="BL14" s="604">
        <v>0</v>
      </c>
      <c r="BM14" s="609">
        <v>0</v>
      </c>
      <c r="BN14" s="605">
        <v>0</v>
      </c>
      <c r="BO14" s="605">
        <v>0</v>
      </c>
      <c r="BP14" s="605">
        <v>0</v>
      </c>
      <c r="BQ14" s="605">
        <v>0</v>
      </c>
      <c r="BR14" s="606">
        <v>0</v>
      </c>
      <c r="BS14" s="610">
        <v>0</v>
      </c>
      <c r="BT14" s="666"/>
      <c r="BU14" s="667"/>
      <c r="BV14" s="605">
        <v>0</v>
      </c>
      <c r="BW14" s="605">
        <v>0</v>
      </c>
      <c r="BX14" s="608">
        <v>0</v>
      </c>
      <c r="BY14" s="677">
        <v>0</v>
      </c>
      <c r="BZ14" s="678">
        <v>0</v>
      </c>
      <c r="CA14" s="678">
        <v>0</v>
      </c>
      <c r="CB14" s="679">
        <v>0</v>
      </c>
      <c r="CC14" s="586"/>
      <c r="CD14" s="667"/>
      <c r="CE14" s="667"/>
      <c r="CF14" s="667"/>
      <c r="CG14" s="668"/>
      <c r="CH14" s="611">
        <v>0</v>
      </c>
      <c r="CI14" s="591"/>
      <c r="CJ14" s="584"/>
      <c r="CK14" s="584"/>
      <c r="CL14" s="584"/>
      <c r="CM14" s="674"/>
      <c r="CN14" s="675"/>
      <c r="CO14" s="584"/>
      <c r="CP14" s="584"/>
      <c r="CQ14" s="585"/>
    </row>
    <row r="15" spans="1:95" ht="15.75" thickBot="1">
      <c r="A15" s="425"/>
      <c r="B15" s="561">
        <v>1994</v>
      </c>
      <c r="C15" s="604">
        <v>0</v>
      </c>
      <c r="D15" s="605">
        <v>0</v>
      </c>
      <c r="E15" s="605">
        <v>0</v>
      </c>
      <c r="F15" s="605">
        <v>0</v>
      </c>
      <c r="G15" s="605">
        <v>0</v>
      </c>
      <c r="H15" s="605">
        <v>0</v>
      </c>
      <c r="I15" s="605">
        <v>0</v>
      </c>
      <c r="J15" s="605">
        <v>0</v>
      </c>
      <c r="K15" s="605">
        <v>0</v>
      </c>
      <c r="L15" s="605">
        <v>0</v>
      </c>
      <c r="M15" s="605">
        <v>0</v>
      </c>
      <c r="N15" s="676">
        <v>0</v>
      </c>
      <c r="O15" s="609">
        <v>0</v>
      </c>
      <c r="P15" s="605">
        <v>0</v>
      </c>
      <c r="Q15" s="605">
        <v>0</v>
      </c>
      <c r="R15" s="605">
        <v>0</v>
      </c>
      <c r="S15" s="605">
        <v>0</v>
      </c>
      <c r="T15" s="605">
        <v>0</v>
      </c>
      <c r="U15" s="605">
        <v>0</v>
      </c>
      <c r="V15" s="605">
        <v>0</v>
      </c>
      <c r="W15" s="605">
        <v>0</v>
      </c>
      <c r="X15" s="605">
        <v>0</v>
      </c>
      <c r="Y15" s="605">
        <v>0</v>
      </c>
      <c r="Z15" s="603">
        <v>0</v>
      </c>
      <c r="AA15" s="604">
        <v>0</v>
      </c>
      <c r="AB15" s="605">
        <v>0</v>
      </c>
      <c r="AC15" s="605">
        <v>0</v>
      </c>
      <c r="AD15" s="605">
        <v>0</v>
      </c>
      <c r="AE15" s="605">
        <v>0</v>
      </c>
      <c r="AF15" s="605">
        <v>0</v>
      </c>
      <c r="AG15" s="605">
        <v>0</v>
      </c>
      <c r="AH15" s="605">
        <v>0</v>
      </c>
      <c r="AI15" s="603">
        <v>0</v>
      </c>
      <c r="AJ15" s="610">
        <v>0</v>
      </c>
      <c r="AK15" s="666"/>
      <c r="AL15" s="667"/>
      <c r="AM15" s="667"/>
      <c r="AN15" s="667"/>
      <c r="AO15" s="667"/>
      <c r="AP15" s="668"/>
      <c r="AQ15" s="666"/>
      <c r="AR15" s="667"/>
      <c r="AS15" s="605">
        <v>0</v>
      </c>
      <c r="AT15" s="605">
        <v>0</v>
      </c>
      <c r="AU15" s="605">
        <v>0</v>
      </c>
      <c r="AV15" s="605">
        <v>0</v>
      </c>
      <c r="AW15" s="605">
        <v>0</v>
      </c>
      <c r="AX15" s="605">
        <v>0</v>
      </c>
      <c r="AY15" s="605">
        <v>0</v>
      </c>
      <c r="AZ15" s="603">
        <v>0</v>
      </c>
      <c r="BA15" s="601">
        <v>0</v>
      </c>
      <c r="BB15" s="602">
        <v>0</v>
      </c>
      <c r="BC15" s="603">
        <v>0</v>
      </c>
      <c r="BD15" s="604">
        <v>0</v>
      </c>
      <c r="BE15" s="605">
        <v>0</v>
      </c>
      <c r="BF15" s="605">
        <v>0</v>
      </c>
      <c r="BG15" s="606">
        <v>0</v>
      </c>
      <c r="BH15" s="607">
        <v>0</v>
      </c>
      <c r="BI15" s="605">
        <v>0</v>
      </c>
      <c r="BJ15" s="605">
        <v>0</v>
      </c>
      <c r="BK15" s="608">
        <v>0</v>
      </c>
      <c r="BL15" s="604">
        <v>0</v>
      </c>
      <c r="BM15" s="609">
        <v>0</v>
      </c>
      <c r="BN15" s="605">
        <v>0</v>
      </c>
      <c r="BO15" s="605">
        <v>0</v>
      </c>
      <c r="BP15" s="605">
        <v>0</v>
      </c>
      <c r="BQ15" s="605">
        <v>0</v>
      </c>
      <c r="BR15" s="606">
        <v>0</v>
      </c>
      <c r="BS15" s="610">
        <v>0</v>
      </c>
      <c r="BT15" s="666"/>
      <c r="BU15" s="667"/>
      <c r="BV15" s="605">
        <v>0</v>
      </c>
      <c r="BW15" s="605">
        <v>0</v>
      </c>
      <c r="BX15" s="608">
        <v>0</v>
      </c>
      <c r="BY15" s="677">
        <v>0</v>
      </c>
      <c r="BZ15" s="678">
        <v>0</v>
      </c>
      <c r="CA15" s="678">
        <v>0</v>
      </c>
      <c r="CB15" s="679">
        <v>0</v>
      </c>
      <c r="CC15" s="586"/>
      <c r="CD15" s="667"/>
      <c r="CE15" s="667"/>
      <c r="CF15" s="667"/>
      <c r="CG15" s="668"/>
      <c r="CH15" s="611">
        <v>0</v>
      </c>
      <c r="CI15" s="591"/>
      <c r="CJ15" s="584"/>
      <c r="CK15" s="584"/>
      <c r="CL15" s="584"/>
      <c r="CM15" s="674"/>
      <c r="CN15" s="675"/>
      <c r="CO15" s="584"/>
      <c r="CP15" s="584"/>
      <c r="CQ15" s="585"/>
    </row>
    <row r="16" spans="1:95" ht="15.75" thickBot="1">
      <c r="A16" s="425"/>
      <c r="B16" s="561">
        <v>1995</v>
      </c>
      <c r="C16" s="604">
        <v>0</v>
      </c>
      <c r="D16" s="605">
        <v>0</v>
      </c>
      <c r="E16" s="605">
        <v>0</v>
      </c>
      <c r="F16" s="605">
        <v>0</v>
      </c>
      <c r="G16" s="605">
        <v>0</v>
      </c>
      <c r="H16" s="605">
        <v>0</v>
      </c>
      <c r="I16" s="605">
        <v>0</v>
      </c>
      <c r="J16" s="605">
        <v>0</v>
      </c>
      <c r="K16" s="605">
        <v>0</v>
      </c>
      <c r="L16" s="605">
        <v>0</v>
      </c>
      <c r="M16" s="605">
        <v>0</v>
      </c>
      <c r="N16" s="676">
        <v>0</v>
      </c>
      <c r="O16" s="609">
        <v>0</v>
      </c>
      <c r="P16" s="605">
        <v>0</v>
      </c>
      <c r="Q16" s="605">
        <v>0</v>
      </c>
      <c r="R16" s="605">
        <v>0</v>
      </c>
      <c r="S16" s="605">
        <v>0</v>
      </c>
      <c r="T16" s="605">
        <v>0</v>
      </c>
      <c r="U16" s="605">
        <v>0</v>
      </c>
      <c r="V16" s="605">
        <v>0</v>
      </c>
      <c r="W16" s="605">
        <v>0</v>
      </c>
      <c r="X16" s="605">
        <v>0</v>
      </c>
      <c r="Y16" s="605">
        <v>0</v>
      </c>
      <c r="Z16" s="603">
        <v>0</v>
      </c>
      <c r="AA16" s="604">
        <v>0</v>
      </c>
      <c r="AB16" s="605">
        <v>0</v>
      </c>
      <c r="AC16" s="605">
        <v>0</v>
      </c>
      <c r="AD16" s="605">
        <v>0</v>
      </c>
      <c r="AE16" s="605">
        <v>0</v>
      </c>
      <c r="AF16" s="605">
        <v>0</v>
      </c>
      <c r="AG16" s="605">
        <v>0</v>
      </c>
      <c r="AH16" s="605">
        <v>0</v>
      </c>
      <c r="AI16" s="603">
        <v>0</v>
      </c>
      <c r="AJ16" s="610">
        <v>0</v>
      </c>
      <c r="AK16" s="666"/>
      <c r="AL16" s="667"/>
      <c r="AM16" s="667"/>
      <c r="AN16" s="667"/>
      <c r="AO16" s="667"/>
      <c r="AP16" s="668"/>
      <c r="AQ16" s="666"/>
      <c r="AR16" s="667"/>
      <c r="AS16" s="605">
        <v>0</v>
      </c>
      <c r="AT16" s="605">
        <v>0</v>
      </c>
      <c r="AU16" s="605">
        <v>0</v>
      </c>
      <c r="AV16" s="605">
        <v>0</v>
      </c>
      <c r="AW16" s="605">
        <v>0</v>
      </c>
      <c r="AX16" s="605">
        <v>0</v>
      </c>
      <c r="AY16" s="605">
        <v>0</v>
      </c>
      <c r="AZ16" s="603">
        <v>0</v>
      </c>
      <c r="BA16" s="601">
        <v>0</v>
      </c>
      <c r="BB16" s="602">
        <v>0</v>
      </c>
      <c r="BC16" s="603">
        <v>0</v>
      </c>
      <c r="BD16" s="604">
        <v>0</v>
      </c>
      <c r="BE16" s="605">
        <v>0</v>
      </c>
      <c r="BF16" s="605">
        <v>0</v>
      </c>
      <c r="BG16" s="606">
        <v>0</v>
      </c>
      <c r="BH16" s="607">
        <v>0</v>
      </c>
      <c r="BI16" s="605">
        <v>0</v>
      </c>
      <c r="BJ16" s="605">
        <v>0</v>
      </c>
      <c r="BK16" s="608">
        <v>0</v>
      </c>
      <c r="BL16" s="604">
        <v>0</v>
      </c>
      <c r="BM16" s="609">
        <v>0</v>
      </c>
      <c r="BN16" s="605">
        <v>0</v>
      </c>
      <c r="BO16" s="605">
        <v>0</v>
      </c>
      <c r="BP16" s="605">
        <v>0</v>
      </c>
      <c r="BQ16" s="605">
        <v>0</v>
      </c>
      <c r="BR16" s="606">
        <v>0</v>
      </c>
      <c r="BS16" s="610">
        <v>0</v>
      </c>
      <c r="BT16" s="666"/>
      <c r="BU16" s="667"/>
      <c r="BV16" s="605">
        <v>0</v>
      </c>
      <c r="BW16" s="605">
        <v>0</v>
      </c>
      <c r="BX16" s="608">
        <v>0</v>
      </c>
      <c r="BY16" s="677">
        <v>0</v>
      </c>
      <c r="BZ16" s="678">
        <v>0</v>
      </c>
      <c r="CA16" s="678">
        <v>0</v>
      </c>
      <c r="CB16" s="679">
        <v>0</v>
      </c>
      <c r="CC16" s="586"/>
      <c r="CD16" s="667"/>
      <c r="CE16" s="667"/>
      <c r="CF16" s="667"/>
      <c r="CG16" s="668"/>
      <c r="CH16" s="611">
        <v>0</v>
      </c>
      <c r="CI16" s="591"/>
      <c r="CJ16" s="584"/>
      <c r="CK16" s="584"/>
      <c r="CL16" s="584"/>
      <c r="CM16" s="674"/>
      <c r="CN16" s="675"/>
      <c r="CO16" s="584"/>
      <c r="CP16" s="584"/>
      <c r="CQ16" s="585"/>
    </row>
    <row r="17" spans="1:95" ht="15.75" thickBot="1">
      <c r="A17" s="425"/>
      <c r="B17" s="561">
        <v>1996</v>
      </c>
      <c r="C17" s="604">
        <v>0</v>
      </c>
      <c r="D17" s="605">
        <v>0</v>
      </c>
      <c r="E17" s="605">
        <v>0</v>
      </c>
      <c r="F17" s="605">
        <v>0</v>
      </c>
      <c r="G17" s="605">
        <v>0</v>
      </c>
      <c r="H17" s="605">
        <v>0</v>
      </c>
      <c r="I17" s="605">
        <v>0</v>
      </c>
      <c r="J17" s="605">
        <v>0</v>
      </c>
      <c r="K17" s="605">
        <v>0</v>
      </c>
      <c r="L17" s="605">
        <v>0</v>
      </c>
      <c r="M17" s="605">
        <v>0</v>
      </c>
      <c r="N17" s="676">
        <v>0</v>
      </c>
      <c r="O17" s="609">
        <v>0</v>
      </c>
      <c r="P17" s="605">
        <v>0</v>
      </c>
      <c r="Q17" s="605">
        <v>0</v>
      </c>
      <c r="R17" s="605">
        <v>0</v>
      </c>
      <c r="S17" s="605">
        <v>0</v>
      </c>
      <c r="T17" s="605">
        <v>0</v>
      </c>
      <c r="U17" s="605">
        <v>0</v>
      </c>
      <c r="V17" s="605">
        <v>0</v>
      </c>
      <c r="W17" s="605">
        <v>0</v>
      </c>
      <c r="X17" s="605">
        <v>0</v>
      </c>
      <c r="Y17" s="605">
        <v>0</v>
      </c>
      <c r="Z17" s="603">
        <v>0</v>
      </c>
      <c r="AA17" s="604">
        <v>0</v>
      </c>
      <c r="AB17" s="605">
        <v>0</v>
      </c>
      <c r="AC17" s="605">
        <v>0</v>
      </c>
      <c r="AD17" s="605">
        <v>0</v>
      </c>
      <c r="AE17" s="605">
        <v>0</v>
      </c>
      <c r="AF17" s="605">
        <v>0</v>
      </c>
      <c r="AG17" s="605">
        <v>0</v>
      </c>
      <c r="AH17" s="605">
        <v>0</v>
      </c>
      <c r="AI17" s="603">
        <v>0</v>
      </c>
      <c r="AJ17" s="610">
        <v>0</v>
      </c>
      <c r="AK17" s="666"/>
      <c r="AL17" s="667"/>
      <c r="AM17" s="667"/>
      <c r="AN17" s="667"/>
      <c r="AO17" s="667"/>
      <c r="AP17" s="668"/>
      <c r="AQ17" s="666"/>
      <c r="AR17" s="667"/>
      <c r="AS17" s="605">
        <v>0</v>
      </c>
      <c r="AT17" s="605">
        <v>0</v>
      </c>
      <c r="AU17" s="605">
        <v>0</v>
      </c>
      <c r="AV17" s="605">
        <v>0</v>
      </c>
      <c r="AW17" s="605">
        <v>0</v>
      </c>
      <c r="AX17" s="605">
        <v>0</v>
      </c>
      <c r="AY17" s="605">
        <v>0</v>
      </c>
      <c r="AZ17" s="603">
        <v>0</v>
      </c>
      <c r="BA17" s="601">
        <v>0</v>
      </c>
      <c r="BB17" s="602">
        <v>0</v>
      </c>
      <c r="BC17" s="603">
        <v>0</v>
      </c>
      <c r="BD17" s="604">
        <v>0</v>
      </c>
      <c r="BE17" s="605">
        <v>0</v>
      </c>
      <c r="BF17" s="605">
        <v>0</v>
      </c>
      <c r="BG17" s="606">
        <v>0</v>
      </c>
      <c r="BH17" s="607">
        <v>0</v>
      </c>
      <c r="BI17" s="605">
        <v>0</v>
      </c>
      <c r="BJ17" s="605">
        <v>0</v>
      </c>
      <c r="BK17" s="608">
        <v>0</v>
      </c>
      <c r="BL17" s="604">
        <v>0</v>
      </c>
      <c r="BM17" s="609">
        <v>0</v>
      </c>
      <c r="BN17" s="605">
        <v>0</v>
      </c>
      <c r="BO17" s="605">
        <v>0</v>
      </c>
      <c r="BP17" s="605">
        <v>0</v>
      </c>
      <c r="BQ17" s="605">
        <v>0</v>
      </c>
      <c r="BR17" s="606">
        <v>0</v>
      </c>
      <c r="BS17" s="610">
        <v>0</v>
      </c>
      <c r="BT17" s="666"/>
      <c r="BU17" s="667"/>
      <c r="BV17" s="605">
        <v>0</v>
      </c>
      <c r="BW17" s="605">
        <v>0</v>
      </c>
      <c r="BX17" s="608">
        <v>0</v>
      </c>
      <c r="BY17" s="677">
        <v>0</v>
      </c>
      <c r="BZ17" s="678">
        <v>0</v>
      </c>
      <c r="CA17" s="678">
        <v>0</v>
      </c>
      <c r="CB17" s="679">
        <v>0</v>
      </c>
      <c r="CC17" s="586"/>
      <c r="CD17" s="667"/>
      <c r="CE17" s="667"/>
      <c r="CF17" s="667"/>
      <c r="CG17" s="668"/>
      <c r="CH17" s="611">
        <v>0</v>
      </c>
      <c r="CI17" s="591"/>
      <c r="CJ17" s="584"/>
      <c r="CK17" s="584"/>
      <c r="CL17" s="584"/>
      <c r="CM17" s="674"/>
      <c r="CN17" s="675"/>
      <c r="CO17" s="584"/>
      <c r="CP17" s="584"/>
      <c r="CQ17" s="585"/>
    </row>
    <row r="18" spans="1:95" ht="15.75" thickBot="1">
      <c r="A18" s="425"/>
      <c r="B18" s="561">
        <v>1997</v>
      </c>
      <c r="C18" s="604">
        <v>0</v>
      </c>
      <c r="D18" s="605">
        <v>0</v>
      </c>
      <c r="E18" s="605">
        <v>0</v>
      </c>
      <c r="F18" s="605">
        <v>0</v>
      </c>
      <c r="G18" s="605">
        <v>0</v>
      </c>
      <c r="H18" s="605">
        <v>0</v>
      </c>
      <c r="I18" s="605">
        <v>0</v>
      </c>
      <c r="J18" s="605">
        <v>0</v>
      </c>
      <c r="K18" s="605">
        <v>0</v>
      </c>
      <c r="L18" s="605">
        <v>0</v>
      </c>
      <c r="M18" s="605">
        <v>0</v>
      </c>
      <c r="N18" s="676">
        <v>0</v>
      </c>
      <c r="O18" s="609">
        <v>0</v>
      </c>
      <c r="P18" s="605">
        <v>0</v>
      </c>
      <c r="Q18" s="605">
        <v>0</v>
      </c>
      <c r="R18" s="605">
        <v>0</v>
      </c>
      <c r="S18" s="605">
        <v>0</v>
      </c>
      <c r="T18" s="605">
        <v>0</v>
      </c>
      <c r="U18" s="605">
        <v>0</v>
      </c>
      <c r="V18" s="605">
        <v>0</v>
      </c>
      <c r="W18" s="605">
        <v>0</v>
      </c>
      <c r="X18" s="605">
        <v>0</v>
      </c>
      <c r="Y18" s="605">
        <v>0</v>
      </c>
      <c r="Z18" s="603">
        <v>0</v>
      </c>
      <c r="AA18" s="604">
        <v>0</v>
      </c>
      <c r="AB18" s="605">
        <v>0</v>
      </c>
      <c r="AC18" s="605">
        <v>0</v>
      </c>
      <c r="AD18" s="605">
        <v>0</v>
      </c>
      <c r="AE18" s="605">
        <v>0</v>
      </c>
      <c r="AF18" s="605">
        <v>0</v>
      </c>
      <c r="AG18" s="605">
        <v>0</v>
      </c>
      <c r="AH18" s="605">
        <v>0</v>
      </c>
      <c r="AI18" s="603">
        <v>0</v>
      </c>
      <c r="AJ18" s="610">
        <v>0</v>
      </c>
      <c r="AK18" s="666"/>
      <c r="AL18" s="667"/>
      <c r="AM18" s="667"/>
      <c r="AN18" s="667"/>
      <c r="AO18" s="667"/>
      <c r="AP18" s="668"/>
      <c r="AQ18" s="666"/>
      <c r="AR18" s="667"/>
      <c r="AS18" s="605">
        <v>0</v>
      </c>
      <c r="AT18" s="605">
        <v>0</v>
      </c>
      <c r="AU18" s="605">
        <v>0</v>
      </c>
      <c r="AV18" s="605">
        <v>0</v>
      </c>
      <c r="AW18" s="605">
        <v>0</v>
      </c>
      <c r="AX18" s="605">
        <v>0</v>
      </c>
      <c r="AY18" s="605">
        <v>0</v>
      </c>
      <c r="AZ18" s="603">
        <v>0</v>
      </c>
      <c r="BA18" s="601">
        <v>0</v>
      </c>
      <c r="BB18" s="602">
        <v>0</v>
      </c>
      <c r="BC18" s="603">
        <v>0</v>
      </c>
      <c r="BD18" s="604">
        <v>0</v>
      </c>
      <c r="BE18" s="605">
        <v>0</v>
      </c>
      <c r="BF18" s="605">
        <v>0</v>
      </c>
      <c r="BG18" s="606">
        <v>0</v>
      </c>
      <c r="BH18" s="607">
        <v>0</v>
      </c>
      <c r="BI18" s="605">
        <v>0</v>
      </c>
      <c r="BJ18" s="605">
        <v>0</v>
      </c>
      <c r="BK18" s="608">
        <v>0</v>
      </c>
      <c r="BL18" s="604">
        <v>0</v>
      </c>
      <c r="BM18" s="609">
        <v>0</v>
      </c>
      <c r="BN18" s="605">
        <v>0</v>
      </c>
      <c r="BO18" s="605">
        <v>0</v>
      </c>
      <c r="BP18" s="605">
        <v>0</v>
      </c>
      <c r="BQ18" s="605">
        <v>0</v>
      </c>
      <c r="BR18" s="606">
        <v>0</v>
      </c>
      <c r="BS18" s="610">
        <v>0</v>
      </c>
      <c r="BT18" s="666"/>
      <c r="BU18" s="667"/>
      <c r="BV18" s="605">
        <v>0</v>
      </c>
      <c r="BW18" s="605">
        <v>0</v>
      </c>
      <c r="BX18" s="608">
        <v>0</v>
      </c>
      <c r="BY18" s="677">
        <v>0</v>
      </c>
      <c r="BZ18" s="678">
        <v>0</v>
      </c>
      <c r="CA18" s="678">
        <v>0</v>
      </c>
      <c r="CB18" s="679">
        <v>0</v>
      </c>
      <c r="CC18" s="586"/>
      <c r="CD18" s="667"/>
      <c r="CE18" s="667"/>
      <c r="CF18" s="667"/>
      <c r="CG18" s="668"/>
      <c r="CH18" s="611">
        <v>0</v>
      </c>
      <c r="CI18" s="591"/>
      <c r="CJ18" s="584"/>
      <c r="CK18" s="584"/>
      <c r="CL18" s="584"/>
      <c r="CM18" s="674"/>
      <c r="CN18" s="675"/>
      <c r="CO18" s="584"/>
      <c r="CP18" s="584"/>
      <c r="CQ18" s="585"/>
    </row>
    <row r="19" spans="1:95" ht="15.75" thickBot="1">
      <c r="A19" s="425"/>
      <c r="B19" s="561">
        <v>1998</v>
      </c>
      <c r="C19" s="604">
        <v>0</v>
      </c>
      <c r="D19" s="605">
        <v>0</v>
      </c>
      <c r="E19" s="605">
        <v>0</v>
      </c>
      <c r="F19" s="605">
        <v>0</v>
      </c>
      <c r="G19" s="605">
        <v>0</v>
      </c>
      <c r="H19" s="605">
        <v>0</v>
      </c>
      <c r="I19" s="605">
        <v>0</v>
      </c>
      <c r="J19" s="605">
        <v>0</v>
      </c>
      <c r="K19" s="605">
        <v>0</v>
      </c>
      <c r="L19" s="605">
        <v>0</v>
      </c>
      <c r="M19" s="605">
        <v>0</v>
      </c>
      <c r="N19" s="676">
        <v>0</v>
      </c>
      <c r="O19" s="609">
        <v>0</v>
      </c>
      <c r="P19" s="605">
        <v>0</v>
      </c>
      <c r="Q19" s="605">
        <v>0</v>
      </c>
      <c r="R19" s="605">
        <v>0</v>
      </c>
      <c r="S19" s="605">
        <v>0</v>
      </c>
      <c r="T19" s="605">
        <v>0</v>
      </c>
      <c r="U19" s="605">
        <v>0</v>
      </c>
      <c r="V19" s="605">
        <v>0</v>
      </c>
      <c r="W19" s="605">
        <v>0</v>
      </c>
      <c r="X19" s="605">
        <v>0</v>
      </c>
      <c r="Y19" s="605">
        <v>0</v>
      </c>
      <c r="Z19" s="603">
        <v>0</v>
      </c>
      <c r="AA19" s="604">
        <v>0</v>
      </c>
      <c r="AB19" s="605">
        <v>0</v>
      </c>
      <c r="AC19" s="605">
        <v>0</v>
      </c>
      <c r="AD19" s="605">
        <v>0</v>
      </c>
      <c r="AE19" s="605">
        <v>0</v>
      </c>
      <c r="AF19" s="605">
        <v>0</v>
      </c>
      <c r="AG19" s="605">
        <v>0</v>
      </c>
      <c r="AH19" s="605">
        <v>0</v>
      </c>
      <c r="AI19" s="603">
        <v>0</v>
      </c>
      <c r="AJ19" s="610">
        <v>0</v>
      </c>
      <c r="AK19" s="666"/>
      <c r="AL19" s="667"/>
      <c r="AM19" s="667"/>
      <c r="AN19" s="667"/>
      <c r="AO19" s="667"/>
      <c r="AP19" s="668"/>
      <c r="AQ19" s="666"/>
      <c r="AR19" s="667"/>
      <c r="AS19" s="605">
        <v>0</v>
      </c>
      <c r="AT19" s="605">
        <v>0</v>
      </c>
      <c r="AU19" s="605">
        <v>0</v>
      </c>
      <c r="AV19" s="605">
        <v>0</v>
      </c>
      <c r="AW19" s="605">
        <v>0</v>
      </c>
      <c r="AX19" s="605">
        <v>0</v>
      </c>
      <c r="AY19" s="605">
        <v>0</v>
      </c>
      <c r="AZ19" s="603">
        <v>0</v>
      </c>
      <c r="BA19" s="601">
        <v>0</v>
      </c>
      <c r="BB19" s="602">
        <v>0</v>
      </c>
      <c r="BC19" s="603">
        <v>0</v>
      </c>
      <c r="BD19" s="604">
        <v>0</v>
      </c>
      <c r="BE19" s="605">
        <v>0</v>
      </c>
      <c r="BF19" s="605">
        <v>0</v>
      </c>
      <c r="BG19" s="606">
        <v>0</v>
      </c>
      <c r="BH19" s="607">
        <v>0</v>
      </c>
      <c r="BI19" s="605">
        <v>0</v>
      </c>
      <c r="BJ19" s="605">
        <v>0</v>
      </c>
      <c r="BK19" s="608">
        <v>0</v>
      </c>
      <c r="BL19" s="604">
        <v>0</v>
      </c>
      <c r="BM19" s="609">
        <v>0</v>
      </c>
      <c r="BN19" s="605">
        <v>0</v>
      </c>
      <c r="BO19" s="605">
        <v>0</v>
      </c>
      <c r="BP19" s="605">
        <v>0</v>
      </c>
      <c r="BQ19" s="605">
        <v>0</v>
      </c>
      <c r="BR19" s="606">
        <v>0</v>
      </c>
      <c r="BS19" s="610">
        <v>0</v>
      </c>
      <c r="BT19" s="666"/>
      <c r="BU19" s="667"/>
      <c r="BV19" s="605">
        <v>0</v>
      </c>
      <c r="BW19" s="605">
        <v>0</v>
      </c>
      <c r="BX19" s="608">
        <v>0</v>
      </c>
      <c r="BY19" s="677">
        <v>0</v>
      </c>
      <c r="BZ19" s="678">
        <v>0</v>
      </c>
      <c r="CA19" s="678">
        <v>0</v>
      </c>
      <c r="CB19" s="679">
        <v>0</v>
      </c>
      <c r="CC19" s="586"/>
      <c r="CD19" s="667"/>
      <c r="CE19" s="667"/>
      <c r="CF19" s="667"/>
      <c r="CG19" s="668"/>
      <c r="CH19" s="611">
        <v>0</v>
      </c>
      <c r="CI19" s="591"/>
      <c r="CJ19" s="584"/>
      <c r="CK19" s="584"/>
      <c r="CL19" s="584"/>
      <c r="CM19" s="674"/>
      <c r="CN19" s="675"/>
      <c r="CO19" s="584"/>
      <c r="CP19" s="584"/>
      <c r="CQ19" s="585"/>
    </row>
    <row r="20" spans="1:95" ht="15.75" thickBot="1">
      <c r="A20" s="425"/>
      <c r="B20" s="561">
        <v>1999</v>
      </c>
      <c r="C20" s="604">
        <v>0</v>
      </c>
      <c r="D20" s="605">
        <v>0</v>
      </c>
      <c r="E20" s="605">
        <v>0</v>
      </c>
      <c r="F20" s="605">
        <v>0</v>
      </c>
      <c r="G20" s="605">
        <v>0</v>
      </c>
      <c r="H20" s="605">
        <v>0</v>
      </c>
      <c r="I20" s="605">
        <v>0</v>
      </c>
      <c r="J20" s="605">
        <v>0</v>
      </c>
      <c r="K20" s="605">
        <v>0</v>
      </c>
      <c r="L20" s="605">
        <v>0</v>
      </c>
      <c r="M20" s="605">
        <v>0</v>
      </c>
      <c r="N20" s="676">
        <v>0</v>
      </c>
      <c r="O20" s="609">
        <v>0</v>
      </c>
      <c r="P20" s="605">
        <v>0</v>
      </c>
      <c r="Q20" s="605">
        <v>0</v>
      </c>
      <c r="R20" s="605">
        <v>0</v>
      </c>
      <c r="S20" s="605">
        <v>0</v>
      </c>
      <c r="T20" s="605">
        <v>0</v>
      </c>
      <c r="U20" s="605">
        <v>0</v>
      </c>
      <c r="V20" s="605">
        <v>0</v>
      </c>
      <c r="W20" s="605">
        <v>0</v>
      </c>
      <c r="X20" s="605">
        <v>0</v>
      </c>
      <c r="Y20" s="605">
        <v>0</v>
      </c>
      <c r="Z20" s="603">
        <v>0</v>
      </c>
      <c r="AA20" s="604">
        <v>0</v>
      </c>
      <c r="AB20" s="605">
        <v>0</v>
      </c>
      <c r="AC20" s="605">
        <v>0</v>
      </c>
      <c r="AD20" s="605">
        <v>0</v>
      </c>
      <c r="AE20" s="605">
        <v>0</v>
      </c>
      <c r="AF20" s="605">
        <v>0</v>
      </c>
      <c r="AG20" s="605">
        <v>0</v>
      </c>
      <c r="AH20" s="605">
        <v>0</v>
      </c>
      <c r="AI20" s="603">
        <v>0</v>
      </c>
      <c r="AJ20" s="610">
        <v>0</v>
      </c>
      <c r="AK20" s="666"/>
      <c r="AL20" s="667"/>
      <c r="AM20" s="667"/>
      <c r="AN20" s="667"/>
      <c r="AO20" s="667"/>
      <c r="AP20" s="668"/>
      <c r="AQ20" s="666"/>
      <c r="AR20" s="667"/>
      <c r="AS20" s="605">
        <v>0</v>
      </c>
      <c r="AT20" s="605">
        <v>0</v>
      </c>
      <c r="AU20" s="605">
        <v>0</v>
      </c>
      <c r="AV20" s="605">
        <v>0</v>
      </c>
      <c r="AW20" s="605">
        <v>0</v>
      </c>
      <c r="AX20" s="605">
        <v>0</v>
      </c>
      <c r="AY20" s="605">
        <v>0</v>
      </c>
      <c r="AZ20" s="603">
        <v>0</v>
      </c>
      <c r="BA20" s="601">
        <v>0</v>
      </c>
      <c r="BB20" s="602">
        <v>0</v>
      </c>
      <c r="BC20" s="603">
        <v>0</v>
      </c>
      <c r="BD20" s="604">
        <v>0</v>
      </c>
      <c r="BE20" s="605">
        <v>0</v>
      </c>
      <c r="BF20" s="605">
        <v>0</v>
      </c>
      <c r="BG20" s="606">
        <v>0</v>
      </c>
      <c r="BH20" s="607">
        <v>0</v>
      </c>
      <c r="BI20" s="605">
        <v>0</v>
      </c>
      <c r="BJ20" s="605">
        <v>0</v>
      </c>
      <c r="BK20" s="608">
        <v>0</v>
      </c>
      <c r="BL20" s="604">
        <v>0</v>
      </c>
      <c r="BM20" s="609">
        <v>0</v>
      </c>
      <c r="BN20" s="605">
        <v>0</v>
      </c>
      <c r="BO20" s="605">
        <v>0</v>
      </c>
      <c r="BP20" s="605">
        <v>0</v>
      </c>
      <c r="BQ20" s="605">
        <v>0</v>
      </c>
      <c r="BR20" s="606">
        <v>0</v>
      </c>
      <c r="BS20" s="610">
        <v>0</v>
      </c>
      <c r="BT20" s="666"/>
      <c r="BU20" s="667"/>
      <c r="BV20" s="605">
        <v>0</v>
      </c>
      <c r="BW20" s="605">
        <v>0</v>
      </c>
      <c r="BX20" s="608">
        <v>0</v>
      </c>
      <c r="BY20" s="677">
        <v>0</v>
      </c>
      <c r="BZ20" s="678">
        <v>0</v>
      </c>
      <c r="CA20" s="678">
        <v>0</v>
      </c>
      <c r="CB20" s="679">
        <v>0</v>
      </c>
      <c r="CC20" s="586"/>
      <c r="CD20" s="667"/>
      <c r="CE20" s="667"/>
      <c r="CF20" s="667"/>
      <c r="CG20" s="668"/>
      <c r="CH20" s="611">
        <v>0</v>
      </c>
      <c r="CI20" s="591"/>
      <c r="CJ20" s="584"/>
      <c r="CK20" s="584"/>
      <c r="CL20" s="584"/>
      <c r="CM20" s="674"/>
      <c r="CN20" s="675"/>
      <c r="CO20" s="584"/>
      <c r="CP20" s="584"/>
      <c r="CQ20" s="585"/>
    </row>
    <row r="21" spans="1:95" ht="15.75" thickBot="1">
      <c r="A21" s="425"/>
      <c r="B21" s="561">
        <v>2000</v>
      </c>
      <c r="C21" s="604">
        <v>0</v>
      </c>
      <c r="D21" s="605">
        <v>0</v>
      </c>
      <c r="E21" s="605">
        <v>0</v>
      </c>
      <c r="F21" s="605">
        <v>0</v>
      </c>
      <c r="G21" s="605">
        <v>0</v>
      </c>
      <c r="H21" s="605">
        <v>0</v>
      </c>
      <c r="I21" s="605">
        <v>0</v>
      </c>
      <c r="J21" s="605">
        <v>0</v>
      </c>
      <c r="K21" s="605">
        <v>0</v>
      </c>
      <c r="L21" s="605">
        <v>0</v>
      </c>
      <c r="M21" s="605">
        <v>0</v>
      </c>
      <c r="N21" s="676">
        <v>0</v>
      </c>
      <c r="O21" s="609">
        <v>0</v>
      </c>
      <c r="P21" s="605">
        <v>0</v>
      </c>
      <c r="Q21" s="605">
        <v>0</v>
      </c>
      <c r="R21" s="605">
        <v>0</v>
      </c>
      <c r="S21" s="605">
        <v>0</v>
      </c>
      <c r="T21" s="605">
        <v>0</v>
      </c>
      <c r="U21" s="605">
        <v>0</v>
      </c>
      <c r="V21" s="605">
        <v>0</v>
      </c>
      <c r="W21" s="605">
        <v>0</v>
      </c>
      <c r="X21" s="605">
        <v>0</v>
      </c>
      <c r="Y21" s="605">
        <v>0</v>
      </c>
      <c r="Z21" s="603">
        <v>0</v>
      </c>
      <c r="AA21" s="604">
        <v>0</v>
      </c>
      <c r="AB21" s="605">
        <v>0</v>
      </c>
      <c r="AC21" s="605">
        <v>0</v>
      </c>
      <c r="AD21" s="605">
        <v>0</v>
      </c>
      <c r="AE21" s="605">
        <v>0</v>
      </c>
      <c r="AF21" s="605">
        <v>0</v>
      </c>
      <c r="AG21" s="605">
        <v>0</v>
      </c>
      <c r="AH21" s="605">
        <v>0</v>
      </c>
      <c r="AI21" s="603">
        <v>0</v>
      </c>
      <c r="AJ21" s="610">
        <v>0</v>
      </c>
      <c r="AK21" s="666"/>
      <c r="AL21" s="667"/>
      <c r="AM21" s="667"/>
      <c r="AN21" s="667"/>
      <c r="AO21" s="667"/>
      <c r="AP21" s="668"/>
      <c r="AQ21" s="666"/>
      <c r="AR21" s="667"/>
      <c r="AS21" s="605">
        <v>0</v>
      </c>
      <c r="AT21" s="605">
        <v>0</v>
      </c>
      <c r="AU21" s="605">
        <v>0</v>
      </c>
      <c r="AV21" s="605">
        <v>0</v>
      </c>
      <c r="AW21" s="605">
        <v>0</v>
      </c>
      <c r="AX21" s="605">
        <v>0</v>
      </c>
      <c r="AY21" s="605">
        <v>0</v>
      </c>
      <c r="AZ21" s="603">
        <v>0</v>
      </c>
      <c r="BA21" s="601">
        <v>0</v>
      </c>
      <c r="BB21" s="602">
        <v>0</v>
      </c>
      <c r="BC21" s="603">
        <v>0</v>
      </c>
      <c r="BD21" s="604">
        <v>0</v>
      </c>
      <c r="BE21" s="605">
        <v>0</v>
      </c>
      <c r="BF21" s="605">
        <v>0</v>
      </c>
      <c r="BG21" s="606">
        <v>0</v>
      </c>
      <c r="BH21" s="607">
        <v>0</v>
      </c>
      <c r="BI21" s="605">
        <v>0</v>
      </c>
      <c r="BJ21" s="605">
        <v>0</v>
      </c>
      <c r="BK21" s="608">
        <v>0</v>
      </c>
      <c r="BL21" s="604">
        <v>0</v>
      </c>
      <c r="BM21" s="609">
        <v>0</v>
      </c>
      <c r="BN21" s="605">
        <v>0</v>
      </c>
      <c r="BO21" s="605">
        <v>0</v>
      </c>
      <c r="BP21" s="605">
        <v>0</v>
      </c>
      <c r="BQ21" s="605">
        <v>0</v>
      </c>
      <c r="BR21" s="606">
        <v>0</v>
      </c>
      <c r="BS21" s="610">
        <v>0</v>
      </c>
      <c r="BT21" s="666"/>
      <c r="BU21" s="667"/>
      <c r="BV21" s="605">
        <v>0</v>
      </c>
      <c r="BW21" s="605">
        <v>0</v>
      </c>
      <c r="BX21" s="608">
        <v>0</v>
      </c>
      <c r="BY21" s="677">
        <v>0</v>
      </c>
      <c r="BZ21" s="678">
        <v>0</v>
      </c>
      <c r="CA21" s="678">
        <v>0</v>
      </c>
      <c r="CB21" s="679">
        <v>0</v>
      </c>
      <c r="CC21" s="586"/>
      <c r="CD21" s="667"/>
      <c r="CE21" s="667"/>
      <c r="CF21" s="667"/>
      <c r="CG21" s="668"/>
      <c r="CH21" s="611">
        <v>0</v>
      </c>
      <c r="CI21" s="591"/>
      <c r="CJ21" s="584"/>
      <c r="CK21" s="584"/>
      <c r="CL21" s="584"/>
      <c r="CM21" s="674"/>
      <c r="CN21" s="675"/>
      <c r="CO21" s="584"/>
      <c r="CP21" s="584"/>
      <c r="CQ21" s="585"/>
    </row>
    <row r="22" spans="1:95" ht="15.75" thickBot="1">
      <c r="A22" s="425"/>
      <c r="B22" s="561">
        <v>2001</v>
      </c>
      <c r="C22" s="604">
        <v>0</v>
      </c>
      <c r="D22" s="605">
        <v>0</v>
      </c>
      <c r="E22" s="605">
        <v>0</v>
      </c>
      <c r="F22" s="605">
        <v>0</v>
      </c>
      <c r="G22" s="605">
        <v>0</v>
      </c>
      <c r="H22" s="605">
        <v>0</v>
      </c>
      <c r="I22" s="605">
        <v>0</v>
      </c>
      <c r="J22" s="605">
        <v>0</v>
      </c>
      <c r="K22" s="605">
        <v>0</v>
      </c>
      <c r="L22" s="605">
        <v>0</v>
      </c>
      <c r="M22" s="605">
        <v>0</v>
      </c>
      <c r="N22" s="676">
        <v>0</v>
      </c>
      <c r="O22" s="609">
        <v>0</v>
      </c>
      <c r="P22" s="605">
        <v>0</v>
      </c>
      <c r="Q22" s="605">
        <v>0</v>
      </c>
      <c r="R22" s="605">
        <v>0</v>
      </c>
      <c r="S22" s="605">
        <v>0</v>
      </c>
      <c r="T22" s="605">
        <v>0</v>
      </c>
      <c r="U22" s="605">
        <v>0</v>
      </c>
      <c r="V22" s="605">
        <v>0</v>
      </c>
      <c r="W22" s="605">
        <v>0</v>
      </c>
      <c r="X22" s="605">
        <v>0</v>
      </c>
      <c r="Y22" s="605">
        <v>0</v>
      </c>
      <c r="Z22" s="603">
        <v>0</v>
      </c>
      <c r="AA22" s="604">
        <v>0</v>
      </c>
      <c r="AB22" s="605">
        <v>0</v>
      </c>
      <c r="AC22" s="605">
        <v>0</v>
      </c>
      <c r="AD22" s="605">
        <v>0</v>
      </c>
      <c r="AE22" s="605">
        <v>0</v>
      </c>
      <c r="AF22" s="605">
        <v>0</v>
      </c>
      <c r="AG22" s="605">
        <v>0</v>
      </c>
      <c r="AH22" s="605">
        <v>0</v>
      </c>
      <c r="AI22" s="603">
        <v>0</v>
      </c>
      <c r="AJ22" s="610">
        <v>0</v>
      </c>
      <c r="AK22" s="666"/>
      <c r="AL22" s="667"/>
      <c r="AM22" s="667"/>
      <c r="AN22" s="667"/>
      <c r="AO22" s="667"/>
      <c r="AP22" s="668"/>
      <c r="AQ22" s="666"/>
      <c r="AR22" s="667"/>
      <c r="AS22" s="605">
        <v>0</v>
      </c>
      <c r="AT22" s="605">
        <v>0</v>
      </c>
      <c r="AU22" s="605">
        <v>0</v>
      </c>
      <c r="AV22" s="605">
        <v>0</v>
      </c>
      <c r="AW22" s="605">
        <v>0</v>
      </c>
      <c r="AX22" s="605">
        <v>0</v>
      </c>
      <c r="AY22" s="605">
        <v>0</v>
      </c>
      <c r="AZ22" s="603">
        <v>0</v>
      </c>
      <c r="BA22" s="601">
        <v>0</v>
      </c>
      <c r="BB22" s="602">
        <v>0</v>
      </c>
      <c r="BC22" s="603">
        <v>0</v>
      </c>
      <c r="BD22" s="604">
        <v>0</v>
      </c>
      <c r="BE22" s="605">
        <v>0</v>
      </c>
      <c r="BF22" s="605">
        <v>0</v>
      </c>
      <c r="BG22" s="606">
        <v>0</v>
      </c>
      <c r="BH22" s="607">
        <v>0</v>
      </c>
      <c r="BI22" s="605">
        <v>0</v>
      </c>
      <c r="BJ22" s="605">
        <v>0</v>
      </c>
      <c r="BK22" s="608">
        <v>0</v>
      </c>
      <c r="BL22" s="604">
        <v>0</v>
      </c>
      <c r="BM22" s="609">
        <v>0</v>
      </c>
      <c r="BN22" s="605">
        <v>0</v>
      </c>
      <c r="BO22" s="605">
        <v>0</v>
      </c>
      <c r="BP22" s="605">
        <v>0</v>
      </c>
      <c r="BQ22" s="605">
        <v>0</v>
      </c>
      <c r="BR22" s="606">
        <v>0</v>
      </c>
      <c r="BS22" s="610">
        <v>0</v>
      </c>
      <c r="BT22" s="666"/>
      <c r="BU22" s="667"/>
      <c r="BV22" s="605">
        <v>0</v>
      </c>
      <c r="BW22" s="605">
        <v>0</v>
      </c>
      <c r="BX22" s="608">
        <v>0</v>
      </c>
      <c r="BY22" s="677">
        <v>0</v>
      </c>
      <c r="BZ22" s="678">
        <v>0</v>
      </c>
      <c r="CA22" s="678">
        <v>0</v>
      </c>
      <c r="CB22" s="679">
        <v>0</v>
      </c>
      <c r="CC22" s="586"/>
      <c r="CD22" s="667"/>
      <c r="CE22" s="667"/>
      <c r="CF22" s="667"/>
      <c r="CG22" s="668"/>
      <c r="CH22" s="611">
        <v>0</v>
      </c>
      <c r="CI22" s="591"/>
      <c r="CJ22" s="584"/>
      <c r="CK22" s="584"/>
      <c r="CL22" s="584"/>
      <c r="CM22" s="674"/>
      <c r="CN22" s="675"/>
      <c r="CO22" s="584"/>
      <c r="CP22" s="584"/>
      <c r="CQ22" s="585"/>
    </row>
    <row r="23" spans="1:95" ht="15.75" thickBot="1">
      <c r="A23" s="425"/>
      <c r="B23" s="561">
        <v>2002</v>
      </c>
      <c r="C23" s="604">
        <v>0</v>
      </c>
      <c r="D23" s="605">
        <v>0</v>
      </c>
      <c r="E23" s="605">
        <v>0</v>
      </c>
      <c r="F23" s="605">
        <v>0</v>
      </c>
      <c r="G23" s="605">
        <v>0</v>
      </c>
      <c r="H23" s="605">
        <v>0</v>
      </c>
      <c r="I23" s="605">
        <v>0</v>
      </c>
      <c r="J23" s="605">
        <v>0</v>
      </c>
      <c r="K23" s="605">
        <v>0</v>
      </c>
      <c r="L23" s="605">
        <v>0</v>
      </c>
      <c r="M23" s="605">
        <v>0</v>
      </c>
      <c r="N23" s="676">
        <v>0</v>
      </c>
      <c r="O23" s="609">
        <v>0</v>
      </c>
      <c r="P23" s="605">
        <v>0</v>
      </c>
      <c r="Q23" s="605">
        <v>0</v>
      </c>
      <c r="R23" s="605">
        <v>0</v>
      </c>
      <c r="S23" s="605">
        <v>0</v>
      </c>
      <c r="T23" s="605">
        <v>0</v>
      </c>
      <c r="U23" s="605">
        <v>0</v>
      </c>
      <c r="V23" s="605">
        <v>0</v>
      </c>
      <c r="W23" s="605">
        <v>0</v>
      </c>
      <c r="X23" s="605">
        <v>0</v>
      </c>
      <c r="Y23" s="605">
        <v>0</v>
      </c>
      <c r="Z23" s="603">
        <v>0</v>
      </c>
      <c r="AA23" s="604">
        <v>0</v>
      </c>
      <c r="AB23" s="605">
        <v>0</v>
      </c>
      <c r="AC23" s="605">
        <v>0</v>
      </c>
      <c r="AD23" s="605">
        <v>0</v>
      </c>
      <c r="AE23" s="605">
        <v>0</v>
      </c>
      <c r="AF23" s="605">
        <v>0</v>
      </c>
      <c r="AG23" s="605">
        <v>0</v>
      </c>
      <c r="AH23" s="605">
        <v>0</v>
      </c>
      <c r="AI23" s="603">
        <v>0</v>
      </c>
      <c r="AJ23" s="610">
        <v>0</v>
      </c>
      <c r="AK23" s="666"/>
      <c r="AL23" s="667"/>
      <c r="AM23" s="667"/>
      <c r="AN23" s="667"/>
      <c r="AO23" s="667"/>
      <c r="AP23" s="668"/>
      <c r="AQ23" s="666"/>
      <c r="AR23" s="667"/>
      <c r="AS23" s="605">
        <v>0</v>
      </c>
      <c r="AT23" s="605">
        <v>0</v>
      </c>
      <c r="AU23" s="605">
        <v>0</v>
      </c>
      <c r="AV23" s="605">
        <v>0</v>
      </c>
      <c r="AW23" s="605">
        <v>0</v>
      </c>
      <c r="AX23" s="605">
        <v>0</v>
      </c>
      <c r="AY23" s="605">
        <v>0</v>
      </c>
      <c r="AZ23" s="603">
        <v>0</v>
      </c>
      <c r="BA23" s="601">
        <v>0</v>
      </c>
      <c r="BB23" s="602">
        <v>0</v>
      </c>
      <c r="BC23" s="603">
        <v>0</v>
      </c>
      <c r="BD23" s="604">
        <v>0</v>
      </c>
      <c r="BE23" s="605">
        <v>0</v>
      </c>
      <c r="BF23" s="605">
        <v>0</v>
      </c>
      <c r="BG23" s="606">
        <v>0</v>
      </c>
      <c r="BH23" s="607">
        <v>0</v>
      </c>
      <c r="BI23" s="605">
        <v>0</v>
      </c>
      <c r="BJ23" s="605">
        <v>0</v>
      </c>
      <c r="BK23" s="608">
        <v>0</v>
      </c>
      <c r="BL23" s="604">
        <v>0</v>
      </c>
      <c r="BM23" s="609">
        <v>0</v>
      </c>
      <c r="BN23" s="605">
        <v>0</v>
      </c>
      <c r="BO23" s="605">
        <v>0</v>
      </c>
      <c r="BP23" s="605">
        <v>0</v>
      </c>
      <c r="BQ23" s="605">
        <v>0</v>
      </c>
      <c r="BR23" s="606">
        <v>0</v>
      </c>
      <c r="BS23" s="610">
        <v>0</v>
      </c>
      <c r="BT23" s="666"/>
      <c r="BU23" s="667"/>
      <c r="BV23" s="605">
        <v>0</v>
      </c>
      <c r="BW23" s="605">
        <v>0</v>
      </c>
      <c r="BX23" s="608">
        <v>0</v>
      </c>
      <c r="BY23" s="677">
        <v>0</v>
      </c>
      <c r="BZ23" s="678">
        <v>0</v>
      </c>
      <c r="CA23" s="678">
        <v>0</v>
      </c>
      <c r="CB23" s="679">
        <v>0</v>
      </c>
      <c r="CC23" s="586"/>
      <c r="CD23" s="667"/>
      <c r="CE23" s="667"/>
      <c r="CF23" s="667"/>
      <c r="CG23" s="668"/>
      <c r="CH23" s="611">
        <v>0</v>
      </c>
      <c r="CI23" s="591"/>
      <c r="CJ23" s="584"/>
      <c r="CK23" s="584"/>
      <c r="CL23" s="584"/>
      <c r="CM23" s="674"/>
      <c r="CN23" s="675"/>
      <c r="CO23" s="584"/>
      <c r="CP23" s="584"/>
      <c r="CQ23" s="585"/>
    </row>
    <row r="24" spans="1:95" ht="15.75" thickBot="1">
      <c r="A24" s="425"/>
      <c r="B24" s="561">
        <v>2003</v>
      </c>
      <c r="C24" s="604">
        <v>0</v>
      </c>
      <c r="D24" s="605">
        <v>0</v>
      </c>
      <c r="E24" s="605">
        <v>0</v>
      </c>
      <c r="F24" s="605">
        <v>0</v>
      </c>
      <c r="G24" s="605">
        <v>0</v>
      </c>
      <c r="H24" s="605">
        <v>0</v>
      </c>
      <c r="I24" s="605">
        <v>0</v>
      </c>
      <c r="J24" s="605">
        <v>0</v>
      </c>
      <c r="K24" s="605">
        <v>0</v>
      </c>
      <c r="L24" s="605">
        <v>0</v>
      </c>
      <c r="M24" s="605">
        <v>0</v>
      </c>
      <c r="N24" s="676">
        <v>0</v>
      </c>
      <c r="O24" s="609">
        <v>0</v>
      </c>
      <c r="P24" s="605">
        <v>0</v>
      </c>
      <c r="Q24" s="605">
        <v>0</v>
      </c>
      <c r="R24" s="605">
        <v>0</v>
      </c>
      <c r="S24" s="605">
        <v>0</v>
      </c>
      <c r="T24" s="605">
        <v>0</v>
      </c>
      <c r="U24" s="605">
        <v>0</v>
      </c>
      <c r="V24" s="605">
        <v>0</v>
      </c>
      <c r="W24" s="605">
        <v>0</v>
      </c>
      <c r="X24" s="605">
        <v>0</v>
      </c>
      <c r="Y24" s="605">
        <v>0</v>
      </c>
      <c r="Z24" s="603">
        <v>0</v>
      </c>
      <c r="AA24" s="604">
        <v>0</v>
      </c>
      <c r="AB24" s="605">
        <v>0</v>
      </c>
      <c r="AC24" s="605">
        <v>0</v>
      </c>
      <c r="AD24" s="605">
        <v>0</v>
      </c>
      <c r="AE24" s="605">
        <v>0</v>
      </c>
      <c r="AF24" s="605">
        <v>0</v>
      </c>
      <c r="AG24" s="605">
        <v>0</v>
      </c>
      <c r="AH24" s="605">
        <v>0</v>
      </c>
      <c r="AI24" s="603">
        <v>0</v>
      </c>
      <c r="AJ24" s="610">
        <v>0</v>
      </c>
      <c r="AK24" s="666"/>
      <c r="AL24" s="667"/>
      <c r="AM24" s="667"/>
      <c r="AN24" s="667"/>
      <c r="AO24" s="667"/>
      <c r="AP24" s="668"/>
      <c r="AQ24" s="666"/>
      <c r="AR24" s="667"/>
      <c r="AS24" s="605">
        <v>0</v>
      </c>
      <c r="AT24" s="605">
        <v>0</v>
      </c>
      <c r="AU24" s="605">
        <v>0</v>
      </c>
      <c r="AV24" s="605">
        <v>0</v>
      </c>
      <c r="AW24" s="605">
        <v>0</v>
      </c>
      <c r="AX24" s="605">
        <v>0</v>
      </c>
      <c r="AY24" s="605">
        <v>0</v>
      </c>
      <c r="AZ24" s="603">
        <v>0</v>
      </c>
      <c r="BA24" s="601">
        <v>0</v>
      </c>
      <c r="BB24" s="602">
        <v>0</v>
      </c>
      <c r="BC24" s="603">
        <v>0</v>
      </c>
      <c r="BD24" s="604">
        <v>0</v>
      </c>
      <c r="BE24" s="605">
        <v>0</v>
      </c>
      <c r="BF24" s="605">
        <v>0</v>
      </c>
      <c r="BG24" s="606">
        <v>0</v>
      </c>
      <c r="BH24" s="607">
        <v>0</v>
      </c>
      <c r="BI24" s="605">
        <v>0</v>
      </c>
      <c r="BJ24" s="605">
        <v>0</v>
      </c>
      <c r="BK24" s="608">
        <v>0</v>
      </c>
      <c r="BL24" s="604">
        <v>0</v>
      </c>
      <c r="BM24" s="609">
        <v>0</v>
      </c>
      <c r="BN24" s="605">
        <v>0</v>
      </c>
      <c r="BO24" s="605">
        <v>0</v>
      </c>
      <c r="BP24" s="605">
        <v>0</v>
      </c>
      <c r="BQ24" s="605">
        <v>0</v>
      </c>
      <c r="BR24" s="606">
        <v>0</v>
      </c>
      <c r="BS24" s="610">
        <v>0</v>
      </c>
      <c r="BT24" s="666"/>
      <c r="BU24" s="667"/>
      <c r="BV24" s="605">
        <v>0</v>
      </c>
      <c r="BW24" s="605">
        <v>0</v>
      </c>
      <c r="BX24" s="608">
        <v>0</v>
      </c>
      <c r="BY24" s="677">
        <v>0</v>
      </c>
      <c r="BZ24" s="678">
        <v>0</v>
      </c>
      <c r="CA24" s="678">
        <v>0</v>
      </c>
      <c r="CB24" s="679">
        <v>0</v>
      </c>
      <c r="CC24" s="586"/>
      <c r="CD24" s="667"/>
      <c r="CE24" s="667"/>
      <c r="CF24" s="667"/>
      <c r="CG24" s="668"/>
      <c r="CH24" s="611">
        <v>0</v>
      </c>
      <c r="CI24" s="591"/>
      <c r="CJ24" s="584"/>
      <c r="CK24" s="584"/>
      <c r="CL24" s="584"/>
      <c r="CM24" s="674"/>
      <c r="CN24" s="675"/>
      <c r="CO24" s="584"/>
      <c r="CP24" s="584"/>
      <c r="CQ24" s="585"/>
    </row>
    <row r="25" spans="1:95" ht="15.75" thickBot="1">
      <c r="A25" s="425"/>
      <c r="B25" s="561">
        <v>2004</v>
      </c>
      <c r="C25" s="604">
        <v>0</v>
      </c>
      <c r="D25" s="605">
        <v>0</v>
      </c>
      <c r="E25" s="605">
        <v>0</v>
      </c>
      <c r="F25" s="605">
        <v>0</v>
      </c>
      <c r="G25" s="605">
        <v>0</v>
      </c>
      <c r="H25" s="605">
        <v>0</v>
      </c>
      <c r="I25" s="605">
        <v>0</v>
      </c>
      <c r="J25" s="605">
        <v>0</v>
      </c>
      <c r="K25" s="605">
        <v>0</v>
      </c>
      <c r="L25" s="605">
        <v>0</v>
      </c>
      <c r="M25" s="605">
        <v>0</v>
      </c>
      <c r="N25" s="676">
        <v>0</v>
      </c>
      <c r="O25" s="609">
        <v>0</v>
      </c>
      <c r="P25" s="605">
        <v>0</v>
      </c>
      <c r="Q25" s="605">
        <v>0</v>
      </c>
      <c r="R25" s="605">
        <v>0</v>
      </c>
      <c r="S25" s="605">
        <v>0</v>
      </c>
      <c r="T25" s="605">
        <v>0</v>
      </c>
      <c r="U25" s="605">
        <v>0</v>
      </c>
      <c r="V25" s="605">
        <v>0</v>
      </c>
      <c r="W25" s="605">
        <v>0</v>
      </c>
      <c r="X25" s="605">
        <v>0</v>
      </c>
      <c r="Y25" s="605">
        <v>0</v>
      </c>
      <c r="Z25" s="603">
        <v>0</v>
      </c>
      <c r="AA25" s="604">
        <v>0</v>
      </c>
      <c r="AB25" s="605">
        <v>0</v>
      </c>
      <c r="AC25" s="605">
        <v>0</v>
      </c>
      <c r="AD25" s="605">
        <v>0</v>
      </c>
      <c r="AE25" s="605">
        <v>0</v>
      </c>
      <c r="AF25" s="605">
        <v>0</v>
      </c>
      <c r="AG25" s="605">
        <v>0</v>
      </c>
      <c r="AH25" s="605">
        <v>0</v>
      </c>
      <c r="AI25" s="603">
        <v>0</v>
      </c>
      <c r="AJ25" s="610">
        <v>0</v>
      </c>
      <c r="AK25" s="666"/>
      <c r="AL25" s="667"/>
      <c r="AM25" s="667"/>
      <c r="AN25" s="667"/>
      <c r="AO25" s="667"/>
      <c r="AP25" s="668"/>
      <c r="AQ25" s="666"/>
      <c r="AR25" s="667"/>
      <c r="AS25" s="605">
        <v>0</v>
      </c>
      <c r="AT25" s="605">
        <v>0</v>
      </c>
      <c r="AU25" s="605">
        <v>0</v>
      </c>
      <c r="AV25" s="605">
        <v>0</v>
      </c>
      <c r="AW25" s="605">
        <v>0</v>
      </c>
      <c r="AX25" s="605">
        <v>0</v>
      </c>
      <c r="AY25" s="605">
        <v>0</v>
      </c>
      <c r="AZ25" s="603">
        <v>0</v>
      </c>
      <c r="BA25" s="601">
        <v>0</v>
      </c>
      <c r="BB25" s="602">
        <v>0</v>
      </c>
      <c r="BC25" s="603">
        <v>0</v>
      </c>
      <c r="BD25" s="604">
        <v>0</v>
      </c>
      <c r="BE25" s="605">
        <v>0</v>
      </c>
      <c r="BF25" s="605">
        <v>0</v>
      </c>
      <c r="BG25" s="606">
        <v>0</v>
      </c>
      <c r="BH25" s="607">
        <v>0</v>
      </c>
      <c r="BI25" s="605">
        <v>0</v>
      </c>
      <c r="BJ25" s="605">
        <v>0</v>
      </c>
      <c r="BK25" s="608">
        <v>0</v>
      </c>
      <c r="BL25" s="604">
        <v>0</v>
      </c>
      <c r="BM25" s="609">
        <v>0</v>
      </c>
      <c r="BN25" s="605">
        <v>0</v>
      </c>
      <c r="BO25" s="605">
        <v>0</v>
      </c>
      <c r="BP25" s="605">
        <v>0</v>
      </c>
      <c r="BQ25" s="605">
        <v>0</v>
      </c>
      <c r="BR25" s="606">
        <v>0</v>
      </c>
      <c r="BS25" s="610">
        <v>0</v>
      </c>
      <c r="BT25" s="666"/>
      <c r="BU25" s="667"/>
      <c r="BV25" s="605">
        <v>0</v>
      </c>
      <c r="BW25" s="605">
        <v>0</v>
      </c>
      <c r="BX25" s="608">
        <v>0</v>
      </c>
      <c r="BY25" s="677">
        <v>0</v>
      </c>
      <c r="BZ25" s="678">
        <v>0</v>
      </c>
      <c r="CA25" s="678">
        <v>0</v>
      </c>
      <c r="CB25" s="679">
        <v>0</v>
      </c>
      <c r="CC25" s="586"/>
      <c r="CD25" s="667"/>
      <c r="CE25" s="667"/>
      <c r="CF25" s="667"/>
      <c r="CG25" s="668"/>
      <c r="CH25" s="611">
        <v>0</v>
      </c>
      <c r="CI25" s="591"/>
      <c r="CJ25" s="584"/>
      <c r="CK25" s="584"/>
      <c r="CL25" s="584"/>
      <c r="CM25" s="674"/>
      <c r="CN25" s="675"/>
      <c r="CO25" s="584"/>
      <c r="CP25" s="584"/>
      <c r="CQ25" s="585"/>
    </row>
    <row r="26" spans="1:95" ht="15.75" thickBot="1">
      <c r="A26" s="425"/>
      <c r="B26" s="561">
        <v>2005</v>
      </c>
      <c r="C26" s="604">
        <v>0</v>
      </c>
      <c r="D26" s="605">
        <v>0</v>
      </c>
      <c r="E26" s="605">
        <v>0</v>
      </c>
      <c r="F26" s="605">
        <v>0</v>
      </c>
      <c r="G26" s="605">
        <v>0</v>
      </c>
      <c r="H26" s="605">
        <v>0</v>
      </c>
      <c r="I26" s="605">
        <v>0</v>
      </c>
      <c r="J26" s="605">
        <v>0</v>
      </c>
      <c r="K26" s="605">
        <v>0</v>
      </c>
      <c r="L26" s="605">
        <v>0</v>
      </c>
      <c r="M26" s="605">
        <v>0</v>
      </c>
      <c r="N26" s="676">
        <v>0</v>
      </c>
      <c r="O26" s="609">
        <v>0</v>
      </c>
      <c r="P26" s="605">
        <v>0</v>
      </c>
      <c r="Q26" s="605">
        <v>0</v>
      </c>
      <c r="R26" s="605">
        <v>0</v>
      </c>
      <c r="S26" s="605">
        <v>0</v>
      </c>
      <c r="T26" s="605">
        <v>0</v>
      </c>
      <c r="U26" s="605">
        <v>0</v>
      </c>
      <c r="V26" s="605">
        <v>0</v>
      </c>
      <c r="W26" s="605">
        <v>0</v>
      </c>
      <c r="X26" s="605">
        <v>0</v>
      </c>
      <c r="Y26" s="605">
        <v>0</v>
      </c>
      <c r="Z26" s="603">
        <v>0</v>
      </c>
      <c r="AA26" s="604">
        <v>0</v>
      </c>
      <c r="AB26" s="605">
        <v>0</v>
      </c>
      <c r="AC26" s="605">
        <v>0</v>
      </c>
      <c r="AD26" s="605">
        <v>0</v>
      </c>
      <c r="AE26" s="605">
        <v>0</v>
      </c>
      <c r="AF26" s="605">
        <v>0</v>
      </c>
      <c r="AG26" s="605">
        <v>0</v>
      </c>
      <c r="AH26" s="605">
        <v>0</v>
      </c>
      <c r="AI26" s="603">
        <v>0</v>
      </c>
      <c r="AJ26" s="610">
        <v>0</v>
      </c>
      <c r="AK26" s="666"/>
      <c r="AL26" s="667"/>
      <c r="AM26" s="667"/>
      <c r="AN26" s="667"/>
      <c r="AO26" s="667"/>
      <c r="AP26" s="668"/>
      <c r="AQ26" s="666"/>
      <c r="AR26" s="667"/>
      <c r="AS26" s="605">
        <v>0</v>
      </c>
      <c r="AT26" s="605">
        <v>0</v>
      </c>
      <c r="AU26" s="605">
        <v>0</v>
      </c>
      <c r="AV26" s="605">
        <v>0</v>
      </c>
      <c r="AW26" s="605">
        <v>0</v>
      </c>
      <c r="AX26" s="605">
        <v>0</v>
      </c>
      <c r="AY26" s="605">
        <v>0</v>
      </c>
      <c r="AZ26" s="603">
        <v>0</v>
      </c>
      <c r="BA26" s="601">
        <v>0</v>
      </c>
      <c r="BB26" s="602">
        <v>0</v>
      </c>
      <c r="BC26" s="603">
        <v>0</v>
      </c>
      <c r="BD26" s="604">
        <v>0</v>
      </c>
      <c r="BE26" s="605">
        <v>0</v>
      </c>
      <c r="BF26" s="605">
        <v>0</v>
      </c>
      <c r="BG26" s="606">
        <v>0</v>
      </c>
      <c r="BH26" s="607">
        <v>0</v>
      </c>
      <c r="BI26" s="605">
        <v>0</v>
      </c>
      <c r="BJ26" s="605">
        <v>0</v>
      </c>
      <c r="BK26" s="608">
        <v>0</v>
      </c>
      <c r="BL26" s="604">
        <v>0</v>
      </c>
      <c r="BM26" s="609">
        <v>0</v>
      </c>
      <c r="BN26" s="605">
        <v>0</v>
      </c>
      <c r="BO26" s="605">
        <v>0</v>
      </c>
      <c r="BP26" s="605">
        <v>0</v>
      </c>
      <c r="BQ26" s="605">
        <v>0</v>
      </c>
      <c r="BR26" s="606">
        <v>0</v>
      </c>
      <c r="BS26" s="610">
        <v>0</v>
      </c>
      <c r="BT26" s="666"/>
      <c r="BU26" s="667"/>
      <c r="BV26" s="605">
        <v>0</v>
      </c>
      <c r="BW26" s="605">
        <v>0</v>
      </c>
      <c r="BX26" s="608">
        <v>0</v>
      </c>
      <c r="BY26" s="677">
        <v>0</v>
      </c>
      <c r="BZ26" s="678">
        <v>0</v>
      </c>
      <c r="CA26" s="678">
        <v>0</v>
      </c>
      <c r="CB26" s="679">
        <v>0</v>
      </c>
      <c r="CC26" s="586"/>
      <c r="CD26" s="667"/>
      <c r="CE26" s="667"/>
      <c r="CF26" s="667"/>
      <c r="CG26" s="668"/>
      <c r="CH26" s="611">
        <v>0</v>
      </c>
      <c r="CI26" s="591"/>
      <c r="CJ26" s="584"/>
      <c r="CK26" s="584"/>
      <c r="CL26" s="584"/>
      <c r="CM26" s="674"/>
      <c r="CN26" s="675"/>
      <c r="CO26" s="584"/>
      <c r="CP26" s="584"/>
      <c r="CQ26" s="585"/>
    </row>
    <row r="27" spans="1:95" ht="15.75" thickBot="1">
      <c r="A27" s="425"/>
      <c r="B27" s="561">
        <v>2006</v>
      </c>
      <c r="C27" s="604">
        <v>0</v>
      </c>
      <c r="D27" s="605">
        <v>0</v>
      </c>
      <c r="E27" s="605">
        <v>0</v>
      </c>
      <c r="F27" s="605">
        <v>0</v>
      </c>
      <c r="G27" s="605">
        <v>0</v>
      </c>
      <c r="H27" s="605">
        <v>0</v>
      </c>
      <c r="I27" s="605">
        <v>0</v>
      </c>
      <c r="J27" s="605">
        <v>0</v>
      </c>
      <c r="K27" s="605">
        <v>0</v>
      </c>
      <c r="L27" s="605">
        <v>0</v>
      </c>
      <c r="M27" s="605">
        <v>0</v>
      </c>
      <c r="N27" s="676">
        <v>0</v>
      </c>
      <c r="O27" s="609">
        <v>0</v>
      </c>
      <c r="P27" s="605">
        <v>0</v>
      </c>
      <c r="Q27" s="605">
        <v>0</v>
      </c>
      <c r="R27" s="605">
        <v>0</v>
      </c>
      <c r="S27" s="605">
        <v>0</v>
      </c>
      <c r="T27" s="605">
        <v>0</v>
      </c>
      <c r="U27" s="605">
        <v>0</v>
      </c>
      <c r="V27" s="605">
        <v>0</v>
      </c>
      <c r="W27" s="605">
        <v>0</v>
      </c>
      <c r="X27" s="605">
        <v>0</v>
      </c>
      <c r="Y27" s="605">
        <v>0</v>
      </c>
      <c r="Z27" s="603">
        <v>0</v>
      </c>
      <c r="AA27" s="604">
        <v>0</v>
      </c>
      <c r="AB27" s="605">
        <v>0</v>
      </c>
      <c r="AC27" s="605">
        <v>0</v>
      </c>
      <c r="AD27" s="605">
        <v>0</v>
      </c>
      <c r="AE27" s="605">
        <v>0</v>
      </c>
      <c r="AF27" s="605">
        <v>0</v>
      </c>
      <c r="AG27" s="605">
        <v>0</v>
      </c>
      <c r="AH27" s="605">
        <v>0</v>
      </c>
      <c r="AI27" s="603">
        <v>0</v>
      </c>
      <c r="AJ27" s="610">
        <v>0</v>
      </c>
      <c r="AK27" s="666"/>
      <c r="AL27" s="667"/>
      <c r="AM27" s="667"/>
      <c r="AN27" s="667"/>
      <c r="AO27" s="667"/>
      <c r="AP27" s="668"/>
      <c r="AQ27" s="666"/>
      <c r="AR27" s="667"/>
      <c r="AS27" s="605">
        <v>0</v>
      </c>
      <c r="AT27" s="605">
        <v>0</v>
      </c>
      <c r="AU27" s="605">
        <v>0</v>
      </c>
      <c r="AV27" s="605">
        <v>0</v>
      </c>
      <c r="AW27" s="605">
        <v>0</v>
      </c>
      <c r="AX27" s="605">
        <v>0</v>
      </c>
      <c r="AY27" s="605">
        <v>0</v>
      </c>
      <c r="AZ27" s="603">
        <v>0</v>
      </c>
      <c r="BA27" s="601">
        <v>0</v>
      </c>
      <c r="BB27" s="602">
        <v>0</v>
      </c>
      <c r="BC27" s="603">
        <v>0</v>
      </c>
      <c r="BD27" s="604">
        <v>0</v>
      </c>
      <c r="BE27" s="605">
        <v>0</v>
      </c>
      <c r="BF27" s="605">
        <v>0</v>
      </c>
      <c r="BG27" s="606">
        <v>0</v>
      </c>
      <c r="BH27" s="607">
        <v>0</v>
      </c>
      <c r="BI27" s="605">
        <v>0</v>
      </c>
      <c r="BJ27" s="605">
        <v>0</v>
      </c>
      <c r="BK27" s="608">
        <v>0</v>
      </c>
      <c r="BL27" s="604">
        <v>0</v>
      </c>
      <c r="BM27" s="609">
        <v>0</v>
      </c>
      <c r="BN27" s="605">
        <v>0</v>
      </c>
      <c r="BO27" s="605">
        <v>0</v>
      </c>
      <c r="BP27" s="605">
        <v>0</v>
      </c>
      <c r="BQ27" s="605">
        <v>0</v>
      </c>
      <c r="BR27" s="606">
        <v>0</v>
      </c>
      <c r="BS27" s="610">
        <v>0</v>
      </c>
      <c r="BT27" s="666"/>
      <c r="BU27" s="667"/>
      <c r="BV27" s="605">
        <v>0</v>
      </c>
      <c r="BW27" s="605">
        <v>0</v>
      </c>
      <c r="BX27" s="608">
        <v>0</v>
      </c>
      <c r="BY27" s="677">
        <v>0</v>
      </c>
      <c r="BZ27" s="678">
        <v>0</v>
      </c>
      <c r="CA27" s="678">
        <v>0</v>
      </c>
      <c r="CB27" s="679">
        <v>0</v>
      </c>
      <c r="CC27" s="586"/>
      <c r="CD27" s="667"/>
      <c r="CE27" s="667"/>
      <c r="CF27" s="667"/>
      <c r="CG27" s="668"/>
      <c r="CH27" s="611">
        <v>0</v>
      </c>
      <c r="CI27" s="591"/>
      <c r="CJ27" s="584"/>
      <c r="CK27" s="584"/>
      <c r="CL27" s="584"/>
      <c r="CM27" s="674"/>
      <c r="CN27" s="675"/>
      <c r="CO27" s="584"/>
      <c r="CP27" s="584"/>
      <c r="CQ27" s="585"/>
    </row>
    <row r="28" spans="1:95" ht="15.75" thickBot="1">
      <c r="A28" s="425"/>
      <c r="B28" s="561">
        <v>2007</v>
      </c>
      <c r="C28" s="604">
        <v>0</v>
      </c>
      <c r="D28" s="605">
        <v>0</v>
      </c>
      <c r="E28" s="605">
        <v>0</v>
      </c>
      <c r="F28" s="605">
        <v>0</v>
      </c>
      <c r="G28" s="605">
        <v>0</v>
      </c>
      <c r="H28" s="605">
        <v>0</v>
      </c>
      <c r="I28" s="605">
        <v>0</v>
      </c>
      <c r="J28" s="605">
        <v>0</v>
      </c>
      <c r="K28" s="605">
        <v>0</v>
      </c>
      <c r="L28" s="605">
        <v>0</v>
      </c>
      <c r="M28" s="605">
        <v>0</v>
      </c>
      <c r="N28" s="676">
        <v>0</v>
      </c>
      <c r="O28" s="609">
        <v>0</v>
      </c>
      <c r="P28" s="605">
        <v>0</v>
      </c>
      <c r="Q28" s="605">
        <v>0</v>
      </c>
      <c r="R28" s="605">
        <v>0</v>
      </c>
      <c r="S28" s="605">
        <v>0</v>
      </c>
      <c r="T28" s="605">
        <v>0</v>
      </c>
      <c r="U28" s="605">
        <v>0</v>
      </c>
      <c r="V28" s="605">
        <v>0</v>
      </c>
      <c r="W28" s="605">
        <v>0</v>
      </c>
      <c r="X28" s="605">
        <v>0</v>
      </c>
      <c r="Y28" s="605">
        <v>0</v>
      </c>
      <c r="Z28" s="603">
        <v>0</v>
      </c>
      <c r="AA28" s="604">
        <v>0</v>
      </c>
      <c r="AB28" s="605">
        <v>0</v>
      </c>
      <c r="AC28" s="605">
        <v>0</v>
      </c>
      <c r="AD28" s="605">
        <v>0</v>
      </c>
      <c r="AE28" s="605">
        <v>0</v>
      </c>
      <c r="AF28" s="605">
        <v>0</v>
      </c>
      <c r="AG28" s="605">
        <v>0</v>
      </c>
      <c r="AH28" s="605">
        <v>0</v>
      </c>
      <c r="AI28" s="603">
        <v>0</v>
      </c>
      <c r="AJ28" s="610">
        <v>0</v>
      </c>
      <c r="AK28" s="666"/>
      <c r="AL28" s="667"/>
      <c r="AM28" s="667"/>
      <c r="AN28" s="667"/>
      <c r="AO28" s="667"/>
      <c r="AP28" s="668"/>
      <c r="AQ28" s="666"/>
      <c r="AR28" s="667"/>
      <c r="AS28" s="605">
        <v>0</v>
      </c>
      <c r="AT28" s="605">
        <v>0</v>
      </c>
      <c r="AU28" s="605">
        <v>0</v>
      </c>
      <c r="AV28" s="605">
        <v>0</v>
      </c>
      <c r="AW28" s="605">
        <v>0</v>
      </c>
      <c r="AX28" s="605">
        <v>0</v>
      </c>
      <c r="AY28" s="605">
        <v>0</v>
      </c>
      <c r="AZ28" s="603">
        <v>0</v>
      </c>
      <c r="BA28" s="601">
        <v>0</v>
      </c>
      <c r="BB28" s="602">
        <v>0</v>
      </c>
      <c r="BC28" s="603">
        <v>0</v>
      </c>
      <c r="BD28" s="604">
        <v>0</v>
      </c>
      <c r="BE28" s="605">
        <v>0</v>
      </c>
      <c r="BF28" s="605">
        <v>0</v>
      </c>
      <c r="BG28" s="606">
        <v>0</v>
      </c>
      <c r="BH28" s="607">
        <v>0</v>
      </c>
      <c r="BI28" s="605">
        <v>0</v>
      </c>
      <c r="BJ28" s="605">
        <v>0</v>
      </c>
      <c r="BK28" s="608">
        <v>0</v>
      </c>
      <c r="BL28" s="604">
        <v>0</v>
      </c>
      <c r="BM28" s="609">
        <v>0</v>
      </c>
      <c r="BN28" s="605">
        <v>0</v>
      </c>
      <c r="BO28" s="605">
        <v>0</v>
      </c>
      <c r="BP28" s="605">
        <v>0</v>
      </c>
      <c r="BQ28" s="605">
        <v>0</v>
      </c>
      <c r="BR28" s="606">
        <v>0</v>
      </c>
      <c r="BS28" s="610">
        <v>0</v>
      </c>
      <c r="BT28" s="666"/>
      <c r="BU28" s="667"/>
      <c r="BV28" s="605">
        <v>0</v>
      </c>
      <c r="BW28" s="605">
        <v>0</v>
      </c>
      <c r="BX28" s="608">
        <v>0</v>
      </c>
      <c r="BY28" s="677">
        <v>0</v>
      </c>
      <c r="BZ28" s="678">
        <v>0</v>
      </c>
      <c r="CA28" s="678">
        <v>0</v>
      </c>
      <c r="CB28" s="679">
        <v>0</v>
      </c>
      <c r="CC28" s="586"/>
      <c r="CD28" s="667"/>
      <c r="CE28" s="667"/>
      <c r="CF28" s="667"/>
      <c r="CG28" s="668"/>
      <c r="CH28" s="611">
        <v>0</v>
      </c>
      <c r="CI28" s="591"/>
      <c r="CJ28" s="584"/>
      <c r="CK28" s="584"/>
      <c r="CL28" s="584"/>
      <c r="CM28" s="674"/>
      <c r="CN28" s="675"/>
      <c r="CO28" s="584"/>
      <c r="CP28" s="584"/>
      <c r="CQ28" s="585"/>
    </row>
    <row r="29" spans="1:95" ht="15.75" thickBot="1">
      <c r="A29" s="425"/>
      <c r="B29" s="561">
        <v>2008</v>
      </c>
      <c r="C29" s="604">
        <v>0</v>
      </c>
      <c r="D29" s="605">
        <v>0</v>
      </c>
      <c r="E29" s="605">
        <v>0</v>
      </c>
      <c r="F29" s="605">
        <v>0</v>
      </c>
      <c r="G29" s="605">
        <v>0</v>
      </c>
      <c r="H29" s="605">
        <v>0</v>
      </c>
      <c r="I29" s="605">
        <v>0</v>
      </c>
      <c r="J29" s="605">
        <v>0</v>
      </c>
      <c r="K29" s="605">
        <v>0</v>
      </c>
      <c r="L29" s="605">
        <v>0</v>
      </c>
      <c r="M29" s="605">
        <v>0</v>
      </c>
      <c r="N29" s="676">
        <v>0</v>
      </c>
      <c r="O29" s="609">
        <v>0</v>
      </c>
      <c r="P29" s="605">
        <v>2.6395467000000004</v>
      </c>
      <c r="Q29" s="605">
        <v>532.07342500000004</v>
      </c>
      <c r="R29" s="605">
        <v>0</v>
      </c>
      <c r="S29" s="605">
        <v>0</v>
      </c>
      <c r="T29" s="605">
        <v>0</v>
      </c>
      <c r="U29" s="605">
        <v>0</v>
      </c>
      <c r="V29" s="605">
        <v>0</v>
      </c>
      <c r="W29" s="605">
        <v>0</v>
      </c>
      <c r="X29" s="605">
        <v>0</v>
      </c>
      <c r="Y29" s="605">
        <v>0</v>
      </c>
      <c r="Z29" s="603">
        <v>0</v>
      </c>
      <c r="AA29" s="604">
        <v>94.813036242660658</v>
      </c>
      <c r="AB29" s="605">
        <v>7.1390970000000005</v>
      </c>
      <c r="AC29" s="605">
        <v>0</v>
      </c>
      <c r="AD29" s="605">
        <v>0</v>
      </c>
      <c r="AE29" s="605">
        <v>0</v>
      </c>
      <c r="AF29" s="605">
        <v>0</v>
      </c>
      <c r="AG29" s="605">
        <v>0</v>
      </c>
      <c r="AH29" s="605">
        <v>0</v>
      </c>
      <c r="AI29" s="603">
        <v>0</v>
      </c>
      <c r="AJ29" s="610">
        <v>0</v>
      </c>
      <c r="AK29" s="666"/>
      <c r="AL29" s="667"/>
      <c r="AM29" s="667"/>
      <c r="AN29" s="667"/>
      <c r="AO29" s="667"/>
      <c r="AP29" s="668"/>
      <c r="AQ29" s="666"/>
      <c r="AR29" s="667"/>
      <c r="AS29" s="605">
        <v>0</v>
      </c>
      <c r="AT29" s="605">
        <v>0</v>
      </c>
      <c r="AU29" s="605">
        <v>0</v>
      </c>
      <c r="AV29" s="605">
        <v>0</v>
      </c>
      <c r="AW29" s="605">
        <v>0</v>
      </c>
      <c r="AX29" s="605">
        <v>0</v>
      </c>
      <c r="AY29" s="605">
        <v>34.257940883640764</v>
      </c>
      <c r="AZ29" s="603">
        <v>0</v>
      </c>
      <c r="BA29" s="601">
        <v>754.06196320486424</v>
      </c>
      <c r="BB29" s="602">
        <v>6739.7016149545925</v>
      </c>
      <c r="BC29" s="603">
        <v>2315.3293749999998</v>
      </c>
      <c r="BD29" s="604">
        <v>1822.7494332067652</v>
      </c>
      <c r="BE29" s="605">
        <v>0</v>
      </c>
      <c r="BF29" s="605">
        <v>0</v>
      </c>
      <c r="BG29" s="606">
        <v>0</v>
      </c>
      <c r="BH29" s="607">
        <v>1356.0573754266461</v>
      </c>
      <c r="BI29" s="605">
        <v>0</v>
      </c>
      <c r="BJ29" s="605">
        <v>0</v>
      </c>
      <c r="BK29" s="608">
        <v>0</v>
      </c>
      <c r="BL29" s="604">
        <v>217.03526274266667</v>
      </c>
      <c r="BM29" s="609">
        <v>0</v>
      </c>
      <c r="BN29" s="605">
        <v>0</v>
      </c>
      <c r="BO29" s="605">
        <v>0</v>
      </c>
      <c r="BP29" s="605">
        <v>0.46068175095814123</v>
      </c>
      <c r="BQ29" s="605">
        <v>0</v>
      </c>
      <c r="BR29" s="606">
        <v>81.570997181559434</v>
      </c>
      <c r="BS29" s="610">
        <v>28.152673746666668</v>
      </c>
      <c r="BT29" s="666"/>
      <c r="BU29" s="667"/>
      <c r="BV29" s="605">
        <v>144445.71428571429</v>
      </c>
      <c r="BW29" s="605">
        <v>0</v>
      </c>
      <c r="BX29" s="608">
        <v>0</v>
      </c>
      <c r="BY29" s="677">
        <v>0</v>
      </c>
      <c r="BZ29" s="678">
        <v>0</v>
      </c>
      <c r="CA29" s="678">
        <v>0</v>
      </c>
      <c r="CB29" s="679">
        <v>0</v>
      </c>
      <c r="CC29" s="586"/>
      <c r="CD29" s="667"/>
      <c r="CE29" s="667"/>
      <c r="CF29" s="667"/>
      <c r="CG29" s="668"/>
      <c r="CH29" s="611">
        <v>551.1581352191439</v>
      </c>
      <c r="CI29" s="591"/>
      <c r="CJ29" s="584"/>
      <c r="CK29" s="584"/>
      <c r="CL29" s="584"/>
      <c r="CM29" s="674"/>
      <c r="CN29" s="675"/>
      <c r="CO29" s="584"/>
      <c r="CP29" s="584"/>
      <c r="CQ29" s="585"/>
    </row>
    <row r="30" spans="1:95" ht="15.75" thickBot="1">
      <c r="A30" s="425"/>
      <c r="B30" s="561">
        <v>2009</v>
      </c>
      <c r="C30" s="604">
        <v>0</v>
      </c>
      <c r="D30" s="605">
        <v>0</v>
      </c>
      <c r="E30" s="605">
        <v>0</v>
      </c>
      <c r="F30" s="605">
        <v>0</v>
      </c>
      <c r="G30" s="605">
        <v>0</v>
      </c>
      <c r="H30" s="605">
        <v>0</v>
      </c>
      <c r="I30" s="605">
        <v>0</v>
      </c>
      <c r="J30" s="605">
        <v>0</v>
      </c>
      <c r="K30" s="605">
        <v>0</v>
      </c>
      <c r="L30" s="605">
        <v>0</v>
      </c>
      <c r="M30" s="605">
        <v>0</v>
      </c>
      <c r="N30" s="676">
        <v>0</v>
      </c>
      <c r="O30" s="609">
        <v>0</v>
      </c>
      <c r="P30" s="605">
        <v>2.6948709000000002</v>
      </c>
      <c r="Q30" s="605">
        <v>517.36144999999999</v>
      </c>
      <c r="R30" s="605">
        <v>0</v>
      </c>
      <c r="S30" s="605">
        <v>0</v>
      </c>
      <c r="T30" s="605">
        <v>0</v>
      </c>
      <c r="U30" s="605">
        <v>0</v>
      </c>
      <c r="V30" s="605">
        <v>0</v>
      </c>
      <c r="W30" s="605">
        <v>0</v>
      </c>
      <c r="X30" s="605">
        <v>0</v>
      </c>
      <c r="Y30" s="605">
        <v>0</v>
      </c>
      <c r="Z30" s="603">
        <v>0</v>
      </c>
      <c r="AA30" s="604">
        <v>80.122858606194711</v>
      </c>
      <c r="AB30" s="605">
        <v>8.710821000000001</v>
      </c>
      <c r="AC30" s="605">
        <v>0</v>
      </c>
      <c r="AD30" s="605">
        <v>0</v>
      </c>
      <c r="AE30" s="605">
        <v>0</v>
      </c>
      <c r="AF30" s="605">
        <v>0</v>
      </c>
      <c r="AG30" s="605">
        <v>0</v>
      </c>
      <c r="AH30" s="605">
        <v>0</v>
      </c>
      <c r="AI30" s="603">
        <v>0</v>
      </c>
      <c r="AJ30" s="610">
        <v>0</v>
      </c>
      <c r="AK30" s="666"/>
      <c r="AL30" s="667"/>
      <c r="AM30" s="667"/>
      <c r="AN30" s="667"/>
      <c r="AO30" s="667"/>
      <c r="AP30" s="668"/>
      <c r="AQ30" s="666"/>
      <c r="AR30" s="667"/>
      <c r="AS30" s="605">
        <v>0</v>
      </c>
      <c r="AT30" s="605">
        <v>0</v>
      </c>
      <c r="AU30" s="605">
        <v>0</v>
      </c>
      <c r="AV30" s="605">
        <v>0</v>
      </c>
      <c r="AW30" s="605">
        <v>0</v>
      </c>
      <c r="AX30" s="605">
        <v>0</v>
      </c>
      <c r="AY30" s="605">
        <v>34.257940883640764</v>
      </c>
      <c r="AZ30" s="603">
        <v>0</v>
      </c>
      <c r="BA30" s="601">
        <v>748.7395382657744</v>
      </c>
      <c r="BB30" s="602">
        <v>8003.7537741975902</v>
      </c>
      <c r="BC30" s="603">
        <v>2325.9830287499999</v>
      </c>
      <c r="BD30" s="604">
        <v>1821.6999180924499</v>
      </c>
      <c r="BE30" s="605">
        <v>0</v>
      </c>
      <c r="BF30" s="605">
        <v>0</v>
      </c>
      <c r="BG30" s="606">
        <v>0</v>
      </c>
      <c r="BH30" s="607">
        <v>1329.3263405192477</v>
      </c>
      <c r="BI30" s="605">
        <v>0</v>
      </c>
      <c r="BJ30" s="605">
        <v>0</v>
      </c>
      <c r="BK30" s="608">
        <v>0</v>
      </c>
      <c r="BL30" s="604">
        <v>238.75115271066667</v>
      </c>
      <c r="BM30" s="609">
        <v>0</v>
      </c>
      <c r="BN30" s="605">
        <v>0</v>
      </c>
      <c r="BO30" s="605">
        <v>0</v>
      </c>
      <c r="BP30" s="605">
        <v>0.40845628812614049</v>
      </c>
      <c r="BQ30" s="605">
        <v>0</v>
      </c>
      <c r="BR30" s="606">
        <v>81.385097935826579</v>
      </c>
      <c r="BS30" s="610">
        <v>30.508037003999998</v>
      </c>
      <c r="BT30" s="666"/>
      <c r="BU30" s="667"/>
      <c r="BV30" s="605">
        <v>110125.71428571429</v>
      </c>
      <c r="BW30" s="605">
        <v>0</v>
      </c>
      <c r="BX30" s="608">
        <v>0</v>
      </c>
      <c r="BY30" s="677">
        <v>0</v>
      </c>
      <c r="BZ30" s="678">
        <v>0</v>
      </c>
      <c r="CA30" s="678">
        <v>0</v>
      </c>
      <c r="CB30" s="679">
        <v>0</v>
      </c>
      <c r="CC30" s="586"/>
      <c r="CD30" s="667"/>
      <c r="CE30" s="667"/>
      <c r="CF30" s="667"/>
      <c r="CG30" s="668"/>
      <c r="CH30" s="611">
        <v>617.72152117505971</v>
      </c>
      <c r="CI30" s="591"/>
      <c r="CJ30" s="584"/>
      <c r="CK30" s="584"/>
      <c r="CL30" s="584"/>
      <c r="CM30" s="674"/>
      <c r="CN30" s="675"/>
      <c r="CO30" s="584"/>
      <c r="CP30" s="584"/>
      <c r="CQ30" s="585"/>
    </row>
    <row r="31" spans="1:95" ht="15.75" thickBot="1">
      <c r="A31" s="425"/>
      <c r="B31" s="561">
        <v>2010</v>
      </c>
      <c r="C31" s="604">
        <v>0</v>
      </c>
      <c r="D31" s="605">
        <v>0</v>
      </c>
      <c r="E31" s="605">
        <v>0</v>
      </c>
      <c r="F31" s="605">
        <v>0</v>
      </c>
      <c r="G31" s="605">
        <v>0</v>
      </c>
      <c r="H31" s="605">
        <v>0</v>
      </c>
      <c r="I31" s="605">
        <v>0</v>
      </c>
      <c r="J31" s="605">
        <v>0</v>
      </c>
      <c r="K31" s="605">
        <v>0</v>
      </c>
      <c r="L31" s="605">
        <v>0</v>
      </c>
      <c r="M31" s="605">
        <v>0</v>
      </c>
      <c r="N31" s="676">
        <v>0</v>
      </c>
      <c r="O31" s="609">
        <v>0</v>
      </c>
      <c r="P31" s="605">
        <v>2.7487683180000002</v>
      </c>
      <c r="Q31" s="605">
        <v>527.70867899999996</v>
      </c>
      <c r="R31" s="605">
        <v>0</v>
      </c>
      <c r="S31" s="605">
        <v>0</v>
      </c>
      <c r="T31" s="605">
        <v>0</v>
      </c>
      <c r="U31" s="605">
        <v>0</v>
      </c>
      <c r="V31" s="605">
        <v>0</v>
      </c>
      <c r="W31" s="605">
        <v>0</v>
      </c>
      <c r="X31" s="605">
        <v>0</v>
      </c>
      <c r="Y31" s="605">
        <v>0</v>
      </c>
      <c r="Z31" s="603">
        <v>0</v>
      </c>
      <c r="AA31" s="604">
        <v>81.725315778318617</v>
      </c>
      <c r="AB31" s="605">
        <v>8.8850374199999997</v>
      </c>
      <c r="AC31" s="605">
        <v>0</v>
      </c>
      <c r="AD31" s="605">
        <v>0</v>
      </c>
      <c r="AE31" s="605">
        <v>0</v>
      </c>
      <c r="AF31" s="605">
        <v>0</v>
      </c>
      <c r="AG31" s="605">
        <v>0</v>
      </c>
      <c r="AH31" s="605">
        <v>0</v>
      </c>
      <c r="AI31" s="603">
        <v>0</v>
      </c>
      <c r="AJ31" s="610">
        <v>0</v>
      </c>
      <c r="AK31" s="666"/>
      <c r="AL31" s="667"/>
      <c r="AM31" s="667"/>
      <c r="AN31" s="667"/>
      <c r="AO31" s="667"/>
      <c r="AP31" s="668"/>
      <c r="AQ31" s="666"/>
      <c r="AR31" s="667"/>
      <c r="AS31" s="605">
        <v>0</v>
      </c>
      <c r="AT31" s="605">
        <v>0</v>
      </c>
      <c r="AU31" s="605">
        <v>0</v>
      </c>
      <c r="AV31" s="605">
        <v>0</v>
      </c>
      <c r="AW31" s="605">
        <v>0</v>
      </c>
      <c r="AX31" s="605">
        <v>0</v>
      </c>
      <c r="AY31" s="605">
        <v>34.943099701313578</v>
      </c>
      <c r="AZ31" s="603">
        <v>0</v>
      </c>
      <c r="BA31" s="601">
        <v>763.71432903108996</v>
      </c>
      <c r="BB31" s="602">
        <v>8163.8288496815421</v>
      </c>
      <c r="BC31" s="603">
        <v>2372.5026893249997</v>
      </c>
      <c r="BD31" s="604">
        <v>1858.1339164542992</v>
      </c>
      <c r="BE31" s="605">
        <v>0</v>
      </c>
      <c r="BF31" s="605">
        <v>0</v>
      </c>
      <c r="BG31" s="606">
        <v>0</v>
      </c>
      <c r="BH31" s="607">
        <v>1355.9128673296327</v>
      </c>
      <c r="BI31" s="605">
        <v>0</v>
      </c>
      <c r="BJ31" s="605">
        <v>0</v>
      </c>
      <c r="BK31" s="608">
        <v>0</v>
      </c>
      <c r="BL31" s="604">
        <v>243.52617576488001</v>
      </c>
      <c r="BM31" s="609">
        <v>0</v>
      </c>
      <c r="BN31" s="605">
        <v>0</v>
      </c>
      <c r="BO31" s="605">
        <v>0</v>
      </c>
      <c r="BP31" s="605">
        <v>0.41662541388866331</v>
      </c>
      <c r="BQ31" s="605">
        <v>0</v>
      </c>
      <c r="BR31" s="606">
        <v>0</v>
      </c>
      <c r="BS31" s="610">
        <v>31.11819774408</v>
      </c>
      <c r="BT31" s="666"/>
      <c r="BU31" s="667"/>
      <c r="BV31" s="605">
        <v>112328.2285714286</v>
      </c>
      <c r="BW31" s="605">
        <v>0</v>
      </c>
      <c r="BX31" s="608">
        <v>0</v>
      </c>
      <c r="BY31" s="677">
        <v>0</v>
      </c>
      <c r="BZ31" s="678">
        <v>0</v>
      </c>
      <c r="CA31" s="678">
        <v>0</v>
      </c>
      <c r="CB31" s="679">
        <v>0</v>
      </c>
      <c r="CC31" s="586"/>
      <c r="CD31" s="667"/>
      <c r="CE31" s="667"/>
      <c r="CF31" s="667"/>
      <c r="CG31" s="668"/>
      <c r="CH31" s="611">
        <v>630.07595159856089</v>
      </c>
      <c r="CI31" s="591"/>
      <c r="CJ31" s="584"/>
      <c r="CK31" s="584"/>
      <c r="CL31" s="584"/>
      <c r="CM31" s="674"/>
      <c r="CN31" s="675"/>
      <c r="CO31" s="584"/>
      <c r="CP31" s="584"/>
      <c r="CQ31" s="585"/>
    </row>
    <row r="32" spans="1:95" ht="15.75" thickBot="1">
      <c r="A32" s="425"/>
      <c r="B32" s="561">
        <v>2011</v>
      </c>
      <c r="C32" s="604">
        <v>0</v>
      </c>
      <c r="D32" s="605">
        <v>0</v>
      </c>
      <c r="E32" s="605">
        <v>0</v>
      </c>
      <c r="F32" s="605">
        <v>0</v>
      </c>
      <c r="G32" s="605">
        <v>0</v>
      </c>
      <c r="H32" s="605">
        <v>0</v>
      </c>
      <c r="I32" s="605">
        <v>0</v>
      </c>
      <c r="J32" s="605">
        <v>0</v>
      </c>
      <c r="K32" s="605">
        <v>0</v>
      </c>
      <c r="L32" s="605">
        <v>0</v>
      </c>
      <c r="M32" s="605">
        <v>0</v>
      </c>
      <c r="N32" s="676">
        <v>0</v>
      </c>
      <c r="O32" s="609">
        <v>0</v>
      </c>
      <c r="P32" s="605">
        <v>2.8037436843600005</v>
      </c>
      <c r="Q32" s="605">
        <v>538.26285258000007</v>
      </c>
      <c r="R32" s="605">
        <v>0</v>
      </c>
      <c r="S32" s="605">
        <v>0</v>
      </c>
      <c r="T32" s="605">
        <v>0</v>
      </c>
      <c r="U32" s="605">
        <v>0</v>
      </c>
      <c r="V32" s="605">
        <v>0</v>
      </c>
      <c r="W32" s="605">
        <v>0</v>
      </c>
      <c r="X32" s="605">
        <v>0</v>
      </c>
      <c r="Y32" s="605">
        <v>0</v>
      </c>
      <c r="Z32" s="603">
        <v>0</v>
      </c>
      <c r="AA32" s="604">
        <v>83.359822093884986</v>
      </c>
      <c r="AB32" s="605">
        <v>9.062738168400001</v>
      </c>
      <c r="AC32" s="605">
        <v>0</v>
      </c>
      <c r="AD32" s="605">
        <v>0</v>
      </c>
      <c r="AE32" s="605">
        <v>0</v>
      </c>
      <c r="AF32" s="605">
        <v>0</v>
      </c>
      <c r="AG32" s="605">
        <v>0</v>
      </c>
      <c r="AH32" s="605">
        <v>0</v>
      </c>
      <c r="AI32" s="603">
        <v>0</v>
      </c>
      <c r="AJ32" s="610">
        <v>0</v>
      </c>
      <c r="AK32" s="666"/>
      <c r="AL32" s="667"/>
      <c r="AM32" s="667"/>
      <c r="AN32" s="667"/>
      <c r="AO32" s="667"/>
      <c r="AP32" s="668"/>
      <c r="AQ32" s="666"/>
      <c r="AR32" s="667"/>
      <c r="AS32" s="605">
        <v>0</v>
      </c>
      <c r="AT32" s="605">
        <v>0</v>
      </c>
      <c r="AU32" s="605">
        <v>0</v>
      </c>
      <c r="AV32" s="605">
        <v>0</v>
      </c>
      <c r="AW32" s="605">
        <v>0</v>
      </c>
      <c r="AX32" s="605">
        <v>0</v>
      </c>
      <c r="AY32" s="605">
        <v>35.641961695339852</v>
      </c>
      <c r="AZ32" s="603">
        <v>0</v>
      </c>
      <c r="BA32" s="601">
        <v>778.98861561171179</v>
      </c>
      <c r="BB32" s="602">
        <v>8327.1054266751726</v>
      </c>
      <c r="BC32" s="603">
        <v>2419.9527431114998</v>
      </c>
      <c r="BD32" s="604">
        <v>1895.296594783385</v>
      </c>
      <c r="BE32" s="605">
        <v>0</v>
      </c>
      <c r="BF32" s="605">
        <v>0</v>
      </c>
      <c r="BG32" s="606">
        <v>0</v>
      </c>
      <c r="BH32" s="607">
        <v>1383.0311246762255</v>
      </c>
      <c r="BI32" s="605">
        <v>0</v>
      </c>
      <c r="BJ32" s="605">
        <v>0</v>
      </c>
      <c r="BK32" s="608">
        <v>0</v>
      </c>
      <c r="BL32" s="604">
        <v>248.39669928017761</v>
      </c>
      <c r="BM32" s="609">
        <v>0</v>
      </c>
      <c r="BN32" s="605">
        <v>0</v>
      </c>
      <c r="BO32" s="605">
        <v>0</v>
      </c>
      <c r="BP32" s="605">
        <v>0.42495792216643657</v>
      </c>
      <c r="BQ32" s="605">
        <v>0</v>
      </c>
      <c r="BR32" s="606">
        <v>0</v>
      </c>
      <c r="BS32" s="610">
        <v>31.740561698961599</v>
      </c>
      <c r="BT32" s="666"/>
      <c r="BU32" s="667"/>
      <c r="BV32" s="605">
        <v>114574.79314285716</v>
      </c>
      <c r="BW32" s="605">
        <v>0</v>
      </c>
      <c r="BX32" s="608">
        <v>0</v>
      </c>
      <c r="BY32" s="677">
        <v>0</v>
      </c>
      <c r="BZ32" s="678">
        <v>0</v>
      </c>
      <c r="CA32" s="678">
        <v>0</v>
      </c>
      <c r="CB32" s="679">
        <v>0</v>
      </c>
      <c r="CC32" s="586"/>
      <c r="CD32" s="667"/>
      <c r="CE32" s="667"/>
      <c r="CF32" s="667"/>
      <c r="CG32" s="668"/>
      <c r="CH32" s="611">
        <v>642.67747063053207</v>
      </c>
      <c r="CI32" s="591"/>
      <c r="CJ32" s="584"/>
      <c r="CK32" s="584"/>
      <c r="CL32" s="584"/>
      <c r="CM32" s="674"/>
      <c r="CN32" s="675"/>
      <c r="CO32" s="584"/>
      <c r="CP32" s="584"/>
      <c r="CQ32" s="585"/>
    </row>
    <row r="33" spans="1:95" ht="15.75" thickBot="1">
      <c r="A33" s="425"/>
      <c r="B33" s="561">
        <v>2012</v>
      </c>
      <c r="C33" s="604">
        <v>0</v>
      </c>
      <c r="D33" s="605">
        <v>0</v>
      </c>
      <c r="E33" s="605">
        <v>0</v>
      </c>
      <c r="F33" s="605">
        <v>0</v>
      </c>
      <c r="G33" s="605">
        <v>0</v>
      </c>
      <c r="H33" s="605">
        <v>0</v>
      </c>
      <c r="I33" s="605">
        <v>0</v>
      </c>
      <c r="J33" s="605">
        <v>0</v>
      </c>
      <c r="K33" s="605">
        <v>0</v>
      </c>
      <c r="L33" s="605">
        <v>0</v>
      </c>
      <c r="M33" s="605">
        <v>0</v>
      </c>
      <c r="N33" s="676">
        <v>0</v>
      </c>
      <c r="O33" s="609">
        <v>0</v>
      </c>
      <c r="P33" s="605">
        <v>2.8598185580472006</v>
      </c>
      <c r="Q33" s="605">
        <v>549.02810963160005</v>
      </c>
      <c r="R33" s="605">
        <v>0</v>
      </c>
      <c r="S33" s="605">
        <v>0</v>
      </c>
      <c r="T33" s="605">
        <v>0</v>
      </c>
      <c r="U33" s="605">
        <v>0</v>
      </c>
      <c r="V33" s="605">
        <v>0</v>
      </c>
      <c r="W33" s="605">
        <v>0</v>
      </c>
      <c r="X33" s="605">
        <v>0</v>
      </c>
      <c r="Y33" s="605">
        <v>0</v>
      </c>
      <c r="Z33" s="603">
        <v>0</v>
      </c>
      <c r="AA33" s="604">
        <v>85.027018535762679</v>
      </c>
      <c r="AB33" s="605">
        <v>9.2439929317680001</v>
      </c>
      <c r="AC33" s="605">
        <v>0</v>
      </c>
      <c r="AD33" s="605">
        <v>0</v>
      </c>
      <c r="AE33" s="605">
        <v>0</v>
      </c>
      <c r="AF33" s="605">
        <v>0</v>
      </c>
      <c r="AG33" s="605">
        <v>0</v>
      </c>
      <c r="AH33" s="605">
        <v>0</v>
      </c>
      <c r="AI33" s="603">
        <v>0</v>
      </c>
      <c r="AJ33" s="610">
        <v>0</v>
      </c>
      <c r="AK33" s="666"/>
      <c r="AL33" s="667"/>
      <c r="AM33" s="667"/>
      <c r="AN33" s="667"/>
      <c r="AO33" s="667"/>
      <c r="AP33" s="668"/>
      <c r="AQ33" s="666"/>
      <c r="AR33" s="667"/>
      <c r="AS33" s="605">
        <v>0</v>
      </c>
      <c r="AT33" s="605">
        <v>0</v>
      </c>
      <c r="AU33" s="605">
        <v>0</v>
      </c>
      <c r="AV33" s="605">
        <v>0</v>
      </c>
      <c r="AW33" s="605">
        <v>0</v>
      </c>
      <c r="AX33" s="605">
        <v>0</v>
      </c>
      <c r="AY33" s="605">
        <v>36.354800929246643</v>
      </c>
      <c r="AZ33" s="603">
        <v>0</v>
      </c>
      <c r="BA33" s="601">
        <v>794.56838792394603</v>
      </c>
      <c r="BB33" s="602">
        <v>8493.6475352086763</v>
      </c>
      <c r="BC33" s="603">
        <v>2468.3517979737298</v>
      </c>
      <c r="BD33" s="604">
        <v>1933.2025266790529</v>
      </c>
      <c r="BE33" s="605">
        <v>0</v>
      </c>
      <c r="BF33" s="605">
        <v>0</v>
      </c>
      <c r="BG33" s="606">
        <v>0</v>
      </c>
      <c r="BH33" s="607">
        <v>1410.6917471697502</v>
      </c>
      <c r="BI33" s="605">
        <v>0</v>
      </c>
      <c r="BJ33" s="605">
        <v>0</v>
      </c>
      <c r="BK33" s="608">
        <v>0</v>
      </c>
      <c r="BL33" s="604">
        <v>253.36463326578115</v>
      </c>
      <c r="BM33" s="609">
        <v>0</v>
      </c>
      <c r="BN33" s="605">
        <v>0</v>
      </c>
      <c r="BO33" s="605">
        <v>0</v>
      </c>
      <c r="BP33" s="605">
        <v>0.43345708060976529</v>
      </c>
      <c r="BQ33" s="605">
        <v>0</v>
      </c>
      <c r="BR33" s="606">
        <v>0</v>
      </c>
      <c r="BS33" s="610">
        <v>32.375372932940834</v>
      </c>
      <c r="BT33" s="666"/>
      <c r="BU33" s="667"/>
      <c r="BV33" s="605">
        <v>116866.28900571431</v>
      </c>
      <c r="BW33" s="605">
        <v>0</v>
      </c>
      <c r="BX33" s="608">
        <v>0</v>
      </c>
      <c r="BY33" s="677">
        <v>0</v>
      </c>
      <c r="BZ33" s="678">
        <v>0</v>
      </c>
      <c r="CA33" s="678">
        <v>0</v>
      </c>
      <c r="CB33" s="679">
        <v>0</v>
      </c>
      <c r="CC33" s="586"/>
      <c r="CD33" s="667"/>
      <c r="CE33" s="667"/>
      <c r="CF33" s="667"/>
      <c r="CG33" s="668"/>
      <c r="CH33" s="611">
        <v>655.53102004314269</v>
      </c>
      <c r="CI33" s="591"/>
      <c r="CJ33" s="584"/>
      <c r="CK33" s="584"/>
      <c r="CL33" s="584"/>
      <c r="CM33" s="674"/>
      <c r="CN33" s="675"/>
      <c r="CO33" s="584"/>
      <c r="CP33" s="584"/>
      <c r="CQ33" s="585"/>
    </row>
    <row r="34" spans="1:95" ht="15.75" thickBot="1">
      <c r="A34" s="425"/>
      <c r="B34" s="561">
        <v>2013</v>
      </c>
      <c r="C34" s="604">
        <v>0</v>
      </c>
      <c r="D34" s="605">
        <v>0</v>
      </c>
      <c r="E34" s="605">
        <v>0</v>
      </c>
      <c r="F34" s="605">
        <v>0</v>
      </c>
      <c r="G34" s="605">
        <v>0</v>
      </c>
      <c r="H34" s="605">
        <v>0</v>
      </c>
      <c r="I34" s="605">
        <v>0</v>
      </c>
      <c r="J34" s="605">
        <v>0</v>
      </c>
      <c r="K34" s="605">
        <v>0</v>
      </c>
      <c r="L34" s="605">
        <v>0</v>
      </c>
      <c r="M34" s="605">
        <v>0</v>
      </c>
      <c r="N34" s="676">
        <v>0</v>
      </c>
      <c r="O34" s="609">
        <v>0</v>
      </c>
      <c r="P34" s="605">
        <v>2.9170149292081442</v>
      </c>
      <c r="Q34" s="605">
        <v>560.00867182423212</v>
      </c>
      <c r="R34" s="605">
        <v>0</v>
      </c>
      <c r="S34" s="605">
        <v>0</v>
      </c>
      <c r="T34" s="605">
        <v>0</v>
      </c>
      <c r="U34" s="605">
        <v>0</v>
      </c>
      <c r="V34" s="605">
        <v>0</v>
      </c>
      <c r="W34" s="605">
        <v>0</v>
      </c>
      <c r="X34" s="605">
        <v>0</v>
      </c>
      <c r="Y34" s="605">
        <v>0</v>
      </c>
      <c r="Z34" s="603">
        <v>0</v>
      </c>
      <c r="AA34" s="604">
        <v>86.727558906477938</v>
      </c>
      <c r="AB34" s="605">
        <v>9.4288727904033607</v>
      </c>
      <c r="AC34" s="605">
        <v>0</v>
      </c>
      <c r="AD34" s="605">
        <v>0</v>
      </c>
      <c r="AE34" s="605">
        <v>0</v>
      </c>
      <c r="AF34" s="605">
        <v>0</v>
      </c>
      <c r="AG34" s="605">
        <v>0</v>
      </c>
      <c r="AH34" s="605">
        <v>0</v>
      </c>
      <c r="AI34" s="603">
        <v>0</v>
      </c>
      <c r="AJ34" s="610">
        <v>0</v>
      </c>
      <c r="AK34" s="666"/>
      <c r="AL34" s="667"/>
      <c r="AM34" s="667"/>
      <c r="AN34" s="667"/>
      <c r="AO34" s="667"/>
      <c r="AP34" s="668"/>
      <c r="AQ34" s="666"/>
      <c r="AR34" s="667"/>
      <c r="AS34" s="605">
        <v>0</v>
      </c>
      <c r="AT34" s="605">
        <v>0</v>
      </c>
      <c r="AU34" s="605">
        <v>0</v>
      </c>
      <c r="AV34" s="605">
        <v>0</v>
      </c>
      <c r="AW34" s="605">
        <v>0</v>
      </c>
      <c r="AX34" s="605">
        <v>0</v>
      </c>
      <c r="AY34" s="605">
        <v>37.081896947831574</v>
      </c>
      <c r="AZ34" s="603">
        <v>0</v>
      </c>
      <c r="BA34" s="601">
        <v>810.459755682425</v>
      </c>
      <c r="BB34" s="602">
        <v>8663.5204859128498</v>
      </c>
      <c r="BC34" s="603">
        <v>2517.7188339332047</v>
      </c>
      <c r="BD34" s="604">
        <v>1971.866577212634</v>
      </c>
      <c r="BE34" s="605">
        <v>0</v>
      </c>
      <c r="BF34" s="605">
        <v>0</v>
      </c>
      <c r="BG34" s="606">
        <v>0</v>
      </c>
      <c r="BH34" s="607">
        <v>1438.9055821131453</v>
      </c>
      <c r="BI34" s="605">
        <v>0</v>
      </c>
      <c r="BJ34" s="605">
        <v>0</v>
      </c>
      <c r="BK34" s="608">
        <v>0</v>
      </c>
      <c r="BL34" s="604">
        <v>258.43192593109677</v>
      </c>
      <c r="BM34" s="609">
        <v>0</v>
      </c>
      <c r="BN34" s="605">
        <v>0</v>
      </c>
      <c r="BO34" s="605">
        <v>0</v>
      </c>
      <c r="BP34" s="605">
        <v>0.44212622222196063</v>
      </c>
      <c r="BQ34" s="605">
        <v>0</v>
      </c>
      <c r="BR34" s="606">
        <v>0</v>
      </c>
      <c r="BS34" s="610">
        <v>33.022880391599656</v>
      </c>
      <c r="BT34" s="666"/>
      <c r="BU34" s="667"/>
      <c r="BV34" s="605">
        <v>119203.61478582858</v>
      </c>
      <c r="BW34" s="605">
        <v>0</v>
      </c>
      <c r="BX34" s="608">
        <v>0</v>
      </c>
      <c r="BY34" s="677">
        <v>0</v>
      </c>
      <c r="BZ34" s="678">
        <v>0</v>
      </c>
      <c r="CA34" s="678">
        <v>0</v>
      </c>
      <c r="CB34" s="679">
        <v>0</v>
      </c>
      <c r="CC34" s="586"/>
      <c r="CD34" s="667"/>
      <c r="CE34" s="667"/>
      <c r="CF34" s="667"/>
      <c r="CG34" s="668"/>
      <c r="CH34" s="611">
        <v>668.6416404440057</v>
      </c>
      <c r="CI34" s="591"/>
      <c r="CJ34" s="584"/>
      <c r="CK34" s="584"/>
      <c r="CL34" s="584"/>
      <c r="CM34" s="674"/>
      <c r="CN34" s="675"/>
      <c r="CO34" s="584"/>
      <c r="CP34" s="584"/>
      <c r="CQ34" s="585"/>
    </row>
    <row r="35" spans="1:95" ht="15.75" thickBot="1">
      <c r="A35" s="425"/>
      <c r="B35" s="561">
        <v>2014</v>
      </c>
      <c r="C35" s="604">
        <v>0</v>
      </c>
      <c r="D35" s="605">
        <v>0</v>
      </c>
      <c r="E35" s="605">
        <v>0</v>
      </c>
      <c r="F35" s="605">
        <v>0</v>
      </c>
      <c r="G35" s="605">
        <v>0</v>
      </c>
      <c r="H35" s="605">
        <v>0</v>
      </c>
      <c r="I35" s="605">
        <v>0</v>
      </c>
      <c r="J35" s="605">
        <v>0</v>
      </c>
      <c r="K35" s="605">
        <v>0</v>
      </c>
      <c r="L35" s="605">
        <v>0</v>
      </c>
      <c r="M35" s="605">
        <v>0</v>
      </c>
      <c r="N35" s="676">
        <v>0</v>
      </c>
      <c r="O35" s="609">
        <v>0</v>
      </c>
      <c r="P35" s="605">
        <v>2.9753552277923072</v>
      </c>
      <c r="Q35" s="605">
        <v>571.20884526071677</v>
      </c>
      <c r="R35" s="605">
        <v>0</v>
      </c>
      <c r="S35" s="605">
        <v>0</v>
      </c>
      <c r="T35" s="605">
        <v>0</v>
      </c>
      <c r="U35" s="605">
        <v>0</v>
      </c>
      <c r="V35" s="605">
        <v>0</v>
      </c>
      <c r="W35" s="605">
        <v>0</v>
      </c>
      <c r="X35" s="605">
        <v>0</v>
      </c>
      <c r="Y35" s="605">
        <v>0</v>
      </c>
      <c r="Z35" s="603">
        <v>0</v>
      </c>
      <c r="AA35" s="604">
        <v>88.462110084607502</v>
      </c>
      <c r="AB35" s="605">
        <v>9.617450246211428</v>
      </c>
      <c r="AC35" s="605">
        <v>0</v>
      </c>
      <c r="AD35" s="605">
        <v>0</v>
      </c>
      <c r="AE35" s="605">
        <v>0</v>
      </c>
      <c r="AF35" s="605">
        <v>0</v>
      </c>
      <c r="AG35" s="605">
        <v>0</v>
      </c>
      <c r="AH35" s="605">
        <v>0</v>
      </c>
      <c r="AI35" s="603">
        <v>0</v>
      </c>
      <c r="AJ35" s="610">
        <v>0</v>
      </c>
      <c r="AK35" s="666"/>
      <c r="AL35" s="667"/>
      <c r="AM35" s="667"/>
      <c r="AN35" s="667"/>
      <c r="AO35" s="667"/>
      <c r="AP35" s="668"/>
      <c r="AQ35" s="666"/>
      <c r="AR35" s="667"/>
      <c r="AS35" s="605">
        <v>0</v>
      </c>
      <c r="AT35" s="605">
        <v>0</v>
      </c>
      <c r="AU35" s="605">
        <v>0</v>
      </c>
      <c r="AV35" s="605">
        <v>0</v>
      </c>
      <c r="AW35" s="605">
        <v>0</v>
      </c>
      <c r="AX35" s="605">
        <v>0</v>
      </c>
      <c r="AY35" s="605">
        <v>37.82353488678821</v>
      </c>
      <c r="AZ35" s="603">
        <v>0</v>
      </c>
      <c r="BA35" s="601">
        <v>826.66895079607355</v>
      </c>
      <c r="BB35" s="602">
        <v>8836.7908956311076</v>
      </c>
      <c r="BC35" s="603">
        <v>2568.0732106118685</v>
      </c>
      <c r="BD35" s="604">
        <v>2011.3039087568866</v>
      </c>
      <c r="BE35" s="605">
        <v>0</v>
      </c>
      <c r="BF35" s="605">
        <v>0</v>
      </c>
      <c r="BG35" s="606">
        <v>0</v>
      </c>
      <c r="BH35" s="607">
        <v>1467.6836937554083</v>
      </c>
      <c r="BI35" s="605">
        <v>0</v>
      </c>
      <c r="BJ35" s="605">
        <v>0</v>
      </c>
      <c r="BK35" s="608">
        <v>0</v>
      </c>
      <c r="BL35" s="604">
        <v>263.60056444971872</v>
      </c>
      <c r="BM35" s="609">
        <v>0</v>
      </c>
      <c r="BN35" s="605">
        <v>0</v>
      </c>
      <c r="BO35" s="605">
        <v>0</v>
      </c>
      <c r="BP35" s="605">
        <v>0.4509687466663998</v>
      </c>
      <c r="BQ35" s="605">
        <v>0</v>
      </c>
      <c r="BR35" s="606">
        <v>0</v>
      </c>
      <c r="BS35" s="610">
        <v>33.68333799943165</v>
      </c>
      <c r="BT35" s="666"/>
      <c r="BU35" s="667"/>
      <c r="BV35" s="605">
        <v>121587.68708154517</v>
      </c>
      <c r="BW35" s="605">
        <v>0</v>
      </c>
      <c r="BX35" s="608">
        <v>0</v>
      </c>
      <c r="BY35" s="677">
        <v>0</v>
      </c>
      <c r="BZ35" s="678">
        <v>0</v>
      </c>
      <c r="CA35" s="678">
        <v>0</v>
      </c>
      <c r="CB35" s="679">
        <v>0</v>
      </c>
      <c r="CC35" s="586"/>
      <c r="CD35" s="667"/>
      <c r="CE35" s="667"/>
      <c r="CF35" s="667"/>
      <c r="CG35" s="668"/>
      <c r="CH35" s="611">
        <v>682.01447325288586</v>
      </c>
      <c r="CI35" s="591"/>
      <c r="CJ35" s="584"/>
      <c r="CK35" s="584"/>
      <c r="CL35" s="584"/>
      <c r="CM35" s="674"/>
      <c r="CN35" s="675"/>
      <c r="CO35" s="584"/>
      <c r="CP35" s="584"/>
      <c r="CQ35" s="585"/>
    </row>
    <row r="36" spans="1:95" ht="15.75" thickBot="1">
      <c r="A36" s="425"/>
      <c r="B36" s="561">
        <v>2015</v>
      </c>
      <c r="C36" s="604">
        <v>0</v>
      </c>
      <c r="D36" s="605">
        <v>0</v>
      </c>
      <c r="E36" s="605">
        <v>0</v>
      </c>
      <c r="F36" s="605">
        <v>0</v>
      </c>
      <c r="G36" s="605">
        <v>0</v>
      </c>
      <c r="H36" s="605">
        <v>0</v>
      </c>
      <c r="I36" s="605">
        <v>0</v>
      </c>
      <c r="J36" s="605">
        <v>0</v>
      </c>
      <c r="K36" s="605">
        <v>0</v>
      </c>
      <c r="L36" s="605">
        <v>0</v>
      </c>
      <c r="M36" s="605">
        <v>0</v>
      </c>
      <c r="N36" s="676">
        <v>0</v>
      </c>
      <c r="O36" s="609">
        <v>0</v>
      </c>
      <c r="P36" s="605">
        <v>3.0348623323481534</v>
      </c>
      <c r="Q36" s="605">
        <v>582.63302216593104</v>
      </c>
      <c r="R36" s="605">
        <v>0</v>
      </c>
      <c r="S36" s="605">
        <v>0</v>
      </c>
      <c r="T36" s="605">
        <v>0</v>
      </c>
      <c r="U36" s="605">
        <v>0</v>
      </c>
      <c r="V36" s="605">
        <v>0</v>
      </c>
      <c r="W36" s="605">
        <v>0</v>
      </c>
      <c r="X36" s="605">
        <v>0</v>
      </c>
      <c r="Y36" s="605">
        <v>0</v>
      </c>
      <c r="Z36" s="603">
        <v>0</v>
      </c>
      <c r="AA36" s="604">
        <v>90.231352286299654</v>
      </c>
      <c r="AB36" s="605">
        <v>9.809799251135658</v>
      </c>
      <c r="AC36" s="605">
        <v>0</v>
      </c>
      <c r="AD36" s="605">
        <v>0</v>
      </c>
      <c r="AE36" s="605">
        <v>0</v>
      </c>
      <c r="AF36" s="605">
        <v>0</v>
      </c>
      <c r="AG36" s="605">
        <v>0</v>
      </c>
      <c r="AH36" s="605">
        <v>0</v>
      </c>
      <c r="AI36" s="603">
        <v>0</v>
      </c>
      <c r="AJ36" s="610">
        <v>0</v>
      </c>
      <c r="AK36" s="666"/>
      <c r="AL36" s="667"/>
      <c r="AM36" s="667"/>
      <c r="AN36" s="667"/>
      <c r="AO36" s="667"/>
      <c r="AP36" s="668"/>
      <c r="AQ36" s="666"/>
      <c r="AR36" s="667"/>
      <c r="AS36" s="605">
        <v>0</v>
      </c>
      <c r="AT36" s="605">
        <v>0</v>
      </c>
      <c r="AU36" s="605">
        <v>0</v>
      </c>
      <c r="AV36" s="605">
        <v>0</v>
      </c>
      <c r="AW36" s="605">
        <v>0</v>
      </c>
      <c r="AX36" s="605">
        <v>0</v>
      </c>
      <c r="AY36" s="605">
        <v>38.580005584523974</v>
      </c>
      <c r="AZ36" s="603">
        <v>0</v>
      </c>
      <c r="BA36" s="601">
        <v>843.20232981199501</v>
      </c>
      <c r="BB36" s="602">
        <v>9013.5267135437298</v>
      </c>
      <c r="BC36" s="603">
        <v>2619.434674824106</v>
      </c>
      <c r="BD36" s="604">
        <v>2051.5299869320243</v>
      </c>
      <c r="BE36" s="605">
        <v>0</v>
      </c>
      <c r="BF36" s="605">
        <v>0</v>
      </c>
      <c r="BG36" s="606">
        <v>0</v>
      </c>
      <c r="BH36" s="607">
        <v>1497.0373676305164</v>
      </c>
      <c r="BI36" s="605">
        <v>0</v>
      </c>
      <c r="BJ36" s="605">
        <v>0</v>
      </c>
      <c r="BK36" s="608">
        <v>0</v>
      </c>
      <c r="BL36" s="604">
        <v>268.87257573871307</v>
      </c>
      <c r="BM36" s="609">
        <v>0</v>
      </c>
      <c r="BN36" s="605">
        <v>0</v>
      </c>
      <c r="BO36" s="605">
        <v>0</v>
      </c>
      <c r="BP36" s="605">
        <v>0.45998812159972785</v>
      </c>
      <c r="BQ36" s="605">
        <v>0</v>
      </c>
      <c r="BR36" s="606">
        <v>0</v>
      </c>
      <c r="BS36" s="610">
        <v>34.357004759420285</v>
      </c>
      <c r="BT36" s="666"/>
      <c r="BU36" s="667"/>
      <c r="BV36" s="605">
        <v>124019.44082317608</v>
      </c>
      <c r="BW36" s="605">
        <v>0</v>
      </c>
      <c r="BX36" s="608">
        <v>0</v>
      </c>
      <c r="BY36" s="677">
        <v>0</v>
      </c>
      <c r="BZ36" s="678">
        <v>0</v>
      </c>
      <c r="CA36" s="678">
        <v>0</v>
      </c>
      <c r="CB36" s="679">
        <v>0</v>
      </c>
      <c r="CC36" s="586"/>
      <c r="CD36" s="667"/>
      <c r="CE36" s="667"/>
      <c r="CF36" s="667"/>
      <c r="CG36" s="668"/>
      <c r="CH36" s="611">
        <v>695.65476271794341</v>
      </c>
      <c r="CI36" s="591"/>
      <c r="CJ36" s="584"/>
      <c r="CK36" s="584"/>
      <c r="CL36" s="584"/>
      <c r="CM36" s="674"/>
      <c r="CN36" s="675"/>
      <c r="CO36" s="584"/>
      <c r="CP36" s="584"/>
      <c r="CQ36" s="585"/>
    </row>
  </sheetData>
  <mergeCells count="1">
    <mergeCell ref="BS7:BS8"/>
  </mergeCell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106"/>
  <dimension ref="A2:AY51"/>
  <sheetViews>
    <sheetView workbookViewId="0">
      <pane ySplit="3" topLeftCell="A12" activePane="bottomLeft" state="frozen"/>
      <selection pane="bottomLeft" activeCell="R49" sqref="A31:XFD49"/>
    </sheetView>
  </sheetViews>
  <sheetFormatPr defaultRowHeight="15"/>
  <cols>
    <col min="1" max="12" width="12.7109375" customWidth="1"/>
  </cols>
  <sheetData>
    <row r="2" spans="1:51">
      <c r="B2" s="322" t="s">
        <v>308</v>
      </c>
      <c r="J2">
        <v>29</v>
      </c>
      <c r="K2">
        <v>28</v>
      </c>
      <c r="L2">
        <v>13</v>
      </c>
      <c r="M2">
        <v>12</v>
      </c>
      <c r="N2">
        <v>27</v>
      </c>
      <c r="O2">
        <v>25</v>
      </c>
      <c r="P2">
        <v>24</v>
      </c>
      <c r="Q2">
        <v>23</v>
      </c>
      <c r="R2">
        <v>22</v>
      </c>
      <c r="S2">
        <v>21</v>
      </c>
      <c r="T2">
        <v>20</v>
      </c>
      <c r="U2">
        <v>19</v>
      </c>
      <c r="V2">
        <v>18</v>
      </c>
      <c r="W2">
        <v>16</v>
      </c>
      <c r="X2">
        <v>15</v>
      </c>
      <c r="Y2">
        <v>11</v>
      </c>
      <c r="Z2">
        <v>10</v>
      </c>
      <c r="AA2">
        <v>9</v>
      </c>
      <c r="AB2">
        <v>6</v>
      </c>
      <c r="AC2">
        <v>5</v>
      </c>
      <c r="AD2">
        <v>4</v>
      </c>
      <c r="AE2">
        <v>3</v>
      </c>
      <c r="AF2">
        <v>2</v>
      </c>
      <c r="AG2">
        <v>1</v>
      </c>
      <c r="AH2">
        <v>26</v>
      </c>
      <c r="AI2">
        <v>25</v>
      </c>
      <c r="AJ2">
        <v>24</v>
      </c>
      <c r="AK2">
        <v>22</v>
      </c>
      <c r="AL2">
        <v>20</v>
      </c>
      <c r="AM2">
        <v>18</v>
      </c>
      <c r="AN2">
        <v>17</v>
      </c>
      <c r="AO2">
        <v>16</v>
      </c>
      <c r="AP2">
        <v>14</v>
      </c>
      <c r="AQ2">
        <v>11</v>
      </c>
      <c r="AR2">
        <v>10</v>
      </c>
      <c r="AS2">
        <v>8</v>
      </c>
      <c r="AT2">
        <v>6</v>
      </c>
      <c r="AU2">
        <v>4</v>
      </c>
      <c r="AV2">
        <v>3</v>
      </c>
      <c r="AW2">
        <v>2</v>
      </c>
    </row>
    <row r="3" spans="1:51" ht="120">
      <c r="A3" s="323" t="s">
        <v>309</v>
      </c>
      <c r="B3" s="323" t="s">
        <v>310</v>
      </c>
      <c r="C3" s="323" t="s">
        <v>311</v>
      </c>
      <c r="D3" s="323" t="s">
        <v>312</v>
      </c>
      <c r="E3" s="323" t="s">
        <v>313</v>
      </c>
      <c r="F3" s="323" t="s">
        <v>314</v>
      </c>
      <c r="G3" s="323" t="s">
        <v>315</v>
      </c>
      <c r="H3" s="323" t="s">
        <v>316</v>
      </c>
      <c r="I3" s="323" t="s">
        <v>317</v>
      </c>
      <c r="J3" s="324" t="e">
        <f ca="1">"Scope 3: "&amp;INDIRECT(OFFSET(Abatement_Scope_3_Air,-1,J$2))</f>
        <v>#REF!</v>
      </c>
      <c r="K3" s="324" t="e">
        <f ca="1">"Scope 3: "&amp;INDIRECT(OFFSET(Abatement_Scope_3_Air,-1,K$2))</f>
        <v>#REF!</v>
      </c>
      <c r="L3" s="324" t="str">
        <f ca="1">"Scope 3: "&amp;INDIRECT(OFFSET(Abatement_Scope_3_Air,-1,L$2))</f>
        <v>Scope 3: Parabolic Trough</v>
      </c>
      <c r="M3" s="324" t="str">
        <f ca="1">"Scope 3: "&amp;INDIRECT(OFFSET(Abatement_Scope_3_Commuting,-1,M$2))</f>
        <v>Scope 3: Dish Stirling</v>
      </c>
      <c r="N3" s="324" t="e">
        <f t="shared" ref="N3:AG3" ca="1" si="0">"Scope 2: "&amp;INDIRECT(OFFSET(Abatement_Scope_2,-1,N$2))</f>
        <v>#REF!</v>
      </c>
      <c r="O3" s="324" t="e">
        <f t="shared" ca="1" si="0"/>
        <v>#REF!</v>
      </c>
      <c r="P3" s="324" t="e">
        <f t="shared" ca="1" si="0"/>
        <v>#REF!</v>
      </c>
      <c r="Q3" s="324" t="str">
        <f t="shared" ca="1" si="0"/>
        <v>Scope 2: Behavior Change</v>
      </c>
      <c r="R3" s="324" t="str">
        <f t="shared" ca="1" si="0"/>
        <v>Scope 2: Reduced Automobile Reliance Strategies</v>
      </c>
      <c r="S3" s="324" t="str">
        <f t="shared" ca="1" si="0"/>
        <v>Scope 2: Reduced Air Travel</v>
      </c>
      <c r="T3" s="324" t="str">
        <f t="shared" ca="1" si="0"/>
        <v>Scope 2: Rooftop Solar PV</v>
      </c>
      <c r="U3" s="324" t="str">
        <f t="shared" ca="1" si="0"/>
        <v>Scope 2: Central Chiller Expansion</v>
      </c>
      <c r="V3" s="324" t="str">
        <f t="shared" ca="1" si="0"/>
        <v>Scope 2: Coal to Natural Gas Conversion @ Steam Plant</v>
      </c>
      <c r="W3" s="324" t="str">
        <f t="shared" ca="1" si="0"/>
        <v>Scope 2: Space Planning &amp; Management</v>
      </c>
      <c r="X3" s="324" t="str">
        <f t="shared" ca="1" si="0"/>
        <v>Scope 2: Building Design &amp; Construction Standards</v>
      </c>
      <c r="Y3" s="324" t="str">
        <f t="shared" ca="1" si="0"/>
        <v>Scope 2: Waste Reduction</v>
      </c>
      <c r="Z3" s="324" t="str">
        <f t="shared" ca="1" si="0"/>
        <v>Scope 2: Solar DHW</v>
      </c>
      <c r="AA3" s="324" t="str">
        <f t="shared" ca="1" si="0"/>
        <v>Scope 2: Geo Exchange</v>
      </c>
      <c r="AB3" s="324" t="str">
        <f t="shared" ca="1" si="0"/>
        <v>Scope 2: Long-term Energy Conservation Measures</v>
      </c>
      <c r="AC3" s="324" t="str">
        <f t="shared" ca="1" si="0"/>
        <v>Scope 2: Mid-term Energy Conservation Measures</v>
      </c>
      <c r="AD3" s="324" t="str">
        <f t="shared" ca="1" si="0"/>
        <v>Scope 2: Short-term Energy Conservation Measures</v>
      </c>
      <c r="AE3" s="324" t="str">
        <f t="shared" ca="1" si="0"/>
        <v>Scope 2: On-site Wind</v>
      </c>
      <c r="AF3" s="324" t="str">
        <f t="shared" ca="1" si="0"/>
        <v>Scope 2: Green Power Purchase (MCCo Reserve Fund)</v>
      </c>
      <c r="AG3" s="324" t="str">
        <f t="shared" ca="1" si="0"/>
        <v>Scope 2: Green Power Purchase Opt 1 (Partial)</v>
      </c>
      <c r="AH3" s="324" t="e">
        <f t="shared" ref="AH3:AW3" ca="1" si="1">"Scope 1: "&amp;INDIRECT(OFFSET(Abatement_Scope_1,-1,AH$2))</f>
        <v>#REF!</v>
      </c>
      <c r="AI3" s="324" t="e">
        <f t="shared" ca="1" si="1"/>
        <v>#REF!</v>
      </c>
      <c r="AJ3" s="324" t="e">
        <f t="shared" ca="1" si="1"/>
        <v>#REF!</v>
      </c>
      <c r="AK3" s="324" t="str">
        <f t="shared" ca="1" si="1"/>
        <v>Scope 1: Reduced Automobile Reliance Strategies</v>
      </c>
      <c r="AL3" s="324" t="str">
        <f t="shared" ca="1" si="1"/>
        <v>Scope 1: Rooftop Solar PV</v>
      </c>
      <c r="AM3" s="324" t="str">
        <f t="shared" ca="1" si="1"/>
        <v>Scope 1: Coal to Natural Gas Conversion @ Steam Plant</v>
      </c>
      <c r="AN3" s="324" t="str">
        <f t="shared" ca="1" si="1"/>
        <v>Scope 1: Combined Heat &amp; Power</v>
      </c>
      <c r="AO3" s="324" t="str">
        <f t="shared" ca="1" si="1"/>
        <v>Scope 1: Space Planning &amp; Management</v>
      </c>
      <c r="AP3" s="324" t="str">
        <f t="shared" ca="1" si="1"/>
        <v>Scope 1: Green IT</v>
      </c>
      <c r="AQ3" s="324" t="str">
        <f t="shared" ca="1" si="1"/>
        <v>Scope 1: Waste Reduction</v>
      </c>
      <c r="AR3" s="324" t="str">
        <f t="shared" ca="1" si="1"/>
        <v>Scope 1: Solar DHW</v>
      </c>
      <c r="AS3" s="324" t="str">
        <f t="shared" ca="1" si="1"/>
        <v>Scope 1: Unitary Chiller Upgrades</v>
      </c>
      <c r="AT3" s="324" t="str">
        <f t="shared" ca="1" si="1"/>
        <v>Scope 1: Long-term Energy Conservation Measures</v>
      </c>
      <c r="AU3" s="324" t="str">
        <f t="shared" ca="1" si="1"/>
        <v>Scope 1: Short-term Energy Conservation Measures</v>
      </c>
      <c r="AV3" s="324" t="str">
        <f t="shared" ca="1" si="1"/>
        <v>Scope 1: On-site Wind</v>
      </c>
      <c r="AW3" s="324" t="str">
        <f t="shared" ca="1" si="1"/>
        <v>Scope 1: Green Power Purchase (MCCo Reserve Fund)</v>
      </c>
      <c r="AX3" s="345" t="s">
        <v>355</v>
      </c>
      <c r="AY3" s="35"/>
    </row>
    <row r="4" spans="1:51" hidden="1">
      <c r="A4">
        <v>2005</v>
      </c>
    </row>
    <row r="5" spans="1:51" hidden="1">
      <c r="A5">
        <f>A4+1</f>
        <v>2006</v>
      </c>
      <c r="D5" s="1734" t="s">
        <v>318</v>
      </c>
    </row>
    <row r="6" spans="1:51" hidden="1">
      <c r="A6">
        <f t="shared" ref="A6:A49" si="2">A5+1</f>
        <v>2007</v>
      </c>
      <c r="D6" s="1734"/>
    </row>
    <row r="7" spans="1:51" hidden="1">
      <c r="A7">
        <f t="shared" si="2"/>
        <v>2008</v>
      </c>
      <c r="B7" s="123">
        <f>ExposureCalculations!G14</f>
        <v>0</v>
      </c>
      <c r="C7" s="123">
        <f>B7</f>
        <v>0</v>
      </c>
      <c r="D7" s="1734"/>
    </row>
    <row r="8" spans="1:51" hidden="1">
      <c r="A8">
        <f t="shared" si="2"/>
        <v>2009</v>
      </c>
      <c r="B8" s="123">
        <f ca="1">ExposureCalculations!G15</f>
        <v>263218.42990122229</v>
      </c>
      <c r="C8" s="123">
        <f ca="1">B8</f>
        <v>263218.42990122229</v>
      </c>
      <c r="D8" s="123"/>
    </row>
    <row r="9" spans="1:51">
      <c r="A9">
        <f t="shared" si="2"/>
        <v>2010</v>
      </c>
      <c r="B9" s="123">
        <f ca="1">ExposureCalculations!G16</f>
        <v>266371.49010856845</v>
      </c>
      <c r="C9" s="123">
        <f ca="1">($C$49-$C$8)/($A$49-$A$8)+C8</f>
        <v>256798.46819631444</v>
      </c>
      <c r="D9" s="123" t="e">
        <f ca="1">B9-SUM(J9:AX9)</f>
        <v>#REF!</v>
      </c>
      <c r="E9" s="123" t="e">
        <f ca="1">IF(F9=0,MAX(SUM('GHG Emissions'!P12:T12)-SUM(J9:K9)-(I9-('GHG Emissions'!N12-SUM(L9:M9))-('GHG Emissions'!J12-SUM(N9:AG9,AX9))-('GHG Emissions'!I12-SUM(AH9:AW9))),0),SUM('GHG Emissions'!P12:T12)-SUM(J9:K9))</f>
        <v>#REF!</v>
      </c>
      <c r="F9" s="123" t="e">
        <f ca="1">IF(G9=0,MAX('GHG Emissions'!N12-SUM(L9:M9)-(I9-('GHG Emissions'!J12-SUM(N9:AG9,AX9))-('GHG Emissions'!I12-SUM(AH9:AW9))),0),'GHG Emissions'!N12-SUM(L9:M9))</f>
        <v>#REF!</v>
      </c>
      <c r="G9" s="123" t="e">
        <f ca="1">IF(H9=0,MAX('GHG Emissions'!J12-SUM(N9:AG9,AX9)-(I9-('GHG Emissions'!I12-SUM(AH9:AW9))),0),'GHG Emissions'!J12-SUM(N9:AG9,AX9))</f>
        <v>#REF!</v>
      </c>
      <c r="H9" s="123" t="e">
        <f ca="1">IF(I9=0,'GHG Emissions'!I12-SUM(AH9:AW9),MAX('GHG Emissions'!I12-SUM(AH9:AW9)-I9,0))</f>
        <v>#REF!</v>
      </c>
      <c r="I9" s="123">
        <f ca="1">IFERROR(D9-C9,0)*I$51</f>
        <v>0</v>
      </c>
      <c r="J9" s="123" t="e">
        <f t="shared" ref="J9:L49" ca="1" si="3">-OFFSET(Abatement_Scope_3_Air,$A9-$A$8,J$2)*J$51</f>
        <v>#REF!</v>
      </c>
      <c r="K9" s="123" t="e">
        <f t="shared" ca="1" si="3"/>
        <v>#REF!</v>
      </c>
      <c r="L9" s="123">
        <f t="shared" ca="1" si="3"/>
        <v>0</v>
      </c>
      <c r="M9" s="123">
        <f t="shared" ref="M9:M49" ca="1" si="4">-OFFSET(Abatement_Scope_3_Commuting,$A9-$A$8,M$2)*M$51</f>
        <v>0</v>
      </c>
      <c r="N9" s="123" t="e">
        <f t="shared" ref="N9:AC24" ca="1" si="5">-OFFSET(Abatement_Scope_2,$A9-$A$8,N$2)*N$51</f>
        <v>#REF!</v>
      </c>
      <c r="O9" s="123" t="e">
        <f t="shared" ca="1" si="5"/>
        <v>#REF!</v>
      </c>
      <c r="P9" s="123" t="e">
        <f t="shared" ca="1" si="5"/>
        <v>#REF!</v>
      </c>
      <c r="Q9" s="123">
        <f t="shared" ca="1" si="5"/>
        <v>0</v>
      </c>
      <c r="R9" s="123">
        <f t="shared" ref="R9:AG9" ca="1" si="6">-OFFSET(Abatement_Scope_2,$A9-$A$8,R$2)*R$51</f>
        <v>0</v>
      </c>
      <c r="S9" s="123">
        <f t="shared" ca="1" si="6"/>
        <v>0</v>
      </c>
      <c r="T9" s="123">
        <f t="shared" ca="1" si="6"/>
        <v>0</v>
      </c>
      <c r="U9" s="123">
        <f t="shared" ca="1" si="6"/>
        <v>0</v>
      </c>
      <c r="V9" s="123">
        <f t="shared" ca="1" si="6"/>
        <v>0</v>
      </c>
      <c r="W9" s="123">
        <f t="shared" ca="1" si="6"/>
        <v>2011.5286795204174</v>
      </c>
      <c r="X9" s="123">
        <f t="shared" ca="1" si="6"/>
        <v>0</v>
      </c>
      <c r="Y9" s="123">
        <f t="shared" ca="1" si="6"/>
        <v>0</v>
      </c>
      <c r="Z9" s="123">
        <f t="shared" ca="1" si="6"/>
        <v>0</v>
      </c>
      <c r="AA9" s="123">
        <f t="shared" ca="1" si="6"/>
        <v>0</v>
      </c>
      <c r="AB9" s="123">
        <f t="shared" ca="1" si="6"/>
        <v>0</v>
      </c>
      <c r="AC9" s="123">
        <f t="shared" ca="1" si="6"/>
        <v>0</v>
      </c>
      <c r="AD9" s="123">
        <f t="shared" ca="1" si="6"/>
        <v>0</v>
      </c>
      <c r="AE9" s="123">
        <f t="shared" ca="1" si="6"/>
        <v>0</v>
      </c>
      <c r="AF9" s="123">
        <f t="shared" ca="1" si="6"/>
        <v>0</v>
      </c>
      <c r="AG9" s="123">
        <f t="shared" ca="1" si="6"/>
        <v>0</v>
      </c>
      <c r="AH9" s="123" t="e">
        <f t="shared" ref="AH9:AW24" ca="1" si="7">-OFFSET(Abatement_Scope_1,$A9-$A$8,AH$2)*AH$51</f>
        <v>#REF!</v>
      </c>
      <c r="AI9" s="123" t="e">
        <f t="shared" ca="1" si="7"/>
        <v>#REF!</v>
      </c>
      <c r="AJ9" s="123" t="e">
        <f t="shared" ca="1" si="7"/>
        <v>#REF!</v>
      </c>
      <c r="AK9" s="123">
        <f t="shared" ca="1" si="7"/>
        <v>0</v>
      </c>
      <c r="AL9" s="123">
        <f t="shared" ca="1" si="7"/>
        <v>0</v>
      </c>
      <c r="AM9" s="123">
        <f t="shared" ca="1" si="7"/>
        <v>0</v>
      </c>
      <c r="AN9" s="123">
        <f t="shared" ca="1" si="7"/>
        <v>0</v>
      </c>
      <c r="AO9" s="123">
        <f t="shared" ca="1" si="7"/>
        <v>0</v>
      </c>
      <c r="AP9" s="123">
        <f t="shared" ca="1" si="7"/>
        <v>0</v>
      </c>
      <c r="AQ9" s="123">
        <f t="shared" ca="1" si="7"/>
        <v>0</v>
      </c>
      <c r="AR9" s="123">
        <f t="shared" ca="1" si="7"/>
        <v>0</v>
      </c>
      <c r="AS9" s="123">
        <f t="shared" ca="1" si="7"/>
        <v>0</v>
      </c>
      <c r="AT9" s="123">
        <f t="shared" ca="1" si="7"/>
        <v>0</v>
      </c>
      <c r="AU9" s="123">
        <f t="shared" ca="1" si="7"/>
        <v>0</v>
      </c>
      <c r="AV9" s="123">
        <f t="shared" ca="1" si="7"/>
        <v>0</v>
      </c>
      <c r="AW9" s="123">
        <f t="shared" ca="1" si="7"/>
        <v>0</v>
      </c>
      <c r="AX9" s="123" t="e">
        <f>-#REF!*$AX$51</f>
        <v>#REF!</v>
      </c>
    </row>
    <row r="10" spans="1:51">
      <c r="A10">
        <f t="shared" si="2"/>
        <v>2011</v>
      </c>
      <c r="B10" s="123">
        <f ca="1">ExposureCalculations!G17</f>
        <v>269303.67742545606</v>
      </c>
      <c r="C10" s="123">
        <f t="shared" ref="C10:C48" ca="1" si="8">($C$49-$C$8)/($A$49-$A$8)+C9</f>
        <v>250378.50649140659</v>
      </c>
      <c r="D10" s="123" t="e">
        <f t="shared" ref="D10:D49" ca="1" si="9">B10-SUM(J10:AX10)</f>
        <v>#REF!</v>
      </c>
      <c r="E10" s="123" t="e">
        <f ca="1">IF(F10=0,MAX(SUM('GHG Emissions'!P13:T13)-SUM(J10:K10)-(I10-('GHG Emissions'!N13-SUM(L10:M10))-('GHG Emissions'!J13-SUM(N10:AG10,AX10))-('GHG Emissions'!I13-SUM(AH10:AW10))),0),SUM('GHG Emissions'!P13:T13)-SUM(J10:K10))</f>
        <v>#REF!</v>
      </c>
      <c r="F10" s="123" t="e">
        <f ca="1">IF(G10=0,MAX('GHG Emissions'!N13-SUM(L10:M10)-(I10-('GHG Emissions'!J13-SUM(N10:AG10,AX10))-('GHG Emissions'!I13-SUM(AH10:AW10))),0),'GHG Emissions'!N13-SUM(L10:M10))</f>
        <v>#REF!</v>
      </c>
      <c r="G10" s="123" t="e">
        <f ca="1">IF(H10=0,MAX('GHG Emissions'!J13-SUM(N10:AG10,AX10)-(I10-('GHG Emissions'!I13-SUM(AH10:AW10))),0),'GHG Emissions'!J13-SUM(N10:AG10,AX10))</f>
        <v>#REF!</v>
      </c>
      <c r="H10" s="123" t="e">
        <f ca="1">IF(I10=0,'GHG Emissions'!I13-SUM(AH10:AW10),MAX('GHG Emissions'!I13-SUM(AH10:AW10)-I10,0))</f>
        <v>#REF!</v>
      </c>
      <c r="I10" s="123">
        <f t="shared" ref="I10:I49" ca="1" si="10">IFERROR(D10-C10,0)*I$51</f>
        <v>0</v>
      </c>
      <c r="J10" s="123" t="e">
        <f t="shared" ca="1" si="3"/>
        <v>#REF!</v>
      </c>
      <c r="K10" s="123" t="e">
        <f t="shared" ca="1" si="3"/>
        <v>#REF!</v>
      </c>
      <c r="L10" s="123">
        <f t="shared" ca="1" si="3"/>
        <v>0</v>
      </c>
      <c r="M10" s="123">
        <f t="shared" ca="1" si="4"/>
        <v>0</v>
      </c>
      <c r="N10" s="123" t="e">
        <f t="shared" ca="1" si="5"/>
        <v>#REF!</v>
      </c>
      <c r="O10" s="123" t="e">
        <f t="shared" ca="1" si="5"/>
        <v>#REF!</v>
      </c>
      <c r="P10" s="123" t="e">
        <f t="shared" ca="1" si="5"/>
        <v>#REF!</v>
      </c>
      <c r="Q10" s="123">
        <f t="shared" ca="1" si="5"/>
        <v>0</v>
      </c>
      <c r="R10" s="123">
        <f t="shared" ca="1" si="5"/>
        <v>0</v>
      </c>
      <c r="S10" s="123">
        <f t="shared" ca="1" si="5"/>
        <v>0</v>
      </c>
      <c r="T10" s="123">
        <f t="shared" ca="1" si="5"/>
        <v>0</v>
      </c>
      <c r="U10" s="123">
        <f t="shared" ca="1" si="5"/>
        <v>0</v>
      </c>
      <c r="V10" s="123">
        <f t="shared" ca="1" si="5"/>
        <v>0</v>
      </c>
      <c r="W10" s="123">
        <f t="shared" ca="1" si="5"/>
        <v>4023.0573590408094</v>
      </c>
      <c r="X10" s="123">
        <f t="shared" ca="1" si="5"/>
        <v>789.72264015453493</v>
      </c>
      <c r="Y10" s="123">
        <f t="shared" ca="1" si="5"/>
        <v>0</v>
      </c>
      <c r="Z10" s="123">
        <f t="shared" ca="1" si="5"/>
        <v>0</v>
      </c>
      <c r="AA10" s="123">
        <f t="shared" ca="1" si="5"/>
        <v>0</v>
      </c>
      <c r="AB10" s="123">
        <f t="shared" ca="1" si="5"/>
        <v>0</v>
      </c>
      <c r="AC10" s="123">
        <f t="shared" ca="1" si="5"/>
        <v>0</v>
      </c>
      <c r="AD10" s="123">
        <f t="shared" ref="AD10:AG29" ca="1" si="11">-OFFSET(Abatement_Scope_2,$A10-$A$8,AD$2)*AD$51</f>
        <v>2742.0270431200861</v>
      </c>
      <c r="AE10" s="123">
        <f t="shared" ca="1" si="11"/>
        <v>124.43697824242066</v>
      </c>
      <c r="AF10" s="123">
        <f t="shared" ca="1" si="11"/>
        <v>0</v>
      </c>
      <c r="AG10" s="123">
        <f t="shared" ca="1" si="11"/>
        <v>35512.836256398594</v>
      </c>
      <c r="AH10" s="123" t="e">
        <f t="shared" ca="1" si="7"/>
        <v>#REF!</v>
      </c>
      <c r="AI10" s="123" t="e">
        <f t="shared" ca="1" si="7"/>
        <v>#REF!</v>
      </c>
      <c r="AJ10" s="123" t="e">
        <f t="shared" ca="1" si="7"/>
        <v>#REF!</v>
      </c>
      <c r="AK10" s="123">
        <f t="shared" ca="1" si="7"/>
        <v>0</v>
      </c>
      <c r="AL10" s="123">
        <f t="shared" ca="1" si="7"/>
        <v>0</v>
      </c>
      <c r="AM10" s="123">
        <f t="shared" ca="1" si="7"/>
        <v>0</v>
      </c>
      <c r="AN10" s="123">
        <f t="shared" ca="1" si="7"/>
        <v>0</v>
      </c>
      <c r="AO10" s="123">
        <f t="shared" ca="1" si="7"/>
        <v>0</v>
      </c>
      <c r="AP10" s="123">
        <f t="shared" ca="1" si="7"/>
        <v>0</v>
      </c>
      <c r="AQ10" s="123">
        <f t="shared" ca="1" si="7"/>
        <v>0</v>
      </c>
      <c r="AR10" s="123">
        <f t="shared" ca="1" si="7"/>
        <v>0</v>
      </c>
      <c r="AS10" s="123">
        <f t="shared" ca="1" si="7"/>
        <v>0</v>
      </c>
      <c r="AT10" s="123">
        <f t="shared" ca="1" si="7"/>
        <v>0</v>
      </c>
      <c r="AU10" s="123">
        <f t="shared" ca="1" si="7"/>
        <v>0</v>
      </c>
      <c r="AV10" s="123">
        <f t="shared" ca="1" si="7"/>
        <v>0</v>
      </c>
      <c r="AW10" s="123">
        <f t="shared" ca="1" si="7"/>
        <v>0</v>
      </c>
      <c r="AX10" s="123" t="e">
        <f>-#REF!*$AX$51</f>
        <v>#REF!</v>
      </c>
    </row>
    <row r="11" spans="1:51">
      <c r="A11">
        <f t="shared" si="2"/>
        <v>2012</v>
      </c>
      <c r="B11" s="123">
        <f ca="1">ExposureCalculations!G18</f>
        <v>275791.85529217363</v>
      </c>
      <c r="C11" s="123">
        <f t="shared" ca="1" si="8"/>
        <v>243958.54478649874</v>
      </c>
      <c r="D11" s="123" t="e">
        <f t="shared" ca="1" si="9"/>
        <v>#REF!</v>
      </c>
      <c r="E11" s="123" t="e">
        <f ca="1">IF(F11=0,MAX(SUM('GHG Emissions'!P14:T14)-SUM(J11:K11)-(I11-('GHG Emissions'!N14-SUM(L11:M11))-('GHG Emissions'!J14-SUM(N11:AG11,AX11))-('GHG Emissions'!I14-SUM(AH11:AW11))),0),SUM('GHG Emissions'!P14:T14)-SUM(J11:K11))</f>
        <v>#REF!</v>
      </c>
      <c r="F11" s="123" t="e">
        <f ca="1">IF(G11=0,MAX('GHG Emissions'!N14-SUM(L11:M11)-(I11-('GHG Emissions'!J14-SUM(N11:AG11,AX11))-('GHG Emissions'!I14-SUM(AH11:AW11))),0),'GHG Emissions'!N14-SUM(L11:M11))</f>
        <v>#REF!</v>
      </c>
      <c r="G11" s="123" t="e">
        <f ca="1">IF(H11=0,MAX('GHG Emissions'!J14-SUM(N11:AG11,AX11)-(I11-('GHG Emissions'!I14-SUM(AH11:AW11))),0),'GHG Emissions'!J14-SUM(N11:AG11,AX11))</f>
        <v>#REF!</v>
      </c>
      <c r="H11" s="123" t="e">
        <f ca="1">IF(I11=0,'GHG Emissions'!I14-SUM(AH11:AW11),MAX('GHG Emissions'!I14-SUM(AH11:AW11)-I11,0))</f>
        <v>#REF!</v>
      </c>
      <c r="I11" s="123">
        <f t="shared" ca="1" si="10"/>
        <v>0</v>
      </c>
      <c r="J11" s="123" t="e">
        <f t="shared" ca="1" si="3"/>
        <v>#REF!</v>
      </c>
      <c r="K11" s="123" t="e">
        <f t="shared" ca="1" si="3"/>
        <v>#REF!</v>
      </c>
      <c r="L11" s="123">
        <f t="shared" ca="1" si="3"/>
        <v>0</v>
      </c>
      <c r="M11" s="123">
        <f t="shared" ca="1" si="4"/>
        <v>0</v>
      </c>
      <c r="N11" s="123" t="e">
        <f t="shared" ca="1" si="5"/>
        <v>#REF!</v>
      </c>
      <c r="O11" s="123" t="e">
        <f t="shared" ca="1" si="5"/>
        <v>#REF!</v>
      </c>
      <c r="P11" s="123" t="e">
        <f t="shared" ca="1" si="5"/>
        <v>#REF!</v>
      </c>
      <c r="Q11" s="123">
        <f t="shared" ca="1" si="5"/>
        <v>443.03041713126811</v>
      </c>
      <c r="R11" s="123">
        <f t="shared" ca="1" si="5"/>
        <v>0</v>
      </c>
      <c r="S11" s="123">
        <f t="shared" ca="1" si="5"/>
        <v>0</v>
      </c>
      <c r="T11" s="123">
        <f t="shared" ca="1" si="5"/>
        <v>0</v>
      </c>
      <c r="U11" s="123">
        <f t="shared" ca="1" si="5"/>
        <v>2167.9819457268204</v>
      </c>
      <c r="V11" s="123">
        <f t="shared" ca="1" si="5"/>
        <v>0</v>
      </c>
      <c r="W11" s="123">
        <f t="shared" ca="1" si="5"/>
        <v>6034.5860385612268</v>
      </c>
      <c r="X11" s="123">
        <f t="shared" ca="1" si="5"/>
        <v>3573.5485844890363</v>
      </c>
      <c r="Y11" s="123">
        <f t="shared" ca="1" si="5"/>
        <v>0</v>
      </c>
      <c r="Z11" s="123">
        <f t="shared" ca="1" si="5"/>
        <v>42.106365709288561</v>
      </c>
      <c r="AA11" s="123">
        <f t="shared" ca="1" si="5"/>
        <v>0</v>
      </c>
      <c r="AB11" s="123">
        <f t="shared" ca="1" si="5"/>
        <v>0</v>
      </c>
      <c r="AC11" s="123">
        <f t="shared" ca="1" si="5"/>
        <v>0</v>
      </c>
      <c r="AD11" s="123">
        <f t="shared" ca="1" si="11"/>
        <v>5484.0540862401722</v>
      </c>
      <c r="AE11" s="123">
        <f t="shared" ca="1" si="11"/>
        <v>124.43697824242066</v>
      </c>
      <c r="AF11" s="123">
        <f t="shared" ca="1" si="11"/>
        <v>0</v>
      </c>
      <c r="AG11" s="123">
        <f t="shared" ca="1" si="11"/>
        <v>35512.836256398594</v>
      </c>
      <c r="AH11" s="123" t="e">
        <f t="shared" ca="1" si="7"/>
        <v>#REF!</v>
      </c>
      <c r="AI11" s="123" t="e">
        <f t="shared" ca="1" si="7"/>
        <v>#REF!</v>
      </c>
      <c r="AJ11" s="123" t="e">
        <f t="shared" ca="1" si="7"/>
        <v>#REF!</v>
      </c>
      <c r="AK11" s="123">
        <f t="shared" ca="1" si="7"/>
        <v>0</v>
      </c>
      <c r="AL11" s="123">
        <f t="shared" ca="1" si="7"/>
        <v>0</v>
      </c>
      <c r="AM11" s="123">
        <f t="shared" ca="1" si="7"/>
        <v>0</v>
      </c>
      <c r="AN11" s="123">
        <f t="shared" ca="1" si="7"/>
        <v>0</v>
      </c>
      <c r="AO11" s="123">
        <f t="shared" ca="1" si="7"/>
        <v>0</v>
      </c>
      <c r="AP11" s="123">
        <f t="shared" ca="1" si="7"/>
        <v>0</v>
      </c>
      <c r="AQ11" s="123">
        <f t="shared" ca="1" si="7"/>
        <v>0</v>
      </c>
      <c r="AR11" s="123">
        <f t="shared" ca="1" si="7"/>
        <v>0</v>
      </c>
      <c r="AS11" s="123">
        <f t="shared" ca="1" si="7"/>
        <v>0</v>
      </c>
      <c r="AT11" s="123">
        <f t="shared" ca="1" si="7"/>
        <v>0</v>
      </c>
      <c r="AU11" s="123">
        <f t="shared" ca="1" si="7"/>
        <v>0</v>
      </c>
      <c r="AV11" s="123">
        <f t="shared" ca="1" si="7"/>
        <v>0</v>
      </c>
      <c r="AW11" s="123">
        <f t="shared" ca="1" si="7"/>
        <v>0</v>
      </c>
      <c r="AX11" s="123" t="e">
        <f>-#REF!*$AX$51</f>
        <v>#REF!</v>
      </c>
    </row>
    <row r="12" spans="1:51">
      <c r="A12">
        <f t="shared" si="2"/>
        <v>2013</v>
      </c>
      <c r="B12" s="123">
        <f ca="1">ExposureCalculations!G19</f>
        <v>279648.61947465339</v>
      </c>
      <c r="C12" s="123">
        <f t="shared" ca="1" si="8"/>
        <v>237538.58308159088</v>
      </c>
      <c r="D12" s="123" t="e">
        <f t="shared" ca="1" si="9"/>
        <v>#REF!</v>
      </c>
      <c r="E12" s="123" t="e">
        <f ca="1">IF(F12=0,MAX(SUM('GHG Emissions'!P15:T15)-SUM(J12:K12)-(I12-('GHG Emissions'!N15-SUM(L12:M12))-('GHG Emissions'!J15-SUM(N12:AG12,AX12))-('GHG Emissions'!I15-SUM(AH12:AW12))),0),SUM('GHG Emissions'!P15:T15)-SUM(J12:K12))</f>
        <v>#REF!</v>
      </c>
      <c r="F12" s="123" t="e">
        <f ca="1">IF(G12=0,MAX('GHG Emissions'!N15-SUM(L12:M12)-(I12-('GHG Emissions'!J15-SUM(N12:AG12,AX12))-('GHG Emissions'!I15-SUM(AH12:AW12))),0),'GHG Emissions'!N15-SUM(L12:M12))</f>
        <v>#REF!</v>
      </c>
      <c r="G12" s="123" t="e">
        <f ca="1">IF(H12=0,MAX('GHG Emissions'!J15-SUM(N12:AG12,AX12)-(I12-('GHG Emissions'!I15-SUM(AH12:AW12))),0),'GHG Emissions'!J15-SUM(N12:AG12,AX12))</f>
        <v>#REF!</v>
      </c>
      <c r="H12" s="123" t="e">
        <f ca="1">IF(I12=0,'GHG Emissions'!I15-SUM(AH12:AW12),MAX('GHG Emissions'!I15-SUM(AH12:AW12)-I12,0))</f>
        <v>#REF!</v>
      </c>
      <c r="I12" s="123">
        <f t="shared" ca="1" si="10"/>
        <v>0</v>
      </c>
      <c r="J12" s="123" t="e">
        <f t="shared" ca="1" si="3"/>
        <v>#REF!</v>
      </c>
      <c r="K12" s="123" t="e">
        <f t="shared" ca="1" si="3"/>
        <v>#REF!</v>
      </c>
      <c r="L12" s="123">
        <f t="shared" ca="1" si="3"/>
        <v>0</v>
      </c>
      <c r="M12" s="123">
        <f t="shared" ca="1" si="4"/>
        <v>0</v>
      </c>
      <c r="N12" s="123" t="e">
        <f t="shared" ca="1" si="5"/>
        <v>#REF!</v>
      </c>
      <c r="O12" s="123" t="e">
        <f t="shared" ca="1" si="5"/>
        <v>#REF!</v>
      </c>
      <c r="P12" s="123" t="e">
        <f t="shared" ca="1" si="5"/>
        <v>#REF!</v>
      </c>
      <c r="Q12" s="123">
        <f t="shared" ca="1" si="5"/>
        <v>877.25965895883451</v>
      </c>
      <c r="R12" s="123">
        <f t="shared" ca="1" si="5"/>
        <v>0</v>
      </c>
      <c r="S12" s="123">
        <f t="shared" ca="1" si="5"/>
        <v>0</v>
      </c>
      <c r="T12" s="123">
        <f t="shared" ca="1" si="5"/>
        <v>0</v>
      </c>
      <c r="U12" s="123">
        <f t="shared" ca="1" si="5"/>
        <v>2218.6346143360465</v>
      </c>
      <c r="V12" s="123">
        <f t="shared" ca="1" si="5"/>
        <v>0</v>
      </c>
      <c r="W12" s="123">
        <f t="shared" ca="1" si="5"/>
        <v>8046.1147180816188</v>
      </c>
      <c r="X12" s="123">
        <f t="shared" ca="1" si="5"/>
        <v>4637.7326311296556</v>
      </c>
      <c r="Y12" s="123">
        <f t="shared" ca="1" si="5"/>
        <v>0</v>
      </c>
      <c r="Z12" s="123">
        <f t="shared" ca="1" si="5"/>
        <v>42.106365709288561</v>
      </c>
      <c r="AA12" s="123">
        <f t="shared" ca="1" si="5"/>
        <v>680.80856317059579</v>
      </c>
      <c r="AB12" s="123">
        <f t="shared" ca="1" si="5"/>
        <v>0</v>
      </c>
      <c r="AC12" s="123">
        <f t="shared" ca="1" si="5"/>
        <v>0</v>
      </c>
      <c r="AD12" s="123">
        <f t="shared" ca="1" si="11"/>
        <v>8226.0811293602583</v>
      </c>
      <c r="AE12" s="123">
        <f t="shared" ca="1" si="11"/>
        <v>124.43697824242066</v>
      </c>
      <c r="AF12" s="123">
        <f t="shared" ca="1" si="11"/>
        <v>0</v>
      </c>
      <c r="AG12" s="123">
        <f t="shared" ca="1" si="11"/>
        <v>35512.836256398594</v>
      </c>
      <c r="AH12" s="123" t="e">
        <f t="shared" ca="1" si="7"/>
        <v>#REF!</v>
      </c>
      <c r="AI12" s="123" t="e">
        <f t="shared" ca="1" si="7"/>
        <v>#REF!</v>
      </c>
      <c r="AJ12" s="123" t="e">
        <f t="shared" ca="1" si="7"/>
        <v>#REF!</v>
      </c>
      <c r="AK12" s="123">
        <f t="shared" ca="1" si="7"/>
        <v>0</v>
      </c>
      <c r="AL12" s="123">
        <f t="shared" ca="1" si="7"/>
        <v>0</v>
      </c>
      <c r="AM12" s="123">
        <f t="shared" ca="1" si="7"/>
        <v>0</v>
      </c>
      <c r="AN12" s="123">
        <f t="shared" ca="1" si="7"/>
        <v>0</v>
      </c>
      <c r="AO12" s="123">
        <f t="shared" ca="1" si="7"/>
        <v>0</v>
      </c>
      <c r="AP12" s="123">
        <f t="shared" ca="1" si="7"/>
        <v>0</v>
      </c>
      <c r="AQ12" s="123">
        <f t="shared" ca="1" si="7"/>
        <v>0</v>
      </c>
      <c r="AR12" s="123">
        <f t="shared" ca="1" si="7"/>
        <v>0</v>
      </c>
      <c r="AS12" s="123">
        <f t="shared" ca="1" si="7"/>
        <v>0</v>
      </c>
      <c r="AT12" s="123">
        <f t="shared" ca="1" si="7"/>
        <v>0</v>
      </c>
      <c r="AU12" s="123">
        <f t="shared" ca="1" si="7"/>
        <v>0</v>
      </c>
      <c r="AV12" s="123">
        <f t="shared" ca="1" si="7"/>
        <v>0</v>
      </c>
      <c r="AW12" s="123">
        <f t="shared" ca="1" si="7"/>
        <v>0</v>
      </c>
      <c r="AX12" s="123" t="e">
        <f>-#REF!*$AX$51</f>
        <v>#REF!</v>
      </c>
    </row>
    <row r="13" spans="1:51">
      <c r="A13">
        <f t="shared" si="2"/>
        <v>2014</v>
      </c>
      <c r="B13" s="123">
        <f ca="1">ExposureCalculations!G20</f>
        <v>282513.6365609222</v>
      </c>
      <c r="C13" s="123">
        <f t="shared" ca="1" si="8"/>
        <v>231118.62137668303</v>
      </c>
      <c r="D13" s="123" t="e">
        <f t="shared" ca="1" si="9"/>
        <v>#REF!</v>
      </c>
      <c r="E13" s="123" t="e">
        <f ca="1">IF(F13=0,MAX(SUM('GHG Emissions'!P16:T16)-SUM(J13:K13)-(I13-('GHG Emissions'!N16-SUM(L13:M13))-('GHG Emissions'!J16-SUM(N13:AG13,AX13))-('GHG Emissions'!I16-SUM(AH13:AW13))),0),SUM('GHG Emissions'!P16:T16)-SUM(J13:K13))</f>
        <v>#REF!</v>
      </c>
      <c r="F13" s="123" t="e">
        <f ca="1">IF(G13=0,MAX('GHG Emissions'!N16-SUM(L13:M13)-(I13-('GHG Emissions'!J16-SUM(N13:AG13,AX13))-('GHG Emissions'!I16-SUM(AH13:AW13))),0),'GHG Emissions'!N16-SUM(L13:M13))</f>
        <v>#REF!</v>
      </c>
      <c r="G13" s="123" t="e">
        <f ca="1">IF(H13=0,MAX('GHG Emissions'!J16-SUM(N13:AG13,AX13)-(I13-('GHG Emissions'!I16-SUM(AH13:AW13))),0),'GHG Emissions'!J16-SUM(N13:AG13,AX13))</f>
        <v>#REF!</v>
      </c>
      <c r="H13" s="123" t="e">
        <f ca="1">IF(I13=0,'GHG Emissions'!I16-SUM(AH13:AW13),MAX('GHG Emissions'!I16-SUM(AH13:AW13)-I13,0))</f>
        <v>#REF!</v>
      </c>
      <c r="I13" s="123">
        <f t="shared" ca="1" si="10"/>
        <v>0</v>
      </c>
      <c r="J13" s="123" t="e">
        <f t="shared" ca="1" si="3"/>
        <v>#REF!</v>
      </c>
      <c r="K13" s="123" t="e">
        <f t="shared" ca="1" si="3"/>
        <v>#REF!</v>
      </c>
      <c r="L13" s="123">
        <f t="shared" ca="1" si="3"/>
        <v>0</v>
      </c>
      <c r="M13" s="123">
        <f t="shared" ca="1" si="4"/>
        <v>0</v>
      </c>
      <c r="N13" s="123" t="e">
        <f t="shared" ca="1" si="5"/>
        <v>#REF!</v>
      </c>
      <c r="O13" s="123" t="e">
        <f t="shared" ca="1" si="5"/>
        <v>#REF!</v>
      </c>
      <c r="P13" s="123" t="e">
        <f t="shared" ca="1" si="5"/>
        <v>#REF!</v>
      </c>
      <c r="Q13" s="123">
        <f t="shared" ca="1" si="5"/>
        <v>1300.8517178401214</v>
      </c>
      <c r="R13" s="123">
        <f t="shared" ca="1" si="5"/>
        <v>0</v>
      </c>
      <c r="S13" s="123">
        <f t="shared" ca="1" si="5"/>
        <v>0</v>
      </c>
      <c r="T13" s="123">
        <f t="shared" ca="1" si="5"/>
        <v>0</v>
      </c>
      <c r="U13" s="123">
        <f t="shared" ca="1" si="5"/>
        <v>4005.0410780820157</v>
      </c>
      <c r="V13" s="123">
        <f t="shared" ca="1" si="5"/>
        <v>0</v>
      </c>
      <c r="W13" s="123">
        <f t="shared" ca="1" si="5"/>
        <v>10057.643397602036</v>
      </c>
      <c r="X13" s="123">
        <f t="shared" ca="1" si="5"/>
        <v>5052.878033826406</v>
      </c>
      <c r="Y13" s="123">
        <f t="shared" ca="1" si="5"/>
        <v>0</v>
      </c>
      <c r="Z13" s="123">
        <f t="shared" ca="1" si="5"/>
        <v>42.106365709288561</v>
      </c>
      <c r="AA13" s="123">
        <f t="shared" ca="1" si="5"/>
        <v>680.80856317059579</v>
      </c>
      <c r="AB13" s="123">
        <f t="shared" ca="1" si="5"/>
        <v>0</v>
      </c>
      <c r="AC13" s="123">
        <f t="shared" ca="1" si="5"/>
        <v>0</v>
      </c>
      <c r="AD13" s="123">
        <f t="shared" ca="1" si="11"/>
        <v>10968.108172480344</v>
      </c>
      <c r="AE13" s="123">
        <f t="shared" ca="1" si="11"/>
        <v>124.43697824242066</v>
      </c>
      <c r="AF13" s="123">
        <f t="shared" ca="1" si="11"/>
        <v>2177.6471192423619</v>
      </c>
      <c r="AG13" s="123">
        <f t="shared" ca="1" si="11"/>
        <v>35512.836256398594</v>
      </c>
      <c r="AH13" s="123" t="e">
        <f t="shared" ca="1" si="7"/>
        <v>#REF!</v>
      </c>
      <c r="AI13" s="123" t="e">
        <f t="shared" ca="1" si="7"/>
        <v>#REF!</v>
      </c>
      <c r="AJ13" s="123" t="e">
        <f t="shared" ca="1" si="7"/>
        <v>#REF!</v>
      </c>
      <c r="AK13" s="123">
        <f t="shared" ca="1" si="7"/>
        <v>0</v>
      </c>
      <c r="AL13" s="123">
        <f t="shared" ca="1" si="7"/>
        <v>0</v>
      </c>
      <c r="AM13" s="123">
        <f t="shared" ca="1" si="7"/>
        <v>0</v>
      </c>
      <c r="AN13" s="123">
        <f t="shared" ca="1" si="7"/>
        <v>0</v>
      </c>
      <c r="AO13" s="123">
        <f t="shared" ca="1" si="7"/>
        <v>0</v>
      </c>
      <c r="AP13" s="123">
        <f t="shared" ca="1" si="7"/>
        <v>0</v>
      </c>
      <c r="AQ13" s="123">
        <f t="shared" ca="1" si="7"/>
        <v>0</v>
      </c>
      <c r="AR13" s="123">
        <f t="shared" ca="1" si="7"/>
        <v>0</v>
      </c>
      <c r="AS13" s="123">
        <f t="shared" ca="1" si="7"/>
        <v>0</v>
      </c>
      <c r="AT13" s="123">
        <f t="shared" ca="1" si="7"/>
        <v>0</v>
      </c>
      <c r="AU13" s="123">
        <f t="shared" ca="1" si="7"/>
        <v>0</v>
      </c>
      <c r="AV13" s="123">
        <f t="shared" ca="1" si="7"/>
        <v>0</v>
      </c>
      <c r="AW13" s="123">
        <f t="shared" ca="1" si="7"/>
        <v>0</v>
      </c>
      <c r="AX13" s="123" t="e">
        <f>-#REF!*$AX$51</f>
        <v>#REF!</v>
      </c>
    </row>
    <row r="14" spans="1:51">
      <c r="A14">
        <f t="shared" si="2"/>
        <v>2015</v>
      </c>
      <c r="B14" s="123">
        <f ca="1">ExposureCalculations!G21</f>
        <v>287982.71814977459</v>
      </c>
      <c r="C14" s="123">
        <f t="shared" ca="1" si="8"/>
        <v>224698.65967177518</v>
      </c>
      <c r="D14" s="123" t="e">
        <f t="shared" ca="1" si="9"/>
        <v>#REF!</v>
      </c>
      <c r="E14" s="123" t="e">
        <f ca="1">IF(F14=0,MAX(SUM('GHG Emissions'!P17:T17)-SUM(J14:K14)-(I14-('GHG Emissions'!N17-SUM(L14:M14))-('GHG Emissions'!J17-SUM(N14:AG14,AX14))-('GHG Emissions'!I17-SUM(AH14:AW14))),0),SUM('GHG Emissions'!P17:T17)-SUM(J14:K14))</f>
        <v>#REF!</v>
      </c>
      <c r="F14" s="123" t="e">
        <f ca="1">IF(G14=0,MAX('GHG Emissions'!N17-SUM(L14:M14)-(I14-('GHG Emissions'!J17-SUM(N14:AG14,AX14))-('GHG Emissions'!I17-SUM(AH14:AW14))),0),'GHG Emissions'!N17-SUM(L14:M14))</f>
        <v>#REF!</v>
      </c>
      <c r="G14" s="123" t="e">
        <f ca="1">IF(H14=0,MAX('GHG Emissions'!J17-SUM(N14:AG14,AX14)-(I14-('GHG Emissions'!I17-SUM(AH14:AW14))),0),'GHG Emissions'!J17-SUM(N14:AG14,AX14))</f>
        <v>#REF!</v>
      </c>
      <c r="H14" s="123" t="e">
        <f ca="1">IF(I14=0,'GHG Emissions'!I17-SUM(AH14:AW14),MAX('GHG Emissions'!I17-SUM(AH14:AW14)-I14,0))</f>
        <v>#REF!</v>
      </c>
      <c r="I14" s="123">
        <f t="shared" ca="1" si="10"/>
        <v>0</v>
      </c>
      <c r="J14" s="123" t="e">
        <f t="shared" ca="1" si="3"/>
        <v>#REF!</v>
      </c>
      <c r="K14" s="123" t="e">
        <f t="shared" ca="1" si="3"/>
        <v>#REF!</v>
      </c>
      <c r="L14" s="123">
        <f t="shared" ca="1" si="3"/>
        <v>0</v>
      </c>
      <c r="M14" s="123">
        <f t="shared" ca="1" si="4"/>
        <v>0</v>
      </c>
      <c r="N14" s="123" t="e">
        <f t="shared" ca="1" si="5"/>
        <v>#REF!</v>
      </c>
      <c r="O14" s="123" t="e">
        <f t="shared" ca="1" si="5"/>
        <v>#REF!</v>
      </c>
      <c r="P14" s="123" t="e">
        <f t="shared" ca="1" si="5"/>
        <v>#REF!</v>
      </c>
      <c r="Q14" s="123">
        <f t="shared" ca="1" si="5"/>
        <v>1720.4743232307801</v>
      </c>
      <c r="R14" s="123">
        <f t="shared" ca="1" si="5"/>
        <v>0</v>
      </c>
      <c r="S14" s="123">
        <f t="shared" ca="1" si="5"/>
        <v>0</v>
      </c>
      <c r="T14" s="123">
        <f t="shared" ca="1" si="5"/>
        <v>497.52640520481702</v>
      </c>
      <c r="U14" s="123">
        <f t="shared" ca="1" si="5"/>
        <v>4055.6937466912427</v>
      </c>
      <c r="V14" s="123">
        <f t="shared" ca="1" si="5"/>
        <v>18056.365727671626</v>
      </c>
      <c r="W14" s="123">
        <f t="shared" ca="1" si="5"/>
        <v>12069.172077122454</v>
      </c>
      <c r="X14" s="123">
        <f t="shared" ca="1" si="5"/>
        <v>7226.3575762567925</v>
      </c>
      <c r="Y14" s="123">
        <f t="shared" ca="1" si="5"/>
        <v>0</v>
      </c>
      <c r="Z14" s="123">
        <f t="shared" ca="1" si="5"/>
        <v>42.106365709288561</v>
      </c>
      <c r="AA14" s="123">
        <f t="shared" ca="1" si="5"/>
        <v>1361.6171263411916</v>
      </c>
      <c r="AB14" s="123">
        <f t="shared" ca="1" si="5"/>
        <v>0</v>
      </c>
      <c r="AC14" s="123">
        <f t="shared" ca="1" si="5"/>
        <v>0</v>
      </c>
      <c r="AD14" s="123">
        <f t="shared" ca="1" si="11"/>
        <v>13710.13521560043</v>
      </c>
      <c r="AE14" s="123">
        <f t="shared" ca="1" si="11"/>
        <v>124.43697824242066</v>
      </c>
      <c r="AF14" s="123">
        <f t="shared" ca="1" si="11"/>
        <v>2177.6471192423619</v>
      </c>
      <c r="AG14" s="123">
        <f t="shared" ca="1" si="11"/>
        <v>35512.836256398594</v>
      </c>
      <c r="AH14" s="123" t="e">
        <f t="shared" ca="1" si="7"/>
        <v>#REF!</v>
      </c>
      <c r="AI14" s="123" t="e">
        <f t="shared" ca="1" si="7"/>
        <v>#REF!</v>
      </c>
      <c r="AJ14" s="123" t="e">
        <f t="shared" ca="1" si="7"/>
        <v>#REF!</v>
      </c>
      <c r="AK14" s="123">
        <f t="shared" ca="1" si="7"/>
        <v>0</v>
      </c>
      <c r="AL14" s="123">
        <f t="shared" ca="1" si="7"/>
        <v>0</v>
      </c>
      <c r="AM14" s="123">
        <f t="shared" ca="1" si="7"/>
        <v>0</v>
      </c>
      <c r="AN14" s="123">
        <f t="shared" ca="1" si="7"/>
        <v>0</v>
      </c>
      <c r="AO14" s="123">
        <f t="shared" ca="1" si="7"/>
        <v>0</v>
      </c>
      <c r="AP14" s="123">
        <f t="shared" ca="1" si="7"/>
        <v>0</v>
      </c>
      <c r="AQ14" s="123">
        <f t="shared" ca="1" si="7"/>
        <v>0</v>
      </c>
      <c r="AR14" s="123">
        <f t="shared" ca="1" si="7"/>
        <v>0</v>
      </c>
      <c r="AS14" s="123">
        <f t="shared" ca="1" si="7"/>
        <v>0</v>
      </c>
      <c r="AT14" s="123">
        <f t="shared" ca="1" si="7"/>
        <v>0</v>
      </c>
      <c r="AU14" s="123">
        <f t="shared" ca="1" si="7"/>
        <v>0</v>
      </c>
      <c r="AV14" s="123">
        <f t="shared" ca="1" si="7"/>
        <v>0</v>
      </c>
      <c r="AW14" s="123">
        <f t="shared" ca="1" si="7"/>
        <v>0</v>
      </c>
      <c r="AX14" s="123" t="e">
        <f>-#REF!*$AX$51</f>
        <v>#REF!</v>
      </c>
    </row>
    <row r="15" spans="1:51">
      <c r="A15">
        <f t="shared" si="2"/>
        <v>2016</v>
      </c>
      <c r="B15" s="123">
        <f ca="1">ExposureCalculations!G22</f>
        <v>290832.72619485745</v>
      </c>
      <c r="C15" s="123">
        <f t="shared" ca="1" si="8"/>
        <v>218278.69796686733</v>
      </c>
      <c r="D15" s="123" t="e">
        <f t="shared" ca="1" si="9"/>
        <v>#REF!</v>
      </c>
      <c r="E15" s="123" t="e">
        <f ca="1">IF(F15=0,MAX(SUM('GHG Emissions'!P18:T18)-SUM(J15:K15)-(I15-('GHG Emissions'!N18-SUM(L15:M15))-('GHG Emissions'!J18-SUM(N15:AG15,AX15))-('GHG Emissions'!I18-SUM(AH15:AW15))),0),SUM('GHG Emissions'!P18:T18)-SUM(J15:K15))</f>
        <v>#REF!</v>
      </c>
      <c r="F15" s="123" t="e">
        <f ca="1">IF(G15=0,MAX('GHG Emissions'!N18-SUM(L15:M15)-(I15-('GHG Emissions'!J18-SUM(N15:AG15,AX15))-('GHG Emissions'!I18-SUM(AH15:AW15))),0),'GHG Emissions'!N18-SUM(L15:M15))</f>
        <v>#REF!</v>
      </c>
      <c r="G15" s="123" t="e">
        <f ca="1">IF(H15=0,MAX('GHG Emissions'!J18-SUM(N15:AG15,AX15)-(I15-('GHG Emissions'!I18-SUM(AH15:AW15))),0),'GHG Emissions'!J18-SUM(N15:AG15,AX15))</f>
        <v>#REF!</v>
      </c>
      <c r="H15" s="123" t="e">
        <f ca="1">IF(I15=0,'GHG Emissions'!I18-SUM(AH15:AW15),MAX('GHG Emissions'!I18-SUM(AH15:AW15)-I15,0))</f>
        <v>#REF!</v>
      </c>
      <c r="I15" s="123">
        <f t="shared" ca="1" si="10"/>
        <v>0</v>
      </c>
      <c r="J15" s="123" t="e">
        <f t="shared" ca="1" si="3"/>
        <v>#REF!</v>
      </c>
      <c r="K15" s="123" t="e">
        <f t="shared" ca="1" si="3"/>
        <v>#REF!</v>
      </c>
      <c r="L15" s="123">
        <f t="shared" ca="1" si="3"/>
        <v>0</v>
      </c>
      <c r="M15" s="123">
        <f t="shared" ca="1" si="4"/>
        <v>0</v>
      </c>
      <c r="N15" s="123" t="e">
        <f t="shared" ca="1" si="5"/>
        <v>#REF!</v>
      </c>
      <c r="O15" s="123" t="e">
        <f t="shared" ca="1" si="5"/>
        <v>#REF!</v>
      </c>
      <c r="P15" s="123" t="e">
        <f t="shared" ca="1" si="5"/>
        <v>#REF!</v>
      </c>
      <c r="Q15" s="123">
        <f t="shared" ca="1" si="5"/>
        <v>2130.2219889227813</v>
      </c>
      <c r="R15" s="123">
        <f t="shared" ca="1" si="5"/>
        <v>0</v>
      </c>
      <c r="S15" s="123">
        <f t="shared" ca="1" si="5"/>
        <v>0</v>
      </c>
      <c r="T15" s="123">
        <f t="shared" ca="1" si="5"/>
        <v>497.52640520481702</v>
      </c>
      <c r="U15" s="123">
        <f t="shared" ca="1" si="5"/>
        <v>4712.5079147936849</v>
      </c>
      <c r="V15" s="123">
        <f t="shared" ca="1" si="5"/>
        <v>18258.289883413876</v>
      </c>
      <c r="W15" s="123">
        <f t="shared" ca="1" si="5"/>
        <v>14080.700756642846</v>
      </c>
      <c r="X15" s="123">
        <f t="shared" ca="1" si="5"/>
        <v>7651.4767554743994</v>
      </c>
      <c r="Y15" s="123">
        <f t="shared" ca="1" si="5"/>
        <v>0</v>
      </c>
      <c r="Z15" s="123">
        <f t="shared" ca="1" si="5"/>
        <v>42.106365709288561</v>
      </c>
      <c r="AA15" s="123">
        <f t="shared" ca="1" si="5"/>
        <v>1361.6171263411916</v>
      </c>
      <c r="AB15" s="123">
        <f t="shared" ca="1" si="5"/>
        <v>0</v>
      </c>
      <c r="AC15" s="123">
        <f t="shared" ca="1" si="5"/>
        <v>1651.693688225191</v>
      </c>
      <c r="AD15" s="123">
        <f t="shared" ca="1" si="11"/>
        <v>13710.13521560043</v>
      </c>
      <c r="AE15" s="123">
        <f t="shared" ca="1" si="11"/>
        <v>124.43697824242066</v>
      </c>
      <c r="AF15" s="123">
        <f t="shared" ca="1" si="11"/>
        <v>2177.6471192423619</v>
      </c>
      <c r="AG15" s="123">
        <f t="shared" ca="1" si="11"/>
        <v>35512.836256398594</v>
      </c>
      <c r="AH15" s="123" t="e">
        <f t="shared" ca="1" si="7"/>
        <v>#REF!</v>
      </c>
      <c r="AI15" s="123" t="e">
        <f t="shared" ca="1" si="7"/>
        <v>#REF!</v>
      </c>
      <c r="AJ15" s="123" t="e">
        <f t="shared" ca="1" si="7"/>
        <v>#REF!</v>
      </c>
      <c r="AK15" s="123">
        <f t="shared" ca="1" si="7"/>
        <v>0</v>
      </c>
      <c r="AL15" s="123">
        <f t="shared" ca="1" si="7"/>
        <v>0</v>
      </c>
      <c r="AM15" s="123">
        <f t="shared" ca="1" si="7"/>
        <v>0</v>
      </c>
      <c r="AN15" s="123">
        <f t="shared" ca="1" si="7"/>
        <v>0</v>
      </c>
      <c r="AO15" s="123">
        <f t="shared" ca="1" si="7"/>
        <v>0</v>
      </c>
      <c r="AP15" s="123">
        <f t="shared" ca="1" si="7"/>
        <v>0</v>
      </c>
      <c r="AQ15" s="123">
        <f t="shared" ca="1" si="7"/>
        <v>0</v>
      </c>
      <c r="AR15" s="123">
        <f t="shared" ca="1" si="7"/>
        <v>0</v>
      </c>
      <c r="AS15" s="123">
        <f t="shared" ca="1" si="7"/>
        <v>0</v>
      </c>
      <c r="AT15" s="123">
        <f t="shared" ca="1" si="7"/>
        <v>0</v>
      </c>
      <c r="AU15" s="123">
        <f t="shared" ca="1" si="7"/>
        <v>0</v>
      </c>
      <c r="AV15" s="123">
        <f t="shared" ca="1" si="7"/>
        <v>0</v>
      </c>
      <c r="AW15" s="123">
        <f t="shared" ca="1" si="7"/>
        <v>0</v>
      </c>
      <c r="AX15" s="123" t="e">
        <f>-#REF!*$AX$51</f>
        <v>#REF!</v>
      </c>
    </row>
    <row r="16" spans="1:51">
      <c r="A16">
        <f t="shared" si="2"/>
        <v>2017</v>
      </c>
      <c r="B16" s="123">
        <f ca="1">ExposureCalculations!G23</f>
        <v>293677.61173126666</v>
      </c>
      <c r="C16" s="123">
        <f t="shared" ca="1" si="8"/>
        <v>211858.73626195948</v>
      </c>
      <c r="D16" s="123" t="e">
        <f t="shared" ca="1" si="9"/>
        <v>#REF!</v>
      </c>
      <c r="E16" s="123" t="e">
        <f ca="1">IF(F16=0,MAX(SUM('GHG Emissions'!P19:T19)-SUM(J16:K16)-(I16-('GHG Emissions'!N19-SUM(L16:M16))-('GHG Emissions'!J19-SUM(N16:AG16,AX16))-('GHG Emissions'!I19-SUM(AH16:AW16))),0),SUM('GHG Emissions'!P19:T19)-SUM(J16:K16))</f>
        <v>#REF!</v>
      </c>
      <c r="F16" s="123" t="e">
        <f ca="1">IF(G16=0,MAX('GHG Emissions'!N19-SUM(L16:M16)-(I16-('GHG Emissions'!J19-SUM(N16:AG16,AX16))-('GHG Emissions'!I19-SUM(AH16:AW16))),0),'GHG Emissions'!N19-SUM(L16:M16))</f>
        <v>#REF!</v>
      </c>
      <c r="G16" s="123" t="e">
        <f ca="1">IF(H16=0,MAX('GHG Emissions'!J19-SUM(N16:AG16,AX16)-(I16-('GHG Emissions'!I19-SUM(AH16:AW16))),0),'GHG Emissions'!J19-SUM(N16:AG16,AX16))</f>
        <v>#REF!</v>
      </c>
      <c r="H16" s="123" t="e">
        <f ca="1">IF(I16=0,'GHG Emissions'!I19-SUM(AH16:AW16),MAX('GHG Emissions'!I19-SUM(AH16:AW16)-I16,0))</f>
        <v>#REF!</v>
      </c>
      <c r="I16" s="123">
        <f t="shared" ca="1" si="10"/>
        <v>0</v>
      </c>
      <c r="J16" s="123" t="e">
        <f t="shared" ca="1" si="3"/>
        <v>#REF!</v>
      </c>
      <c r="K16" s="123" t="e">
        <f t="shared" ca="1" si="3"/>
        <v>#REF!</v>
      </c>
      <c r="L16" s="123">
        <f t="shared" ca="1" si="3"/>
        <v>0</v>
      </c>
      <c r="M16" s="123">
        <f t="shared" ca="1" si="4"/>
        <v>0</v>
      </c>
      <c r="N16" s="123" t="e">
        <f t="shared" ca="1" si="5"/>
        <v>#REF!</v>
      </c>
      <c r="O16" s="123" t="e">
        <f t="shared" ca="1" si="5"/>
        <v>#REF!</v>
      </c>
      <c r="P16" s="123" t="e">
        <f t="shared" ca="1" si="5"/>
        <v>#REF!</v>
      </c>
      <c r="Q16" s="123">
        <f t="shared" ca="1" si="5"/>
        <v>2531.7905847036163</v>
      </c>
      <c r="R16" s="123">
        <f t="shared" ca="1" si="5"/>
        <v>0</v>
      </c>
      <c r="S16" s="123">
        <f t="shared" ca="1" si="5"/>
        <v>0</v>
      </c>
      <c r="T16" s="123">
        <f t="shared" ca="1" si="5"/>
        <v>497.52640520481702</v>
      </c>
      <c r="U16" s="123">
        <f t="shared" ca="1" si="5"/>
        <v>4763.1605834029124</v>
      </c>
      <c r="V16" s="123">
        <f t="shared" ca="1" si="5"/>
        <v>18460.214039156141</v>
      </c>
      <c r="W16" s="123">
        <f t="shared" ca="1" si="5"/>
        <v>16092.229436163265</v>
      </c>
      <c r="X16" s="123">
        <f t="shared" ca="1" si="5"/>
        <v>8077.790562160325</v>
      </c>
      <c r="Y16" s="123">
        <f t="shared" ca="1" si="5"/>
        <v>0</v>
      </c>
      <c r="Z16" s="123">
        <f t="shared" ca="1" si="5"/>
        <v>42.106365709288561</v>
      </c>
      <c r="AA16" s="123">
        <f t="shared" ca="1" si="5"/>
        <v>1361.6171263411916</v>
      </c>
      <c r="AB16" s="123">
        <f t="shared" ca="1" si="5"/>
        <v>0</v>
      </c>
      <c r="AC16" s="123">
        <f t="shared" ca="1" si="5"/>
        <v>3303.3873764503819</v>
      </c>
      <c r="AD16" s="123">
        <f t="shared" ca="1" si="11"/>
        <v>13710.13521560043</v>
      </c>
      <c r="AE16" s="123">
        <f t="shared" ca="1" si="11"/>
        <v>124.43697824242066</v>
      </c>
      <c r="AF16" s="123">
        <f t="shared" ca="1" si="11"/>
        <v>4355.2942384847238</v>
      </c>
      <c r="AG16" s="123">
        <f t="shared" ca="1" si="11"/>
        <v>35512.836256398594</v>
      </c>
      <c r="AH16" s="123" t="e">
        <f t="shared" ca="1" si="7"/>
        <v>#REF!</v>
      </c>
      <c r="AI16" s="123" t="e">
        <f t="shared" ca="1" si="7"/>
        <v>#REF!</v>
      </c>
      <c r="AJ16" s="123" t="e">
        <f t="shared" ca="1" si="7"/>
        <v>#REF!</v>
      </c>
      <c r="AK16" s="123">
        <f t="shared" ca="1" si="7"/>
        <v>0</v>
      </c>
      <c r="AL16" s="123">
        <f t="shared" ca="1" si="7"/>
        <v>0</v>
      </c>
      <c r="AM16" s="123">
        <f t="shared" ca="1" si="7"/>
        <v>0</v>
      </c>
      <c r="AN16" s="123">
        <f t="shared" ca="1" si="7"/>
        <v>0</v>
      </c>
      <c r="AO16" s="123">
        <f t="shared" ca="1" si="7"/>
        <v>0</v>
      </c>
      <c r="AP16" s="123">
        <f t="shared" ca="1" si="7"/>
        <v>0</v>
      </c>
      <c r="AQ16" s="123">
        <f t="shared" ca="1" si="7"/>
        <v>0</v>
      </c>
      <c r="AR16" s="123">
        <f t="shared" ca="1" si="7"/>
        <v>0</v>
      </c>
      <c r="AS16" s="123">
        <f t="shared" ca="1" si="7"/>
        <v>0</v>
      </c>
      <c r="AT16" s="123">
        <f t="shared" ca="1" si="7"/>
        <v>0</v>
      </c>
      <c r="AU16" s="123">
        <f t="shared" ca="1" si="7"/>
        <v>0</v>
      </c>
      <c r="AV16" s="123">
        <f t="shared" ca="1" si="7"/>
        <v>0</v>
      </c>
      <c r="AW16" s="123">
        <f t="shared" ca="1" si="7"/>
        <v>0</v>
      </c>
      <c r="AX16" s="123" t="e">
        <f>-#REF!*$AX$51</f>
        <v>#REF!</v>
      </c>
    </row>
    <row r="17" spans="1:50">
      <c r="A17">
        <f t="shared" si="2"/>
        <v>2018</v>
      </c>
      <c r="B17" s="123">
        <f ca="1">ExposureCalculations!G24</f>
        <v>296518.31091099617</v>
      </c>
      <c r="C17" s="123">
        <f t="shared" ca="1" si="8"/>
        <v>205438.77455705163</v>
      </c>
      <c r="D17" s="123" t="e">
        <f t="shared" ca="1" si="9"/>
        <v>#REF!</v>
      </c>
      <c r="E17" s="123" t="e">
        <f ca="1">IF(F17=0,MAX(SUM('GHG Emissions'!P20:T20)-SUM(J17:K17)-(I17-('GHG Emissions'!N20-SUM(L17:M17))-('GHG Emissions'!J20-SUM(N17:AG17,AX17))-('GHG Emissions'!I20-SUM(AH17:AW17))),0),SUM('GHG Emissions'!P20:T20)-SUM(J17:K17))</f>
        <v>#REF!</v>
      </c>
      <c r="F17" s="123" t="e">
        <f ca="1">IF(G17=0,MAX('GHG Emissions'!N20-SUM(L17:M17)-(I17-('GHG Emissions'!J20-SUM(N17:AG17,AX17))-('GHG Emissions'!I20-SUM(AH17:AW17))),0),'GHG Emissions'!N20-SUM(L17:M17))</f>
        <v>#REF!</v>
      </c>
      <c r="G17" s="123" t="e">
        <f ca="1">IF(H17=0,MAX('GHG Emissions'!J20-SUM(N17:AG17,AX17)-(I17-('GHG Emissions'!I20-SUM(AH17:AW17))),0),'GHG Emissions'!J20-SUM(N17:AG17,AX17))</f>
        <v>#REF!</v>
      </c>
      <c r="H17" s="123" t="e">
        <f ca="1">IF(I17=0,'GHG Emissions'!I20-SUM(AH17:AW17),MAX('GHG Emissions'!I20-SUM(AH17:AW17)-I17,0))</f>
        <v>#REF!</v>
      </c>
      <c r="I17" s="123">
        <f t="shared" ca="1" si="10"/>
        <v>0</v>
      </c>
      <c r="J17" s="123" t="e">
        <f t="shared" ca="1" si="3"/>
        <v>#REF!</v>
      </c>
      <c r="K17" s="123" t="e">
        <f t="shared" ca="1" si="3"/>
        <v>#REF!</v>
      </c>
      <c r="L17" s="123">
        <f t="shared" ca="1" si="3"/>
        <v>0</v>
      </c>
      <c r="M17" s="123">
        <f t="shared" ca="1" si="4"/>
        <v>0</v>
      </c>
      <c r="N17" s="123" t="e">
        <f t="shared" ca="1" si="5"/>
        <v>#REF!</v>
      </c>
      <c r="O17" s="123" t="e">
        <f t="shared" ca="1" si="5"/>
        <v>#REF!</v>
      </c>
      <c r="P17" s="123" t="e">
        <f t="shared" ca="1" si="5"/>
        <v>#REF!</v>
      </c>
      <c r="Q17" s="123">
        <f t="shared" ca="1" si="5"/>
        <v>2841.5897522124551</v>
      </c>
      <c r="R17" s="123">
        <f t="shared" ca="1" si="5"/>
        <v>0</v>
      </c>
      <c r="S17" s="123">
        <f t="shared" ca="1" si="5"/>
        <v>0</v>
      </c>
      <c r="T17" s="123">
        <f t="shared" ca="1" si="5"/>
        <v>497.52640520481702</v>
      </c>
      <c r="U17" s="123">
        <f t="shared" ca="1" si="5"/>
        <v>4813.8132520121389</v>
      </c>
      <c r="V17" s="123">
        <f t="shared" ca="1" si="5"/>
        <v>18662.138194898398</v>
      </c>
      <c r="W17" s="123">
        <f t="shared" ca="1" si="5"/>
        <v>18103.758115683657</v>
      </c>
      <c r="X17" s="123">
        <f t="shared" ca="1" si="5"/>
        <v>8505.2602187414213</v>
      </c>
      <c r="Y17" s="123">
        <f t="shared" ca="1" si="5"/>
        <v>0</v>
      </c>
      <c r="Z17" s="123">
        <f t="shared" ca="1" si="5"/>
        <v>42.106365709288561</v>
      </c>
      <c r="AA17" s="123">
        <f t="shared" ca="1" si="5"/>
        <v>1361.6171263411916</v>
      </c>
      <c r="AB17" s="123">
        <f t="shared" ca="1" si="5"/>
        <v>0</v>
      </c>
      <c r="AC17" s="123">
        <f t="shared" ca="1" si="5"/>
        <v>4955.0810646755726</v>
      </c>
      <c r="AD17" s="123">
        <f t="shared" ca="1" si="11"/>
        <v>13710.13521560043</v>
      </c>
      <c r="AE17" s="123">
        <f t="shared" ca="1" si="11"/>
        <v>124.43697824242066</v>
      </c>
      <c r="AF17" s="123">
        <f t="shared" ca="1" si="11"/>
        <v>4355.2942384847238</v>
      </c>
      <c r="AG17" s="123">
        <f t="shared" ca="1" si="11"/>
        <v>35512.836256398594</v>
      </c>
      <c r="AH17" s="123" t="e">
        <f t="shared" ca="1" si="7"/>
        <v>#REF!</v>
      </c>
      <c r="AI17" s="123" t="e">
        <f t="shared" ca="1" si="7"/>
        <v>#REF!</v>
      </c>
      <c r="AJ17" s="123" t="e">
        <f t="shared" ca="1" si="7"/>
        <v>#REF!</v>
      </c>
      <c r="AK17" s="123">
        <f t="shared" ca="1" si="7"/>
        <v>0</v>
      </c>
      <c r="AL17" s="123">
        <f t="shared" ca="1" si="7"/>
        <v>0</v>
      </c>
      <c r="AM17" s="123">
        <f t="shared" ca="1" si="7"/>
        <v>0</v>
      </c>
      <c r="AN17" s="123">
        <f t="shared" ca="1" si="7"/>
        <v>0</v>
      </c>
      <c r="AO17" s="123">
        <f t="shared" ca="1" si="7"/>
        <v>0</v>
      </c>
      <c r="AP17" s="123">
        <f t="shared" ca="1" si="7"/>
        <v>0</v>
      </c>
      <c r="AQ17" s="123">
        <f t="shared" ca="1" si="7"/>
        <v>0</v>
      </c>
      <c r="AR17" s="123">
        <f t="shared" ca="1" si="7"/>
        <v>0</v>
      </c>
      <c r="AS17" s="123">
        <f t="shared" ca="1" si="7"/>
        <v>0</v>
      </c>
      <c r="AT17" s="123">
        <f t="shared" ca="1" si="7"/>
        <v>0</v>
      </c>
      <c r="AU17" s="123">
        <f t="shared" ca="1" si="7"/>
        <v>0</v>
      </c>
      <c r="AV17" s="123">
        <f t="shared" ca="1" si="7"/>
        <v>0</v>
      </c>
      <c r="AW17" s="123">
        <f t="shared" ca="1" si="7"/>
        <v>0</v>
      </c>
      <c r="AX17" s="123" t="e">
        <f>-#REF!*$AX$51</f>
        <v>#REF!</v>
      </c>
    </row>
    <row r="18" spans="1:50">
      <c r="A18">
        <f t="shared" si="2"/>
        <v>2019</v>
      </c>
      <c r="B18" s="123">
        <f ca="1">ExposureCalculations!G25</f>
        <v>299355.50534027134</v>
      </c>
      <c r="C18" s="123">
        <f t="shared" ca="1" si="8"/>
        <v>199018.81285214378</v>
      </c>
      <c r="D18" s="123" t="e">
        <f t="shared" ca="1" si="9"/>
        <v>#REF!</v>
      </c>
      <c r="E18" s="123" t="e">
        <f ca="1">IF(F18=0,MAX(SUM('GHG Emissions'!P21:T21)-SUM(J18:K18)-(I18-('GHG Emissions'!N21-SUM(L18:M18))-('GHG Emissions'!J21-SUM(N18:AG18,AX18))-('GHG Emissions'!I21-SUM(AH18:AW18))),0),SUM('GHG Emissions'!P21:T21)-SUM(J18:K18))</f>
        <v>#REF!</v>
      </c>
      <c r="F18" s="123" t="e">
        <f ca="1">IF(G18=0,MAX('GHG Emissions'!N21-SUM(L18:M18)-(I18-('GHG Emissions'!J21-SUM(N18:AG18,AX18))-('GHG Emissions'!I21-SUM(AH18:AW18))),0),'GHG Emissions'!N21-SUM(L18:M18))</f>
        <v>#REF!</v>
      </c>
      <c r="G18" s="123" t="e">
        <f ca="1">IF(H18=0,MAX('GHG Emissions'!J21-SUM(N18:AG18,AX18)-(I18-('GHG Emissions'!I21-SUM(AH18:AW18))),0),'GHG Emissions'!J21-SUM(N18:AG18,AX18))</f>
        <v>#REF!</v>
      </c>
      <c r="H18" s="123" t="e">
        <f ca="1">IF(I18=0,'GHG Emissions'!I21-SUM(AH18:AW18),MAX('GHG Emissions'!I21-SUM(AH18:AW18)-I18,0))</f>
        <v>#REF!</v>
      </c>
      <c r="I18" s="123">
        <f t="shared" ca="1" si="10"/>
        <v>0</v>
      </c>
      <c r="J18" s="123" t="e">
        <f t="shared" ca="1" si="3"/>
        <v>#REF!</v>
      </c>
      <c r="K18" s="123" t="e">
        <f t="shared" ca="1" si="3"/>
        <v>#REF!</v>
      </c>
      <c r="L18" s="123">
        <f t="shared" ca="1" si="3"/>
        <v>0</v>
      </c>
      <c r="M18" s="123">
        <f t="shared" ca="1" si="4"/>
        <v>0</v>
      </c>
      <c r="N18" s="123" t="e">
        <f t="shared" ca="1" si="5"/>
        <v>#REF!</v>
      </c>
      <c r="O18" s="123" t="e">
        <f t="shared" ca="1" si="5"/>
        <v>#REF!</v>
      </c>
      <c r="P18" s="123" t="e">
        <f t="shared" ca="1" si="5"/>
        <v>#REF!</v>
      </c>
      <c r="Q18" s="123">
        <f t="shared" ca="1" si="5"/>
        <v>3144.8176964852678</v>
      </c>
      <c r="R18" s="123">
        <f t="shared" ca="1" si="5"/>
        <v>0</v>
      </c>
      <c r="S18" s="123">
        <f t="shared" ca="1" si="5"/>
        <v>0</v>
      </c>
      <c r="T18" s="123">
        <f t="shared" ca="1" si="5"/>
        <v>497.52640520481702</v>
      </c>
      <c r="U18" s="123">
        <f t="shared" ca="1" si="5"/>
        <v>4864.4659206213655</v>
      </c>
      <c r="V18" s="123">
        <f t="shared" ca="1" si="5"/>
        <v>18864.062350640648</v>
      </c>
      <c r="W18" s="123">
        <f t="shared" ca="1" si="5"/>
        <v>20115.286795204072</v>
      </c>
      <c r="X18" s="123">
        <f t="shared" ca="1" si="5"/>
        <v>8933.8486079716986</v>
      </c>
      <c r="Y18" s="123">
        <f t="shared" ca="1" si="5"/>
        <v>0</v>
      </c>
      <c r="Z18" s="123">
        <f t="shared" ca="1" si="5"/>
        <v>42.106365709288561</v>
      </c>
      <c r="AA18" s="123">
        <f t="shared" ca="1" si="5"/>
        <v>1361.6171263411916</v>
      </c>
      <c r="AB18" s="123">
        <f t="shared" ca="1" si="5"/>
        <v>0</v>
      </c>
      <c r="AC18" s="123">
        <f t="shared" ca="1" si="5"/>
        <v>6606.7747529007638</v>
      </c>
      <c r="AD18" s="123">
        <f t="shared" ca="1" si="11"/>
        <v>13710.13521560043</v>
      </c>
      <c r="AE18" s="123">
        <f t="shared" ca="1" si="11"/>
        <v>124.43697824242066</v>
      </c>
      <c r="AF18" s="123">
        <f t="shared" ca="1" si="11"/>
        <v>6532.9413577270852</v>
      </c>
      <c r="AG18" s="123">
        <f t="shared" ca="1" si="11"/>
        <v>35512.836256398594</v>
      </c>
      <c r="AH18" s="123" t="e">
        <f t="shared" ca="1" si="7"/>
        <v>#REF!</v>
      </c>
      <c r="AI18" s="123" t="e">
        <f t="shared" ca="1" si="7"/>
        <v>#REF!</v>
      </c>
      <c r="AJ18" s="123" t="e">
        <f t="shared" ca="1" si="7"/>
        <v>#REF!</v>
      </c>
      <c r="AK18" s="123">
        <f t="shared" ca="1" si="7"/>
        <v>0</v>
      </c>
      <c r="AL18" s="123">
        <f t="shared" ca="1" si="7"/>
        <v>0</v>
      </c>
      <c r="AM18" s="123">
        <f t="shared" ca="1" si="7"/>
        <v>0</v>
      </c>
      <c r="AN18" s="123">
        <f t="shared" ca="1" si="7"/>
        <v>0</v>
      </c>
      <c r="AO18" s="123">
        <f t="shared" ca="1" si="7"/>
        <v>0</v>
      </c>
      <c r="AP18" s="123">
        <f t="shared" ca="1" si="7"/>
        <v>0</v>
      </c>
      <c r="AQ18" s="123">
        <f t="shared" ca="1" si="7"/>
        <v>0</v>
      </c>
      <c r="AR18" s="123">
        <f t="shared" ca="1" si="7"/>
        <v>0</v>
      </c>
      <c r="AS18" s="123">
        <f t="shared" ca="1" si="7"/>
        <v>0</v>
      </c>
      <c r="AT18" s="123">
        <f t="shared" ca="1" si="7"/>
        <v>0</v>
      </c>
      <c r="AU18" s="123">
        <f t="shared" ca="1" si="7"/>
        <v>0</v>
      </c>
      <c r="AV18" s="123">
        <f t="shared" ca="1" si="7"/>
        <v>0</v>
      </c>
      <c r="AW18" s="123">
        <f t="shared" ca="1" si="7"/>
        <v>0</v>
      </c>
      <c r="AX18" s="123" t="e">
        <f>-#REF!*$AX$51</f>
        <v>#REF!</v>
      </c>
    </row>
    <row r="19" spans="1:50">
      <c r="A19">
        <f t="shared" si="2"/>
        <v>2020</v>
      </c>
      <c r="B19" s="123">
        <f ca="1">ExposureCalculations!G26</f>
        <v>302189.70957647648</v>
      </c>
      <c r="C19" s="123">
        <f t="shared" ca="1" si="8"/>
        <v>192598.85114723592</v>
      </c>
      <c r="D19" s="123" t="e">
        <f t="shared" ca="1" si="9"/>
        <v>#REF!</v>
      </c>
      <c r="E19" s="123" t="e">
        <f ca="1">IF(F19=0,MAX(SUM('GHG Emissions'!P22:T22)-SUM(J19:K19)-(I19-('GHG Emissions'!N22-SUM(L19:M19))-('GHG Emissions'!J22-SUM(N19:AG19,AX19))-('GHG Emissions'!I22-SUM(AH19:AW19))),0),SUM('GHG Emissions'!P22:T22)-SUM(J19:K19))</f>
        <v>#REF!</v>
      </c>
      <c r="F19" s="123" t="e">
        <f ca="1">IF(G19=0,MAX('GHG Emissions'!N22-SUM(L19:M19)-(I19-('GHG Emissions'!J22-SUM(N19:AG19,AX19))-('GHG Emissions'!I22-SUM(AH19:AW19))),0),'GHG Emissions'!N22-SUM(L19:M19))</f>
        <v>#REF!</v>
      </c>
      <c r="G19" s="123" t="e">
        <f ca="1">IF(H19=0,MAX('GHG Emissions'!J22-SUM(N19:AG19,AX19)-(I19-('GHG Emissions'!I22-SUM(AH19:AW19))),0),'GHG Emissions'!J22-SUM(N19:AG19,AX19))</f>
        <v>#REF!</v>
      </c>
      <c r="H19" s="123" t="e">
        <f ca="1">IF(I19=0,'GHG Emissions'!I22-SUM(AH19:AW19),MAX('GHG Emissions'!I22-SUM(AH19:AW19)-I19,0))</f>
        <v>#REF!</v>
      </c>
      <c r="I19" s="123">
        <f t="shared" ca="1" si="10"/>
        <v>0</v>
      </c>
      <c r="J19" s="123" t="e">
        <f t="shared" ca="1" si="3"/>
        <v>#REF!</v>
      </c>
      <c r="K19" s="123" t="e">
        <f t="shared" ca="1" si="3"/>
        <v>#REF!</v>
      </c>
      <c r="L19" s="123">
        <f t="shared" ca="1" si="3"/>
        <v>0</v>
      </c>
      <c r="M19" s="123">
        <f t="shared" ca="1" si="4"/>
        <v>0</v>
      </c>
      <c r="N19" s="123" t="e">
        <f t="shared" ref="N19:AC34" ca="1" si="12">-OFFSET(Abatement_Scope_2,$A19-$A$8,N$2)*N$51</f>
        <v>#REF!</v>
      </c>
      <c r="O19" s="123" t="e">
        <f t="shared" ca="1" si="12"/>
        <v>#REF!</v>
      </c>
      <c r="P19" s="123" t="e">
        <f t="shared" ca="1" si="12"/>
        <v>#REF!</v>
      </c>
      <c r="Q19" s="123">
        <f t="shared" ca="1" si="12"/>
        <v>3441.464195208222</v>
      </c>
      <c r="R19" s="123">
        <f t="shared" ca="1" si="12"/>
        <v>0</v>
      </c>
      <c r="S19" s="123">
        <f t="shared" ca="1" si="5"/>
        <v>0</v>
      </c>
      <c r="T19" s="123">
        <f t="shared" ca="1" si="5"/>
        <v>497.52640520481702</v>
      </c>
      <c r="U19" s="123">
        <f t="shared" ca="1" si="5"/>
        <v>4915.118589230593</v>
      </c>
      <c r="V19" s="123">
        <f t="shared" ca="1" si="5"/>
        <v>19065.986506382898</v>
      </c>
      <c r="W19" s="123">
        <f t="shared" ca="1" si="5"/>
        <v>22126.815474724466</v>
      </c>
      <c r="X19" s="123">
        <f t="shared" ca="1" si="5"/>
        <v>9363.5201850112971</v>
      </c>
      <c r="Y19" s="123">
        <f t="shared" ca="1" si="5"/>
        <v>0</v>
      </c>
      <c r="Z19" s="123">
        <f t="shared" ca="1" si="5"/>
        <v>42.106365709288561</v>
      </c>
      <c r="AA19" s="123">
        <f t="shared" ca="1" si="5"/>
        <v>1361.6171263411916</v>
      </c>
      <c r="AB19" s="123">
        <f t="shared" ca="1" si="5"/>
        <v>0</v>
      </c>
      <c r="AC19" s="123">
        <f t="shared" ca="1" si="5"/>
        <v>8258.468441125955</v>
      </c>
      <c r="AD19" s="123">
        <f t="shared" ca="1" si="11"/>
        <v>13710.13521560043</v>
      </c>
      <c r="AE19" s="123">
        <f t="shared" ca="1" si="11"/>
        <v>124.43697824242066</v>
      </c>
      <c r="AF19" s="123">
        <f t="shared" ca="1" si="11"/>
        <v>6532.9413577270852</v>
      </c>
      <c r="AG19" s="123">
        <f t="shared" ca="1" si="11"/>
        <v>35512.836256398594</v>
      </c>
      <c r="AH19" s="123" t="e">
        <f t="shared" ref="AH19:AW34" ca="1" si="13">-OFFSET(Abatement_Scope_1,$A19-$A$8,AH$2)*AH$51</f>
        <v>#REF!</v>
      </c>
      <c r="AI19" s="123" t="e">
        <f t="shared" ca="1" si="7"/>
        <v>#REF!</v>
      </c>
      <c r="AJ19" s="123" t="e">
        <f t="shared" ca="1" si="7"/>
        <v>#REF!</v>
      </c>
      <c r="AK19" s="123">
        <f t="shared" ca="1" si="7"/>
        <v>0</v>
      </c>
      <c r="AL19" s="123">
        <f t="shared" ca="1" si="7"/>
        <v>0</v>
      </c>
      <c r="AM19" s="123">
        <f t="shared" ca="1" si="7"/>
        <v>0</v>
      </c>
      <c r="AN19" s="123">
        <f t="shared" ca="1" si="7"/>
        <v>0</v>
      </c>
      <c r="AO19" s="123">
        <f t="shared" ca="1" si="7"/>
        <v>0</v>
      </c>
      <c r="AP19" s="123">
        <f t="shared" ca="1" si="7"/>
        <v>0</v>
      </c>
      <c r="AQ19" s="123">
        <f t="shared" ca="1" si="7"/>
        <v>0</v>
      </c>
      <c r="AR19" s="123">
        <f t="shared" ca="1" si="7"/>
        <v>0</v>
      </c>
      <c r="AS19" s="123">
        <f t="shared" ca="1" si="7"/>
        <v>0</v>
      </c>
      <c r="AT19" s="123">
        <f t="shared" ca="1" si="13"/>
        <v>0</v>
      </c>
      <c r="AU19" s="123">
        <f t="shared" ca="1" si="13"/>
        <v>0</v>
      </c>
      <c r="AV19" s="123">
        <f t="shared" ca="1" si="13"/>
        <v>0</v>
      </c>
      <c r="AW19" s="123">
        <f t="shared" ca="1" si="13"/>
        <v>0</v>
      </c>
      <c r="AX19" s="123" t="e">
        <f>-#REF!*$AX$51</f>
        <v>#REF!</v>
      </c>
    </row>
    <row r="20" spans="1:50">
      <c r="A20">
        <f t="shared" si="2"/>
        <v>2021</v>
      </c>
      <c r="B20" s="123">
        <f ca="1">ExposureCalculations!G27</f>
        <v>305021.32337931462</v>
      </c>
      <c r="C20" s="123">
        <f t="shared" ca="1" si="8"/>
        <v>186178.88944232807</v>
      </c>
      <c r="D20" s="123" t="e">
        <f t="shared" ca="1" si="9"/>
        <v>#REF!</v>
      </c>
      <c r="E20" s="123" t="e">
        <f ca="1">IF(F20=0,MAX(SUM('GHG Emissions'!P23:T23)-SUM(J20:K20)-(I20-('GHG Emissions'!N23-SUM(L20:M20))-('GHG Emissions'!J23-SUM(N20:AG20,AX20))-('GHG Emissions'!I23-SUM(AH20:AW20))),0),SUM('GHG Emissions'!P23:T23)-SUM(J20:K20))</f>
        <v>#REF!</v>
      </c>
      <c r="F20" s="123" t="e">
        <f ca="1">IF(G20=0,MAX('GHG Emissions'!N23-SUM(L20:M20)-(I20-('GHG Emissions'!J23-SUM(N20:AG20,AX20))-('GHG Emissions'!I23-SUM(AH20:AW20))),0),'GHG Emissions'!N23-SUM(L20:M20))</f>
        <v>#REF!</v>
      </c>
      <c r="G20" s="123" t="e">
        <f ca="1">IF(H20=0,MAX('GHG Emissions'!J23-SUM(N20:AG20,AX20)-(I20-('GHG Emissions'!I23-SUM(AH20:AW20))),0),'GHG Emissions'!J23-SUM(N20:AG20,AX20))</f>
        <v>#REF!</v>
      </c>
      <c r="H20" s="123" t="e">
        <f ca="1">IF(I20=0,'GHG Emissions'!I23-SUM(AH20:AW20),MAX('GHG Emissions'!I23-SUM(AH20:AW20)-I20,0))</f>
        <v>#REF!</v>
      </c>
      <c r="I20" s="123">
        <f t="shared" ca="1" si="10"/>
        <v>0</v>
      </c>
      <c r="J20" s="123" t="e">
        <f t="shared" ca="1" si="3"/>
        <v>#REF!</v>
      </c>
      <c r="K20" s="123" t="e">
        <f t="shared" ca="1" si="3"/>
        <v>#REF!</v>
      </c>
      <c r="L20" s="123">
        <f t="shared" ca="1" si="3"/>
        <v>0</v>
      </c>
      <c r="M20" s="123">
        <f t="shared" ca="1" si="4"/>
        <v>0</v>
      </c>
      <c r="N20" s="123" t="e">
        <f t="shared" ca="1" si="12"/>
        <v>#REF!</v>
      </c>
      <c r="O20" s="123" t="e">
        <f t="shared" ca="1" si="12"/>
        <v>#REF!</v>
      </c>
      <c r="P20" s="123" t="e">
        <f t="shared" ca="1" si="12"/>
        <v>#REF!</v>
      </c>
      <c r="Q20" s="123">
        <f t="shared" ca="1" si="12"/>
        <v>3731.5194545793479</v>
      </c>
      <c r="R20" s="123">
        <f t="shared" ca="1" si="12"/>
        <v>0</v>
      </c>
      <c r="S20" s="123">
        <f t="shared" ca="1" si="5"/>
        <v>0</v>
      </c>
      <c r="T20" s="123">
        <f t="shared" ca="1" si="5"/>
        <v>497.52640520481702</v>
      </c>
      <c r="U20" s="123">
        <f t="shared" ca="1" si="5"/>
        <v>4965.7712578398159</v>
      </c>
      <c r="V20" s="123">
        <f t="shared" ca="1" si="5"/>
        <v>19267.910662125156</v>
      </c>
      <c r="W20" s="123">
        <f t="shared" ca="1" si="5"/>
        <v>24138.344154244882</v>
      </c>
      <c r="X20" s="123">
        <f t="shared" ca="1" si="5"/>
        <v>9794.2408950338431</v>
      </c>
      <c r="Y20" s="123">
        <f t="shared" ca="1" si="5"/>
        <v>0</v>
      </c>
      <c r="Z20" s="123">
        <f t="shared" ca="1" si="5"/>
        <v>42.106365709288561</v>
      </c>
      <c r="AA20" s="123">
        <f t="shared" ca="1" si="5"/>
        <v>1361.6171263411916</v>
      </c>
      <c r="AB20" s="123">
        <f t="shared" ca="1" si="5"/>
        <v>0</v>
      </c>
      <c r="AC20" s="123">
        <f t="shared" ca="1" si="5"/>
        <v>9910.1621293511453</v>
      </c>
      <c r="AD20" s="123">
        <f t="shared" ca="1" si="11"/>
        <v>13710.13521560043</v>
      </c>
      <c r="AE20" s="123">
        <f t="shared" ca="1" si="11"/>
        <v>124.43697824242066</v>
      </c>
      <c r="AF20" s="123">
        <f t="shared" ca="1" si="11"/>
        <v>8710.5884769694476</v>
      </c>
      <c r="AG20" s="123">
        <f t="shared" ca="1" si="11"/>
        <v>35512.836256398594</v>
      </c>
      <c r="AH20" s="123" t="e">
        <f t="shared" ca="1" si="13"/>
        <v>#REF!</v>
      </c>
      <c r="AI20" s="123" t="e">
        <f t="shared" ca="1" si="7"/>
        <v>#REF!</v>
      </c>
      <c r="AJ20" s="123" t="e">
        <f t="shared" ca="1" si="7"/>
        <v>#REF!</v>
      </c>
      <c r="AK20" s="123">
        <f t="shared" ca="1" si="7"/>
        <v>0</v>
      </c>
      <c r="AL20" s="123">
        <f t="shared" ca="1" si="7"/>
        <v>0</v>
      </c>
      <c r="AM20" s="123">
        <f t="shared" ca="1" si="7"/>
        <v>0</v>
      </c>
      <c r="AN20" s="123">
        <f t="shared" ca="1" si="7"/>
        <v>0</v>
      </c>
      <c r="AO20" s="123">
        <f t="shared" ca="1" si="7"/>
        <v>0</v>
      </c>
      <c r="AP20" s="123">
        <f t="shared" ca="1" si="7"/>
        <v>0</v>
      </c>
      <c r="AQ20" s="123">
        <f t="shared" ca="1" si="7"/>
        <v>0</v>
      </c>
      <c r="AR20" s="123">
        <f t="shared" ca="1" si="7"/>
        <v>0</v>
      </c>
      <c r="AS20" s="123">
        <f t="shared" ca="1" si="7"/>
        <v>0</v>
      </c>
      <c r="AT20" s="123">
        <f t="shared" ca="1" si="13"/>
        <v>0</v>
      </c>
      <c r="AU20" s="123">
        <f t="shared" ca="1" si="13"/>
        <v>0</v>
      </c>
      <c r="AV20" s="123">
        <f t="shared" ca="1" si="13"/>
        <v>0</v>
      </c>
      <c r="AW20" s="123">
        <f t="shared" ca="1" si="13"/>
        <v>0</v>
      </c>
      <c r="AX20" s="123" t="e">
        <f>-#REF!*$AX$51</f>
        <v>#REF!</v>
      </c>
    </row>
    <row r="21" spans="1:50">
      <c r="A21">
        <f t="shared" si="2"/>
        <v>2022</v>
      </c>
      <c r="B21" s="123">
        <f ca="1">ExposureCalculations!G28</f>
        <v>307850.66465653217</v>
      </c>
      <c r="C21" s="123">
        <f t="shared" ca="1" si="8"/>
        <v>179758.92773742022</v>
      </c>
      <c r="D21" s="123" t="e">
        <f t="shared" ca="1" si="9"/>
        <v>#REF!</v>
      </c>
      <c r="E21" s="123" t="e">
        <f ca="1">IF(F21=0,MAX(SUM('GHG Emissions'!P24:T24)-SUM(J21:K21)-(I21-('GHG Emissions'!N24-SUM(L21:M21))-('GHG Emissions'!J24-SUM(N21:AG21,AX21))-('GHG Emissions'!I24-SUM(AH21:AW21))),0),SUM('GHG Emissions'!P24:T24)-SUM(J21:K21))</f>
        <v>#REF!</v>
      </c>
      <c r="F21" s="123" t="e">
        <f ca="1">IF(G21=0,MAX('GHG Emissions'!N24-SUM(L21:M21)-(I21-('GHG Emissions'!J24-SUM(N21:AG21,AX21))-('GHG Emissions'!I24-SUM(AH21:AW21))),0),'GHG Emissions'!N24-SUM(L21:M21))</f>
        <v>#REF!</v>
      </c>
      <c r="G21" s="123" t="e">
        <f ca="1">IF(H21=0,MAX('GHG Emissions'!J24-SUM(N21:AG21,AX21)-(I21-('GHG Emissions'!I24-SUM(AH21:AW21))),0),'GHG Emissions'!J24-SUM(N21:AG21,AX21))</f>
        <v>#REF!</v>
      </c>
      <c r="H21" s="123" t="e">
        <f ca="1">IF(I21=0,'GHG Emissions'!I24-SUM(AH21:AW21),MAX('GHG Emissions'!I24-SUM(AH21:AW21)-I21,0))</f>
        <v>#REF!</v>
      </c>
      <c r="I21" s="123">
        <f t="shared" ca="1" si="10"/>
        <v>0</v>
      </c>
      <c r="J21" s="123" t="e">
        <f t="shared" ca="1" si="3"/>
        <v>#REF!</v>
      </c>
      <c r="K21" s="123" t="e">
        <f t="shared" ca="1" si="3"/>
        <v>#REF!</v>
      </c>
      <c r="L21" s="123">
        <f t="shared" ca="1" si="3"/>
        <v>0</v>
      </c>
      <c r="M21" s="123">
        <f t="shared" ca="1" si="4"/>
        <v>0</v>
      </c>
      <c r="N21" s="123" t="e">
        <f t="shared" ca="1" si="12"/>
        <v>#REF!</v>
      </c>
      <c r="O21" s="123" t="e">
        <f t="shared" ca="1" si="12"/>
        <v>#REF!</v>
      </c>
      <c r="P21" s="123" t="e">
        <f t="shared" ca="1" si="12"/>
        <v>#REF!</v>
      </c>
      <c r="Q21" s="123">
        <f t="shared" ca="1" si="12"/>
        <v>4014.9740870877836</v>
      </c>
      <c r="R21" s="123">
        <f t="shared" ca="1" si="12"/>
        <v>0</v>
      </c>
      <c r="S21" s="123">
        <f t="shared" ca="1" si="5"/>
        <v>0</v>
      </c>
      <c r="T21" s="123">
        <f t="shared" ca="1" si="5"/>
        <v>497.52640520481702</v>
      </c>
      <c r="U21" s="123">
        <f t="shared" ca="1" si="5"/>
        <v>5016.4239264490425</v>
      </c>
      <c r="V21" s="123">
        <f t="shared" ca="1" si="5"/>
        <v>19469.83481786742</v>
      </c>
      <c r="W21" s="123">
        <f t="shared" ca="1" si="5"/>
        <v>26149.872833765301</v>
      </c>
      <c r="X21" s="123">
        <f t="shared" ca="1" si="5"/>
        <v>10225.978095960911</v>
      </c>
      <c r="Y21" s="123">
        <f t="shared" ca="1" si="5"/>
        <v>0</v>
      </c>
      <c r="Z21" s="123">
        <f t="shared" ca="1" si="5"/>
        <v>42.106365709288561</v>
      </c>
      <c r="AA21" s="123">
        <f t="shared" ca="1" si="5"/>
        <v>1361.6171263411916</v>
      </c>
      <c r="AB21" s="123">
        <f t="shared" ca="1" si="5"/>
        <v>0</v>
      </c>
      <c r="AC21" s="123">
        <f t="shared" ca="1" si="5"/>
        <v>11561.855817576336</v>
      </c>
      <c r="AD21" s="123">
        <f t="shared" ca="1" si="11"/>
        <v>13710.13521560043</v>
      </c>
      <c r="AE21" s="123">
        <f t="shared" ca="1" si="11"/>
        <v>124.43697824242066</v>
      </c>
      <c r="AF21" s="123">
        <f t="shared" ca="1" si="11"/>
        <v>8710.5884769694476</v>
      </c>
      <c r="AG21" s="123">
        <f t="shared" ca="1" si="11"/>
        <v>35512.836256398594</v>
      </c>
      <c r="AH21" s="123" t="e">
        <f t="shared" ca="1" si="13"/>
        <v>#REF!</v>
      </c>
      <c r="AI21" s="123" t="e">
        <f t="shared" ca="1" si="7"/>
        <v>#REF!</v>
      </c>
      <c r="AJ21" s="123" t="e">
        <f t="shared" ca="1" si="7"/>
        <v>#REF!</v>
      </c>
      <c r="AK21" s="123">
        <f t="shared" ca="1" si="7"/>
        <v>0</v>
      </c>
      <c r="AL21" s="123">
        <f t="shared" ca="1" si="7"/>
        <v>0</v>
      </c>
      <c r="AM21" s="123">
        <f t="shared" ca="1" si="7"/>
        <v>0</v>
      </c>
      <c r="AN21" s="123">
        <f t="shared" ca="1" si="7"/>
        <v>0</v>
      </c>
      <c r="AO21" s="123">
        <f t="shared" ca="1" si="7"/>
        <v>0</v>
      </c>
      <c r="AP21" s="123">
        <f t="shared" ca="1" si="7"/>
        <v>0</v>
      </c>
      <c r="AQ21" s="123">
        <f t="shared" ca="1" si="7"/>
        <v>0</v>
      </c>
      <c r="AR21" s="123">
        <f t="shared" ca="1" si="7"/>
        <v>0</v>
      </c>
      <c r="AS21" s="123">
        <f t="shared" ca="1" si="7"/>
        <v>0</v>
      </c>
      <c r="AT21" s="123">
        <f t="shared" ca="1" si="13"/>
        <v>0</v>
      </c>
      <c r="AU21" s="123">
        <f t="shared" ca="1" si="13"/>
        <v>0</v>
      </c>
      <c r="AV21" s="123">
        <f t="shared" ca="1" si="13"/>
        <v>0</v>
      </c>
      <c r="AW21" s="123">
        <f t="shared" ca="1" si="13"/>
        <v>0</v>
      </c>
      <c r="AX21" s="123" t="e">
        <f>-#REF!*$AX$51</f>
        <v>#REF!</v>
      </c>
    </row>
    <row r="22" spans="1:50">
      <c r="A22">
        <f t="shared" si="2"/>
        <v>2023</v>
      </c>
      <c r="B22" s="123">
        <f ca="1">ExposureCalculations!G29</f>
        <v>310677.99116637878</v>
      </c>
      <c r="C22" s="123">
        <f t="shared" ca="1" si="8"/>
        <v>173338.96603251237</v>
      </c>
      <c r="D22" s="123" t="e">
        <f t="shared" ca="1" si="9"/>
        <v>#REF!</v>
      </c>
      <c r="E22" s="123" t="e">
        <f ca="1">IF(F22=0,MAX(SUM('GHG Emissions'!P25:T25)-SUM(J22:K22)-(I22-('GHG Emissions'!N25-SUM(L22:M22))-('GHG Emissions'!J25-SUM(N22:AG22,AX22))-('GHG Emissions'!I25-SUM(AH22:AW22))),0),SUM('GHG Emissions'!P25:T25)-SUM(J22:K22))</f>
        <v>#REF!</v>
      </c>
      <c r="F22" s="123" t="e">
        <f ca="1">IF(G22=0,MAX('GHG Emissions'!N25-SUM(L22:M22)-(I22-('GHG Emissions'!J25-SUM(N22:AG22,AX22))-('GHG Emissions'!I25-SUM(AH22:AW22))),0),'GHG Emissions'!N25-SUM(L22:M22))</f>
        <v>#REF!</v>
      </c>
      <c r="G22" s="123" t="e">
        <f ca="1">IF(H22=0,MAX('GHG Emissions'!J25-SUM(N22:AG22,AX22)-(I22-('GHG Emissions'!I25-SUM(AH22:AW22))),0),'GHG Emissions'!J25-SUM(N22:AG22,AX22))</f>
        <v>#REF!</v>
      </c>
      <c r="H22" s="123" t="e">
        <f ca="1">IF(I22=0,'GHG Emissions'!I25-SUM(AH22:AW22),MAX('GHG Emissions'!I25-SUM(AH22:AW22)-I22,0))</f>
        <v>#REF!</v>
      </c>
      <c r="I22" s="123">
        <f t="shared" ca="1" si="10"/>
        <v>0</v>
      </c>
      <c r="J22" s="123" t="e">
        <f t="shared" ca="1" si="3"/>
        <v>#REF!</v>
      </c>
      <c r="K22" s="123" t="e">
        <f t="shared" ca="1" si="3"/>
        <v>#REF!</v>
      </c>
      <c r="L22" s="123">
        <f t="shared" ca="1" si="3"/>
        <v>0</v>
      </c>
      <c r="M22" s="123">
        <f t="shared" ca="1" si="4"/>
        <v>0</v>
      </c>
      <c r="N22" s="123" t="e">
        <f t="shared" ca="1" si="12"/>
        <v>#REF!</v>
      </c>
      <c r="O22" s="123" t="e">
        <f t="shared" ca="1" si="12"/>
        <v>#REF!</v>
      </c>
      <c r="P22" s="123" t="e">
        <f t="shared" ca="1" si="12"/>
        <v>#REF!</v>
      </c>
      <c r="Q22" s="123">
        <f t="shared" ca="1" si="12"/>
        <v>3973.9065654273677</v>
      </c>
      <c r="R22" s="123">
        <f t="shared" ca="1" si="12"/>
        <v>0</v>
      </c>
      <c r="S22" s="123">
        <f t="shared" ca="1" si="5"/>
        <v>0</v>
      </c>
      <c r="T22" s="123">
        <f t="shared" ca="1" si="5"/>
        <v>497.52640520481702</v>
      </c>
      <c r="U22" s="123">
        <f t="shared" ca="1" si="5"/>
        <v>5067.07659505827</v>
      </c>
      <c r="V22" s="123">
        <f t="shared" ca="1" si="5"/>
        <v>19671.758973609671</v>
      </c>
      <c r="W22" s="123">
        <f t="shared" ca="1" si="5"/>
        <v>28161.401513285691</v>
      </c>
      <c r="X22" s="123">
        <f t="shared" ca="1" si="5"/>
        <v>10658.700485955025</v>
      </c>
      <c r="Y22" s="123">
        <f t="shared" ca="1" si="5"/>
        <v>0</v>
      </c>
      <c r="Z22" s="123">
        <f t="shared" ca="1" si="5"/>
        <v>42.106365709288561</v>
      </c>
      <c r="AA22" s="123">
        <f t="shared" ca="1" si="5"/>
        <v>1361.6171263411916</v>
      </c>
      <c r="AB22" s="123">
        <f t="shared" ca="1" si="5"/>
        <v>0</v>
      </c>
      <c r="AC22" s="123">
        <f t="shared" ca="1" si="5"/>
        <v>13213.549505801528</v>
      </c>
      <c r="AD22" s="123">
        <f t="shared" ca="1" si="11"/>
        <v>13710.13521560043</v>
      </c>
      <c r="AE22" s="123">
        <f t="shared" ca="1" si="11"/>
        <v>124.43697824242066</v>
      </c>
      <c r="AF22" s="123">
        <f t="shared" ca="1" si="11"/>
        <v>8710.5884769694476</v>
      </c>
      <c r="AG22" s="123">
        <f t="shared" ca="1" si="11"/>
        <v>35512.836256398594</v>
      </c>
      <c r="AH22" s="123" t="e">
        <f t="shared" ca="1" si="13"/>
        <v>#REF!</v>
      </c>
      <c r="AI22" s="123" t="e">
        <f t="shared" ca="1" si="7"/>
        <v>#REF!</v>
      </c>
      <c r="AJ22" s="123" t="e">
        <f t="shared" ca="1" si="7"/>
        <v>#REF!</v>
      </c>
      <c r="AK22" s="123">
        <f t="shared" ca="1" si="7"/>
        <v>0</v>
      </c>
      <c r="AL22" s="123">
        <f t="shared" ca="1" si="7"/>
        <v>0</v>
      </c>
      <c r="AM22" s="123">
        <f t="shared" ca="1" si="7"/>
        <v>0</v>
      </c>
      <c r="AN22" s="123">
        <f t="shared" ca="1" si="7"/>
        <v>0</v>
      </c>
      <c r="AO22" s="123">
        <f t="shared" ca="1" si="7"/>
        <v>0</v>
      </c>
      <c r="AP22" s="123">
        <f t="shared" ca="1" si="7"/>
        <v>0</v>
      </c>
      <c r="AQ22" s="123">
        <f t="shared" ca="1" si="7"/>
        <v>0</v>
      </c>
      <c r="AR22" s="123">
        <f t="shared" ca="1" si="7"/>
        <v>0</v>
      </c>
      <c r="AS22" s="123">
        <f t="shared" ca="1" si="7"/>
        <v>0</v>
      </c>
      <c r="AT22" s="123">
        <f t="shared" ca="1" si="13"/>
        <v>0</v>
      </c>
      <c r="AU22" s="123">
        <f t="shared" ca="1" si="13"/>
        <v>0</v>
      </c>
      <c r="AV22" s="123">
        <f t="shared" ca="1" si="13"/>
        <v>0</v>
      </c>
      <c r="AW22" s="123">
        <f t="shared" ca="1" si="13"/>
        <v>0</v>
      </c>
      <c r="AX22" s="123" t="e">
        <f>-#REF!*$AX$51</f>
        <v>#REF!</v>
      </c>
    </row>
    <row r="23" spans="1:50">
      <c r="A23">
        <f t="shared" si="2"/>
        <v>2024</v>
      </c>
      <c r="B23" s="123">
        <f ca="1">ExposureCalculations!G30</f>
        <v>313503.51533850358</v>
      </c>
      <c r="C23" s="123">
        <f t="shared" ca="1" si="8"/>
        <v>166919.00432760452</v>
      </c>
      <c r="D23" s="123" t="e">
        <f t="shared" ca="1" si="9"/>
        <v>#REF!</v>
      </c>
      <c r="E23" s="123" t="e">
        <f ca="1">IF(F23=0,MAX(SUM('GHG Emissions'!P26:T26)-SUM(J23:K23)-(I23-('GHG Emissions'!N26-SUM(L23:M23))-('GHG Emissions'!J26-SUM(N23:AG23,AX23))-('GHG Emissions'!I26-SUM(AH23:AW23))),0),SUM('GHG Emissions'!P26:T26)-SUM(J23:K23))</f>
        <v>#REF!</v>
      </c>
      <c r="F23" s="123" t="e">
        <f ca="1">IF(G23=0,MAX('GHG Emissions'!N26-SUM(L23:M23)-(I23-('GHG Emissions'!J26-SUM(N23:AG23,AX23))-('GHG Emissions'!I26-SUM(AH23:AW23))),0),'GHG Emissions'!N26-SUM(L23:M23))</f>
        <v>#REF!</v>
      </c>
      <c r="G23" s="123" t="e">
        <f ca="1">IF(H23=0,MAX('GHG Emissions'!J26-SUM(N23:AG23,AX23)-(I23-('GHG Emissions'!I26-SUM(AH23:AW23))),0),'GHG Emissions'!J26-SUM(N23:AG23,AX23))</f>
        <v>#REF!</v>
      </c>
      <c r="H23" s="123" t="e">
        <f ca="1">IF(I23=0,'GHG Emissions'!I26-SUM(AH23:AW23),MAX('GHG Emissions'!I26-SUM(AH23:AW23)-I23,0))</f>
        <v>#REF!</v>
      </c>
      <c r="I23" s="123">
        <f t="shared" ca="1" si="10"/>
        <v>0</v>
      </c>
      <c r="J23" s="123" t="e">
        <f t="shared" ca="1" si="3"/>
        <v>#REF!</v>
      </c>
      <c r="K23" s="123" t="e">
        <f t="shared" ca="1" si="3"/>
        <v>#REF!</v>
      </c>
      <c r="L23" s="123">
        <f t="shared" ca="1" si="3"/>
        <v>0</v>
      </c>
      <c r="M23" s="123">
        <f t="shared" ca="1" si="4"/>
        <v>0</v>
      </c>
      <c r="N23" s="123" t="e">
        <f t="shared" ca="1" si="12"/>
        <v>#REF!</v>
      </c>
      <c r="O23" s="123" t="e">
        <f t="shared" ca="1" si="12"/>
        <v>#REF!</v>
      </c>
      <c r="P23" s="123" t="e">
        <f t="shared" ca="1" si="12"/>
        <v>#REF!</v>
      </c>
      <c r="Q23" s="123">
        <f t="shared" ca="1" si="12"/>
        <v>3960.275297755366</v>
      </c>
      <c r="R23" s="123">
        <f t="shared" ca="1" si="12"/>
        <v>0</v>
      </c>
      <c r="S23" s="123">
        <f t="shared" ca="1" si="5"/>
        <v>0</v>
      </c>
      <c r="T23" s="123">
        <f t="shared" ca="1" si="5"/>
        <v>497.52640520481702</v>
      </c>
      <c r="U23" s="123">
        <f t="shared" ca="1" si="5"/>
        <v>5117.7292636674965</v>
      </c>
      <c r="V23" s="123">
        <f t="shared" ca="1" si="5"/>
        <v>19873.683129351921</v>
      </c>
      <c r="W23" s="123">
        <f t="shared" ca="1" si="5"/>
        <v>30172.93019280611</v>
      </c>
      <c r="X23" s="123">
        <f t="shared" ca="1" si="5"/>
        <v>11092.378035332724</v>
      </c>
      <c r="Y23" s="123">
        <f t="shared" ca="1" si="5"/>
        <v>0</v>
      </c>
      <c r="Z23" s="123">
        <f t="shared" ca="1" si="5"/>
        <v>42.106365709288561</v>
      </c>
      <c r="AA23" s="123">
        <f t="shared" ca="1" si="5"/>
        <v>1361.6171263411916</v>
      </c>
      <c r="AB23" s="123">
        <f t="shared" ca="1" si="5"/>
        <v>1008.2241603025502</v>
      </c>
      <c r="AC23" s="123">
        <f t="shared" ca="1" si="5"/>
        <v>13213.549505801528</v>
      </c>
      <c r="AD23" s="123">
        <f t="shared" ca="1" si="11"/>
        <v>13710.13521560043</v>
      </c>
      <c r="AE23" s="123">
        <f t="shared" ca="1" si="11"/>
        <v>124.43697824242066</v>
      </c>
      <c r="AF23" s="123">
        <f t="shared" ca="1" si="11"/>
        <v>8710.5884769694476</v>
      </c>
      <c r="AG23" s="123">
        <f t="shared" ca="1" si="11"/>
        <v>35512.836256398594</v>
      </c>
      <c r="AH23" s="123" t="e">
        <f t="shared" ca="1" si="13"/>
        <v>#REF!</v>
      </c>
      <c r="AI23" s="123" t="e">
        <f t="shared" ca="1" si="7"/>
        <v>#REF!</v>
      </c>
      <c r="AJ23" s="123" t="e">
        <f t="shared" ca="1" si="7"/>
        <v>#REF!</v>
      </c>
      <c r="AK23" s="123">
        <f t="shared" ca="1" si="7"/>
        <v>0</v>
      </c>
      <c r="AL23" s="123">
        <f t="shared" ca="1" si="7"/>
        <v>0</v>
      </c>
      <c r="AM23" s="123">
        <f t="shared" ca="1" si="7"/>
        <v>0</v>
      </c>
      <c r="AN23" s="123">
        <f t="shared" ca="1" si="7"/>
        <v>0</v>
      </c>
      <c r="AO23" s="123">
        <f t="shared" ca="1" si="7"/>
        <v>0</v>
      </c>
      <c r="AP23" s="123">
        <f t="shared" ca="1" si="7"/>
        <v>0</v>
      </c>
      <c r="AQ23" s="123">
        <f t="shared" ca="1" si="7"/>
        <v>0</v>
      </c>
      <c r="AR23" s="123">
        <f t="shared" ca="1" si="7"/>
        <v>0</v>
      </c>
      <c r="AS23" s="123">
        <f t="shared" ca="1" si="7"/>
        <v>0</v>
      </c>
      <c r="AT23" s="123">
        <f t="shared" ca="1" si="13"/>
        <v>0</v>
      </c>
      <c r="AU23" s="123">
        <f t="shared" ca="1" si="13"/>
        <v>0</v>
      </c>
      <c r="AV23" s="123">
        <f t="shared" ca="1" si="13"/>
        <v>0</v>
      </c>
      <c r="AW23" s="123">
        <f t="shared" ca="1" si="13"/>
        <v>0</v>
      </c>
      <c r="AX23" s="123" t="e">
        <f>-#REF!*$AX$51</f>
        <v>#REF!</v>
      </c>
    </row>
    <row r="24" spans="1:50">
      <c r="A24">
        <f t="shared" si="2"/>
        <v>2025</v>
      </c>
      <c r="B24" s="123">
        <f ca="1">ExposureCalculations!G31</f>
        <v>316327.41470602393</v>
      </c>
      <c r="C24" s="123">
        <f t="shared" ca="1" si="8"/>
        <v>160499.04262269667</v>
      </c>
      <c r="D24" s="123" t="e">
        <f t="shared" ca="1" si="9"/>
        <v>#REF!</v>
      </c>
      <c r="E24" s="123" t="e">
        <f ca="1">IF(F24=0,MAX(SUM('GHG Emissions'!P27:T27)-SUM(J24:K24)-(I24-('GHG Emissions'!N27-SUM(L24:M24))-('GHG Emissions'!J27-SUM(N24:AG24,AX24))-('GHG Emissions'!I27-SUM(AH24:AW24))),0),SUM('GHG Emissions'!P27:T27)-SUM(J24:K24))</f>
        <v>#REF!</v>
      </c>
      <c r="F24" s="123" t="e">
        <f ca="1">IF(G24=0,MAX('GHG Emissions'!N27-SUM(L24:M24)-(I24-('GHG Emissions'!J27-SUM(N24:AG24,AX24))-('GHG Emissions'!I27-SUM(AH24:AW24))),0),'GHG Emissions'!N27-SUM(L24:M24))</f>
        <v>#REF!</v>
      </c>
      <c r="G24" s="123" t="e">
        <f ca="1">IF(H24=0,MAX('GHG Emissions'!J27-SUM(N24:AG24,AX24)-(I24-('GHG Emissions'!I27-SUM(AH24:AW24))),0),'GHG Emissions'!J27-SUM(N24:AG24,AX24))</f>
        <v>#REF!</v>
      </c>
      <c r="H24" s="123" t="e">
        <f ca="1">IF(I24=0,'GHG Emissions'!I27-SUM(AH24:AW24),MAX('GHG Emissions'!I27-SUM(AH24:AW24)-I24,0))</f>
        <v>#REF!</v>
      </c>
      <c r="I24" s="123">
        <f t="shared" ca="1" si="10"/>
        <v>0</v>
      </c>
      <c r="J24" s="123" t="e">
        <f t="shared" ca="1" si="3"/>
        <v>#REF!</v>
      </c>
      <c r="K24" s="123" t="e">
        <f t="shared" ca="1" si="3"/>
        <v>#REF!</v>
      </c>
      <c r="L24" s="123">
        <f t="shared" ca="1" si="3"/>
        <v>0</v>
      </c>
      <c r="M24" s="123">
        <f t="shared" ca="1" si="4"/>
        <v>0</v>
      </c>
      <c r="N24" s="123" t="e">
        <f t="shared" ca="1" si="12"/>
        <v>#REF!</v>
      </c>
      <c r="O24" s="123" t="e">
        <f t="shared" ca="1" si="12"/>
        <v>#REF!</v>
      </c>
      <c r="P24" s="123" t="e">
        <f t="shared" ca="1" si="12"/>
        <v>#REF!</v>
      </c>
      <c r="Q24" s="123">
        <f t="shared" ca="1" si="12"/>
        <v>3946.6043494384821</v>
      </c>
      <c r="R24" s="123">
        <f t="shared" ca="1" si="12"/>
        <v>0</v>
      </c>
      <c r="S24" s="123">
        <f t="shared" ca="1" si="5"/>
        <v>0</v>
      </c>
      <c r="T24" s="123">
        <f t="shared" ca="1" si="5"/>
        <v>497.52640520481702</v>
      </c>
      <c r="U24" s="123">
        <f t="shared" ca="1" si="5"/>
        <v>5168.3819322767222</v>
      </c>
      <c r="V24" s="123">
        <f t="shared" ca="1" si="5"/>
        <v>20075.607285094171</v>
      </c>
      <c r="W24" s="123">
        <f t="shared" ca="1" si="5"/>
        <v>32184.45887232653</v>
      </c>
      <c r="X24" s="123">
        <f t="shared" ca="1" si="5"/>
        <v>11526.981922587047</v>
      </c>
      <c r="Y24" s="123">
        <f t="shared" ca="1" si="5"/>
        <v>0</v>
      </c>
      <c r="Z24" s="123">
        <f t="shared" ca="1" si="5"/>
        <v>42.106365709288561</v>
      </c>
      <c r="AA24" s="123">
        <f t="shared" ca="1" si="5"/>
        <v>1361.6171263411916</v>
      </c>
      <c r="AB24" s="123">
        <f t="shared" ca="1" si="5"/>
        <v>2016.4483206051004</v>
      </c>
      <c r="AC24" s="123">
        <f t="shared" ca="1" si="5"/>
        <v>13213.549505801528</v>
      </c>
      <c r="AD24" s="123">
        <f t="shared" ca="1" si="11"/>
        <v>13710.13521560043</v>
      </c>
      <c r="AE24" s="123">
        <f t="shared" ca="1" si="11"/>
        <v>124.43697824242066</v>
      </c>
      <c r="AF24" s="123">
        <f t="shared" ca="1" si="11"/>
        <v>8710.5884769694476</v>
      </c>
      <c r="AG24" s="123">
        <f t="shared" ca="1" si="11"/>
        <v>35512.836256398594</v>
      </c>
      <c r="AH24" s="123" t="e">
        <f t="shared" ca="1" si="13"/>
        <v>#REF!</v>
      </c>
      <c r="AI24" s="123" t="e">
        <f t="shared" ca="1" si="7"/>
        <v>#REF!</v>
      </c>
      <c r="AJ24" s="123" t="e">
        <f t="shared" ca="1" si="7"/>
        <v>#REF!</v>
      </c>
      <c r="AK24" s="123">
        <f t="shared" ca="1" si="7"/>
        <v>0</v>
      </c>
      <c r="AL24" s="123">
        <f t="shared" ca="1" si="7"/>
        <v>0</v>
      </c>
      <c r="AM24" s="123">
        <f t="shared" ca="1" si="7"/>
        <v>0</v>
      </c>
      <c r="AN24" s="123">
        <f t="shared" ca="1" si="7"/>
        <v>0</v>
      </c>
      <c r="AO24" s="123">
        <f t="shared" ca="1" si="7"/>
        <v>0</v>
      </c>
      <c r="AP24" s="123">
        <f t="shared" ca="1" si="7"/>
        <v>0</v>
      </c>
      <c r="AQ24" s="123">
        <f t="shared" ca="1" si="7"/>
        <v>0</v>
      </c>
      <c r="AR24" s="123">
        <f t="shared" ca="1" si="7"/>
        <v>0</v>
      </c>
      <c r="AS24" s="123">
        <f t="shared" ca="1" si="7"/>
        <v>0</v>
      </c>
      <c r="AT24" s="123">
        <f t="shared" ca="1" si="13"/>
        <v>0</v>
      </c>
      <c r="AU24" s="123">
        <f t="shared" ca="1" si="13"/>
        <v>0</v>
      </c>
      <c r="AV24" s="123">
        <f t="shared" ca="1" si="13"/>
        <v>0</v>
      </c>
      <c r="AW24" s="123">
        <f t="shared" ca="1" si="13"/>
        <v>0</v>
      </c>
      <c r="AX24" s="123" t="e">
        <f>-#REF!*$AX$51</f>
        <v>#REF!</v>
      </c>
    </row>
    <row r="25" spans="1:50">
      <c r="A25">
        <f t="shared" si="2"/>
        <v>2026</v>
      </c>
      <c r="B25" s="123">
        <f ca="1">ExposureCalculations!G32</f>
        <v>319149.83943984361</v>
      </c>
      <c r="C25" s="123">
        <f t="shared" ca="1" si="8"/>
        <v>154079.08091778881</v>
      </c>
      <c r="D25" s="123" t="e">
        <f t="shared" ca="1" si="9"/>
        <v>#REF!</v>
      </c>
      <c r="E25" s="123" t="e">
        <f ca="1">IF(F25=0,MAX(SUM('GHG Emissions'!P28:T28)-SUM(J25:K25)-(I25-('GHG Emissions'!N28-SUM(L25:M25))-('GHG Emissions'!J28-SUM(N25:AG25,AX25))-('GHG Emissions'!I28-SUM(AH25:AW25))),0),SUM('GHG Emissions'!P28:T28)-SUM(J25:K25))</f>
        <v>#REF!</v>
      </c>
      <c r="F25" s="123" t="e">
        <f ca="1">IF(G25=0,MAX('GHG Emissions'!N28-SUM(L25:M25)-(I25-('GHG Emissions'!J28-SUM(N25:AG25,AX25))-('GHG Emissions'!I28-SUM(AH25:AW25))),0),'GHG Emissions'!N28-SUM(L25:M25))</f>
        <v>#REF!</v>
      </c>
      <c r="G25" s="123" t="e">
        <f ca="1">IF(H25=0,MAX('GHG Emissions'!J28-SUM(N25:AG25,AX25)-(I25-('GHG Emissions'!I28-SUM(AH25:AW25))),0),'GHG Emissions'!J28-SUM(N25:AG25,AX25))</f>
        <v>#REF!</v>
      </c>
      <c r="H25" s="123" t="e">
        <f ca="1">IF(I25=0,'GHG Emissions'!I28-SUM(AH25:AW25),MAX('GHG Emissions'!I28-SUM(AH25:AW25)-I25,0))</f>
        <v>#REF!</v>
      </c>
      <c r="I25" s="123">
        <f t="shared" ca="1" si="10"/>
        <v>0</v>
      </c>
      <c r="J25" s="123" t="e">
        <f t="shared" ca="1" si="3"/>
        <v>#REF!</v>
      </c>
      <c r="K25" s="123" t="e">
        <f t="shared" ca="1" si="3"/>
        <v>#REF!</v>
      </c>
      <c r="L25" s="123">
        <f t="shared" ca="1" si="3"/>
        <v>0</v>
      </c>
      <c r="M25" s="123">
        <f t="shared" ca="1" si="4"/>
        <v>0</v>
      </c>
      <c r="N25" s="123" t="e">
        <f t="shared" ca="1" si="12"/>
        <v>#REF!</v>
      </c>
      <c r="O25" s="123" t="e">
        <f t="shared" ca="1" si="12"/>
        <v>#REF!</v>
      </c>
      <c r="P25" s="123" t="e">
        <f t="shared" ca="1" si="12"/>
        <v>#REF!</v>
      </c>
      <c r="Q25" s="123">
        <f t="shared" ca="1" si="12"/>
        <v>3932.894905899223</v>
      </c>
      <c r="R25" s="123">
        <f t="shared" ca="1" si="12"/>
        <v>0</v>
      </c>
      <c r="S25" s="123">
        <f t="shared" ca="1" si="12"/>
        <v>0</v>
      </c>
      <c r="T25" s="123">
        <f t="shared" ca="1" si="12"/>
        <v>497.52640520481702</v>
      </c>
      <c r="U25" s="123">
        <f t="shared" ca="1" si="12"/>
        <v>5219.0346008859497</v>
      </c>
      <c r="V25" s="123">
        <f t="shared" ca="1" si="12"/>
        <v>20277.531440836436</v>
      </c>
      <c r="W25" s="123">
        <f t="shared" ca="1" si="12"/>
        <v>34195.98755184692</v>
      </c>
      <c r="X25" s="123">
        <f t="shared" ca="1" si="12"/>
        <v>11962.484474232047</v>
      </c>
      <c r="Y25" s="123">
        <f t="shared" ca="1" si="12"/>
        <v>0</v>
      </c>
      <c r="Z25" s="123">
        <f t="shared" ca="1" si="12"/>
        <v>42.106365709288561</v>
      </c>
      <c r="AA25" s="123">
        <f t="shared" ca="1" si="12"/>
        <v>1361.6171263411916</v>
      </c>
      <c r="AB25" s="123">
        <f t="shared" ca="1" si="12"/>
        <v>3024.6724809076504</v>
      </c>
      <c r="AC25" s="123">
        <f t="shared" ca="1" si="12"/>
        <v>13213.549505801528</v>
      </c>
      <c r="AD25" s="123">
        <f t="shared" ca="1" si="11"/>
        <v>13710.13521560043</v>
      </c>
      <c r="AE25" s="123">
        <f t="shared" ca="1" si="11"/>
        <v>124.43697824242066</v>
      </c>
      <c r="AF25" s="123">
        <f t="shared" ca="1" si="11"/>
        <v>8710.5884769694476</v>
      </c>
      <c r="AG25" s="123">
        <f t="shared" ca="1" si="11"/>
        <v>35512.836256398594</v>
      </c>
      <c r="AH25" s="123" t="e">
        <f t="shared" ca="1" si="13"/>
        <v>#REF!</v>
      </c>
      <c r="AI25" s="123" t="e">
        <f t="shared" ca="1" si="13"/>
        <v>#REF!</v>
      </c>
      <c r="AJ25" s="123" t="e">
        <f t="shared" ca="1" si="13"/>
        <v>#REF!</v>
      </c>
      <c r="AK25" s="123">
        <f t="shared" ca="1" si="13"/>
        <v>0</v>
      </c>
      <c r="AL25" s="123">
        <f t="shared" ca="1" si="13"/>
        <v>0</v>
      </c>
      <c r="AM25" s="123">
        <f t="shared" ca="1" si="13"/>
        <v>0</v>
      </c>
      <c r="AN25" s="123">
        <f t="shared" ca="1" si="13"/>
        <v>0</v>
      </c>
      <c r="AO25" s="123">
        <f t="shared" ca="1" si="13"/>
        <v>0</v>
      </c>
      <c r="AP25" s="123">
        <f t="shared" ca="1" si="13"/>
        <v>0</v>
      </c>
      <c r="AQ25" s="123">
        <f t="shared" ca="1" si="13"/>
        <v>0</v>
      </c>
      <c r="AR25" s="123">
        <f t="shared" ca="1" si="13"/>
        <v>0</v>
      </c>
      <c r="AS25" s="123">
        <f t="shared" ca="1" si="13"/>
        <v>0</v>
      </c>
      <c r="AT25" s="123">
        <f t="shared" ca="1" si="13"/>
        <v>0</v>
      </c>
      <c r="AU25" s="123">
        <f t="shared" ca="1" si="13"/>
        <v>0</v>
      </c>
      <c r="AV25" s="123">
        <f t="shared" ca="1" si="13"/>
        <v>0</v>
      </c>
      <c r="AW25" s="123">
        <f t="shared" ca="1" si="13"/>
        <v>0</v>
      </c>
      <c r="AX25" s="123" t="e">
        <f>-#REF!*$AX$51</f>
        <v>#REF!</v>
      </c>
    </row>
    <row r="26" spans="1:50">
      <c r="A26">
        <f t="shared" si="2"/>
        <v>2027</v>
      </c>
      <c r="B26" s="123">
        <f ca="1">ExposureCalculations!G33</f>
        <v>321970.91791220132</v>
      </c>
      <c r="C26" s="123">
        <f t="shared" ca="1" si="8"/>
        <v>147659.11921288096</v>
      </c>
      <c r="D26" s="123" t="e">
        <f t="shared" ca="1" si="9"/>
        <v>#REF!</v>
      </c>
      <c r="E26" s="123" t="e">
        <f ca="1">IF(F26=0,MAX(SUM('GHG Emissions'!P29:T29)-SUM(J26:K26)-(I26-('GHG Emissions'!N29-SUM(L26:M26))-('GHG Emissions'!J29-SUM(N26:AG26,AX26))-('GHG Emissions'!I29-SUM(AH26:AW26))),0),SUM('GHG Emissions'!P29:T29)-SUM(J26:K26))</f>
        <v>#REF!</v>
      </c>
      <c r="F26" s="123" t="e">
        <f ca="1">IF(G26=0,MAX('GHG Emissions'!N29-SUM(L26:M26)-(I26-('GHG Emissions'!J29-SUM(N26:AG26,AX26))-('GHG Emissions'!I29-SUM(AH26:AW26))),0),'GHG Emissions'!N29-SUM(L26:M26))</f>
        <v>#REF!</v>
      </c>
      <c r="G26" s="123" t="e">
        <f ca="1">IF(H26=0,MAX('GHG Emissions'!J29-SUM(N26:AG26,AX26)-(I26-('GHG Emissions'!I29-SUM(AH26:AW26))),0),'GHG Emissions'!J29-SUM(N26:AG26,AX26))</f>
        <v>#REF!</v>
      </c>
      <c r="H26" s="123" t="e">
        <f ca="1">IF(I26=0,'GHG Emissions'!I29-SUM(AH26:AW26),MAX('GHG Emissions'!I29-SUM(AH26:AW26)-I26,0))</f>
        <v>#REF!</v>
      </c>
      <c r="I26" s="123">
        <f t="shared" ca="1" si="10"/>
        <v>0</v>
      </c>
      <c r="J26" s="123" t="e">
        <f t="shared" ca="1" si="3"/>
        <v>#REF!</v>
      </c>
      <c r="K26" s="123" t="e">
        <f t="shared" ca="1" si="3"/>
        <v>#REF!</v>
      </c>
      <c r="L26" s="123">
        <f t="shared" ca="1" si="3"/>
        <v>0</v>
      </c>
      <c r="M26" s="123">
        <f t="shared" ca="1" si="4"/>
        <v>0</v>
      </c>
      <c r="N26" s="123" t="e">
        <f t="shared" ca="1" si="12"/>
        <v>#REF!</v>
      </c>
      <c r="O26" s="123" t="e">
        <f t="shared" ca="1" si="12"/>
        <v>#REF!</v>
      </c>
      <c r="P26" s="123" t="e">
        <f t="shared" ca="1" si="12"/>
        <v>#REF!</v>
      </c>
      <c r="Q26" s="123">
        <f t="shared" ca="1" si="12"/>
        <v>3919.1481058077857</v>
      </c>
      <c r="R26" s="123">
        <f t="shared" ca="1" si="12"/>
        <v>0</v>
      </c>
      <c r="S26" s="123">
        <f t="shared" ca="1" si="12"/>
        <v>0</v>
      </c>
      <c r="T26" s="123">
        <f t="shared" ca="1" si="12"/>
        <v>497.52640520481702</v>
      </c>
      <c r="U26" s="123">
        <f t="shared" ca="1" si="12"/>
        <v>5269.6872694951762</v>
      </c>
      <c r="V26" s="123">
        <f t="shared" ca="1" si="12"/>
        <v>20479.455596578686</v>
      </c>
      <c r="W26" s="123">
        <f t="shared" ca="1" si="12"/>
        <v>36207.516231367335</v>
      </c>
      <c r="X26" s="123">
        <f t="shared" ca="1" si="12"/>
        <v>12398.859108206347</v>
      </c>
      <c r="Y26" s="123">
        <f t="shared" ca="1" si="12"/>
        <v>0</v>
      </c>
      <c r="Z26" s="123">
        <f t="shared" ca="1" si="12"/>
        <v>42.106365709288561</v>
      </c>
      <c r="AA26" s="123">
        <f t="shared" ca="1" si="12"/>
        <v>1361.6171263411916</v>
      </c>
      <c r="AB26" s="123">
        <f t="shared" ca="1" si="12"/>
        <v>4032.8966412102009</v>
      </c>
      <c r="AC26" s="123">
        <f t="shared" ca="1" si="12"/>
        <v>13213.549505801528</v>
      </c>
      <c r="AD26" s="123">
        <f t="shared" ca="1" si="11"/>
        <v>13710.13521560043</v>
      </c>
      <c r="AE26" s="123">
        <f t="shared" ca="1" si="11"/>
        <v>124.43697824242066</v>
      </c>
      <c r="AF26" s="123">
        <f t="shared" ca="1" si="11"/>
        <v>8710.5884769694476</v>
      </c>
      <c r="AG26" s="123">
        <f t="shared" ca="1" si="11"/>
        <v>35512.836256398594</v>
      </c>
      <c r="AH26" s="123" t="e">
        <f t="shared" ca="1" si="13"/>
        <v>#REF!</v>
      </c>
      <c r="AI26" s="123" t="e">
        <f t="shared" ca="1" si="13"/>
        <v>#REF!</v>
      </c>
      <c r="AJ26" s="123" t="e">
        <f t="shared" ca="1" si="13"/>
        <v>#REF!</v>
      </c>
      <c r="AK26" s="123">
        <f t="shared" ca="1" si="13"/>
        <v>0</v>
      </c>
      <c r="AL26" s="123">
        <f t="shared" ca="1" si="13"/>
        <v>0</v>
      </c>
      <c r="AM26" s="123">
        <f t="shared" ca="1" si="13"/>
        <v>0</v>
      </c>
      <c r="AN26" s="123">
        <f t="shared" ca="1" si="13"/>
        <v>0</v>
      </c>
      <c r="AO26" s="123">
        <f t="shared" ca="1" si="13"/>
        <v>0</v>
      </c>
      <c r="AP26" s="123">
        <f t="shared" ca="1" si="13"/>
        <v>0</v>
      </c>
      <c r="AQ26" s="123">
        <f t="shared" ca="1" si="13"/>
        <v>0</v>
      </c>
      <c r="AR26" s="123">
        <f t="shared" ca="1" si="13"/>
        <v>0</v>
      </c>
      <c r="AS26" s="123">
        <f t="shared" ca="1" si="13"/>
        <v>0</v>
      </c>
      <c r="AT26" s="123">
        <f t="shared" ca="1" si="13"/>
        <v>0</v>
      </c>
      <c r="AU26" s="123">
        <f t="shared" ca="1" si="13"/>
        <v>0</v>
      </c>
      <c r="AV26" s="123">
        <f t="shared" ca="1" si="13"/>
        <v>0</v>
      </c>
      <c r="AW26" s="123">
        <f t="shared" ca="1" si="13"/>
        <v>0</v>
      </c>
      <c r="AX26" s="123" t="e">
        <f>-#REF!*$AX$51</f>
        <v>#REF!</v>
      </c>
    </row>
    <row r="27" spans="1:50">
      <c r="A27">
        <f t="shared" si="2"/>
        <v>2028</v>
      </c>
      <c r="B27" s="123">
        <f ca="1">ExposureCalculations!G34</f>
        <v>324790.76088511513</v>
      </c>
      <c r="C27" s="123">
        <f t="shared" ca="1" si="8"/>
        <v>141239.15750797311</v>
      </c>
      <c r="D27" s="123" t="e">
        <f t="shared" ca="1" si="9"/>
        <v>#REF!</v>
      </c>
      <c r="E27" s="123" t="e">
        <f ca="1">IF(F27=0,MAX(SUM('GHG Emissions'!P30:T30)-SUM(J27:K27)-(I27-('GHG Emissions'!N30-SUM(L27:M27))-('GHG Emissions'!J30-SUM(N27:AG27,AX27))-('GHG Emissions'!I30-SUM(AH27:AW27))),0),SUM('GHG Emissions'!P30:T30)-SUM(J27:K27))</f>
        <v>#REF!</v>
      </c>
      <c r="F27" s="123" t="e">
        <f ca="1">IF(G27=0,MAX('GHG Emissions'!N30-SUM(L27:M27)-(I27-('GHG Emissions'!J30-SUM(N27:AG27,AX27))-('GHG Emissions'!I30-SUM(AH27:AW27))),0),'GHG Emissions'!N30-SUM(L27:M27))</f>
        <v>#REF!</v>
      </c>
      <c r="G27" s="123" t="e">
        <f ca="1">IF(H27=0,MAX('GHG Emissions'!J30-SUM(N27:AG27,AX27)-(I27-('GHG Emissions'!I30-SUM(AH27:AW27))),0),'GHG Emissions'!J30-SUM(N27:AG27,AX27))</f>
        <v>#REF!</v>
      </c>
      <c r="H27" s="123" t="e">
        <f ca="1">IF(I27=0,'GHG Emissions'!I30-SUM(AH27:AW27),MAX('GHG Emissions'!I30-SUM(AH27:AW27)-I27,0))</f>
        <v>#REF!</v>
      </c>
      <c r="I27" s="123">
        <f t="shared" ca="1" si="10"/>
        <v>0</v>
      </c>
      <c r="J27" s="123" t="e">
        <f t="shared" ca="1" si="3"/>
        <v>#REF!</v>
      </c>
      <c r="K27" s="123" t="e">
        <f t="shared" ca="1" si="3"/>
        <v>#REF!</v>
      </c>
      <c r="L27" s="123">
        <f t="shared" ca="1" si="3"/>
        <v>0</v>
      </c>
      <c r="M27" s="123">
        <f t="shared" ca="1" si="4"/>
        <v>0</v>
      </c>
      <c r="N27" s="123" t="e">
        <f t="shared" ca="1" si="12"/>
        <v>#REF!</v>
      </c>
      <c r="O27" s="123" t="e">
        <f t="shared" ca="1" si="12"/>
        <v>#REF!</v>
      </c>
      <c r="P27" s="123" t="e">
        <f t="shared" ca="1" si="12"/>
        <v>#REF!</v>
      </c>
      <c r="Q27" s="123">
        <f t="shared" ca="1" si="12"/>
        <v>3905.365043364422</v>
      </c>
      <c r="R27" s="123">
        <f t="shared" ca="1" si="12"/>
        <v>0</v>
      </c>
      <c r="S27" s="123">
        <f t="shared" ca="1" si="12"/>
        <v>0</v>
      </c>
      <c r="T27" s="123">
        <f t="shared" ca="1" si="12"/>
        <v>497.52640520481702</v>
      </c>
      <c r="U27" s="123">
        <f t="shared" ca="1" si="12"/>
        <v>5320.3399381044037</v>
      </c>
      <c r="V27" s="123">
        <f t="shared" ca="1" si="12"/>
        <v>20681.379752320936</v>
      </c>
      <c r="W27" s="123">
        <f t="shared" ca="1" si="12"/>
        <v>38219.044910887722</v>
      </c>
      <c r="X27" s="123">
        <f t="shared" ca="1" si="12"/>
        <v>12836.080280592192</v>
      </c>
      <c r="Y27" s="123">
        <f t="shared" ca="1" si="12"/>
        <v>0</v>
      </c>
      <c r="Z27" s="123">
        <f t="shared" ca="1" si="12"/>
        <v>42.106365709288561</v>
      </c>
      <c r="AA27" s="123">
        <f t="shared" ca="1" si="12"/>
        <v>1361.6171263411916</v>
      </c>
      <c r="AB27" s="123">
        <f t="shared" ca="1" si="12"/>
        <v>5041.1208015127513</v>
      </c>
      <c r="AC27" s="123">
        <f t="shared" ca="1" si="12"/>
        <v>13213.549505801528</v>
      </c>
      <c r="AD27" s="123">
        <f t="shared" ca="1" si="11"/>
        <v>13710.13521560043</v>
      </c>
      <c r="AE27" s="123">
        <f t="shared" ca="1" si="11"/>
        <v>124.43697824242066</v>
      </c>
      <c r="AF27" s="123">
        <f t="shared" ca="1" si="11"/>
        <v>8710.5884769694476</v>
      </c>
      <c r="AG27" s="123">
        <f t="shared" ca="1" si="11"/>
        <v>35512.836256398594</v>
      </c>
      <c r="AH27" s="123" t="e">
        <f t="shared" ca="1" si="13"/>
        <v>#REF!</v>
      </c>
      <c r="AI27" s="123" t="e">
        <f t="shared" ca="1" si="13"/>
        <v>#REF!</v>
      </c>
      <c r="AJ27" s="123" t="e">
        <f t="shared" ca="1" si="13"/>
        <v>#REF!</v>
      </c>
      <c r="AK27" s="123">
        <f t="shared" ca="1" si="13"/>
        <v>0</v>
      </c>
      <c r="AL27" s="123">
        <f t="shared" ca="1" si="13"/>
        <v>0</v>
      </c>
      <c r="AM27" s="123">
        <f t="shared" ca="1" si="13"/>
        <v>0</v>
      </c>
      <c r="AN27" s="123">
        <f t="shared" ca="1" si="13"/>
        <v>0</v>
      </c>
      <c r="AO27" s="123">
        <f t="shared" ca="1" si="13"/>
        <v>0</v>
      </c>
      <c r="AP27" s="123">
        <f t="shared" ca="1" si="13"/>
        <v>0</v>
      </c>
      <c r="AQ27" s="123">
        <f t="shared" ca="1" si="13"/>
        <v>0</v>
      </c>
      <c r="AR27" s="123">
        <f t="shared" ca="1" si="13"/>
        <v>0</v>
      </c>
      <c r="AS27" s="123">
        <f t="shared" ca="1" si="13"/>
        <v>0</v>
      </c>
      <c r="AT27" s="123">
        <f t="shared" ca="1" si="13"/>
        <v>0</v>
      </c>
      <c r="AU27" s="123">
        <f t="shared" ca="1" si="13"/>
        <v>0</v>
      </c>
      <c r="AV27" s="123">
        <f t="shared" ca="1" si="13"/>
        <v>0</v>
      </c>
      <c r="AW27" s="123">
        <f t="shared" ca="1" si="13"/>
        <v>0</v>
      </c>
      <c r="AX27" s="123" t="e">
        <f>-#REF!*$AX$51</f>
        <v>#REF!</v>
      </c>
    </row>
    <row r="28" spans="1:50">
      <c r="A28">
        <f t="shared" si="2"/>
        <v>2029</v>
      </c>
      <c r="B28" s="123">
        <f ca="1">ExposureCalculations!G35</f>
        <v>327609.46471763018</v>
      </c>
      <c r="C28" s="123">
        <f t="shared" ca="1" si="8"/>
        <v>134819.19580306526</v>
      </c>
      <c r="D28" s="123" t="e">
        <f t="shared" ca="1" si="9"/>
        <v>#REF!</v>
      </c>
      <c r="E28" s="123" t="e">
        <f ca="1">IF(F28=0,MAX(SUM('GHG Emissions'!P31:T31)-SUM(J28:K28)-(I28-('GHG Emissions'!N31-SUM(L28:M28))-('GHG Emissions'!J31-SUM(N28:AG28,AX28))-('GHG Emissions'!I31-SUM(AH28:AW28))),0),SUM('GHG Emissions'!P31:T31)-SUM(J28:K28))</f>
        <v>#REF!</v>
      </c>
      <c r="F28" s="123" t="e">
        <f ca="1">IF(G28=0,MAX('GHG Emissions'!N31-SUM(L28:M28)-(I28-('GHG Emissions'!J31-SUM(N28:AG28,AX28))-('GHG Emissions'!I31-SUM(AH28:AW28))),0),'GHG Emissions'!N31-SUM(L28:M28))</f>
        <v>#REF!</v>
      </c>
      <c r="G28" s="123" t="e">
        <f ca="1">IF(H28=0,MAX('GHG Emissions'!J31-SUM(N28:AG28,AX28)-(I28-('GHG Emissions'!I31-SUM(AH28:AW28))),0),'GHG Emissions'!J31-SUM(N28:AG28,AX28))</f>
        <v>#REF!</v>
      </c>
      <c r="H28" s="123" t="e">
        <f ca="1">IF(I28=0,'GHG Emissions'!I31-SUM(AH28:AW28),MAX('GHG Emissions'!I31-SUM(AH28:AW28)-I28,0))</f>
        <v>#REF!</v>
      </c>
      <c r="I28" s="123">
        <f t="shared" ca="1" si="10"/>
        <v>0</v>
      </c>
      <c r="J28" s="123" t="e">
        <f t="shared" ca="1" si="3"/>
        <v>#REF!</v>
      </c>
      <c r="K28" s="123" t="e">
        <f t="shared" ca="1" si="3"/>
        <v>#REF!</v>
      </c>
      <c r="L28" s="123">
        <f t="shared" ca="1" si="3"/>
        <v>0</v>
      </c>
      <c r="M28" s="123">
        <f t="shared" ca="1" si="4"/>
        <v>0</v>
      </c>
      <c r="N28" s="123" t="e">
        <f t="shared" ca="1" si="12"/>
        <v>#REF!</v>
      </c>
      <c r="O28" s="123" t="e">
        <f t="shared" ca="1" si="12"/>
        <v>#REF!</v>
      </c>
      <c r="P28" s="123" t="e">
        <f t="shared" ca="1" si="12"/>
        <v>#REF!</v>
      </c>
      <c r="Q28" s="123">
        <f t="shared" ca="1" si="12"/>
        <v>3891.5467704493494</v>
      </c>
      <c r="R28" s="123">
        <f t="shared" ca="1" si="12"/>
        <v>0</v>
      </c>
      <c r="S28" s="123">
        <f t="shared" ca="1" si="12"/>
        <v>0</v>
      </c>
      <c r="T28" s="123">
        <f t="shared" ca="1" si="12"/>
        <v>497.52640520481702</v>
      </c>
      <c r="U28" s="123">
        <f t="shared" ca="1" si="12"/>
        <v>5370.9926067136303</v>
      </c>
      <c r="V28" s="123">
        <f t="shared" ca="1" si="12"/>
        <v>20883.303908063201</v>
      </c>
      <c r="W28" s="123">
        <f t="shared" ca="1" si="12"/>
        <v>40230.573590408145</v>
      </c>
      <c r="X28" s="123">
        <f t="shared" ca="1" si="12"/>
        <v>13274.123435425432</v>
      </c>
      <c r="Y28" s="123">
        <f t="shared" ca="1" si="12"/>
        <v>0</v>
      </c>
      <c r="Z28" s="123">
        <f t="shared" ca="1" si="12"/>
        <v>42.106365709288561</v>
      </c>
      <c r="AA28" s="123">
        <f t="shared" ca="1" si="12"/>
        <v>1361.6171263411916</v>
      </c>
      <c r="AB28" s="123">
        <f t="shared" ca="1" si="12"/>
        <v>6049.3449618153018</v>
      </c>
      <c r="AC28" s="123">
        <f t="shared" ca="1" si="12"/>
        <v>13213.549505801528</v>
      </c>
      <c r="AD28" s="123">
        <f t="shared" ca="1" si="11"/>
        <v>13710.13521560043</v>
      </c>
      <c r="AE28" s="123">
        <f t="shared" ca="1" si="11"/>
        <v>124.43697824242066</v>
      </c>
      <c r="AF28" s="123">
        <f t="shared" ca="1" si="11"/>
        <v>8710.5884769694476</v>
      </c>
      <c r="AG28" s="123">
        <f t="shared" ca="1" si="11"/>
        <v>35512.836256398594</v>
      </c>
      <c r="AH28" s="123" t="e">
        <f t="shared" ca="1" si="13"/>
        <v>#REF!</v>
      </c>
      <c r="AI28" s="123" t="e">
        <f t="shared" ca="1" si="13"/>
        <v>#REF!</v>
      </c>
      <c r="AJ28" s="123" t="e">
        <f t="shared" ca="1" si="13"/>
        <v>#REF!</v>
      </c>
      <c r="AK28" s="123">
        <f t="shared" ca="1" si="13"/>
        <v>0</v>
      </c>
      <c r="AL28" s="123">
        <f t="shared" ca="1" si="13"/>
        <v>0</v>
      </c>
      <c r="AM28" s="123">
        <f t="shared" ca="1" si="13"/>
        <v>0</v>
      </c>
      <c r="AN28" s="123">
        <f t="shared" ca="1" si="13"/>
        <v>0</v>
      </c>
      <c r="AO28" s="123">
        <f t="shared" ca="1" si="13"/>
        <v>0</v>
      </c>
      <c r="AP28" s="123">
        <f t="shared" ca="1" si="13"/>
        <v>0</v>
      </c>
      <c r="AQ28" s="123">
        <f t="shared" ca="1" si="13"/>
        <v>0</v>
      </c>
      <c r="AR28" s="123">
        <f t="shared" ca="1" si="13"/>
        <v>0</v>
      </c>
      <c r="AS28" s="123">
        <f t="shared" ca="1" si="13"/>
        <v>0</v>
      </c>
      <c r="AT28" s="123">
        <f t="shared" ca="1" si="13"/>
        <v>0</v>
      </c>
      <c r="AU28" s="123">
        <f t="shared" ca="1" si="13"/>
        <v>0</v>
      </c>
      <c r="AV28" s="123">
        <f t="shared" ca="1" si="13"/>
        <v>0</v>
      </c>
      <c r="AW28" s="123">
        <f t="shared" ca="1" si="13"/>
        <v>0</v>
      </c>
      <c r="AX28" s="123" t="e">
        <f>-#REF!*$AX$51</f>
        <v>#REF!</v>
      </c>
    </row>
    <row r="29" spans="1:50">
      <c r="A29">
        <f t="shared" si="2"/>
        <v>2030</v>
      </c>
      <c r="B29" s="123">
        <f ca="1">ExposureCalculations!G36</f>
        <v>330427.11385898734</v>
      </c>
      <c r="C29" s="123">
        <f t="shared" ca="1" si="8"/>
        <v>128399.23409815739</v>
      </c>
      <c r="D29" s="123" t="e">
        <f t="shared" ca="1" si="9"/>
        <v>#REF!</v>
      </c>
      <c r="E29" s="123" t="e">
        <f ca="1">IF(F29=0,MAX(SUM('GHG Emissions'!P32:T32)-SUM(J29:K29)-(I29-('GHG Emissions'!N32-SUM(L29:M29))-('GHG Emissions'!J32-SUM(N29:AG29,AX29))-('GHG Emissions'!I32-SUM(AH29:AW29))),0),SUM('GHG Emissions'!P32:T32)-SUM(J29:K29))</f>
        <v>#REF!</v>
      </c>
      <c r="F29" s="123" t="e">
        <f ca="1">IF(G29=0,MAX('GHG Emissions'!N32-SUM(L29:M29)-(I29-('GHG Emissions'!J32-SUM(N29:AG29,AX29))-('GHG Emissions'!I32-SUM(AH29:AW29))),0),'GHG Emissions'!N32-SUM(L29:M29))</f>
        <v>#REF!</v>
      </c>
      <c r="G29" s="123" t="e">
        <f ca="1">IF(H29=0,MAX('GHG Emissions'!J32-SUM(N29:AG29,AX29)-(I29-('GHG Emissions'!I32-SUM(AH29:AW29))),0),'GHG Emissions'!J32-SUM(N29:AG29,AX29))</f>
        <v>#REF!</v>
      </c>
      <c r="H29" s="123" t="e">
        <f ca="1">IF(I29=0,'GHG Emissions'!I32-SUM(AH29:AW29),MAX('GHG Emissions'!I32-SUM(AH29:AW29)-I29,0))</f>
        <v>#REF!</v>
      </c>
      <c r="I29" s="123">
        <f t="shared" ca="1" si="10"/>
        <v>0</v>
      </c>
      <c r="J29" s="123" t="e">
        <f t="shared" ca="1" si="3"/>
        <v>#REF!</v>
      </c>
      <c r="K29" s="123" t="e">
        <f t="shared" ca="1" si="3"/>
        <v>#REF!</v>
      </c>
      <c r="L29" s="123">
        <f t="shared" ca="1" si="3"/>
        <v>0</v>
      </c>
      <c r="M29" s="123">
        <f t="shared" ca="1" si="4"/>
        <v>0</v>
      </c>
      <c r="N29" s="123" t="e">
        <f t="shared" ref="N29:AC44" ca="1" si="14">-OFFSET(Abatement_Scope_2,$A29-$A$8,N$2)*N$51</f>
        <v>#REF!</v>
      </c>
      <c r="O29" s="123" t="e">
        <f t="shared" ca="1" si="14"/>
        <v>#REF!</v>
      </c>
      <c r="P29" s="123" t="e">
        <f t="shared" ca="1" si="14"/>
        <v>#REF!</v>
      </c>
      <c r="Q29" s="123">
        <f t="shared" ca="1" si="14"/>
        <v>3877.694298649179</v>
      </c>
      <c r="R29" s="123">
        <f t="shared" ca="1" si="14"/>
        <v>0</v>
      </c>
      <c r="S29" s="123">
        <f t="shared" ca="1" si="12"/>
        <v>0</v>
      </c>
      <c r="T29" s="123">
        <f t="shared" ca="1" si="12"/>
        <v>497.52640520481702</v>
      </c>
      <c r="U29" s="123">
        <f t="shared" ca="1" si="12"/>
        <v>5421.6452753228559</v>
      </c>
      <c r="V29" s="123">
        <f t="shared" ca="1" si="12"/>
        <v>21085.228063805465</v>
      </c>
      <c r="W29" s="123">
        <f t="shared" ca="1" si="12"/>
        <v>42242.102269928539</v>
      </c>
      <c r="X29" s="123">
        <f t="shared" ca="1" si="12"/>
        <v>13712.964957389482</v>
      </c>
      <c r="Y29" s="123">
        <f t="shared" ca="1" si="12"/>
        <v>0</v>
      </c>
      <c r="Z29" s="123">
        <f t="shared" ca="1" si="12"/>
        <v>42.106365709288561</v>
      </c>
      <c r="AA29" s="123">
        <f t="shared" ca="1" si="12"/>
        <v>1361.6171263411916</v>
      </c>
      <c r="AB29" s="123">
        <f t="shared" ca="1" si="12"/>
        <v>7057.5691221178513</v>
      </c>
      <c r="AC29" s="123">
        <f t="shared" ca="1" si="12"/>
        <v>13213.549505801528</v>
      </c>
      <c r="AD29" s="123">
        <f t="shared" ca="1" si="11"/>
        <v>13710.13521560043</v>
      </c>
      <c r="AE29" s="123">
        <f t="shared" ca="1" si="11"/>
        <v>124.43697824242066</v>
      </c>
      <c r="AF29" s="123">
        <f t="shared" ca="1" si="11"/>
        <v>8710.5884769694476</v>
      </c>
      <c r="AG29" s="123">
        <f t="shared" ca="1" si="11"/>
        <v>35512.836256398594</v>
      </c>
      <c r="AH29" s="123" t="e">
        <f t="shared" ref="AH29:AW44" ca="1" si="15">-OFFSET(Abatement_Scope_1,$A29-$A$8,AH$2)*AH$51</f>
        <v>#REF!</v>
      </c>
      <c r="AI29" s="123" t="e">
        <f t="shared" ca="1" si="13"/>
        <v>#REF!</v>
      </c>
      <c r="AJ29" s="123" t="e">
        <f t="shared" ca="1" si="13"/>
        <v>#REF!</v>
      </c>
      <c r="AK29" s="123">
        <f t="shared" ca="1" si="13"/>
        <v>0</v>
      </c>
      <c r="AL29" s="123">
        <f t="shared" ca="1" si="13"/>
        <v>0</v>
      </c>
      <c r="AM29" s="123">
        <f t="shared" ca="1" si="13"/>
        <v>0</v>
      </c>
      <c r="AN29" s="123">
        <f t="shared" ca="1" si="13"/>
        <v>0</v>
      </c>
      <c r="AO29" s="123">
        <f t="shared" ca="1" si="13"/>
        <v>0</v>
      </c>
      <c r="AP29" s="123">
        <f t="shared" ca="1" si="13"/>
        <v>0</v>
      </c>
      <c r="AQ29" s="123">
        <f t="shared" ca="1" si="13"/>
        <v>0</v>
      </c>
      <c r="AR29" s="123">
        <f t="shared" ca="1" si="13"/>
        <v>0</v>
      </c>
      <c r="AS29" s="123">
        <f t="shared" ca="1" si="13"/>
        <v>0</v>
      </c>
      <c r="AT29" s="123">
        <f t="shared" ca="1" si="15"/>
        <v>0</v>
      </c>
      <c r="AU29" s="123">
        <f t="shared" ca="1" si="15"/>
        <v>0</v>
      </c>
      <c r="AV29" s="123">
        <f t="shared" ca="1" si="15"/>
        <v>0</v>
      </c>
      <c r="AW29" s="123">
        <f t="shared" ca="1" si="15"/>
        <v>0</v>
      </c>
      <c r="AX29" s="123" t="e">
        <f>-#REF!*$AX$51</f>
        <v>#REF!</v>
      </c>
    </row>
    <row r="30" spans="1:50">
      <c r="A30">
        <f t="shared" si="2"/>
        <v>2031</v>
      </c>
      <c r="B30" s="123">
        <f ca="1">ExposureCalculations!G37</f>
        <v>333243.78281291976</v>
      </c>
      <c r="C30" s="123">
        <f t="shared" ca="1" si="8"/>
        <v>121979.27239324953</v>
      </c>
      <c r="D30" s="123" t="e">
        <f t="shared" ca="1" si="9"/>
        <v>#REF!</v>
      </c>
      <c r="E30" s="123" t="e">
        <f ca="1">IF(F30=0,MAX(SUM('GHG Emissions'!P33:T33)-SUM(J30:K30)-(I30-('GHG Emissions'!N33-SUM(L30:M30))-('GHG Emissions'!J33-SUM(N30:AG30,AX30))-('GHG Emissions'!I33-SUM(AH30:AW30))),0),SUM('GHG Emissions'!P33:T33)-SUM(J30:K30))</f>
        <v>#REF!</v>
      </c>
      <c r="F30" s="123" t="e">
        <f ca="1">IF(G30=0,MAX('GHG Emissions'!N33-SUM(L30:M30)-(I30-('GHG Emissions'!J33-SUM(N30:AG30,AX30))-('GHG Emissions'!I33-SUM(AH30:AW30))),0),'GHG Emissions'!N33-SUM(L30:M30))</f>
        <v>#REF!</v>
      </c>
      <c r="G30" s="123" t="e">
        <f ca="1">IF(H30=0,MAX('GHG Emissions'!J33-SUM(N30:AG30,AX30)-(I30-('GHG Emissions'!I33-SUM(AH30:AW30))),0),'GHG Emissions'!J33-SUM(N30:AG30,AX30))</f>
        <v>#REF!</v>
      </c>
      <c r="H30" s="123" t="e">
        <f ca="1">IF(I30=0,'GHG Emissions'!I33-SUM(AH30:AW30),MAX('GHG Emissions'!I33-SUM(AH30:AW30)-I30,0))</f>
        <v>#REF!</v>
      </c>
      <c r="I30" s="123">
        <f t="shared" ca="1" si="10"/>
        <v>0</v>
      </c>
      <c r="J30" s="123" t="e">
        <f t="shared" ca="1" si="3"/>
        <v>#REF!</v>
      </c>
      <c r="K30" s="123" t="e">
        <f t="shared" ca="1" si="3"/>
        <v>#REF!</v>
      </c>
      <c r="L30" s="123">
        <f t="shared" ca="1" si="3"/>
        <v>0</v>
      </c>
      <c r="M30" s="123">
        <f t="shared" ca="1" si="4"/>
        <v>0</v>
      </c>
      <c r="N30" s="123" t="e">
        <f t="shared" ca="1" si="14"/>
        <v>#REF!</v>
      </c>
      <c r="O30" s="123" t="e">
        <f t="shared" ca="1" si="14"/>
        <v>#REF!</v>
      </c>
      <c r="P30" s="123" t="e">
        <f t="shared" ca="1" si="14"/>
        <v>#REF!</v>
      </c>
      <c r="Q30" s="123">
        <f t="shared" ca="1" si="14"/>
        <v>3863.8086011679702</v>
      </c>
      <c r="R30" s="123">
        <f t="shared" ca="1" si="14"/>
        <v>0</v>
      </c>
      <c r="S30" s="123">
        <f t="shared" ca="1" si="12"/>
        <v>0</v>
      </c>
      <c r="T30" s="123">
        <f t="shared" ca="1" si="12"/>
        <v>497.52640520481702</v>
      </c>
      <c r="U30" s="123">
        <f t="shared" ca="1" si="12"/>
        <v>5421.6452753228559</v>
      </c>
      <c r="V30" s="123">
        <f t="shared" ca="1" si="12"/>
        <v>21287.152219547716</v>
      </c>
      <c r="W30" s="123">
        <f t="shared" ca="1" si="12"/>
        <v>44253.630949448947</v>
      </c>
      <c r="X30" s="123">
        <f t="shared" ca="1" si="12"/>
        <v>14152.582127201758</v>
      </c>
      <c r="Y30" s="123">
        <f t="shared" ca="1" si="12"/>
        <v>0</v>
      </c>
      <c r="Z30" s="123">
        <f t="shared" ca="1" si="12"/>
        <v>42.106365709288561</v>
      </c>
      <c r="AA30" s="123">
        <f t="shared" ca="1" si="12"/>
        <v>1361.6171263411916</v>
      </c>
      <c r="AB30" s="123">
        <f t="shared" ca="1" si="12"/>
        <v>8065.7932824204017</v>
      </c>
      <c r="AC30" s="123">
        <f t="shared" ca="1" si="12"/>
        <v>13213.549505801528</v>
      </c>
      <c r="AD30" s="123">
        <f t="shared" ref="AD30:AG49" ca="1" si="16">-OFFSET(Abatement_Scope_2,$A30-$A$8,AD$2)*AD$51</f>
        <v>13710.13521560043</v>
      </c>
      <c r="AE30" s="123">
        <f t="shared" ca="1" si="16"/>
        <v>124.43697824242066</v>
      </c>
      <c r="AF30" s="123">
        <f t="shared" ca="1" si="16"/>
        <v>8710.5884769694476</v>
      </c>
      <c r="AG30" s="123">
        <f t="shared" ca="1" si="16"/>
        <v>35512.836256398594</v>
      </c>
      <c r="AH30" s="123" t="e">
        <f t="shared" ca="1" si="15"/>
        <v>#REF!</v>
      </c>
      <c r="AI30" s="123" t="e">
        <f t="shared" ca="1" si="13"/>
        <v>#REF!</v>
      </c>
      <c r="AJ30" s="123" t="e">
        <f t="shared" ca="1" si="13"/>
        <v>#REF!</v>
      </c>
      <c r="AK30" s="123">
        <f t="shared" ca="1" si="13"/>
        <v>0</v>
      </c>
      <c r="AL30" s="123">
        <f t="shared" ca="1" si="13"/>
        <v>0</v>
      </c>
      <c r="AM30" s="123">
        <f t="shared" ca="1" si="13"/>
        <v>0</v>
      </c>
      <c r="AN30" s="123">
        <f t="shared" ca="1" si="13"/>
        <v>0</v>
      </c>
      <c r="AO30" s="123">
        <f t="shared" ca="1" si="13"/>
        <v>0</v>
      </c>
      <c r="AP30" s="123">
        <f t="shared" ca="1" si="13"/>
        <v>0</v>
      </c>
      <c r="AQ30" s="123">
        <f t="shared" ca="1" si="13"/>
        <v>0</v>
      </c>
      <c r="AR30" s="123">
        <f t="shared" ca="1" si="13"/>
        <v>0</v>
      </c>
      <c r="AS30" s="123">
        <f t="shared" ca="1" si="13"/>
        <v>0</v>
      </c>
      <c r="AT30" s="123">
        <f t="shared" ca="1" si="15"/>
        <v>0</v>
      </c>
      <c r="AU30" s="123">
        <f t="shared" ca="1" si="15"/>
        <v>0</v>
      </c>
      <c r="AV30" s="123">
        <f t="shared" ca="1" si="15"/>
        <v>0</v>
      </c>
      <c r="AW30" s="123">
        <f t="shared" ca="1" si="15"/>
        <v>0</v>
      </c>
      <c r="AX30" s="123" t="e">
        <f>-#REF!*$AX$51</f>
        <v>#REF!</v>
      </c>
    </row>
    <row r="31" spans="1:50">
      <c r="A31">
        <f t="shared" si="2"/>
        <v>2032</v>
      </c>
      <c r="B31" s="123">
        <f ca="1">ExposureCalculations!G38</f>
        <v>336059.53770405636</v>
      </c>
      <c r="C31" s="123">
        <f t="shared" ca="1" si="8"/>
        <v>115559.31068834166</v>
      </c>
      <c r="D31" s="123" t="e">
        <f t="shared" ca="1" si="9"/>
        <v>#REF!</v>
      </c>
      <c r="E31" s="123" t="e">
        <f ca="1">IF(F31=0,MAX(SUM('GHG Emissions'!P34:T34)-SUM(J31:K31)-(I31-('GHG Emissions'!N34-SUM(L31:M31))-('GHG Emissions'!J34-SUM(N31:AG31,AX31))-('GHG Emissions'!I34-SUM(AH31:AW31))),0),SUM('GHG Emissions'!P34:T34)-SUM(J31:K31))</f>
        <v>#REF!</v>
      </c>
      <c r="F31" s="123" t="e">
        <f ca="1">IF(G31=0,MAX('GHG Emissions'!N34-SUM(L31:M31)-(I31-('GHG Emissions'!J34-SUM(N31:AG31,AX31))-('GHG Emissions'!I34-SUM(AH31:AW31))),0),'GHG Emissions'!N34-SUM(L31:M31))</f>
        <v>#REF!</v>
      </c>
      <c r="G31" s="123" t="e">
        <f ca="1">IF(H31=0,MAX('GHG Emissions'!J34-SUM(N31:AG31,AX31)-(I31-('GHG Emissions'!I34-SUM(AH31:AW31))),0),'GHG Emissions'!J34-SUM(N31:AG31,AX31))</f>
        <v>#REF!</v>
      </c>
      <c r="H31" s="123" t="e">
        <f ca="1">IF(I31=0,'GHG Emissions'!I34-SUM(AH31:AW31),MAX('GHG Emissions'!I34-SUM(AH31:AW31)-I31,0))</f>
        <v>#REF!</v>
      </c>
      <c r="I31" s="123">
        <f t="shared" ca="1" si="10"/>
        <v>0</v>
      </c>
      <c r="J31" s="123" t="e">
        <f t="shared" ca="1" si="3"/>
        <v>#REF!</v>
      </c>
      <c r="K31" s="123" t="e">
        <f t="shared" ca="1" si="3"/>
        <v>#REF!</v>
      </c>
      <c r="L31" s="123">
        <f t="shared" ca="1" si="3"/>
        <v>0</v>
      </c>
      <c r="M31" s="123">
        <f t="shared" ca="1" si="4"/>
        <v>0</v>
      </c>
      <c r="N31" s="123" t="e">
        <f t="shared" ca="1" si="14"/>
        <v>#REF!</v>
      </c>
      <c r="O31" s="123" t="e">
        <f t="shared" ca="1" si="14"/>
        <v>#REF!</v>
      </c>
      <c r="P31" s="123" t="e">
        <f t="shared" ca="1" si="14"/>
        <v>#REF!</v>
      </c>
      <c r="Q31" s="123">
        <f t="shared" ca="1" si="14"/>
        <v>3849.8906146305685</v>
      </c>
      <c r="R31" s="123">
        <f t="shared" ca="1" si="14"/>
        <v>0</v>
      </c>
      <c r="S31" s="123">
        <f t="shared" ca="1" si="12"/>
        <v>0</v>
      </c>
      <c r="T31" s="123">
        <f t="shared" ca="1" si="12"/>
        <v>497.52640520481702</v>
      </c>
      <c r="U31" s="123">
        <f t="shared" ca="1" si="12"/>
        <v>5421.6452753228559</v>
      </c>
      <c r="V31" s="123">
        <f t="shared" ca="1" si="12"/>
        <v>21489.076375289966</v>
      </c>
      <c r="W31" s="123">
        <f t="shared" ca="1" si="12"/>
        <v>46265.15962896937</v>
      </c>
      <c r="X31" s="123">
        <f t="shared" ca="1" si="12"/>
        <v>14592.953079515333</v>
      </c>
      <c r="Y31" s="123">
        <f t="shared" ca="1" si="12"/>
        <v>0</v>
      </c>
      <c r="Z31" s="123">
        <f t="shared" ca="1" si="12"/>
        <v>42.106365709288561</v>
      </c>
      <c r="AA31" s="123">
        <f t="shared" ca="1" si="12"/>
        <v>1361.6171263411916</v>
      </c>
      <c r="AB31" s="123">
        <f t="shared" ca="1" si="12"/>
        <v>9074.017442722954</v>
      </c>
      <c r="AC31" s="123">
        <f t="shared" ca="1" si="12"/>
        <v>13213.549505801528</v>
      </c>
      <c r="AD31" s="123">
        <f t="shared" ca="1" si="16"/>
        <v>13710.13521560043</v>
      </c>
      <c r="AE31" s="123">
        <f t="shared" ca="1" si="16"/>
        <v>124.43697824242066</v>
      </c>
      <c r="AF31" s="123">
        <f t="shared" ca="1" si="16"/>
        <v>8710.5884769694476</v>
      </c>
      <c r="AG31" s="123">
        <f t="shared" ca="1" si="16"/>
        <v>35512.836256398594</v>
      </c>
      <c r="AH31" s="123" t="e">
        <f t="shared" ca="1" si="15"/>
        <v>#REF!</v>
      </c>
      <c r="AI31" s="123" t="e">
        <f t="shared" ca="1" si="13"/>
        <v>#REF!</v>
      </c>
      <c r="AJ31" s="123" t="e">
        <f t="shared" ca="1" si="13"/>
        <v>#REF!</v>
      </c>
      <c r="AK31" s="123">
        <f t="shared" ca="1" si="13"/>
        <v>0</v>
      </c>
      <c r="AL31" s="123">
        <f t="shared" ca="1" si="13"/>
        <v>0</v>
      </c>
      <c r="AM31" s="123">
        <f t="shared" ca="1" si="13"/>
        <v>0</v>
      </c>
      <c r="AN31" s="123">
        <f t="shared" ca="1" si="13"/>
        <v>0</v>
      </c>
      <c r="AO31" s="123">
        <f t="shared" ca="1" si="13"/>
        <v>0</v>
      </c>
      <c r="AP31" s="123">
        <f t="shared" ca="1" si="13"/>
        <v>0</v>
      </c>
      <c r="AQ31" s="123">
        <f t="shared" ca="1" si="13"/>
        <v>0</v>
      </c>
      <c r="AR31" s="123">
        <f t="shared" ca="1" si="13"/>
        <v>0</v>
      </c>
      <c r="AS31" s="123">
        <f t="shared" ca="1" si="13"/>
        <v>0</v>
      </c>
      <c r="AT31" s="123">
        <f t="shared" ca="1" si="15"/>
        <v>0</v>
      </c>
      <c r="AU31" s="123">
        <f t="shared" ca="1" si="15"/>
        <v>0</v>
      </c>
      <c r="AV31" s="123">
        <f t="shared" ca="1" si="15"/>
        <v>0</v>
      </c>
      <c r="AW31" s="123">
        <f t="shared" ca="1" si="15"/>
        <v>0</v>
      </c>
      <c r="AX31" s="123" t="e">
        <f>-#REF!*$AX$51</f>
        <v>#REF!</v>
      </c>
    </row>
    <row r="32" spans="1:50">
      <c r="A32">
        <f t="shared" si="2"/>
        <v>2033</v>
      </c>
      <c r="B32" s="123">
        <f ca="1">ExposureCalculations!G39</f>
        <v>338874.43754072115</v>
      </c>
      <c r="C32" s="123">
        <f t="shared" ca="1" si="8"/>
        <v>109139.3489834338</v>
      </c>
      <c r="D32" s="123" t="e">
        <f t="shared" ca="1" si="9"/>
        <v>#REF!</v>
      </c>
      <c r="E32" s="123" t="e">
        <f ca="1">IF(F32=0,MAX(SUM('GHG Emissions'!P35:T35)-SUM(J32:K32)-(I32-('GHG Emissions'!N35-SUM(L32:M32))-('GHG Emissions'!J35-SUM(N32:AG32,AX32))-('GHG Emissions'!I35-SUM(AH32:AW32))),0),SUM('GHG Emissions'!P35:T35)-SUM(J32:K32))</f>
        <v>#REF!</v>
      </c>
      <c r="F32" s="123" t="e">
        <f ca="1">IF(G32=0,MAX('GHG Emissions'!N35-SUM(L32:M32)-(I32-('GHG Emissions'!J35-SUM(N32:AG32,AX32))-('GHG Emissions'!I35-SUM(AH32:AW32))),0),'GHG Emissions'!N35-SUM(L32:M32))</f>
        <v>#REF!</v>
      </c>
      <c r="G32" s="123" t="e">
        <f ca="1">IF(H32=0,MAX('GHG Emissions'!J35-SUM(N32:AG32,AX32)-(I32-('GHG Emissions'!I35-SUM(AH32:AW32))),0),'GHG Emissions'!J35-SUM(N32:AG32,AX32))</f>
        <v>#REF!</v>
      </c>
      <c r="H32" s="123" t="e">
        <f ca="1">IF(I32=0,'GHG Emissions'!I35-SUM(AH32:AW32),MAX('GHG Emissions'!I35-SUM(AH32:AW32)-I32,0))</f>
        <v>#REF!</v>
      </c>
      <c r="I32" s="123">
        <f t="shared" ca="1" si="10"/>
        <v>0</v>
      </c>
      <c r="J32" s="123" t="e">
        <f t="shared" ca="1" si="3"/>
        <v>#REF!</v>
      </c>
      <c r="K32" s="123" t="e">
        <f t="shared" ca="1" si="3"/>
        <v>#REF!</v>
      </c>
      <c r="L32" s="123">
        <f t="shared" ca="1" si="3"/>
        <v>0</v>
      </c>
      <c r="M32" s="123">
        <f t="shared" ca="1" si="4"/>
        <v>0</v>
      </c>
      <c r="N32" s="123" t="e">
        <f t="shared" ca="1" si="14"/>
        <v>#REF!</v>
      </c>
      <c r="O32" s="123" t="e">
        <f t="shared" ca="1" si="14"/>
        <v>#REF!</v>
      </c>
      <c r="P32" s="123" t="e">
        <f t="shared" ca="1" si="14"/>
        <v>#REF!</v>
      </c>
      <c r="Q32" s="123">
        <f t="shared" ca="1" si="14"/>
        <v>3835.9412407851964</v>
      </c>
      <c r="R32" s="123">
        <f t="shared" ca="1" si="14"/>
        <v>0</v>
      </c>
      <c r="S32" s="123">
        <f t="shared" ca="1" si="12"/>
        <v>0</v>
      </c>
      <c r="T32" s="123">
        <f t="shared" ca="1" si="12"/>
        <v>497.52640520481702</v>
      </c>
      <c r="U32" s="123">
        <f t="shared" ca="1" si="12"/>
        <v>5421.6452753228559</v>
      </c>
      <c r="V32" s="123">
        <f t="shared" ca="1" si="12"/>
        <v>21691.000531032216</v>
      </c>
      <c r="W32" s="123">
        <f t="shared" ca="1" si="12"/>
        <v>48276.688308489764</v>
      </c>
      <c r="X32" s="123">
        <f t="shared" ca="1" si="12"/>
        <v>15034.056763171931</v>
      </c>
      <c r="Y32" s="123">
        <f t="shared" ca="1" si="12"/>
        <v>0</v>
      </c>
      <c r="Z32" s="123">
        <f t="shared" ca="1" si="12"/>
        <v>42.106365709288561</v>
      </c>
      <c r="AA32" s="123">
        <f t="shared" ca="1" si="12"/>
        <v>1361.6171263411916</v>
      </c>
      <c r="AB32" s="123">
        <f t="shared" ca="1" si="12"/>
        <v>10082.241603025503</v>
      </c>
      <c r="AC32" s="123">
        <f t="shared" ca="1" si="12"/>
        <v>13213.549505801528</v>
      </c>
      <c r="AD32" s="123">
        <f t="shared" ca="1" si="16"/>
        <v>13710.13521560043</v>
      </c>
      <c r="AE32" s="123">
        <f t="shared" ca="1" si="16"/>
        <v>124.43697824242066</v>
      </c>
      <c r="AF32" s="123">
        <f t="shared" ca="1" si="16"/>
        <v>8710.5884769694476</v>
      </c>
      <c r="AG32" s="123">
        <f t="shared" ca="1" si="16"/>
        <v>35512.836256398594</v>
      </c>
      <c r="AH32" s="123" t="e">
        <f t="shared" ca="1" si="15"/>
        <v>#REF!</v>
      </c>
      <c r="AI32" s="123" t="e">
        <f t="shared" ca="1" si="13"/>
        <v>#REF!</v>
      </c>
      <c r="AJ32" s="123" t="e">
        <f t="shared" ca="1" si="13"/>
        <v>#REF!</v>
      </c>
      <c r="AK32" s="123">
        <f t="shared" ca="1" si="13"/>
        <v>0</v>
      </c>
      <c r="AL32" s="123">
        <f t="shared" ca="1" si="13"/>
        <v>0</v>
      </c>
      <c r="AM32" s="123">
        <f t="shared" ca="1" si="13"/>
        <v>0</v>
      </c>
      <c r="AN32" s="123">
        <f t="shared" ca="1" si="13"/>
        <v>0</v>
      </c>
      <c r="AO32" s="123">
        <f t="shared" ca="1" si="13"/>
        <v>0</v>
      </c>
      <c r="AP32" s="123">
        <f t="shared" ca="1" si="13"/>
        <v>0</v>
      </c>
      <c r="AQ32" s="123">
        <f t="shared" ca="1" si="13"/>
        <v>0</v>
      </c>
      <c r="AR32" s="123">
        <f t="shared" ca="1" si="13"/>
        <v>0</v>
      </c>
      <c r="AS32" s="123">
        <f t="shared" ca="1" si="13"/>
        <v>0</v>
      </c>
      <c r="AT32" s="123">
        <f t="shared" ca="1" si="15"/>
        <v>0</v>
      </c>
      <c r="AU32" s="123">
        <f t="shared" ca="1" si="15"/>
        <v>0</v>
      </c>
      <c r="AV32" s="123">
        <f t="shared" ca="1" si="15"/>
        <v>0</v>
      </c>
      <c r="AW32" s="123">
        <f t="shared" ca="1" si="15"/>
        <v>0</v>
      </c>
      <c r="AX32" s="123" t="e">
        <f>-#REF!*$AX$51</f>
        <v>#REF!</v>
      </c>
    </row>
    <row r="33" spans="1:50">
      <c r="A33">
        <f t="shared" si="2"/>
        <v>2034</v>
      </c>
      <c r="B33" s="123">
        <f ca="1">ExposureCalculations!G40</f>
        <v>341688.53524309385</v>
      </c>
      <c r="C33" s="123">
        <f t="shared" ca="1" si="8"/>
        <v>102719.38727852593</v>
      </c>
      <c r="D33" s="123" t="e">
        <f t="shared" ca="1" si="9"/>
        <v>#REF!</v>
      </c>
      <c r="E33" s="123" t="e">
        <f ca="1">IF(F33=0,MAX(SUM('GHG Emissions'!P36:T36)-SUM(J33:K33)-(I33-('GHG Emissions'!N36-SUM(L33:M33))-('GHG Emissions'!J36-SUM(N33:AG33,AX33))-('GHG Emissions'!I36-SUM(AH33:AW33))),0),SUM('GHG Emissions'!P36:T36)-SUM(J33:K33))</f>
        <v>#REF!</v>
      </c>
      <c r="F33" s="123" t="e">
        <f ca="1">IF(G33=0,MAX('GHG Emissions'!N36-SUM(L33:M33)-(I33-('GHG Emissions'!J36-SUM(N33:AG33,AX33))-('GHG Emissions'!I36-SUM(AH33:AW33))),0),'GHG Emissions'!N36-SUM(L33:M33))</f>
        <v>#REF!</v>
      </c>
      <c r="G33" s="123" t="e">
        <f ca="1">IF(H33=0,MAX('GHG Emissions'!J36-SUM(N33:AG33,AX33)-(I33-('GHG Emissions'!I36-SUM(AH33:AW33))),0),'GHG Emissions'!J36-SUM(N33:AG33,AX33))</f>
        <v>#REF!</v>
      </c>
      <c r="H33" s="123" t="e">
        <f ca="1">IF(I33=0,'GHG Emissions'!I36-SUM(AH33:AW33),MAX('GHG Emissions'!I36-SUM(AH33:AW33)-I33,0))</f>
        <v>#REF!</v>
      </c>
      <c r="I33" s="123">
        <f t="shared" ca="1" si="10"/>
        <v>0</v>
      </c>
      <c r="J33" s="123" t="e">
        <f t="shared" ca="1" si="3"/>
        <v>#REF!</v>
      </c>
      <c r="K33" s="123" t="e">
        <f t="shared" ca="1" si="3"/>
        <v>#REF!</v>
      </c>
      <c r="L33" s="123">
        <f t="shared" ca="1" si="3"/>
        <v>0</v>
      </c>
      <c r="M33" s="123">
        <f t="shared" ca="1" si="4"/>
        <v>0</v>
      </c>
      <c r="N33" s="123" t="e">
        <f t="shared" ca="1" si="14"/>
        <v>#REF!</v>
      </c>
      <c r="O33" s="123" t="e">
        <f t="shared" ca="1" si="14"/>
        <v>#REF!</v>
      </c>
      <c r="P33" s="123" t="e">
        <f t="shared" ca="1" si="14"/>
        <v>#REF!</v>
      </c>
      <c r="Q33" s="123">
        <f t="shared" ca="1" si="14"/>
        <v>3831.4219676905486</v>
      </c>
      <c r="R33" s="123">
        <f t="shared" ca="1" si="14"/>
        <v>0</v>
      </c>
      <c r="S33" s="123">
        <f t="shared" ca="1" si="12"/>
        <v>0</v>
      </c>
      <c r="T33" s="123">
        <f t="shared" ca="1" si="12"/>
        <v>497.52640520481702</v>
      </c>
      <c r="U33" s="123">
        <f t="shared" ca="1" si="12"/>
        <v>5421.6452753228559</v>
      </c>
      <c r="V33" s="123">
        <f t="shared" ca="1" si="12"/>
        <v>21892.924686774466</v>
      </c>
      <c r="W33" s="123">
        <f t="shared" ca="1" si="12"/>
        <v>50288.216988010186</v>
      </c>
      <c r="X33" s="123">
        <f t="shared" ca="1" si="12"/>
        <v>15475.872903654525</v>
      </c>
      <c r="Y33" s="123">
        <f t="shared" ca="1" si="12"/>
        <v>0</v>
      </c>
      <c r="Z33" s="123">
        <f t="shared" ca="1" si="12"/>
        <v>42.106365709288561</v>
      </c>
      <c r="AA33" s="123">
        <f t="shared" ca="1" si="12"/>
        <v>1361.6171263411916</v>
      </c>
      <c r="AB33" s="123">
        <f t="shared" ca="1" si="12"/>
        <v>10082.241603025503</v>
      </c>
      <c r="AC33" s="123">
        <f t="shared" ca="1" si="12"/>
        <v>13213.549505801528</v>
      </c>
      <c r="AD33" s="123">
        <f t="shared" ca="1" si="16"/>
        <v>13710.13521560043</v>
      </c>
      <c r="AE33" s="123">
        <f t="shared" ca="1" si="16"/>
        <v>124.43697824242066</v>
      </c>
      <c r="AF33" s="123">
        <f t="shared" ca="1" si="16"/>
        <v>8710.5884769694476</v>
      </c>
      <c r="AG33" s="123">
        <f t="shared" ca="1" si="16"/>
        <v>35512.836256398594</v>
      </c>
      <c r="AH33" s="123" t="e">
        <f t="shared" ca="1" si="15"/>
        <v>#REF!</v>
      </c>
      <c r="AI33" s="123" t="e">
        <f t="shared" ca="1" si="13"/>
        <v>#REF!</v>
      </c>
      <c r="AJ33" s="123" t="e">
        <f t="shared" ca="1" si="13"/>
        <v>#REF!</v>
      </c>
      <c r="AK33" s="123">
        <f t="shared" ca="1" si="13"/>
        <v>0</v>
      </c>
      <c r="AL33" s="123">
        <f t="shared" ca="1" si="13"/>
        <v>0</v>
      </c>
      <c r="AM33" s="123">
        <f t="shared" ca="1" si="13"/>
        <v>0</v>
      </c>
      <c r="AN33" s="123">
        <f t="shared" ca="1" si="13"/>
        <v>0</v>
      </c>
      <c r="AO33" s="123">
        <f t="shared" ca="1" si="13"/>
        <v>0</v>
      </c>
      <c r="AP33" s="123">
        <f t="shared" ca="1" si="13"/>
        <v>0</v>
      </c>
      <c r="AQ33" s="123">
        <f t="shared" ca="1" si="13"/>
        <v>0</v>
      </c>
      <c r="AR33" s="123">
        <f t="shared" ca="1" si="13"/>
        <v>0</v>
      </c>
      <c r="AS33" s="123">
        <f t="shared" ca="1" si="13"/>
        <v>0</v>
      </c>
      <c r="AT33" s="123">
        <f t="shared" ca="1" si="15"/>
        <v>0</v>
      </c>
      <c r="AU33" s="123">
        <f t="shared" ca="1" si="15"/>
        <v>0</v>
      </c>
      <c r="AV33" s="123">
        <f t="shared" ca="1" si="15"/>
        <v>0</v>
      </c>
      <c r="AW33" s="123">
        <f t="shared" ca="1" si="15"/>
        <v>0</v>
      </c>
      <c r="AX33" s="123" t="e">
        <f>-#REF!*$AX$51</f>
        <v>#REF!</v>
      </c>
    </row>
    <row r="34" spans="1:50">
      <c r="A34">
        <f t="shared" si="2"/>
        <v>2035</v>
      </c>
      <c r="B34" s="123">
        <f ca="1">ExposureCalculations!G41</f>
        <v>344501.87848791596</v>
      </c>
      <c r="C34" s="123">
        <f t="shared" ca="1" si="8"/>
        <v>96299.425573618064</v>
      </c>
      <c r="D34" s="123" t="e">
        <f t="shared" ca="1" si="9"/>
        <v>#REF!</v>
      </c>
      <c r="E34" s="123" t="e">
        <f ca="1">IF(F34=0,MAX(SUM('GHG Emissions'!P37:T37)-SUM(J34:K34)-(I34-('GHG Emissions'!N37-SUM(L34:M34))-('GHG Emissions'!J37-SUM(N34:AG34,AX34))-('GHG Emissions'!I37-SUM(AH34:AW34))),0),SUM('GHG Emissions'!P37:T37)-SUM(J34:K34))</f>
        <v>#REF!</v>
      </c>
      <c r="F34" s="123" t="e">
        <f ca="1">IF(G34=0,MAX('GHG Emissions'!N37-SUM(L34:M34)-(I34-('GHG Emissions'!J37-SUM(N34:AG34,AX34))-('GHG Emissions'!I37-SUM(AH34:AW34))),0),'GHG Emissions'!N37-SUM(L34:M34))</f>
        <v>#REF!</v>
      </c>
      <c r="G34" s="123" t="e">
        <f ca="1">IF(H34=0,MAX('GHG Emissions'!J37-SUM(N34:AG34,AX34)-(I34-('GHG Emissions'!I37-SUM(AH34:AW34))),0),'GHG Emissions'!J37-SUM(N34:AG34,AX34))</f>
        <v>#REF!</v>
      </c>
      <c r="H34" s="123" t="e">
        <f ca="1">IF(I34=0,'GHG Emissions'!I37-SUM(AH34:AW34),MAX('GHG Emissions'!I37-SUM(AH34:AW34)-I34,0))</f>
        <v>#REF!</v>
      </c>
      <c r="I34" s="123">
        <f t="shared" ca="1" si="10"/>
        <v>0</v>
      </c>
      <c r="J34" s="123" t="e">
        <f t="shared" ca="1" si="3"/>
        <v>#REF!</v>
      </c>
      <c r="K34" s="123" t="e">
        <f t="shared" ca="1" si="3"/>
        <v>#REF!</v>
      </c>
      <c r="L34" s="123">
        <f t="shared" ca="1" si="3"/>
        <v>0</v>
      </c>
      <c r="M34" s="123">
        <f t="shared" ca="1" si="4"/>
        <v>0</v>
      </c>
      <c r="N34" s="123" t="e">
        <f t="shared" ca="1" si="14"/>
        <v>#REF!</v>
      </c>
      <c r="O34" s="123" t="e">
        <f t="shared" ca="1" si="14"/>
        <v>#REF!</v>
      </c>
      <c r="P34" s="123" t="e">
        <f t="shared" ca="1" si="14"/>
        <v>#REF!</v>
      </c>
      <c r="Q34" s="123">
        <f t="shared" ca="1" si="14"/>
        <v>3826.8730124998601</v>
      </c>
      <c r="R34" s="123">
        <f t="shared" ca="1" si="14"/>
        <v>0</v>
      </c>
      <c r="S34" s="123">
        <f t="shared" ca="1" si="12"/>
        <v>0</v>
      </c>
      <c r="T34" s="123">
        <f t="shared" ca="1" si="12"/>
        <v>497.52640520481702</v>
      </c>
      <c r="U34" s="123">
        <f t="shared" ca="1" si="12"/>
        <v>5421.6452753228559</v>
      </c>
      <c r="V34" s="123">
        <f t="shared" ca="1" si="12"/>
        <v>22094.848842516731</v>
      </c>
      <c r="W34" s="123">
        <f t="shared" ca="1" si="12"/>
        <v>52299.745667530602</v>
      </c>
      <c r="X34" s="123">
        <f t="shared" ca="1" si="12"/>
        <v>15918.381967598942</v>
      </c>
      <c r="Y34" s="123">
        <f t="shared" ca="1" si="12"/>
        <v>0</v>
      </c>
      <c r="Z34" s="123">
        <f t="shared" ca="1" si="12"/>
        <v>42.106365709288561</v>
      </c>
      <c r="AA34" s="123">
        <f t="shared" ca="1" si="12"/>
        <v>1361.6171263411916</v>
      </c>
      <c r="AB34" s="123">
        <f t="shared" ca="1" si="12"/>
        <v>10082.241603025503</v>
      </c>
      <c r="AC34" s="123">
        <f t="shared" ca="1" si="12"/>
        <v>13213.549505801528</v>
      </c>
      <c r="AD34" s="123">
        <f t="shared" ca="1" si="16"/>
        <v>13710.13521560043</v>
      </c>
      <c r="AE34" s="123">
        <f t="shared" ca="1" si="16"/>
        <v>124.43697824242066</v>
      </c>
      <c r="AF34" s="123">
        <f t="shared" ca="1" si="16"/>
        <v>8710.5884769694476</v>
      </c>
      <c r="AG34" s="123">
        <f t="shared" ca="1" si="16"/>
        <v>35512.836256398594</v>
      </c>
      <c r="AH34" s="123" t="e">
        <f t="shared" ca="1" si="15"/>
        <v>#REF!</v>
      </c>
      <c r="AI34" s="123" t="e">
        <f t="shared" ca="1" si="13"/>
        <v>#REF!</v>
      </c>
      <c r="AJ34" s="123" t="e">
        <f t="shared" ca="1" si="13"/>
        <v>#REF!</v>
      </c>
      <c r="AK34" s="123">
        <f t="shared" ca="1" si="13"/>
        <v>0</v>
      </c>
      <c r="AL34" s="123">
        <f t="shared" ca="1" si="13"/>
        <v>0</v>
      </c>
      <c r="AM34" s="123">
        <f t="shared" ca="1" si="13"/>
        <v>0</v>
      </c>
      <c r="AN34" s="123">
        <f t="shared" ca="1" si="13"/>
        <v>0</v>
      </c>
      <c r="AO34" s="123">
        <f t="shared" ca="1" si="13"/>
        <v>0</v>
      </c>
      <c r="AP34" s="123">
        <f t="shared" ca="1" si="13"/>
        <v>0</v>
      </c>
      <c r="AQ34" s="123">
        <f t="shared" ca="1" si="13"/>
        <v>0</v>
      </c>
      <c r="AR34" s="123">
        <f t="shared" ca="1" si="13"/>
        <v>0</v>
      </c>
      <c r="AS34" s="123">
        <f t="shared" ca="1" si="13"/>
        <v>0</v>
      </c>
      <c r="AT34" s="123">
        <f t="shared" ca="1" si="15"/>
        <v>0</v>
      </c>
      <c r="AU34" s="123">
        <f t="shared" ca="1" si="15"/>
        <v>0</v>
      </c>
      <c r="AV34" s="123">
        <f t="shared" ca="1" si="15"/>
        <v>0</v>
      </c>
      <c r="AW34" s="123">
        <f t="shared" ca="1" si="15"/>
        <v>0</v>
      </c>
      <c r="AX34" s="123" t="e">
        <f>-#REF!*$AX$51</f>
        <v>#REF!</v>
      </c>
    </row>
    <row r="35" spans="1:50">
      <c r="A35">
        <f t="shared" si="2"/>
        <v>2036</v>
      </c>
      <c r="B35" s="123">
        <f ca="1">ExposureCalculations!G42</f>
        <v>347314.51040823129</v>
      </c>
      <c r="C35" s="123">
        <f t="shared" ca="1" si="8"/>
        <v>89879.463868710198</v>
      </c>
      <c r="D35" s="123" t="e">
        <f t="shared" ca="1" si="9"/>
        <v>#REF!</v>
      </c>
      <c r="E35" s="123" t="e">
        <f ca="1">IF(F35=0,MAX(SUM('GHG Emissions'!P38:T38)-SUM(J35:K35)-(I35-('GHG Emissions'!N38-SUM(L35:M35))-('GHG Emissions'!J38-SUM(N35:AG35,AX35))-('GHG Emissions'!I38-SUM(AH35:AW35))),0),SUM('GHG Emissions'!P38:T38)-SUM(J35:K35))</f>
        <v>#REF!</v>
      </c>
      <c r="F35" s="123" t="e">
        <f ca="1">IF(G35=0,MAX('GHG Emissions'!N38-SUM(L35:M35)-(I35-('GHG Emissions'!J38-SUM(N35:AG35,AX35))-('GHG Emissions'!I38-SUM(AH35:AW35))),0),'GHG Emissions'!N38-SUM(L35:M35))</f>
        <v>#REF!</v>
      </c>
      <c r="G35" s="123" t="e">
        <f ca="1">IF(H35=0,MAX('GHG Emissions'!J38-SUM(N35:AG35,AX35)-(I35-('GHG Emissions'!I38-SUM(AH35:AW35))),0),'GHG Emissions'!J38-SUM(N35:AG35,AX35))</f>
        <v>#REF!</v>
      </c>
      <c r="H35" s="123" t="e">
        <f ca="1">IF(I35=0,'GHG Emissions'!I38-SUM(AH35:AW35),MAX('GHG Emissions'!I38-SUM(AH35:AW35)-I35,0))</f>
        <v>#REF!</v>
      </c>
      <c r="I35" s="123">
        <f t="shared" ca="1" si="10"/>
        <v>0</v>
      </c>
      <c r="J35" s="123" t="e">
        <f t="shared" ca="1" si="3"/>
        <v>#REF!</v>
      </c>
      <c r="K35" s="123" t="e">
        <f t="shared" ca="1" si="3"/>
        <v>#REF!</v>
      </c>
      <c r="L35" s="123">
        <f t="shared" ca="1" si="3"/>
        <v>0</v>
      </c>
      <c r="M35" s="123">
        <f t="shared" ca="1" si="4"/>
        <v>0</v>
      </c>
      <c r="N35" s="123" t="e">
        <f t="shared" ca="1" si="14"/>
        <v>#REF!</v>
      </c>
      <c r="O35" s="123" t="e">
        <f t="shared" ca="1" si="14"/>
        <v>#REF!</v>
      </c>
      <c r="P35" s="123" t="e">
        <f t="shared" ca="1" si="14"/>
        <v>#REF!</v>
      </c>
      <c r="Q35" s="123">
        <f t="shared" ca="1" si="14"/>
        <v>3822.2951816346049</v>
      </c>
      <c r="R35" s="123">
        <f t="shared" ca="1" si="14"/>
        <v>0</v>
      </c>
      <c r="S35" s="123">
        <f t="shared" ca="1" si="14"/>
        <v>0</v>
      </c>
      <c r="T35" s="123">
        <f t="shared" ca="1" si="14"/>
        <v>497.52640520481702</v>
      </c>
      <c r="U35" s="123">
        <f t="shared" ca="1" si="14"/>
        <v>5421.6452753228559</v>
      </c>
      <c r="V35" s="123">
        <f t="shared" ca="1" si="14"/>
        <v>22296.772998258981</v>
      </c>
      <c r="W35" s="123">
        <f t="shared" ca="1" si="14"/>
        <v>54311.274347050989</v>
      </c>
      <c r="X35" s="123">
        <f t="shared" ca="1" si="14"/>
        <v>16361.565129233688</v>
      </c>
      <c r="Y35" s="123">
        <f t="shared" ca="1" si="14"/>
        <v>0</v>
      </c>
      <c r="Z35" s="123">
        <f t="shared" ca="1" si="14"/>
        <v>42.106365709288561</v>
      </c>
      <c r="AA35" s="123">
        <f t="shared" ca="1" si="14"/>
        <v>1361.6171263411916</v>
      </c>
      <c r="AB35" s="123">
        <f t="shared" ca="1" si="14"/>
        <v>10082.241603025503</v>
      </c>
      <c r="AC35" s="123">
        <f t="shared" ca="1" si="14"/>
        <v>13213.549505801528</v>
      </c>
      <c r="AD35" s="123">
        <f t="shared" ca="1" si="16"/>
        <v>13710.13521560043</v>
      </c>
      <c r="AE35" s="123">
        <f t="shared" ca="1" si="16"/>
        <v>124.43697824242066</v>
      </c>
      <c r="AF35" s="123">
        <f t="shared" ca="1" si="16"/>
        <v>8710.5884769694476</v>
      </c>
      <c r="AG35" s="123">
        <f t="shared" ca="1" si="16"/>
        <v>35512.836256398594</v>
      </c>
      <c r="AH35" s="123" t="e">
        <f t="shared" ca="1" si="15"/>
        <v>#REF!</v>
      </c>
      <c r="AI35" s="123" t="e">
        <f t="shared" ca="1" si="15"/>
        <v>#REF!</v>
      </c>
      <c r="AJ35" s="123" t="e">
        <f t="shared" ca="1" si="15"/>
        <v>#REF!</v>
      </c>
      <c r="AK35" s="123">
        <f t="shared" ca="1" si="15"/>
        <v>0</v>
      </c>
      <c r="AL35" s="123">
        <f t="shared" ca="1" si="15"/>
        <v>0</v>
      </c>
      <c r="AM35" s="123">
        <f t="shared" ca="1" si="15"/>
        <v>0</v>
      </c>
      <c r="AN35" s="123">
        <f t="shared" ca="1" si="15"/>
        <v>0</v>
      </c>
      <c r="AO35" s="123">
        <f t="shared" ca="1" si="15"/>
        <v>0</v>
      </c>
      <c r="AP35" s="123">
        <f t="shared" ca="1" si="15"/>
        <v>0</v>
      </c>
      <c r="AQ35" s="123">
        <f t="shared" ca="1" si="15"/>
        <v>0</v>
      </c>
      <c r="AR35" s="123">
        <f t="shared" ca="1" si="15"/>
        <v>0</v>
      </c>
      <c r="AS35" s="123">
        <f t="shared" ca="1" si="15"/>
        <v>0</v>
      </c>
      <c r="AT35" s="123">
        <f t="shared" ca="1" si="15"/>
        <v>0</v>
      </c>
      <c r="AU35" s="123">
        <f t="shared" ca="1" si="15"/>
        <v>0</v>
      </c>
      <c r="AV35" s="123">
        <f t="shared" ca="1" si="15"/>
        <v>0</v>
      </c>
      <c r="AW35" s="123">
        <f t="shared" ca="1" si="15"/>
        <v>0</v>
      </c>
      <c r="AX35" s="123" t="e">
        <f>-#REF!*$AX$51</f>
        <v>#REF!</v>
      </c>
    </row>
    <row r="36" spans="1:50">
      <c r="A36">
        <f t="shared" si="2"/>
        <v>2037</v>
      </c>
      <c r="B36" s="123">
        <f ca="1">ExposureCalculations!G43</f>
        <v>350126.47017745476</v>
      </c>
      <c r="C36" s="123">
        <f t="shared" ca="1" si="8"/>
        <v>83459.502163802332</v>
      </c>
      <c r="D36" s="123" t="e">
        <f t="shared" ca="1" si="9"/>
        <v>#REF!</v>
      </c>
      <c r="E36" s="123" t="e">
        <f ca="1">IF(F36=0,MAX(SUM('GHG Emissions'!P39:T39)-SUM(J36:K36)-(I36-('GHG Emissions'!N39-SUM(L36:M36))-('GHG Emissions'!J39-SUM(N36:AG36,AX36))-('GHG Emissions'!I39-SUM(AH36:AW36))),0),SUM('GHG Emissions'!P39:T39)-SUM(J36:K36))</f>
        <v>#REF!</v>
      </c>
      <c r="F36" s="123" t="e">
        <f ca="1">IF(G36=0,MAX('GHG Emissions'!N39-SUM(L36:M36)-(I36-('GHG Emissions'!J39-SUM(N36:AG36,AX36))-('GHG Emissions'!I39-SUM(AH36:AW36))),0),'GHG Emissions'!N39-SUM(L36:M36))</f>
        <v>#REF!</v>
      </c>
      <c r="G36" s="123" t="e">
        <f ca="1">IF(H36=0,MAX('GHG Emissions'!J39-SUM(N36:AG36,AX36)-(I36-('GHG Emissions'!I39-SUM(AH36:AW36))),0),'GHG Emissions'!J39-SUM(N36:AG36,AX36))</f>
        <v>#REF!</v>
      </c>
      <c r="H36" s="123" t="e">
        <f ca="1">IF(I36=0,'GHG Emissions'!I39-SUM(AH36:AW36),MAX('GHG Emissions'!I39-SUM(AH36:AW36)-I36,0))</f>
        <v>#REF!</v>
      </c>
      <c r="I36" s="123">
        <f t="shared" ca="1" si="10"/>
        <v>0</v>
      </c>
      <c r="J36" s="123" t="e">
        <f t="shared" ca="1" si="3"/>
        <v>#REF!</v>
      </c>
      <c r="K36" s="123" t="e">
        <f t="shared" ca="1" si="3"/>
        <v>#REF!</v>
      </c>
      <c r="L36" s="123">
        <f t="shared" ca="1" si="3"/>
        <v>0</v>
      </c>
      <c r="M36" s="123">
        <f t="shared" ca="1" si="4"/>
        <v>0</v>
      </c>
      <c r="N36" s="123" t="e">
        <f t="shared" ca="1" si="14"/>
        <v>#REF!</v>
      </c>
      <c r="O36" s="123" t="e">
        <f t="shared" ca="1" si="14"/>
        <v>#REF!</v>
      </c>
      <c r="P36" s="123" t="e">
        <f t="shared" ca="1" si="14"/>
        <v>#REF!</v>
      </c>
      <c r="Q36" s="123">
        <f t="shared" ca="1" si="14"/>
        <v>3817.6892525659619</v>
      </c>
      <c r="R36" s="123">
        <f t="shared" ca="1" si="14"/>
        <v>0</v>
      </c>
      <c r="S36" s="123">
        <f t="shared" ca="1" si="14"/>
        <v>0</v>
      </c>
      <c r="T36" s="123">
        <f t="shared" ca="1" si="14"/>
        <v>497.52640520481702</v>
      </c>
      <c r="U36" s="123">
        <f t="shared" ca="1" si="14"/>
        <v>5421.6452753228559</v>
      </c>
      <c r="V36" s="123">
        <f t="shared" ca="1" si="14"/>
        <v>22498.697154001231</v>
      </c>
      <c r="W36" s="123">
        <f t="shared" ca="1" si="14"/>
        <v>56322.803026571382</v>
      </c>
      <c r="X36" s="123">
        <f t="shared" ca="1" si="14"/>
        <v>16805.404238626754</v>
      </c>
      <c r="Y36" s="123">
        <f t="shared" ca="1" si="14"/>
        <v>0</v>
      </c>
      <c r="Z36" s="123">
        <f t="shared" ca="1" si="14"/>
        <v>42.106365709288561</v>
      </c>
      <c r="AA36" s="123">
        <f t="shared" ca="1" si="14"/>
        <v>1361.6171263411916</v>
      </c>
      <c r="AB36" s="123">
        <f t="shared" ca="1" si="14"/>
        <v>10082.241603025503</v>
      </c>
      <c r="AC36" s="123">
        <f t="shared" ca="1" si="14"/>
        <v>13213.549505801528</v>
      </c>
      <c r="AD36" s="123">
        <f t="shared" ca="1" si="16"/>
        <v>13710.13521560043</v>
      </c>
      <c r="AE36" s="123">
        <f t="shared" ca="1" si="16"/>
        <v>124.43697824242066</v>
      </c>
      <c r="AF36" s="123">
        <f t="shared" ca="1" si="16"/>
        <v>8710.5884769694476</v>
      </c>
      <c r="AG36" s="123">
        <f t="shared" ca="1" si="16"/>
        <v>35512.836256398594</v>
      </c>
      <c r="AH36" s="123" t="e">
        <f t="shared" ca="1" si="15"/>
        <v>#REF!</v>
      </c>
      <c r="AI36" s="123" t="e">
        <f t="shared" ca="1" si="15"/>
        <v>#REF!</v>
      </c>
      <c r="AJ36" s="123" t="e">
        <f t="shared" ca="1" si="15"/>
        <v>#REF!</v>
      </c>
      <c r="AK36" s="123">
        <f t="shared" ca="1" si="15"/>
        <v>0</v>
      </c>
      <c r="AL36" s="123">
        <f t="shared" ca="1" si="15"/>
        <v>0</v>
      </c>
      <c r="AM36" s="123">
        <f t="shared" ca="1" si="15"/>
        <v>0</v>
      </c>
      <c r="AN36" s="123">
        <f t="shared" ca="1" si="15"/>
        <v>0</v>
      </c>
      <c r="AO36" s="123">
        <f t="shared" ca="1" si="15"/>
        <v>0</v>
      </c>
      <c r="AP36" s="123">
        <f t="shared" ca="1" si="15"/>
        <v>0</v>
      </c>
      <c r="AQ36" s="123">
        <f t="shared" ca="1" si="15"/>
        <v>0</v>
      </c>
      <c r="AR36" s="123">
        <f t="shared" ca="1" si="15"/>
        <v>0</v>
      </c>
      <c r="AS36" s="123">
        <f t="shared" ca="1" si="15"/>
        <v>0</v>
      </c>
      <c r="AT36" s="123">
        <f t="shared" ca="1" si="15"/>
        <v>0</v>
      </c>
      <c r="AU36" s="123">
        <f t="shared" ca="1" si="15"/>
        <v>0</v>
      </c>
      <c r="AV36" s="123">
        <f t="shared" ca="1" si="15"/>
        <v>0</v>
      </c>
      <c r="AW36" s="123">
        <f t="shared" ca="1" si="15"/>
        <v>0</v>
      </c>
      <c r="AX36" s="123" t="e">
        <f>-#REF!*$AX$51</f>
        <v>#REF!</v>
      </c>
    </row>
    <row r="37" spans="1:50">
      <c r="A37">
        <f t="shared" si="2"/>
        <v>2038</v>
      </c>
      <c r="B37" s="123">
        <f ca="1">ExposureCalculations!G44</f>
        <v>352937.79350031726</v>
      </c>
      <c r="C37" s="123">
        <f t="shared" ca="1" si="8"/>
        <v>77039.540458894466</v>
      </c>
      <c r="D37" s="123" t="e">
        <f t="shared" ca="1" si="9"/>
        <v>#REF!</v>
      </c>
      <c r="E37" s="123" t="e">
        <f ca="1">IF(F37=0,MAX(SUM('GHG Emissions'!P40:T40)-SUM(J37:K37)-(I37-('GHG Emissions'!N40-SUM(L37:M37))-('GHG Emissions'!J40-SUM(N37:AG37,AX37))-('GHG Emissions'!I40-SUM(AH37:AW37))),0),SUM('GHG Emissions'!P40:T40)-SUM(J37:K37))</f>
        <v>#REF!</v>
      </c>
      <c r="F37" s="123" t="e">
        <f ca="1">IF(G37=0,MAX('GHG Emissions'!N40-SUM(L37:M37)-(I37-('GHG Emissions'!J40-SUM(N37:AG37,AX37))-('GHG Emissions'!I40-SUM(AH37:AW37))),0),'GHG Emissions'!N40-SUM(L37:M37))</f>
        <v>#REF!</v>
      </c>
      <c r="G37" s="123" t="e">
        <f ca="1">IF(H37=0,MAX('GHG Emissions'!J40-SUM(N37:AG37,AX37)-(I37-('GHG Emissions'!I40-SUM(AH37:AW37))),0),'GHG Emissions'!J40-SUM(N37:AG37,AX37))</f>
        <v>#REF!</v>
      </c>
      <c r="H37" s="123" t="e">
        <f ca="1">IF(I37=0,'GHG Emissions'!I40-SUM(AH37:AW37),MAX('GHG Emissions'!I40-SUM(AH37:AW37)-I37,0))</f>
        <v>#REF!</v>
      </c>
      <c r="I37" s="123">
        <f t="shared" ca="1" si="10"/>
        <v>0</v>
      </c>
      <c r="J37" s="123" t="e">
        <f t="shared" ca="1" si="3"/>
        <v>#REF!</v>
      </c>
      <c r="K37" s="123" t="e">
        <f t="shared" ca="1" si="3"/>
        <v>#REF!</v>
      </c>
      <c r="L37" s="123">
        <f t="shared" ca="1" si="3"/>
        <v>0</v>
      </c>
      <c r="M37" s="123">
        <f t="shared" ca="1" si="4"/>
        <v>0</v>
      </c>
      <c r="N37" s="123" t="e">
        <f t="shared" ca="1" si="14"/>
        <v>#REF!</v>
      </c>
      <c r="O37" s="123" t="e">
        <f t="shared" ca="1" si="14"/>
        <v>#REF!</v>
      </c>
      <c r="P37" s="123" t="e">
        <f t="shared" ca="1" si="14"/>
        <v>#REF!</v>
      </c>
      <c r="Q37" s="123">
        <f t="shared" ca="1" si="14"/>
        <v>3813.0559751023975</v>
      </c>
      <c r="R37" s="123">
        <f t="shared" ca="1" si="14"/>
        <v>0</v>
      </c>
      <c r="S37" s="123">
        <f t="shared" ca="1" si="14"/>
        <v>0</v>
      </c>
      <c r="T37" s="123">
        <f t="shared" ca="1" si="14"/>
        <v>497.52640520481702</v>
      </c>
      <c r="U37" s="123">
        <f t="shared" ca="1" si="14"/>
        <v>5421.6452753228559</v>
      </c>
      <c r="V37" s="123">
        <f t="shared" ca="1" si="14"/>
        <v>22700.621309743496</v>
      </c>
      <c r="W37" s="123">
        <f t="shared" ca="1" si="14"/>
        <v>58334.331706091805</v>
      </c>
      <c r="X37" s="123">
        <f t="shared" ca="1" si="14"/>
        <v>17249.881791627668</v>
      </c>
      <c r="Y37" s="123">
        <f t="shared" ca="1" si="14"/>
        <v>0</v>
      </c>
      <c r="Z37" s="123">
        <f t="shared" ca="1" si="14"/>
        <v>42.106365709288561</v>
      </c>
      <c r="AA37" s="123">
        <f t="shared" ca="1" si="14"/>
        <v>1361.6171263411916</v>
      </c>
      <c r="AB37" s="123">
        <f t="shared" ca="1" si="14"/>
        <v>10082.241603025503</v>
      </c>
      <c r="AC37" s="123">
        <f t="shared" ca="1" si="14"/>
        <v>13213.549505801528</v>
      </c>
      <c r="AD37" s="123">
        <f t="shared" ca="1" si="16"/>
        <v>13710.13521560043</v>
      </c>
      <c r="AE37" s="123">
        <f t="shared" ca="1" si="16"/>
        <v>124.43697824242066</v>
      </c>
      <c r="AF37" s="123">
        <f t="shared" ca="1" si="16"/>
        <v>8710.5884769694476</v>
      </c>
      <c r="AG37" s="123">
        <f t="shared" ca="1" si="16"/>
        <v>35512.836256398594</v>
      </c>
      <c r="AH37" s="123" t="e">
        <f t="shared" ca="1" si="15"/>
        <v>#REF!</v>
      </c>
      <c r="AI37" s="123" t="e">
        <f t="shared" ca="1" si="15"/>
        <v>#REF!</v>
      </c>
      <c r="AJ37" s="123" t="e">
        <f t="shared" ca="1" si="15"/>
        <v>#REF!</v>
      </c>
      <c r="AK37" s="123">
        <f t="shared" ca="1" si="15"/>
        <v>0</v>
      </c>
      <c r="AL37" s="123">
        <f t="shared" ca="1" si="15"/>
        <v>0</v>
      </c>
      <c r="AM37" s="123">
        <f t="shared" ca="1" si="15"/>
        <v>0</v>
      </c>
      <c r="AN37" s="123">
        <f t="shared" ca="1" si="15"/>
        <v>0</v>
      </c>
      <c r="AO37" s="123">
        <f t="shared" ca="1" si="15"/>
        <v>0</v>
      </c>
      <c r="AP37" s="123">
        <f t="shared" ca="1" si="15"/>
        <v>0</v>
      </c>
      <c r="AQ37" s="123">
        <f t="shared" ca="1" si="15"/>
        <v>0</v>
      </c>
      <c r="AR37" s="123">
        <f t="shared" ca="1" si="15"/>
        <v>0</v>
      </c>
      <c r="AS37" s="123">
        <f t="shared" ca="1" si="15"/>
        <v>0</v>
      </c>
      <c r="AT37" s="123">
        <f t="shared" ca="1" si="15"/>
        <v>0</v>
      </c>
      <c r="AU37" s="123">
        <f t="shared" ca="1" si="15"/>
        <v>0</v>
      </c>
      <c r="AV37" s="123">
        <f t="shared" ca="1" si="15"/>
        <v>0</v>
      </c>
      <c r="AW37" s="123">
        <f t="shared" ca="1" si="15"/>
        <v>0</v>
      </c>
      <c r="AX37" s="123" t="e">
        <f>-#REF!*$AX$51</f>
        <v>#REF!</v>
      </c>
    </row>
    <row r="38" spans="1:50">
      <c r="A38">
        <f t="shared" si="2"/>
        <v>2039</v>
      </c>
      <c r="B38" s="123">
        <f ca="1">ExposureCalculations!G45</f>
        <v>355748.51302821358</v>
      </c>
      <c r="C38" s="123">
        <f t="shared" ca="1" si="8"/>
        <v>70619.5787539866</v>
      </c>
      <c r="D38" s="123" t="e">
        <f t="shared" ca="1" si="9"/>
        <v>#REF!</v>
      </c>
      <c r="E38" s="123" t="e">
        <f ca="1">IF(F38=0,MAX(SUM('GHG Emissions'!P41:T41)-SUM(J38:K38)-(I38-('GHG Emissions'!N41-SUM(L38:M38))-('GHG Emissions'!J41-SUM(N38:AG38,AX38))-('GHG Emissions'!I41-SUM(AH38:AW38))),0),SUM('GHG Emissions'!P41:T41)-SUM(J38:K38))</f>
        <v>#REF!</v>
      </c>
      <c r="F38" s="123" t="e">
        <f ca="1">IF(G38=0,MAX('GHG Emissions'!N41-SUM(L38:M38)-(I38-('GHG Emissions'!J41-SUM(N38:AG38,AX38))-('GHG Emissions'!I41-SUM(AH38:AW38))),0),'GHG Emissions'!N41-SUM(L38:M38))</f>
        <v>#REF!</v>
      </c>
      <c r="G38" s="123" t="e">
        <f ca="1">IF(H38=0,MAX('GHG Emissions'!J41-SUM(N38:AG38,AX38)-(I38-('GHG Emissions'!I41-SUM(AH38:AW38))),0),'GHG Emissions'!J41-SUM(N38:AG38,AX38))</f>
        <v>#REF!</v>
      </c>
      <c r="H38" s="123" t="e">
        <f ca="1">IF(I38=0,'GHG Emissions'!I41-SUM(AH38:AW38),MAX('GHG Emissions'!I41-SUM(AH38:AW38)-I38,0))</f>
        <v>#REF!</v>
      </c>
      <c r="I38" s="123">
        <f t="shared" ca="1" si="10"/>
        <v>0</v>
      </c>
      <c r="J38" s="123" t="e">
        <f t="shared" ca="1" si="3"/>
        <v>#REF!</v>
      </c>
      <c r="K38" s="123" t="e">
        <f t="shared" ca="1" si="3"/>
        <v>#REF!</v>
      </c>
      <c r="L38" s="123">
        <f t="shared" ca="1" si="3"/>
        <v>0</v>
      </c>
      <c r="M38" s="123">
        <f t="shared" ca="1" si="4"/>
        <v>0</v>
      </c>
      <c r="N38" s="123" t="e">
        <f t="shared" ca="1" si="14"/>
        <v>#REF!</v>
      </c>
      <c r="O38" s="123" t="e">
        <f t="shared" ca="1" si="14"/>
        <v>#REF!</v>
      </c>
      <c r="P38" s="123" t="e">
        <f t="shared" ca="1" si="14"/>
        <v>#REF!</v>
      </c>
      <c r="Q38" s="123">
        <f t="shared" ca="1" si="14"/>
        <v>3808.39607260912</v>
      </c>
      <c r="R38" s="123">
        <f t="shared" ca="1" si="14"/>
        <v>0</v>
      </c>
      <c r="S38" s="123">
        <f t="shared" ca="1" si="14"/>
        <v>0</v>
      </c>
      <c r="T38" s="123">
        <f t="shared" ca="1" si="14"/>
        <v>497.52640520481702</v>
      </c>
      <c r="U38" s="123">
        <f t="shared" ca="1" si="14"/>
        <v>5421.6452753228559</v>
      </c>
      <c r="V38" s="123">
        <f t="shared" ca="1" si="14"/>
        <v>22902.545465485746</v>
      </c>
      <c r="W38" s="123">
        <f t="shared" ca="1" si="14"/>
        <v>60345.860385612221</v>
      </c>
      <c r="X38" s="123">
        <f t="shared" ca="1" si="14"/>
        <v>17694.980901399122</v>
      </c>
      <c r="Y38" s="123">
        <f t="shared" ca="1" si="14"/>
        <v>0</v>
      </c>
      <c r="Z38" s="123">
        <f t="shared" ca="1" si="14"/>
        <v>42.106365709288561</v>
      </c>
      <c r="AA38" s="123">
        <f t="shared" ca="1" si="14"/>
        <v>1361.6171263411916</v>
      </c>
      <c r="AB38" s="123">
        <f t="shared" ca="1" si="14"/>
        <v>10082.241603025503</v>
      </c>
      <c r="AC38" s="123">
        <f t="shared" ca="1" si="14"/>
        <v>13213.549505801528</v>
      </c>
      <c r="AD38" s="123">
        <f t="shared" ca="1" si="16"/>
        <v>13710.13521560043</v>
      </c>
      <c r="AE38" s="123">
        <f t="shared" ca="1" si="16"/>
        <v>124.43697824242066</v>
      </c>
      <c r="AF38" s="123">
        <f t="shared" ca="1" si="16"/>
        <v>8710.5884769694476</v>
      </c>
      <c r="AG38" s="123">
        <f t="shared" ca="1" si="16"/>
        <v>35512.836256398594</v>
      </c>
      <c r="AH38" s="123" t="e">
        <f t="shared" ca="1" si="15"/>
        <v>#REF!</v>
      </c>
      <c r="AI38" s="123" t="e">
        <f t="shared" ca="1" si="15"/>
        <v>#REF!</v>
      </c>
      <c r="AJ38" s="123" t="e">
        <f t="shared" ca="1" si="15"/>
        <v>#REF!</v>
      </c>
      <c r="AK38" s="123">
        <f t="shared" ca="1" si="15"/>
        <v>0</v>
      </c>
      <c r="AL38" s="123">
        <f t="shared" ca="1" si="15"/>
        <v>0</v>
      </c>
      <c r="AM38" s="123">
        <f t="shared" ca="1" si="15"/>
        <v>0</v>
      </c>
      <c r="AN38" s="123">
        <f t="shared" ca="1" si="15"/>
        <v>0</v>
      </c>
      <c r="AO38" s="123">
        <f t="shared" ca="1" si="15"/>
        <v>0</v>
      </c>
      <c r="AP38" s="123">
        <f t="shared" ca="1" si="15"/>
        <v>0</v>
      </c>
      <c r="AQ38" s="123">
        <f t="shared" ca="1" si="15"/>
        <v>0</v>
      </c>
      <c r="AR38" s="123">
        <f t="shared" ca="1" si="15"/>
        <v>0</v>
      </c>
      <c r="AS38" s="123">
        <f t="shared" ca="1" si="15"/>
        <v>0</v>
      </c>
      <c r="AT38" s="123">
        <f t="shared" ca="1" si="15"/>
        <v>0</v>
      </c>
      <c r="AU38" s="123">
        <f t="shared" ca="1" si="15"/>
        <v>0</v>
      </c>
      <c r="AV38" s="123">
        <f t="shared" ca="1" si="15"/>
        <v>0</v>
      </c>
      <c r="AW38" s="123">
        <f t="shared" ca="1" si="15"/>
        <v>0</v>
      </c>
      <c r="AX38" s="123" t="e">
        <f>-#REF!*$AX$51</f>
        <v>#REF!</v>
      </c>
    </row>
    <row r="39" spans="1:50">
      <c r="A39">
        <f t="shared" si="2"/>
        <v>2040</v>
      </c>
      <c r="B39" s="123">
        <f ca="1">ExposureCalculations!G46</f>
        <v>358558.65871271305</v>
      </c>
      <c r="C39" s="123">
        <f t="shared" ca="1" si="8"/>
        <v>64199.617049078741</v>
      </c>
      <c r="D39" s="123" t="e">
        <f t="shared" ca="1" si="9"/>
        <v>#REF!</v>
      </c>
      <c r="E39" s="123" t="e">
        <f ca="1">IF(F39=0,MAX(SUM('GHG Emissions'!P42:T42)-SUM(J39:K39)-(I39-('GHG Emissions'!N42-SUM(L39:M39))-('GHG Emissions'!J42-SUM(N39:AG39,AX39))-('GHG Emissions'!I42-SUM(AH39:AW39))),0),SUM('GHG Emissions'!P42:T42)-SUM(J39:K39))</f>
        <v>#REF!</v>
      </c>
      <c r="F39" s="123" t="e">
        <f ca="1">IF(G39=0,MAX('GHG Emissions'!N42-SUM(L39:M39)-(I39-('GHG Emissions'!J42-SUM(N39:AG39,AX39))-('GHG Emissions'!I42-SUM(AH39:AW39))),0),'GHG Emissions'!N42-SUM(L39:M39))</f>
        <v>#REF!</v>
      </c>
      <c r="G39" s="123" t="e">
        <f ca="1">IF(H39=0,MAX('GHG Emissions'!J42-SUM(N39:AG39,AX39)-(I39-('GHG Emissions'!I42-SUM(AH39:AW39))),0),'GHG Emissions'!J42-SUM(N39:AG39,AX39))</f>
        <v>#REF!</v>
      </c>
      <c r="H39" s="123" t="e">
        <f ca="1">IF(I39=0,'GHG Emissions'!I42-SUM(AH39:AW39),MAX('GHG Emissions'!I42-SUM(AH39:AW39)-I39,0))</f>
        <v>#REF!</v>
      </c>
      <c r="I39" s="123">
        <f t="shared" ca="1" si="10"/>
        <v>0</v>
      </c>
      <c r="J39" s="123" t="e">
        <f t="shared" ca="1" si="3"/>
        <v>#REF!</v>
      </c>
      <c r="K39" s="123" t="e">
        <f t="shared" ca="1" si="3"/>
        <v>#REF!</v>
      </c>
      <c r="L39" s="123">
        <f t="shared" ca="1" si="3"/>
        <v>0</v>
      </c>
      <c r="M39" s="123">
        <f t="shared" ca="1" si="4"/>
        <v>0</v>
      </c>
      <c r="N39" s="123" t="e">
        <f t="shared" ref="N39:AC49" ca="1" si="17">-OFFSET(Abatement_Scope_2,$A39-$A$8,N$2)*N$51</f>
        <v>#REF!</v>
      </c>
      <c r="O39" s="123" t="e">
        <f t="shared" ca="1" si="17"/>
        <v>#REF!</v>
      </c>
      <c r="P39" s="123" t="e">
        <f t="shared" ca="1" si="17"/>
        <v>#REF!</v>
      </c>
      <c r="Q39" s="123">
        <f t="shared" ca="1" si="17"/>
        <v>3803.7102431636122</v>
      </c>
      <c r="R39" s="123">
        <f t="shared" ca="1" si="17"/>
        <v>0</v>
      </c>
      <c r="S39" s="123">
        <f t="shared" ca="1" si="14"/>
        <v>0</v>
      </c>
      <c r="T39" s="123">
        <f t="shared" ca="1" si="14"/>
        <v>497.52640520481702</v>
      </c>
      <c r="U39" s="123">
        <f t="shared" ca="1" si="14"/>
        <v>5421.6452753228559</v>
      </c>
      <c r="V39" s="123">
        <f t="shared" ca="1" si="14"/>
        <v>23104.469621227996</v>
      </c>
      <c r="W39" s="123">
        <f t="shared" ca="1" si="14"/>
        <v>62357.389065132607</v>
      </c>
      <c r="X39" s="123">
        <f t="shared" ca="1" si="14"/>
        <v>18140.685271441605</v>
      </c>
      <c r="Y39" s="123">
        <f t="shared" ca="1" si="14"/>
        <v>0</v>
      </c>
      <c r="Z39" s="123">
        <f t="shared" ca="1" si="14"/>
        <v>42.106365709288561</v>
      </c>
      <c r="AA39" s="123">
        <f t="shared" ca="1" si="14"/>
        <v>1361.6171263411916</v>
      </c>
      <c r="AB39" s="123">
        <f t="shared" ca="1" si="14"/>
        <v>10082.241603025503</v>
      </c>
      <c r="AC39" s="123">
        <f t="shared" ca="1" si="14"/>
        <v>13213.549505801528</v>
      </c>
      <c r="AD39" s="123">
        <f t="shared" ca="1" si="16"/>
        <v>13710.13521560043</v>
      </c>
      <c r="AE39" s="123">
        <f t="shared" ca="1" si="16"/>
        <v>124.43697824242066</v>
      </c>
      <c r="AF39" s="123">
        <f t="shared" ca="1" si="16"/>
        <v>8710.5884769694476</v>
      </c>
      <c r="AG39" s="123">
        <f t="shared" ca="1" si="16"/>
        <v>35512.836256398594</v>
      </c>
      <c r="AH39" s="123" t="e">
        <f t="shared" ref="AH39:AW49" ca="1" si="18">-OFFSET(Abatement_Scope_1,$A39-$A$8,AH$2)*AH$51</f>
        <v>#REF!</v>
      </c>
      <c r="AI39" s="123" t="e">
        <f t="shared" ca="1" si="15"/>
        <v>#REF!</v>
      </c>
      <c r="AJ39" s="123" t="e">
        <f t="shared" ca="1" si="15"/>
        <v>#REF!</v>
      </c>
      <c r="AK39" s="123">
        <f t="shared" ca="1" si="15"/>
        <v>0</v>
      </c>
      <c r="AL39" s="123">
        <f t="shared" ca="1" si="15"/>
        <v>0</v>
      </c>
      <c r="AM39" s="123">
        <f t="shared" ca="1" si="15"/>
        <v>0</v>
      </c>
      <c r="AN39" s="123">
        <f t="shared" ca="1" si="15"/>
        <v>0</v>
      </c>
      <c r="AO39" s="123">
        <f t="shared" ca="1" si="15"/>
        <v>0</v>
      </c>
      <c r="AP39" s="123">
        <f t="shared" ca="1" si="15"/>
        <v>0</v>
      </c>
      <c r="AQ39" s="123">
        <f t="shared" ca="1" si="15"/>
        <v>0</v>
      </c>
      <c r="AR39" s="123">
        <f t="shared" ca="1" si="15"/>
        <v>0</v>
      </c>
      <c r="AS39" s="123">
        <f t="shared" ca="1" si="15"/>
        <v>0</v>
      </c>
      <c r="AT39" s="123">
        <f t="shared" ca="1" si="18"/>
        <v>0</v>
      </c>
      <c r="AU39" s="123">
        <f t="shared" ca="1" si="18"/>
        <v>0</v>
      </c>
      <c r="AV39" s="123">
        <f t="shared" ca="1" si="18"/>
        <v>0</v>
      </c>
      <c r="AW39" s="123">
        <f t="shared" ca="1" si="18"/>
        <v>0</v>
      </c>
      <c r="AX39" s="123" t="e">
        <f>-#REF!*$AX$51</f>
        <v>#REF!</v>
      </c>
    </row>
    <row r="40" spans="1:50">
      <c r="A40">
        <f t="shared" si="2"/>
        <v>2041</v>
      </c>
      <c r="B40" s="123">
        <f ca="1">ExposureCalculations!G47</f>
        <v>361368.25810812588</v>
      </c>
      <c r="C40" s="123">
        <f t="shared" ca="1" si="8"/>
        <v>57779.655344170882</v>
      </c>
      <c r="D40" s="123" t="e">
        <f t="shared" ca="1" si="9"/>
        <v>#REF!</v>
      </c>
      <c r="E40" s="123" t="e">
        <f ca="1">IF(F40=0,MAX(SUM('GHG Emissions'!P43:T43)-SUM(J40:K40)-(I40-('GHG Emissions'!N43-SUM(L40:M40))-('GHG Emissions'!J43-SUM(N40:AG40,AX40))-('GHG Emissions'!I43-SUM(AH40:AW40))),0),SUM('GHG Emissions'!P43:T43)-SUM(J40:K40))</f>
        <v>#REF!</v>
      </c>
      <c r="F40" s="123" t="e">
        <f ca="1">IF(G40=0,MAX('GHG Emissions'!N43-SUM(L40:M40)-(I40-('GHG Emissions'!J43-SUM(N40:AG40,AX40))-('GHG Emissions'!I43-SUM(AH40:AW40))),0),'GHG Emissions'!N43-SUM(L40:M40))</f>
        <v>#REF!</v>
      </c>
      <c r="G40" s="123" t="e">
        <f ca="1">IF(H40=0,MAX('GHG Emissions'!J43-SUM(N40:AG40,AX40)-(I40-('GHG Emissions'!I43-SUM(AH40:AW40))),0),'GHG Emissions'!J43-SUM(N40:AG40,AX40))</f>
        <v>#REF!</v>
      </c>
      <c r="H40" s="123" t="e">
        <f ca="1">IF(I40=0,'GHG Emissions'!I43-SUM(AH40:AW40),MAX('GHG Emissions'!I43-SUM(AH40:AW40)-I40,0))</f>
        <v>#REF!</v>
      </c>
      <c r="I40" s="123">
        <f t="shared" ca="1" si="10"/>
        <v>0</v>
      </c>
      <c r="J40" s="123" t="e">
        <f t="shared" ca="1" si="3"/>
        <v>#REF!</v>
      </c>
      <c r="K40" s="123" t="e">
        <f t="shared" ca="1" si="3"/>
        <v>#REF!</v>
      </c>
      <c r="L40" s="123">
        <f t="shared" ca="1" si="3"/>
        <v>0</v>
      </c>
      <c r="M40" s="123">
        <f t="shared" ca="1" si="4"/>
        <v>0</v>
      </c>
      <c r="N40" s="123" t="e">
        <f t="shared" ca="1" si="17"/>
        <v>#REF!</v>
      </c>
      <c r="O40" s="123" t="e">
        <f t="shared" ca="1" si="17"/>
        <v>#REF!</v>
      </c>
      <c r="P40" s="123" t="e">
        <f t="shared" ca="1" si="17"/>
        <v>#REF!</v>
      </c>
      <c r="Q40" s="123">
        <f t="shared" ca="1" si="17"/>
        <v>3798.9991606510753</v>
      </c>
      <c r="R40" s="123">
        <f t="shared" ca="1" si="17"/>
        <v>0</v>
      </c>
      <c r="S40" s="123">
        <f t="shared" ca="1" si="14"/>
        <v>0</v>
      </c>
      <c r="T40" s="123">
        <f t="shared" ca="1" si="14"/>
        <v>497.52640520481702</v>
      </c>
      <c r="U40" s="123">
        <f t="shared" ca="1" si="14"/>
        <v>5421.6452753228559</v>
      </c>
      <c r="V40" s="123">
        <f t="shared" ca="1" si="14"/>
        <v>23306.393776970261</v>
      </c>
      <c r="W40" s="123">
        <f t="shared" ca="1" si="14"/>
        <v>64368.91774465303</v>
      </c>
      <c r="X40" s="123">
        <f t="shared" ca="1" si="14"/>
        <v>18586.97917002024</v>
      </c>
      <c r="Y40" s="123">
        <f t="shared" ca="1" si="14"/>
        <v>0</v>
      </c>
      <c r="Z40" s="123">
        <f t="shared" ca="1" si="14"/>
        <v>42.106365709288561</v>
      </c>
      <c r="AA40" s="123">
        <f t="shared" ca="1" si="14"/>
        <v>1361.6171263411916</v>
      </c>
      <c r="AB40" s="123">
        <f t="shared" ca="1" si="14"/>
        <v>10082.241603025503</v>
      </c>
      <c r="AC40" s="123">
        <f t="shared" ca="1" si="14"/>
        <v>13213.549505801528</v>
      </c>
      <c r="AD40" s="123">
        <f t="shared" ca="1" si="16"/>
        <v>13710.13521560043</v>
      </c>
      <c r="AE40" s="123">
        <f t="shared" ca="1" si="16"/>
        <v>124.43697824242066</v>
      </c>
      <c r="AF40" s="123">
        <f t="shared" ca="1" si="16"/>
        <v>8710.5884769694476</v>
      </c>
      <c r="AG40" s="123">
        <f t="shared" ca="1" si="16"/>
        <v>35512.836256398594</v>
      </c>
      <c r="AH40" s="123" t="e">
        <f t="shared" ca="1" si="18"/>
        <v>#REF!</v>
      </c>
      <c r="AI40" s="123" t="e">
        <f t="shared" ca="1" si="15"/>
        <v>#REF!</v>
      </c>
      <c r="AJ40" s="123" t="e">
        <f t="shared" ca="1" si="15"/>
        <v>#REF!</v>
      </c>
      <c r="AK40" s="123">
        <f t="shared" ca="1" si="15"/>
        <v>0</v>
      </c>
      <c r="AL40" s="123">
        <f t="shared" ca="1" si="15"/>
        <v>0</v>
      </c>
      <c r="AM40" s="123">
        <f t="shared" ca="1" si="15"/>
        <v>0</v>
      </c>
      <c r="AN40" s="123">
        <f t="shared" ca="1" si="15"/>
        <v>0</v>
      </c>
      <c r="AO40" s="123">
        <f t="shared" ca="1" si="15"/>
        <v>0</v>
      </c>
      <c r="AP40" s="123">
        <f t="shared" ca="1" si="15"/>
        <v>0</v>
      </c>
      <c r="AQ40" s="123">
        <f t="shared" ca="1" si="15"/>
        <v>0</v>
      </c>
      <c r="AR40" s="123">
        <f t="shared" ca="1" si="15"/>
        <v>0</v>
      </c>
      <c r="AS40" s="123">
        <f t="shared" ca="1" si="15"/>
        <v>0</v>
      </c>
      <c r="AT40" s="123">
        <f t="shared" ca="1" si="18"/>
        <v>0</v>
      </c>
      <c r="AU40" s="123">
        <f t="shared" ca="1" si="18"/>
        <v>0</v>
      </c>
      <c r="AV40" s="123">
        <f t="shared" ca="1" si="18"/>
        <v>0</v>
      </c>
      <c r="AW40" s="123">
        <f t="shared" ca="1" si="18"/>
        <v>0</v>
      </c>
      <c r="AX40" s="123" t="e">
        <f>-#REF!*$AX$51</f>
        <v>#REF!</v>
      </c>
    </row>
    <row r="41" spans="1:50">
      <c r="A41">
        <f t="shared" si="2"/>
        <v>2042</v>
      </c>
      <c r="B41" s="123">
        <f ca="1">ExposureCalculations!G48</f>
        <v>364177.33663181978</v>
      </c>
      <c r="C41" s="123">
        <f t="shared" ca="1" si="8"/>
        <v>51359.693639263023</v>
      </c>
      <c r="D41" s="123" t="e">
        <f t="shared" ca="1" si="9"/>
        <v>#REF!</v>
      </c>
      <c r="E41" s="123" t="e">
        <f ca="1">IF(F41=0,MAX(SUM('GHG Emissions'!P44:T44)-SUM(J41:K41)-(I41-('GHG Emissions'!N44-SUM(L41:M41))-('GHG Emissions'!J44-SUM(N41:AG41,AX41))-('GHG Emissions'!I44-SUM(AH41:AW41))),0),SUM('GHG Emissions'!P44:T44)-SUM(J41:K41))</f>
        <v>#REF!</v>
      </c>
      <c r="F41" s="123" t="e">
        <f ca="1">IF(G41=0,MAX('GHG Emissions'!N44-SUM(L41:M41)-(I41-('GHG Emissions'!J44-SUM(N41:AG41,AX41))-('GHG Emissions'!I44-SUM(AH41:AW41))),0),'GHG Emissions'!N44-SUM(L41:M41))</f>
        <v>#REF!</v>
      </c>
      <c r="G41" s="123" t="e">
        <f ca="1">IF(H41=0,MAX('GHG Emissions'!J44-SUM(N41:AG41,AX41)-(I41-('GHG Emissions'!I44-SUM(AH41:AW41))),0),'GHG Emissions'!J44-SUM(N41:AG41,AX41))</f>
        <v>#REF!</v>
      </c>
      <c r="H41" s="123" t="e">
        <f ca="1">IF(I41=0,'GHG Emissions'!I44-SUM(AH41:AW41),MAX('GHG Emissions'!I44-SUM(AH41:AW41)-I41,0))</f>
        <v>#REF!</v>
      </c>
      <c r="I41" s="123">
        <f t="shared" ca="1" si="10"/>
        <v>0</v>
      </c>
      <c r="J41" s="123" t="e">
        <f t="shared" ca="1" si="3"/>
        <v>#REF!</v>
      </c>
      <c r="K41" s="123" t="e">
        <f t="shared" ca="1" si="3"/>
        <v>#REF!</v>
      </c>
      <c r="L41" s="123">
        <f t="shared" ca="1" si="3"/>
        <v>0</v>
      </c>
      <c r="M41" s="123">
        <f t="shared" ca="1" si="4"/>
        <v>0</v>
      </c>
      <c r="N41" s="123" t="e">
        <f t="shared" ca="1" si="17"/>
        <v>#REF!</v>
      </c>
      <c r="O41" s="123" t="e">
        <f t="shared" ca="1" si="17"/>
        <v>#REF!</v>
      </c>
      <c r="P41" s="123" t="e">
        <f t="shared" ca="1" si="17"/>
        <v>#REF!</v>
      </c>
      <c r="Q41" s="123">
        <f t="shared" ca="1" si="17"/>
        <v>3794.2634758034219</v>
      </c>
      <c r="R41" s="123">
        <f t="shared" ca="1" si="17"/>
        <v>0</v>
      </c>
      <c r="S41" s="123">
        <f t="shared" ca="1" si="14"/>
        <v>0</v>
      </c>
      <c r="T41" s="123">
        <f t="shared" ca="1" si="14"/>
        <v>497.52640520481702</v>
      </c>
      <c r="U41" s="123">
        <f t="shared" ca="1" si="14"/>
        <v>5421.6452753228559</v>
      </c>
      <c r="V41" s="123">
        <f t="shared" ca="1" si="14"/>
        <v>23508.317932712511</v>
      </c>
      <c r="W41" s="123">
        <f t="shared" ca="1" si="14"/>
        <v>66380.446424173453</v>
      </c>
      <c r="X41" s="123">
        <f t="shared" ca="1" si="14"/>
        <v>19033.847405909608</v>
      </c>
      <c r="Y41" s="123">
        <f t="shared" ca="1" si="14"/>
        <v>0</v>
      </c>
      <c r="Z41" s="123">
        <f t="shared" ca="1" si="14"/>
        <v>42.106365709288561</v>
      </c>
      <c r="AA41" s="123">
        <f t="shared" ca="1" si="14"/>
        <v>1361.6171263411916</v>
      </c>
      <c r="AB41" s="123">
        <f t="shared" ca="1" si="14"/>
        <v>10082.241603025503</v>
      </c>
      <c r="AC41" s="123">
        <f t="shared" ca="1" si="14"/>
        <v>13213.549505801528</v>
      </c>
      <c r="AD41" s="123">
        <f t="shared" ca="1" si="16"/>
        <v>13710.13521560043</v>
      </c>
      <c r="AE41" s="123">
        <f t="shared" ca="1" si="16"/>
        <v>124.43697824242066</v>
      </c>
      <c r="AF41" s="123">
        <f t="shared" ca="1" si="16"/>
        <v>8710.5884769694476</v>
      </c>
      <c r="AG41" s="123">
        <f t="shared" ca="1" si="16"/>
        <v>35512.836256398594</v>
      </c>
      <c r="AH41" s="123" t="e">
        <f t="shared" ca="1" si="18"/>
        <v>#REF!</v>
      </c>
      <c r="AI41" s="123" t="e">
        <f t="shared" ca="1" si="15"/>
        <v>#REF!</v>
      </c>
      <c r="AJ41" s="123" t="e">
        <f t="shared" ca="1" si="15"/>
        <v>#REF!</v>
      </c>
      <c r="AK41" s="123">
        <f t="shared" ca="1" si="15"/>
        <v>0</v>
      </c>
      <c r="AL41" s="123">
        <f t="shared" ca="1" si="15"/>
        <v>0</v>
      </c>
      <c r="AM41" s="123">
        <f t="shared" ca="1" si="15"/>
        <v>0</v>
      </c>
      <c r="AN41" s="123">
        <f t="shared" ca="1" si="15"/>
        <v>0</v>
      </c>
      <c r="AO41" s="123">
        <f t="shared" ca="1" si="15"/>
        <v>0</v>
      </c>
      <c r="AP41" s="123">
        <f t="shared" ca="1" si="15"/>
        <v>0</v>
      </c>
      <c r="AQ41" s="123">
        <f t="shared" ca="1" si="15"/>
        <v>0</v>
      </c>
      <c r="AR41" s="123">
        <f t="shared" ca="1" si="15"/>
        <v>0</v>
      </c>
      <c r="AS41" s="123">
        <f t="shared" ca="1" si="15"/>
        <v>0</v>
      </c>
      <c r="AT41" s="123">
        <f t="shared" ca="1" si="18"/>
        <v>0</v>
      </c>
      <c r="AU41" s="123">
        <f t="shared" ca="1" si="18"/>
        <v>0</v>
      </c>
      <c r="AV41" s="123">
        <f t="shared" ca="1" si="18"/>
        <v>0</v>
      </c>
      <c r="AW41" s="123">
        <f t="shared" ca="1" si="18"/>
        <v>0</v>
      </c>
      <c r="AX41" s="123" t="e">
        <f>-#REF!*$AX$51</f>
        <v>#REF!</v>
      </c>
    </row>
    <row r="42" spans="1:50">
      <c r="A42">
        <f t="shared" si="2"/>
        <v>2043</v>
      </c>
      <c r="B42" s="123">
        <f ca="1">ExposureCalculations!G49</f>
        <v>366985.91778928402</v>
      </c>
      <c r="C42" s="123">
        <f t="shared" ca="1" si="8"/>
        <v>44939.731934355164</v>
      </c>
      <c r="D42" s="123" t="e">
        <f t="shared" ca="1" si="9"/>
        <v>#REF!</v>
      </c>
      <c r="E42" s="123" t="e">
        <f ca="1">IF(F42=0,MAX(SUM('GHG Emissions'!P45:T45)-SUM(J42:K42)-(I42-('GHG Emissions'!N45-SUM(L42:M42))-('GHG Emissions'!J45-SUM(N42:AG42,AX42))-('GHG Emissions'!I45-SUM(AH42:AW42))),0),SUM('GHG Emissions'!P45:T45)-SUM(J42:K42))</f>
        <v>#REF!</v>
      </c>
      <c r="F42" s="123" t="e">
        <f ca="1">IF(G42=0,MAX('GHG Emissions'!N45-SUM(L42:M42)-(I42-('GHG Emissions'!J45-SUM(N42:AG42,AX42))-('GHG Emissions'!I45-SUM(AH42:AW42))),0),'GHG Emissions'!N45-SUM(L42:M42))</f>
        <v>#REF!</v>
      </c>
      <c r="G42" s="123" t="e">
        <f ca="1">IF(H42=0,MAX('GHG Emissions'!J45-SUM(N42:AG42,AX42)-(I42-('GHG Emissions'!I45-SUM(AH42:AW42))),0),'GHG Emissions'!J45-SUM(N42:AG42,AX42))</f>
        <v>#REF!</v>
      </c>
      <c r="H42" s="123" t="e">
        <f ca="1">IF(I42=0,'GHG Emissions'!I45-SUM(AH42:AW42),MAX('GHG Emissions'!I45-SUM(AH42:AW42)-I42,0))</f>
        <v>#REF!</v>
      </c>
      <c r="I42" s="123">
        <f t="shared" ca="1" si="10"/>
        <v>0</v>
      </c>
      <c r="J42" s="123" t="e">
        <f t="shared" ca="1" si="3"/>
        <v>#REF!</v>
      </c>
      <c r="K42" s="123" t="e">
        <f t="shared" ca="1" si="3"/>
        <v>#REF!</v>
      </c>
      <c r="L42" s="123">
        <f t="shared" ca="1" si="3"/>
        <v>0</v>
      </c>
      <c r="M42" s="123">
        <f t="shared" ca="1" si="4"/>
        <v>0</v>
      </c>
      <c r="N42" s="123" t="e">
        <f t="shared" ca="1" si="17"/>
        <v>#REF!</v>
      </c>
      <c r="O42" s="123" t="e">
        <f t="shared" ca="1" si="17"/>
        <v>#REF!</v>
      </c>
      <c r="P42" s="123" t="e">
        <f t="shared" ca="1" si="17"/>
        <v>#REF!</v>
      </c>
      <c r="Q42" s="123">
        <f t="shared" ca="1" si="17"/>
        <v>3789.5038171851834</v>
      </c>
      <c r="R42" s="123">
        <f t="shared" ca="1" si="17"/>
        <v>0</v>
      </c>
      <c r="S42" s="123">
        <f t="shared" ca="1" si="14"/>
        <v>0</v>
      </c>
      <c r="T42" s="123">
        <f t="shared" ca="1" si="14"/>
        <v>497.52640520481702</v>
      </c>
      <c r="U42" s="123">
        <f t="shared" ca="1" si="14"/>
        <v>5421.6452753228559</v>
      </c>
      <c r="V42" s="123">
        <f t="shared" ca="1" si="14"/>
        <v>23710.242088454761</v>
      </c>
      <c r="W42" s="123">
        <f t="shared" ca="1" si="14"/>
        <v>68391.97510369384</v>
      </c>
      <c r="X42" s="123">
        <f t="shared" ca="1" si="14"/>
        <v>19481.275305378116</v>
      </c>
      <c r="Y42" s="123">
        <f t="shared" ca="1" si="14"/>
        <v>0</v>
      </c>
      <c r="Z42" s="123">
        <f t="shared" ca="1" si="14"/>
        <v>42.106365709288561</v>
      </c>
      <c r="AA42" s="123">
        <f t="shared" ca="1" si="14"/>
        <v>1361.6171263411916</v>
      </c>
      <c r="AB42" s="123">
        <f t="shared" ca="1" si="14"/>
        <v>10082.241603025503</v>
      </c>
      <c r="AC42" s="123">
        <f t="shared" ca="1" si="14"/>
        <v>13213.549505801528</v>
      </c>
      <c r="AD42" s="123">
        <f t="shared" ca="1" si="16"/>
        <v>13710.13521560043</v>
      </c>
      <c r="AE42" s="123">
        <f t="shared" ca="1" si="16"/>
        <v>124.43697824242066</v>
      </c>
      <c r="AF42" s="123">
        <f t="shared" ca="1" si="16"/>
        <v>8710.5884769694476</v>
      </c>
      <c r="AG42" s="123">
        <f t="shared" ca="1" si="16"/>
        <v>35512.836256398594</v>
      </c>
      <c r="AH42" s="123" t="e">
        <f t="shared" ca="1" si="18"/>
        <v>#REF!</v>
      </c>
      <c r="AI42" s="123" t="e">
        <f t="shared" ca="1" si="15"/>
        <v>#REF!</v>
      </c>
      <c r="AJ42" s="123" t="e">
        <f t="shared" ca="1" si="15"/>
        <v>#REF!</v>
      </c>
      <c r="AK42" s="123">
        <f t="shared" ca="1" si="15"/>
        <v>0</v>
      </c>
      <c r="AL42" s="123">
        <f t="shared" ca="1" si="15"/>
        <v>0</v>
      </c>
      <c r="AM42" s="123">
        <f t="shared" ca="1" si="15"/>
        <v>0</v>
      </c>
      <c r="AN42" s="123">
        <f t="shared" ca="1" si="15"/>
        <v>0</v>
      </c>
      <c r="AO42" s="123">
        <f t="shared" ca="1" si="15"/>
        <v>0</v>
      </c>
      <c r="AP42" s="123">
        <f t="shared" ca="1" si="15"/>
        <v>0</v>
      </c>
      <c r="AQ42" s="123">
        <f t="shared" ca="1" si="15"/>
        <v>0</v>
      </c>
      <c r="AR42" s="123">
        <f t="shared" ca="1" si="15"/>
        <v>0</v>
      </c>
      <c r="AS42" s="123">
        <f t="shared" ca="1" si="15"/>
        <v>0</v>
      </c>
      <c r="AT42" s="123">
        <f t="shared" ca="1" si="18"/>
        <v>0</v>
      </c>
      <c r="AU42" s="123">
        <f t="shared" ca="1" si="18"/>
        <v>0</v>
      </c>
      <c r="AV42" s="123">
        <f t="shared" ca="1" si="18"/>
        <v>0</v>
      </c>
      <c r="AW42" s="123">
        <f t="shared" ca="1" si="18"/>
        <v>0</v>
      </c>
      <c r="AX42" s="123" t="e">
        <f>-#REF!*$AX$51</f>
        <v>#REF!</v>
      </c>
    </row>
    <row r="43" spans="1:50">
      <c r="A43">
        <f t="shared" si="2"/>
        <v>2044</v>
      </c>
      <c r="B43" s="123">
        <f ca="1">ExposureCalculations!G50</f>
        <v>369794.02336960268</v>
      </c>
      <c r="C43" s="123">
        <f t="shared" ca="1" si="8"/>
        <v>38519.770229447306</v>
      </c>
      <c r="D43" s="123" t="e">
        <f t="shared" ca="1" si="9"/>
        <v>#REF!</v>
      </c>
      <c r="E43" s="123" t="e">
        <f ca="1">IF(F43=0,MAX(SUM('GHG Emissions'!P46:T46)-SUM(J43:K43)-(I43-('GHG Emissions'!N46-SUM(L43:M43))-('GHG Emissions'!J46-SUM(N43:AG43,AX43))-('GHG Emissions'!I46-SUM(AH43:AW43))),0),SUM('GHG Emissions'!P46:T46)-SUM(J43:K43))</f>
        <v>#REF!</v>
      </c>
      <c r="F43" s="123" t="e">
        <f ca="1">IF(G43=0,MAX('GHG Emissions'!N46-SUM(L43:M43)-(I43-('GHG Emissions'!J46-SUM(N43:AG43,AX43))-('GHG Emissions'!I46-SUM(AH43:AW43))),0),'GHG Emissions'!N46-SUM(L43:M43))</f>
        <v>#REF!</v>
      </c>
      <c r="G43" s="123" t="e">
        <f ca="1">IF(H43=0,MAX('GHG Emissions'!J46-SUM(N43:AG43,AX43)-(I43-('GHG Emissions'!I46-SUM(AH43:AW43))),0),'GHG Emissions'!J46-SUM(N43:AG43,AX43))</f>
        <v>#REF!</v>
      </c>
      <c r="H43" s="123" t="e">
        <f ca="1">IF(I43=0,'GHG Emissions'!I46-SUM(AH43:AW43),MAX('GHG Emissions'!I46-SUM(AH43:AW43)-I43,0))</f>
        <v>#REF!</v>
      </c>
      <c r="I43" s="123">
        <f t="shared" ca="1" si="10"/>
        <v>0</v>
      </c>
      <c r="J43" s="123" t="e">
        <f t="shared" ca="1" si="3"/>
        <v>#REF!</v>
      </c>
      <c r="K43" s="123" t="e">
        <f t="shared" ca="1" si="3"/>
        <v>#REF!</v>
      </c>
      <c r="L43" s="123">
        <f t="shared" ca="1" si="3"/>
        <v>0</v>
      </c>
      <c r="M43" s="123">
        <f t="shared" ca="1" si="4"/>
        <v>0</v>
      </c>
      <c r="N43" s="123" t="e">
        <f t="shared" ca="1" si="17"/>
        <v>#REF!</v>
      </c>
      <c r="O43" s="123" t="e">
        <f t="shared" ca="1" si="17"/>
        <v>#REF!</v>
      </c>
      <c r="P43" s="123" t="e">
        <f t="shared" ca="1" si="17"/>
        <v>#REF!</v>
      </c>
      <c r="Q43" s="123">
        <f t="shared" ca="1" si="17"/>
        <v>3784.7207921294653</v>
      </c>
      <c r="R43" s="123">
        <f t="shared" ca="1" si="17"/>
        <v>0</v>
      </c>
      <c r="S43" s="123">
        <f t="shared" ca="1" si="14"/>
        <v>0</v>
      </c>
      <c r="T43" s="123">
        <f t="shared" ca="1" si="14"/>
        <v>497.52640520481702</v>
      </c>
      <c r="U43" s="123">
        <f t="shared" ca="1" si="14"/>
        <v>5421.6452753228559</v>
      </c>
      <c r="V43" s="123">
        <f t="shared" ca="1" si="14"/>
        <v>23912.166244197026</v>
      </c>
      <c r="W43" s="123">
        <f t="shared" ca="1" si="14"/>
        <v>70403.503783214255</v>
      </c>
      <c r="X43" s="123">
        <f t="shared" ca="1" si="14"/>
        <v>19929.24869033814</v>
      </c>
      <c r="Y43" s="123">
        <f t="shared" ca="1" si="14"/>
        <v>0</v>
      </c>
      <c r="Z43" s="123">
        <f t="shared" ca="1" si="14"/>
        <v>42.106365709288561</v>
      </c>
      <c r="AA43" s="123">
        <f t="shared" ca="1" si="14"/>
        <v>1361.6171263411916</v>
      </c>
      <c r="AB43" s="123">
        <f t="shared" ca="1" si="14"/>
        <v>10082.241603025503</v>
      </c>
      <c r="AC43" s="123">
        <f t="shared" ca="1" si="14"/>
        <v>13213.549505801528</v>
      </c>
      <c r="AD43" s="123">
        <f t="shared" ca="1" si="16"/>
        <v>13710.13521560043</v>
      </c>
      <c r="AE43" s="123">
        <f t="shared" ca="1" si="16"/>
        <v>124.43697824242066</v>
      </c>
      <c r="AF43" s="123">
        <f t="shared" ca="1" si="16"/>
        <v>8710.5884769694476</v>
      </c>
      <c r="AG43" s="123">
        <f t="shared" ca="1" si="16"/>
        <v>35512.836256398594</v>
      </c>
      <c r="AH43" s="123" t="e">
        <f t="shared" ca="1" si="18"/>
        <v>#REF!</v>
      </c>
      <c r="AI43" s="123" t="e">
        <f t="shared" ca="1" si="15"/>
        <v>#REF!</v>
      </c>
      <c r="AJ43" s="123" t="e">
        <f t="shared" ca="1" si="15"/>
        <v>#REF!</v>
      </c>
      <c r="AK43" s="123">
        <f t="shared" ca="1" si="15"/>
        <v>0</v>
      </c>
      <c r="AL43" s="123">
        <f t="shared" ca="1" si="15"/>
        <v>0</v>
      </c>
      <c r="AM43" s="123">
        <f t="shared" ca="1" si="15"/>
        <v>0</v>
      </c>
      <c r="AN43" s="123">
        <f t="shared" ca="1" si="15"/>
        <v>0</v>
      </c>
      <c r="AO43" s="123">
        <f t="shared" ca="1" si="15"/>
        <v>0</v>
      </c>
      <c r="AP43" s="123">
        <f t="shared" ca="1" si="15"/>
        <v>0</v>
      </c>
      <c r="AQ43" s="123">
        <f t="shared" ca="1" si="15"/>
        <v>0</v>
      </c>
      <c r="AR43" s="123">
        <f t="shared" ca="1" si="15"/>
        <v>0</v>
      </c>
      <c r="AS43" s="123">
        <f t="shared" ca="1" si="15"/>
        <v>0</v>
      </c>
      <c r="AT43" s="123">
        <f t="shared" ca="1" si="18"/>
        <v>0</v>
      </c>
      <c r="AU43" s="123">
        <f t="shared" ca="1" si="18"/>
        <v>0</v>
      </c>
      <c r="AV43" s="123">
        <f t="shared" ca="1" si="18"/>
        <v>0</v>
      </c>
      <c r="AW43" s="123">
        <f t="shared" ca="1" si="18"/>
        <v>0</v>
      </c>
      <c r="AX43" s="123" t="e">
        <f>-#REF!*$AX$51</f>
        <v>#REF!</v>
      </c>
    </row>
    <row r="44" spans="1:50">
      <c r="A44">
        <f t="shared" si="2"/>
        <v>2045</v>
      </c>
      <c r="B44" s="123">
        <f ca="1">ExposureCalculations!G51</f>
        <v>372601.67361595959</v>
      </c>
      <c r="C44" s="123">
        <f t="shared" ca="1" si="8"/>
        <v>32099.808524539447</v>
      </c>
      <c r="D44" s="123" t="e">
        <f t="shared" ca="1" si="9"/>
        <v>#REF!</v>
      </c>
      <c r="E44" s="123" t="e">
        <f ca="1">IF(F44=0,MAX(SUM('GHG Emissions'!P47:T47)-SUM(J44:K44)-(I44-('GHG Emissions'!N47-SUM(L44:M44))-('GHG Emissions'!J47-SUM(N44:AG44,AX44))-('GHG Emissions'!I47-SUM(AH44:AW44))),0),SUM('GHG Emissions'!P47:T47)-SUM(J44:K44))</f>
        <v>#REF!</v>
      </c>
      <c r="F44" s="123" t="e">
        <f ca="1">IF(G44=0,MAX('GHG Emissions'!N47-SUM(L44:M44)-(I44-('GHG Emissions'!J47-SUM(N44:AG44,AX44))-('GHG Emissions'!I47-SUM(AH44:AW44))),0),'GHG Emissions'!N47-SUM(L44:M44))</f>
        <v>#REF!</v>
      </c>
      <c r="G44" s="123" t="e">
        <f ca="1">IF(H44=0,MAX('GHG Emissions'!J47-SUM(N44:AG44,AX44)-(I44-('GHG Emissions'!I47-SUM(AH44:AW44))),0),'GHG Emissions'!J47-SUM(N44:AG44,AX44))</f>
        <v>#REF!</v>
      </c>
      <c r="H44" s="123" t="e">
        <f ca="1">IF(I44=0,'GHG Emissions'!I47-SUM(AH44:AW44),MAX('GHG Emissions'!I47-SUM(AH44:AW44)-I44,0))</f>
        <v>#REF!</v>
      </c>
      <c r="I44" s="123">
        <f t="shared" ca="1" si="10"/>
        <v>0</v>
      </c>
      <c r="J44" s="123" t="e">
        <f t="shared" ca="1" si="3"/>
        <v>#REF!</v>
      </c>
      <c r="K44" s="123" t="e">
        <f t="shared" ca="1" si="3"/>
        <v>#REF!</v>
      </c>
      <c r="L44" s="123">
        <f t="shared" ca="1" si="3"/>
        <v>0</v>
      </c>
      <c r="M44" s="123">
        <f t="shared" ca="1" si="4"/>
        <v>0</v>
      </c>
      <c r="N44" s="123" t="e">
        <f t="shared" ca="1" si="17"/>
        <v>#REF!</v>
      </c>
      <c r="O44" s="123" t="e">
        <f t="shared" ca="1" si="17"/>
        <v>#REF!</v>
      </c>
      <c r="P44" s="123" t="e">
        <f t="shared" ca="1" si="17"/>
        <v>#REF!</v>
      </c>
      <c r="Q44" s="123">
        <f t="shared" ca="1" si="17"/>
        <v>3779.9149876268702</v>
      </c>
      <c r="R44" s="123">
        <f t="shared" ca="1" si="17"/>
        <v>0</v>
      </c>
      <c r="S44" s="123">
        <f t="shared" ca="1" si="14"/>
        <v>0</v>
      </c>
      <c r="T44" s="123">
        <f t="shared" ca="1" si="14"/>
        <v>497.52640520481702</v>
      </c>
      <c r="U44" s="123">
        <f t="shared" ca="1" si="14"/>
        <v>5421.6452753228559</v>
      </c>
      <c r="V44" s="123">
        <f t="shared" ca="1" si="14"/>
        <v>24114.090399939276</v>
      </c>
      <c r="W44" s="123">
        <f t="shared" ca="1" si="14"/>
        <v>72415.032462734671</v>
      </c>
      <c r="X44" s="123">
        <f t="shared" ca="1" si="14"/>
        <v>20377.753857594329</v>
      </c>
      <c r="Y44" s="123">
        <f t="shared" ca="1" si="14"/>
        <v>0</v>
      </c>
      <c r="Z44" s="123">
        <f t="shared" ca="1" si="14"/>
        <v>42.106365709288561</v>
      </c>
      <c r="AA44" s="123">
        <f t="shared" ca="1" si="14"/>
        <v>1361.6171263411916</v>
      </c>
      <c r="AB44" s="123">
        <f t="shared" ca="1" si="14"/>
        <v>10082.241603025503</v>
      </c>
      <c r="AC44" s="123">
        <f t="shared" ca="1" si="14"/>
        <v>13213.549505801528</v>
      </c>
      <c r="AD44" s="123">
        <f t="shared" ca="1" si="16"/>
        <v>13710.13521560043</v>
      </c>
      <c r="AE44" s="123">
        <f t="shared" ca="1" si="16"/>
        <v>124.43697824242066</v>
      </c>
      <c r="AF44" s="123">
        <f t="shared" ca="1" si="16"/>
        <v>8710.5884769694476</v>
      </c>
      <c r="AG44" s="123">
        <f t="shared" ca="1" si="16"/>
        <v>35512.836256398594</v>
      </c>
      <c r="AH44" s="123" t="e">
        <f t="shared" ca="1" si="18"/>
        <v>#REF!</v>
      </c>
      <c r="AI44" s="123" t="e">
        <f t="shared" ca="1" si="15"/>
        <v>#REF!</v>
      </c>
      <c r="AJ44" s="123" t="e">
        <f t="shared" ca="1" si="15"/>
        <v>#REF!</v>
      </c>
      <c r="AK44" s="123">
        <f t="shared" ca="1" si="15"/>
        <v>0</v>
      </c>
      <c r="AL44" s="123">
        <f t="shared" ca="1" si="15"/>
        <v>0</v>
      </c>
      <c r="AM44" s="123">
        <f t="shared" ca="1" si="15"/>
        <v>0</v>
      </c>
      <c r="AN44" s="123">
        <f t="shared" ca="1" si="15"/>
        <v>0</v>
      </c>
      <c r="AO44" s="123">
        <f t="shared" ca="1" si="15"/>
        <v>0</v>
      </c>
      <c r="AP44" s="123">
        <f t="shared" ca="1" si="15"/>
        <v>0</v>
      </c>
      <c r="AQ44" s="123">
        <f t="shared" ca="1" si="15"/>
        <v>0</v>
      </c>
      <c r="AR44" s="123">
        <f t="shared" ca="1" si="15"/>
        <v>0</v>
      </c>
      <c r="AS44" s="123">
        <f t="shared" ca="1" si="15"/>
        <v>0</v>
      </c>
      <c r="AT44" s="123">
        <f t="shared" ca="1" si="18"/>
        <v>0</v>
      </c>
      <c r="AU44" s="123">
        <f t="shared" ca="1" si="18"/>
        <v>0</v>
      </c>
      <c r="AV44" s="123">
        <f t="shared" ca="1" si="18"/>
        <v>0</v>
      </c>
      <c r="AW44" s="123">
        <f t="shared" ca="1" si="18"/>
        <v>0</v>
      </c>
      <c r="AX44" s="123" t="e">
        <f>-#REF!*$AX$51</f>
        <v>#REF!</v>
      </c>
    </row>
    <row r="45" spans="1:50">
      <c r="A45">
        <f t="shared" si="2"/>
        <v>2046</v>
      </c>
      <c r="B45" s="123">
        <f ca="1">ExposureCalculations!G52</f>
        <v>375408.887374966</v>
      </c>
      <c r="C45" s="123">
        <f t="shared" ca="1" si="8"/>
        <v>25679.846819631588</v>
      </c>
      <c r="D45" s="123" t="e">
        <f t="shared" ca="1" si="9"/>
        <v>#REF!</v>
      </c>
      <c r="E45" s="123" t="e">
        <f ca="1">IF(F45=0,MAX(SUM('GHG Emissions'!P48:T48)-SUM(J45:K45)-(I45-('GHG Emissions'!N48-SUM(L45:M45))-('GHG Emissions'!J48-SUM(N45:AG45,AX45))-('GHG Emissions'!I48-SUM(AH45:AW45))),0),SUM('GHG Emissions'!P48:T48)-SUM(J45:K45))</f>
        <v>#REF!</v>
      </c>
      <c r="F45" s="123" t="e">
        <f ca="1">IF(G45=0,MAX('GHG Emissions'!N48-SUM(L45:M45)-(I45-('GHG Emissions'!J48-SUM(N45:AG45,AX45))-('GHG Emissions'!I48-SUM(AH45:AW45))),0),'GHG Emissions'!N48-SUM(L45:M45))</f>
        <v>#REF!</v>
      </c>
      <c r="G45" s="123" t="e">
        <f ca="1">IF(H45=0,MAX('GHG Emissions'!J48-SUM(N45:AG45,AX45)-(I45-('GHG Emissions'!I48-SUM(AH45:AW45))),0),'GHG Emissions'!J48-SUM(N45:AG45,AX45))</f>
        <v>#REF!</v>
      </c>
      <c r="H45" s="123" t="e">
        <f ca="1">IF(I45=0,'GHG Emissions'!I48-SUM(AH45:AW45),MAX('GHG Emissions'!I48-SUM(AH45:AW45)-I45,0))</f>
        <v>#REF!</v>
      </c>
      <c r="I45" s="123">
        <f t="shared" ca="1" si="10"/>
        <v>0</v>
      </c>
      <c r="J45" s="123" t="e">
        <f t="shared" ca="1" si="3"/>
        <v>#REF!</v>
      </c>
      <c r="K45" s="123" t="e">
        <f t="shared" ca="1" si="3"/>
        <v>#REF!</v>
      </c>
      <c r="L45" s="123">
        <f t="shared" ca="1" si="3"/>
        <v>0</v>
      </c>
      <c r="M45" s="123">
        <f t="shared" ca="1" si="4"/>
        <v>0</v>
      </c>
      <c r="N45" s="123" t="e">
        <f t="shared" ca="1" si="17"/>
        <v>#REF!</v>
      </c>
      <c r="O45" s="123" t="e">
        <f t="shared" ca="1" si="17"/>
        <v>#REF!</v>
      </c>
      <c r="P45" s="123" t="e">
        <f t="shared" ca="1" si="17"/>
        <v>#REF!</v>
      </c>
      <c r="Q45" s="123">
        <f t="shared" ca="1" si="17"/>
        <v>3775.0869711701425</v>
      </c>
      <c r="R45" s="123">
        <f t="shared" ca="1" si="17"/>
        <v>0</v>
      </c>
      <c r="S45" s="123">
        <f t="shared" ca="1" si="17"/>
        <v>0</v>
      </c>
      <c r="T45" s="123">
        <f t="shared" ca="1" si="17"/>
        <v>497.52640520481702</v>
      </c>
      <c r="U45" s="123">
        <f t="shared" ca="1" si="17"/>
        <v>5421.6452753228559</v>
      </c>
      <c r="V45" s="123">
        <f t="shared" ca="1" si="17"/>
        <v>24316.014555681541</v>
      </c>
      <c r="W45" s="123">
        <f t="shared" ca="1" si="17"/>
        <v>74426.561142255057</v>
      </c>
      <c r="X45" s="123">
        <f t="shared" ca="1" si="17"/>
        <v>20826.777559125614</v>
      </c>
      <c r="Y45" s="123">
        <f t="shared" ca="1" si="17"/>
        <v>0</v>
      </c>
      <c r="Z45" s="123">
        <f t="shared" ca="1" si="17"/>
        <v>42.106365709288561</v>
      </c>
      <c r="AA45" s="123">
        <f t="shared" ca="1" si="17"/>
        <v>1361.6171263411916</v>
      </c>
      <c r="AB45" s="123">
        <f t="shared" ca="1" si="17"/>
        <v>10082.241603025503</v>
      </c>
      <c r="AC45" s="123">
        <f t="shared" ca="1" si="17"/>
        <v>13213.549505801528</v>
      </c>
      <c r="AD45" s="123">
        <f t="shared" ca="1" si="16"/>
        <v>13710.13521560043</v>
      </c>
      <c r="AE45" s="123">
        <f t="shared" ca="1" si="16"/>
        <v>124.43697824242066</v>
      </c>
      <c r="AF45" s="123">
        <f t="shared" ca="1" si="16"/>
        <v>8710.5884769694476</v>
      </c>
      <c r="AG45" s="123">
        <f t="shared" ca="1" si="16"/>
        <v>35512.836256398594</v>
      </c>
      <c r="AH45" s="123" t="e">
        <f t="shared" ca="1" si="18"/>
        <v>#REF!</v>
      </c>
      <c r="AI45" s="123" t="e">
        <f t="shared" ca="1" si="18"/>
        <v>#REF!</v>
      </c>
      <c r="AJ45" s="123" t="e">
        <f t="shared" ca="1" si="18"/>
        <v>#REF!</v>
      </c>
      <c r="AK45" s="123">
        <f t="shared" ca="1" si="18"/>
        <v>0</v>
      </c>
      <c r="AL45" s="123">
        <f t="shared" ca="1" si="18"/>
        <v>0</v>
      </c>
      <c r="AM45" s="123">
        <f t="shared" ca="1" si="18"/>
        <v>0</v>
      </c>
      <c r="AN45" s="123">
        <f t="shared" ca="1" si="18"/>
        <v>0</v>
      </c>
      <c r="AO45" s="123">
        <f t="shared" ca="1" si="18"/>
        <v>0</v>
      </c>
      <c r="AP45" s="123">
        <f t="shared" ca="1" si="18"/>
        <v>0</v>
      </c>
      <c r="AQ45" s="123">
        <f t="shared" ca="1" si="18"/>
        <v>0</v>
      </c>
      <c r="AR45" s="123">
        <f t="shared" ca="1" si="18"/>
        <v>0</v>
      </c>
      <c r="AS45" s="123">
        <f t="shared" ca="1" si="18"/>
        <v>0</v>
      </c>
      <c r="AT45" s="123">
        <f t="shared" ca="1" si="18"/>
        <v>0</v>
      </c>
      <c r="AU45" s="123">
        <f t="shared" ca="1" si="18"/>
        <v>0</v>
      </c>
      <c r="AV45" s="123">
        <f t="shared" ca="1" si="18"/>
        <v>0</v>
      </c>
      <c r="AW45" s="123">
        <f t="shared" ca="1" si="18"/>
        <v>0</v>
      </c>
      <c r="AX45" s="123" t="e">
        <f>-#REF!*$AX$51</f>
        <v>#REF!</v>
      </c>
    </row>
    <row r="46" spans="1:50">
      <c r="A46">
        <f t="shared" si="2"/>
        <v>2047</v>
      </c>
      <c r="B46" s="123">
        <f ca="1">ExposureCalculations!G53</f>
        <v>378215.68222793727</v>
      </c>
      <c r="C46" s="123">
        <f t="shared" ca="1" si="8"/>
        <v>19259.885114723729</v>
      </c>
      <c r="D46" s="123" t="e">
        <f t="shared" ca="1" si="9"/>
        <v>#REF!</v>
      </c>
      <c r="E46" s="123" t="e">
        <f ca="1">IF(F46=0,MAX(SUM('GHG Emissions'!P49:T49)-SUM(J46:K46)-(I46-('GHG Emissions'!N49-SUM(L46:M46))-('GHG Emissions'!J49-SUM(N46:AG46,AX46))-('GHG Emissions'!I49-SUM(AH46:AW46))),0),SUM('GHG Emissions'!P49:T49)-SUM(J46:K46))</f>
        <v>#REF!</v>
      </c>
      <c r="F46" s="123" t="e">
        <f ca="1">IF(G46=0,MAX('GHG Emissions'!N49-SUM(L46:M46)-(I46-('GHG Emissions'!J49-SUM(N46:AG46,AX46))-('GHG Emissions'!I49-SUM(AH46:AW46))),0),'GHG Emissions'!N49-SUM(L46:M46))</f>
        <v>#REF!</v>
      </c>
      <c r="G46" s="123" t="e">
        <f ca="1">IF(H46=0,MAX('GHG Emissions'!J49-SUM(N46:AG46,AX46)-(I46-('GHG Emissions'!I49-SUM(AH46:AW46))),0),'GHG Emissions'!J49-SUM(N46:AG46,AX46))</f>
        <v>#REF!</v>
      </c>
      <c r="H46" s="123" t="e">
        <f ca="1">IF(I46=0,'GHG Emissions'!I49-SUM(AH46:AW46),MAX('GHG Emissions'!I49-SUM(AH46:AW46)-I46,0))</f>
        <v>#REF!</v>
      </c>
      <c r="I46" s="123">
        <f t="shared" ca="1" si="10"/>
        <v>0</v>
      </c>
      <c r="J46" s="123" t="e">
        <f t="shared" ca="1" si="3"/>
        <v>#REF!</v>
      </c>
      <c r="K46" s="123" t="e">
        <f t="shared" ca="1" si="3"/>
        <v>#REF!</v>
      </c>
      <c r="L46" s="123">
        <f t="shared" ca="1" si="3"/>
        <v>0</v>
      </c>
      <c r="M46" s="123">
        <f t="shared" ca="1" si="4"/>
        <v>0</v>
      </c>
      <c r="N46" s="123" t="e">
        <f t="shared" ca="1" si="17"/>
        <v>#REF!</v>
      </c>
      <c r="O46" s="123" t="e">
        <f t="shared" ca="1" si="17"/>
        <v>#REF!</v>
      </c>
      <c r="P46" s="123" t="e">
        <f t="shared" ca="1" si="17"/>
        <v>#REF!</v>
      </c>
      <c r="Q46" s="123">
        <f t="shared" ca="1" si="17"/>
        <v>3770.2372915570536</v>
      </c>
      <c r="R46" s="123">
        <f t="shared" ca="1" si="17"/>
        <v>0</v>
      </c>
      <c r="S46" s="123">
        <f t="shared" ca="1" si="17"/>
        <v>0</v>
      </c>
      <c r="T46" s="123">
        <f t="shared" ca="1" si="17"/>
        <v>497.52640520481702</v>
      </c>
      <c r="U46" s="123">
        <f t="shared" ca="1" si="17"/>
        <v>5421.6452753228559</v>
      </c>
      <c r="V46" s="123">
        <f t="shared" ca="1" si="17"/>
        <v>24517.938711423776</v>
      </c>
      <c r="W46" s="123">
        <f t="shared" ca="1" si="17"/>
        <v>76438.089821775444</v>
      </c>
      <c r="X46" s="123">
        <f t="shared" ca="1" si="17"/>
        <v>21276.306983341619</v>
      </c>
      <c r="Y46" s="123">
        <f t="shared" ca="1" si="17"/>
        <v>0</v>
      </c>
      <c r="Z46" s="123">
        <f t="shared" ca="1" si="17"/>
        <v>42.106365709288561</v>
      </c>
      <c r="AA46" s="123">
        <f t="shared" ca="1" si="17"/>
        <v>1361.6171263411916</v>
      </c>
      <c r="AB46" s="123">
        <f t="shared" ca="1" si="17"/>
        <v>10082.241603025503</v>
      </c>
      <c r="AC46" s="123">
        <f t="shared" ca="1" si="17"/>
        <v>13213.549505801528</v>
      </c>
      <c r="AD46" s="123">
        <f t="shared" ca="1" si="16"/>
        <v>13710.13521560043</v>
      </c>
      <c r="AE46" s="123">
        <f t="shared" ca="1" si="16"/>
        <v>124.43697824242066</v>
      </c>
      <c r="AF46" s="123">
        <f t="shared" ca="1" si="16"/>
        <v>8710.5884769694476</v>
      </c>
      <c r="AG46" s="123">
        <f t="shared" ca="1" si="16"/>
        <v>35512.836256398594</v>
      </c>
      <c r="AH46" s="123" t="e">
        <f t="shared" ca="1" si="18"/>
        <v>#REF!</v>
      </c>
      <c r="AI46" s="123" t="e">
        <f t="shared" ca="1" si="18"/>
        <v>#REF!</v>
      </c>
      <c r="AJ46" s="123" t="e">
        <f t="shared" ca="1" si="18"/>
        <v>#REF!</v>
      </c>
      <c r="AK46" s="123">
        <f t="shared" ca="1" si="18"/>
        <v>0</v>
      </c>
      <c r="AL46" s="123">
        <f t="shared" ca="1" si="18"/>
        <v>0</v>
      </c>
      <c r="AM46" s="123">
        <f t="shared" ca="1" si="18"/>
        <v>0</v>
      </c>
      <c r="AN46" s="123">
        <f t="shared" ca="1" si="18"/>
        <v>0</v>
      </c>
      <c r="AO46" s="123">
        <f t="shared" ca="1" si="18"/>
        <v>0</v>
      </c>
      <c r="AP46" s="123">
        <f t="shared" ca="1" si="18"/>
        <v>0</v>
      </c>
      <c r="AQ46" s="123">
        <f t="shared" ca="1" si="18"/>
        <v>0</v>
      </c>
      <c r="AR46" s="123">
        <f t="shared" ca="1" si="18"/>
        <v>0</v>
      </c>
      <c r="AS46" s="123">
        <f t="shared" ca="1" si="18"/>
        <v>0</v>
      </c>
      <c r="AT46" s="123">
        <f t="shared" ca="1" si="18"/>
        <v>0</v>
      </c>
      <c r="AU46" s="123">
        <f t="shared" ca="1" si="18"/>
        <v>0</v>
      </c>
      <c r="AV46" s="123">
        <f t="shared" ca="1" si="18"/>
        <v>0</v>
      </c>
      <c r="AW46" s="123">
        <f t="shared" ca="1" si="18"/>
        <v>0</v>
      </c>
      <c r="AX46" s="123" t="e">
        <f>-#REF!*$AX$51</f>
        <v>#REF!</v>
      </c>
    </row>
    <row r="47" spans="1:50">
      <c r="A47">
        <f t="shared" si="2"/>
        <v>2048</v>
      </c>
      <c r="B47" s="123">
        <f ca="1">ExposureCalculations!G54</f>
        <v>381022.07460672036</v>
      </c>
      <c r="C47" s="123">
        <f t="shared" ca="1" si="8"/>
        <v>12839.923409815869</v>
      </c>
      <c r="D47" s="123" t="e">
        <f t="shared" ca="1" si="9"/>
        <v>#REF!</v>
      </c>
      <c r="E47" s="123" t="e">
        <f ca="1">IF(F47=0,MAX(SUM('GHG Emissions'!P50:T50)-SUM(J47:K47)-(I47-('GHG Emissions'!N50-SUM(L47:M47))-('GHG Emissions'!J50-SUM(N47:AG47,AX47))-('GHG Emissions'!I50-SUM(AH47:AW47))),0),SUM('GHG Emissions'!P50:T50)-SUM(J47:K47))</f>
        <v>#REF!</v>
      </c>
      <c r="F47" s="123" t="e">
        <f ca="1">IF(G47=0,MAX('GHG Emissions'!N50-SUM(L47:M47)-(I47-('GHG Emissions'!J50-SUM(N47:AG47,AX47))-('GHG Emissions'!I50-SUM(AH47:AW47))),0),'GHG Emissions'!N50-SUM(L47:M47))</f>
        <v>#REF!</v>
      </c>
      <c r="G47" s="123" t="e">
        <f ca="1">IF(H47=0,MAX('GHG Emissions'!J50-SUM(N47:AG47,AX47)-(I47-('GHG Emissions'!I50-SUM(AH47:AW47))),0),'GHG Emissions'!J50-SUM(N47:AG47,AX47))</f>
        <v>#REF!</v>
      </c>
      <c r="H47" s="123" t="e">
        <f ca="1">IF(I47=0,'GHG Emissions'!I50-SUM(AH47:AW47),MAX('GHG Emissions'!I50-SUM(AH47:AW47)-I47,0))</f>
        <v>#REF!</v>
      </c>
      <c r="I47" s="123">
        <f t="shared" ca="1" si="10"/>
        <v>0</v>
      </c>
      <c r="J47" s="123" t="e">
        <f t="shared" ca="1" si="3"/>
        <v>#REF!</v>
      </c>
      <c r="K47" s="123" t="e">
        <f t="shared" ca="1" si="3"/>
        <v>#REF!</v>
      </c>
      <c r="L47" s="123">
        <f t="shared" ca="1" si="3"/>
        <v>0</v>
      </c>
      <c r="M47" s="123">
        <f t="shared" ca="1" si="4"/>
        <v>0</v>
      </c>
      <c r="N47" s="123" t="e">
        <f t="shared" ca="1" si="17"/>
        <v>#REF!</v>
      </c>
      <c r="O47" s="123" t="e">
        <f t="shared" ca="1" si="17"/>
        <v>#REF!</v>
      </c>
      <c r="P47" s="123" t="e">
        <f t="shared" ca="1" si="17"/>
        <v>#REF!</v>
      </c>
      <c r="Q47" s="123">
        <f t="shared" ca="1" si="17"/>
        <v>3765.3664796539692</v>
      </c>
      <c r="R47" s="123">
        <f t="shared" ca="1" si="17"/>
        <v>0</v>
      </c>
      <c r="S47" s="123">
        <f t="shared" ca="1" si="17"/>
        <v>0</v>
      </c>
      <c r="T47" s="123">
        <f t="shared" ca="1" si="17"/>
        <v>497.52640520481702</v>
      </c>
      <c r="U47" s="123">
        <f t="shared" ca="1" si="17"/>
        <v>5421.6452753228559</v>
      </c>
      <c r="V47" s="123">
        <f t="shared" ca="1" si="17"/>
        <v>24719.862867166041</v>
      </c>
      <c r="W47" s="123">
        <f t="shared" ca="1" si="17"/>
        <v>78449.618501295859</v>
      </c>
      <c r="X47" s="123">
        <f t="shared" ca="1" si="17"/>
        <v>21726.329737257827</v>
      </c>
      <c r="Y47" s="123">
        <f t="shared" ca="1" si="17"/>
        <v>0</v>
      </c>
      <c r="Z47" s="123">
        <f t="shared" ca="1" si="17"/>
        <v>42.106365709288561</v>
      </c>
      <c r="AA47" s="123">
        <f t="shared" ca="1" si="17"/>
        <v>1361.6171263411916</v>
      </c>
      <c r="AB47" s="123">
        <f t="shared" ca="1" si="17"/>
        <v>10082.241603025503</v>
      </c>
      <c r="AC47" s="123">
        <f t="shared" ca="1" si="17"/>
        <v>13213.549505801528</v>
      </c>
      <c r="AD47" s="123">
        <f t="shared" ca="1" si="16"/>
        <v>13710.13521560043</v>
      </c>
      <c r="AE47" s="123">
        <f t="shared" ca="1" si="16"/>
        <v>124.43697824242066</v>
      </c>
      <c r="AF47" s="123">
        <f t="shared" ca="1" si="16"/>
        <v>8710.5884769694476</v>
      </c>
      <c r="AG47" s="123">
        <f t="shared" ca="1" si="16"/>
        <v>35512.836256398594</v>
      </c>
      <c r="AH47" s="123" t="e">
        <f t="shared" ca="1" si="18"/>
        <v>#REF!</v>
      </c>
      <c r="AI47" s="123" t="e">
        <f t="shared" ca="1" si="18"/>
        <v>#REF!</v>
      </c>
      <c r="AJ47" s="123" t="e">
        <f t="shared" ca="1" si="18"/>
        <v>#REF!</v>
      </c>
      <c r="AK47" s="123">
        <f t="shared" ca="1" si="18"/>
        <v>0</v>
      </c>
      <c r="AL47" s="123">
        <f t="shared" ca="1" si="18"/>
        <v>0</v>
      </c>
      <c r="AM47" s="123">
        <f t="shared" ca="1" si="18"/>
        <v>0</v>
      </c>
      <c r="AN47" s="123">
        <f t="shared" ca="1" si="18"/>
        <v>0</v>
      </c>
      <c r="AO47" s="123">
        <f t="shared" ca="1" si="18"/>
        <v>0</v>
      </c>
      <c r="AP47" s="123">
        <f t="shared" ca="1" si="18"/>
        <v>0</v>
      </c>
      <c r="AQ47" s="123">
        <f t="shared" ca="1" si="18"/>
        <v>0</v>
      </c>
      <c r="AR47" s="123">
        <f t="shared" ca="1" si="18"/>
        <v>0</v>
      </c>
      <c r="AS47" s="123">
        <f t="shared" ca="1" si="18"/>
        <v>0</v>
      </c>
      <c r="AT47" s="123">
        <f t="shared" ca="1" si="18"/>
        <v>0</v>
      </c>
      <c r="AU47" s="123">
        <f t="shared" ca="1" si="18"/>
        <v>0</v>
      </c>
      <c r="AV47" s="123">
        <f t="shared" ca="1" si="18"/>
        <v>0</v>
      </c>
      <c r="AW47" s="123">
        <f t="shared" ca="1" si="18"/>
        <v>0</v>
      </c>
      <c r="AX47" s="123" t="e">
        <f>-#REF!*$AX$51</f>
        <v>#REF!</v>
      </c>
    </row>
    <row r="48" spans="1:50">
      <c r="A48">
        <f t="shared" si="2"/>
        <v>2049</v>
      </c>
      <c r="B48" s="123">
        <f ca="1">ExposureCalculations!G55</f>
        <v>383828.07989623188</v>
      </c>
      <c r="C48" s="123">
        <f t="shared" ca="1" si="8"/>
        <v>6419.961704908008</v>
      </c>
      <c r="D48" s="123" t="e">
        <f t="shared" ca="1" si="9"/>
        <v>#REF!</v>
      </c>
      <c r="E48" s="123" t="e">
        <f ca="1">IF(F48=0,MAX(SUM('GHG Emissions'!P51:T51)-SUM(J48:K48)-(I48-('GHG Emissions'!N51-SUM(L48:M48))-('GHG Emissions'!J51-SUM(N48:AG48,AX48))-('GHG Emissions'!I51-SUM(AH48:AW48))),0),SUM('GHG Emissions'!P51:T51)-SUM(J48:K48))</f>
        <v>#REF!</v>
      </c>
      <c r="F48" s="123" t="e">
        <f ca="1">IF(G48=0,MAX('GHG Emissions'!N51-SUM(L48:M48)-(I48-('GHG Emissions'!J51-SUM(N48:AG48,AX48))-('GHG Emissions'!I51-SUM(AH48:AW48))),0),'GHG Emissions'!N51-SUM(L48:M48))</f>
        <v>#REF!</v>
      </c>
      <c r="G48" s="123" t="e">
        <f ca="1">IF(H48=0,MAX('GHG Emissions'!J51-SUM(N48:AG48,AX48)-(I48-('GHG Emissions'!I51-SUM(AH48:AW48))),0),'GHG Emissions'!J51-SUM(N48:AG48,AX48))</f>
        <v>#REF!</v>
      </c>
      <c r="H48" s="123" t="e">
        <f ca="1">IF(I48=0,'GHG Emissions'!I51-SUM(AH48:AW48),MAX('GHG Emissions'!I51-SUM(AH48:AW48)-I48,0))</f>
        <v>#REF!</v>
      </c>
      <c r="I48" s="123">
        <f t="shared" ca="1" si="10"/>
        <v>0</v>
      </c>
      <c r="J48" s="123" t="e">
        <f t="shared" ca="1" si="3"/>
        <v>#REF!</v>
      </c>
      <c r="K48" s="123" t="e">
        <f t="shared" ca="1" si="3"/>
        <v>#REF!</v>
      </c>
      <c r="L48" s="123">
        <f t="shared" ca="1" si="3"/>
        <v>0</v>
      </c>
      <c r="M48" s="123">
        <f t="shared" ca="1" si="4"/>
        <v>0</v>
      </c>
      <c r="N48" s="123" t="e">
        <f t="shared" ca="1" si="17"/>
        <v>#REF!</v>
      </c>
      <c r="O48" s="123" t="e">
        <f t="shared" ca="1" si="17"/>
        <v>#REF!</v>
      </c>
      <c r="P48" s="123" t="e">
        <f t="shared" ca="1" si="17"/>
        <v>#REF!</v>
      </c>
      <c r="Q48" s="123">
        <f t="shared" ca="1" si="17"/>
        <v>3760.4750491222649</v>
      </c>
      <c r="R48" s="123">
        <f t="shared" ca="1" si="17"/>
        <v>0</v>
      </c>
      <c r="S48" s="123">
        <f t="shared" ca="1" si="17"/>
        <v>0</v>
      </c>
      <c r="T48" s="123">
        <f t="shared" ca="1" si="17"/>
        <v>497.52640520481702</v>
      </c>
      <c r="U48" s="123">
        <f t="shared" ca="1" si="17"/>
        <v>5421.6452753228559</v>
      </c>
      <c r="V48" s="123">
        <f t="shared" ca="1" si="17"/>
        <v>24921.787022908306</v>
      </c>
      <c r="W48" s="123">
        <f t="shared" ca="1" si="17"/>
        <v>80461.14718081629</v>
      </c>
      <c r="X48" s="123">
        <f t="shared" ca="1" si="17"/>
        <v>22176.83382953706</v>
      </c>
      <c r="Y48" s="123">
        <f t="shared" ca="1" si="17"/>
        <v>0</v>
      </c>
      <c r="Z48" s="123">
        <f t="shared" ca="1" si="17"/>
        <v>42.106365709288561</v>
      </c>
      <c r="AA48" s="123">
        <f t="shared" ca="1" si="17"/>
        <v>1361.6171263411916</v>
      </c>
      <c r="AB48" s="123">
        <f t="shared" ca="1" si="17"/>
        <v>10082.241603025503</v>
      </c>
      <c r="AC48" s="123">
        <f t="shared" ca="1" si="17"/>
        <v>13213.549505801528</v>
      </c>
      <c r="AD48" s="123">
        <f t="shared" ca="1" si="16"/>
        <v>13710.13521560043</v>
      </c>
      <c r="AE48" s="123">
        <f t="shared" ca="1" si="16"/>
        <v>124.43697824242066</v>
      </c>
      <c r="AF48" s="123">
        <f t="shared" ca="1" si="16"/>
        <v>8710.5884769694476</v>
      </c>
      <c r="AG48" s="123">
        <f t="shared" ca="1" si="16"/>
        <v>35512.836256398594</v>
      </c>
      <c r="AH48" s="123" t="e">
        <f t="shared" ca="1" si="18"/>
        <v>#REF!</v>
      </c>
      <c r="AI48" s="123" t="e">
        <f t="shared" ca="1" si="18"/>
        <v>#REF!</v>
      </c>
      <c r="AJ48" s="123" t="e">
        <f t="shared" ca="1" si="18"/>
        <v>#REF!</v>
      </c>
      <c r="AK48" s="123">
        <f t="shared" ca="1" si="18"/>
        <v>0</v>
      </c>
      <c r="AL48" s="123">
        <f t="shared" ca="1" si="18"/>
        <v>0</v>
      </c>
      <c r="AM48" s="123">
        <f t="shared" ca="1" si="18"/>
        <v>0</v>
      </c>
      <c r="AN48" s="123">
        <f t="shared" ca="1" si="18"/>
        <v>0</v>
      </c>
      <c r="AO48" s="123">
        <f t="shared" ca="1" si="18"/>
        <v>0</v>
      </c>
      <c r="AP48" s="123">
        <f t="shared" ca="1" si="18"/>
        <v>0</v>
      </c>
      <c r="AQ48" s="123">
        <f t="shared" ca="1" si="18"/>
        <v>0</v>
      </c>
      <c r="AR48" s="123">
        <f t="shared" ca="1" si="18"/>
        <v>0</v>
      </c>
      <c r="AS48" s="123">
        <f t="shared" ca="1" si="18"/>
        <v>0</v>
      </c>
      <c r="AT48" s="123">
        <f t="shared" ca="1" si="18"/>
        <v>0</v>
      </c>
      <c r="AU48" s="123">
        <f t="shared" ca="1" si="18"/>
        <v>0</v>
      </c>
      <c r="AV48" s="123">
        <f t="shared" ca="1" si="18"/>
        <v>0</v>
      </c>
      <c r="AW48" s="123">
        <f t="shared" ca="1" si="18"/>
        <v>0</v>
      </c>
      <c r="AX48" s="123" t="e">
        <f>-#REF!*$AX$51</f>
        <v>#REF!</v>
      </c>
    </row>
    <row r="49" spans="1:50">
      <c r="A49">
        <f t="shared" si="2"/>
        <v>2050</v>
      </c>
      <c r="B49" s="123">
        <f ca="1">ExposureCalculations!G56</f>
        <v>386633.71252553025</v>
      </c>
      <c r="C49" s="123">
        <v>0</v>
      </c>
      <c r="D49" s="123" t="e">
        <f t="shared" ca="1" si="9"/>
        <v>#REF!</v>
      </c>
      <c r="E49" s="123" t="e">
        <f ca="1">IF(F49=0,MAX(SUM('GHG Emissions'!P52:T52)-SUM(J49:K49)-(I49-('GHG Emissions'!N52-SUM(L49:M49))-('GHG Emissions'!J52-SUM(N49:AG49,AX49))-('GHG Emissions'!I52-SUM(AH49:AW49))),0),SUM('GHG Emissions'!P52:T52)-SUM(J49:K49))</f>
        <v>#REF!</v>
      </c>
      <c r="F49" s="123" t="e">
        <f ca="1">IF(G49=0,MAX('GHG Emissions'!N52-SUM(L49:M49)-(I49-('GHG Emissions'!J52-SUM(N49:AG49,AX49))-('GHG Emissions'!I52-SUM(AH49:AW49))),0),'GHG Emissions'!N52-SUM(L49:M49))</f>
        <v>#REF!</v>
      </c>
      <c r="G49" s="123" t="e">
        <f ca="1">IF(H49=0,MAX('GHG Emissions'!J52-SUM(N49:AG49,AX49)-(I49-('GHG Emissions'!I52-SUM(AH49:AW49))),0),'GHG Emissions'!J52-SUM(N49:AG49,AX49))</f>
        <v>#REF!</v>
      </c>
      <c r="H49" s="123" t="e">
        <f ca="1">IF(I49=0,'GHG Emissions'!I52-SUM(AH49:AW49),MAX('GHG Emissions'!I52-SUM(AH49:AW49)-I49,0))</f>
        <v>#REF!</v>
      </c>
      <c r="I49" s="123">
        <f t="shared" ca="1" si="10"/>
        <v>0</v>
      </c>
      <c r="J49" s="123" t="e">
        <f t="shared" ca="1" si="3"/>
        <v>#REF!</v>
      </c>
      <c r="K49" s="123" t="e">
        <f t="shared" ca="1" si="3"/>
        <v>#REF!</v>
      </c>
      <c r="L49" s="123">
        <f t="shared" ca="1" si="3"/>
        <v>0</v>
      </c>
      <c r="M49" s="123">
        <f t="shared" ca="1" si="4"/>
        <v>0</v>
      </c>
      <c r="N49" s="123" t="e">
        <f t="shared" ca="1" si="17"/>
        <v>#REF!</v>
      </c>
      <c r="O49" s="123" t="e">
        <f t="shared" ca="1" si="17"/>
        <v>#REF!</v>
      </c>
      <c r="P49" s="123" t="e">
        <f t="shared" ca="1" si="17"/>
        <v>#REF!</v>
      </c>
      <c r="Q49" s="123">
        <f t="shared" ca="1" si="17"/>
        <v>3755.5634971097347</v>
      </c>
      <c r="R49" s="123">
        <f t="shared" ca="1" si="17"/>
        <v>0</v>
      </c>
      <c r="S49" s="123">
        <f t="shared" ca="1" si="17"/>
        <v>0</v>
      </c>
      <c r="T49" s="123">
        <f t="shared" ca="1" si="17"/>
        <v>497.52640520481702</v>
      </c>
      <c r="U49" s="123">
        <f t="shared" ca="1" si="17"/>
        <v>5421.6452753228559</v>
      </c>
      <c r="V49" s="123">
        <f t="shared" ca="1" si="17"/>
        <v>25123.711178650556</v>
      </c>
      <c r="W49" s="123">
        <f t="shared" ca="1" si="17"/>
        <v>82472.675860336691</v>
      </c>
      <c r="X49" s="123">
        <f t="shared" ca="1" si="17"/>
        <v>22627.807654349104</v>
      </c>
      <c r="Y49" s="123">
        <f t="shared" ca="1" si="17"/>
        <v>0</v>
      </c>
      <c r="Z49" s="123">
        <f t="shared" ca="1" si="17"/>
        <v>42.106365709288561</v>
      </c>
      <c r="AA49" s="123">
        <f t="shared" ca="1" si="17"/>
        <v>1361.6171263411916</v>
      </c>
      <c r="AB49" s="123">
        <f t="shared" ca="1" si="17"/>
        <v>10082.241603025503</v>
      </c>
      <c r="AC49" s="123">
        <f t="shared" ca="1" si="17"/>
        <v>13213.549505801528</v>
      </c>
      <c r="AD49" s="123">
        <f t="shared" ca="1" si="16"/>
        <v>13710.13521560043</v>
      </c>
      <c r="AE49" s="123">
        <f t="shared" ca="1" si="16"/>
        <v>124.43697824242066</v>
      </c>
      <c r="AF49" s="123">
        <f t="shared" ca="1" si="16"/>
        <v>8710.5884769694476</v>
      </c>
      <c r="AG49" s="123">
        <f t="shared" ca="1" si="16"/>
        <v>35512.836256398594</v>
      </c>
      <c r="AH49" s="123" t="e">
        <f t="shared" ca="1" si="18"/>
        <v>#REF!</v>
      </c>
      <c r="AI49" s="123" t="e">
        <f t="shared" ca="1" si="18"/>
        <v>#REF!</v>
      </c>
      <c r="AJ49" s="123" t="e">
        <f t="shared" ca="1" si="18"/>
        <v>#REF!</v>
      </c>
      <c r="AK49" s="123">
        <f t="shared" ca="1" si="18"/>
        <v>0</v>
      </c>
      <c r="AL49" s="123">
        <f t="shared" ca="1" si="18"/>
        <v>0</v>
      </c>
      <c r="AM49" s="123">
        <f t="shared" ca="1" si="18"/>
        <v>0</v>
      </c>
      <c r="AN49" s="123">
        <f t="shared" ca="1" si="18"/>
        <v>0</v>
      </c>
      <c r="AO49" s="123">
        <f t="shared" ca="1" si="18"/>
        <v>0</v>
      </c>
      <c r="AP49" s="123">
        <f t="shared" ca="1" si="18"/>
        <v>0</v>
      </c>
      <c r="AQ49" s="123">
        <f t="shared" ca="1" si="18"/>
        <v>0</v>
      </c>
      <c r="AR49" s="123">
        <f t="shared" ca="1" si="18"/>
        <v>0</v>
      </c>
      <c r="AS49" s="123">
        <f t="shared" ca="1" si="18"/>
        <v>0</v>
      </c>
      <c r="AT49" s="123">
        <f t="shared" ca="1" si="18"/>
        <v>0</v>
      </c>
      <c r="AU49" s="123">
        <f t="shared" ca="1" si="18"/>
        <v>0</v>
      </c>
      <c r="AV49" s="123">
        <f t="shared" ca="1" si="18"/>
        <v>0</v>
      </c>
      <c r="AW49" s="123">
        <f t="shared" ca="1" si="18"/>
        <v>0</v>
      </c>
      <c r="AX49" s="123" t="e">
        <f>-#REF!*$AX$51</f>
        <v>#REF!</v>
      </c>
    </row>
    <row r="51" spans="1:50">
      <c r="I51">
        <v>1</v>
      </c>
      <c r="J51">
        <v>1</v>
      </c>
      <c r="K51">
        <v>1</v>
      </c>
      <c r="L51">
        <v>1</v>
      </c>
      <c r="M51">
        <v>1</v>
      </c>
      <c r="N51">
        <v>1</v>
      </c>
      <c r="O51">
        <v>1</v>
      </c>
      <c r="P51">
        <v>1</v>
      </c>
      <c r="Q51">
        <v>1</v>
      </c>
      <c r="R51">
        <v>1</v>
      </c>
      <c r="S51">
        <v>1</v>
      </c>
      <c r="T51">
        <v>1</v>
      </c>
      <c r="U51">
        <v>1</v>
      </c>
      <c r="V51">
        <v>1</v>
      </c>
      <c r="W51">
        <v>1</v>
      </c>
      <c r="X51">
        <v>1</v>
      </c>
      <c r="Y51">
        <v>1</v>
      </c>
      <c r="Z51">
        <v>1</v>
      </c>
      <c r="AA51">
        <v>1</v>
      </c>
      <c r="AB51">
        <v>1</v>
      </c>
      <c r="AC51">
        <v>1</v>
      </c>
      <c r="AD51">
        <v>1</v>
      </c>
      <c r="AE51">
        <v>1</v>
      </c>
      <c r="AF51">
        <v>1</v>
      </c>
      <c r="AG51">
        <v>1</v>
      </c>
      <c r="AH51">
        <v>1</v>
      </c>
      <c r="AI51">
        <v>1</v>
      </c>
      <c r="AJ51">
        <v>1</v>
      </c>
      <c r="AK51">
        <v>1</v>
      </c>
      <c r="AL51">
        <v>1</v>
      </c>
      <c r="AM51">
        <v>1</v>
      </c>
      <c r="AN51">
        <v>1</v>
      </c>
      <c r="AO51">
        <v>1</v>
      </c>
      <c r="AP51">
        <v>1</v>
      </c>
      <c r="AQ51">
        <v>1</v>
      </c>
      <c r="AR51">
        <v>1</v>
      </c>
      <c r="AS51">
        <v>1</v>
      </c>
      <c r="AT51">
        <v>1</v>
      </c>
      <c r="AU51">
        <v>1</v>
      </c>
      <c r="AV51">
        <v>1</v>
      </c>
      <c r="AW51">
        <v>1</v>
      </c>
      <c r="AX51">
        <v>0</v>
      </c>
    </row>
  </sheetData>
  <mergeCells count="1">
    <mergeCell ref="D5:D7"/>
  </mergeCell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Sheet107"/>
  <dimension ref="A1:R38"/>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RowHeight="15"/>
  <cols>
    <col min="1" max="1" width="26.5703125" customWidth="1"/>
    <col min="2" max="2" width="57.7109375" customWidth="1"/>
    <col min="3" max="3" width="12.7109375" customWidth="1"/>
    <col min="4" max="4" width="13.7109375" customWidth="1"/>
    <col min="5" max="12" width="12.7109375" customWidth="1"/>
    <col min="13" max="13" width="36.85546875" customWidth="1"/>
    <col min="14" max="14" width="14.28515625" bestFit="1" customWidth="1"/>
    <col min="15" max="15" width="13.140625" customWidth="1"/>
    <col min="16" max="16" width="12.85546875" bestFit="1" customWidth="1"/>
    <col min="17" max="17" width="13.140625" customWidth="1"/>
    <col min="18" max="18" width="10.85546875" bestFit="1" customWidth="1"/>
  </cols>
  <sheetData>
    <row r="1" spans="1:18">
      <c r="A1" t="s">
        <v>290</v>
      </c>
    </row>
    <row r="2" spans="1:18">
      <c r="A2" s="302">
        <f>COUNTA(A4:A61)-1</f>
        <v>24</v>
      </c>
      <c r="E2">
        <v>2050</v>
      </c>
    </row>
    <row r="3" spans="1:18" ht="105" customHeight="1">
      <c r="A3" s="256" t="s">
        <v>291</v>
      </c>
      <c r="B3" s="252" t="s">
        <v>292</v>
      </c>
      <c r="C3" s="252" t="s">
        <v>293</v>
      </c>
      <c r="D3" s="252" t="s">
        <v>294</v>
      </c>
      <c r="E3" s="319" t="s">
        <v>246</v>
      </c>
      <c r="F3" s="319" t="s">
        <v>247</v>
      </c>
      <c r="G3" s="252" t="s">
        <v>295</v>
      </c>
      <c r="H3" s="252" t="s">
        <v>2991</v>
      </c>
      <c r="I3" s="252" t="s">
        <v>396</v>
      </c>
      <c r="J3" s="252" t="s">
        <v>296</v>
      </c>
      <c r="K3" s="252" t="str">
        <f>"NPV ("&amp;Current_yr&amp;" $MM)"</f>
        <v>NPV (2010 $MM)</v>
      </c>
      <c r="L3" s="252" t="s">
        <v>297</v>
      </c>
      <c r="M3" s="254" t="s">
        <v>652</v>
      </c>
      <c r="N3" s="1498" t="s">
        <v>2975</v>
      </c>
      <c r="O3" s="1499" t="s">
        <v>2989</v>
      </c>
      <c r="P3" s="1499" t="s">
        <v>2990</v>
      </c>
      <c r="Q3" s="1499" t="s">
        <v>2992</v>
      </c>
      <c r="R3" s="1499" t="s">
        <v>2993</v>
      </c>
    </row>
    <row r="4" spans="1:18">
      <c r="A4" s="318" t="s">
        <v>233</v>
      </c>
      <c r="B4" s="318"/>
      <c r="C4" s="318"/>
      <c r="D4" s="318"/>
      <c r="E4" s="318"/>
      <c r="F4" s="318"/>
      <c r="G4" s="318"/>
      <c r="H4" s="318"/>
      <c r="I4" s="318"/>
      <c r="J4" s="318"/>
      <c r="K4" s="318"/>
      <c r="L4" s="318"/>
      <c r="M4" s="816"/>
      <c r="N4" s="328"/>
      <c r="O4" s="328"/>
      <c r="P4" s="328"/>
      <c r="Q4" s="328"/>
      <c r="R4" s="328"/>
    </row>
    <row r="5" spans="1:18">
      <c r="A5" s="318" t="s">
        <v>770</v>
      </c>
      <c r="B5" s="318" t="str">
        <f t="shared" ref="B5:B36" ca="1" si="0">INDIRECT(A5,)</f>
        <v>Green Power Purchase Opt 1 (Partial)</v>
      </c>
      <c r="C5" s="318" t="str">
        <f ca="1">OFFSET(INDIRECT(A5),2,0)</f>
        <v>BAU</v>
      </c>
      <c r="D5" s="318">
        <f ca="1">OFFSET(INDIRECT(A5),1,0)</f>
        <v>2011</v>
      </c>
      <c r="E5" s="326">
        <f ca="1">OFFSET(INDIRECT($A5,),12,7)</f>
        <v>35.198540352427607</v>
      </c>
      <c r="F5" s="326">
        <f ca="1">OFFSET(INDIRECT($A5,),13,7)</f>
        <v>30.940023516373877</v>
      </c>
      <c r="G5" s="326">
        <f ca="1">IFERROR(E5-F5,"")</f>
        <v>4.2585168360537295</v>
      </c>
      <c r="H5" s="325">
        <f ca="1">OFFSET(INDIRECT($A5,),3,8)</f>
        <v>35512.836256398594</v>
      </c>
      <c r="I5" s="325">
        <f ca="1">MAX(OFFSET(INDIRECT($A5,),3,8),0)</f>
        <v>35512.836256398594</v>
      </c>
      <c r="J5" s="1501">
        <f ca="1">(OFFSET(INDIRECT($A5,),3,7)+OFFSET(INDIRECT($A5,),4,7))/1000000</f>
        <v>0</v>
      </c>
      <c r="K5" s="1501">
        <f ca="1">OFFSET(INDIRECT($A5,),7,7)/1000000</f>
        <v>-2.2622640080642507</v>
      </c>
      <c r="L5" s="328" t="str">
        <f ca="1">OFFSET(INDIRECT($A5,),9,7)</f>
        <v/>
      </c>
      <c r="M5" s="817" t="str">
        <f ca="1">OFFSET(INDIRECT(A5),4,0)</f>
        <v>On Campus Renewable Energy</v>
      </c>
      <c r="N5" s="1500">
        <f ca="1">OFFSET(INDIRECT($A5,),2,11)</f>
        <v>-1219512.1951219512</v>
      </c>
      <c r="O5" s="1500">
        <f ca="1">OFFSET(INDIRECT($A5,),4,7)</f>
        <v>0</v>
      </c>
      <c r="P5" s="1500">
        <f ca="1">OFFSET(INDIRECT($A5,),3,7)</f>
        <v>0</v>
      </c>
      <c r="Q5" s="1500">
        <f ca="1">OFFSET(INDIRECT($A5,),6,11)</f>
        <v>0</v>
      </c>
      <c r="R5" s="1500">
        <f ca="1">OFFSET(INDIRECT($A5,),5,11)</f>
        <v>0</v>
      </c>
    </row>
    <row r="6" spans="1:18">
      <c r="A6" s="318" t="s">
        <v>787</v>
      </c>
      <c r="B6" s="318" t="str">
        <f t="shared" ca="1" si="0"/>
        <v>Green Power Purchase (MCCo Reserve Fund)</v>
      </c>
      <c r="C6" s="318" t="str">
        <f t="shared" ref="C6:C36" ca="1" si="1">OFFSET(INDIRECT(A6),2,0)</f>
        <v>BAU</v>
      </c>
      <c r="D6" s="318">
        <f t="shared" ref="D6:D36" ca="1" si="2">OFFSET(INDIRECT(A6),1,0)</f>
        <v>2011</v>
      </c>
      <c r="E6" s="326">
        <f t="shared" ref="E6:E36" ca="1" si="3">OFFSET(INDIRECT($A6,),12,7)</f>
        <v>7.2056399874036217</v>
      </c>
      <c r="F6" s="326">
        <f t="shared" ref="F6:F36" ca="1" si="4">OFFSET(INDIRECT($A6,),13,7)</f>
        <v>44.281944733629203</v>
      </c>
      <c r="G6" s="326">
        <f t="shared" ref="G6:G36" ca="1" si="5">IFERROR(E6-F6,"")</f>
        <v>-37.076304746225581</v>
      </c>
      <c r="H6" s="325">
        <f t="shared" ref="H6:H36" ca="1" si="6">OFFSET(INDIRECT($A6,),3,8)</f>
        <v>7240.6766714808564</v>
      </c>
      <c r="I6" s="325">
        <f t="shared" ref="I6:I36" ca="1" si="7">MAX(OFFSET(INDIRECT($A6,),3,8),0)</f>
        <v>7240.6766714808564</v>
      </c>
      <c r="J6" s="1501">
        <f t="shared" ref="J6:J36" ca="1" si="8">(OFFSET(INDIRECT($A6,),3,7)+OFFSET(INDIRECT($A6,),4,7))/1000000</f>
        <v>0</v>
      </c>
      <c r="K6" s="1501">
        <f t="shared" ref="K6:K36" ca="1" si="9">OFFSET(INDIRECT($A6,),7,7)/1000000</f>
        <v>3.1899419676495335</v>
      </c>
      <c r="L6" s="328">
        <f t="shared" ref="L6:L36" ca="1" si="10">OFFSET(INDIRECT($A6,),9,7)</f>
        <v>8.2655228039597767E-2</v>
      </c>
      <c r="M6" s="817" t="str">
        <f t="shared" ref="M6:M36" ca="1" si="11">OFFSET(INDIRECT(A6),4,0)</f>
        <v>Group1</v>
      </c>
      <c r="N6" s="1500">
        <f t="shared" ref="N6:N37" ca="1" si="12">OFFSET(INDIRECT($A6,),2,11)</f>
        <v>664578.02810677898</v>
      </c>
      <c r="O6" s="1500">
        <f t="shared" ref="O6:O37" ca="1" si="13">OFFSET(INDIRECT($A6,),4,7)</f>
        <v>0</v>
      </c>
      <c r="P6" s="1500">
        <f t="shared" ref="P6:P37" ca="1" si="14">OFFSET(INDIRECT($A6,),3,7)</f>
        <v>0</v>
      </c>
      <c r="Q6" s="1500">
        <f t="shared" ref="Q6:Q37" ca="1" si="15">OFFSET(INDIRECT($A6,),6,11)</f>
        <v>-335998.02995245892</v>
      </c>
      <c r="R6" s="1500">
        <f t="shared" ref="R6:R37" ca="1" si="16">OFFSET(INDIRECT($A6,),5,11)</f>
        <v>0</v>
      </c>
    </row>
    <row r="7" spans="1:18">
      <c r="A7" s="318" t="s">
        <v>775</v>
      </c>
      <c r="B7" s="318" t="str">
        <f t="shared" ca="1" si="0"/>
        <v>On-site Wind</v>
      </c>
      <c r="C7" s="318" t="str">
        <f t="shared" ca="1" si="1"/>
        <v>BAU</v>
      </c>
      <c r="D7" s="318">
        <f t="shared" ca="1" si="2"/>
        <v>2011</v>
      </c>
      <c r="E7" s="326">
        <f t="shared" ca="1" si="3"/>
        <v>91.482591649640057</v>
      </c>
      <c r="F7" s="326">
        <f t="shared" ca="1" si="4"/>
        <v>30.940023516373877</v>
      </c>
      <c r="G7" s="326">
        <f t="shared" ca="1" si="5"/>
        <v>60.54256813326618</v>
      </c>
      <c r="H7" s="325">
        <f t="shared" ca="1" si="6"/>
        <v>124.43697824242069</v>
      </c>
      <c r="I7" s="325">
        <f t="shared" ca="1" si="7"/>
        <v>124.43697824242069</v>
      </c>
      <c r="J7" s="1501">
        <f t="shared" ca="1" si="8"/>
        <v>-9.4680328024016921E-2</v>
      </c>
      <c r="K7" s="1501">
        <f t="shared" ca="1" si="9"/>
        <v>-0.11269635098799682</v>
      </c>
      <c r="L7" s="328" t="str">
        <f t="shared" ca="1" si="10"/>
        <v/>
      </c>
      <c r="M7" s="817" t="str">
        <f t="shared" ca="1" si="11"/>
        <v>On Campus Renewable Energy</v>
      </c>
      <c r="N7" s="1500">
        <f t="shared" ca="1" si="12"/>
        <v>-4391.6677628770403</v>
      </c>
      <c r="O7" s="1500">
        <f t="shared" ca="1" si="13"/>
        <v>-94680.328024016926</v>
      </c>
      <c r="P7" s="1500">
        <f t="shared" ca="1" si="14"/>
        <v>0</v>
      </c>
      <c r="Q7" s="1500">
        <f t="shared" ca="1" si="15"/>
        <v>0</v>
      </c>
      <c r="R7" s="1500">
        <f t="shared" ca="1" si="16"/>
        <v>0</v>
      </c>
    </row>
    <row r="8" spans="1:18">
      <c r="A8" s="318" t="s">
        <v>791</v>
      </c>
      <c r="B8" s="318" t="str">
        <f t="shared" ca="1" si="0"/>
        <v>Short-term Energy Conservation Measures</v>
      </c>
      <c r="C8" s="318" t="str">
        <f t="shared" ca="1" si="1"/>
        <v>GreenBuild</v>
      </c>
      <c r="D8" s="318">
        <f t="shared" ca="1" si="2"/>
        <v>2010</v>
      </c>
      <c r="E8" s="326">
        <f t="shared" ca="1" si="3"/>
        <v>-115.74016509626473</v>
      </c>
      <c r="F8" s="326">
        <f t="shared" ca="1" si="4"/>
        <v>34.907043783416192</v>
      </c>
      <c r="G8" s="326">
        <f t="shared" ca="1" si="5"/>
        <v>-150.64720887968093</v>
      </c>
      <c r="H8" s="325">
        <f t="shared" ca="1" si="6"/>
        <v>12706.954590068692</v>
      </c>
      <c r="I8" s="325">
        <f t="shared" ca="1" si="7"/>
        <v>12706.954590068692</v>
      </c>
      <c r="J8" s="1501">
        <f t="shared" ca="1" si="8"/>
        <v>-1.5703047352544957</v>
      </c>
      <c r="K8" s="1501">
        <f t="shared" ca="1" si="9"/>
        <v>27.384824058106023</v>
      </c>
      <c r="L8" s="328">
        <f t="shared" ca="1" si="10"/>
        <v>4.7790333494326473</v>
      </c>
      <c r="M8" s="817" t="str">
        <f t="shared" ca="1" si="11"/>
        <v>Energy Conservation</v>
      </c>
      <c r="N8" s="1500">
        <f t="shared" ca="1" si="12"/>
        <v>1621581.8240716886</v>
      </c>
      <c r="O8" s="1500">
        <f t="shared" ca="1" si="13"/>
        <v>-1570304.7352544956</v>
      </c>
      <c r="P8" s="1500">
        <f t="shared" ca="1" si="14"/>
        <v>0</v>
      </c>
      <c r="Q8" s="1500">
        <f t="shared" ca="1" si="15"/>
        <v>0</v>
      </c>
      <c r="R8" s="1500">
        <f t="shared" ca="1" si="16"/>
        <v>0</v>
      </c>
    </row>
    <row r="9" spans="1:18">
      <c r="A9" s="318" t="s">
        <v>792</v>
      </c>
      <c r="B9" s="318" t="str">
        <f t="shared" ca="1" si="0"/>
        <v>Mid-term Energy Conservation Measures</v>
      </c>
      <c r="C9" s="318" t="str">
        <f t="shared" ca="1" si="1"/>
        <v>ShortECM</v>
      </c>
      <c r="D9" s="318">
        <f t="shared" ca="1" si="2"/>
        <v>2010</v>
      </c>
      <c r="E9" s="326">
        <f t="shared" ca="1" si="3"/>
        <v>-95.617893431330998</v>
      </c>
      <c r="F9" s="326">
        <f t="shared" ca="1" si="4"/>
        <v>48.225159284983498</v>
      </c>
      <c r="G9" s="326">
        <f t="shared" ca="1" si="5"/>
        <v>-143.8430527163145</v>
      </c>
      <c r="H9" s="325">
        <f t="shared" ca="1" si="6"/>
        <v>10151.873400798731</v>
      </c>
      <c r="I9" s="325">
        <f t="shared" ca="1" si="7"/>
        <v>10151.873400798731</v>
      </c>
      <c r="J9" s="1501">
        <f t="shared" ca="1" si="8"/>
        <v>-3.4210101138174691</v>
      </c>
      <c r="K9" s="1501">
        <f t="shared" ca="1" si="9"/>
        <v>16.686985523753968</v>
      </c>
      <c r="L9" s="328">
        <f t="shared" ca="1" si="10"/>
        <v>0.43864370259056834</v>
      </c>
      <c r="M9" s="817" t="str">
        <f t="shared" ca="1" si="11"/>
        <v>Energy Conservation</v>
      </c>
      <c r="N9" s="1500">
        <f t="shared" ca="1" si="12"/>
        <v>1296727.9298652508</v>
      </c>
      <c r="O9" s="1500">
        <f t="shared" ca="1" si="13"/>
        <v>-3421010.1138174692</v>
      </c>
      <c r="P9" s="1500">
        <f t="shared" ca="1" si="14"/>
        <v>0</v>
      </c>
      <c r="Q9" s="1500">
        <f t="shared" ca="1" si="15"/>
        <v>0</v>
      </c>
      <c r="R9" s="1500">
        <f t="shared" ca="1" si="16"/>
        <v>0</v>
      </c>
    </row>
    <row r="10" spans="1:18">
      <c r="A10" s="318" t="s">
        <v>793</v>
      </c>
      <c r="B10" s="318" t="str">
        <f t="shared" ca="1" si="0"/>
        <v>Long-term Energy Conservation Measures</v>
      </c>
      <c r="C10" s="318" t="str">
        <f t="shared" ca="1" si="1"/>
        <v>MidECM</v>
      </c>
      <c r="D10" s="318">
        <f t="shared" ca="1" si="2"/>
        <v>2010</v>
      </c>
      <c r="E10" s="326">
        <f t="shared" ca="1" si="3"/>
        <v>-68.286883813284135</v>
      </c>
      <c r="F10" s="326">
        <f t="shared" ca="1" si="4"/>
        <v>67.862178609158292</v>
      </c>
      <c r="G10" s="326">
        <f t="shared" ca="1" si="5"/>
        <v>-136.14906242244243</v>
      </c>
      <c r="H10" s="325">
        <f t="shared" ca="1" si="6"/>
        <v>5532.9374650749687</v>
      </c>
      <c r="I10" s="325">
        <f t="shared" ca="1" si="7"/>
        <v>5532.9374650749687</v>
      </c>
      <c r="J10" s="1501">
        <f t="shared" ca="1" si="8"/>
        <v>-2.9003889718067661</v>
      </c>
      <c r="K10" s="1501">
        <f t="shared" ca="1" si="9"/>
        <v>6.3991333299074604</v>
      </c>
      <c r="L10" s="328">
        <f t="shared" ca="1" si="10"/>
        <v>0.26550178507098932</v>
      </c>
      <c r="M10" s="817" t="str">
        <f t="shared" ca="1" si="11"/>
        <v>Energy Conservation</v>
      </c>
      <c r="N10" s="1500">
        <f t="shared" ca="1" si="12"/>
        <v>726119.82502808771</v>
      </c>
      <c r="O10" s="1500">
        <f t="shared" ca="1" si="13"/>
        <v>-2900388.971806766</v>
      </c>
      <c r="P10" s="1500">
        <f t="shared" ca="1" si="14"/>
        <v>0</v>
      </c>
      <c r="Q10" s="1500">
        <f t="shared" ca="1" si="15"/>
        <v>0</v>
      </c>
      <c r="R10" s="1500">
        <f t="shared" ca="1" si="16"/>
        <v>0</v>
      </c>
    </row>
    <row r="11" spans="1:18">
      <c r="A11" s="318" t="s">
        <v>796</v>
      </c>
      <c r="B11" s="318" t="str">
        <f t="shared" ca="1" si="0"/>
        <v>Steam Line Improvements</v>
      </c>
      <c r="C11" s="318" t="str">
        <f t="shared" ca="1" si="1"/>
        <v>BAU</v>
      </c>
      <c r="D11" s="318">
        <f t="shared" ca="1" si="2"/>
        <v>2012</v>
      </c>
      <c r="E11" s="326">
        <f t="shared" ca="1" si="3"/>
        <v>-97.677702400310238</v>
      </c>
      <c r="F11" s="326">
        <f t="shared" ca="1" si="4"/>
        <v>36.024279718290806</v>
      </c>
      <c r="G11" s="326">
        <f t="shared" ca="1" si="5"/>
        <v>-133.70198211860105</v>
      </c>
      <c r="H11" s="325">
        <f t="shared" ca="1" si="6"/>
        <v>3808.4695425456416</v>
      </c>
      <c r="I11" s="325">
        <f t="shared" ca="1" si="7"/>
        <v>3808.4695425456416</v>
      </c>
      <c r="J11" s="1501">
        <f t="shared" ca="1" si="8"/>
        <v>-0.67500201624247891</v>
      </c>
      <c r="K11" s="1501">
        <f t="shared" ca="1" si="9"/>
        <v>6.7149691346775056</v>
      </c>
      <c r="L11" s="328">
        <f t="shared" ca="1" si="10"/>
        <v>0.5694629862057734</v>
      </c>
      <c r="M11" s="817" t="str">
        <f t="shared" ca="1" si="11"/>
        <v xml:space="preserve">Campus Planning and the Built Environment </v>
      </c>
      <c r="N11" s="1500">
        <f t="shared" ca="1" si="12"/>
        <v>416111.48859620211</v>
      </c>
      <c r="O11" s="1500">
        <f t="shared" ca="1" si="13"/>
        <v>-675002.01624247886</v>
      </c>
      <c r="P11" s="1500">
        <f t="shared" ca="1" si="14"/>
        <v>0</v>
      </c>
      <c r="Q11" s="1500">
        <f t="shared" ca="1" si="15"/>
        <v>0</v>
      </c>
      <c r="R11" s="1500">
        <f t="shared" ca="1" si="16"/>
        <v>0</v>
      </c>
    </row>
    <row r="12" spans="1:18">
      <c r="A12" s="318" t="s">
        <v>828</v>
      </c>
      <c r="B12" s="318" t="str">
        <f t="shared" ca="1" si="0"/>
        <v>Unitary Chiller Upgrades</v>
      </c>
      <c r="C12" s="318" t="str">
        <f t="shared" ca="1" si="1"/>
        <v>BAU</v>
      </c>
      <c r="D12" s="318">
        <f t="shared" ca="1" si="2"/>
        <v>2010</v>
      </c>
      <c r="E12" s="326">
        <f t="shared" ca="1" si="3"/>
        <v>33.389665773120427</v>
      </c>
      <c r="F12" s="326">
        <f t="shared" ca="1" si="4"/>
        <v>34.542512501488524</v>
      </c>
      <c r="G12" s="326">
        <f t="shared" ca="1" si="5"/>
        <v>-1.1528467283680968</v>
      </c>
      <c r="H12" s="325">
        <f t="shared" ca="1" si="6"/>
        <v>2209.1357448341951</v>
      </c>
      <c r="I12" s="325">
        <f t="shared" ca="1" si="7"/>
        <v>2209.1357448341951</v>
      </c>
      <c r="J12" s="1501">
        <f t="shared" ca="1" si="8"/>
        <v>-5.1653760048345925</v>
      </c>
      <c r="K12" s="1501">
        <f t="shared" ca="1" si="9"/>
        <v>3.6616959732821391E-2</v>
      </c>
      <c r="L12" s="328">
        <f t="shared" ca="1" si="10"/>
        <v>5.6697807800137362E-2</v>
      </c>
      <c r="M12" s="817" t="str">
        <f t="shared" ca="1" si="11"/>
        <v xml:space="preserve">Campus Planning and the Built Environment </v>
      </c>
      <c r="N12" s="1500">
        <f t="shared" ca="1" si="12"/>
        <v>294586.91530670295</v>
      </c>
      <c r="O12" s="1500">
        <f t="shared" ca="1" si="13"/>
        <v>-5165376.0048345923</v>
      </c>
      <c r="P12" s="1500">
        <f t="shared" ca="1" si="14"/>
        <v>0</v>
      </c>
      <c r="Q12" s="1500">
        <f t="shared" ca="1" si="15"/>
        <v>0</v>
      </c>
      <c r="R12" s="1500">
        <f t="shared" ca="1" si="16"/>
        <v>0</v>
      </c>
    </row>
    <row r="13" spans="1:18">
      <c r="A13" s="318" t="s">
        <v>834</v>
      </c>
      <c r="B13" s="318" t="str">
        <f t="shared" ca="1" si="0"/>
        <v>Geo Exchange</v>
      </c>
      <c r="C13" s="318" t="str">
        <f t="shared" ca="1" si="1"/>
        <v>BAU</v>
      </c>
      <c r="D13" s="318">
        <f t="shared" ca="1" si="2"/>
        <v>2013</v>
      </c>
      <c r="E13" s="326">
        <f t="shared" ca="1" si="3"/>
        <v>2.6602481319010307</v>
      </c>
      <c r="F13" s="326">
        <f t="shared" ca="1" si="4"/>
        <v>37.230349290324327</v>
      </c>
      <c r="G13" s="326">
        <f t="shared" ca="1" si="5"/>
        <v>-34.570101158423299</v>
      </c>
      <c r="H13" s="325">
        <f t="shared" ca="1" si="6"/>
        <v>1325.7850967006334</v>
      </c>
      <c r="I13" s="325">
        <f t="shared" ca="1" si="7"/>
        <v>1325.7850967006334</v>
      </c>
      <c r="J13" s="1501">
        <f t="shared" ca="1" si="8"/>
        <v>-1.388278697741032</v>
      </c>
      <c r="K13" s="1501">
        <f t="shared" ca="1" si="9"/>
        <v>0.58516554012341149</v>
      </c>
      <c r="L13" s="328">
        <f t="shared" ca="1" si="10"/>
        <v>8.1649316797568802E-2</v>
      </c>
      <c r="M13" s="817" t="str">
        <f t="shared" ca="1" si="11"/>
        <v>On Campus Renewable Energy</v>
      </c>
      <c r="N13" s="1500">
        <f t="shared" ca="1" si="12"/>
        <v>128323.39779706924</v>
      </c>
      <c r="O13" s="1500">
        <f t="shared" ca="1" si="13"/>
        <v>-1388278.6977410319</v>
      </c>
      <c r="P13" s="1500">
        <f t="shared" ca="1" si="14"/>
        <v>0</v>
      </c>
      <c r="Q13" s="1500">
        <f t="shared" ca="1" si="15"/>
        <v>-27073.170731707316</v>
      </c>
      <c r="R13" s="1500">
        <f t="shared" ca="1" si="16"/>
        <v>0</v>
      </c>
    </row>
    <row r="14" spans="1:18">
      <c r="A14" s="318" t="s">
        <v>848</v>
      </c>
      <c r="B14" s="318" t="str">
        <f t="shared" ca="1" si="0"/>
        <v>Solar DHW</v>
      </c>
      <c r="C14" s="318" t="str">
        <f t="shared" ca="1" si="1"/>
        <v>BAU</v>
      </c>
      <c r="D14" s="318">
        <f t="shared" ca="1" si="2"/>
        <v>2012</v>
      </c>
      <c r="E14" s="326">
        <f t="shared" ca="1" si="3"/>
        <v>6.1336299893506787</v>
      </c>
      <c r="F14" s="326">
        <f t="shared" ca="1" si="4"/>
        <v>32.912350172409127</v>
      </c>
      <c r="G14" s="326">
        <f t="shared" ca="1" si="5"/>
        <v>-26.778720183058446</v>
      </c>
      <c r="H14" s="325">
        <f t="shared" ca="1" si="6"/>
        <v>42.106365709288582</v>
      </c>
      <c r="I14" s="325">
        <f t="shared" ca="1" si="7"/>
        <v>42.106365709288582</v>
      </c>
      <c r="J14" s="1501">
        <f t="shared" ca="1" si="8"/>
        <v>-6.9075206328813685E-2</v>
      </c>
      <c r="K14" s="1501">
        <f t="shared" ca="1" si="9"/>
        <v>1.5856191357061272E-2</v>
      </c>
      <c r="L14" s="328">
        <f t="shared" ca="1" si="10"/>
        <v>7.6654843757139893E-2</v>
      </c>
      <c r="M14" s="817" t="str">
        <f t="shared" ca="1" si="11"/>
        <v>On Campus Renewable Energy</v>
      </c>
      <c r="N14" s="1500">
        <f t="shared" ca="1" si="12"/>
        <v>4572.7902073219238</v>
      </c>
      <c r="O14" s="1500">
        <f t="shared" ca="1" si="13"/>
        <v>-69075.206328813685</v>
      </c>
      <c r="P14" s="1500">
        <f t="shared" ca="1" si="14"/>
        <v>0</v>
      </c>
      <c r="Q14" s="1500">
        <f t="shared" ca="1" si="15"/>
        <v>0</v>
      </c>
      <c r="R14" s="1500">
        <f t="shared" ca="1" si="16"/>
        <v>0</v>
      </c>
    </row>
    <row r="15" spans="1:18">
      <c r="A15" s="318" t="s">
        <v>858</v>
      </c>
      <c r="B15" s="318" t="str">
        <f t="shared" ca="1" si="0"/>
        <v>Waste Reduction</v>
      </c>
      <c r="C15" s="318" t="str">
        <f t="shared" ca="1" si="1"/>
        <v>BAU</v>
      </c>
      <c r="D15" s="318">
        <f t="shared" ca="1" si="2"/>
        <v>2012</v>
      </c>
      <c r="E15" s="326">
        <f t="shared" ca="1" si="3"/>
        <v>-17.097335758589974</v>
      </c>
      <c r="F15" s="326">
        <f t="shared" ca="1" si="4"/>
        <v>37.303580562126243</v>
      </c>
      <c r="G15" s="326">
        <f t="shared" ca="1" si="5"/>
        <v>-54.40091632071622</v>
      </c>
      <c r="H15" s="325">
        <f t="shared" ca="1" si="6"/>
        <v>198.27800969072354</v>
      </c>
      <c r="I15" s="325">
        <f t="shared" ca="1" si="7"/>
        <v>198.27800969072354</v>
      </c>
      <c r="J15" s="1501">
        <f t="shared" ca="1" si="8"/>
        <v>0</v>
      </c>
      <c r="K15" s="1501">
        <f t="shared" ca="1" si="9"/>
        <v>0.14085549725550314</v>
      </c>
      <c r="L15" s="328" t="str">
        <f t="shared" ca="1" si="10"/>
        <v/>
      </c>
      <c r="M15" s="817" t="str">
        <f t="shared" ca="1" si="11"/>
        <v>Waste</v>
      </c>
      <c r="N15" s="1500">
        <f t="shared" ca="1" si="12"/>
        <v>0</v>
      </c>
      <c r="O15" s="1500">
        <f t="shared" ca="1" si="13"/>
        <v>0</v>
      </c>
      <c r="P15" s="1500">
        <f t="shared" ca="1" si="14"/>
        <v>0</v>
      </c>
      <c r="Q15" s="1500">
        <f t="shared" ca="1" si="15"/>
        <v>-4756.0975609756097</v>
      </c>
      <c r="R15" s="1500">
        <f t="shared" ca="1" si="16"/>
        <v>7750.5365853658541</v>
      </c>
    </row>
    <row r="16" spans="1:18">
      <c r="A16" s="318" t="s">
        <v>944</v>
      </c>
      <c r="B16" s="318" t="str">
        <f t="shared" ca="1" si="0"/>
        <v>Dish Stirling</v>
      </c>
      <c r="C16" s="318" t="str">
        <f t="shared" ca="1" si="1"/>
        <v>BAU</v>
      </c>
      <c r="D16" s="318">
        <f t="shared" ca="1" si="2"/>
        <v>2020</v>
      </c>
      <c r="E16" s="326">
        <f t="shared" ca="1" si="3"/>
        <v>679.0247248054161</v>
      </c>
      <c r="F16" s="326">
        <f t="shared" ca="1" si="4"/>
        <v>47.700994146724312</v>
      </c>
      <c r="G16" s="326">
        <f t="shared" ca="1" si="5"/>
        <v>631.32373065869183</v>
      </c>
      <c r="H16" s="325">
        <f t="shared" ca="1" si="6"/>
        <v>467.79400407428091</v>
      </c>
      <c r="I16" s="325">
        <f t="shared" ca="1" si="7"/>
        <v>467.79400407428091</v>
      </c>
      <c r="J16" s="1501">
        <f t="shared" ca="1" si="8"/>
        <v>-1.7451046315127783</v>
      </c>
      <c r="K16" s="1501">
        <f t="shared" ca="1" si="9"/>
        <v>-2.5884971249034781</v>
      </c>
      <c r="L16" s="328" t="str">
        <f t="shared" ca="1" si="10"/>
        <v/>
      </c>
      <c r="M16" s="817" t="str">
        <f t="shared" ca="1" si="11"/>
        <v>Renewable Energy</v>
      </c>
      <c r="N16" s="1500">
        <f t="shared" ca="1" si="12"/>
        <v>47806.758666057853</v>
      </c>
      <c r="O16" s="1500">
        <f t="shared" ca="1" si="13"/>
        <v>-1745104.6315127783</v>
      </c>
      <c r="P16" s="1500">
        <f t="shared" ca="1" si="14"/>
        <v>0</v>
      </c>
      <c r="Q16" s="1500">
        <f t="shared" ca="1" si="15"/>
        <v>-157895.73048780486</v>
      </c>
      <c r="R16" s="1500">
        <f t="shared" ca="1" si="16"/>
        <v>0</v>
      </c>
    </row>
    <row r="17" spans="1:18">
      <c r="A17" s="318" t="s">
        <v>945</v>
      </c>
      <c r="B17" s="318" t="str">
        <f t="shared" ca="1" si="0"/>
        <v>Parabolic Trough</v>
      </c>
      <c r="C17" s="318" t="str">
        <f t="shared" ca="1" si="1"/>
        <v>BAU</v>
      </c>
      <c r="D17" s="318">
        <f t="shared" ca="1" si="2"/>
        <v>2010</v>
      </c>
      <c r="E17" s="326">
        <f t="shared" ca="1" si="3"/>
        <v>980.91361256231767</v>
      </c>
      <c r="F17" s="326">
        <f t="shared" ca="1" si="4"/>
        <v>49.919106627120811</v>
      </c>
      <c r="G17" s="326">
        <f t="shared" ca="1" si="5"/>
        <v>930.99450593519691</v>
      </c>
      <c r="H17" s="325">
        <f t="shared" ca="1" si="6"/>
        <v>464.87804592749404</v>
      </c>
      <c r="I17" s="325">
        <f t="shared" ca="1" si="7"/>
        <v>464.87804592749404</v>
      </c>
      <c r="J17" s="1501">
        <f t="shared" ca="1" si="8"/>
        <v>-4.607198720738408</v>
      </c>
      <c r="K17" s="1501">
        <f t="shared" ca="1" si="9"/>
        <v>-4.8144128743483998</v>
      </c>
      <c r="L17" s="328" t="str">
        <f t="shared" ca="1" si="10"/>
        <v/>
      </c>
      <c r="M17" s="817" t="str">
        <f t="shared" ca="1" si="11"/>
        <v>Renewable Energy</v>
      </c>
      <c r="N17" s="1500">
        <f t="shared" ca="1" si="12"/>
        <v>63085.013269827519</v>
      </c>
      <c r="O17" s="1500">
        <f t="shared" ca="1" si="13"/>
        <v>-4607198.7207384082</v>
      </c>
      <c r="P17" s="1500">
        <f t="shared" ca="1" si="14"/>
        <v>0</v>
      </c>
      <c r="Q17" s="1500">
        <f t="shared" ca="1" si="15"/>
        <v>-112102.06560975609</v>
      </c>
      <c r="R17" s="1500">
        <f t="shared" ca="1" si="16"/>
        <v>0</v>
      </c>
    </row>
    <row r="18" spans="1:18">
      <c r="A18" s="318" t="s">
        <v>953</v>
      </c>
      <c r="B18" s="318" t="str">
        <f t="shared" ca="1" si="0"/>
        <v>Green IT</v>
      </c>
      <c r="C18" s="318" t="str">
        <f t="shared" ca="1" si="1"/>
        <v>BehaviorChange</v>
      </c>
      <c r="D18" s="318">
        <f t="shared" ca="1" si="2"/>
        <v>2010</v>
      </c>
      <c r="E18" s="326">
        <f t="shared" ca="1" si="3"/>
        <v>-125.45472871432995</v>
      </c>
      <c r="F18" s="326">
        <f t="shared" ca="1" si="4"/>
        <v>34.986541744166139</v>
      </c>
      <c r="G18" s="326">
        <f t="shared" ca="1" si="5"/>
        <v>-160.44127045849609</v>
      </c>
      <c r="H18" s="325">
        <f t="shared" ca="1" si="6"/>
        <v>5417.6997125980952</v>
      </c>
      <c r="I18" s="325">
        <f t="shared" ca="1" si="7"/>
        <v>5417.6997125980952</v>
      </c>
      <c r="J18" s="1501">
        <f t="shared" ca="1" si="8"/>
        <v>-2.252317014887343E-2</v>
      </c>
      <c r="K18" s="1501">
        <f t="shared" ca="1" si="9"/>
        <v>12.406533812469739</v>
      </c>
      <c r="L18" s="328" t="str">
        <f t="shared" ca="1" si="10"/>
        <v/>
      </c>
      <c r="M18" s="817" t="str">
        <f t="shared" ca="1" si="11"/>
        <v>Information Technology</v>
      </c>
      <c r="N18" s="1500">
        <f t="shared" ca="1" si="12"/>
        <v>722804.63149441546</v>
      </c>
      <c r="O18" s="1500">
        <f t="shared" ca="1" si="13"/>
        <v>-22523.170148873429</v>
      </c>
      <c r="P18" s="1500">
        <f t="shared" ca="1" si="14"/>
        <v>0</v>
      </c>
      <c r="Q18" s="1500">
        <f t="shared" ca="1" si="15"/>
        <v>-19463.414634146342</v>
      </c>
      <c r="R18" s="1500">
        <f t="shared" ca="1" si="16"/>
        <v>0</v>
      </c>
    </row>
    <row r="19" spans="1:18">
      <c r="A19" s="318" t="s">
        <v>955</v>
      </c>
      <c r="B19" s="318" t="str">
        <f t="shared" ca="1" si="0"/>
        <v>Building Design &amp; Construction Standards</v>
      </c>
      <c r="C19" s="318" t="str">
        <f t="shared" ca="1" si="1"/>
        <v>SpacePlanning</v>
      </c>
      <c r="D19" s="318">
        <f t="shared" ca="1" si="2"/>
        <v>2010</v>
      </c>
      <c r="E19" s="326">
        <f t="shared" ca="1" si="3"/>
        <v>-62.686548806655011</v>
      </c>
      <c r="F19" s="326">
        <f t="shared" ca="1" si="4"/>
        <v>45.646845546469102</v>
      </c>
      <c r="G19" s="326">
        <f t="shared" ca="1" si="5"/>
        <v>-108.33339435312411</v>
      </c>
      <c r="H19" s="325">
        <f t="shared" ca="1" si="6"/>
        <v>13384.498825664727</v>
      </c>
      <c r="I19" s="325">
        <f t="shared" ca="1" si="7"/>
        <v>13384.498825664727</v>
      </c>
      <c r="J19" s="1501">
        <f t="shared" ca="1" si="8"/>
        <v>-9.6496361975330416</v>
      </c>
      <c r="K19" s="1501">
        <f t="shared" ca="1" si="9"/>
        <v>16.89122771002565</v>
      </c>
      <c r="L19" s="328">
        <f t="shared" ca="1" si="10"/>
        <v>0.18634662302016572</v>
      </c>
      <c r="M19" s="817" t="str">
        <f t="shared" ca="1" si="11"/>
        <v>Campus Planning</v>
      </c>
      <c r="N19" s="1500">
        <f t="shared" ca="1" si="12"/>
        <v>1726664.8496081389</v>
      </c>
      <c r="O19" s="1500">
        <f t="shared" ca="1" si="13"/>
        <v>-9649636.1975330412</v>
      </c>
      <c r="P19" s="1500">
        <f t="shared" ca="1" si="14"/>
        <v>0</v>
      </c>
      <c r="Q19" s="1500">
        <f t="shared" ca="1" si="15"/>
        <v>-2439.0243902439024</v>
      </c>
      <c r="R19" s="1500">
        <f t="shared" ca="1" si="16"/>
        <v>0</v>
      </c>
    </row>
    <row r="20" spans="1:18">
      <c r="A20" s="318" t="s">
        <v>957</v>
      </c>
      <c r="B20" s="318" t="str">
        <f t="shared" ca="1" si="0"/>
        <v>Space Planning &amp; Management</v>
      </c>
      <c r="C20" s="318" t="str">
        <f t="shared" ca="1" si="1"/>
        <v>BAU</v>
      </c>
      <c r="D20" s="318">
        <f t="shared" ca="1" si="2"/>
        <v>2011</v>
      </c>
      <c r="E20" s="326">
        <f t="shared" ca="1" si="3"/>
        <v>-1076.846007063994</v>
      </c>
      <c r="F20" s="326">
        <f t="shared" ca="1" si="4"/>
        <v>51.63236481031516</v>
      </c>
      <c r="G20" s="326">
        <f t="shared" ca="1" si="5"/>
        <v>-1128.4783718743092</v>
      </c>
      <c r="H20" s="325">
        <f t="shared" ca="1" si="6"/>
        <v>43298.154826676764</v>
      </c>
      <c r="I20" s="325">
        <f t="shared" ca="1" si="7"/>
        <v>43298.154826676764</v>
      </c>
      <c r="J20" s="1501">
        <f t="shared" ca="1" si="8"/>
        <v>377.33045007839132</v>
      </c>
      <c r="K20" s="1501">
        <f t="shared" ca="1" si="9"/>
        <v>502.58703058707937</v>
      </c>
      <c r="L20" s="328" t="str">
        <f t="shared" ca="1" si="10"/>
        <v/>
      </c>
      <c r="M20" s="817" t="str">
        <f t="shared" ca="1" si="11"/>
        <v>Energy Conservation</v>
      </c>
      <c r="N20" s="1500">
        <f t="shared" ca="1" si="12"/>
        <v>5580475.6382032586</v>
      </c>
      <c r="O20" s="1500">
        <f t="shared" ca="1" si="13"/>
        <v>0</v>
      </c>
      <c r="P20" s="1500">
        <f t="shared" ca="1" si="14"/>
        <v>377330450.07839131</v>
      </c>
      <c r="Q20" s="1500">
        <f t="shared" ca="1" si="15"/>
        <v>-7317.0731707317073</v>
      </c>
      <c r="R20" s="1500">
        <f t="shared" ca="1" si="16"/>
        <v>4293259.9513237411</v>
      </c>
    </row>
    <row r="21" spans="1:18">
      <c r="A21" s="318" t="s">
        <v>960</v>
      </c>
      <c r="B21" s="318" t="str">
        <f t="shared" ca="1" si="0"/>
        <v>Combined Heat &amp; Power</v>
      </c>
      <c r="C21" s="318" t="str">
        <f t="shared" ca="1" si="1"/>
        <v>CentralChillerExp</v>
      </c>
      <c r="D21" s="318">
        <f t="shared" ca="1" si="2"/>
        <v>2013</v>
      </c>
      <c r="E21" s="326">
        <f t="shared" ca="1" si="3"/>
        <v>-31.807962579838971</v>
      </c>
      <c r="F21" s="326">
        <f t="shared" ca="1" si="4"/>
        <v>41.678792667989754</v>
      </c>
      <c r="G21" s="326">
        <f t="shared" ca="1" si="5"/>
        <v>-73.486755247828725</v>
      </c>
      <c r="H21" s="325">
        <f t="shared" ca="1" si="6"/>
        <v>63714.184844530129</v>
      </c>
      <c r="I21" s="325">
        <f t="shared" ca="1" si="7"/>
        <v>63714.184844530129</v>
      </c>
      <c r="J21" s="1501">
        <f t="shared" ca="1" si="8"/>
        <v>0</v>
      </c>
      <c r="K21" s="1501">
        <f t="shared" ca="1" si="9"/>
        <v>55.556739407014483</v>
      </c>
      <c r="L21" s="328" t="str">
        <f t="shared" ca="1" si="10"/>
        <v/>
      </c>
      <c r="M21" s="817" t="str">
        <f t="shared" ca="1" si="11"/>
        <v>Energy Conservation</v>
      </c>
      <c r="N21" s="1500">
        <f t="shared" ca="1" si="12"/>
        <v>3562900.7011358361</v>
      </c>
      <c r="O21" s="1500">
        <f t="shared" ca="1" si="13"/>
        <v>0</v>
      </c>
      <c r="P21" s="1500">
        <f t="shared" ca="1" si="14"/>
        <v>0</v>
      </c>
      <c r="Q21" s="1500">
        <f t="shared" ca="1" si="15"/>
        <v>-2486680.7781930096</v>
      </c>
      <c r="R21" s="1500">
        <f t="shared" ca="1" si="16"/>
        <v>1228575.7344512199</v>
      </c>
    </row>
    <row r="22" spans="1:18">
      <c r="A22" s="318" t="s">
        <v>961</v>
      </c>
      <c r="B22" s="318" t="str">
        <f t="shared" ca="1" si="0"/>
        <v>Coal to Natural Gas Conversion @ Steam Plant</v>
      </c>
      <c r="C22" s="318" t="str">
        <f t="shared" ca="1" si="1"/>
        <v>BAU</v>
      </c>
      <c r="D22" s="318">
        <f t="shared" ca="1" si="2"/>
        <v>2015</v>
      </c>
      <c r="E22" s="326">
        <f t="shared" ca="1" si="3"/>
        <v>17.959528154390838</v>
      </c>
      <c r="F22" s="326">
        <f t="shared" ca="1" si="4"/>
        <v>42.37578439541474</v>
      </c>
      <c r="G22" s="326">
        <f t="shared" ca="1" si="5"/>
        <v>-24.416256241023902</v>
      </c>
      <c r="H22" s="325">
        <f t="shared" ca="1" si="6"/>
        <v>21590.038453161094</v>
      </c>
      <c r="I22" s="325">
        <f t="shared" ca="1" si="7"/>
        <v>21590.038453161094</v>
      </c>
      <c r="J22" s="1501">
        <f t="shared" ca="1" si="8"/>
        <v>0</v>
      </c>
      <c r="K22" s="1501">
        <f t="shared" ca="1" si="9"/>
        <v>5.822120584542545</v>
      </c>
      <c r="L22" s="328">
        <f t="shared" ca="1" si="10"/>
        <v>0.28769142448745832</v>
      </c>
      <c r="M22" s="817" t="str">
        <f t="shared" ca="1" si="11"/>
        <v>Group9</v>
      </c>
      <c r="N22" s="1500">
        <f t="shared" ca="1" si="12"/>
        <v>-350280.41379252175</v>
      </c>
      <c r="O22" s="1500">
        <f t="shared" ca="1" si="13"/>
        <v>0</v>
      </c>
      <c r="P22" s="1500">
        <f t="shared" ca="1" si="14"/>
        <v>0</v>
      </c>
      <c r="Q22" s="1500">
        <f t="shared" ca="1" si="15"/>
        <v>0</v>
      </c>
      <c r="R22" s="1500">
        <f t="shared" ca="1" si="16"/>
        <v>0</v>
      </c>
    </row>
    <row r="23" spans="1:18">
      <c r="A23" s="318" t="s">
        <v>963</v>
      </c>
      <c r="B23" s="318" t="str">
        <f t="shared" ca="1" si="0"/>
        <v>Central Chiller Expansion</v>
      </c>
      <c r="C23" s="318" t="str">
        <f t="shared" ca="1" si="1"/>
        <v>BAU</v>
      </c>
      <c r="D23" s="318">
        <f t="shared" ca="1" si="2"/>
        <v>2011</v>
      </c>
      <c r="E23" s="326">
        <f t="shared" ca="1" si="3"/>
        <v>-238.57707316254573</v>
      </c>
      <c r="F23" s="326">
        <f t="shared" ca="1" si="4"/>
        <v>37.071832871208422</v>
      </c>
      <c r="G23" s="326">
        <f t="shared" ca="1" si="5"/>
        <v>-275.64890603375414</v>
      </c>
      <c r="H23" s="325">
        <f t="shared" ca="1" si="6"/>
        <v>4922.160145429184</v>
      </c>
      <c r="I23" s="325">
        <f t="shared" ca="1" si="7"/>
        <v>4922.160145429184</v>
      </c>
      <c r="J23" s="1501">
        <f t="shared" ca="1" si="8"/>
        <v>3.5397040672813982</v>
      </c>
      <c r="K23" s="1501">
        <f t="shared" ca="1" si="9"/>
        <v>18.174617701787163</v>
      </c>
      <c r="L23" s="328">
        <f t="shared" ca="1" si="10"/>
        <v>0.8176506747636697</v>
      </c>
      <c r="M23" s="817" t="str">
        <f t="shared" ca="1" si="11"/>
        <v>Energy Conservation</v>
      </c>
      <c r="N23" s="1500">
        <f t="shared" ca="1" si="12"/>
        <v>1122325.0171582999</v>
      </c>
      <c r="O23" s="1500">
        <f t="shared" ca="1" si="13"/>
        <v>-1690546.9278276965</v>
      </c>
      <c r="P23" s="1500">
        <f t="shared" ca="1" si="14"/>
        <v>5230250.9951090943</v>
      </c>
      <c r="Q23" s="1500">
        <f t="shared" ca="1" si="15"/>
        <v>0</v>
      </c>
      <c r="R23" s="1500">
        <f t="shared" ca="1" si="16"/>
        <v>0</v>
      </c>
    </row>
    <row r="24" spans="1:18">
      <c r="A24" s="318" t="s">
        <v>965</v>
      </c>
      <c r="B24" s="318" t="str">
        <f t="shared" ca="1" si="0"/>
        <v>Rooftop Solar PV</v>
      </c>
      <c r="C24" s="318" t="str">
        <f t="shared" ca="1" si="1"/>
        <v>BAU</v>
      </c>
      <c r="D24" s="318">
        <f t="shared" ca="1" si="2"/>
        <v>2015</v>
      </c>
      <c r="E24" s="326">
        <f t="shared" ca="1" si="3"/>
        <v>426.62337235953368</v>
      </c>
      <c r="F24" s="326">
        <f t="shared" ca="1" si="4"/>
        <v>39.730290173388511</v>
      </c>
      <c r="G24" s="326">
        <f t="shared" ca="1" si="5"/>
        <v>386.89308218614519</v>
      </c>
      <c r="H24" s="325">
        <f t="shared" ca="1" si="6"/>
        <v>497.52640520481714</v>
      </c>
      <c r="I24" s="325">
        <f t="shared" ca="1" si="7"/>
        <v>497.52640520481714</v>
      </c>
      <c r="J24" s="1501">
        <f t="shared" ca="1" si="8"/>
        <v>-3.2282845021267441</v>
      </c>
      <c r="K24" s="1501">
        <f t="shared" ca="1" si="9"/>
        <v>-2.242361150181361</v>
      </c>
      <c r="L24" s="328" t="str">
        <f t="shared" ca="1" si="10"/>
        <v/>
      </c>
      <c r="M24" s="817" t="str">
        <f t="shared" ca="1" si="11"/>
        <v>Renewable Energy</v>
      </c>
      <c r="N24" s="1500">
        <f t="shared" ca="1" si="12"/>
        <v>58567.61141009313</v>
      </c>
      <c r="O24" s="1500">
        <f t="shared" ca="1" si="13"/>
        <v>-3228284.502126744</v>
      </c>
      <c r="P24" s="1500">
        <f t="shared" ca="1" si="14"/>
        <v>0</v>
      </c>
      <c r="Q24" s="1500">
        <f t="shared" ca="1" si="15"/>
        <v>0</v>
      </c>
      <c r="R24" s="1500">
        <f t="shared" ca="1" si="16"/>
        <v>0</v>
      </c>
    </row>
    <row r="25" spans="1:18">
      <c r="A25" s="318" t="s">
        <v>969</v>
      </c>
      <c r="B25" s="318" t="str">
        <f t="shared" ca="1" si="0"/>
        <v>Reduced Air Travel</v>
      </c>
      <c r="C25" s="318" t="str">
        <f t="shared" ca="1" si="1"/>
        <v>BAU</v>
      </c>
      <c r="D25" s="318">
        <f t="shared" ca="1" si="2"/>
        <v>2010</v>
      </c>
      <c r="E25" s="326">
        <f t="shared" ca="1" si="3"/>
        <v>-220.06822112410663</v>
      </c>
      <c r="F25" s="326">
        <f t="shared" ca="1" si="4"/>
        <v>34.113208174126356</v>
      </c>
      <c r="G25" s="326">
        <f t="shared" ca="1" si="5"/>
        <v>-254.18142929823298</v>
      </c>
      <c r="H25" s="325">
        <f t="shared" ca="1" si="6"/>
        <v>808.46580262419593</v>
      </c>
      <c r="I25" s="325">
        <f t="shared" ca="1" si="7"/>
        <v>808.46580262419593</v>
      </c>
      <c r="J25" s="1501">
        <f t="shared" ca="1" si="8"/>
        <v>0</v>
      </c>
      <c r="K25" s="1501">
        <f t="shared" ca="1" si="9"/>
        <v>2.9742370293139571</v>
      </c>
      <c r="L25" s="328" t="str">
        <f t="shared" ca="1" si="10"/>
        <v/>
      </c>
      <c r="M25" s="817" t="str">
        <f t="shared" ca="1" si="11"/>
        <v>Transportation</v>
      </c>
      <c r="N25" s="1500">
        <f t="shared" ca="1" si="12"/>
        <v>0</v>
      </c>
      <c r="O25" s="1500">
        <f t="shared" ca="1" si="13"/>
        <v>0</v>
      </c>
      <c r="P25" s="1500">
        <f t="shared" ca="1" si="14"/>
        <v>0</v>
      </c>
      <c r="Q25" s="1500">
        <f t="shared" ca="1" si="15"/>
        <v>0</v>
      </c>
      <c r="R25" s="1500">
        <f t="shared" ca="1" si="16"/>
        <v>177917.63102318</v>
      </c>
    </row>
    <row r="26" spans="1:18">
      <c r="A26" s="318" t="s">
        <v>970</v>
      </c>
      <c r="B26" s="318" t="str">
        <f t="shared" ca="1" si="0"/>
        <v>Reduced Automobile Reliance Strategies</v>
      </c>
      <c r="C26" s="318" t="str">
        <f t="shared" ca="1" si="1"/>
        <v>BAU</v>
      </c>
      <c r="D26" s="318">
        <f t="shared" ca="1" si="2"/>
        <v>2010</v>
      </c>
      <c r="E26" s="326">
        <f t="shared" ca="1" si="3"/>
        <v>123.79174629217583</v>
      </c>
      <c r="F26" s="326">
        <f t="shared" ca="1" si="4"/>
        <v>0</v>
      </c>
      <c r="G26" s="326">
        <f t="shared" ca="1" si="5"/>
        <v>123.79174629217583</v>
      </c>
      <c r="H26" s="325">
        <f t="shared" ca="1" si="6"/>
        <v>1383.5723009482638</v>
      </c>
      <c r="I26" s="325">
        <f t="shared" ca="1" si="7"/>
        <v>1383.5723009482638</v>
      </c>
      <c r="J26" s="1501">
        <f t="shared" ca="1" si="8"/>
        <v>0</v>
      </c>
      <c r="K26" s="1501">
        <f t="shared" ca="1" si="9"/>
        <v>-2.1843418807482258</v>
      </c>
      <c r="L26" s="328" t="str">
        <f t="shared" ca="1" si="10"/>
        <v/>
      </c>
      <c r="M26" s="817" t="str">
        <f t="shared" ca="1" si="11"/>
        <v>Transportation</v>
      </c>
      <c r="N26" s="1500">
        <f t="shared" ca="1" si="12"/>
        <v>0</v>
      </c>
      <c r="O26" s="1500">
        <f t="shared" ca="1" si="13"/>
        <v>0</v>
      </c>
      <c r="P26" s="1500">
        <f t="shared" ca="1" si="14"/>
        <v>0</v>
      </c>
      <c r="Q26" s="1500">
        <f t="shared" ca="1" si="15"/>
        <v>-157411.58536585365</v>
      </c>
      <c r="R26" s="1500">
        <f t="shared" ca="1" si="16"/>
        <v>0</v>
      </c>
    </row>
    <row r="27" spans="1:18">
      <c r="A27" s="318" t="s">
        <v>1394</v>
      </c>
      <c r="B27" s="318" t="str">
        <f t="shared" ca="1" si="0"/>
        <v>Behavior Change</v>
      </c>
      <c r="C27" s="318" t="str">
        <f t="shared" ca="1" si="1"/>
        <v>LongECM</v>
      </c>
      <c r="D27" s="318">
        <f t="shared" ca="1" si="2"/>
        <v>2012</v>
      </c>
      <c r="E27" s="326">
        <f t="shared" ca="1" si="3"/>
        <v>-109.50809255997319</v>
      </c>
      <c r="F27" s="326">
        <f t="shared" ca="1" si="4"/>
        <v>40.627006549429929</v>
      </c>
      <c r="G27" s="326">
        <f t="shared" ca="1" si="5"/>
        <v>-150.13509910940311</v>
      </c>
      <c r="H27" s="325">
        <f t="shared" ca="1" si="6"/>
        <v>3426.4780230002734</v>
      </c>
      <c r="I27" s="325">
        <f t="shared" ca="1" si="7"/>
        <v>3426.4780230002734</v>
      </c>
      <c r="J27" s="1501">
        <f t="shared" ca="1" si="8"/>
        <v>0</v>
      </c>
      <c r="K27" s="1501">
        <f t="shared" ca="1" si="9"/>
        <v>6.3410997286014528</v>
      </c>
      <c r="L27" s="328">
        <f t="shared" ca="1" si="10"/>
        <v>1.2108224493272133</v>
      </c>
      <c r="M27" s="817" t="str">
        <f t="shared" ca="1" si="11"/>
        <v>Energy Conservation</v>
      </c>
      <c r="N27" s="1500">
        <f t="shared" ca="1" si="12"/>
        <v>437757.72653997515</v>
      </c>
      <c r="O27" s="1500">
        <f t="shared" ca="1" si="13"/>
        <v>0</v>
      </c>
      <c r="P27" s="1500">
        <f t="shared" ca="1" si="14"/>
        <v>0</v>
      </c>
      <c r="Q27" s="1500">
        <f t="shared" ca="1" si="15"/>
        <v>-53658.536585365851</v>
      </c>
      <c r="R27" s="1500">
        <f t="shared" ca="1" si="16"/>
        <v>0</v>
      </c>
    </row>
    <row r="28" spans="1:18">
      <c r="A28" s="318"/>
      <c r="B28" s="318" t="e">
        <f t="shared" ca="1" si="0"/>
        <v>#REF!</v>
      </c>
      <c r="C28" s="318" t="e">
        <f t="shared" ca="1" si="1"/>
        <v>#REF!</v>
      </c>
      <c r="D28" s="318" t="e">
        <f t="shared" ca="1" si="2"/>
        <v>#REF!</v>
      </c>
      <c r="E28" s="326" t="e">
        <f ca="1">OFFSET(INDIRECT($A28,),12,7)+0.001</f>
        <v>#REF!</v>
      </c>
      <c r="F28" s="326" t="e">
        <f t="shared" ca="1" si="4"/>
        <v>#REF!</v>
      </c>
      <c r="G28" s="326" t="str">
        <f t="shared" ca="1" si="5"/>
        <v/>
      </c>
      <c r="H28" s="325" t="e">
        <f t="shared" ca="1" si="6"/>
        <v>#REF!</v>
      </c>
      <c r="I28" s="325" t="e">
        <f t="shared" ca="1" si="7"/>
        <v>#REF!</v>
      </c>
      <c r="J28" s="1501" t="e">
        <f t="shared" ca="1" si="8"/>
        <v>#REF!</v>
      </c>
      <c r="K28" s="1501" t="e">
        <f t="shared" ca="1" si="9"/>
        <v>#REF!</v>
      </c>
      <c r="L28" s="328" t="e">
        <f t="shared" ca="1" si="10"/>
        <v>#REF!</v>
      </c>
      <c r="M28" s="817" t="e">
        <f t="shared" ca="1" si="11"/>
        <v>#REF!</v>
      </c>
      <c r="N28" s="1500" t="e">
        <f t="shared" ca="1" si="12"/>
        <v>#REF!</v>
      </c>
      <c r="O28" s="1500" t="e">
        <f t="shared" ca="1" si="13"/>
        <v>#REF!</v>
      </c>
      <c r="P28" s="1500" t="e">
        <f t="shared" ca="1" si="14"/>
        <v>#REF!</v>
      </c>
      <c r="Q28" s="1500" t="e">
        <f t="shared" ca="1" si="15"/>
        <v>#REF!</v>
      </c>
      <c r="R28" s="1500" t="e">
        <f t="shared" ca="1" si="16"/>
        <v>#REF!</v>
      </c>
    </row>
    <row r="29" spans="1:18">
      <c r="A29" s="318"/>
      <c r="B29" s="318" t="e">
        <f t="shared" ca="1" si="0"/>
        <v>#REF!</v>
      </c>
      <c r="C29" s="318" t="e">
        <f t="shared" ca="1" si="1"/>
        <v>#REF!</v>
      </c>
      <c r="D29" s="318" t="e">
        <f t="shared" ca="1" si="2"/>
        <v>#REF!</v>
      </c>
      <c r="E29" s="326" t="e">
        <f t="shared" ca="1" si="3"/>
        <v>#REF!</v>
      </c>
      <c r="F29" s="326" t="e">
        <f t="shared" ca="1" si="4"/>
        <v>#REF!</v>
      </c>
      <c r="G29" s="326" t="str">
        <f t="shared" ca="1" si="5"/>
        <v/>
      </c>
      <c r="H29" s="325" t="e">
        <f t="shared" ca="1" si="6"/>
        <v>#REF!</v>
      </c>
      <c r="I29" s="325" t="e">
        <f t="shared" ca="1" si="7"/>
        <v>#REF!</v>
      </c>
      <c r="J29" s="1501" t="e">
        <f t="shared" ca="1" si="8"/>
        <v>#REF!</v>
      </c>
      <c r="K29" s="1501" t="e">
        <f t="shared" ca="1" si="9"/>
        <v>#REF!</v>
      </c>
      <c r="L29" s="328" t="e">
        <f t="shared" ca="1" si="10"/>
        <v>#REF!</v>
      </c>
      <c r="M29" s="817" t="e">
        <f t="shared" ca="1" si="11"/>
        <v>#REF!</v>
      </c>
      <c r="N29" s="1500" t="e">
        <f t="shared" ca="1" si="12"/>
        <v>#REF!</v>
      </c>
      <c r="O29" s="1500" t="e">
        <f t="shared" ca="1" si="13"/>
        <v>#REF!</v>
      </c>
      <c r="P29" s="1500" t="e">
        <f t="shared" ca="1" si="14"/>
        <v>#REF!</v>
      </c>
      <c r="Q29" s="1500" t="e">
        <f t="shared" ca="1" si="15"/>
        <v>#REF!</v>
      </c>
      <c r="R29" s="1500" t="e">
        <f t="shared" ca="1" si="16"/>
        <v>#REF!</v>
      </c>
    </row>
    <row r="30" spans="1:18">
      <c r="A30" s="318"/>
      <c r="B30" s="318" t="e">
        <f t="shared" ca="1" si="0"/>
        <v>#REF!</v>
      </c>
      <c r="C30" s="318" t="e">
        <f t="shared" ca="1" si="1"/>
        <v>#REF!</v>
      </c>
      <c r="D30" s="318" t="e">
        <f t="shared" ca="1" si="2"/>
        <v>#REF!</v>
      </c>
      <c r="E30" s="326" t="e">
        <f t="shared" ca="1" si="3"/>
        <v>#REF!</v>
      </c>
      <c r="F30" s="326" t="e">
        <f t="shared" ca="1" si="4"/>
        <v>#REF!</v>
      </c>
      <c r="G30" s="326" t="str">
        <f t="shared" ca="1" si="5"/>
        <v/>
      </c>
      <c r="H30" s="325" t="e">
        <f t="shared" ca="1" si="6"/>
        <v>#REF!</v>
      </c>
      <c r="I30" s="325" t="e">
        <f t="shared" ca="1" si="7"/>
        <v>#REF!</v>
      </c>
      <c r="J30" s="1501" t="e">
        <f t="shared" ca="1" si="8"/>
        <v>#REF!</v>
      </c>
      <c r="K30" s="1501" t="e">
        <f t="shared" ca="1" si="9"/>
        <v>#REF!</v>
      </c>
      <c r="L30" s="328" t="e">
        <f t="shared" ca="1" si="10"/>
        <v>#REF!</v>
      </c>
      <c r="M30" s="817" t="e">
        <f t="shared" ca="1" si="11"/>
        <v>#REF!</v>
      </c>
      <c r="N30" s="1500" t="e">
        <f t="shared" ca="1" si="12"/>
        <v>#REF!</v>
      </c>
      <c r="O30" s="1500" t="e">
        <f t="shared" ca="1" si="13"/>
        <v>#REF!</v>
      </c>
      <c r="P30" s="1500" t="e">
        <f t="shared" ca="1" si="14"/>
        <v>#REF!</v>
      </c>
      <c r="Q30" s="1500" t="e">
        <f t="shared" ca="1" si="15"/>
        <v>#REF!</v>
      </c>
      <c r="R30" s="1500" t="e">
        <f t="shared" ca="1" si="16"/>
        <v>#REF!</v>
      </c>
    </row>
    <row r="31" spans="1:18">
      <c r="A31" s="318"/>
      <c r="B31" s="318" t="e">
        <f t="shared" ca="1" si="0"/>
        <v>#REF!</v>
      </c>
      <c r="C31" s="318" t="e">
        <f t="shared" ca="1" si="1"/>
        <v>#REF!</v>
      </c>
      <c r="D31" s="318" t="e">
        <f t="shared" ca="1" si="2"/>
        <v>#REF!</v>
      </c>
      <c r="E31" s="326" t="e">
        <f t="shared" ca="1" si="3"/>
        <v>#REF!</v>
      </c>
      <c r="F31" s="326" t="e">
        <f t="shared" ca="1" si="4"/>
        <v>#REF!</v>
      </c>
      <c r="G31" s="326" t="str">
        <f t="shared" ca="1" si="5"/>
        <v/>
      </c>
      <c r="H31" s="325" t="e">
        <f t="shared" ca="1" si="6"/>
        <v>#REF!</v>
      </c>
      <c r="I31" s="325" t="e">
        <f t="shared" ca="1" si="7"/>
        <v>#REF!</v>
      </c>
      <c r="J31" s="1501" t="e">
        <f t="shared" ca="1" si="8"/>
        <v>#REF!</v>
      </c>
      <c r="K31" s="1501" t="e">
        <f t="shared" ca="1" si="9"/>
        <v>#REF!</v>
      </c>
      <c r="L31" s="328" t="e">
        <f t="shared" ca="1" si="10"/>
        <v>#REF!</v>
      </c>
      <c r="M31" s="817" t="e">
        <f t="shared" ca="1" si="11"/>
        <v>#REF!</v>
      </c>
      <c r="N31" s="1500" t="e">
        <f t="shared" ca="1" si="12"/>
        <v>#REF!</v>
      </c>
      <c r="O31" s="1500" t="e">
        <f t="shared" ca="1" si="13"/>
        <v>#REF!</v>
      </c>
      <c r="P31" s="1500" t="e">
        <f t="shared" ca="1" si="14"/>
        <v>#REF!</v>
      </c>
      <c r="Q31" s="1500" t="e">
        <f t="shared" ca="1" si="15"/>
        <v>#REF!</v>
      </c>
      <c r="R31" s="1500" t="e">
        <f t="shared" ca="1" si="16"/>
        <v>#REF!</v>
      </c>
    </row>
    <row r="32" spans="1:18">
      <c r="A32" s="318"/>
      <c r="B32" s="318" t="e">
        <f t="shared" ca="1" si="0"/>
        <v>#REF!</v>
      </c>
      <c r="C32" s="318" t="e">
        <f t="shared" ca="1" si="1"/>
        <v>#REF!</v>
      </c>
      <c r="D32" s="318" t="e">
        <f t="shared" ca="1" si="2"/>
        <v>#REF!</v>
      </c>
      <c r="E32" s="326" t="e">
        <f t="shared" ca="1" si="3"/>
        <v>#REF!</v>
      </c>
      <c r="F32" s="326" t="e">
        <f t="shared" ca="1" si="4"/>
        <v>#REF!</v>
      </c>
      <c r="G32" s="326" t="str">
        <f t="shared" ca="1" si="5"/>
        <v/>
      </c>
      <c r="H32" s="325" t="e">
        <f t="shared" ca="1" si="6"/>
        <v>#REF!</v>
      </c>
      <c r="I32" s="325" t="e">
        <f t="shared" ca="1" si="7"/>
        <v>#REF!</v>
      </c>
      <c r="J32" s="1501" t="e">
        <f t="shared" ca="1" si="8"/>
        <v>#REF!</v>
      </c>
      <c r="K32" s="1501" t="e">
        <f t="shared" ca="1" si="9"/>
        <v>#REF!</v>
      </c>
      <c r="L32" s="328" t="e">
        <f t="shared" ca="1" si="10"/>
        <v>#REF!</v>
      </c>
      <c r="M32" s="817" t="e">
        <f t="shared" ca="1" si="11"/>
        <v>#REF!</v>
      </c>
      <c r="N32" s="1500" t="e">
        <f t="shared" ca="1" si="12"/>
        <v>#REF!</v>
      </c>
      <c r="O32" s="1500" t="e">
        <f t="shared" ca="1" si="13"/>
        <v>#REF!</v>
      </c>
      <c r="P32" s="1500" t="e">
        <f t="shared" ca="1" si="14"/>
        <v>#REF!</v>
      </c>
      <c r="Q32" s="1500" t="e">
        <f t="shared" ca="1" si="15"/>
        <v>#REF!</v>
      </c>
      <c r="R32" s="1500" t="e">
        <f t="shared" ca="1" si="16"/>
        <v>#REF!</v>
      </c>
    </row>
    <row r="33" spans="1:18">
      <c r="A33" s="318"/>
      <c r="B33" s="318" t="e">
        <f t="shared" ca="1" si="0"/>
        <v>#REF!</v>
      </c>
      <c r="C33" s="318" t="e">
        <f t="shared" ca="1" si="1"/>
        <v>#REF!</v>
      </c>
      <c r="D33" s="318" t="e">
        <f t="shared" ca="1" si="2"/>
        <v>#REF!</v>
      </c>
      <c r="E33" s="326" t="e">
        <f t="shared" ca="1" si="3"/>
        <v>#REF!</v>
      </c>
      <c r="F33" s="326" t="e">
        <f t="shared" ca="1" si="4"/>
        <v>#REF!</v>
      </c>
      <c r="G33" s="326" t="str">
        <f t="shared" ca="1" si="5"/>
        <v/>
      </c>
      <c r="H33" s="325" t="e">
        <f t="shared" ca="1" si="6"/>
        <v>#REF!</v>
      </c>
      <c r="I33" s="325" t="e">
        <f t="shared" ca="1" si="7"/>
        <v>#REF!</v>
      </c>
      <c r="J33" s="1501" t="e">
        <f t="shared" ca="1" si="8"/>
        <v>#REF!</v>
      </c>
      <c r="K33" s="1501" t="e">
        <f t="shared" ca="1" si="9"/>
        <v>#REF!</v>
      </c>
      <c r="L33" s="328" t="e">
        <f t="shared" ca="1" si="10"/>
        <v>#REF!</v>
      </c>
      <c r="M33" s="817" t="e">
        <f t="shared" ca="1" si="11"/>
        <v>#REF!</v>
      </c>
      <c r="N33" s="1500" t="e">
        <f t="shared" ca="1" si="12"/>
        <v>#REF!</v>
      </c>
      <c r="O33" s="1500" t="e">
        <f t="shared" ca="1" si="13"/>
        <v>#REF!</v>
      </c>
      <c r="P33" s="1500" t="e">
        <f t="shared" ca="1" si="14"/>
        <v>#REF!</v>
      </c>
      <c r="Q33" s="1500" t="e">
        <f t="shared" ca="1" si="15"/>
        <v>#REF!</v>
      </c>
      <c r="R33" s="1500" t="e">
        <f t="shared" ca="1" si="16"/>
        <v>#REF!</v>
      </c>
    </row>
    <row r="34" spans="1:18">
      <c r="A34" s="318"/>
      <c r="B34" s="318" t="e">
        <f t="shared" ca="1" si="0"/>
        <v>#REF!</v>
      </c>
      <c r="C34" s="318" t="e">
        <f t="shared" ca="1" si="1"/>
        <v>#REF!</v>
      </c>
      <c r="D34" s="318" t="e">
        <f t="shared" ca="1" si="2"/>
        <v>#REF!</v>
      </c>
      <c r="E34" s="326" t="e">
        <f t="shared" ca="1" si="3"/>
        <v>#REF!</v>
      </c>
      <c r="F34" s="326" t="e">
        <f t="shared" ca="1" si="4"/>
        <v>#REF!</v>
      </c>
      <c r="G34" s="326" t="str">
        <f t="shared" ca="1" si="5"/>
        <v/>
      </c>
      <c r="H34" s="325" t="e">
        <f t="shared" ca="1" si="6"/>
        <v>#REF!</v>
      </c>
      <c r="I34" s="325" t="e">
        <f t="shared" ca="1" si="7"/>
        <v>#REF!</v>
      </c>
      <c r="J34" s="1501" t="e">
        <f t="shared" ca="1" si="8"/>
        <v>#REF!</v>
      </c>
      <c r="K34" s="1501" t="e">
        <f t="shared" ca="1" si="9"/>
        <v>#REF!</v>
      </c>
      <c r="L34" s="328" t="e">
        <f t="shared" ca="1" si="10"/>
        <v>#REF!</v>
      </c>
      <c r="M34" s="817" t="e">
        <f t="shared" ca="1" si="11"/>
        <v>#REF!</v>
      </c>
      <c r="N34" s="1500" t="e">
        <f t="shared" ca="1" si="12"/>
        <v>#REF!</v>
      </c>
      <c r="O34" s="1500" t="e">
        <f t="shared" ca="1" si="13"/>
        <v>#REF!</v>
      </c>
      <c r="P34" s="1500" t="e">
        <f t="shared" ca="1" si="14"/>
        <v>#REF!</v>
      </c>
      <c r="Q34" s="1500" t="e">
        <f t="shared" ca="1" si="15"/>
        <v>#REF!</v>
      </c>
      <c r="R34" s="1500" t="e">
        <f t="shared" ca="1" si="16"/>
        <v>#REF!</v>
      </c>
    </row>
    <row r="35" spans="1:18">
      <c r="A35" s="318"/>
      <c r="B35" s="318" t="e">
        <f t="shared" ca="1" si="0"/>
        <v>#REF!</v>
      </c>
      <c r="C35" s="318" t="e">
        <f t="shared" ca="1" si="1"/>
        <v>#REF!</v>
      </c>
      <c r="D35" s="318" t="e">
        <f t="shared" ca="1" si="2"/>
        <v>#REF!</v>
      </c>
      <c r="E35" s="326" t="e">
        <f t="shared" ca="1" si="3"/>
        <v>#REF!</v>
      </c>
      <c r="F35" s="326" t="e">
        <f t="shared" ca="1" si="4"/>
        <v>#REF!</v>
      </c>
      <c r="G35" s="326" t="str">
        <f t="shared" ca="1" si="5"/>
        <v/>
      </c>
      <c r="H35" s="325" t="e">
        <f t="shared" ca="1" si="6"/>
        <v>#REF!</v>
      </c>
      <c r="I35" s="325" t="e">
        <f t="shared" ca="1" si="7"/>
        <v>#REF!</v>
      </c>
      <c r="J35" s="1501" t="e">
        <f t="shared" ca="1" si="8"/>
        <v>#REF!</v>
      </c>
      <c r="K35" s="1501" t="e">
        <f t="shared" ca="1" si="9"/>
        <v>#REF!</v>
      </c>
      <c r="L35" s="328" t="e">
        <f t="shared" ca="1" si="10"/>
        <v>#REF!</v>
      </c>
      <c r="M35" s="817" t="e">
        <f t="shared" ca="1" si="11"/>
        <v>#REF!</v>
      </c>
      <c r="N35" s="1500" t="e">
        <f t="shared" ca="1" si="12"/>
        <v>#REF!</v>
      </c>
      <c r="O35" s="1500" t="e">
        <f t="shared" ca="1" si="13"/>
        <v>#REF!</v>
      </c>
      <c r="P35" s="1500" t="e">
        <f t="shared" ca="1" si="14"/>
        <v>#REF!</v>
      </c>
      <c r="Q35" s="1500" t="e">
        <f t="shared" ca="1" si="15"/>
        <v>#REF!</v>
      </c>
      <c r="R35" s="1500" t="e">
        <f t="shared" ca="1" si="16"/>
        <v>#REF!</v>
      </c>
    </row>
    <row r="36" spans="1:18">
      <c r="A36" s="318"/>
      <c r="B36" s="318" t="e">
        <f t="shared" ca="1" si="0"/>
        <v>#REF!</v>
      </c>
      <c r="C36" s="318" t="e">
        <f t="shared" ca="1" si="1"/>
        <v>#REF!</v>
      </c>
      <c r="D36" s="318" t="e">
        <f t="shared" ca="1" si="2"/>
        <v>#REF!</v>
      </c>
      <c r="E36" s="326" t="e">
        <f t="shared" ca="1" si="3"/>
        <v>#REF!</v>
      </c>
      <c r="F36" s="326" t="e">
        <f t="shared" ca="1" si="4"/>
        <v>#REF!</v>
      </c>
      <c r="G36" s="326" t="str">
        <f t="shared" ca="1" si="5"/>
        <v/>
      </c>
      <c r="H36" s="325" t="e">
        <f t="shared" ca="1" si="6"/>
        <v>#REF!</v>
      </c>
      <c r="I36" s="325" t="e">
        <f t="shared" ca="1" si="7"/>
        <v>#REF!</v>
      </c>
      <c r="J36" s="1501" t="e">
        <f t="shared" ca="1" si="8"/>
        <v>#REF!</v>
      </c>
      <c r="K36" s="1501" t="e">
        <f t="shared" ca="1" si="9"/>
        <v>#REF!</v>
      </c>
      <c r="L36" s="328" t="e">
        <f t="shared" ca="1" si="10"/>
        <v>#REF!</v>
      </c>
      <c r="M36" s="817" t="e">
        <f t="shared" ca="1" si="11"/>
        <v>#REF!</v>
      </c>
      <c r="N36" s="1500" t="e">
        <f t="shared" ca="1" si="12"/>
        <v>#REF!</v>
      </c>
      <c r="O36" s="1500" t="e">
        <f t="shared" ca="1" si="13"/>
        <v>#REF!</v>
      </c>
      <c r="P36" s="1500" t="e">
        <f t="shared" ca="1" si="14"/>
        <v>#REF!</v>
      </c>
      <c r="Q36" s="1500" t="e">
        <f t="shared" ca="1" si="15"/>
        <v>#REF!</v>
      </c>
      <c r="R36" s="1500" t="e">
        <f t="shared" ca="1" si="16"/>
        <v>#REF!</v>
      </c>
    </row>
    <row r="37" spans="1:18">
      <c r="A37" s="318"/>
      <c r="B37" s="318"/>
      <c r="C37" s="318"/>
      <c r="D37" s="318"/>
      <c r="E37" s="326"/>
      <c r="F37" s="326"/>
      <c r="G37" s="326"/>
      <c r="H37" s="325"/>
      <c r="I37" s="325"/>
      <c r="J37" s="325"/>
      <c r="K37" s="325"/>
      <c r="L37" s="328"/>
      <c r="M37" s="817"/>
      <c r="N37" s="1500" t="e">
        <f t="shared" ca="1" si="12"/>
        <v>#REF!</v>
      </c>
      <c r="O37" s="1500" t="e">
        <f t="shared" ca="1" si="13"/>
        <v>#REF!</v>
      </c>
      <c r="P37" s="1500" t="e">
        <f t="shared" ca="1" si="14"/>
        <v>#REF!</v>
      </c>
      <c r="Q37" s="1500" t="e">
        <f t="shared" ca="1" si="15"/>
        <v>#REF!</v>
      </c>
      <c r="R37" s="1500" t="e">
        <f t="shared" ca="1" si="16"/>
        <v>#REF!</v>
      </c>
    </row>
    <row r="38" spans="1:18">
      <c r="A38" s="384" t="s">
        <v>423</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Sheet108"/>
  <dimension ref="A1:Z35"/>
  <sheetViews>
    <sheetView workbookViewId="0"/>
  </sheetViews>
  <sheetFormatPr defaultRowHeight="15"/>
  <cols>
    <col min="2" max="2" width="70" customWidth="1"/>
    <col min="3" max="6" width="14.7109375" customWidth="1"/>
    <col min="7" max="7" width="14.7109375" hidden="1" customWidth="1"/>
    <col min="8" max="8" width="14.7109375" customWidth="1"/>
    <col min="9" max="9" width="14.7109375" hidden="1" customWidth="1"/>
    <col min="10" max="12" width="14.7109375" customWidth="1"/>
    <col min="13" max="13" width="21.42578125" customWidth="1"/>
    <col min="25" max="25" width="15.140625" bestFit="1" customWidth="1"/>
  </cols>
  <sheetData>
    <row r="1" spans="1:26" ht="90">
      <c r="A1" s="371" t="s">
        <v>12</v>
      </c>
      <c r="B1" s="252" t="s">
        <v>319</v>
      </c>
      <c r="C1" s="252" t="s">
        <v>294</v>
      </c>
      <c r="D1" s="319" t="str">
        <f>Control!E3</f>
        <v>Levelized Cost (Savings) per MTCDE Avoided:</v>
      </c>
      <c r="E1" s="319" t="str">
        <f>Control!F3</f>
        <v>Levelized Avoided Compliance Cost per MTCDE Avoided:</v>
      </c>
      <c r="F1" s="319" t="str">
        <f>Control!G3</f>
        <v>Adjusted Levelized Cost (Savings) per MTCDE Avoided</v>
      </c>
      <c r="G1" s="319" t="str">
        <f>Control!H3</f>
        <v>Average Annual Abatement (MTCDE)</v>
      </c>
      <c r="H1" s="319" t="str">
        <f>Control!I3</f>
        <v>Average Contribution Toward Neutrality</v>
      </c>
      <c r="I1" s="319" t="str">
        <f>"Cumulative Contribution Toward Neutrality in "&amp;Control!E2&amp;" (MTCDE)"</f>
        <v>Cumulative Contribution Toward Neutrality in 2050 (MTCDE)</v>
      </c>
      <c r="J1" s="319" t="str">
        <f>Control!J3</f>
        <v>PV of Incremental Capital ($MM)</v>
      </c>
      <c r="K1" s="319" t="str">
        <f>Control!K3</f>
        <v>NPV (2010 $MM)</v>
      </c>
      <c r="L1" s="319" t="str">
        <f>Control!L3</f>
        <v>IRR</v>
      </c>
      <c r="M1" s="254" t="s">
        <v>293</v>
      </c>
      <c r="X1" s="322" t="s">
        <v>2951</v>
      </c>
      <c r="Y1">
        <f ca="1">COUNT(K2:K35)</f>
        <v>23</v>
      </c>
    </row>
    <row r="2" spans="1:26">
      <c r="A2" s="318">
        <v>1</v>
      </c>
      <c r="B2" s="335" t="str">
        <f ca="1">IFERROR(HYPERLINK("#"&amp;CELL("address",INDIRECT(INDEX(List_of_Alternatives,MATCH(D2,Levelized_Cost,0)))),INDEX(OFFSET(List_of_Alternatives,0,1),MATCH(D2,Levelized_Cost,0))),"")</f>
        <v>Space Planning &amp; Management</v>
      </c>
      <c r="C2" s="318">
        <f t="shared" ref="C2:C35" ca="1" si="0">IFERROR(INDEX(Year_Implemented,MATCH($D2,Levelized_Cost,0)),"")</f>
        <v>2011</v>
      </c>
      <c r="D2" s="326">
        <f ca="1">IFERROR(SMALL(Levelized_Cost,A2),0)</f>
        <v>-1076.846007063994</v>
      </c>
      <c r="E2" s="326">
        <f t="shared" ref="E2:E35" ca="1" si="1">IFERROR(INDEX(Levelized_Cost_Avoided_Compliance,MATCH($D2,Levelized_Cost,0)),"")</f>
        <v>51.63236481031516</v>
      </c>
      <c r="F2" s="326">
        <f t="shared" ref="F2:F35" ca="1" si="2">IFERROR(INDEX(Levelized_Cost_Adjusted,MATCH($D2,Levelized_Cost,0)),"")</f>
        <v>-1128.4783718743092</v>
      </c>
      <c r="G2" s="325" t="str">
        <f t="shared" ref="G2:G35" ca="1" si="3">IFERROR(INDEX(Average_Abatement,MATCH($D2,Levelized_Cost,0)),"")</f>
        <v/>
      </c>
      <c r="H2" s="325">
        <f t="shared" ref="H2:H35" ca="1" si="4">IFERROR(INDEX(Percent_Neut_Contrib,MATCH($D2,Levelized_Cost,0)),"")</f>
        <v>43298.154826676764</v>
      </c>
      <c r="I2" s="325">
        <f ca="1">IFERROR(H2+I1,H2)</f>
        <v>43298.154826676764</v>
      </c>
      <c r="J2" s="326">
        <f t="shared" ref="J2:J35" ca="1" si="5">IFERROR(INDEX(PV_of_Incremental_Capital,MATCH($D2,Levelized_Cost,0)),"")</f>
        <v>377.33045007839132</v>
      </c>
      <c r="K2" s="326">
        <f t="shared" ref="K2:K35" ca="1" si="6">IFERROR(INDEX(NPV,MATCH($D2,Levelized_Cost,0)),"")</f>
        <v>502.58703058707937</v>
      </c>
      <c r="L2" s="328" t="str">
        <f t="shared" ref="L2:L35" ca="1" si="7">IFERROR(INDEX(IRR,MATCH($D2,Levelized_Cost,0)),"")</f>
        <v/>
      </c>
      <c r="M2" s="325" t="str">
        <f t="shared" ref="M2:M35" ca="1" si="8">IFERROR(INDEX(ReferenceCases,MATCH($D2,Levelized_Cost,0)),"")</f>
        <v>BAU</v>
      </c>
      <c r="X2" t="str">
        <f t="array" aca="1" ref="X2:X35" ca="1">IFERROR(INDEX(OFFSET($B$2,0,0,$Y$1,1),MATCH(ROW(INDIRECT("1:"&amp;ROWS(OFFSET($B$2,0,0,$Y$1,1))))-1,COUNTIF(OFFSET($B$2,0,0,$Y$1,1),"&lt;" &amp;OFFSET($B$2,0,0,$Y$1,1)),0)),"")</f>
        <v>Behavior Change</v>
      </c>
      <c r="Y2" t="str">
        <f ca="1">IFERROR(CODE(B2)&amp;CODE(MID(B2,2,1))&amp;CODE(MID(B2,3,1))&amp;CODE(MID(B2,4,1))&amp;CODE(MID(B2,5,1)),"")</f>
        <v>831129799101</v>
      </c>
      <c r="Z2" t="e">
        <f ca="1">SMALL($Y$2:$Y$24,Y2)</f>
        <v>#NUM!</v>
      </c>
    </row>
    <row r="3" spans="1:26">
      <c r="A3" s="318">
        <f>A2+1</f>
        <v>2</v>
      </c>
      <c r="B3" s="335" t="str">
        <f t="shared" ref="B3:B32" ca="1" si="9">IFERROR(HYPERLINK("#"&amp;CELL("address",INDIRECT(INDEX(List_of_Alternatives,MATCH(D3,Levelized_Cost,0)))),INDEX(OFFSET(List_of_Alternatives,0,1),MATCH(D3,Levelized_Cost,0))),"")</f>
        <v>Central Chiller Expansion</v>
      </c>
      <c r="C3" s="318">
        <f t="shared" ca="1" si="0"/>
        <v>2011</v>
      </c>
      <c r="D3" s="326">
        <f t="shared" ref="D3:D20" ca="1" si="10">IFERROR(SMALL(Levelized_Cost,A3),"")</f>
        <v>-238.57707316254573</v>
      </c>
      <c r="E3" s="326">
        <f t="shared" ca="1" si="1"/>
        <v>37.071832871208422</v>
      </c>
      <c r="F3" s="326">
        <f t="shared" ca="1" si="2"/>
        <v>-275.64890603375414</v>
      </c>
      <c r="G3" s="325" t="str">
        <f t="shared" ca="1" si="3"/>
        <v/>
      </c>
      <c r="H3" s="325">
        <f t="shared" ca="1" si="4"/>
        <v>4922.160145429184</v>
      </c>
      <c r="I3" s="325">
        <f t="shared" ref="I3:I21" ca="1" si="11">IFERROR(H3+I2,H3)</f>
        <v>48220.314972105945</v>
      </c>
      <c r="J3" s="326">
        <f t="shared" ca="1" si="5"/>
        <v>3.5397040672813982</v>
      </c>
      <c r="K3" s="326">
        <f t="shared" ca="1" si="6"/>
        <v>18.174617701787163</v>
      </c>
      <c r="L3" s="328">
        <f t="shared" ca="1" si="7"/>
        <v>0.8176506747636697</v>
      </c>
      <c r="M3" s="325" t="str">
        <f t="shared" ca="1" si="8"/>
        <v>BAU</v>
      </c>
      <c r="X3" t="str">
        <f ca="1"/>
        <v>Building Design &amp; Construction Standards</v>
      </c>
      <c r="Y3" t="str">
        <f t="shared" ref="Y3:Y35" ca="1" si="12">IFERROR(CODE(B3)&amp;CODE(MID(B3,2,1))&amp;CODE(MID(B3,3,1))&amp;CODE(MID(B3,4,1))&amp;CODE(MID(B3,5,1)),"")</f>
        <v>67101110116114</v>
      </c>
    </row>
    <row r="4" spans="1:26">
      <c r="A4" s="318">
        <f t="shared" ref="A4:A35" si="13">A3+1</f>
        <v>3</v>
      </c>
      <c r="B4" s="335" t="str">
        <f t="shared" ca="1" si="9"/>
        <v>Reduced Air Travel</v>
      </c>
      <c r="C4" s="318">
        <f t="shared" ca="1" si="0"/>
        <v>2010</v>
      </c>
      <c r="D4" s="326">
        <f t="shared" ca="1" si="10"/>
        <v>-220.06822112410663</v>
      </c>
      <c r="E4" s="326">
        <f t="shared" ca="1" si="1"/>
        <v>34.113208174126356</v>
      </c>
      <c r="F4" s="326">
        <f t="shared" ca="1" si="2"/>
        <v>-254.18142929823298</v>
      </c>
      <c r="G4" s="325" t="str">
        <f t="shared" ca="1" si="3"/>
        <v/>
      </c>
      <c r="H4" s="325">
        <f t="shared" ca="1" si="4"/>
        <v>808.46580262419593</v>
      </c>
      <c r="I4" s="325">
        <f t="shared" ca="1" si="11"/>
        <v>49028.780774730141</v>
      </c>
      <c r="J4" s="326">
        <f t="shared" ca="1" si="5"/>
        <v>0</v>
      </c>
      <c r="K4" s="326">
        <f t="shared" ca="1" si="6"/>
        <v>2.9742370293139571</v>
      </c>
      <c r="L4" s="328" t="str">
        <f t="shared" ca="1" si="7"/>
        <v/>
      </c>
      <c r="M4" s="325" t="str">
        <f t="shared" ca="1" si="8"/>
        <v>BAU</v>
      </c>
      <c r="X4" t="str">
        <f ca="1"/>
        <v>Central Chiller Expansion</v>
      </c>
      <c r="Y4" t="str">
        <f t="shared" ca="1" si="12"/>
        <v>8210110011799</v>
      </c>
    </row>
    <row r="5" spans="1:26">
      <c r="A5" s="318">
        <f t="shared" si="13"/>
        <v>4</v>
      </c>
      <c r="B5" s="335" t="str">
        <f t="shared" ca="1" si="9"/>
        <v>Green IT</v>
      </c>
      <c r="C5" s="318">
        <f t="shared" ca="1" si="0"/>
        <v>2010</v>
      </c>
      <c r="D5" s="326">
        <f t="shared" ca="1" si="10"/>
        <v>-125.45472871432995</v>
      </c>
      <c r="E5" s="326">
        <f t="shared" ca="1" si="1"/>
        <v>34.986541744166139</v>
      </c>
      <c r="F5" s="326">
        <f t="shared" ca="1" si="2"/>
        <v>-160.44127045849609</v>
      </c>
      <c r="G5" s="325" t="str">
        <f t="shared" ca="1" si="3"/>
        <v/>
      </c>
      <c r="H5" s="325">
        <f t="shared" ca="1" si="4"/>
        <v>5417.6997125980952</v>
      </c>
      <c r="I5" s="325">
        <f t="shared" ca="1" si="11"/>
        <v>54446.480487328234</v>
      </c>
      <c r="J5" s="326">
        <f t="shared" ca="1" si="5"/>
        <v>-2.252317014887343E-2</v>
      </c>
      <c r="K5" s="326">
        <f t="shared" ca="1" si="6"/>
        <v>12.406533812469739</v>
      </c>
      <c r="L5" s="328" t="str">
        <f t="shared" ca="1" si="7"/>
        <v/>
      </c>
      <c r="M5" s="325" t="str">
        <f t="shared" ca="1" si="8"/>
        <v>BehaviorChange</v>
      </c>
      <c r="X5" t="str">
        <f ca="1"/>
        <v>Coal to Natural Gas Conversion @ Steam Plant</v>
      </c>
      <c r="Y5" t="str">
        <f t="shared" ca="1" si="12"/>
        <v>71114101101110</v>
      </c>
    </row>
    <row r="6" spans="1:26">
      <c r="A6" s="318">
        <f t="shared" si="13"/>
        <v>5</v>
      </c>
      <c r="B6" s="335" t="str">
        <f t="shared" ca="1" si="9"/>
        <v>Short-term Energy Conservation Measures</v>
      </c>
      <c r="C6" s="318">
        <f t="shared" ca="1" si="0"/>
        <v>2010</v>
      </c>
      <c r="D6" s="326">
        <f t="shared" ca="1" si="10"/>
        <v>-115.74016509626473</v>
      </c>
      <c r="E6" s="326">
        <f t="shared" ca="1" si="1"/>
        <v>34.907043783416192</v>
      </c>
      <c r="F6" s="326">
        <f t="shared" ca="1" si="2"/>
        <v>-150.64720887968093</v>
      </c>
      <c r="G6" s="325" t="str">
        <f t="shared" ca="1" si="3"/>
        <v/>
      </c>
      <c r="H6" s="325">
        <f t="shared" ca="1" si="4"/>
        <v>12706.954590068692</v>
      </c>
      <c r="I6" s="325">
        <f t="shared" ca="1" si="11"/>
        <v>67153.43507739692</v>
      </c>
      <c r="J6" s="326">
        <f t="shared" ca="1" si="5"/>
        <v>-1.5703047352544957</v>
      </c>
      <c r="K6" s="326">
        <f t="shared" ca="1" si="6"/>
        <v>27.384824058106023</v>
      </c>
      <c r="L6" s="328">
        <f t="shared" ca="1" si="7"/>
        <v>4.7790333494326473</v>
      </c>
      <c r="M6" s="325" t="str">
        <f t="shared" ca="1" si="8"/>
        <v>GreenBuild</v>
      </c>
      <c r="X6" t="str">
        <f ca="1"/>
        <v>Combined Heat &amp; Power</v>
      </c>
      <c r="Y6" t="str">
        <f t="shared" ca="1" si="12"/>
        <v>83104111114116</v>
      </c>
    </row>
    <row r="7" spans="1:26">
      <c r="A7" s="318">
        <f t="shared" si="13"/>
        <v>6</v>
      </c>
      <c r="B7" s="335" t="str">
        <f t="shared" ca="1" si="9"/>
        <v>Behavior Change</v>
      </c>
      <c r="C7" s="318">
        <f t="shared" ca="1" si="0"/>
        <v>2012</v>
      </c>
      <c r="D7" s="326">
        <f t="shared" ca="1" si="10"/>
        <v>-109.50809255997319</v>
      </c>
      <c r="E7" s="326">
        <f t="shared" ca="1" si="1"/>
        <v>40.627006549429929</v>
      </c>
      <c r="F7" s="326">
        <f t="shared" ca="1" si="2"/>
        <v>-150.13509910940311</v>
      </c>
      <c r="G7" s="325" t="str">
        <f t="shared" ca="1" si="3"/>
        <v/>
      </c>
      <c r="H7" s="325">
        <f t="shared" ca="1" si="4"/>
        <v>3426.4780230002734</v>
      </c>
      <c r="I7" s="325">
        <f t="shared" ca="1" si="11"/>
        <v>70579.9131003972</v>
      </c>
      <c r="J7" s="326">
        <f t="shared" ca="1" si="5"/>
        <v>0</v>
      </c>
      <c r="K7" s="326">
        <f t="shared" ca="1" si="6"/>
        <v>6.3410997286014528</v>
      </c>
      <c r="L7" s="328">
        <f t="shared" ca="1" si="7"/>
        <v>1.2108224493272133</v>
      </c>
      <c r="M7" s="325" t="str">
        <f t="shared" ca="1" si="8"/>
        <v>LongECM</v>
      </c>
      <c r="X7" t="str">
        <f ca="1"/>
        <v>Dish Stirling</v>
      </c>
      <c r="Y7" t="str">
        <f t="shared" ca="1" si="12"/>
        <v>6610110497118</v>
      </c>
    </row>
    <row r="8" spans="1:26">
      <c r="A8" s="318">
        <f t="shared" si="13"/>
        <v>7</v>
      </c>
      <c r="B8" s="335" t="str">
        <f t="shared" ca="1" si="9"/>
        <v>Steam Line Improvements</v>
      </c>
      <c r="C8" s="318">
        <f t="shared" ca="1" si="0"/>
        <v>2012</v>
      </c>
      <c r="D8" s="326">
        <f t="shared" ca="1" si="10"/>
        <v>-97.677702400310238</v>
      </c>
      <c r="E8" s="326">
        <f t="shared" ca="1" si="1"/>
        <v>36.024279718290806</v>
      </c>
      <c r="F8" s="326">
        <f t="shared" ca="1" si="2"/>
        <v>-133.70198211860105</v>
      </c>
      <c r="G8" s="325" t="str">
        <f t="shared" ca="1" si="3"/>
        <v/>
      </c>
      <c r="H8" s="325">
        <f t="shared" ca="1" si="4"/>
        <v>3808.4695425456416</v>
      </c>
      <c r="I8" s="325">
        <f t="shared" ca="1" si="11"/>
        <v>74388.382642942845</v>
      </c>
      <c r="J8" s="326">
        <f t="shared" ca="1" si="5"/>
        <v>-0.67500201624247891</v>
      </c>
      <c r="K8" s="326">
        <f t="shared" ca="1" si="6"/>
        <v>6.7149691346775056</v>
      </c>
      <c r="L8" s="328">
        <f t="shared" ca="1" si="7"/>
        <v>0.5694629862057734</v>
      </c>
      <c r="M8" s="325" t="str">
        <f t="shared" ca="1" si="8"/>
        <v>BAU</v>
      </c>
      <c r="X8" t="str">
        <f ca="1"/>
        <v>Geo Exchange</v>
      </c>
      <c r="Y8" t="str">
        <f t="shared" ca="1" si="12"/>
        <v>8311610197109</v>
      </c>
    </row>
    <row r="9" spans="1:26">
      <c r="A9" s="318">
        <f t="shared" si="13"/>
        <v>8</v>
      </c>
      <c r="B9" s="335" t="str">
        <f t="shared" ca="1" si="9"/>
        <v>Mid-term Energy Conservation Measures</v>
      </c>
      <c r="C9" s="318">
        <f t="shared" ca="1" si="0"/>
        <v>2010</v>
      </c>
      <c r="D9" s="326">
        <f t="shared" ca="1" si="10"/>
        <v>-95.617893431330998</v>
      </c>
      <c r="E9" s="326">
        <f t="shared" ca="1" si="1"/>
        <v>48.225159284983498</v>
      </c>
      <c r="F9" s="326">
        <f t="shared" ca="1" si="2"/>
        <v>-143.8430527163145</v>
      </c>
      <c r="G9" s="325" t="str">
        <f t="shared" ca="1" si="3"/>
        <v/>
      </c>
      <c r="H9" s="325">
        <f t="shared" ca="1" si="4"/>
        <v>10151.873400798731</v>
      </c>
      <c r="I9" s="325">
        <f t="shared" ca="1" si="11"/>
        <v>84540.256043741581</v>
      </c>
      <c r="J9" s="326">
        <f t="shared" ca="1" si="5"/>
        <v>-3.4210101138174691</v>
      </c>
      <c r="K9" s="326">
        <f t="shared" ca="1" si="6"/>
        <v>16.686985523753968</v>
      </c>
      <c r="L9" s="328">
        <f t="shared" ca="1" si="7"/>
        <v>0.43864370259056834</v>
      </c>
      <c r="M9" s="325" t="str">
        <f t="shared" ca="1" si="8"/>
        <v>ShortECM</v>
      </c>
      <c r="X9" t="str">
        <f ca="1"/>
        <v>Green IT</v>
      </c>
      <c r="Y9" t="str">
        <f t="shared" ca="1" si="12"/>
        <v>7710510045116</v>
      </c>
    </row>
    <row r="10" spans="1:26">
      <c r="A10" s="318">
        <f t="shared" si="13"/>
        <v>9</v>
      </c>
      <c r="B10" s="335" t="str">
        <f t="shared" ca="1" si="9"/>
        <v>Long-term Energy Conservation Measures</v>
      </c>
      <c r="C10" s="318">
        <f t="shared" ca="1" si="0"/>
        <v>2010</v>
      </c>
      <c r="D10" s="326">
        <f t="shared" ca="1" si="10"/>
        <v>-68.286883813284135</v>
      </c>
      <c r="E10" s="326">
        <f t="shared" ca="1" si="1"/>
        <v>67.862178609158292</v>
      </c>
      <c r="F10" s="326">
        <f t="shared" ca="1" si="2"/>
        <v>-136.14906242244243</v>
      </c>
      <c r="G10" s="325" t="str">
        <f t="shared" ca="1" si="3"/>
        <v/>
      </c>
      <c r="H10" s="325">
        <f t="shared" ca="1" si="4"/>
        <v>5532.9374650749687</v>
      </c>
      <c r="I10" s="325">
        <f t="shared" ca="1" si="11"/>
        <v>90073.193508816548</v>
      </c>
      <c r="J10" s="326">
        <f t="shared" ca="1" si="5"/>
        <v>-2.9003889718067661</v>
      </c>
      <c r="K10" s="326">
        <f t="shared" ca="1" si="6"/>
        <v>6.3991333299074604</v>
      </c>
      <c r="L10" s="328">
        <f t="shared" ca="1" si="7"/>
        <v>0.26550178507098932</v>
      </c>
      <c r="M10" s="325" t="str">
        <f t="shared" ca="1" si="8"/>
        <v>MidECM</v>
      </c>
      <c r="X10" t="str">
        <f ca="1"/>
        <v>Green Power Purchase (MCCo Reserve Fund)</v>
      </c>
      <c r="Y10" t="str">
        <f t="shared" ca="1" si="12"/>
        <v>7611111010345</v>
      </c>
    </row>
    <row r="11" spans="1:26">
      <c r="A11" s="318">
        <f t="shared" si="13"/>
        <v>10</v>
      </c>
      <c r="B11" s="335" t="str">
        <f t="shared" ca="1" si="9"/>
        <v>Building Design &amp; Construction Standards</v>
      </c>
      <c r="C11" s="318">
        <f t="shared" ca="1" si="0"/>
        <v>2010</v>
      </c>
      <c r="D11" s="326">
        <f t="shared" ca="1" si="10"/>
        <v>-62.686548806655011</v>
      </c>
      <c r="E11" s="326">
        <f t="shared" ca="1" si="1"/>
        <v>45.646845546469102</v>
      </c>
      <c r="F11" s="326">
        <f t="shared" ca="1" si="2"/>
        <v>-108.33339435312411</v>
      </c>
      <c r="G11" s="325" t="str">
        <f t="shared" ca="1" si="3"/>
        <v/>
      </c>
      <c r="H11" s="325">
        <f t="shared" ca="1" si="4"/>
        <v>13384.498825664727</v>
      </c>
      <c r="I11" s="325">
        <f t="shared" ca="1" si="11"/>
        <v>103457.69233448128</v>
      </c>
      <c r="J11" s="326">
        <f t="shared" ca="1" si="5"/>
        <v>-9.6496361975330416</v>
      </c>
      <c r="K11" s="326">
        <f t="shared" ca="1" si="6"/>
        <v>16.89122771002565</v>
      </c>
      <c r="L11" s="328">
        <f t="shared" ca="1" si="7"/>
        <v>0.18634662302016572</v>
      </c>
      <c r="M11" s="325" t="str">
        <f t="shared" ca="1" si="8"/>
        <v>SpacePlanning</v>
      </c>
      <c r="X11" t="str">
        <f ca="1"/>
        <v>Green Power Purchase Opt 1 (Partial)</v>
      </c>
      <c r="Y11" t="str">
        <f t="shared" ca="1" si="12"/>
        <v>66117105108100</v>
      </c>
    </row>
    <row r="12" spans="1:26">
      <c r="A12" s="318">
        <f t="shared" si="13"/>
        <v>11</v>
      </c>
      <c r="B12" s="335" t="str">
        <f t="shared" ca="1" si="9"/>
        <v>Combined Heat &amp; Power</v>
      </c>
      <c r="C12" s="318">
        <f t="shared" ca="1" si="0"/>
        <v>2013</v>
      </c>
      <c r="D12" s="326">
        <f t="shared" ca="1" si="10"/>
        <v>-31.807962579838971</v>
      </c>
      <c r="E12" s="326">
        <f t="shared" ca="1" si="1"/>
        <v>41.678792667989754</v>
      </c>
      <c r="F12" s="326">
        <f t="shared" ca="1" si="2"/>
        <v>-73.486755247828725</v>
      </c>
      <c r="G12" s="325" t="str">
        <f t="shared" ca="1" si="3"/>
        <v/>
      </c>
      <c r="H12" s="325">
        <f t="shared" ca="1" si="4"/>
        <v>63714.184844530129</v>
      </c>
      <c r="I12" s="325">
        <f t="shared" ca="1" si="11"/>
        <v>167171.87717901141</v>
      </c>
      <c r="J12" s="326">
        <f t="shared" ca="1" si="5"/>
        <v>0</v>
      </c>
      <c r="K12" s="326">
        <f t="shared" ca="1" si="6"/>
        <v>55.556739407014483</v>
      </c>
      <c r="L12" s="328" t="str">
        <f t="shared" ca="1" si="7"/>
        <v/>
      </c>
      <c r="M12" s="325" t="str">
        <f t="shared" ca="1" si="8"/>
        <v>CentralChillerExp</v>
      </c>
      <c r="X12" t="str">
        <f ca="1"/>
        <v>Long-term Energy Conservation Measures</v>
      </c>
      <c r="Y12" t="str">
        <f t="shared" ca="1" si="12"/>
        <v>6711110998105</v>
      </c>
    </row>
    <row r="13" spans="1:26">
      <c r="A13" s="318">
        <f t="shared" si="13"/>
        <v>12</v>
      </c>
      <c r="B13" s="335" t="str">
        <f t="shared" ca="1" si="9"/>
        <v>Waste Reduction</v>
      </c>
      <c r="C13" s="318">
        <f t="shared" ca="1" si="0"/>
        <v>2012</v>
      </c>
      <c r="D13" s="326">
        <f t="shared" ca="1" si="10"/>
        <v>-17.097335758589974</v>
      </c>
      <c r="E13" s="326">
        <f t="shared" ca="1" si="1"/>
        <v>37.303580562126243</v>
      </c>
      <c r="F13" s="326">
        <f t="shared" ca="1" si="2"/>
        <v>-54.40091632071622</v>
      </c>
      <c r="G13" s="325" t="str">
        <f t="shared" ca="1" si="3"/>
        <v/>
      </c>
      <c r="H13" s="325">
        <f t="shared" ca="1" si="4"/>
        <v>198.27800969072354</v>
      </c>
      <c r="I13" s="325">
        <f t="shared" ca="1" si="11"/>
        <v>167370.15518870213</v>
      </c>
      <c r="J13" s="326">
        <f t="shared" ca="1" si="5"/>
        <v>0</v>
      </c>
      <c r="K13" s="326">
        <f t="shared" ca="1" si="6"/>
        <v>0.14085549725550314</v>
      </c>
      <c r="L13" s="328" t="str">
        <f t="shared" ca="1" si="7"/>
        <v/>
      </c>
      <c r="M13" s="325" t="str">
        <f t="shared" ca="1" si="8"/>
        <v>BAU</v>
      </c>
      <c r="X13" t="str">
        <f ca="1"/>
        <v>Mid-term Energy Conservation Measures</v>
      </c>
      <c r="Y13" t="str">
        <f t="shared" ca="1" si="12"/>
        <v>8797115116101</v>
      </c>
    </row>
    <row r="14" spans="1:26">
      <c r="A14" s="318">
        <f t="shared" si="13"/>
        <v>13</v>
      </c>
      <c r="B14" s="335" t="str">
        <f t="shared" ca="1" si="9"/>
        <v>Geo Exchange</v>
      </c>
      <c r="C14" s="318">
        <f t="shared" ca="1" si="0"/>
        <v>2013</v>
      </c>
      <c r="D14" s="326">
        <f t="shared" ca="1" si="10"/>
        <v>2.6602481319010307</v>
      </c>
      <c r="E14" s="326">
        <f t="shared" ca="1" si="1"/>
        <v>37.230349290324327</v>
      </c>
      <c r="F14" s="326">
        <f t="shared" ca="1" si="2"/>
        <v>-34.570101158423299</v>
      </c>
      <c r="G14" s="325" t="str">
        <f t="shared" ca="1" si="3"/>
        <v/>
      </c>
      <c r="H14" s="325">
        <f t="shared" ca="1" si="4"/>
        <v>1325.7850967006334</v>
      </c>
      <c r="I14" s="325">
        <f t="shared" ca="1" si="11"/>
        <v>168695.94028540276</v>
      </c>
      <c r="J14" s="326">
        <f t="shared" ca="1" si="5"/>
        <v>-1.388278697741032</v>
      </c>
      <c r="K14" s="326">
        <f t="shared" ca="1" si="6"/>
        <v>0.58516554012341149</v>
      </c>
      <c r="L14" s="328">
        <f t="shared" ca="1" si="7"/>
        <v>8.1649316797568802E-2</v>
      </c>
      <c r="M14" s="325" t="str">
        <f t="shared" ca="1" si="8"/>
        <v>BAU</v>
      </c>
      <c r="X14" t="str">
        <f ca="1"/>
        <v>On-site Wind</v>
      </c>
      <c r="Y14" t="str">
        <f t="shared" ca="1" si="12"/>
        <v>711011113269</v>
      </c>
    </row>
    <row r="15" spans="1:26">
      <c r="A15" s="318">
        <f t="shared" si="13"/>
        <v>14</v>
      </c>
      <c r="B15" s="335" t="str">
        <f t="shared" ca="1" si="9"/>
        <v>Solar DHW</v>
      </c>
      <c r="C15" s="318">
        <f t="shared" ca="1" si="0"/>
        <v>2012</v>
      </c>
      <c r="D15" s="326">
        <f t="shared" ca="1" si="10"/>
        <v>6.1336299893506787</v>
      </c>
      <c r="E15" s="326">
        <f t="shared" ca="1" si="1"/>
        <v>32.912350172409127</v>
      </c>
      <c r="F15" s="326">
        <f t="shared" ca="1" si="2"/>
        <v>-26.778720183058446</v>
      </c>
      <c r="G15" s="325" t="str">
        <f t="shared" ca="1" si="3"/>
        <v/>
      </c>
      <c r="H15" s="325">
        <f t="shared" ca="1" si="4"/>
        <v>42.106365709288582</v>
      </c>
      <c r="I15" s="325">
        <f t="shared" ca="1" si="11"/>
        <v>168738.04665111203</v>
      </c>
      <c r="J15" s="326">
        <f t="shared" ca="1" si="5"/>
        <v>-6.9075206328813685E-2</v>
      </c>
      <c r="K15" s="326">
        <f t="shared" ca="1" si="6"/>
        <v>1.5856191357061272E-2</v>
      </c>
      <c r="L15" s="328">
        <f t="shared" ca="1" si="7"/>
        <v>7.6654843757139893E-2</v>
      </c>
      <c r="M15" s="325" t="str">
        <f t="shared" ca="1" si="8"/>
        <v>BAU</v>
      </c>
      <c r="X15" t="str">
        <f ca="1"/>
        <v>Parabolic Trough</v>
      </c>
      <c r="Y15" t="str">
        <f t="shared" ca="1" si="12"/>
        <v>8311110897114</v>
      </c>
    </row>
    <row r="16" spans="1:26">
      <c r="A16" s="318">
        <f t="shared" si="13"/>
        <v>15</v>
      </c>
      <c r="B16" s="335" t="str">
        <f t="shared" ca="1" si="9"/>
        <v>Green Power Purchase (MCCo Reserve Fund)</v>
      </c>
      <c r="C16" s="318">
        <f t="shared" ca="1" si="0"/>
        <v>2011</v>
      </c>
      <c r="D16" s="326">
        <f t="shared" ca="1" si="10"/>
        <v>7.2056399874036217</v>
      </c>
      <c r="E16" s="326">
        <f t="shared" ca="1" si="1"/>
        <v>44.281944733629203</v>
      </c>
      <c r="F16" s="326">
        <f t="shared" ca="1" si="2"/>
        <v>-37.076304746225581</v>
      </c>
      <c r="G16" s="325" t="str">
        <f t="shared" ca="1" si="3"/>
        <v/>
      </c>
      <c r="H16" s="325">
        <f t="shared" ca="1" si="4"/>
        <v>7240.6766714808564</v>
      </c>
      <c r="I16" s="325">
        <f t="shared" ca="1" si="11"/>
        <v>175978.72332259288</v>
      </c>
      <c r="J16" s="326">
        <f t="shared" ca="1" si="5"/>
        <v>0</v>
      </c>
      <c r="K16" s="326">
        <f t="shared" ca="1" si="6"/>
        <v>3.1899419676495335</v>
      </c>
      <c r="L16" s="328">
        <f t="shared" ca="1" si="7"/>
        <v>8.2655228039597767E-2</v>
      </c>
      <c r="M16" s="325" t="str">
        <f t="shared" ca="1" si="8"/>
        <v>BAU</v>
      </c>
      <c r="X16" t="str">
        <f ca="1"/>
        <v>Reduced Air Travel</v>
      </c>
      <c r="Y16" t="str">
        <f t="shared" ca="1" si="12"/>
        <v>71114101101110</v>
      </c>
    </row>
    <row r="17" spans="1:25">
      <c r="A17" s="318">
        <f t="shared" si="13"/>
        <v>16</v>
      </c>
      <c r="B17" s="335" t="str">
        <f t="shared" ca="1" si="9"/>
        <v>Coal to Natural Gas Conversion @ Steam Plant</v>
      </c>
      <c r="C17" s="318">
        <f t="shared" ca="1" si="0"/>
        <v>2015</v>
      </c>
      <c r="D17" s="326">
        <f t="shared" ca="1" si="10"/>
        <v>17.959528154390838</v>
      </c>
      <c r="E17" s="326">
        <f t="shared" ca="1" si="1"/>
        <v>42.37578439541474</v>
      </c>
      <c r="F17" s="326">
        <f t="shared" ca="1" si="2"/>
        <v>-24.416256241023902</v>
      </c>
      <c r="G17" s="325" t="str">
        <f t="shared" ca="1" si="3"/>
        <v/>
      </c>
      <c r="H17" s="325">
        <f t="shared" ca="1" si="4"/>
        <v>21590.038453161094</v>
      </c>
      <c r="I17" s="325">
        <f t="shared" ca="1" si="11"/>
        <v>197568.76177575398</v>
      </c>
      <c r="J17" s="326">
        <f t="shared" ca="1" si="5"/>
        <v>0</v>
      </c>
      <c r="K17" s="326">
        <f t="shared" ca="1" si="6"/>
        <v>5.822120584542545</v>
      </c>
      <c r="L17" s="328">
        <f t="shared" ca="1" si="7"/>
        <v>0.28769142448745832</v>
      </c>
      <c r="M17" s="325" t="str">
        <f t="shared" ca="1" si="8"/>
        <v>BAU</v>
      </c>
      <c r="X17" t="str">
        <f ca="1"/>
        <v>Reduced Automobile Reliance Strategies</v>
      </c>
      <c r="Y17" t="str">
        <f t="shared" ca="1" si="12"/>
        <v>671119710832</v>
      </c>
    </row>
    <row r="18" spans="1:25">
      <c r="A18" s="318">
        <f t="shared" si="13"/>
        <v>17</v>
      </c>
      <c r="B18" s="335" t="str">
        <f t="shared" ca="1" si="9"/>
        <v>Unitary Chiller Upgrades</v>
      </c>
      <c r="C18" s="318">
        <f t="shared" ca="1" si="0"/>
        <v>2010</v>
      </c>
      <c r="D18" s="326">
        <f t="shared" ca="1" si="10"/>
        <v>33.389665773120427</v>
      </c>
      <c r="E18" s="326">
        <f t="shared" ca="1" si="1"/>
        <v>34.542512501488524</v>
      </c>
      <c r="F18" s="326">
        <f t="shared" ca="1" si="2"/>
        <v>-1.1528467283680968</v>
      </c>
      <c r="G18" s="325" t="str">
        <f t="shared" ca="1" si="3"/>
        <v/>
      </c>
      <c r="H18" s="325">
        <f t="shared" ca="1" si="4"/>
        <v>2209.1357448341951</v>
      </c>
      <c r="I18" s="325">
        <f t="shared" ca="1" si="11"/>
        <v>199777.89752058819</v>
      </c>
      <c r="J18" s="326">
        <f t="shared" ca="1" si="5"/>
        <v>-5.1653760048345925</v>
      </c>
      <c r="K18" s="326">
        <f t="shared" ca="1" si="6"/>
        <v>3.6616959732821391E-2</v>
      </c>
      <c r="L18" s="328">
        <f t="shared" ca="1" si="7"/>
        <v>5.6697807800137362E-2</v>
      </c>
      <c r="M18" s="325" t="str">
        <f t="shared" ca="1" si="8"/>
        <v>BAU</v>
      </c>
      <c r="X18" t="str">
        <f ca="1"/>
        <v>Rooftop Solar PV</v>
      </c>
      <c r="Y18" t="str">
        <f t="shared" ca="1" si="12"/>
        <v>8511010511697</v>
      </c>
    </row>
    <row r="19" spans="1:25">
      <c r="A19" s="318">
        <f t="shared" si="13"/>
        <v>18</v>
      </c>
      <c r="B19" s="335" t="str">
        <f t="shared" ca="1" si="9"/>
        <v>Green Power Purchase Opt 1 (Partial)</v>
      </c>
      <c r="C19" s="318">
        <f t="shared" ca="1" si="0"/>
        <v>2011</v>
      </c>
      <c r="D19" s="326">
        <f t="shared" ca="1" si="10"/>
        <v>35.198540352427607</v>
      </c>
      <c r="E19" s="326">
        <f t="shared" ca="1" si="1"/>
        <v>30.940023516373877</v>
      </c>
      <c r="F19" s="326">
        <f t="shared" ca="1" si="2"/>
        <v>4.2585168360537295</v>
      </c>
      <c r="G19" s="325" t="str">
        <f t="shared" ca="1" si="3"/>
        <v/>
      </c>
      <c r="H19" s="325">
        <f t="shared" ca="1" si="4"/>
        <v>35512.836256398594</v>
      </c>
      <c r="I19" s="325">
        <f t="shared" ca="1" si="11"/>
        <v>235290.73377698677</v>
      </c>
      <c r="J19" s="326">
        <f t="shared" ca="1" si="5"/>
        <v>0</v>
      </c>
      <c r="K19" s="326">
        <f t="shared" ca="1" si="6"/>
        <v>-2.2622640080642507</v>
      </c>
      <c r="L19" s="328" t="str">
        <f t="shared" ca="1" si="7"/>
        <v/>
      </c>
      <c r="M19" s="325" t="str">
        <f t="shared" ca="1" si="8"/>
        <v>BAU</v>
      </c>
      <c r="X19" t="str">
        <f ca="1"/>
        <v>Short-term Energy Conservation Measures</v>
      </c>
      <c r="Y19" t="str">
        <f t="shared" ca="1" si="12"/>
        <v>71114101101110</v>
      </c>
    </row>
    <row r="20" spans="1:25">
      <c r="A20" s="318">
        <f t="shared" si="13"/>
        <v>19</v>
      </c>
      <c r="B20" s="335" t="str">
        <f t="shared" ca="1" si="9"/>
        <v>On-site Wind</v>
      </c>
      <c r="C20" s="318">
        <f t="shared" ca="1" si="0"/>
        <v>2011</v>
      </c>
      <c r="D20" s="326">
        <f t="shared" ca="1" si="10"/>
        <v>91.482591649640057</v>
      </c>
      <c r="E20" s="326">
        <f t="shared" ca="1" si="1"/>
        <v>30.940023516373877</v>
      </c>
      <c r="F20" s="326">
        <f t="shared" ca="1" si="2"/>
        <v>60.54256813326618</v>
      </c>
      <c r="G20" s="325" t="str">
        <f t="shared" ca="1" si="3"/>
        <v/>
      </c>
      <c r="H20" s="325">
        <f t="shared" ca="1" si="4"/>
        <v>124.43697824242069</v>
      </c>
      <c r="I20" s="325">
        <f t="shared" ca="1" si="11"/>
        <v>235415.17075522919</v>
      </c>
      <c r="J20" s="326">
        <f t="shared" ca="1" si="5"/>
        <v>-9.4680328024016921E-2</v>
      </c>
      <c r="K20" s="326">
        <f t="shared" ca="1" si="6"/>
        <v>-0.11269635098799682</v>
      </c>
      <c r="L20" s="328" t="str">
        <f t="shared" ca="1" si="7"/>
        <v/>
      </c>
      <c r="M20" s="325" t="str">
        <f t="shared" ca="1" si="8"/>
        <v>BAU</v>
      </c>
      <c r="X20" t="str">
        <f ca="1"/>
        <v>Solar DHW</v>
      </c>
      <c r="Y20" t="str">
        <f t="shared" ca="1" si="12"/>
        <v>7911045115105</v>
      </c>
    </row>
    <row r="21" spans="1:25">
      <c r="A21" s="318">
        <f t="shared" si="13"/>
        <v>20</v>
      </c>
      <c r="B21" s="335" t="str">
        <f t="shared" ca="1" si="9"/>
        <v>Reduced Automobile Reliance Strategies</v>
      </c>
      <c r="C21" s="318">
        <f t="shared" ca="1" si="0"/>
        <v>2010</v>
      </c>
      <c r="D21" s="326">
        <f ca="1">IFERROR(SMALL(Levelized_Cost,A21),"")</f>
        <v>123.79174629217583</v>
      </c>
      <c r="E21" s="326">
        <f t="shared" ca="1" si="1"/>
        <v>0</v>
      </c>
      <c r="F21" s="326">
        <f t="shared" ca="1" si="2"/>
        <v>123.79174629217583</v>
      </c>
      <c r="G21" s="325" t="str">
        <f t="shared" ca="1" si="3"/>
        <v/>
      </c>
      <c r="H21" s="325">
        <f t="shared" ca="1" si="4"/>
        <v>1383.5723009482638</v>
      </c>
      <c r="I21" s="325">
        <f t="shared" ca="1" si="11"/>
        <v>236798.74305617745</v>
      </c>
      <c r="J21" s="326">
        <f t="shared" ca="1" si="5"/>
        <v>0</v>
      </c>
      <c r="K21" s="326">
        <f t="shared" ca="1" si="6"/>
        <v>-2.1843418807482258</v>
      </c>
      <c r="L21" s="328" t="str">
        <f t="shared" ca="1" si="7"/>
        <v/>
      </c>
      <c r="M21" s="325" t="str">
        <f t="shared" ca="1" si="8"/>
        <v>BAU</v>
      </c>
      <c r="X21" t="str">
        <f ca="1"/>
        <v>Space Planning &amp; Management</v>
      </c>
      <c r="Y21" t="str">
        <f t="shared" ca="1" si="12"/>
        <v>8210110011799</v>
      </c>
    </row>
    <row r="22" spans="1:25">
      <c r="A22" s="318">
        <f t="shared" si="13"/>
        <v>21</v>
      </c>
      <c r="B22" s="335" t="str">
        <f t="shared" ca="1" si="9"/>
        <v>Rooftop Solar PV</v>
      </c>
      <c r="C22" s="318">
        <f t="shared" ca="1" si="0"/>
        <v>2015</v>
      </c>
      <c r="D22" s="326">
        <f t="shared" ref="D22:D35" ca="1" si="14">IFERROR(SMALL(Levelized_Cost,A22),"")</f>
        <v>426.62337235953368</v>
      </c>
      <c r="E22" s="326">
        <f t="shared" ca="1" si="1"/>
        <v>39.730290173388511</v>
      </c>
      <c r="F22" s="326">
        <f t="shared" ca="1" si="2"/>
        <v>386.89308218614519</v>
      </c>
      <c r="G22" s="325" t="str">
        <f t="shared" ca="1" si="3"/>
        <v/>
      </c>
      <c r="H22" s="325">
        <f t="shared" ca="1" si="4"/>
        <v>497.52640520481714</v>
      </c>
      <c r="I22" s="325">
        <f t="shared" ref="I22:I35" ca="1" si="15">IFERROR(H22+I21,H22)</f>
        <v>237296.26946138227</v>
      </c>
      <c r="J22" s="326">
        <f t="shared" ca="1" si="5"/>
        <v>-3.2282845021267441</v>
      </c>
      <c r="K22" s="326">
        <f t="shared" ca="1" si="6"/>
        <v>-2.242361150181361</v>
      </c>
      <c r="L22" s="328" t="str">
        <f t="shared" ca="1" si="7"/>
        <v/>
      </c>
      <c r="M22" s="325" t="str">
        <f t="shared" ca="1" si="8"/>
        <v>BAU</v>
      </c>
      <c r="X22" t="str">
        <f ca="1"/>
        <v>Steam Line Improvements</v>
      </c>
      <c r="Y22" t="str">
        <f t="shared" ca="1" si="12"/>
        <v>82111111102116</v>
      </c>
    </row>
    <row r="23" spans="1:25">
      <c r="A23" s="318">
        <f t="shared" si="13"/>
        <v>22</v>
      </c>
      <c r="B23" s="335" t="str">
        <f t="shared" ca="1" si="9"/>
        <v>Dish Stirling</v>
      </c>
      <c r="C23" s="318">
        <f t="shared" ca="1" si="0"/>
        <v>2020</v>
      </c>
      <c r="D23" s="326">
        <f t="shared" ca="1" si="14"/>
        <v>679.0247248054161</v>
      </c>
      <c r="E23" s="326">
        <f t="shared" ca="1" si="1"/>
        <v>47.700994146724312</v>
      </c>
      <c r="F23" s="326">
        <f t="shared" ca="1" si="2"/>
        <v>631.32373065869183</v>
      </c>
      <c r="G23" s="325" t="str">
        <f t="shared" ca="1" si="3"/>
        <v/>
      </c>
      <c r="H23" s="325">
        <f t="shared" ca="1" si="4"/>
        <v>467.79400407428091</v>
      </c>
      <c r="I23" s="325">
        <f t="shared" ca="1" si="15"/>
        <v>237764.06346545654</v>
      </c>
      <c r="J23" s="326">
        <f t="shared" ca="1" si="5"/>
        <v>-1.7451046315127783</v>
      </c>
      <c r="K23" s="326">
        <f t="shared" ca="1" si="6"/>
        <v>-2.5884971249034781</v>
      </c>
      <c r="L23" s="328" t="str">
        <f t="shared" ca="1" si="7"/>
        <v/>
      </c>
      <c r="M23" s="325" t="str">
        <f t="shared" ca="1" si="8"/>
        <v>BAU</v>
      </c>
      <c r="X23" t="str">
        <f ca="1"/>
        <v>Unitary Chiller Upgrades</v>
      </c>
      <c r="Y23" t="str">
        <f t="shared" ca="1" si="12"/>
        <v>6810511510432</v>
      </c>
    </row>
    <row r="24" spans="1:25">
      <c r="A24" s="318">
        <f t="shared" si="13"/>
        <v>23</v>
      </c>
      <c r="B24" s="335" t="str">
        <f t="shared" ca="1" si="9"/>
        <v>Parabolic Trough</v>
      </c>
      <c r="C24" s="318">
        <f t="shared" ca="1" si="0"/>
        <v>2010</v>
      </c>
      <c r="D24" s="326">
        <f t="shared" ca="1" si="14"/>
        <v>980.91361256231767</v>
      </c>
      <c r="E24" s="326">
        <f t="shared" ca="1" si="1"/>
        <v>49.919106627120811</v>
      </c>
      <c r="F24" s="326">
        <f t="shared" ca="1" si="2"/>
        <v>930.99450593519691</v>
      </c>
      <c r="G24" s="325" t="str">
        <f t="shared" ca="1" si="3"/>
        <v/>
      </c>
      <c r="H24" s="325">
        <f t="shared" ca="1" si="4"/>
        <v>464.87804592749404</v>
      </c>
      <c r="I24" s="325">
        <f t="shared" ca="1" si="15"/>
        <v>238228.94151138404</v>
      </c>
      <c r="J24" s="326">
        <f t="shared" ca="1" si="5"/>
        <v>-4.607198720738408</v>
      </c>
      <c r="K24" s="326">
        <f t="shared" ca="1" si="6"/>
        <v>-4.8144128743483998</v>
      </c>
      <c r="L24" s="328" t="str">
        <f t="shared" ca="1" si="7"/>
        <v/>
      </c>
      <c r="M24" s="325" t="str">
        <f t="shared" ca="1" si="8"/>
        <v>BAU</v>
      </c>
      <c r="X24" t="str">
        <f ca="1"/>
        <v>Waste Reduction</v>
      </c>
      <c r="Y24" t="str">
        <f t="shared" ca="1" si="12"/>
        <v>80971149798</v>
      </c>
    </row>
    <row r="25" spans="1:25">
      <c r="A25" s="318">
        <f t="shared" si="13"/>
        <v>24</v>
      </c>
      <c r="B25" s="335" t="str">
        <f t="shared" ca="1" si="9"/>
        <v/>
      </c>
      <c r="C25" s="318" t="str">
        <f t="shared" ca="1" si="0"/>
        <v/>
      </c>
      <c r="D25" s="326" t="str">
        <f t="shared" ca="1" si="14"/>
        <v/>
      </c>
      <c r="E25" s="326" t="str">
        <f t="shared" ca="1" si="1"/>
        <v/>
      </c>
      <c r="F25" s="326" t="str">
        <f t="shared" ca="1" si="2"/>
        <v/>
      </c>
      <c r="G25" s="325" t="str">
        <f t="shared" ca="1" si="3"/>
        <v/>
      </c>
      <c r="H25" s="325" t="str">
        <f t="shared" ca="1" si="4"/>
        <v/>
      </c>
      <c r="I25" s="325" t="str">
        <f t="shared" ca="1" si="15"/>
        <v/>
      </c>
      <c r="J25" s="326" t="str">
        <f t="shared" ca="1" si="5"/>
        <v/>
      </c>
      <c r="K25" s="326" t="str">
        <f t="shared" ca="1" si="6"/>
        <v/>
      </c>
      <c r="L25" s="328" t="str">
        <f t="shared" ca="1" si="7"/>
        <v/>
      </c>
      <c r="M25" s="325" t="str">
        <f t="shared" ca="1" si="8"/>
        <v/>
      </c>
      <c r="X25" t="e">
        <f ca="1"/>
        <v>#N/A</v>
      </c>
      <c r="Y25" t="str">
        <f t="shared" ca="1" si="12"/>
        <v/>
      </c>
    </row>
    <row r="26" spans="1:25">
      <c r="A26" s="318">
        <f t="shared" si="13"/>
        <v>25</v>
      </c>
      <c r="B26" s="335" t="str">
        <f t="shared" ca="1" si="9"/>
        <v/>
      </c>
      <c r="C26" s="318" t="str">
        <f t="shared" ca="1" si="0"/>
        <v/>
      </c>
      <c r="D26" s="326" t="str">
        <f t="shared" ca="1" si="14"/>
        <v/>
      </c>
      <c r="E26" s="326" t="str">
        <f t="shared" ca="1" si="1"/>
        <v/>
      </c>
      <c r="F26" s="326" t="str">
        <f t="shared" ca="1" si="2"/>
        <v/>
      </c>
      <c r="G26" s="325" t="str">
        <f t="shared" ca="1" si="3"/>
        <v/>
      </c>
      <c r="H26" s="325" t="str">
        <f t="shared" ca="1" si="4"/>
        <v/>
      </c>
      <c r="I26" s="325" t="str">
        <f t="shared" ca="1" si="15"/>
        <v/>
      </c>
      <c r="J26" s="326" t="str">
        <f t="shared" ca="1" si="5"/>
        <v/>
      </c>
      <c r="K26" s="326" t="str">
        <f t="shared" ca="1" si="6"/>
        <v/>
      </c>
      <c r="L26" s="328" t="str">
        <f t="shared" ca="1" si="7"/>
        <v/>
      </c>
      <c r="M26" s="325" t="str">
        <f t="shared" ca="1" si="8"/>
        <v/>
      </c>
      <c r="X26" t="e">
        <f ca="1"/>
        <v>#N/A</v>
      </c>
      <c r="Y26" t="str">
        <f t="shared" ca="1" si="12"/>
        <v/>
      </c>
    </row>
    <row r="27" spans="1:25">
      <c r="A27" s="318">
        <f t="shared" si="13"/>
        <v>26</v>
      </c>
      <c r="B27" s="335" t="str">
        <f t="shared" ca="1" si="9"/>
        <v/>
      </c>
      <c r="C27" s="318" t="str">
        <f t="shared" ca="1" si="0"/>
        <v/>
      </c>
      <c r="D27" s="326" t="str">
        <f t="shared" ca="1" si="14"/>
        <v/>
      </c>
      <c r="E27" s="326" t="str">
        <f t="shared" ca="1" si="1"/>
        <v/>
      </c>
      <c r="F27" s="326" t="str">
        <f t="shared" ca="1" si="2"/>
        <v/>
      </c>
      <c r="G27" s="325" t="str">
        <f t="shared" ca="1" si="3"/>
        <v/>
      </c>
      <c r="H27" s="325" t="str">
        <f t="shared" ca="1" si="4"/>
        <v/>
      </c>
      <c r="I27" s="325" t="str">
        <f t="shared" ca="1" si="15"/>
        <v/>
      </c>
      <c r="J27" s="326" t="str">
        <f t="shared" ca="1" si="5"/>
        <v/>
      </c>
      <c r="K27" s="326" t="str">
        <f t="shared" ca="1" si="6"/>
        <v/>
      </c>
      <c r="L27" s="328" t="str">
        <f t="shared" ca="1" si="7"/>
        <v/>
      </c>
      <c r="M27" s="325" t="str">
        <f t="shared" ca="1" si="8"/>
        <v/>
      </c>
      <c r="X27" t="e">
        <f ca="1"/>
        <v>#N/A</v>
      </c>
      <c r="Y27" t="str">
        <f t="shared" ca="1" si="12"/>
        <v/>
      </c>
    </row>
    <row r="28" spans="1:25">
      <c r="A28" s="318">
        <f t="shared" si="13"/>
        <v>27</v>
      </c>
      <c r="B28" s="335" t="str">
        <f t="shared" ca="1" si="9"/>
        <v/>
      </c>
      <c r="C28" s="318" t="str">
        <f t="shared" ca="1" si="0"/>
        <v/>
      </c>
      <c r="D28" s="326" t="str">
        <f t="shared" ca="1" si="14"/>
        <v/>
      </c>
      <c r="E28" s="326" t="str">
        <f t="shared" ca="1" si="1"/>
        <v/>
      </c>
      <c r="F28" s="326" t="str">
        <f t="shared" ca="1" si="2"/>
        <v/>
      </c>
      <c r="G28" s="325" t="str">
        <f t="shared" ca="1" si="3"/>
        <v/>
      </c>
      <c r="H28" s="325" t="str">
        <f t="shared" ca="1" si="4"/>
        <v/>
      </c>
      <c r="I28" s="325" t="str">
        <f t="shared" ca="1" si="15"/>
        <v/>
      </c>
      <c r="J28" s="326" t="str">
        <f t="shared" ca="1" si="5"/>
        <v/>
      </c>
      <c r="K28" s="326" t="str">
        <f t="shared" ca="1" si="6"/>
        <v/>
      </c>
      <c r="L28" s="328" t="str">
        <f t="shared" ca="1" si="7"/>
        <v/>
      </c>
      <c r="M28" s="325" t="str">
        <f t="shared" ca="1" si="8"/>
        <v/>
      </c>
      <c r="X28" t="e">
        <f ca="1"/>
        <v>#N/A</v>
      </c>
      <c r="Y28" t="str">
        <f t="shared" ca="1" si="12"/>
        <v/>
      </c>
    </row>
    <row r="29" spans="1:25">
      <c r="A29" s="318">
        <f t="shared" si="13"/>
        <v>28</v>
      </c>
      <c r="B29" s="335" t="str">
        <f t="shared" ca="1" si="9"/>
        <v/>
      </c>
      <c r="C29" s="318" t="str">
        <f t="shared" ca="1" si="0"/>
        <v/>
      </c>
      <c r="D29" s="326" t="str">
        <f t="shared" ca="1" si="14"/>
        <v/>
      </c>
      <c r="E29" s="326" t="str">
        <f t="shared" ca="1" si="1"/>
        <v/>
      </c>
      <c r="F29" s="326" t="str">
        <f t="shared" ca="1" si="2"/>
        <v/>
      </c>
      <c r="G29" s="325" t="str">
        <f t="shared" ca="1" si="3"/>
        <v/>
      </c>
      <c r="H29" s="325" t="str">
        <f t="shared" ca="1" si="4"/>
        <v/>
      </c>
      <c r="I29" s="325" t="str">
        <f t="shared" ca="1" si="15"/>
        <v/>
      </c>
      <c r="J29" s="326" t="str">
        <f t="shared" ca="1" si="5"/>
        <v/>
      </c>
      <c r="K29" s="326" t="str">
        <f t="shared" ca="1" si="6"/>
        <v/>
      </c>
      <c r="L29" s="328" t="str">
        <f t="shared" ca="1" si="7"/>
        <v/>
      </c>
      <c r="M29" s="325" t="str">
        <f t="shared" ca="1" si="8"/>
        <v/>
      </c>
      <c r="X29" t="e">
        <f ca="1"/>
        <v>#N/A</v>
      </c>
      <c r="Y29" t="str">
        <f t="shared" ca="1" si="12"/>
        <v/>
      </c>
    </row>
    <row r="30" spans="1:25">
      <c r="A30" s="318">
        <f t="shared" si="13"/>
        <v>29</v>
      </c>
      <c r="B30" s="335" t="str">
        <f t="shared" ca="1" si="9"/>
        <v/>
      </c>
      <c r="C30" s="318" t="str">
        <f t="shared" ca="1" si="0"/>
        <v/>
      </c>
      <c r="D30" s="326" t="str">
        <f t="shared" ca="1" si="14"/>
        <v/>
      </c>
      <c r="E30" s="326" t="str">
        <f t="shared" ca="1" si="1"/>
        <v/>
      </c>
      <c r="F30" s="326" t="str">
        <f t="shared" ca="1" si="2"/>
        <v/>
      </c>
      <c r="G30" s="325" t="str">
        <f t="shared" ca="1" si="3"/>
        <v/>
      </c>
      <c r="H30" s="325" t="str">
        <f t="shared" ca="1" si="4"/>
        <v/>
      </c>
      <c r="I30" s="325" t="str">
        <f t="shared" ca="1" si="15"/>
        <v/>
      </c>
      <c r="J30" s="326" t="str">
        <f t="shared" ca="1" si="5"/>
        <v/>
      </c>
      <c r="K30" s="326" t="str">
        <f t="shared" ca="1" si="6"/>
        <v/>
      </c>
      <c r="L30" s="328" t="str">
        <f t="shared" ca="1" si="7"/>
        <v/>
      </c>
      <c r="M30" s="325" t="str">
        <f t="shared" ca="1" si="8"/>
        <v/>
      </c>
      <c r="X30" t="e">
        <f ca="1"/>
        <v>#N/A</v>
      </c>
      <c r="Y30" t="str">
        <f t="shared" ca="1" si="12"/>
        <v/>
      </c>
    </row>
    <row r="31" spans="1:25">
      <c r="A31" s="318">
        <f t="shared" si="13"/>
        <v>30</v>
      </c>
      <c r="B31" s="335" t="str">
        <f t="shared" ca="1" si="9"/>
        <v/>
      </c>
      <c r="C31" s="318" t="str">
        <f t="shared" ca="1" si="0"/>
        <v/>
      </c>
      <c r="D31" s="326" t="str">
        <f t="shared" ca="1" si="14"/>
        <v/>
      </c>
      <c r="E31" s="326" t="str">
        <f t="shared" ca="1" si="1"/>
        <v/>
      </c>
      <c r="F31" s="326" t="str">
        <f t="shared" ca="1" si="2"/>
        <v/>
      </c>
      <c r="G31" s="325" t="str">
        <f t="shared" ca="1" si="3"/>
        <v/>
      </c>
      <c r="H31" s="325" t="str">
        <f t="shared" ca="1" si="4"/>
        <v/>
      </c>
      <c r="I31" s="325" t="str">
        <f t="shared" ca="1" si="15"/>
        <v/>
      </c>
      <c r="J31" s="326" t="str">
        <f t="shared" ca="1" si="5"/>
        <v/>
      </c>
      <c r="K31" s="326" t="str">
        <f t="shared" ca="1" si="6"/>
        <v/>
      </c>
      <c r="L31" s="328" t="str">
        <f t="shared" ca="1" si="7"/>
        <v/>
      </c>
      <c r="M31" s="325" t="str">
        <f t="shared" ca="1" si="8"/>
        <v/>
      </c>
      <c r="X31" t="e">
        <f ca="1"/>
        <v>#N/A</v>
      </c>
      <c r="Y31" t="str">
        <f t="shared" ca="1" si="12"/>
        <v/>
      </c>
    </row>
    <row r="32" spans="1:25">
      <c r="A32" s="318">
        <f t="shared" si="13"/>
        <v>31</v>
      </c>
      <c r="B32" s="335" t="str">
        <f t="shared" ca="1" si="9"/>
        <v/>
      </c>
      <c r="C32" s="318" t="str">
        <f t="shared" ca="1" si="0"/>
        <v/>
      </c>
      <c r="D32" s="326" t="str">
        <f t="shared" ca="1" si="14"/>
        <v/>
      </c>
      <c r="E32" s="326" t="str">
        <f t="shared" ca="1" si="1"/>
        <v/>
      </c>
      <c r="F32" s="326" t="str">
        <f t="shared" ca="1" si="2"/>
        <v/>
      </c>
      <c r="G32" s="325" t="str">
        <f t="shared" ca="1" si="3"/>
        <v/>
      </c>
      <c r="H32" s="325" t="str">
        <f t="shared" ca="1" si="4"/>
        <v/>
      </c>
      <c r="I32" s="325" t="str">
        <f t="shared" ca="1" si="15"/>
        <v/>
      </c>
      <c r="J32" s="326" t="str">
        <f t="shared" ca="1" si="5"/>
        <v/>
      </c>
      <c r="K32" s="326" t="str">
        <f t="shared" ca="1" si="6"/>
        <v/>
      </c>
      <c r="L32" s="328" t="str">
        <f t="shared" ca="1" si="7"/>
        <v/>
      </c>
      <c r="M32" s="325" t="str">
        <f t="shared" ca="1" si="8"/>
        <v/>
      </c>
      <c r="X32" t="e">
        <f ca="1"/>
        <v>#N/A</v>
      </c>
      <c r="Y32" t="str">
        <f t="shared" ca="1" si="12"/>
        <v/>
      </c>
    </row>
    <row r="33" spans="1:25">
      <c r="A33" s="318">
        <f t="shared" si="13"/>
        <v>32</v>
      </c>
      <c r="B33" s="335"/>
      <c r="C33" s="318" t="str">
        <f t="shared" ca="1" si="0"/>
        <v/>
      </c>
      <c r="D33" s="326" t="str">
        <f t="shared" ca="1" si="14"/>
        <v/>
      </c>
      <c r="E33" s="326" t="str">
        <f t="shared" ca="1" si="1"/>
        <v/>
      </c>
      <c r="F33" s="326" t="str">
        <f t="shared" ca="1" si="2"/>
        <v/>
      </c>
      <c r="G33" s="325" t="str">
        <f t="shared" ca="1" si="3"/>
        <v/>
      </c>
      <c r="H33" s="325" t="str">
        <f t="shared" ca="1" si="4"/>
        <v/>
      </c>
      <c r="I33" s="325" t="str">
        <f t="shared" ca="1" si="15"/>
        <v/>
      </c>
      <c r="J33" s="326" t="str">
        <f t="shared" ca="1" si="5"/>
        <v/>
      </c>
      <c r="K33" s="326" t="str">
        <f t="shared" ca="1" si="6"/>
        <v/>
      </c>
      <c r="L33" s="328" t="str">
        <f t="shared" ca="1" si="7"/>
        <v/>
      </c>
      <c r="M33" s="325" t="str">
        <f t="shared" ca="1" si="8"/>
        <v/>
      </c>
      <c r="X33" t="e">
        <f ca="1"/>
        <v>#N/A</v>
      </c>
      <c r="Y33" t="str">
        <f t="shared" si="12"/>
        <v/>
      </c>
    </row>
    <row r="34" spans="1:25">
      <c r="A34" s="318">
        <f t="shared" si="13"/>
        <v>33</v>
      </c>
      <c r="B34" s="335"/>
      <c r="C34" s="318" t="str">
        <f t="shared" ca="1" si="0"/>
        <v/>
      </c>
      <c r="D34" s="326" t="str">
        <f t="shared" ca="1" si="14"/>
        <v/>
      </c>
      <c r="E34" s="326" t="str">
        <f t="shared" ca="1" si="1"/>
        <v/>
      </c>
      <c r="F34" s="326" t="str">
        <f t="shared" ca="1" si="2"/>
        <v/>
      </c>
      <c r="G34" s="325" t="str">
        <f t="shared" ca="1" si="3"/>
        <v/>
      </c>
      <c r="H34" s="325" t="str">
        <f t="shared" ca="1" si="4"/>
        <v/>
      </c>
      <c r="I34" s="325" t="str">
        <f t="shared" ca="1" si="15"/>
        <v/>
      </c>
      <c r="J34" s="326" t="str">
        <f t="shared" ca="1" si="5"/>
        <v/>
      </c>
      <c r="K34" s="326" t="str">
        <f t="shared" ca="1" si="6"/>
        <v/>
      </c>
      <c r="L34" s="328" t="str">
        <f t="shared" ca="1" si="7"/>
        <v/>
      </c>
      <c r="M34" s="325" t="str">
        <f t="shared" ca="1" si="8"/>
        <v/>
      </c>
      <c r="X34" t="e">
        <f ca="1"/>
        <v>#N/A</v>
      </c>
      <c r="Y34" t="str">
        <f t="shared" si="12"/>
        <v/>
      </c>
    </row>
    <row r="35" spans="1:25">
      <c r="A35" s="318">
        <f t="shared" si="13"/>
        <v>34</v>
      </c>
      <c r="B35" s="335"/>
      <c r="C35" s="318" t="str">
        <f t="shared" ca="1" si="0"/>
        <v/>
      </c>
      <c r="D35" s="326" t="str">
        <f t="shared" ca="1" si="14"/>
        <v/>
      </c>
      <c r="E35" s="326" t="str">
        <f t="shared" ca="1" si="1"/>
        <v/>
      </c>
      <c r="F35" s="326" t="str">
        <f t="shared" ca="1" si="2"/>
        <v/>
      </c>
      <c r="G35" s="325" t="str">
        <f t="shared" ca="1" si="3"/>
        <v/>
      </c>
      <c r="H35" s="325" t="str">
        <f t="shared" ca="1" si="4"/>
        <v/>
      </c>
      <c r="I35" s="325" t="str">
        <f t="shared" ca="1" si="15"/>
        <v/>
      </c>
      <c r="J35" s="326" t="str">
        <f t="shared" ca="1" si="5"/>
        <v/>
      </c>
      <c r="K35" s="326" t="str">
        <f t="shared" ca="1" si="6"/>
        <v/>
      </c>
      <c r="L35" s="328" t="str">
        <f t="shared" ca="1" si="7"/>
        <v/>
      </c>
      <c r="M35" s="325" t="str">
        <f t="shared" ca="1" si="8"/>
        <v/>
      </c>
      <c r="X35" t="e">
        <f ca="1"/>
        <v>#N/A</v>
      </c>
      <c r="Y35" t="str">
        <f t="shared" si="12"/>
        <v/>
      </c>
    </row>
  </sheetData>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sheetPr codeName="Sheet109"/>
  <dimension ref="A1:CW95"/>
  <sheetViews>
    <sheetView topLeftCell="A58" workbookViewId="0">
      <selection activeCell="A75" sqref="A75:XFD95"/>
    </sheetView>
  </sheetViews>
  <sheetFormatPr defaultRowHeight="15"/>
  <cols>
    <col min="1" max="1" width="13.42578125" customWidth="1"/>
    <col min="2" max="49" width="10.7109375" customWidth="1"/>
  </cols>
  <sheetData>
    <row r="1" spans="1:101">
      <c r="B1">
        <v>1</v>
      </c>
      <c r="C1">
        <f>B1+3</f>
        <v>4</v>
      </c>
      <c r="D1">
        <f t="shared" ref="D1:L1" si="0">C1+3</f>
        <v>7</v>
      </c>
      <c r="E1">
        <f t="shared" si="0"/>
        <v>10</v>
      </c>
      <c r="F1">
        <f t="shared" si="0"/>
        <v>13</v>
      </c>
      <c r="G1">
        <f t="shared" si="0"/>
        <v>16</v>
      </c>
      <c r="H1">
        <f t="shared" si="0"/>
        <v>19</v>
      </c>
      <c r="I1">
        <f t="shared" si="0"/>
        <v>22</v>
      </c>
      <c r="J1">
        <f t="shared" si="0"/>
        <v>25</v>
      </c>
      <c r="K1">
        <f t="shared" si="0"/>
        <v>28</v>
      </c>
      <c r="L1">
        <f t="shared" si="0"/>
        <v>31</v>
      </c>
      <c r="M1">
        <f t="shared" ref="M1:AE1" si="1">L1+3</f>
        <v>34</v>
      </c>
      <c r="N1">
        <f t="shared" si="1"/>
        <v>37</v>
      </c>
      <c r="O1">
        <f t="shared" si="1"/>
        <v>40</v>
      </c>
      <c r="P1">
        <f t="shared" si="1"/>
        <v>43</v>
      </c>
      <c r="Q1">
        <f t="shared" si="1"/>
        <v>46</v>
      </c>
      <c r="R1">
        <f t="shared" si="1"/>
        <v>49</v>
      </c>
      <c r="S1">
        <f t="shared" si="1"/>
        <v>52</v>
      </c>
      <c r="T1">
        <f t="shared" si="1"/>
        <v>55</v>
      </c>
      <c r="U1">
        <f t="shared" si="1"/>
        <v>58</v>
      </c>
      <c r="V1">
        <f t="shared" si="1"/>
        <v>61</v>
      </c>
      <c r="W1">
        <f t="shared" si="1"/>
        <v>64</v>
      </c>
      <c r="X1">
        <f t="shared" si="1"/>
        <v>67</v>
      </c>
      <c r="Y1">
        <f t="shared" si="1"/>
        <v>70</v>
      </c>
      <c r="Z1">
        <f t="shared" si="1"/>
        <v>73</v>
      </c>
      <c r="AA1">
        <f t="shared" si="1"/>
        <v>76</v>
      </c>
      <c r="AB1">
        <f t="shared" si="1"/>
        <v>79</v>
      </c>
      <c r="AC1">
        <f t="shared" si="1"/>
        <v>82</v>
      </c>
      <c r="AD1">
        <f t="shared" si="1"/>
        <v>85</v>
      </c>
      <c r="AE1">
        <f t="shared" si="1"/>
        <v>88</v>
      </c>
    </row>
    <row r="2" spans="1:101">
      <c r="B2" t="s">
        <v>320</v>
      </c>
      <c r="C2" t="s">
        <v>321</v>
      </c>
      <c r="D2" t="s">
        <v>322</v>
      </c>
      <c r="E2" t="s">
        <v>323</v>
      </c>
      <c r="F2" t="s">
        <v>324</v>
      </c>
      <c r="G2" t="s">
        <v>325</v>
      </c>
      <c r="H2" t="s">
        <v>326</v>
      </c>
      <c r="I2" t="s">
        <v>327</v>
      </c>
      <c r="J2" t="s">
        <v>328</v>
      </c>
      <c r="K2" t="s">
        <v>329</v>
      </c>
      <c r="L2" t="s">
        <v>330</v>
      </c>
      <c r="M2" t="s">
        <v>337</v>
      </c>
      <c r="N2" t="s">
        <v>338</v>
      </c>
      <c r="O2" t="s">
        <v>113</v>
      </c>
      <c r="P2" t="s">
        <v>339</v>
      </c>
      <c r="Q2" t="s">
        <v>340</v>
      </c>
      <c r="R2" t="s">
        <v>341</v>
      </c>
      <c r="S2" t="s">
        <v>342</v>
      </c>
      <c r="T2" t="s">
        <v>343</v>
      </c>
      <c r="U2" t="s">
        <v>112</v>
      </c>
      <c r="V2" t="s">
        <v>344</v>
      </c>
      <c r="W2" t="s">
        <v>345</v>
      </c>
      <c r="X2" t="s">
        <v>346</v>
      </c>
      <c r="Y2" t="s">
        <v>347</v>
      </c>
      <c r="Z2" t="s">
        <v>348</v>
      </c>
      <c r="AA2" t="s">
        <v>349</v>
      </c>
      <c r="AB2" t="s">
        <v>352</v>
      </c>
      <c r="AC2" t="s">
        <v>356</v>
      </c>
      <c r="AD2" t="s">
        <v>357</v>
      </c>
      <c r="AE2" t="s">
        <v>358</v>
      </c>
      <c r="AO2" t="s">
        <v>1464</v>
      </c>
    </row>
    <row r="3" spans="1:101" ht="261">
      <c r="A3" s="330" t="s">
        <v>331</v>
      </c>
      <c r="B3" s="330" t="str">
        <f ca="1">OFFSET(Summary!$B$2,COLUMN(A1)-1,0)</f>
        <v>Space Planning &amp; Management</v>
      </c>
      <c r="C3" s="330" t="str">
        <f ca="1">OFFSET(Summary!$B$2,COLUMN(B1)-1,0)</f>
        <v>Central Chiller Expansion</v>
      </c>
      <c r="D3" s="330" t="str">
        <f ca="1">OFFSET(Summary!$B$2,COLUMN(C1)-1,0)</f>
        <v>Reduced Air Travel</v>
      </c>
      <c r="E3" s="330" t="str">
        <f ca="1">OFFSET(Summary!$B$2,COLUMN(D1)-1,0)</f>
        <v>Green IT</v>
      </c>
      <c r="F3" s="330" t="str">
        <f ca="1">OFFSET(Summary!$B$2,COLUMN(E1)-1,0)</f>
        <v>Short-term Energy Conservation Measures</v>
      </c>
      <c r="G3" s="330" t="str">
        <f ca="1">OFFSET(Summary!$B$2,COLUMN(F1)-1,0)</f>
        <v>Behavior Change</v>
      </c>
      <c r="H3" s="330" t="str">
        <f ca="1">OFFSET(Summary!$B$2,COLUMN(G1)-1,0)</f>
        <v>Steam Line Improvements</v>
      </c>
      <c r="I3" s="330" t="str">
        <f ca="1">OFFSET(Summary!$B$2,COLUMN(H1)-1,0)</f>
        <v>Mid-term Energy Conservation Measures</v>
      </c>
      <c r="J3" s="330" t="str">
        <f ca="1">OFFSET(Summary!$B$2,COLUMN(I1)-1,0)</f>
        <v>Long-term Energy Conservation Measures</v>
      </c>
      <c r="K3" s="330" t="str">
        <f ca="1">OFFSET(Summary!$B$2,COLUMN(J1)-1,0)</f>
        <v>Building Design &amp; Construction Standards</v>
      </c>
      <c r="L3" s="330" t="str">
        <f ca="1">OFFSET(Summary!$B$2,COLUMN(K1)-1,0)</f>
        <v>Combined Heat &amp; Power</v>
      </c>
      <c r="M3" s="330" t="str">
        <f ca="1">OFFSET(Summary!$B$2,COLUMN(L1)-1,0)</f>
        <v>Waste Reduction</v>
      </c>
      <c r="N3" s="330" t="str">
        <f ca="1">OFFSET(Summary!$B$2,COLUMN(M1)-1,0)</f>
        <v>Geo Exchange</v>
      </c>
      <c r="O3" s="330" t="str">
        <f ca="1">OFFSET(Summary!$B$2,COLUMN(N1)-1,0)</f>
        <v>Solar DHW</v>
      </c>
      <c r="P3" s="330" t="str">
        <f ca="1">OFFSET(Summary!$B$2,COLUMN(O1)-1,0)</f>
        <v>Green Power Purchase (MCCo Reserve Fund)</v>
      </c>
      <c r="Q3" s="330" t="str">
        <f ca="1">OFFSET(Summary!$B$2,COLUMN(P1)-1,0)</f>
        <v>Coal to Natural Gas Conversion @ Steam Plant</v>
      </c>
      <c r="R3" s="330" t="str">
        <f ca="1">OFFSET(Summary!$B$2,COLUMN(Q1)-1,0)</f>
        <v>Unitary Chiller Upgrades</v>
      </c>
      <c r="S3" s="330" t="str">
        <f ca="1">OFFSET(Summary!$B$2,COLUMN(R1)-1,0)</f>
        <v>Green Power Purchase Opt 1 (Partial)</v>
      </c>
      <c r="T3" s="330" t="str">
        <f ca="1">OFFSET(Summary!$B$2,COLUMN(S1)-1,0)</f>
        <v>On-site Wind</v>
      </c>
      <c r="U3" s="330" t="str">
        <f ca="1">OFFSET(Summary!$B$2,COLUMN(T1)-1,0)</f>
        <v>Reduced Automobile Reliance Strategies</v>
      </c>
      <c r="V3" s="330" t="str">
        <f ca="1">OFFSET(Summary!$B$2,COLUMN(U1)-1,0)</f>
        <v>Rooftop Solar PV</v>
      </c>
      <c r="W3" s="330" t="str">
        <f ca="1">OFFSET(Summary!$B$2,COLUMN(V1)-1,0)</f>
        <v>Dish Stirling</v>
      </c>
      <c r="X3" s="330" t="str">
        <f ca="1">OFFSET(Summary!$B$2,COLUMN(W1)-1,0)</f>
        <v>Parabolic Trough</v>
      </c>
      <c r="Y3" s="330" t="str">
        <f ca="1">OFFSET(Summary!$B$2,COLUMN(X1)-1,0)</f>
        <v/>
      </c>
      <c r="Z3" s="330" t="str">
        <f ca="1">OFFSET(Summary!$B$2,COLUMN(Y1)-1,0)</f>
        <v/>
      </c>
      <c r="AA3" s="330" t="str">
        <f ca="1">OFFSET(Summary!$B$2,COLUMN(Z1)-1,0)</f>
        <v/>
      </c>
      <c r="AB3" s="330" t="str">
        <f ca="1">OFFSET(Summary!$B$2,COLUMN(AA1)-1,0)</f>
        <v/>
      </c>
      <c r="AC3" s="330" t="str">
        <f ca="1">OFFSET(Summary!$B$2,COLUMN(AB1)-1,0)</f>
        <v/>
      </c>
      <c r="AD3" s="330" t="str">
        <f ca="1">OFFSET(Summary!$B$2,COLUMN(AC1)-1,0)</f>
        <v/>
      </c>
      <c r="AE3" s="330" t="str">
        <f ca="1">OFFSET(Summary!$B$2,COLUMN(AD1)-1,0)</f>
        <v/>
      </c>
      <c r="AF3" s="332" t="str">
        <f>Summary!F1</f>
        <v>Adjusted Levelized Cost (Savings) per MTCDE Avoided</v>
      </c>
      <c r="AG3" s="330"/>
      <c r="AH3" s="330"/>
      <c r="AI3" s="330"/>
      <c r="AJ3" s="330"/>
      <c r="AK3" s="330"/>
      <c r="AL3" s="330"/>
      <c r="AM3" s="330"/>
      <c r="AN3" s="330"/>
      <c r="AO3" s="330" t="str">
        <f ca="1">B3</f>
        <v>Space Planning &amp; Management</v>
      </c>
      <c r="AP3" s="330" t="str">
        <f t="shared" ref="AP3:BU3" ca="1" si="2">C3</f>
        <v>Central Chiller Expansion</v>
      </c>
      <c r="AQ3" s="330" t="str">
        <f t="shared" ca="1" si="2"/>
        <v>Reduced Air Travel</v>
      </c>
      <c r="AR3" s="330" t="str">
        <f t="shared" ca="1" si="2"/>
        <v>Green IT</v>
      </c>
      <c r="AS3" s="330" t="str">
        <f t="shared" ca="1" si="2"/>
        <v>Short-term Energy Conservation Measures</v>
      </c>
      <c r="AT3" s="330" t="str">
        <f t="shared" ca="1" si="2"/>
        <v>Behavior Change</v>
      </c>
      <c r="AU3" s="330" t="str">
        <f t="shared" ca="1" si="2"/>
        <v>Steam Line Improvements</v>
      </c>
      <c r="AV3" s="330" t="str">
        <f t="shared" ca="1" si="2"/>
        <v>Mid-term Energy Conservation Measures</v>
      </c>
      <c r="AW3" s="330" t="str">
        <f t="shared" ca="1" si="2"/>
        <v>Long-term Energy Conservation Measures</v>
      </c>
      <c r="AX3" s="330" t="str">
        <f t="shared" ca="1" si="2"/>
        <v>Building Design &amp; Construction Standards</v>
      </c>
      <c r="AY3" s="330" t="str">
        <f t="shared" ca="1" si="2"/>
        <v>Combined Heat &amp; Power</v>
      </c>
      <c r="AZ3" s="330" t="str">
        <f t="shared" ca="1" si="2"/>
        <v>Waste Reduction</v>
      </c>
      <c r="BA3" s="330" t="str">
        <f t="shared" ca="1" si="2"/>
        <v>Geo Exchange</v>
      </c>
      <c r="BB3" s="330" t="str">
        <f t="shared" ca="1" si="2"/>
        <v>Solar DHW</v>
      </c>
      <c r="BC3" s="330" t="str">
        <f t="shared" ca="1" si="2"/>
        <v>Green Power Purchase (MCCo Reserve Fund)</v>
      </c>
      <c r="BD3" s="330" t="str">
        <f t="shared" ca="1" si="2"/>
        <v>Coal to Natural Gas Conversion @ Steam Plant</v>
      </c>
      <c r="BE3" s="330" t="str">
        <f t="shared" ca="1" si="2"/>
        <v>Unitary Chiller Upgrades</v>
      </c>
      <c r="BF3" s="330" t="str">
        <f t="shared" ca="1" si="2"/>
        <v>Green Power Purchase Opt 1 (Partial)</v>
      </c>
      <c r="BG3" s="330" t="str">
        <f t="shared" ca="1" si="2"/>
        <v>On-site Wind</v>
      </c>
      <c r="BH3" s="330" t="str">
        <f t="shared" ca="1" si="2"/>
        <v>Reduced Automobile Reliance Strategies</v>
      </c>
      <c r="BI3" s="330" t="str">
        <f t="shared" ca="1" si="2"/>
        <v>Rooftop Solar PV</v>
      </c>
      <c r="BJ3" s="330" t="str">
        <f t="shared" ca="1" si="2"/>
        <v>Dish Stirling</v>
      </c>
      <c r="BK3" s="330" t="str">
        <f t="shared" ca="1" si="2"/>
        <v>Parabolic Trough</v>
      </c>
      <c r="BL3" s="330" t="str">
        <f t="shared" ca="1" si="2"/>
        <v/>
      </c>
      <c r="BM3" s="330" t="str">
        <f t="shared" ca="1" si="2"/>
        <v/>
      </c>
      <c r="BN3" s="330" t="str">
        <f t="shared" ca="1" si="2"/>
        <v/>
      </c>
      <c r="BO3" s="330" t="str">
        <f t="shared" ca="1" si="2"/>
        <v/>
      </c>
      <c r="BP3" s="330" t="str">
        <f t="shared" ca="1" si="2"/>
        <v/>
      </c>
      <c r="BQ3" s="330" t="str">
        <f t="shared" ca="1" si="2"/>
        <v/>
      </c>
      <c r="BR3" s="330" t="str">
        <f t="shared" ca="1" si="2"/>
        <v/>
      </c>
      <c r="BS3" s="330" t="str">
        <f t="shared" si="2"/>
        <v>Adjusted Levelized Cost (Savings) per MTCDE Avoided</v>
      </c>
      <c r="BT3" s="330">
        <f t="shared" si="2"/>
        <v>0</v>
      </c>
      <c r="BU3" s="330">
        <f t="shared" si="2"/>
        <v>0</v>
      </c>
      <c r="BV3" s="330"/>
      <c r="BW3" s="330"/>
      <c r="BX3" s="330"/>
      <c r="BY3" s="330"/>
      <c r="BZ3" s="330"/>
      <c r="CA3" s="330"/>
      <c r="CB3" s="330"/>
      <c r="CC3" s="330"/>
      <c r="CD3" s="330"/>
      <c r="CE3" s="330"/>
      <c r="CF3" s="330"/>
      <c r="CG3" s="330"/>
      <c r="CH3" s="330"/>
      <c r="CI3" s="330"/>
      <c r="CJ3" s="330"/>
      <c r="CK3" s="330"/>
      <c r="CL3" s="330"/>
      <c r="CM3" s="330"/>
      <c r="CN3" s="330"/>
      <c r="CO3" s="330"/>
      <c r="CP3" s="330"/>
      <c r="CQ3" s="330"/>
      <c r="CR3" s="330"/>
      <c r="CS3" s="330"/>
      <c r="CT3" s="330"/>
      <c r="CU3" s="330"/>
      <c r="CV3" s="330"/>
      <c r="CW3" s="330"/>
    </row>
    <row r="4" spans="1:101">
      <c r="A4" t="s">
        <v>332</v>
      </c>
      <c r="B4">
        <v>1</v>
      </c>
      <c r="C4">
        <v>1</v>
      </c>
      <c r="D4">
        <v>1</v>
      </c>
      <c r="E4">
        <v>1</v>
      </c>
      <c r="F4">
        <v>1</v>
      </c>
      <c r="G4">
        <v>1</v>
      </c>
      <c r="H4">
        <v>1</v>
      </c>
      <c r="I4">
        <v>1</v>
      </c>
      <c r="J4">
        <v>1</v>
      </c>
      <c r="K4">
        <v>1</v>
      </c>
      <c r="L4">
        <v>1</v>
      </c>
      <c r="M4">
        <v>1</v>
      </c>
      <c r="N4">
        <v>1</v>
      </c>
      <c r="O4">
        <v>1</v>
      </c>
      <c r="P4">
        <v>1</v>
      </c>
      <c r="Q4">
        <v>1</v>
      </c>
      <c r="R4">
        <v>1</v>
      </c>
      <c r="S4">
        <v>1</v>
      </c>
      <c r="T4">
        <v>1</v>
      </c>
      <c r="U4">
        <v>1</v>
      </c>
      <c r="V4">
        <v>1</v>
      </c>
      <c r="W4">
        <v>1</v>
      </c>
      <c r="X4">
        <v>1</v>
      </c>
      <c r="Y4">
        <v>1</v>
      </c>
      <c r="Z4">
        <v>1</v>
      </c>
      <c r="AA4">
        <v>1</v>
      </c>
      <c r="AB4">
        <v>1</v>
      </c>
      <c r="AC4">
        <v>1</v>
      </c>
      <c r="AD4">
        <v>1</v>
      </c>
      <c r="AE4">
        <v>1</v>
      </c>
      <c r="AF4">
        <v>1</v>
      </c>
      <c r="AO4" s="967" t="str">
        <f>B2</f>
        <v>A</v>
      </c>
      <c r="AP4" s="967" t="str">
        <f t="shared" ref="AP4:BU4" si="3">C2</f>
        <v>B</v>
      </c>
      <c r="AQ4" s="967" t="str">
        <f t="shared" si="3"/>
        <v>C</v>
      </c>
      <c r="AR4" s="967" t="str">
        <f t="shared" si="3"/>
        <v>D</v>
      </c>
      <c r="AS4" s="967" t="str">
        <f t="shared" si="3"/>
        <v>E</v>
      </c>
      <c r="AT4" s="967" t="str">
        <f t="shared" si="3"/>
        <v>F</v>
      </c>
      <c r="AU4" s="967" t="str">
        <f t="shared" si="3"/>
        <v>G</v>
      </c>
      <c r="AV4" s="967" t="str">
        <f t="shared" si="3"/>
        <v>H</v>
      </c>
      <c r="AW4" s="967" t="str">
        <f t="shared" si="3"/>
        <v>I</v>
      </c>
      <c r="AX4" s="967" t="str">
        <f t="shared" si="3"/>
        <v>J</v>
      </c>
      <c r="AY4" s="967" t="str">
        <f t="shared" si="3"/>
        <v>K</v>
      </c>
      <c r="AZ4" s="967" t="str">
        <f t="shared" si="3"/>
        <v>L</v>
      </c>
      <c r="BA4" s="967" t="str">
        <f t="shared" si="3"/>
        <v>M</v>
      </c>
      <c r="BB4" s="967" t="str">
        <f t="shared" si="3"/>
        <v>N</v>
      </c>
      <c r="BC4" s="967" t="str">
        <f t="shared" si="3"/>
        <v>O</v>
      </c>
      <c r="BD4" s="967" t="str">
        <f t="shared" si="3"/>
        <v>P</v>
      </c>
      <c r="BE4" s="967" t="str">
        <f t="shared" si="3"/>
        <v>Q</v>
      </c>
      <c r="BF4" s="967" t="str">
        <f t="shared" si="3"/>
        <v>R</v>
      </c>
      <c r="BG4" s="967" t="str">
        <f t="shared" si="3"/>
        <v>S</v>
      </c>
      <c r="BH4" s="967" t="str">
        <f t="shared" si="3"/>
        <v>T</v>
      </c>
      <c r="BI4" s="967" t="str">
        <f t="shared" si="3"/>
        <v>U</v>
      </c>
      <c r="BJ4" s="967" t="str">
        <f t="shared" si="3"/>
        <v>V</v>
      </c>
      <c r="BK4" s="967" t="str">
        <f t="shared" si="3"/>
        <v>W</v>
      </c>
      <c r="BL4" s="967" t="str">
        <f t="shared" si="3"/>
        <v>X</v>
      </c>
      <c r="BM4" s="967" t="str">
        <f t="shared" si="3"/>
        <v>Y</v>
      </c>
      <c r="BN4" s="967" t="str">
        <f t="shared" si="3"/>
        <v>Z</v>
      </c>
      <c r="BO4" s="967" t="str">
        <f t="shared" si="3"/>
        <v>AA</v>
      </c>
      <c r="BP4" s="967" t="str">
        <f t="shared" si="3"/>
        <v>AB</v>
      </c>
      <c r="BQ4" s="967" t="str">
        <f t="shared" si="3"/>
        <v>AC</v>
      </c>
      <c r="BR4" s="967" t="str">
        <f t="shared" si="3"/>
        <v>AD</v>
      </c>
      <c r="BS4" s="967">
        <f t="shared" si="3"/>
        <v>0</v>
      </c>
      <c r="BT4" s="967">
        <f t="shared" si="3"/>
        <v>0</v>
      </c>
      <c r="BU4" s="967">
        <f t="shared" si="3"/>
        <v>0</v>
      </c>
    </row>
    <row r="5" spans="1:101" ht="90">
      <c r="A5" t="s">
        <v>333</v>
      </c>
      <c r="B5" s="327" t="str">
        <f ca="1">IF(B4=1,B3,"")</f>
        <v>Space Planning &amp; Management</v>
      </c>
      <c r="C5" s="327" t="str">
        <f t="shared" ref="C5:AF5" ca="1" si="4">IF(C4=1,C3,"")</f>
        <v>Central Chiller Expansion</v>
      </c>
      <c r="D5" s="327" t="str">
        <f t="shared" ca="1" si="4"/>
        <v>Reduced Air Travel</v>
      </c>
      <c r="E5" s="327" t="str">
        <f t="shared" ca="1" si="4"/>
        <v>Green IT</v>
      </c>
      <c r="F5" s="327" t="str">
        <f t="shared" ca="1" si="4"/>
        <v>Short-term Energy Conservation Measures</v>
      </c>
      <c r="G5" s="327" t="str">
        <f t="shared" ca="1" si="4"/>
        <v>Behavior Change</v>
      </c>
      <c r="H5" s="327" t="str">
        <f t="shared" ca="1" si="4"/>
        <v>Steam Line Improvements</v>
      </c>
      <c r="I5" s="327" t="str">
        <f t="shared" ca="1" si="4"/>
        <v>Mid-term Energy Conservation Measures</v>
      </c>
      <c r="J5" s="327" t="str">
        <f t="shared" ca="1" si="4"/>
        <v>Long-term Energy Conservation Measures</v>
      </c>
      <c r="K5" s="327" t="str">
        <f t="shared" ca="1" si="4"/>
        <v>Building Design &amp; Construction Standards</v>
      </c>
      <c r="L5" s="327" t="str">
        <f t="shared" ca="1" si="4"/>
        <v>Combined Heat &amp; Power</v>
      </c>
      <c r="M5" s="337" t="str">
        <f t="shared" ca="1" si="4"/>
        <v>Waste Reduction</v>
      </c>
      <c r="N5" s="337" t="str">
        <f t="shared" ca="1" si="4"/>
        <v>Geo Exchange</v>
      </c>
      <c r="O5" s="337" t="str">
        <f t="shared" ca="1" si="4"/>
        <v>Solar DHW</v>
      </c>
      <c r="P5" s="337" t="str">
        <f t="shared" ca="1" si="4"/>
        <v>Green Power Purchase (MCCo Reserve Fund)</v>
      </c>
      <c r="Q5" s="337" t="str">
        <f t="shared" ca="1" si="4"/>
        <v>Coal to Natural Gas Conversion @ Steam Plant</v>
      </c>
      <c r="R5" s="337" t="str">
        <f t="shared" ca="1" si="4"/>
        <v>Unitary Chiller Upgrades</v>
      </c>
      <c r="S5" s="337" t="str">
        <f t="shared" ca="1" si="4"/>
        <v>Green Power Purchase Opt 1 (Partial)</v>
      </c>
      <c r="T5" s="337" t="str">
        <f t="shared" ca="1" si="4"/>
        <v>On-site Wind</v>
      </c>
      <c r="U5" s="337" t="str">
        <f t="shared" ca="1" si="4"/>
        <v>Reduced Automobile Reliance Strategies</v>
      </c>
      <c r="V5" s="337" t="str">
        <f t="shared" ca="1" si="4"/>
        <v>Rooftop Solar PV</v>
      </c>
      <c r="W5" s="337" t="str">
        <f t="shared" ca="1" si="4"/>
        <v>Dish Stirling</v>
      </c>
      <c r="X5" s="337" t="str">
        <f t="shared" ca="1" si="4"/>
        <v>Parabolic Trough</v>
      </c>
      <c r="Y5" s="342" t="str">
        <f t="shared" ca="1" si="4"/>
        <v/>
      </c>
      <c r="Z5" s="337" t="str">
        <f t="shared" ca="1" si="4"/>
        <v/>
      </c>
      <c r="AA5" s="337" t="str">
        <f t="shared" ca="1" si="4"/>
        <v/>
      </c>
      <c r="AB5" s="337" t="str">
        <f t="shared" ca="1" si="4"/>
        <v/>
      </c>
      <c r="AC5" s="346" t="str">
        <f t="shared" ca="1" si="4"/>
        <v/>
      </c>
      <c r="AD5" s="346" t="str">
        <f t="shared" ca="1" si="4"/>
        <v/>
      </c>
      <c r="AE5" s="346" t="str">
        <f t="shared" ca="1" si="4"/>
        <v/>
      </c>
      <c r="AF5" s="329" t="str">
        <f t="shared" si="4"/>
        <v>Adjusted Levelized Cost (Savings) per MTCDE Avoided</v>
      </c>
      <c r="AG5" s="302"/>
      <c r="AH5" s="302"/>
      <c r="AI5" s="302"/>
      <c r="AJ5" s="302"/>
      <c r="AK5" s="302"/>
      <c r="AL5" s="302"/>
      <c r="AM5" s="967"/>
      <c r="AN5" s="37" t="s">
        <v>347</v>
      </c>
      <c r="AO5" s="1264">
        <f ca="1">IF(AO8="X",(INDEX(Summary!$B$2:$M$35,COUNTA($AO$3:AO$3),8)-INDEX(Summary!$B$2:$M$35,COUNTA($AO$3:AO$3),7)/2)/1000,0)</f>
        <v>21.649077413338382</v>
      </c>
      <c r="AP5" s="1264">
        <f ca="1">IF(AP8="X",(INDEX(Summary!$B$2:$M$35,COUNTA($AO$3:AP$3),8)-INDEX(Summary!$B$2:$M$35,COUNTA($AO$3:AP$3),7)/2)/1000,0)</f>
        <v>45.759234899391352</v>
      </c>
      <c r="AQ5" s="1264">
        <f ca="1">IF(AQ8="X",(INDEX(Summary!$B$2:$M$35,COUNTA($AO$3:AQ$3),8)-INDEX(Summary!$B$2:$M$35,COUNTA($AO$3:AQ$3),7)/2)/1000,0)</f>
        <v>0</v>
      </c>
      <c r="AR5" s="1264">
        <f ca="1">IF(AR8="X",(INDEX(Summary!$B$2:$M$35,COUNTA($AO$3:AR$3),8)-INDEX(Summary!$B$2:$M$35,COUNTA($AO$3:AR$3),7)/2)/1000,0)</f>
        <v>0</v>
      </c>
      <c r="AS5" s="1264">
        <f ca="1">IF(AS8="X",(INDEX(Summary!$B$2:$M$35,COUNTA($AO$3:AS$3),8)-INDEX(Summary!$B$2:$M$35,COUNTA($AO$3:AS$3),7)/2)/1000,0)</f>
        <v>0</v>
      </c>
      <c r="AT5" s="1264">
        <f ca="1">IF(AT8="X",(INDEX(Summary!$B$2:$M$35,COUNTA($AO$3:AT$3),8)-INDEX(Summary!$B$2:$M$35,COUNTA($AO$3:AT$3),7)/2)/1000,0)</f>
        <v>0</v>
      </c>
      <c r="AU5" s="1264">
        <f ca="1">IF(AU8="X",(INDEX(Summary!$B$2:$M$35,COUNTA($AO$3:AU$3),8)-INDEX(Summary!$B$2:$M$35,COUNTA($AO$3:AU$3),7)/2)/1000,0)</f>
        <v>0</v>
      </c>
      <c r="AV5" s="1264">
        <f ca="1">IF(AV8="X",(INDEX(Summary!$B$2:$M$35,COUNTA($AO$3:AV$3),8)-INDEX(Summary!$B$2:$M$35,COUNTA($AO$3:AV$3),7)/2)/1000,0)</f>
        <v>0</v>
      </c>
      <c r="AW5" s="1264">
        <f ca="1">IF(AW8="X",(INDEX(Summary!$B$2:$M$35,COUNTA($AO$3:AW$3),8)-INDEX(Summary!$B$2:$M$35,COUNTA($AO$3:AW$3),7)/2)/1000,0)</f>
        <v>0</v>
      </c>
      <c r="AX5" s="1264">
        <f ca="1">IF(AX8="X",(INDEX(Summary!$B$2:$M$35,COUNTA($AO$3:AX$3),8)-INDEX(Summary!$B$2:$M$35,COUNTA($AO$3:AX$3),7)/2)/1000,0)</f>
        <v>0</v>
      </c>
      <c r="AY5" s="1264">
        <f ca="1">IF(AY8="X",(INDEX(Summary!$B$2:$M$35,COUNTA($AO$3:AY$3),8)-INDEX(Summary!$B$2:$M$35,COUNTA($AO$3:AY$3),7)/2)/1000,0)</f>
        <v>135.31478475674635</v>
      </c>
      <c r="AZ5" s="1264">
        <f ca="1">IF(AZ8="X",(INDEX(Summary!$B$2:$M$35,COUNTA($AO$3:AZ$3),8)-INDEX(Summary!$B$2:$M$35,COUNTA($AO$3:AZ$3),7)/2)/1000,0)</f>
        <v>0</v>
      </c>
      <c r="BA5" s="1264">
        <f ca="1">IF(BA8="X",(INDEX(Summary!$B$2:$M$35,COUNTA($AO$3:BA$3),8)-INDEX(Summary!$B$2:$M$35,COUNTA($AO$3:BA$3),7)/2)/1000,0)</f>
        <v>0</v>
      </c>
      <c r="BB5" s="1264">
        <f ca="1">IF(BB8="X",(INDEX(Summary!$B$2:$M$35,COUNTA($AO$3:BB$3),8)-INDEX(Summary!$B$2:$M$35,COUNTA($AO$3:BB$3),7)/2)/1000,0)</f>
        <v>0</v>
      </c>
      <c r="BC5" s="1264">
        <f ca="1">IF(BC8="X",(INDEX(Summary!$B$2:$M$35,COUNTA($AO$3:BC$3),8)-INDEX(Summary!$B$2:$M$35,COUNTA($AO$3:BC$3),7)/2)/1000,0)</f>
        <v>172.35838498685243</v>
      </c>
      <c r="BD5" s="1264">
        <f ca="1">IF(BD8="X",(INDEX(Summary!$B$2:$M$35,COUNTA($AO$3:BD$3),8)-INDEX(Summary!$B$2:$M$35,COUNTA($AO$3:BD$3),7)/2)/1000,0)</f>
        <v>0</v>
      </c>
      <c r="BE5" s="1264">
        <f ca="1">IF(BE8="X",(INDEX(Summary!$B$2:$M$35,COUNTA($AO$3:BE$3),8)-INDEX(Summary!$B$2:$M$35,COUNTA($AO$3:BE$3),7)/2)/1000,0)</f>
        <v>0</v>
      </c>
      <c r="BF5" s="1264">
        <f ca="1">IF(BF8="X",(INDEX(Summary!$B$2:$M$35,COUNTA($AO$3:BF$3),8)-INDEX(Summary!$B$2:$M$35,COUNTA($AO$3:BF$3),7)/2)/1000,0)</f>
        <v>0</v>
      </c>
      <c r="BG5" s="1264">
        <f ca="1">IF(BG8="X",(INDEX(Summary!$B$2:$M$35,COUNTA($AO$3:BG$3),8)-INDEX(Summary!$B$2:$M$35,COUNTA($AO$3:BG$3),7)/2)/1000,0)</f>
        <v>0</v>
      </c>
      <c r="BH5" s="1264">
        <f ca="1">IF(BH8="X",(INDEX(Summary!$B$2:$M$35,COUNTA($AO$3:BH$3),8)-INDEX(Summary!$B$2:$M$35,COUNTA($AO$3:BH$3),7)/2)/1000,0)</f>
        <v>0</v>
      </c>
      <c r="BI5" s="1264">
        <f ca="1">IF(BI8="X",(INDEX(Summary!$B$2:$M$35,COUNTA($AO$3:BI$3),8)-INDEX(Summary!$B$2:$M$35,COUNTA($AO$3:BI$3),7)/2)/1000,0)</f>
        <v>0</v>
      </c>
      <c r="BJ5" s="1264">
        <f ca="1">IF(BJ8="X",(INDEX(Summary!$B$2:$M$35,COUNTA($AO$3:BJ$3),8)-INDEX(Summary!$B$2:$M$35,COUNTA($AO$3:BJ$3),7)/2)/1000,0)</f>
        <v>0</v>
      </c>
      <c r="BK5" s="1264">
        <f ca="1">IF(BK8="X",(INDEX(Summary!$B$2:$M$35,COUNTA($AO$3:BK$3),8)-INDEX(Summary!$B$2:$M$35,COUNTA($AO$3:BK$3),7)/2)/1000,0)</f>
        <v>0</v>
      </c>
      <c r="BL5" s="1264">
        <f ca="1">IF(BL8="X",(INDEX(Summary!$B$2:$M$35,COUNTA($AO$3:BL$3),8)-INDEX(Summary!$B$2:$M$35,COUNTA($AO$3:BL$3),7)/2)/1000,0)</f>
        <v>0</v>
      </c>
      <c r="BM5" s="1264">
        <f ca="1">IF(BM8="X",(INDEX(Summary!$B$2:$M$35,COUNTA($AO$3:BM$3),8)-INDEX(Summary!$B$2:$M$35,COUNTA($AO$3:BM$3),7)/2)/1000,0)</f>
        <v>0</v>
      </c>
      <c r="BN5" s="1264">
        <f ca="1">IF(BN8="X",(INDEX(Summary!$B$2:$M$35,COUNTA($AO$3:BN$3),8)-INDEX(Summary!$B$2:$M$35,COUNTA($AO$3:BN$3),7)/2)/1000,0)</f>
        <v>0</v>
      </c>
      <c r="BO5" s="1264">
        <f ca="1">IF(BO8="X",(INDEX(Summary!$B$2:$M$35,COUNTA($AO$3:BO$3),8)-INDEX(Summary!$B$2:$M$35,COUNTA($AO$3:BO$3),7)/2)/1000,0)</f>
        <v>0</v>
      </c>
      <c r="BP5" s="1264">
        <f ca="1">IF(BP8="X",(INDEX(Summary!$B$2:$M$35,COUNTA($AO$3:BP$3),8)-INDEX(Summary!$B$2:$M$35,COUNTA($AO$3:BP$3),7)/2)/1000,0)</f>
        <v>0</v>
      </c>
      <c r="BQ5" s="1264">
        <f ca="1">IF(BQ8="X",(INDEX(Summary!$B$2:$M$35,COUNTA($AO$3:BQ$3),8)-INDEX(Summary!$B$2:$M$35,COUNTA($AO$3:BQ$3),7)/2)/1000,0)</f>
        <v>0</v>
      </c>
      <c r="BR5" s="1264">
        <f ca="1">IF(BR8="X",(INDEX(Summary!$B$2:$M$35,COUNTA($AO$3:BR$3),8)-INDEX(Summary!$B$2:$M$35,COUNTA($AO$3:BR$3),7)/2)/1000,0)</f>
        <v>0</v>
      </c>
      <c r="BS5" s="1264">
        <f ca="1">IF(BS8="X",(INDEX(Summary!$B$2:$M$35,COUNTA($AO$3:BS$3),8)-INDEX(Summary!$B$2:$M$35,COUNTA($AO$3:BS$3),7)/2)/1000,0)</f>
        <v>0</v>
      </c>
      <c r="BT5" s="1264">
        <f ca="1">IF(BT8="X",(INDEX(Summary!$B$2:$M$35,COUNTA($AO$3:BT$3),8)-INDEX(Summary!$B$2:$M$35,COUNTA($AO$3:BT$3),7)/2)/1000,0)</f>
        <v>0</v>
      </c>
      <c r="BU5" s="1264">
        <f ca="1">IF(BU8="X",(INDEX(Summary!$B$2:$M$35,COUNTA($AO$3:BU$3),8)-INDEX(Summary!$B$2:$M$35,COUNTA($AO$3:BU$3),7)/2)/1000,0)</f>
        <v>0</v>
      </c>
    </row>
    <row r="6" spans="1:101">
      <c r="A6">
        <v>0</v>
      </c>
      <c r="B6" s="259">
        <f ca="1">IF(OR(ROW(B6)-5=B$1,ROW(B6)-5=B$1+1),VLOOKUP(B$3,Summary!$B$2:$L$35,3,FALSE),0)</f>
        <v>-1076.846007063994</v>
      </c>
      <c r="C6" s="259">
        <f>IF(OR(ROW(C6)-5=C$1,ROW(C6)-5=C$1+1),VLOOKUP(C$3,Summary!$B$2:$L$35,3,FALSE),0)</f>
        <v>0</v>
      </c>
      <c r="D6" s="259">
        <f>IF(OR(ROW(D6)-5=D$1,ROW(D6)-5=D$1+1),VLOOKUP(D$3,Summary!$B$2:$L$35,3,FALSE),0)</f>
        <v>0</v>
      </c>
      <c r="E6" s="259">
        <f>IF(OR(ROW(E6)-5=E$1,ROW(E6)-5=E$1+1),VLOOKUP(E$3,Summary!$B$2:$L$35,3,FALSE),0)</f>
        <v>0</v>
      </c>
      <c r="F6" s="259">
        <f>IF(OR(ROW(F6)-5=F$1,ROW(F6)-5=F$1+1),VLOOKUP(F$3,Summary!$B$2:$L$35,3,FALSE),0)</f>
        <v>0</v>
      </c>
      <c r="G6" s="259">
        <f>IF(OR(ROW(G6)-5=G$1,ROW(G6)-5=G$1+1),VLOOKUP(G$3,Summary!$B$2:$L$35,3,FALSE),0)</f>
        <v>0</v>
      </c>
      <c r="H6" s="259">
        <f>IF(OR(ROW(H6)-5=H$1,ROW(H6)-5=H$1+1),VLOOKUP(H$3,Summary!$B$2:$L$35,3,FALSE),0)</f>
        <v>0</v>
      </c>
      <c r="I6" s="259">
        <f>IF(OR(ROW(I6)-5=I$1,ROW(I6)-5=I$1+1),VLOOKUP(I$3,Summary!$B$2:$L$35,3,FALSE),0)</f>
        <v>0</v>
      </c>
      <c r="J6" s="259">
        <f>IF(OR(ROW(J6)-5=J$1,ROW(J6)-5=J$1+1),VLOOKUP(J$3,Summary!$B$2:$L$35,3,FALSE),0)</f>
        <v>0</v>
      </c>
      <c r="K6" s="259">
        <f>IF(OR(ROW(K6)-5=K$1,ROW(K6)-5=K$1+1),VLOOKUP(K$3,Summary!$B$2:$L$35,3,FALSE),0)</f>
        <v>0</v>
      </c>
      <c r="L6" s="259">
        <f>IF(OR(ROW(L6)-5=L$1,ROW(L6)-5=L$1+1),VLOOKUP(L$3,Summary!$B$2:$L$35,3,FALSE),0)</f>
        <v>0</v>
      </c>
      <c r="M6" s="259">
        <f>IF(OR(ROW(M6)-5=M$1,ROW(M6)-5=M$1+1),VLOOKUP(M$3,Summary!$B$2:$L$35,3,FALSE),0)</f>
        <v>0</v>
      </c>
      <c r="N6" s="259">
        <f>IF(OR(ROW(N6)-5=N$1,ROW(N6)-5=N$1+1),VLOOKUP(N$3,Summary!$B$2:$L$35,3,FALSE),0)</f>
        <v>0</v>
      </c>
      <c r="O6" s="259">
        <f>IF(OR(ROW(O6)-5=O$1,ROW(O6)-5=O$1+1),VLOOKUP(O$3,Summary!$B$2:$L$35,3,FALSE),0)</f>
        <v>0</v>
      </c>
      <c r="P6" s="259">
        <f>IF(OR(ROW(P6)-5=P$1,ROW(P6)-5=P$1+1),VLOOKUP(P$3,Summary!$B$2:$L$35,3,FALSE),0)</f>
        <v>0</v>
      </c>
      <c r="Q6" s="259">
        <f>IF(OR(ROW(Q6)-5=Q$1,ROW(Q6)-5=Q$1+1),VLOOKUP(Q$3,Summary!$B$2:$L$35,3,FALSE),0)</f>
        <v>0</v>
      </c>
      <c r="R6" s="259">
        <f>IF(OR(ROW(R6)-5=R$1,ROW(R6)-5=R$1+1),VLOOKUP(R$3,Summary!$B$2:$L$35,3,FALSE),0)</f>
        <v>0</v>
      </c>
      <c r="S6" s="259">
        <f>IF(OR(ROW(S6)-5=S$1,ROW(S6)-5=S$1+1),VLOOKUP(S$3,Summary!$B$2:$L$35,3,FALSE),0)</f>
        <v>0</v>
      </c>
      <c r="T6" s="259">
        <f>IF(OR(ROW(T6)-5=T$1,ROW(T6)-5=T$1+1),VLOOKUP(T$3,Summary!$B$2:$L$35,3,FALSE),0)</f>
        <v>0</v>
      </c>
      <c r="U6" s="259">
        <f>IF(OR(ROW(U6)-5=U$1,ROW(U6)-5=U$1+1),VLOOKUP(U$3,Summary!$B$2:$L$35,3,FALSE),0)</f>
        <v>0</v>
      </c>
      <c r="V6" s="259">
        <f>IF(OR(ROW(V6)-5=V$1,ROW(V6)-5=V$1+1),VLOOKUP(V$3,Summary!$B$2:$L$35,3,FALSE),0)</f>
        <v>0</v>
      </c>
      <c r="W6" s="259">
        <f>IF(OR(ROW(W6)-5=W$1,ROW(W6)-5=W$1+1),VLOOKUP(W$3,Summary!$B$2:$L$35,3,FALSE),0)</f>
        <v>0</v>
      </c>
      <c r="X6" s="259">
        <f>IF(OR(ROW(X6)-5=X$1,ROW(X6)-5=X$1+1),VLOOKUP(X$3,Summary!$B$2:$L$35,3,FALSE),0)</f>
        <v>0</v>
      </c>
      <c r="Y6" s="259">
        <f>IF(OR(ROW(Y6)-5=Y$1,ROW(Y6)-5=Y$1+1),VLOOKUP(Y$3,Summary!$B$2:$L$35,3,FALSE),0)</f>
        <v>0</v>
      </c>
      <c r="Z6" s="259">
        <f>IF(OR(ROW(Z6)-5=Z$1,ROW(Z6)-5=Z$1+1),VLOOKUP(Z$3,Summary!$B$2:$L$35,3,FALSE),0)</f>
        <v>0</v>
      </c>
      <c r="AA6" s="259">
        <f>IF(OR(ROW(AA6)-5=AA$1,ROW(AA6)-5=AA$1+1),VLOOKUP(AA$3,Summary!$B$2:$L$35,3,FALSE),0)</f>
        <v>0</v>
      </c>
      <c r="AB6" s="259">
        <f>IF(OR(ROW(AB6)-5=AB$1,ROW(AB6)-5=AB$1+1),VLOOKUP(AB$3,Summary!$B$2:$L$35,3,FALSE),0)</f>
        <v>0</v>
      </c>
      <c r="AC6" s="259">
        <f>IF(OR(ROW(AC6)-5=AC$1,ROW(AC6)-5=AC$1+1),VLOOKUP(AC$3,Summary!$B$2:$L$35,3,FALSE),0)</f>
        <v>0</v>
      </c>
      <c r="AD6" s="259">
        <f>IF(OR(ROW(AD6)-5=AD$1,ROW(AD6)-5=AD$1+1),VLOOKUP(AD$3,Summary!$B$2:$L$35,3,FALSE),0)</f>
        <v>0</v>
      </c>
      <c r="AE6" s="259">
        <f>IF(OR(ROW(AE6)-5=AE$1,ROW(AE6)-5=AE$1+1),VLOOKUP(AE$3,Summary!$B$2:$L$35,3,FALSE),0)</f>
        <v>0</v>
      </c>
      <c r="AF6" s="331">
        <f t="shared" ref="AF6:AF37" ca="1" si="5">INDEX(Levelized_Cost_Adjusted,MATCH(SUM(B6:AE6),Levelized_Cost,0))</f>
        <v>-1128.4783718743092</v>
      </c>
      <c r="AM6">
        <v>10</v>
      </c>
      <c r="AN6" s="37" t="s">
        <v>1465</v>
      </c>
      <c r="AO6" s="1264">
        <f ca="1">IF(AO8="X",$AM$6,-400)</f>
        <v>10</v>
      </c>
      <c r="AP6" s="1264">
        <f t="shared" ref="AP6:BU6" ca="1" si="6">IF(AP8="X",$AM$6,-400)</f>
        <v>10</v>
      </c>
      <c r="AQ6" s="1264">
        <f t="shared" ca="1" si="6"/>
        <v>-400</v>
      </c>
      <c r="AR6" s="1264">
        <f t="shared" ca="1" si="6"/>
        <v>-400</v>
      </c>
      <c r="AS6" s="1264">
        <f t="shared" ca="1" si="6"/>
        <v>-400</v>
      </c>
      <c r="AT6" s="1264">
        <f t="shared" ca="1" si="6"/>
        <v>-400</v>
      </c>
      <c r="AU6" s="1264">
        <f t="shared" ca="1" si="6"/>
        <v>-400</v>
      </c>
      <c r="AV6" s="1264">
        <f t="shared" ca="1" si="6"/>
        <v>-400</v>
      </c>
      <c r="AW6" s="1264">
        <f t="shared" ca="1" si="6"/>
        <v>-400</v>
      </c>
      <c r="AX6" s="1264">
        <f t="shared" ca="1" si="6"/>
        <v>-400</v>
      </c>
      <c r="AY6" s="1264">
        <f t="shared" ca="1" si="6"/>
        <v>10</v>
      </c>
      <c r="AZ6" s="1264">
        <f t="shared" ca="1" si="6"/>
        <v>-400</v>
      </c>
      <c r="BA6" s="1264">
        <f t="shared" ca="1" si="6"/>
        <v>-400</v>
      </c>
      <c r="BB6" s="1264">
        <f t="shared" ca="1" si="6"/>
        <v>-400</v>
      </c>
      <c r="BC6" s="1264">
        <f t="shared" ca="1" si="6"/>
        <v>10</v>
      </c>
      <c r="BD6" s="1264">
        <f t="shared" ca="1" si="6"/>
        <v>-400</v>
      </c>
      <c r="BE6" s="1264">
        <f t="shared" ca="1" si="6"/>
        <v>-400</v>
      </c>
      <c r="BF6" s="1264">
        <f t="shared" ca="1" si="6"/>
        <v>-400</v>
      </c>
      <c r="BG6" s="1264">
        <f t="shared" ca="1" si="6"/>
        <v>-400</v>
      </c>
      <c r="BH6" s="1264">
        <f t="shared" ca="1" si="6"/>
        <v>-400</v>
      </c>
      <c r="BI6" s="1264">
        <f t="shared" ca="1" si="6"/>
        <v>-400</v>
      </c>
      <c r="BJ6" s="1264">
        <f t="shared" ca="1" si="6"/>
        <v>-400</v>
      </c>
      <c r="BK6" s="1264">
        <f t="shared" ca="1" si="6"/>
        <v>-400</v>
      </c>
      <c r="BL6" s="1264">
        <f t="shared" ca="1" si="6"/>
        <v>-400</v>
      </c>
      <c r="BM6" s="1264">
        <f t="shared" ca="1" si="6"/>
        <v>-400</v>
      </c>
      <c r="BN6" s="1264">
        <f t="shared" ca="1" si="6"/>
        <v>-400</v>
      </c>
      <c r="BO6" s="1264">
        <f t="shared" ca="1" si="6"/>
        <v>-400</v>
      </c>
      <c r="BP6" s="1264">
        <f t="shared" ca="1" si="6"/>
        <v>-400</v>
      </c>
      <c r="BQ6" s="1264">
        <f t="shared" ca="1" si="6"/>
        <v>-400</v>
      </c>
      <c r="BR6" s="1264">
        <f t="shared" ca="1" si="6"/>
        <v>-400</v>
      </c>
      <c r="BS6" s="1264">
        <f t="shared" ca="1" si="6"/>
        <v>-400</v>
      </c>
      <c r="BT6" s="1264">
        <f t="shared" ca="1" si="6"/>
        <v>-400</v>
      </c>
      <c r="BU6" s="1264">
        <f t="shared" ca="1" si="6"/>
        <v>-400</v>
      </c>
    </row>
    <row r="7" spans="1:101">
      <c r="A7" s="259">
        <f ca="1">OFFSET(Summary!$I$2,TRUNC((ROW(A7)-ROW($A$7))/3,0),0)/1000</f>
        <v>43.298154826676765</v>
      </c>
      <c r="B7" s="259">
        <f ca="1">IF(OR(ROW(B7)-5=B$1,ROW(B7)-5=B$1+1),VLOOKUP(B$3,Summary!$B$2:$L$35,3,FALSE),0)</f>
        <v>-1076.846007063994</v>
      </c>
      <c r="C7" s="259">
        <f>IF(OR(ROW(C7)-5=C$1,ROW(C7)-5=C$1+1),VLOOKUP(C$3,Summary!$B$2:$L$35,3,FALSE),0)</f>
        <v>0</v>
      </c>
      <c r="D7" s="259">
        <f>IF(OR(ROW(D7)-5=D$1,ROW(D7)-5=D$1+1),VLOOKUP(D$3,Summary!$B$2:$L$35,3,FALSE),0)</f>
        <v>0</v>
      </c>
      <c r="E7" s="259">
        <f>IF(OR(ROW(E7)-5=E$1,ROW(E7)-5=E$1+1),VLOOKUP(E$3,Summary!$B$2:$L$35,3,FALSE),0)</f>
        <v>0</v>
      </c>
      <c r="F7" s="259">
        <f>IF(OR(ROW(F7)-5=F$1,ROW(F7)-5=F$1+1),VLOOKUP(F$3,Summary!$B$2:$L$35,3,FALSE),0)</f>
        <v>0</v>
      </c>
      <c r="G7" s="259">
        <f>IF(OR(ROW(G7)-5=G$1,ROW(G7)-5=G$1+1),VLOOKUP(G$3,Summary!$B$2:$L$35,3,FALSE),0)</f>
        <v>0</v>
      </c>
      <c r="H7" s="259">
        <f>IF(OR(ROW(H7)-5=H$1,ROW(H7)-5=H$1+1),VLOOKUP(H$3,Summary!$B$2:$L$35,3,FALSE),0)</f>
        <v>0</v>
      </c>
      <c r="I7" s="259">
        <f>IF(OR(ROW(I7)-5=I$1,ROW(I7)-5=I$1+1),VLOOKUP(I$3,Summary!$B$2:$L$35,3,FALSE),0)</f>
        <v>0</v>
      </c>
      <c r="J7" s="259">
        <f>IF(OR(ROW(J7)-5=J$1,ROW(J7)-5=J$1+1),VLOOKUP(J$3,Summary!$B$2:$L$35,3,FALSE),0)</f>
        <v>0</v>
      </c>
      <c r="K7" s="259">
        <f>IF(OR(ROW(K7)-5=K$1,ROW(K7)-5=K$1+1),VLOOKUP(K$3,Summary!$B$2:$L$35,3,FALSE),0)</f>
        <v>0</v>
      </c>
      <c r="L7" s="259">
        <f>IF(OR(ROW(L7)-5=L$1,ROW(L7)-5=L$1+1),VLOOKUP(L$3,Summary!$B$2:$L$35,3,FALSE),0)</f>
        <v>0</v>
      </c>
      <c r="M7" s="259">
        <f>IF(OR(ROW(M7)-5=M$1,ROW(M7)-5=M$1+1),VLOOKUP(M$3,Summary!$B$2:$L$35,3,FALSE),0)</f>
        <v>0</v>
      </c>
      <c r="N7" s="259">
        <f>IF(OR(ROW(N7)-5=N$1,ROW(N7)-5=N$1+1),VLOOKUP(N$3,Summary!$B$2:$L$35,3,FALSE),0)</f>
        <v>0</v>
      </c>
      <c r="O7" s="259">
        <f>IF(OR(ROW(O7)-5=O$1,ROW(O7)-5=O$1+1),VLOOKUP(O$3,Summary!$B$2:$L$35,3,FALSE),0)</f>
        <v>0</v>
      </c>
      <c r="P7" s="259">
        <f>IF(OR(ROW(P7)-5=P$1,ROW(P7)-5=P$1+1),VLOOKUP(P$3,Summary!$B$2:$L$35,3,FALSE),0)</f>
        <v>0</v>
      </c>
      <c r="Q7" s="259">
        <f>IF(OR(ROW(Q7)-5=Q$1,ROW(Q7)-5=Q$1+1),VLOOKUP(Q$3,Summary!$B$2:$L$35,3,FALSE),0)</f>
        <v>0</v>
      </c>
      <c r="R7" s="259">
        <f>IF(OR(ROW(R7)-5=R$1,ROW(R7)-5=R$1+1),VLOOKUP(R$3,Summary!$B$2:$L$35,3,FALSE),0)</f>
        <v>0</v>
      </c>
      <c r="S7" s="259">
        <f>IF(OR(ROW(S7)-5=S$1,ROW(S7)-5=S$1+1),VLOOKUP(S$3,Summary!$B$2:$L$35,3,FALSE),0)</f>
        <v>0</v>
      </c>
      <c r="T7" s="259">
        <f>IF(OR(ROW(T7)-5=T$1,ROW(T7)-5=T$1+1),VLOOKUP(T$3,Summary!$B$2:$L$35,3,FALSE),0)</f>
        <v>0</v>
      </c>
      <c r="U7" s="259">
        <f>IF(OR(ROW(U7)-5=U$1,ROW(U7)-5=U$1+1),VLOOKUP(U$3,Summary!$B$2:$L$35,3,FALSE),0)</f>
        <v>0</v>
      </c>
      <c r="V7" s="259">
        <f>IF(OR(ROW(V7)-5=V$1,ROW(V7)-5=V$1+1),VLOOKUP(V$3,Summary!$B$2:$L$35,3,FALSE),0)</f>
        <v>0</v>
      </c>
      <c r="W7" s="259">
        <f>IF(OR(ROW(W7)-5=W$1,ROW(W7)-5=W$1+1),VLOOKUP(W$3,Summary!$B$2:$L$35,3,FALSE),0)</f>
        <v>0</v>
      </c>
      <c r="X7" s="259">
        <f>IF(OR(ROW(X7)-5=X$1,ROW(X7)-5=X$1+1),VLOOKUP(X$3,Summary!$B$2:$L$35,3,FALSE),0)</f>
        <v>0</v>
      </c>
      <c r="Y7" s="259">
        <f>IF(OR(ROW(Y7)-5=Y$1,ROW(Y7)-5=Y$1+1),VLOOKUP(Y$3,Summary!$B$2:$L$35,3,FALSE),0)</f>
        <v>0</v>
      </c>
      <c r="Z7" s="259">
        <f>IF(OR(ROW(Z7)-5=Z$1,ROW(Z7)-5=Z$1+1),VLOOKUP(Z$3,Summary!$B$2:$L$35,3,FALSE),0)</f>
        <v>0</v>
      </c>
      <c r="AA7" s="259">
        <f>IF(OR(ROW(AA7)-5=AA$1,ROW(AA7)-5=AA$1+1),VLOOKUP(AA$3,Summary!$B$2:$L$35,3,FALSE),0)</f>
        <v>0</v>
      </c>
      <c r="AB7" s="259">
        <f>IF(OR(ROW(AB7)-5=AB$1,ROW(AB7)-5=AB$1+1),VLOOKUP(AB$3,Summary!$B$2:$L$35,3,FALSE),0)</f>
        <v>0</v>
      </c>
      <c r="AC7" s="259">
        <f>IF(OR(ROW(AC7)-5=AC$1,ROW(AC7)-5=AC$1+1),VLOOKUP(AC$3,Summary!$B$2:$L$35,3,FALSE),0)</f>
        <v>0</v>
      </c>
      <c r="AD7" s="259">
        <f>IF(OR(ROW(AD7)-5=AD$1,ROW(AD7)-5=AD$1+1),VLOOKUP(AD$3,Summary!$B$2:$L$35,3,FALSE),0)</f>
        <v>0</v>
      </c>
      <c r="AE7" s="259">
        <f>IF(OR(ROW(AE7)-5=AE$1,ROW(AE7)-5=AE$1+1),VLOOKUP(AE$3,Summary!$B$2:$L$35,3,FALSE),0)</f>
        <v>0</v>
      </c>
      <c r="AF7" s="331">
        <f t="shared" ca="1" si="5"/>
        <v>-1128.4783718743092</v>
      </c>
      <c r="AO7" s="1264"/>
      <c r="AP7" s="1264"/>
      <c r="AQ7" s="1264"/>
      <c r="AR7" s="1264"/>
      <c r="AS7" s="1264"/>
      <c r="AT7" s="1264"/>
      <c r="AU7" s="1264"/>
      <c r="AV7" s="1264"/>
      <c r="AW7" s="1264"/>
      <c r="AX7" s="1264"/>
      <c r="AY7" s="1264"/>
      <c r="AZ7" s="1264"/>
      <c r="BA7" s="1264"/>
      <c r="BB7" s="1264"/>
      <c r="BC7" s="1264"/>
      <c r="BD7" s="1264"/>
      <c r="BE7" s="1264"/>
      <c r="BF7" s="1264"/>
      <c r="BG7" s="1264"/>
      <c r="BH7" s="1264"/>
      <c r="BI7" s="1264"/>
      <c r="BJ7" s="1264"/>
      <c r="BK7" s="1264"/>
      <c r="BL7" s="1264"/>
      <c r="BM7" s="1264"/>
      <c r="BN7" s="1264"/>
      <c r="BO7" s="1264"/>
      <c r="BP7" s="1264"/>
      <c r="BQ7" s="1264"/>
      <c r="BR7" s="1264"/>
      <c r="BS7" s="1264"/>
      <c r="BT7" s="1264"/>
      <c r="BU7" s="1264"/>
    </row>
    <row r="8" spans="1:101">
      <c r="A8" s="259">
        <f ca="1">OFFSET(Summary!$I$2,TRUNC((ROW(A8)-ROW($A$7))/3,0),0)/1000</f>
        <v>43.298154826676765</v>
      </c>
      <c r="B8" s="259">
        <f>IF(OR(ROW(B8)-5=B$1,ROW(B8)-5=B$1+1),VLOOKUP(B$3,Summary!$B$2:$L$35,3,FALSE),0)</f>
        <v>0</v>
      </c>
      <c r="C8" s="259">
        <f>IF(OR(ROW(C8)-5=C$1,ROW(C8)-5=C$1+1),VLOOKUP(C$3,Summary!$B$2:$L$35,3,FALSE),0)</f>
        <v>0</v>
      </c>
      <c r="D8" s="259">
        <f>IF(OR(ROW(D8)-5=D$1,ROW(D8)-5=D$1+1),VLOOKUP(D$3,Summary!$B$2:$L$35,3,FALSE),0)</f>
        <v>0</v>
      </c>
      <c r="E8" s="259">
        <f>IF(OR(ROW(E8)-5=E$1,ROW(E8)-5=E$1+1),VLOOKUP(E$3,Summary!$B$2:$L$35,3,FALSE),0)</f>
        <v>0</v>
      </c>
      <c r="F8" s="259">
        <f>IF(OR(ROW(F8)-5=F$1,ROW(F8)-5=F$1+1),VLOOKUP(F$3,Summary!$B$2:$L$35,3,FALSE),0)</f>
        <v>0</v>
      </c>
      <c r="G8" s="259">
        <f>IF(OR(ROW(G8)-5=G$1,ROW(G8)-5=G$1+1),VLOOKUP(G$3,Summary!$B$2:$L$35,3,FALSE),0)</f>
        <v>0</v>
      </c>
      <c r="H8" s="259">
        <f>IF(OR(ROW(H8)-5=H$1,ROW(H8)-5=H$1+1),VLOOKUP(H$3,Summary!$B$2:$L$35,3,FALSE),0)</f>
        <v>0</v>
      </c>
      <c r="I8" s="259">
        <f>IF(OR(ROW(I8)-5=I$1,ROW(I8)-5=I$1+1),VLOOKUP(I$3,Summary!$B$2:$L$35,3,FALSE),0)</f>
        <v>0</v>
      </c>
      <c r="J8" s="259">
        <f>IF(OR(ROW(J8)-5=J$1,ROW(J8)-5=J$1+1),VLOOKUP(J$3,Summary!$B$2:$L$35,3,FALSE),0)</f>
        <v>0</v>
      </c>
      <c r="K8" s="259">
        <f>IF(OR(ROW(K8)-5=K$1,ROW(K8)-5=K$1+1),VLOOKUP(K$3,Summary!$B$2:$L$35,3,FALSE),0)</f>
        <v>0</v>
      </c>
      <c r="L8" s="259">
        <f>IF(OR(ROW(L8)-5=L$1,ROW(L8)-5=L$1+1),VLOOKUP(L$3,Summary!$B$2:$L$35,3,FALSE),0)</f>
        <v>0</v>
      </c>
      <c r="M8" s="259">
        <f>IF(OR(ROW(M8)-5=M$1,ROW(M8)-5=M$1+1),VLOOKUP(M$3,Summary!$B$2:$L$35,3,FALSE),0)</f>
        <v>0</v>
      </c>
      <c r="N8" s="259">
        <f>IF(OR(ROW(N8)-5=N$1,ROW(N8)-5=N$1+1),VLOOKUP(N$3,Summary!$B$2:$L$35,3,FALSE),0)</f>
        <v>0</v>
      </c>
      <c r="O8" s="259">
        <f>IF(OR(ROW(O8)-5=O$1,ROW(O8)-5=O$1+1),VLOOKUP(O$3,Summary!$B$2:$L$35,3,FALSE),0)</f>
        <v>0</v>
      </c>
      <c r="P8" s="259">
        <f>IF(OR(ROW(P8)-5=P$1,ROW(P8)-5=P$1+1),VLOOKUP(P$3,Summary!$B$2:$L$35,3,FALSE),0)</f>
        <v>0</v>
      </c>
      <c r="Q8" s="259">
        <f>IF(OR(ROW(Q8)-5=Q$1,ROW(Q8)-5=Q$1+1),VLOOKUP(Q$3,Summary!$B$2:$L$35,3,FALSE),0)</f>
        <v>0</v>
      </c>
      <c r="R8" s="259">
        <f>IF(OR(ROW(R8)-5=R$1,ROW(R8)-5=R$1+1),VLOOKUP(R$3,Summary!$B$2:$L$35,3,FALSE),0)</f>
        <v>0</v>
      </c>
      <c r="S8" s="259">
        <f>IF(OR(ROW(S8)-5=S$1,ROW(S8)-5=S$1+1),VLOOKUP(S$3,Summary!$B$2:$L$35,3,FALSE),0)</f>
        <v>0</v>
      </c>
      <c r="T8" s="259">
        <f>IF(OR(ROW(T8)-5=T$1,ROW(T8)-5=T$1+1),VLOOKUP(T$3,Summary!$B$2:$L$35,3,FALSE),0)</f>
        <v>0</v>
      </c>
      <c r="U8" s="259">
        <f>IF(OR(ROW(U8)-5=U$1,ROW(U8)-5=U$1+1),VLOOKUP(U$3,Summary!$B$2:$L$35,3,FALSE),0)</f>
        <v>0</v>
      </c>
      <c r="V8" s="259">
        <f>IF(OR(ROW(V8)-5=V$1,ROW(V8)-5=V$1+1),VLOOKUP(V$3,Summary!$B$2:$L$35,3,FALSE),0)</f>
        <v>0</v>
      </c>
      <c r="W8" s="259">
        <f>IF(OR(ROW(W8)-5=W$1,ROW(W8)-5=W$1+1),VLOOKUP(W$3,Summary!$B$2:$L$35,3,FALSE),0)</f>
        <v>0</v>
      </c>
      <c r="X8" s="259">
        <f>IF(OR(ROW(X8)-5=X$1,ROW(X8)-5=X$1+1),VLOOKUP(X$3,Summary!$B$2:$L$35,3,FALSE),0)</f>
        <v>0</v>
      </c>
      <c r="Y8" s="259">
        <f>IF(OR(ROW(Y8)-5=Y$1,ROW(Y8)-5=Y$1+1),VLOOKUP(Y$3,Summary!$B$2:$L$35,3,FALSE),0)</f>
        <v>0</v>
      </c>
      <c r="Z8" s="259">
        <f>IF(OR(ROW(Z8)-5=Z$1,ROW(Z8)-5=Z$1+1),VLOOKUP(Z$3,Summary!$B$2:$L$35,3,FALSE),0)</f>
        <v>0</v>
      </c>
      <c r="AA8" s="259">
        <f>IF(OR(ROW(AA8)-5=AA$1,ROW(AA8)-5=AA$1+1),VLOOKUP(AA$3,Summary!$B$2:$L$35,3,FALSE),0)</f>
        <v>0</v>
      </c>
      <c r="AB8" s="259">
        <f>IF(OR(ROW(AB8)-5=AB$1,ROW(AB8)-5=AB$1+1),VLOOKUP(AB$3,Summary!$B$2:$L$35,3,FALSE),0)</f>
        <v>0</v>
      </c>
      <c r="AC8" s="259">
        <f>IF(OR(ROW(AC8)-5=AC$1,ROW(AC8)-5=AC$1+1),VLOOKUP(AC$3,Summary!$B$2:$L$35,3,FALSE),0)</f>
        <v>0</v>
      </c>
      <c r="AD8" s="259">
        <f>IF(OR(ROW(AD8)-5=AD$1,ROW(AD8)-5=AD$1+1),VLOOKUP(AD$3,Summary!$B$2:$L$35,3,FALSE),0)</f>
        <v>0</v>
      </c>
      <c r="AE8" s="259">
        <f>IF(OR(ROW(AE8)-5=AE$1,ROW(AE8)-5=AE$1+1),VLOOKUP(AE$3,Summary!$B$2:$L$35,3,FALSE),0)</f>
        <v>0</v>
      </c>
      <c r="AF8" s="331" t="e">
        <f t="shared" ca="1" si="5"/>
        <v>#N/A</v>
      </c>
      <c r="AO8" t="str">
        <f ca="1">OFFSET('Abatement Curve'!$N$3,COLUMN(AO4)-COLUMN($AO$4),0)</f>
        <v>x</v>
      </c>
      <c r="AP8" t="str">
        <f ca="1">OFFSET('Abatement Curve'!$N$3,COLUMN(AP4)-COLUMN($AO$4),0)</f>
        <v>x</v>
      </c>
      <c r="AQ8">
        <f ca="1">OFFSET('Abatement Curve'!$N$3,COLUMN(AQ4)-COLUMN($AO$4),0)</f>
        <v>0</v>
      </c>
      <c r="AR8">
        <f ca="1">OFFSET('Abatement Curve'!$N$3,COLUMN(AR4)-COLUMN($AO$4),0)</f>
        <v>0</v>
      </c>
      <c r="AS8">
        <f ca="1">OFFSET('Abatement Curve'!$N$3,COLUMN(AS4)-COLUMN($AO$4),0)</f>
        <v>0</v>
      </c>
      <c r="AT8">
        <f ca="1">OFFSET('Abatement Curve'!$N$3,COLUMN(AT4)-COLUMN($AO$4),0)</f>
        <v>0</v>
      </c>
      <c r="AU8">
        <f ca="1">OFFSET('Abatement Curve'!$N$3,COLUMN(AU4)-COLUMN($AO$4),0)</f>
        <v>0</v>
      </c>
      <c r="AV8">
        <f ca="1">OFFSET('Abatement Curve'!$N$3,COLUMN(AV4)-COLUMN($AO$4),0)</f>
        <v>0</v>
      </c>
      <c r="AW8">
        <f ca="1">OFFSET('Abatement Curve'!$N$3,COLUMN(AW4)-COLUMN($AO$4),0)</f>
        <v>0</v>
      </c>
      <c r="AX8">
        <f ca="1">OFFSET('Abatement Curve'!$N$3,COLUMN(AX4)-COLUMN($AO$4),0)</f>
        <v>0</v>
      </c>
      <c r="AY8" t="str">
        <f ca="1">OFFSET('Abatement Curve'!$N$3,COLUMN(AY4)-COLUMN($AO$4),0)</f>
        <v>x</v>
      </c>
      <c r="AZ8">
        <f ca="1">OFFSET('Abatement Curve'!$N$3,COLUMN(AZ4)-COLUMN($AO$4),0)</f>
        <v>0</v>
      </c>
      <c r="BA8">
        <f ca="1">OFFSET('Abatement Curve'!$N$3,COLUMN(BA4)-COLUMN($AO$4),0)</f>
        <v>0</v>
      </c>
      <c r="BB8">
        <f ca="1">OFFSET('Abatement Curve'!$N$3,COLUMN(BB4)-COLUMN($AO$4),0)</f>
        <v>0</v>
      </c>
      <c r="BC8" t="str">
        <f ca="1">OFFSET('Abatement Curve'!$N$3,COLUMN(BC4)-COLUMN($AO$4),0)</f>
        <v>x</v>
      </c>
      <c r="BD8">
        <f ca="1">OFFSET('Abatement Curve'!$N$3,COLUMN(BD4)-COLUMN($AO$4),0)</f>
        <v>0</v>
      </c>
      <c r="BE8">
        <f ca="1">OFFSET('Abatement Curve'!$N$3,COLUMN(BE4)-COLUMN($AO$4),0)</f>
        <v>0</v>
      </c>
      <c r="BF8">
        <f ca="1">OFFSET('Abatement Curve'!$N$3,COLUMN(BF4)-COLUMN($AO$4),0)</f>
        <v>0</v>
      </c>
      <c r="BG8">
        <f ca="1">OFFSET('Abatement Curve'!$N$3,COLUMN(BG4)-COLUMN($AO$4),0)</f>
        <v>0</v>
      </c>
      <c r="BH8">
        <f ca="1">OFFSET('Abatement Curve'!$N$3,COLUMN(BH4)-COLUMN($AO$4),0)</f>
        <v>0</v>
      </c>
      <c r="BI8">
        <f ca="1">OFFSET('Abatement Curve'!$N$3,COLUMN(BI4)-COLUMN($AO$4),0)</f>
        <v>0</v>
      </c>
      <c r="BJ8">
        <f ca="1">OFFSET('Abatement Curve'!$N$3,COLUMN(BJ4)-COLUMN($AO$4),0)</f>
        <v>0</v>
      </c>
      <c r="BK8">
        <f ca="1">OFFSET('Abatement Curve'!$N$3,COLUMN(BK4)-COLUMN($AO$4),0)</f>
        <v>0</v>
      </c>
      <c r="BL8">
        <f ca="1">OFFSET('Abatement Curve'!$N$3,COLUMN(BL4)-COLUMN($AO$4),0)</f>
        <v>0</v>
      </c>
      <c r="BM8">
        <f ca="1">OFFSET('Abatement Curve'!$N$3,COLUMN(BM4)-COLUMN($AO$4),0)</f>
        <v>0</v>
      </c>
      <c r="BN8">
        <f ca="1">OFFSET('Abatement Curve'!$N$3,COLUMN(BN4)-COLUMN($AO$4),0)</f>
        <v>0</v>
      </c>
      <c r="BO8">
        <f ca="1">OFFSET('Abatement Curve'!$N$3,COLUMN(BO4)-COLUMN($AO$4),0)</f>
        <v>0</v>
      </c>
      <c r="BP8">
        <f ca="1">OFFSET('Abatement Curve'!$N$3,COLUMN(BP4)-COLUMN($AO$4),0)</f>
        <v>0</v>
      </c>
      <c r="BQ8">
        <f ca="1">OFFSET('Abatement Curve'!$N$3,COLUMN(BQ4)-COLUMN($AO$4),0)</f>
        <v>0</v>
      </c>
      <c r="BR8">
        <f ca="1">OFFSET('Abatement Curve'!$N$3,COLUMN(BR4)-COLUMN($AO$4),0)</f>
        <v>0</v>
      </c>
      <c r="BS8">
        <f ca="1">OFFSET('Abatement Curve'!$N$3,COLUMN(BS4)-COLUMN($AO$4),0)</f>
        <v>0</v>
      </c>
      <c r="BT8">
        <f ca="1">OFFSET('Abatement Curve'!$N$3,COLUMN(BT4)-COLUMN($AO$4),0)</f>
        <v>0</v>
      </c>
      <c r="BU8">
        <f ca="1">OFFSET('Abatement Curve'!$N$3,COLUMN(BU4)-COLUMN($AO$4),0)</f>
        <v>0</v>
      </c>
    </row>
    <row r="9" spans="1:101">
      <c r="A9" s="259">
        <f ca="1">OFFSET(Summary!$I$2,TRUNC((ROW(A9)-ROW($A$7))/3,0),0)/1000</f>
        <v>43.298154826676765</v>
      </c>
      <c r="B9" s="259">
        <f>IF(OR(ROW(B9)-5=B$1,ROW(B9)-5=B$1+1),VLOOKUP(B$3,Summary!$B$2:$L$35,3,FALSE),0)</f>
        <v>0</v>
      </c>
      <c r="C9" s="259">
        <f ca="1">IF(OR(ROW(C9)-5=C$1,ROW(C9)-5=C$1+1),VLOOKUP(C$3,Summary!$B$2:$L$35,3,FALSE),0)</f>
        <v>-238.57707316254573</v>
      </c>
      <c r="D9" s="259">
        <f>IF(OR(ROW(D9)-5=D$1,ROW(D9)-5=D$1+1),VLOOKUP(D$3,Summary!$B$2:$L$35,3,FALSE),0)</f>
        <v>0</v>
      </c>
      <c r="E9" s="259">
        <f>IF(OR(ROW(E9)-5=E$1,ROW(E9)-5=E$1+1),VLOOKUP(E$3,Summary!$B$2:$L$35,3,FALSE),0)</f>
        <v>0</v>
      </c>
      <c r="F9" s="259">
        <f>IF(OR(ROW(F9)-5=F$1,ROW(F9)-5=F$1+1),VLOOKUP(F$3,Summary!$B$2:$L$35,3,FALSE),0)</f>
        <v>0</v>
      </c>
      <c r="G9" s="259">
        <f>IF(OR(ROW(G9)-5=G$1,ROW(G9)-5=G$1+1),VLOOKUP(G$3,Summary!$B$2:$L$35,3,FALSE),0)</f>
        <v>0</v>
      </c>
      <c r="H9" s="259">
        <f>IF(OR(ROW(H9)-5=H$1,ROW(H9)-5=H$1+1),VLOOKUP(H$3,Summary!$B$2:$L$35,3,FALSE),0)</f>
        <v>0</v>
      </c>
      <c r="I9" s="259">
        <f>IF(OR(ROW(I9)-5=I$1,ROW(I9)-5=I$1+1),VLOOKUP(I$3,Summary!$B$2:$L$35,3,FALSE),0)</f>
        <v>0</v>
      </c>
      <c r="J9" s="259">
        <f>IF(OR(ROW(J9)-5=J$1,ROW(J9)-5=J$1+1),VLOOKUP(J$3,Summary!$B$2:$L$35,3,FALSE),0)</f>
        <v>0</v>
      </c>
      <c r="K9" s="259">
        <f>IF(OR(ROW(K9)-5=K$1,ROW(K9)-5=K$1+1),VLOOKUP(K$3,Summary!$B$2:$L$35,3,FALSE),0)</f>
        <v>0</v>
      </c>
      <c r="L9" s="259">
        <f>IF(OR(ROW(L9)-5=L$1,ROW(L9)-5=L$1+1),VLOOKUP(L$3,Summary!$B$2:$L$35,3,FALSE),0)</f>
        <v>0</v>
      </c>
      <c r="M9" s="259">
        <f>IF(OR(ROW(M9)-5=M$1,ROW(M9)-5=M$1+1),VLOOKUP(M$3,Summary!$B$2:$L$35,3,FALSE),0)</f>
        <v>0</v>
      </c>
      <c r="N9" s="259">
        <f>IF(OR(ROW(N9)-5=N$1,ROW(N9)-5=N$1+1),VLOOKUP(N$3,Summary!$B$2:$L$35,3,FALSE),0)</f>
        <v>0</v>
      </c>
      <c r="O9" s="259">
        <f>IF(OR(ROW(O9)-5=O$1,ROW(O9)-5=O$1+1),VLOOKUP(O$3,Summary!$B$2:$L$35,3,FALSE),0)</f>
        <v>0</v>
      </c>
      <c r="P9" s="259">
        <f>IF(OR(ROW(P9)-5=P$1,ROW(P9)-5=P$1+1),VLOOKUP(P$3,Summary!$B$2:$L$35,3,FALSE),0)</f>
        <v>0</v>
      </c>
      <c r="Q9" s="259">
        <f>IF(OR(ROW(Q9)-5=Q$1,ROW(Q9)-5=Q$1+1),VLOOKUP(Q$3,Summary!$B$2:$L$35,3,FALSE),0)</f>
        <v>0</v>
      </c>
      <c r="R9" s="259">
        <f>IF(OR(ROW(R9)-5=R$1,ROW(R9)-5=R$1+1),VLOOKUP(R$3,Summary!$B$2:$L$35,3,FALSE),0)</f>
        <v>0</v>
      </c>
      <c r="S9" s="259">
        <f>IF(OR(ROW(S9)-5=S$1,ROW(S9)-5=S$1+1),VLOOKUP(S$3,Summary!$B$2:$L$35,3,FALSE),0)</f>
        <v>0</v>
      </c>
      <c r="T9" s="259">
        <f>IF(OR(ROW(T9)-5=T$1,ROW(T9)-5=T$1+1),VLOOKUP(T$3,Summary!$B$2:$L$35,3,FALSE),0)</f>
        <v>0</v>
      </c>
      <c r="U9" s="259">
        <f>IF(OR(ROW(U9)-5=U$1,ROW(U9)-5=U$1+1),VLOOKUP(U$3,Summary!$B$2:$L$35,3,FALSE),0)</f>
        <v>0</v>
      </c>
      <c r="V9" s="259">
        <f>IF(OR(ROW(V9)-5=V$1,ROW(V9)-5=V$1+1),VLOOKUP(V$3,Summary!$B$2:$L$35,3,FALSE),0)</f>
        <v>0</v>
      </c>
      <c r="W9" s="259">
        <f>IF(OR(ROW(W9)-5=W$1,ROW(W9)-5=W$1+1),VLOOKUP(W$3,Summary!$B$2:$L$35,3,FALSE),0)</f>
        <v>0</v>
      </c>
      <c r="X9" s="259">
        <f>IF(OR(ROW(X9)-5=X$1,ROW(X9)-5=X$1+1),VLOOKUP(X$3,Summary!$B$2:$L$35,3,FALSE),0)</f>
        <v>0</v>
      </c>
      <c r="Y9" s="259">
        <f>IF(OR(ROW(Y9)-5=Y$1,ROW(Y9)-5=Y$1+1),VLOOKUP(Y$3,Summary!$B$2:$L$35,3,FALSE),0)</f>
        <v>0</v>
      </c>
      <c r="Z9" s="259">
        <f>IF(OR(ROW(Z9)-5=Z$1,ROW(Z9)-5=Z$1+1),VLOOKUP(Z$3,Summary!$B$2:$L$35,3,FALSE),0)</f>
        <v>0</v>
      </c>
      <c r="AA9" s="259">
        <f>IF(OR(ROW(AA9)-5=AA$1,ROW(AA9)-5=AA$1+1),VLOOKUP(AA$3,Summary!$B$2:$L$35,3,FALSE),0)</f>
        <v>0</v>
      </c>
      <c r="AB9" s="259">
        <f>IF(OR(ROW(AB9)-5=AB$1,ROW(AB9)-5=AB$1+1),VLOOKUP(AB$3,Summary!$B$2:$L$35,3,FALSE),0)</f>
        <v>0</v>
      </c>
      <c r="AC9" s="259">
        <f>IF(OR(ROW(AC9)-5=AC$1,ROW(AC9)-5=AC$1+1),VLOOKUP(AC$3,Summary!$B$2:$L$35,3,FALSE),0)</f>
        <v>0</v>
      </c>
      <c r="AD9" s="259">
        <f>IF(OR(ROW(AD9)-5=AD$1,ROW(AD9)-5=AD$1+1),VLOOKUP(AD$3,Summary!$B$2:$L$35,3,FALSE),0)</f>
        <v>0</v>
      </c>
      <c r="AE9" s="259">
        <f>IF(OR(ROW(AE9)-5=AE$1,ROW(AE9)-5=AE$1+1),VLOOKUP(AE$3,Summary!$B$2:$L$35,3,FALSE),0)</f>
        <v>0</v>
      </c>
      <c r="AF9" s="331">
        <f t="shared" ca="1" si="5"/>
        <v>-275.64890603375414</v>
      </c>
    </row>
    <row r="10" spans="1:101">
      <c r="A10" s="259">
        <f ca="1">OFFSET(Summary!$I$2,TRUNC((ROW(A10)-ROW($A$7))/3,0),0)/1000</f>
        <v>48.220314972105946</v>
      </c>
      <c r="B10" s="259">
        <f>IF(OR(ROW(B10)-5=B$1,ROW(B10)-5=B$1+1),VLOOKUP(B$3,Summary!$B$2:$L$35,3,FALSE),0)</f>
        <v>0</v>
      </c>
      <c r="C10" s="259">
        <f ca="1">IF(OR(ROW(C10)-5=C$1,ROW(C10)-5=C$1+1),VLOOKUP(C$3,Summary!$B$2:$L$35,3,FALSE),0)</f>
        <v>-238.57707316254573</v>
      </c>
      <c r="D10" s="259">
        <f>IF(OR(ROW(D10)-5=D$1,ROW(D10)-5=D$1+1),VLOOKUP(D$3,Summary!$B$2:$L$35,3,FALSE),0)</f>
        <v>0</v>
      </c>
      <c r="E10" s="259">
        <f>IF(OR(ROW(E10)-5=E$1,ROW(E10)-5=E$1+1),VLOOKUP(E$3,Summary!$B$2:$L$35,3,FALSE),0)</f>
        <v>0</v>
      </c>
      <c r="F10" s="259">
        <f>IF(OR(ROW(F10)-5=F$1,ROW(F10)-5=F$1+1),VLOOKUP(F$3,Summary!$B$2:$L$35,3,FALSE),0)</f>
        <v>0</v>
      </c>
      <c r="G10" s="259">
        <f>IF(OR(ROW(G10)-5=G$1,ROW(G10)-5=G$1+1),VLOOKUP(G$3,Summary!$B$2:$L$35,3,FALSE),0)</f>
        <v>0</v>
      </c>
      <c r="H10" s="259">
        <f>IF(OR(ROW(H10)-5=H$1,ROW(H10)-5=H$1+1),VLOOKUP(H$3,Summary!$B$2:$L$35,3,FALSE),0)</f>
        <v>0</v>
      </c>
      <c r="I10" s="259">
        <f>IF(OR(ROW(I10)-5=I$1,ROW(I10)-5=I$1+1),VLOOKUP(I$3,Summary!$B$2:$L$35,3,FALSE),0)</f>
        <v>0</v>
      </c>
      <c r="J10" s="259">
        <f>IF(OR(ROW(J10)-5=J$1,ROW(J10)-5=J$1+1),VLOOKUP(J$3,Summary!$B$2:$L$35,3,FALSE),0)</f>
        <v>0</v>
      </c>
      <c r="K10" s="259">
        <f>IF(OR(ROW(K10)-5=K$1,ROW(K10)-5=K$1+1),VLOOKUP(K$3,Summary!$B$2:$L$35,3,FALSE),0)</f>
        <v>0</v>
      </c>
      <c r="L10" s="259">
        <f>IF(OR(ROW(L10)-5=L$1,ROW(L10)-5=L$1+1),VLOOKUP(L$3,Summary!$B$2:$L$35,3,FALSE),0)</f>
        <v>0</v>
      </c>
      <c r="M10" s="259">
        <f>IF(OR(ROW(M10)-5=M$1,ROW(M10)-5=M$1+1),VLOOKUP(M$3,Summary!$B$2:$L$35,3,FALSE),0)</f>
        <v>0</v>
      </c>
      <c r="N10" s="259">
        <f>IF(OR(ROW(N10)-5=N$1,ROW(N10)-5=N$1+1),VLOOKUP(N$3,Summary!$B$2:$L$35,3,FALSE),0)</f>
        <v>0</v>
      </c>
      <c r="O10" s="259">
        <f>IF(OR(ROW(O10)-5=O$1,ROW(O10)-5=O$1+1),VLOOKUP(O$3,Summary!$B$2:$L$35,3,FALSE),0)</f>
        <v>0</v>
      </c>
      <c r="P10" s="259">
        <f>IF(OR(ROW(P10)-5=P$1,ROW(P10)-5=P$1+1),VLOOKUP(P$3,Summary!$B$2:$L$35,3,FALSE),0)</f>
        <v>0</v>
      </c>
      <c r="Q10" s="259">
        <f>IF(OR(ROW(Q10)-5=Q$1,ROW(Q10)-5=Q$1+1),VLOOKUP(Q$3,Summary!$B$2:$L$35,3,FALSE),0)</f>
        <v>0</v>
      </c>
      <c r="R10" s="259">
        <f>IF(OR(ROW(R10)-5=R$1,ROW(R10)-5=R$1+1),VLOOKUP(R$3,Summary!$B$2:$L$35,3,FALSE),0)</f>
        <v>0</v>
      </c>
      <c r="S10" s="259">
        <f>IF(OR(ROW(S10)-5=S$1,ROW(S10)-5=S$1+1),VLOOKUP(S$3,Summary!$B$2:$L$35,3,FALSE),0)</f>
        <v>0</v>
      </c>
      <c r="T10" s="259">
        <f>IF(OR(ROW(T10)-5=T$1,ROW(T10)-5=T$1+1),VLOOKUP(T$3,Summary!$B$2:$L$35,3,FALSE),0)</f>
        <v>0</v>
      </c>
      <c r="U10" s="259">
        <f>IF(OR(ROW(U10)-5=U$1,ROW(U10)-5=U$1+1),VLOOKUP(U$3,Summary!$B$2:$L$35,3,FALSE),0)</f>
        <v>0</v>
      </c>
      <c r="V10" s="259">
        <f>IF(OR(ROW(V10)-5=V$1,ROW(V10)-5=V$1+1),VLOOKUP(V$3,Summary!$B$2:$L$35,3,FALSE),0)</f>
        <v>0</v>
      </c>
      <c r="W10" s="259">
        <f>IF(OR(ROW(W10)-5=W$1,ROW(W10)-5=W$1+1),VLOOKUP(W$3,Summary!$B$2:$L$35,3,FALSE),0)</f>
        <v>0</v>
      </c>
      <c r="X10" s="259">
        <f>IF(OR(ROW(X10)-5=X$1,ROW(X10)-5=X$1+1),VLOOKUP(X$3,Summary!$B$2:$L$35,3,FALSE),0)</f>
        <v>0</v>
      </c>
      <c r="Y10" s="259">
        <f>IF(OR(ROW(Y10)-5=Y$1,ROW(Y10)-5=Y$1+1),VLOOKUP(Y$3,Summary!$B$2:$L$35,3,FALSE),0)</f>
        <v>0</v>
      </c>
      <c r="Z10" s="259">
        <f>IF(OR(ROW(Z10)-5=Z$1,ROW(Z10)-5=Z$1+1),VLOOKUP(Z$3,Summary!$B$2:$L$35,3,FALSE),0)</f>
        <v>0</v>
      </c>
      <c r="AA10" s="259">
        <f>IF(OR(ROW(AA10)-5=AA$1,ROW(AA10)-5=AA$1+1),VLOOKUP(AA$3,Summary!$B$2:$L$35,3,FALSE),0)</f>
        <v>0</v>
      </c>
      <c r="AB10" s="259">
        <f>IF(OR(ROW(AB10)-5=AB$1,ROW(AB10)-5=AB$1+1),VLOOKUP(AB$3,Summary!$B$2:$L$35,3,FALSE),0)</f>
        <v>0</v>
      </c>
      <c r="AC10" s="259">
        <f>IF(OR(ROW(AC10)-5=AC$1,ROW(AC10)-5=AC$1+1),VLOOKUP(AC$3,Summary!$B$2:$L$35,3,FALSE),0)</f>
        <v>0</v>
      </c>
      <c r="AD10" s="259">
        <f>IF(OR(ROW(AD10)-5=AD$1,ROW(AD10)-5=AD$1+1),VLOOKUP(AD$3,Summary!$B$2:$L$35,3,FALSE),0)</f>
        <v>0</v>
      </c>
      <c r="AE10" s="259">
        <f>IF(OR(ROW(AE10)-5=AE$1,ROW(AE10)-5=AE$1+1),VLOOKUP(AE$3,Summary!$B$2:$L$35,3,FALSE),0)</f>
        <v>0</v>
      </c>
      <c r="AF10" s="331">
        <f t="shared" ca="1" si="5"/>
        <v>-275.64890603375414</v>
      </c>
    </row>
    <row r="11" spans="1:101">
      <c r="A11" s="259">
        <f ca="1">OFFSET(Summary!$I$2,TRUNC((ROW(A11)-ROW($A$7))/3,0),0)/1000</f>
        <v>48.220314972105946</v>
      </c>
      <c r="B11" s="259">
        <f>IF(OR(ROW(B11)-5=B$1,ROW(B11)-5=B$1+1),VLOOKUP(B$3,Summary!$B$2:$L$35,3,FALSE),0)</f>
        <v>0</v>
      </c>
      <c r="C11" s="259">
        <f>IF(OR(ROW(C11)-5=C$1,ROW(C11)-5=C$1+1),VLOOKUP(C$3,Summary!$B$2:$L$35,3,FALSE),0)</f>
        <v>0</v>
      </c>
      <c r="D11" s="259">
        <f>IF(OR(ROW(D11)-5=D$1,ROW(D11)-5=D$1+1),VLOOKUP(D$3,Summary!$B$2:$L$35,3,FALSE),0)</f>
        <v>0</v>
      </c>
      <c r="E11" s="259">
        <f>IF(OR(ROW(E11)-5=E$1,ROW(E11)-5=E$1+1),VLOOKUP(E$3,Summary!$B$2:$L$35,3,FALSE),0)</f>
        <v>0</v>
      </c>
      <c r="F11" s="259">
        <f>IF(OR(ROW(F11)-5=F$1,ROW(F11)-5=F$1+1),VLOOKUP(F$3,Summary!$B$2:$L$35,3,FALSE),0)</f>
        <v>0</v>
      </c>
      <c r="G11" s="259">
        <f>IF(OR(ROW(G11)-5=G$1,ROW(G11)-5=G$1+1),VLOOKUP(G$3,Summary!$B$2:$L$35,3,FALSE),0)</f>
        <v>0</v>
      </c>
      <c r="H11" s="259">
        <f>IF(OR(ROW(H11)-5=H$1,ROW(H11)-5=H$1+1),VLOOKUP(H$3,Summary!$B$2:$L$35,3,FALSE),0)</f>
        <v>0</v>
      </c>
      <c r="I11" s="259">
        <f>IF(OR(ROW(I11)-5=I$1,ROW(I11)-5=I$1+1),VLOOKUP(I$3,Summary!$B$2:$L$35,3,FALSE),0)</f>
        <v>0</v>
      </c>
      <c r="J11" s="259">
        <f>IF(OR(ROW(J11)-5=J$1,ROW(J11)-5=J$1+1),VLOOKUP(J$3,Summary!$B$2:$L$35,3,FALSE),0)</f>
        <v>0</v>
      </c>
      <c r="K11" s="259">
        <f>IF(OR(ROW(K11)-5=K$1,ROW(K11)-5=K$1+1),VLOOKUP(K$3,Summary!$B$2:$L$35,3,FALSE),0)</f>
        <v>0</v>
      </c>
      <c r="L11" s="259">
        <f>IF(OR(ROW(L11)-5=L$1,ROW(L11)-5=L$1+1),VLOOKUP(L$3,Summary!$B$2:$L$35,3,FALSE),0)</f>
        <v>0</v>
      </c>
      <c r="M11" s="259">
        <f>IF(OR(ROW(M11)-5=M$1,ROW(M11)-5=M$1+1),VLOOKUP(M$3,Summary!$B$2:$L$35,3,FALSE),0)</f>
        <v>0</v>
      </c>
      <c r="N11" s="259">
        <f>IF(OR(ROW(N11)-5=N$1,ROW(N11)-5=N$1+1),VLOOKUP(N$3,Summary!$B$2:$L$35,3,FALSE),0)</f>
        <v>0</v>
      </c>
      <c r="O11" s="259">
        <f>IF(OR(ROW(O11)-5=O$1,ROW(O11)-5=O$1+1),VLOOKUP(O$3,Summary!$B$2:$L$35,3,FALSE),0)</f>
        <v>0</v>
      </c>
      <c r="P11" s="259">
        <f>IF(OR(ROW(P11)-5=P$1,ROW(P11)-5=P$1+1),VLOOKUP(P$3,Summary!$B$2:$L$35,3,FALSE),0)</f>
        <v>0</v>
      </c>
      <c r="Q11" s="259">
        <f>IF(OR(ROW(Q11)-5=Q$1,ROW(Q11)-5=Q$1+1),VLOOKUP(Q$3,Summary!$B$2:$L$35,3,FALSE),0)</f>
        <v>0</v>
      </c>
      <c r="R11" s="259">
        <f>IF(OR(ROW(R11)-5=R$1,ROW(R11)-5=R$1+1),VLOOKUP(R$3,Summary!$B$2:$L$35,3,FALSE),0)</f>
        <v>0</v>
      </c>
      <c r="S11" s="259">
        <f>IF(OR(ROW(S11)-5=S$1,ROW(S11)-5=S$1+1),VLOOKUP(S$3,Summary!$B$2:$L$35,3,FALSE),0)</f>
        <v>0</v>
      </c>
      <c r="T11" s="259">
        <f>IF(OR(ROW(T11)-5=T$1,ROW(T11)-5=T$1+1),VLOOKUP(T$3,Summary!$B$2:$L$35,3,FALSE),0)</f>
        <v>0</v>
      </c>
      <c r="U11" s="259">
        <f>IF(OR(ROW(U11)-5=U$1,ROW(U11)-5=U$1+1),VLOOKUP(U$3,Summary!$B$2:$L$35,3,FALSE),0)</f>
        <v>0</v>
      </c>
      <c r="V11" s="259">
        <f>IF(OR(ROW(V11)-5=V$1,ROW(V11)-5=V$1+1),VLOOKUP(V$3,Summary!$B$2:$L$35,3,FALSE),0)</f>
        <v>0</v>
      </c>
      <c r="W11" s="259">
        <f>IF(OR(ROW(W11)-5=W$1,ROW(W11)-5=W$1+1),VLOOKUP(W$3,Summary!$B$2:$L$35,3,FALSE),0)</f>
        <v>0</v>
      </c>
      <c r="X11" s="259">
        <f>IF(OR(ROW(X11)-5=X$1,ROW(X11)-5=X$1+1),VLOOKUP(X$3,Summary!$B$2:$L$35,3,FALSE),0)</f>
        <v>0</v>
      </c>
      <c r="Y11" s="259">
        <f>IF(OR(ROW(Y11)-5=Y$1,ROW(Y11)-5=Y$1+1),VLOOKUP(Y$3,Summary!$B$2:$L$35,3,FALSE),0)</f>
        <v>0</v>
      </c>
      <c r="Z11" s="259">
        <f>IF(OR(ROW(Z11)-5=Z$1,ROW(Z11)-5=Z$1+1),VLOOKUP(Z$3,Summary!$B$2:$L$35,3,FALSE),0)</f>
        <v>0</v>
      </c>
      <c r="AA11" s="259">
        <f>IF(OR(ROW(AA11)-5=AA$1,ROW(AA11)-5=AA$1+1),VLOOKUP(AA$3,Summary!$B$2:$L$35,3,FALSE),0)</f>
        <v>0</v>
      </c>
      <c r="AB11" s="259">
        <f>IF(OR(ROW(AB11)-5=AB$1,ROW(AB11)-5=AB$1+1),VLOOKUP(AB$3,Summary!$B$2:$L$35,3,FALSE),0)</f>
        <v>0</v>
      </c>
      <c r="AC11" s="259">
        <f>IF(OR(ROW(AC11)-5=AC$1,ROW(AC11)-5=AC$1+1),VLOOKUP(AC$3,Summary!$B$2:$L$35,3,FALSE),0)</f>
        <v>0</v>
      </c>
      <c r="AD11" s="259">
        <f>IF(OR(ROW(AD11)-5=AD$1,ROW(AD11)-5=AD$1+1),VLOOKUP(AD$3,Summary!$B$2:$L$35,3,FALSE),0)</f>
        <v>0</v>
      </c>
      <c r="AE11" s="259">
        <f>IF(OR(ROW(AE11)-5=AE$1,ROW(AE11)-5=AE$1+1),VLOOKUP(AE$3,Summary!$B$2:$L$35,3,FALSE),0)</f>
        <v>0</v>
      </c>
      <c r="AF11" s="331" t="e">
        <f t="shared" ca="1" si="5"/>
        <v>#N/A</v>
      </c>
    </row>
    <row r="12" spans="1:101">
      <c r="A12" s="259">
        <f ca="1">OFFSET(Summary!$I$2,TRUNC((ROW(A12)-ROW($A$7))/3,0),0)/1000</f>
        <v>48.220314972105946</v>
      </c>
      <c r="B12" s="259">
        <f>IF(OR(ROW(B12)-5=B$1,ROW(B12)-5=B$1+1),VLOOKUP(B$3,Summary!$B$2:$L$35,3,FALSE),0)</f>
        <v>0</v>
      </c>
      <c r="C12" s="259">
        <f>IF(OR(ROW(C12)-5=C$1,ROW(C12)-5=C$1+1),VLOOKUP(C$3,Summary!$B$2:$L$35,3,FALSE),0)</f>
        <v>0</v>
      </c>
      <c r="D12" s="259">
        <f ca="1">IF(OR(ROW(D12)-5=D$1,ROW(D12)-5=D$1+1),VLOOKUP(D$3,Summary!$B$2:$L$35,3,FALSE),0)</f>
        <v>-220.06822112410663</v>
      </c>
      <c r="E12" s="259">
        <f>IF(OR(ROW(E12)-5=E$1,ROW(E12)-5=E$1+1),VLOOKUP(E$3,Summary!$B$2:$L$35,3,FALSE),0)</f>
        <v>0</v>
      </c>
      <c r="F12" s="259">
        <f>IF(OR(ROW(F12)-5=F$1,ROW(F12)-5=F$1+1),VLOOKUP(F$3,Summary!$B$2:$L$35,3,FALSE),0)</f>
        <v>0</v>
      </c>
      <c r="G12" s="259">
        <f>IF(OR(ROW(G12)-5=G$1,ROW(G12)-5=G$1+1),VLOOKUP(G$3,Summary!$B$2:$L$35,3,FALSE),0)</f>
        <v>0</v>
      </c>
      <c r="H12" s="259">
        <f>IF(OR(ROW(H12)-5=H$1,ROW(H12)-5=H$1+1),VLOOKUP(H$3,Summary!$B$2:$L$35,3,FALSE),0)</f>
        <v>0</v>
      </c>
      <c r="I12" s="259">
        <f>IF(OR(ROW(I12)-5=I$1,ROW(I12)-5=I$1+1),VLOOKUP(I$3,Summary!$B$2:$L$35,3,FALSE),0)</f>
        <v>0</v>
      </c>
      <c r="J12" s="259">
        <f>IF(OR(ROW(J12)-5=J$1,ROW(J12)-5=J$1+1),VLOOKUP(J$3,Summary!$B$2:$L$35,3,FALSE),0)</f>
        <v>0</v>
      </c>
      <c r="K12" s="259">
        <f>IF(OR(ROW(K12)-5=K$1,ROW(K12)-5=K$1+1),VLOOKUP(K$3,Summary!$B$2:$L$35,3,FALSE),0)</f>
        <v>0</v>
      </c>
      <c r="L12" s="259">
        <f>IF(OR(ROW(L12)-5=L$1,ROW(L12)-5=L$1+1),VLOOKUP(L$3,Summary!$B$2:$L$35,3,FALSE),0)</f>
        <v>0</v>
      </c>
      <c r="M12" s="259">
        <f>IF(OR(ROW(M12)-5=M$1,ROW(M12)-5=M$1+1),VLOOKUP(M$3,Summary!$B$2:$L$35,3,FALSE),0)</f>
        <v>0</v>
      </c>
      <c r="N12" s="259">
        <f>IF(OR(ROW(N12)-5=N$1,ROW(N12)-5=N$1+1),VLOOKUP(N$3,Summary!$B$2:$L$35,3,FALSE),0)</f>
        <v>0</v>
      </c>
      <c r="O12" s="259">
        <f>IF(OR(ROW(O12)-5=O$1,ROW(O12)-5=O$1+1),VLOOKUP(O$3,Summary!$B$2:$L$35,3,FALSE),0)</f>
        <v>0</v>
      </c>
      <c r="P12" s="259">
        <f>IF(OR(ROW(P12)-5=P$1,ROW(P12)-5=P$1+1),VLOOKUP(P$3,Summary!$B$2:$L$35,3,FALSE),0)</f>
        <v>0</v>
      </c>
      <c r="Q12" s="259">
        <f>IF(OR(ROW(Q12)-5=Q$1,ROW(Q12)-5=Q$1+1),VLOOKUP(Q$3,Summary!$B$2:$L$35,3,FALSE),0)</f>
        <v>0</v>
      </c>
      <c r="R12" s="259">
        <f>IF(OR(ROW(R12)-5=R$1,ROW(R12)-5=R$1+1),VLOOKUP(R$3,Summary!$B$2:$L$35,3,FALSE),0)</f>
        <v>0</v>
      </c>
      <c r="S12" s="259">
        <f>IF(OR(ROW(S12)-5=S$1,ROW(S12)-5=S$1+1),VLOOKUP(S$3,Summary!$B$2:$L$35,3,FALSE),0)</f>
        <v>0</v>
      </c>
      <c r="T12" s="259">
        <f>IF(OR(ROW(T12)-5=T$1,ROW(T12)-5=T$1+1),VLOOKUP(T$3,Summary!$B$2:$L$35,3,FALSE),0)</f>
        <v>0</v>
      </c>
      <c r="U12" s="259">
        <f>IF(OR(ROW(U12)-5=U$1,ROW(U12)-5=U$1+1),VLOOKUP(U$3,Summary!$B$2:$L$35,3,FALSE),0)</f>
        <v>0</v>
      </c>
      <c r="V12" s="259">
        <f>IF(OR(ROW(V12)-5=V$1,ROW(V12)-5=V$1+1),VLOOKUP(V$3,Summary!$B$2:$L$35,3,FALSE),0)</f>
        <v>0</v>
      </c>
      <c r="W12" s="259">
        <f>IF(OR(ROW(W12)-5=W$1,ROW(W12)-5=W$1+1),VLOOKUP(W$3,Summary!$B$2:$L$35,3,FALSE),0)</f>
        <v>0</v>
      </c>
      <c r="X12" s="259">
        <f>IF(OR(ROW(X12)-5=X$1,ROW(X12)-5=X$1+1),VLOOKUP(X$3,Summary!$B$2:$L$35,3,FALSE),0)</f>
        <v>0</v>
      </c>
      <c r="Y12" s="259">
        <f>IF(OR(ROW(Y12)-5=Y$1,ROW(Y12)-5=Y$1+1),VLOOKUP(Y$3,Summary!$B$2:$L$35,3,FALSE),0)</f>
        <v>0</v>
      </c>
      <c r="Z12" s="259">
        <f>IF(OR(ROW(Z12)-5=Z$1,ROW(Z12)-5=Z$1+1),VLOOKUP(Z$3,Summary!$B$2:$L$35,3,FALSE),0)</f>
        <v>0</v>
      </c>
      <c r="AA12" s="259">
        <f>IF(OR(ROW(AA12)-5=AA$1,ROW(AA12)-5=AA$1+1),VLOOKUP(AA$3,Summary!$B$2:$L$35,3,FALSE),0)</f>
        <v>0</v>
      </c>
      <c r="AB12" s="259">
        <f>IF(OR(ROW(AB12)-5=AB$1,ROW(AB12)-5=AB$1+1),VLOOKUP(AB$3,Summary!$B$2:$L$35,3,FALSE),0)</f>
        <v>0</v>
      </c>
      <c r="AC12" s="259">
        <f>IF(OR(ROW(AC12)-5=AC$1,ROW(AC12)-5=AC$1+1),VLOOKUP(AC$3,Summary!$B$2:$L$35,3,FALSE),0)</f>
        <v>0</v>
      </c>
      <c r="AD12" s="259">
        <f>IF(OR(ROW(AD12)-5=AD$1,ROW(AD12)-5=AD$1+1),VLOOKUP(AD$3,Summary!$B$2:$L$35,3,FALSE),0)</f>
        <v>0</v>
      </c>
      <c r="AE12" s="259">
        <f>IF(OR(ROW(AE12)-5=AE$1,ROW(AE12)-5=AE$1+1),VLOOKUP(AE$3,Summary!$B$2:$L$35,3,FALSE),0)</f>
        <v>0</v>
      </c>
      <c r="AF12" s="331">
        <f t="shared" ca="1" si="5"/>
        <v>-254.18142929823298</v>
      </c>
    </row>
    <row r="13" spans="1:101">
      <c r="A13" s="259">
        <f ca="1">OFFSET(Summary!$I$2,TRUNC((ROW(A13)-ROW($A$7))/3,0),0)/1000</f>
        <v>49.028780774730144</v>
      </c>
      <c r="B13" s="259">
        <f>IF(OR(ROW(B13)-5=B$1,ROW(B13)-5=B$1+1),VLOOKUP(B$3,Summary!$B$2:$L$35,3,FALSE),0)</f>
        <v>0</v>
      </c>
      <c r="C13" s="259">
        <f>IF(OR(ROW(C13)-5=C$1,ROW(C13)-5=C$1+1),VLOOKUP(C$3,Summary!$B$2:$L$35,3,FALSE),0)</f>
        <v>0</v>
      </c>
      <c r="D13" s="259">
        <f ca="1">IF(OR(ROW(D13)-5=D$1,ROW(D13)-5=D$1+1),VLOOKUP(D$3,Summary!$B$2:$L$35,3,FALSE),0)</f>
        <v>-220.06822112410663</v>
      </c>
      <c r="E13" s="259">
        <f>IF(OR(ROW(E13)-5=E$1,ROW(E13)-5=E$1+1),VLOOKUP(E$3,Summary!$B$2:$L$35,3,FALSE),0)</f>
        <v>0</v>
      </c>
      <c r="F13" s="259">
        <f>IF(OR(ROW(F13)-5=F$1,ROW(F13)-5=F$1+1),VLOOKUP(F$3,Summary!$B$2:$L$35,3,FALSE),0)</f>
        <v>0</v>
      </c>
      <c r="G13" s="259">
        <f>IF(OR(ROW(G13)-5=G$1,ROW(G13)-5=G$1+1),VLOOKUP(G$3,Summary!$B$2:$L$35,3,FALSE),0)</f>
        <v>0</v>
      </c>
      <c r="H13" s="259">
        <f>IF(OR(ROW(H13)-5=H$1,ROW(H13)-5=H$1+1),VLOOKUP(H$3,Summary!$B$2:$L$35,3,FALSE),0)</f>
        <v>0</v>
      </c>
      <c r="I13" s="259">
        <f>IF(OR(ROW(I13)-5=I$1,ROW(I13)-5=I$1+1),VLOOKUP(I$3,Summary!$B$2:$L$35,3,FALSE),0)</f>
        <v>0</v>
      </c>
      <c r="J13" s="259">
        <f>IF(OR(ROW(J13)-5=J$1,ROW(J13)-5=J$1+1),VLOOKUP(J$3,Summary!$B$2:$L$35,3,FALSE),0)</f>
        <v>0</v>
      </c>
      <c r="K13" s="259">
        <f>IF(OR(ROW(K13)-5=K$1,ROW(K13)-5=K$1+1),VLOOKUP(K$3,Summary!$B$2:$L$35,3,FALSE),0)</f>
        <v>0</v>
      </c>
      <c r="L13" s="259">
        <f>IF(OR(ROW(L13)-5=L$1,ROW(L13)-5=L$1+1),VLOOKUP(L$3,Summary!$B$2:$L$35,3,FALSE),0)</f>
        <v>0</v>
      </c>
      <c r="M13" s="259">
        <f>IF(OR(ROW(M13)-5=M$1,ROW(M13)-5=M$1+1),VLOOKUP(M$3,Summary!$B$2:$L$35,3,FALSE),0)</f>
        <v>0</v>
      </c>
      <c r="N13" s="259">
        <f>IF(OR(ROW(N13)-5=N$1,ROW(N13)-5=N$1+1),VLOOKUP(N$3,Summary!$B$2:$L$35,3,FALSE),0)</f>
        <v>0</v>
      </c>
      <c r="O13" s="259">
        <f>IF(OR(ROW(O13)-5=O$1,ROW(O13)-5=O$1+1),VLOOKUP(O$3,Summary!$B$2:$L$35,3,FALSE),0)</f>
        <v>0</v>
      </c>
      <c r="P13" s="259">
        <f>IF(OR(ROW(P13)-5=P$1,ROW(P13)-5=P$1+1),VLOOKUP(P$3,Summary!$B$2:$L$35,3,FALSE),0)</f>
        <v>0</v>
      </c>
      <c r="Q13" s="259">
        <f>IF(OR(ROW(Q13)-5=Q$1,ROW(Q13)-5=Q$1+1),VLOOKUP(Q$3,Summary!$B$2:$L$35,3,FALSE),0)</f>
        <v>0</v>
      </c>
      <c r="R13" s="259">
        <f>IF(OR(ROW(R13)-5=R$1,ROW(R13)-5=R$1+1),VLOOKUP(R$3,Summary!$B$2:$L$35,3,FALSE),0)</f>
        <v>0</v>
      </c>
      <c r="S13" s="259">
        <f>IF(OR(ROW(S13)-5=S$1,ROW(S13)-5=S$1+1),VLOOKUP(S$3,Summary!$B$2:$L$35,3,FALSE),0)</f>
        <v>0</v>
      </c>
      <c r="T13" s="259">
        <f>IF(OR(ROW(T13)-5=T$1,ROW(T13)-5=T$1+1),VLOOKUP(T$3,Summary!$B$2:$L$35,3,FALSE),0)</f>
        <v>0</v>
      </c>
      <c r="U13" s="259">
        <f>IF(OR(ROW(U13)-5=U$1,ROW(U13)-5=U$1+1),VLOOKUP(U$3,Summary!$B$2:$L$35,3,FALSE),0)</f>
        <v>0</v>
      </c>
      <c r="V13" s="259">
        <f>IF(OR(ROW(V13)-5=V$1,ROW(V13)-5=V$1+1),VLOOKUP(V$3,Summary!$B$2:$L$35,3,FALSE),0)</f>
        <v>0</v>
      </c>
      <c r="W13" s="259">
        <f>IF(OR(ROW(W13)-5=W$1,ROW(W13)-5=W$1+1),VLOOKUP(W$3,Summary!$B$2:$L$35,3,FALSE),0)</f>
        <v>0</v>
      </c>
      <c r="X13" s="259">
        <f>IF(OR(ROW(X13)-5=X$1,ROW(X13)-5=X$1+1),VLOOKUP(X$3,Summary!$B$2:$L$35,3,FALSE),0)</f>
        <v>0</v>
      </c>
      <c r="Y13" s="259">
        <f>IF(OR(ROW(Y13)-5=Y$1,ROW(Y13)-5=Y$1+1),VLOOKUP(Y$3,Summary!$B$2:$L$35,3,FALSE),0)</f>
        <v>0</v>
      </c>
      <c r="Z13" s="259">
        <f>IF(OR(ROW(Z13)-5=Z$1,ROW(Z13)-5=Z$1+1),VLOOKUP(Z$3,Summary!$B$2:$L$35,3,FALSE),0)</f>
        <v>0</v>
      </c>
      <c r="AA13" s="259">
        <f>IF(OR(ROW(AA13)-5=AA$1,ROW(AA13)-5=AA$1+1),VLOOKUP(AA$3,Summary!$B$2:$L$35,3,FALSE),0)</f>
        <v>0</v>
      </c>
      <c r="AB13" s="259">
        <f>IF(OR(ROW(AB13)-5=AB$1,ROW(AB13)-5=AB$1+1),VLOOKUP(AB$3,Summary!$B$2:$L$35,3,FALSE),0)</f>
        <v>0</v>
      </c>
      <c r="AC13" s="259">
        <f>IF(OR(ROW(AC13)-5=AC$1,ROW(AC13)-5=AC$1+1),VLOOKUP(AC$3,Summary!$B$2:$L$35,3,FALSE),0)</f>
        <v>0</v>
      </c>
      <c r="AD13" s="259">
        <f>IF(OR(ROW(AD13)-5=AD$1,ROW(AD13)-5=AD$1+1),VLOOKUP(AD$3,Summary!$B$2:$L$35,3,FALSE),0)</f>
        <v>0</v>
      </c>
      <c r="AE13" s="259">
        <f>IF(OR(ROW(AE13)-5=AE$1,ROW(AE13)-5=AE$1+1),VLOOKUP(AE$3,Summary!$B$2:$L$35,3,FALSE),0)</f>
        <v>0</v>
      </c>
      <c r="AF13" s="331">
        <f t="shared" ca="1" si="5"/>
        <v>-254.18142929823298</v>
      </c>
    </row>
    <row r="14" spans="1:101">
      <c r="A14" s="259">
        <f ca="1">OFFSET(Summary!$I$2,TRUNC((ROW(A14)-ROW($A$7))/3,0),0)/1000</f>
        <v>49.028780774730144</v>
      </c>
      <c r="B14" s="259">
        <f>IF(OR(ROW(B14)-5=B$1,ROW(B14)-5=B$1+1),VLOOKUP(B$3,Summary!$B$2:$L$35,3,FALSE),0)</f>
        <v>0</v>
      </c>
      <c r="C14" s="259">
        <f>IF(OR(ROW(C14)-5=C$1,ROW(C14)-5=C$1+1),VLOOKUP(C$3,Summary!$B$2:$L$35,3,FALSE),0)</f>
        <v>0</v>
      </c>
      <c r="D14" s="259">
        <f>IF(OR(ROW(D14)-5=D$1,ROW(D14)-5=D$1+1),VLOOKUP(D$3,Summary!$B$2:$L$35,3,FALSE),0)</f>
        <v>0</v>
      </c>
      <c r="E14" s="259">
        <f>IF(OR(ROW(E14)-5=E$1,ROW(E14)-5=E$1+1),VLOOKUP(E$3,Summary!$B$2:$L$35,3,FALSE),0)</f>
        <v>0</v>
      </c>
      <c r="F14" s="259">
        <f>IF(OR(ROW(F14)-5=F$1,ROW(F14)-5=F$1+1),VLOOKUP(F$3,Summary!$B$2:$L$35,3,FALSE),0)</f>
        <v>0</v>
      </c>
      <c r="G14" s="259">
        <f>IF(OR(ROW(G14)-5=G$1,ROW(G14)-5=G$1+1),VLOOKUP(G$3,Summary!$B$2:$L$35,3,FALSE),0)</f>
        <v>0</v>
      </c>
      <c r="H14" s="259">
        <f>IF(OR(ROW(H14)-5=H$1,ROW(H14)-5=H$1+1),VLOOKUP(H$3,Summary!$B$2:$L$35,3,FALSE),0)</f>
        <v>0</v>
      </c>
      <c r="I14" s="259">
        <f>IF(OR(ROW(I14)-5=I$1,ROW(I14)-5=I$1+1),VLOOKUP(I$3,Summary!$B$2:$L$35,3,FALSE),0)</f>
        <v>0</v>
      </c>
      <c r="J14" s="259">
        <f>IF(OR(ROW(J14)-5=J$1,ROW(J14)-5=J$1+1),VLOOKUP(J$3,Summary!$B$2:$L$35,3,FALSE),0)</f>
        <v>0</v>
      </c>
      <c r="K14" s="259">
        <f>IF(OR(ROW(K14)-5=K$1,ROW(K14)-5=K$1+1),VLOOKUP(K$3,Summary!$B$2:$L$35,3,FALSE),0)</f>
        <v>0</v>
      </c>
      <c r="L14" s="259">
        <f>IF(OR(ROW(L14)-5=L$1,ROW(L14)-5=L$1+1),VLOOKUP(L$3,Summary!$B$2:$L$35,3,FALSE),0)</f>
        <v>0</v>
      </c>
      <c r="M14" s="259">
        <f>IF(OR(ROW(M14)-5=M$1,ROW(M14)-5=M$1+1),VLOOKUP(M$3,Summary!$B$2:$L$35,3,FALSE),0)</f>
        <v>0</v>
      </c>
      <c r="N14" s="259">
        <f>IF(OR(ROW(N14)-5=N$1,ROW(N14)-5=N$1+1),VLOOKUP(N$3,Summary!$B$2:$L$35,3,FALSE),0)</f>
        <v>0</v>
      </c>
      <c r="O14" s="259">
        <f>IF(OR(ROW(O14)-5=O$1,ROW(O14)-5=O$1+1),VLOOKUP(O$3,Summary!$B$2:$L$35,3,FALSE),0)</f>
        <v>0</v>
      </c>
      <c r="P14" s="259">
        <f>IF(OR(ROW(P14)-5=P$1,ROW(P14)-5=P$1+1),VLOOKUP(P$3,Summary!$B$2:$L$35,3,FALSE),0)</f>
        <v>0</v>
      </c>
      <c r="Q14" s="259">
        <f>IF(OR(ROW(Q14)-5=Q$1,ROW(Q14)-5=Q$1+1),VLOOKUP(Q$3,Summary!$B$2:$L$35,3,FALSE),0)</f>
        <v>0</v>
      </c>
      <c r="R14" s="259">
        <f>IF(OR(ROW(R14)-5=R$1,ROW(R14)-5=R$1+1),VLOOKUP(R$3,Summary!$B$2:$L$35,3,FALSE),0)</f>
        <v>0</v>
      </c>
      <c r="S14" s="259">
        <f>IF(OR(ROW(S14)-5=S$1,ROW(S14)-5=S$1+1),VLOOKUP(S$3,Summary!$B$2:$L$35,3,FALSE),0)</f>
        <v>0</v>
      </c>
      <c r="T14" s="259">
        <f>IF(OR(ROW(T14)-5=T$1,ROW(T14)-5=T$1+1),VLOOKUP(T$3,Summary!$B$2:$L$35,3,FALSE),0)</f>
        <v>0</v>
      </c>
      <c r="U14" s="259">
        <f>IF(OR(ROW(U14)-5=U$1,ROW(U14)-5=U$1+1),VLOOKUP(U$3,Summary!$B$2:$L$35,3,FALSE),0)</f>
        <v>0</v>
      </c>
      <c r="V14" s="259">
        <f>IF(OR(ROW(V14)-5=V$1,ROW(V14)-5=V$1+1),VLOOKUP(V$3,Summary!$B$2:$L$35,3,FALSE),0)</f>
        <v>0</v>
      </c>
      <c r="W14" s="259">
        <f>IF(OR(ROW(W14)-5=W$1,ROW(W14)-5=W$1+1),VLOOKUP(W$3,Summary!$B$2:$L$35,3,FALSE),0)</f>
        <v>0</v>
      </c>
      <c r="X14" s="259">
        <f>IF(OR(ROW(X14)-5=X$1,ROW(X14)-5=X$1+1),VLOOKUP(X$3,Summary!$B$2:$L$35,3,FALSE),0)</f>
        <v>0</v>
      </c>
      <c r="Y14" s="259">
        <f>IF(OR(ROW(Y14)-5=Y$1,ROW(Y14)-5=Y$1+1),VLOOKUP(Y$3,Summary!$B$2:$L$35,3,FALSE),0)</f>
        <v>0</v>
      </c>
      <c r="Z14" s="259">
        <f>IF(OR(ROW(Z14)-5=Z$1,ROW(Z14)-5=Z$1+1),VLOOKUP(Z$3,Summary!$B$2:$L$35,3,FALSE),0)</f>
        <v>0</v>
      </c>
      <c r="AA14" s="259">
        <f>IF(OR(ROW(AA14)-5=AA$1,ROW(AA14)-5=AA$1+1),VLOOKUP(AA$3,Summary!$B$2:$L$35,3,FALSE),0)</f>
        <v>0</v>
      </c>
      <c r="AB14" s="259">
        <f>IF(OR(ROW(AB14)-5=AB$1,ROW(AB14)-5=AB$1+1),VLOOKUP(AB$3,Summary!$B$2:$L$35,3,FALSE),0)</f>
        <v>0</v>
      </c>
      <c r="AC14" s="259">
        <f>IF(OR(ROW(AC14)-5=AC$1,ROW(AC14)-5=AC$1+1),VLOOKUP(AC$3,Summary!$B$2:$L$35,3,FALSE),0)</f>
        <v>0</v>
      </c>
      <c r="AD14" s="259">
        <f>IF(OR(ROW(AD14)-5=AD$1,ROW(AD14)-5=AD$1+1),VLOOKUP(AD$3,Summary!$B$2:$L$35,3,FALSE),0)</f>
        <v>0</v>
      </c>
      <c r="AE14" s="259">
        <f>IF(OR(ROW(AE14)-5=AE$1,ROW(AE14)-5=AE$1+1),VLOOKUP(AE$3,Summary!$B$2:$L$35,3,FALSE),0)</f>
        <v>0</v>
      </c>
      <c r="AF14" s="331" t="e">
        <f t="shared" ca="1" si="5"/>
        <v>#N/A</v>
      </c>
    </row>
    <row r="15" spans="1:101">
      <c r="A15" s="259">
        <f ca="1">OFFSET(Summary!$I$2,TRUNC((ROW(A15)-ROW($A$7))/3,0),0)/1000</f>
        <v>49.028780774730144</v>
      </c>
      <c r="B15" s="259">
        <f>IF(OR(ROW(B15)-5=B$1,ROW(B15)-5=B$1+1),VLOOKUP(B$3,Summary!$B$2:$L$35,3,FALSE),0)</f>
        <v>0</v>
      </c>
      <c r="C15" s="259">
        <f>IF(OR(ROW(C15)-5=C$1,ROW(C15)-5=C$1+1),VLOOKUP(C$3,Summary!$B$2:$L$35,3,FALSE),0)</f>
        <v>0</v>
      </c>
      <c r="D15" s="259">
        <f>IF(OR(ROW(D15)-5=D$1,ROW(D15)-5=D$1+1),VLOOKUP(D$3,Summary!$B$2:$L$35,3,FALSE),0)</f>
        <v>0</v>
      </c>
      <c r="E15" s="259">
        <f ca="1">IF(OR(ROW(E15)-5=E$1,ROW(E15)-5=E$1+1),VLOOKUP(E$3,Summary!$B$2:$L$35,3,FALSE),0)</f>
        <v>-125.45472871432995</v>
      </c>
      <c r="F15" s="259">
        <f>IF(OR(ROW(F15)-5=F$1,ROW(F15)-5=F$1+1),VLOOKUP(F$3,Summary!$B$2:$L$35,3,FALSE),0)</f>
        <v>0</v>
      </c>
      <c r="G15" s="259">
        <f>IF(OR(ROW(G15)-5=G$1,ROW(G15)-5=G$1+1),VLOOKUP(G$3,Summary!$B$2:$L$35,3,FALSE),0)</f>
        <v>0</v>
      </c>
      <c r="H15" s="259">
        <f>IF(OR(ROW(H15)-5=H$1,ROW(H15)-5=H$1+1),VLOOKUP(H$3,Summary!$B$2:$L$35,3,FALSE),0)</f>
        <v>0</v>
      </c>
      <c r="I15" s="259">
        <f>IF(OR(ROW(I15)-5=I$1,ROW(I15)-5=I$1+1),VLOOKUP(I$3,Summary!$B$2:$L$35,3,FALSE),0)</f>
        <v>0</v>
      </c>
      <c r="J15" s="259">
        <f>IF(OR(ROW(J15)-5=J$1,ROW(J15)-5=J$1+1),VLOOKUP(J$3,Summary!$B$2:$L$35,3,FALSE),0)</f>
        <v>0</v>
      </c>
      <c r="K15" s="259">
        <f>IF(OR(ROW(K15)-5=K$1,ROW(K15)-5=K$1+1),VLOOKUP(K$3,Summary!$B$2:$L$35,3,FALSE),0)</f>
        <v>0</v>
      </c>
      <c r="L15" s="259">
        <f>IF(OR(ROW(L15)-5=L$1,ROW(L15)-5=L$1+1),VLOOKUP(L$3,Summary!$B$2:$L$35,3,FALSE),0)</f>
        <v>0</v>
      </c>
      <c r="M15" s="259">
        <f>IF(OR(ROW(M15)-5=M$1,ROW(M15)-5=M$1+1),VLOOKUP(M$3,Summary!$B$2:$L$35,3,FALSE),0)</f>
        <v>0</v>
      </c>
      <c r="N15" s="259">
        <f>IF(OR(ROW(N15)-5=N$1,ROW(N15)-5=N$1+1),VLOOKUP(N$3,Summary!$B$2:$L$35,3,FALSE),0)</f>
        <v>0</v>
      </c>
      <c r="O15" s="259">
        <f>IF(OR(ROW(O15)-5=O$1,ROW(O15)-5=O$1+1),VLOOKUP(O$3,Summary!$B$2:$L$35,3,FALSE),0)</f>
        <v>0</v>
      </c>
      <c r="P15" s="259">
        <f>IF(OR(ROW(P15)-5=P$1,ROW(P15)-5=P$1+1),VLOOKUP(P$3,Summary!$B$2:$L$35,3,FALSE),0)</f>
        <v>0</v>
      </c>
      <c r="Q15" s="259">
        <f>IF(OR(ROW(Q15)-5=Q$1,ROW(Q15)-5=Q$1+1),VLOOKUP(Q$3,Summary!$B$2:$L$35,3,FALSE),0)</f>
        <v>0</v>
      </c>
      <c r="R15" s="259">
        <f>IF(OR(ROW(R15)-5=R$1,ROW(R15)-5=R$1+1),VLOOKUP(R$3,Summary!$B$2:$L$35,3,FALSE),0)</f>
        <v>0</v>
      </c>
      <c r="S15" s="259">
        <f>IF(OR(ROW(S15)-5=S$1,ROW(S15)-5=S$1+1),VLOOKUP(S$3,Summary!$B$2:$L$35,3,FALSE),0)</f>
        <v>0</v>
      </c>
      <c r="T15" s="259">
        <f>IF(OR(ROW(T15)-5=T$1,ROW(T15)-5=T$1+1),VLOOKUP(T$3,Summary!$B$2:$L$35,3,FALSE),0)</f>
        <v>0</v>
      </c>
      <c r="U15" s="259">
        <f>IF(OR(ROW(U15)-5=U$1,ROW(U15)-5=U$1+1),VLOOKUP(U$3,Summary!$B$2:$L$35,3,FALSE),0)</f>
        <v>0</v>
      </c>
      <c r="V15" s="259">
        <f>IF(OR(ROW(V15)-5=V$1,ROW(V15)-5=V$1+1),VLOOKUP(V$3,Summary!$B$2:$L$35,3,FALSE),0)</f>
        <v>0</v>
      </c>
      <c r="W15" s="259">
        <f>IF(OR(ROW(W15)-5=W$1,ROW(W15)-5=W$1+1),VLOOKUP(W$3,Summary!$B$2:$L$35,3,FALSE),0)</f>
        <v>0</v>
      </c>
      <c r="X15" s="259">
        <f>IF(OR(ROW(X15)-5=X$1,ROW(X15)-5=X$1+1),VLOOKUP(X$3,Summary!$B$2:$L$35,3,FALSE),0)</f>
        <v>0</v>
      </c>
      <c r="Y15" s="259">
        <f>IF(OR(ROW(Y15)-5=Y$1,ROW(Y15)-5=Y$1+1),VLOOKUP(Y$3,Summary!$B$2:$L$35,3,FALSE),0)</f>
        <v>0</v>
      </c>
      <c r="Z15" s="259">
        <f>IF(OR(ROW(Z15)-5=Z$1,ROW(Z15)-5=Z$1+1),VLOOKUP(Z$3,Summary!$B$2:$L$35,3,FALSE),0)</f>
        <v>0</v>
      </c>
      <c r="AA15" s="259">
        <f>IF(OR(ROW(AA15)-5=AA$1,ROW(AA15)-5=AA$1+1),VLOOKUP(AA$3,Summary!$B$2:$L$35,3,FALSE),0)</f>
        <v>0</v>
      </c>
      <c r="AB15" s="259">
        <f>IF(OR(ROW(AB15)-5=AB$1,ROW(AB15)-5=AB$1+1),VLOOKUP(AB$3,Summary!$B$2:$L$35,3,FALSE),0)</f>
        <v>0</v>
      </c>
      <c r="AC15" s="259">
        <f>IF(OR(ROW(AC15)-5=AC$1,ROW(AC15)-5=AC$1+1),VLOOKUP(AC$3,Summary!$B$2:$L$35,3,FALSE),0)</f>
        <v>0</v>
      </c>
      <c r="AD15" s="259">
        <f>IF(OR(ROW(AD15)-5=AD$1,ROW(AD15)-5=AD$1+1),VLOOKUP(AD$3,Summary!$B$2:$L$35,3,FALSE),0)</f>
        <v>0</v>
      </c>
      <c r="AE15" s="259">
        <f>IF(OR(ROW(AE15)-5=AE$1,ROW(AE15)-5=AE$1+1),VLOOKUP(AE$3,Summary!$B$2:$L$35,3,FALSE),0)</f>
        <v>0</v>
      </c>
      <c r="AF15" s="331">
        <f t="shared" ca="1" si="5"/>
        <v>-160.44127045849609</v>
      </c>
    </row>
    <row r="16" spans="1:101">
      <c r="A16" s="259">
        <f ca="1">OFFSET(Summary!$I$2,TRUNC((ROW(A16)-ROW($A$7))/3,0),0)/1000</f>
        <v>54.44648048732823</v>
      </c>
      <c r="B16" s="259">
        <f>IF(OR(ROW(B16)-5=B$1,ROW(B16)-5=B$1+1),VLOOKUP(B$3,Summary!$B$2:$L$35,3,FALSE),0)</f>
        <v>0</v>
      </c>
      <c r="C16" s="259">
        <f>IF(OR(ROW(C16)-5=C$1,ROW(C16)-5=C$1+1),VLOOKUP(C$3,Summary!$B$2:$L$35,3,FALSE),0)</f>
        <v>0</v>
      </c>
      <c r="D16" s="259">
        <f>IF(OR(ROW(D16)-5=D$1,ROW(D16)-5=D$1+1),VLOOKUP(D$3,Summary!$B$2:$L$35,3,FALSE),0)</f>
        <v>0</v>
      </c>
      <c r="E16" s="259">
        <f ca="1">IF(OR(ROW(E16)-5=E$1,ROW(E16)-5=E$1+1),VLOOKUP(E$3,Summary!$B$2:$L$35,3,FALSE),0)</f>
        <v>-125.45472871432995</v>
      </c>
      <c r="F16" s="259">
        <f>IF(OR(ROW(F16)-5=F$1,ROW(F16)-5=F$1+1),VLOOKUP(F$3,Summary!$B$2:$L$35,3,FALSE),0)</f>
        <v>0</v>
      </c>
      <c r="G16" s="259">
        <f>IF(OR(ROW(G16)-5=G$1,ROW(G16)-5=G$1+1),VLOOKUP(G$3,Summary!$B$2:$L$35,3,FALSE),0)</f>
        <v>0</v>
      </c>
      <c r="H16" s="259">
        <f>IF(OR(ROW(H16)-5=H$1,ROW(H16)-5=H$1+1),VLOOKUP(H$3,Summary!$B$2:$L$35,3,FALSE),0)</f>
        <v>0</v>
      </c>
      <c r="I16" s="259">
        <f>IF(OR(ROW(I16)-5=I$1,ROW(I16)-5=I$1+1),VLOOKUP(I$3,Summary!$B$2:$L$35,3,FALSE),0)</f>
        <v>0</v>
      </c>
      <c r="J16" s="259">
        <f>IF(OR(ROW(J16)-5=J$1,ROW(J16)-5=J$1+1),VLOOKUP(J$3,Summary!$B$2:$L$35,3,FALSE),0)</f>
        <v>0</v>
      </c>
      <c r="K16" s="259">
        <f>IF(OR(ROW(K16)-5=K$1,ROW(K16)-5=K$1+1),VLOOKUP(K$3,Summary!$B$2:$L$35,3,FALSE),0)</f>
        <v>0</v>
      </c>
      <c r="L16" s="259">
        <f>IF(OR(ROW(L16)-5=L$1,ROW(L16)-5=L$1+1),VLOOKUP(L$3,Summary!$B$2:$L$35,3,FALSE),0)</f>
        <v>0</v>
      </c>
      <c r="M16" s="259">
        <f>IF(OR(ROW(M16)-5=M$1,ROW(M16)-5=M$1+1),VLOOKUP(M$3,Summary!$B$2:$L$35,3,FALSE),0)</f>
        <v>0</v>
      </c>
      <c r="N16" s="259">
        <f>IF(OR(ROW(N16)-5=N$1,ROW(N16)-5=N$1+1),VLOOKUP(N$3,Summary!$B$2:$L$35,3,FALSE),0)</f>
        <v>0</v>
      </c>
      <c r="O16" s="259">
        <f>IF(OR(ROW(O16)-5=O$1,ROW(O16)-5=O$1+1),VLOOKUP(O$3,Summary!$B$2:$L$35,3,FALSE),0)</f>
        <v>0</v>
      </c>
      <c r="P16" s="259">
        <f>IF(OR(ROW(P16)-5=P$1,ROW(P16)-5=P$1+1),VLOOKUP(P$3,Summary!$B$2:$L$35,3,FALSE),0)</f>
        <v>0</v>
      </c>
      <c r="Q16" s="259">
        <f>IF(OR(ROW(Q16)-5=Q$1,ROW(Q16)-5=Q$1+1),VLOOKUP(Q$3,Summary!$B$2:$L$35,3,FALSE),0)</f>
        <v>0</v>
      </c>
      <c r="R16" s="259">
        <f>IF(OR(ROW(R16)-5=R$1,ROW(R16)-5=R$1+1),VLOOKUP(R$3,Summary!$B$2:$L$35,3,FALSE),0)</f>
        <v>0</v>
      </c>
      <c r="S16" s="259">
        <f>IF(OR(ROW(S16)-5=S$1,ROW(S16)-5=S$1+1),VLOOKUP(S$3,Summary!$B$2:$L$35,3,FALSE),0)</f>
        <v>0</v>
      </c>
      <c r="T16" s="259">
        <f>IF(OR(ROW(T16)-5=T$1,ROW(T16)-5=T$1+1),VLOOKUP(T$3,Summary!$B$2:$L$35,3,FALSE),0)</f>
        <v>0</v>
      </c>
      <c r="U16" s="259">
        <f>IF(OR(ROW(U16)-5=U$1,ROW(U16)-5=U$1+1),VLOOKUP(U$3,Summary!$B$2:$L$35,3,FALSE),0)</f>
        <v>0</v>
      </c>
      <c r="V16" s="259">
        <f>IF(OR(ROW(V16)-5=V$1,ROW(V16)-5=V$1+1),VLOOKUP(V$3,Summary!$B$2:$L$35,3,FALSE),0)</f>
        <v>0</v>
      </c>
      <c r="W16" s="259">
        <f>IF(OR(ROW(W16)-5=W$1,ROW(W16)-5=W$1+1),VLOOKUP(W$3,Summary!$B$2:$L$35,3,FALSE),0)</f>
        <v>0</v>
      </c>
      <c r="X16" s="259">
        <f>IF(OR(ROW(X16)-5=X$1,ROW(X16)-5=X$1+1),VLOOKUP(X$3,Summary!$B$2:$L$35,3,FALSE),0)</f>
        <v>0</v>
      </c>
      <c r="Y16" s="259">
        <f>IF(OR(ROW(Y16)-5=Y$1,ROW(Y16)-5=Y$1+1),VLOOKUP(Y$3,Summary!$B$2:$L$35,3,FALSE),0)</f>
        <v>0</v>
      </c>
      <c r="Z16" s="259">
        <f>IF(OR(ROW(Z16)-5=Z$1,ROW(Z16)-5=Z$1+1),VLOOKUP(Z$3,Summary!$B$2:$L$35,3,FALSE),0)</f>
        <v>0</v>
      </c>
      <c r="AA16" s="259">
        <f>IF(OR(ROW(AA16)-5=AA$1,ROW(AA16)-5=AA$1+1),VLOOKUP(AA$3,Summary!$B$2:$L$35,3,FALSE),0)</f>
        <v>0</v>
      </c>
      <c r="AB16" s="259">
        <f>IF(OR(ROW(AB16)-5=AB$1,ROW(AB16)-5=AB$1+1),VLOOKUP(AB$3,Summary!$B$2:$L$35,3,FALSE),0)</f>
        <v>0</v>
      </c>
      <c r="AC16" s="259">
        <f>IF(OR(ROW(AC16)-5=AC$1,ROW(AC16)-5=AC$1+1),VLOOKUP(AC$3,Summary!$B$2:$L$35,3,FALSE),0)</f>
        <v>0</v>
      </c>
      <c r="AD16" s="259">
        <f>IF(OR(ROW(AD16)-5=AD$1,ROW(AD16)-5=AD$1+1),VLOOKUP(AD$3,Summary!$B$2:$L$35,3,FALSE),0)</f>
        <v>0</v>
      </c>
      <c r="AE16" s="259">
        <f>IF(OR(ROW(AE16)-5=AE$1,ROW(AE16)-5=AE$1+1),VLOOKUP(AE$3,Summary!$B$2:$L$35,3,FALSE),0)</f>
        <v>0</v>
      </c>
      <c r="AF16" s="331">
        <f t="shared" ca="1" si="5"/>
        <v>-160.44127045849609</v>
      </c>
    </row>
    <row r="17" spans="1:32">
      <c r="A17" s="259">
        <f ca="1">OFFSET(Summary!$I$2,TRUNC((ROW(A17)-ROW($A$7))/3,0),0)/1000</f>
        <v>54.44648048732823</v>
      </c>
      <c r="B17" s="259">
        <f>IF(OR(ROW(B17)-5=B$1,ROW(B17)-5=B$1+1),VLOOKUP(B$3,Summary!$B$2:$L$35,3,FALSE),0)</f>
        <v>0</v>
      </c>
      <c r="C17" s="259">
        <f>IF(OR(ROW(C17)-5=C$1,ROW(C17)-5=C$1+1),VLOOKUP(C$3,Summary!$B$2:$L$35,3,FALSE),0)</f>
        <v>0</v>
      </c>
      <c r="D17" s="259">
        <f>IF(OR(ROW(D17)-5=D$1,ROW(D17)-5=D$1+1),VLOOKUP(D$3,Summary!$B$2:$L$35,3,FALSE),0)</f>
        <v>0</v>
      </c>
      <c r="E17" s="259">
        <f>IF(OR(ROW(E17)-5=E$1,ROW(E17)-5=E$1+1),VLOOKUP(E$3,Summary!$B$2:$L$35,3,FALSE),0)</f>
        <v>0</v>
      </c>
      <c r="F17" s="259">
        <f>IF(OR(ROW(F17)-5=F$1,ROW(F17)-5=F$1+1),VLOOKUP(F$3,Summary!$B$2:$L$35,3,FALSE),0)</f>
        <v>0</v>
      </c>
      <c r="G17" s="259">
        <f>IF(OR(ROW(G17)-5=G$1,ROW(G17)-5=G$1+1),VLOOKUP(G$3,Summary!$B$2:$L$35,3,FALSE),0)</f>
        <v>0</v>
      </c>
      <c r="H17" s="259">
        <f>IF(OR(ROW(H17)-5=H$1,ROW(H17)-5=H$1+1),VLOOKUP(H$3,Summary!$B$2:$L$35,3,FALSE),0)</f>
        <v>0</v>
      </c>
      <c r="I17" s="259">
        <f>IF(OR(ROW(I17)-5=I$1,ROW(I17)-5=I$1+1),VLOOKUP(I$3,Summary!$B$2:$L$35,3,FALSE),0)</f>
        <v>0</v>
      </c>
      <c r="J17" s="259">
        <f>IF(OR(ROW(J17)-5=J$1,ROW(J17)-5=J$1+1),VLOOKUP(J$3,Summary!$B$2:$L$35,3,FALSE),0)</f>
        <v>0</v>
      </c>
      <c r="K17" s="259">
        <f>IF(OR(ROW(K17)-5=K$1,ROW(K17)-5=K$1+1),VLOOKUP(K$3,Summary!$B$2:$L$35,3,FALSE),0)</f>
        <v>0</v>
      </c>
      <c r="L17" s="259">
        <f>IF(OR(ROW(L17)-5=L$1,ROW(L17)-5=L$1+1),VLOOKUP(L$3,Summary!$B$2:$L$35,3,FALSE),0)</f>
        <v>0</v>
      </c>
      <c r="M17" s="259">
        <f>IF(OR(ROW(M17)-5=M$1,ROW(M17)-5=M$1+1),VLOOKUP(M$3,Summary!$B$2:$L$35,3,FALSE),0)</f>
        <v>0</v>
      </c>
      <c r="N17" s="259">
        <f>IF(OR(ROW(N17)-5=N$1,ROW(N17)-5=N$1+1),VLOOKUP(N$3,Summary!$B$2:$L$35,3,FALSE),0)</f>
        <v>0</v>
      </c>
      <c r="O17" s="259">
        <f>IF(OR(ROW(O17)-5=O$1,ROW(O17)-5=O$1+1),VLOOKUP(O$3,Summary!$B$2:$L$35,3,FALSE),0)</f>
        <v>0</v>
      </c>
      <c r="P17" s="259">
        <f>IF(OR(ROW(P17)-5=P$1,ROW(P17)-5=P$1+1),VLOOKUP(P$3,Summary!$B$2:$L$35,3,FALSE),0)</f>
        <v>0</v>
      </c>
      <c r="Q17" s="259">
        <f>IF(OR(ROW(Q17)-5=Q$1,ROW(Q17)-5=Q$1+1),VLOOKUP(Q$3,Summary!$B$2:$L$35,3,FALSE),0)</f>
        <v>0</v>
      </c>
      <c r="R17" s="259">
        <f>IF(OR(ROW(R17)-5=R$1,ROW(R17)-5=R$1+1),VLOOKUP(R$3,Summary!$B$2:$L$35,3,FALSE),0)</f>
        <v>0</v>
      </c>
      <c r="S17" s="259">
        <f>IF(OR(ROW(S17)-5=S$1,ROW(S17)-5=S$1+1),VLOOKUP(S$3,Summary!$B$2:$L$35,3,FALSE),0)</f>
        <v>0</v>
      </c>
      <c r="T17" s="259">
        <f>IF(OR(ROW(T17)-5=T$1,ROW(T17)-5=T$1+1),VLOOKUP(T$3,Summary!$B$2:$L$35,3,FALSE),0)</f>
        <v>0</v>
      </c>
      <c r="U17" s="259">
        <f>IF(OR(ROW(U17)-5=U$1,ROW(U17)-5=U$1+1),VLOOKUP(U$3,Summary!$B$2:$L$35,3,FALSE),0)</f>
        <v>0</v>
      </c>
      <c r="V17" s="259">
        <f>IF(OR(ROW(V17)-5=V$1,ROW(V17)-5=V$1+1),VLOOKUP(V$3,Summary!$B$2:$L$35,3,FALSE),0)</f>
        <v>0</v>
      </c>
      <c r="W17" s="259">
        <f>IF(OR(ROW(W17)-5=W$1,ROW(W17)-5=W$1+1),VLOOKUP(W$3,Summary!$B$2:$L$35,3,FALSE),0)</f>
        <v>0</v>
      </c>
      <c r="X17" s="259">
        <f>IF(OR(ROW(X17)-5=X$1,ROW(X17)-5=X$1+1),VLOOKUP(X$3,Summary!$B$2:$L$35,3,FALSE),0)</f>
        <v>0</v>
      </c>
      <c r="Y17" s="259">
        <f>IF(OR(ROW(Y17)-5=Y$1,ROW(Y17)-5=Y$1+1),VLOOKUP(Y$3,Summary!$B$2:$L$35,3,FALSE),0)</f>
        <v>0</v>
      </c>
      <c r="Z17" s="259">
        <f>IF(OR(ROW(Z17)-5=Z$1,ROW(Z17)-5=Z$1+1),VLOOKUP(Z$3,Summary!$B$2:$L$35,3,FALSE),0)</f>
        <v>0</v>
      </c>
      <c r="AA17" s="259">
        <f>IF(OR(ROW(AA17)-5=AA$1,ROW(AA17)-5=AA$1+1),VLOOKUP(AA$3,Summary!$B$2:$L$35,3,FALSE),0)</f>
        <v>0</v>
      </c>
      <c r="AB17" s="259">
        <f>IF(OR(ROW(AB17)-5=AB$1,ROW(AB17)-5=AB$1+1),VLOOKUP(AB$3,Summary!$B$2:$L$35,3,FALSE),0)</f>
        <v>0</v>
      </c>
      <c r="AC17" s="259">
        <f>IF(OR(ROW(AC17)-5=AC$1,ROW(AC17)-5=AC$1+1),VLOOKUP(AC$3,Summary!$B$2:$L$35,3,FALSE),0)</f>
        <v>0</v>
      </c>
      <c r="AD17" s="259">
        <f>IF(OR(ROW(AD17)-5=AD$1,ROW(AD17)-5=AD$1+1),VLOOKUP(AD$3,Summary!$B$2:$L$35,3,FALSE),0)</f>
        <v>0</v>
      </c>
      <c r="AE17" s="259">
        <f>IF(OR(ROW(AE17)-5=AE$1,ROW(AE17)-5=AE$1+1),VLOOKUP(AE$3,Summary!$B$2:$L$35,3,FALSE),0)</f>
        <v>0</v>
      </c>
      <c r="AF17" s="331" t="e">
        <f t="shared" ca="1" si="5"/>
        <v>#N/A</v>
      </c>
    </row>
    <row r="18" spans="1:32">
      <c r="A18" s="259">
        <f ca="1">OFFSET(Summary!$I$2,TRUNC((ROW(A18)-ROW($A$7))/3,0),0)/1000</f>
        <v>54.44648048732823</v>
      </c>
      <c r="B18" s="259">
        <f>IF(OR(ROW(B18)-5=B$1,ROW(B18)-5=B$1+1),VLOOKUP(B$3,Summary!$B$2:$L$35,3,FALSE),0)</f>
        <v>0</v>
      </c>
      <c r="C18" s="259">
        <f>IF(OR(ROW(C18)-5=C$1,ROW(C18)-5=C$1+1),VLOOKUP(C$3,Summary!$B$2:$L$35,3,FALSE),0)</f>
        <v>0</v>
      </c>
      <c r="D18" s="259">
        <f>IF(OR(ROW(D18)-5=D$1,ROW(D18)-5=D$1+1),VLOOKUP(D$3,Summary!$B$2:$L$35,3,FALSE),0)</f>
        <v>0</v>
      </c>
      <c r="E18" s="259">
        <f>IF(OR(ROW(E18)-5=E$1,ROW(E18)-5=E$1+1),VLOOKUP(E$3,Summary!$B$2:$L$35,3,FALSE),0)</f>
        <v>0</v>
      </c>
      <c r="F18" s="259">
        <f ca="1">IF(OR(ROW(F18)-5=F$1,ROW(F18)-5=F$1+1),VLOOKUP(F$3,Summary!$B$2:$L$35,3,FALSE),0)</f>
        <v>-115.74016509626473</v>
      </c>
      <c r="G18" s="259">
        <f>IF(OR(ROW(G18)-5=G$1,ROW(G18)-5=G$1+1),VLOOKUP(G$3,Summary!$B$2:$L$35,3,FALSE),0)</f>
        <v>0</v>
      </c>
      <c r="H18" s="259">
        <f>IF(OR(ROW(H18)-5=H$1,ROW(H18)-5=H$1+1),VLOOKUP(H$3,Summary!$B$2:$L$35,3,FALSE),0)</f>
        <v>0</v>
      </c>
      <c r="I18" s="259">
        <f>IF(OR(ROW(I18)-5=I$1,ROW(I18)-5=I$1+1),VLOOKUP(I$3,Summary!$B$2:$L$35,3,FALSE),0)</f>
        <v>0</v>
      </c>
      <c r="J18" s="259">
        <f>IF(OR(ROW(J18)-5=J$1,ROW(J18)-5=J$1+1),VLOOKUP(J$3,Summary!$B$2:$L$35,3,FALSE),0)</f>
        <v>0</v>
      </c>
      <c r="K18" s="259">
        <f>IF(OR(ROW(K18)-5=K$1,ROW(K18)-5=K$1+1),VLOOKUP(K$3,Summary!$B$2:$L$35,3,FALSE),0)</f>
        <v>0</v>
      </c>
      <c r="L18" s="259">
        <f>IF(OR(ROW(L18)-5=L$1,ROW(L18)-5=L$1+1),VLOOKUP(L$3,Summary!$B$2:$L$35,3,FALSE),0)</f>
        <v>0</v>
      </c>
      <c r="M18" s="259">
        <f>IF(OR(ROW(M18)-5=M$1,ROW(M18)-5=M$1+1),VLOOKUP(M$3,Summary!$B$2:$L$35,3,FALSE),0)</f>
        <v>0</v>
      </c>
      <c r="N18" s="259">
        <f>IF(OR(ROW(N18)-5=N$1,ROW(N18)-5=N$1+1),VLOOKUP(N$3,Summary!$B$2:$L$35,3,FALSE),0)</f>
        <v>0</v>
      </c>
      <c r="O18" s="259">
        <f>IF(OR(ROW(O18)-5=O$1,ROW(O18)-5=O$1+1),VLOOKUP(O$3,Summary!$B$2:$L$35,3,FALSE),0)</f>
        <v>0</v>
      </c>
      <c r="P18" s="259">
        <f>IF(OR(ROW(P18)-5=P$1,ROW(P18)-5=P$1+1),VLOOKUP(P$3,Summary!$B$2:$L$35,3,FALSE),0)</f>
        <v>0</v>
      </c>
      <c r="Q18" s="259">
        <f>IF(OR(ROW(Q18)-5=Q$1,ROW(Q18)-5=Q$1+1),VLOOKUP(Q$3,Summary!$B$2:$L$35,3,FALSE),0)</f>
        <v>0</v>
      </c>
      <c r="R18" s="259">
        <f>IF(OR(ROW(R18)-5=R$1,ROW(R18)-5=R$1+1),VLOOKUP(R$3,Summary!$B$2:$L$35,3,FALSE),0)</f>
        <v>0</v>
      </c>
      <c r="S18" s="259">
        <f>IF(OR(ROW(S18)-5=S$1,ROW(S18)-5=S$1+1),VLOOKUP(S$3,Summary!$B$2:$L$35,3,FALSE),0)</f>
        <v>0</v>
      </c>
      <c r="T18" s="259">
        <f>IF(OR(ROW(T18)-5=T$1,ROW(T18)-5=T$1+1),VLOOKUP(T$3,Summary!$B$2:$L$35,3,FALSE),0)</f>
        <v>0</v>
      </c>
      <c r="U18" s="259">
        <f>IF(OR(ROW(U18)-5=U$1,ROW(U18)-5=U$1+1),VLOOKUP(U$3,Summary!$B$2:$L$35,3,FALSE),0)</f>
        <v>0</v>
      </c>
      <c r="V18" s="259">
        <f>IF(OR(ROW(V18)-5=V$1,ROW(V18)-5=V$1+1),VLOOKUP(V$3,Summary!$B$2:$L$35,3,FALSE),0)</f>
        <v>0</v>
      </c>
      <c r="W18" s="259">
        <f>IF(OR(ROW(W18)-5=W$1,ROW(W18)-5=W$1+1),VLOOKUP(W$3,Summary!$B$2:$L$35,3,FALSE),0)</f>
        <v>0</v>
      </c>
      <c r="X18" s="259">
        <f>IF(OR(ROW(X18)-5=X$1,ROW(X18)-5=X$1+1),VLOOKUP(X$3,Summary!$B$2:$L$35,3,FALSE),0)</f>
        <v>0</v>
      </c>
      <c r="Y18" s="259">
        <f>IF(OR(ROW(Y18)-5=Y$1,ROW(Y18)-5=Y$1+1),VLOOKUP(Y$3,Summary!$B$2:$L$35,3,FALSE),0)</f>
        <v>0</v>
      </c>
      <c r="Z18" s="259">
        <f>IF(OR(ROW(Z18)-5=Z$1,ROW(Z18)-5=Z$1+1),VLOOKUP(Z$3,Summary!$B$2:$L$35,3,FALSE),0)</f>
        <v>0</v>
      </c>
      <c r="AA18" s="259">
        <f>IF(OR(ROW(AA18)-5=AA$1,ROW(AA18)-5=AA$1+1),VLOOKUP(AA$3,Summary!$B$2:$L$35,3,FALSE),0)</f>
        <v>0</v>
      </c>
      <c r="AB18" s="259">
        <f>IF(OR(ROW(AB18)-5=AB$1,ROW(AB18)-5=AB$1+1),VLOOKUP(AB$3,Summary!$B$2:$L$35,3,FALSE),0)</f>
        <v>0</v>
      </c>
      <c r="AC18" s="259">
        <f>IF(OR(ROW(AC18)-5=AC$1,ROW(AC18)-5=AC$1+1),VLOOKUP(AC$3,Summary!$B$2:$L$35,3,FALSE),0)</f>
        <v>0</v>
      </c>
      <c r="AD18" s="259">
        <f>IF(OR(ROW(AD18)-5=AD$1,ROW(AD18)-5=AD$1+1),VLOOKUP(AD$3,Summary!$B$2:$L$35,3,FALSE),0)</f>
        <v>0</v>
      </c>
      <c r="AE18" s="259">
        <f>IF(OR(ROW(AE18)-5=AE$1,ROW(AE18)-5=AE$1+1),VLOOKUP(AE$3,Summary!$B$2:$L$35,3,FALSE),0)</f>
        <v>0</v>
      </c>
      <c r="AF18" s="331">
        <f t="shared" ca="1" si="5"/>
        <v>-150.64720887968093</v>
      </c>
    </row>
    <row r="19" spans="1:32">
      <c r="A19" s="259">
        <f ca="1">OFFSET(Summary!$I$2,TRUNC((ROW(A19)-ROW($A$7))/3,0),0)/1000</f>
        <v>67.153435077396921</v>
      </c>
      <c r="B19" s="259">
        <f>IF(OR(ROW(B19)-5=B$1,ROW(B19)-5=B$1+1),VLOOKUP(B$3,Summary!$B$2:$L$35,3,FALSE),0)</f>
        <v>0</v>
      </c>
      <c r="C19" s="259">
        <f>IF(OR(ROW(C19)-5=C$1,ROW(C19)-5=C$1+1),VLOOKUP(C$3,Summary!$B$2:$L$35,3,FALSE),0)</f>
        <v>0</v>
      </c>
      <c r="D19" s="259">
        <f>IF(OR(ROW(D19)-5=D$1,ROW(D19)-5=D$1+1),VLOOKUP(D$3,Summary!$B$2:$L$35,3,FALSE),0)</f>
        <v>0</v>
      </c>
      <c r="E19" s="259">
        <f>IF(OR(ROW(E19)-5=E$1,ROW(E19)-5=E$1+1),VLOOKUP(E$3,Summary!$B$2:$L$35,3,FALSE),0)</f>
        <v>0</v>
      </c>
      <c r="F19" s="259">
        <f ca="1">IF(OR(ROW(F19)-5=F$1,ROW(F19)-5=F$1+1),VLOOKUP(F$3,Summary!$B$2:$L$35,3,FALSE),0)</f>
        <v>-115.74016509626473</v>
      </c>
      <c r="G19" s="259">
        <f>IF(OR(ROW(G19)-5=G$1,ROW(G19)-5=G$1+1),VLOOKUP(G$3,Summary!$B$2:$L$35,3,FALSE),0)</f>
        <v>0</v>
      </c>
      <c r="H19" s="259">
        <f>IF(OR(ROW(H19)-5=H$1,ROW(H19)-5=H$1+1),VLOOKUP(H$3,Summary!$B$2:$L$35,3,FALSE),0)</f>
        <v>0</v>
      </c>
      <c r="I19" s="259">
        <f>IF(OR(ROW(I19)-5=I$1,ROW(I19)-5=I$1+1),VLOOKUP(I$3,Summary!$B$2:$L$35,3,FALSE),0)</f>
        <v>0</v>
      </c>
      <c r="J19" s="259">
        <f>IF(OR(ROW(J19)-5=J$1,ROW(J19)-5=J$1+1),VLOOKUP(J$3,Summary!$B$2:$L$35,3,FALSE),0)</f>
        <v>0</v>
      </c>
      <c r="K19" s="259">
        <f>IF(OR(ROW(K19)-5=K$1,ROW(K19)-5=K$1+1),VLOOKUP(K$3,Summary!$B$2:$L$35,3,FALSE),0)</f>
        <v>0</v>
      </c>
      <c r="L19" s="259">
        <f>IF(OR(ROW(L19)-5=L$1,ROW(L19)-5=L$1+1),VLOOKUP(L$3,Summary!$B$2:$L$35,3,FALSE),0)</f>
        <v>0</v>
      </c>
      <c r="M19" s="259">
        <f>IF(OR(ROW(M19)-5=M$1,ROW(M19)-5=M$1+1),VLOOKUP(M$3,Summary!$B$2:$L$35,3,FALSE),0)</f>
        <v>0</v>
      </c>
      <c r="N19" s="259">
        <f>IF(OR(ROW(N19)-5=N$1,ROW(N19)-5=N$1+1),VLOOKUP(N$3,Summary!$B$2:$L$35,3,FALSE),0)</f>
        <v>0</v>
      </c>
      <c r="O19" s="259">
        <f>IF(OR(ROW(O19)-5=O$1,ROW(O19)-5=O$1+1),VLOOKUP(O$3,Summary!$B$2:$L$35,3,FALSE),0)</f>
        <v>0</v>
      </c>
      <c r="P19" s="259">
        <f>IF(OR(ROW(P19)-5=P$1,ROW(P19)-5=P$1+1),VLOOKUP(P$3,Summary!$B$2:$L$35,3,FALSE),0)</f>
        <v>0</v>
      </c>
      <c r="Q19" s="259">
        <f>IF(OR(ROW(Q19)-5=Q$1,ROW(Q19)-5=Q$1+1),VLOOKUP(Q$3,Summary!$B$2:$L$35,3,FALSE),0)</f>
        <v>0</v>
      </c>
      <c r="R19" s="259">
        <f>IF(OR(ROW(R19)-5=R$1,ROW(R19)-5=R$1+1),VLOOKUP(R$3,Summary!$B$2:$L$35,3,FALSE),0)</f>
        <v>0</v>
      </c>
      <c r="S19" s="259">
        <f>IF(OR(ROW(S19)-5=S$1,ROW(S19)-5=S$1+1),VLOOKUP(S$3,Summary!$B$2:$L$35,3,FALSE),0)</f>
        <v>0</v>
      </c>
      <c r="T19" s="259">
        <f>IF(OR(ROW(T19)-5=T$1,ROW(T19)-5=T$1+1),VLOOKUP(T$3,Summary!$B$2:$L$35,3,FALSE),0)</f>
        <v>0</v>
      </c>
      <c r="U19" s="259">
        <f>IF(OR(ROW(U19)-5=U$1,ROW(U19)-5=U$1+1),VLOOKUP(U$3,Summary!$B$2:$L$35,3,FALSE),0)</f>
        <v>0</v>
      </c>
      <c r="V19" s="259">
        <f>IF(OR(ROW(V19)-5=V$1,ROW(V19)-5=V$1+1),VLOOKUP(V$3,Summary!$B$2:$L$35,3,FALSE),0)</f>
        <v>0</v>
      </c>
      <c r="W19" s="259">
        <f>IF(OR(ROW(W19)-5=W$1,ROW(W19)-5=W$1+1),VLOOKUP(W$3,Summary!$B$2:$L$35,3,FALSE),0)</f>
        <v>0</v>
      </c>
      <c r="X19" s="259">
        <f>IF(OR(ROW(X19)-5=X$1,ROW(X19)-5=X$1+1),VLOOKUP(X$3,Summary!$B$2:$L$35,3,FALSE),0)</f>
        <v>0</v>
      </c>
      <c r="Y19" s="259">
        <f>IF(OR(ROW(Y19)-5=Y$1,ROW(Y19)-5=Y$1+1),VLOOKUP(Y$3,Summary!$B$2:$L$35,3,FALSE),0)</f>
        <v>0</v>
      </c>
      <c r="Z19" s="259">
        <f>IF(OR(ROW(Z19)-5=Z$1,ROW(Z19)-5=Z$1+1),VLOOKUP(Z$3,Summary!$B$2:$L$35,3,FALSE),0)</f>
        <v>0</v>
      </c>
      <c r="AA19" s="259">
        <f>IF(OR(ROW(AA19)-5=AA$1,ROW(AA19)-5=AA$1+1),VLOOKUP(AA$3,Summary!$B$2:$L$35,3,FALSE),0)</f>
        <v>0</v>
      </c>
      <c r="AB19" s="259">
        <f>IF(OR(ROW(AB19)-5=AB$1,ROW(AB19)-5=AB$1+1),VLOOKUP(AB$3,Summary!$B$2:$L$35,3,FALSE),0)</f>
        <v>0</v>
      </c>
      <c r="AC19" s="259">
        <f>IF(OR(ROW(AC19)-5=AC$1,ROW(AC19)-5=AC$1+1),VLOOKUP(AC$3,Summary!$B$2:$L$35,3,FALSE),0)</f>
        <v>0</v>
      </c>
      <c r="AD19" s="259">
        <f>IF(OR(ROW(AD19)-5=AD$1,ROW(AD19)-5=AD$1+1),VLOOKUP(AD$3,Summary!$B$2:$L$35,3,FALSE),0)</f>
        <v>0</v>
      </c>
      <c r="AE19" s="259">
        <f>IF(OR(ROW(AE19)-5=AE$1,ROW(AE19)-5=AE$1+1),VLOOKUP(AE$3,Summary!$B$2:$L$35,3,FALSE),0)</f>
        <v>0</v>
      </c>
      <c r="AF19" s="331">
        <f t="shared" ca="1" si="5"/>
        <v>-150.64720887968093</v>
      </c>
    </row>
    <row r="20" spans="1:32">
      <c r="A20" s="259">
        <f ca="1">OFFSET(Summary!$I$2,TRUNC((ROW(A20)-ROW($A$7))/3,0),0)/1000</f>
        <v>67.153435077396921</v>
      </c>
      <c r="B20" s="259">
        <f>IF(OR(ROW(B20)-5=B$1,ROW(B20)-5=B$1+1),VLOOKUP(B$3,Summary!$B$2:$L$35,3,FALSE),0)</f>
        <v>0</v>
      </c>
      <c r="C20" s="259">
        <f>IF(OR(ROW(C20)-5=C$1,ROW(C20)-5=C$1+1),VLOOKUP(C$3,Summary!$B$2:$L$35,3,FALSE),0)</f>
        <v>0</v>
      </c>
      <c r="D20" s="259">
        <f>IF(OR(ROW(D20)-5=D$1,ROW(D20)-5=D$1+1),VLOOKUP(D$3,Summary!$B$2:$L$35,3,FALSE),0)</f>
        <v>0</v>
      </c>
      <c r="E20" s="259">
        <f>IF(OR(ROW(E20)-5=E$1,ROW(E20)-5=E$1+1),VLOOKUP(E$3,Summary!$B$2:$L$35,3,FALSE),0)</f>
        <v>0</v>
      </c>
      <c r="F20" s="259">
        <f>IF(OR(ROW(F20)-5=F$1,ROW(F20)-5=F$1+1),VLOOKUP(F$3,Summary!$B$2:$L$35,3,FALSE),0)</f>
        <v>0</v>
      </c>
      <c r="G20" s="259">
        <f>IF(OR(ROW(G20)-5=G$1,ROW(G20)-5=G$1+1),VLOOKUP(G$3,Summary!$B$2:$L$35,3,FALSE),0)</f>
        <v>0</v>
      </c>
      <c r="H20" s="259">
        <f>IF(OR(ROW(H20)-5=H$1,ROW(H20)-5=H$1+1),VLOOKUP(H$3,Summary!$B$2:$L$35,3,FALSE),0)</f>
        <v>0</v>
      </c>
      <c r="I20" s="259">
        <f>IF(OR(ROW(I20)-5=I$1,ROW(I20)-5=I$1+1),VLOOKUP(I$3,Summary!$B$2:$L$35,3,FALSE),0)</f>
        <v>0</v>
      </c>
      <c r="J20" s="259">
        <f>IF(OR(ROW(J20)-5=J$1,ROW(J20)-5=J$1+1),VLOOKUP(J$3,Summary!$B$2:$L$35,3,FALSE),0)</f>
        <v>0</v>
      </c>
      <c r="K20" s="259">
        <f>IF(OR(ROW(K20)-5=K$1,ROW(K20)-5=K$1+1),VLOOKUP(K$3,Summary!$B$2:$L$35,3,FALSE),0)</f>
        <v>0</v>
      </c>
      <c r="L20" s="259">
        <f>IF(OR(ROW(L20)-5=L$1,ROW(L20)-5=L$1+1),VLOOKUP(L$3,Summary!$B$2:$L$35,3,FALSE),0)</f>
        <v>0</v>
      </c>
      <c r="M20" s="259">
        <f>IF(OR(ROW(M20)-5=M$1,ROW(M20)-5=M$1+1),VLOOKUP(M$3,Summary!$B$2:$L$35,3,FALSE),0)</f>
        <v>0</v>
      </c>
      <c r="N20" s="259">
        <f>IF(OR(ROW(N20)-5=N$1,ROW(N20)-5=N$1+1),VLOOKUP(N$3,Summary!$B$2:$L$35,3,FALSE),0)</f>
        <v>0</v>
      </c>
      <c r="O20" s="259">
        <f>IF(OR(ROW(O20)-5=O$1,ROW(O20)-5=O$1+1),VLOOKUP(O$3,Summary!$B$2:$L$35,3,FALSE),0)</f>
        <v>0</v>
      </c>
      <c r="P20" s="259">
        <f>IF(OR(ROW(P20)-5=P$1,ROW(P20)-5=P$1+1),VLOOKUP(P$3,Summary!$B$2:$L$35,3,FALSE),0)</f>
        <v>0</v>
      </c>
      <c r="Q20" s="259">
        <f>IF(OR(ROW(Q20)-5=Q$1,ROW(Q20)-5=Q$1+1),VLOOKUP(Q$3,Summary!$B$2:$L$35,3,FALSE),0)</f>
        <v>0</v>
      </c>
      <c r="R20" s="259">
        <f>IF(OR(ROW(R20)-5=R$1,ROW(R20)-5=R$1+1),VLOOKUP(R$3,Summary!$B$2:$L$35,3,FALSE),0)</f>
        <v>0</v>
      </c>
      <c r="S20" s="259">
        <f>IF(OR(ROW(S20)-5=S$1,ROW(S20)-5=S$1+1),VLOOKUP(S$3,Summary!$B$2:$L$35,3,FALSE),0)</f>
        <v>0</v>
      </c>
      <c r="T20" s="259">
        <f>IF(OR(ROW(T20)-5=T$1,ROW(T20)-5=T$1+1),VLOOKUP(T$3,Summary!$B$2:$L$35,3,FALSE),0)</f>
        <v>0</v>
      </c>
      <c r="U20" s="259">
        <f>IF(OR(ROW(U20)-5=U$1,ROW(U20)-5=U$1+1),VLOOKUP(U$3,Summary!$B$2:$L$35,3,FALSE),0)</f>
        <v>0</v>
      </c>
      <c r="V20" s="259">
        <f>IF(OR(ROW(V20)-5=V$1,ROW(V20)-5=V$1+1),VLOOKUP(V$3,Summary!$B$2:$L$35,3,FALSE),0)</f>
        <v>0</v>
      </c>
      <c r="W20" s="259">
        <f>IF(OR(ROW(W20)-5=W$1,ROW(W20)-5=W$1+1),VLOOKUP(W$3,Summary!$B$2:$L$35,3,FALSE),0)</f>
        <v>0</v>
      </c>
      <c r="X20" s="259">
        <f>IF(OR(ROW(X20)-5=X$1,ROW(X20)-5=X$1+1),VLOOKUP(X$3,Summary!$B$2:$L$35,3,FALSE),0)</f>
        <v>0</v>
      </c>
      <c r="Y20" s="259">
        <f>IF(OR(ROW(Y20)-5=Y$1,ROW(Y20)-5=Y$1+1),VLOOKUP(Y$3,Summary!$B$2:$L$35,3,FALSE),0)</f>
        <v>0</v>
      </c>
      <c r="Z20" s="259">
        <f>IF(OR(ROW(Z20)-5=Z$1,ROW(Z20)-5=Z$1+1),VLOOKUP(Z$3,Summary!$B$2:$L$35,3,FALSE),0)</f>
        <v>0</v>
      </c>
      <c r="AA20" s="259">
        <f>IF(OR(ROW(AA20)-5=AA$1,ROW(AA20)-5=AA$1+1),VLOOKUP(AA$3,Summary!$B$2:$L$35,3,FALSE),0)</f>
        <v>0</v>
      </c>
      <c r="AB20" s="259">
        <f>IF(OR(ROW(AB20)-5=AB$1,ROW(AB20)-5=AB$1+1),VLOOKUP(AB$3,Summary!$B$2:$L$35,3,FALSE),0)</f>
        <v>0</v>
      </c>
      <c r="AC20" s="259">
        <f>IF(OR(ROW(AC20)-5=AC$1,ROW(AC20)-5=AC$1+1),VLOOKUP(AC$3,Summary!$B$2:$L$35,3,FALSE),0)</f>
        <v>0</v>
      </c>
      <c r="AD20" s="259">
        <f>IF(OR(ROW(AD20)-5=AD$1,ROW(AD20)-5=AD$1+1),VLOOKUP(AD$3,Summary!$B$2:$L$35,3,FALSE),0)</f>
        <v>0</v>
      </c>
      <c r="AE20" s="259">
        <f>IF(OR(ROW(AE20)-5=AE$1,ROW(AE20)-5=AE$1+1),VLOOKUP(AE$3,Summary!$B$2:$L$35,3,FALSE),0)</f>
        <v>0</v>
      </c>
      <c r="AF20" s="331" t="e">
        <f t="shared" ca="1" si="5"/>
        <v>#N/A</v>
      </c>
    </row>
    <row r="21" spans="1:32">
      <c r="A21" s="259">
        <f ca="1">OFFSET(Summary!$I$2,TRUNC((ROW(A21)-ROW($A$7))/3,0),0)/1000</f>
        <v>67.153435077396921</v>
      </c>
      <c r="B21" s="259">
        <f>IF(OR(ROW(B21)-5=B$1,ROW(B21)-5=B$1+1),VLOOKUP(B$3,Summary!$B$2:$L$35,3,FALSE),0)</f>
        <v>0</v>
      </c>
      <c r="C21" s="259">
        <f>IF(OR(ROW(C21)-5=C$1,ROW(C21)-5=C$1+1),VLOOKUP(C$3,Summary!$B$2:$L$35,3,FALSE),0)</f>
        <v>0</v>
      </c>
      <c r="D21" s="259">
        <f>IF(OR(ROW(D21)-5=D$1,ROW(D21)-5=D$1+1),VLOOKUP(D$3,Summary!$B$2:$L$35,3,FALSE),0)</f>
        <v>0</v>
      </c>
      <c r="E21" s="259">
        <f>IF(OR(ROW(E21)-5=E$1,ROW(E21)-5=E$1+1),VLOOKUP(E$3,Summary!$B$2:$L$35,3,FALSE),0)</f>
        <v>0</v>
      </c>
      <c r="F21" s="259">
        <f>IF(OR(ROW(F21)-5=F$1,ROW(F21)-5=F$1+1),VLOOKUP(F$3,Summary!$B$2:$L$35,3,FALSE),0)</f>
        <v>0</v>
      </c>
      <c r="G21" s="259">
        <f ca="1">IF(OR(ROW(G21)-5=G$1,ROW(G21)-5=G$1+1),VLOOKUP(G$3,Summary!$B$2:$L$35,3,FALSE),0)</f>
        <v>-109.50809255997319</v>
      </c>
      <c r="H21" s="259">
        <f>IF(OR(ROW(H21)-5=H$1,ROW(H21)-5=H$1+1),VLOOKUP(H$3,Summary!$B$2:$L$35,3,FALSE),0)</f>
        <v>0</v>
      </c>
      <c r="I21" s="259">
        <f>IF(OR(ROW(I21)-5=I$1,ROW(I21)-5=I$1+1),VLOOKUP(I$3,Summary!$B$2:$L$35,3,FALSE),0)</f>
        <v>0</v>
      </c>
      <c r="J21" s="259">
        <f>IF(OR(ROW(J21)-5=J$1,ROW(J21)-5=J$1+1),VLOOKUP(J$3,Summary!$B$2:$L$35,3,FALSE),0)</f>
        <v>0</v>
      </c>
      <c r="K21" s="259">
        <f>IF(OR(ROW(K21)-5=K$1,ROW(K21)-5=K$1+1),VLOOKUP(K$3,Summary!$B$2:$L$35,3,FALSE),0)</f>
        <v>0</v>
      </c>
      <c r="L21" s="259">
        <f>IF(OR(ROW(L21)-5=L$1,ROW(L21)-5=L$1+1),VLOOKUP(L$3,Summary!$B$2:$L$35,3,FALSE),0)</f>
        <v>0</v>
      </c>
      <c r="M21" s="259">
        <f>IF(OR(ROW(M21)-5=M$1,ROW(M21)-5=M$1+1),VLOOKUP(M$3,Summary!$B$2:$L$35,3,FALSE),0)</f>
        <v>0</v>
      </c>
      <c r="N21" s="259">
        <f>IF(OR(ROW(N21)-5=N$1,ROW(N21)-5=N$1+1),VLOOKUP(N$3,Summary!$B$2:$L$35,3,FALSE),0)</f>
        <v>0</v>
      </c>
      <c r="O21" s="259">
        <f>IF(OR(ROW(O21)-5=O$1,ROW(O21)-5=O$1+1),VLOOKUP(O$3,Summary!$B$2:$L$35,3,FALSE),0)</f>
        <v>0</v>
      </c>
      <c r="P21" s="259">
        <f>IF(OR(ROW(P21)-5=P$1,ROW(P21)-5=P$1+1),VLOOKUP(P$3,Summary!$B$2:$L$35,3,FALSE),0)</f>
        <v>0</v>
      </c>
      <c r="Q21" s="259">
        <f>IF(OR(ROW(Q21)-5=Q$1,ROW(Q21)-5=Q$1+1),VLOOKUP(Q$3,Summary!$B$2:$L$35,3,FALSE),0)</f>
        <v>0</v>
      </c>
      <c r="R21" s="259">
        <f>IF(OR(ROW(R21)-5=R$1,ROW(R21)-5=R$1+1),VLOOKUP(R$3,Summary!$B$2:$L$35,3,FALSE),0)</f>
        <v>0</v>
      </c>
      <c r="S21" s="259">
        <f>IF(OR(ROW(S21)-5=S$1,ROW(S21)-5=S$1+1),VLOOKUP(S$3,Summary!$B$2:$L$35,3,FALSE),0)</f>
        <v>0</v>
      </c>
      <c r="T21" s="259">
        <f>IF(OR(ROW(T21)-5=T$1,ROW(T21)-5=T$1+1),VLOOKUP(T$3,Summary!$B$2:$L$35,3,FALSE),0)</f>
        <v>0</v>
      </c>
      <c r="U21" s="259">
        <f>IF(OR(ROW(U21)-5=U$1,ROW(U21)-5=U$1+1),VLOOKUP(U$3,Summary!$B$2:$L$35,3,FALSE),0)</f>
        <v>0</v>
      </c>
      <c r="V21" s="259">
        <f>IF(OR(ROW(V21)-5=V$1,ROW(V21)-5=V$1+1),VLOOKUP(V$3,Summary!$B$2:$L$35,3,FALSE),0)</f>
        <v>0</v>
      </c>
      <c r="W21" s="259">
        <f>IF(OR(ROW(W21)-5=W$1,ROW(W21)-5=W$1+1),VLOOKUP(W$3,Summary!$B$2:$L$35,3,FALSE),0)</f>
        <v>0</v>
      </c>
      <c r="X21" s="259">
        <f>IF(OR(ROW(X21)-5=X$1,ROW(X21)-5=X$1+1),VLOOKUP(X$3,Summary!$B$2:$L$35,3,FALSE),0)</f>
        <v>0</v>
      </c>
      <c r="Y21" s="259">
        <f>IF(OR(ROW(Y21)-5=Y$1,ROW(Y21)-5=Y$1+1),VLOOKUP(Y$3,Summary!$B$2:$L$35,3,FALSE),0)</f>
        <v>0</v>
      </c>
      <c r="Z21" s="259">
        <f>IF(OR(ROW(Z21)-5=Z$1,ROW(Z21)-5=Z$1+1),VLOOKUP(Z$3,Summary!$B$2:$L$35,3,FALSE),0)</f>
        <v>0</v>
      </c>
      <c r="AA21" s="259">
        <f>IF(OR(ROW(AA21)-5=AA$1,ROW(AA21)-5=AA$1+1),VLOOKUP(AA$3,Summary!$B$2:$L$35,3,FALSE),0)</f>
        <v>0</v>
      </c>
      <c r="AB21" s="259">
        <f>IF(OR(ROW(AB21)-5=AB$1,ROW(AB21)-5=AB$1+1),VLOOKUP(AB$3,Summary!$B$2:$L$35,3,FALSE),0)</f>
        <v>0</v>
      </c>
      <c r="AC21" s="259">
        <f>IF(OR(ROW(AC21)-5=AC$1,ROW(AC21)-5=AC$1+1),VLOOKUP(AC$3,Summary!$B$2:$L$35,3,FALSE),0)</f>
        <v>0</v>
      </c>
      <c r="AD21" s="259">
        <f>IF(OR(ROW(AD21)-5=AD$1,ROW(AD21)-5=AD$1+1),VLOOKUP(AD$3,Summary!$B$2:$L$35,3,FALSE),0)</f>
        <v>0</v>
      </c>
      <c r="AE21" s="259">
        <f>IF(OR(ROW(AE21)-5=AE$1,ROW(AE21)-5=AE$1+1),VLOOKUP(AE$3,Summary!$B$2:$L$35,3,FALSE),0)</f>
        <v>0</v>
      </c>
      <c r="AF21" s="331">
        <f t="shared" ca="1" si="5"/>
        <v>-150.13509910940311</v>
      </c>
    </row>
    <row r="22" spans="1:32">
      <c r="A22" s="259">
        <f ca="1">OFFSET(Summary!$I$2,TRUNC((ROW(A22)-ROW($A$7))/3,0),0)/1000</f>
        <v>70.579913100397206</v>
      </c>
      <c r="B22" s="259">
        <f>IF(OR(ROW(B22)-5=B$1,ROW(B22)-5=B$1+1),VLOOKUP(B$3,Summary!$B$2:$L$35,3,FALSE),0)</f>
        <v>0</v>
      </c>
      <c r="C22" s="259">
        <f>IF(OR(ROW(C22)-5=C$1,ROW(C22)-5=C$1+1),VLOOKUP(C$3,Summary!$B$2:$L$35,3,FALSE),0)</f>
        <v>0</v>
      </c>
      <c r="D22" s="259">
        <f>IF(OR(ROW(D22)-5=D$1,ROW(D22)-5=D$1+1),VLOOKUP(D$3,Summary!$B$2:$L$35,3,FALSE),0)</f>
        <v>0</v>
      </c>
      <c r="E22" s="259">
        <f>IF(OR(ROW(E22)-5=E$1,ROW(E22)-5=E$1+1),VLOOKUP(E$3,Summary!$B$2:$L$35,3,FALSE),0)</f>
        <v>0</v>
      </c>
      <c r="F22" s="259">
        <f>IF(OR(ROW(F22)-5=F$1,ROW(F22)-5=F$1+1),VLOOKUP(F$3,Summary!$B$2:$L$35,3,FALSE),0)</f>
        <v>0</v>
      </c>
      <c r="G22" s="259">
        <f ca="1">IF(OR(ROW(G22)-5=G$1,ROW(G22)-5=G$1+1),VLOOKUP(G$3,Summary!$B$2:$L$35,3,FALSE),0)</f>
        <v>-109.50809255997319</v>
      </c>
      <c r="H22" s="259">
        <f>IF(OR(ROW(H22)-5=H$1,ROW(H22)-5=H$1+1),VLOOKUP(H$3,Summary!$B$2:$L$35,3,FALSE),0)</f>
        <v>0</v>
      </c>
      <c r="I22" s="259">
        <f>IF(OR(ROW(I22)-5=I$1,ROW(I22)-5=I$1+1),VLOOKUP(I$3,Summary!$B$2:$L$35,3,FALSE),0)</f>
        <v>0</v>
      </c>
      <c r="J22" s="259">
        <f>IF(OR(ROW(J22)-5=J$1,ROW(J22)-5=J$1+1),VLOOKUP(J$3,Summary!$B$2:$L$35,3,FALSE),0)</f>
        <v>0</v>
      </c>
      <c r="K22" s="259">
        <f>IF(OR(ROW(K22)-5=K$1,ROW(K22)-5=K$1+1),VLOOKUP(K$3,Summary!$B$2:$L$35,3,FALSE),0)</f>
        <v>0</v>
      </c>
      <c r="L22" s="259">
        <f>IF(OR(ROW(L22)-5=L$1,ROW(L22)-5=L$1+1),VLOOKUP(L$3,Summary!$B$2:$L$35,3,FALSE),0)</f>
        <v>0</v>
      </c>
      <c r="M22" s="259">
        <f>IF(OR(ROW(M22)-5=M$1,ROW(M22)-5=M$1+1),VLOOKUP(M$3,Summary!$B$2:$L$35,3,FALSE),0)</f>
        <v>0</v>
      </c>
      <c r="N22" s="259">
        <f>IF(OR(ROW(N22)-5=N$1,ROW(N22)-5=N$1+1),VLOOKUP(N$3,Summary!$B$2:$L$35,3,FALSE),0)</f>
        <v>0</v>
      </c>
      <c r="O22" s="259">
        <f>IF(OR(ROW(O22)-5=O$1,ROW(O22)-5=O$1+1),VLOOKUP(O$3,Summary!$B$2:$L$35,3,FALSE),0)</f>
        <v>0</v>
      </c>
      <c r="P22" s="259">
        <f>IF(OR(ROW(P22)-5=P$1,ROW(P22)-5=P$1+1),VLOOKUP(P$3,Summary!$B$2:$L$35,3,FALSE),0)</f>
        <v>0</v>
      </c>
      <c r="Q22" s="259">
        <f>IF(OR(ROW(Q22)-5=Q$1,ROW(Q22)-5=Q$1+1),VLOOKUP(Q$3,Summary!$B$2:$L$35,3,FALSE),0)</f>
        <v>0</v>
      </c>
      <c r="R22" s="259">
        <f>IF(OR(ROW(R22)-5=R$1,ROW(R22)-5=R$1+1),VLOOKUP(R$3,Summary!$B$2:$L$35,3,FALSE),0)</f>
        <v>0</v>
      </c>
      <c r="S22" s="259">
        <f>IF(OR(ROW(S22)-5=S$1,ROW(S22)-5=S$1+1),VLOOKUP(S$3,Summary!$B$2:$L$35,3,FALSE),0)</f>
        <v>0</v>
      </c>
      <c r="T22" s="259">
        <f>IF(OR(ROW(T22)-5=T$1,ROW(T22)-5=T$1+1),VLOOKUP(T$3,Summary!$B$2:$L$35,3,FALSE),0)</f>
        <v>0</v>
      </c>
      <c r="U22" s="259">
        <f>IF(OR(ROW(U22)-5=U$1,ROW(U22)-5=U$1+1),VLOOKUP(U$3,Summary!$B$2:$L$35,3,FALSE),0)</f>
        <v>0</v>
      </c>
      <c r="V22" s="259">
        <f>IF(OR(ROW(V22)-5=V$1,ROW(V22)-5=V$1+1),VLOOKUP(V$3,Summary!$B$2:$L$35,3,FALSE),0)</f>
        <v>0</v>
      </c>
      <c r="W22" s="259">
        <f>IF(OR(ROW(W22)-5=W$1,ROW(W22)-5=W$1+1),VLOOKUP(W$3,Summary!$B$2:$L$35,3,FALSE),0)</f>
        <v>0</v>
      </c>
      <c r="X22" s="259">
        <f>IF(OR(ROW(X22)-5=X$1,ROW(X22)-5=X$1+1),VLOOKUP(X$3,Summary!$B$2:$L$35,3,FALSE),0)</f>
        <v>0</v>
      </c>
      <c r="Y22" s="259">
        <f>IF(OR(ROW(Y22)-5=Y$1,ROW(Y22)-5=Y$1+1),VLOOKUP(Y$3,Summary!$B$2:$L$35,3,FALSE),0)</f>
        <v>0</v>
      </c>
      <c r="Z22" s="259">
        <f>IF(OR(ROW(Z22)-5=Z$1,ROW(Z22)-5=Z$1+1),VLOOKUP(Z$3,Summary!$B$2:$L$35,3,FALSE),0)</f>
        <v>0</v>
      </c>
      <c r="AA22" s="259">
        <f>IF(OR(ROW(AA22)-5=AA$1,ROW(AA22)-5=AA$1+1),VLOOKUP(AA$3,Summary!$B$2:$L$35,3,FALSE),0)</f>
        <v>0</v>
      </c>
      <c r="AB22" s="259">
        <f>IF(OR(ROW(AB22)-5=AB$1,ROW(AB22)-5=AB$1+1),VLOOKUP(AB$3,Summary!$B$2:$L$35,3,FALSE),0)</f>
        <v>0</v>
      </c>
      <c r="AC22" s="259">
        <f>IF(OR(ROW(AC22)-5=AC$1,ROW(AC22)-5=AC$1+1),VLOOKUP(AC$3,Summary!$B$2:$L$35,3,FALSE),0)</f>
        <v>0</v>
      </c>
      <c r="AD22" s="259">
        <f>IF(OR(ROW(AD22)-5=AD$1,ROW(AD22)-5=AD$1+1),VLOOKUP(AD$3,Summary!$B$2:$L$35,3,FALSE),0)</f>
        <v>0</v>
      </c>
      <c r="AE22" s="259">
        <f>IF(OR(ROW(AE22)-5=AE$1,ROW(AE22)-5=AE$1+1),VLOOKUP(AE$3,Summary!$B$2:$L$35,3,FALSE),0)</f>
        <v>0</v>
      </c>
      <c r="AF22" s="331">
        <f t="shared" ca="1" si="5"/>
        <v>-150.13509910940311</v>
      </c>
    </row>
    <row r="23" spans="1:32">
      <c r="A23" s="259">
        <f ca="1">OFFSET(Summary!$I$2,TRUNC((ROW(A23)-ROW($A$7))/3,0),0)/1000</f>
        <v>70.579913100397206</v>
      </c>
      <c r="B23" s="259">
        <f>IF(OR(ROW(B23)-5=B$1,ROW(B23)-5=B$1+1),VLOOKUP(B$3,Summary!$B$2:$L$35,3,FALSE),0)</f>
        <v>0</v>
      </c>
      <c r="C23" s="259">
        <f>IF(OR(ROW(C23)-5=C$1,ROW(C23)-5=C$1+1),VLOOKUP(C$3,Summary!$B$2:$L$35,3,FALSE),0)</f>
        <v>0</v>
      </c>
      <c r="D23" s="259">
        <f>IF(OR(ROW(D23)-5=D$1,ROW(D23)-5=D$1+1),VLOOKUP(D$3,Summary!$B$2:$L$35,3,FALSE),0)</f>
        <v>0</v>
      </c>
      <c r="E23" s="259">
        <f>IF(OR(ROW(E23)-5=E$1,ROW(E23)-5=E$1+1),VLOOKUP(E$3,Summary!$B$2:$L$35,3,FALSE),0)</f>
        <v>0</v>
      </c>
      <c r="F23" s="259">
        <f>IF(OR(ROW(F23)-5=F$1,ROW(F23)-5=F$1+1),VLOOKUP(F$3,Summary!$B$2:$L$35,3,FALSE),0)</f>
        <v>0</v>
      </c>
      <c r="G23" s="259">
        <f>IF(OR(ROW(G23)-5=G$1,ROW(G23)-5=G$1+1),VLOOKUP(G$3,Summary!$B$2:$L$35,3,FALSE),0)</f>
        <v>0</v>
      </c>
      <c r="H23" s="259">
        <f>IF(OR(ROW(H23)-5=H$1,ROW(H23)-5=H$1+1),VLOOKUP(H$3,Summary!$B$2:$L$35,3,FALSE),0)</f>
        <v>0</v>
      </c>
      <c r="I23" s="259">
        <f>IF(OR(ROW(I23)-5=I$1,ROW(I23)-5=I$1+1),VLOOKUP(I$3,Summary!$B$2:$L$35,3,FALSE),0)</f>
        <v>0</v>
      </c>
      <c r="J23" s="259">
        <f>IF(OR(ROW(J23)-5=J$1,ROW(J23)-5=J$1+1),VLOOKUP(J$3,Summary!$B$2:$L$35,3,FALSE),0)</f>
        <v>0</v>
      </c>
      <c r="K23" s="259">
        <f>IF(OR(ROW(K23)-5=K$1,ROW(K23)-5=K$1+1),VLOOKUP(K$3,Summary!$B$2:$L$35,3,FALSE),0)</f>
        <v>0</v>
      </c>
      <c r="L23" s="259">
        <f>IF(OR(ROW(L23)-5=L$1,ROW(L23)-5=L$1+1),VLOOKUP(L$3,Summary!$B$2:$L$35,3,FALSE),0)</f>
        <v>0</v>
      </c>
      <c r="M23" s="259">
        <f>IF(OR(ROW(M23)-5=M$1,ROW(M23)-5=M$1+1),VLOOKUP(M$3,Summary!$B$2:$L$35,3,FALSE),0)</f>
        <v>0</v>
      </c>
      <c r="N23" s="259">
        <f>IF(OR(ROW(N23)-5=N$1,ROW(N23)-5=N$1+1),VLOOKUP(N$3,Summary!$B$2:$L$35,3,FALSE),0)</f>
        <v>0</v>
      </c>
      <c r="O23" s="259">
        <f>IF(OR(ROW(O23)-5=O$1,ROW(O23)-5=O$1+1),VLOOKUP(O$3,Summary!$B$2:$L$35,3,FALSE),0)</f>
        <v>0</v>
      </c>
      <c r="P23" s="259">
        <f>IF(OR(ROW(P23)-5=P$1,ROW(P23)-5=P$1+1),VLOOKUP(P$3,Summary!$B$2:$L$35,3,FALSE),0)</f>
        <v>0</v>
      </c>
      <c r="Q23" s="259">
        <f>IF(OR(ROW(Q23)-5=Q$1,ROW(Q23)-5=Q$1+1),VLOOKUP(Q$3,Summary!$B$2:$L$35,3,FALSE),0)</f>
        <v>0</v>
      </c>
      <c r="R23" s="259">
        <f>IF(OR(ROW(R23)-5=R$1,ROW(R23)-5=R$1+1),VLOOKUP(R$3,Summary!$B$2:$L$35,3,FALSE),0)</f>
        <v>0</v>
      </c>
      <c r="S23" s="259">
        <f>IF(OR(ROW(S23)-5=S$1,ROW(S23)-5=S$1+1),VLOOKUP(S$3,Summary!$B$2:$L$35,3,FALSE),0)</f>
        <v>0</v>
      </c>
      <c r="T23" s="259">
        <f>IF(OR(ROW(T23)-5=T$1,ROW(T23)-5=T$1+1),VLOOKUP(T$3,Summary!$B$2:$L$35,3,FALSE),0)</f>
        <v>0</v>
      </c>
      <c r="U23" s="259">
        <f>IF(OR(ROW(U23)-5=U$1,ROW(U23)-5=U$1+1),VLOOKUP(U$3,Summary!$B$2:$L$35,3,FALSE),0)</f>
        <v>0</v>
      </c>
      <c r="V23" s="259">
        <f>IF(OR(ROW(V23)-5=V$1,ROW(V23)-5=V$1+1),VLOOKUP(V$3,Summary!$B$2:$L$35,3,FALSE),0)</f>
        <v>0</v>
      </c>
      <c r="W23" s="259">
        <f>IF(OR(ROW(W23)-5=W$1,ROW(W23)-5=W$1+1),VLOOKUP(W$3,Summary!$B$2:$L$35,3,FALSE),0)</f>
        <v>0</v>
      </c>
      <c r="X23" s="259">
        <f>IF(OR(ROW(X23)-5=X$1,ROW(X23)-5=X$1+1),VLOOKUP(X$3,Summary!$B$2:$L$35,3,FALSE),0)</f>
        <v>0</v>
      </c>
      <c r="Y23" s="259">
        <f>IF(OR(ROW(Y23)-5=Y$1,ROW(Y23)-5=Y$1+1),VLOOKUP(Y$3,Summary!$B$2:$L$35,3,FALSE),0)</f>
        <v>0</v>
      </c>
      <c r="Z23" s="259">
        <f>IF(OR(ROW(Z23)-5=Z$1,ROW(Z23)-5=Z$1+1),VLOOKUP(Z$3,Summary!$B$2:$L$35,3,FALSE),0)</f>
        <v>0</v>
      </c>
      <c r="AA23" s="259">
        <f>IF(OR(ROW(AA23)-5=AA$1,ROW(AA23)-5=AA$1+1),VLOOKUP(AA$3,Summary!$B$2:$L$35,3,FALSE),0)</f>
        <v>0</v>
      </c>
      <c r="AB23" s="259">
        <f>IF(OR(ROW(AB23)-5=AB$1,ROW(AB23)-5=AB$1+1),VLOOKUP(AB$3,Summary!$B$2:$L$35,3,FALSE),0)</f>
        <v>0</v>
      </c>
      <c r="AC23" s="259">
        <f>IF(OR(ROW(AC23)-5=AC$1,ROW(AC23)-5=AC$1+1),VLOOKUP(AC$3,Summary!$B$2:$L$35,3,FALSE),0)</f>
        <v>0</v>
      </c>
      <c r="AD23" s="259">
        <f>IF(OR(ROW(AD23)-5=AD$1,ROW(AD23)-5=AD$1+1),VLOOKUP(AD$3,Summary!$B$2:$L$35,3,FALSE),0)</f>
        <v>0</v>
      </c>
      <c r="AE23" s="259">
        <f>IF(OR(ROW(AE23)-5=AE$1,ROW(AE23)-5=AE$1+1),VLOOKUP(AE$3,Summary!$B$2:$L$35,3,FALSE),0)</f>
        <v>0</v>
      </c>
      <c r="AF23" s="331" t="e">
        <f t="shared" ca="1" si="5"/>
        <v>#N/A</v>
      </c>
    </row>
    <row r="24" spans="1:32">
      <c r="A24" s="259">
        <f ca="1">OFFSET(Summary!$I$2,TRUNC((ROW(A24)-ROW($A$7))/3,0),0)/1000</f>
        <v>70.579913100397206</v>
      </c>
      <c r="B24" s="259">
        <f>IF(OR(ROW(B24)-5=B$1,ROW(B24)-5=B$1+1),VLOOKUP(B$3,Summary!$B$2:$L$35,3,FALSE),0)</f>
        <v>0</v>
      </c>
      <c r="C24" s="259">
        <f>IF(OR(ROW(C24)-5=C$1,ROW(C24)-5=C$1+1),VLOOKUP(C$3,Summary!$B$2:$L$35,3,FALSE),0)</f>
        <v>0</v>
      </c>
      <c r="D24" s="259">
        <f>IF(OR(ROW(D24)-5=D$1,ROW(D24)-5=D$1+1),VLOOKUP(D$3,Summary!$B$2:$L$35,3,FALSE),0)</f>
        <v>0</v>
      </c>
      <c r="E24" s="259">
        <f>IF(OR(ROW(E24)-5=E$1,ROW(E24)-5=E$1+1),VLOOKUP(E$3,Summary!$B$2:$L$35,3,FALSE),0)</f>
        <v>0</v>
      </c>
      <c r="F24" s="259">
        <f>IF(OR(ROW(F24)-5=F$1,ROW(F24)-5=F$1+1),VLOOKUP(F$3,Summary!$B$2:$L$35,3,FALSE),0)</f>
        <v>0</v>
      </c>
      <c r="G24" s="259">
        <f>IF(OR(ROW(G24)-5=G$1,ROW(G24)-5=G$1+1),VLOOKUP(G$3,Summary!$B$2:$L$35,3,FALSE),0)</f>
        <v>0</v>
      </c>
      <c r="H24" s="259">
        <f ca="1">IF(OR(ROW(H24)-5=H$1,ROW(H24)-5=H$1+1),VLOOKUP(H$3,Summary!$B$2:$L$35,3,FALSE),0)</f>
        <v>-97.677702400310238</v>
      </c>
      <c r="I24" s="259">
        <f>IF(OR(ROW(I24)-5=I$1,ROW(I24)-5=I$1+1),VLOOKUP(I$3,Summary!$B$2:$L$35,3,FALSE),0)</f>
        <v>0</v>
      </c>
      <c r="J24" s="259">
        <f>IF(OR(ROW(J24)-5=J$1,ROW(J24)-5=J$1+1),VLOOKUP(J$3,Summary!$B$2:$L$35,3,FALSE),0)</f>
        <v>0</v>
      </c>
      <c r="K24" s="259">
        <f>IF(OR(ROW(K24)-5=K$1,ROW(K24)-5=K$1+1),VLOOKUP(K$3,Summary!$B$2:$L$35,3,FALSE),0)</f>
        <v>0</v>
      </c>
      <c r="L24" s="259">
        <f>IF(OR(ROW(L24)-5=L$1,ROW(L24)-5=L$1+1),VLOOKUP(L$3,Summary!$B$2:$L$35,3,FALSE),0)</f>
        <v>0</v>
      </c>
      <c r="M24" s="259">
        <f>IF(OR(ROW(M24)-5=M$1,ROW(M24)-5=M$1+1),VLOOKUP(M$3,Summary!$B$2:$L$35,3,FALSE),0)</f>
        <v>0</v>
      </c>
      <c r="N24" s="259">
        <f>IF(OR(ROW(N24)-5=N$1,ROW(N24)-5=N$1+1),VLOOKUP(N$3,Summary!$B$2:$L$35,3,FALSE),0)</f>
        <v>0</v>
      </c>
      <c r="O24" s="259">
        <f>IF(OR(ROW(O24)-5=O$1,ROW(O24)-5=O$1+1),VLOOKUP(O$3,Summary!$B$2:$L$35,3,FALSE),0)</f>
        <v>0</v>
      </c>
      <c r="P24" s="259">
        <f>IF(OR(ROW(P24)-5=P$1,ROW(P24)-5=P$1+1),VLOOKUP(P$3,Summary!$B$2:$L$35,3,FALSE),0)</f>
        <v>0</v>
      </c>
      <c r="Q24" s="259">
        <f>IF(OR(ROW(Q24)-5=Q$1,ROW(Q24)-5=Q$1+1),VLOOKUP(Q$3,Summary!$B$2:$L$35,3,FALSE),0)</f>
        <v>0</v>
      </c>
      <c r="R24" s="259">
        <f>IF(OR(ROW(R24)-5=R$1,ROW(R24)-5=R$1+1),VLOOKUP(R$3,Summary!$B$2:$L$35,3,FALSE),0)</f>
        <v>0</v>
      </c>
      <c r="S24" s="259">
        <f>IF(OR(ROW(S24)-5=S$1,ROW(S24)-5=S$1+1),VLOOKUP(S$3,Summary!$B$2:$L$35,3,FALSE),0)</f>
        <v>0</v>
      </c>
      <c r="T24" s="259">
        <f>IF(OR(ROW(T24)-5=T$1,ROW(T24)-5=T$1+1),VLOOKUP(T$3,Summary!$B$2:$L$35,3,FALSE),0)</f>
        <v>0</v>
      </c>
      <c r="U24" s="259">
        <f>IF(OR(ROW(U24)-5=U$1,ROW(U24)-5=U$1+1),VLOOKUP(U$3,Summary!$B$2:$L$35,3,FALSE),0)</f>
        <v>0</v>
      </c>
      <c r="V24" s="259">
        <f>IF(OR(ROW(V24)-5=V$1,ROW(V24)-5=V$1+1),VLOOKUP(V$3,Summary!$B$2:$L$35,3,FALSE),0)</f>
        <v>0</v>
      </c>
      <c r="W24" s="259">
        <f>IF(OR(ROW(W24)-5=W$1,ROW(W24)-5=W$1+1),VLOOKUP(W$3,Summary!$B$2:$L$35,3,FALSE),0)</f>
        <v>0</v>
      </c>
      <c r="X24" s="259">
        <f>IF(OR(ROW(X24)-5=X$1,ROW(X24)-5=X$1+1),VLOOKUP(X$3,Summary!$B$2:$L$35,3,FALSE),0)</f>
        <v>0</v>
      </c>
      <c r="Y24" s="259">
        <f>IF(OR(ROW(Y24)-5=Y$1,ROW(Y24)-5=Y$1+1),VLOOKUP(Y$3,Summary!$B$2:$L$35,3,FALSE),0)</f>
        <v>0</v>
      </c>
      <c r="Z24" s="259">
        <f>IF(OR(ROW(Z24)-5=Z$1,ROW(Z24)-5=Z$1+1),VLOOKUP(Z$3,Summary!$B$2:$L$35,3,FALSE),0)</f>
        <v>0</v>
      </c>
      <c r="AA24" s="259">
        <f>IF(OR(ROW(AA24)-5=AA$1,ROW(AA24)-5=AA$1+1),VLOOKUP(AA$3,Summary!$B$2:$L$35,3,FALSE),0)</f>
        <v>0</v>
      </c>
      <c r="AB24" s="259">
        <f>IF(OR(ROW(AB24)-5=AB$1,ROW(AB24)-5=AB$1+1),VLOOKUP(AB$3,Summary!$B$2:$L$35,3,FALSE),0)</f>
        <v>0</v>
      </c>
      <c r="AC24" s="259">
        <f>IF(OR(ROW(AC24)-5=AC$1,ROW(AC24)-5=AC$1+1),VLOOKUP(AC$3,Summary!$B$2:$L$35,3,FALSE),0)</f>
        <v>0</v>
      </c>
      <c r="AD24" s="259">
        <f>IF(OR(ROW(AD24)-5=AD$1,ROW(AD24)-5=AD$1+1),VLOOKUP(AD$3,Summary!$B$2:$L$35,3,FALSE),0)</f>
        <v>0</v>
      </c>
      <c r="AE24" s="259">
        <f>IF(OR(ROW(AE24)-5=AE$1,ROW(AE24)-5=AE$1+1),VLOOKUP(AE$3,Summary!$B$2:$L$35,3,FALSE),0)</f>
        <v>0</v>
      </c>
      <c r="AF24" s="331">
        <f t="shared" ca="1" si="5"/>
        <v>-133.70198211860105</v>
      </c>
    </row>
    <row r="25" spans="1:32">
      <c r="A25" s="259">
        <f ca="1">OFFSET(Summary!$I$2,TRUNC((ROW(A25)-ROW($A$7))/3,0),0)/1000</f>
        <v>74.388382642942844</v>
      </c>
      <c r="B25" s="259">
        <f>IF(OR(ROW(B25)-5=B$1,ROW(B25)-5=B$1+1),VLOOKUP(B$3,Summary!$B$2:$L$35,3,FALSE),0)</f>
        <v>0</v>
      </c>
      <c r="C25" s="259">
        <f>IF(OR(ROW(C25)-5=C$1,ROW(C25)-5=C$1+1),VLOOKUP(C$3,Summary!$B$2:$L$35,3,FALSE),0)</f>
        <v>0</v>
      </c>
      <c r="D25" s="259">
        <f>IF(OR(ROW(D25)-5=D$1,ROW(D25)-5=D$1+1),VLOOKUP(D$3,Summary!$B$2:$L$35,3,FALSE),0)</f>
        <v>0</v>
      </c>
      <c r="E25" s="259">
        <f>IF(OR(ROW(E25)-5=E$1,ROW(E25)-5=E$1+1),VLOOKUP(E$3,Summary!$B$2:$L$35,3,FALSE),0)</f>
        <v>0</v>
      </c>
      <c r="F25" s="259">
        <f>IF(OR(ROW(F25)-5=F$1,ROW(F25)-5=F$1+1),VLOOKUP(F$3,Summary!$B$2:$L$35,3,FALSE),0)</f>
        <v>0</v>
      </c>
      <c r="G25" s="259">
        <f>IF(OR(ROW(G25)-5=G$1,ROW(G25)-5=G$1+1),VLOOKUP(G$3,Summary!$B$2:$L$35,3,FALSE),0)</f>
        <v>0</v>
      </c>
      <c r="H25" s="259">
        <f ca="1">IF(OR(ROW(H25)-5=H$1,ROW(H25)-5=H$1+1),VLOOKUP(H$3,Summary!$B$2:$L$35,3,FALSE),0)</f>
        <v>-97.677702400310238</v>
      </c>
      <c r="I25" s="259">
        <f>IF(OR(ROW(I25)-5=I$1,ROW(I25)-5=I$1+1),VLOOKUP(I$3,Summary!$B$2:$L$35,3,FALSE),0)</f>
        <v>0</v>
      </c>
      <c r="J25" s="259">
        <f>IF(OR(ROW(J25)-5=J$1,ROW(J25)-5=J$1+1),VLOOKUP(J$3,Summary!$B$2:$L$35,3,FALSE),0)</f>
        <v>0</v>
      </c>
      <c r="K25" s="259">
        <f>IF(OR(ROW(K25)-5=K$1,ROW(K25)-5=K$1+1),VLOOKUP(K$3,Summary!$B$2:$L$35,3,FALSE),0)</f>
        <v>0</v>
      </c>
      <c r="L25" s="259">
        <f>IF(OR(ROW(L25)-5=L$1,ROW(L25)-5=L$1+1),VLOOKUP(L$3,Summary!$B$2:$L$35,3,FALSE),0)</f>
        <v>0</v>
      </c>
      <c r="M25" s="259">
        <f>IF(OR(ROW(M25)-5=M$1,ROW(M25)-5=M$1+1),VLOOKUP(M$3,Summary!$B$2:$L$35,3,FALSE),0)</f>
        <v>0</v>
      </c>
      <c r="N25" s="259">
        <f>IF(OR(ROW(N25)-5=N$1,ROW(N25)-5=N$1+1),VLOOKUP(N$3,Summary!$B$2:$L$35,3,FALSE),0)</f>
        <v>0</v>
      </c>
      <c r="O25" s="259">
        <f>IF(OR(ROW(O25)-5=O$1,ROW(O25)-5=O$1+1),VLOOKUP(O$3,Summary!$B$2:$L$35,3,FALSE),0)</f>
        <v>0</v>
      </c>
      <c r="P25" s="259">
        <f>IF(OR(ROW(P25)-5=P$1,ROW(P25)-5=P$1+1),VLOOKUP(P$3,Summary!$B$2:$L$35,3,FALSE),0)</f>
        <v>0</v>
      </c>
      <c r="Q25" s="259">
        <f>IF(OR(ROW(Q25)-5=Q$1,ROW(Q25)-5=Q$1+1),VLOOKUP(Q$3,Summary!$B$2:$L$35,3,FALSE),0)</f>
        <v>0</v>
      </c>
      <c r="R25" s="259">
        <f>IF(OR(ROW(R25)-5=R$1,ROW(R25)-5=R$1+1),VLOOKUP(R$3,Summary!$B$2:$L$35,3,FALSE),0)</f>
        <v>0</v>
      </c>
      <c r="S25" s="259">
        <f>IF(OR(ROW(S25)-5=S$1,ROW(S25)-5=S$1+1),VLOOKUP(S$3,Summary!$B$2:$L$35,3,FALSE),0)</f>
        <v>0</v>
      </c>
      <c r="T25" s="259">
        <f>IF(OR(ROW(T25)-5=T$1,ROW(T25)-5=T$1+1),VLOOKUP(T$3,Summary!$B$2:$L$35,3,FALSE),0)</f>
        <v>0</v>
      </c>
      <c r="U25" s="259">
        <f>IF(OR(ROW(U25)-5=U$1,ROW(U25)-5=U$1+1),VLOOKUP(U$3,Summary!$B$2:$L$35,3,FALSE),0)</f>
        <v>0</v>
      </c>
      <c r="V25" s="259">
        <f>IF(OR(ROW(V25)-5=V$1,ROW(V25)-5=V$1+1),VLOOKUP(V$3,Summary!$B$2:$L$35,3,FALSE),0)</f>
        <v>0</v>
      </c>
      <c r="W25" s="259">
        <f>IF(OR(ROW(W25)-5=W$1,ROW(W25)-5=W$1+1),VLOOKUP(W$3,Summary!$B$2:$L$35,3,FALSE),0)</f>
        <v>0</v>
      </c>
      <c r="X25" s="259">
        <f>IF(OR(ROW(X25)-5=X$1,ROW(X25)-5=X$1+1),VLOOKUP(X$3,Summary!$B$2:$L$35,3,FALSE),0)</f>
        <v>0</v>
      </c>
      <c r="Y25" s="259">
        <f>IF(OR(ROW(Y25)-5=Y$1,ROW(Y25)-5=Y$1+1),VLOOKUP(Y$3,Summary!$B$2:$L$35,3,FALSE),0)</f>
        <v>0</v>
      </c>
      <c r="Z25" s="259">
        <f>IF(OR(ROW(Z25)-5=Z$1,ROW(Z25)-5=Z$1+1),VLOOKUP(Z$3,Summary!$B$2:$L$35,3,FALSE),0)</f>
        <v>0</v>
      </c>
      <c r="AA25" s="259">
        <f>IF(OR(ROW(AA25)-5=AA$1,ROW(AA25)-5=AA$1+1),VLOOKUP(AA$3,Summary!$B$2:$L$35,3,FALSE),0)</f>
        <v>0</v>
      </c>
      <c r="AB25" s="259">
        <f>IF(OR(ROW(AB25)-5=AB$1,ROW(AB25)-5=AB$1+1),VLOOKUP(AB$3,Summary!$B$2:$L$35,3,FALSE),0)</f>
        <v>0</v>
      </c>
      <c r="AC25" s="259">
        <f>IF(OR(ROW(AC25)-5=AC$1,ROW(AC25)-5=AC$1+1),VLOOKUP(AC$3,Summary!$B$2:$L$35,3,FALSE),0)</f>
        <v>0</v>
      </c>
      <c r="AD25" s="259">
        <f>IF(OR(ROW(AD25)-5=AD$1,ROW(AD25)-5=AD$1+1),VLOOKUP(AD$3,Summary!$B$2:$L$35,3,FALSE),0)</f>
        <v>0</v>
      </c>
      <c r="AE25" s="259">
        <f>IF(OR(ROW(AE25)-5=AE$1,ROW(AE25)-5=AE$1+1),VLOOKUP(AE$3,Summary!$B$2:$L$35,3,FALSE),0)</f>
        <v>0</v>
      </c>
      <c r="AF25" s="331">
        <f t="shared" ca="1" si="5"/>
        <v>-133.70198211860105</v>
      </c>
    </row>
    <row r="26" spans="1:32">
      <c r="A26" s="259">
        <f ca="1">OFFSET(Summary!$I$2,TRUNC((ROW(A26)-ROW($A$7))/3,0),0)/1000</f>
        <v>74.388382642942844</v>
      </c>
      <c r="B26" s="259">
        <f>IF(OR(ROW(B26)-5=B$1,ROW(B26)-5=B$1+1),VLOOKUP(B$3,Summary!$B$2:$L$35,3,FALSE),0)</f>
        <v>0</v>
      </c>
      <c r="C26" s="259">
        <f>IF(OR(ROW(C26)-5=C$1,ROW(C26)-5=C$1+1),VLOOKUP(C$3,Summary!$B$2:$L$35,3,FALSE),0)</f>
        <v>0</v>
      </c>
      <c r="D26" s="259">
        <f>IF(OR(ROW(D26)-5=D$1,ROW(D26)-5=D$1+1),VLOOKUP(D$3,Summary!$B$2:$L$35,3,FALSE),0)</f>
        <v>0</v>
      </c>
      <c r="E26" s="259">
        <f>IF(OR(ROW(E26)-5=E$1,ROW(E26)-5=E$1+1),VLOOKUP(E$3,Summary!$B$2:$L$35,3,FALSE),0)</f>
        <v>0</v>
      </c>
      <c r="F26" s="259">
        <f>IF(OR(ROW(F26)-5=F$1,ROW(F26)-5=F$1+1),VLOOKUP(F$3,Summary!$B$2:$L$35,3,FALSE),0)</f>
        <v>0</v>
      </c>
      <c r="G26" s="259">
        <f>IF(OR(ROW(G26)-5=G$1,ROW(G26)-5=G$1+1),VLOOKUP(G$3,Summary!$B$2:$L$35,3,FALSE),0)</f>
        <v>0</v>
      </c>
      <c r="H26" s="259">
        <f>IF(OR(ROW(H26)-5=H$1,ROW(H26)-5=H$1+1),VLOOKUP(H$3,Summary!$B$2:$L$35,3,FALSE),0)</f>
        <v>0</v>
      </c>
      <c r="I26" s="259">
        <f>IF(OR(ROW(I26)-5=I$1,ROW(I26)-5=I$1+1),VLOOKUP(I$3,Summary!$B$2:$L$35,3,FALSE),0)</f>
        <v>0</v>
      </c>
      <c r="J26" s="259">
        <f>IF(OR(ROW(J26)-5=J$1,ROW(J26)-5=J$1+1),VLOOKUP(J$3,Summary!$B$2:$L$35,3,FALSE),0)</f>
        <v>0</v>
      </c>
      <c r="K26" s="259">
        <f>IF(OR(ROW(K26)-5=K$1,ROW(K26)-5=K$1+1),VLOOKUP(K$3,Summary!$B$2:$L$35,3,FALSE),0)</f>
        <v>0</v>
      </c>
      <c r="L26" s="259">
        <f>IF(OR(ROW(L26)-5=L$1,ROW(L26)-5=L$1+1),VLOOKUP(L$3,Summary!$B$2:$L$35,3,FALSE),0)</f>
        <v>0</v>
      </c>
      <c r="M26" s="259">
        <f>IF(OR(ROW(M26)-5=M$1,ROW(M26)-5=M$1+1),VLOOKUP(M$3,Summary!$B$2:$L$35,3,FALSE),0)</f>
        <v>0</v>
      </c>
      <c r="N26" s="259">
        <f>IF(OR(ROW(N26)-5=N$1,ROW(N26)-5=N$1+1),VLOOKUP(N$3,Summary!$B$2:$L$35,3,FALSE),0)</f>
        <v>0</v>
      </c>
      <c r="O26" s="259">
        <f>IF(OR(ROW(O26)-5=O$1,ROW(O26)-5=O$1+1),VLOOKUP(O$3,Summary!$B$2:$L$35,3,FALSE),0)</f>
        <v>0</v>
      </c>
      <c r="P26" s="259">
        <f>IF(OR(ROW(P26)-5=P$1,ROW(P26)-5=P$1+1),VLOOKUP(P$3,Summary!$B$2:$L$35,3,FALSE),0)</f>
        <v>0</v>
      </c>
      <c r="Q26" s="259">
        <f>IF(OR(ROW(Q26)-5=Q$1,ROW(Q26)-5=Q$1+1),VLOOKUP(Q$3,Summary!$B$2:$L$35,3,FALSE),0)</f>
        <v>0</v>
      </c>
      <c r="R26" s="259">
        <f>IF(OR(ROW(R26)-5=R$1,ROW(R26)-5=R$1+1),VLOOKUP(R$3,Summary!$B$2:$L$35,3,FALSE),0)</f>
        <v>0</v>
      </c>
      <c r="S26" s="259">
        <f>IF(OR(ROW(S26)-5=S$1,ROW(S26)-5=S$1+1),VLOOKUP(S$3,Summary!$B$2:$L$35,3,FALSE),0)</f>
        <v>0</v>
      </c>
      <c r="T26" s="259">
        <f>IF(OR(ROW(T26)-5=T$1,ROW(T26)-5=T$1+1),VLOOKUP(T$3,Summary!$B$2:$L$35,3,FALSE),0)</f>
        <v>0</v>
      </c>
      <c r="U26" s="259">
        <f>IF(OR(ROW(U26)-5=U$1,ROW(U26)-5=U$1+1),VLOOKUP(U$3,Summary!$B$2:$L$35,3,FALSE),0)</f>
        <v>0</v>
      </c>
      <c r="V26" s="259">
        <f>IF(OR(ROW(V26)-5=V$1,ROW(V26)-5=V$1+1),VLOOKUP(V$3,Summary!$B$2:$L$35,3,FALSE),0)</f>
        <v>0</v>
      </c>
      <c r="W26" s="259">
        <f>IF(OR(ROW(W26)-5=W$1,ROW(W26)-5=W$1+1),VLOOKUP(W$3,Summary!$B$2:$L$35,3,FALSE),0)</f>
        <v>0</v>
      </c>
      <c r="X26" s="259">
        <f>IF(OR(ROW(X26)-5=X$1,ROW(X26)-5=X$1+1),VLOOKUP(X$3,Summary!$B$2:$L$35,3,FALSE),0)</f>
        <v>0</v>
      </c>
      <c r="Y26" s="259">
        <f>IF(OR(ROW(Y26)-5=Y$1,ROW(Y26)-5=Y$1+1),VLOOKUP(Y$3,Summary!$B$2:$L$35,3,FALSE),0)</f>
        <v>0</v>
      </c>
      <c r="Z26" s="259">
        <f>IF(OR(ROW(Z26)-5=Z$1,ROW(Z26)-5=Z$1+1),VLOOKUP(Z$3,Summary!$B$2:$L$35,3,FALSE),0)</f>
        <v>0</v>
      </c>
      <c r="AA26" s="259">
        <f>IF(OR(ROW(AA26)-5=AA$1,ROW(AA26)-5=AA$1+1),VLOOKUP(AA$3,Summary!$B$2:$L$35,3,FALSE),0)</f>
        <v>0</v>
      </c>
      <c r="AB26" s="259">
        <f>IF(OR(ROW(AB26)-5=AB$1,ROW(AB26)-5=AB$1+1),VLOOKUP(AB$3,Summary!$B$2:$L$35,3,FALSE),0)</f>
        <v>0</v>
      </c>
      <c r="AC26" s="259">
        <f>IF(OR(ROW(AC26)-5=AC$1,ROW(AC26)-5=AC$1+1),VLOOKUP(AC$3,Summary!$B$2:$L$35,3,FALSE),0)</f>
        <v>0</v>
      </c>
      <c r="AD26" s="259">
        <f>IF(OR(ROW(AD26)-5=AD$1,ROW(AD26)-5=AD$1+1),VLOOKUP(AD$3,Summary!$B$2:$L$35,3,FALSE),0)</f>
        <v>0</v>
      </c>
      <c r="AE26" s="259">
        <f>IF(OR(ROW(AE26)-5=AE$1,ROW(AE26)-5=AE$1+1),VLOOKUP(AE$3,Summary!$B$2:$L$35,3,FALSE),0)</f>
        <v>0</v>
      </c>
      <c r="AF26" s="331" t="e">
        <f t="shared" ca="1" si="5"/>
        <v>#N/A</v>
      </c>
    </row>
    <row r="27" spans="1:32">
      <c r="A27" s="259">
        <f ca="1">OFFSET(Summary!$I$2,TRUNC((ROW(A27)-ROW($A$7))/3,0),0)/1000</f>
        <v>74.388382642942844</v>
      </c>
      <c r="B27" s="259">
        <f>IF(OR(ROW(B27)-5=B$1,ROW(B27)-5=B$1+1),VLOOKUP(B$3,Summary!$B$2:$L$35,3,FALSE),0)</f>
        <v>0</v>
      </c>
      <c r="C27" s="259">
        <f>IF(OR(ROW(C27)-5=C$1,ROW(C27)-5=C$1+1),VLOOKUP(C$3,Summary!$B$2:$L$35,3,FALSE),0)</f>
        <v>0</v>
      </c>
      <c r="D27" s="259">
        <f>IF(OR(ROW(D27)-5=D$1,ROW(D27)-5=D$1+1),VLOOKUP(D$3,Summary!$B$2:$L$35,3,FALSE),0)</f>
        <v>0</v>
      </c>
      <c r="E27" s="259">
        <f>IF(OR(ROW(E27)-5=E$1,ROW(E27)-5=E$1+1),VLOOKUP(E$3,Summary!$B$2:$L$35,3,FALSE),0)</f>
        <v>0</v>
      </c>
      <c r="F27" s="259">
        <f>IF(OR(ROW(F27)-5=F$1,ROW(F27)-5=F$1+1),VLOOKUP(F$3,Summary!$B$2:$L$35,3,FALSE),0)</f>
        <v>0</v>
      </c>
      <c r="G27" s="259">
        <f>IF(OR(ROW(G27)-5=G$1,ROW(G27)-5=G$1+1),VLOOKUP(G$3,Summary!$B$2:$L$35,3,FALSE),0)</f>
        <v>0</v>
      </c>
      <c r="H27" s="259">
        <f>IF(OR(ROW(H27)-5=H$1,ROW(H27)-5=H$1+1),VLOOKUP(H$3,Summary!$B$2:$L$35,3,FALSE),0)</f>
        <v>0</v>
      </c>
      <c r="I27" s="259">
        <f ca="1">IF(OR(ROW(I27)-5=I$1,ROW(I27)-5=I$1+1),VLOOKUP(I$3,Summary!$B$2:$L$35,3,FALSE),0)</f>
        <v>-95.617893431330998</v>
      </c>
      <c r="J27" s="259">
        <f>IF(OR(ROW(J27)-5=J$1,ROW(J27)-5=J$1+1),VLOOKUP(J$3,Summary!$B$2:$L$35,3,FALSE),0)</f>
        <v>0</v>
      </c>
      <c r="K27" s="259">
        <f>IF(OR(ROW(K27)-5=K$1,ROW(K27)-5=K$1+1),VLOOKUP(K$3,Summary!$B$2:$L$35,3,FALSE),0)</f>
        <v>0</v>
      </c>
      <c r="L27" s="259">
        <f>IF(OR(ROW(L27)-5=L$1,ROW(L27)-5=L$1+1),VLOOKUP(L$3,Summary!$B$2:$L$35,3,FALSE),0)</f>
        <v>0</v>
      </c>
      <c r="M27" s="259">
        <f>IF(OR(ROW(M27)-5=M$1,ROW(M27)-5=M$1+1),VLOOKUP(M$3,Summary!$B$2:$L$35,3,FALSE),0)</f>
        <v>0</v>
      </c>
      <c r="N27" s="259">
        <f>IF(OR(ROW(N27)-5=N$1,ROW(N27)-5=N$1+1),VLOOKUP(N$3,Summary!$B$2:$L$35,3,FALSE),0)</f>
        <v>0</v>
      </c>
      <c r="O27" s="259">
        <f>IF(OR(ROW(O27)-5=O$1,ROW(O27)-5=O$1+1),VLOOKUP(O$3,Summary!$B$2:$L$35,3,FALSE),0)</f>
        <v>0</v>
      </c>
      <c r="P27" s="259">
        <f>IF(OR(ROW(P27)-5=P$1,ROW(P27)-5=P$1+1),VLOOKUP(P$3,Summary!$B$2:$L$35,3,FALSE),0)</f>
        <v>0</v>
      </c>
      <c r="Q27" s="259">
        <f>IF(OR(ROW(Q27)-5=Q$1,ROW(Q27)-5=Q$1+1),VLOOKUP(Q$3,Summary!$B$2:$L$35,3,FALSE),0)</f>
        <v>0</v>
      </c>
      <c r="R27" s="259">
        <f>IF(OR(ROW(R27)-5=R$1,ROW(R27)-5=R$1+1),VLOOKUP(R$3,Summary!$B$2:$L$35,3,FALSE),0)</f>
        <v>0</v>
      </c>
      <c r="S27" s="259">
        <f>IF(OR(ROW(S27)-5=S$1,ROW(S27)-5=S$1+1),VLOOKUP(S$3,Summary!$B$2:$L$35,3,FALSE),0)</f>
        <v>0</v>
      </c>
      <c r="T27" s="259">
        <f>IF(OR(ROW(T27)-5=T$1,ROW(T27)-5=T$1+1),VLOOKUP(T$3,Summary!$B$2:$L$35,3,FALSE),0)</f>
        <v>0</v>
      </c>
      <c r="U27" s="259">
        <f>IF(OR(ROW(U27)-5=U$1,ROW(U27)-5=U$1+1),VLOOKUP(U$3,Summary!$B$2:$L$35,3,FALSE),0)</f>
        <v>0</v>
      </c>
      <c r="V27" s="259">
        <f>IF(OR(ROW(V27)-5=V$1,ROW(V27)-5=V$1+1),VLOOKUP(V$3,Summary!$B$2:$L$35,3,FALSE),0)</f>
        <v>0</v>
      </c>
      <c r="W27" s="259">
        <f>IF(OR(ROW(W27)-5=W$1,ROW(W27)-5=W$1+1),VLOOKUP(W$3,Summary!$B$2:$L$35,3,FALSE),0)</f>
        <v>0</v>
      </c>
      <c r="X27" s="259">
        <f>IF(OR(ROW(X27)-5=X$1,ROW(X27)-5=X$1+1),VLOOKUP(X$3,Summary!$B$2:$L$35,3,FALSE),0)</f>
        <v>0</v>
      </c>
      <c r="Y27" s="259">
        <f>IF(OR(ROW(Y27)-5=Y$1,ROW(Y27)-5=Y$1+1),VLOOKUP(Y$3,Summary!$B$2:$L$35,3,FALSE),0)</f>
        <v>0</v>
      </c>
      <c r="Z27" s="259">
        <f>IF(OR(ROW(Z27)-5=Z$1,ROW(Z27)-5=Z$1+1),VLOOKUP(Z$3,Summary!$B$2:$L$35,3,FALSE),0)</f>
        <v>0</v>
      </c>
      <c r="AA27" s="259">
        <f>IF(OR(ROW(AA27)-5=AA$1,ROW(AA27)-5=AA$1+1),VLOOKUP(AA$3,Summary!$B$2:$L$35,3,FALSE),0)</f>
        <v>0</v>
      </c>
      <c r="AB27" s="259">
        <f>IF(OR(ROW(AB27)-5=AB$1,ROW(AB27)-5=AB$1+1),VLOOKUP(AB$3,Summary!$B$2:$L$35,3,FALSE),0)</f>
        <v>0</v>
      </c>
      <c r="AC27" s="259">
        <f>IF(OR(ROW(AC27)-5=AC$1,ROW(AC27)-5=AC$1+1),VLOOKUP(AC$3,Summary!$B$2:$L$35,3,FALSE),0)</f>
        <v>0</v>
      </c>
      <c r="AD27" s="259">
        <f>IF(OR(ROW(AD27)-5=AD$1,ROW(AD27)-5=AD$1+1),VLOOKUP(AD$3,Summary!$B$2:$L$35,3,FALSE),0)</f>
        <v>0</v>
      </c>
      <c r="AE27" s="259">
        <f>IF(OR(ROW(AE27)-5=AE$1,ROW(AE27)-5=AE$1+1),VLOOKUP(AE$3,Summary!$B$2:$L$35,3,FALSE),0)</f>
        <v>0</v>
      </c>
      <c r="AF27" s="331">
        <f t="shared" ca="1" si="5"/>
        <v>-143.8430527163145</v>
      </c>
    </row>
    <row r="28" spans="1:32">
      <c r="A28" s="259">
        <f ca="1">OFFSET(Summary!$I$2,TRUNC((ROW(A28)-ROW($A$7))/3,0),0)/1000</f>
        <v>84.540256043741579</v>
      </c>
      <c r="B28" s="259">
        <f>IF(OR(ROW(B28)-5=B$1,ROW(B28)-5=B$1+1),VLOOKUP(B$3,Summary!$B$2:$L$35,3,FALSE),0)</f>
        <v>0</v>
      </c>
      <c r="C28" s="259">
        <f>IF(OR(ROW(C28)-5=C$1,ROW(C28)-5=C$1+1),VLOOKUP(C$3,Summary!$B$2:$L$35,3,FALSE),0)</f>
        <v>0</v>
      </c>
      <c r="D28" s="259">
        <f>IF(OR(ROW(D28)-5=D$1,ROW(D28)-5=D$1+1),VLOOKUP(D$3,Summary!$B$2:$L$35,3,FALSE),0)</f>
        <v>0</v>
      </c>
      <c r="E28" s="259">
        <f>IF(OR(ROW(E28)-5=E$1,ROW(E28)-5=E$1+1),VLOOKUP(E$3,Summary!$B$2:$L$35,3,FALSE),0)</f>
        <v>0</v>
      </c>
      <c r="F28" s="259">
        <f>IF(OR(ROW(F28)-5=F$1,ROW(F28)-5=F$1+1),VLOOKUP(F$3,Summary!$B$2:$L$35,3,FALSE),0)</f>
        <v>0</v>
      </c>
      <c r="G28" s="259">
        <f>IF(OR(ROW(G28)-5=G$1,ROW(G28)-5=G$1+1),VLOOKUP(G$3,Summary!$B$2:$L$35,3,FALSE),0)</f>
        <v>0</v>
      </c>
      <c r="H28" s="259">
        <f>IF(OR(ROW(H28)-5=H$1,ROW(H28)-5=H$1+1),VLOOKUP(H$3,Summary!$B$2:$L$35,3,FALSE),0)</f>
        <v>0</v>
      </c>
      <c r="I28" s="259">
        <f ca="1">IF(OR(ROW(I28)-5=I$1,ROW(I28)-5=I$1+1),VLOOKUP(I$3,Summary!$B$2:$L$35,3,FALSE),0)</f>
        <v>-95.617893431330998</v>
      </c>
      <c r="J28" s="259">
        <f>IF(OR(ROW(J28)-5=J$1,ROW(J28)-5=J$1+1),VLOOKUP(J$3,Summary!$B$2:$L$35,3,FALSE),0)</f>
        <v>0</v>
      </c>
      <c r="K28" s="259">
        <f>IF(OR(ROW(K28)-5=K$1,ROW(K28)-5=K$1+1),VLOOKUP(K$3,Summary!$B$2:$L$35,3,FALSE),0)</f>
        <v>0</v>
      </c>
      <c r="L28" s="259">
        <f>IF(OR(ROW(L28)-5=L$1,ROW(L28)-5=L$1+1),VLOOKUP(L$3,Summary!$B$2:$L$35,3,FALSE),0)</f>
        <v>0</v>
      </c>
      <c r="M28" s="259">
        <f>IF(OR(ROW(M28)-5=M$1,ROW(M28)-5=M$1+1),VLOOKUP(M$3,Summary!$B$2:$L$35,3,FALSE),0)</f>
        <v>0</v>
      </c>
      <c r="N28" s="259">
        <f>IF(OR(ROW(N28)-5=N$1,ROW(N28)-5=N$1+1),VLOOKUP(N$3,Summary!$B$2:$L$35,3,FALSE),0)</f>
        <v>0</v>
      </c>
      <c r="O28" s="259">
        <f>IF(OR(ROW(O28)-5=O$1,ROW(O28)-5=O$1+1),VLOOKUP(O$3,Summary!$B$2:$L$35,3,FALSE),0)</f>
        <v>0</v>
      </c>
      <c r="P28" s="259">
        <f>IF(OR(ROW(P28)-5=P$1,ROW(P28)-5=P$1+1),VLOOKUP(P$3,Summary!$B$2:$L$35,3,FALSE),0)</f>
        <v>0</v>
      </c>
      <c r="Q28" s="259">
        <f>IF(OR(ROW(Q28)-5=Q$1,ROW(Q28)-5=Q$1+1),VLOOKUP(Q$3,Summary!$B$2:$L$35,3,FALSE),0)</f>
        <v>0</v>
      </c>
      <c r="R28" s="259">
        <f>IF(OR(ROW(R28)-5=R$1,ROW(R28)-5=R$1+1),VLOOKUP(R$3,Summary!$B$2:$L$35,3,FALSE),0)</f>
        <v>0</v>
      </c>
      <c r="S28" s="259">
        <f>IF(OR(ROW(S28)-5=S$1,ROW(S28)-5=S$1+1),VLOOKUP(S$3,Summary!$B$2:$L$35,3,FALSE),0)</f>
        <v>0</v>
      </c>
      <c r="T28" s="259">
        <f>IF(OR(ROW(T28)-5=T$1,ROW(T28)-5=T$1+1),VLOOKUP(T$3,Summary!$B$2:$L$35,3,FALSE),0)</f>
        <v>0</v>
      </c>
      <c r="U28" s="259">
        <f>IF(OR(ROW(U28)-5=U$1,ROW(U28)-5=U$1+1),VLOOKUP(U$3,Summary!$B$2:$L$35,3,FALSE),0)</f>
        <v>0</v>
      </c>
      <c r="V28" s="259">
        <f>IF(OR(ROW(V28)-5=V$1,ROW(V28)-5=V$1+1),VLOOKUP(V$3,Summary!$B$2:$L$35,3,FALSE),0)</f>
        <v>0</v>
      </c>
      <c r="W28" s="259">
        <f>IF(OR(ROW(W28)-5=W$1,ROW(W28)-5=W$1+1),VLOOKUP(W$3,Summary!$B$2:$L$35,3,FALSE),0)</f>
        <v>0</v>
      </c>
      <c r="X28" s="259">
        <f>IF(OR(ROW(X28)-5=X$1,ROW(X28)-5=X$1+1),VLOOKUP(X$3,Summary!$B$2:$L$35,3,FALSE),0)</f>
        <v>0</v>
      </c>
      <c r="Y28" s="259">
        <f>IF(OR(ROW(Y28)-5=Y$1,ROW(Y28)-5=Y$1+1),VLOOKUP(Y$3,Summary!$B$2:$L$35,3,FALSE),0)</f>
        <v>0</v>
      </c>
      <c r="Z28" s="259">
        <f>IF(OR(ROW(Z28)-5=Z$1,ROW(Z28)-5=Z$1+1),VLOOKUP(Z$3,Summary!$B$2:$L$35,3,FALSE),0)</f>
        <v>0</v>
      </c>
      <c r="AA28" s="259">
        <f>IF(OR(ROW(AA28)-5=AA$1,ROW(AA28)-5=AA$1+1),VLOOKUP(AA$3,Summary!$B$2:$L$35,3,FALSE),0)</f>
        <v>0</v>
      </c>
      <c r="AB28" s="259">
        <f>IF(OR(ROW(AB28)-5=AB$1,ROW(AB28)-5=AB$1+1),VLOOKUP(AB$3,Summary!$B$2:$L$35,3,FALSE),0)</f>
        <v>0</v>
      </c>
      <c r="AC28" s="259">
        <f>IF(OR(ROW(AC28)-5=AC$1,ROW(AC28)-5=AC$1+1),VLOOKUP(AC$3,Summary!$B$2:$L$35,3,FALSE),0)</f>
        <v>0</v>
      </c>
      <c r="AD28" s="259">
        <f>IF(OR(ROW(AD28)-5=AD$1,ROW(AD28)-5=AD$1+1),VLOOKUP(AD$3,Summary!$B$2:$L$35,3,FALSE),0)</f>
        <v>0</v>
      </c>
      <c r="AE28" s="259">
        <f>IF(OR(ROW(AE28)-5=AE$1,ROW(AE28)-5=AE$1+1),VLOOKUP(AE$3,Summary!$B$2:$L$35,3,FALSE),0)</f>
        <v>0</v>
      </c>
      <c r="AF28" s="331">
        <f t="shared" ca="1" si="5"/>
        <v>-143.8430527163145</v>
      </c>
    </row>
    <row r="29" spans="1:32">
      <c r="A29" s="259">
        <f ca="1">OFFSET(Summary!$I$2,TRUNC((ROW(A29)-ROW($A$7))/3,0),0)/1000</f>
        <v>84.540256043741579</v>
      </c>
      <c r="B29" s="259">
        <f>IF(OR(ROW(B29)-5=B$1,ROW(B29)-5=B$1+1),VLOOKUP(B$3,Summary!$B$2:$L$35,3,FALSE),0)</f>
        <v>0</v>
      </c>
      <c r="C29" s="259">
        <f>IF(OR(ROW(C29)-5=C$1,ROW(C29)-5=C$1+1),VLOOKUP(C$3,Summary!$B$2:$L$35,3,FALSE),0)</f>
        <v>0</v>
      </c>
      <c r="D29" s="259">
        <f>IF(OR(ROW(D29)-5=D$1,ROW(D29)-5=D$1+1),VLOOKUP(D$3,Summary!$B$2:$L$35,3,FALSE),0)</f>
        <v>0</v>
      </c>
      <c r="E29" s="259">
        <f>IF(OR(ROW(E29)-5=E$1,ROW(E29)-5=E$1+1),VLOOKUP(E$3,Summary!$B$2:$L$35,3,FALSE),0)</f>
        <v>0</v>
      </c>
      <c r="F29" s="259">
        <f>IF(OR(ROW(F29)-5=F$1,ROW(F29)-5=F$1+1),VLOOKUP(F$3,Summary!$B$2:$L$35,3,FALSE),0)</f>
        <v>0</v>
      </c>
      <c r="G29" s="259">
        <f>IF(OR(ROW(G29)-5=G$1,ROW(G29)-5=G$1+1),VLOOKUP(G$3,Summary!$B$2:$L$35,3,FALSE),0)</f>
        <v>0</v>
      </c>
      <c r="H29" s="259">
        <f>IF(OR(ROW(H29)-5=H$1,ROW(H29)-5=H$1+1),VLOOKUP(H$3,Summary!$B$2:$L$35,3,FALSE),0)</f>
        <v>0</v>
      </c>
      <c r="I29" s="259">
        <f>IF(OR(ROW(I29)-5=I$1,ROW(I29)-5=I$1+1),VLOOKUP(I$3,Summary!$B$2:$L$35,3,FALSE),0)</f>
        <v>0</v>
      </c>
      <c r="J29" s="259">
        <f>IF(OR(ROW(J29)-5=J$1,ROW(J29)-5=J$1+1),VLOOKUP(J$3,Summary!$B$2:$L$35,3,FALSE),0)</f>
        <v>0</v>
      </c>
      <c r="K29" s="259">
        <f>IF(OR(ROW(K29)-5=K$1,ROW(K29)-5=K$1+1),VLOOKUP(K$3,Summary!$B$2:$L$35,3,FALSE),0)</f>
        <v>0</v>
      </c>
      <c r="L29" s="259">
        <f>IF(OR(ROW(L29)-5=L$1,ROW(L29)-5=L$1+1),VLOOKUP(L$3,Summary!$B$2:$L$35,3,FALSE),0)</f>
        <v>0</v>
      </c>
      <c r="M29" s="259">
        <f>IF(OR(ROW(M29)-5=M$1,ROW(M29)-5=M$1+1),VLOOKUP(M$3,Summary!$B$2:$L$35,3,FALSE),0)</f>
        <v>0</v>
      </c>
      <c r="N29" s="259">
        <f>IF(OR(ROW(N29)-5=N$1,ROW(N29)-5=N$1+1),VLOOKUP(N$3,Summary!$B$2:$L$35,3,FALSE),0)</f>
        <v>0</v>
      </c>
      <c r="O29" s="259">
        <f>IF(OR(ROW(O29)-5=O$1,ROW(O29)-5=O$1+1),VLOOKUP(O$3,Summary!$B$2:$L$35,3,FALSE),0)</f>
        <v>0</v>
      </c>
      <c r="P29" s="259">
        <f>IF(OR(ROW(P29)-5=P$1,ROW(P29)-5=P$1+1),VLOOKUP(P$3,Summary!$B$2:$L$35,3,FALSE),0)</f>
        <v>0</v>
      </c>
      <c r="Q29" s="259">
        <f>IF(OR(ROW(Q29)-5=Q$1,ROW(Q29)-5=Q$1+1),VLOOKUP(Q$3,Summary!$B$2:$L$35,3,FALSE),0)</f>
        <v>0</v>
      </c>
      <c r="R29" s="259">
        <f>IF(OR(ROW(R29)-5=R$1,ROW(R29)-5=R$1+1),VLOOKUP(R$3,Summary!$B$2:$L$35,3,FALSE),0)</f>
        <v>0</v>
      </c>
      <c r="S29" s="259">
        <f>IF(OR(ROW(S29)-5=S$1,ROW(S29)-5=S$1+1),VLOOKUP(S$3,Summary!$B$2:$L$35,3,FALSE),0)</f>
        <v>0</v>
      </c>
      <c r="T29" s="259">
        <f>IF(OR(ROW(T29)-5=T$1,ROW(T29)-5=T$1+1),VLOOKUP(T$3,Summary!$B$2:$L$35,3,FALSE),0)</f>
        <v>0</v>
      </c>
      <c r="U29" s="259">
        <f>IF(OR(ROW(U29)-5=U$1,ROW(U29)-5=U$1+1),VLOOKUP(U$3,Summary!$B$2:$L$35,3,FALSE),0)</f>
        <v>0</v>
      </c>
      <c r="V29" s="259">
        <f>IF(OR(ROW(V29)-5=V$1,ROW(V29)-5=V$1+1),VLOOKUP(V$3,Summary!$B$2:$L$35,3,FALSE),0)</f>
        <v>0</v>
      </c>
      <c r="W29" s="259">
        <f>IF(OR(ROW(W29)-5=W$1,ROW(W29)-5=W$1+1),VLOOKUP(W$3,Summary!$B$2:$L$35,3,FALSE),0)</f>
        <v>0</v>
      </c>
      <c r="X29" s="259">
        <f>IF(OR(ROW(X29)-5=X$1,ROW(X29)-5=X$1+1),VLOOKUP(X$3,Summary!$B$2:$L$35,3,FALSE),0)</f>
        <v>0</v>
      </c>
      <c r="Y29" s="259">
        <f>IF(OR(ROW(Y29)-5=Y$1,ROW(Y29)-5=Y$1+1),VLOOKUP(Y$3,Summary!$B$2:$L$35,3,FALSE),0)</f>
        <v>0</v>
      </c>
      <c r="Z29" s="259">
        <f>IF(OR(ROW(Z29)-5=Z$1,ROW(Z29)-5=Z$1+1),VLOOKUP(Z$3,Summary!$B$2:$L$35,3,FALSE),0)</f>
        <v>0</v>
      </c>
      <c r="AA29" s="259">
        <f>IF(OR(ROW(AA29)-5=AA$1,ROW(AA29)-5=AA$1+1),VLOOKUP(AA$3,Summary!$B$2:$L$35,3,FALSE),0)</f>
        <v>0</v>
      </c>
      <c r="AB29" s="259">
        <f>IF(OR(ROW(AB29)-5=AB$1,ROW(AB29)-5=AB$1+1),VLOOKUP(AB$3,Summary!$B$2:$L$35,3,FALSE),0)</f>
        <v>0</v>
      </c>
      <c r="AC29" s="259">
        <f>IF(OR(ROW(AC29)-5=AC$1,ROW(AC29)-5=AC$1+1),VLOOKUP(AC$3,Summary!$B$2:$L$35,3,FALSE),0)</f>
        <v>0</v>
      </c>
      <c r="AD29" s="259">
        <f>IF(OR(ROW(AD29)-5=AD$1,ROW(AD29)-5=AD$1+1),VLOOKUP(AD$3,Summary!$B$2:$L$35,3,FALSE),0)</f>
        <v>0</v>
      </c>
      <c r="AE29" s="259">
        <f>IF(OR(ROW(AE29)-5=AE$1,ROW(AE29)-5=AE$1+1),VLOOKUP(AE$3,Summary!$B$2:$L$35,3,FALSE),0)</f>
        <v>0</v>
      </c>
      <c r="AF29" s="331" t="e">
        <f t="shared" ca="1" si="5"/>
        <v>#N/A</v>
      </c>
    </row>
    <row r="30" spans="1:32">
      <c r="A30" s="259">
        <f ca="1">OFFSET(Summary!$I$2,TRUNC((ROW(A30)-ROW($A$7))/3,0),0)/1000</f>
        <v>84.540256043741579</v>
      </c>
      <c r="B30" s="259">
        <f>IF(OR(ROW(B30)-5=B$1,ROW(B30)-5=B$1+1),VLOOKUP(B$3,Summary!$B$2:$L$35,3,FALSE),0)</f>
        <v>0</v>
      </c>
      <c r="C30" s="259">
        <f>IF(OR(ROW(C30)-5=C$1,ROW(C30)-5=C$1+1),VLOOKUP(C$3,Summary!$B$2:$L$35,3,FALSE),0)</f>
        <v>0</v>
      </c>
      <c r="D30" s="259">
        <f>IF(OR(ROW(D30)-5=D$1,ROW(D30)-5=D$1+1),VLOOKUP(D$3,Summary!$B$2:$L$35,3,FALSE),0)</f>
        <v>0</v>
      </c>
      <c r="E30" s="259">
        <f>IF(OR(ROW(E30)-5=E$1,ROW(E30)-5=E$1+1),VLOOKUP(E$3,Summary!$B$2:$L$35,3,FALSE),0)</f>
        <v>0</v>
      </c>
      <c r="F30" s="259">
        <f>IF(OR(ROW(F30)-5=F$1,ROW(F30)-5=F$1+1),VLOOKUP(F$3,Summary!$B$2:$L$35,3,FALSE),0)</f>
        <v>0</v>
      </c>
      <c r="G30" s="259">
        <f>IF(OR(ROW(G30)-5=G$1,ROW(G30)-5=G$1+1),VLOOKUP(G$3,Summary!$B$2:$L$35,3,FALSE),0)</f>
        <v>0</v>
      </c>
      <c r="H30" s="259">
        <f>IF(OR(ROW(H30)-5=H$1,ROW(H30)-5=H$1+1),VLOOKUP(H$3,Summary!$B$2:$L$35,3,FALSE),0)</f>
        <v>0</v>
      </c>
      <c r="I30" s="259">
        <f>IF(OR(ROW(I30)-5=I$1,ROW(I30)-5=I$1+1),VLOOKUP(I$3,Summary!$B$2:$L$35,3,FALSE),0)</f>
        <v>0</v>
      </c>
      <c r="J30" s="259">
        <f ca="1">IF(OR(ROW(J30)-5=J$1,ROW(J30)-5=J$1+1),VLOOKUP(J$3,Summary!$B$2:$L$35,3,FALSE),0)</f>
        <v>-68.286883813284135</v>
      </c>
      <c r="K30" s="259">
        <f>IF(OR(ROW(K30)-5=K$1,ROW(K30)-5=K$1+1),VLOOKUP(K$3,Summary!$B$2:$L$35,3,FALSE),0)</f>
        <v>0</v>
      </c>
      <c r="L30" s="259">
        <f>IF(OR(ROW(L30)-5=L$1,ROW(L30)-5=L$1+1),VLOOKUP(L$3,Summary!$B$2:$L$35,3,FALSE),0)</f>
        <v>0</v>
      </c>
      <c r="M30" s="259">
        <f>IF(OR(ROW(M30)-5=M$1,ROW(M30)-5=M$1+1),VLOOKUP(M$3,Summary!$B$2:$L$35,3,FALSE),0)</f>
        <v>0</v>
      </c>
      <c r="N30" s="259">
        <f>IF(OR(ROW(N30)-5=N$1,ROW(N30)-5=N$1+1),VLOOKUP(N$3,Summary!$B$2:$L$35,3,FALSE),0)</f>
        <v>0</v>
      </c>
      <c r="O30" s="259">
        <f>IF(OR(ROW(O30)-5=O$1,ROW(O30)-5=O$1+1),VLOOKUP(O$3,Summary!$B$2:$L$35,3,FALSE),0)</f>
        <v>0</v>
      </c>
      <c r="P30" s="259">
        <f>IF(OR(ROW(P30)-5=P$1,ROW(P30)-5=P$1+1),VLOOKUP(P$3,Summary!$B$2:$L$35,3,FALSE),0)</f>
        <v>0</v>
      </c>
      <c r="Q30" s="259">
        <f>IF(OR(ROW(Q30)-5=Q$1,ROW(Q30)-5=Q$1+1),VLOOKUP(Q$3,Summary!$B$2:$L$35,3,FALSE),0)</f>
        <v>0</v>
      </c>
      <c r="R30" s="259">
        <f>IF(OR(ROW(R30)-5=R$1,ROW(R30)-5=R$1+1),VLOOKUP(R$3,Summary!$B$2:$L$35,3,FALSE),0)</f>
        <v>0</v>
      </c>
      <c r="S30" s="259">
        <f>IF(OR(ROW(S30)-5=S$1,ROW(S30)-5=S$1+1),VLOOKUP(S$3,Summary!$B$2:$L$35,3,FALSE),0)</f>
        <v>0</v>
      </c>
      <c r="T30" s="259">
        <f>IF(OR(ROW(T30)-5=T$1,ROW(T30)-5=T$1+1),VLOOKUP(T$3,Summary!$B$2:$L$35,3,FALSE),0)</f>
        <v>0</v>
      </c>
      <c r="U30" s="259">
        <f>IF(OR(ROW(U30)-5=U$1,ROW(U30)-5=U$1+1),VLOOKUP(U$3,Summary!$B$2:$L$35,3,FALSE),0)</f>
        <v>0</v>
      </c>
      <c r="V30" s="259">
        <f>IF(OR(ROW(V30)-5=V$1,ROW(V30)-5=V$1+1),VLOOKUP(V$3,Summary!$B$2:$L$35,3,FALSE),0)</f>
        <v>0</v>
      </c>
      <c r="W30" s="259">
        <f>IF(OR(ROW(W30)-5=W$1,ROW(W30)-5=W$1+1),VLOOKUP(W$3,Summary!$B$2:$L$35,3,FALSE),0)</f>
        <v>0</v>
      </c>
      <c r="X30" s="259">
        <f>IF(OR(ROW(X30)-5=X$1,ROW(X30)-5=X$1+1),VLOOKUP(X$3,Summary!$B$2:$L$35,3,FALSE),0)</f>
        <v>0</v>
      </c>
      <c r="Y30" s="259">
        <f>IF(OR(ROW(Y30)-5=Y$1,ROW(Y30)-5=Y$1+1),VLOOKUP(Y$3,Summary!$B$2:$L$35,3,FALSE),0)</f>
        <v>0</v>
      </c>
      <c r="Z30" s="259">
        <f>IF(OR(ROW(Z30)-5=Z$1,ROW(Z30)-5=Z$1+1),VLOOKUP(Z$3,Summary!$B$2:$L$35,3,FALSE),0)</f>
        <v>0</v>
      </c>
      <c r="AA30" s="259">
        <f>IF(OR(ROW(AA30)-5=AA$1,ROW(AA30)-5=AA$1+1),VLOOKUP(AA$3,Summary!$B$2:$L$35,3,FALSE),0)</f>
        <v>0</v>
      </c>
      <c r="AB30" s="259">
        <f>IF(OR(ROW(AB30)-5=AB$1,ROW(AB30)-5=AB$1+1),VLOOKUP(AB$3,Summary!$B$2:$L$35,3,FALSE),0)</f>
        <v>0</v>
      </c>
      <c r="AC30" s="259">
        <f>IF(OR(ROW(AC30)-5=AC$1,ROW(AC30)-5=AC$1+1),VLOOKUP(AC$3,Summary!$B$2:$L$35,3,FALSE),0)</f>
        <v>0</v>
      </c>
      <c r="AD30" s="259">
        <f>IF(OR(ROW(AD30)-5=AD$1,ROW(AD30)-5=AD$1+1),VLOOKUP(AD$3,Summary!$B$2:$L$35,3,FALSE),0)</f>
        <v>0</v>
      </c>
      <c r="AE30" s="259">
        <f>IF(OR(ROW(AE30)-5=AE$1,ROW(AE30)-5=AE$1+1),VLOOKUP(AE$3,Summary!$B$2:$L$35,3,FALSE),0)</f>
        <v>0</v>
      </c>
      <c r="AF30" s="331">
        <f t="shared" ca="1" si="5"/>
        <v>-136.14906242244243</v>
      </c>
    </row>
    <row r="31" spans="1:32">
      <c r="A31" s="259">
        <f ca="1">OFFSET(Summary!$I$2,TRUNC((ROW(A31)-ROW($A$7))/3,0),0)/1000</f>
        <v>90.073193508816544</v>
      </c>
      <c r="B31" s="259">
        <f>IF(OR(ROW(B31)-5=B$1,ROW(B31)-5=B$1+1),VLOOKUP(B$3,Summary!$B$2:$L$35,3,FALSE),0)</f>
        <v>0</v>
      </c>
      <c r="C31" s="259">
        <f>IF(OR(ROW(C31)-5=C$1,ROW(C31)-5=C$1+1),VLOOKUP(C$3,Summary!$B$2:$L$35,3,FALSE),0)</f>
        <v>0</v>
      </c>
      <c r="D31" s="259">
        <f>IF(OR(ROW(D31)-5=D$1,ROW(D31)-5=D$1+1),VLOOKUP(D$3,Summary!$B$2:$L$35,3,FALSE),0)</f>
        <v>0</v>
      </c>
      <c r="E31" s="259">
        <f>IF(OR(ROW(E31)-5=E$1,ROW(E31)-5=E$1+1),VLOOKUP(E$3,Summary!$B$2:$L$35,3,FALSE),0)</f>
        <v>0</v>
      </c>
      <c r="F31" s="259">
        <f>IF(OR(ROW(F31)-5=F$1,ROW(F31)-5=F$1+1),VLOOKUP(F$3,Summary!$B$2:$L$35,3,FALSE),0)</f>
        <v>0</v>
      </c>
      <c r="G31" s="259">
        <f>IF(OR(ROW(G31)-5=G$1,ROW(G31)-5=G$1+1),VLOOKUP(G$3,Summary!$B$2:$L$35,3,FALSE),0)</f>
        <v>0</v>
      </c>
      <c r="H31" s="259">
        <f>IF(OR(ROW(H31)-5=H$1,ROW(H31)-5=H$1+1),VLOOKUP(H$3,Summary!$B$2:$L$35,3,FALSE),0)</f>
        <v>0</v>
      </c>
      <c r="I31" s="259">
        <f>IF(OR(ROW(I31)-5=I$1,ROW(I31)-5=I$1+1),VLOOKUP(I$3,Summary!$B$2:$L$35,3,FALSE),0)</f>
        <v>0</v>
      </c>
      <c r="J31" s="259">
        <f ca="1">IF(OR(ROW(J31)-5=J$1,ROW(J31)-5=J$1+1),VLOOKUP(J$3,Summary!$B$2:$L$35,3,FALSE),0)</f>
        <v>-68.286883813284135</v>
      </c>
      <c r="K31" s="259">
        <f>IF(OR(ROW(K31)-5=K$1,ROW(K31)-5=K$1+1),VLOOKUP(K$3,Summary!$B$2:$L$35,3,FALSE),0)</f>
        <v>0</v>
      </c>
      <c r="L31" s="259">
        <f>IF(OR(ROW(L31)-5=L$1,ROW(L31)-5=L$1+1),VLOOKUP(L$3,Summary!$B$2:$L$35,3,FALSE),0)</f>
        <v>0</v>
      </c>
      <c r="M31" s="259">
        <f>IF(OR(ROW(M31)-5=M$1,ROW(M31)-5=M$1+1),VLOOKUP(M$3,Summary!$B$2:$L$35,3,FALSE),0)</f>
        <v>0</v>
      </c>
      <c r="N31" s="259">
        <f>IF(OR(ROW(N31)-5=N$1,ROW(N31)-5=N$1+1),VLOOKUP(N$3,Summary!$B$2:$L$35,3,FALSE),0)</f>
        <v>0</v>
      </c>
      <c r="O31" s="259">
        <f>IF(OR(ROW(O31)-5=O$1,ROW(O31)-5=O$1+1),VLOOKUP(O$3,Summary!$B$2:$L$35,3,FALSE),0)</f>
        <v>0</v>
      </c>
      <c r="P31" s="259">
        <f>IF(OR(ROW(P31)-5=P$1,ROW(P31)-5=P$1+1),VLOOKUP(P$3,Summary!$B$2:$L$35,3,FALSE),0)</f>
        <v>0</v>
      </c>
      <c r="Q31" s="259">
        <f>IF(OR(ROW(Q31)-5=Q$1,ROW(Q31)-5=Q$1+1),VLOOKUP(Q$3,Summary!$B$2:$L$35,3,FALSE),0)</f>
        <v>0</v>
      </c>
      <c r="R31" s="259">
        <f>IF(OR(ROW(R31)-5=R$1,ROW(R31)-5=R$1+1),VLOOKUP(R$3,Summary!$B$2:$L$35,3,FALSE),0)</f>
        <v>0</v>
      </c>
      <c r="S31" s="259">
        <f>IF(OR(ROW(S31)-5=S$1,ROW(S31)-5=S$1+1),VLOOKUP(S$3,Summary!$B$2:$L$35,3,FALSE),0)</f>
        <v>0</v>
      </c>
      <c r="T31" s="259">
        <f>IF(OR(ROW(T31)-5=T$1,ROW(T31)-5=T$1+1),VLOOKUP(T$3,Summary!$B$2:$L$35,3,FALSE),0)</f>
        <v>0</v>
      </c>
      <c r="U31" s="259">
        <f>IF(OR(ROW(U31)-5=U$1,ROW(U31)-5=U$1+1),VLOOKUP(U$3,Summary!$B$2:$L$35,3,FALSE),0)</f>
        <v>0</v>
      </c>
      <c r="V31" s="259">
        <f>IF(OR(ROW(V31)-5=V$1,ROW(V31)-5=V$1+1),VLOOKUP(V$3,Summary!$B$2:$L$35,3,FALSE),0)</f>
        <v>0</v>
      </c>
      <c r="W31" s="259">
        <f>IF(OR(ROW(W31)-5=W$1,ROW(W31)-5=W$1+1),VLOOKUP(W$3,Summary!$B$2:$L$35,3,FALSE),0)</f>
        <v>0</v>
      </c>
      <c r="X31" s="259">
        <f>IF(OR(ROW(X31)-5=X$1,ROW(X31)-5=X$1+1),VLOOKUP(X$3,Summary!$B$2:$L$35,3,FALSE),0)</f>
        <v>0</v>
      </c>
      <c r="Y31" s="259">
        <f>IF(OR(ROW(Y31)-5=Y$1,ROW(Y31)-5=Y$1+1),VLOOKUP(Y$3,Summary!$B$2:$L$35,3,FALSE),0)</f>
        <v>0</v>
      </c>
      <c r="Z31" s="259">
        <f>IF(OR(ROW(Z31)-5=Z$1,ROW(Z31)-5=Z$1+1),VLOOKUP(Z$3,Summary!$B$2:$L$35,3,FALSE),0)</f>
        <v>0</v>
      </c>
      <c r="AA31" s="259">
        <f>IF(OR(ROW(AA31)-5=AA$1,ROW(AA31)-5=AA$1+1),VLOOKUP(AA$3,Summary!$B$2:$L$35,3,FALSE),0)</f>
        <v>0</v>
      </c>
      <c r="AB31" s="259">
        <f>IF(OR(ROW(AB31)-5=AB$1,ROW(AB31)-5=AB$1+1),VLOOKUP(AB$3,Summary!$B$2:$L$35,3,FALSE),0)</f>
        <v>0</v>
      </c>
      <c r="AC31" s="259">
        <f>IF(OR(ROW(AC31)-5=AC$1,ROW(AC31)-5=AC$1+1),VLOOKUP(AC$3,Summary!$B$2:$L$35,3,FALSE),0)</f>
        <v>0</v>
      </c>
      <c r="AD31" s="259">
        <f>IF(OR(ROW(AD31)-5=AD$1,ROW(AD31)-5=AD$1+1),VLOOKUP(AD$3,Summary!$B$2:$L$35,3,FALSE),0)</f>
        <v>0</v>
      </c>
      <c r="AE31" s="259">
        <f>IF(OR(ROW(AE31)-5=AE$1,ROW(AE31)-5=AE$1+1),VLOOKUP(AE$3,Summary!$B$2:$L$35,3,FALSE),0)</f>
        <v>0</v>
      </c>
      <c r="AF31" s="331">
        <f t="shared" ca="1" si="5"/>
        <v>-136.14906242244243</v>
      </c>
    </row>
    <row r="32" spans="1:32">
      <c r="A32" s="259">
        <f ca="1">OFFSET(Summary!$I$2,TRUNC((ROW(A32)-ROW($A$7))/3,0),0)/1000</f>
        <v>90.073193508816544</v>
      </c>
      <c r="B32" s="259">
        <f>IF(OR(ROW(B32)-5=B$1,ROW(B32)-5=B$1+1),VLOOKUP(B$3,Summary!$B$2:$L$35,3,FALSE),0)</f>
        <v>0</v>
      </c>
      <c r="C32" s="259">
        <f>IF(OR(ROW(C32)-5=C$1,ROW(C32)-5=C$1+1),VLOOKUP(C$3,Summary!$B$2:$L$35,3,FALSE),0)</f>
        <v>0</v>
      </c>
      <c r="D32" s="259">
        <f>IF(OR(ROW(D32)-5=D$1,ROW(D32)-5=D$1+1),VLOOKUP(D$3,Summary!$B$2:$L$35,3,FALSE),0)</f>
        <v>0</v>
      </c>
      <c r="E32" s="259">
        <f>IF(OR(ROW(E32)-5=E$1,ROW(E32)-5=E$1+1),VLOOKUP(E$3,Summary!$B$2:$L$35,3,FALSE),0)</f>
        <v>0</v>
      </c>
      <c r="F32" s="259">
        <f>IF(OR(ROW(F32)-5=F$1,ROW(F32)-5=F$1+1),VLOOKUP(F$3,Summary!$B$2:$L$35,3,FALSE),0)</f>
        <v>0</v>
      </c>
      <c r="G32" s="259">
        <f>IF(OR(ROW(G32)-5=G$1,ROW(G32)-5=G$1+1),VLOOKUP(G$3,Summary!$B$2:$L$35,3,FALSE),0)</f>
        <v>0</v>
      </c>
      <c r="H32" s="259">
        <f>IF(OR(ROW(H32)-5=H$1,ROW(H32)-5=H$1+1),VLOOKUP(H$3,Summary!$B$2:$L$35,3,FALSE),0)</f>
        <v>0</v>
      </c>
      <c r="I32" s="259">
        <f>IF(OR(ROW(I32)-5=I$1,ROW(I32)-5=I$1+1),VLOOKUP(I$3,Summary!$B$2:$L$35,3,FALSE),0)</f>
        <v>0</v>
      </c>
      <c r="J32" s="259">
        <f>IF(OR(ROW(J32)-5=J$1,ROW(J32)-5=J$1+1),VLOOKUP(J$3,Summary!$B$2:$L$35,3,FALSE),0)</f>
        <v>0</v>
      </c>
      <c r="K32" s="259">
        <f>IF(OR(ROW(K32)-5=K$1,ROW(K32)-5=K$1+1),VLOOKUP(K$3,Summary!$B$2:$L$35,3,FALSE),0)</f>
        <v>0</v>
      </c>
      <c r="L32" s="259">
        <f>IF(OR(ROW(L32)-5=L$1,ROW(L32)-5=L$1+1),VLOOKUP(L$3,Summary!$B$2:$L$35,3,FALSE),0)</f>
        <v>0</v>
      </c>
      <c r="M32" s="259">
        <f>IF(OR(ROW(M32)-5=M$1,ROW(M32)-5=M$1+1),VLOOKUP(M$3,Summary!$B$2:$L$35,3,FALSE),0)</f>
        <v>0</v>
      </c>
      <c r="N32" s="259">
        <f>IF(OR(ROW(N32)-5=N$1,ROW(N32)-5=N$1+1),VLOOKUP(N$3,Summary!$B$2:$L$35,3,FALSE),0)</f>
        <v>0</v>
      </c>
      <c r="O32" s="259">
        <f>IF(OR(ROW(O32)-5=O$1,ROW(O32)-5=O$1+1),VLOOKUP(O$3,Summary!$B$2:$L$35,3,FALSE),0)</f>
        <v>0</v>
      </c>
      <c r="P32" s="259">
        <f>IF(OR(ROW(P32)-5=P$1,ROW(P32)-5=P$1+1),VLOOKUP(P$3,Summary!$B$2:$L$35,3,FALSE),0)</f>
        <v>0</v>
      </c>
      <c r="Q32" s="259">
        <f>IF(OR(ROW(Q32)-5=Q$1,ROW(Q32)-5=Q$1+1),VLOOKUP(Q$3,Summary!$B$2:$L$35,3,FALSE),0)</f>
        <v>0</v>
      </c>
      <c r="R32" s="259">
        <f>IF(OR(ROW(R32)-5=R$1,ROW(R32)-5=R$1+1),VLOOKUP(R$3,Summary!$B$2:$L$35,3,FALSE),0)</f>
        <v>0</v>
      </c>
      <c r="S32" s="259">
        <f>IF(OR(ROW(S32)-5=S$1,ROW(S32)-5=S$1+1),VLOOKUP(S$3,Summary!$B$2:$L$35,3,FALSE),0)</f>
        <v>0</v>
      </c>
      <c r="T32" s="259">
        <f>IF(OR(ROW(T32)-5=T$1,ROW(T32)-5=T$1+1),VLOOKUP(T$3,Summary!$B$2:$L$35,3,FALSE),0)</f>
        <v>0</v>
      </c>
      <c r="U32" s="259">
        <f>IF(OR(ROW(U32)-5=U$1,ROW(U32)-5=U$1+1),VLOOKUP(U$3,Summary!$B$2:$L$35,3,FALSE),0)</f>
        <v>0</v>
      </c>
      <c r="V32" s="259">
        <f>IF(OR(ROW(V32)-5=V$1,ROW(V32)-5=V$1+1),VLOOKUP(V$3,Summary!$B$2:$L$35,3,FALSE),0)</f>
        <v>0</v>
      </c>
      <c r="W32" s="259">
        <f>IF(OR(ROW(W32)-5=W$1,ROW(W32)-5=W$1+1),VLOOKUP(W$3,Summary!$B$2:$L$35,3,FALSE),0)</f>
        <v>0</v>
      </c>
      <c r="X32" s="259">
        <f>IF(OR(ROW(X32)-5=X$1,ROW(X32)-5=X$1+1),VLOOKUP(X$3,Summary!$B$2:$L$35,3,FALSE),0)</f>
        <v>0</v>
      </c>
      <c r="Y32" s="259">
        <f>IF(OR(ROW(Y32)-5=Y$1,ROW(Y32)-5=Y$1+1),VLOOKUP(Y$3,Summary!$B$2:$L$35,3,FALSE),0)</f>
        <v>0</v>
      </c>
      <c r="Z32" s="259">
        <f>IF(OR(ROW(Z32)-5=Z$1,ROW(Z32)-5=Z$1+1),VLOOKUP(Z$3,Summary!$B$2:$L$35,3,FALSE),0)</f>
        <v>0</v>
      </c>
      <c r="AA32" s="259">
        <f>IF(OR(ROW(AA32)-5=AA$1,ROW(AA32)-5=AA$1+1),VLOOKUP(AA$3,Summary!$B$2:$L$35,3,FALSE),0)</f>
        <v>0</v>
      </c>
      <c r="AB32" s="259">
        <f>IF(OR(ROW(AB32)-5=AB$1,ROW(AB32)-5=AB$1+1),VLOOKUP(AB$3,Summary!$B$2:$L$35,3,FALSE),0)</f>
        <v>0</v>
      </c>
      <c r="AC32" s="259">
        <f>IF(OR(ROW(AC32)-5=AC$1,ROW(AC32)-5=AC$1+1),VLOOKUP(AC$3,Summary!$B$2:$L$35,3,FALSE),0)</f>
        <v>0</v>
      </c>
      <c r="AD32" s="259">
        <f>IF(OR(ROW(AD32)-5=AD$1,ROW(AD32)-5=AD$1+1),VLOOKUP(AD$3,Summary!$B$2:$L$35,3,FALSE),0)</f>
        <v>0</v>
      </c>
      <c r="AE32" s="259">
        <f>IF(OR(ROW(AE32)-5=AE$1,ROW(AE32)-5=AE$1+1),VLOOKUP(AE$3,Summary!$B$2:$L$35,3,FALSE),0)</f>
        <v>0</v>
      </c>
      <c r="AF32" s="331" t="e">
        <f t="shared" ca="1" si="5"/>
        <v>#N/A</v>
      </c>
    </row>
    <row r="33" spans="1:32">
      <c r="A33" s="259">
        <f ca="1">OFFSET(Summary!$I$2,TRUNC((ROW(A33)-ROW($A$7))/3,0),0)/1000</f>
        <v>90.073193508816544</v>
      </c>
      <c r="B33" s="259">
        <f>IF(OR(ROW(B33)-5=B$1,ROW(B33)-5=B$1+1),VLOOKUP(B$3,Summary!$B$2:$L$35,3,FALSE),0)</f>
        <v>0</v>
      </c>
      <c r="C33" s="259">
        <f>IF(OR(ROW(C33)-5=C$1,ROW(C33)-5=C$1+1),VLOOKUP(C$3,Summary!$B$2:$L$35,3,FALSE),0)</f>
        <v>0</v>
      </c>
      <c r="D33" s="259">
        <f>IF(OR(ROW(D33)-5=D$1,ROW(D33)-5=D$1+1),VLOOKUP(D$3,Summary!$B$2:$L$35,3,FALSE),0)</f>
        <v>0</v>
      </c>
      <c r="E33" s="259">
        <f>IF(OR(ROW(E33)-5=E$1,ROW(E33)-5=E$1+1),VLOOKUP(E$3,Summary!$B$2:$L$35,3,FALSE),0)</f>
        <v>0</v>
      </c>
      <c r="F33" s="259">
        <f>IF(OR(ROW(F33)-5=F$1,ROW(F33)-5=F$1+1),VLOOKUP(F$3,Summary!$B$2:$L$35,3,FALSE),0)</f>
        <v>0</v>
      </c>
      <c r="G33" s="259">
        <f>IF(OR(ROW(G33)-5=G$1,ROW(G33)-5=G$1+1),VLOOKUP(G$3,Summary!$B$2:$L$35,3,FALSE),0)</f>
        <v>0</v>
      </c>
      <c r="H33" s="259">
        <f>IF(OR(ROW(H33)-5=H$1,ROW(H33)-5=H$1+1),VLOOKUP(H$3,Summary!$B$2:$L$35,3,FALSE),0)</f>
        <v>0</v>
      </c>
      <c r="I33" s="259">
        <f>IF(OR(ROW(I33)-5=I$1,ROW(I33)-5=I$1+1),VLOOKUP(I$3,Summary!$B$2:$L$35,3,FALSE),0)</f>
        <v>0</v>
      </c>
      <c r="J33" s="259">
        <f>IF(OR(ROW(J33)-5=J$1,ROW(J33)-5=J$1+1),VLOOKUP(J$3,Summary!$B$2:$L$35,3,FALSE),0)</f>
        <v>0</v>
      </c>
      <c r="K33" s="259">
        <f ca="1">IF(OR(ROW(K33)-5=K$1,ROW(K33)-5=K$1+1),VLOOKUP(K$3,Summary!$B$2:$L$35,3,FALSE),0)</f>
        <v>-62.686548806655011</v>
      </c>
      <c r="L33" s="259">
        <f>IF(OR(ROW(L33)-5=L$1,ROW(L33)-5=L$1+1),VLOOKUP(L$3,Summary!$B$2:$L$35,3,FALSE),0)</f>
        <v>0</v>
      </c>
      <c r="M33" s="259">
        <f>IF(OR(ROW(M33)-5=M$1,ROW(M33)-5=M$1+1),VLOOKUP(M$3,Summary!$B$2:$L$35,3,FALSE),0)</f>
        <v>0</v>
      </c>
      <c r="N33" s="259">
        <f>IF(OR(ROW(N33)-5=N$1,ROW(N33)-5=N$1+1),VLOOKUP(N$3,Summary!$B$2:$L$35,3,FALSE),0)</f>
        <v>0</v>
      </c>
      <c r="O33" s="259">
        <f>IF(OR(ROW(O33)-5=O$1,ROW(O33)-5=O$1+1),VLOOKUP(O$3,Summary!$B$2:$L$35,3,FALSE),0)</f>
        <v>0</v>
      </c>
      <c r="P33" s="259">
        <f>IF(OR(ROW(P33)-5=P$1,ROW(P33)-5=P$1+1),VLOOKUP(P$3,Summary!$B$2:$L$35,3,FALSE),0)</f>
        <v>0</v>
      </c>
      <c r="Q33" s="259">
        <f>IF(OR(ROW(Q33)-5=Q$1,ROW(Q33)-5=Q$1+1),VLOOKUP(Q$3,Summary!$B$2:$L$35,3,FALSE),0)</f>
        <v>0</v>
      </c>
      <c r="R33" s="259">
        <f>IF(OR(ROW(R33)-5=R$1,ROW(R33)-5=R$1+1),VLOOKUP(R$3,Summary!$B$2:$L$35,3,FALSE),0)</f>
        <v>0</v>
      </c>
      <c r="S33" s="259">
        <f>IF(OR(ROW(S33)-5=S$1,ROW(S33)-5=S$1+1),VLOOKUP(S$3,Summary!$B$2:$L$35,3,FALSE),0)</f>
        <v>0</v>
      </c>
      <c r="T33" s="259">
        <f>IF(OR(ROW(T33)-5=T$1,ROW(T33)-5=T$1+1),VLOOKUP(T$3,Summary!$B$2:$L$35,3,FALSE),0)</f>
        <v>0</v>
      </c>
      <c r="U33" s="259">
        <f>IF(OR(ROW(U33)-5=U$1,ROW(U33)-5=U$1+1),VLOOKUP(U$3,Summary!$B$2:$L$35,3,FALSE),0)</f>
        <v>0</v>
      </c>
      <c r="V33" s="259">
        <f>IF(OR(ROW(V33)-5=V$1,ROW(V33)-5=V$1+1),VLOOKUP(V$3,Summary!$B$2:$L$35,3,FALSE),0)</f>
        <v>0</v>
      </c>
      <c r="W33" s="259">
        <f>IF(OR(ROW(W33)-5=W$1,ROW(W33)-5=W$1+1),VLOOKUP(W$3,Summary!$B$2:$L$35,3,FALSE),0)</f>
        <v>0</v>
      </c>
      <c r="X33" s="259">
        <f>IF(OR(ROW(X33)-5=X$1,ROW(X33)-5=X$1+1),VLOOKUP(X$3,Summary!$B$2:$L$35,3,FALSE),0)</f>
        <v>0</v>
      </c>
      <c r="Y33" s="259">
        <f>IF(OR(ROW(Y33)-5=Y$1,ROW(Y33)-5=Y$1+1),VLOOKUP(Y$3,Summary!$B$2:$L$35,3,FALSE),0)</f>
        <v>0</v>
      </c>
      <c r="Z33" s="259">
        <f>IF(OR(ROW(Z33)-5=Z$1,ROW(Z33)-5=Z$1+1),VLOOKUP(Z$3,Summary!$B$2:$L$35,3,FALSE),0)</f>
        <v>0</v>
      </c>
      <c r="AA33" s="259">
        <f>IF(OR(ROW(AA33)-5=AA$1,ROW(AA33)-5=AA$1+1),VLOOKUP(AA$3,Summary!$B$2:$L$35,3,FALSE),0)</f>
        <v>0</v>
      </c>
      <c r="AB33" s="259">
        <f>IF(OR(ROW(AB33)-5=AB$1,ROW(AB33)-5=AB$1+1),VLOOKUP(AB$3,Summary!$B$2:$L$35,3,FALSE),0)</f>
        <v>0</v>
      </c>
      <c r="AC33" s="259">
        <f>IF(OR(ROW(AC33)-5=AC$1,ROW(AC33)-5=AC$1+1),VLOOKUP(AC$3,Summary!$B$2:$L$35,3,FALSE),0)</f>
        <v>0</v>
      </c>
      <c r="AD33" s="259">
        <f>IF(OR(ROW(AD33)-5=AD$1,ROW(AD33)-5=AD$1+1),VLOOKUP(AD$3,Summary!$B$2:$L$35,3,FALSE),0)</f>
        <v>0</v>
      </c>
      <c r="AE33" s="259">
        <f>IF(OR(ROW(AE33)-5=AE$1,ROW(AE33)-5=AE$1+1),VLOOKUP(AE$3,Summary!$B$2:$L$35,3,FALSE),0)</f>
        <v>0</v>
      </c>
      <c r="AF33" s="331">
        <f t="shared" ca="1" si="5"/>
        <v>-108.33339435312411</v>
      </c>
    </row>
    <row r="34" spans="1:32">
      <c r="A34" s="259">
        <f ca="1">OFFSET(Summary!$I$2,TRUNC((ROW(A34)-ROW($A$7))/3,0),0)/1000</f>
        <v>103.45769233448128</v>
      </c>
      <c r="B34" s="259">
        <f>IF(OR(ROW(B34)-5=B$1,ROW(B34)-5=B$1+1),VLOOKUP(B$3,Summary!$B$2:$L$35,3,FALSE),0)</f>
        <v>0</v>
      </c>
      <c r="C34" s="259">
        <f>IF(OR(ROW(C34)-5=C$1,ROW(C34)-5=C$1+1),VLOOKUP(C$3,Summary!$B$2:$L$35,3,FALSE),0)</f>
        <v>0</v>
      </c>
      <c r="D34" s="259">
        <f>IF(OR(ROW(D34)-5=D$1,ROW(D34)-5=D$1+1),VLOOKUP(D$3,Summary!$B$2:$L$35,3,FALSE),0)</f>
        <v>0</v>
      </c>
      <c r="E34" s="259">
        <f>IF(OR(ROW(E34)-5=E$1,ROW(E34)-5=E$1+1),VLOOKUP(E$3,Summary!$B$2:$L$35,3,FALSE),0)</f>
        <v>0</v>
      </c>
      <c r="F34" s="259">
        <f>IF(OR(ROW(F34)-5=F$1,ROW(F34)-5=F$1+1),VLOOKUP(F$3,Summary!$B$2:$L$35,3,FALSE),0)</f>
        <v>0</v>
      </c>
      <c r="G34" s="259">
        <f>IF(OR(ROW(G34)-5=G$1,ROW(G34)-5=G$1+1),VLOOKUP(G$3,Summary!$B$2:$L$35,3,FALSE),0)</f>
        <v>0</v>
      </c>
      <c r="H34" s="259">
        <f>IF(OR(ROW(H34)-5=H$1,ROW(H34)-5=H$1+1),VLOOKUP(H$3,Summary!$B$2:$L$35,3,FALSE),0)</f>
        <v>0</v>
      </c>
      <c r="I34" s="259">
        <f>IF(OR(ROW(I34)-5=I$1,ROW(I34)-5=I$1+1),VLOOKUP(I$3,Summary!$B$2:$L$35,3,FALSE),0)</f>
        <v>0</v>
      </c>
      <c r="J34" s="259">
        <f>IF(OR(ROW(J34)-5=J$1,ROW(J34)-5=J$1+1),VLOOKUP(J$3,Summary!$B$2:$L$35,3,FALSE),0)</f>
        <v>0</v>
      </c>
      <c r="K34" s="259">
        <f ca="1">IF(OR(ROW(K34)-5=K$1,ROW(K34)-5=K$1+1),VLOOKUP(K$3,Summary!$B$2:$L$35,3,FALSE),0)</f>
        <v>-62.686548806655011</v>
      </c>
      <c r="L34" s="259">
        <f>IF(OR(ROW(L34)-5=L$1,ROW(L34)-5=L$1+1),VLOOKUP(L$3,Summary!$B$2:$L$35,3,FALSE),0)</f>
        <v>0</v>
      </c>
      <c r="M34" s="259">
        <f>IF(OR(ROW(M34)-5=M$1,ROW(M34)-5=M$1+1),VLOOKUP(M$3,Summary!$B$2:$L$35,3,FALSE),0)</f>
        <v>0</v>
      </c>
      <c r="N34" s="259">
        <f>IF(OR(ROW(N34)-5=N$1,ROW(N34)-5=N$1+1),VLOOKUP(N$3,Summary!$B$2:$L$35,3,FALSE),0)</f>
        <v>0</v>
      </c>
      <c r="O34" s="259">
        <f>IF(OR(ROW(O34)-5=O$1,ROW(O34)-5=O$1+1),VLOOKUP(O$3,Summary!$B$2:$L$35,3,FALSE),0)</f>
        <v>0</v>
      </c>
      <c r="P34" s="259">
        <f>IF(OR(ROW(P34)-5=P$1,ROW(P34)-5=P$1+1),VLOOKUP(P$3,Summary!$B$2:$L$35,3,FALSE),0)</f>
        <v>0</v>
      </c>
      <c r="Q34" s="259">
        <f>IF(OR(ROW(Q34)-5=Q$1,ROW(Q34)-5=Q$1+1),VLOOKUP(Q$3,Summary!$B$2:$L$35,3,FALSE),0)</f>
        <v>0</v>
      </c>
      <c r="R34" s="259">
        <f>IF(OR(ROW(R34)-5=R$1,ROW(R34)-5=R$1+1),VLOOKUP(R$3,Summary!$B$2:$L$35,3,FALSE),0)</f>
        <v>0</v>
      </c>
      <c r="S34" s="259">
        <f>IF(OR(ROW(S34)-5=S$1,ROW(S34)-5=S$1+1),VLOOKUP(S$3,Summary!$B$2:$L$35,3,FALSE),0)</f>
        <v>0</v>
      </c>
      <c r="T34" s="259">
        <f>IF(OR(ROW(T34)-5=T$1,ROW(T34)-5=T$1+1),VLOOKUP(T$3,Summary!$B$2:$L$35,3,FALSE),0)</f>
        <v>0</v>
      </c>
      <c r="U34" s="259">
        <f>IF(OR(ROW(U34)-5=U$1,ROW(U34)-5=U$1+1),VLOOKUP(U$3,Summary!$B$2:$L$35,3,FALSE),0)</f>
        <v>0</v>
      </c>
      <c r="V34" s="259">
        <f>IF(OR(ROW(V34)-5=V$1,ROW(V34)-5=V$1+1),VLOOKUP(V$3,Summary!$B$2:$L$35,3,FALSE),0)</f>
        <v>0</v>
      </c>
      <c r="W34" s="259">
        <f>IF(OR(ROW(W34)-5=W$1,ROW(W34)-5=W$1+1),VLOOKUP(W$3,Summary!$B$2:$L$35,3,FALSE),0)</f>
        <v>0</v>
      </c>
      <c r="X34" s="259">
        <f>IF(OR(ROW(X34)-5=X$1,ROW(X34)-5=X$1+1),VLOOKUP(X$3,Summary!$B$2:$L$35,3,FALSE),0)</f>
        <v>0</v>
      </c>
      <c r="Y34" s="259">
        <f>IF(OR(ROW(Y34)-5=Y$1,ROW(Y34)-5=Y$1+1),VLOOKUP(Y$3,Summary!$B$2:$L$35,3,FALSE),0)</f>
        <v>0</v>
      </c>
      <c r="Z34" s="259">
        <f>IF(OR(ROW(Z34)-5=Z$1,ROW(Z34)-5=Z$1+1),VLOOKUP(Z$3,Summary!$B$2:$L$35,3,FALSE),0)</f>
        <v>0</v>
      </c>
      <c r="AA34" s="259">
        <f>IF(OR(ROW(AA34)-5=AA$1,ROW(AA34)-5=AA$1+1),VLOOKUP(AA$3,Summary!$B$2:$L$35,3,FALSE),0)</f>
        <v>0</v>
      </c>
      <c r="AB34" s="259">
        <f>IF(OR(ROW(AB34)-5=AB$1,ROW(AB34)-5=AB$1+1),VLOOKUP(AB$3,Summary!$B$2:$L$35,3,FALSE),0)</f>
        <v>0</v>
      </c>
      <c r="AC34" s="259">
        <f>IF(OR(ROW(AC34)-5=AC$1,ROW(AC34)-5=AC$1+1),VLOOKUP(AC$3,Summary!$B$2:$L$35,3,FALSE),0)</f>
        <v>0</v>
      </c>
      <c r="AD34" s="259">
        <f>IF(OR(ROW(AD34)-5=AD$1,ROW(AD34)-5=AD$1+1),VLOOKUP(AD$3,Summary!$B$2:$L$35,3,FALSE),0)</f>
        <v>0</v>
      </c>
      <c r="AE34" s="259">
        <f>IF(OR(ROW(AE34)-5=AE$1,ROW(AE34)-5=AE$1+1),VLOOKUP(AE$3,Summary!$B$2:$L$35,3,FALSE),0)</f>
        <v>0</v>
      </c>
      <c r="AF34" s="331">
        <f t="shared" ca="1" si="5"/>
        <v>-108.33339435312411</v>
      </c>
    </row>
    <row r="35" spans="1:32">
      <c r="A35" s="259">
        <f ca="1">OFFSET(Summary!$I$2,TRUNC((ROW(A35)-ROW($A$7))/3,0),0)/1000</f>
        <v>103.45769233448128</v>
      </c>
      <c r="B35" s="259">
        <f>IF(OR(ROW(B35)-5=B$1,ROW(B35)-5=B$1+1),VLOOKUP(B$3,Summary!$B$2:$L$35,3,FALSE),0)</f>
        <v>0</v>
      </c>
      <c r="C35" s="259">
        <f>IF(OR(ROW(C35)-5=C$1,ROW(C35)-5=C$1+1),VLOOKUP(C$3,Summary!$B$2:$L$35,3,FALSE),0)</f>
        <v>0</v>
      </c>
      <c r="D35" s="259">
        <f>IF(OR(ROW(D35)-5=D$1,ROW(D35)-5=D$1+1),VLOOKUP(D$3,Summary!$B$2:$L$35,3,FALSE),0)</f>
        <v>0</v>
      </c>
      <c r="E35" s="259">
        <f>IF(OR(ROW(E35)-5=E$1,ROW(E35)-5=E$1+1),VLOOKUP(E$3,Summary!$B$2:$L$35,3,FALSE),0)</f>
        <v>0</v>
      </c>
      <c r="F35" s="259">
        <f>IF(OR(ROW(F35)-5=F$1,ROW(F35)-5=F$1+1),VLOOKUP(F$3,Summary!$B$2:$L$35,3,FALSE),0)</f>
        <v>0</v>
      </c>
      <c r="G35" s="259">
        <f>IF(OR(ROW(G35)-5=G$1,ROW(G35)-5=G$1+1),VLOOKUP(G$3,Summary!$B$2:$L$35,3,FALSE),0)</f>
        <v>0</v>
      </c>
      <c r="H35" s="259">
        <f>IF(OR(ROW(H35)-5=H$1,ROW(H35)-5=H$1+1),VLOOKUP(H$3,Summary!$B$2:$L$35,3,FALSE),0)</f>
        <v>0</v>
      </c>
      <c r="I35" s="259">
        <f>IF(OR(ROW(I35)-5=I$1,ROW(I35)-5=I$1+1),VLOOKUP(I$3,Summary!$B$2:$L$35,3,FALSE),0)</f>
        <v>0</v>
      </c>
      <c r="J35" s="259">
        <f>IF(OR(ROW(J35)-5=J$1,ROW(J35)-5=J$1+1),VLOOKUP(J$3,Summary!$B$2:$L$35,3,FALSE),0)</f>
        <v>0</v>
      </c>
      <c r="K35" s="259">
        <f>IF(OR(ROW(K35)-5=K$1,ROW(K35)-5=K$1+1),VLOOKUP(K$3,Summary!$B$2:$L$35,3,FALSE),0)</f>
        <v>0</v>
      </c>
      <c r="L35" s="259">
        <f>IF(OR(ROW(L35)-5=L$1,ROW(L35)-5=L$1+1),VLOOKUP(L$3,Summary!$B$2:$L$35,3,FALSE),0)</f>
        <v>0</v>
      </c>
      <c r="M35" s="259">
        <f>IF(OR(ROW(M35)-5=M$1,ROW(M35)-5=M$1+1),VLOOKUP(M$3,Summary!$B$2:$L$35,3,FALSE),0)</f>
        <v>0</v>
      </c>
      <c r="N35" s="259">
        <f>IF(OR(ROW(N35)-5=N$1,ROW(N35)-5=N$1+1),VLOOKUP(N$3,Summary!$B$2:$L$35,3,FALSE),0)</f>
        <v>0</v>
      </c>
      <c r="O35" s="259">
        <f>IF(OR(ROW(O35)-5=O$1,ROW(O35)-5=O$1+1),VLOOKUP(O$3,Summary!$B$2:$L$35,3,FALSE),0)</f>
        <v>0</v>
      </c>
      <c r="P35" s="259">
        <f>IF(OR(ROW(P35)-5=P$1,ROW(P35)-5=P$1+1),VLOOKUP(P$3,Summary!$B$2:$L$35,3,FALSE),0)</f>
        <v>0</v>
      </c>
      <c r="Q35" s="259">
        <f>IF(OR(ROW(Q35)-5=Q$1,ROW(Q35)-5=Q$1+1),VLOOKUP(Q$3,Summary!$B$2:$L$35,3,FALSE),0)</f>
        <v>0</v>
      </c>
      <c r="R35" s="259">
        <f>IF(OR(ROW(R35)-5=R$1,ROW(R35)-5=R$1+1),VLOOKUP(R$3,Summary!$B$2:$L$35,3,FALSE),0)</f>
        <v>0</v>
      </c>
      <c r="S35" s="259">
        <f>IF(OR(ROW(S35)-5=S$1,ROW(S35)-5=S$1+1),VLOOKUP(S$3,Summary!$B$2:$L$35,3,FALSE),0)</f>
        <v>0</v>
      </c>
      <c r="T35" s="259">
        <f>IF(OR(ROW(T35)-5=T$1,ROW(T35)-5=T$1+1),VLOOKUP(T$3,Summary!$B$2:$L$35,3,FALSE),0)</f>
        <v>0</v>
      </c>
      <c r="U35" s="259">
        <f>IF(OR(ROW(U35)-5=U$1,ROW(U35)-5=U$1+1),VLOOKUP(U$3,Summary!$B$2:$L$35,3,FALSE),0)</f>
        <v>0</v>
      </c>
      <c r="V35" s="259">
        <f>IF(OR(ROW(V35)-5=V$1,ROW(V35)-5=V$1+1),VLOOKUP(V$3,Summary!$B$2:$L$35,3,FALSE),0)</f>
        <v>0</v>
      </c>
      <c r="W35" s="259">
        <f>IF(OR(ROW(W35)-5=W$1,ROW(W35)-5=W$1+1),VLOOKUP(W$3,Summary!$B$2:$L$35,3,FALSE),0)</f>
        <v>0</v>
      </c>
      <c r="X35" s="259">
        <f>IF(OR(ROW(X35)-5=X$1,ROW(X35)-5=X$1+1),VLOOKUP(X$3,Summary!$B$2:$L$35,3,FALSE),0)</f>
        <v>0</v>
      </c>
      <c r="Y35" s="259">
        <f>IF(OR(ROW(Y35)-5=Y$1,ROW(Y35)-5=Y$1+1),VLOOKUP(Y$3,Summary!$B$2:$L$35,3,FALSE),0)</f>
        <v>0</v>
      </c>
      <c r="Z35" s="259">
        <f>IF(OR(ROW(Z35)-5=Z$1,ROW(Z35)-5=Z$1+1),VLOOKUP(Z$3,Summary!$B$2:$L$35,3,FALSE),0)</f>
        <v>0</v>
      </c>
      <c r="AA35" s="259">
        <f>IF(OR(ROW(AA35)-5=AA$1,ROW(AA35)-5=AA$1+1),VLOOKUP(AA$3,Summary!$B$2:$L$35,3,FALSE),0)</f>
        <v>0</v>
      </c>
      <c r="AB35" s="259">
        <f>IF(OR(ROW(AB35)-5=AB$1,ROW(AB35)-5=AB$1+1),VLOOKUP(AB$3,Summary!$B$2:$L$35,3,FALSE),0)</f>
        <v>0</v>
      </c>
      <c r="AC35" s="259">
        <f>IF(OR(ROW(AC35)-5=AC$1,ROW(AC35)-5=AC$1+1),VLOOKUP(AC$3,Summary!$B$2:$L$35,3,FALSE),0)</f>
        <v>0</v>
      </c>
      <c r="AD35" s="259">
        <f>IF(OR(ROW(AD35)-5=AD$1,ROW(AD35)-5=AD$1+1),VLOOKUP(AD$3,Summary!$B$2:$L$35,3,FALSE),0)</f>
        <v>0</v>
      </c>
      <c r="AE35" s="259">
        <f>IF(OR(ROW(AE35)-5=AE$1,ROW(AE35)-5=AE$1+1),VLOOKUP(AE$3,Summary!$B$2:$L$35,3,FALSE),0)</f>
        <v>0</v>
      </c>
      <c r="AF35" s="331" t="e">
        <f t="shared" ca="1" si="5"/>
        <v>#N/A</v>
      </c>
    </row>
    <row r="36" spans="1:32">
      <c r="A36" s="259">
        <f ca="1">OFFSET(Summary!$I$2,TRUNC((ROW(A36)-ROW($A$7))/3,0),0)/1000</f>
        <v>103.45769233448128</v>
      </c>
      <c r="B36" s="259">
        <f>IF(OR(ROW(B36)-5=B$1,ROW(B36)-5=B$1+1),VLOOKUP(B$3,Summary!$B$2:$L$35,3,FALSE),0)</f>
        <v>0</v>
      </c>
      <c r="C36" s="259">
        <f>IF(OR(ROW(C36)-5=C$1,ROW(C36)-5=C$1+1),VLOOKUP(C$3,Summary!$B$2:$L$35,3,FALSE),0)</f>
        <v>0</v>
      </c>
      <c r="D36" s="259">
        <f>IF(OR(ROW(D36)-5=D$1,ROW(D36)-5=D$1+1),VLOOKUP(D$3,Summary!$B$2:$L$35,3,FALSE),0)</f>
        <v>0</v>
      </c>
      <c r="E36" s="259">
        <f>IF(OR(ROW(E36)-5=E$1,ROW(E36)-5=E$1+1),VLOOKUP(E$3,Summary!$B$2:$L$35,3,FALSE),0)</f>
        <v>0</v>
      </c>
      <c r="F36" s="259">
        <f>IF(OR(ROW(F36)-5=F$1,ROW(F36)-5=F$1+1),VLOOKUP(F$3,Summary!$B$2:$L$35,3,FALSE),0)</f>
        <v>0</v>
      </c>
      <c r="G36" s="259">
        <f>IF(OR(ROW(G36)-5=G$1,ROW(G36)-5=G$1+1),VLOOKUP(G$3,Summary!$B$2:$L$35,3,FALSE),0)</f>
        <v>0</v>
      </c>
      <c r="H36" s="259">
        <f>IF(OR(ROW(H36)-5=H$1,ROW(H36)-5=H$1+1),VLOOKUP(H$3,Summary!$B$2:$L$35,3,FALSE),0)</f>
        <v>0</v>
      </c>
      <c r="I36" s="259">
        <f>IF(OR(ROW(I36)-5=I$1,ROW(I36)-5=I$1+1),VLOOKUP(I$3,Summary!$B$2:$L$35,3,FALSE),0)</f>
        <v>0</v>
      </c>
      <c r="J36" s="259">
        <f>IF(OR(ROW(J36)-5=J$1,ROW(J36)-5=J$1+1),VLOOKUP(J$3,Summary!$B$2:$L$35,3,FALSE),0)</f>
        <v>0</v>
      </c>
      <c r="K36" s="259">
        <f>IF(OR(ROW(K36)-5=K$1,ROW(K36)-5=K$1+1),VLOOKUP(K$3,Summary!$B$2:$L$35,3,FALSE),0)</f>
        <v>0</v>
      </c>
      <c r="L36" s="259">
        <f ca="1">IF(OR(ROW(L36)-5=L$1,ROW(L36)-5=L$1+1),VLOOKUP(L$3,Summary!$B$2:$L$35,3,FALSE),0)</f>
        <v>-31.807962579838971</v>
      </c>
      <c r="M36" s="259">
        <f>IF(OR(ROW(M36)-5=M$1,ROW(M36)-5=M$1+1),VLOOKUP(M$3,Summary!$B$2:$L$35,3,FALSE),0)</f>
        <v>0</v>
      </c>
      <c r="N36" s="259">
        <f>IF(OR(ROW(N36)-5=N$1,ROW(N36)-5=N$1+1),VLOOKUP(N$3,Summary!$B$2:$L$35,3,FALSE),0)</f>
        <v>0</v>
      </c>
      <c r="O36" s="259">
        <f>IF(OR(ROW(O36)-5=O$1,ROW(O36)-5=O$1+1),VLOOKUP(O$3,Summary!$B$2:$L$35,3,FALSE),0)</f>
        <v>0</v>
      </c>
      <c r="P36" s="259">
        <f>IF(OR(ROW(P36)-5=P$1,ROW(P36)-5=P$1+1),VLOOKUP(P$3,Summary!$B$2:$L$35,3,FALSE),0)</f>
        <v>0</v>
      </c>
      <c r="Q36" s="259">
        <f>IF(OR(ROW(Q36)-5=Q$1,ROW(Q36)-5=Q$1+1),VLOOKUP(Q$3,Summary!$B$2:$L$35,3,FALSE),0)</f>
        <v>0</v>
      </c>
      <c r="R36" s="259">
        <f>IF(OR(ROW(R36)-5=R$1,ROW(R36)-5=R$1+1),VLOOKUP(R$3,Summary!$B$2:$L$35,3,FALSE),0)</f>
        <v>0</v>
      </c>
      <c r="S36" s="259">
        <f>IF(OR(ROW(S36)-5=S$1,ROW(S36)-5=S$1+1),VLOOKUP(S$3,Summary!$B$2:$L$35,3,FALSE),0)</f>
        <v>0</v>
      </c>
      <c r="T36" s="259">
        <f>IF(OR(ROW(T36)-5=T$1,ROW(T36)-5=T$1+1),VLOOKUP(T$3,Summary!$B$2:$L$35,3,FALSE),0)</f>
        <v>0</v>
      </c>
      <c r="U36" s="259">
        <f>IF(OR(ROW(U36)-5=U$1,ROW(U36)-5=U$1+1),VLOOKUP(U$3,Summary!$B$2:$L$35,3,FALSE),0)</f>
        <v>0</v>
      </c>
      <c r="V36" s="259">
        <f>IF(OR(ROW(V36)-5=V$1,ROW(V36)-5=V$1+1),VLOOKUP(V$3,Summary!$B$2:$L$35,3,FALSE),0)</f>
        <v>0</v>
      </c>
      <c r="W36" s="259">
        <f>IF(OR(ROW(W36)-5=W$1,ROW(W36)-5=W$1+1),VLOOKUP(W$3,Summary!$B$2:$L$35,3,FALSE),0)</f>
        <v>0</v>
      </c>
      <c r="X36" s="259">
        <f>IF(OR(ROW(X36)-5=X$1,ROW(X36)-5=X$1+1),VLOOKUP(X$3,Summary!$B$2:$L$35,3,FALSE),0)</f>
        <v>0</v>
      </c>
      <c r="Y36" s="259">
        <f>IF(OR(ROW(Y36)-5=Y$1,ROW(Y36)-5=Y$1+1),VLOOKUP(Y$3,Summary!$B$2:$L$35,3,FALSE),0)</f>
        <v>0</v>
      </c>
      <c r="Z36" s="259">
        <f>IF(OR(ROW(Z36)-5=Z$1,ROW(Z36)-5=Z$1+1),VLOOKUP(Z$3,Summary!$B$2:$L$35,3,FALSE),0)</f>
        <v>0</v>
      </c>
      <c r="AA36" s="259">
        <f>IF(OR(ROW(AA36)-5=AA$1,ROW(AA36)-5=AA$1+1),VLOOKUP(AA$3,Summary!$B$2:$L$35,3,FALSE),0)</f>
        <v>0</v>
      </c>
      <c r="AB36" s="259">
        <f>IF(OR(ROW(AB36)-5=AB$1,ROW(AB36)-5=AB$1+1),VLOOKUP(AB$3,Summary!$B$2:$L$35,3,FALSE),0)</f>
        <v>0</v>
      </c>
      <c r="AC36" s="259">
        <f>IF(OR(ROW(AC36)-5=AC$1,ROW(AC36)-5=AC$1+1),VLOOKUP(AC$3,Summary!$B$2:$L$35,3,FALSE),0)</f>
        <v>0</v>
      </c>
      <c r="AD36" s="259">
        <f>IF(OR(ROW(AD36)-5=AD$1,ROW(AD36)-5=AD$1+1),VLOOKUP(AD$3,Summary!$B$2:$L$35,3,FALSE),0)</f>
        <v>0</v>
      </c>
      <c r="AE36" s="259">
        <f>IF(OR(ROW(AE36)-5=AE$1,ROW(AE36)-5=AE$1+1),VLOOKUP(AE$3,Summary!$B$2:$L$35,3,FALSE),0)</f>
        <v>0</v>
      </c>
      <c r="AF36" s="331">
        <f t="shared" ca="1" si="5"/>
        <v>-73.486755247828725</v>
      </c>
    </row>
    <row r="37" spans="1:32">
      <c r="A37" s="259">
        <f ca="1">OFFSET(Summary!$I$2,TRUNC((ROW(A37)-ROW($A$7))/3,0),0)/1000</f>
        <v>167.1718771790114</v>
      </c>
      <c r="B37" s="259">
        <f>IF(OR(ROW(B37)-5=B$1,ROW(B37)-5=B$1+1),VLOOKUP(B$3,Summary!$B$2:$L$35,3,FALSE),0)</f>
        <v>0</v>
      </c>
      <c r="C37" s="259">
        <f>IF(OR(ROW(C37)-5=C$1,ROW(C37)-5=C$1+1),VLOOKUP(C$3,Summary!$B$2:$L$35,3,FALSE),0)</f>
        <v>0</v>
      </c>
      <c r="D37" s="259">
        <f>IF(OR(ROW(D37)-5=D$1,ROW(D37)-5=D$1+1),VLOOKUP(D$3,Summary!$B$2:$L$35,3,FALSE),0)</f>
        <v>0</v>
      </c>
      <c r="E37" s="259">
        <f>IF(OR(ROW(E37)-5=E$1,ROW(E37)-5=E$1+1),VLOOKUP(E$3,Summary!$B$2:$L$35,3,FALSE),0)</f>
        <v>0</v>
      </c>
      <c r="F37" s="259">
        <f>IF(OR(ROW(F37)-5=F$1,ROW(F37)-5=F$1+1),VLOOKUP(F$3,Summary!$B$2:$L$35,3,FALSE),0)</f>
        <v>0</v>
      </c>
      <c r="G37" s="259">
        <f>IF(OR(ROW(G37)-5=G$1,ROW(G37)-5=G$1+1),VLOOKUP(G$3,Summary!$B$2:$L$35,3,FALSE),0)</f>
        <v>0</v>
      </c>
      <c r="H37" s="259">
        <f>IF(OR(ROW(H37)-5=H$1,ROW(H37)-5=H$1+1),VLOOKUP(H$3,Summary!$B$2:$L$35,3,FALSE),0)</f>
        <v>0</v>
      </c>
      <c r="I37" s="259">
        <f>IF(OR(ROW(I37)-5=I$1,ROW(I37)-5=I$1+1),VLOOKUP(I$3,Summary!$B$2:$L$35,3,FALSE),0)</f>
        <v>0</v>
      </c>
      <c r="J37" s="259">
        <f>IF(OR(ROW(J37)-5=J$1,ROW(J37)-5=J$1+1),VLOOKUP(J$3,Summary!$B$2:$L$35,3,FALSE),0)</f>
        <v>0</v>
      </c>
      <c r="K37" s="259">
        <f>IF(OR(ROW(K37)-5=K$1,ROW(K37)-5=K$1+1),VLOOKUP(K$3,Summary!$B$2:$L$35,3,FALSE),0)</f>
        <v>0</v>
      </c>
      <c r="L37" s="259">
        <f ca="1">IF(OR(ROW(L37)-5=L$1,ROW(L37)-5=L$1+1),VLOOKUP(L$3,Summary!$B$2:$L$35,3,FALSE),0)</f>
        <v>-31.807962579838971</v>
      </c>
      <c r="M37" s="259">
        <f>IF(OR(ROW(M37)-5=M$1,ROW(M37)-5=M$1+1),VLOOKUP(M$3,Summary!$B$2:$L$35,3,FALSE),0)</f>
        <v>0</v>
      </c>
      <c r="N37" s="259">
        <f>IF(OR(ROW(N37)-5=N$1,ROW(N37)-5=N$1+1),VLOOKUP(N$3,Summary!$B$2:$L$35,3,FALSE),0)</f>
        <v>0</v>
      </c>
      <c r="O37" s="259">
        <f>IF(OR(ROW(O37)-5=O$1,ROW(O37)-5=O$1+1),VLOOKUP(O$3,Summary!$B$2:$L$35,3,FALSE),0)</f>
        <v>0</v>
      </c>
      <c r="P37" s="259">
        <f>IF(OR(ROW(P37)-5=P$1,ROW(P37)-5=P$1+1),VLOOKUP(P$3,Summary!$B$2:$L$35,3,FALSE),0)</f>
        <v>0</v>
      </c>
      <c r="Q37" s="259">
        <f>IF(OR(ROW(Q37)-5=Q$1,ROW(Q37)-5=Q$1+1),VLOOKUP(Q$3,Summary!$B$2:$L$35,3,FALSE),0)</f>
        <v>0</v>
      </c>
      <c r="R37" s="259">
        <f>IF(OR(ROW(R37)-5=R$1,ROW(R37)-5=R$1+1),VLOOKUP(R$3,Summary!$B$2:$L$35,3,FALSE),0)</f>
        <v>0</v>
      </c>
      <c r="S37" s="259">
        <f>IF(OR(ROW(S37)-5=S$1,ROW(S37)-5=S$1+1),VLOOKUP(S$3,Summary!$B$2:$L$35,3,FALSE),0)</f>
        <v>0</v>
      </c>
      <c r="T37" s="259">
        <f>IF(OR(ROW(T37)-5=T$1,ROW(T37)-5=T$1+1),VLOOKUP(T$3,Summary!$B$2:$L$35,3,FALSE),0)</f>
        <v>0</v>
      </c>
      <c r="U37" s="259">
        <f>IF(OR(ROW(U37)-5=U$1,ROW(U37)-5=U$1+1),VLOOKUP(U$3,Summary!$B$2:$L$35,3,FALSE),0)</f>
        <v>0</v>
      </c>
      <c r="V37" s="259">
        <f>IF(OR(ROW(V37)-5=V$1,ROW(V37)-5=V$1+1),VLOOKUP(V$3,Summary!$B$2:$L$35,3,FALSE),0)</f>
        <v>0</v>
      </c>
      <c r="W37" s="259">
        <f>IF(OR(ROW(W37)-5=W$1,ROW(W37)-5=W$1+1),VLOOKUP(W$3,Summary!$B$2:$L$35,3,FALSE),0)</f>
        <v>0</v>
      </c>
      <c r="X37" s="259">
        <f>IF(OR(ROW(X37)-5=X$1,ROW(X37)-5=X$1+1),VLOOKUP(X$3,Summary!$B$2:$L$35,3,FALSE),0)</f>
        <v>0</v>
      </c>
      <c r="Y37" s="259">
        <f>IF(OR(ROW(Y37)-5=Y$1,ROW(Y37)-5=Y$1+1),VLOOKUP(Y$3,Summary!$B$2:$L$35,3,FALSE),0)</f>
        <v>0</v>
      </c>
      <c r="Z37" s="259">
        <f>IF(OR(ROW(Z37)-5=Z$1,ROW(Z37)-5=Z$1+1),VLOOKUP(Z$3,Summary!$B$2:$L$35,3,FALSE),0)</f>
        <v>0</v>
      </c>
      <c r="AA37" s="259">
        <f>IF(OR(ROW(AA37)-5=AA$1,ROW(AA37)-5=AA$1+1),VLOOKUP(AA$3,Summary!$B$2:$L$35,3,FALSE),0)</f>
        <v>0</v>
      </c>
      <c r="AB37" s="259">
        <f>IF(OR(ROW(AB37)-5=AB$1,ROW(AB37)-5=AB$1+1),VLOOKUP(AB$3,Summary!$B$2:$L$35,3,FALSE),0)</f>
        <v>0</v>
      </c>
      <c r="AC37" s="259">
        <f>IF(OR(ROW(AC37)-5=AC$1,ROW(AC37)-5=AC$1+1),VLOOKUP(AC$3,Summary!$B$2:$L$35,3,FALSE),0)</f>
        <v>0</v>
      </c>
      <c r="AD37" s="259">
        <f>IF(OR(ROW(AD37)-5=AD$1,ROW(AD37)-5=AD$1+1),VLOOKUP(AD$3,Summary!$B$2:$L$35,3,FALSE),0)</f>
        <v>0</v>
      </c>
      <c r="AE37" s="259">
        <f>IF(OR(ROW(AE37)-5=AE$1,ROW(AE37)-5=AE$1+1),VLOOKUP(AE$3,Summary!$B$2:$L$35,3,FALSE),0)</f>
        <v>0</v>
      </c>
      <c r="AF37" s="331">
        <f t="shared" ca="1" si="5"/>
        <v>-73.486755247828725</v>
      </c>
    </row>
    <row r="38" spans="1:32">
      <c r="A38" s="259">
        <f ca="1">OFFSET(Summary!$I$2,TRUNC((ROW(A38)-ROW($A$7))/3,0),0)/1000</f>
        <v>167.1718771790114</v>
      </c>
      <c r="B38" s="259">
        <f>IF(OR(ROW(B38)-5=B$1,ROW(B38)-5=B$1+1),VLOOKUP(B$3,Summary!$B$2:$L$35,3,FALSE),0)</f>
        <v>0</v>
      </c>
      <c r="C38" s="259">
        <f>IF(OR(ROW(C38)-5=C$1,ROW(C38)-5=C$1+1),VLOOKUP(C$3,Summary!$B$2:$L$35,3,FALSE),0)</f>
        <v>0</v>
      </c>
      <c r="D38" s="259">
        <f>IF(OR(ROW(D38)-5=D$1,ROW(D38)-5=D$1+1),VLOOKUP(D$3,Summary!$B$2:$L$35,3,FALSE),0)</f>
        <v>0</v>
      </c>
      <c r="E38" s="259">
        <f>IF(OR(ROW(E38)-5=E$1,ROW(E38)-5=E$1+1),VLOOKUP(E$3,Summary!$B$2:$L$35,3,FALSE),0)</f>
        <v>0</v>
      </c>
      <c r="F38" s="259">
        <f>IF(OR(ROW(F38)-5=F$1,ROW(F38)-5=F$1+1),VLOOKUP(F$3,Summary!$B$2:$L$35,3,FALSE),0)</f>
        <v>0</v>
      </c>
      <c r="G38" s="259">
        <f>IF(OR(ROW(G38)-5=G$1,ROW(G38)-5=G$1+1),VLOOKUP(G$3,Summary!$B$2:$L$35,3,FALSE),0)</f>
        <v>0</v>
      </c>
      <c r="H38" s="259">
        <f>IF(OR(ROW(H38)-5=H$1,ROW(H38)-5=H$1+1),VLOOKUP(H$3,Summary!$B$2:$L$35,3,FALSE),0)</f>
        <v>0</v>
      </c>
      <c r="I38" s="259">
        <f>IF(OR(ROW(I38)-5=I$1,ROW(I38)-5=I$1+1),VLOOKUP(I$3,Summary!$B$2:$L$35,3,FALSE),0)</f>
        <v>0</v>
      </c>
      <c r="J38" s="259">
        <f>IF(OR(ROW(J38)-5=J$1,ROW(J38)-5=J$1+1),VLOOKUP(J$3,Summary!$B$2:$L$35,3,FALSE),0)</f>
        <v>0</v>
      </c>
      <c r="K38" s="259">
        <f>IF(OR(ROW(K38)-5=K$1,ROW(K38)-5=K$1+1),VLOOKUP(K$3,Summary!$B$2:$L$35,3,FALSE),0)</f>
        <v>0</v>
      </c>
      <c r="L38" s="259">
        <f>IF(OR(ROW(L38)-5=L$1,ROW(L38)-5=L$1+1),VLOOKUP(L$3,Summary!$B$2:$L$35,3,FALSE),0)</f>
        <v>0</v>
      </c>
      <c r="M38" s="259">
        <f>IF(OR(ROW(M38)-5=M$1,ROW(M38)-5=M$1+1),VLOOKUP(M$3,Summary!$B$2:$L$35,3,FALSE),0)</f>
        <v>0</v>
      </c>
      <c r="N38" s="259">
        <f>IF(OR(ROW(N38)-5=N$1,ROW(N38)-5=N$1+1),VLOOKUP(N$3,Summary!$B$2:$L$35,3,FALSE),0)</f>
        <v>0</v>
      </c>
      <c r="O38" s="259">
        <f>IF(OR(ROW(O38)-5=O$1,ROW(O38)-5=O$1+1),VLOOKUP(O$3,Summary!$B$2:$L$35,3,FALSE),0)</f>
        <v>0</v>
      </c>
      <c r="P38" s="259">
        <f>IF(OR(ROW(P38)-5=P$1,ROW(P38)-5=P$1+1),VLOOKUP(P$3,Summary!$B$2:$L$35,3,FALSE),0)</f>
        <v>0</v>
      </c>
      <c r="Q38" s="259">
        <f>IF(OR(ROW(Q38)-5=Q$1,ROW(Q38)-5=Q$1+1),VLOOKUP(Q$3,Summary!$B$2:$L$35,3,FALSE),0)</f>
        <v>0</v>
      </c>
      <c r="R38" s="259">
        <f>IF(OR(ROW(R38)-5=R$1,ROW(R38)-5=R$1+1),VLOOKUP(R$3,Summary!$B$2:$L$35,3,FALSE),0)</f>
        <v>0</v>
      </c>
      <c r="S38" s="259">
        <f>IF(OR(ROW(S38)-5=S$1,ROW(S38)-5=S$1+1),VLOOKUP(S$3,Summary!$B$2:$L$35,3,FALSE),0)</f>
        <v>0</v>
      </c>
      <c r="T38" s="259">
        <f>IF(OR(ROW(T38)-5=T$1,ROW(T38)-5=T$1+1),VLOOKUP(T$3,Summary!$B$2:$L$35,3,FALSE),0)</f>
        <v>0</v>
      </c>
      <c r="U38" s="259">
        <f>IF(OR(ROW(U38)-5=U$1,ROW(U38)-5=U$1+1),VLOOKUP(U$3,Summary!$B$2:$L$35,3,FALSE),0)</f>
        <v>0</v>
      </c>
      <c r="V38" s="259">
        <f>IF(OR(ROW(V38)-5=V$1,ROW(V38)-5=V$1+1),VLOOKUP(V$3,Summary!$B$2:$L$35,3,FALSE),0)</f>
        <v>0</v>
      </c>
      <c r="W38" s="259">
        <f>IF(OR(ROW(W38)-5=W$1,ROW(W38)-5=W$1+1),VLOOKUP(W$3,Summary!$B$2:$L$35,3,FALSE),0)</f>
        <v>0</v>
      </c>
      <c r="X38" s="259">
        <f>IF(OR(ROW(X38)-5=X$1,ROW(X38)-5=X$1+1),VLOOKUP(X$3,Summary!$B$2:$L$35,3,FALSE),0)</f>
        <v>0</v>
      </c>
      <c r="Y38" s="259">
        <f>IF(OR(ROW(Y38)-5=Y$1,ROW(Y38)-5=Y$1+1),VLOOKUP(Y$3,Summary!$B$2:$L$35,3,FALSE),0)</f>
        <v>0</v>
      </c>
      <c r="Z38" s="259">
        <f>IF(OR(ROW(Z38)-5=Z$1,ROW(Z38)-5=Z$1+1),VLOOKUP(Z$3,Summary!$B$2:$L$35,3,FALSE),0)</f>
        <v>0</v>
      </c>
      <c r="AA38" s="259">
        <f>IF(OR(ROW(AA38)-5=AA$1,ROW(AA38)-5=AA$1+1),VLOOKUP(AA$3,Summary!$B$2:$L$35,3,FALSE),0)</f>
        <v>0</v>
      </c>
      <c r="AB38" s="259">
        <f>IF(OR(ROW(AB38)-5=AB$1,ROW(AB38)-5=AB$1+1),VLOOKUP(AB$3,Summary!$B$2:$L$35,3,FALSE),0)</f>
        <v>0</v>
      </c>
      <c r="AC38" s="259">
        <f>IF(OR(ROW(AC38)-5=AC$1,ROW(AC38)-5=AC$1+1),VLOOKUP(AC$3,Summary!$B$2:$L$35,3,FALSE),0)</f>
        <v>0</v>
      </c>
      <c r="AD38" s="259">
        <f>IF(OR(ROW(AD38)-5=AD$1,ROW(AD38)-5=AD$1+1),VLOOKUP(AD$3,Summary!$B$2:$L$35,3,FALSE),0)</f>
        <v>0</v>
      </c>
      <c r="AE38" s="259">
        <f>IF(OR(ROW(AE38)-5=AE$1,ROW(AE38)-5=AE$1+1),VLOOKUP(AE$3,Summary!$B$2:$L$35,3,FALSE),0)</f>
        <v>0</v>
      </c>
      <c r="AF38" s="331" t="e">
        <f t="shared" ref="AF38:AF69" ca="1" si="7">INDEX(Levelized_Cost_Adjusted,MATCH(SUM(B38:AE38),Levelized_Cost,0))</f>
        <v>#N/A</v>
      </c>
    </row>
    <row r="39" spans="1:32">
      <c r="A39" s="259">
        <f ca="1">OFFSET(Summary!$I$2,TRUNC((ROW(A39)-ROW($A$7))/3,0),0)/1000</f>
        <v>167.1718771790114</v>
      </c>
      <c r="B39" s="259">
        <f>IF(OR(ROW(B39)-5=B$1,ROW(B39)-5=B$1+1),VLOOKUP(B$3,Summary!$B$2:$L$35,3,FALSE),0)</f>
        <v>0</v>
      </c>
      <c r="C39" s="259">
        <f>IF(OR(ROW(C39)-5=C$1,ROW(C39)-5=C$1+1),VLOOKUP(C$3,Summary!$B$2:$L$35,3,FALSE),0)</f>
        <v>0</v>
      </c>
      <c r="D39" s="259">
        <f>IF(OR(ROW(D39)-5=D$1,ROW(D39)-5=D$1+1),VLOOKUP(D$3,Summary!$B$2:$L$35,3,FALSE),0)</f>
        <v>0</v>
      </c>
      <c r="E39" s="259">
        <f>IF(OR(ROW(E39)-5=E$1,ROW(E39)-5=E$1+1),VLOOKUP(E$3,Summary!$B$2:$L$35,3,FALSE),0)</f>
        <v>0</v>
      </c>
      <c r="F39" s="259">
        <f>IF(OR(ROW(F39)-5=F$1,ROW(F39)-5=F$1+1),VLOOKUP(F$3,Summary!$B$2:$L$35,3,FALSE),0)</f>
        <v>0</v>
      </c>
      <c r="G39" s="259">
        <f>IF(OR(ROW(G39)-5=G$1,ROW(G39)-5=G$1+1),VLOOKUP(G$3,Summary!$B$2:$L$35,3,FALSE),0)</f>
        <v>0</v>
      </c>
      <c r="H39" s="259">
        <f>IF(OR(ROW(H39)-5=H$1,ROW(H39)-5=H$1+1),VLOOKUP(H$3,Summary!$B$2:$L$35,3,FALSE),0)</f>
        <v>0</v>
      </c>
      <c r="I39" s="259">
        <f>IF(OR(ROW(I39)-5=I$1,ROW(I39)-5=I$1+1),VLOOKUP(I$3,Summary!$B$2:$L$35,3,FALSE),0)</f>
        <v>0</v>
      </c>
      <c r="J39" s="259">
        <f>IF(OR(ROW(J39)-5=J$1,ROW(J39)-5=J$1+1),VLOOKUP(J$3,Summary!$B$2:$L$35,3,FALSE),0)</f>
        <v>0</v>
      </c>
      <c r="K39" s="259">
        <f>IF(OR(ROW(K39)-5=K$1,ROW(K39)-5=K$1+1),VLOOKUP(K$3,Summary!$B$2:$L$35,3,FALSE),0)</f>
        <v>0</v>
      </c>
      <c r="L39" s="259">
        <f>IF(OR(ROW(L39)-5=L$1,ROW(L39)-5=L$1+1),VLOOKUP(L$3,Summary!$B$2:$L$35,3,FALSE),0)</f>
        <v>0</v>
      </c>
      <c r="M39" s="259">
        <f ca="1">IF(OR(ROW(M39)-5=M$1,ROW(M39)-5=M$1+1),VLOOKUP(M$3,Summary!$B$2:$L$35,3,FALSE),0)</f>
        <v>-17.097335758589974</v>
      </c>
      <c r="N39" s="259">
        <f>IF(OR(ROW(N39)-5=N$1,ROW(N39)-5=N$1+1),VLOOKUP(N$3,Summary!$B$2:$L$35,3,FALSE),0)</f>
        <v>0</v>
      </c>
      <c r="O39" s="259">
        <f>IF(OR(ROW(O39)-5=O$1,ROW(O39)-5=O$1+1),VLOOKUP(O$3,Summary!$B$2:$L$35,3,FALSE),0)</f>
        <v>0</v>
      </c>
      <c r="P39" s="259">
        <f>IF(OR(ROW(P39)-5=P$1,ROW(P39)-5=P$1+1),VLOOKUP(P$3,Summary!$B$2:$L$35,3,FALSE),0)</f>
        <v>0</v>
      </c>
      <c r="Q39" s="259">
        <f>IF(OR(ROW(Q39)-5=Q$1,ROW(Q39)-5=Q$1+1),VLOOKUP(Q$3,Summary!$B$2:$L$35,3,FALSE),0)</f>
        <v>0</v>
      </c>
      <c r="R39" s="259">
        <f>IF(OR(ROW(R39)-5=R$1,ROW(R39)-5=R$1+1),VLOOKUP(R$3,Summary!$B$2:$L$35,3,FALSE),0)</f>
        <v>0</v>
      </c>
      <c r="S39" s="259">
        <f>IF(OR(ROW(S39)-5=S$1,ROW(S39)-5=S$1+1),VLOOKUP(S$3,Summary!$B$2:$L$35,3,FALSE),0)</f>
        <v>0</v>
      </c>
      <c r="T39" s="259">
        <f>IF(OR(ROW(T39)-5=T$1,ROW(T39)-5=T$1+1),VLOOKUP(T$3,Summary!$B$2:$L$35,3,FALSE),0)</f>
        <v>0</v>
      </c>
      <c r="U39" s="259">
        <f>IF(OR(ROW(U39)-5=U$1,ROW(U39)-5=U$1+1),VLOOKUP(U$3,Summary!$B$2:$L$35,3,FALSE),0)</f>
        <v>0</v>
      </c>
      <c r="V39" s="259">
        <f>IF(OR(ROW(V39)-5=V$1,ROW(V39)-5=V$1+1),VLOOKUP(V$3,Summary!$B$2:$L$35,3,FALSE),0)</f>
        <v>0</v>
      </c>
      <c r="W39" s="259">
        <f>IF(OR(ROW(W39)-5=W$1,ROW(W39)-5=W$1+1),VLOOKUP(W$3,Summary!$B$2:$L$35,3,FALSE),0)</f>
        <v>0</v>
      </c>
      <c r="X39" s="259">
        <f>IF(OR(ROW(X39)-5=X$1,ROW(X39)-5=X$1+1),VLOOKUP(X$3,Summary!$B$2:$L$35,3,FALSE),0)</f>
        <v>0</v>
      </c>
      <c r="Y39" s="259">
        <f>IF(OR(ROW(Y39)-5=Y$1,ROW(Y39)-5=Y$1+1),VLOOKUP(Y$3,Summary!$B$2:$L$35,3,FALSE),0)</f>
        <v>0</v>
      </c>
      <c r="Z39" s="259">
        <f>IF(OR(ROW(Z39)-5=Z$1,ROW(Z39)-5=Z$1+1),VLOOKUP(Z$3,Summary!$B$2:$L$35,3,FALSE),0)</f>
        <v>0</v>
      </c>
      <c r="AA39" s="259">
        <f>IF(OR(ROW(AA39)-5=AA$1,ROW(AA39)-5=AA$1+1),VLOOKUP(AA$3,Summary!$B$2:$L$35,3,FALSE),0)</f>
        <v>0</v>
      </c>
      <c r="AB39" s="259">
        <f>IF(OR(ROW(AB39)-5=AB$1,ROW(AB39)-5=AB$1+1),VLOOKUP(AB$3,Summary!$B$2:$L$35,3,FALSE),0)</f>
        <v>0</v>
      </c>
      <c r="AC39" s="259">
        <f>IF(OR(ROW(AC39)-5=AC$1,ROW(AC39)-5=AC$1+1),VLOOKUP(AC$3,Summary!$B$2:$L$35,3,FALSE),0)</f>
        <v>0</v>
      </c>
      <c r="AD39" s="259">
        <f>IF(OR(ROW(AD39)-5=AD$1,ROW(AD39)-5=AD$1+1),VLOOKUP(AD$3,Summary!$B$2:$L$35,3,FALSE),0)</f>
        <v>0</v>
      </c>
      <c r="AE39" s="259">
        <f>IF(OR(ROW(AE39)-5=AE$1,ROW(AE39)-5=AE$1+1),VLOOKUP(AE$3,Summary!$B$2:$L$35,3,FALSE),0)</f>
        <v>0</v>
      </c>
      <c r="AF39" s="331">
        <f t="shared" ca="1" si="7"/>
        <v>-54.40091632071622</v>
      </c>
    </row>
    <row r="40" spans="1:32">
      <c r="A40" s="259">
        <f ca="1">OFFSET(Summary!$I$2,TRUNC((ROW(A40)-ROW($A$7))/3,0),0)/1000</f>
        <v>167.37015518870214</v>
      </c>
      <c r="B40" s="259">
        <f>IF(OR(ROW(B40)-5=B$1,ROW(B40)-5=B$1+1),VLOOKUP(B$3,Summary!$B$2:$L$35,3,FALSE),0)</f>
        <v>0</v>
      </c>
      <c r="C40" s="259">
        <f>IF(OR(ROW(C40)-5=C$1,ROW(C40)-5=C$1+1),VLOOKUP(C$3,Summary!$B$2:$L$35,3,FALSE),0)</f>
        <v>0</v>
      </c>
      <c r="D40" s="259">
        <f>IF(OR(ROW(D40)-5=D$1,ROW(D40)-5=D$1+1),VLOOKUP(D$3,Summary!$B$2:$L$35,3,FALSE),0)</f>
        <v>0</v>
      </c>
      <c r="E40" s="259">
        <f>IF(OR(ROW(E40)-5=E$1,ROW(E40)-5=E$1+1),VLOOKUP(E$3,Summary!$B$2:$L$35,3,FALSE),0)</f>
        <v>0</v>
      </c>
      <c r="F40" s="259">
        <f>IF(OR(ROW(F40)-5=F$1,ROW(F40)-5=F$1+1),VLOOKUP(F$3,Summary!$B$2:$L$35,3,FALSE),0)</f>
        <v>0</v>
      </c>
      <c r="G40" s="259">
        <f>IF(OR(ROW(G40)-5=G$1,ROW(G40)-5=G$1+1),VLOOKUP(G$3,Summary!$B$2:$L$35,3,FALSE),0)</f>
        <v>0</v>
      </c>
      <c r="H40" s="259">
        <f>IF(OR(ROW(H40)-5=H$1,ROW(H40)-5=H$1+1),VLOOKUP(H$3,Summary!$B$2:$L$35,3,FALSE),0)</f>
        <v>0</v>
      </c>
      <c r="I40" s="259">
        <f>IF(OR(ROW(I40)-5=I$1,ROW(I40)-5=I$1+1),VLOOKUP(I$3,Summary!$B$2:$L$35,3,FALSE),0)</f>
        <v>0</v>
      </c>
      <c r="J40" s="259">
        <f>IF(OR(ROW(J40)-5=J$1,ROW(J40)-5=J$1+1),VLOOKUP(J$3,Summary!$B$2:$L$35,3,FALSE),0)</f>
        <v>0</v>
      </c>
      <c r="K40" s="259">
        <f>IF(OR(ROW(K40)-5=K$1,ROW(K40)-5=K$1+1),VLOOKUP(K$3,Summary!$B$2:$L$35,3,FALSE),0)</f>
        <v>0</v>
      </c>
      <c r="L40" s="259">
        <f>IF(OR(ROW(L40)-5=L$1,ROW(L40)-5=L$1+1),VLOOKUP(L$3,Summary!$B$2:$L$35,3,FALSE),0)</f>
        <v>0</v>
      </c>
      <c r="M40" s="259">
        <f ca="1">IF(OR(ROW(M40)-5=M$1,ROW(M40)-5=M$1+1),VLOOKUP(M$3,Summary!$B$2:$L$35,3,FALSE),0)</f>
        <v>-17.097335758589974</v>
      </c>
      <c r="N40" s="259">
        <f>IF(OR(ROW(N40)-5=N$1,ROW(N40)-5=N$1+1),VLOOKUP(N$3,Summary!$B$2:$L$35,3,FALSE),0)</f>
        <v>0</v>
      </c>
      <c r="O40" s="259">
        <f>IF(OR(ROW(O40)-5=O$1,ROW(O40)-5=O$1+1),VLOOKUP(O$3,Summary!$B$2:$L$35,3,FALSE),0)</f>
        <v>0</v>
      </c>
      <c r="P40" s="259">
        <f>IF(OR(ROW(P40)-5=P$1,ROW(P40)-5=P$1+1),VLOOKUP(P$3,Summary!$B$2:$L$35,3,FALSE),0)</f>
        <v>0</v>
      </c>
      <c r="Q40" s="259">
        <f>IF(OR(ROW(Q40)-5=Q$1,ROW(Q40)-5=Q$1+1),VLOOKUP(Q$3,Summary!$B$2:$L$35,3,FALSE),0)</f>
        <v>0</v>
      </c>
      <c r="R40" s="259">
        <f>IF(OR(ROW(R40)-5=R$1,ROW(R40)-5=R$1+1),VLOOKUP(R$3,Summary!$B$2:$L$35,3,FALSE),0)</f>
        <v>0</v>
      </c>
      <c r="S40" s="259">
        <f>IF(OR(ROW(S40)-5=S$1,ROW(S40)-5=S$1+1),VLOOKUP(S$3,Summary!$B$2:$L$35,3,FALSE),0)</f>
        <v>0</v>
      </c>
      <c r="T40" s="259">
        <f>IF(OR(ROW(T40)-5=T$1,ROW(T40)-5=T$1+1),VLOOKUP(T$3,Summary!$B$2:$L$35,3,FALSE),0)</f>
        <v>0</v>
      </c>
      <c r="U40" s="259">
        <f>IF(OR(ROW(U40)-5=U$1,ROW(U40)-5=U$1+1),VLOOKUP(U$3,Summary!$B$2:$L$35,3,FALSE),0)</f>
        <v>0</v>
      </c>
      <c r="V40" s="259">
        <f>IF(OR(ROW(V40)-5=V$1,ROW(V40)-5=V$1+1),VLOOKUP(V$3,Summary!$B$2:$L$35,3,FALSE),0)</f>
        <v>0</v>
      </c>
      <c r="W40" s="259">
        <f>IF(OR(ROW(W40)-5=W$1,ROW(W40)-5=W$1+1),VLOOKUP(W$3,Summary!$B$2:$L$35,3,FALSE),0)</f>
        <v>0</v>
      </c>
      <c r="X40" s="259">
        <f>IF(OR(ROW(X40)-5=X$1,ROW(X40)-5=X$1+1),VLOOKUP(X$3,Summary!$B$2:$L$35,3,FALSE),0)</f>
        <v>0</v>
      </c>
      <c r="Y40" s="259">
        <f>IF(OR(ROW(Y40)-5=Y$1,ROW(Y40)-5=Y$1+1),VLOOKUP(Y$3,Summary!$B$2:$L$35,3,FALSE),0)</f>
        <v>0</v>
      </c>
      <c r="Z40" s="259">
        <f>IF(OR(ROW(Z40)-5=Z$1,ROW(Z40)-5=Z$1+1),VLOOKUP(Z$3,Summary!$B$2:$L$35,3,FALSE),0)</f>
        <v>0</v>
      </c>
      <c r="AA40" s="259">
        <f>IF(OR(ROW(AA40)-5=AA$1,ROW(AA40)-5=AA$1+1),VLOOKUP(AA$3,Summary!$B$2:$L$35,3,FALSE),0)</f>
        <v>0</v>
      </c>
      <c r="AB40" s="259">
        <f>IF(OR(ROW(AB40)-5=AB$1,ROW(AB40)-5=AB$1+1),VLOOKUP(AB$3,Summary!$B$2:$L$35,3,FALSE),0)</f>
        <v>0</v>
      </c>
      <c r="AC40" s="259">
        <f>IF(OR(ROW(AC40)-5=AC$1,ROW(AC40)-5=AC$1+1),VLOOKUP(AC$3,Summary!$B$2:$L$35,3,FALSE),0)</f>
        <v>0</v>
      </c>
      <c r="AD40" s="259">
        <f>IF(OR(ROW(AD40)-5=AD$1,ROW(AD40)-5=AD$1+1),VLOOKUP(AD$3,Summary!$B$2:$L$35,3,FALSE),0)</f>
        <v>0</v>
      </c>
      <c r="AE40" s="259">
        <f>IF(OR(ROW(AE40)-5=AE$1,ROW(AE40)-5=AE$1+1),VLOOKUP(AE$3,Summary!$B$2:$L$35,3,FALSE),0)</f>
        <v>0</v>
      </c>
      <c r="AF40" s="331">
        <f t="shared" ca="1" si="7"/>
        <v>-54.40091632071622</v>
      </c>
    </row>
    <row r="41" spans="1:32">
      <c r="A41" s="259">
        <f ca="1">OFFSET(Summary!$I$2,TRUNC((ROW(A41)-ROW($A$7))/3,0),0)/1000</f>
        <v>167.37015518870214</v>
      </c>
      <c r="B41" s="259">
        <f>IF(OR(ROW(B41)-5=B$1,ROW(B41)-5=B$1+1),VLOOKUP(B$3,Summary!$B$2:$L$35,3,FALSE),0)</f>
        <v>0</v>
      </c>
      <c r="C41" s="259">
        <f>IF(OR(ROW(C41)-5=C$1,ROW(C41)-5=C$1+1),VLOOKUP(C$3,Summary!$B$2:$L$35,3,FALSE),0)</f>
        <v>0</v>
      </c>
      <c r="D41" s="259">
        <f>IF(OR(ROW(D41)-5=D$1,ROW(D41)-5=D$1+1),VLOOKUP(D$3,Summary!$B$2:$L$35,3,FALSE),0)</f>
        <v>0</v>
      </c>
      <c r="E41" s="259">
        <f>IF(OR(ROW(E41)-5=E$1,ROW(E41)-5=E$1+1),VLOOKUP(E$3,Summary!$B$2:$L$35,3,FALSE),0)</f>
        <v>0</v>
      </c>
      <c r="F41" s="259">
        <f>IF(OR(ROW(F41)-5=F$1,ROW(F41)-5=F$1+1),VLOOKUP(F$3,Summary!$B$2:$L$35,3,FALSE),0)</f>
        <v>0</v>
      </c>
      <c r="G41" s="259">
        <f>IF(OR(ROW(G41)-5=G$1,ROW(G41)-5=G$1+1),VLOOKUP(G$3,Summary!$B$2:$L$35,3,FALSE),0)</f>
        <v>0</v>
      </c>
      <c r="H41" s="259">
        <f>IF(OR(ROW(H41)-5=H$1,ROW(H41)-5=H$1+1),VLOOKUP(H$3,Summary!$B$2:$L$35,3,FALSE),0)</f>
        <v>0</v>
      </c>
      <c r="I41" s="259">
        <f>IF(OR(ROW(I41)-5=I$1,ROW(I41)-5=I$1+1),VLOOKUP(I$3,Summary!$B$2:$L$35,3,FALSE),0)</f>
        <v>0</v>
      </c>
      <c r="J41" s="259">
        <f>IF(OR(ROW(J41)-5=J$1,ROW(J41)-5=J$1+1),VLOOKUP(J$3,Summary!$B$2:$L$35,3,FALSE),0)</f>
        <v>0</v>
      </c>
      <c r="K41" s="259">
        <f>IF(OR(ROW(K41)-5=K$1,ROW(K41)-5=K$1+1),VLOOKUP(K$3,Summary!$B$2:$L$35,3,FALSE),0)</f>
        <v>0</v>
      </c>
      <c r="L41" s="259">
        <f>IF(OR(ROW(L41)-5=L$1,ROW(L41)-5=L$1+1),VLOOKUP(L$3,Summary!$B$2:$L$35,3,FALSE),0)</f>
        <v>0</v>
      </c>
      <c r="M41" s="259">
        <f>IF(OR(ROW(M41)-5=M$1,ROW(M41)-5=M$1+1),VLOOKUP(M$3,Summary!$B$2:$L$35,3,FALSE),0)</f>
        <v>0</v>
      </c>
      <c r="N41" s="259">
        <f>IF(OR(ROW(N41)-5=N$1,ROW(N41)-5=N$1+1),VLOOKUP(N$3,Summary!$B$2:$L$35,3,FALSE),0)</f>
        <v>0</v>
      </c>
      <c r="O41" s="259">
        <f>IF(OR(ROW(O41)-5=O$1,ROW(O41)-5=O$1+1),VLOOKUP(O$3,Summary!$B$2:$L$35,3,FALSE),0)</f>
        <v>0</v>
      </c>
      <c r="P41" s="259">
        <f>IF(OR(ROW(P41)-5=P$1,ROW(P41)-5=P$1+1),VLOOKUP(P$3,Summary!$B$2:$L$35,3,FALSE),0)</f>
        <v>0</v>
      </c>
      <c r="Q41" s="259">
        <f>IF(OR(ROW(Q41)-5=Q$1,ROW(Q41)-5=Q$1+1),VLOOKUP(Q$3,Summary!$B$2:$L$35,3,FALSE),0)</f>
        <v>0</v>
      </c>
      <c r="R41" s="259">
        <f>IF(OR(ROW(R41)-5=R$1,ROW(R41)-5=R$1+1),VLOOKUP(R$3,Summary!$B$2:$L$35,3,FALSE),0)</f>
        <v>0</v>
      </c>
      <c r="S41" s="259">
        <f>IF(OR(ROW(S41)-5=S$1,ROW(S41)-5=S$1+1),VLOOKUP(S$3,Summary!$B$2:$L$35,3,FALSE),0)</f>
        <v>0</v>
      </c>
      <c r="T41" s="259">
        <f>IF(OR(ROW(T41)-5=T$1,ROW(T41)-5=T$1+1),VLOOKUP(T$3,Summary!$B$2:$L$35,3,FALSE),0)</f>
        <v>0</v>
      </c>
      <c r="U41" s="259">
        <f>IF(OR(ROW(U41)-5=U$1,ROW(U41)-5=U$1+1),VLOOKUP(U$3,Summary!$B$2:$L$35,3,FALSE),0)</f>
        <v>0</v>
      </c>
      <c r="V41" s="259">
        <f>IF(OR(ROW(V41)-5=V$1,ROW(V41)-5=V$1+1),VLOOKUP(V$3,Summary!$B$2:$L$35,3,FALSE),0)</f>
        <v>0</v>
      </c>
      <c r="W41" s="259">
        <f>IF(OR(ROW(W41)-5=W$1,ROW(W41)-5=W$1+1),VLOOKUP(W$3,Summary!$B$2:$L$35,3,FALSE),0)</f>
        <v>0</v>
      </c>
      <c r="X41" s="259">
        <f>IF(OR(ROW(X41)-5=X$1,ROW(X41)-5=X$1+1),VLOOKUP(X$3,Summary!$B$2:$L$35,3,FALSE),0)</f>
        <v>0</v>
      </c>
      <c r="Y41" s="259">
        <f>IF(OR(ROW(Y41)-5=Y$1,ROW(Y41)-5=Y$1+1),VLOOKUP(Y$3,Summary!$B$2:$L$35,3,FALSE),0)</f>
        <v>0</v>
      </c>
      <c r="Z41" s="259">
        <f>IF(OR(ROW(Z41)-5=Z$1,ROW(Z41)-5=Z$1+1),VLOOKUP(Z$3,Summary!$B$2:$L$35,3,FALSE),0)</f>
        <v>0</v>
      </c>
      <c r="AA41" s="259">
        <f>IF(OR(ROW(AA41)-5=AA$1,ROW(AA41)-5=AA$1+1),VLOOKUP(AA$3,Summary!$B$2:$L$35,3,FALSE),0)</f>
        <v>0</v>
      </c>
      <c r="AB41" s="259">
        <f>IF(OR(ROW(AB41)-5=AB$1,ROW(AB41)-5=AB$1+1),VLOOKUP(AB$3,Summary!$B$2:$L$35,3,FALSE),0)</f>
        <v>0</v>
      </c>
      <c r="AC41" s="259">
        <f>IF(OR(ROW(AC41)-5=AC$1,ROW(AC41)-5=AC$1+1),VLOOKUP(AC$3,Summary!$B$2:$L$35,3,FALSE),0)</f>
        <v>0</v>
      </c>
      <c r="AD41" s="259">
        <f>IF(OR(ROW(AD41)-5=AD$1,ROW(AD41)-5=AD$1+1),VLOOKUP(AD$3,Summary!$B$2:$L$35,3,FALSE),0)</f>
        <v>0</v>
      </c>
      <c r="AE41" s="259">
        <f>IF(OR(ROW(AE41)-5=AE$1,ROW(AE41)-5=AE$1+1),VLOOKUP(AE$3,Summary!$B$2:$L$35,3,FALSE),0)</f>
        <v>0</v>
      </c>
      <c r="AF41" s="331" t="e">
        <f t="shared" ca="1" si="7"/>
        <v>#N/A</v>
      </c>
    </row>
    <row r="42" spans="1:32">
      <c r="A42" s="259">
        <f ca="1">OFFSET(Summary!$I$2,TRUNC((ROW(A42)-ROW($A$7))/3,0),0)/1000</f>
        <v>167.37015518870214</v>
      </c>
      <c r="B42" s="259">
        <f>IF(OR(ROW(B42)-5=B$1,ROW(B42)-5=B$1+1),VLOOKUP(B$3,Summary!$B$2:$L$35,3,FALSE),0)</f>
        <v>0</v>
      </c>
      <c r="C42" s="259">
        <f>IF(OR(ROW(C42)-5=C$1,ROW(C42)-5=C$1+1),VLOOKUP(C$3,Summary!$B$2:$L$35,3,FALSE),0)</f>
        <v>0</v>
      </c>
      <c r="D42" s="259">
        <f>IF(OR(ROW(D42)-5=D$1,ROW(D42)-5=D$1+1),VLOOKUP(D$3,Summary!$B$2:$L$35,3,FALSE),0)</f>
        <v>0</v>
      </c>
      <c r="E42" s="259">
        <f>IF(OR(ROW(E42)-5=E$1,ROW(E42)-5=E$1+1),VLOOKUP(E$3,Summary!$B$2:$L$35,3,FALSE),0)</f>
        <v>0</v>
      </c>
      <c r="F42" s="259">
        <f>IF(OR(ROW(F42)-5=F$1,ROW(F42)-5=F$1+1),VLOOKUP(F$3,Summary!$B$2:$L$35,3,FALSE),0)</f>
        <v>0</v>
      </c>
      <c r="G42" s="259">
        <f>IF(OR(ROW(G42)-5=G$1,ROW(G42)-5=G$1+1),VLOOKUP(G$3,Summary!$B$2:$L$35,3,FALSE),0)</f>
        <v>0</v>
      </c>
      <c r="H42" s="259">
        <f>IF(OR(ROW(H42)-5=H$1,ROW(H42)-5=H$1+1),VLOOKUP(H$3,Summary!$B$2:$L$35,3,FALSE),0)</f>
        <v>0</v>
      </c>
      <c r="I42" s="259">
        <f>IF(OR(ROW(I42)-5=I$1,ROW(I42)-5=I$1+1),VLOOKUP(I$3,Summary!$B$2:$L$35,3,FALSE),0)</f>
        <v>0</v>
      </c>
      <c r="J42" s="259">
        <f>IF(OR(ROW(J42)-5=J$1,ROW(J42)-5=J$1+1),VLOOKUP(J$3,Summary!$B$2:$L$35,3,FALSE),0)</f>
        <v>0</v>
      </c>
      <c r="K42" s="259">
        <f>IF(OR(ROW(K42)-5=K$1,ROW(K42)-5=K$1+1),VLOOKUP(K$3,Summary!$B$2:$L$35,3,FALSE),0)</f>
        <v>0</v>
      </c>
      <c r="L42" s="259">
        <f>IF(OR(ROW(L42)-5=L$1,ROW(L42)-5=L$1+1),VLOOKUP(L$3,Summary!$B$2:$L$35,3,FALSE),0)</f>
        <v>0</v>
      </c>
      <c r="M42" s="259">
        <f>IF(OR(ROW(M42)-5=M$1,ROW(M42)-5=M$1+1),VLOOKUP(M$3,Summary!$B$2:$L$35,3,FALSE),0)</f>
        <v>0</v>
      </c>
      <c r="N42" s="259">
        <f ca="1">IF(OR(ROW(N42)-5=N$1,ROW(N42)-5=N$1+1),VLOOKUP(N$3,Summary!$B$2:$L$35,3,FALSE),0)</f>
        <v>2.6602481319010307</v>
      </c>
      <c r="O42" s="259">
        <f>IF(OR(ROW(O42)-5=O$1,ROW(O42)-5=O$1+1),VLOOKUP(O$3,Summary!$B$2:$L$35,3,FALSE),0)</f>
        <v>0</v>
      </c>
      <c r="P42" s="259">
        <f>IF(OR(ROW(P42)-5=P$1,ROW(P42)-5=P$1+1),VLOOKUP(P$3,Summary!$B$2:$L$35,3,FALSE),0)</f>
        <v>0</v>
      </c>
      <c r="Q42" s="259">
        <f>IF(OR(ROW(Q42)-5=Q$1,ROW(Q42)-5=Q$1+1),VLOOKUP(Q$3,Summary!$B$2:$L$35,3,FALSE),0)</f>
        <v>0</v>
      </c>
      <c r="R42" s="259">
        <f>IF(OR(ROW(R42)-5=R$1,ROW(R42)-5=R$1+1),VLOOKUP(R$3,Summary!$B$2:$L$35,3,FALSE),0)</f>
        <v>0</v>
      </c>
      <c r="S42" s="259">
        <f>IF(OR(ROW(S42)-5=S$1,ROW(S42)-5=S$1+1),VLOOKUP(S$3,Summary!$B$2:$L$35,3,FALSE),0)</f>
        <v>0</v>
      </c>
      <c r="T42" s="259">
        <f>IF(OR(ROW(T42)-5=T$1,ROW(T42)-5=T$1+1),VLOOKUP(T$3,Summary!$B$2:$L$35,3,FALSE),0)</f>
        <v>0</v>
      </c>
      <c r="U42" s="259">
        <f>IF(OR(ROW(U42)-5=U$1,ROW(U42)-5=U$1+1),VLOOKUP(U$3,Summary!$B$2:$L$35,3,FALSE),0)</f>
        <v>0</v>
      </c>
      <c r="V42" s="259">
        <f>IF(OR(ROW(V42)-5=V$1,ROW(V42)-5=V$1+1),VLOOKUP(V$3,Summary!$B$2:$L$35,3,FALSE),0)</f>
        <v>0</v>
      </c>
      <c r="W42" s="259">
        <f>IF(OR(ROW(W42)-5=W$1,ROW(W42)-5=W$1+1),VLOOKUP(W$3,Summary!$B$2:$L$35,3,FALSE),0)</f>
        <v>0</v>
      </c>
      <c r="X42" s="259">
        <f>IF(OR(ROW(X42)-5=X$1,ROW(X42)-5=X$1+1),VLOOKUP(X$3,Summary!$B$2:$L$35,3,FALSE),0)</f>
        <v>0</v>
      </c>
      <c r="Y42" s="259">
        <f>IF(OR(ROW(Y42)-5=Y$1,ROW(Y42)-5=Y$1+1),VLOOKUP(Y$3,Summary!$B$2:$L$35,3,FALSE),0)</f>
        <v>0</v>
      </c>
      <c r="Z42" s="259">
        <f>IF(OR(ROW(Z42)-5=Z$1,ROW(Z42)-5=Z$1+1),VLOOKUP(Z$3,Summary!$B$2:$L$35,3,FALSE),0)</f>
        <v>0</v>
      </c>
      <c r="AA42" s="259">
        <f>IF(OR(ROW(AA42)-5=AA$1,ROW(AA42)-5=AA$1+1),VLOOKUP(AA$3,Summary!$B$2:$L$35,3,FALSE),0)</f>
        <v>0</v>
      </c>
      <c r="AB42" s="259">
        <f>IF(OR(ROW(AB42)-5=AB$1,ROW(AB42)-5=AB$1+1),VLOOKUP(AB$3,Summary!$B$2:$L$35,3,FALSE),0)</f>
        <v>0</v>
      </c>
      <c r="AC42" s="259">
        <f>IF(OR(ROW(AC42)-5=AC$1,ROW(AC42)-5=AC$1+1),VLOOKUP(AC$3,Summary!$B$2:$L$35,3,FALSE),0)</f>
        <v>0</v>
      </c>
      <c r="AD42" s="259">
        <f>IF(OR(ROW(AD42)-5=AD$1,ROW(AD42)-5=AD$1+1),VLOOKUP(AD$3,Summary!$B$2:$L$35,3,FALSE),0)</f>
        <v>0</v>
      </c>
      <c r="AE42" s="259">
        <f>IF(OR(ROW(AE42)-5=AE$1,ROW(AE42)-5=AE$1+1),VLOOKUP(AE$3,Summary!$B$2:$L$35,3,FALSE),0)</f>
        <v>0</v>
      </c>
      <c r="AF42" s="331">
        <f t="shared" ca="1" si="7"/>
        <v>-34.570101158423299</v>
      </c>
    </row>
    <row r="43" spans="1:32">
      <c r="A43" s="259">
        <f ca="1">OFFSET(Summary!$I$2,TRUNC((ROW(A43)-ROW($A$7))/3,0),0)/1000</f>
        <v>168.69594028540277</v>
      </c>
      <c r="B43" s="259">
        <f>IF(OR(ROW(B43)-5=B$1,ROW(B43)-5=B$1+1),VLOOKUP(B$3,Summary!$B$2:$L$35,3,FALSE),0)</f>
        <v>0</v>
      </c>
      <c r="C43" s="259">
        <f>IF(OR(ROW(C43)-5=C$1,ROW(C43)-5=C$1+1),VLOOKUP(C$3,Summary!$B$2:$L$35,3,FALSE),0)</f>
        <v>0</v>
      </c>
      <c r="D43" s="259">
        <f>IF(OR(ROW(D43)-5=D$1,ROW(D43)-5=D$1+1),VLOOKUP(D$3,Summary!$B$2:$L$35,3,FALSE),0)</f>
        <v>0</v>
      </c>
      <c r="E43" s="259">
        <f>IF(OR(ROW(E43)-5=E$1,ROW(E43)-5=E$1+1),VLOOKUP(E$3,Summary!$B$2:$L$35,3,FALSE),0)</f>
        <v>0</v>
      </c>
      <c r="F43" s="259">
        <f>IF(OR(ROW(F43)-5=F$1,ROW(F43)-5=F$1+1),VLOOKUP(F$3,Summary!$B$2:$L$35,3,FALSE),0)</f>
        <v>0</v>
      </c>
      <c r="G43" s="259">
        <f>IF(OR(ROW(G43)-5=G$1,ROW(G43)-5=G$1+1),VLOOKUP(G$3,Summary!$B$2:$L$35,3,FALSE),0)</f>
        <v>0</v>
      </c>
      <c r="H43" s="259">
        <f>IF(OR(ROW(H43)-5=H$1,ROW(H43)-5=H$1+1),VLOOKUP(H$3,Summary!$B$2:$L$35,3,FALSE),0)</f>
        <v>0</v>
      </c>
      <c r="I43" s="259">
        <f>IF(OR(ROW(I43)-5=I$1,ROW(I43)-5=I$1+1),VLOOKUP(I$3,Summary!$B$2:$L$35,3,FALSE),0)</f>
        <v>0</v>
      </c>
      <c r="J43" s="259">
        <f>IF(OR(ROW(J43)-5=J$1,ROW(J43)-5=J$1+1),VLOOKUP(J$3,Summary!$B$2:$L$35,3,FALSE),0)</f>
        <v>0</v>
      </c>
      <c r="K43" s="259">
        <f>IF(OR(ROW(K43)-5=K$1,ROW(K43)-5=K$1+1),VLOOKUP(K$3,Summary!$B$2:$L$35,3,FALSE),0)</f>
        <v>0</v>
      </c>
      <c r="L43" s="259">
        <f>IF(OR(ROW(L43)-5=L$1,ROW(L43)-5=L$1+1),VLOOKUP(L$3,Summary!$B$2:$L$35,3,FALSE),0)</f>
        <v>0</v>
      </c>
      <c r="M43" s="259">
        <f>IF(OR(ROW(M43)-5=M$1,ROW(M43)-5=M$1+1),VLOOKUP(M$3,Summary!$B$2:$L$35,3,FALSE),0)</f>
        <v>0</v>
      </c>
      <c r="N43" s="259">
        <f ca="1">IF(OR(ROW(N43)-5=N$1,ROW(N43)-5=N$1+1),VLOOKUP(N$3,Summary!$B$2:$L$35,3,FALSE),0)</f>
        <v>2.6602481319010307</v>
      </c>
      <c r="O43" s="259">
        <f>IF(OR(ROW(O43)-5=O$1,ROW(O43)-5=O$1+1),VLOOKUP(O$3,Summary!$B$2:$L$35,3,FALSE),0)</f>
        <v>0</v>
      </c>
      <c r="P43" s="259">
        <f>IF(OR(ROW(P43)-5=P$1,ROW(P43)-5=P$1+1),VLOOKUP(P$3,Summary!$B$2:$L$35,3,FALSE),0)</f>
        <v>0</v>
      </c>
      <c r="Q43" s="259">
        <f>IF(OR(ROW(Q43)-5=Q$1,ROW(Q43)-5=Q$1+1),VLOOKUP(Q$3,Summary!$B$2:$L$35,3,FALSE),0)</f>
        <v>0</v>
      </c>
      <c r="R43" s="259">
        <f>IF(OR(ROW(R43)-5=R$1,ROW(R43)-5=R$1+1),VLOOKUP(R$3,Summary!$B$2:$L$35,3,FALSE),0)</f>
        <v>0</v>
      </c>
      <c r="S43" s="259">
        <f>IF(OR(ROW(S43)-5=S$1,ROW(S43)-5=S$1+1),VLOOKUP(S$3,Summary!$B$2:$L$35,3,FALSE),0)</f>
        <v>0</v>
      </c>
      <c r="T43" s="259">
        <f>IF(OR(ROW(T43)-5=T$1,ROW(T43)-5=T$1+1),VLOOKUP(T$3,Summary!$B$2:$L$35,3,FALSE),0)</f>
        <v>0</v>
      </c>
      <c r="U43" s="259">
        <f>IF(OR(ROW(U43)-5=U$1,ROW(U43)-5=U$1+1),VLOOKUP(U$3,Summary!$B$2:$L$35,3,FALSE),0)</f>
        <v>0</v>
      </c>
      <c r="V43" s="259">
        <f>IF(OR(ROW(V43)-5=V$1,ROW(V43)-5=V$1+1),VLOOKUP(V$3,Summary!$B$2:$L$35,3,FALSE),0)</f>
        <v>0</v>
      </c>
      <c r="W43" s="259">
        <f>IF(OR(ROW(W43)-5=W$1,ROW(W43)-5=W$1+1),VLOOKUP(W$3,Summary!$B$2:$L$35,3,FALSE),0)</f>
        <v>0</v>
      </c>
      <c r="X43" s="259">
        <f>IF(OR(ROW(X43)-5=X$1,ROW(X43)-5=X$1+1),VLOOKUP(X$3,Summary!$B$2:$L$35,3,FALSE),0)</f>
        <v>0</v>
      </c>
      <c r="Y43" s="259">
        <f>IF(OR(ROW(Y43)-5=Y$1,ROW(Y43)-5=Y$1+1),VLOOKUP(Y$3,Summary!$B$2:$L$35,3,FALSE),0)</f>
        <v>0</v>
      </c>
      <c r="Z43" s="259">
        <f>IF(OR(ROW(Z43)-5=Z$1,ROW(Z43)-5=Z$1+1),VLOOKUP(Z$3,Summary!$B$2:$L$35,3,FALSE),0)</f>
        <v>0</v>
      </c>
      <c r="AA43" s="259">
        <f>IF(OR(ROW(AA43)-5=AA$1,ROW(AA43)-5=AA$1+1),VLOOKUP(AA$3,Summary!$B$2:$L$35,3,FALSE),0)</f>
        <v>0</v>
      </c>
      <c r="AB43" s="259">
        <f>IF(OR(ROW(AB43)-5=AB$1,ROW(AB43)-5=AB$1+1),VLOOKUP(AB$3,Summary!$B$2:$L$35,3,FALSE),0)</f>
        <v>0</v>
      </c>
      <c r="AC43" s="259">
        <f>IF(OR(ROW(AC43)-5=AC$1,ROW(AC43)-5=AC$1+1),VLOOKUP(AC$3,Summary!$B$2:$L$35,3,FALSE),0)</f>
        <v>0</v>
      </c>
      <c r="AD43" s="259">
        <f>IF(OR(ROW(AD43)-5=AD$1,ROW(AD43)-5=AD$1+1),VLOOKUP(AD$3,Summary!$B$2:$L$35,3,FALSE),0)</f>
        <v>0</v>
      </c>
      <c r="AE43" s="259">
        <f>IF(OR(ROW(AE43)-5=AE$1,ROW(AE43)-5=AE$1+1),VLOOKUP(AE$3,Summary!$B$2:$L$35,3,FALSE),0)</f>
        <v>0</v>
      </c>
      <c r="AF43" s="331">
        <f t="shared" ca="1" si="7"/>
        <v>-34.570101158423299</v>
      </c>
    </row>
    <row r="44" spans="1:32">
      <c r="A44" s="259">
        <f ca="1">OFFSET(Summary!$I$2,TRUNC((ROW(A44)-ROW($A$7))/3,0),0)/1000</f>
        <v>168.69594028540277</v>
      </c>
      <c r="B44" s="259">
        <f>IF(OR(ROW(B44)-5=B$1,ROW(B44)-5=B$1+1),VLOOKUP(B$3,Summary!$B$2:$L$35,3,FALSE),0)</f>
        <v>0</v>
      </c>
      <c r="C44" s="259">
        <f>IF(OR(ROW(C44)-5=C$1,ROW(C44)-5=C$1+1),VLOOKUP(C$3,Summary!$B$2:$L$35,3,FALSE),0)</f>
        <v>0</v>
      </c>
      <c r="D44" s="259">
        <f>IF(OR(ROW(D44)-5=D$1,ROW(D44)-5=D$1+1),VLOOKUP(D$3,Summary!$B$2:$L$35,3,FALSE),0)</f>
        <v>0</v>
      </c>
      <c r="E44" s="259">
        <f>IF(OR(ROW(E44)-5=E$1,ROW(E44)-5=E$1+1),VLOOKUP(E$3,Summary!$B$2:$L$35,3,FALSE),0)</f>
        <v>0</v>
      </c>
      <c r="F44" s="259">
        <f>IF(OR(ROW(F44)-5=F$1,ROW(F44)-5=F$1+1),VLOOKUP(F$3,Summary!$B$2:$L$35,3,FALSE),0)</f>
        <v>0</v>
      </c>
      <c r="G44" s="259">
        <f>IF(OR(ROW(G44)-5=G$1,ROW(G44)-5=G$1+1),VLOOKUP(G$3,Summary!$B$2:$L$35,3,FALSE),0)</f>
        <v>0</v>
      </c>
      <c r="H44" s="259">
        <f>IF(OR(ROW(H44)-5=H$1,ROW(H44)-5=H$1+1),VLOOKUP(H$3,Summary!$B$2:$L$35,3,FALSE),0)</f>
        <v>0</v>
      </c>
      <c r="I44" s="259">
        <f>IF(OR(ROW(I44)-5=I$1,ROW(I44)-5=I$1+1),VLOOKUP(I$3,Summary!$B$2:$L$35,3,FALSE),0)</f>
        <v>0</v>
      </c>
      <c r="J44" s="259">
        <f>IF(OR(ROW(J44)-5=J$1,ROW(J44)-5=J$1+1),VLOOKUP(J$3,Summary!$B$2:$L$35,3,FALSE),0)</f>
        <v>0</v>
      </c>
      <c r="K44" s="259">
        <f>IF(OR(ROW(K44)-5=K$1,ROW(K44)-5=K$1+1),VLOOKUP(K$3,Summary!$B$2:$L$35,3,FALSE),0)</f>
        <v>0</v>
      </c>
      <c r="L44" s="259">
        <f>IF(OR(ROW(L44)-5=L$1,ROW(L44)-5=L$1+1),VLOOKUP(L$3,Summary!$B$2:$L$35,3,FALSE),0)</f>
        <v>0</v>
      </c>
      <c r="M44" s="259">
        <f>IF(OR(ROW(M44)-5=M$1,ROW(M44)-5=M$1+1),VLOOKUP(M$3,Summary!$B$2:$L$35,3,FALSE),0)</f>
        <v>0</v>
      </c>
      <c r="N44" s="259">
        <f>IF(OR(ROW(N44)-5=N$1,ROW(N44)-5=N$1+1),VLOOKUP(N$3,Summary!$B$2:$L$35,3,FALSE),0)</f>
        <v>0</v>
      </c>
      <c r="O44" s="259">
        <f>IF(OR(ROW(O44)-5=O$1,ROW(O44)-5=O$1+1),VLOOKUP(O$3,Summary!$B$2:$L$35,3,FALSE),0)</f>
        <v>0</v>
      </c>
      <c r="P44" s="259">
        <f>IF(OR(ROW(P44)-5=P$1,ROW(P44)-5=P$1+1),VLOOKUP(P$3,Summary!$B$2:$L$35,3,FALSE),0)</f>
        <v>0</v>
      </c>
      <c r="Q44" s="259">
        <f>IF(OR(ROW(Q44)-5=Q$1,ROW(Q44)-5=Q$1+1),VLOOKUP(Q$3,Summary!$B$2:$L$35,3,FALSE),0)</f>
        <v>0</v>
      </c>
      <c r="R44" s="259">
        <f>IF(OR(ROW(R44)-5=R$1,ROW(R44)-5=R$1+1),VLOOKUP(R$3,Summary!$B$2:$L$35,3,FALSE),0)</f>
        <v>0</v>
      </c>
      <c r="S44" s="259">
        <f>IF(OR(ROW(S44)-5=S$1,ROW(S44)-5=S$1+1),VLOOKUP(S$3,Summary!$B$2:$L$35,3,FALSE),0)</f>
        <v>0</v>
      </c>
      <c r="T44" s="259">
        <f>IF(OR(ROW(T44)-5=T$1,ROW(T44)-5=T$1+1),VLOOKUP(T$3,Summary!$B$2:$L$35,3,FALSE),0)</f>
        <v>0</v>
      </c>
      <c r="U44" s="259">
        <f>IF(OR(ROW(U44)-5=U$1,ROW(U44)-5=U$1+1),VLOOKUP(U$3,Summary!$B$2:$L$35,3,FALSE),0)</f>
        <v>0</v>
      </c>
      <c r="V44" s="259">
        <f>IF(OR(ROW(V44)-5=V$1,ROW(V44)-5=V$1+1),VLOOKUP(V$3,Summary!$B$2:$L$35,3,FALSE),0)</f>
        <v>0</v>
      </c>
      <c r="W44" s="259">
        <f>IF(OR(ROW(W44)-5=W$1,ROW(W44)-5=W$1+1),VLOOKUP(W$3,Summary!$B$2:$L$35,3,FALSE),0)</f>
        <v>0</v>
      </c>
      <c r="X44" s="259">
        <f>IF(OR(ROW(X44)-5=X$1,ROW(X44)-5=X$1+1),VLOOKUP(X$3,Summary!$B$2:$L$35,3,FALSE),0)</f>
        <v>0</v>
      </c>
      <c r="Y44" s="259">
        <f>IF(OR(ROW(Y44)-5=Y$1,ROW(Y44)-5=Y$1+1),VLOOKUP(Y$3,Summary!$B$2:$L$35,3,FALSE),0)</f>
        <v>0</v>
      </c>
      <c r="Z44" s="259">
        <f>IF(OR(ROW(Z44)-5=Z$1,ROW(Z44)-5=Z$1+1),VLOOKUP(Z$3,Summary!$B$2:$L$35,3,FALSE),0)</f>
        <v>0</v>
      </c>
      <c r="AA44" s="259">
        <f>IF(OR(ROW(AA44)-5=AA$1,ROW(AA44)-5=AA$1+1),VLOOKUP(AA$3,Summary!$B$2:$L$35,3,FALSE),0)</f>
        <v>0</v>
      </c>
      <c r="AB44" s="259">
        <f>IF(OR(ROW(AB44)-5=AB$1,ROW(AB44)-5=AB$1+1),VLOOKUP(AB$3,Summary!$B$2:$L$35,3,FALSE),0)</f>
        <v>0</v>
      </c>
      <c r="AC44" s="259">
        <f>IF(OR(ROW(AC44)-5=AC$1,ROW(AC44)-5=AC$1+1),VLOOKUP(AC$3,Summary!$B$2:$L$35,3,FALSE),0)</f>
        <v>0</v>
      </c>
      <c r="AD44" s="259">
        <f>IF(OR(ROW(AD44)-5=AD$1,ROW(AD44)-5=AD$1+1),VLOOKUP(AD$3,Summary!$B$2:$L$35,3,FALSE),0)</f>
        <v>0</v>
      </c>
      <c r="AE44" s="259">
        <f>IF(OR(ROW(AE44)-5=AE$1,ROW(AE44)-5=AE$1+1),VLOOKUP(AE$3,Summary!$B$2:$L$35,3,FALSE),0)</f>
        <v>0</v>
      </c>
      <c r="AF44" s="331" t="e">
        <f t="shared" ca="1" si="7"/>
        <v>#N/A</v>
      </c>
    </row>
    <row r="45" spans="1:32">
      <c r="A45" s="259">
        <f ca="1">OFFSET(Summary!$I$2,TRUNC((ROW(A45)-ROW($A$7))/3,0),0)/1000</f>
        <v>168.69594028540277</v>
      </c>
      <c r="B45" s="259">
        <f>IF(OR(ROW(B45)-5=B$1,ROW(B45)-5=B$1+1),VLOOKUP(B$3,Summary!$B$2:$L$35,3,FALSE),0)</f>
        <v>0</v>
      </c>
      <c r="C45" s="259">
        <f>IF(OR(ROW(C45)-5=C$1,ROW(C45)-5=C$1+1),VLOOKUP(C$3,Summary!$B$2:$L$35,3,FALSE),0)</f>
        <v>0</v>
      </c>
      <c r="D45" s="259">
        <f>IF(OR(ROW(D45)-5=D$1,ROW(D45)-5=D$1+1),VLOOKUP(D$3,Summary!$B$2:$L$35,3,FALSE),0)</f>
        <v>0</v>
      </c>
      <c r="E45" s="259">
        <f>IF(OR(ROW(E45)-5=E$1,ROW(E45)-5=E$1+1),VLOOKUP(E$3,Summary!$B$2:$L$35,3,FALSE),0)</f>
        <v>0</v>
      </c>
      <c r="F45" s="259">
        <f>IF(OR(ROW(F45)-5=F$1,ROW(F45)-5=F$1+1),VLOOKUP(F$3,Summary!$B$2:$L$35,3,FALSE),0)</f>
        <v>0</v>
      </c>
      <c r="G45" s="259">
        <f>IF(OR(ROW(G45)-5=G$1,ROW(G45)-5=G$1+1),VLOOKUP(G$3,Summary!$B$2:$L$35,3,FALSE),0)</f>
        <v>0</v>
      </c>
      <c r="H45" s="259">
        <f>IF(OR(ROW(H45)-5=H$1,ROW(H45)-5=H$1+1),VLOOKUP(H$3,Summary!$B$2:$L$35,3,FALSE),0)</f>
        <v>0</v>
      </c>
      <c r="I45" s="259">
        <f>IF(OR(ROW(I45)-5=I$1,ROW(I45)-5=I$1+1),VLOOKUP(I$3,Summary!$B$2:$L$35,3,FALSE),0)</f>
        <v>0</v>
      </c>
      <c r="J45" s="259">
        <f>IF(OR(ROW(J45)-5=J$1,ROW(J45)-5=J$1+1),VLOOKUP(J$3,Summary!$B$2:$L$35,3,FALSE),0)</f>
        <v>0</v>
      </c>
      <c r="K45" s="259">
        <f>IF(OR(ROW(K45)-5=K$1,ROW(K45)-5=K$1+1),VLOOKUP(K$3,Summary!$B$2:$L$35,3,FALSE),0)</f>
        <v>0</v>
      </c>
      <c r="L45" s="259">
        <f>IF(OR(ROW(L45)-5=L$1,ROW(L45)-5=L$1+1),VLOOKUP(L$3,Summary!$B$2:$L$35,3,FALSE),0)</f>
        <v>0</v>
      </c>
      <c r="M45" s="259">
        <f>IF(OR(ROW(M45)-5=M$1,ROW(M45)-5=M$1+1),VLOOKUP(M$3,Summary!$B$2:$L$35,3,FALSE),0)</f>
        <v>0</v>
      </c>
      <c r="N45" s="259">
        <f>IF(OR(ROW(N45)-5=N$1,ROW(N45)-5=N$1+1),VLOOKUP(N$3,Summary!$B$2:$L$35,3,FALSE),0)</f>
        <v>0</v>
      </c>
      <c r="O45" s="259">
        <f ca="1">IF(OR(ROW(O45)-5=O$1,ROW(O45)-5=O$1+1),VLOOKUP(O$3,Summary!$B$2:$L$35,3,FALSE),0)</f>
        <v>6.1336299893506787</v>
      </c>
      <c r="P45" s="259">
        <f>IF(OR(ROW(P45)-5=P$1,ROW(P45)-5=P$1+1),VLOOKUP(P$3,Summary!$B$2:$L$35,3,FALSE),0)</f>
        <v>0</v>
      </c>
      <c r="Q45" s="259">
        <f>IF(OR(ROW(Q45)-5=Q$1,ROW(Q45)-5=Q$1+1),VLOOKUP(Q$3,Summary!$B$2:$L$35,3,FALSE),0)</f>
        <v>0</v>
      </c>
      <c r="R45" s="259">
        <f>IF(OR(ROW(R45)-5=R$1,ROW(R45)-5=R$1+1),VLOOKUP(R$3,Summary!$B$2:$L$35,3,FALSE),0)</f>
        <v>0</v>
      </c>
      <c r="S45" s="259">
        <f>IF(OR(ROW(S45)-5=S$1,ROW(S45)-5=S$1+1),VLOOKUP(S$3,Summary!$B$2:$L$35,3,FALSE),0)</f>
        <v>0</v>
      </c>
      <c r="T45" s="259">
        <f>IF(OR(ROW(T45)-5=T$1,ROW(T45)-5=T$1+1),VLOOKUP(T$3,Summary!$B$2:$L$35,3,FALSE),0)</f>
        <v>0</v>
      </c>
      <c r="U45" s="259">
        <f>IF(OR(ROW(U45)-5=U$1,ROW(U45)-5=U$1+1),VLOOKUP(U$3,Summary!$B$2:$L$35,3,FALSE),0)</f>
        <v>0</v>
      </c>
      <c r="V45" s="259">
        <f>IF(OR(ROW(V45)-5=V$1,ROW(V45)-5=V$1+1),VLOOKUP(V$3,Summary!$B$2:$L$35,3,FALSE),0)</f>
        <v>0</v>
      </c>
      <c r="W45" s="259">
        <f>IF(OR(ROW(W45)-5=W$1,ROW(W45)-5=W$1+1),VLOOKUP(W$3,Summary!$B$2:$L$35,3,FALSE),0)</f>
        <v>0</v>
      </c>
      <c r="X45" s="259">
        <f>IF(OR(ROW(X45)-5=X$1,ROW(X45)-5=X$1+1),VLOOKUP(X$3,Summary!$B$2:$L$35,3,FALSE),0)</f>
        <v>0</v>
      </c>
      <c r="Y45" s="259">
        <f>IF(OR(ROW(Y45)-5=Y$1,ROW(Y45)-5=Y$1+1),VLOOKUP(Y$3,Summary!$B$2:$L$35,3,FALSE),0)</f>
        <v>0</v>
      </c>
      <c r="Z45" s="259">
        <f>IF(OR(ROW(Z45)-5=Z$1,ROW(Z45)-5=Z$1+1),VLOOKUP(Z$3,Summary!$B$2:$L$35,3,FALSE),0)</f>
        <v>0</v>
      </c>
      <c r="AA45" s="259">
        <f>IF(OR(ROW(AA45)-5=AA$1,ROW(AA45)-5=AA$1+1),VLOOKUP(AA$3,Summary!$B$2:$L$35,3,FALSE),0)</f>
        <v>0</v>
      </c>
      <c r="AB45" s="259">
        <f>IF(OR(ROW(AB45)-5=AB$1,ROW(AB45)-5=AB$1+1),VLOOKUP(AB$3,Summary!$B$2:$L$35,3,FALSE),0)</f>
        <v>0</v>
      </c>
      <c r="AC45" s="259">
        <f>IF(OR(ROW(AC45)-5=AC$1,ROW(AC45)-5=AC$1+1),VLOOKUP(AC$3,Summary!$B$2:$L$35,3,FALSE),0)</f>
        <v>0</v>
      </c>
      <c r="AD45" s="259">
        <f>IF(OR(ROW(AD45)-5=AD$1,ROW(AD45)-5=AD$1+1),VLOOKUP(AD$3,Summary!$B$2:$L$35,3,FALSE),0)</f>
        <v>0</v>
      </c>
      <c r="AE45" s="259">
        <f>IF(OR(ROW(AE45)-5=AE$1,ROW(AE45)-5=AE$1+1),VLOOKUP(AE$3,Summary!$B$2:$L$35,3,FALSE),0)</f>
        <v>0</v>
      </c>
      <c r="AF45" s="331">
        <f t="shared" ca="1" si="7"/>
        <v>-26.778720183058446</v>
      </c>
    </row>
    <row r="46" spans="1:32">
      <c r="A46" s="259">
        <f ca="1">OFFSET(Summary!$I$2,TRUNC((ROW(A46)-ROW($A$7))/3,0),0)/1000</f>
        <v>168.73804665111203</v>
      </c>
      <c r="B46" s="259">
        <f>IF(OR(ROW(B46)-5=B$1,ROW(B46)-5=B$1+1),VLOOKUP(B$3,Summary!$B$2:$L$35,3,FALSE),0)</f>
        <v>0</v>
      </c>
      <c r="C46" s="259">
        <f>IF(OR(ROW(C46)-5=C$1,ROW(C46)-5=C$1+1),VLOOKUP(C$3,Summary!$B$2:$L$35,3,FALSE),0)</f>
        <v>0</v>
      </c>
      <c r="D46" s="259">
        <f>IF(OR(ROW(D46)-5=D$1,ROW(D46)-5=D$1+1),VLOOKUP(D$3,Summary!$B$2:$L$35,3,FALSE),0)</f>
        <v>0</v>
      </c>
      <c r="E46" s="259">
        <f>IF(OR(ROW(E46)-5=E$1,ROW(E46)-5=E$1+1),VLOOKUP(E$3,Summary!$B$2:$L$35,3,FALSE),0)</f>
        <v>0</v>
      </c>
      <c r="F46" s="259">
        <f>IF(OR(ROW(F46)-5=F$1,ROW(F46)-5=F$1+1),VLOOKUP(F$3,Summary!$B$2:$L$35,3,FALSE),0)</f>
        <v>0</v>
      </c>
      <c r="G46" s="259">
        <f>IF(OR(ROW(G46)-5=G$1,ROW(G46)-5=G$1+1),VLOOKUP(G$3,Summary!$B$2:$L$35,3,FALSE),0)</f>
        <v>0</v>
      </c>
      <c r="H46" s="259">
        <f>IF(OR(ROW(H46)-5=H$1,ROW(H46)-5=H$1+1),VLOOKUP(H$3,Summary!$B$2:$L$35,3,FALSE),0)</f>
        <v>0</v>
      </c>
      <c r="I46" s="259">
        <f>IF(OR(ROW(I46)-5=I$1,ROW(I46)-5=I$1+1),VLOOKUP(I$3,Summary!$B$2:$L$35,3,FALSE),0)</f>
        <v>0</v>
      </c>
      <c r="J46" s="259">
        <f>IF(OR(ROW(J46)-5=J$1,ROW(J46)-5=J$1+1),VLOOKUP(J$3,Summary!$B$2:$L$35,3,FALSE),0)</f>
        <v>0</v>
      </c>
      <c r="K46" s="259">
        <f>IF(OR(ROW(K46)-5=K$1,ROW(K46)-5=K$1+1),VLOOKUP(K$3,Summary!$B$2:$L$35,3,FALSE),0)</f>
        <v>0</v>
      </c>
      <c r="L46" s="259">
        <f>IF(OR(ROW(L46)-5=L$1,ROW(L46)-5=L$1+1),VLOOKUP(L$3,Summary!$B$2:$L$35,3,FALSE),0)</f>
        <v>0</v>
      </c>
      <c r="M46" s="259">
        <f>IF(OR(ROW(M46)-5=M$1,ROW(M46)-5=M$1+1),VLOOKUP(M$3,Summary!$B$2:$L$35,3,FALSE),0)</f>
        <v>0</v>
      </c>
      <c r="N46" s="259">
        <f>IF(OR(ROW(N46)-5=N$1,ROW(N46)-5=N$1+1),VLOOKUP(N$3,Summary!$B$2:$L$35,3,FALSE),0)</f>
        <v>0</v>
      </c>
      <c r="O46" s="259">
        <f ca="1">IF(OR(ROW(O46)-5=O$1,ROW(O46)-5=O$1+1),VLOOKUP(O$3,Summary!$B$2:$L$35,3,FALSE),0)</f>
        <v>6.1336299893506787</v>
      </c>
      <c r="P46" s="259">
        <f>IF(OR(ROW(P46)-5=P$1,ROW(P46)-5=P$1+1),VLOOKUP(P$3,Summary!$B$2:$L$35,3,FALSE),0)</f>
        <v>0</v>
      </c>
      <c r="Q46" s="259">
        <f>IF(OR(ROW(Q46)-5=Q$1,ROW(Q46)-5=Q$1+1),VLOOKUP(Q$3,Summary!$B$2:$L$35,3,FALSE),0)</f>
        <v>0</v>
      </c>
      <c r="R46" s="259">
        <f>IF(OR(ROW(R46)-5=R$1,ROW(R46)-5=R$1+1),VLOOKUP(R$3,Summary!$B$2:$L$35,3,FALSE),0)</f>
        <v>0</v>
      </c>
      <c r="S46" s="259">
        <f>IF(OR(ROW(S46)-5=S$1,ROW(S46)-5=S$1+1),VLOOKUP(S$3,Summary!$B$2:$L$35,3,FALSE),0)</f>
        <v>0</v>
      </c>
      <c r="T46" s="259">
        <f>IF(OR(ROW(T46)-5=T$1,ROW(T46)-5=T$1+1),VLOOKUP(T$3,Summary!$B$2:$L$35,3,FALSE),0)</f>
        <v>0</v>
      </c>
      <c r="U46" s="259">
        <f>IF(OR(ROW(U46)-5=U$1,ROW(U46)-5=U$1+1),VLOOKUP(U$3,Summary!$B$2:$L$35,3,FALSE),0)</f>
        <v>0</v>
      </c>
      <c r="V46" s="259">
        <f>IF(OR(ROW(V46)-5=V$1,ROW(V46)-5=V$1+1),VLOOKUP(V$3,Summary!$B$2:$L$35,3,FALSE),0)</f>
        <v>0</v>
      </c>
      <c r="W46" s="259">
        <f>IF(OR(ROW(W46)-5=W$1,ROW(W46)-5=W$1+1),VLOOKUP(W$3,Summary!$B$2:$L$35,3,FALSE),0)</f>
        <v>0</v>
      </c>
      <c r="X46" s="259">
        <f>IF(OR(ROW(X46)-5=X$1,ROW(X46)-5=X$1+1),VLOOKUP(X$3,Summary!$B$2:$L$35,3,FALSE),0)</f>
        <v>0</v>
      </c>
      <c r="Y46" s="259">
        <f>IF(OR(ROW(Y46)-5=Y$1,ROW(Y46)-5=Y$1+1),VLOOKUP(Y$3,Summary!$B$2:$L$35,3,FALSE),0)</f>
        <v>0</v>
      </c>
      <c r="Z46" s="259">
        <f>IF(OR(ROW(Z46)-5=Z$1,ROW(Z46)-5=Z$1+1),VLOOKUP(Z$3,Summary!$B$2:$L$35,3,FALSE),0)</f>
        <v>0</v>
      </c>
      <c r="AA46" s="259">
        <f>IF(OR(ROW(AA46)-5=AA$1,ROW(AA46)-5=AA$1+1),VLOOKUP(AA$3,Summary!$B$2:$L$35,3,FALSE),0)</f>
        <v>0</v>
      </c>
      <c r="AB46" s="259">
        <f>IF(OR(ROW(AB46)-5=AB$1,ROW(AB46)-5=AB$1+1),VLOOKUP(AB$3,Summary!$B$2:$L$35,3,FALSE),0)</f>
        <v>0</v>
      </c>
      <c r="AC46" s="259">
        <f>IF(OR(ROW(AC46)-5=AC$1,ROW(AC46)-5=AC$1+1),VLOOKUP(AC$3,Summary!$B$2:$L$35,3,FALSE),0)</f>
        <v>0</v>
      </c>
      <c r="AD46" s="259">
        <f>IF(OR(ROW(AD46)-5=AD$1,ROW(AD46)-5=AD$1+1),VLOOKUP(AD$3,Summary!$B$2:$L$35,3,FALSE),0)</f>
        <v>0</v>
      </c>
      <c r="AE46" s="259">
        <f>IF(OR(ROW(AE46)-5=AE$1,ROW(AE46)-5=AE$1+1),VLOOKUP(AE$3,Summary!$B$2:$L$35,3,FALSE),0)</f>
        <v>0</v>
      </c>
      <c r="AF46" s="331">
        <f t="shared" ca="1" si="7"/>
        <v>-26.778720183058446</v>
      </c>
    </row>
    <row r="47" spans="1:32">
      <c r="A47" s="259">
        <f ca="1">OFFSET(Summary!$I$2,TRUNC((ROW(A47)-ROW($A$7))/3,0),0)/1000</f>
        <v>168.73804665111203</v>
      </c>
      <c r="B47" s="259">
        <f>IF(OR(ROW(B47)-5=B$1,ROW(B47)-5=B$1+1),VLOOKUP(B$3,Summary!$B$2:$L$35,3,FALSE),0)</f>
        <v>0</v>
      </c>
      <c r="C47" s="259">
        <f>IF(OR(ROW(C47)-5=C$1,ROW(C47)-5=C$1+1),VLOOKUP(C$3,Summary!$B$2:$L$35,3,FALSE),0)</f>
        <v>0</v>
      </c>
      <c r="D47" s="259">
        <f>IF(OR(ROW(D47)-5=D$1,ROW(D47)-5=D$1+1),VLOOKUP(D$3,Summary!$B$2:$L$35,3,FALSE),0)</f>
        <v>0</v>
      </c>
      <c r="E47" s="259">
        <f>IF(OR(ROW(E47)-5=E$1,ROW(E47)-5=E$1+1),VLOOKUP(E$3,Summary!$B$2:$L$35,3,FALSE),0)</f>
        <v>0</v>
      </c>
      <c r="F47" s="259">
        <f>IF(OR(ROW(F47)-5=F$1,ROW(F47)-5=F$1+1),VLOOKUP(F$3,Summary!$B$2:$L$35,3,FALSE),0)</f>
        <v>0</v>
      </c>
      <c r="G47" s="259">
        <f>IF(OR(ROW(G47)-5=G$1,ROW(G47)-5=G$1+1),VLOOKUP(G$3,Summary!$B$2:$L$35,3,FALSE),0)</f>
        <v>0</v>
      </c>
      <c r="H47" s="259">
        <f>IF(OR(ROW(H47)-5=H$1,ROW(H47)-5=H$1+1),VLOOKUP(H$3,Summary!$B$2:$L$35,3,FALSE),0)</f>
        <v>0</v>
      </c>
      <c r="I47" s="259">
        <f>IF(OR(ROW(I47)-5=I$1,ROW(I47)-5=I$1+1),VLOOKUP(I$3,Summary!$B$2:$L$35,3,FALSE),0)</f>
        <v>0</v>
      </c>
      <c r="J47" s="259">
        <f>IF(OR(ROW(J47)-5=J$1,ROW(J47)-5=J$1+1),VLOOKUP(J$3,Summary!$B$2:$L$35,3,FALSE),0)</f>
        <v>0</v>
      </c>
      <c r="K47" s="259">
        <f>IF(OR(ROW(K47)-5=K$1,ROW(K47)-5=K$1+1),VLOOKUP(K$3,Summary!$B$2:$L$35,3,FALSE),0)</f>
        <v>0</v>
      </c>
      <c r="L47" s="259">
        <f>IF(OR(ROW(L47)-5=L$1,ROW(L47)-5=L$1+1),VLOOKUP(L$3,Summary!$B$2:$L$35,3,FALSE),0)</f>
        <v>0</v>
      </c>
      <c r="M47" s="259">
        <f>IF(OR(ROW(M47)-5=M$1,ROW(M47)-5=M$1+1),VLOOKUP(M$3,Summary!$B$2:$L$35,3,FALSE),0)</f>
        <v>0</v>
      </c>
      <c r="N47" s="259">
        <f>IF(OR(ROW(N47)-5=N$1,ROW(N47)-5=N$1+1),VLOOKUP(N$3,Summary!$B$2:$L$35,3,FALSE),0)</f>
        <v>0</v>
      </c>
      <c r="O47" s="259">
        <f>IF(OR(ROW(O47)-5=O$1,ROW(O47)-5=O$1+1),VLOOKUP(O$3,Summary!$B$2:$L$35,3,FALSE),0)</f>
        <v>0</v>
      </c>
      <c r="P47" s="259">
        <f>IF(OR(ROW(P47)-5=P$1,ROW(P47)-5=P$1+1),VLOOKUP(P$3,Summary!$B$2:$L$35,3,FALSE),0)</f>
        <v>0</v>
      </c>
      <c r="Q47" s="259">
        <f>IF(OR(ROW(Q47)-5=Q$1,ROW(Q47)-5=Q$1+1),VLOOKUP(Q$3,Summary!$B$2:$L$35,3,FALSE),0)</f>
        <v>0</v>
      </c>
      <c r="R47" s="259">
        <f>IF(OR(ROW(R47)-5=R$1,ROW(R47)-5=R$1+1),VLOOKUP(R$3,Summary!$B$2:$L$35,3,FALSE),0)</f>
        <v>0</v>
      </c>
      <c r="S47" s="259">
        <f>IF(OR(ROW(S47)-5=S$1,ROW(S47)-5=S$1+1),VLOOKUP(S$3,Summary!$B$2:$L$35,3,FALSE),0)</f>
        <v>0</v>
      </c>
      <c r="T47" s="259">
        <f>IF(OR(ROW(T47)-5=T$1,ROW(T47)-5=T$1+1),VLOOKUP(T$3,Summary!$B$2:$L$35,3,FALSE),0)</f>
        <v>0</v>
      </c>
      <c r="U47" s="259">
        <f>IF(OR(ROW(U47)-5=U$1,ROW(U47)-5=U$1+1),VLOOKUP(U$3,Summary!$B$2:$L$35,3,FALSE),0)</f>
        <v>0</v>
      </c>
      <c r="V47" s="259">
        <f>IF(OR(ROW(V47)-5=V$1,ROW(V47)-5=V$1+1),VLOOKUP(V$3,Summary!$B$2:$L$35,3,FALSE),0)</f>
        <v>0</v>
      </c>
      <c r="W47" s="259">
        <f>IF(OR(ROW(W47)-5=W$1,ROW(W47)-5=W$1+1),VLOOKUP(W$3,Summary!$B$2:$L$35,3,FALSE),0)</f>
        <v>0</v>
      </c>
      <c r="X47" s="259">
        <f>IF(OR(ROW(X47)-5=X$1,ROW(X47)-5=X$1+1),VLOOKUP(X$3,Summary!$B$2:$L$35,3,FALSE),0)</f>
        <v>0</v>
      </c>
      <c r="Y47" s="259">
        <f>IF(OR(ROW(Y47)-5=Y$1,ROW(Y47)-5=Y$1+1),VLOOKUP(Y$3,Summary!$B$2:$L$35,3,FALSE),0)</f>
        <v>0</v>
      </c>
      <c r="Z47" s="259">
        <f>IF(OR(ROW(Z47)-5=Z$1,ROW(Z47)-5=Z$1+1),VLOOKUP(Z$3,Summary!$B$2:$L$35,3,FALSE),0)</f>
        <v>0</v>
      </c>
      <c r="AA47" s="259">
        <f>IF(OR(ROW(AA47)-5=AA$1,ROW(AA47)-5=AA$1+1),VLOOKUP(AA$3,Summary!$B$2:$L$35,3,FALSE),0)</f>
        <v>0</v>
      </c>
      <c r="AB47" s="259">
        <f>IF(OR(ROW(AB47)-5=AB$1,ROW(AB47)-5=AB$1+1),VLOOKUP(AB$3,Summary!$B$2:$L$35,3,FALSE),0)</f>
        <v>0</v>
      </c>
      <c r="AC47" s="259">
        <f>IF(OR(ROW(AC47)-5=AC$1,ROW(AC47)-5=AC$1+1),VLOOKUP(AC$3,Summary!$B$2:$L$35,3,FALSE),0)</f>
        <v>0</v>
      </c>
      <c r="AD47" s="259">
        <f>IF(OR(ROW(AD47)-5=AD$1,ROW(AD47)-5=AD$1+1),VLOOKUP(AD$3,Summary!$B$2:$L$35,3,FALSE),0)</f>
        <v>0</v>
      </c>
      <c r="AE47" s="259">
        <f>IF(OR(ROW(AE47)-5=AE$1,ROW(AE47)-5=AE$1+1),VLOOKUP(AE$3,Summary!$B$2:$L$35,3,FALSE),0)</f>
        <v>0</v>
      </c>
      <c r="AF47" s="331" t="e">
        <f t="shared" ca="1" si="7"/>
        <v>#N/A</v>
      </c>
    </row>
    <row r="48" spans="1:32">
      <c r="A48" s="259">
        <f ca="1">OFFSET(Summary!$I$2,TRUNC((ROW(A48)-ROW($A$7))/3,0),0)/1000</f>
        <v>168.73804665111203</v>
      </c>
      <c r="B48" s="259">
        <f>IF(OR(ROW(B48)-5=B$1,ROW(B48)-5=B$1+1),VLOOKUP(B$3,Summary!$B$2:$L$35,3,FALSE),0)</f>
        <v>0</v>
      </c>
      <c r="C48" s="259">
        <f>IF(OR(ROW(C48)-5=C$1,ROW(C48)-5=C$1+1),VLOOKUP(C$3,Summary!$B$2:$L$35,3,FALSE),0)</f>
        <v>0</v>
      </c>
      <c r="D48" s="259">
        <f>IF(OR(ROW(D48)-5=D$1,ROW(D48)-5=D$1+1),VLOOKUP(D$3,Summary!$B$2:$L$35,3,FALSE),0)</f>
        <v>0</v>
      </c>
      <c r="E48" s="259">
        <f>IF(OR(ROW(E48)-5=E$1,ROW(E48)-5=E$1+1),VLOOKUP(E$3,Summary!$B$2:$L$35,3,FALSE),0)</f>
        <v>0</v>
      </c>
      <c r="F48" s="259">
        <f>IF(OR(ROW(F48)-5=F$1,ROW(F48)-5=F$1+1),VLOOKUP(F$3,Summary!$B$2:$L$35,3,FALSE),0)</f>
        <v>0</v>
      </c>
      <c r="G48" s="259">
        <f>IF(OR(ROW(G48)-5=G$1,ROW(G48)-5=G$1+1),VLOOKUP(G$3,Summary!$B$2:$L$35,3,FALSE),0)</f>
        <v>0</v>
      </c>
      <c r="H48" s="259">
        <f>IF(OR(ROW(H48)-5=H$1,ROW(H48)-5=H$1+1),VLOOKUP(H$3,Summary!$B$2:$L$35,3,FALSE),0)</f>
        <v>0</v>
      </c>
      <c r="I48" s="259">
        <f>IF(OR(ROW(I48)-5=I$1,ROW(I48)-5=I$1+1),VLOOKUP(I$3,Summary!$B$2:$L$35,3,FALSE),0)</f>
        <v>0</v>
      </c>
      <c r="J48" s="259">
        <f>IF(OR(ROW(J48)-5=J$1,ROW(J48)-5=J$1+1),VLOOKUP(J$3,Summary!$B$2:$L$35,3,FALSE),0)</f>
        <v>0</v>
      </c>
      <c r="K48" s="259">
        <f>IF(OR(ROW(K48)-5=K$1,ROW(K48)-5=K$1+1),VLOOKUP(K$3,Summary!$B$2:$L$35,3,FALSE),0)</f>
        <v>0</v>
      </c>
      <c r="L48" s="259">
        <f>IF(OR(ROW(L48)-5=L$1,ROW(L48)-5=L$1+1),VLOOKUP(L$3,Summary!$B$2:$L$35,3,FALSE),0)</f>
        <v>0</v>
      </c>
      <c r="M48" s="259">
        <f>IF(OR(ROW(M48)-5=M$1,ROW(M48)-5=M$1+1),VLOOKUP(M$3,Summary!$B$2:$L$35,3,FALSE),0)</f>
        <v>0</v>
      </c>
      <c r="N48" s="259">
        <f>IF(OR(ROW(N48)-5=N$1,ROW(N48)-5=N$1+1),VLOOKUP(N$3,Summary!$B$2:$L$35,3,FALSE),0)</f>
        <v>0</v>
      </c>
      <c r="O48" s="259">
        <f>IF(OR(ROW(O48)-5=O$1,ROW(O48)-5=O$1+1),VLOOKUP(O$3,Summary!$B$2:$L$35,3,FALSE),0)</f>
        <v>0</v>
      </c>
      <c r="P48" s="259">
        <f ca="1">IF(OR(ROW(P48)-5=P$1,ROW(P48)-5=P$1+1),VLOOKUP(P$3,Summary!$B$2:$L$35,3,FALSE),0)</f>
        <v>7.2056399874036217</v>
      </c>
      <c r="Q48" s="259">
        <f>IF(OR(ROW(Q48)-5=Q$1,ROW(Q48)-5=Q$1+1),VLOOKUP(Q$3,Summary!$B$2:$L$35,3,FALSE),0)</f>
        <v>0</v>
      </c>
      <c r="R48" s="259">
        <f>IF(OR(ROW(R48)-5=R$1,ROW(R48)-5=R$1+1),VLOOKUP(R$3,Summary!$B$2:$L$35,3,FALSE),0)</f>
        <v>0</v>
      </c>
      <c r="S48" s="259">
        <f>IF(OR(ROW(S48)-5=S$1,ROW(S48)-5=S$1+1),VLOOKUP(S$3,Summary!$B$2:$L$35,3,FALSE),0)</f>
        <v>0</v>
      </c>
      <c r="T48" s="259">
        <f>IF(OR(ROW(T48)-5=T$1,ROW(T48)-5=T$1+1),VLOOKUP(T$3,Summary!$B$2:$L$35,3,FALSE),0)</f>
        <v>0</v>
      </c>
      <c r="U48" s="259">
        <f>IF(OR(ROW(U48)-5=U$1,ROW(U48)-5=U$1+1),VLOOKUP(U$3,Summary!$B$2:$L$35,3,FALSE),0)</f>
        <v>0</v>
      </c>
      <c r="V48" s="259">
        <f>IF(OR(ROW(V48)-5=V$1,ROW(V48)-5=V$1+1),VLOOKUP(V$3,Summary!$B$2:$L$35,3,FALSE),0)</f>
        <v>0</v>
      </c>
      <c r="W48" s="259">
        <f>IF(OR(ROW(W48)-5=W$1,ROW(W48)-5=W$1+1),VLOOKUP(W$3,Summary!$B$2:$L$35,3,FALSE),0)</f>
        <v>0</v>
      </c>
      <c r="X48" s="259">
        <f>IF(OR(ROW(X48)-5=X$1,ROW(X48)-5=X$1+1),VLOOKUP(X$3,Summary!$B$2:$L$35,3,FALSE),0)</f>
        <v>0</v>
      </c>
      <c r="Y48" s="259">
        <f>IF(OR(ROW(Y48)-5=Y$1,ROW(Y48)-5=Y$1+1),VLOOKUP(Y$3,Summary!$B$2:$L$35,3,FALSE),0)</f>
        <v>0</v>
      </c>
      <c r="Z48" s="259">
        <f>IF(OR(ROW(Z48)-5=Z$1,ROW(Z48)-5=Z$1+1),VLOOKUP(Z$3,Summary!$B$2:$L$35,3,FALSE),0)</f>
        <v>0</v>
      </c>
      <c r="AA48" s="259">
        <f>IF(OR(ROW(AA48)-5=AA$1,ROW(AA48)-5=AA$1+1),VLOOKUP(AA$3,Summary!$B$2:$L$35,3,FALSE),0)</f>
        <v>0</v>
      </c>
      <c r="AB48" s="259">
        <f>IF(OR(ROW(AB48)-5=AB$1,ROW(AB48)-5=AB$1+1),VLOOKUP(AB$3,Summary!$B$2:$L$35,3,FALSE),0)</f>
        <v>0</v>
      </c>
      <c r="AC48" s="259">
        <f>IF(OR(ROW(AC48)-5=AC$1,ROW(AC48)-5=AC$1+1),VLOOKUP(AC$3,Summary!$B$2:$L$35,3,FALSE),0)</f>
        <v>0</v>
      </c>
      <c r="AD48" s="259">
        <f>IF(OR(ROW(AD48)-5=AD$1,ROW(AD48)-5=AD$1+1),VLOOKUP(AD$3,Summary!$B$2:$L$35,3,FALSE),0)</f>
        <v>0</v>
      </c>
      <c r="AE48" s="259">
        <f>IF(OR(ROW(AE48)-5=AE$1,ROW(AE48)-5=AE$1+1),VLOOKUP(AE$3,Summary!$B$2:$L$35,3,FALSE),0)</f>
        <v>0</v>
      </c>
      <c r="AF48" s="331">
        <f t="shared" ca="1" si="7"/>
        <v>-37.076304746225581</v>
      </c>
    </row>
    <row r="49" spans="1:32">
      <c r="A49" s="259">
        <f ca="1">OFFSET(Summary!$I$2,TRUNC((ROW(A49)-ROW($A$7))/3,0),0)/1000</f>
        <v>175.97872332259288</v>
      </c>
      <c r="B49" s="259">
        <f>IF(OR(ROW(B49)-5=B$1,ROW(B49)-5=B$1+1),VLOOKUP(B$3,Summary!$B$2:$L$35,3,FALSE),0)</f>
        <v>0</v>
      </c>
      <c r="C49" s="259">
        <f>IF(OR(ROW(C49)-5=C$1,ROW(C49)-5=C$1+1),VLOOKUP(C$3,Summary!$B$2:$L$35,3,FALSE),0)</f>
        <v>0</v>
      </c>
      <c r="D49" s="259">
        <f>IF(OR(ROW(D49)-5=D$1,ROW(D49)-5=D$1+1),VLOOKUP(D$3,Summary!$B$2:$L$35,3,FALSE),0)</f>
        <v>0</v>
      </c>
      <c r="E49" s="259">
        <f>IF(OR(ROW(E49)-5=E$1,ROW(E49)-5=E$1+1),VLOOKUP(E$3,Summary!$B$2:$L$35,3,FALSE),0)</f>
        <v>0</v>
      </c>
      <c r="F49" s="259">
        <f>IF(OR(ROW(F49)-5=F$1,ROW(F49)-5=F$1+1),VLOOKUP(F$3,Summary!$B$2:$L$35,3,FALSE),0)</f>
        <v>0</v>
      </c>
      <c r="G49" s="259">
        <f>IF(OR(ROW(G49)-5=G$1,ROW(G49)-5=G$1+1),VLOOKUP(G$3,Summary!$B$2:$L$35,3,FALSE),0)</f>
        <v>0</v>
      </c>
      <c r="H49" s="259">
        <f>IF(OR(ROW(H49)-5=H$1,ROW(H49)-5=H$1+1),VLOOKUP(H$3,Summary!$B$2:$L$35,3,FALSE),0)</f>
        <v>0</v>
      </c>
      <c r="I49" s="259">
        <f>IF(OR(ROW(I49)-5=I$1,ROW(I49)-5=I$1+1),VLOOKUP(I$3,Summary!$B$2:$L$35,3,FALSE),0)</f>
        <v>0</v>
      </c>
      <c r="J49" s="259">
        <f>IF(OR(ROW(J49)-5=J$1,ROW(J49)-5=J$1+1),VLOOKUP(J$3,Summary!$B$2:$L$35,3,FALSE),0)</f>
        <v>0</v>
      </c>
      <c r="K49" s="259">
        <f>IF(OR(ROW(K49)-5=K$1,ROW(K49)-5=K$1+1),VLOOKUP(K$3,Summary!$B$2:$L$35,3,FALSE),0)</f>
        <v>0</v>
      </c>
      <c r="L49" s="259">
        <f>IF(OR(ROW(L49)-5=L$1,ROW(L49)-5=L$1+1),VLOOKUP(L$3,Summary!$B$2:$L$35,3,FALSE),0)</f>
        <v>0</v>
      </c>
      <c r="M49" s="259">
        <f>IF(OR(ROW(M49)-5=M$1,ROW(M49)-5=M$1+1),VLOOKUP(M$3,Summary!$B$2:$L$35,3,FALSE),0)</f>
        <v>0</v>
      </c>
      <c r="N49" s="259">
        <f>IF(OR(ROW(N49)-5=N$1,ROW(N49)-5=N$1+1),VLOOKUP(N$3,Summary!$B$2:$L$35,3,FALSE),0)</f>
        <v>0</v>
      </c>
      <c r="O49" s="259">
        <f>IF(OR(ROW(O49)-5=O$1,ROW(O49)-5=O$1+1),VLOOKUP(O$3,Summary!$B$2:$L$35,3,FALSE),0)</f>
        <v>0</v>
      </c>
      <c r="P49" s="259">
        <f ca="1">IF(OR(ROW(P49)-5=P$1,ROW(P49)-5=P$1+1),VLOOKUP(P$3,Summary!$B$2:$L$35,3,FALSE),0)</f>
        <v>7.2056399874036217</v>
      </c>
      <c r="Q49" s="259">
        <f>IF(OR(ROW(Q49)-5=Q$1,ROW(Q49)-5=Q$1+1),VLOOKUP(Q$3,Summary!$B$2:$L$35,3,FALSE),0)</f>
        <v>0</v>
      </c>
      <c r="R49" s="259">
        <f>IF(OR(ROW(R49)-5=R$1,ROW(R49)-5=R$1+1),VLOOKUP(R$3,Summary!$B$2:$L$35,3,FALSE),0)</f>
        <v>0</v>
      </c>
      <c r="S49" s="259">
        <f>IF(OR(ROW(S49)-5=S$1,ROW(S49)-5=S$1+1),VLOOKUP(S$3,Summary!$B$2:$L$35,3,FALSE),0)</f>
        <v>0</v>
      </c>
      <c r="T49" s="259">
        <f>IF(OR(ROW(T49)-5=T$1,ROW(T49)-5=T$1+1),VLOOKUP(T$3,Summary!$B$2:$L$35,3,FALSE),0)</f>
        <v>0</v>
      </c>
      <c r="U49" s="259">
        <f>IF(OR(ROW(U49)-5=U$1,ROW(U49)-5=U$1+1),VLOOKUP(U$3,Summary!$B$2:$L$35,3,FALSE),0)</f>
        <v>0</v>
      </c>
      <c r="V49" s="259">
        <f>IF(OR(ROW(V49)-5=V$1,ROW(V49)-5=V$1+1),VLOOKUP(V$3,Summary!$B$2:$L$35,3,FALSE),0)</f>
        <v>0</v>
      </c>
      <c r="W49" s="259">
        <f>IF(OR(ROW(W49)-5=W$1,ROW(W49)-5=W$1+1),VLOOKUP(W$3,Summary!$B$2:$L$35,3,FALSE),0)</f>
        <v>0</v>
      </c>
      <c r="X49" s="259">
        <f>IF(OR(ROW(X49)-5=X$1,ROW(X49)-5=X$1+1),VLOOKUP(X$3,Summary!$B$2:$L$35,3,FALSE),0)</f>
        <v>0</v>
      </c>
      <c r="Y49" s="259">
        <f>IF(OR(ROW(Y49)-5=Y$1,ROW(Y49)-5=Y$1+1),VLOOKUP(Y$3,Summary!$B$2:$L$35,3,FALSE),0)</f>
        <v>0</v>
      </c>
      <c r="Z49" s="259">
        <f>IF(OR(ROW(Z49)-5=Z$1,ROW(Z49)-5=Z$1+1),VLOOKUP(Z$3,Summary!$B$2:$L$35,3,FALSE),0)</f>
        <v>0</v>
      </c>
      <c r="AA49" s="259">
        <f>IF(OR(ROW(AA49)-5=AA$1,ROW(AA49)-5=AA$1+1),VLOOKUP(AA$3,Summary!$B$2:$L$35,3,FALSE),0)</f>
        <v>0</v>
      </c>
      <c r="AB49" s="259">
        <f>IF(OR(ROW(AB49)-5=AB$1,ROW(AB49)-5=AB$1+1),VLOOKUP(AB$3,Summary!$B$2:$L$35,3,FALSE),0)</f>
        <v>0</v>
      </c>
      <c r="AC49" s="259">
        <f>IF(OR(ROW(AC49)-5=AC$1,ROW(AC49)-5=AC$1+1),VLOOKUP(AC$3,Summary!$B$2:$L$35,3,FALSE),0)</f>
        <v>0</v>
      </c>
      <c r="AD49" s="259">
        <f>IF(OR(ROW(AD49)-5=AD$1,ROW(AD49)-5=AD$1+1),VLOOKUP(AD$3,Summary!$B$2:$L$35,3,FALSE),0)</f>
        <v>0</v>
      </c>
      <c r="AE49" s="259">
        <f>IF(OR(ROW(AE49)-5=AE$1,ROW(AE49)-5=AE$1+1),VLOOKUP(AE$3,Summary!$B$2:$L$35,3,FALSE),0)</f>
        <v>0</v>
      </c>
      <c r="AF49" s="331">
        <f t="shared" ca="1" si="7"/>
        <v>-37.076304746225581</v>
      </c>
    </row>
    <row r="50" spans="1:32">
      <c r="A50" s="259">
        <f ca="1">OFFSET(Summary!$I$2,TRUNC((ROW(A50)-ROW($A$7))/3,0),0)/1000</f>
        <v>175.97872332259288</v>
      </c>
      <c r="B50" s="259">
        <f>IF(OR(ROW(B50)-5=B$1,ROW(B50)-5=B$1+1),VLOOKUP(B$3,Summary!$B$2:$L$35,3,FALSE),0)</f>
        <v>0</v>
      </c>
      <c r="C50" s="259">
        <f>IF(OR(ROW(C50)-5=C$1,ROW(C50)-5=C$1+1),VLOOKUP(C$3,Summary!$B$2:$L$35,3,FALSE),0)</f>
        <v>0</v>
      </c>
      <c r="D50" s="259">
        <f>IF(OR(ROW(D50)-5=D$1,ROW(D50)-5=D$1+1),VLOOKUP(D$3,Summary!$B$2:$L$35,3,FALSE),0)</f>
        <v>0</v>
      </c>
      <c r="E50" s="259">
        <f>IF(OR(ROW(E50)-5=E$1,ROW(E50)-5=E$1+1),VLOOKUP(E$3,Summary!$B$2:$L$35,3,FALSE),0)</f>
        <v>0</v>
      </c>
      <c r="F50" s="259">
        <f>IF(OR(ROW(F50)-5=F$1,ROW(F50)-5=F$1+1),VLOOKUP(F$3,Summary!$B$2:$L$35,3,FALSE),0)</f>
        <v>0</v>
      </c>
      <c r="G50" s="259">
        <f>IF(OR(ROW(G50)-5=G$1,ROW(G50)-5=G$1+1),VLOOKUP(G$3,Summary!$B$2:$L$35,3,FALSE),0)</f>
        <v>0</v>
      </c>
      <c r="H50" s="259">
        <f>IF(OR(ROW(H50)-5=H$1,ROW(H50)-5=H$1+1),VLOOKUP(H$3,Summary!$B$2:$L$35,3,FALSE),0)</f>
        <v>0</v>
      </c>
      <c r="I50" s="259">
        <f>IF(OR(ROW(I50)-5=I$1,ROW(I50)-5=I$1+1),VLOOKUP(I$3,Summary!$B$2:$L$35,3,FALSE),0)</f>
        <v>0</v>
      </c>
      <c r="J50" s="259">
        <f>IF(OR(ROW(J50)-5=J$1,ROW(J50)-5=J$1+1),VLOOKUP(J$3,Summary!$B$2:$L$35,3,FALSE),0)</f>
        <v>0</v>
      </c>
      <c r="K50" s="259">
        <f>IF(OR(ROW(K50)-5=K$1,ROW(K50)-5=K$1+1),VLOOKUP(K$3,Summary!$B$2:$L$35,3,FALSE),0)</f>
        <v>0</v>
      </c>
      <c r="L50" s="259">
        <f>IF(OR(ROW(L50)-5=L$1,ROW(L50)-5=L$1+1),VLOOKUP(L$3,Summary!$B$2:$L$35,3,FALSE),0)</f>
        <v>0</v>
      </c>
      <c r="M50" s="259">
        <f>IF(OR(ROW(M50)-5=M$1,ROW(M50)-5=M$1+1),VLOOKUP(M$3,Summary!$B$2:$L$35,3,FALSE),0)</f>
        <v>0</v>
      </c>
      <c r="N50" s="259">
        <f>IF(OR(ROW(N50)-5=N$1,ROW(N50)-5=N$1+1),VLOOKUP(N$3,Summary!$B$2:$L$35,3,FALSE),0)</f>
        <v>0</v>
      </c>
      <c r="O50" s="259">
        <f>IF(OR(ROW(O50)-5=O$1,ROW(O50)-5=O$1+1),VLOOKUP(O$3,Summary!$B$2:$L$35,3,FALSE),0)</f>
        <v>0</v>
      </c>
      <c r="P50" s="259">
        <f>IF(OR(ROW(P50)-5=P$1,ROW(P50)-5=P$1+1),VLOOKUP(P$3,Summary!$B$2:$L$35,3,FALSE),0)</f>
        <v>0</v>
      </c>
      <c r="Q50" s="259">
        <f>IF(OR(ROW(Q50)-5=Q$1,ROW(Q50)-5=Q$1+1),VLOOKUP(Q$3,Summary!$B$2:$L$35,3,FALSE),0)</f>
        <v>0</v>
      </c>
      <c r="R50" s="259">
        <f>IF(OR(ROW(R50)-5=R$1,ROW(R50)-5=R$1+1),VLOOKUP(R$3,Summary!$B$2:$L$35,3,FALSE),0)</f>
        <v>0</v>
      </c>
      <c r="S50" s="259">
        <f>IF(OR(ROW(S50)-5=S$1,ROW(S50)-5=S$1+1),VLOOKUP(S$3,Summary!$B$2:$L$35,3,FALSE),0)</f>
        <v>0</v>
      </c>
      <c r="T50" s="259">
        <f>IF(OR(ROW(T50)-5=T$1,ROW(T50)-5=T$1+1),VLOOKUP(T$3,Summary!$B$2:$L$35,3,FALSE),0)</f>
        <v>0</v>
      </c>
      <c r="U50" s="259">
        <f>IF(OR(ROW(U50)-5=U$1,ROW(U50)-5=U$1+1),VLOOKUP(U$3,Summary!$B$2:$L$35,3,FALSE),0)</f>
        <v>0</v>
      </c>
      <c r="V50" s="259">
        <f>IF(OR(ROW(V50)-5=V$1,ROW(V50)-5=V$1+1),VLOOKUP(V$3,Summary!$B$2:$L$35,3,FALSE),0)</f>
        <v>0</v>
      </c>
      <c r="W50" s="259">
        <f>IF(OR(ROW(W50)-5=W$1,ROW(W50)-5=W$1+1),VLOOKUP(W$3,Summary!$B$2:$L$35,3,FALSE),0)</f>
        <v>0</v>
      </c>
      <c r="X50" s="259">
        <f>IF(OR(ROW(X50)-5=X$1,ROW(X50)-5=X$1+1),VLOOKUP(X$3,Summary!$B$2:$L$35,3,FALSE),0)</f>
        <v>0</v>
      </c>
      <c r="Y50" s="259">
        <f>IF(OR(ROW(Y50)-5=Y$1,ROW(Y50)-5=Y$1+1),VLOOKUP(Y$3,Summary!$B$2:$L$35,3,FALSE),0)</f>
        <v>0</v>
      </c>
      <c r="Z50" s="259">
        <f>IF(OR(ROW(Z50)-5=Z$1,ROW(Z50)-5=Z$1+1),VLOOKUP(Z$3,Summary!$B$2:$L$35,3,FALSE),0)</f>
        <v>0</v>
      </c>
      <c r="AA50" s="259">
        <f>IF(OR(ROW(AA50)-5=AA$1,ROW(AA50)-5=AA$1+1),VLOOKUP(AA$3,Summary!$B$2:$L$35,3,FALSE),0)</f>
        <v>0</v>
      </c>
      <c r="AB50" s="259">
        <f>IF(OR(ROW(AB50)-5=AB$1,ROW(AB50)-5=AB$1+1),VLOOKUP(AB$3,Summary!$B$2:$L$35,3,FALSE),0)</f>
        <v>0</v>
      </c>
      <c r="AC50" s="259">
        <f>IF(OR(ROW(AC50)-5=AC$1,ROW(AC50)-5=AC$1+1),VLOOKUP(AC$3,Summary!$B$2:$L$35,3,FALSE),0)</f>
        <v>0</v>
      </c>
      <c r="AD50" s="259">
        <f>IF(OR(ROW(AD50)-5=AD$1,ROW(AD50)-5=AD$1+1),VLOOKUP(AD$3,Summary!$B$2:$L$35,3,FALSE),0)</f>
        <v>0</v>
      </c>
      <c r="AE50" s="259">
        <f>IF(OR(ROW(AE50)-5=AE$1,ROW(AE50)-5=AE$1+1),VLOOKUP(AE$3,Summary!$B$2:$L$35,3,FALSE),0)</f>
        <v>0</v>
      </c>
      <c r="AF50" s="331" t="e">
        <f t="shared" ca="1" si="7"/>
        <v>#N/A</v>
      </c>
    </row>
    <row r="51" spans="1:32">
      <c r="A51" s="259">
        <f ca="1">OFFSET(Summary!$I$2,TRUNC((ROW(A51)-ROW($A$7))/3,0),0)/1000</f>
        <v>175.97872332259288</v>
      </c>
      <c r="B51" s="259">
        <f>IF(OR(ROW(B51)-5=B$1,ROW(B51)-5=B$1+1),VLOOKUP(B$3,Summary!$B$2:$L$35,3,FALSE),0)</f>
        <v>0</v>
      </c>
      <c r="C51" s="259">
        <f>IF(OR(ROW(C51)-5=C$1,ROW(C51)-5=C$1+1),VLOOKUP(C$3,Summary!$B$2:$L$35,3,FALSE),0)</f>
        <v>0</v>
      </c>
      <c r="D51" s="259">
        <f>IF(OR(ROW(D51)-5=D$1,ROW(D51)-5=D$1+1),VLOOKUP(D$3,Summary!$B$2:$L$35,3,FALSE),0)</f>
        <v>0</v>
      </c>
      <c r="E51" s="259">
        <f>IF(OR(ROW(E51)-5=E$1,ROW(E51)-5=E$1+1),VLOOKUP(E$3,Summary!$B$2:$L$35,3,FALSE),0)</f>
        <v>0</v>
      </c>
      <c r="F51" s="259">
        <f>IF(OR(ROW(F51)-5=F$1,ROW(F51)-5=F$1+1),VLOOKUP(F$3,Summary!$B$2:$L$35,3,FALSE),0)</f>
        <v>0</v>
      </c>
      <c r="G51" s="259">
        <f>IF(OR(ROW(G51)-5=G$1,ROW(G51)-5=G$1+1),VLOOKUP(G$3,Summary!$B$2:$L$35,3,FALSE),0)</f>
        <v>0</v>
      </c>
      <c r="H51" s="259">
        <f>IF(OR(ROW(H51)-5=H$1,ROW(H51)-5=H$1+1),VLOOKUP(H$3,Summary!$B$2:$L$35,3,FALSE),0)</f>
        <v>0</v>
      </c>
      <c r="I51" s="259">
        <f>IF(OR(ROW(I51)-5=I$1,ROW(I51)-5=I$1+1),VLOOKUP(I$3,Summary!$B$2:$L$35,3,FALSE),0)</f>
        <v>0</v>
      </c>
      <c r="J51" s="259">
        <f>IF(OR(ROW(J51)-5=J$1,ROW(J51)-5=J$1+1),VLOOKUP(J$3,Summary!$B$2:$L$35,3,FALSE),0)</f>
        <v>0</v>
      </c>
      <c r="K51" s="259">
        <f>IF(OR(ROW(K51)-5=K$1,ROW(K51)-5=K$1+1),VLOOKUP(K$3,Summary!$B$2:$L$35,3,FALSE),0)</f>
        <v>0</v>
      </c>
      <c r="L51" s="259">
        <f>IF(OR(ROW(L51)-5=L$1,ROW(L51)-5=L$1+1),VLOOKUP(L$3,Summary!$B$2:$L$35,3,FALSE),0)</f>
        <v>0</v>
      </c>
      <c r="M51" s="259">
        <f>IF(OR(ROW(M51)-5=M$1,ROW(M51)-5=M$1+1),VLOOKUP(M$3,Summary!$B$2:$L$35,3,FALSE),0)</f>
        <v>0</v>
      </c>
      <c r="N51" s="259">
        <f>IF(OR(ROW(N51)-5=N$1,ROW(N51)-5=N$1+1),VLOOKUP(N$3,Summary!$B$2:$L$35,3,FALSE),0)</f>
        <v>0</v>
      </c>
      <c r="O51" s="259">
        <f>IF(OR(ROW(O51)-5=O$1,ROW(O51)-5=O$1+1),VLOOKUP(O$3,Summary!$B$2:$L$35,3,FALSE),0)</f>
        <v>0</v>
      </c>
      <c r="P51" s="259">
        <f>IF(OR(ROW(P51)-5=P$1,ROW(P51)-5=P$1+1),VLOOKUP(P$3,Summary!$B$2:$L$35,3,FALSE),0)</f>
        <v>0</v>
      </c>
      <c r="Q51" s="259">
        <f ca="1">IF(OR(ROW(Q51)-5=Q$1,ROW(Q51)-5=Q$1+1),VLOOKUP(Q$3,Summary!$B$2:$L$35,3,FALSE),0)</f>
        <v>17.959528154390838</v>
      </c>
      <c r="R51" s="259">
        <f>IF(OR(ROW(R51)-5=R$1,ROW(R51)-5=R$1+1),VLOOKUP(R$3,Summary!$B$2:$L$35,3,FALSE),0)</f>
        <v>0</v>
      </c>
      <c r="S51" s="259">
        <f>IF(OR(ROW(S51)-5=S$1,ROW(S51)-5=S$1+1),VLOOKUP(S$3,Summary!$B$2:$L$35,3,FALSE),0)</f>
        <v>0</v>
      </c>
      <c r="T51" s="259">
        <f>IF(OR(ROW(T51)-5=T$1,ROW(T51)-5=T$1+1),VLOOKUP(T$3,Summary!$B$2:$L$35,3,FALSE),0)</f>
        <v>0</v>
      </c>
      <c r="U51" s="259">
        <f>IF(OR(ROW(U51)-5=U$1,ROW(U51)-5=U$1+1),VLOOKUP(U$3,Summary!$B$2:$L$35,3,FALSE),0)</f>
        <v>0</v>
      </c>
      <c r="V51" s="259">
        <f>IF(OR(ROW(V51)-5=V$1,ROW(V51)-5=V$1+1),VLOOKUP(V$3,Summary!$B$2:$L$35,3,FALSE),0)</f>
        <v>0</v>
      </c>
      <c r="W51" s="259">
        <f>IF(OR(ROW(W51)-5=W$1,ROW(W51)-5=W$1+1),VLOOKUP(W$3,Summary!$B$2:$L$35,3,FALSE),0)</f>
        <v>0</v>
      </c>
      <c r="X51" s="259">
        <f>IF(OR(ROW(X51)-5=X$1,ROW(X51)-5=X$1+1),VLOOKUP(X$3,Summary!$B$2:$L$35,3,FALSE),0)</f>
        <v>0</v>
      </c>
      <c r="Y51" s="259">
        <f>IF(OR(ROW(Y51)-5=Y$1,ROW(Y51)-5=Y$1+1),VLOOKUP(Y$3,Summary!$B$2:$L$35,3,FALSE),0)</f>
        <v>0</v>
      </c>
      <c r="Z51" s="259">
        <f>IF(OR(ROW(Z51)-5=Z$1,ROW(Z51)-5=Z$1+1),VLOOKUP(Z$3,Summary!$B$2:$L$35,3,FALSE),0)</f>
        <v>0</v>
      </c>
      <c r="AA51" s="259">
        <f>IF(OR(ROW(AA51)-5=AA$1,ROW(AA51)-5=AA$1+1),VLOOKUP(AA$3,Summary!$B$2:$L$35,3,FALSE),0)</f>
        <v>0</v>
      </c>
      <c r="AB51" s="259">
        <f>IF(OR(ROW(AB51)-5=AB$1,ROW(AB51)-5=AB$1+1),VLOOKUP(AB$3,Summary!$B$2:$L$35,3,FALSE),0)</f>
        <v>0</v>
      </c>
      <c r="AC51" s="259">
        <f>IF(OR(ROW(AC51)-5=AC$1,ROW(AC51)-5=AC$1+1),VLOOKUP(AC$3,Summary!$B$2:$L$35,3,FALSE),0)</f>
        <v>0</v>
      </c>
      <c r="AD51" s="259">
        <f>IF(OR(ROW(AD51)-5=AD$1,ROW(AD51)-5=AD$1+1),VLOOKUP(AD$3,Summary!$B$2:$L$35,3,FALSE),0)</f>
        <v>0</v>
      </c>
      <c r="AE51" s="259">
        <f>IF(OR(ROW(AE51)-5=AE$1,ROW(AE51)-5=AE$1+1),VLOOKUP(AE$3,Summary!$B$2:$L$35,3,FALSE),0)</f>
        <v>0</v>
      </c>
      <c r="AF51" s="331">
        <f t="shared" ca="1" si="7"/>
        <v>-24.416256241023902</v>
      </c>
    </row>
    <row r="52" spans="1:32">
      <c r="A52" s="259">
        <f ca="1">OFFSET(Summary!$I$2,TRUNC((ROW(A52)-ROW($A$7))/3,0),0)/1000</f>
        <v>197.56876177575398</v>
      </c>
      <c r="B52" s="259">
        <f>IF(OR(ROW(B52)-5=B$1,ROW(B52)-5=B$1+1),VLOOKUP(B$3,Summary!$B$2:$L$35,3,FALSE),0)</f>
        <v>0</v>
      </c>
      <c r="C52" s="259">
        <f>IF(OR(ROW(C52)-5=C$1,ROW(C52)-5=C$1+1),VLOOKUP(C$3,Summary!$B$2:$L$35,3,FALSE),0)</f>
        <v>0</v>
      </c>
      <c r="D52" s="259">
        <f>IF(OR(ROW(D52)-5=D$1,ROW(D52)-5=D$1+1),VLOOKUP(D$3,Summary!$B$2:$L$35,3,FALSE),0)</f>
        <v>0</v>
      </c>
      <c r="E52" s="259">
        <f>IF(OR(ROW(E52)-5=E$1,ROW(E52)-5=E$1+1),VLOOKUP(E$3,Summary!$B$2:$L$35,3,FALSE),0)</f>
        <v>0</v>
      </c>
      <c r="F52" s="259">
        <f>IF(OR(ROW(F52)-5=F$1,ROW(F52)-5=F$1+1),VLOOKUP(F$3,Summary!$B$2:$L$35,3,FALSE),0)</f>
        <v>0</v>
      </c>
      <c r="G52" s="259">
        <f>IF(OR(ROW(G52)-5=G$1,ROW(G52)-5=G$1+1),VLOOKUP(G$3,Summary!$B$2:$L$35,3,FALSE),0)</f>
        <v>0</v>
      </c>
      <c r="H52" s="259">
        <f>IF(OR(ROW(H52)-5=H$1,ROW(H52)-5=H$1+1),VLOOKUP(H$3,Summary!$B$2:$L$35,3,FALSE),0)</f>
        <v>0</v>
      </c>
      <c r="I52" s="259">
        <f>IF(OR(ROW(I52)-5=I$1,ROW(I52)-5=I$1+1),VLOOKUP(I$3,Summary!$B$2:$L$35,3,FALSE),0)</f>
        <v>0</v>
      </c>
      <c r="J52" s="259">
        <f>IF(OR(ROW(J52)-5=J$1,ROW(J52)-5=J$1+1),VLOOKUP(J$3,Summary!$B$2:$L$35,3,FALSE),0)</f>
        <v>0</v>
      </c>
      <c r="K52" s="259">
        <f>IF(OR(ROW(K52)-5=K$1,ROW(K52)-5=K$1+1),VLOOKUP(K$3,Summary!$B$2:$L$35,3,FALSE),0)</f>
        <v>0</v>
      </c>
      <c r="L52" s="259">
        <f>IF(OR(ROW(L52)-5=L$1,ROW(L52)-5=L$1+1),VLOOKUP(L$3,Summary!$B$2:$L$35,3,FALSE),0)</f>
        <v>0</v>
      </c>
      <c r="M52" s="259">
        <f>IF(OR(ROW(M52)-5=M$1,ROW(M52)-5=M$1+1),VLOOKUP(M$3,Summary!$B$2:$L$35,3,FALSE),0)</f>
        <v>0</v>
      </c>
      <c r="N52" s="259">
        <f>IF(OR(ROW(N52)-5=N$1,ROW(N52)-5=N$1+1),VLOOKUP(N$3,Summary!$B$2:$L$35,3,FALSE),0)</f>
        <v>0</v>
      </c>
      <c r="O52" s="259">
        <f>IF(OR(ROW(O52)-5=O$1,ROW(O52)-5=O$1+1),VLOOKUP(O$3,Summary!$B$2:$L$35,3,FALSE),0)</f>
        <v>0</v>
      </c>
      <c r="P52" s="259">
        <f>IF(OR(ROW(P52)-5=P$1,ROW(P52)-5=P$1+1),VLOOKUP(P$3,Summary!$B$2:$L$35,3,FALSE),0)</f>
        <v>0</v>
      </c>
      <c r="Q52" s="259">
        <f ca="1">IF(OR(ROW(Q52)-5=Q$1,ROW(Q52)-5=Q$1+1),VLOOKUP(Q$3,Summary!$B$2:$L$35,3,FALSE),0)</f>
        <v>17.959528154390838</v>
      </c>
      <c r="R52" s="259">
        <f>IF(OR(ROW(R52)-5=R$1,ROW(R52)-5=R$1+1),VLOOKUP(R$3,Summary!$B$2:$L$35,3,FALSE),0)</f>
        <v>0</v>
      </c>
      <c r="S52" s="259">
        <f>IF(OR(ROW(S52)-5=S$1,ROW(S52)-5=S$1+1),VLOOKUP(S$3,Summary!$B$2:$L$35,3,FALSE),0)</f>
        <v>0</v>
      </c>
      <c r="T52" s="259">
        <f>IF(OR(ROW(T52)-5=T$1,ROW(T52)-5=T$1+1),VLOOKUP(T$3,Summary!$B$2:$L$35,3,FALSE),0)</f>
        <v>0</v>
      </c>
      <c r="U52" s="259">
        <f>IF(OR(ROW(U52)-5=U$1,ROW(U52)-5=U$1+1),VLOOKUP(U$3,Summary!$B$2:$L$35,3,FALSE),0)</f>
        <v>0</v>
      </c>
      <c r="V52" s="259">
        <f>IF(OR(ROW(V52)-5=V$1,ROW(V52)-5=V$1+1),VLOOKUP(V$3,Summary!$B$2:$L$35,3,FALSE),0)</f>
        <v>0</v>
      </c>
      <c r="W52" s="259">
        <f>IF(OR(ROW(W52)-5=W$1,ROW(W52)-5=W$1+1),VLOOKUP(W$3,Summary!$B$2:$L$35,3,FALSE),0)</f>
        <v>0</v>
      </c>
      <c r="X52" s="259">
        <f>IF(OR(ROW(X52)-5=X$1,ROW(X52)-5=X$1+1),VLOOKUP(X$3,Summary!$B$2:$L$35,3,FALSE),0)</f>
        <v>0</v>
      </c>
      <c r="Y52" s="259">
        <f>IF(OR(ROW(Y52)-5=Y$1,ROW(Y52)-5=Y$1+1),VLOOKUP(Y$3,Summary!$B$2:$L$35,3,FALSE),0)</f>
        <v>0</v>
      </c>
      <c r="Z52" s="259">
        <f>IF(OR(ROW(Z52)-5=Z$1,ROW(Z52)-5=Z$1+1),VLOOKUP(Z$3,Summary!$B$2:$L$35,3,FALSE),0)</f>
        <v>0</v>
      </c>
      <c r="AA52" s="259">
        <f>IF(OR(ROW(AA52)-5=AA$1,ROW(AA52)-5=AA$1+1),VLOOKUP(AA$3,Summary!$B$2:$L$35,3,FALSE),0)</f>
        <v>0</v>
      </c>
      <c r="AB52" s="259">
        <f>IF(OR(ROW(AB52)-5=AB$1,ROW(AB52)-5=AB$1+1),VLOOKUP(AB$3,Summary!$B$2:$L$35,3,FALSE),0)</f>
        <v>0</v>
      </c>
      <c r="AC52" s="259">
        <f>IF(OR(ROW(AC52)-5=AC$1,ROW(AC52)-5=AC$1+1),VLOOKUP(AC$3,Summary!$B$2:$L$35,3,FALSE),0)</f>
        <v>0</v>
      </c>
      <c r="AD52" s="259">
        <f>IF(OR(ROW(AD52)-5=AD$1,ROW(AD52)-5=AD$1+1),VLOOKUP(AD$3,Summary!$B$2:$L$35,3,FALSE),0)</f>
        <v>0</v>
      </c>
      <c r="AE52" s="259">
        <f>IF(OR(ROW(AE52)-5=AE$1,ROW(AE52)-5=AE$1+1),VLOOKUP(AE$3,Summary!$B$2:$L$35,3,FALSE),0)</f>
        <v>0</v>
      </c>
      <c r="AF52" s="331">
        <f t="shared" ca="1" si="7"/>
        <v>-24.416256241023902</v>
      </c>
    </row>
    <row r="53" spans="1:32">
      <c r="A53" s="259">
        <f ca="1">OFFSET(Summary!$I$2,TRUNC((ROW(A53)-ROW($A$7))/3,0),0)/1000</f>
        <v>197.56876177575398</v>
      </c>
      <c r="B53" s="259">
        <f>IF(OR(ROW(B53)-5=B$1,ROW(B53)-5=B$1+1),VLOOKUP(B$3,Summary!$B$2:$L$35,3,FALSE),0)</f>
        <v>0</v>
      </c>
      <c r="C53" s="259">
        <f>IF(OR(ROW(C53)-5=C$1,ROW(C53)-5=C$1+1),VLOOKUP(C$3,Summary!$B$2:$L$35,3,FALSE),0)</f>
        <v>0</v>
      </c>
      <c r="D53" s="259">
        <f>IF(OR(ROW(D53)-5=D$1,ROW(D53)-5=D$1+1),VLOOKUP(D$3,Summary!$B$2:$L$35,3,FALSE),0)</f>
        <v>0</v>
      </c>
      <c r="E53" s="259">
        <f>IF(OR(ROW(E53)-5=E$1,ROW(E53)-5=E$1+1),VLOOKUP(E$3,Summary!$B$2:$L$35,3,FALSE),0)</f>
        <v>0</v>
      </c>
      <c r="F53" s="259">
        <f>IF(OR(ROW(F53)-5=F$1,ROW(F53)-5=F$1+1),VLOOKUP(F$3,Summary!$B$2:$L$35,3,FALSE),0)</f>
        <v>0</v>
      </c>
      <c r="G53" s="259">
        <f>IF(OR(ROW(G53)-5=G$1,ROW(G53)-5=G$1+1),VLOOKUP(G$3,Summary!$B$2:$L$35,3,FALSE),0)</f>
        <v>0</v>
      </c>
      <c r="H53" s="259">
        <f>IF(OR(ROW(H53)-5=H$1,ROW(H53)-5=H$1+1),VLOOKUP(H$3,Summary!$B$2:$L$35,3,FALSE),0)</f>
        <v>0</v>
      </c>
      <c r="I53" s="259">
        <f>IF(OR(ROW(I53)-5=I$1,ROW(I53)-5=I$1+1),VLOOKUP(I$3,Summary!$B$2:$L$35,3,FALSE),0)</f>
        <v>0</v>
      </c>
      <c r="J53" s="259">
        <f>IF(OR(ROW(J53)-5=J$1,ROW(J53)-5=J$1+1),VLOOKUP(J$3,Summary!$B$2:$L$35,3,FALSE),0)</f>
        <v>0</v>
      </c>
      <c r="K53" s="259">
        <f>IF(OR(ROW(K53)-5=K$1,ROW(K53)-5=K$1+1),VLOOKUP(K$3,Summary!$B$2:$L$35,3,FALSE),0)</f>
        <v>0</v>
      </c>
      <c r="L53" s="259">
        <f>IF(OR(ROW(L53)-5=L$1,ROW(L53)-5=L$1+1),VLOOKUP(L$3,Summary!$B$2:$L$35,3,FALSE),0)</f>
        <v>0</v>
      </c>
      <c r="M53" s="259">
        <f>IF(OR(ROW(M53)-5=M$1,ROW(M53)-5=M$1+1),VLOOKUP(M$3,Summary!$B$2:$L$35,3,FALSE),0)</f>
        <v>0</v>
      </c>
      <c r="N53" s="259">
        <f>IF(OR(ROW(N53)-5=N$1,ROW(N53)-5=N$1+1),VLOOKUP(N$3,Summary!$B$2:$L$35,3,FALSE),0)</f>
        <v>0</v>
      </c>
      <c r="O53" s="259">
        <f>IF(OR(ROW(O53)-5=O$1,ROW(O53)-5=O$1+1),VLOOKUP(O$3,Summary!$B$2:$L$35,3,FALSE),0)</f>
        <v>0</v>
      </c>
      <c r="P53" s="259">
        <f>IF(OR(ROW(P53)-5=P$1,ROW(P53)-5=P$1+1),VLOOKUP(P$3,Summary!$B$2:$L$35,3,FALSE),0)</f>
        <v>0</v>
      </c>
      <c r="Q53" s="259">
        <f>IF(OR(ROW(Q53)-5=Q$1,ROW(Q53)-5=Q$1+1),VLOOKUP(Q$3,Summary!$B$2:$L$35,3,FALSE),0)</f>
        <v>0</v>
      </c>
      <c r="R53" s="259">
        <f>IF(OR(ROW(R53)-5=R$1,ROW(R53)-5=R$1+1),VLOOKUP(R$3,Summary!$B$2:$L$35,3,FALSE),0)</f>
        <v>0</v>
      </c>
      <c r="S53" s="259">
        <f>IF(OR(ROW(S53)-5=S$1,ROW(S53)-5=S$1+1),VLOOKUP(S$3,Summary!$B$2:$L$35,3,FALSE),0)</f>
        <v>0</v>
      </c>
      <c r="T53" s="259">
        <f>IF(OR(ROW(T53)-5=T$1,ROW(T53)-5=T$1+1),VLOOKUP(T$3,Summary!$B$2:$L$35,3,FALSE),0)</f>
        <v>0</v>
      </c>
      <c r="U53" s="259">
        <f>IF(OR(ROW(U53)-5=U$1,ROW(U53)-5=U$1+1),VLOOKUP(U$3,Summary!$B$2:$L$35,3,FALSE),0)</f>
        <v>0</v>
      </c>
      <c r="V53" s="259">
        <f>IF(OR(ROW(V53)-5=V$1,ROW(V53)-5=V$1+1),VLOOKUP(V$3,Summary!$B$2:$L$35,3,FALSE),0)</f>
        <v>0</v>
      </c>
      <c r="W53" s="259">
        <f>IF(OR(ROW(W53)-5=W$1,ROW(W53)-5=W$1+1),VLOOKUP(W$3,Summary!$B$2:$L$35,3,FALSE),0)</f>
        <v>0</v>
      </c>
      <c r="X53" s="259">
        <f>IF(OR(ROW(X53)-5=X$1,ROW(X53)-5=X$1+1),VLOOKUP(X$3,Summary!$B$2:$L$35,3,FALSE),0)</f>
        <v>0</v>
      </c>
      <c r="Y53" s="259">
        <f>IF(OR(ROW(Y53)-5=Y$1,ROW(Y53)-5=Y$1+1),VLOOKUP(Y$3,Summary!$B$2:$L$35,3,FALSE),0)</f>
        <v>0</v>
      </c>
      <c r="Z53" s="259">
        <f>IF(OR(ROW(Z53)-5=Z$1,ROW(Z53)-5=Z$1+1),VLOOKUP(Z$3,Summary!$B$2:$L$35,3,FALSE),0)</f>
        <v>0</v>
      </c>
      <c r="AA53" s="259">
        <f>IF(OR(ROW(AA53)-5=AA$1,ROW(AA53)-5=AA$1+1),VLOOKUP(AA$3,Summary!$B$2:$L$35,3,FALSE),0)</f>
        <v>0</v>
      </c>
      <c r="AB53" s="259">
        <f>IF(OR(ROW(AB53)-5=AB$1,ROW(AB53)-5=AB$1+1),VLOOKUP(AB$3,Summary!$B$2:$L$35,3,FALSE),0)</f>
        <v>0</v>
      </c>
      <c r="AC53" s="259">
        <f>IF(OR(ROW(AC53)-5=AC$1,ROW(AC53)-5=AC$1+1),VLOOKUP(AC$3,Summary!$B$2:$L$35,3,FALSE),0)</f>
        <v>0</v>
      </c>
      <c r="AD53" s="259">
        <f>IF(OR(ROW(AD53)-5=AD$1,ROW(AD53)-5=AD$1+1),VLOOKUP(AD$3,Summary!$B$2:$L$35,3,FALSE),0)</f>
        <v>0</v>
      </c>
      <c r="AE53" s="259">
        <f>IF(OR(ROW(AE53)-5=AE$1,ROW(AE53)-5=AE$1+1),VLOOKUP(AE$3,Summary!$B$2:$L$35,3,FALSE),0)</f>
        <v>0</v>
      </c>
      <c r="AF53" s="331" t="e">
        <f t="shared" ca="1" si="7"/>
        <v>#N/A</v>
      </c>
    </row>
    <row r="54" spans="1:32">
      <c r="A54" s="259">
        <f ca="1">OFFSET(Summary!$I$2,TRUNC((ROW(A54)-ROW($A$7))/3,0),0)/1000</f>
        <v>197.56876177575398</v>
      </c>
      <c r="B54" s="259">
        <f>IF(OR(ROW(B54)-5=B$1,ROW(B54)-5=B$1+1),VLOOKUP(B$3,Summary!$B$2:$L$35,3,FALSE),0)</f>
        <v>0</v>
      </c>
      <c r="C54" s="259">
        <f>IF(OR(ROW(C54)-5=C$1,ROW(C54)-5=C$1+1),VLOOKUP(C$3,Summary!$B$2:$L$35,3,FALSE),0)</f>
        <v>0</v>
      </c>
      <c r="D54" s="259">
        <f>IF(OR(ROW(D54)-5=D$1,ROW(D54)-5=D$1+1),VLOOKUP(D$3,Summary!$B$2:$L$35,3,FALSE),0)</f>
        <v>0</v>
      </c>
      <c r="E54" s="259">
        <f>IF(OR(ROW(E54)-5=E$1,ROW(E54)-5=E$1+1),VLOOKUP(E$3,Summary!$B$2:$L$35,3,FALSE),0)</f>
        <v>0</v>
      </c>
      <c r="F54" s="259">
        <f>IF(OR(ROW(F54)-5=F$1,ROW(F54)-5=F$1+1),VLOOKUP(F$3,Summary!$B$2:$L$35,3,FALSE),0)</f>
        <v>0</v>
      </c>
      <c r="G54" s="259">
        <f>IF(OR(ROW(G54)-5=G$1,ROW(G54)-5=G$1+1),VLOOKUP(G$3,Summary!$B$2:$L$35,3,FALSE),0)</f>
        <v>0</v>
      </c>
      <c r="H54" s="259">
        <f>IF(OR(ROW(H54)-5=H$1,ROW(H54)-5=H$1+1),VLOOKUP(H$3,Summary!$B$2:$L$35,3,FALSE),0)</f>
        <v>0</v>
      </c>
      <c r="I54" s="259">
        <f>IF(OR(ROW(I54)-5=I$1,ROW(I54)-5=I$1+1),VLOOKUP(I$3,Summary!$B$2:$L$35,3,FALSE),0)</f>
        <v>0</v>
      </c>
      <c r="J54" s="259">
        <f>IF(OR(ROW(J54)-5=J$1,ROW(J54)-5=J$1+1),VLOOKUP(J$3,Summary!$B$2:$L$35,3,FALSE),0)</f>
        <v>0</v>
      </c>
      <c r="K54" s="259">
        <f>IF(OR(ROW(K54)-5=K$1,ROW(K54)-5=K$1+1),VLOOKUP(K$3,Summary!$B$2:$L$35,3,FALSE),0)</f>
        <v>0</v>
      </c>
      <c r="L54" s="259">
        <f>IF(OR(ROW(L54)-5=L$1,ROW(L54)-5=L$1+1),VLOOKUP(L$3,Summary!$B$2:$L$35,3,FALSE),0)</f>
        <v>0</v>
      </c>
      <c r="M54" s="259">
        <f>IF(OR(ROW(M54)-5=M$1,ROW(M54)-5=M$1+1),VLOOKUP(M$3,Summary!$B$2:$L$35,3,FALSE),0)</f>
        <v>0</v>
      </c>
      <c r="N54" s="259">
        <f>IF(OR(ROW(N54)-5=N$1,ROW(N54)-5=N$1+1),VLOOKUP(N$3,Summary!$B$2:$L$35,3,FALSE),0)</f>
        <v>0</v>
      </c>
      <c r="O54" s="259">
        <f>IF(OR(ROW(O54)-5=O$1,ROW(O54)-5=O$1+1),VLOOKUP(O$3,Summary!$B$2:$L$35,3,FALSE),0)</f>
        <v>0</v>
      </c>
      <c r="P54" s="259">
        <f>IF(OR(ROW(P54)-5=P$1,ROW(P54)-5=P$1+1),VLOOKUP(P$3,Summary!$B$2:$L$35,3,FALSE),0)</f>
        <v>0</v>
      </c>
      <c r="Q54" s="259">
        <f>IF(OR(ROW(Q54)-5=Q$1,ROW(Q54)-5=Q$1+1),VLOOKUP(Q$3,Summary!$B$2:$L$35,3,FALSE),0)</f>
        <v>0</v>
      </c>
      <c r="R54" s="259">
        <f ca="1">IF(OR(ROW(R54)-5=R$1,ROW(R54)-5=R$1+1),VLOOKUP(R$3,Summary!$B$2:$L$35,3,FALSE),0)</f>
        <v>33.389665773120427</v>
      </c>
      <c r="S54" s="259">
        <f>IF(OR(ROW(S54)-5=S$1,ROW(S54)-5=S$1+1),VLOOKUP(S$3,Summary!$B$2:$L$35,3,FALSE),0)</f>
        <v>0</v>
      </c>
      <c r="T54" s="259">
        <f>IF(OR(ROW(T54)-5=T$1,ROW(T54)-5=T$1+1),VLOOKUP(T$3,Summary!$B$2:$L$35,3,FALSE),0)</f>
        <v>0</v>
      </c>
      <c r="U54" s="259">
        <f>IF(OR(ROW(U54)-5=U$1,ROW(U54)-5=U$1+1),VLOOKUP(U$3,Summary!$B$2:$L$35,3,FALSE),0)</f>
        <v>0</v>
      </c>
      <c r="V54" s="259">
        <f>IF(OR(ROW(V54)-5=V$1,ROW(V54)-5=V$1+1),VLOOKUP(V$3,Summary!$B$2:$L$35,3,FALSE),0)</f>
        <v>0</v>
      </c>
      <c r="W54" s="259">
        <f>IF(OR(ROW(W54)-5=W$1,ROW(W54)-5=W$1+1),VLOOKUP(W$3,Summary!$B$2:$L$35,3,FALSE),0)</f>
        <v>0</v>
      </c>
      <c r="X54" s="259">
        <f>IF(OR(ROW(X54)-5=X$1,ROW(X54)-5=X$1+1),VLOOKUP(X$3,Summary!$B$2:$L$35,3,FALSE),0)</f>
        <v>0</v>
      </c>
      <c r="Y54" s="259">
        <f>IF(OR(ROW(Y54)-5=Y$1,ROW(Y54)-5=Y$1+1),VLOOKUP(Y$3,Summary!$B$2:$L$35,3,FALSE),0)</f>
        <v>0</v>
      </c>
      <c r="Z54" s="259">
        <f>IF(OR(ROW(Z54)-5=Z$1,ROW(Z54)-5=Z$1+1),VLOOKUP(Z$3,Summary!$B$2:$L$35,3,FALSE),0)</f>
        <v>0</v>
      </c>
      <c r="AA54" s="259">
        <f>IF(OR(ROW(AA54)-5=AA$1,ROW(AA54)-5=AA$1+1),VLOOKUP(AA$3,Summary!$B$2:$L$35,3,FALSE),0)</f>
        <v>0</v>
      </c>
      <c r="AB54" s="259">
        <f>IF(OR(ROW(AB54)-5=AB$1,ROW(AB54)-5=AB$1+1),VLOOKUP(AB$3,Summary!$B$2:$L$35,3,FALSE),0)</f>
        <v>0</v>
      </c>
      <c r="AC54" s="259">
        <f>IF(OR(ROW(AC54)-5=AC$1,ROW(AC54)-5=AC$1+1),VLOOKUP(AC$3,Summary!$B$2:$L$35,3,FALSE),0)</f>
        <v>0</v>
      </c>
      <c r="AD54" s="259">
        <f>IF(OR(ROW(AD54)-5=AD$1,ROW(AD54)-5=AD$1+1),VLOOKUP(AD$3,Summary!$B$2:$L$35,3,FALSE),0)</f>
        <v>0</v>
      </c>
      <c r="AE54" s="259">
        <f>IF(OR(ROW(AE54)-5=AE$1,ROW(AE54)-5=AE$1+1),VLOOKUP(AE$3,Summary!$B$2:$L$35,3,FALSE),0)</f>
        <v>0</v>
      </c>
      <c r="AF54" s="331">
        <f t="shared" ca="1" si="7"/>
        <v>-1.1528467283680968</v>
      </c>
    </row>
    <row r="55" spans="1:32">
      <c r="A55" s="259">
        <f ca="1">OFFSET(Summary!$I$2,TRUNC((ROW(A55)-ROW($A$7))/3,0),0)/1000</f>
        <v>199.7778975205882</v>
      </c>
      <c r="B55" s="259">
        <f>IF(OR(ROW(B55)-5=B$1,ROW(B55)-5=B$1+1),VLOOKUP(B$3,Summary!$B$2:$L$35,3,FALSE),0)</f>
        <v>0</v>
      </c>
      <c r="C55" s="259">
        <f>IF(OR(ROW(C55)-5=C$1,ROW(C55)-5=C$1+1),VLOOKUP(C$3,Summary!$B$2:$L$35,3,FALSE),0)</f>
        <v>0</v>
      </c>
      <c r="D55" s="259">
        <f>IF(OR(ROW(D55)-5=D$1,ROW(D55)-5=D$1+1),VLOOKUP(D$3,Summary!$B$2:$L$35,3,FALSE),0)</f>
        <v>0</v>
      </c>
      <c r="E55" s="259">
        <f>IF(OR(ROW(E55)-5=E$1,ROW(E55)-5=E$1+1),VLOOKUP(E$3,Summary!$B$2:$L$35,3,FALSE),0)</f>
        <v>0</v>
      </c>
      <c r="F55" s="259">
        <f>IF(OR(ROW(F55)-5=F$1,ROW(F55)-5=F$1+1),VLOOKUP(F$3,Summary!$B$2:$L$35,3,FALSE),0)</f>
        <v>0</v>
      </c>
      <c r="G55" s="259">
        <f>IF(OR(ROW(G55)-5=G$1,ROW(G55)-5=G$1+1),VLOOKUP(G$3,Summary!$B$2:$L$35,3,FALSE),0)</f>
        <v>0</v>
      </c>
      <c r="H55" s="259">
        <f>IF(OR(ROW(H55)-5=H$1,ROW(H55)-5=H$1+1),VLOOKUP(H$3,Summary!$B$2:$L$35,3,FALSE),0)</f>
        <v>0</v>
      </c>
      <c r="I55" s="259">
        <f>IF(OR(ROW(I55)-5=I$1,ROW(I55)-5=I$1+1),VLOOKUP(I$3,Summary!$B$2:$L$35,3,FALSE),0)</f>
        <v>0</v>
      </c>
      <c r="J55" s="259">
        <f>IF(OR(ROW(J55)-5=J$1,ROW(J55)-5=J$1+1),VLOOKUP(J$3,Summary!$B$2:$L$35,3,FALSE),0)</f>
        <v>0</v>
      </c>
      <c r="K55" s="259">
        <f>IF(OR(ROW(K55)-5=K$1,ROW(K55)-5=K$1+1),VLOOKUP(K$3,Summary!$B$2:$L$35,3,FALSE),0)</f>
        <v>0</v>
      </c>
      <c r="L55" s="259">
        <f>IF(OR(ROW(L55)-5=L$1,ROW(L55)-5=L$1+1),VLOOKUP(L$3,Summary!$B$2:$L$35,3,FALSE),0)</f>
        <v>0</v>
      </c>
      <c r="M55" s="259">
        <f>IF(OR(ROW(M55)-5=M$1,ROW(M55)-5=M$1+1),VLOOKUP(M$3,Summary!$B$2:$L$35,3,FALSE),0)</f>
        <v>0</v>
      </c>
      <c r="N55" s="259">
        <f>IF(OR(ROW(N55)-5=N$1,ROW(N55)-5=N$1+1),VLOOKUP(N$3,Summary!$B$2:$L$35,3,FALSE),0)</f>
        <v>0</v>
      </c>
      <c r="O55" s="259">
        <f>IF(OR(ROW(O55)-5=O$1,ROW(O55)-5=O$1+1),VLOOKUP(O$3,Summary!$B$2:$L$35,3,FALSE),0)</f>
        <v>0</v>
      </c>
      <c r="P55" s="259">
        <f>IF(OR(ROW(P55)-5=P$1,ROW(P55)-5=P$1+1),VLOOKUP(P$3,Summary!$B$2:$L$35,3,FALSE),0)</f>
        <v>0</v>
      </c>
      <c r="Q55" s="259">
        <f>IF(OR(ROW(Q55)-5=Q$1,ROW(Q55)-5=Q$1+1),VLOOKUP(Q$3,Summary!$B$2:$L$35,3,FALSE),0)</f>
        <v>0</v>
      </c>
      <c r="R55" s="259">
        <f ca="1">IF(OR(ROW(R55)-5=R$1,ROW(R55)-5=R$1+1),VLOOKUP(R$3,Summary!$B$2:$L$35,3,FALSE),0)</f>
        <v>33.389665773120427</v>
      </c>
      <c r="S55" s="259">
        <f>IF(OR(ROW(S55)-5=S$1,ROW(S55)-5=S$1+1),VLOOKUP(S$3,Summary!$B$2:$L$35,3,FALSE),0)</f>
        <v>0</v>
      </c>
      <c r="T55" s="259">
        <f>IF(OR(ROW(T55)-5=T$1,ROW(T55)-5=T$1+1),VLOOKUP(T$3,Summary!$B$2:$L$35,3,FALSE),0)</f>
        <v>0</v>
      </c>
      <c r="U55" s="259">
        <f>IF(OR(ROW(U55)-5=U$1,ROW(U55)-5=U$1+1),VLOOKUP(U$3,Summary!$B$2:$L$35,3,FALSE),0)</f>
        <v>0</v>
      </c>
      <c r="V55" s="259">
        <f>IF(OR(ROW(V55)-5=V$1,ROW(V55)-5=V$1+1),VLOOKUP(V$3,Summary!$B$2:$L$35,3,FALSE),0)</f>
        <v>0</v>
      </c>
      <c r="W55" s="259">
        <f>IF(OR(ROW(W55)-5=W$1,ROW(W55)-5=W$1+1),VLOOKUP(W$3,Summary!$B$2:$L$35,3,FALSE),0)</f>
        <v>0</v>
      </c>
      <c r="X55" s="259">
        <f>IF(OR(ROW(X55)-5=X$1,ROW(X55)-5=X$1+1),VLOOKUP(X$3,Summary!$B$2:$L$35,3,FALSE),0)</f>
        <v>0</v>
      </c>
      <c r="Y55" s="259">
        <f>IF(OR(ROW(Y55)-5=Y$1,ROW(Y55)-5=Y$1+1),VLOOKUP(Y$3,Summary!$B$2:$L$35,3,FALSE),0)</f>
        <v>0</v>
      </c>
      <c r="Z55" s="259">
        <f>IF(OR(ROW(Z55)-5=Z$1,ROW(Z55)-5=Z$1+1),VLOOKUP(Z$3,Summary!$B$2:$L$35,3,FALSE),0)</f>
        <v>0</v>
      </c>
      <c r="AA55" s="259">
        <f>IF(OR(ROW(AA55)-5=AA$1,ROW(AA55)-5=AA$1+1),VLOOKUP(AA$3,Summary!$B$2:$L$35,3,FALSE),0)</f>
        <v>0</v>
      </c>
      <c r="AB55" s="259">
        <f>IF(OR(ROW(AB55)-5=AB$1,ROW(AB55)-5=AB$1+1),VLOOKUP(AB$3,Summary!$B$2:$L$35,3,FALSE),0)</f>
        <v>0</v>
      </c>
      <c r="AC55" s="259">
        <f>IF(OR(ROW(AC55)-5=AC$1,ROW(AC55)-5=AC$1+1),VLOOKUP(AC$3,Summary!$B$2:$L$35,3,FALSE),0)</f>
        <v>0</v>
      </c>
      <c r="AD55" s="259">
        <f>IF(OR(ROW(AD55)-5=AD$1,ROW(AD55)-5=AD$1+1),VLOOKUP(AD$3,Summary!$B$2:$L$35,3,FALSE),0)</f>
        <v>0</v>
      </c>
      <c r="AE55" s="259">
        <f>IF(OR(ROW(AE55)-5=AE$1,ROW(AE55)-5=AE$1+1),VLOOKUP(AE$3,Summary!$B$2:$L$35,3,FALSE),0)</f>
        <v>0</v>
      </c>
      <c r="AF55" s="331">
        <f t="shared" ca="1" si="7"/>
        <v>-1.1528467283680968</v>
      </c>
    </row>
    <row r="56" spans="1:32">
      <c r="A56" s="259">
        <f ca="1">OFFSET(Summary!$I$2,TRUNC((ROW(A56)-ROW($A$7))/3,0),0)/1000</f>
        <v>199.7778975205882</v>
      </c>
      <c r="B56" s="259">
        <f>IF(OR(ROW(B56)-5=B$1,ROW(B56)-5=B$1+1),VLOOKUP(B$3,Summary!$B$2:$L$35,3,FALSE),0)</f>
        <v>0</v>
      </c>
      <c r="C56" s="259">
        <f>IF(OR(ROW(C56)-5=C$1,ROW(C56)-5=C$1+1),VLOOKUP(C$3,Summary!$B$2:$L$35,3,FALSE),0)</f>
        <v>0</v>
      </c>
      <c r="D56" s="259">
        <f>IF(OR(ROW(D56)-5=D$1,ROW(D56)-5=D$1+1),VLOOKUP(D$3,Summary!$B$2:$L$35,3,FALSE),0)</f>
        <v>0</v>
      </c>
      <c r="E56" s="259">
        <f>IF(OR(ROW(E56)-5=E$1,ROW(E56)-5=E$1+1),VLOOKUP(E$3,Summary!$B$2:$L$35,3,FALSE),0)</f>
        <v>0</v>
      </c>
      <c r="F56" s="259">
        <f>IF(OR(ROW(F56)-5=F$1,ROW(F56)-5=F$1+1),VLOOKUP(F$3,Summary!$B$2:$L$35,3,FALSE),0)</f>
        <v>0</v>
      </c>
      <c r="G56" s="259">
        <f>IF(OR(ROW(G56)-5=G$1,ROW(G56)-5=G$1+1),VLOOKUP(G$3,Summary!$B$2:$L$35,3,FALSE),0)</f>
        <v>0</v>
      </c>
      <c r="H56" s="259">
        <f>IF(OR(ROW(H56)-5=H$1,ROW(H56)-5=H$1+1),VLOOKUP(H$3,Summary!$B$2:$L$35,3,FALSE),0)</f>
        <v>0</v>
      </c>
      <c r="I56" s="259">
        <f>IF(OR(ROW(I56)-5=I$1,ROW(I56)-5=I$1+1),VLOOKUP(I$3,Summary!$B$2:$L$35,3,FALSE),0)</f>
        <v>0</v>
      </c>
      <c r="J56" s="259">
        <f>IF(OR(ROW(J56)-5=J$1,ROW(J56)-5=J$1+1),VLOOKUP(J$3,Summary!$B$2:$L$35,3,FALSE),0)</f>
        <v>0</v>
      </c>
      <c r="K56" s="259">
        <f>IF(OR(ROW(K56)-5=K$1,ROW(K56)-5=K$1+1),VLOOKUP(K$3,Summary!$B$2:$L$35,3,FALSE),0)</f>
        <v>0</v>
      </c>
      <c r="L56" s="259">
        <f>IF(OR(ROW(L56)-5=L$1,ROW(L56)-5=L$1+1),VLOOKUP(L$3,Summary!$B$2:$L$35,3,FALSE),0)</f>
        <v>0</v>
      </c>
      <c r="M56" s="259">
        <f>IF(OR(ROW(M56)-5=M$1,ROW(M56)-5=M$1+1),VLOOKUP(M$3,Summary!$B$2:$L$35,3,FALSE),0)</f>
        <v>0</v>
      </c>
      <c r="N56" s="259">
        <f>IF(OR(ROW(N56)-5=N$1,ROW(N56)-5=N$1+1),VLOOKUP(N$3,Summary!$B$2:$L$35,3,FALSE),0)</f>
        <v>0</v>
      </c>
      <c r="O56" s="259">
        <f>IF(OR(ROW(O56)-5=O$1,ROW(O56)-5=O$1+1),VLOOKUP(O$3,Summary!$B$2:$L$35,3,FALSE),0)</f>
        <v>0</v>
      </c>
      <c r="P56" s="259">
        <f>IF(OR(ROW(P56)-5=P$1,ROW(P56)-5=P$1+1),VLOOKUP(P$3,Summary!$B$2:$L$35,3,FALSE),0)</f>
        <v>0</v>
      </c>
      <c r="Q56" s="259">
        <f>IF(OR(ROW(Q56)-5=Q$1,ROW(Q56)-5=Q$1+1),VLOOKUP(Q$3,Summary!$B$2:$L$35,3,FALSE),0)</f>
        <v>0</v>
      </c>
      <c r="R56" s="259">
        <f>IF(OR(ROW(R56)-5=R$1,ROW(R56)-5=R$1+1),VLOOKUP(R$3,Summary!$B$2:$L$35,3,FALSE),0)</f>
        <v>0</v>
      </c>
      <c r="S56" s="259">
        <f>IF(OR(ROW(S56)-5=S$1,ROW(S56)-5=S$1+1),VLOOKUP(S$3,Summary!$B$2:$L$35,3,FALSE),0)</f>
        <v>0</v>
      </c>
      <c r="T56" s="259">
        <f>IF(OR(ROW(T56)-5=T$1,ROW(T56)-5=T$1+1),VLOOKUP(T$3,Summary!$B$2:$L$35,3,FALSE),0)</f>
        <v>0</v>
      </c>
      <c r="U56" s="259">
        <f>IF(OR(ROW(U56)-5=U$1,ROW(U56)-5=U$1+1),VLOOKUP(U$3,Summary!$B$2:$L$35,3,FALSE),0)</f>
        <v>0</v>
      </c>
      <c r="V56" s="259">
        <f>IF(OR(ROW(V56)-5=V$1,ROW(V56)-5=V$1+1),VLOOKUP(V$3,Summary!$B$2:$L$35,3,FALSE),0)</f>
        <v>0</v>
      </c>
      <c r="W56" s="259">
        <f>IF(OR(ROW(W56)-5=W$1,ROW(W56)-5=W$1+1),VLOOKUP(W$3,Summary!$B$2:$L$35,3,FALSE),0)</f>
        <v>0</v>
      </c>
      <c r="X56" s="259">
        <f>IF(OR(ROW(X56)-5=X$1,ROW(X56)-5=X$1+1),VLOOKUP(X$3,Summary!$B$2:$L$35,3,FALSE),0)</f>
        <v>0</v>
      </c>
      <c r="Y56" s="259">
        <f>IF(OR(ROW(Y56)-5=Y$1,ROW(Y56)-5=Y$1+1),VLOOKUP(Y$3,Summary!$B$2:$L$35,3,FALSE),0)</f>
        <v>0</v>
      </c>
      <c r="Z56" s="259">
        <f>IF(OR(ROW(Z56)-5=Z$1,ROW(Z56)-5=Z$1+1),VLOOKUP(Z$3,Summary!$B$2:$L$35,3,FALSE),0)</f>
        <v>0</v>
      </c>
      <c r="AA56" s="259">
        <f>IF(OR(ROW(AA56)-5=AA$1,ROW(AA56)-5=AA$1+1),VLOOKUP(AA$3,Summary!$B$2:$L$35,3,FALSE),0)</f>
        <v>0</v>
      </c>
      <c r="AB56" s="259">
        <f>IF(OR(ROW(AB56)-5=AB$1,ROW(AB56)-5=AB$1+1),VLOOKUP(AB$3,Summary!$B$2:$L$35,3,FALSE),0)</f>
        <v>0</v>
      </c>
      <c r="AC56" s="259">
        <f>IF(OR(ROW(AC56)-5=AC$1,ROW(AC56)-5=AC$1+1),VLOOKUP(AC$3,Summary!$B$2:$L$35,3,FALSE),0)</f>
        <v>0</v>
      </c>
      <c r="AD56" s="259">
        <f>IF(OR(ROW(AD56)-5=AD$1,ROW(AD56)-5=AD$1+1),VLOOKUP(AD$3,Summary!$B$2:$L$35,3,FALSE),0)</f>
        <v>0</v>
      </c>
      <c r="AE56" s="259">
        <f>IF(OR(ROW(AE56)-5=AE$1,ROW(AE56)-5=AE$1+1),VLOOKUP(AE$3,Summary!$B$2:$L$35,3,FALSE),0)</f>
        <v>0</v>
      </c>
      <c r="AF56" s="331" t="e">
        <f t="shared" ca="1" si="7"/>
        <v>#N/A</v>
      </c>
    </row>
    <row r="57" spans="1:32">
      <c r="A57" s="259">
        <f ca="1">OFFSET(Summary!$I$2,TRUNC((ROW(A57)-ROW($A$7))/3,0),0)/1000</f>
        <v>199.7778975205882</v>
      </c>
      <c r="B57" s="259">
        <f>IF(OR(ROW(B57)-5=B$1,ROW(B57)-5=B$1+1),VLOOKUP(B$3,Summary!$B$2:$L$35,3,FALSE),0)</f>
        <v>0</v>
      </c>
      <c r="C57" s="259">
        <f>IF(OR(ROW(C57)-5=C$1,ROW(C57)-5=C$1+1),VLOOKUP(C$3,Summary!$B$2:$L$35,3,FALSE),0)</f>
        <v>0</v>
      </c>
      <c r="D57" s="259">
        <f>IF(OR(ROW(D57)-5=D$1,ROW(D57)-5=D$1+1),VLOOKUP(D$3,Summary!$B$2:$L$35,3,FALSE),0)</f>
        <v>0</v>
      </c>
      <c r="E57" s="259">
        <f>IF(OR(ROW(E57)-5=E$1,ROW(E57)-5=E$1+1),VLOOKUP(E$3,Summary!$B$2:$L$35,3,FALSE),0)</f>
        <v>0</v>
      </c>
      <c r="F57" s="259">
        <f>IF(OR(ROW(F57)-5=F$1,ROW(F57)-5=F$1+1),VLOOKUP(F$3,Summary!$B$2:$L$35,3,FALSE),0)</f>
        <v>0</v>
      </c>
      <c r="G57" s="259">
        <f>IF(OR(ROW(G57)-5=G$1,ROW(G57)-5=G$1+1),VLOOKUP(G$3,Summary!$B$2:$L$35,3,FALSE),0)</f>
        <v>0</v>
      </c>
      <c r="H57" s="259">
        <f>IF(OR(ROW(H57)-5=H$1,ROW(H57)-5=H$1+1),VLOOKUP(H$3,Summary!$B$2:$L$35,3,FALSE),0)</f>
        <v>0</v>
      </c>
      <c r="I57" s="259">
        <f>IF(OR(ROW(I57)-5=I$1,ROW(I57)-5=I$1+1),VLOOKUP(I$3,Summary!$B$2:$L$35,3,FALSE),0)</f>
        <v>0</v>
      </c>
      <c r="J57" s="259">
        <f>IF(OR(ROW(J57)-5=J$1,ROW(J57)-5=J$1+1),VLOOKUP(J$3,Summary!$B$2:$L$35,3,FALSE),0)</f>
        <v>0</v>
      </c>
      <c r="K57" s="259">
        <f>IF(OR(ROW(K57)-5=K$1,ROW(K57)-5=K$1+1),VLOOKUP(K$3,Summary!$B$2:$L$35,3,FALSE),0)</f>
        <v>0</v>
      </c>
      <c r="L57" s="259">
        <f>IF(OR(ROW(L57)-5=L$1,ROW(L57)-5=L$1+1),VLOOKUP(L$3,Summary!$B$2:$L$35,3,FALSE),0)</f>
        <v>0</v>
      </c>
      <c r="M57" s="259">
        <f>IF(OR(ROW(M57)-5=M$1,ROW(M57)-5=M$1+1),VLOOKUP(M$3,Summary!$B$2:$L$35,3,FALSE),0)</f>
        <v>0</v>
      </c>
      <c r="N57" s="259">
        <f>IF(OR(ROW(N57)-5=N$1,ROW(N57)-5=N$1+1),VLOOKUP(N$3,Summary!$B$2:$L$35,3,FALSE),0)</f>
        <v>0</v>
      </c>
      <c r="O57" s="259">
        <f>IF(OR(ROW(O57)-5=O$1,ROW(O57)-5=O$1+1),VLOOKUP(O$3,Summary!$B$2:$L$35,3,FALSE),0)</f>
        <v>0</v>
      </c>
      <c r="P57" s="259">
        <f>IF(OR(ROW(P57)-5=P$1,ROW(P57)-5=P$1+1),VLOOKUP(P$3,Summary!$B$2:$L$35,3,FALSE),0)</f>
        <v>0</v>
      </c>
      <c r="Q57" s="259">
        <f>IF(OR(ROW(Q57)-5=Q$1,ROW(Q57)-5=Q$1+1),VLOOKUP(Q$3,Summary!$B$2:$L$35,3,FALSE),0)</f>
        <v>0</v>
      </c>
      <c r="R57" s="259">
        <f>IF(OR(ROW(R57)-5=R$1,ROW(R57)-5=R$1+1),VLOOKUP(R$3,Summary!$B$2:$L$35,3,FALSE),0)</f>
        <v>0</v>
      </c>
      <c r="S57" s="259">
        <f ca="1">IF(OR(ROW(S57)-5=S$1,ROW(S57)-5=S$1+1),VLOOKUP(S$3,Summary!$B$2:$L$35,3,FALSE),0)</f>
        <v>35.198540352427607</v>
      </c>
      <c r="T57" s="259">
        <f>IF(OR(ROW(T57)-5=T$1,ROW(T57)-5=T$1+1),VLOOKUP(T$3,Summary!$B$2:$L$35,3,FALSE),0)</f>
        <v>0</v>
      </c>
      <c r="U57" s="259">
        <f>IF(OR(ROW(U57)-5=U$1,ROW(U57)-5=U$1+1),VLOOKUP(U$3,Summary!$B$2:$L$35,3,FALSE),0)</f>
        <v>0</v>
      </c>
      <c r="V57" s="259">
        <f>IF(OR(ROW(V57)-5=V$1,ROW(V57)-5=V$1+1),VLOOKUP(V$3,Summary!$B$2:$L$35,3,FALSE),0)</f>
        <v>0</v>
      </c>
      <c r="W57" s="259">
        <f>IF(OR(ROW(W57)-5=W$1,ROW(W57)-5=W$1+1),VLOOKUP(W$3,Summary!$B$2:$L$35,3,FALSE),0)</f>
        <v>0</v>
      </c>
      <c r="X57" s="259">
        <f>IF(OR(ROW(X57)-5=X$1,ROW(X57)-5=X$1+1),VLOOKUP(X$3,Summary!$B$2:$L$35,3,FALSE),0)</f>
        <v>0</v>
      </c>
      <c r="Y57" s="259">
        <f>IF(OR(ROW(Y57)-5=Y$1,ROW(Y57)-5=Y$1+1),VLOOKUP(Y$3,Summary!$B$2:$L$35,3,FALSE),0)</f>
        <v>0</v>
      </c>
      <c r="Z57" s="259">
        <f>IF(OR(ROW(Z57)-5=Z$1,ROW(Z57)-5=Z$1+1),VLOOKUP(Z$3,Summary!$B$2:$L$35,3,FALSE),0)</f>
        <v>0</v>
      </c>
      <c r="AA57" s="259">
        <f>IF(OR(ROW(AA57)-5=AA$1,ROW(AA57)-5=AA$1+1),VLOOKUP(AA$3,Summary!$B$2:$L$35,3,FALSE),0)</f>
        <v>0</v>
      </c>
      <c r="AB57" s="259">
        <f>IF(OR(ROW(AB57)-5=AB$1,ROW(AB57)-5=AB$1+1),VLOOKUP(AB$3,Summary!$B$2:$L$35,3,FALSE),0)</f>
        <v>0</v>
      </c>
      <c r="AC57" s="259">
        <f>IF(OR(ROW(AC57)-5=AC$1,ROW(AC57)-5=AC$1+1),VLOOKUP(AC$3,Summary!$B$2:$L$35,3,FALSE),0)</f>
        <v>0</v>
      </c>
      <c r="AD57" s="259">
        <f>IF(OR(ROW(AD57)-5=AD$1,ROW(AD57)-5=AD$1+1),VLOOKUP(AD$3,Summary!$B$2:$L$35,3,FALSE),0)</f>
        <v>0</v>
      </c>
      <c r="AE57" s="259">
        <f>IF(OR(ROW(AE57)-5=AE$1,ROW(AE57)-5=AE$1+1),VLOOKUP(AE$3,Summary!$B$2:$L$35,3,FALSE),0)</f>
        <v>0</v>
      </c>
      <c r="AF57" s="331">
        <f t="shared" ca="1" si="7"/>
        <v>4.2585168360537295</v>
      </c>
    </row>
    <row r="58" spans="1:32">
      <c r="A58" s="259">
        <f ca="1">OFFSET(Summary!$I$2,TRUNC((ROW(A58)-ROW($A$7))/3,0),0)/1000</f>
        <v>235.29073377698677</v>
      </c>
      <c r="B58" s="259">
        <f>IF(OR(ROW(B58)-5=B$1,ROW(B58)-5=B$1+1),VLOOKUP(B$3,Summary!$B$2:$L$35,3,FALSE),0)</f>
        <v>0</v>
      </c>
      <c r="C58" s="259">
        <f>IF(OR(ROW(C58)-5=C$1,ROW(C58)-5=C$1+1),VLOOKUP(C$3,Summary!$B$2:$L$35,3,FALSE),0)</f>
        <v>0</v>
      </c>
      <c r="D58" s="259">
        <f>IF(OR(ROW(D58)-5=D$1,ROW(D58)-5=D$1+1),VLOOKUP(D$3,Summary!$B$2:$L$35,3,FALSE),0)</f>
        <v>0</v>
      </c>
      <c r="E58" s="259">
        <f>IF(OR(ROW(E58)-5=E$1,ROW(E58)-5=E$1+1),VLOOKUP(E$3,Summary!$B$2:$L$35,3,FALSE),0)</f>
        <v>0</v>
      </c>
      <c r="F58" s="259">
        <f>IF(OR(ROW(F58)-5=F$1,ROW(F58)-5=F$1+1),VLOOKUP(F$3,Summary!$B$2:$L$35,3,FALSE),0)</f>
        <v>0</v>
      </c>
      <c r="G58" s="259">
        <f>IF(OR(ROW(G58)-5=G$1,ROW(G58)-5=G$1+1),VLOOKUP(G$3,Summary!$B$2:$L$35,3,FALSE),0)</f>
        <v>0</v>
      </c>
      <c r="H58" s="259">
        <f>IF(OR(ROW(H58)-5=H$1,ROW(H58)-5=H$1+1),VLOOKUP(H$3,Summary!$B$2:$L$35,3,FALSE),0)</f>
        <v>0</v>
      </c>
      <c r="I58" s="259">
        <f>IF(OR(ROW(I58)-5=I$1,ROW(I58)-5=I$1+1),VLOOKUP(I$3,Summary!$B$2:$L$35,3,FALSE),0)</f>
        <v>0</v>
      </c>
      <c r="J58" s="259">
        <f>IF(OR(ROW(J58)-5=J$1,ROW(J58)-5=J$1+1),VLOOKUP(J$3,Summary!$B$2:$L$35,3,FALSE),0)</f>
        <v>0</v>
      </c>
      <c r="K58" s="259">
        <f>IF(OR(ROW(K58)-5=K$1,ROW(K58)-5=K$1+1),VLOOKUP(K$3,Summary!$B$2:$L$35,3,FALSE),0)</f>
        <v>0</v>
      </c>
      <c r="L58" s="259">
        <f>IF(OR(ROW(L58)-5=L$1,ROW(L58)-5=L$1+1),VLOOKUP(L$3,Summary!$B$2:$L$35,3,FALSE),0)</f>
        <v>0</v>
      </c>
      <c r="M58" s="259">
        <f>IF(OR(ROW(M58)-5=M$1,ROW(M58)-5=M$1+1),VLOOKUP(M$3,Summary!$B$2:$L$35,3,FALSE),0)</f>
        <v>0</v>
      </c>
      <c r="N58" s="259">
        <f>IF(OR(ROW(N58)-5=N$1,ROW(N58)-5=N$1+1),VLOOKUP(N$3,Summary!$B$2:$L$35,3,FALSE),0)</f>
        <v>0</v>
      </c>
      <c r="O58" s="259">
        <f>IF(OR(ROW(O58)-5=O$1,ROW(O58)-5=O$1+1),VLOOKUP(O$3,Summary!$B$2:$L$35,3,FALSE),0)</f>
        <v>0</v>
      </c>
      <c r="P58" s="259">
        <f>IF(OR(ROW(P58)-5=P$1,ROW(P58)-5=P$1+1),VLOOKUP(P$3,Summary!$B$2:$L$35,3,FALSE),0)</f>
        <v>0</v>
      </c>
      <c r="Q58" s="259">
        <f>IF(OR(ROW(Q58)-5=Q$1,ROW(Q58)-5=Q$1+1),VLOOKUP(Q$3,Summary!$B$2:$L$35,3,FALSE),0)</f>
        <v>0</v>
      </c>
      <c r="R58" s="259">
        <f>IF(OR(ROW(R58)-5=R$1,ROW(R58)-5=R$1+1),VLOOKUP(R$3,Summary!$B$2:$L$35,3,FALSE),0)</f>
        <v>0</v>
      </c>
      <c r="S58" s="259">
        <f ca="1">IF(OR(ROW(S58)-5=S$1,ROW(S58)-5=S$1+1),VLOOKUP(S$3,Summary!$B$2:$L$35,3,FALSE),0)</f>
        <v>35.198540352427607</v>
      </c>
      <c r="T58" s="259">
        <f>IF(OR(ROW(T58)-5=T$1,ROW(T58)-5=T$1+1),VLOOKUP(T$3,Summary!$B$2:$L$35,3,FALSE),0)</f>
        <v>0</v>
      </c>
      <c r="U58" s="259">
        <f>IF(OR(ROW(U58)-5=U$1,ROW(U58)-5=U$1+1),VLOOKUP(U$3,Summary!$B$2:$L$35,3,FALSE),0)</f>
        <v>0</v>
      </c>
      <c r="V58" s="259">
        <f>IF(OR(ROW(V58)-5=V$1,ROW(V58)-5=V$1+1),VLOOKUP(V$3,Summary!$B$2:$L$35,3,FALSE),0)</f>
        <v>0</v>
      </c>
      <c r="W58" s="259">
        <f>IF(OR(ROW(W58)-5=W$1,ROW(W58)-5=W$1+1),VLOOKUP(W$3,Summary!$B$2:$L$35,3,FALSE),0)</f>
        <v>0</v>
      </c>
      <c r="X58" s="259">
        <f>IF(OR(ROW(X58)-5=X$1,ROW(X58)-5=X$1+1),VLOOKUP(X$3,Summary!$B$2:$L$35,3,FALSE),0)</f>
        <v>0</v>
      </c>
      <c r="Y58" s="259">
        <f>IF(OR(ROW(Y58)-5=Y$1,ROW(Y58)-5=Y$1+1),VLOOKUP(Y$3,Summary!$B$2:$L$35,3,FALSE),0)</f>
        <v>0</v>
      </c>
      <c r="Z58" s="259">
        <f>IF(OR(ROW(Z58)-5=Z$1,ROW(Z58)-5=Z$1+1),VLOOKUP(Z$3,Summary!$B$2:$L$35,3,FALSE),0)</f>
        <v>0</v>
      </c>
      <c r="AA58" s="259">
        <f>IF(OR(ROW(AA58)-5=AA$1,ROW(AA58)-5=AA$1+1),VLOOKUP(AA$3,Summary!$B$2:$L$35,3,FALSE),0)</f>
        <v>0</v>
      </c>
      <c r="AB58" s="259">
        <f>IF(OR(ROW(AB58)-5=AB$1,ROW(AB58)-5=AB$1+1),VLOOKUP(AB$3,Summary!$B$2:$L$35,3,FALSE),0)</f>
        <v>0</v>
      </c>
      <c r="AC58" s="259">
        <f>IF(OR(ROW(AC58)-5=AC$1,ROW(AC58)-5=AC$1+1),VLOOKUP(AC$3,Summary!$B$2:$L$35,3,FALSE),0)</f>
        <v>0</v>
      </c>
      <c r="AD58" s="259">
        <f>IF(OR(ROW(AD58)-5=AD$1,ROW(AD58)-5=AD$1+1),VLOOKUP(AD$3,Summary!$B$2:$L$35,3,FALSE),0)</f>
        <v>0</v>
      </c>
      <c r="AE58" s="259">
        <f>IF(OR(ROW(AE58)-5=AE$1,ROW(AE58)-5=AE$1+1),VLOOKUP(AE$3,Summary!$B$2:$L$35,3,FALSE),0)</f>
        <v>0</v>
      </c>
      <c r="AF58" s="331">
        <f t="shared" ca="1" si="7"/>
        <v>4.2585168360537295</v>
      </c>
    </row>
    <row r="59" spans="1:32">
      <c r="A59" s="259">
        <f ca="1">OFFSET(Summary!$I$2,TRUNC((ROW(A59)-ROW($A$7))/3,0),0)/1000</f>
        <v>235.29073377698677</v>
      </c>
      <c r="B59" s="259">
        <f>IF(OR(ROW(B59)-5=B$1,ROW(B59)-5=B$1+1),VLOOKUP(B$3,Summary!$B$2:$L$35,3,FALSE),0)</f>
        <v>0</v>
      </c>
      <c r="C59" s="259">
        <f>IF(OR(ROW(C59)-5=C$1,ROW(C59)-5=C$1+1),VLOOKUP(C$3,Summary!$B$2:$L$35,3,FALSE),0)</f>
        <v>0</v>
      </c>
      <c r="D59" s="259">
        <f>IF(OR(ROW(D59)-5=D$1,ROW(D59)-5=D$1+1),VLOOKUP(D$3,Summary!$B$2:$L$35,3,FALSE),0)</f>
        <v>0</v>
      </c>
      <c r="E59" s="259">
        <f>IF(OR(ROW(E59)-5=E$1,ROW(E59)-5=E$1+1),VLOOKUP(E$3,Summary!$B$2:$L$35,3,FALSE),0)</f>
        <v>0</v>
      </c>
      <c r="F59" s="259">
        <f>IF(OR(ROW(F59)-5=F$1,ROW(F59)-5=F$1+1),VLOOKUP(F$3,Summary!$B$2:$L$35,3,FALSE),0)</f>
        <v>0</v>
      </c>
      <c r="G59" s="259">
        <f>IF(OR(ROW(G59)-5=G$1,ROW(G59)-5=G$1+1),VLOOKUP(G$3,Summary!$B$2:$L$35,3,FALSE),0)</f>
        <v>0</v>
      </c>
      <c r="H59" s="259">
        <f>IF(OR(ROW(H59)-5=H$1,ROW(H59)-5=H$1+1),VLOOKUP(H$3,Summary!$B$2:$L$35,3,FALSE),0)</f>
        <v>0</v>
      </c>
      <c r="I59" s="259">
        <f>IF(OR(ROW(I59)-5=I$1,ROW(I59)-5=I$1+1),VLOOKUP(I$3,Summary!$B$2:$L$35,3,FALSE),0)</f>
        <v>0</v>
      </c>
      <c r="J59" s="259">
        <f>IF(OR(ROW(J59)-5=J$1,ROW(J59)-5=J$1+1),VLOOKUP(J$3,Summary!$B$2:$L$35,3,FALSE),0)</f>
        <v>0</v>
      </c>
      <c r="K59" s="259">
        <f>IF(OR(ROW(K59)-5=K$1,ROW(K59)-5=K$1+1),VLOOKUP(K$3,Summary!$B$2:$L$35,3,FALSE),0)</f>
        <v>0</v>
      </c>
      <c r="L59" s="259">
        <f>IF(OR(ROW(L59)-5=L$1,ROW(L59)-5=L$1+1),VLOOKUP(L$3,Summary!$B$2:$L$35,3,FALSE),0)</f>
        <v>0</v>
      </c>
      <c r="M59" s="259">
        <f>IF(OR(ROW(M59)-5=M$1,ROW(M59)-5=M$1+1),VLOOKUP(M$3,Summary!$B$2:$L$35,3,FALSE),0)</f>
        <v>0</v>
      </c>
      <c r="N59" s="259">
        <f>IF(OR(ROW(N59)-5=N$1,ROW(N59)-5=N$1+1),VLOOKUP(N$3,Summary!$B$2:$L$35,3,FALSE),0)</f>
        <v>0</v>
      </c>
      <c r="O59" s="259">
        <f>IF(OR(ROW(O59)-5=O$1,ROW(O59)-5=O$1+1),VLOOKUP(O$3,Summary!$B$2:$L$35,3,FALSE),0)</f>
        <v>0</v>
      </c>
      <c r="P59" s="259">
        <f>IF(OR(ROW(P59)-5=P$1,ROW(P59)-5=P$1+1),VLOOKUP(P$3,Summary!$B$2:$L$35,3,FALSE),0)</f>
        <v>0</v>
      </c>
      <c r="Q59" s="259">
        <f>IF(OR(ROW(Q59)-5=Q$1,ROW(Q59)-5=Q$1+1),VLOOKUP(Q$3,Summary!$B$2:$L$35,3,FALSE),0)</f>
        <v>0</v>
      </c>
      <c r="R59" s="259">
        <f>IF(OR(ROW(R59)-5=R$1,ROW(R59)-5=R$1+1),VLOOKUP(R$3,Summary!$B$2:$L$35,3,FALSE),0)</f>
        <v>0</v>
      </c>
      <c r="S59" s="259">
        <f>IF(OR(ROW(S59)-5=S$1,ROW(S59)-5=S$1+1),VLOOKUP(S$3,Summary!$B$2:$L$35,3,FALSE),0)</f>
        <v>0</v>
      </c>
      <c r="T59" s="259">
        <f>IF(OR(ROW(T59)-5=T$1,ROW(T59)-5=T$1+1),VLOOKUP(T$3,Summary!$B$2:$L$35,3,FALSE),0)</f>
        <v>0</v>
      </c>
      <c r="U59" s="259">
        <f>IF(OR(ROW(U59)-5=U$1,ROW(U59)-5=U$1+1),VLOOKUP(U$3,Summary!$B$2:$L$35,3,FALSE),0)</f>
        <v>0</v>
      </c>
      <c r="V59" s="259">
        <f>IF(OR(ROW(V59)-5=V$1,ROW(V59)-5=V$1+1),VLOOKUP(V$3,Summary!$B$2:$L$35,3,FALSE),0)</f>
        <v>0</v>
      </c>
      <c r="W59" s="259">
        <f>IF(OR(ROW(W59)-5=W$1,ROW(W59)-5=W$1+1),VLOOKUP(W$3,Summary!$B$2:$L$35,3,FALSE),0)</f>
        <v>0</v>
      </c>
      <c r="X59" s="259">
        <f>IF(OR(ROW(X59)-5=X$1,ROW(X59)-5=X$1+1),VLOOKUP(X$3,Summary!$B$2:$L$35,3,FALSE),0)</f>
        <v>0</v>
      </c>
      <c r="Y59" s="259">
        <f>IF(OR(ROW(Y59)-5=Y$1,ROW(Y59)-5=Y$1+1),VLOOKUP(Y$3,Summary!$B$2:$L$35,3,FALSE),0)</f>
        <v>0</v>
      </c>
      <c r="Z59" s="259">
        <f>IF(OR(ROW(Z59)-5=Z$1,ROW(Z59)-5=Z$1+1),VLOOKUP(Z$3,Summary!$B$2:$L$35,3,FALSE),0)</f>
        <v>0</v>
      </c>
      <c r="AA59" s="259">
        <f>IF(OR(ROW(AA59)-5=AA$1,ROW(AA59)-5=AA$1+1),VLOOKUP(AA$3,Summary!$B$2:$L$35,3,FALSE),0)</f>
        <v>0</v>
      </c>
      <c r="AB59" s="259">
        <f>IF(OR(ROW(AB59)-5=AB$1,ROW(AB59)-5=AB$1+1),VLOOKUP(AB$3,Summary!$B$2:$L$35,3,FALSE),0)</f>
        <v>0</v>
      </c>
      <c r="AC59" s="259">
        <f>IF(OR(ROW(AC59)-5=AC$1,ROW(AC59)-5=AC$1+1),VLOOKUP(AC$3,Summary!$B$2:$L$35,3,FALSE),0)</f>
        <v>0</v>
      </c>
      <c r="AD59" s="259">
        <f>IF(OR(ROW(AD59)-5=AD$1,ROW(AD59)-5=AD$1+1),VLOOKUP(AD$3,Summary!$B$2:$L$35,3,FALSE),0)</f>
        <v>0</v>
      </c>
      <c r="AE59" s="259">
        <f>IF(OR(ROW(AE59)-5=AE$1,ROW(AE59)-5=AE$1+1),VLOOKUP(AE$3,Summary!$B$2:$L$35,3,FALSE),0)</f>
        <v>0</v>
      </c>
      <c r="AF59" s="331" t="e">
        <f t="shared" ca="1" si="7"/>
        <v>#N/A</v>
      </c>
    </row>
    <row r="60" spans="1:32">
      <c r="A60" s="259">
        <f ca="1">OFFSET(Summary!$I$2,TRUNC((ROW(A60)-ROW($A$7))/3,0),0)/1000</f>
        <v>235.29073377698677</v>
      </c>
      <c r="B60" s="259">
        <f>IF(OR(ROW(B60)-5=B$1,ROW(B60)-5=B$1+1),VLOOKUP(B$3,Summary!$B$2:$L$35,3,FALSE),0)</f>
        <v>0</v>
      </c>
      <c r="C60" s="259">
        <f>IF(OR(ROW(C60)-5=C$1,ROW(C60)-5=C$1+1),VLOOKUP(C$3,Summary!$B$2:$L$35,3,FALSE),0)</f>
        <v>0</v>
      </c>
      <c r="D60" s="259">
        <f>IF(OR(ROW(D60)-5=D$1,ROW(D60)-5=D$1+1),VLOOKUP(D$3,Summary!$B$2:$L$35,3,FALSE),0)</f>
        <v>0</v>
      </c>
      <c r="E60" s="259">
        <f>IF(OR(ROW(E60)-5=E$1,ROW(E60)-5=E$1+1),VLOOKUP(E$3,Summary!$B$2:$L$35,3,FALSE),0)</f>
        <v>0</v>
      </c>
      <c r="F60" s="259">
        <f>IF(OR(ROW(F60)-5=F$1,ROW(F60)-5=F$1+1),VLOOKUP(F$3,Summary!$B$2:$L$35,3,FALSE),0)</f>
        <v>0</v>
      </c>
      <c r="G60" s="259">
        <f>IF(OR(ROW(G60)-5=G$1,ROW(G60)-5=G$1+1),VLOOKUP(G$3,Summary!$B$2:$L$35,3,FALSE),0)</f>
        <v>0</v>
      </c>
      <c r="H60" s="259">
        <f>IF(OR(ROW(H60)-5=H$1,ROW(H60)-5=H$1+1),VLOOKUP(H$3,Summary!$B$2:$L$35,3,FALSE),0)</f>
        <v>0</v>
      </c>
      <c r="I60" s="259">
        <f>IF(OR(ROW(I60)-5=I$1,ROW(I60)-5=I$1+1),VLOOKUP(I$3,Summary!$B$2:$L$35,3,FALSE),0)</f>
        <v>0</v>
      </c>
      <c r="J60" s="259">
        <f>IF(OR(ROW(J60)-5=J$1,ROW(J60)-5=J$1+1),VLOOKUP(J$3,Summary!$B$2:$L$35,3,FALSE),0)</f>
        <v>0</v>
      </c>
      <c r="K60" s="259">
        <f>IF(OR(ROW(K60)-5=K$1,ROW(K60)-5=K$1+1),VLOOKUP(K$3,Summary!$B$2:$L$35,3,FALSE),0)</f>
        <v>0</v>
      </c>
      <c r="L60" s="259">
        <f>IF(OR(ROW(L60)-5=L$1,ROW(L60)-5=L$1+1),VLOOKUP(L$3,Summary!$B$2:$L$35,3,FALSE),0)</f>
        <v>0</v>
      </c>
      <c r="M60" s="259">
        <f>IF(OR(ROW(M60)-5=M$1,ROW(M60)-5=M$1+1),VLOOKUP(M$3,Summary!$B$2:$L$35,3,FALSE),0)</f>
        <v>0</v>
      </c>
      <c r="N60" s="259">
        <f>IF(OR(ROW(N60)-5=N$1,ROW(N60)-5=N$1+1),VLOOKUP(N$3,Summary!$B$2:$L$35,3,FALSE),0)</f>
        <v>0</v>
      </c>
      <c r="O60" s="259">
        <f>IF(OR(ROW(O60)-5=O$1,ROW(O60)-5=O$1+1),VLOOKUP(O$3,Summary!$B$2:$L$35,3,FALSE),0)</f>
        <v>0</v>
      </c>
      <c r="P60" s="259">
        <f>IF(OR(ROW(P60)-5=P$1,ROW(P60)-5=P$1+1),VLOOKUP(P$3,Summary!$B$2:$L$35,3,FALSE),0)</f>
        <v>0</v>
      </c>
      <c r="Q60" s="259">
        <f>IF(OR(ROW(Q60)-5=Q$1,ROW(Q60)-5=Q$1+1),VLOOKUP(Q$3,Summary!$B$2:$L$35,3,FALSE),0)</f>
        <v>0</v>
      </c>
      <c r="R60" s="259">
        <f>IF(OR(ROW(R60)-5=R$1,ROW(R60)-5=R$1+1),VLOOKUP(R$3,Summary!$B$2:$L$35,3,FALSE),0)</f>
        <v>0</v>
      </c>
      <c r="S60" s="259">
        <f>IF(OR(ROW(S60)-5=S$1,ROW(S60)-5=S$1+1),VLOOKUP(S$3,Summary!$B$2:$L$35,3,FALSE),0)</f>
        <v>0</v>
      </c>
      <c r="T60" s="259">
        <f ca="1">IF(OR(ROW(T60)-5=T$1,ROW(T60)-5=T$1+1),VLOOKUP(T$3,Summary!$B$2:$L$35,3,FALSE),0)</f>
        <v>91.482591649640057</v>
      </c>
      <c r="U60" s="259">
        <f>IF(OR(ROW(U60)-5=U$1,ROW(U60)-5=U$1+1),VLOOKUP(U$3,Summary!$B$2:$L$35,3,FALSE),0)</f>
        <v>0</v>
      </c>
      <c r="V60" s="259">
        <f>IF(OR(ROW(V60)-5=V$1,ROW(V60)-5=V$1+1),VLOOKUP(V$3,Summary!$B$2:$L$35,3,FALSE),0)</f>
        <v>0</v>
      </c>
      <c r="W60" s="259">
        <f>IF(OR(ROW(W60)-5=W$1,ROW(W60)-5=W$1+1),VLOOKUP(W$3,Summary!$B$2:$L$35,3,FALSE),0)</f>
        <v>0</v>
      </c>
      <c r="X60" s="259">
        <f>IF(OR(ROW(X60)-5=X$1,ROW(X60)-5=X$1+1),VLOOKUP(X$3,Summary!$B$2:$L$35,3,FALSE),0)</f>
        <v>0</v>
      </c>
      <c r="Y60" s="259">
        <f>IF(OR(ROW(Y60)-5=Y$1,ROW(Y60)-5=Y$1+1),VLOOKUP(Y$3,Summary!$B$2:$L$35,3,FALSE),0)</f>
        <v>0</v>
      </c>
      <c r="Z60" s="259">
        <f>IF(OR(ROW(Z60)-5=Z$1,ROW(Z60)-5=Z$1+1),VLOOKUP(Z$3,Summary!$B$2:$L$35,3,FALSE),0)</f>
        <v>0</v>
      </c>
      <c r="AA60" s="259">
        <f>IF(OR(ROW(AA60)-5=AA$1,ROW(AA60)-5=AA$1+1),VLOOKUP(AA$3,Summary!$B$2:$L$35,3,FALSE),0)</f>
        <v>0</v>
      </c>
      <c r="AB60" s="259">
        <f>IF(OR(ROW(AB60)-5=AB$1,ROW(AB60)-5=AB$1+1),VLOOKUP(AB$3,Summary!$B$2:$L$35,3,FALSE),0)</f>
        <v>0</v>
      </c>
      <c r="AC60" s="259">
        <f>IF(OR(ROW(AC60)-5=AC$1,ROW(AC60)-5=AC$1+1),VLOOKUP(AC$3,Summary!$B$2:$L$35,3,FALSE),0)</f>
        <v>0</v>
      </c>
      <c r="AD60" s="259">
        <f>IF(OR(ROW(AD60)-5=AD$1,ROW(AD60)-5=AD$1+1),VLOOKUP(AD$3,Summary!$B$2:$L$35,3,FALSE),0)</f>
        <v>0</v>
      </c>
      <c r="AE60" s="259">
        <f>IF(OR(ROW(AE60)-5=AE$1,ROW(AE60)-5=AE$1+1),VLOOKUP(AE$3,Summary!$B$2:$L$35,3,FALSE),0)</f>
        <v>0</v>
      </c>
      <c r="AF60" s="331">
        <f t="shared" ca="1" si="7"/>
        <v>60.54256813326618</v>
      </c>
    </row>
    <row r="61" spans="1:32">
      <c r="A61" s="259">
        <f ca="1">OFFSET(Summary!$I$2,TRUNC((ROW(A61)-ROW($A$7))/3,0),0)/1000</f>
        <v>235.41517075522918</v>
      </c>
      <c r="B61" s="259">
        <f>IF(OR(ROW(B61)-5=B$1,ROW(B61)-5=B$1+1),VLOOKUP(B$3,Summary!$B$2:$L$35,3,FALSE),0)</f>
        <v>0</v>
      </c>
      <c r="C61" s="259">
        <f>IF(OR(ROW(C61)-5=C$1,ROW(C61)-5=C$1+1),VLOOKUP(C$3,Summary!$B$2:$L$35,3,FALSE),0)</f>
        <v>0</v>
      </c>
      <c r="D61" s="259">
        <f>IF(OR(ROW(D61)-5=D$1,ROW(D61)-5=D$1+1),VLOOKUP(D$3,Summary!$B$2:$L$35,3,FALSE),0)</f>
        <v>0</v>
      </c>
      <c r="E61" s="259">
        <f>IF(OR(ROW(E61)-5=E$1,ROW(E61)-5=E$1+1),VLOOKUP(E$3,Summary!$B$2:$L$35,3,FALSE),0)</f>
        <v>0</v>
      </c>
      <c r="F61" s="259">
        <f>IF(OR(ROW(F61)-5=F$1,ROW(F61)-5=F$1+1),VLOOKUP(F$3,Summary!$B$2:$L$35,3,FALSE),0)</f>
        <v>0</v>
      </c>
      <c r="G61" s="259">
        <f>IF(OR(ROW(G61)-5=G$1,ROW(G61)-5=G$1+1),VLOOKUP(G$3,Summary!$B$2:$L$35,3,FALSE),0)</f>
        <v>0</v>
      </c>
      <c r="H61" s="259">
        <f>IF(OR(ROW(H61)-5=H$1,ROW(H61)-5=H$1+1),VLOOKUP(H$3,Summary!$B$2:$L$35,3,FALSE),0)</f>
        <v>0</v>
      </c>
      <c r="I61" s="259">
        <f>IF(OR(ROW(I61)-5=I$1,ROW(I61)-5=I$1+1),VLOOKUP(I$3,Summary!$B$2:$L$35,3,FALSE),0)</f>
        <v>0</v>
      </c>
      <c r="J61" s="259">
        <f>IF(OR(ROW(J61)-5=J$1,ROW(J61)-5=J$1+1),VLOOKUP(J$3,Summary!$B$2:$L$35,3,FALSE),0)</f>
        <v>0</v>
      </c>
      <c r="K61" s="259">
        <f>IF(OR(ROW(K61)-5=K$1,ROW(K61)-5=K$1+1),VLOOKUP(K$3,Summary!$B$2:$L$35,3,FALSE),0)</f>
        <v>0</v>
      </c>
      <c r="L61" s="259">
        <f>IF(OR(ROW(L61)-5=L$1,ROW(L61)-5=L$1+1),VLOOKUP(L$3,Summary!$B$2:$L$35,3,FALSE),0)</f>
        <v>0</v>
      </c>
      <c r="M61" s="259">
        <f>IF(OR(ROW(M61)-5=M$1,ROW(M61)-5=M$1+1),VLOOKUP(M$3,Summary!$B$2:$L$35,3,FALSE),0)</f>
        <v>0</v>
      </c>
      <c r="N61" s="259">
        <f>IF(OR(ROW(N61)-5=N$1,ROW(N61)-5=N$1+1),VLOOKUP(N$3,Summary!$B$2:$L$35,3,FALSE),0)</f>
        <v>0</v>
      </c>
      <c r="O61" s="259">
        <f>IF(OR(ROW(O61)-5=O$1,ROW(O61)-5=O$1+1),VLOOKUP(O$3,Summary!$B$2:$L$35,3,FALSE),0)</f>
        <v>0</v>
      </c>
      <c r="P61" s="259">
        <f>IF(OR(ROW(P61)-5=P$1,ROW(P61)-5=P$1+1),VLOOKUP(P$3,Summary!$B$2:$L$35,3,FALSE),0)</f>
        <v>0</v>
      </c>
      <c r="Q61" s="259">
        <f>IF(OR(ROW(Q61)-5=Q$1,ROW(Q61)-5=Q$1+1),VLOOKUP(Q$3,Summary!$B$2:$L$35,3,FALSE),0)</f>
        <v>0</v>
      </c>
      <c r="R61" s="259">
        <f>IF(OR(ROW(R61)-5=R$1,ROW(R61)-5=R$1+1),VLOOKUP(R$3,Summary!$B$2:$L$35,3,FALSE),0)</f>
        <v>0</v>
      </c>
      <c r="S61" s="259">
        <f>IF(OR(ROW(S61)-5=S$1,ROW(S61)-5=S$1+1),VLOOKUP(S$3,Summary!$B$2:$L$35,3,FALSE),0)</f>
        <v>0</v>
      </c>
      <c r="T61" s="259">
        <f ca="1">IF(OR(ROW(T61)-5=T$1,ROW(T61)-5=T$1+1),VLOOKUP(T$3,Summary!$B$2:$L$35,3,FALSE),0)</f>
        <v>91.482591649640057</v>
      </c>
      <c r="U61" s="259">
        <f>IF(OR(ROW(U61)-5=U$1,ROW(U61)-5=U$1+1),VLOOKUP(U$3,Summary!$B$2:$L$35,3,FALSE),0)</f>
        <v>0</v>
      </c>
      <c r="V61" s="259">
        <f>IF(OR(ROW(V61)-5=V$1,ROW(V61)-5=V$1+1),VLOOKUP(V$3,Summary!$B$2:$L$35,3,FALSE),0)</f>
        <v>0</v>
      </c>
      <c r="W61" s="259">
        <f>IF(OR(ROW(W61)-5=W$1,ROW(W61)-5=W$1+1),VLOOKUP(W$3,Summary!$B$2:$L$35,3,FALSE),0)</f>
        <v>0</v>
      </c>
      <c r="X61" s="259">
        <f>IF(OR(ROW(X61)-5=X$1,ROW(X61)-5=X$1+1),VLOOKUP(X$3,Summary!$B$2:$L$35,3,FALSE),0)</f>
        <v>0</v>
      </c>
      <c r="Y61" s="259">
        <f>IF(OR(ROW(Y61)-5=Y$1,ROW(Y61)-5=Y$1+1),VLOOKUP(Y$3,Summary!$B$2:$L$35,3,FALSE),0)</f>
        <v>0</v>
      </c>
      <c r="Z61" s="259">
        <f>IF(OR(ROW(Z61)-5=Z$1,ROW(Z61)-5=Z$1+1),VLOOKUP(Z$3,Summary!$B$2:$L$35,3,FALSE),0)</f>
        <v>0</v>
      </c>
      <c r="AA61" s="259">
        <f>IF(OR(ROW(AA61)-5=AA$1,ROW(AA61)-5=AA$1+1),VLOOKUP(AA$3,Summary!$B$2:$L$35,3,FALSE),0)</f>
        <v>0</v>
      </c>
      <c r="AB61" s="259">
        <f>IF(OR(ROW(AB61)-5=AB$1,ROW(AB61)-5=AB$1+1),VLOOKUP(AB$3,Summary!$B$2:$L$35,3,FALSE),0)</f>
        <v>0</v>
      </c>
      <c r="AC61" s="259">
        <f>IF(OR(ROW(AC61)-5=AC$1,ROW(AC61)-5=AC$1+1),VLOOKUP(AC$3,Summary!$B$2:$L$35,3,FALSE),0)</f>
        <v>0</v>
      </c>
      <c r="AD61" s="259">
        <f>IF(OR(ROW(AD61)-5=AD$1,ROW(AD61)-5=AD$1+1),VLOOKUP(AD$3,Summary!$B$2:$L$35,3,FALSE),0)</f>
        <v>0</v>
      </c>
      <c r="AE61" s="259">
        <f>IF(OR(ROW(AE61)-5=AE$1,ROW(AE61)-5=AE$1+1),VLOOKUP(AE$3,Summary!$B$2:$L$35,3,FALSE),0)</f>
        <v>0</v>
      </c>
      <c r="AF61" s="331">
        <f t="shared" ca="1" si="7"/>
        <v>60.54256813326618</v>
      </c>
    </row>
    <row r="62" spans="1:32">
      <c r="A62" s="259">
        <f ca="1">OFFSET(Summary!$I$2,TRUNC((ROW(A62)-ROW($A$7))/3,0),0)/1000</f>
        <v>235.41517075522918</v>
      </c>
      <c r="B62" s="259">
        <f>IF(OR(ROW(B62)-5=B$1,ROW(B62)-5=B$1+1),VLOOKUP(B$3,Summary!$B$2:$L$35,3,FALSE),0)</f>
        <v>0</v>
      </c>
      <c r="C62" s="259">
        <f>IF(OR(ROW(C62)-5=C$1,ROW(C62)-5=C$1+1),VLOOKUP(C$3,Summary!$B$2:$L$35,3,FALSE),0)</f>
        <v>0</v>
      </c>
      <c r="D62" s="259">
        <f>IF(OR(ROW(D62)-5=D$1,ROW(D62)-5=D$1+1),VLOOKUP(D$3,Summary!$B$2:$L$35,3,FALSE),0)</f>
        <v>0</v>
      </c>
      <c r="E62" s="259">
        <f>IF(OR(ROW(E62)-5=E$1,ROW(E62)-5=E$1+1),VLOOKUP(E$3,Summary!$B$2:$L$35,3,FALSE),0)</f>
        <v>0</v>
      </c>
      <c r="F62" s="259">
        <f>IF(OR(ROW(F62)-5=F$1,ROW(F62)-5=F$1+1),VLOOKUP(F$3,Summary!$B$2:$L$35,3,FALSE),0)</f>
        <v>0</v>
      </c>
      <c r="G62" s="259">
        <f>IF(OR(ROW(G62)-5=G$1,ROW(G62)-5=G$1+1),VLOOKUP(G$3,Summary!$B$2:$L$35,3,FALSE),0)</f>
        <v>0</v>
      </c>
      <c r="H62" s="259">
        <f>IF(OR(ROW(H62)-5=H$1,ROW(H62)-5=H$1+1),VLOOKUP(H$3,Summary!$B$2:$L$35,3,FALSE),0)</f>
        <v>0</v>
      </c>
      <c r="I62" s="259">
        <f>IF(OR(ROW(I62)-5=I$1,ROW(I62)-5=I$1+1),VLOOKUP(I$3,Summary!$B$2:$L$35,3,FALSE),0)</f>
        <v>0</v>
      </c>
      <c r="J62" s="259">
        <f>IF(OR(ROW(J62)-5=J$1,ROW(J62)-5=J$1+1),VLOOKUP(J$3,Summary!$B$2:$L$35,3,FALSE),0)</f>
        <v>0</v>
      </c>
      <c r="K62" s="259">
        <f>IF(OR(ROW(K62)-5=K$1,ROW(K62)-5=K$1+1),VLOOKUP(K$3,Summary!$B$2:$L$35,3,FALSE),0)</f>
        <v>0</v>
      </c>
      <c r="L62" s="259">
        <f>IF(OR(ROW(L62)-5=L$1,ROW(L62)-5=L$1+1),VLOOKUP(L$3,Summary!$B$2:$L$35,3,FALSE),0)</f>
        <v>0</v>
      </c>
      <c r="M62" s="259">
        <f>IF(OR(ROW(M62)-5=M$1,ROW(M62)-5=M$1+1),VLOOKUP(M$3,Summary!$B$2:$L$35,3,FALSE),0)</f>
        <v>0</v>
      </c>
      <c r="N62" s="259">
        <f>IF(OR(ROW(N62)-5=N$1,ROW(N62)-5=N$1+1),VLOOKUP(N$3,Summary!$B$2:$L$35,3,FALSE),0)</f>
        <v>0</v>
      </c>
      <c r="O62" s="259">
        <f>IF(OR(ROW(O62)-5=O$1,ROW(O62)-5=O$1+1),VLOOKUP(O$3,Summary!$B$2:$L$35,3,FALSE),0)</f>
        <v>0</v>
      </c>
      <c r="P62" s="259">
        <f>IF(OR(ROW(P62)-5=P$1,ROW(P62)-5=P$1+1),VLOOKUP(P$3,Summary!$B$2:$L$35,3,FALSE),0)</f>
        <v>0</v>
      </c>
      <c r="Q62" s="259">
        <f>IF(OR(ROW(Q62)-5=Q$1,ROW(Q62)-5=Q$1+1),VLOOKUP(Q$3,Summary!$B$2:$L$35,3,FALSE),0)</f>
        <v>0</v>
      </c>
      <c r="R62" s="259">
        <f>IF(OR(ROW(R62)-5=R$1,ROW(R62)-5=R$1+1),VLOOKUP(R$3,Summary!$B$2:$L$35,3,FALSE),0)</f>
        <v>0</v>
      </c>
      <c r="S62" s="259">
        <f>IF(OR(ROW(S62)-5=S$1,ROW(S62)-5=S$1+1),VLOOKUP(S$3,Summary!$B$2:$L$35,3,FALSE),0)</f>
        <v>0</v>
      </c>
      <c r="T62" s="259">
        <f>IF(OR(ROW(T62)-5=T$1,ROW(T62)-5=T$1+1),VLOOKUP(T$3,Summary!$B$2:$L$35,3,FALSE),0)</f>
        <v>0</v>
      </c>
      <c r="U62" s="259">
        <f>IF(OR(ROW(U62)-5=U$1,ROW(U62)-5=U$1+1),VLOOKUP(U$3,Summary!$B$2:$L$35,3,FALSE),0)</f>
        <v>0</v>
      </c>
      <c r="V62" s="259">
        <f>IF(OR(ROW(V62)-5=V$1,ROW(V62)-5=V$1+1),VLOOKUP(V$3,Summary!$B$2:$L$35,3,FALSE),0)</f>
        <v>0</v>
      </c>
      <c r="W62" s="259">
        <f>IF(OR(ROW(W62)-5=W$1,ROW(W62)-5=W$1+1),VLOOKUP(W$3,Summary!$B$2:$L$35,3,FALSE),0)</f>
        <v>0</v>
      </c>
      <c r="X62" s="259">
        <f>IF(OR(ROW(X62)-5=X$1,ROW(X62)-5=X$1+1),VLOOKUP(X$3,Summary!$B$2:$L$35,3,FALSE),0)</f>
        <v>0</v>
      </c>
      <c r="Y62" s="259">
        <f>IF(OR(ROW(Y62)-5=Y$1,ROW(Y62)-5=Y$1+1),VLOOKUP(Y$3,Summary!$B$2:$L$35,3,FALSE),0)</f>
        <v>0</v>
      </c>
      <c r="Z62" s="259">
        <f>IF(OR(ROW(Z62)-5=Z$1,ROW(Z62)-5=Z$1+1),VLOOKUP(Z$3,Summary!$B$2:$L$35,3,FALSE),0)</f>
        <v>0</v>
      </c>
      <c r="AA62" s="259">
        <f>IF(OR(ROW(AA62)-5=AA$1,ROW(AA62)-5=AA$1+1),VLOOKUP(AA$3,Summary!$B$2:$L$35,3,FALSE),0)</f>
        <v>0</v>
      </c>
      <c r="AB62" s="259">
        <f>IF(OR(ROW(AB62)-5=AB$1,ROW(AB62)-5=AB$1+1),VLOOKUP(AB$3,Summary!$B$2:$L$35,3,FALSE),0)</f>
        <v>0</v>
      </c>
      <c r="AC62" s="259">
        <f>IF(OR(ROW(AC62)-5=AC$1,ROW(AC62)-5=AC$1+1),VLOOKUP(AC$3,Summary!$B$2:$L$35,3,FALSE),0)</f>
        <v>0</v>
      </c>
      <c r="AD62" s="259">
        <f>IF(OR(ROW(AD62)-5=AD$1,ROW(AD62)-5=AD$1+1),VLOOKUP(AD$3,Summary!$B$2:$L$35,3,FALSE),0)</f>
        <v>0</v>
      </c>
      <c r="AE62" s="259">
        <f>IF(OR(ROW(AE62)-5=AE$1,ROW(AE62)-5=AE$1+1),VLOOKUP(AE$3,Summary!$B$2:$L$35,3,FALSE),0)</f>
        <v>0</v>
      </c>
      <c r="AF62" s="331" t="e">
        <f t="shared" ca="1" si="7"/>
        <v>#N/A</v>
      </c>
    </row>
    <row r="63" spans="1:32">
      <c r="A63" s="259">
        <f ca="1">OFFSET(Summary!$I$2,TRUNC((ROW(A63)-ROW($A$7))/3,0),0)/1000</f>
        <v>235.41517075522918</v>
      </c>
      <c r="B63" s="259">
        <f>IF(OR(ROW(B63)-5=B$1,ROW(B63)-5=B$1+1),VLOOKUP(B$3,Summary!$B$2:$L$35,3,FALSE),0)</f>
        <v>0</v>
      </c>
      <c r="C63" s="259">
        <f>IF(OR(ROW(C63)-5=C$1,ROW(C63)-5=C$1+1),VLOOKUP(C$3,Summary!$B$2:$L$35,3,FALSE),0)</f>
        <v>0</v>
      </c>
      <c r="D63" s="259">
        <f>IF(OR(ROW(D63)-5=D$1,ROW(D63)-5=D$1+1),VLOOKUP(D$3,Summary!$B$2:$L$35,3,FALSE),0)</f>
        <v>0</v>
      </c>
      <c r="E63" s="259">
        <f>IF(OR(ROW(E63)-5=E$1,ROW(E63)-5=E$1+1),VLOOKUP(E$3,Summary!$B$2:$L$35,3,FALSE),0)</f>
        <v>0</v>
      </c>
      <c r="F63" s="259">
        <f>IF(OR(ROW(F63)-5=F$1,ROW(F63)-5=F$1+1),VLOOKUP(F$3,Summary!$B$2:$L$35,3,FALSE),0)</f>
        <v>0</v>
      </c>
      <c r="G63" s="259">
        <f>IF(OR(ROW(G63)-5=G$1,ROW(G63)-5=G$1+1),VLOOKUP(G$3,Summary!$B$2:$L$35,3,FALSE),0)</f>
        <v>0</v>
      </c>
      <c r="H63" s="259">
        <f>IF(OR(ROW(H63)-5=H$1,ROW(H63)-5=H$1+1),VLOOKUP(H$3,Summary!$B$2:$L$35,3,FALSE),0)</f>
        <v>0</v>
      </c>
      <c r="I63" s="259">
        <f>IF(OR(ROW(I63)-5=I$1,ROW(I63)-5=I$1+1),VLOOKUP(I$3,Summary!$B$2:$L$35,3,FALSE),0)</f>
        <v>0</v>
      </c>
      <c r="J63" s="259">
        <f>IF(OR(ROW(J63)-5=J$1,ROW(J63)-5=J$1+1),VLOOKUP(J$3,Summary!$B$2:$L$35,3,FALSE),0)</f>
        <v>0</v>
      </c>
      <c r="K63" s="259">
        <f>IF(OR(ROW(K63)-5=K$1,ROW(K63)-5=K$1+1),VLOOKUP(K$3,Summary!$B$2:$L$35,3,FALSE),0)</f>
        <v>0</v>
      </c>
      <c r="L63" s="259">
        <f>IF(OR(ROW(L63)-5=L$1,ROW(L63)-5=L$1+1),VLOOKUP(L$3,Summary!$B$2:$L$35,3,FALSE),0)</f>
        <v>0</v>
      </c>
      <c r="M63" s="259">
        <f>IF(OR(ROW(M63)-5=M$1,ROW(M63)-5=M$1+1),VLOOKUP(M$3,Summary!$B$2:$L$35,3,FALSE),0)</f>
        <v>0</v>
      </c>
      <c r="N63" s="259">
        <f>IF(OR(ROW(N63)-5=N$1,ROW(N63)-5=N$1+1),VLOOKUP(N$3,Summary!$B$2:$L$35,3,FALSE),0)</f>
        <v>0</v>
      </c>
      <c r="O63" s="259">
        <f>IF(OR(ROW(O63)-5=O$1,ROW(O63)-5=O$1+1),VLOOKUP(O$3,Summary!$B$2:$L$35,3,FALSE),0)</f>
        <v>0</v>
      </c>
      <c r="P63" s="259">
        <f>IF(OR(ROW(P63)-5=P$1,ROW(P63)-5=P$1+1),VLOOKUP(P$3,Summary!$B$2:$L$35,3,FALSE),0)</f>
        <v>0</v>
      </c>
      <c r="Q63" s="259">
        <f>IF(OR(ROW(Q63)-5=Q$1,ROW(Q63)-5=Q$1+1),VLOOKUP(Q$3,Summary!$B$2:$L$35,3,FALSE),0)</f>
        <v>0</v>
      </c>
      <c r="R63" s="259">
        <f>IF(OR(ROW(R63)-5=R$1,ROW(R63)-5=R$1+1),VLOOKUP(R$3,Summary!$B$2:$L$35,3,FALSE),0)</f>
        <v>0</v>
      </c>
      <c r="S63" s="259">
        <f>IF(OR(ROW(S63)-5=S$1,ROW(S63)-5=S$1+1),VLOOKUP(S$3,Summary!$B$2:$L$35,3,FALSE),0)</f>
        <v>0</v>
      </c>
      <c r="T63" s="259">
        <f>IF(OR(ROW(T63)-5=T$1,ROW(T63)-5=T$1+1),VLOOKUP(T$3,Summary!$B$2:$L$35,3,FALSE),0)</f>
        <v>0</v>
      </c>
      <c r="U63" s="259">
        <f ca="1">IF(OR(ROW(U63)-5=U$1,ROW(U63)-5=U$1+1),VLOOKUP(U$3,Summary!$B$2:$L$35,3,FALSE),0)</f>
        <v>123.79174629217583</v>
      </c>
      <c r="V63" s="259">
        <f>IF(OR(ROW(V63)-5=V$1,ROW(V63)-5=V$1+1),VLOOKUP(V$3,Summary!$B$2:$L$35,3,FALSE),0)</f>
        <v>0</v>
      </c>
      <c r="W63" s="259">
        <f>IF(OR(ROW(W63)-5=W$1,ROW(W63)-5=W$1+1),VLOOKUP(W$3,Summary!$B$2:$L$35,3,FALSE),0)</f>
        <v>0</v>
      </c>
      <c r="X63" s="259">
        <f>IF(OR(ROW(X63)-5=X$1,ROW(X63)-5=X$1+1),VLOOKUP(X$3,Summary!$B$2:$L$35,3,FALSE),0)</f>
        <v>0</v>
      </c>
      <c r="Y63" s="259">
        <f>IF(OR(ROW(Y63)-5=Y$1,ROW(Y63)-5=Y$1+1),VLOOKUP(Y$3,Summary!$B$2:$L$35,3,FALSE),0)</f>
        <v>0</v>
      </c>
      <c r="Z63" s="259">
        <f>IF(OR(ROW(Z63)-5=Z$1,ROW(Z63)-5=Z$1+1),VLOOKUP(Z$3,Summary!$B$2:$L$35,3,FALSE),0)</f>
        <v>0</v>
      </c>
      <c r="AA63" s="259">
        <f>IF(OR(ROW(AA63)-5=AA$1,ROW(AA63)-5=AA$1+1),VLOOKUP(AA$3,Summary!$B$2:$L$35,3,FALSE),0)</f>
        <v>0</v>
      </c>
      <c r="AB63" s="259">
        <f>IF(OR(ROW(AB63)-5=AB$1,ROW(AB63)-5=AB$1+1),VLOOKUP(AB$3,Summary!$B$2:$L$35,3,FALSE),0)</f>
        <v>0</v>
      </c>
      <c r="AC63" s="259">
        <f>IF(OR(ROW(AC63)-5=AC$1,ROW(AC63)-5=AC$1+1),VLOOKUP(AC$3,Summary!$B$2:$L$35,3,FALSE),0)</f>
        <v>0</v>
      </c>
      <c r="AD63" s="259">
        <f>IF(OR(ROW(AD63)-5=AD$1,ROW(AD63)-5=AD$1+1),VLOOKUP(AD$3,Summary!$B$2:$L$35,3,FALSE),0)</f>
        <v>0</v>
      </c>
      <c r="AE63" s="259">
        <f>IF(OR(ROW(AE63)-5=AE$1,ROW(AE63)-5=AE$1+1),VLOOKUP(AE$3,Summary!$B$2:$L$35,3,FALSE),0)</f>
        <v>0</v>
      </c>
      <c r="AF63" s="331">
        <f t="shared" ca="1" si="7"/>
        <v>123.79174629217583</v>
      </c>
    </row>
    <row r="64" spans="1:32">
      <c r="A64" s="259">
        <f ca="1">OFFSET(Summary!$I$2,TRUNC((ROW(A64)-ROW($A$7))/3,0),0)/1000</f>
        <v>236.79874305617744</v>
      </c>
      <c r="B64" s="259">
        <f>IF(OR(ROW(B64)-5=B$1,ROW(B64)-5=B$1+1),VLOOKUP(B$3,Summary!$B$2:$L$35,3,FALSE),0)</f>
        <v>0</v>
      </c>
      <c r="C64" s="259">
        <f>IF(OR(ROW(C64)-5=C$1,ROW(C64)-5=C$1+1),VLOOKUP(C$3,Summary!$B$2:$L$35,3,FALSE),0)</f>
        <v>0</v>
      </c>
      <c r="D64" s="259">
        <f>IF(OR(ROW(D64)-5=D$1,ROW(D64)-5=D$1+1),VLOOKUP(D$3,Summary!$B$2:$L$35,3,FALSE),0)</f>
        <v>0</v>
      </c>
      <c r="E64" s="259">
        <f>IF(OR(ROW(E64)-5=E$1,ROW(E64)-5=E$1+1),VLOOKUP(E$3,Summary!$B$2:$L$35,3,FALSE),0)</f>
        <v>0</v>
      </c>
      <c r="F64" s="259">
        <f>IF(OR(ROW(F64)-5=F$1,ROW(F64)-5=F$1+1),VLOOKUP(F$3,Summary!$B$2:$L$35,3,FALSE),0)</f>
        <v>0</v>
      </c>
      <c r="G64" s="259">
        <f>IF(OR(ROW(G64)-5=G$1,ROW(G64)-5=G$1+1),VLOOKUP(G$3,Summary!$B$2:$L$35,3,FALSE),0)</f>
        <v>0</v>
      </c>
      <c r="H64" s="259">
        <f>IF(OR(ROW(H64)-5=H$1,ROW(H64)-5=H$1+1),VLOOKUP(H$3,Summary!$B$2:$L$35,3,FALSE),0)</f>
        <v>0</v>
      </c>
      <c r="I64" s="259">
        <f>IF(OR(ROW(I64)-5=I$1,ROW(I64)-5=I$1+1),VLOOKUP(I$3,Summary!$B$2:$L$35,3,FALSE),0)</f>
        <v>0</v>
      </c>
      <c r="J64" s="259">
        <f>IF(OR(ROW(J64)-5=J$1,ROW(J64)-5=J$1+1),VLOOKUP(J$3,Summary!$B$2:$L$35,3,FALSE),0)</f>
        <v>0</v>
      </c>
      <c r="K64" s="259">
        <f>IF(OR(ROW(K64)-5=K$1,ROW(K64)-5=K$1+1),VLOOKUP(K$3,Summary!$B$2:$L$35,3,FALSE),0)</f>
        <v>0</v>
      </c>
      <c r="L64" s="259">
        <f>IF(OR(ROW(L64)-5=L$1,ROW(L64)-5=L$1+1),VLOOKUP(L$3,Summary!$B$2:$L$35,3,FALSE),0)</f>
        <v>0</v>
      </c>
      <c r="M64" s="259">
        <f>IF(OR(ROW(M64)-5=M$1,ROW(M64)-5=M$1+1),VLOOKUP(M$3,Summary!$B$2:$L$35,3,FALSE),0)</f>
        <v>0</v>
      </c>
      <c r="N64" s="259">
        <f>IF(OR(ROW(N64)-5=N$1,ROW(N64)-5=N$1+1),VLOOKUP(N$3,Summary!$B$2:$L$35,3,FALSE),0)</f>
        <v>0</v>
      </c>
      <c r="O64" s="259">
        <f>IF(OR(ROW(O64)-5=O$1,ROW(O64)-5=O$1+1),VLOOKUP(O$3,Summary!$B$2:$L$35,3,FALSE),0)</f>
        <v>0</v>
      </c>
      <c r="P64" s="259">
        <f>IF(OR(ROW(P64)-5=P$1,ROW(P64)-5=P$1+1),VLOOKUP(P$3,Summary!$B$2:$L$35,3,FALSE),0)</f>
        <v>0</v>
      </c>
      <c r="Q64" s="259">
        <f>IF(OR(ROW(Q64)-5=Q$1,ROW(Q64)-5=Q$1+1),VLOOKUP(Q$3,Summary!$B$2:$L$35,3,FALSE),0)</f>
        <v>0</v>
      </c>
      <c r="R64" s="259">
        <f>IF(OR(ROW(R64)-5=R$1,ROW(R64)-5=R$1+1),VLOOKUP(R$3,Summary!$B$2:$L$35,3,FALSE),0)</f>
        <v>0</v>
      </c>
      <c r="S64" s="259">
        <f>IF(OR(ROW(S64)-5=S$1,ROW(S64)-5=S$1+1),VLOOKUP(S$3,Summary!$B$2:$L$35,3,FALSE),0)</f>
        <v>0</v>
      </c>
      <c r="T64" s="259">
        <f>IF(OR(ROW(T64)-5=T$1,ROW(T64)-5=T$1+1),VLOOKUP(T$3,Summary!$B$2:$L$35,3,FALSE),0)</f>
        <v>0</v>
      </c>
      <c r="U64" s="259">
        <f ca="1">IF(OR(ROW(U64)-5=U$1,ROW(U64)-5=U$1+1),VLOOKUP(U$3,Summary!$B$2:$L$35,3,FALSE),0)</f>
        <v>123.79174629217583</v>
      </c>
      <c r="V64" s="259">
        <f>IF(OR(ROW(V64)-5=V$1,ROW(V64)-5=V$1+1),VLOOKUP(V$3,Summary!$B$2:$L$35,3,FALSE),0)</f>
        <v>0</v>
      </c>
      <c r="W64" s="259">
        <f>IF(OR(ROW(W64)-5=W$1,ROW(W64)-5=W$1+1),VLOOKUP(W$3,Summary!$B$2:$L$35,3,FALSE),0)</f>
        <v>0</v>
      </c>
      <c r="X64" s="259">
        <f>IF(OR(ROW(X64)-5=X$1,ROW(X64)-5=X$1+1),VLOOKUP(X$3,Summary!$B$2:$L$35,3,FALSE),0)</f>
        <v>0</v>
      </c>
      <c r="Y64" s="259">
        <f>IF(OR(ROW(Y64)-5=Y$1,ROW(Y64)-5=Y$1+1),VLOOKUP(Y$3,Summary!$B$2:$L$35,3,FALSE),0)</f>
        <v>0</v>
      </c>
      <c r="Z64" s="259">
        <f>IF(OR(ROW(Z64)-5=Z$1,ROW(Z64)-5=Z$1+1),VLOOKUP(Z$3,Summary!$B$2:$L$35,3,FALSE),0)</f>
        <v>0</v>
      </c>
      <c r="AA64" s="259">
        <f>IF(OR(ROW(AA64)-5=AA$1,ROW(AA64)-5=AA$1+1),VLOOKUP(AA$3,Summary!$B$2:$L$35,3,FALSE),0)</f>
        <v>0</v>
      </c>
      <c r="AB64" s="259">
        <f>IF(OR(ROW(AB64)-5=AB$1,ROW(AB64)-5=AB$1+1),VLOOKUP(AB$3,Summary!$B$2:$L$35,3,FALSE),0)</f>
        <v>0</v>
      </c>
      <c r="AC64" s="259">
        <f>IF(OR(ROW(AC64)-5=AC$1,ROW(AC64)-5=AC$1+1),VLOOKUP(AC$3,Summary!$B$2:$L$35,3,FALSE),0)</f>
        <v>0</v>
      </c>
      <c r="AD64" s="259">
        <f>IF(OR(ROW(AD64)-5=AD$1,ROW(AD64)-5=AD$1+1),VLOOKUP(AD$3,Summary!$B$2:$L$35,3,FALSE),0)</f>
        <v>0</v>
      </c>
      <c r="AE64" s="259">
        <f>IF(OR(ROW(AE64)-5=AE$1,ROW(AE64)-5=AE$1+1),VLOOKUP(AE$3,Summary!$B$2:$L$35,3,FALSE),0)</f>
        <v>0</v>
      </c>
      <c r="AF64" s="331">
        <f t="shared" ca="1" si="7"/>
        <v>123.79174629217583</v>
      </c>
    </row>
    <row r="65" spans="1:32">
      <c r="A65" s="259">
        <f ca="1">OFFSET(Summary!$I$2,TRUNC((ROW(A65)-ROW($A$7))/3,0),0)/1000</f>
        <v>236.79874305617744</v>
      </c>
      <c r="B65" s="259">
        <f>IF(OR(ROW(B65)-5=B$1,ROW(B65)-5=B$1+1),VLOOKUP(B$3,Summary!$B$2:$L$35,3,FALSE),0)</f>
        <v>0</v>
      </c>
      <c r="C65" s="259">
        <f>IF(OR(ROW(C65)-5=C$1,ROW(C65)-5=C$1+1),VLOOKUP(C$3,Summary!$B$2:$L$35,3,FALSE),0)</f>
        <v>0</v>
      </c>
      <c r="D65" s="259">
        <f>IF(OR(ROW(D65)-5=D$1,ROW(D65)-5=D$1+1),VLOOKUP(D$3,Summary!$B$2:$L$35,3,FALSE),0)</f>
        <v>0</v>
      </c>
      <c r="E65" s="259">
        <f>IF(OR(ROW(E65)-5=E$1,ROW(E65)-5=E$1+1),VLOOKUP(E$3,Summary!$B$2:$L$35,3,FALSE),0)</f>
        <v>0</v>
      </c>
      <c r="F65" s="259">
        <f>IF(OR(ROW(F65)-5=F$1,ROW(F65)-5=F$1+1),VLOOKUP(F$3,Summary!$B$2:$L$35,3,FALSE),0)</f>
        <v>0</v>
      </c>
      <c r="G65" s="259">
        <f>IF(OR(ROW(G65)-5=G$1,ROW(G65)-5=G$1+1),VLOOKUP(G$3,Summary!$B$2:$L$35,3,FALSE),0)</f>
        <v>0</v>
      </c>
      <c r="H65" s="259">
        <f>IF(OR(ROW(H65)-5=H$1,ROW(H65)-5=H$1+1),VLOOKUP(H$3,Summary!$B$2:$L$35,3,FALSE),0)</f>
        <v>0</v>
      </c>
      <c r="I65" s="259">
        <f>IF(OR(ROW(I65)-5=I$1,ROW(I65)-5=I$1+1),VLOOKUP(I$3,Summary!$B$2:$L$35,3,FALSE),0)</f>
        <v>0</v>
      </c>
      <c r="J65" s="259">
        <f>IF(OR(ROW(J65)-5=J$1,ROW(J65)-5=J$1+1),VLOOKUP(J$3,Summary!$B$2:$L$35,3,FALSE),0)</f>
        <v>0</v>
      </c>
      <c r="K65" s="259">
        <f>IF(OR(ROW(K65)-5=K$1,ROW(K65)-5=K$1+1),VLOOKUP(K$3,Summary!$B$2:$L$35,3,FALSE),0)</f>
        <v>0</v>
      </c>
      <c r="L65" s="259">
        <f>IF(OR(ROW(L65)-5=L$1,ROW(L65)-5=L$1+1),VLOOKUP(L$3,Summary!$B$2:$L$35,3,FALSE),0)</f>
        <v>0</v>
      </c>
      <c r="M65" s="259">
        <f>IF(OR(ROW(M65)-5=M$1,ROW(M65)-5=M$1+1),VLOOKUP(M$3,Summary!$B$2:$L$35,3,FALSE),0)</f>
        <v>0</v>
      </c>
      <c r="N65" s="259">
        <f>IF(OR(ROW(N65)-5=N$1,ROW(N65)-5=N$1+1),VLOOKUP(N$3,Summary!$B$2:$L$35,3,FALSE),0)</f>
        <v>0</v>
      </c>
      <c r="O65" s="259">
        <f>IF(OR(ROW(O65)-5=O$1,ROW(O65)-5=O$1+1),VLOOKUP(O$3,Summary!$B$2:$L$35,3,FALSE),0)</f>
        <v>0</v>
      </c>
      <c r="P65" s="259">
        <f>IF(OR(ROW(P65)-5=P$1,ROW(P65)-5=P$1+1),VLOOKUP(P$3,Summary!$B$2:$L$35,3,FALSE),0)</f>
        <v>0</v>
      </c>
      <c r="Q65" s="259">
        <f>IF(OR(ROW(Q65)-5=Q$1,ROW(Q65)-5=Q$1+1),VLOOKUP(Q$3,Summary!$B$2:$L$35,3,FALSE),0)</f>
        <v>0</v>
      </c>
      <c r="R65" s="259">
        <f>IF(OR(ROW(R65)-5=R$1,ROW(R65)-5=R$1+1),VLOOKUP(R$3,Summary!$B$2:$L$35,3,FALSE),0)</f>
        <v>0</v>
      </c>
      <c r="S65" s="259">
        <f>IF(OR(ROW(S65)-5=S$1,ROW(S65)-5=S$1+1),VLOOKUP(S$3,Summary!$B$2:$L$35,3,FALSE),0)</f>
        <v>0</v>
      </c>
      <c r="T65" s="259">
        <f>IF(OR(ROW(T65)-5=T$1,ROW(T65)-5=T$1+1),VLOOKUP(T$3,Summary!$B$2:$L$35,3,FALSE),0)</f>
        <v>0</v>
      </c>
      <c r="U65" s="259">
        <f>IF(OR(ROW(U65)-5=U$1,ROW(U65)-5=U$1+1),VLOOKUP(U$3,Summary!$B$2:$L$35,3,FALSE),0)</f>
        <v>0</v>
      </c>
      <c r="V65" s="259">
        <f>IF(OR(ROW(V65)-5=V$1,ROW(V65)-5=V$1+1),VLOOKUP(V$3,Summary!$B$2:$L$35,3,FALSE),0)</f>
        <v>0</v>
      </c>
      <c r="W65" s="259">
        <f>IF(OR(ROW(W65)-5=W$1,ROW(W65)-5=W$1+1),VLOOKUP(W$3,Summary!$B$2:$L$35,3,FALSE),0)</f>
        <v>0</v>
      </c>
      <c r="X65" s="259">
        <f>IF(OR(ROW(X65)-5=X$1,ROW(X65)-5=X$1+1),VLOOKUP(X$3,Summary!$B$2:$L$35,3,FALSE),0)</f>
        <v>0</v>
      </c>
      <c r="Y65" s="259">
        <f>IF(OR(ROW(Y65)-5=Y$1,ROW(Y65)-5=Y$1+1),VLOOKUP(Y$3,Summary!$B$2:$L$35,3,FALSE),0)</f>
        <v>0</v>
      </c>
      <c r="Z65" s="259">
        <f>IF(OR(ROW(Z65)-5=Z$1,ROW(Z65)-5=Z$1+1),VLOOKUP(Z$3,Summary!$B$2:$L$35,3,FALSE),0)</f>
        <v>0</v>
      </c>
      <c r="AA65" s="259">
        <f>IF(OR(ROW(AA65)-5=AA$1,ROW(AA65)-5=AA$1+1),VLOOKUP(AA$3,Summary!$B$2:$L$35,3,FALSE),0)</f>
        <v>0</v>
      </c>
      <c r="AB65" s="259">
        <f>IF(OR(ROW(AB65)-5=AB$1,ROW(AB65)-5=AB$1+1),VLOOKUP(AB$3,Summary!$B$2:$L$35,3,FALSE),0)</f>
        <v>0</v>
      </c>
      <c r="AC65" s="259">
        <f>IF(OR(ROW(AC65)-5=AC$1,ROW(AC65)-5=AC$1+1),VLOOKUP(AC$3,Summary!$B$2:$L$35,3,FALSE),0)</f>
        <v>0</v>
      </c>
      <c r="AD65" s="259">
        <f>IF(OR(ROW(AD65)-5=AD$1,ROW(AD65)-5=AD$1+1),VLOOKUP(AD$3,Summary!$B$2:$L$35,3,FALSE),0)</f>
        <v>0</v>
      </c>
      <c r="AE65" s="259">
        <f>IF(OR(ROW(AE65)-5=AE$1,ROW(AE65)-5=AE$1+1),VLOOKUP(AE$3,Summary!$B$2:$L$35,3,FALSE),0)</f>
        <v>0</v>
      </c>
      <c r="AF65" s="331" t="e">
        <f t="shared" ca="1" si="7"/>
        <v>#N/A</v>
      </c>
    </row>
    <row r="66" spans="1:32">
      <c r="A66" s="259">
        <f ca="1">OFFSET(Summary!$I$2,TRUNC((ROW(A66)-ROW($A$7))/3,0),0)/1000</f>
        <v>236.79874305617744</v>
      </c>
      <c r="B66" s="259">
        <f>IF(OR(ROW(B66)-5=B$1,ROW(B66)-5=B$1+1),VLOOKUP(B$3,Summary!$B$2:$L$35,3,FALSE),0)</f>
        <v>0</v>
      </c>
      <c r="C66" s="259">
        <f>IF(OR(ROW(C66)-5=C$1,ROW(C66)-5=C$1+1),VLOOKUP(C$3,Summary!$B$2:$L$35,3,FALSE),0)</f>
        <v>0</v>
      </c>
      <c r="D66" s="259">
        <f>IF(OR(ROW(D66)-5=D$1,ROW(D66)-5=D$1+1),VLOOKUP(D$3,Summary!$B$2:$L$35,3,FALSE),0)</f>
        <v>0</v>
      </c>
      <c r="E66" s="259">
        <f>IF(OR(ROW(E66)-5=E$1,ROW(E66)-5=E$1+1),VLOOKUP(E$3,Summary!$B$2:$L$35,3,FALSE),0)</f>
        <v>0</v>
      </c>
      <c r="F66" s="259">
        <f>IF(OR(ROW(F66)-5=F$1,ROW(F66)-5=F$1+1),VLOOKUP(F$3,Summary!$B$2:$L$35,3,FALSE),0)</f>
        <v>0</v>
      </c>
      <c r="G66" s="259">
        <f>IF(OR(ROW(G66)-5=G$1,ROW(G66)-5=G$1+1),VLOOKUP(G$3,Summary!$B$2:$L$35,3,FALSE),0)</f>
        <v>0</v>
      </c>
      <c r="H66" s="259">
        <f>IF(OR(ROW(H66)-5=H$1,ROW(H66)-5=H$1+1),VLOOKUP(H$3,Summary!$B$2:$L$35,3,FALSE),0)</f>
        <v>0</v>
      </c>
      <c r="I66" s="259">
        <f>IF(OR(ROW(I66)-5=I$1,ROW(I66)-5=I$1+1),VLOOKUP(I$3,Summary!$B$2:$L$35,3,FALSE),0)</f>
        <v>0</v>
      </c>
      <c r="J66" s="259">
        <f>IF(OR(ROW(J66)-5=J$1,ROW(J66)-5=J$1+1),VLOOKUP(J$3,Summary!$B$2:$L$35,3,FALSE),0)</f>
        <v>0</v>
      </c>
      <c r="K66" s="259">
        <f>IF(OR(ROW(K66)-5=K$1,ROW(K66)-5=K$1+1),VLOOKUP(K$3,Summary!$B$2:$L$35,3,FALSE),0)</f>
        <v>0</v>
      </c>
      <c r="L66" s="259">
        <f>IF(OR(ROW(L66)-5=L$1,ROW(L66)-5=L$1+1),VLOOKUP(L$3,Summary!$B$2:$L$35,3,FALSE),0)</f>
        <v>0</v>
      </c>
      <c r="M66" s="259">
        <f>IF(OR(ROW(M66)-5=M$1,ROW(M66)-5=M$1+1),VLOOKUP(M$3,Summary!$B$2:$L$35,3,FALSE),0)</f>
        <v>0</v>
      </c>
      <c r="N66" s="259">
        <f>IF(OR(ROW(N66)-5=N$1,ROW(N66)-5=N$1+1),VLOOKUP(N$3,Summary!$B$2:$L$35,3,FALSE),0)</f>
        <v>0</v>
      </c>
      <c r="O66" s="259">
        <f>IF(OR(ROW(O66)-5=O$1,ROW(O66)-5=O$1+1),VLOOKUP(O$3,Summary!$B$2:$L$35,3,FALSE),0)</f>
        <v>0</v>
      </c>
      <c r="P66" s="259">
        <f>IF(OR(ROW(P66)-5=P$1,ROW(P66)-5=P$1+1),VLOOKUP(P$3,Summary!$B$2:$L$35,3,FALSE),0)</f>
        <v>0</v>
      </c>
      <c r="Q66" s="259">
        <f>IF(OR(ROW(Q66)-5=Q$1,ROW(Q66)-5=Q$1+1),VLOOKUP(Q$3,Summary!$B$2:$L$35,3,FALSE),0)</f>
        <v>0</v>
      </c>
      <c r="R66" s="259">
        <f>IF(OR(ROW(R66)-5=R$1,ROW(R66)-5=R$1+1),VLOOKUP(R$3,Summary!$B$2:$L$35,3,FALSE),0)</f>
        <v>0</v>
      </c>
      <c r="S66" s="259">
        <f>IF(OR(ROW(S66)-5=S$1,ROW(S66)-5=S$1+1),VLOOKUP(S$3,Summary!$B$2:$L$35,3,FALSE),0)</f>
        <v>0</v>
      </c>
      <c r="T66" s="259">
        <f>IF(OR(ROW(T66)-5=T$1,ROW(T66)-5=T$1+1),VLOOKUP(T$3,Summary!$B$2:$L$35,3,FALSE),0)</f>
        <v>0</v>
      </c>
      <c r="U66" s="259">
        <f>IF(OR(ROW(U66)-5=U$1,ROW(U66)-5=U$1+1),VLOOKUP(U$3,Summary!$B$2:$L$35,3,FALSE),0)</f>
        <v>0</v>
      </c>
      <c r="V66" s="259">
        <f ca="1">IF(OR(ROW(V66)-5=V$1,ROW(V66)-5=V$1+1),VLOOKUP(V$3,Summary!$B$2:$L$35,3,FALSE),0)</f>
        <v>426.62337235953368</v>
      </c>
      <c r="W66" s="259">
        <f>IF(OR(ROW(W66)-5=W$1,ROW(W66)-5=W$1+1),VLOOKUP(W$3,Summary!$B$2:$L$35,3,FALSE),0)</f>
        <v>0</v>
      </c>
      <c r="X66" s="259">
        <f>IF(OR(ROW(X66)-5=X$1,ROW(X66)-5=X$1+1),VLOOKUP(X$3,Summary!$B$2:$L$35,3,FALSE),0)</f>
        <v>0</v>
      </c>
      <c r="Y66" s="259">
        <f>IF(OR(ROW(Y66)-5=Y$1,ROW(Y66)-5=Y$1+1),VLOOKUP(Y$3,Summary!$B$2:$L$35,3,FALSE),0)</f>
        <v>0</v>
      </c>
      <c r="Z66" s="259">
        <f>IF(OR(ROW(Z66)-5=Z$1,ROW(Z66)-5=Z$1+1),VLOOKUP(Z$3,Summary!$B$2:$L$35,3,FALSE),0)</f>
        <v>0</v>
      </c>
      <c r="AA66" s="259">
        <f>IF(OR(ROW(AA66)-5=AA$1,ROW(AA66)-5=AA$1+1),VLOOKUP(AA$3,Summary!$B$2:$L$35,3,FALSE),0)</f>
        <v>0</v>
      </c>
      <c r="AB66" s="259">
        <f>IF(OR(ROW(AB66)-5=AB$1,ROW(AB66)-5=AB$1+1),VLOOKUP(AB$3,Summary!$B$2:$L$35,3,FALSE),0)</f>
        <v>0</v>
      </c>
      <c r="AC66" s="259">
        <f>IF(OR(ROW(AC66)-5=AC$1,ROW(AC66)-5=AC$1+1),VLOOKUP(AC$3,Summary!$B$2:$L$35,3,FALSE),0)</f>
        <v>0</v>
      </c>
      <c r="AD66" s="259">
        <f>IF(OR(ROW(AD66)-5=AD$1,ROW(AD66)-5=AD$1+1),VLOOKUP(AD$3,Summary!$B$2:$L$35,3,FALSE),0)</f>
        <v>0</v>
      </c>
      <c r="AE66" s="259">
        <f>IF(OR(ROW(AE66)-5=AE$1,ROW(AE66)-5=AE$1+1),VLOOKUP(AE$3,Summary!$B$2:$L$35,3,FALSE),0)</f>
        <v>0</v>
      </c>
      <c r="AF66" s="331">
        <f t="shared" ca="1" si="7"/>
        <v>386.89308218614519</v>
      </c>
    </row>
    <row r="67" spans="1:32">
      <c r="A67" s="259">
        <f ca="1">OFFSET(Summary!$I$2,TRUNC((ROW(A67)-ROW($A$7))/3,0),0)/1000</f>
        <v>237.29626946138228</v>
      </c>
      <c r="B67" s="259">
        <f>IF(OR(ROW(B67)-5=B$1,ROW(B67)-5=B$1+1),VLOOKUP(B$3,Summary!$B$2:$L$35,3,FALSE),0)</f>
        <v>0</v>
      </c>
      <c r="C67" s="259">
        <f>IF(OR(ROW(C67)-5=C$1,ROW(C67)-5=C$1+1),VLOOKUP(C$3,Summary!$B$2:$L$35,3,FALSE),0)</f>
        <v>0</v>
      </c>
      <c r="D67" s="259">
        <f>IF(OR(ROW(D67)-5=D$1,ROW(D67)-5=D$1+1),VLOOKUP(D$3,Summary!$B$2:$L$35,3,FALSE),0)</f>
        <v>0</v>
      </c>
      <c r="E67" s="259">
        <f>IF(OR(ROW(E67)-5=E$1,ROW(E67)-5=E$1+1),VLOOKUP(E$3,Summary!$B$2:$L$35,3,FALSE),0)</f>
        <v>0</v>
      </c>
      <c r="F67" s="259">
        <f>IF(OR(ROW(F67)-5=F$1,ROW(F67)-5=F$1+1),VLOOKUP(F$3,Summary!$B$2:$L$35,3,FALSE),0)</f>
        <v>0</v>
      </c>
      <c r="G67" s="259">
        <f>IF(OR(ROW(G67)-5=G$1,ROW(G67)-5=G$1+1),VLOOKUP(G$3,Summary!$B$2:$L$35,3,FALSE),0)</f>
        <v>0</v>
      </c>
      <c r="H67" s="259">
        <f>IF(OR(ROW(H67)-5=H$1,ROW(H67)-5=H$1+1),VLOOKUP(H$3,Summary!$B$2:$L$35,3,FALSE),0)</f>
        <v>0</v>
      </c>
      <c r="I67" s="259">
        <f>IF(OR(ROW(I67)-5=I$1,ROW(I67)-5=I$1+1),VLOOKUP(I$3,Summary!$B$2:$L$35,3,FALSE),0)</f>
        <v>0</v>
      </c>
      <c r="J67" s="259">
        <f>IF(OR(ROW(J67)-5=J$1,ROW(J67)-5=J$1+1),VLOOKUP(J$3,Summary!$B$2:$L$35,3,FALSE),0)</f>
        <v>0</v>
      </c>
      <c r="K67" s="259">
        <f>IF(OR(ROW(K67)-5=K$1,ROW(K67)-5=K$1+1),VLOOKUP(K$3,Summary!$B$2:$L$35,3,FALSE),0)</f>
        <v>0</v>
      </c>
      <c r="L67" s="259">
        <f>IF(OR(ROW(L67)-5=L$1,ROW(L67)-5=L$1+1),VLOOKUP(L$3,Summary!$B$2:$L$35,3,FALSE),0)</f>
        <v>0</v>
      </c>
      <c r="M67" s="259">
        <f>IF(OR(ROW(M67)-5=M$1,ROW(M67)-5=M$1+1),VLOOKUP(M$3,Summary!$B$2:$L$35,3,FALSE),0)</f>
        <v>0</v>
      </c>
      <c r="N67" s="259">
        <f>IF(OR(ROW(N67)-5=N$1,ROW(N67)-5=N$1+1),VLOOKUP(N$3,Summary!$B$2:$L$35,3,FALSE),0)</f>
        <v>0</v>
      </c>
      <c r="O67" s="259">
        <f>IF(OR(ROW(O67)-5=O$1,ROW(O67)-5=O$1+1),VLOOKUP(O$3,Summary!$B$2:$L$35,3,FALSE),0)</f>
        <v>0</v>
      </c>
      <c r="P67" s="259">
        <f>IF(OR(ROW(P67)-5=P$1,ROW(P67)-5=P$1+1),VLOOKUP(P$3,Summary!$B$2:$L$35,3,FALSE),0)</f>
        <v>0</v>
      </c>
      <c r="Q67" s="259">
        <f>IF(OR(ROW(Q67)-5=Q$1,ROW(Q67)-5=Q$1+1),VLOOKUP(Q$3,Summary!$B$2:$L$35,3,FALSE),0)</f>
        <v>0</v>
      </c>
      <c r="R67" s="259">
        <f>IF(OR(ROW(R67)-5=R$1,ROW(R67)-5=R$1+1),VLOOKUP(R$3,Summary!$B$2:$L$35,3,FALSE),0)</f>
        <v>0</v>
      </c>
      <c r="S67" s="259">
        <f>IF(OR(ROW(S67)-5=S$1,ROW(S67)-5=S$1+1),VLOOKUP(S$3,Summary!$B$2:$L$35,3,FALSE),0)</f>
        <v>0</v>
      </c>
      <c r="T67" s="259">
        <f>IF(OR(ROW(T67)-5=T$1,ROW(T67)-5=T$1+1),VLOOKUP(T$3,Summary!$B$2:$L$35,3,FALSE),0)</f>
        <v>0</v>
      </c>
      <c r="U67" s="259">
        <f>IF(OR(ROW(U67)-5=U$1,ROW(U67)-5=U$1+1),VLOOKUP(U$3,Summary!$B$2:$L$35,3,FALSE),0)</f>
        <v>0</v>
      </c>
      <c r="V67" s="259">
        <f ca="1">IF(OR(ROW(V67)-5=V$1,ROW(V67)-5=V$1+1),VLOOKUP(V$3,Summary!$B$2:$L$35,3,FALSE),0)</f>
        <v>426.62337235953368</v>
      </c>
      <c r="W67" s="259">
        <f>IF(OR(ROW(W67)-5=W$1,ROW(W67)-5=W$1+1),VLOOKUP(W$3,Summary!$B$2:$L$35,3,FALSE),0)</f>
        <v>0</v>
      </c>
      <c r="X67" s="259">
        <f>IF(OR(ROW(X67)-5=X$1,ROW(X67)-5=X$1+1),VLOOKUP(X$3,Summary!$B$2:$L$35,3,FALSE),0)</f>
        <v>0</v>
      </c>
      <c r="Y67" s="259">
        <f>IF(OR(ROW(Y67)-5=Y$1,ROW(Y67)-5=Y$1+1),VLOOKUP(Y$3,Summary!$B$2:$L$35,3,FALSE),0)</f>
        <v>0</v>
      </c>
      <c r="Z67" s="259">
        <f>IF(OR(ROW(Z67)-5=Z$1,ROW(Z67)-5=Z$1+1),VLOOKUP(Z$3,Summary!$B$2:$L$35,3,FALSE),0)</f>
        <v>0</v>
      </c>
      <c r="AA67" s="259">
        <f>IF(OR(ROW(AA67)-5=AA$1,ROW(AA67)-5=AA$1+1),VLOOKUP(AA$3,Summary!$B$2:$L$35,3,FALSE),0)</f>
        <v>0</v>
      </c>
      <c r="AB67" s="259">
        <f>IF(OR(ROW(AB67)-5=AB$1,ROW(AB67)-5=AB$1+1),VLOOKUP(AB$3,Summary!$B$2:$L$35,3,FALSE),0)</f>
        <v>0</v>
      </c>
      <c r="AC67" s="259">
        <f>IF(OR(ROW(AC67)-5=AC$1,ROW(AC67)-5=AC$1+1),VLOOKUP(AC$3,Summary!$B$2:$L$35,3,FALSE),0)</f>
        <v>0</v>
      </c>
      <c r="AD67" s="259">
        <f>IF(OR(ROW(AD67)-5=AD$1,ROW(AD67)-5=AD$1+1),VLOOKUP(AD$3,Summary!$B$2:$L$35,3,FALSE),0)</f>
        <v>0</v>
      </c>
      <c r="AE67" s="259">
        <f>IF(OR(ROW(AE67)-5=AE$1,ROW(AE67)-5=AE$1+1),VLOOKUP(AE$3,Summary!$B$2:$L$35,3,FALSE),0)</f>
        <v>0</v>
      </c>
      <c r="AF67" s="331">
        <f t="shared" ca="1" si="7"/>
        <v>386.89308218614519</v>
      </c>
    </row>
    <row r="68" spans="1:32">
      <c r="A68" s="259">
        <f ca="1">OFFSET(Summary!$I$2,TRUNC((ROW(A68)-ROW($A$7))/3,0),0)/1000</f>
        <v>237.29626946138228</v>
      </c>
      <c r="B68" s="259">
        <f>IF(OR(ROW(B68)-5=B$1,ROW(B68)-5=B$1+1),VLOOKUP(B$3,Summary!$B$2:$L$35,3,FALSE),0)</f>
        <v>0</v>
      </c>
      <c r="C68" s="259">
        <f>IF(OR(ROW(C68)-5=C$1,ROW(C68)-5=C$1+1),VLOOKUP(C$3,Summary!$B$2:$L$35,3,FALSE),0)</f>
        <v>0</v>
      </c>
      <c r="D68" s="259">
        <f>IF(OR(ROW(D68)-5=D$1,ROW(D68)-5=D$1+1),VLOOKUP(D$3,Summary!$B$2:$L$35,3,FALSE),0)</f>
        <v>0</v>
      </c>
      <c r="E68" s="259">
        <f>IF(OR(ROW(E68)-5=E$1,ROW(E68)-5=E$1+1),VLOOKUP(E$3,Summary!$B$2:$L$35,3,FALSE),0)</f>
        <v>0</v>
      </c>
      <c r="F68" s="259">
        <f>IF(OR(ROW(F68)-5=F$1,ROW(F68)-5=F$1+1),VLOOKUP(F$3,Summary!$B$2:$L$35,3,FALSE),0)</f>
        <v>0</v>
      </c>
      <c r="G68" s="259">
        <f>IF(OR(ROW(G68)-5=G$1,ROW(G68)-5=G$1+1),VLOOKUP(G$3,Summary!$B$2:$L$35,3,FALSE),0)</f>
        <v>0</v>
      </c>
      <c r="H68" s="259">
        <f>IF(OR(ROW(H68)-5=H$1,ROW(H68)-5=H$1+1),VLOOKUP(H$3,Summary!$B$2:$L$35,3,FALSE),0)</f>
        <v>0</v>
      </c>
      <c r="I68" s="259">
        <f>IF(OR(ROW(I68)-5=I$1,ROW(I68)-5=I$1+1),VLOOKUP(I$3,Summary!$B$2:$L$35,3,FALSE),0)</f>
        <v>0</v>
      </c>
      <c r="J68" s="259">
        <f>IF(OR(ROW(J68)-5=J$1,ROW(J68)-5=J$1+1),VLOOKUP(J$3,Summary!$B$2:$L$35,3,FALSE),0)</f>
        <v>0</v>
      </c>
      <c r="K68" s="259">
        <f>IF(OR(ROW(K68)-5=K$1,ROW(K68)-5=K$1+1),VLOOKUP(K$3,Summary!$B$2:$L$35,3,FALSE),0)</f>
        <v>0</v>
      </c>
      <c r="L68" s="259">
        <f>IF(OR(ROW(L68)-5=L$1,ROW(L68)-5=L$1+1),VLOOKUP(L$3,Summary!$B$2:$L$35,3,FALSE),0)</f>
        <v>0</v>
      </c>
      <c r="M68" s="259">
        <f>IF(OR(ROW(M68)-5=M$1,ROW(M68)-5=M$1+1),VLOOKUP(M$3,Summary!$B$2:$L$35,3,FALSE),0)</f>
        <v>0</v>
      </c>
      <c r="N68" s="259">
        <f>IF(OR(ROW(N68)-5=N$1,ROW(N68)-5=N$1+1),VLOOKUP(N$3,Summary!$B$2:$L$35,3,FALSE),0)</f>
        <v>0</v>
      </c>
      <c r="O68" s="259">
        <f>IF(OR(ROW(O68)-5=O$1,ROW(O68)-5=O$1+1),VLOOKUP(O$3,Summary!$B$2:$L$35,3,FALSE),0)</f>
        <v>0</v>
      </c>
      <c r="P68" s="259">
        <f>IF(OR(ROW(P68)-5=P$1,ROW(P68)-5=P$1+1),VLOOKUP(P$3,Summary!$B$2:$L$35,3,FALSE),0)</f>
        <v>0</v>
      </c>
      <c r="Q68" s="259">
        <f>IF(OR(ROW(Q68)-5=Q$1,ROW(Q68)-5=Q$1+1),VLOOKUP(Q$3,Summary!$B$2:$L$35,3,FALSE),0)</f>
        <v>0</v>
      </c>
      <c r="R68" s="259">
        <f>IF(OR(ROW(R68)-5=R$1,ROW(R68)-5=R$1+1),VLOOKUP(R$3,Summary!$B$2:$L$35,3,FALSE),0)</f>
        <v>0</v>
      </c>
      <c r="S68" s="259">
        <f>IF(OR(ROW(S68)-5=S$1,ROW(S68)-5=S$1+1),VLOOKUP(S$3,Summary!$B$2:$L$35,3,FALSE),0)</f>
        <v>0</v>
      </c>
      <c r="T68" s="259">
        <f>IF(OR(ROW(T68)-5=T$1,ROW(T68)-5=T$1+1),VLOOKUP(T$3,Summary!$B$2:$L$35,3,FALSE),0)</f>
        <v>0</v>
      </c>
      <c r="U68" s="259">
        <f>IF(OR(ROW(U68)-5=U$1,ROW(U68)-5=U$1+1),VLOOKUP(U$3,Summary!$B$2:$L$35,3,FALSE),0)</f>
        <v>0</v>
      </c>
      <c r="V68" s="259">
        <f>IF(OR(ROW(V68)-5=V$1,ROW(V68)-5=V$1+1),VLOOKUP(V$3,Summary!$B$2:$L$35,3,FALSE),0)</f>
        <v>0</v>
      </c>
      <c r="W68" s="259">
        <f>IF(OR(ROW(W68)-5=W$1,ROW(W68)-5=W$1+1),VLOOKUP(W$3,Summary!$B$2:$L$35,3,FALSE),0)</f>
        <v>0</v>
      </c>
      <c r="X68" s="259">
        <f>IF(OR(ROW(X68)-5=X$1,ROW(X68)-5=X$1+1),VLOOKUP(X$3,Summary!$B$2:$L$35,3,FALSE),0)</f>
        <v>0</v>
      </c>
      <c r="Y68" s="259">
        <f>IF(OR(ROW(Y68)-5=Y$1,ROW(Y68)-5=Y$1+1),VLOOKUP(Y$3,Summary!$B$2:$L$35,3,FALSE),0)</f>
        <v>0</v>
      </c>
      <c r="Z68" s="259">
        <f>IF(OR(ROW(Z68)-5=Z$1,ROW(Z68)-5=Z$1+1),VLOOKUP(Z$3,Summary!$B$2:$L$35,3,FALSE),0)</f>
        <v>0</v>
      </c>
      <c r="AA68" s="259">
        <f>IF(OR(ROW(AA68)-5=AA$1,ROW(AA68)-5=AA$1+1),VLOOKUP(AA$3,Summary!$B$2:$L$35,3,FALSE),0)</f>
        <v>0</v>
      </c>
      <c r="AB68" s="259">
        <f>IF(OR(ROW(AB68)-5=AB$1,ROW(AB68)-5=AB$1+1),VLOOKUP(AB$3,Summary!$B$2:$L$35,3,FALSE),0)</f>
        <v>0</v>
      </c>
      <c r="AC68" s="259">
        <f>IF(OR(ROW(AC68)-5=AC$1,ROW(AC68)-5=AC$1+1),VLOOKUP(AC$3,Summary!$B$2:$L$35,3,FALSE),0)</f>
        <v>0</v>
      </c>
      <c r="AD68" s="259">
        <f>IF(OR(ROW(AD68)-5=AD$1,ROW(AD68)-5=AD$1+1),VLOOKUP(AD$3,Summary!$B$2:$L$35,3,FALSE),0)</f>
        <v>0</v>
      </c>
      <c r="AE68" s="259">
        <f>IF(OR(ROW(AE68)-5=AE$1,ROW(AE68)-5=AE$1+1),VLOOKUP(AE$3,Summary!$B$2:$L$35,3,FALSE),0)</f>
        <v>0</v>
      </c>
      <c r="AF68" s="331" t="e">
        <f t="shared" ca="1" si="7"/>
        <v>#N/A</v>
      </c>
    </row>
    <row r="69" spans="1:32">
      <c r="A69" s="259">
        <f ca="1">OFFSET(Summary!$I$2,TRUNC((ROW(A69)-ROW($A$7))/3,0),0)/1000</f>
        <v>237.29626946138228</v>
      </c>
      <c r="B69" s="259">
        <f>IF(OR(ROW(B69)-5=B$1,ROW(B69)-5=B$1+1),VLOOKUP(B$3,Summary!$B$2:$L$35,3,FALSE),0)</f>
        <v>0</v>
      </c>
      <c r="C69" s="259">
        <f>IF(OR(ROW(C69)-5=C$1,ROW(C69)-5=C$1+1),VLOOKUP(C$3,Summary!$B$2:$L$35,3,FALSE),0)</f>
        <v>0</v>
      </c>
      <c r="D69" s="259">
        <f>IF(OR(ROW(D69)-5=D$1,ROW(D69)-5=D$1+1),VLOOKUP(D$3,Summary!$B$2:$L$35,3,FALSE),0)</f>
        <v>0</v>
      </c>
      <c r="E69" s="259">
        <f>IF(OR(ROW(E69)-5=E$1,ROW(E69)-5=E$1+1),VLOOKUP(E$3,Summary!$B$2:$L$35,3,FALSE),0)</f>
        <v>0</v>
      </c>
      <c r="F69" s="259">
        <f>IF(OR(ROW(F69)-5=F$1,ROW(F69)-5=F$1+1),VLOOKUP(F$3,Summary!$B$2:$L$35,3,FALSE),0)</f>
        <v>0</v>
      </c>
      <c r="G69" s="259">
        <f>IF(OR(ROW(G69)-5=G$1,ROW(G69)-5=G$1+1),VLOOKUP(G$3,Summary!$B$2:$L$35,3,FALSE),0)</f>
        <v>0</v>
      </c>
      <c r="H69" s="259">
        <f>IF(OR(ROW(H69)-5=H$1,ROW(H69)-5=H$1+1),VLOOKUP(H$3,Summary!$B$2:$L$35,3,FALSE),0)</f>
        <v>0</v>
      </c>
      <c r="I69" s="259">
        <f>IF(OR(ROW(I69)-5=I$1,ROW(I69)-5=I$1+1),VLOOKUP(I$3,Summary!$B$2:$L$35,3,FALSE),0)</f>
        <v>0</v>
      </c>
      <c r="J69" s="259">
        <f>IF(OR(ROW(J69)-5=J$1,ROW(J69)-5=J$1+1),VLOOKUP(J$3,Summary!$B$2:$L$35,3,FALSE),0)</f>
        <v>0</v>
      </c>
      <c r="K69" s="259">
        <f>IF(OR(ROW(K69)-5=K$1,ROW(K69)-5=K$1+1),VLOOKUP(K$3,Summary!$B$2:$L$35,3,FALSE),0)</f>
        <v>0</v>
      </c>
      <c r="L69" s="259">
        <f>IF(OR(ROW(L69)-5=L$1,ROW(L69)-5=L$1+1),VLOOKUP(L$3,Summary!$B$2:$L$35,3,FALSE),0)</f>
        <v>0</v>
      </c>
      <c r="M69" s="259">
        <f>IF(OR(ROW(M69)-5=M$1,ROW(M69)-5=M$1+1),VLOOKUP(M$3,Summary!$B$2:$L$35,3,FALSE),0)</f>
        <v>0</v>
      </c>
      <c r="N69" s="259">
        <f>IF(OR(ROW(N69)-5=N$1,ROW(N69)-5=N$1+1),VLOOKUP(N$3,Summary!$B$2:$L$35,3,FALSE),0)</f>
        <v>0</v>
      </c>
      <c r="O69" s="259">
        <f>IF(OR(ROW(O69)-5=O$1,ROW(O69)-5=O$1+1),VLOOKUP(O$3,Summary!$B$2:$L$35,3,FALSE),0)</f>
        <v>0</v>
      </c>
      <c r="P69" s="259">
        <f>IF(OR(ROW(P69)-5=P$1,ROW(P69)-5=P$1+1),VLOOKUP(P$3,Summary!$B$2:$L$35,3,FALSE),0)</f>
        <v>0</v>
      </c>
      <c r="Q69" s="259">
        <f>IF(OR(ROW(Q69)-5=Q$1,ROW(Q69)-5=Q$1+1),VLOOKUP(Q$3,Summary!$B$2:$L$35,3,FALSE),0)</f>
        <v>0</v>
      </c>
      <c r="R69" s="259">
        <f>IF(OR(ROW(R69)-5=R$1,ROW(R69)-5=R$1+1),VLOOKUP(R$3,Summary!$B$2:$L$35,3,FALSE),0)</f>
        <v>0</v>
      </c>
      <c r="S69" s="259">
        <f>IF(OR(ROW(S69)-5=S$1,ROW(S69)-5=S$1+1),VLOOKUP(S$3,Summary!$B$2:$L$35,3,FALSE),0)</f>
        <v>0</v>
      </c>
      <c r="T69" s="259">
        <f>IF(OR(ROW(T69)-5=T$1,ROW(T69)-5=T$1+1),VLOOKUP(T$3,Summary!$B$2:$L$35,3,FALSE),0)</f>
        <v>0</v>
      </c>
      <c r="U69" s="259">
        <f>IF(OR(ROW(U69)-5=U$1,ROW(U69)-5=U$1+1),VLOOKUP(U$3,Summary!$B$2:$L$35,3,FALSE),0)</f>
        <v>0</v>
      </c>
      <c r="V69" s="259">
        <f>IF(OR(ROW(V69)-5=V$1,ROW(V69)-5=V$1+1),VLOOKUP(V$3,Summary!$B$2:$L$35,3,FALSE),0)</f>
        <v>0</v>
      </c>
      <c r="W69" s="259">
        <f ca="1">IF(OR(ROW(W69)-5=W$1,ROW(W69)-5=W$1+1),VLOOKUP(W$3,Summary!$B$2:$L$35,3,FALSE),0)</f>
        <v>679.0247248054161</v>
      </c>
      <c r="X69" s="259">
        <f>IF(OR(ROW(X69)-5=X$1,ROW(X69)-5=X$1+1),VLOOKUP(X$3,Summary!$B$2:$L$35,3,FALSE),0)</f>
        <v>0</v>
      </c>
      <c r="Y69" s="259">
        <f>IF(OR(ROW(Y69)-5=Y$1,ROW(Y69)-5=Y$1+1),VLOOKUP(Y$3,Summary!$B$2:$L$35,3,FALSE),0)</f>
        <v>0</v>
      </c>
      <c r="Z69" s="259">
        <f>IF(OR(ROW(Z69)-5=Z$1,ROW(Z69)-5=Z$1+1),VLOOKUP(Z$3,Summary!$B$2:$L$35,3,FALSE),0)</f>
        <v>0</v>
      </c>
      <c r="AA69" s="259">
        <f>IF(OR(ROW(AA69)-5=AA$1,ROW(AA69)-5=AA$1+1),VLOOKUP(AA$3,Summary!$B$2:$L$35,3,FALSE),0)</f>
        <v>0</v>
      </c>
      <c r="AB69" s="259">
        <f>IF(OR(ROW(AB69)-5=AB$1,ROW(AB69)-5=AB$1+1),VLOOKUP(AB$3,Summary!$B$2:$L$35,3,FALSE),0)</f>
        <v>0</v>
      </c>
      <c r="AC69" s="259">
        <f>IF(OR(ROW(AC69)-5=AC$1,ROW(AC69)-5=AC$1+1),VLOOKUP(AC$3,Summary!$B$2:$L$35,3,FALSE),0)</f>
        <v>0</v>
      </c>
      <c r="AD69" s="259">
        <f>IF(OR(ROW(AD69)-5=AD$1,ROW(AD69)-5=AD$1+1),VLOOKUP(AD$3,Summary!$B$2:$L$35,3,FALSE),0)</f>
        <v>0</v>
      </c>
      <c r="AE69" s="259">
        <f>IF(OR(ROW(AE69)-5=AE$1,ROW(AE69)-5=AE$1+1),VLOOKUP(AE$3,Summary!$B$2:$L$35,3,FALSE),0)</f>
        <v>0</v>
      </c>
      <c r="AF69" s="331">
        <f t="shared" ca="1" si="7"/>
        <v>631.32373065869183</v>
      </c>
    </row>
    <row r="70" spans="1:32">
      <c r="A70" s="259">
        <f ca="1">OFFSET(Summary!$I$2,TRUNC((ROW(A70)-ROW($A$7))/3,0),0)/1000</f>
        <v>237.76406346545653</v>
      </c>
      <c r="B70" s="259">
        <f>IF(OR(ROW(B70)-5=B$1,ROW(B70)-5=B$1+1),VLOOKUP(B$3,Summary!$B$2:$L$35,3,FALSE),0)</f>
        <v>0</v>
      </c>
      <c r="C70" s="259">
        <f>IF(OR(ROW(C70)-5=C$1,ROW(C70)-5=C$1+1),VLOOKUP(C$3,Summary!$B$2:$L$35,3,FALSE),0)</f>
        <v>0</v>
      </c>
      <c r="D70" s="259">
        <f>IF(OR(ROW(D70)-5=D$1,ROW(D70)-5=D$1+1),VLOOKUP(D$3,Summary!$B$2:$L$35,3,FALSE),0)</f>
        <v>0</v>
      </c>
      <c r="E70" s="259">
        <f>IF(OR(ROW(E70)-5=E$1,ROW(E70)-5=E$1+1),VLOOKUP(E$3,Summary!$B$2:$L$35,3,FALSE),0)</f>
        <v>0</v>
      </c>
      <c r="F70" s="259">
        <f>IF(OR(ROW(F70)-5=F$1,ROW(F70)-5=F$1+1),VLOOKUP(F$3,Summary!$B$2:$L$35,3,FALSE),0)</f>
        <v>0</v>
      </c>
      <c r="G70" s="259">
        <f>IF(OR(ROW(G70)-5=G$1,ROW(G70)-5=G$1+1),VLOOKUP(G$3,Summary!$B$2:$L$35,3,FALSE),0)</f>
        <v>0</v>
      </c>
      <c r="H70" s="259">
        <f>IF(OR(ROW(H70)-5=H$1,ROW(H70)-5=H$1+1),VLOOKUP(H$3,Summary!$B$2:$L$35,3,FALSE),0)</f>
        <v>0</v>
      </c>
      <c r="I70" s="259">
        <f>IF(OR(ROW(I70)-5=I$1,ROW(I70)-5=I$1+1),VLOOKUP(I$3,Summary!$B$2:$L$35,3,FALSE),0)</f>
        <v>0</v>
      </c>
      <c r="J70" s="259">
        <f>IF(OR(ROW(J70)-5=J$1,ROW(J70)-5=J$1+1),VLOOKUP(J$3,Summary!$B$2:$L$35,3,FALSE),0)</f>
        <v>0</v>
      </c>
      <c r="K70" s="259">
        <f>IF(OR(ROW(K70)-5=K$1,ROW(K70)-5=K$1+1),VLOOKUP(K$3,Summary!$B$2:$L$35,3,FALSE),0)</f>
        <v>0</v>
      </c>
      <c r="L70" s="259">
        <f>IF(OR(ROW(L70)-5=L$1,ROW(L70)-5=L$1+1),VLOOKUP(L$3,Summary!$B$2:$L$35,3,FALSE),0)</f>
        <v>0</v>
      </c>
      <c r="M70" s="259">
        <f>IF(OR(ROW(M70)-5=M$1,ROW(M70)-5=M$1+1),VLOOKUP(M$3,Summary!$B$2:$L$35,3,FALSE),0)</f>
        <v>0</v>
      </c>
      <c r="N70" s="259">
        <f>IF(OR(ROW(N70)-5=N$1,ROW(N70)-5=N$1+1),VLOOKUP(N$3,Summary!$B$2:$L$35,3,FALSE),0)</f>
        <v>0</v>
      </c>
      <c r="O70" s="259">
        <f>IF(OR(ROW(O70)-5=O$1,ROW(O70)-5=O$1+1),VLOOKUP(O$3,Summary!$B$2:$L$35,3,FALSE),0)</f>
        <v>0</v>
      </c>
      <c r="P70" s="259">
        <f>IF(OR(ROW(P70)-5=P$1,ROW(P70)-5=P$1+1),VLOOKUP(P$3,Summary!$B$2:$L$35,3,FALSE),0)</f>
        <v>0</v>
      </c>
      <c r="Q70" s="259">
        <f>IF(OR(ROW(Q70)-5=Q$1,ROW(Q70)-5=Q$1+1),VLOOKUP(Q$3,Summary!$B$2:$L$35,3,FALSE),0)</f>
        <v>0</v>
      </c>
      <c r="R70" s="259">
        <f>IF(OR(ROW(R70)-5=R$1,ROW(R70)-5=R$1+1),VLOOKUP(R$3,Summary!$B$2:$L$35,3,FALSE),0)</f>
        <v>0</v>
      </c>
      <c r="S70" s="259">
        <f>IF(OR(ROW(S70)-5=S$1,ROW(S70)-5=S$1+1),VLOOKUP(S$3,Summary!$B$2:$L$35,3,FALSE),0)</f>
        <v>0</v>
      </c>
      <c r="T70" s="259">
        <f>IF(OR(ROW(T70)-5=T$1,ROW(T70)-5=T$1+1),VLOOKUP(T$3,Summary!$B$2:$L$35,3,FALSE),0)</f>
        <v>0</v>
      </c>
      <c r="U70" s="259">
        <f>IF(OR(ROW(U70)-5=U$1,ROW(U70)-5=U$1+1),VLOOKUP(U$3,Summary!$B$2:$L$35,3,FALSE),0)</f>
        <v>0</v>
      </c>
      <c r="V70" s="259">
        <f>IF(OR(ROW(V70)-5=V$1,ROW(V70)-5=V$1+1),VLOOKUP(V$3,Summary!$B$2:$L$35,3,FALSE),0)</f>
        <v>0</v>
      </c>
      <c r="W70" s="259">
        <f ca="1">IF(OR(ROW(W70)-5=W$1,ROW(W70)-5=W$1+1),VLOOKUP(W$3,Summary!$B$2:$L$35,3,FALSE),0)</f>
        <v>679.0247248054161</v>
      </c>
      <c r="X70" s="259">
        <f>IF(OR(ROW(X70)-5=X$1,ROW(X70)-5=X$1+1),VLOOKUP(X$3,Summary!$B$2:$L$35,3,FALSE),0)</f>
        <v>0</v>
      </c>
      <c r="Y70" s="259">
        <f>IF(OR(ROW(Y70)-5=Y$1,ROW(Y70)-5=Y$1+1),VLOOKUP(Y$3,Summary!$B$2:$L$35,3,FALSE),0)</f>
        <v>0</v>
      </c>
      <c r="Z70" s="259">
        <f>IF(OR(ROW(Z70)-5=Z$1,ROW(Z70)-5=Z$1+1),VLOOKUP(Z$3,Summary!$B$2:$L$35,3,FALSE),0)</f>
        <v>0</v>
      </c>
      <c r="AA70" s="259">
        <f>IF(OR(ROW(AA70)-5=AA$1,ROW(AA70)-5=AA$1+1),VLOOKUP(AA$3,Summary!$B$2:$L$35,3,FALSE),0)</f>
        <v>0</v>
      </c>
      <c r="AB70" s="259">
        <f>IF(OR(ROW(AB70)-5=AB$1,ROW(AB70)-5=AB$1+1),VLOOKUP(AB$3,Summary!$B$2:$L$35,3,FALSE),0)</f>
        <v>0</v>
      </c>
      <c r="AC70" s="259">
        <f>IF(OR(ROW(AC70)-5=AC$1,ROW(AC70)-5=AC$1+1),VLOOKUP(AC$3,Summary!$B$2:$L$35,3,FALSE),0)</f>
        <v>0</v>
      </c>
      <c r="AD70" s="259">
        <f>IF(OR(ROW(AD70)-5=AD$1,ROW(AD70)-5=AD$1+1),VLOOKUP(AD$3,Summary!$B$2:$L$35,3,FALSE),0)</f>
        <v>0</v>
      </c>
      <c r="AE70" s="259">
        <f>IF(OR(ROW(AE70)-5=AE$1,ROW(AE70)-5=AE$1+1),VLOOKUP(AE$3,Summary!$B$2:$L$35,3,FALSE),0)</f>
        <v>0</v>
      </c>
      <c r="AF70" s="331">
        <f t="shared" ref="AF70:AF95" ca="1" si="8">INDEX(Levelized_Cost_Adjusted,MATCH(SUM(B70:AE70),Levelized_Cost,0))</f>
        <v>631.32373065869183</v>
      </c>
    </row>
    <row r="71" spans="1:32">
      <c r="A71" s="259">
        <f ca="1">OFFSET(Summary!$I$2,TRUNC((ROW(A71)-ROW($A$7))/3,0),0)/1000</f>
        <v>237.76406346545653</v>
      </c>
      <c r="B71" s="259">
        <f>IF(OR(ROW(B71)-5=B$1,ROW(B71)-5=B$1+1),VLOOKUP(B$3,Summary!$B$2:$L$35,3,FALSE),0)</f>
        <v>0</v>
      </c>
      <c r="C71" s="259">
        <f>IF(OR(ROW(C71)-5=C$1,ROW(C71)-5=C$1+1),VLOOKUP(C$3,Summary!$B$2:$L$35,3,FALSE),0)</f>
        <v>0</v>
      </c>
      <c r="D71" s="259">
        <f>IF(OR(ROW(D71)-5=D$1,ROW(D71)-5=D$1+1),VLOOKUP(D$3,Summary!$B$2:$L$35,3,FALSE),0)</f>
        <v>0</v>
      </c>
      <c r="E71" s="259">
        <f>IF(OR(ROW(E71)-5=E$1,ROW(E71)-5=E$1+1),VLOOKUP(E$3,Summary!$B$2:$L$35,3,FALSE),0)</f>
        <v>0</v>
      </c>
      <c r="F71" s="259">
        <f>IF(OR(ROW(F71)-5=F$1,ROW(F71)-5=F$1+1),VLOOKUP(F$3,Summary!$B$2:$L$35,3,FALSE),0)</f>
        <v>0</v>
      </c>
      <c r="G71" s="259">
        <f>IF(OR(ROW(G71)-5=G$1,ROW(G71)-5=G$1+1),VLOOKUP(G$3,Summary!$B$2:$L$35,3,FALSE),0)</f>
        <v>0</v>
      </c>
      <c r="H71" s="259">
        <f>IF(OR(ROW(H71)-5=H$1,ROW(H71)-5=H$1+1),VLOOKUP(H$3,Summary!$B$2:$L$35,3,FALSE),0)</f>
        <v>0</v>
      </c>
      <c r="I71" s="259">
        <f>IF(OR(ROW(I71)-5=I$1,ROW(I71)-5=I$1+1),VLOOKUP(I$3,Summary!$B$2:$L$35,3,FALSE),0)</f>
        <v>0</v>
      </c>
      <c r="J71" s="259">
        <f>IF(OR(ROW(J71)-5=J$1,ROW(J71)-5=J$1+1),VLOOKUP(J$3,Summary!$B$2:$L$35,3,FALSE),0)</f>
        <v>0</v>
      </c>
      <c r="K71" s="259">
        <f>IF(OR(ROW(K71)-5=K$1,ROW(K71)-5=K$1+1),VLOOKUP(K$3,Summary!$B$2:$L$35,3,FALSE),0)</f>
        <v>0</v>
      </c>
      <c r="L71" s="259">
        <f>IF(OR(ROW(L71)-5=L$1,ROW(L71)-5=L$1+1),VLOOKUP(L$3,Summary!$B$2:$L$35,3,FALSE),0)</f>
        <v>0</v>
      </c>
      <c r="M71" s="259">
        <f>IF(OR(ROW(M71)-5=M$1,ROW(M71)-5=M$1+1),VLOOKUP(M$3,Summary!$B$2:$L$35,3,FALSE),0)</f>
        <v>0</v>
      </c>
      <c r="N71" s="259">
        <f>IF(OR(ROW(N71)-5=N$1,ROW(N71)-5=N$1+1),VLOOKUP(N$3,Summary!$B$2:$L$35,3,FALSE),0)</f>
        <v>0</v>
      </c>
      <c r="O71" s="259">
        <f>IF(OR(ROW(O71)-5=O$1,ROW(O71)-5=O$1+1),VLOOKUP(O$3,Summary!$B$2:$L$35,3,FALSE),0)</f>
        <v>0</v>
      </c>
      <c r="P71" s="259">
        <f>IF(OR(ROW(P71)-5=P$1,ROW(P71)-5=P$1+1),VLOOKUP(P$3,Summary!$B$2:$L$35,3,FALSE),0)</f>
        <v>0</v>
      </c>
      <c r="Q71" s="259">
        <f>IF(OR(ROW(Q71)-5=Q$1,ROW(Q71)-5=Q$1+1),VLOOKUP(Q$3,Summary!$B$2:$L$35,3,FALSE),0)</f>
        <v>0</v>
      </c>
      <c r="R71" s="259">
        <f>IF(OR(ROW(R71)-5=R$1,ROW(R71)-5=R$1+1),VLOOKUP(R$3,Summary!$B$2:$L$35,3,FALSE),0)</f>
        <v>0</v>
      </c>
      <c r="S71" s="259">
        <f>IF(OR(ROW(S71)-5=S$1,ROW(S71)-5=S$1+1),VLOOKUP(S$3,Summary!$B$2:$L$35,3,FALSE),0)</f>
        <v>0</v>
      </c>
      <c r="T71" s="259">
        <f>IF(OR(ROW(T71)-5=T$1,ROW(T71)-5=T$1+1),VLOOKUP(T$3,Summary!$B$2:$L$35,3,FALSE),0)</f>
        <v>0</v>
      </c>
      <c r="U71" s="259">
        <f>IF(OR(ROW(U71)-5=U$1,ROW(U71)-5=U$1+1),VLOOKUP(U$3,Summary!$B$2:$L$35,3,FALSE),0)</f>
        <v>0</v>
      </c>
      <c r="V71" s="259">
        <f>IF(OR(ROW(V71)-5=V$1,ROW(V71)-5=V$1+1),VLOOKUP(V$3,Summary!$B$2:$L$35,3,FALSE),0)</f>
        <v>0</v>
      </c>
      <c r="W71" s="259">
        <f>IF(OR(ROW(W71)-5=W$1,ROW(W71)-5=W$1+1),VLOOKUP(W$3,Summary!$B$2:$L$35,3,FALSE),0)</f>
        <v>0</v>
      </c>
      <c r="X71" s="259">
        <f>IF(OR(ROW(X71)-5=X$1,ROW(X71)-5=X$1+1),VLOOKUP(X$3,Summary!$B$2:$L$35,3,FALSE),0)</f>
        <v>0</v>
      </c>
      <c r="Y71" s="259">
        <f>IF(OR(ROW(Y71)-5=Y$1,ROW(Y71)-5=Y$1+1),VLOOKUP(Y$3,Summary!$B$2:$L$35,3,FALSE),0)</f>
        <v>0</v>
      </c>
      <c r="Z71" s="259">
        <f>IF(OR(ROW(Z71)-5=Z$1,ROW(Z71)-5=Z$1+1),VLOOKUP(Z$3,Summary!$B$2:$L$35,3,FALSE),0)</f>
        <v>0</v>
      </c>
      <c r="AA71" s="259">
        <f>IF(OR(ROW(AA71)-5=AA$1,ROW(AA71)-5=AA$1+1),VLOOKUP(AA$3,Summary!$B$2:$L$35,3,FALSE),0)</f>
        <v>0</v>
      </c>
      <c r="AB71" s="259">
        <f>IF(OR(ROW(AB71)-5=AB$1,ROW(AB71)-5=AB$1+1),VLOOKUP(AB$3,Summary!$B$2:$L$35,3,FALSE),0)</f>
        <v>0</v>
      </c>
      <c r="AC71" s="259">
        <f>IF(OR(ROW(AC71)-5=AC$1,ROW(AC71)-5=AC$1+1),VLOOKUP(AC$3,Summary!$B$2:$L$35,3,FALSE),0)</f>
        <v>0</v>
      </c>
      <c r="AD71" s="259">
        <f>IF(OR(ROW(AD71)-5=AD$1,ROW(AD71)-5=AD$1+1),VLOOKUP(AD$3,Summary!$B$2:$L$35,3,FALSE),0)</f>
        <v>0</v>
      </c>
      <c r="AE71" s="259">
        <f>IF(OR(ROW(AE71)-5=AE$1,ROW(AE71)-5=AE$1+1),VLOOKUP(AE$3,Summary!$B$2:$L$35,3,FALSE),0)</f>
        <v>0</v>
      </c>
      <c r="AF71" s="331" t="e">
        <f t="shared" ca="1" si="8"/>
        <v>#N/A</v>
      </c>
    </row>
    <row r="72" spans="1:32">
      <c r="A72" s="259">
        <f ca="1">OFFSET(Summary!$I$2,TRUNC((ROW(A72)-ROW($A$7))/3,0),0)/1000</f>
        <v>237.76406346545653</v>
      </c>
      <c r="B72" s="259">
        <f>IF(OR(ROW(B72)-5=B$1,ROW(B72)-5=B$1+1),VLOOKUP(B$3,Summary!$B$2:$L$35,3,FALSE),0)</f>
        <v>0</v>
      </c>
      <c r="C72" s="259">
        <f>IF(OR(ROW(C72)-5=C$1,ROW(C72)-5=C$1+1),VLOOKUP(C$3,Summary!$B$2:$L$35,3,FALSE),0)</f>
        <v>0</v>
      </c>
      <c r="D72" s="259">
        <f>IF(OR(ROW(D72)-5=D$1,ROW(D72)-5=D$1+1),VLOOKUP(D$3,Summary!$B$2:$L$35,3,FALSE),0)</f>
        <v>0</v>
      </c>
      <c r="E72" s="259">
        <f>IF(OR(ROW(E72)-5=E$1,ROW(E72)-5=E$1+1),VLOOKUP(E$3,Summary!$B$2:$L$35,3,FALSE),0)</f>
        <v>0</v>
      </c>
      <c r="F72" s="259">
        <f>IF(OR(ROW(F72)-5=F$1,ROW(F72)-5=F$1+1),VLOOKUP(F$3,Summary!$B$2:$L$35,3,FALSE),0)</f>
        <v>0</v>
      </c>
      <c r="G72" s="259">
        <f>IF(OR(ROW(G72)-5=G$1,ROW(G72)-5=G$1+1),VLOOKUP(G$3,Summary!$B$2:$L$35,3,FALSE),0)</f>
        <v>0</v>
      </c>
      <c r="H72" s="259">
        <f>IF(OR(ROW(H72)-5=H$1,ROW(H72)-5=H$1+1),VLOOKUP(H$3,Summary!$B$2:$L$35,3,FALSE),0)</f>
        <v>0</v>
      </c>
      <c r="I72" s="259">
        <f>IF(OR(ROW(I72)-5=I$1,ROW(I72)-5=I$1+1),VLOOKUP(I$3,Summary!$B$2:$L$35,3,FALSE),0)</f>
        <v>0</v>
      </c>
      <c r="J72" s="259">
        <f>IF(OR(ROW(J72)-5=J$1,ROW(J72)-5=J$1+1),VLOOKUP(J$3,Summary!$B$2:$L$35,3,FALSE),0)</f>
        <v>0</v>
      </c>
      <c r="K72" s="259">
        <f>IF(OR(ROW(K72)-5=K$1,ROW(K72)-5=K$1+1),VLOOKUP(K$3,Summary!$B$2:$L$35,3,FALSE),0)</f>
        <v>0</v>
      </c>
      <c r="L72" s="259">
        <f>IF(OR(ROW(L72)-5=L$1,ROW(L72)-5=L$1+1),VLOOKUP(L$3,Summary!$B$2:$L$35,3,FALSE),0)</f>
        <v>0</v>
      </c>
      <c r="M72" s="259">
        <f>IF(OR(ROW(M72)-5=M$1,ROW(M72)-5=M$1+1),VLOOKUP(M$3,Summary!$B$2:$L$35,3,FALSE),0)</f>
        <v>0</v>
      </c>
      <c r="N72" s="259">
        <f>IF(OR(ROW(N72)-5=N$1,ROW(N72)-5=N$1+1),VLOOKUP(N$3,Summary!$B$2:$L$35,3,FALSE),0)</f>
        <v>0</v>
      </c>
      <c r="O72" s="259">
        <f>IF(OR(ROW(O72)-5=O$1,ROW(O72)-5=O$1+1),VLOOKUP(O$3,Summary!$B$2:$L$35,3,FALSE),0)</f>
        <v>0</v>
      </c>
      <c r="P72" s="259">
        <f>IF(OR(ROW(P72)-5=P$1,ROW(P72)-5=P$1+1),VLOOKUP(P$3,Summary!$B$2:$L$35,3,FALSE),0)</f>
        <v>0</v>
      </c>
      <c r="Q72" s="259">
        <f>IF(OR(ROW(Q72)-5=Q$1,ROW(Q72)-5=Q$1+1),VLOOKUP(Q$3,Summary!$B$2:$L$35,3,FALSE),0)</f>
        <v>0</v>
      </c>
      <c r="R72" s="259">
        <f>IF(OR(ROW(R72)-5=R$1,ROW(R72)-5=R$1+1),VLOOKUP(R$3,Summary!$B$2:$L$35,3,FALSE),0)</f>
        <v>0</v>
      </c>
      <c r="S72" s="259">
        <f>IF(OR(ROW(S72)-5=S$1,ROW(S72)-5=S$1+1),VLOOKUP(S$3,Summary!$B$2:$L$35,3,FALSE),0)</f>
        <v>0</v>
      </c>
      <c r="T72" s="259">
        <f>IF(OR(ROW(T72)-5=T$1,ROW(T72)-5=T$1+1),VLOOKUP(T$3,Summary!$B$2:$L$35,3,FALSE),0)</f>
        <v>0</v>
      </c>
      <c r="U72" s="259">
        <f>IF(OR(ROW(U72)-5=U$1,ROW(U72)-5=U$1+1),VLOOKUP(U$3,Summary!$B$2:$L$35,3,FALSE),0)</f>
        <v>0</v>
      </c>
      <c r="V72" s="259">
        <f>IF(OR(ROW(V72)-5=V$1,ROW(V72)-5=V$1+1),VLOOKUP(V$3,Summary!$B$2:$L$35,3,FALSE),0)</f>
        <v>0</v>
      </c>
      <c r="W72" s="259">
        <f>IF(OR(ROW(W72)-5=W$1,ROW(W72)-5=W$1+1),VLOOKUP(W$3,Summary!$B$2:$L$35,3,FALSE),0)</f>
        <v>0</v>
      </c>
      <c r="X72" s="259">
        <f ca="1">IF(OR(ROW(X72)-5=X$1,ROW(X72)-5=X$1+1),VLOOKUP(X$3,Summary!$B$2:$L$35,3,FALSE),0)</f>
        <v>980.91361256231767</v>
      </c>
      <c r="Y72" s="259">
        <f>IF(OR(ROW(Y72)-5=Y$1,ROW(Y72)-5=Y$1+1),VLOOKUP(Y$3,Summary!$B$2:$L$35,3,FALSE),0)</f>
        <v>0</v>
      </c>
      <c r="Z72" s="259">
        <f>IF(OR(ROW(Z72)-5=Z$1,ROW(Z72)-5=Z$1+1),VLOOKUP(Z$3,Summary!$B$2:$L$35,3,FALSE),0)</f>
        <v>0</v>
      </c>
      <c r="AA72" s="259">
        <f>IF(OR(ROW(AA72)-5=AA$1,ROW(AA72)-5=AA$1+1),VLOOKUP(AA$3,Summary!$B$2:$L$35,3,FALSE),0)</f>
        <v>0</v>
      </c>
      <c r="AB72" s="259">
        <f>IF(OR(ROW(AB72)-5=AB$1,ROW(AB72)-5=AB$1+1),VLOOKUP(AB$3,Summary!$B$2:$L$35,3,FALSE),0)</f>
        <v>0</v>
      </c>
      <c r="AC72" s="259">
        <f>IF(OR(ROW(AC72)-5=AC$1,ROW(AC72)-5=AC$1+1),VLOOKUP(AC$3,Summary!$B$2:$L$35,3,FALSE),0)</f>
        <v>0</v>
      </c>
      <c r="AD72" s="259">
        <f>IF(OR(ROW(AD72)-5=AD$1,ROW(AD72)-5=AD$1+1),VLOOKUP(AD$3,Summary!$B$2:$L$35,3,FALSE),0)</f>
        <v>0</v>
      </c>
      <c r="AE72" s="259">
        <f>IF(OR(ROW(AE72)-5=AE$1,ROW(AE72)-5=AE$1+1),VLOOKUP(AE$3,Summary!$B$2:$L$35,3,FALSE),0)</f>
        <v>0</v>
      </c>
      <c r="AF72" s="331">
        <f t="shared" ca="1" si="8"/>
        <v>930.99450593519691</v>
      </c>
    </row>
    <row r="73" spans="1:32">
      <c r="A73" s="259">
        <f ca="1">OFFSET(Summary!$I$2,TRUNC((ROW(A73)-ROW($A$7))/3,0),0)/1000</f>
        <v>238.22894151138405</v>
      </c>
      <c r="B73" s="259">
        <f>IF(OR(ROW(B73)-5=B$1,ROW(B73)-5=B$1+1),VLOOKUP(B$3,Summary!$B$2:$L$35,3,FALSE),0)</f>
        <v>0</v>
      </c>
      <c r="C73" s="259">
        <f>IF(OR(ROW(C73)-5=C$1,ROW(C73)-5=C$1+1),VLOOKUP(C$3,Summary!$B$2:$L$35,3,FALSE),0)</f>
        <v>0</v>
      </c>
      <c r="D73" s="259">
        <f>IF(OR(ROW(D73)-5=D$1,ROW(D73)-5=D$1+1),VLOOKUP(D$3,Summary!$B$2:$L$35,3,FALSE),0)</f>
        <v>0</v>
      </c>
      <c r="E73" s="259">
        <f>IF(OR(ROW(E73)-5=E$1,ROW(E73)-5=E$1+1),VLOOKUP(E$3,Summary!$B$2:$L$35,3,FALSE),0)</f>
        <v>0</v>
      </c>
      <c r="F73" s="259">
        <f>IF(OR(ROW(F73)-5=F$1,ROW(F73)-5=F$1+1),VLOOKUP(F$3,Summary!$B$2:$L$35,3,FALSE),0)</f>
        <v>0</v>
      </c>
      <c r="G73" s="259">
        <f>IF(OR(ROW(G73)-5=G$1,ROW(G73)-5=G$1+1),VLOOKUP(G$3,Summary!$B$2:$L$35,3,FALSE),0)</f>
        <v>0</v>
      </c>
      <c r="H73" s="259">
        <f>IF(OR(ROW(H73)-5=H$1,ROW(H73)-5=H$1+1),VLOOKUP(H$3,Summary!$B$2:$L$35,3,FALSE),0)</f>
        <v>0</v>
      </c>
      <c r="I73" s="259">
        <f>IF(OR(ROW(I73)-5=I$1,ROW(I73)-5=I$1+1),VLOOKUP(I$3,Summary!$B$2:$L$35,3,FALSE),0)</f>
        <v>0</v>
      </c>
      <c r="J73" s="259">
        <f>IF(OR(ROW(J73)-5=J$1,ROW(J73)-5=J$1+1),VLOOKUP(J$3,Summary!$B$2:$L$35,3,FALSE),0)</f>
        <v>0</v>
      </c>
      <c r="K73" s="259">
        <f>IF(OR(ROW(K73)-5=K$1,ROW(K73)-5=K$1+1),VLOOKUP(K$3,Summary!$B$2:$L$35,3,FALSE),0)</f>
        <v>0</v>
      </c>
      <c r="L73" s="259">
        <f>IF(OR(ROW(L73)-5=L$1,ROW(L73)-5=L$1+1),VLOOKUP(L$3,Summary!$B$2:$L$35,3,FALSE),0)</f>
        <v>0</v>
      </c>
      <c r="M73" s="259">
        <f>IF(OR(ROW(M73)-5=M$1,ROW(M73)-5=M$1+1),VLOOKUP(M$3,Summary!$B$2:$L$35,3,FALSE),0)</f>
        <v>0</v>
      </c>
      <c r="N73" s="259">
        <f>IF(OR(ROW(N73)-5=N$1,ROW(N73)-5=N$1+1),VLOOKUP(N$3,Summary!$B$2:$L$35,3,FALSE),0)</f>
        <v>0</v>
      </c>
      <c r="O73" s="259">
        <f>IF(OR(ROW(O73)-5=O$1,ROW(O73)-5=O$1+1),VLOOKUP(O$3,Summary!$B$2:$L$35,3,FALSE),0)</f>
        <v>0</v>
      </c>
      <c r="P73" s="259">
        <f>IF(OR(ROW(P73)-5=P$1,ROW(P73)-5=P$1+1),VLOOKUP(P$3,Summary!$B$2:$L$35,3,FALSE),0)</f>
        <v>0</v>
      </c>
      <c r="Q73" s="259">
        <f>IF(OR(ROW(Q73)-5=Q$1,ROW(Q73)-5=Q$1+1),VLOOKUP(Q$3,Summary!$B$2:$L$35,3,FALSE),0)</f>
        <v>0</v>
      </c>
      <c r="R73" s="259">
        <f>IF(OR(ROW(R73)-5=R$1,ROW(R73)-5=R$1+1),VLOOKUP(R$3,Summary!$B$2:$L$35,3,FALSE),0)</f>
        <v>0</v>
      </c>
      <c r="S73" s="259">
        <f>IF(OR(ROW(S73)-5=S$1,ROW(S73)-5=S$1+1),VLOOKUP(S$3,Summary!$B$2:$L$35,3,FALSE),0)</f>
        <v>0</v>
      </c>
      <c r="T73" s="259">
        <f>IF(OR(ROW(T73)-5=T$1,ROW(T73)-5=T$1+1),VLOOKUP(T$3,Summary!$B$2:$L$35,3,FALSE),0)</f>
        <v>0</v>
      </c>
      <c r="U73" s="259">
        <f>IF(OR(ROW(U73)-5=U$1,ROW(U73)-5=U$1+1),VLOOKUP(U$3,Summary!$B$2:$L$35,3,FALSE),0)</f>
        <v>0</v>
      </c>
      <c r="V73" s="259">
        <f>IF(OR(ROW(V73)-5=V$1,ROW(V73)-5=V$1+1),VLOOKUP(V$3,Summary!$B$2:$L$35,3,FALSE),0)</f>
        <v>0</v>
      </c>
      <c r="W73" s="259">
        <f>IF(OR(ROW(W73)-5=W$1,ROW(W73)-5=W$1+1),VLOOKUP(W$3,Summary!$B$2:$L$35,3,FALSE),0)</f>
        <v>0</v>
      </c>
      <c r="X73" s="259">
        <f ca="1">IF(OR(ROW(X73)-5=X$1,ROW(X73)-5=X$1+1),VLOOKUP(X$3,Summary!$B$2:$L$35,3,FALSE),0)</f>
        <v>980.91361256231767</v>
      </c>
      <c r="Y73" s="259">
        <f>IF(OR(ROW(Y73)-5=Y$1,ROW(Y73)-5=Y$1+1),VLOOKUP(Y$3,Summary!$B$2:$L$35,3,FALSE),0)</f>
        <v>0</v>
      </c>
      <c r="Z73" s="259">
        <f>IF(OR(ROW(Z73)-5=Z$1,ROW(Z73)-5=Z$1+1),VLOOKUP(Z$3,Summary!$B$2:$L$35,3,FALSE),0)</f>
        <v>0</v>
      </c>
      <c r="AA73" s="259">
        <f>IF(OR(ROW(AA73)-5=AA$1,ROW(AA73)-5=AA$1+1),VLOOKUP(AA$3,Summary!$B$2:$L$35,3,FALSE),0)</f>
        <v>0</v>
      </c>
      <c r="AB73" s="259">
        <f>IF(OR(ROW(AB73)-5=AB$1,ROW(AB73)-5=AB$1+1),VLOOKUP(AB$3,Summary!$B$2:$L$35,3,FALSE),0)</f>
        <v>0</v>
      </c>
      <c r="AC73" s="259">
        <f>IF(OR(ROW(AC73)-5=AC$1,ROW(AC73)-5=AC$1+1),VLOOKUP(AC$3,Summary!$B$2:$L$35,3,FALSE),0)</f>
        <v>0</v>
      </c>
      <c r="AD73" s="259">
        <f>IF(OR(ROW(AD73)-5=AD$1,ROW(AD73)-5=AD$1+1),VLOOKUP(AD$3,Summary!$B$2:$L$35,3,FALSE),0)</f>
        <v>0</v>
      </c>
      <c r="AE73" s="259">
        <f>IF(OR(ROW(AE73)-5=AE$1,ROW(AE73)-5=AE$1+1),VLOOKUP(AE$3,Summary!$B$2:$L$35,3,FALSE),0)</f>
        <v>0</v>
      </c>
      <c r="AF73" s="331">
        <f t="shared" ca="1" si="8"/>
        <v>930.99450593519691</v>
      </c>
    </row>
    <row r="74" spans="1:32">
      <c r="A74" s="259">
        <f ca="1">OFFSET(Summary!$I$2,TRUNC((ROW(A74)-ROW($A$7))/3,0),0)/1000</f>
        <v>238.22894151138405</v>
      </c>
      <c r="B74" s="259">
        <f>IF(OR(ROW(B74)-5=B$1,ROW(B74)-5=B$1+1),VLOOKUP(B$3,Summary!$B$2:$L$35,3,FALSE),0)</f>
        <v>0</v>
      </c>
      <c r="C74" s="259">
        <f>IF(OR(ROW(C74)-5=C$1,ROW(C74)-5=C$1+1),VLOOKUP(C$3,Summary!$B$2:$L$35,3,FALSE),0)</f>
        <v>0</v>
      </c>
      <c r="D74" s="259">
        <f>IF(OR(ROW(D74)-5=D$1,ROW(D74)-5=D$1+1),VLOOKUP(D$3,Summary!$B$2:$L$35,3,FALSE),0)</f>
        <v>0</v>
      </c>
      <c r="E74" s="259">
        <f>IF(OR(ROW(E74)-5=E$1,ROW(E74)-5=E$1+1),VLOOKUP(E$3,Summary!$B$2:$L$35,3,FALSE),0)</f>
        <v>0</v>
      </c>
      <c r="F74" s="259">
        <f>IF(OR(ROW(F74)-5=F$1,ROW(F74)-5=F$1+1),VLOOKUP(F$3,Summary!$B$2:$L$35,3,FALSE),0)</f>
        <v>0</v>
      </c>
      <c r="G74" s="259">
        <f>IF(OR(ROW(G74)-5=G$1,ROW(G74)-5=G$1+1),VLOOKUP(G$3,Summary!$B$2:$L$35,3,FALSE),0)</f>
        <v>0</v>
      </c>
      <c r="H74" s="259">
        <f>IF(OR(ROW(H74)-5=H$1,ROW(H74)-5=H$1+1),VLOOKUP(H$3,Summary!$B$2:$L$35,3,FALSE),0)</f>
        <v>0</v>
      </c>
      <c r="I74" s="259">
        <f>IF(OR(ROW(I74)-5=I$1,ROW(I74)-5=I$1+1),VLOOKUP(I$3,Summary!$B$2:$L$35,3,FALSE),0)</f>
        <v>0</v>
      </c>
      <c r="J74" s="259">
        <f>IF(OR(ROW(J74)-5=J$1,ROW(J74)-5=J$1+1),VLOOKUP(J$3,Summary!$B$2:$L$35,3,FALSE),0)</f>
        <v>0</v>
      </c>
      <c r="K74" s="259">
        <f>IF(OR(ROW(K74)-5=K$1,ROW(K74)-5=K$1+1),VLOOKUP(K$3,Summary!$B$2:$L$35,3,FALSE),0)</f>
        <v>0</v>
      </c>
      <c r="L74" s="259">
        <f>IF(OR(ROW(L74)-5=L$1,ROW(L74)-5=L$1+1),VLOOKUP(L$3,Summary!$B$2:$L$35,3,FALSE),0)</f>
        <v>0</v>
      </c>
      <c r="M74" s="259">
        <f>IF(OR(ROW(M74)-5=M$1,ROW(M74)-5=M$1+1),VLOOKUP(M$3,Summary!$B$2:$L$35,3,FALSE),0)</f>
        <v>0</v>
      </c>
      <c r="N74" s="259">
        <f>IF(OR(ROW(N74)-5=N$1,ROW(N74)-5=N$1+1),VLOOKUP(N$3,Summary!$B$2:$L$35,3,FALSE),0)</f>
        <v>0</v>
      </c>
      <c r="O74" s="259">
        <f>IF(OR(ROW(O74)-5=O$1,ROW(O74)-5=O$1+1),VLOOKUP(O$3,Summary!$B$2:$L$35,3,FALSE),0)</f>
        <v>0</v>
      </c>
      <c r="P74" s="259">
        <f>IF(OR(ROW(P74)-5=P$1,ROW(P74)-5=P$1+1),VLOOKUP(P$3,Summary!$B$2:$L$35,3,FALSE),0)</f>
        <v>0</v>
      </c>
      <c r="Q74" s="259">
        <f>IF(OR(ROW(Q74)-5=Q$1,ROW(Q74)-5=Q$1+1),VLOOKUP(Q$3,Summary!$B$2:$L$35,3,FALSE),0)</f>
        <v>0</v>
      </c>
      <c r="R74" s="259">
        <f>IF(OR(ROW(R74)-5=R$1,ROW(R74)-5=R$1+1),VLOOKUP(R$3,Summary!$B$2:$L$35,3,FALSE),0)</f>
        <v>0</v>
      </c>
      <c r="S74" s="259">
        <f>IF(OR(ROW(S74)-5=S$1,ROW(S74)-5=S$1+1),VLOOKUP(S$3,Summary!$B$2:$L$35,3,FALSE),0)</f>
        <v>0</v>
      </c>
      <c r="T74" s="259">
        <f>IF(OR(ROW(T74)-5=T$1,ROW(T74)-5=T$1+1),VLOOKUP(T$3,Summary!$B$2:$L$35,3,FALSE),0)</f>
        <v>0</v>
      </c>
      <c r="U74" s="259">
        <f>IF(OR(ROW(U74)-5=U$1,ROW(U74)-5=U$1+1),VLOOKUP(U$3,Summary!$B$2:$L$35,3,FALSE),0)</f>
        <v>0</v>
      </c>
      <c r="V74" s="259">
        <f>IF(OR(ROW(V74)-5=V$1,ROW(V74)-5=V$1+1),VLOOKUP(V$3,Summary!$B$2:$L$35,3,FALSE),0)</f>
        <v>0</v>
      </c>
      <c r="W74" s="259">
        <f>IF(OR(ROW(W74)-5=W$1,ROW(W74)-5=W$1+1),VLOOKUP(W$3,Summary!$B$2:$L$35,3,FALSE),0)</f>
        <v>0</v>
      </c>
      <c r="X74" s="259">
        <f>IF(OR(ROW(X74)-5=X$1,ROW(X74)-5=X$1+1),VLOOKUP(X$3,Summary!$B$2:$L$35,3,FALSE),0)</f>
        <v>0</v>
      </c>
      <c r="Y74" s="259">
        <f>IF(OR(ROW(Y74)-5=Y$1,ROW(Y74)-5=Y$1+1),VLOOKUP(Y$3,Summary!$B$2:$L$35,3,FALSE),0)</f>
        <v>0</v>
      </c>
      <c r="Z74" s="259">
        <f>IF(OR(ROW(Z74)-5=Z$1,ROW(Z74)-5=Z$1+1),VLOOKUP(Z$3,Summary!$B$2:$L$35,3,FALSE),0)</f>
        <v>0</v>
      </c>
      <c r="AA74" s="259">
        <f>IF(OR(ROW(AA74)-5=AA$1,ROW(AA74)-5=AA$1+1),VLOOKUP(AA$3,Summary!$B$2:$L$35,3,FALSE),0)</f>
        <v>0</v>
      </c>
      <c r="AB74" s="259">
        <f>IF(OR(ROW(AB74)-5=AB$1,ROW(AB74)-5=AB$1+1),VLOOKUP(AB$3,Summary!$B$2:$L$35,3,FALSE),0)</f>
        <v>0</v>
      </c>
      <c r="AC74" s="259">
        <f>IF(OR(ROW(AC74)-5=AC$1,ROW(AC74)-5=AC$1+1),VLOOKUP(AC$3,Summary!$B$2:$L$35,3,FALSE),0)</f>
        <v>0</v>
      </c>
      <c r="AD74" s="259">
        <f>IF(OR(ROW(AD74)-5=AD$1,ROW(AD74)-5=AD$1+1),VLOOKUP(AD$3,Summary!$B$2:$L$35,3,FALSE),0)</f>
        <v>0</v>
      </c>
      <c r="AE74" s="259">
        <f>IF(OR(ROW(AE74)-5=AE$1,ROW(AE74)-5=AE$1+1),VLOOKUP(AE$3,Summary!$B$2:$L$35,3,FALSE),0)</f>
        <v>0</v>
      </c>
      <c r="AF74" s="331" t="e">
        <f t="shared" ca="1" si="8"/>
        <v>#N/A</v>
      </c>
    </row>
    <row r="75" spans="1:32" hidden="1">
      <c r="A75" s="259">
        <f ca="1">OFFSET(Summary!$I$2,TRUNC((ROW(A75)-ROW($A$7))/3,0),0)/1000</f>
        <v>238.22894151138405</v>
      </c>
      <c r="B75" s="259">
        <f>IF(OR(ROW(B75)-5=B$1,ROW(B75)-5=B$1+1),VLOOKUP(B$3,Summary!$B$2:$L$35,3,FALSE),0)</f>
        <v>0</v>
      </c>
      <c r="C75" s="259">
        <f>IF(OR(ROW(C75)-5=C$1,ROW(C75)-5=C$1+1),VLOOKUP(C$3,Summary!$B$2:$L$35,3,FALSE),0)</f>
        <v>0</v>
      </c>
      <c r="D75" s="259">
        <f>IF(OR(ROW(D75)-5=D$1,ROW(D75)-5=D$1+1),VLOOKUP(D$3,Summary!$B$2:$L$35,3,FALSE),0)</f>
        <v>0</v>
      </c>
      <c r="E75" s="259">
        <f>IF(OR(ROW(E75)-5=E$1,ROW(E75)-5=E$1+1),VLOOKUP(E$3,Summary!$B$2:$L$35,3,FALSE),0)</f>
        <v>0</v>
      </c>
      <c r="F75" s="259">
        <f>IF(OR(ROW(F75)-5=F$1,ROW(F75)-5=F$1+1),VLOOKUP(F$3,Summary!$B$2:$L$35,3,FALSE),0)</f>
        <v>0</v>
      </c>
      <c r="G75" s="259">
        <f>IF(OR(ROW(G75)-5=G$1,ROW(G75)-5=G$1+1),VLOOKUP(G$3,Summary!$B$2:$L$35,3,FALSE),0)</f>
        <v>0</v>
      </c>
      <c r="H75" s="259">
        <f>IF(OR(ROW(H75)-5=H$1,ROW(H75)-5=H$1+1),VLOOKUP(H$3,Summary!$B$2:$L$35,3,FALSE),0)</f>
        <v>0</v>
      </c>
      <c r="I75" s="259">
        <f>IF(OR(ROW(I75)-5=I$1,ROW(I75)-5=I$1+1),VLOOKUP(I$3,Summary!$B$2:$L$35,3,FALSE),0)</f>
        <v>0</v>
      </c>
      <c r="J75" s="259">
        <f>IF(OR(ROW(J75)-5=J$1,ROW(J75)-5=J$1+1),VLOOKUP(J$3,Summary!$B$2:$L$35,3,FALSE),0)</f>
        <v>0</v>
      </c>
      <c r="K75" s="259">
        <f>IF(OR(ROW(K75)-5=K$1,ROW(K75)-5=K$1+1),VLOOKUP(K$3,Summary!$B$2:$L$35,3,FALSE),0)</f>
        <v>0</v>
      </c>
      <c r="L75" s="259">
        <f>IF(OR(ROW(L75)-5=L$1,ROW(L75)-5=L$1+1),VLOOKUP(L$3,Summary!$B$2:$L$35,3,FALSE),0)</f>
        <v>0</v>
      </c>
      <c r="M75" s="259">
        <f>IF(OR(ROW(M75)-5=M$1,ROW(M75)-5=M$1+1),VLOOKUP(M$3,Summary!$B$2:$L$35,3,FALSE),0)</f>
        <v>0</v>
      </c>
      <c r="N75" s="259">
        <f>IF(OR(ROW(N75)-5=N$1,ROW(N75)-5=N$1+1),VLOOKUP(N$3,Summary!$B$2:$L$35,3,FALSE),0)</f>
        <v>0</v>
      </c>
      <c r="O75" s="259">
        <f>IF(OR(ROW(O75)-5=O$1,ROW(O75)-5=O$1+1),VLOOKUP(O$3,Summary!$B$2:$L$35,3,FALSE),0)</f>
        <v>0</v>
      </c>
      <c r="P75" s="259">
        <f>IF(OR(ROW(P75)-5=P$1,ROW(P75)-5=P$1+1),VLOOKUP(P$3,Summary!$B$2:$L$35,3,FALSE),0)</f>
        <v>0</v>
      </c>
      <c r="Q75" s="259">
        <f>IF(OR(ROW(Q75)-5=Q$1,ROW(Q75)-5=Q$1+1),VLOOKUP(Q$3,Summary!$B$2:$L$35,3,FALSE),0)</f>
        <v>0</v>
      </c>
      <c r="R75" s="259">
        <f>IF(OR(ROW(R75)-5=R$1,ROW(R75)-5=R$1+1),VLOOKUP(R$3,Summary!$B$2:$L$35,3,FALSE),0)</f>
        <v>0</v>
      </c>
      <c r="S75" s="259">
        <f>IF(OR(ROW(S75)-5=S$1,ROW(S75)-5=S$1+1),VLOOKUP(S$3,Summary!$B$2:$L$35,3,FALSE),0)</f>
        <v>0</v>
      </c>
      <c r="T75" s="259">
        <f>IF(OR(ROW(T75)-5=T$1,ROW(T75)-5=T$1+1),VLOOKUP(T$3,Summary!$B$2:$L$35,3,FALSE),0)</f>
        <v>0</v>
      </c>
      <c r="U75" s="259">
        <f>IF(OR(ROW(U75)-5=U$1,ROW(U75)-5=U$1+1),VLOOKUP(U$3,Summary!$B$2:$L$35,3,FALSE),0)</f>
        <v>0</v>
      </c>
      <c r="V75" s="259">
        <f>IF(OR(ROW(V75)-5=V$1,ROW(V75)-5=V$1+1),VLOOKUP(V$3,Summary!$B$2:$L$35,3,FALSE),0)</f>
        <v>0</v>
      </c>
      <c r="W75" s="259">
        <f>IF(OR(ROW(W75)-5=W$1,ROW(W75)-5=W$1+1),VLOOKUP(W$3,Summary!$B$2:$L$35,3,FALSE),0)</f>
        <v>0</v>
      </c>
      <c r="X75" s="259">
        <f>IF(OR(ROW(X75)-5=X$1,ROW(X75)-5=X$1+1),VLOOKUP(X$3,Summary!$B$2:$L$35,3,FALSE),0)</f>
        <v>0</v>
      </c>
      <c r="Y75" s="259" t="str">
        <f ca="1">IF(OR(ROW(Y75)-5=Y$1,ROW(Y75)-5=Y$1+1),VLOOKUP(Y$3,Summary!$B$2:$L$35,3,FALSE),0)</f>
        <v/>
      </c>
      <c r="Z75" s="259">
        <f>IF(OR(ROW(Z75)-5=Z$1,ROW(Z75)-5=Z$1+1),VLOOKUP(Z$3,Summary!$B$2:$L$35,3,FALSE),0)</f>
        <v>0</v>
      </c>
      <c r="AA75" s="259">
        <f>IF(OR(ROW(AA75)-5=AA$1,ROW(AA75)-5=AA$1+1),VLOOKUP(AA$3,Summary!$B$2:$L$35,3,FALSE),0)</f>
        <v>0</v>
      </c>
      <c r="AB75" s="259">
        <f>IF(OR(ROW(AB75)-5=AB$1,ROW(AB75)-5=AB$1+1),VLOOKUP(AB$3,Summary!$B$2:$L$35,3,FALSE),0)</f>
        <v>0</v>
      </c>
      <c r="AC75" s="259">
        <f>IF(OR(ROW(AC75)-5=AC$1,ROW(AC75)-5=AC$1+1),VLOOKUP(AC$3,Summary!$B$2:$L$35,3,FALSE),0)</f>
        <v>0</v>
      </c>
      <c r="AD75" s="259">
        <f>IF(OR(ROW(AD75)-5=AD$1,ROW(AD75)-5=AD$1+1),VLOOKUP(AD$3,Summary!$B$2:$L$35,3,FALSE),0)</f>
        <v>0</v>
      </c>
      <c r="AE75" s="259">
        <f>IF(OR(ROW(AE75)-5=AE$1,ROW(AE75)-5=AE$1+1),VLOOKUP(AE$3,Summary!$B$2:$L$35,3,FALSE),0)</f>
        <v>0</v>
      </c>
      <c r="AF75" s="331" t="e">
        <f t="shared" ca="1" si="8"/>
        <v>#N/A</v>
      </c>
    </row>
    <row r="76" spans="1:32" hidden="1">
      <c r="A76" s="259" t="e">
        <f ca="1">OFFSET(Summary!$I$2,TRUNC((ROW(A76)-ROW($A$7))/3,0),0)/1000</f>
        <v>#VALUE!</v>
      </c>
      <c r="B76" s="259">
        <f>IF(OR(ROW(B76)-5=B$1,ROW(B76)-5=B$1+1),VLOOKUP(B$3,Summary!$B$2:$L$35,3,FALSE),0)</f>
        <v>0</v>
      </c>
      <c r="C76" s="259">
        <f>IF(OR(ROW(C76)-5=C$1,ROW(C76)-5=C$1+1),VLOOKUP(C$3,Summary!$B$2:$L$35,3,FALSE),0)</f>
        <v>0</v>
      </c>
      <c r="D76" s="259">
        <f>IF(OR(ROW(D76)-5=D$1,ROW(D76)-5=D$1+1),VLOOKUP(D$3,Summary!$B$2:$L$35,3,FALSE),0)</f>
        <v>0</v>
      </c>
      <c r="E76" s="259">
        <f>IF(OR(ROW(E76)-5=E$1,ROW(E76)-5=E$1+1),VLOOKUP(E$3,Summary!$B$2:$L$35,3,FALSE),0)</f>
        <v>0</v>
      </c>
      <c r="F76" s="259">
        <f>IF(OR(ROW(F76)-5=F$1,ROW(F76)-5=F$1+1),VLOOKUP(F$3,Summary!$B$2:$L$35,3,FALSE),0)</f>
        <v>0</v>
      </c>
      <c r="G76" s="259">
        <f>IF(OR(ROW(G76)-5=G$1,ROW(G76)-5=G$1+1),VLOOKUP(G$3,Summary!$B$2:$L$35,3,FALSE),0)</f>
        <v>0</v>
      </c>
      <c r="H76" s="259">
        <f>IF(OR(ROW(H76)-5=H$1,ROW(H76)-5=H$1+1),VLOOKUP(H$3,Summary!$B$2:$L$35,3,FALSE),0)</f>
        <v>0</v>
      </c>
      <c r="I76" s="259">
        <f>IF(OR(ROW(I76)-5=I$1,ROW(I76)-5=I$1+1),VLOOKUP(I$3,Summary!$B$2:$L$35,3,FALSE),0)</f>
        <v>0</v>
      </c>
      <c r="J76" s="259">
        <f>IF(OR(ROW(J76)-5=J$1,ROW(J76)-5=J$1+1),VLOOKUP(J$3,Summary!$B$2:$L$35,3,FALSE),0)</f>
        <v>0</v>
      </c>
      <c r="K76" s="259">
        <f>IF(OR(ROW(K76)-5=K$1,ROW(K76)-5=K$1+1),VLOOKUP(K$3,Summary!$B$2:$L$35,3,FALSE),0)</f>
        <v>0</v>
      </c>
      <c r="L76" s="259">
        <f>IF(OR(ROW(L76)-5=L$1,ROW(L76)-5=L$1+1),VLOOKUP(L$3,Summary!$B$2:$L$35,3,FALSE),0)</f>
        <v>0</v>
      </c>
      <c r="M76" s="259">
        <f>IF(OR(ROW(M76)-5=M$1,ROW(M76)-5=M$1+1),VLOOKUP(M$3,Summary!$B$2:$L$35,3,FALSE),0)</f>
        <v>0</v>
      </c>
      <c r="N76" s="259">
        <f>IF(OR(ROW(N76)-5=N$1,ROW(N76)-5=N$1+1),VLOOKUP(N$3,Summary!$B$2:$L$35,3,FALSE),0)</f>
        <v>0</v>
      </c>
      <c r="O76" s="259">
        <f>IF(OR(ROW(O76)-5=O$1,ROW(O76)-5=O$1+1),VLOOKUP(O$3,Summary!$B$2:$L$35,3,FALSE),0)</f>
        <v>0</v>
      </c>
      <c r="P76" s="259">
        <f>IF(OR(ROW(P76)-5=P$1,ROW(P76)-5=P$1+1),VLOOKUP(P$3,Summary!$B$2:$L$35,3,FALSE),0)</f>
        <v>0</v>
      </c>
      <c r="Q76" s="259">
        <f>IF(OR(ROW(Q76)-5=Q$1,ROW(Q76)-5=Q$1+1),VLOOKUP(Q$3,Summary!$B$2:$L$35,3,FALSE),0)</f>
        <v>0</v>
      </c>
      <c r="R76" s="259">
        <f>IF(OR(ROW(R76)-5=R$1,ROW(R76)-5=R$1+1),VLOOKUP(R$3,Summary!$B$2:$L$35,3,FALSE),0)</f>
        <v>0</v>
      </c>
      <c r="S76" s="259">
        <f>IF(OR(ROW(S76)-5=S$1,ROW(S76)-5=S$1+1),VLOOKUP(S$3,Summary!$B$2:$L$35,3,FALSE),0)</f>
        <v>0</v>
      </c>
      <c r="T76" s="259">
        <f>IF(OR(ROW(T76)-5=T$1,ROW(T76)-5=T$1+1),VLOOKUP(T$3,Summary!$B$2:$L$35,3,FALSE),0)</f>
        <v>0</v>
      </c>
      <c r="U76" s="259">
        <f>IF(OR(ROW(U76)-5=U$1,ROW(U76)-5=U$1+1),VLOOKUP(U$3,Summary!$B$2:$L$35,3,FALSE),0)</f>
        <v>0</v>
      </c>
      <c r="V76" s="259">
        <f>IF(OR(ROW(V76)-5=V$1,ROW(V76)-5=V$1+1),VLOOKUP(V$3,Summary!$B$2:$L$35,3,FALSE),0)</f>
        <v>0</v>
      </c>
      <c r="W76" s="259">
        <f>IF(OR(ROW(W76)-5=W$1,ROW(W76)-5=W$1+1),VLOOKUP(W$3,Summary!$B$2:$L$35,3,FALSE),0)</f>
        <v>0</v>
      </c>
      <c r="X76" s="259">
        <f>IF(OR(ROW(X76)-5=X$1,ROW(X76)-5=X$1+1),VLOOKUP(X$3,Summary!$B$2:$L$35,3,FALSE),0)</f>
        <v>0</v>
      </c>
      <c r="Y76" s="259" t="str">
        <f ca="1">IF(OR(ROW(Y76)-5=Y$1,ROW(Y76)-5=Y$1+1),VLOOKUP(Y$3,Summary!$B$2:$L$35,3,FALSE),0)</f>
        <v/>
      </c>
      <c r="Z76" s="259">
        <f>IF(OR(ROW(Z76)-5=Z$1,ROW(Z76)-5=Z$1+1),VLOOKUP(Z$3,Summary!$B$2:$L$35,3,FALSE),0)</f>
        <v>0</v>
      </c>
      <c r="AA76" s="259">
        <f>IF(OR(ROW(AA76)-5=AA$1,ROW(AA76)-5=AA$1+1),VLOOKUP(AA$3,Summary!$B$2:$L$35,3,FALSE),0)</f>
        <v>0</v>
      </c>
      <c r="AB76" s="259">
        <f>IF(OR(ROW(AB76)-5=AB$1,ROW(AB76)-5=AB$1+1),VLOOKUP(AB$3,Summary!$B$2:$L$35,3,FALSE),0)</f>
        <v>0</v>
      </c>
      <c r="AC76" s="259">
        <f>IF(OR(ROW(AC76)-5=AC$1,ROW(AC76)-5=AC$1+1),VLOOKUP(AC$3,Summary!$B$2:$L$35,3,FALSE),0)</f>
        <v>0</v>
      </c>
      <c r="AD76" s="259">
        <f>IF(OR(ROW(AD76)-5=AD$1,ROW(AD76)-5=AD$1+1),VLOOKUP(AD$3,Summary!$B$2:$L$35,3,FALSE),0)</f>
        <v>0</v>
      </c>
      <c r="AE76" s="259">
        <f>IF(OR(ROW(AE76)-5=AE$1,ROW(AE76)-5=AE$1+1),VLOOKUP(AE$3,Summary!$B$2:$L$35,3,FALSE),0)</f>
        <v>0</v>
      </c>
      <c r="AF76" s="331" t="e">
        <f t="shared" ca="1" si="8"/>
        <v>#N/A</v>
      </c>
    </row>
    <row r="77" spans="1:32" hidden="1">
      <c r="A77" s="259" t="e">
        <f ca="1">OFFSET(Summary!$I$2,TRUNC((ROW(A77)-ROW($A$7))/3,0),0)/1000</f>
        <v>#VALUE!</v>
      </c>
      <c r="B77" s="259">
        <f>IF(OR(ROW(B77)-5=B$1,ROW(B77)-5=B$1+1),VLOOKUP(B$3,Summary!$B$2:$L$35,3,FALSE),0)</f>
        <v>0</v>
      </c>
      <c r="C77" s="259">
        <f>IF(OR(ROW(C77)-5=C$1,ROW(C77)-5=C$1+1),VLOOKUP(C$3,Summary!$B$2:$L$35,3,FALSE),0)</f>
        <v>0</v>
      </c>
      <c r="D77" s="259">
        <f>IF(OR(ROW(D77)-5=D$1,ROW(D77)-5=D$1+1),VLOOKUP(D$3,Summary!$B$2:$L$35,3,FALSE),0)</f>
        <v>0</v>
      </c>
      <c r="E77" s="259">
        <f>IF(OR(ROW(E77)-5=E$1,ROW(E77)-5=E$1+1),VLOOKUP(E$3,Summary!$B$2:$L$35,3,FALSE),0)</f>
        <v>0</v>
      </c>
      <c r="F77" s="259">
        <f>IF(OR(ROW(F77)-5=F$1,ROW(F77)-5=F$1+1),VLOOKUP(F$3,Summary!$B$2:$L$35,3,FALSE),0)</f>
        <v>0</v>
      </c>
      <c r="G77" s="259">
        <f>IF(OR(ROW(G77)-5=G$1,ROW(G77)-5=G$1+1),VLOOKUP(G$3,Summary!$B$2:$L$35,3,FALSE),0)</f>
        <v>0</v>
      </c>
      <c r="H77" s="259">
        <f>IF(OR(ROW(H77)-5=H$1,ROW(H77)-5=H$1+1),VLOOKUP(H$3,Summary!$B$2:$L$35,3,FALSE),0)</f>
        <v>0</v>
      </c>
      <c r="I77" s="259">
        <f>IF(OR(ROW(I77)-5=I$1,ROW(I77)-5=I$1+1),VLOOKUP(I$3,Summary!$B$2:$L$35,3,FALSE),0)</f>
        <v>0</v>
      </c>
      <c r="J77" s="259">
        <f>IF(OR(ROW(J77)-5=J$1,ROW(J77)-5=J$1+1),VLOOKUP(J$3,Summary!$B$2:$L$35,3,FALSE),0)</f>
        <v>0</v>
      </c>
      <c r="K77" s="259">
        <f>IF(OR(ROW(K77)-5=K$1,ROW(K77)-5=K$1+1),VLOOKUP(K$3,Summary!$B$2:$L$35,3,FALSE),0)</f>
        <v>0</v>
      </c>
      <c r="L77" s="259">
        <f>IF(OR(ROW(L77)-5=L$1,ROW(L77)-5=L$1+1),VLOOKUP(L$3,Summary!$B$2:$L$35,3,FALSE),0)</f>
        <v>0</v>
      </c>
      <c r="M77" s="259">
        <f>IF(OR(ROW(M77)-5=M$1,ROW(M77)-5=M$1+1),VLOOKUP(M$3,Summary!$B$2:$L$35,3,FALSE),0)</f>
        <v>0</v>
      </c>
      <c r="N77" s="259">
        <f>IF(OR(ROW(N77)-5=N$1,ROW(N77)-5=N$1+1),VLOOKUP(N$3,Summary!$B$2:$L$35,3,FALSE),0)</f>
        <v>0</v>
      </c>
      <c r="O77" s="259">
        <f>IF(OR(ROW(O77)-5=O$1,ROW(O77)-5=O$1+1),VLOOKUP(O$3,Summary!$B$2:$L$35,3,FALSE),0)</f>
        <v>0</v>
      </c>
      <c r="P77" s="259">
        <f>IF(OR(ROW(P77)-5=P$1,ROW(P77)-5=P$1+1),VLOOKUP(P$3,Summary!$B$2:$L$35,3,FALSE),0)</f>
        <v>0</v>
      </c>
      <c r="Q77" s="259">
        <f>IF(OR(ROW(Q77)-5=Q$1,ROW(Q77)-5=Q$1+1),VLOOKUP(Q$3,Summary!$B$2:$L$35,3,FALSE),0)</f>
        <v>0</v>
      </c>
      <c r="R77" s="259">
        <f>IF(OR(ROW(R77)-5=R$1,ROW(R77)-5=R$1+1),VLOOKUP(R$3,Summary!$B$2:$L$35,3,FALSE),0)</f>
        <v>0</v>
      </c>
      <c r="S77" s="259">
        <f>IF(OR(ROW(S77)-5=S$1,ROW(S77)-5=S$1+1),VLOOKUP(S$3,Summary!$B$2:$L$35,3,FALSE),0)</f>
        <v>0</v>
      </c>
      <c r="T77" s="259">
        <f>IF(OR(ROW(T77)-5=T$1,ROW(T77)-5=T$1+1),VLOOKUP(T$3,Summary!$B$2:$L$35,3,FALSE),0)</f>
        <v>0</v>
      </c>
      <c r="U77" s="259">
        <f>IF(OR(ROW(U77)-5=U$1,ROW(U77)-5=U$1+1),VLOOKUP(U$3,Summary!$B$2:$L$35,3,FALSE),0)</f>
        <v>0</v>
      </c>
      <c r="V77" s="259">
        <f>IF(OR(ROW(V77)-5=V$1,ROW(V77)-5=V$1+1),VLOOKUP(V$3,Summary!$B$2:$L$35,3,FALSE),0)</f>
        <v>0</v>
      </c>
      <c r="W77" s="259">
        <f>IF(OR(ROW(W77)-5=W$1,ROW(W77)-5=W$1+1),VLOOKUP(W$3,Summary!$B$2:$L$35,3,FALSE),0)</f>
        <v>0</v>
      </c>
      <c r="X77" s="259">
        <f>IF(OR(ROW(X77)-5=X$1,ROW(X77)-5=X$1+1),VLOOKUP(X$3,Summary!$B$2:$L$35,3,FALSE),0)</f>
        <v>0</v>
      </c>
      <c r="Y77" s="259">
        <f>IF(OR(ROW(Y77)-5=Y$1,ROW(Y77)-5=Y$1+1),VLOOKUP(Y$3,Summary!$B$2:$L$35,3,FALSE),0)</f>
        <v>0</v>
      </c>
      <c r="Z77" s="259">
        <f>IF(OR(ROW(Z77)-5=Z$1,ROW(Z77)-5=Z$1+1),VLOOKUP(Z$3,Summary!$B$2:$L$35,3,FALSE),0)</f>
        <v>0</v>
      </c>
      <c r="AA77" s="259">
        <f>IF(OR(ROW(AA77)-5=AA$1,ROW(AA77)-5=AA$1+1),VLOOKUP(AA$3,Summary!$B$2:$L$35,3,FALSE),0)</f>
        <v>0</v>
      </c>
      <c r="AB77" s="259">
        <f>IF(OR(ROW(AB77)-5=AB$1,ROW(AB77)-5=AB$1+1),VLOOKUP(AB$3,Summary!$B$2:$L$35,3,FALSE),0)</f>
        <v>0</v>
      </c>
      <c r="AC77" s="259">
        <f>IF(OR(ROW(AC77)-5=AC$1,ROW(AC77)-5=AC$1+1),VLOOKUP(AC$3,Summary!$B$2:$L$35,3,FALSE),0)</f>
        <v>0</v>
      </c>
      <c r="AD77" s="259">
        <f>IF(OR(ROW(AD77)-5=AD$1,ROW(AD77)-5=AD$1+1),VLOOKUP(AD$3,Summary!$B$2:$L$35,3,FALSE),0)</f>
        <v>0</v>
      </c>
      <c r="AE77" s="259">
        <f>IF(OR(ROW(AE77)-5=AE$1,ROW(AE77)-5=AE$1+1),VLOOKUP(AE$3,Summary!$B$2:$L$35,3,FALSE),0)</f>
        <v>0</v>
      </c>
      <c r="AF77" s="331" t="e">
        <f t="shared" ca="1" si="8"/>
        <v>#N/A</v>
      </c>
    </row>
    <row r="78" spans="1:32" hidden="1">
      <c r="A78" s="259" t="e">
        <f ca="1">OFFSET(Summary!$I$2,TRUNC((ROW(A78)-ROW($A$7))/3,0),0)/1000</f>
        <v>#VALUE!</v>
      </c>
      <c r="B78" s="259">
        <f>IF(OR(ROW(B78)-5=B$1,ROW(B78)-5=B$1+1),VLOOKUP(B$3,Summary!$B$2:$L$35,3,FALSE),0)</f>
        <v>0</v>
      </c>
      <c r="C78" s="259">
        <f>IF(OR(ROW(C78)-5=C$1,ROW(C78)-5=C$1+1),VLOOKUP(C$3,Summary!$B$2:$L$35,3,FALSE),0)</f>
        <v>0</v>
      </c>
      <c r="D78" s="259">
        <f>IF(OR(ROW(D78)-5=D$1,ROW(D78)-5=D$1+1),VLOOKUP(D$3,Summary!$B$2:$L$35,3,FALSE),0)</f>
        <v>0</v>
      </c>
      <c r="E78" s="259">
        <f>IF(OR(ROW(E78)-5=E$1,ROW(E78)-5=E$1+1),VLOOKUP(E$3,Summary!$B$2:$L$35,3,FALSE),0)</f>
        <v>0</v>
      </c>
      <c r="F78" s="259">
        <f>IF(OR(ROW(F78)-5=F$1,ROW(F78)-5=F$1+1),VLOOKUP(F$3,Summary!$B$2:$L$35,3,FALSE),0)</f>
        <v>0</v>
      </c>
      <c r="G78" s="259">
        <f>IF(OR(ROW(G78)-5=G$1,ROW(G78)-5=G$1+1),VLOOKUP(G$3,Summary!$B$2:$L$35,3,FALSE),0)</f>
        <v>0</v>
      </c>
      <c r="H78" s="259">
        <f>IF(OR(ROW(H78)-5=H$1,ROW(H78)-5=H$1+1),VLOOKUP(H$3,Summary!$B$2:$L$35,3,FALSE),0)</f>
        <v>0</v>
      </c>
      <c r="I78" s="259">
        <f>IF(OR(ROW(I78)-5=I$1,ROW(I78)-5=I$1+1),VLOOKUP(I$3,Summary!$B$2:$L$35,3,FALSE),0)</f>
        <v>0</v>
      </c>
      <c r="J78" s="259">
        <f>IF(OR(ROW(J78)-5=J$1,ROW(J78)-5=J$1+1),VLOOKUP(J$3,Summary!$B$2:$L$35,3,FALSE),0)</f>
        <v>0</v>
      </c>
      <c r="K78" s="259">
        <f>IF(OR(ROW(K78)-5=K$1,ROW(K78)-5=K$1+1),VLOOKUP(K$3,Summary!$B$2:$L$35,3,FALSE),0)</f>
        <v>0</v>
      </c>
      <c r="L78" s="259">
        <f>IF(OR(ROW(L78)-5=L$1,ROW(L78)-5=L$1+1),VLOOKUP(L$3,Summary!$B$2:$L$35,3,FALSE),0)</f>
        <v>0</v>
      </c>
      <c r="M78" s="259">
        <f>IF(OR(ROW(M78)-5=M$1,ROW(M78)-5=M$1+1),VLOOKUP(M$3,Summary!$B$2:$L$35,3,FALSE),0)</f>
        <v>0</v>
      </c>
      <c r="N78" s="259">
        <f>IF(OR(ROW(N78)-5=N$1,ROW(N78)-5=N$1+1),VLOOKUP(N$3,Summary!$B$2:$L$35,3,FALSE),0)</f>
        <v>0</v>
      </c>
      <c r="O78" s="259">
        <f>IF(OR(ROW(O78)-5=O$1,ROW(O78)-5=O$1+1),VLOOKUP(O$3,Summary!$B$2:$L$35,3,FALSE),0)</f>
        <v>0</v>
      </c>
      <c r="P78" s="259">
        <f>IF(OR(ROW(P78)-5=P$1,ROW(P78)-5=P$1+1),VLOOKUP(P$3,Summary!$B$2:$L$35,3,FALSE),0)</f>
        <v>0</v>
      </c>
      <c r="Q78" s="259">
        <f>IF(OR(ROW(Q78)-5=Q$1,ROW(Q78)-5=Q$1+1),VLOOKUP(Q$3,Summary!$B$2:$L$35,3,FALSE),0)</f>
        <v>0</v>
      </c>
      <c r="R78" s="259">
        <f>IF(OR(ROW(R78)-5=R$1,ROW(R78)-5=R$1+1),VLOOKUP(R$3,Summary!$B$2:$L$35,3,FALSE),0)</f>
        <v>0</v>
      </c>
      <c r="S78" s="259">
        <f>IF(OR(ROW(S78)-5=S$1,ROW(S78)-5=S$1+1),VLOOKUP(S$3,Summary!$B$2:$L$35,3,FALSE),0)</f>
        <v>0</v>
      </c>
      <c r="T78" s="259">
        <f>IF(OR(ROW(T78)-5=T$1,ROW(T78)-5=T$1+1),VLOOKUP(T$3,Summary!$B$2:$L$35,3,FALSE),0)</f>
        <v>0</v>
      </c>
      <c r="U78" s="259">
        <f>IF(OR(ROW(U78)-5=U$1,ROW(U78)-5=U$1+1),VLOOKUP(U$3,Summary!$B$2:$L$35,3,FALSE),0)</f>
        <v>0</v>
      </c>
      <c r="V78" s="259">
        <f>IF(OR(ROW(V78)-5=V$1,ROW(V78)-5=V$1+1),VLOOKUP(V$3,Summary!$B$2:$L$35,3,FALSE),0)</f>
        <v>0</v>
      </c>
      <c r="W78" s="259">
        <f>IF(OR(ROW(W78)-5=W$1,ROW(W78)-5=W$1+1),VLOOKUP(W$3,Summary!$B$2:$L$35,3,FALSE),0)</f>
        <v>0</v>
      </c>
      <c r="X78" s="259">
        <f>IF(OR(ROW(X78)-5=X$1,ROW(X78)-5=X$1+1),VLOOKUP(X$3,Summary!$B$2:$L$35,3,FALSE),0)</f>
        <v>0</v>
      </c>
      <c r="Y78" s="259">
        <f>IF(OR(ROW(Y78)-5=Y$1,ROW(Y78)-5=Y$1+1),VLOOKUP(Y$3,Summary!$B$2:$L$35,3,FALSE),0)</f>
        <v>0</v>
      </c>
      <c r="Z78" s="259" t="str">
        <f ca="1">IF(OR(ROW(Z78)-5=Z$1,ROW(Z78)-5=Z$1+1),VLOOKUP(Z$3,Summary!$B$2:$L$35,3,FALSE),0)</f>
        <v/>
      </c>
      <c r="AA78" s="259">
        <f>IF(OR(ROW(AA78)-5=AA$1,ROW(AA78)-5=AA$1+1),VLOOKUP(AA$3,Summary!$B$2:$L$35,3,FALSE),0)</f>
        <v>0</v>
      </c>
      <c r="AB78" s="259">
        <f>IF(OR(ROW(AB78)-5=AB$1,ROW(AB78)-5=AB$1+1),VLOOKUP(AB$3,Summary!$B$2:$L$35,3,FALSE),0)</f>
        <v>0</v>
      </c>
      <c r="AC78" s="259">
        <f>IF(OR(ROW(AC78)-5=AC$1,ROW(AC78)-5=AC$1+1),VLOOKUP(AC$3,Summary!$B$2:$L$35,3,FALSE),0)</f>
        <v>0</v>
      </c>
      <c r="AD78" s="259">
        <f>IF(OR(ROW(AD78)-5=AD$1,ROW(AD78)-5=AD$1+1),VLOOKUP(AD$3,Summary!$B$2:$L$35,3,FALSE),0)</f>
        <v>0</v>
      </c>
      <c r="AE78" s="259">
        <f>IF(OR(ROW(AE78)-5=AE$1,ROW(AE78)-5=AE$1+1),VLOOKUP(AE$3,Summary!$B$2:$L$35,3,FALSE),0)</f>
        <v>0</v>
      </c>
      <c r="AF78" s="331" t="e">
        <f t="shared" ca="1" si="8"/>
        <v>#N/A</v>
      </c>
    </row>
    <row r="79" spans="1:32" hidden="1">
      <c r="A79" s="259" t="e">
        <f ca="1">OFFSET(Summary!$I$2,TRUNC((ROW(A79)-ROW($A$7))/3,0),0)/1000</f>
        <v>#VALUE!</v>
      </c>
      <c r="B79" s="259">
        <f>IF(OR(ROW(B79)-5=B$1,ROW(B79)-5=B$1+1),VLOOKUP(B$3,Summary!$B$2:$L$35,3,FALSE),0)</f>
        <v>0</v>
      </c>
      <c r="C79" s="259">
        <f>IF(OR(ROW(C79)-5=C$1,ROW(C79)-5=C$1+1),VLOOKUP(C$3,Summary!$B$2:$L$35,3,FALSE),0)</f>
        <v>0</v>
      </c>
      <c r="D79" s="259">
        <f>IF(OR(ROW(D79)-5=D$1,ROW(D79)-5=D$1+1),VLOOKUP(D$3,Summary!$B$2:$L$35,3,FALSE),0)</f>
        <v>0</v>
      </c>
      <c r="E79" s="259">
        <f>IF(OR(ROW(E79)-5=E$1,ROW(E79)-5=E$1+1),VLOOKUP(E$3,Summary!$B$2:$L$35,3,FALSE),0)</f>
        <v>0</v>
      </c>
      <c r="F79" s="259">
        <f>IF(OR(ROW(F79)-5=F$1,ROW(F79)-5=F$1+1),VLOOKUP(F$3,Summary!$B$2:$L$35,3,FALSE),0)</f>
        <v>0</v>
      </c>
      <c r="G79" s="259">
        <f>IF(OR(ROW(G79)-5=G$1,ROW(G79)-5=G$1+1),VLOOKUP(G$3,Summary!$B$2:$L$35,3,FALSE),0)</f>
        <v>0</v>
      </c>
      <c r="H79" s="259">
        <f>IF(OR(ROW(H79)-5=H$1,ROW(H79)-5=H$1+1),VLOOKUP(H$3,Summary!$B$2:$L$35,3,FALSE),0)</f>
        <v>0</v>
      </c>
      <c r="I79" s="259">
        <f>IF(OR(ROW(I79)-5=I$1,ROW(I79)-5=I$1+1),VLOOKUP(I$3,Summary!$B$2:$L$35,3,FALSE),0)</f>
        <v>0</v>
      </c>
      <c r="J79" s="259">
        <f>IF(OR(ROW(J79)-5=J$1,ROW(J79)-5=J$1+1),VLOOKUP(J$3,Summary!$B$2:$L$35,3,FALSE),0)</f>
        <v>0</v>
      </c>
      <c r="K79" s="259">
        <f>IF(OR(ROW(K79)-5=K$1,ROW(K79)-5=K$1+1),VLOOKUP(K$3,Summary!$B$2:$L$35,3,FALSE),0)</f>
        <v>0</v>
      </c>
      <c r="L79" s="259">
        <f>IF(OR(ROW(L79)-5=L$1,ROW(L79)-5=L$1+1),VLOOKUP(L$3,Summary!$B$2:$L$35,3,FALSE),0)</f>
        <v>0</v>
      </c>
      <c r="M79" s="259">
        <f>IF(OR(ROW(M79)-5=M$1,ROW(M79)-5=M$1+1),VLOOKUP(M$3,Summary!$B$2:$L$35,3,FALSE),0)</f>
        <v>0</v>
      </c>
      <c r="N79" s="259">
        <f>IF(OR(ROW(N79)-5=N$1,ROW(N79)-5=N$1+1),VLOOKUP(N$3,Summary!$B$2:$L$35,3,FALSE),0)</f>
        <v>0</v>
      </c>
      <c r="O79" s="259">
        <f>IF(OR(ROW(O79)-5=O$1,ROW(O79)-5=O$1+1),VLOOKUP(O$3,Summary!$B$2:$L$35,3,FALSE),0)</f>
        <v>0</v>
      </c>
      <c r="P79" s="259">
        <f>IF(OR(ROW(P79)-5=P$1,ROW(P79)-5=P$1+1),VLOOKUP(P$3,Summary!$B$2:$L$35,3,FALSE),0)</f>
        <v>0</v>
      </c>
      <c r="Q79" s="259">
        <f>IF(OR(ROW(Q79)-5=Q$1,ROW(Q79)-5=Q$1+1),VLOOKUP(Q$3,Summary!$B$2:$L$35,3,FALSE),0)</f>
        <v>0</v>
      </c>
      <c r="R79" s="259">
        <f>IF(OR(ROW(R79)-5=R$1,ROW(R79)-5=R$1+1),VLOOKUP(R$3,Summary!$B$2:$L$35,3,FALSE),0)</f>
        <v>0</v>
      </c>
      <c r="S79" s="259">
        <f>IF(OR(ROW(S79)-5=S$1,ROW(S79)-5=S$1+1),VLOOKUP(S$3,Summary!$B$2:$L$35,3,FALSE),0)</f>
        <v>0</v>
      </c>
      <c r="T79" s="259">
        <f>IF(OR(ROW(T79)-5=T$1,ROW(T79)-5=T$1+1),VLOOKUP(T$3,Summary!$B$2:$L$35,3,FALSE),0)</f>
        <v>0</v>
      </c>
      <c r="U79" s="259">
        <f>IF(OR(ROW(U79)-5=U$1,ROW(U79)-5=U$1+1),VLOOKUP(U$3,Summary!$B$2:$L$35,3,FALSE),0)</f>
        <v>0</v>
      </c>
      <c r="V79" s="259">
        <f>IF(OR(ROW(V79)-5=V$1,ROW(V79)-5=V$1+1),VLOOKUP(V$3,Summary!$B$2:$L$35,3,FALSE),0)</f>
        <v>0</v>
      </c>
      <c r="W79" s="259">
        <f>IF(OR(ROW(W79)-5=W$1,ROW(W79)-5=W$1+1),VLOOKUP(W$3,Summary!$B$2:$L$35,3,FALSE),0)</f>
        <v>0</v>
      </c>
      <c r="X79" s="259">
        <f>IF(OR(ROW(X79)-5=X$1,ROW(X79)-5=X$1+1),VLOOKUP(X$3,Summary!$B$2:$L$35,3,FALSE),0)</f>
        <v>0</v>
      </c>
      <c r="Y79" s="259">
        <f>IF(OR(ROW(Y79)-5=Y$1,ROW(Y79)-5=Y$1+1),VLOOKUP(Y$3,Summary!$B$2:$L$35,3,FALSE),0)</f>
        <v>0</v>
      </c>
      <c r="Z79" s="259" t="str">
        <f ca="1">IF(OR(ROW(Z79)-5=Z$1,ROW(Z79)-5=Z$1+1),VLOOKUP(Z$3,Summary!$B$2:$L$35,3,FALSE),0)</f>
        <v/>
      </c>
      <c r="AA79" s="259">
        <f>IF(OR(ROW(AA79)-5=AA$1,ROW(AA79)-5=AA$1+1),VLOOKUP(AA$3,Summary!$B$2:$L$35,3,FALSE),0)</f>
        <v>0</v>
      </c>
      <c r="AB79" s="259">
        <f>IF(OR(ROW(AB79)-5=AB$1,ROW(AB79)-5=AB$1+1),VLOOKUP(AB$3,Summary!$B$2:$L$35,3,FALSE),0)</f>
        <v>0</v>
      </c>
      <c r="AC79" s="259">
        <f>IF(OR(ROW(AC79)-5=AC$1,ROW(AC79)-5=AC$1+1),VLOOKUP(AC$3,Summary!$B$2:$L$35,3,FALSE),0)</f>
        <v>0</v>
      </c>
      <c r="AD79" s="259">
        <f>IF(OR(ROW(AD79)-5=AD$1,ROW(AD79)-5=AD$1+1),VLOOKUP(AD$3,Summary!$B$2:$L$35,3,FALSE),0)</f>
        <v>0</v>
      </c>
      <c r="AE79" s="259">
        <f>IF(OR(ROW(AE79)-5=AE$1,ROW(AE79)-5=AE$1+1),VLOOKUP(AE$3,Summary!$B$2:$L$35,3,FALSE),0)</f>
        <v>0</v>
      </c>
      <c r="AF79" s="331" t="e">
        <f t="shared" ca="1" si="8"/>
        <v>#N/A</v>
      </c>
    </row>
    <row r="80" spans="1:32" hidden="1">
      <c r="A80" s="259" t="e">
        <f ca="1">OFFSET(Summary!$I$2,TRUNC((ROW(A80)-ROW($A$7))/3,0),0)/1000</f>
        <v>#VALUE!</v>
      </c>
      <c r="B80" s="259">
        <f>IF(OR(ROW(B80)-5=B$1,ROW(B80)-5=B$1+1),VLOOKUP(B$3,Summary!$B$2:$L$35,3,FALSE),0)</f>
        <v>0</v>
      </c>
      <c r="C80" s="259">
        <f>IF(OR(ROW(C80)-5=C$1,ROW(C80)-5=C$1+1),VLOOKUP(C$3,Summary!$B$2:$L$35,3,FALSE),0)</f>
        <v>0</v>
      </c>
      <c r="D80" s="259">
        <f>IF(OR(ROW(D80)-5=D$1,ROW(D80)-5=D$1+1),VLOOKUP(D$3,Summary!$B$2:$L$35,3,FALSE),0)</f>
        <v>0</v>
      </c>
      <c r="E80" s="259">
        <f>IF(OR(ROW(E80)-5=E$1,ROW(E80)-5=E$1+1),VLOOKUP(E$3,Summary!$B$2:$L$35,3,FALSE),0)</f>
        <v>0</v>
      </c>
      <c r="F80" s="259">
        <f>IF(OR(ROW(F80)-5=F$1,ROW(F80)-5=F$1+1),VLOOKUP(F$3,Summary!$B$2:$L$35,3,FALSE),0)</f>
        <v>0</v>
      </c>
      <c r="G80" s="259">
        <f>IF(OR(ROW(G80)-5=G$1,ROW(G80)-5=G$1+1),VLOOKUP(G$3,Summary!$B$2:$L$35,3,FALSE),0)</f>
        <v>0</v>
      </c>
      <c r="H80" s="259">
        <f>IF(OR(ROW(H80)-5=H$1,ROW(H80)-5=H$1+1),VLOOKUP(H$3,Summary!$B$2:$L$35,3,FALSE),0)</f>
        <v>0</v>
      </c>
      <c r="I80" s="259">
        <f>IF(OR(ROW(I80)-5=I$1,ROW(I80)-5=I$1+1),VLOOKUP(I$3,Summary!$B$2:$L$35,3,FALSE),0)</f>
        <v>0</v>
      </c>
      <c r="J80" s="259">
        <f>IF(OR(ROW(J80)-5=J$1,ROW(J80)-5=J$1+1),VLOOKUP(J$3,Summary!$B$2:$L$35,3,FALSE),0)</f>
        <v>0</v>
      </c>
      <c r="K80" s="259">
        <f>IF(OR(ROW(K80)-5=K$1,ROW(K80)-5=K$1+1),VLOOKUP(K$3,Summary!$B$2:$L$35,3,FALSE),0)</f>
        <v>0</v>
      </c>
      <c r="L80" s="259">
        <f>IF(OR(ROW(L80)-5=L$1,ROW(L80)-5=L$1+1),VLOOKUP(L$3,Summary!$B$2:$L$35,3,FALSE),0)</f>
        <v>0</v>
      </c>
      <c r="M80" s="259">
        <f>IF(OR(ROW(M80)-5=M$1,ROW(M80)-5=M$1+1),VLOOKUP(M$3,Summary!$B$2:$L$35,3,FALSE),0)</f>
        <v>0</v>
      </c>
      <c r="N80" s="259">
        <f>IF(OR(ROW(N80)-5=N$1,ROW(N80)-5=N$1+1),VLOOKUP(N$3,Summary!$B$2:$L$35,3,FALSE),0)</f>
        <v>0</v>
      </c>
      <c r="O80" s="259">
        <f>IF(OR(ROW(O80)-5=O$1,ROW(O80)-5=O$1+1),VLOOKUP(O$3,Summary!$B$2:$L$35,3,FALSE),0)</f>
        <v>0</v>
      </c>
      <c r="P80" s="259">
        <f>IF(OR(ROW(P80)-5=P$1,ROW(P80)-5=P$1+1),VLOOKUP(P$3,Summary!$B$2:$L$35,3,FALSE),0)</f>
        <v>0</v>
      </c>
      <c r="Q80" s="259">
        <f>IF(OR(ROW(Q80)-5=Q$1,ROW(Q80)-5=Q$1+1),VLOOKUP(Q$3,Summary!$B$2:$L$35,3,FALSE),0)</f>
        <v>0</v>
      </c>
      <c r="R80" s="259">
        <f>IF(OR(ROW(R80)-5=R$1,ROW(R80)-5=R$1+1),VLOOKUP(R$3,Summary!$B$2:$L$35,3,FALSE),0)</f>
        <v>0</v>
      </c>
      <c r="S80" s="259">
        <f>IF(OR(ROW(S80)-5=S$1,ROW(S80)-5=S$1+1),VLOOKUP(S$3,Summary!$B$2:$L$35,3,FALSE),0)</f>
        <v>0</v>
      </c>
      <c r="T80" s="259">
        <f>IF(OR(ROW(T80)-5=T$1,ROW(T80)-5=T$1+1),VLOOKUP(T$3,Summary!$B$2:$L$35,3,FALSE),0)</f>
        <v>0</v>
      </c>
      <c r="U80" s="259">
        <f>IF(OR(ROW(U80)-5=U$1,ROW(U80)-5=U$1+1),VLOOKUP(U$3,Summary!$B$2:$L$35,3,FALSE),0)</f>
        <v>0</v>
      </c>
      <c r="V80" s="259">
        <f>IF(OR(ROW(V80)-5=V$1,ROW(V80)-5=V$1+1),VLOOKUP(V$3,Summary!$B$2:$L$35,3,FALSE),0)</f>
        <v>0</v>
      </c>
      <c r="W80" s="259">
        <f>IF(OR(ROW(W80)-5=W$1,ROW(W80)-5=W$1+1),VLOOKUP(W$3,Summary!$B$2:$L$35,3,FALSE),0)</f>
        <v>0</v>
      </c>
      <c r="X80" s="259">
        <f>IF(OR(ROW(X80)-5=X$1,ROW(X80)-5=X$1+1),VLOOKUP(X$3,Summary!$B$2:$L$35,3,FALSE),0)</f>
        <v>0</v>
      </c>
      <c r="Y80" s="259">
        <f>IF(OR(ROW(Y80)-5=Y$1,ROW(Y80)-5=Y$1+1),VLOOKUP(Y$3,Summary!$B$2:$L$35,3,FALSE),0)</f>
        <v>0</v>
      </c>
      <c r="Z80" s="259">
        <f>IF(OR(ROW(Z80)-5=Z$1,ROW(Z80)-5=Z$1+1),VLOOKUP(Z$3,Summary!$B$2:$L$35,3,FALSE),0)</f>
        <v>0</v>
      </c>
      <c r="AA80" s="259">
        <f>IF(OR(ROW(AA80)-5=AA$1,ROW(AA80)-5=AA$1+1),VLOOKUP(AA$3,Summary!$B$2:$L$35,3,FALSE),0)</f>
        <v>0</v>
      </c>
      <c r="AB80" s="259">
        <f>IF(OR(ROW(AB80)-5=AB$1,ROW(AB80)-5=AB$1+1),VLOOKUP(AB$3,Summary!$B$2:$L$35,3,FALSE),0)</f>
        <v>0</v>
      </c>
      <c r="AC80" s="259">
        <f>IF(OR(ROW(AC80)-5=AC$1,ROW(AC80)-5=AC$1+1),VLOOKUP(AC$3,Summary!$B$2:$L$35,3,FALSE),0)</f>
        <v>0</v>
      </c>
      <c r="AD80" s="259">
        <f>IF(OR(ROW(AD80)-5=AD$1,ROW(AD80)-5=AD$1+1),VLOOKUP(AD$3,Summary!$B$2:$L$35,3,FALSE),0)</f>
        <v>0</v>
      </c>
      <c r="AE80" s="259">
        <f>IF(OR(ROW(AE80)-5=AE$1,ROW(AE80)-5=AE$1+1),VLOOKUP(AE$3,Summary!$B$2:$L$35,3,FALSE),0)</f>
        <v>0</v>
      </c>
      <c r="AF80" s="331" t="e">
        <f t="shared" ca="1" si="8"/>
        <v>#N/A</v>
      </c>
    </row>
    <row r="81" spans="1:32" hidden="1">
      <c r="A81" s="259" t="e">
        <f ca="1">OFFSET(Summary!$I$2,TRUNC((ROW(A81)-ROW($A$7))/3,0),0)/1000</f>
        <v>#VALUE!</v>
      </c>
      <c r="B81" s="259">
        <f>IF(OR(ROW(B81)-5=B$1,ROW(B81)-5=B$1+1),VLOOKUP(B$3,Summary!$B$2:$L$35,3,FALSE),0)</f>
        <v>0</v>
      </c>
      <c r="C81" s="259">
        <f>IF(OR(ROW(C81)-5=C$1,ROW(C81)-5=C$1+1),VLOOKUP(C$3,Summary!$B$2:$L$35,3,FALSE),0)</f>
        <v>0</v>
      </c>
      <c r="D81" s="259">
        <f>IF(OR(ROW(D81)-5=D$1,ROW(D81)-5=D$1+1),VLOOKUP(D$3,Summary!$B$2:$L$35,3,FALSE),0)</f>
        <v>0</v>
      </c>
      <c r="E81" s="259">
        <f>IF(OR(ROW(E81)-5=E$1,ROW(E81)-5=E$1+1),VLOOKUP(E$3,Summary!$B$2:$L$35,3,FALSE),0)</f>
        <v>0</v>
      </c>
      <c r="F81" s="259">
        <f>IF(OR(ROW(F81)-5=F$1,ROW(F81)-5=F$1+1),VLOOKUP(F$3,Summary!$B$2:$L$35,3,FALSE),0)</f>
        <v>0</v>
      </c>
      <c r="G81" s="259">
        <f>IF(OR(ROW(G81)-5=G$1,ROW(G81)-5=G$1+1),VLOOKUP(G$3,Summary!$B$2:$L$35,3,FALSE),0)</f>
        <v>0</v>
      </c>
      <c r="H81" s="259">
        <f>IF(OR(ROW(H81)-5=H$1,ROW(H81)-5=H$1+1),VLOOKUP(H$3,Summary!$B$2:$L$35,3,FALSE),0)</f>
        <v>0</v>
      </c>
      <c r="I81" s="259">
        <f>IF(OR(ROW(I81)-5=I$1,ROW(I81)-5=I$1+1),VLOOKUP(I$3,Summary!$B$2:$L$35,3,FALSE),0)</f>
        <v>0</v>
      </c>
      <c r="J81" s="259">
        <f>IF(OR(ROW(J81)-5=J$1,ROW(J81)-5=J$1+1),VLOOKUP(J$3,Summary!$B$2:$L$35,3,FALSE),0)</f>
        <v>0</v>
      </c>
      <c r="K81" s="259">
        <f>IF(OR(ROW(K81)-5=K$1,ROW(K81)-5=K$1+1),VLOOKUP(K$3,Summary!$B$2:$L$35,3,FALSE),0)</f>
        <v>0</v>
      </c>
      <c r="L81" s="259">
        <f>IF(OR(ROW(L81)-5=L$1,ROW(L81)-5=L$1+1),VLOOKUP(L$3,Summary!$B$2:$L$35,3,FALSE),0)</f>
        <v>0</v>
      </c>
      <c r="M81" s="259">
        <f>IF(OR(ROW(M81)-5=M$1,ROW(M81)-5=M$1+1),VLOOKUP(M$3,Summary!$B$2:$L$35,3,FALSE),0)</f>
        <v>0</v>
      </c>
      <c r="N81" s="259">
        <f>IF(OR(ROW(N81)-5=N$1,ROW(N81)-5=N$1+1),VLOOKUP(N$3,Summary!$B$2:$L$35,3,FALSE),0)</f>
        <v>0</v>
      </c>
      <c r="O81" s="259">
        <f>IF(OR(ROW(O81)-5=O$1,ROW(O81)-5=O$1+1),VLOOKUP(O$3,Summary!$B$2:$L$35,3,FALSE),0)</f>
        <v>0</v>
      </c>
      <c r="P81" s="259">
        <f>IF(OR(ROW(P81)-5=P$1,ROW(P81)-5=P$1+1),VLOOKUP(P$3,Summary!$B$2:$L$35,3,FALSE),0)</f>
        <v>0</v>
      </c>
      <c r="Q81" s="259">
        <f>IF(OR(ROW(Q81)-5=Q$1,ROW(Q81)-5=Q$1+1),VLOOKUP(Q$3,Summary!$B$2:$L$35,3,FALSE),0)</f>
        <v>0</v>
      </c>
      <c r="R81" s="259">
        <f>IF(OR(ROW(R81)-5=R$1,ROW(R81)-5=R$1+1),VLOOKUP(R$3,Summary!$B$2:$L$35,3,FALSE),0)</f>
        <v>0</v>
      </c>
      <c r="S81" s="259">
        <f>IF(OR(ROW(S81)-5=S$1,ROW(S81)-5=S$1+1),VLOOKUP(S$3,Summary!$B$2:$L$35,3,FALSE),0)</f>
        <v>0</v>
      </c>
      <c r="T81" s="259">
        <f>IF(OR(ROW(T81)-5=T$1,ROW(T81)-5=T$1+1),VLOOKUP(T$3,Summary!$B$2:$L$35,3,FALSE),0)</f>
        <v>0</v>
      </c>
      <c r="U81" s="259">
        <f>IF(OR(ROW(U81)-5=U$1,ROW(U81)-5=U$1+1),VLOOKUP(U$3,Summary!$B$2:$L$35,3,FALSE),0)</f>
        <v>0</v>
      </c>
      <c r="V81" s="259">
        <f>IF(OR(ROW(V81)-5=V$1,ROW(V81)-5=V$1+1),VLOOKUP(V$3,Summary!$B$2:$L$35,3,FALSE),0)</f>
        <v>0</v>
      </c>
      <c r="W81" s="259">
        <f>IF(OR(ROW(W81)-5=W$1,ROW(W81)-5=W$1+1),VLOOKUP(W$3,Summary!$B$2:$L$35,3,FALSE),0)</f>
        <v>0</v>
      </c>
      <c r="X81" s="259">
        <f>IF(OR(ROW(X81)-5=X$1,ROW(X81)-5=X$1+1),VLOOKUP(X$3,Summary!$B$2:$L$35,3,FALSE),0)</f>
        <v>0</v>
      </c>
      <c r="Y81" s="259">
        <f>IF(OR(ROW(Y81)-5=Y$1,ROW(Y81)-5=Y$1+1),VLOOKUP(Y$3,Summary!$B$2:$L$35,3,FALSE),0)</f>
        <v>0</v>
      </c>
      <c r="Z81" s="259">
        <f>IF(OR(ROW(Z81)-5=Z$1,ROW(Z81)-5=Z$1+1),VLOOKUP(Z$3,Summary!$B$2:$L$35,3,FALSE),0)</f>
        <v>0</v>
      </c>
      <c r="AA81" s="259" t="str">
        <f ca="1">IF(OR(ROW(AA81)-5=AA$1,ROW(AA81)-5=AA$1+1),VLOOKUP(AA$3,Summary!$B$2:$L$35,3,FALSE),0)</f>
        <v/>
      </c>
      <c r="AB81" s="259">
        <f>IF(OR(ROW(AB81)-5=AB$1,ROW(AB81)-5=AB$1+1),VLOOKUP(AB$3,Summary!$B$2:$L$35,3,FALSE),0)</f>
        <v>0</v>
      </c>
      <c r="AC81" s="259">
        <f>IF(OR(ROW(AC81)-5=AC$1,ROW(AC81)-5=AC$1+1),VLOOKUP(AC$3,Summary!$B$2:$L$35,3,FALSE),0)</f>
        <v>0</v>
      </c>
      <c r="AD81" s="259">
        <f>IF(OR(ROW(AD81)-5=AD$1,ROW(AD81)-5=AD$1+1),VLOOKUP(AD$3,Summary!$B$2:$L$35,3,FALSE),0)</f>
        <v>0</v>
      </c>
      <c r="AE81" s="259">
        <f>IF(OR(ROW(AE81)-5=AE$1,ROW(AE81)-5=AE$1+1),VLOOKUP(AE$3,Summary!$B$2:$L$35,3,FALSE),0)</f>
        <v>0</v>
      </c>
      <c r="AF81" s="331" t="e">
        <f t="shared" ca="1" si="8"/>
        <v>#N/A</v>
      </c>
    </row>
    <row r="82" spans="1:32" hidden="1">
      <c r="A82" s="259" t="e">
        <f ca="1">OFFSET(Summary!$I$2,TRUNC((ROW(A82)-ROW($A$7))/3,0),0)/1000</f>
        <v>#VALUE!</v>
      </c>
      <c r="B82" s="259">
        <f>IF(OR(ROW(B82)-5=B$1,ROW(B82)-5=B$1+1),VLOOKUP(B$3,Summary!$B$2:$L$35,3,FALSE),0)</f>
        <v>0</v>
      </c>
      <c r="C82" s="259">
        <f>IF(OR(ROW(C82)-5=C$1,ROW(C82)-5=C$1+1),VLOOKUP(C$3,Summary!$B$2:$L$35,3,FALSE),0)</f>
        <v>0</v>
      </c>
      <c r="D82" s="259">
        <f>IF(OR(ROW(D82)-5=D$1,ROW(D82)-5=D$1+1),VLOOKUP(D$3,Summary!$B$2:$L$35,3,FALSE),0)</f>
        <v>0</v>
      </c>
      <c r="E82" s="259">
        <f>IF(OR(ROW(E82)-5=E$1,ROW(E82)-5=E$1+1),VLOOKUP(E$3,Summary!$B$2:$L$35,3,FALSE),0)</f>
        <v>0</v>
      </c>
      <c r="F82" s="259">
        <f>IF(OR(ROW(F82)-5=F$1,ROW(F82)-5=F$1+1),VLOOKUP(F$3,Summary!$B$2:$L$35,3,FALSE),0)</f>
        <v>0</v>
      </c>
      <c r="G82" s="259">
        <f>IF(OR(ROW(G82)-5=G$1,ROW(G82)-5=G$1+1),VLOOKUP(G$3,Summary!$B$2:$L$35,3,FALSE),0)</f>
        <v>0</v>
      </c>
      <c r="H82" s="259">
        <f>IF(OR(ROW(H82)-5=H$1,ROW(H82)-5=H$1+1),VLOOKUP(H$3,Summary!$B$2:$L$35,3,FALSE),0)</f>
        <v>0</v>
      </c>
      <c r="I82" s="259">
        <f>IF(OR(ROW(I82)-5=I$1,ROW(I82)-5=I$1+1),VLOOKUP(I$3,Summary!$B$2:$L$35,3,FALSE),0)</f>
        <v>0</v>
      </c>
      <c r="J82" s="259">
        <f>IF(OR(ROW(J82)-5=J$1,ROW(J82)-5=J$1+1),VLOOKUP(J$3,Summary!$B$2:$L$35,3,FALSE),0)</f>
        <v>0</v>
      </c>
      <c r="K82" s="259">
        <f>IF(OR(ROW(K82)-5=K$1,ROW(K82)-5=K$1+1),VLOOKUP(K$3,Summary!$B$2:$L$35,3,FALSE),0)</f>
        <v>0</v>
      </c>
      <c r="L82" s="259">
        <f>IF(OR(ROW(L82)-5=L$1,ROW(L82)-5=L$1+1),VLOOKUP(L$3,Summary!$B$2:$L$35,3,FALSE),0)</f>
        <v>0</v>
      </c>
      <c r="M82" s="259">
        <f>IF(OR(ROW(M82)-5=M$1,ROW(M82)-5=M$1+1),VLOOKUP(M$3,Summary!$B$2:$L$35,3,FALSE),0)</f>
        <v>0</v>
      </c>
      <c r="N82" s="259">
        <f>IF(OR(ROW(N82)-5=N$1,ROW(N82)-5=N$1+1),VLOOKUP(N$3,Summary!$B$2:$L$35,3,FALSE),0)</f>
        <v>0</v>
      </c>
      <c r="O82" s="259">
        <f>IF(OR(ROW(O82)-5=O$1,ROW(O82)-5=O$1+1),VLOOKUP(O$3,Summary!$B$2:$L$35,3,FALSE),0)</f>
        <v>0</v>
      </c>
      <c r="P82" s="259">
        <f>IF(OR(ROW(P82)-5=P$1,ROW(P82)-5=P$1+1),VLOOKUP(P$3,Summary!$B$2:$L$35,3,FALSE),0)</f>
        <v>0</v>
      </c>
      <c r="Q82" s="259">
        <f>IF(OR(ROW(Q82)-5=Q$1,ROW(Q82)-5=Q$1+1),VLOOKUP(Q$3,Summary!$B$2:$L$35,3,FALSE),0)</f>
        <v>0</v>
      </c>
      <c r="R82" s="259">
        <f>IF(OR(ROW(R82)-5=R$1,ROW(R82)-5=R$1+1),VLOOKUP(R$3,Summary!$B$2:$L$35,3,FALSE),0)</f>
        <v>0</v>
      </c>
      <c r="S82" s="259">
        <f>IF(OR(ROW(S82)-5=S$1,ROW(S82)-5=S$1+1),VLOOKUP(S$3,Summary!$B$2:$L$35,3,FALSE),0)</f>
        <v>0</v>
      </c>
      <c r="T82" s="259">
        <f>IF(OR(ROW(T82)-5=T$1,ROW(T82)-5=T$1+1),VLOOKUP(T$3,Summary!$B$2:$L$35,3,FALSE),0)</f>
        <v>0</v>
      </c>
      <c r="U82" s="259">
        <f>IF(OR(ROW(U82)-5=U$1,ROW(U82)-5=U$1+1),VLOOKUP(U$3,Summary!$B$2:$L$35,3,FALSE),0)</f>
        <v>0</v>
      </c>
      <c r="V82" s="259">
        <f>IF(OR(ROW(V82)-5=V$1,ROW(V82)-5=V$1+1),VLOOKUP(V$3,Summary!$B$2:$L$35,3,FALSE),0)</f>
        <v>0</v>
      </c>
      <c r="W82" s="259">
        <f>IF(OR(ROW(W82)-5=W$1,ROW(W82)-5=W$1+1),VLOOKUP(W$3,Summary!$B$2:$L$35,3,FALSE),0)</f>
        <v>0</v>
      </c>
      <c r="X82" s="259">
        <f>IF(OR(ROW(X82)-5=X$1,ROW(X82)-5=X$1+1),VLOOKUP(X$3,Summary!$B$2:$L$35,3,FALSE),0)</f>
        <v>0</v>
      </c>
      <c r="Y82" s="259">
        <f>IF(OR(ROW(Y82)-5=Y$1,ROW(Y82)-5=Y$1+1),VLOOKUP(Y$3,Summary!$B$2:$L$35,3,FALSE),0)</f>
        <v>0</v>
      </c>
      <c r="Z82" s="259">
        <f>IF(OR(ROW(Z82)-5=Z$1,ROW(Z82)-5=Z$1+1),VLOOKUP(Z$3,Summary!$B$2:$L$35,3,FALSE),0)</f>
        <v>0</v>
      </c>
      <c r="AA82" s="259" t="str">
        <f ca="1">IF(OR(ROW(AA82)-5=AA$1,ROW(AA82)-5=AA$1+1),VLOOKUP(AA$3,Summary!$B$2:$L$35,3,FALSE),0)</f>
        <v/>
      </c>
      <c r="AB82" s="259">
        <f>IF(OR(ROW(AB82)-5=AB$1,ROW(AB82)-5=AB$1+1),VLOOKUP(AB$3,Summary!$B$2:$L$35,3,FALSE),0)</f>
        <v>0</v>
      </c>
      <c r="AC82" s="259">
        <f>IF(OR(ROW(AC82)-5=AC$1,ROW(AC82)-5=AC$1+1),VLOOKUP(AC$3,Summary!$B$2:$L$35,3,FALSE),0)</f>
        <v>0</v>
      </c>
      <c r="AD82" s="259">
        <f>IF(OR(ROW(AD82)-5=AD$1,ROW(AD82)-5=AD$1+1),VLOOKUP(AD$3,Summary!$B$2:$L$35,3,FALSE),0)</f>
        <v>0</v>
      </c>
      <c r="AE82" s="259">
        <f>IF(OR(ROW(AE82)-5=AE$1,ROW(AE82)-5=AE$1+1),VLOOKUP(AE$3,Summary!$B$2:$L$35,3,FALSE),0)</f>
        <v>0</v>
      </c>
      <c r="AF82" s="331" t="e">
        <f t="shared" ca="1" si="8"/>
        <v>#N/A</v>
      </c>
    </row>
    <row r="83" spans="1:32" hidden="1">
      <c r="A83" s="259" t="e">
        <f ca="1">OFFSET(Summary!$I$2,TRUNC((ROW(A83)-ROW($A$7))/3,0),0)/1000</f>
        <v>#VALUE!</v>
      </c>
      <c r="B83" s="259">
        <f>IF(OR(ROW(B83)-5=B$1,ROW(B83)-5=B$1+1),VLOOKUP(B$3,Summary!$B$2:$L$35,3,FALSE),0)</f>
        <v>0</v>
      </c>
      <c r="C83" s="259">
        <f>IF(OR(ROW(C83)-5=C$1,ROW(C83)-5=C$1+1),VLOOKUP(C$3,Summary!$B$2:$L$35,3,FALSE),0)</f>
        <v>0</v>
      </c>
      <c r="D83" s="259">
        <f>IF(OR(ROW(D83)-5=D$1,ROW(D83)-5=D$1+1),VLOOKUP(D$3,Summary!$B$2:$L$35,3,FALSE),0)</f>
        <v>0</v>
      </c>
      <c r="E83" s="259">
        <f>IF(OR(ROW(E83)-5=E$1,ROW(E83)-5=E$1+1),VLOOKUP(E$3,Summary!$B$2:$L$35,3,FALSE),0)</f>
        <v>0</v>
      </c>
      <c r="F83" s="259">
        <f>IF(OR(ROW(F83)-5=F$1,ROW(F83)-5=F$1+1),VLOOKUP(F$3,Summary!$B$2:$L$35,3,FALSE),0)</f>
        <v>0</v>
      </c>
      <c r="G83" s="259">
        <f>IF(OR(ROW(G83)-5=G$1,ROW(G83)-5=G$1+1),VLOOKUP(G$3,Summary!$B$2:$L$35,3,FALSE),0)</f>
        <v>0</v>
      </c>
      <c r="H83" s="259">
        <f>IF(OR(ROW(H83)-5=H$1,ROW(H83)-5=H$1+1),VLOOKUP(H$3,Summary!$B$2:$L$35,3,FALSE),0)</f>
        <v>0</v>
      </c>
      <c r="I83" s="259">
        <f>IF(OR(ROW(I83)-5=I$1,ROW(I83)-5=I$1+1),VLOOKUP(I$3,Summary!$B$2:$L$35,3,FALSE),0)</f>
        <v>0</v>
      </c>
      <c r="J83" s="259">
        <f>IF(OR(ROW(J83)-5=J$1,ROW(J83)-5=J$1+1),VLOOKUP(J$3,Summary!$B$2:$L$35,3,FALSE),0)</f>
        <v>0</v>
      </c>
      <c r="K83" s="259">
        <f>IF(OR(ROW(K83)-5=K$1,ROW(K83)-5=K$1+1),VLOOKUP(K$3,Summary!$B$2:$L$35,3,FALSE),0)</f>
        <v>0</v>
      </c>
      <c r="L83" s="259">
        <f>IF(OR(ROW(L83)-5=L$1,ROW(L83)-5=L$1+1),VLOOKUP(L$3,Summary!$B$2:$L$35,3,FALSE),0)</f>
        <v>0</v>
      </c>
      <c r="M83" s="259">
        <f>IF(OR(ROW(M83)-5=M$1,ROW(M83)-5=M$1+1),VLOOKUP(M$3,Summary!$B$2:$L$35,3,FALSE),0)</f>
        <v>0</v>
      </c>
      <c r="N83" s="259">
        <f>IF(OR(ROW(N83)-5=N$1,ROW(N83)-5=N$1+1),VLOOKUP(N$3,Summary!$B$2:$L$35,3,FALSE),0)</f>
        <v>0</v>
      </c>
      <c r="O83" s="259">
        <f>IF(OR(ROW(O83)-5=O$1,ROW(O83)-5=O$1+1),VLOOKUP(O$3,Summary!$B$2:$L$35,3,FALSE),0)</f>
        <v>0</v>
      </c>
      <c r="P83" s="259">
        <f>IF(OR(ROW(P83)-5=P$1,ROW(P83)-5=P$1+1),VLOOKUP(P$3,Summary!$B$2:$L$35,3,FALSE),0)</f>
        <v>0</v>
      </c>
      <c r="Q83" s="259">
        <f>IF(OR(ROW(Q83)-5=Q$1,ROW(Q83)-5=Q$1+1),VLOOKUP(Q$3,Summary!$B$2:$L$35,3,FALSE),0)</f>
        <v>0</v>
      </c>
      <c r="R83" s="259">
        <f>IF(OR(ROW(R83)-5=R$1,ROW(R83)-5=R$1+1),VLOOKUP(R$3,Summary!$B$2:$L$35,3,FALSE),0)</f>
        <v>0</v>
      </c>
      <c r="S83" s="259">
        <f>IF(OR(ROW(S83)-5=S$1,ROW(S83)-5=S$1+1),VLOOKUP(S$3,Summary!$B$2:$L$35,3,FALSE),0)</f>
        <v>0</v>
      </c>
      <c r="T83" s="259">
        <f>IF(OR(ROW(T83)-5=T$1,ROW(T83)-5=T$1+1),VLOOKUP(T$3,Summary!$B$2:$L$35,3,FALSE),0)</f>
        <v>0</v>
      </c>
      <c r="U83" s="259">
        <f>IF(OR(ROW(U83)-5=U$1,ROW(U83)-5=U$1+1),VLOOKUP(U$3,Summary!$B$2:$L$35,3,FALSE),0)</f>
        <v>0</v>
      </c>
      <c r="V83" s="259">
        <f>IF(OR(ROW(V83)-5=V$1,ROW(V83)-5=V$1+1),VLOOKUP(V$3,Summary!$B$2:$L$35,3,FALSE),0)</f>
        <v>0</v>
      </c>
      <c r="W83" s="259">
        <f>IF(OR(ROW(W83)-5=W$1,ROW(W83)-5=W$1+1),VLOOKUP(W$3,Summary!$B$2:$L$35,3,FALSE),0)</f>
        <v>0</v>
      </c>
      <c r="X83" s="259">
        <f>IF(OR(ROW(X83)-5=X$1,ROW(X83)-5=X$1+1),VLOOKUP(X$3,Summary!$B$2:$L$35,3,FALSE),0)</f>
        <v>0</v>
      </c>
      <c r="Y83" s="259">
        <f>IF(OR(ROW(Y83)-5=Y$1,ROW(Y83)-5=Y$1+1),VLOOKUP(Y$3,Summary!$B$2:$L$35,3,FALSE),0)</f>
        <v>0</v>
      </c>
      <c r="Z83" s="259">
        <f>IF(OR(ROW(Z83)-5=Z$1,ROW(Z83)-5=Z$1+1),VLOOKUP(Z$3,Summary!$B$2:$L$35,3,FALSE),0)</f>
        <v>0</v>
      </c>
      <c r="AA83" s="259">
        <f>IF(OR(ROW(AA83)-5=AA$1,ROW(AA83)-5=AA$1+1),VLOOKUP(AA$3,Summary!$B$2:$L$35,3,FALSE),0)</f>
        <v>0</v>
      </c>
      <c r="AB83" s="259">
        <f>IF(OR(ROW(AB83)-5=AB$1,ROW(AB83)-5=AB$1+1),VLOOKUP(AB$3,Summary!$B$2:$L$35,3,FALSE),0)</f>
        <v>0</v>
      </c>
      <c r="AC83" s="259">
        <f>IF(OR(ROW(AC83)-5=AC$1,ROW(AC83)-5=AC$1+1),VLOOKUP(AC$3,Summary!$B$2:$L$35,3,FALSE),0)</f>
        <v>0</v>
      </c>
      <c r="AD83" s="259">
        <f>IF(OR(ROW(AD83)-5=AD$1,ROW(AD83)-5=AD$1+1),VLOOKUP(AD$3,Summary!$B$2:$L$35,3,FALSE),0)</f>
        <v>0</v>
      </c>
      <c r="AE83" s="259">
        <f>IF(OR(ROW(AE83)-5=AE$1,ROW(AE83)-5=AE$1+1),VLOOKUP(AE$3,Summary!$B$2:$L$35,3,FALSE),0)</f>
        <v>0</v>
      </c>
      <c r="AF83" s="331" t="e">
        <f t="shared" ca="1" si="8"/>
        <v>#N/A</v>
      </c>
    </row>
    <row r="84" spans="1:32" hidden="1">
      <c r="A84" s="259" t="e">
        <f ca="1">OFFSET(Summary!$I$2,TRUNC((ROW(A84)-ROW($A$7))/3,0),0)/1000</f>
        <v>#VALUE!</v>
      </c>
      <c r="B84" s="259">
        <f>IF(OR(ROW(B84)-5=B$1,ROW(B84)-5=B$1+1),VLOOKUP(B$3,Summary!$B$2:$L$35,3,FALSE),0)</f>
        <v>0</v>
      </c>
      <c r="C84" s="259">
        <f>IF(OR(ROW(C84)-5=C$1,ROW(C84)-5=C$1+1),VLOOKUP(C$3,Summary!$B$2:$L$35,3,FALSE),0)</f>
        <v>0</v>
      </c>
      <c r="D84" s="259">
        <f>IF(OR(ROW(D84)-5=D$1,ROW(D84)-5=D$1+1),VLOOKUP(D$3,Summary!$B$2:$L$35,3,FALSE),0)</f>
        <v>0</v>
      </c>
      <c r="E84" s="259">
        <f>IF(OR(ROW(E84)-5=E$1,ROW(E84)-5=E$1+1),VLOOKUP(E$3,Summary!$B$2:$L$35,3,FALSE),0)</f>
        <v>0</v>
      </c>
      <c r="F84" s="259">
        <f>IF(OR(ROW(F84)-5=F$1,ROW(F84)-5=F$1+1),VLOOKUP(F$3,Summary!$B$2:$L$35,3,FALSE),0)</f>
        <v>0</v>
      </c>
      <c r="G84" s="259">
        <f>IF(OR(ROW(G84)-5=G$1,ROW(G84)-5=G$1+1),VLOOKUP(G$3,Summary!$B$2:$L$35,3,FALSE),0)</f>
        <v>0</v>
      </c>
      <c r="H84" s="259">
        <f>IF(OR(ROW(H84)-5=H$1,ROW(H84)-5=H$1+1),VLOOKUP(H$3,Summary!$B$2:$L$35,3,FALSE),0)</f>
        <v>0</v>
      </c>
      <c r="I84" s="259">
        <f>IF(OR(ROW(I84)-5=I$1,ROW(I84)-5=I$1+1),VLOOKUP(I$3,Summary!$B$2:$L$35,3,FALSE),0)</f>
        <v>0</v>
      </c>
      <c r="J84" s="259">
        <f>IF(OR(ROW(J84)-5=J$1,ROW(J84)-5=J$1+1),VLOOKUP(J$3,Summary!$B$2:$L$35,3,FALSE),0)</f>
        <v>0</v>
      </c>
      <c r="K84" s="259">
        <f>IF(OR(ROW(K84)-5=K$1,ROW(K84)-5=K$1+1),VLOOKUP(K$3,Summary!$B$2:$L$35,3,FALSE),0)</f>
        <v>0</v>
      </c>
      <c r="L84" s="259">
        <f>IF(OR(ROW(L84)-5=L$1,ROW(L84)-5=L$1+1),VLOOKUP(L$3,Summary!$B$2:$L$35,3,FALSE),0)</f>
        <v>0</v>
      </c>
      <c r="M84" s="259">
        <f>IF(OR(ROW(M84)-5=M$1,ROW(M84)-5=M$1+1),VLOOKUP(M$3,Summary!$B$2:$L$35,3,FALSE),0)</f>
        <v>0</v>
      </c>
      <c r="N84" s="259">
        <f>IF(OR(ROW(N84)-5=N$1,ROW(N84)-5=N$1+1),VLOOKUP(N$3,Summary!$B$2:$L$35,3,FALSE),0)</f>
        <v>0</v>
      </c>
      <c r="O84" s="259">
        <f>IF(OR(ROW(O84)-5=O$1,ROW(O84)-5=O$1+1),VLOOKUP(O$3,Summary!$B$2:$L$35,3,FALSE),0)</f>
        <v>0</v>
      </c>
      <c r="P84" s="259">
        <f>IF(OR(ROW(P84)-5=P$1,ROW(P84)-5=P$1+1),VLOOKUP(P$3,Summary!$B$2:$L$35,3,FALSE),0)</f>
        <v>0</v>
      </c>
      <c r="Q84" s="259">
        <f>IF(OR(ROW(Q84)-5=Q$1,ROW(Q84)-5=Q$1+1),VLOOKUP(Q$3,Summary!$B$2:$L$35,3,FALSE),0)</f>
        <v>0</v>
      </c>
      <c r="R84" s="259">
        <f>IF(OR(ROW(R84)-5=R$1,ROW(R84)-5=R$1+1),VLOOKUP(R$3,Summary!$B$2:$L$35,3,FALSE),0)</f>
        <v>0</v>
      </c>
      <c r="S84" s="259">
        <f>IF(OR(ROW(S84)-5=S$1,ROW(S84)-5=S$1+1),VLOOKUP(S$3,Summary!$B$2:$L$35,3,FALSE),0)</f>
        <v>0</v>
      </c>
      <c r="T84" s="259">
        <f>IF(OR(ROW(T84)-5=T$1,ROW(T84)-5=T$1+1),VLOOKUP(T$3,Summary!$B$2:$L$35,3,FALSE),0)</f>
        <v>0</v>
      </c>
      <c r="U84" s="259">
        <f>IF(OR(ROW(U84)-5=U$1,ROW(U84)-5=U$1+1),VLOOKUP(U$3,Summary!$B$2:$L$35,3,FALSE),0)</f>
        <v>0</v>
      </c>
      <c r="V84" s="259">
        <f>IF(OR(ROW(V84)-5=V$1,ROW(V84)-5=V$1+1),VLOOKUP(V$3,Summary!$B$2:$L$35,3,FALSE),0)</f>
        <v>0</v>
      </c>
      <c r="W84" s="259">
        <f>IF(OR(ROW(W84)-5=W$1,ROW(W84)-5=W$1+1),VLOOKUP(W$3,Summary!$B$2:$L$35,3,FALSE),0)</f>
        <v>0</v>
      </c>
      <c r="X84" s="259">
        <f>IF(OR(ROW(X84)-5=X$1,ROW(X84)-5=X$1+1),VLOOKUP(X$3,Summary!$B$2:$L$35,3,FALSE),0)</f>
        <v>0</v>
      </c>
      <c r="Y84" s="259">
        <f>IF(OR(ROW(Y84)-5=Y$1,ROW(Y84)-5=Y$1+1),VLOOKUP(Y$3,Summary!$B$2:$L$35,3,FALSE),0)</f>
        <v>0</v>
      </c>
      <c r="Z84" s="259">
        <f>IF(OR(ROW(Z84)-5=Z$1,ROW(Z84)-5=Z$1+1),VLOOKUP(Z$3,Summary!$B$2:$L$35,3,FALSE),0)</f>
        <v>0</v>
      </c>
      <c r="AA84" s="259">
        <f>IF(OR(ROW(AA84)-5=AA$1,ROW(AA84)-5=AA$1+1),VLOOKUP(AA$3,Summary!$B$2:$L$35,3,FALSE),0)</f>
        <v>0</v>
      </c>
      <c r="AB84" s="259" t="str">
        <f ca="1">IF(OR(ROW(AB84)-5=AB$1,ROW(AB84)-5=AB$1+1),VLOOKUP(AB$3,Summary!$B$2:$L$35,3,FALSE),0)</f>
        <v/>
      </c>
      <c r="AC84" s="259">
        <f>IF(OR(ROW(AC84)-5=AC$1,ROW(AC84)-5=AC$1+1),VLOOKUP(AC$3,Summary!$B$2:$L$35,3,FALSE),0)</f>
        <v>0</v>
      </c>
      <c r="AD84" s="259">
        <f>IF(OR(ROW(AD84)-5=AD$1,ROW(AD84)-5=AD$1+1),VLOOKUP(AD$3,Summary!$B$2:$L$35,3,FALSE),0)</f>
        <v>0</v>
      </c>
      <c r="AE84" s="259">
        <f>IF(OR(ROW(AE84)-5=AE$1,ROW(AE84)-5=AE$1+1),VLOOKUP(AE$3,Summary!$B$2:$L$35,3,FALSE),0)</f>
        <v>0</v>
      </c>
      <c r="AF84" s="331" t="e">
        <f t="shared" ca="1" si="8"/>
        <v>#N/A</v>
      </c>
    </row>
    <row r="85" spans="1:32" hidden="1">
      <c r="A85" s="259" t="e">
        <f ca="1">OFFSET(Summary!$I$2,TRUNC((ROW(A85)-ROW($A$7))/3,0),0)/1000</f>
        <v>#VALUE!</v>
      </c>
      <c r="B85" s="259">
        <f>IF(OR(ROW(B85)-5=B$1,ROW(B85)-5=B$1+1),VLOOKUP(B$3,Summary!$B$2:$L$35,3,FALSE),0)</f>
        <v>0</v>
      </c>
      <c r="C85" s="259">
        <f>IF(OR(ROW(C85)-5=C$1,ROW(C85)-5=C$1+1),VLOOKUP(C$3,Summary!$B$2:$L$35,3,FALSE),0)</f>
        <v>0</v>
      </c>
      <c r="D85" s="259">
        <f>IF(OR(ROW(D85)-5=D$1,ROW(D85)-5=D$1+1),VLOOKUP(D$3,Summary!$B$2:$L$35,3,FALSE),0)</f>
        <v>0</v>
      </c>
      <c r="E85" s="259">
        <f>IF(OR(ROW(E85)-5=E$1,ROW(E85)-5=E$1+1),VLOOKUP(E$3,Summary!$B$2:$L$35,3,FALSE),0)</f>
        <v>0</v>
      </c>
      <c r="F85" s="259">
        <f>IF(OR(ROW(F85)-5=F$1,ROW(F85)-5=F$1+1),VLOOKUP(F$3,Summary!$B$2:$L$35,3,FALSE),0)</f>
        <v>0</v>
      </c>
      <c r="G85" s="259">
        <f>IF(OR(ROW(G85)-5=G$1,ROW(G85)-5=G$1+1),VLOOKUP(G$3,Summary!$B$2:$L$35,3,FALSE),0)</f>
        <v>0</v>
      </c>
      <c r="H85" s="259">
        <f>IF(OR(ROW(H85)-5=H$1,ROW(H85)-5=H$1+1),VLOOKUP(H$3,Summary!$B$2:$L$35,3,FALSE),0)</f>
        <v>0</v>
      </c>
      <c r="I85" s="259">
        <f>IF(OR(ROW(I85)-5=I$1,ROW(I85)-5=I$1+1),VLOOKUP(I$3,Summary!$B$2:$L$35,3,FALSE),0)</f>
        <v>0</v>
      </c>
      <c r="J85" s="259">
        <f>IF(OR(ROW(J85)-5=J$1,ROW(J85)-5=J$1+1),VLOOKUP(J$3,Summary!$B$2:$L$35,3,FALSE),0)</f>
        <v>0</v>
      </c>
      <c r="K85" s="259">
        <f>IF(OR(ROW(K85)-5=K$1,ROW(K85)-5=K$1+1),VLOOKUP(K$3,Summary!$B$2:$L$35,3,FALSE),0)</f>
        <v>0</v>
      </c>
      <c r="L85" s="259">
        <f>IF(OR(ROW(L85)-5=L$1,ROW(L85)-5=L$1+1),VLOOKUP(L$3,Summary!$B$2:$L$35,3,FALSE),0)</f>
        <v>0</v>
      </c>
      <c r="M85" s="259">
        <f>IF(OR(ROW(M85)-5=M$1,ROW(M85)-5=M$1+1),VLOOKUP(M$3,Summary!$B$2:$L$35,3,FALSE),0)</f>
        <v>0</v>
      </c>
      <c r="N85" s="259">
        <f>IF(OR(ROW(N85)-5=N$1,ROW(N85)-5=N$1+1),VLOOKUP(N$3,Summary!$B$2:$L$35,3,FALSE),0)</f>
        <v>0</v>
      </c>
      <c r="O85" s="259">
        <f>IF(OR(ROW(O85)-5=O$1,ROW(O85)-5=O$1+1),VLOOKUP(O$3,Summary!$B$2:$L$35,3,FALSE),0)</f>
        <v>0</v>
      </c>
      <c r="P85" s="259">
        <f>IF(OR(ROW(P85)-5=P$1,ROW(P85)-5=P$1+1),VLOOKUP(P$3,Summary!$B$2:$L$35,3,FALSE),0)</f>
        <v>0</v>
      </c>
      <c r="Q85" s="259">
        <f>IF(OR(ROW(Q85)-5=Q$1,ROW(Q85)-5=Q$1+1),VLOOKUP(Q$3,Summary!$B$2:$L$35,3,FALSE),0)</f>
        <v>0</v>
      </c>
      <c r="R85" s="259">
        <f>IF(OR(ROW(R85)-5=R$1,ROW(R85)-5=R$1+1),VLOOKUP(R$3,Summary!$B$2:$L$35,3,FALSE),0)</f>
        <v>0</v>
      </c>
      <c r="S85" s="259">
        <f>IF(OR(ROW(S85)-5=S$1,ROW(S85)-5=S$1+1),VLOOKUP(S$3,Summary!$B$2:$L$35,3,FALSE),0)</f>
        <v>0</v>
      </c>
      <c r="T85" s="259">
        <f>IF(OR(ROW(T85)-5=T$1,ROW(T85)-5=T$1+1),VLOOKUP(T$3,Summary!$B$2:$L$35,3,FALSE),0)</f>
        <v>0</v>
      </c>
      <c r="U85" s="259">
        <f>IF(OR(ROW(U85)-5=U$1,ROW(U85)-5=U$1+1),VLOOKUP(U$3,Summary!$B$2:$L$35,3,FALSE),0)</f>
        <v>0</v>
      </c>
      <c r="V85" s="259">
        <f>IF(OR(ROW(V85)-5=V$1,ROW(V85)-5=V$1+1),VLOOKUP(V$3,Summary!$B$2:$L$35,3,FALSE),0)</f>
        <v>0</v>
      </c>
      <c r="W85" s="259">
        <f>IF(OR(ROW(W85)-5=W$1,ROW(W85)-5=W$1+1),VLOOKUP(W$3,Summary!$B$2:$L$35,3,FALSE),0)</f>
        <v>0</v>
      </c>
      <c r="X85" s="259">
        <f>IF(OR(ROW(X85)-5=X$1,ROW(X85)-5=X$1+1),VLOOKUP(X$3,Summary!$B$2:$L$35,3,FALSE),0)</f>
        <v>0</v>
      </c>
      <c r="Y85" s="259">
        <f>IF(OR(ROW(Y85)-5=Y$1,ROW(Y85)-5=Y$1+1),VLOOKUP(Y$3,Summary!$B$2:$L$35,3,FALSE),0)</f>
        <v>0</v>
      </c>
      <c r="Z85" s="259">
        <f>IF(OR(ROW(Z85)-5=Z$1,ROW(Z85)-5=Z$1+1),VLOOKUP(Z$3,Summary!$B$2:$L$35,3,FALSE),0)</f>
        <v>0</v>
      </c>
      <c r="AA85" s="259">
        <f>IF(OR(ROW(AA85)-5=AA$1,ROW(AA85)-5=AA$1+1),VLOOKUP(AA$3,Summary!$B$2:$L$35,3,FALSE),0)</f>
        <v>0</v>
      </c>
      <c r="AB85" s="259" t="str">
        <f ca="1">IF(OR(ROW(AB85)-5=AB$1,ROW(AB85)-5=AB$1+1),VLOOKUP(AB$3,Summary!$B$2:$L$35,3,FALSE),0)</f>
        <v/>
      </c>
      <c r="AC85" s="259">
        <f>IF(OR(ROW(AC85)-5=AC$1,ROW(AC85)-5=AC$1+1),VLOOKUP(AC$3,Summary!$B$2:$L$35,3,FALSE),0)</f>
        <v>0</v>
      </c>
      <c r="AD85" s="259">
        <f>IF(OR(ROW(AD85)-5=AD$1,ROW(AD85)-5=AD$1+1),VLOOKUP(AD$3,Summary!$B$2:$L$35,3,FALSE),0)</f>
        <v>0</v>
      </c>
      <c r="AE85" s="259">
        <f>IF(OR(ROW(AE85)-5=AE$1,ROW(AE85)-5=AE$1+1),VLOOKUP(AE$3,Summary!$B$2:$L$35,3,FALSE),0)</f>
        <v>0</v>
      </c>
      <c r="AF85" s="331" t="e">
        <f t="shared" ca="1" si="8"/>
        <v>#N/A</v>
      </c>
    </row>
    <row r="86" spans="1:32" hidden="1">
      <c r="A86" s="259" t="e">
        <f ca="1">OFFSET(Summary!$I$2,TRUNC((ROW(A86)-ROW($A$7))/3,0),0)/1000</f>
        <v>#VALUE!</v>
      </c>
      <c r="B86" s="259">
        <f>IF(OR(ROW(B86)-5=B$1,ROW(B86)-5=B$1+1),VLOOKUP(B$3,Summary!$B$2:$L$35,3,FALSE),0)</f>
        <v>0</v>
      </c>
      <c r="C86" s="259">
        <f>IF(OR(ROW(C86)-5=C$1,ROW(C86)-5=C$1+1),VLOOKUP(C$3,Summary!$B$2:$L$35,3,FALSE),0)</f>
        <v>0</v>
      </c>
      <c r="D86" s="259">
        <f>IF(OR(ROW(D86)-5=D$1,ROW(D86)-5=D$1+1),VLOOKUP(D$3,Summary!$B$2:$L$35,3,FALSE),0)</f>
        <v>0</v>
      </c>
      <c r="E86" s="259">
        <f>IF(OR(ROW(E86)-5=E$1,ROW(E86)-5=E$1+1),VLOOKUP(E$3,Summary!$B$2:$L$35,3,FALSE),0)</f>
        <v>0</v>
      </c>
      <c r="F86" s="259">
        <f>IF(OR(ROW(F86)-5=F$1,ROW(F86)-5=F$1+1),VLOOKUP(F$3,Summary!$B$2:$L$35,3,FALSE),0)</f>
        <v>0</v>
      </c>
      <c r="G86" s="259">
        <f>IF(OR(ROW(G86)-5=G$1,ROW(G86)-5=G$1+1),VLOOKUP(G$3,Summary!$B$2:$L$35,3,FALSE),0)</f>
        <v>0</v>
      </c>
      <c r="H86" s="259">
        <f>IF(OR(ROW(H86)-5=H$1,ROW(H86)-5=H$1+1),VLOOKUP(H$3,Summary!$B$2:$L$35,3,FALSE),0)</f>
        <v>0</v>
      </c>
      <c r="I86" s="259">
        <f>IF(OR(ROW(I86)-5=I$1,ROW(I86)-5=I$1+1),VLOOKUP(I$3,Summary!$B$2:$L$35,3,FALSE),0)</f>
        <v>0</v>
      </c>
      <c r="J86" s="259">
        <f>IF(OR(ROW(J86)-5=J$1,ROW(J86)-5=J$1+1),VLOOKUP(J$3,Summary!$B$2:$L$35,3,FALSE),0)</f>
        <v>0</v>
      </c>
      <c r="K86" s="259">
        <f>IF(OR(ROW(K86)-5=K$1,ROW(K86)-5=K$1+1),VLOOKUP(K$3,Summary!$B$2:$L$35,3,FALSE),0)</f>
        <v>0</v>
      </c>
      <c r="L86" s="259">
        <f>IF(OR(ROW(L86)-5=L$1,ROW(L86)-5=L$1+1),VLOOKUP(L$3,Summary!$B$2:$L$35,3,FALSE),0)</f>
        <v>0</v>
      </c>
      <c r="M86" s="259">
        <f>IF(OR(ROW(M86)-5=M$1,ROW(M86)-5=M$1+1),VLOOKUP(M$3,Summary!$B$2:$L$35,3,FALSE),0)</f>
        <v>0</v>
      </c>
      <c r="N86" s="259">
        <f>IF(OR(ROW(N86)-5=N$1,ROW(N86)-5=N$1+1),VLOOKUP(N$3,Summary!$B$2:$L$35,3,FALSE),0)</f>
        <v>0</v>
      </c>
      <c r="O86" s="259">
        <f>IF(OR(ROW(O86)-5=O$1,ROW(O86)-5=O$1+1),VLOOKUP(O$3,Summary!$B$2:$L$35,3,FALSE),0)</f>
        <v>0</v>
      </c>
      <c r="P86" s="259">
        <f>IF(OR(ROW(P86)-5=P$1,ROW(P86)-5=P$1+1),VLOOKUP(P$3,Summary!$B$2:$L$35,3,FALSE),0)</f>
        <v>0</v>
      </c>
      <c r="Q86" s="259">
        <f>IF(OR(ROW(Q86)-5=Q$1,ROW(Q86)-5=Q$1+1),VLOOKUP(Q$3,Summary!$B$2:$L$35,3,FALSE),0)</f>
        <v>0</v>
      </c>
      <c r="R86" s="259">
        <f>IF(OR(ROW(R86)-5=R$1,ROW(R86)-5=R$1+1),VLOOKUP(R$3,Summary!$B$2:$L$35,3,FALSE),0)</f>
        <v>0</v>
      </c>
      <c r="S86" s="259">
        <f>IF(OR(ROW(S86)-5=S$1,ROW(S86)-5=S$1+1),VLOOKUP(S$3,Summary!$B$2:$L$35,3,FALSE),0)</f>
        <v>0</v>
      </c>
      <c r="T86" s="259">
        <f>IF(OR(ROW(T86)-5=T$1,ROW(T86)-5=T$1+1),VLOOKUP(T$3,Summary!$B$2:$L$35,3,FALSE),0)</f>
        <v>0</v>
      </c>
      <c r="U86" s="259">
        <f>IF(OR(ROW(U86)-5=U$1,ROW(U86)-5=U$1+1),VLOOKUP(U$3,Summary!$B$2:$L$35,3,FALSE),0)</f>
        <v>0</v>
      </c>
      <c r="V86" s="259">
        <f>IF(OR(ROW(V86)-5=V$1,ROW(V86)-5=V$1+1),VLOOKUP(V$3,Summary!$B$2:$L$35,3,FALSE),0)</f>
        <v>0</v>
      </c>
      <c r="W86" s="259">
        <f>IF(OR(ROW(W86)-5=W$1,ROW(W86)-5=W$1+1),VLOOKUP(W$3,Summary!$B$2:$L$35,3,FALSE),0)</f>
        <v>0</v>
      </c>
      <c r="X86" s="259">
        <f>IF(OR(ROW(X86)-5=X$1,ROW(X86)-5=X$1+1),VLOOKUP(X$3,Summary!$B$2:$L$35,3,FALSE),0)</f>
        <v>0</v>
      </c>
      <c r="Y86" s="259">
        <f>IF(OR(ROW(Y86)-5=Y$1,ROW(Y86)-5=Y$1+1),VLOOKUP(Y$3,Summary!$B$2:$L$35,3,FALSE),0)</f>
        <v>0</v>
      </c>
      <c r="Z86" s="259">
        <f>IF(OR(ROW(Z86)-5=Z$1,ROW(Z86)-5=Z$1+1),VLOOKUP(Z$3,Summary!$B$2:$L$35,3,FALSE),0)</f>
        <v>0</v>
      </c>
      <c r="AA86" s="259">
        <f>IF(OR(ROW(AA86)-5=AA$1,ROW(AA86)-5=AA$1+1),VLOOKUP(AA$3,Summary!$B$2:$L$35,3,FALSE),0)</f>
        <v>0</v>
      </c>
      <c r="AB86" s="259">
        <f>IF(OR(ROW(AB86)-5=AB$1,ROW(AB86)-5=AB$1+1),VLOOKUP(AB$3,Summary!$B$2:$L$35,3,FALSE),0)</f>
        <v>0</v>
      </c>
      <c r="AC86" s="259">
        <f>IF(OR(ROW(AC86)-5=AC$1,ROW(AC86)-5=AC$1+1),VLOOKUP(AC$3,Summary!$B$2:$L$35,3,FALSE),0)</f>
        <v>0</v>
      </c>
      <c r="AD86" s="259">
        <f>IF(OR(ROW(AD86)-5=AD$1,ROW(AD86)-5=AD$1+1),VLOOKUP(AD$3,Summary!$B$2:$L$35,3,FALSE),0)</f>
        <v>0</v>
      </c>
      <c r="AE86" s="259">
        <f>IF(OR(ROW(AE86)-5=AE$1,ROW(AE86)-5=AE$1+1),VLOOKUP(AE$3,Summary!$B$2:$L$35,3,FALSE),0)</f>
        <v>0</v>
      </c>
      <c r="AF86" s="331" t="e">
        <f t="shared" ca="1" si="8"/>
        <v>#N/A</v>
      </c>
    </row>
    <row r="87" spans="1:32" hidden="1">
      <c r="A87" s="259" t="e">
        <f ca="1">OFFSET(Summary!$I$2,TRUNC((ROW(A87)-ROW($A$7))/3,0),0)/1000</f>
        <v>#VALUE!</v>
      </c>
      <c r="B87" s="259">
        <f>IF(OR(ROW(B87)-5=B$1,ROW(B87)-5=B$1+1),VLOOKUP(B$3,Summary!$B$2:$L$35,3,FALSE),0)</f>
        <v>0</v>
      </c>
      <c r="C87" s="259">
        <f>IF(OR(ROW(C87)-5=C$1,ROW(C87)-5=C$1+1),VLOOKUP(C$3,Summary!$B$2:$L$35,3,FALSE),0)</f>
        <v>0</v>
      </c>
      <c r="D87" s="259">
        <f>IF(OR(ROW(D87)-5=D$1,ROW(D87)-5=D$1+1),VLOOKUP(D$3,Summary!$B$2:$L$35,3,FALSE),0)</f>
        <v>0</v>
      </c>
      <c r="E87" s="259">
        <f>IF(OR(ROW(E87)-5=E$1,ROW(E87)-5=E$1+1),VLOOKUP(E$3,Summary!$B$2:$L$35,3,FALSE),0)</f>
        <v>0</v>
      </c>
      <c r="F87" s="259">
        <f>IF(OR(ROW(F87)-5=F$1,ROW(F87)-5=F$1+1),VLOOKUP(F$3,Summary!$B$2:$L$35,3,FALSE),0)</f>
        <v>0</v>
      </c>
      <c r="G87" s="259">
        <f>IF(OR(ROW(G87)-5=G$1,ROW(G87)-5=G$1+1),VLOOKUP(G$3,Summary!$B$2:$L$35,3,FALSE),0)</f>
        <v>0</v>
      </c>
      <c r="H87" s="259">
        <f>IF(OR(ROW(H87)-5=H$1,ROW(H87)-5=H$1+1),VLOOKUP(H$3,Summary!$B$2:$L$35,3,FALSE),0)</f>
        <v>0</v>
      </c>
      <c r="I87" s="259">
        <f>IF(OR(ROW(I87)-5=I$1,ROW(I87)-5=I$1+1),VLOOKUP(I$3,Summary!$B$2:$L$35,3,FALSE),0)</f>
        <v>0</v>
      </c>
      <c r="J87" s="259">
        <f>IF(OR(ROW(J87)-5=J$1,ROW(J87)-5=J$1+1),VLOOKUP(J$3,Summary!$B$2:$L$35,3,FALSE),0)</f>
        <v>0</v>
      </c>
      <c r="K87" s="259">
        <f>IF(OR(ROW(K87)-5=K$1,ROW(K87)-5=K$1+1),VLOOKUP(K$3,Summary!$B$2:$L$35,3,FALSE),0)</f>
        <v>0</v>
      </c>
      <c r="L87" s="259">
        <f>IF(OR(ROW(L87)-5=L$1,ROW(L87)-5=L$1+1),VLOOKUP(L$3,Summary!$B$2:$L$35,3,FALSE),0)</f>
        <v>0</v>
      </c>
      <c r="M87" s="259">
        <f>IF(OR(ROW(M87)-5=M$1,ROW(M87)-5=M$1+1),VLOOKUP(M$3,Summary!$B$2:$L$35,3,FALSE),0)</f>
        <v>0</v>
      </c>
      <c r="N87" s="259">
        <f>IF(OR(ROW(N87)-5=N$1,ROW(N87)-5=N$1+1),VLOOKUP(N$3,Summary!$B$2:$L$35,3,FALSE),0)</f>
        <v>0</v>
      </c>
      <c r="O87" s="259">
        <f>IF(OR(ROW(O87)-5=O$1,ROW(O87)-5=O$1+1),VLOOKUP(O$3,Summary!$B$2:$L$35,3,FALSE),0)</f>
        <v>0</v>
      </c>
      <c r="P87" s="259">
        <f>IF(OR(ROW(P87)-5=P$1,ROW(P87)-5=P$1+1),VLOOKUP(P$3,Summary!$B$2:$L$35,3,FALSE),0)</f>
        <v>0</v>
      </c>
      <c r="Q87" s="259">
        <f>IF(OR(ROW(Q87)-5=Q$1,ROW(Q87)-5=Q$1+1),VLOOKUP(Q$3,Summary!$B$2:$L$35,3,FALSE),0)</f>
        <v>0</v>
      </c>
      <c r="R87" s="259">
        <f>IF(OR(ROW(R87)-5=R$1,ROW(R87)-5=R$1+1),VLOOKUP(R$3,Summary!$B$2:$L$35,3,FALSE),0)</f>
        <v>0</v>
      </c>
      <c r="S87" s="259">
        <f>IF(OR(ROW(S87)-5=S$1,ROW(S87)-5=S$1+1),VLOOKUP(S$3,Summary!$B$2:$L$35,3,FALSE),0)</f>
        <v>0</v>
      </c>
      <c r="T87" s="259">
        <f>IF(OR(ROW(T87)-5=T$1,ROW(T87)-5=T$1+1),VLOOKUP(T$3,Summary!$B$2:$L$35,3,FALSE),0)</f>
        <v>0</v>
      </c>
      <c r="U87" s="259">
        <f>IF(OR(ROW(U87)-5=U$1,ROW(U87)-5=U$1+1),VLOOKUP(U$3,Summary!$B$2:$L$35,3,FALSE),0)</f>
        <v>0</v>
      </c>
      <c r="V87" s="259">
        <f>IF(OR(ROW(V87)-5=V$1,ROW(V87)-5=V$1+1),VLOOKUP(V$3,Summary!$B$2:$L$35,3,FALSE),0)</f>
        <v>0</v>
      </c>
      <c r="W87" s="259">
        <f>IF(OR(ROW(W87)-5=W$1,ROW(W87)-5=W$1+1),VLOOKUP(W$3,Summary!$B$2:$L$35,3,FALSE),0)</f>
        <v>0</v>
      </c>
      <c r="X87" s="259">
        <f>IF(OR(ROW(X87)-5=X$1,ROW(X87)-5=X$1+1),VLOOKUP(X$3,Summary!$B$2:$L$35,3,FALSE),0)</f>
        <v>0</v>
      </c>
      <c r="Y87" s="259">
        <f>IF(OR(ROW(Y87)-5=Y$1,ROW(Y87)-5=Y$1+1),VLOOKUP(Y$3,Summary!$B$2:$L$35,3,FALSE),0)</f>
        <v>0</v>
      </c>
      <c r="Z87" s="259">
        <f>IF(OR(ROW(Z87)-5=Z$1,ROW(Z87)-5=Z$1+1),VLOOKUP(Z$3,Summary!$B$2:$L$35,3,FALSE),0)</f>
        <v>0</v>
      </c>
      <c r="AA87" s="259">
        <f>IF(OR(ROW(AA87)-5=AA$1,ROW(AA87)-5=AA$1+1),VLOOKUP(AA$3,Summary!$B$2:$L$35,3,FALSE),0)</f>
        <v>0</v>
      </c>
      <c r="AB87" s="259">
        <f>IF(OR(ROW(AB87)-5=AB$1,ROW(AB87)-5=AB$1+1),VLOOKUP(AB$3,Summary!$B$2:$L$35,3,FALSE),0)</f>
        <v>0</v>
      </c>
      <c r="AC87" s="259" t="str">
        <f ca="1">IF(OR(ROW(AC87)-5=AC$1,ROW(AC87)-5=AC$1+1),VLOOKUP(AC$3,Summary!$B$2:$L$35,3,FALSE),0)</f>
        <v/>
      </c>
      <c r="AD87" s="259">
        <f>IF(OR(ROW(AD87)-5=AD$1,ROW(AD87)-5=AD$1+1),VLOOKUP(AD$3,Summary!$B$2:$L$35,3,FALSE),0)</f>
        <v>0</v>
      </c>
      <c r="AE87" s="259">
        <f>IF(OR(ROW(AE87)-5=AE$1,ROW(AE87)-5=AE$1+1),VLOOKUP(AE$3,Summary!$B$2:$L$35,3,FALSE),0)</f>
        <v>0</v>
      </c>
      <c r="AF87" s="331" t="e">
        <f t="shared" ca="1" si="8"/>
        <v>#N/A</v>
      </c>
    </row>
    <row r="88" spans="1:32" hidden="1">
      <c r="A88" s="259" t="e">
        <f ca="1">OFFSET(Summary!$I$2,TRUNC((ROW(A88)-ROW($A$7))/3,0),0)/1000</f>
        <v>#VALUE!</v>
      </c>
      <c r="B88" s="259">
        <f>IF(OR(ROW(B88)-5=B$1,ROW(B88)-5=B$1+1),VLOOKUP(B$3,Summary!$B$2:$L$35,3,FALSE),0)</f>
        <v>0</v>
      </c>
      <c r="C88" s="259">
        <f>IF(OR(ROW(C88)-5=C$1,ROW(C88)-5=C$1+1),VLOOKUP(C$3,Summary!$B$2:$L$35,3,FALSE),0)</f>
        <v>0</v>
      </c>
      <c r="D88" s="259">
        <f>IF(OR(ROW(D88)-5=D$1,ROW(D88)-5=D$1+1),VLOOKUP(D$3,Summary!$B$2:$L$35,3,FALSE),0)</f>
        <v>0</v>
      </c>
      <c r="E88" s="259">
        <f>IF(OR(ROW(E88)-5=E$1,ROW(E88)-5=E$1+1),VLOOKUP(E$3,Summary!$B$2:$L$35,3,FALSE),0)</f>
        <v>0</v>
      </c>
      <c r="F88" s="259">
        <f>IF(OR(ROW(F88)-5=F$1,ROW(F88)-5=F$1+1),VLOOKUP(F$3,Summary!$B$2:$L$35,3,FALSE),0)</f>
        <v>0</v>
      </c>
      <c r="G88" s="259">
        <f>IF(OR(ROW(G88)-5=G$1,ROW(G88)-5=G$1+1),VLOOKUP(G$3,Summary!$B$2:$L$35,3,FALSE),0)</f>
        <v>0</v>
      </c>
      <c r="H88" s="259">
        <f>IF(OR(ROW(H88)-5=H$1,ROW(H88)-5=H$1+1),VLOOKUP(H$3,Summary!$B$2:$L$35,3,FALSE),0)</f>
        <v>0</v>
      </c>
      <c r="I88" s="259">
        <f>IF(OR(ROW(I88)-5=I$1,ROW(I88)-5=I$1+1),VLOOKUP(I$3,Summary!$B$2:$L$35,3,FALSE),0)</f>
        <v>0</v>
      </c>
      <c r="J88" s="259">
        <f>IF(OR(ROW(J88)-5=J$1,ROW(J88)-5=J$1+1),VLOOKUP(J$3,Summary!$B$2:$L$35,3,FALSE),0)</f>
        <v>0</v>
      </c>
      <c r="K88" s="259">
        <f>IF(OR(ROW(K88)-5=K$1,ROW(K88)-5=K$1+1),VLOOKUP(K$3,Summary!$B$2:$L$35,3,FALSE),0)</f>
        <v>0</v>
      </c>
      <c r="L88" s="259">
        <f>IF(OR(ROW(L88)-5=L$1,ROW(L88)-5=L$1+1),VLOOKUP(L$3,Summary!$B$2:$L$35,3,FALSE),0)</f>
        <v>0</v>
      </c>
      <c r="M88" s="259">
        <f>IF(OR(ROW(M88)-5=M$1,ROW(M88)-5=M$1+1),VLOOKUP(M$3,Summary!$B$2:$L$35,3,FALSE),0)</f>
        <v>0</v>
      </c>
      <c r="N88" s="259">
        <f>IF(OR(ROW(N88)-5=N$1,ROW(N88)-5=N$1+1),VLOOKUP(N$3,Summary!$B$2:$L$35,3,FALSE),0)</f>
        <v>0</v>
      </c>
      <c r="O88" s="259">
        <f>IF(OR(ROW(O88)-5=O$1,ROW(O88)-5=O$1+1),VLOOKUP(O$3,Summary!$B$2:$L$35,3,FALSE),0)</f>
        <v>0</v>
      </c>
      <c r="P88" s="259">
        <f>IF(OR(ROW(P88)-5=P$1,ROW(P88)-5=P$1+1),VLOOKUP(P$3,Summary!$B$2:$L$35,3,FALSE),0)</f>
        <v>0</v>
      </c>
      <c r="Q88" s="259">
        <f>IF(OR(ROW(Q88)-5=Q$1,ROW(Q88)-5=Q$1+1),VLOOKUP(Q$3,Summary!$B$2:$L$35,3,FALSE),0)</f>
        <v>0</v>
      </c>
      <c r="R88" s="259">
        <f>IF(OR(ROW(R88)-5=R$1,ROW(R88)-5=R$1+1),VLOOKUP(R$3,Summary!$B$2:$L$35,3,FALSE),0)</f>
        <v>0</v>
      </c>
      <c r="S88" s="259">
        <f>IF(OR(ROW(S88)-5=S$1,ROW(S88)-5=S$1+1),VLOOKUP(S$3,Summary!$B$2:$L$35,3,FALSE),0)</f>
        <v>0</v>
      </c>
      <c r="T88" s="259">
        <f>IF(OR(ROW(T88)-5=T$1,ROW(T88)-5=T$1+1),VLOOKUP(T$3,Summary!$B$2:$L$35,3,FALSE),0)</f>
        <v>0</v>
      </c>
      <c r="U88" s="259">
        <f>IF(OR(ROW(U88)-5=U$1,ROW(U88)-5=U$1+1),VLOOKUP(U$3,Summary!$B$2:$L$35,3,FALSE),0)</f>
        <v>0</v>
      </c>
      <c r="V88" s="259">
        <f>IF(OR(ROW(V88)-5=V$1,ROW(V88)-5=V$1+1),VLOOKUP(V$3,Summary!$B$2:$L$35,3,FALSE),0)</f>
        <v>0</v>
      </c>
      <c r="W88" s="259">
        <f>IF(OR(ROW(W88)-5=W$1,ROW(W88)-5=W$1+1),VLOOKUP(W$3,Summary!$B$2:$L$35,3,FALSE),0)</f>
        <v>0</v>
      </c>
      <c r="X88" s="259">
        <f>IF(OR(ROW(X88)-5=X$1,ROW(X88)-5=X$1+1),VLOOKUP(X$3,Summary!$B$2:$L$35,3,FALSE),0)</f>
        <v>0</v>
      </c>
      <c r="Y88" s="259">
        <f>IF(OR(ROW(Y88)-5=Y$1,ROW(Y88)-5=Y$1+1),VLOOKUP(Y$3,Summary!$B$2:$L$35,3,FALSE),0)</f>
        <v>0</v>
      </c>
      <c r="Z88" s="259">
        <f>IF(OR(ROW(Z88)-5=Z$1,ROW(Z88)-5=Z$1+1),VLOOKUP(Z$3,Summary!$B$2:$L$35,3,FALSE),0)</f>
        <v>0</v>
      </c>
      <c r="AA88" s="259">
        <f>IF(OR(ROW(AA88)-5=AA$1,ROW(AA88)-5=AA$1+1),VLOOKUP(AA$3,Summary!$B$2:$L$35,3,FALSE),0)</f>
        <v>0</v>
      </c>
      <c r="AB88" s="259">
        <f>IF(OR(ROW(AB88)-5=AB$1,ROW(AB88)-5=AB$1+1),VLOOKUP(AB$3,Summary!$B$2:$L$35,3,FALSE),0)</f>
        <v>0</v>
      </c>
      <c r="AC88" s="259" t="str">
        <f ca="1">IF(OR(ROW(AC88)-5=AC$1,ROW(AC88)-5=AC$1+1),VLOOKUP(AC$3,Summary!$B$2:$L$35,3,FALSE),0)</f>
        <v/>
      </c>
      <c r="AD88" s="259">
        <f>IF(OR(ROW(AD88)-5=AD$1,ROW(AD88)-5=AD$1+1),VLOOKUP(AD$3,Summary!$B$2:$L$35,3,FALSE),0)</f>
        <v>0</v>
      </c>
      <c r="AE88" s="259">
        <f>IF(OR(ROW(AE88)-5=AE$1,ROW(AE88)-5=AE$1+1),VLOOKUP(AE$3,Summary!$B$2:$L$35,3,FALSE),0)</f>
        <v>0</v>
      </c>
      <c r="AF88" s="331" t="e">
        <f t="shared" ca="1" si="8"/>
        <v>#N/A</v>
      </c>
    </row>
    <row r="89" spans="1:32" hidden="1">
      <c r="A89" s="259" t="e">
        <f ca="1">OFFSET(Summary!$I$2,TRUNC((ROW(A89)-ROW($A$7))/3,0),0)/1000</f>
        <v>#VALUE!</v>
      </c>
      <c r="B89" s="259">
        <f>IF(OR(ROW(B89)-5=B$1,ROW(B89)-5=B$1+1),VLOOKUP(B$3,Summary!$B$2:$L$35,3,FALSE),0)</f>
        <v>0</v>
      </c>
      <c r="C89" s="259">
        <f>IF(OR(ROW(C89)-5=C$1,ROW(C89)-5=C$1+1),VLOOKUP(C$3,Summary!$B$2:$L$35,3,FALSE),0)</f>
        <v>0</v>
      </c>
      <c r="D89" s="259">
        <f>IF(OR(ROW(D89)-5=D$1,ROW(D89)-5=D$1+1),VLOOKUP(D$3,Summary!$B$2:$L$35,3,FALSE),0)</f>
        <v>0</v>
      </c>
      <c r="E89" s="259">
        <f>IF(OR(ROW(E89)-5=E$1,ROW(E89)-5=E$1+1),VLOOKUP(E$3,Summary!$B$2:$L$35,3,FALSE),0)</f>
        <v>0</v>
      </c>
      <c r="F89" s="259">
        <f>IF(OR(ROW(F89)-5=F$1,ROW(F89)-5=F$1+1),VLOOKUP(F$3,Summary!$B$2:$L$35,3,FALSE),0)</f>
        <v>0</v>
      </c>
      <c r="G89" s="259">
        <f>IF(OR(ROW(G89)-5=G$1,ROW(G89)-5=G$1+1),VLOOKUP(G$3,Summary!$B$2:$L$35,3,FALSE),0)</f>
        <v>0</v>
      </c>
      <c r="H89" s="259">
        <f>IF(OR(ROW(H89)-5=H$1,ROW(H89)-5=H$1+1),VLOOKUP(H$3,Summary!$B$2:$L$35,3,FALSE),0)</f>
        <v>0</v>
      </c>
      <c r="I89" s="259">
        <f>IF(OR(ROW(I89)-5=I$1,ROW(I89)-5=I$1+1),VLOOKUP(I$3,Summary!$B$2:$L$35,3,FALSE),0)</f>
        <v>0</v>
      </c>
      <c r="J89" s="259">
        <f>IF(OR(ROW(J89)-5=J$1,ROW(J89)-5=J$1+1),VLOOKUP(J$3,Summary!$B$2:$L$35,3,FALSE),0)</f>
        <v>0</v>
      </c>
      <c r="K89" s="259">
        <f>IF(OR(ROW(K89)-5=K$1,ROW(K89)-5=K$1+1),VLOOKUP(K$3,Summary!$B$2:$L$35,3,FALSE),0)</f>
        <v>0</v>
      </c>
      <c r="L89" s="259">
        <f>IF(OR(ROW(L89)-5=L$1,ROW(L89)-5=L$1+1),VLOOKUP(L$3,Summary!$B$2:$L$35,3,FALSE),0)</f>
        <v>0</v>
      </c>
      <c r="M89" s="259">
        <f>IF(OR(ROW(M89)-5=M$1,ROW(M89)-5=M$1+1),VLOOKUP(M$3,Summary!$B$2:$L$35,3,FALSE),0)</f>
        <v>0</v>
      </c>
      <c r="N89" s="259">
        <f>IF(OR(ROW(N89)-5=N$1,ROW(N89)-5=N$1+1),VLOOKUP(N$3,Summary!$B$2:$L$35,3,FALSE),0)</f>
        <v>0</v>
      </c>
      <c r="O89" s="259">
        <f>IF(OR(ROW(O89)-5=O$1,ROW(O89)-5=O$1+1),VLOOKUP(O$3,Summary!$B$2:$L$35,3,FALSE),0)</f>
        <v>0</v>
      </c>
      <c r="P89" s="259">
        <f>IF(OR(ROW(P89)-5=P$1,ROW(P89)-5=P$1+1),VLOOKUP(P$3,Summary!$B$2:$L$35,3,FALSE),0)</f>
        <v>0</v>
      </c>
      <c r="Q89" s="259">
        <f>IF(OR(ROW(Q89)-5=Q$1,ROW(Q89)-5=Q$1+1),VLOOKUP(Q$3,Summary!$B$2:$L$35,3,FALSE),0)</f>
        <v>0</v>
      </c>
      <c r="R89" s="259">
        <f>IF(OR(ROW(R89)-5=R$1,ROW(R89)-5=R$1+1),VLOOKUP(R$3,Summary!$B$2:$L$35,3,FALSE),0)</f>
        <v>0</v>
      </c>
      <c r="S89" s="259">
        <f>IF(OR(ROW(S89)-5=S$1,ROW(S89)-5=S$1+1),VLOOKUP(S$3,Summary!$B$2:$L$35,3,FALSE),0)</f>
        <v>0</v>
      </c>
      <c r="T89" s="259">
        <f>IF(OR(ROW(T89)-5=T$1,ROW(T89)-5=T$1+1),VLOOKUP(T$3,Summary!$B$2:$L$35,3,FALSE),0)</f>
        <v>0</v>
      </c>
      <c r="U89" s="259">
        <f>IF(OR(ROW(U89)-5=U$1,ROW(U89)-5=U$1+1),VLOOKUP(U$3,Summary!$B$2:$L$35,3,FALSE),0)</f>
        <v>0</v>
      </c>
      <c r="V89" s="259">
        <f>IF(OR(ROW(V89)-5=V$1,ROW(V89)-5=V$1+1),VLOOKUP(V$3,Summary!$B$2:$L$35,3,FALSE),0)</f>
        <v>0</v>
      </c>
      <c r="W89" s="259">
        <f>IF(OR(ROW(W89)-5=W$1,ROW(W89)-5=W$1+1),VLOOKUP(W$3,Summary!$B$2:$L$35,3,FALSE),0)</f>
        <v>0</v>
      </c>
      <c r="X89" s="259">
        <f>IF(OR(ROW(X89)-5=X$1,ROW(X89)-5=X$1+1),VLOOKUP(X$3,Summary!$B$2:$L$35,3,FALSE),0)</f>
        <v>0</v>
      </c>
      <c r="Y89" s="259">
        <f>IF(OR(ROW(Y89)-5=Y$1,ROW(Y89)-5=Y$1+1),VLOOKUP(Y$3,Summary!$B$2:$L$35,3,FALSE),0)</f>
        <v>0</v>
      </c>
      <c r="Z89" s="259">
        <f>IF(OR(ROW(Z89)-5=Z$1,ROW(Z89)-5=Z$1+1),VLOOKUP(Z$3,Summary!$B$2:$L$35,3,FALSE),0)</f>
        <v>0</v>
      </c>
      <c r="AA89" s="259">
        <f>IF(OR(ROW(AA89)-5=AA$1,ROW(AA89)-5=AA$1+1),VLOOKUP(AA$3,Summary!$B$2:$L$35,3,FALSE),0)</f>
        <v>0</v>
      </c>
      <c r="AB89" s="259">
        <f>IF(OR(ROW(AB89)-5=AB$1,ROW(AB89)-5=AB$1+1),VLOOKUP(AB$3,Summary!$B$2:$L$35,3,FALSE),0)</f>
        <v>0</v>
      </c>
      <c r="AC89" s="259">
        <f>IF(OR(ROW(AC89)-5=AC$1,ROW(AC89)-5=AC$1+1),VLOOKUP(AC$3,Summary!$B$2:$L$35,3,FALSE),0)</f>
        <v>0</v>
      </c>
      <c r="AD89" s="259">
        <f>IF(OR(ROW(AD89)-5=AD$1,ROW(AD89)-5=AD$1+1),VLOOKUP(AD$3,Summary!$B$2:$L$35,3,FALSE),0)</f>
        <v>0</v>
      </c>
      <c r="AE89" s="259">
        <f>IF(OR(ROW(AE89)-5=AE$1,ROW(AE89)-5=AE$1+1),VLOOKUP(AE$3,Summary!$B$2:$L$35,3,FALSE),0)</f>
        <v>0</v>
      </c>
      <c r="AF89" s="331" t="e">
        <f t="shared" ca="1" si="8"/>
        <v>#N/A</v>
      </c>
    </row>
    <row r="90" spans="1:32" hidden="1">
      <c r="A90" s="259" t="e">
        <f ca="1">OFFSET(Summary!$I$2,TRUNC((ROW(A90)-ROW($A$7))/3,0),0)/1000</f>
        <v>#VALUE!</v>
      </c>
      <c r="B90" s="259">
        <f>IF(OR(ROW(B90)-5=B$1,ROW(B90)-5=B$1+1),VLOOKUP(B$3,Summary!$B$2:$L$35,3,FALSE),0)</f>
        <v>0</v>
      </c>
      <c r="C90" s="259">
        <f>IF(OR(ROW(C90)-5=C$1,ROW(C90)-5=C$1+1),VLOOKUP(C$3,Summary!$B$2:$L$35,3,FALSE),0)</f>
        <v>0</v>
      </c>
      <c r="D90" s="259">
        <f>IF(OR(ROW(D90)-5=D$1,ROW(D90)-5=D$1+1),VLOOKUP(D$3,Summary!$B$2:$L$35,3,FALSE),0)</f>
        <v>0</v>
      </c>
      <c r="E90" s="259">
        <f>IF(OR(ROW(E90)-5=E$1,ROW(E90)-5=E$1+1),VLOOKUP(E$3,Summary!$B$2:$L$35,3,FALSE),0)</f>
        <v>0</v>
      </c>
      <c r="F90" s="259">
        <f>IF(OR(ROW(F90)-5=F$1,ROW(F90)-5=F$1+1),VLOOKUP(F$3,Summary!$B$2:$L$35,3,FALSE),0)</f>
        <v>0</v>
      </c>
      <c r="G90" s="259">
        <f>IF(OR(ROW(G90)-5=G$1,ROW(G90)-5=G$1+1),VLOOKUP(G$3,Summary!$B$2:$L$35,3,FALSE),0)</f>
        <v>0</v>
      </c>
      <c r="H90" s="259">
        <f>IF(OR(ROW(H90)-5=H$1,ROW(H90)-5=H$1+1),VLOOKUP(H$3,Summary!$B$2:$L$35,3,FALSE),0)</f>
        <v>0</v>
      </c>
      <c r="I90" s="259">
        <f>IF(OR(ROW(I90)-5=I$1,ROW(I90)-5=I$1+1),VLOOKUP(I$3,Summary!$B$2:$L$35,3,FALSE),0)</f>
        <v>0</v>
      </c>
      <c r="J90" s="259">
        <f>IF(OR(ROW(J90)-5=J$1,ROW(J90)-5=J$1+1),VLOOKUP(J$3,Summary!$B$2:$L$35,3,FALSE),0)</f>
        <v>0</v>
      </c>
      <c r="K90" s="259">
        <f>IF(OR(ROW(K90)-5=K$1,ROW(K90)-5=K$1+1),VLOOKUP(K$3,Summary!$B$2:$L$35,3,FALSE),0)</f>
        <v>0</v>
      </c>
      <c r="L90" s="259">
        <f>IF(OR(ROW(L90)-5=L$1,ROW(L90)-5=L$1+1),VLOOKUP(L$3,Summary!$B$2:$L$35,3,FALSE),0)</f>
        <v>0</v>
      </c>
      <c r="M90" s="259">
        <f>IF(OR(ROW(M90)-5=M$1,ROW(M90)-5=M$1+1),VLOOKUP(M$3,Summary!$B$2:$L$35,3,FALSE),0)</f>
        <v>0</v>
      </c>
      <c r="N90" s="259">
        <f>IF(OR(ROW(N90)-5=N$1,ROW(N90)-5=N$1+1),VLOOKUP(N$3,Summary!$B$2:$L$35,3,FALSE),0)</f>
        <v>0</v>
      </c>
      <c r="O90" s="259">
        <f>IF(OR(ROW(O90)-5=O$1,ROW(O90)-5=O$1+1),VLOOKUP(O$3,Summary!$B$2:$L$35,3,FALSE),0)</f>
        <v>0</v>
      </c>
      <c r="P90" s="259">
        <f>IF(OR(ROW(P90)-5=P$1,ROW(P90)-5=P$1+1),VLOOKUP(P$3,Summary!$B$2:$L$35,3,FALSE),0)</f>
        <v>0</v>
      </c>
      <c r="Q90" s="259">
        <f>IF(OR(ROW(Q90)-5=Q$1,ROW(Q90)-5=Q$1+1),VLOOKUP(Q$3,Summary!$B$2:$L$35,3,FALSE),0)</f>
        <v>0</v>
      </c>
      <c r="R90" s="259">
        <f>IF(OR(ROW(R90)-5=R$1,ROW(R90)-5=R$1+1),VLOOKUP(R$3,Summary!$B$2:$L$35,3,FALSE),0)</f>
        <v>0</v>
      </c>
      <c r="S90" s="259">
        <f>IF(OR(ROW(S90)-5=S$1,ROW(S90)-5=S$1+1),VLOOKUP(S$3,Summary!$B$2:$L$35,3,FALSE),0)</f>
        <v>0</v>
      </c>
      <c r="T90" s="259">
        <f>IF(OR(ROW(T90)-5=T$1,ROW(T90)-5=T$1+1),VLOOKUP(T$3,Summary!$B$2:$L$35,3,FALSE),0)</f>
        <v>0</v>
      </c>
      <c r="U90" s="259">
        <f>IF(OR(ROW(U90)-5=U$1,ROW(U90)-5=U$1+1),VLOOKUP(U$3,Summary!$B$2:$L$35,3,FALSE),0)</f>
        <v>0</v>
      </c>
      <c r="V90" s="259">
        <f>IF(OR(ROW(V90)-5=V$1,ROW(V90)-5=V$1+1),VLOOKUP(V$3,Summary!$B$2:$L$35,3,FALSE),0)</f>
        <v>0</v>
      </c>
      <c r="W90" s="259">
        <f>IF(OR(ROW(W90)-5=W$1,ROW(W90)-5=W$1+1),VLOOKUP(W$3,Summary!$B$2:$L$35,3,FALSE),0)</f>
        <v>0</v>
      </c>
      <c r="X90" s="259">
        <f>IF(OR(ROW(X90)-5=X$1,ROW(X90)-5=X$1+1),VLOOKUP(X$3,Summary!$B$2:$L$35,3,FALSE),0)</f>
        <v>0</v>
      </c>
      <c r="Y90" s="259">
        <f>IF(OR(ROW(Y90)-5=Y$1,ROW(Y90)-5=Y$1+1),VLOOKUP(Y$3,Summary!$B$2:$L$35,3,FALSE),0)</f>
        <v>0</v>
      </c>
      <c r="Z90" s="259">
        <f>IF(OR(ROW(Z90)-5=Z$1,ROW(Z90)-5=Z$1+1),VLOOKUP(Z$3,Summary!$B$2:$L$35,3,FALSE),0)</f>
        <v>0</v>
      </c>
      <c r="AA90" s="259">
        <f>IF(OR(ROW(AA90)-5=AA$1,ROW(AA90)-5=AA$1+1),VLOOKUP(AA$3,Summary!$B$2:$L$35,3,FALSE),0)</f>
        <v>0</v>
      </c>
      <c r="AB90" s="259">
        <f>IF(OR(ROW(AB90)-5=AB$1,ROW(AB90)-5=AB$1+1),VLOOKUP(AB$3,Summary!$B$2:$L$35,3,FALSE),0)</f>
        <v>0</v>
      </c>
      <c r="AC90" s="259">
        <f>IF(OR(ROW(AC90)-5=AC$1,ROW(AC90)-5=AC$1+1),VLOOKUP(AC$3,Summary!$B$2:$L$35,3,FALSE),0)</f>
        <v>0</v>
      </c>
      <c r="AD90" s="259" t="str">
        <f ca="1">IF(OR(ROW(AD90)-5=AD$1,ROW(AD90)-5=AD$1+1),VLOOKUP(AD$3,Summary!$B$2:$L$35,3,FALSE),0)</f>
        <v/>
      </c>
      <c r="AE90" s="259">
        <f>IF(OR(ROW(AE90)-5=AE$1,ROW(AE90)-5=AE$1+1),VLOOKUP(AE$3,Summary!$B$2:$L$35,3,FALSE),0)</f>
        <v>0</v>
      </c>
      <c r="AF90" s="331" t="e">
        <f t="shared" ca="1" si="8"/>
        <v>#N/A</v>
      </c>
    </row>
    <row r="91" spans="1:32" hidden="1">
      <c r="A91" s="259" t="e">
        <f ca="1">OFFSET(Summary!$I$2,TRUNC((ROW(A91)-ROW($A$7))/3,0),0)/1000</f>
        <v>#VALUE!</v>
      </c>
      <c r="B91" s="259">
        <f>IF(OR(ROW(B91)-5=B$1,ROW(B91)-5=B$1+1),VLOOKUP(B$3,Summary!$B$2:$L$35,3,FALSE),0)</f>
        <v>0</v>
      </c>
      <c r="C91" s="259">
        <f>IF(OR(ROW(C91)-5=C$1,ROW(C91)-5=C$1+1),VLOOKUP(C$3,Summary!$B$2:$L$35,3,FALSE),0)</f>
        <v>0</v>
      </c>
      <c r="D91" s="259">
        <f>IF(OR(ROW(D91)-5=D$1,ROW(D91)-5=D$1+1),VLOOKUP(D$3,Summary!$B$2:$L$35,3,FALSE),0)</f>
        <v>0</v>
      </c>
      <c r="E91" s="259">
        <f>IF(OR(ROW(E91)-5=E$1,ROW(E91)-5=E$1+1),VLOOKUP(E$3,Summary!$B$2:$L$35,3,FALSE),0)</f>
        <v>0</v>
      </c>
      <c r="F91" s="259">
        <f>IF(OR(ROW(F91)-5=F$1,ROW(F91)-5=F$1+1),VLOOKUP(F$3,Summary!$B$2:$L$35,3,FALSE),0)</f>
        <v>0</v>
      </c>
      <c r="G91" s="259">
        <f>IF(OR(ROW(G91)-5=G$1,ROW(G91)-5=G$1+1),VLOOKUP(G$3,Summary!$B$2:$L$35,3,FALSE),0)</f>
        <v>0</v>
      </c>
      <c r="H91" s="259">
        <f>IF(OR(ROW(H91)-5=H$1,ROW(H91)-5=H$1+1),VLOOKUP(H$3,Summary!$B$2:$L$35,3,FALSE),0)</f>
        <v>0</v>
      </c>
      <c r="I91" s="259">
        <f>IF(OR(ROW(I91)-5=I$1,ROW(I91)-5=I$1+1),VLOOKUP(I$3,Summary!$B$2:$L$35,3,FALSE),0)</f>
        <v>0</v>
      </c>
      <c r="J91" s="259">
        <f>IF(OR(ROW(J91)-5=J$1,ROW(J91)-5=J$1+1),VLOOKUP(J$3,Summary!$B$2:$L$35,3,FALSE),0)</f>
        <v>0</v>
      </c>
      <c r="K91" s="259">
        <f>IF(OR(ROW(K91)-5=K$1,ROW(K91)-5=K$1+1),VLOOKUP(K$3,Summary!$B$2:$L$35,3,FALSE),0)</f>
        <v>0</v>
      </c>
      <c r="L91" s="259">
        <f>IF(OR(ROW(L91)-5=L$1,ROW(L91)-5=L$1+1),VLOOKUP(L$3,Summary!$B$2:$L$35,3,FALSE),0)</f>
        <v>0</v>
      </c>
      <c r="M91" s="259">
        <f>IF(OR(ROW(M91)-5=M$1,ROW(M91)-5=M$1+1),VLOOKUP(M$3,Summary!$B$2:$L$35,3,FALSE),0)</f>
        <v>0</v>
      </c>
      <c r="N91" s="259">
        <f>IF(OR(ROW(N91)-5=N$1,ROW(N91)-5=N$1+1),VLOOKUP(N$3,Summary!$B$2:$L$35,3,FALSE),0)</f>
        <v>0</v>
      </c>
      <c r="O91" s="259">
        <f>IF(OR(ROW(O91)-5=O$1,ROW(O91)-5=O$1+1),VLOOKUP(O$3,Summary!$B$2:$L$35,3,FALSE),0)</f>
        <v>0</v>
      </c>
      <c r="P91" s="259">
        <f>IF(OR(ROW(P91)-5=P$1,ROW(P91)-5=P$1+1),VLOOKUP(P$3,Summary!$B$2:$L$35,3,FALSE),0)</f>
        <v>0</v>
      </c>
      <c r="Q91" s="259">
        <f>IF(OR(ROW(Q91)-5=Q$1,ROW(Q91)-5=Q$1+1),VLOOKUP(Q$3,Summary!$B$2:$L$35,3,FALSE),0)</f>
        <v>0</v>
      </c>
      <c r="R91" s="259">
        <f>IF(OR(ROW(R91)-5=R$1,ROW(R91)-5=R$1+1),VLOOKUP(R$3,Summary!$B$2:$L$35,3,FALSE),0)</f>
        <v>0</v>
      </c>
      <c r="S91" s="259">
        <f>IF(OR(ROW(S91)-5=S$1,ROW(S91)-5=S$1+1),VLOOKUP(S$3,Summary!$B$2:$L$35,3,FALSE),0)</f>
        <v>0</v>
      </c>
      <c r="T91" s="259">
        <f>IF(OR(ROW(T91)-5=T$1,ROW(T91)-5=T$1+1),VLOOKUP(T$3,Summary!$B$2:$L$35,3,FALSE),0)</f>
        <v>0</v>
      </c>
      <c r="U91" s="259">
        <f>IF(OR(ROW(U91)-5=U$1,ROW(U91)-5=U$1+1),VLOOKUP(U$3,Summary!$B$2:$L$35,3,FALSE),0)</f>
        <v>0</v>
      </c>
      <c r="V91" s="259">
        <f>IF(OR(ROW(V91)-5=V$1,ROW(V91)-5=V$1+1),VLOOKUP(V$3,Summary!$B$2:$L$35,3,FALSE),0)</f>
        <v>0</v>
      </c>
      <c r="W91" s="259">
        <f>IF(OR(ROW(W91)-5=W$1,ROW(W91)-5=W$1+1),VLOOKUP(W$3,Summary!$B$2:$L$35,3,FALSE),0)</f>
        <v>0</v>
      </c>
      <c r="X91" s="259">
        <f>IF(OR(ROW(X91)-5=X$1,ROW(X91)-5=X$1+1),VLOOKUP(X$3,Summary!$B$2:$L$35,3,FALSE),0)</f>
        <v>0</v>
      </c>
      <c r="Y91" s="259">
        <f>IF(OR(ROW(Y91)-5=Y$1,ROW(Y91)-5=Y$1+1),VLOOKUP(Y$3,Summary!$B$2:$L$35,3,FALSE),0)</f>
        <v>0</v>
      </c>
      <c r="Z91" s="259">
        <f>IF(OR(ROW(Z91)-5=Z$1,ROW(Z91)-5=Z$1+1),VLOOKUP(Z$3,Summary!$B$2:$L$35,3,FALSE),0)</f>
        <v>0</v>
      </c>
      <c r="AA91" s="259">
        <f>IF(OR(ROW(AA91)-5=AA$1,ROW(AA91)-5=AA$1+1),VLOOKUP(AA$3,Summary!$B$2:$L$35,3,FALSE),0)</f>
        <v>0</v>
      </c>
      <c r="AB91" s="259">
        <f>IF(OR(ROW(AB91)-5=AB$1,ROW(AB91)-5=AB$1+1),VLOOKUP(AB$3,Summary!$B$2:$L$35,3,FALSE),0)</f>
        <v>0</v>
      </c>
      <c r="AC91" s="259">
        <f>IF(OR(ROW(AC91)-5=AC$1,ROW(AC91)-5=AC$1+1),VLOOKUP(AC$3,Summary!$B$2:$L$35,3,FALSE),0)</f>
        <v>0</v>
      </c>
      <c r="AD91" s="259" t="str">
        <f ca="1">IF(OR(ROW(AD91)-5=AD$1,ROW(AD91)-5=AD$1+1),VLOOKUP(AD$3,Summary!$B$2:$L$35,3,FALSE),0)</f>
        <v/>
      </c>
      <c r="AE91" s="259">
        <f>IF(OR(ROW(AE91)-5=AE$1,ROW(AE91)-5=AE$1+1),VLOOKUP(AE$3,Summary!$B$2:$L$35,3,FALSE),0)</f>
        <v>0</v>
      </c>
      <c r="AF91" s="331" t="e">
        <f t="shared" ca="1" si="8"/>
        <v>#N/A</v>
      </c>
    </row>
    <row r="92" spans="1:32" hidden="1">
      <c r="A92" s="259" t="e">
        <f ca="1">OFFSET(Summary!$I$2,TRUNC((ROW(A92)-ROW($A$7))/3,0),0)/1000</f>
        <v>#VALUE!</v>
      </c>
      <c r="B92" s="259">
        <f>IF(OR(ROW(B92)-5=B$1,ROW(B92)-5=B$1+1),VLOOKUP(B$3,Summary!$B$2:$L$35,3,FALSE),0)</f>
        <v>0</v>
      </c>
      <c r="C92" s="259">
        <f>IF(OR(ROW(C92)-5=C$1,ROW(C92)-5=C$1+1),VLOOKUP(C$3,Summary!$B$2:$L$35,3,FALSE),0)</f>
        <v>0</v>
      </c>
      <c r="D92" s="259">
        <f>IF(OR(ROW(D92)-5=D$1,ROW(D92)-5=D$1+1),VLOOKUP(D$3,Summary!$B$2:$L$35,3,FALSE),0)</f>
        <v>0</v>
      </c>
      <c r="E92" s="259">
        <f>IF(OR(ROW(E92)-5=E$1,ROW(E92)-5=E$1+1),VLOOKUP(E$3,Summary!$B$2:$L$35,3,FALSE),0)</f>
        <v>0</v>
      </c>
      <c r="F92" s="259">
        <f>IF(OR(ROW(F92)-5=F$1,ROW(F92)-5=F$1+1),VLOOKUP(F$3,Summary!$B$2:$L$35,3,FALSE),0)</f>
        <v>0</v>
      </c>
      <c r="G92" s="259">
        <f>IF(OR(ROW(G92)-5=G$1,ROW(G92)-5=G$1+1),VLOOKUP(G$3,Summary!$B$2:$L$35,3,FALSE),0)</f>
        <v>0</v>
      </c>
      <c r="H92" s="259">
        <f>IF(OR(ROW(H92)-5=H$1,ROW(H92)-5=H$1+1),VLOOKUP(H$3,Summary!$B$2:$L$35,3,FALSE),0)</f>
        <v>0</v>
      </c>
      <c r="I92" s="259">
        <f>IF(OR(ROW(I92)-5=I$1,ROW(I92)-5=I$1+1),VLOOKUP(I$3,Summary!$B$2:$L$35,3,FALSE),0)</f>
        <v>0</v>
      </c>
      <c r="J92" s="259">
        <f>IF(OR(ROW(J92)-5=J$1,ROW(J92)-5=J$1+1),VLOOKUP(J$3,Summary!$B$2:$L$35,3,FALSE),0)</f>
        <v>0</v>
      </c>
      <c r="K92" s="259">
        <f>IF(OR(ROW(K92)-5=K$1,ROW(K92)-5=K$1+1),VLOOKUP(K$3,Summary!$B$2:$L$35,3,FALSE),0)</f>
        <v>0</v>
      </c>
      <c r="L92" s="259">
        <f>IF(OR(ROW(L92)-5=L$1,ROW(L92)-5=L$1+1),VLOOKUP(L$3,Summary!$B$2:$L$35,3,FALSE),0)</f>
        <v>0</v>
      </c>
      <c r="M92" s="259">
        <f>IF(OR(ROW(M92)-5=M$1,ROW(M92)-5=M$1+1),VLOOKUP(M$3,Summary!$B$2:$L$35,3,FALSE),0)</f>
        <v>0</v>
      </c>
      <c r="N92" s="259">
        <f>IF(OR(ROW(N92)-5=N$1,ROW(N92)-5=N$1+1),VLOOKUP(N$3,Summary!$B$2:$L$35,3,FALSE),0)</f>
        <v>0</v>
      </c>
      <c r="O92" s="259">
        <f>IF(OR(ROW(O92)-5=O$1,ROW(O92)-5=O$1+1),VLOOKUP(O$3,Summary!$B$2:$L$35,3,FALSE),0)</f>
        <v>0</v>
      </c>
      <c r="P92" s="259">
        <f>IF(OR(ROW(P92)-5=P$1,ROW(P92)-5=P$1+1),VLOOKUP(P$3,Summary!$B$2:$L$35,3,FALSE),0)</f>
        <v>0</v>
      </c>
      <c r="Q92" s="259">
        <f>IF(OR(ROW(Q92)-5=Q$1,ROW(Q92)-5=Q$1+1),VLOOKUP(Q$3,Summary!$B$2:$L$35,3,FALSE),0)</f>
        <v>0</v>
      </c>
      <c r="R92" s="259">
        <f>IF(OR(ROW(R92)-5=R$1,ROW(R92)-5=R$1+1),VLOOKUP(R$3,Summary!$B$2:$L$35,3,FALSE),0)</f>
        <v>0</v>
      </c>
      <c r="S92" s="259">
        <f>IF(OR(ROW(S92)-5=S$1,ROW(S92)-5=S$1+1),VLOOKUP(S$3,Summary!$B$2:$L$35,3,FALSE),0)</f>
        <v>0</v>
      </c>
      <c r="T92" s="259">
        <f>IF(OR(ROW(T92)-5=T$1,ROW(T92)-5=T$1+1),VLOOKUP(T$3,Summary!$B$2:$L$35,3,FALSE),0)</f>
        <v>0</v>
      </c>
      <c r="U92" s="259">
        <f>IF(OR(ROW(U92)-5=U$1,ROW(U92)-5=U$1+1),VLOOKUP(U$3,Summary!$B$2:$L$35,3,FALSE),0)</f>
        <v>0</v>
      </c>
      <c r="V92" s="259">
        <f>IF(OR(ROW(V92)-5=V$1,ROW(V92)-5=V$1+1),VLOOKUP(V$3,Summary!$B$2:$L$35,3,FALSE),0)</f>
        <v>0</v>
      </c>
      <c r="W92" s="259">
        <f>IF(OR(ROW(W92)-5=W$1,ROW(W92)-5=W$1+1),VLOOKUP(W$3,Summary!$B$2:$L$35,3,FALSE),0)</f>
        <v>0</v>
      </c>
      <c r="X92" s="259">
        <f>IF(OR(ROW(X92)-5=X$1,ROW(X92)-5=X$1+1),VLOOKUP(X$3,Summary!$B$2:$L$35,3,FALSE),0)</f>
        <v>0</v>
      </c>
      <c r="Y92" s="259">
        <f>IF(OR(ROW(Y92)-5=Y$1,ROW(Y92)-5=Y$1+1),VLOOKUP(Y$3,Summary!$B$2:$L$35,3,FALSE),0)</f>
        <v>0</v>
      </c>
      <c r="Z92" s="259">
        <f>IF(OR(ROW(Z92)-5=Z$1,ROW(Z92)-5=Z$1+1),VLOOKUP(Z$3,Summary!$B$2:$L$35,3,FALSE),0)</f>
        <v>0</v>
      </c>
      <c r="AA92" s="259">
        <f>IF(OR(ROW(AA92)-5=AA$1,ROW(AA92)-5=AA$1+1),VLOOKUP(AA$3,Summary!$B$2:$L$35,3,FALSE),0)</f>
        <v>0</v>
      </c>
      <c r="AB92" s="259">
        <f>IF(OR(ROW(AB92)-5=AB$1,ROW(AB92)-5=AB$1+1),VLOOKUP(AB$3,Summary!$B$2:$L$35,3,FALSE),0)</f>
        <v>0</v>
      </c>
      <c r="AC92" s="259">
        <f>IF(OR(ROW(AC92)-5=AC$1,ROW(AC92)-5=AC$1+1),VLOOKUP(AC$3,Summary!$B$2:$L$35,3,FALSE),0)</f>
        <v>0</v>
      </c>
      <c r="AD92" s="259">
        <f>IF(OR(ROW(AD92)-5=AD$1,ROW(AD92)-5=AD$1+1),VLOOKUP(AD$3,Summary!$B$2:$L$35,3,FALSE),0)</f>
        <v>0</v>
      </c>
      <c r="AE92" s="259">
        <f>IF(OR(ROW(AE92)-5=AE$1,ROW(AE92)-5=AE$1+1),VLOOKUP(AE$3,Summary!$B$2:$L$35,3,FALSE),0)</f>
        <v>0</v>
      </c>
      <c r="AF92" s="331" t="e">
        <f t="shared" ca="1" si="8"/>
        <v>#N/A</v>
      </c>
    </row>
    <row r="93" spans="1:32" hidden="1">
      <c r="A93" s="259" t="e">
        <f ca="1">OFFSET(Summary!$I$2,TRUNC((ROW(A93)-ROW($A$7))/3,0),0)/1000</f>
        <v>#VALUE!</v>
      </c>
      <c r="B93" s="259">
        <f>IF(OR(ROW(B93)-5=B$1,ROW(B93)-5=B$1+1),VLOOKUP(B$3,Summary!$B$2:$L$35,3,FALSE),0)</f>
        <v>0</v>
      </c>
      <c r="C93" s="259">
        <f>IF(OR(ROW(C93)-5=C$1,ROW(C93)-5=C$1+1),VLOOKUP(C$3,Summary!$B$2:$L$35,3,FALSE),0)</f>
        <v>0</v>
      </c>
      <c r="D93" s="259">
        <f>IF(OR(ROW(D93)-5=D$1,ROW(D93)-5=D$1+1),VLOOKUP(D$3,Summary!$B$2:$L$35,3,FALSE),0)</f>
        <v>0</v>
      </c>
      <c r="E93" s="259">
        <f>IF(OR(ROW(E93)-5=E$1,ROW(E93)-5=E$1+1),VLOOKUP(E$3,Summary!$B$2:$L$35,3,FALSE),0)</f>
        <v>0</v>
      </c>
      <c r="F93" s="259">
        <f>IF(OR(ROW(F93)-5=F$1,ROW(F93)-5=F$1+1),VLOOKUP(F$3,Summary!$B$2:$L$35,3,FALSE),0)</f>
        <v>0</v>
      </c>
      <c r="G93" s="259">
        <f>IF(OR(ROW(G93)-5=G$1,ROW(G93)-5=G$1+1),VLOOKUP(G$3,Summary!$B$2:$L$35,3,FALSE),0)</f>
        <v>0</v>
      </c>
      <c r="H93" s="259">
        <f>IF(OR(ROW(H93)-5=H$1,ROW(H93)-5=H$1+1),VLOOKUP(H$3,Summary!$B$2:$L$35,3,FALSE),0)</f>
        <v>0</v>
      </c>
      <c r="I93" s="259">
        <f>IF(OR(ROW(I93)-5=I$1,ROW(I93)-5=I$1+1),VLOOKUP(I$3,Summary!$B$2:$L$35,3,FALSE),0)</f>
        <v>0</v>
      </c>
      <c r="J93" s="259">
        <f>IF(OR(ROW(J93)-5=J$1,ROW(J93)-5=J$1+1),VLOOKUP(J$3,Summary!$B$2:$L$35,3,FALSE),0)</f>
        <v>0</v>
      </c>
      <c r="K93" s="259">
        <f>IF(OR(ROW(K93)-5=K$1,ROW(K93)-5=K$1+1),VLOOKUP(K$3,Summary!$B$2:$L$35,3,FALSE),0)</f>
        <v>0</v>
      </c>
      <c r="L93" s="259">
        <f>IF(OR(ROW(L93)-5=L$1,ROW(L93)-5=L$1+1),VLOOKUP(L$3,Summary!$B$2:$L$35,3,FALSE),0)</f>
        <v>0</v>
      </c>
      <c r="M93" s="259">
        <f>IF(OR(ROW(M93)-5=M$1,ROW(M93)-5=M$1+1),VLOOKUP(M$3,Summary!$B$2:$L$35,3,FALSE),0)</f>
        <v>0</v>
      </c>
      <c r="N93" s="259">
        <f>IF(OR(ROW(N93)-5=N$1,ROW(N93)-5=N$1+1),VLOOKUP(N$3,Summary!$B$2:$L$35,3,FALSE),0)</f>
        <v>0</v>
      </c>
      <c r="O93" s="259">
        <f>IF(OR(ROW(O93)-5=O$1,ROW(O93)-5=O$1+1),VLOOKUP(O$3,Summary!$B$2:$L$35,3,FALSE),0)</f>
        <v>0</v>
      </c>
      <c r="P93" s="259">
        <f>IF(OR(ROW(P93)-5=P$1,ROW(P93)-5=P$1+1),VLOOKUP(P$3,Summary!$B$2:$L$35,3,FALSE),0)</f>
        <v>0</v>
      </c>
      <c r="Q93" s="259">
        <f>IF(OR(ROW(Q93)-5=Q$1,ROW(Q93)-5=Q$1+1),VLOOKUP(Q$3,Summary!$B$2:$L$35,3,FALSE),0)</f>
        <v>0</v>
      </c>
      <c r="R93" s="259">
        <f>IF(OR(ROW(R93)-5=R$1,ROW(R93)-5=R$1+1),VLOOKUP(R$3,Summary!$B$2:$L$35,3,FALSE),0)</f>
        <v>0</v>
      </c>
      <c r="S93" s="259">
        <f>IF(OR(ROW(S93)-5=S$1,ROW(S93)-5=S$1+1),VLOOKUP(S$3,Summary!$B$2:$L$35,3,FALSE),0)</f>
        <v>0</v>
      </c>
      <c r="T93" s="259">
        <f>IF(OR(ROW(T93)-5=T$1,ROW(T93)-5=T$1+1),VLOOKUP(T$3,Summary!$B$2:$L$35,3,FALSE),0)</f>
        <v>0</v>
      </c>
      <c r="U93" s="259">
        <f>IF(OR(ROW(U93)-5=U$1,ROW(U93)-5=U$1+1),VLOOKUP(U$3,Summary!$B$2:$L$35,3,FALSE),0)</f>
        <v>0</v>
      </c>
      <c r="V93" s="259">
        <f>IF(OR(ROW(V93)-5=V$1,ROW(V93)-5=V$1+1),VLOOKUP(V$3,Summary!$B$2:$L$35,3,FALSE),0)</f>
        <v>0</v>
      </c>
      <c r="W93" s="259">
        <f>IF(OR(ROW(W93)-5=W$1,ROW(W93)-5=W$1+1),VLOOKUP(W$3,Summary!$B$2:$L$35,3,FALSE),0)</f>
        <v>0</v>
      </c>
      <c r="X93" s="259">
        <f>IF(OR(ROW(X93)-5=X$1,ROW(X93)-5=X$1+1),VLOOKUP(X$3,Summary!$B$2:$L$35,3,FALSE),0)</f>
        <v>0</v>
      </c>
      <c r="Y93" s="259">
        <f>IF(OR(ROW(Y93)-5=Y$1,ROW(Y93)-5=Y$1+1),VLOOKUP(Y$3,Summary!$B$2:$L$35,3,FALSE),0)</f>
        <v>0</v>
      </c>
      <c r="Z93" s="259">
        <f>IF(OR(ROW(Z93)-5=Z$1,ROW(Z93)-5=Z$1+1),VLOOKUP(Z$3,Summary!$B$2:$L$35,3,FALSE),0)</f>
        <v>0</v>
      </c>
      <c r="AA93" s="259">
        <f>IF(OR(ROW(AA93)-5=AA$1,ROW(AA93)-5=AA$1+1),VLOOKUP(AA$3,Summary!$B$2:$L$35,3,FALSE),0)</f>
        <v>0</v>
      </c>
      <c r="AB93" s="259">
        <f>IF(OR(ROW(AB93)-5=AB$1,ROW(AB93)-5=AB$1+1),VLOOKUP(AB$3,Summary!$B$2:$L$35,3,FALSE),0)</f>
        <v>0</v>
      </c>
      <c r="AC93" s="259">
        <f>IF(OR(ROW(AC93)-5=AC$1,ROW(AC93)-5=AC$1+1),VLOOKUP(AC$3,Summary!$B$2:$L$35,3,FALSE),0)</f>
        <v>0</v>
      </c>
      <c r="AD93" s="259">
        <f>IF(OR(ROW(AD93)-5=AD$1,ROW(AD93)-5=AD$1+1),VLOOKUP(AD$3,Summary!$B$2:$L$35,3,FALSE),0)</f>
        <v>0</v>
      </c>
      <c r="AE93" s="259" t="str">
        <f ca="1">IF(OR(ROW(AE93)-5=AE$1,ROW(AE93)-5=AE$1+1),VLOOKUP(AE$3,Summary!$B$2:$L$35,3,FALSE),0)</f>
        <v/>
      </c>
      <c r="AF93" s="331" t="e">
        <f t="shared" ca="1" si="8"/>
        <v>#N/A</v>
      </c>
    </row>
    <row r="94" spans="1:32" hidden="1">
      <c r="A94" s="259" t="e">
        <f ca="1">OFFSET(Summary!$I$2,TRUNC((ROW(A94)-ROW($A$7))/3,0),0)/1000</f>
        <v>#VALUE!</v>
      </c>
      <c r="B94" s="259">
        <f>IF(OR(ROW(B94)-5=B$1,ROW(B94)-5=B$1+1),VLOOKUP(B$3,Summary!$B$2:$L$35,3,FALSE),0)</f>
        <v>0</v>
      </c>
      <c r="C94" s="259">
        <f>IF(OR(ROW(C94)-5=C$1,ROW(C94)-5=C$1+1),VLOOKUP(C$3,Summary!$B$2:$L$35,3,FALSE),0)</f>
        <v>0</v>
      </c>
      <c r="D94" s="259">
        <f>IF(OR(ROW(D94)-5=D$1,ROW(D94)-5=D$1+1),VLOOKUP(D$3,Summary!$B$2:$L$35,3,FALSE),0)</f>
        <v>0</v>
      </c>
      <c r="E94" s="259">
        <f>IF(OR(ROW(E94)-5=E$1,ROW(E94)-5=E$1+1),VLOOKUP(E$3,Summary!$B$2:$L$35,3,FALSE),0)</f>
        <v>0</v>
      </c>
      <c r="F94" s="259">
        <f>IF(OR(ROW(F94)-5=F$1,ROW(F94)-5=F$1+1),VLOOKUP(F$3,Summary!$B$2:$L$35,3,FALSE),0)</f>
        <v>0</v>
      </c>
      <c r="G94" s="259">
        <f>IF(OR(ROW(G94)-5=G$1,ROW(G94)-5=G$1+1),VLOOKUP(G$3,Summary!$B$2:$L$35,3,FALSE),0)</f>
        <v>0</v>
      </c>
      <c r="H94" s="259">
        <f>IF(OR(ROW(H94)-5=H$1,ROW(H94)-5=H$1+1),VLOOKUP(H$3,Summary!$B$2:$L$35,3,FALSE),0)</f>
        <v>0</v>
      </c>
      <c r="I94" s="259">
        <f>IF(OR(ROW(I94)-5=I$1,ROW(I94)-5=I$1+1),VLOOKUP(I$3,Summary!$B$2:$L$35,3,FALSE),0)</f>
        <v>0</v>
      </c>
      <c r="J94" s="259">
        <f>IF(OR(ROW(J94)-5=J$1,ROW(J94)-5=J$1+1),VLOOKUP(J$3,Summary!$B$2:$L$35,3,FALSE),0)</f>
        <v>0</v>
      </c>
      <c r="K94" s="259">
        <f>IF(OR(ROW(K94)-5=K$1,ROW(K94)-5=K$1+1),VLOOKUP(K$3,Summary!$B$2:$L$35,3,FALSE),0)</f>
        <v>0</v>
      </c>
      <c r="L94" s="259">
        <f>IF(OR(ROW(L94)-5=L$1,ROW(L94)-5=L$1+1),VLOOKUP(L$3,Summary!$B$2:$L$35,3,FALSE),0)</f>
        <v>0</v>
      </c>
      <c r="M94" s="259">
        <f>IF(OR(ROW(M94)-5=M$1,ROW(M94)-5=M$1+1),VLOOKUP(M$3,Summary!$B$2:$L$35,3,FALSE),0)</f>
        <v>0</v>
      </c>
      <c r="N94" s="259">
        <f>IF(OR(ROW(N94)-5=N$1,ROW(N94)-5=N$1+1),VLOOKUP(N$3,Summary!$B$2:$L$35,3,FALSE),0)</f>
        <v>0</v>
      </c>
      <c r="O94" s="259">
        <f>IF(OR(ROW(O94)-5=O$1,ROW(O94)-5=O$1+1),VLOOKUP(O$3,Summary!$B$2:$L$35,3,FALSE),0)</f>
        <v>0</v>
      </c>
      <c r="P94" s="259">
        <f>IF(OR(ROW(P94)-5=P$1,ROW(P94)-5=P$1+1),VLOOKUP(P$3,Summary!$B$2:$L$35,3,FALSE),0)</f>
        <v>0</v>
      </c>
      <c r="Q94" s="259">
        <f>IF(OR(ROW(Q94)-5=Q$1,ROW(Q94)-5=Q$1+1),VLOOKUP(Q$3,Summary!$B$2:$L$35,3,FALSE),0)</f>
        <v>0</v>
      </c>
      <c r="R94" s="259">
        <f>IF(OR(ROW(R94)-5=R$1,ROW(R94)-5=R$1+1),VLOOKUP(R$3,Summary!$B$2:$L$35,3,FALSE),0)</f>
        <v>0</v>
      </c>
      <c r="S94" s="259">
        <f>IF(OR(ROW(S94)-5=S$1,ROW(S94)-5=S$1+1),VLOOKUP(S$3,Summary!$B$2:$L$35,3,FALSE),0)</f>
        <v>0</v>
      </c>
      <c r="T94" s="259">
        <f>IF(OR(ROW(T94)-5=T$1,ROW(T94)-5=T$1+1),VLOOKUP(T$3,Summary!$B$2:$L$35,3,FALSE),0)</f>
        <v>0</v>
      </c>
      <c r="U94" s="259">
        <f>IF(OR(ROW(U94)-5=U$1,ROW(U94)-5=U$1+1),VLOOKUP(U$3,Summary!$B$2:$L$35,3,FALSE),0)</f>
        <v>0</v>
      </c>
      <c r="V94" s="259">
        <f>IF(OR(ROW(V94)-5=V$1,ROW(V94)-5=V$1+1),VLOOKUP(V$3,Summary!$B$2:$L$35,3,FALSE),0)</f>
        <v>0</v>
      </c>
      <c r="W94" s="259">
        <f>IF(OR(ROW(W94)-5=W$1,ROW(W94)-5=W$1+1),VLOOKUP(W$3,Summary!$B$2:$L$35,3,FALSE),0)</f>
        <v>0</v>
      </c>
      <c r="X94" s="259">
        <f>IF(OR(ROW(X94)-5=X$1,ROW(X94)-5=X$1+1),VLOOKUP(X$3,Summary!$B$2:$L$35,3,FALSE),0)</f>
        <v>0</v>
      </c>
      <c r="Y94" s="259">
        <f>IF(OR(ROW(Y94)-5=Y$1,ROW(Y94)-5=Y$1+1),VLOOKUP(Y$3,Summary!$B$2:$L$35,3,FALSE),0)</f>
        <v>0</v>
      </c>
      <c r="Z94" s="259">
        <f>IF(OR(ROW(Z94)-5=Z$1,ROW(Z94)-5=Z$1+1),VLOOKUP(Z$3,Summary!$B$2:$L$35,3,FALSE),0)</f>
        <v>0</v>
      </c>
      <c r="AA94" s="259">
        <f>IF(OR(ROW(AA94)-5=AA$1,ROW(AA94)-5=AA$1+1),VLOOKUP(AA$3,Summary!$B$2:$L$35,3,FALSE),0)</f>
        <v>0</v>
      </c>
      <c r="AB94" s="259">
        <f>IF(OR(ROW(AB94)-5=AB$1,ROW(AB94)-5=AB$1+1),VLOOKUP(AB$3,Summary!$B$2:$L$35,3,FALSE),0)</f>
        <v>0</v>
      </c>
      <c r="AC94" s="259">
        <f>IF(OR(ROW(AC94)-5=AC$1,ROW(AC94)-5=AC$1+1),VLOOKUP(AC$3,Summary!$B$2:$L$35,3,FALSE),0)</f>
        <v>0</v>
      </c>
      <c r="AD94" s="259">
        <f>IF(OR(ROW(AD94)-5=AD$1,ROW(AD94)-5=AD$1+1),VLOOKUP(AD$3,Summary!$B$2:$L$35,3,FALSE),0)</f>
        <v>0</v>
      </c>
      <c r="AE94" s="259" t="str">
        <f ca="1">IF(OR(ROW(AE94)-5=AE$1,ROW(AE94)-5=AE$1+1),VLOOKUP(AE$3,Summary!$B$2:$L$35,3,FALSE),0)</f>
        <v/>
      </c>
      <c r="AF94" s="331" t="e">
        <f t="shared" ca="1" si="8"/>
        <v>#N/A</v>
      </c>
    </row>
    <row r="95" spans="1:32" hidden="1">
      <c r="A95" s="259" t="e">
        <f ca="1">OFFSET(Summary!$I$2,TRUNC((ROW(A95)-ROW($A$7))/3,0),0)/1000</f>
        <v>#VALUE!</v>
      </c>
      <c r="B95" s="259">
        <f>IF(OR(ROW(B95)-5=B$1,ROW(B95)-5=B$1+1),VLOOKUP(B$3,Summary!$B$2:$L$35,3,FALSE),0)</f>
        <v>0</v>
      </c>
      <c r="C95" s="259">
        <f>IF(OR(ROW(C95)-5=C$1,ROW(C95)-5=C$1+1),VLOOKUP(C$3,Summary!$B$2:$L$35,3,FALSE),0)</f>
        <v>0</v>
      </c>
      <c r="D95" s="259">
        <f>IF(OR(ROW(D95)-5=D$1,ROW(D95)-5=D$1+1),VLOOKUP(D$3,Summary!$B$2:$L$35,3,FALSE),0)</f>
        <v>0</v>
      </c>
      <c r="E95" s="259">
        <f>IF(OR(ROW(E95)-5=E$1,ROW(E95)-5=E$1+1),VLOOKUP(E$3,Summary!$B$2:$L$35,3,FALSE),0)</f>
        <v>0</v>
      </c>
      <c r="F95" s="259">
        <f>IF(OR(ROW(F95)-5=F$1,ROW(F95)-5=F$1+1),VLOOKUP(F$3,Summary!$B$2:$L$35,3,FALSE),0)</f>
        <v>0</v>
      </c>
      <c r="G95" s="259">
        <f>IF(OR(ROW(G95)-5=G$1,ROW(G95)-5=G$1+1),VLOOKUP(G$3,Summary!$B$2:$L$35,3,FALSE),0)</f>
        <v>0</v>
      </c>
      <c r="H95" s="259">
        <f>IF(OR(ROW(H95)-5=H$1,ROW(H95)-5=H$1+1),VLOOKUP(H$3,Summary!$B$2:$L$35,3,FALSE),0)</f>
        <v>0</v>
      </c>
      <c r="I95" s="259">
        <f>IF(OR(ROW(I95)-5=I$1,ROW(I95)-5=I$1+1),VLOOKUP(I$3,Summary!$B$2:$L$35,3,FALSE),0)</f>
        <v>0</v>
      </c>
      <c r="J95" s="259">
        <f>IF(OR(ROW(J95)-5=J$1,ROW(J95)-5=J$1+1),VLOOKUP(J$3,Summary!$B$2:$L$35,3,FALSE),0)</f>
        <v>0</v>
      </c>
      <c r="K95" s="259">
        <f>IF(OR(ROW(K95)-5=K$1,ROW(K95)-5=K$1+1),VLOOKUP(K$3,Summary!$B$2:$L$35,3,FALSE),0)</f>
        <v>0</v>
      </c>
      <c r="L95" s="259">
        <f>IF(OR(ROW(L95)-5=L$1,ROW(L95)-5=L$1+1),VLOOKUP(L$3,Summary!$B$2:$L$35,3,FALSE),0)</f>
        <v>0</v>
      </c>
      <c r="M95" s="259">
        <f>IF(OR(ROW(M95)-5=M$1,ROW(M95)-5=M$1+1),VLOOKUP(M$3,Summary!$B$2:$L$35,3,FALSE),0)</f>
        <v>0</v>
      </c>
      <c r="N95" s="259">
        <f>IF(OR(ROW(N95)-5=N$1,ROW(N95)-5=N$1+1),VLOOKUP(N$3,Summary!$B$2:$L$35,3,FALSE),0)</f>
        <v>0</v>
      </c>
      <c r="O95" s="259">
        <f>IF(OR(ROW(O95)-5=O$1,ROW(O95)-5=O$1+1),VLOOKUP(O$3,Summary!$B$2:$L$35,3,FALSE),0)</f>
        <v>0</v>
      </c>
      <c r="P95" s="259">
        <f>IF(OR(ROW(P95)-5=P$1,ROW(P95)-5=P$1+1),VLOOKUP(P$3,Summary!$B$2:$L$35,3,FALSE),0)</f>
        <v>0</v>
      </c>
      <c r="Q95" s="259">
        <f>IF(OR(ROW(Q95)-5=Q$1,ROW(Q95)-5=Q$1+1),VLOOKUP(Q$3,Summary!$B$2:$L$35,3,FALSE),0)</f>
        <v>0</v>
      </c>
      <c r="R95" s="259">
        <f>IF(OR(ROW(R95)-5=R$1,ROW(R95)-5=R$1+1),VLOOKUP(R$3,Summary!$B$2:$L$35,3,FALSE),0)</f>
        <v>0</v>
      </c>
      <c r="S95" s="259">
        <f>IF(OR(ROW(S95)-5=S$1,ROW(S95)-5=S$1+1),VLOOKUP(S$3,Summary!$B$2:$L$35,3,FALSE),0)</f>
        <v>0</v>
      </c>
      <c r="T95" s="259">
        <f>IF(OR(ROW(T95)-5=T$1,ROW(T95)-5=T$1+1),VLOOKUP(T$3,Summary!$B$2:$L$35,3,FALSE),0)</f>
        <v>0</v>
      </c>
      <c r="U95" s="259">
        <f>IF(OR(ROW(U95)-5=U$1,ROW(U95)-5=U$1+1),VLOOKUP(U$3,Summary!$B$2:$L$35,3,FALSE),0)</f>
        <v>0</v>
      </c>
      <c r="V95" s="259">
        <f>IF(OR(ROW(V95)-5=V$1,ROW(V95)-5=V$1+1),VLOOKUP(V$3,Summary!$B$2:$L$35,3,FALSE),0)</f>
        <v>0</v>
      </c>
      <c r="W95" s="259">
        <f>IF(OR(ROW(W95)-5=W$1,ROW(W95)-5=W$1+1),VLOOKUP(W$3,Summary!$B$2:$L$35,3,FALSE),0)</f>
        <v>0</v>
      </c>
      <c r="X95" s="259">
        <f>IF(OR(ROW(X95)-5=X$1,ROW(X95)-5=X$1+1),VLOOKUP(X$3,Summary!$B$2:$L$35,3,FALSE),0)</f>
        <v>0</v>
      </c>
      <c r="Y95" s="259">
        <f>IF(OR(ROW(Y95)-5=Y$1,ROW(Y95)-5=Y$1+1),VLOOKUP(Y$3,Summary!$B$2:$L$35,3,FALSE),0)</f>
        <v>0</v>
      </c>
      <c r="Z95" s="259">
        <f>IF(OR(ROW(Z95)-5=Z$1,ROW(Z95)-5=Z$1+1),VLOOKUP(Z$3,Summary!$B$2:$L$35,3,FALSE),0)</f>
        <v>0</v>
      </c>
      <c r="AA95" s="259">
        <f>IF(OR(ROW(AA95)-5=AA$1,ROW(AA95)-5=AA$1+1),VLOOKUP(AA$3,Summary!$B$2:$L$35,3,FALSE),0)</f>
        <v>0</v>
      </c>
      <c r="AB95" s="259">
        <f>IF(OR(ROW(AB95)-5=AB$1,ROW(AB95)-5=AB$1+1),VLOOKUP(AB$3,Summary!$B$2:$L$35,3,FALSE),0)</f>
        <v>0</v>
      </c>
      <c r="AC95" s="259">
        <f>IF(OR(ROW(AC95)-5=AC$1,ROW(AC95)-5=AC$1+1),VLOOKUP(AC$3,Summary!$B$2:$L$35,3,FALSE),0)</f>
        <v>0</v>
      </c>
      <c r="AD95" s="259">
        <f>IF(OR(ROW(AD95)-5=AD$1,ROW(AD95)-5=AD$1+1),VLOOKUP(AD$3,Summary!$B$2:$L$35,3,FALSE),0)</f>
        <v>0</v>
      </c>
      <c r="AE95" s="259">
        <f>IF(OR(ROW(AE95)-5=AE$1,ROW(AE95)-5=AE$1+1),VLOOKUP(AE$3,Summary!$B$2:$L$35,3,FALSE),0)</f>
        <v>0</v>
      </c>
      <c r="AF95" s="331" t="e">
        <f t="shared" ca="1" si="8"/>
        <v>#N/A</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Sheet1111"/>
  <dimension ref="A1:AE91"/>
  <sheetViews>
    <sheetView zoomScale="90" zoomScaleNormal="90" workbookViewId="0">
      <selection activeCell="G1" sqref="G1:I1"/>
    </sheetView>
  </sheetViews>
  <sheetFormatPr defaultRowHeight="15"/>
  <cols>
    <col min="13" max="13" width="10.85546875" customWidth="1"/>
    <col min="14" max="14" width="4.140625" bestFit="1" customWidth="1"/>
    <col min="15" max="15" width="3" customWidth="1"/>
    <col min="16" max="16" width="44.7109375" customWidth="1"/>
  </cols>
  <sheetData>
    <row r="1" spans="1:31">
      <c r="A1" s="10"/>
      <c r="B1" s="10"/>
      <c r="C1" s="10"/>
      <c r="D1" s="1735" t="s">
        <v>385</v>
      </c>
      <c r="E1" s="1736"/>
      <c r="F1" s="1737"/>
      <c r="G1" s="1738" t="s">
        <v>384</v>
      </c>
      <c r="H1" s="1739"/>
      <c r="I1" s="1740"/>
      <c r="J1" s="1741" t="s">
        <v>382</v>
      </c>
      <c r="K1" s="1742"/>
      <c r="L1" s="1743"/>
      <c r="M1" s="10"/>
      <c r="N1" s="1744" t="s">
        <v>1463</v>
      </c>
      <c r="O1" s="10"/>
      <c r="P1" s="10"/>
      <c r="Q1" s="10"/>
      <c r="R1" s="10"/>
      <c r="S1" s="10"/>
      <c r="T1" s="10"/>
      <c r="U1" s="10"/>
      <c r="V1" s="10"/>
      <c r="W1" s="10"/>
      <c r="X1" s="10"/>
      <c r="Y1" s="10"/>
      <c r="Z1" s="10"/>
      <c r="AA1" s="10"/>
      <c r="AB1" s="10"/>
      <c r="AC1" s="10"/>
      <c r="AD1" s="10"/>
      <c r="AE1" s="10"/>
    </row>
    <row r="2" spans="1:31" ht="23.25" customHeight="1">
      <c r="A2" s="10"/>
      <c r="B2" s="10"/>
      <c r="C2" s="10"/>
      <c r="D2" s="10"/>
      <c r="E2" s="10"/>
      <c r="F2" s="10"/>
      <c r="G2" s="10"/>
      <c r="H2" s="10"/>
      <c r="I2" s="10"/>
      <c r="J2" s="10"/>
      <c r="K2" s="10"/>
      <c r="L2" s="10"/>
      <c r="M2" s="10"/>
      <c r="N2" s="1744"/>
      <c r="O2" s="10"/>
      <c r="P2" s="10"/>
      <c r="Q2" s="10"/>
      <c r="R2" s="10"/>
      <c r="S2" s="10"/>
      <c r="T2" s="10"/>
      <c r="U2" s="10"/>
      <c r="V2" s="10"/>
      <c r="W2" s="10"/>
      <c r="X2" s="10"/>
      <c r="Y2" s="10"/>
      <c r="Z2" s="10"/>
      <c r="AA2" s="10"/>
      <c r="AB2" s="10"/>
      <c r="AC2" s="10"/>
      <c r="AD2" s="10"/>
      <c r="AE2" s="10"/>
    </row>
    <row r="3" spans="1:31" ht="15" customHeight="1">
      <c r="A3" s="10"/>
      <c r="B3" s="10"/>
      <c r="C3" s="10"/>
      <c r="D3" s="10"/>
      <c r="E3" s="10"/>
      <c r="F3" s="10"/>
      <c r="G3" s="10"/>
      <c r="H3" s="10"/>
      <c r="I3" s="10"/>
      <c r="J3" s="10"/>
      <c r="K3" s="10"/>
      <c r="L3" s="10"/>
      <c r="M3" s="10"/>
      <c r="N3" s="52" t="s">
        <v>1501</v>
      </c>
      <c r="O3" s="52" t="str">
        <f ca="1">OFFSET(CurveData!$B$2,0,ROW(O3)-ROW($O$3))&amp;":"</f>
        <v>A:</v>
      </c>
      <c r="P3" s="1263" t="str">
        <f ca="1">IFERROR(HYPERLINK("#"&amp;CELL("address",INDIRECT(INDEX(List_of_Alternatives,MATCH(Summary!D2,Levelized_Cost,0)))),INDEX(OFFSET(List_of_Alternatives,0,1),MATCH(Summary!D2,Levelized_Cost,0))),"")</f>
        <v>Space Planning &amp; Management</v>
      </c>
      <c r="Q3" s="10"/>
      <c r="R3" s="10"/>
      <c r="S3" s="10"/>
      <c r="T3" s="10"/>
      <c r="U3" s="10"/>
      <c r="V3" s="10"/>
      <c r="W3" s="10"/>
      <c r="X3" s="10"/>
      <c r="Y3" s="10"/>
      <c r="Z3" s="10"/>
      <c r="AA3" s="10"/>
      <c r="AB3" s="10"/>
      <c r="AC3" s="10"/>
      <c r="AD3" s="10"/>
      <c r="AE3" s="10"/>
    </row>
    <row r="4" spans="1:31" ht="15" customHeight="1">
      <c r="A4" s="10"/>
      <c r="B4" s="10"/>
      <c r="C4" s="10"/>
      <c r="D4" s="10"/>
      <c r="E4" s="10"/>
      <c r="F4" s="10"/>
      <c r="G4" s="10"/>
      <c r="H4" s="10"/>
      <c r="I4" s="10"/>
      <c r="J4" s="10"/>
      <c r="K4" s="10"/>
      <c r="L4" s="10"/>
      <c r="M4" s="10"/>
      <c r="N4" s="52" t="s">
        <v>1501</v>
      </c>
      <c r="O4" s="52" t="str">
        <f ca="1">OFFSET(CurveData!$B$2,0,ROW(O4)-ROW($O$3))&amp;":"</f>
        <v>B:</v>
      </c>
      <c r="P4" s="1263" t="str">
        <f ca="1">IFERROR(HYPERLINK("#"&amp;CELL("address",INDIRECT(INDEX(List_of_Alternatives,MATCH(Summary!D3,Levelized_Cost,0)))),INDEX(OFFSET(List_of_Alternatives,0,1),MATCH(Summary!D3,Levelized_Cost,0))),"")</f>
        <v>Central Chiller Expansion</v>
      </c>
      <c r="Q4" s="10"/>
      <c r="R4" s="10"/>
      <c r="S4" s="10"/>
      <c r="T4" s="10"/>
      <c r="U4" s="10"/>
      <c r="V4" s="10"/>
      <c r="W4" s="10"/>
      <c r="X4" s="10"/>
      <c r="Y4" s="10"/>
      <c r="Z4" s="10"/>
      <c r="AA4" s="10"/>
      <c r="AB4" s="10"/>
      <c r="AC4" s="10"/>
      <c r="AD4" s="10"/>
      <c r="AE4" s="10"/>
    </row>
    <row r="5" spans="1:31" ht="15" customHeight="1">
      <c r="A5" s="10"/>
      <c r="B5" s="10"/>
      <c r="C5" s="10"/>
      <c r="D5" s="10"/>
      <c r="E5" s="10"/>
      <c r="F5" s="10"/>
      <c r="G5" s="10"/>
      <c r="H5" s="10"/>
      <c r="I5" s="10"/>
      <c r="J5" s="10"/>
      <c r="K5" s="10"/>
      <c r="L5" s="10"/>
      <c r="M5" s="10"/>
      <c r="N5" s="52"/>
      <c r="O5" s="52" t="str">
        <f ca="1">OFFSET(CurveData!$B$2,0,ROW(O5)-ROW($O$3))&amp;":"</f>
        <v>C:</v>
      </c>
      <c r="P5" s="1263" t="str">
        <f ca="1">IFERROR(HYPERLINK("#"&amp;CELL("address",INDIRECT(INDEX(List_of_Alternatives,MATCH(Summary!D4,Levelized_Cost,0)))),INDEX(OFFSET(List_of_Alternatives,0,1),MATCH(Summary!D4,Levelized_Cost,0))),"")</f>
        <v>Reduced Air Travel</v>
      </c>
      <c r="Q5" s="10"/>
      <c r="R5" s="10"/>
      <c r="S5" s="10"/>
      <c r="T5" s="10"/>
      <c r="U5" s="10"/>
      <c r="V5" s="10"/>
      <c r="W5" s="10"/>
      <c r="X5" s="10"/>
      <c r="Y5" s="10"/>
      <c r="Z5" s="10"/>
      <c r="AA5" s="10"/>
      <c r="AB5" s="10"/>
      <c r="AC5" s="10"/>
      <c r="AD5" s="10"/>
      <c r="AE5" s="10"/>
    </row>
    <row r="6" spans="1:31" ht="15" customHeight="1">
      <c r="A6" s="10"/>
      <c r="B6" s="10"/>
      <c r="C6" s="10"/>
      <c r="D6" s="10"/>
      <c r="E6" s="10"/>
      <c r="F6" s="10"/>
      <c r="G6" s="10"/>
      <c r="H6" s="10"/>
      <c r="I6" s="10"/>
      <c r="J6" s="10"/>
      <c r="K6" s="10"/>
      <c r="L6" s="10"/>
      <c r="M6" s="10"/>
      <c r="N6" s="52"/>
      <c r="O6" s="52" t="str">
        <f ca="1">OFFSET(CurveData!$B$2,0,ROW(O6)-ROW($O$3))&amp;":"</f>
        <v>D:</v>
      </c>
      <c r="P6" s="1263" t="str">
        <f ca="1">IFERROR(HYPERLINK("#"&amp;CELL("address",INDIRECT(INDEX(List_of_Alternatives,MATCH(Summary!D5,Levelized_Cost,0)))),INDEX(OFFSET(List_of_Alternatives,0,1),MATCH(Summary!D5,Levelized_Cost,0))),"")</f>
        <v>Green IT</v>
      </c>
      <c r="Q6" s="10"/>
      <c r="R6" s="10"/>
      <c r="S6" s="10"/>
      <c r="T6" s="10"/>
      <c r="U6" s="10"/>
      <c r="V6" s="10"/>
      <c r="W6" s="10"/>
      <c r="X6" s="10"/>
      <c r="Y6" s="10"/>
      <c r="Z6" s="10"/>
      <c r="AA6" s="10"/>
      <c r="AB6" s="10"/>
      <c r="AC6" s="10"/>
      <c r="AD6" s="10"/>
      <c r="AE6" s="10"/>
    </row>
    <row r="7" spans="1:31" ht="15" customHeight="1">
      <c r="A7" s="10"/>
      <c r="B7" s="10"/>
      <c r="C7" s="10"/>
      <c r="D7" s="10"/>
      <c r="E7" s="10"/>
      <c r="F7" s="10"/>
      <c r="G7" s="10"/>
      <c r="H7" s="10"/>
      <c r="I7" s="10"/>
      <c r="J7" s="10"/>
      <c r="K7" s="10"/>
      <c r="L7" s="10"/>
      <c r="M7" s="10"/>
      <c r="N7" s="52"/>
      <c r="O7" s="52" t="str">
        <f ca="1">OFFSET(CurveData!$B$2,0,ROW(O7)-ROW($O$3))&amp;":"</f>
        <v>E:</v>
      </c>
      <c r="P7" s="1263" t="str">
        <f ca="1">IFERROR(HYPERLINK("#"&amp;CELL("address",INDIRECT(INDEX(List_of_Alternatives,MATCH(Summary!D6,Levelized_Cost,0)))),INDEX(OFFSET(List_of_Alternatives,0,1),MATCH(Summary!D6,Levelized_Cost,0))),"")</f>
        <v>Short-term Energy Conservation Measures</v>
      </c>
      <c r="Q7" s="10"/>
      <c r="R7" s="10"/>
      <c r="S7" s="10"/>
      <c r="T7" s="10"/>
      <c r="U7" s="10"/>
      <c r="V7" s="10"/>
      <c r="W7" s="10"/>
      <c r="X7" s="10"/>
      <c r="Y7" s="10"/>
      <c r="Z7" s="10"/>
      <c r="AA7" s="10"/>
      <c r="AB7" s="10"/>
      <c r="AC7" s="10"/>
      <c r="AD7" s="10"/>
      <c r="AE7" s="10"/>
    </row>
    <row r="8" spans="1:31" ht="15" customHeight="1">
      <c r="A8" s="10"/>
      <c r="B8" s="10"/>
      <c r="C8" s="10"/>
      <c r="D8" s="10"/>
      <c r="E8" s="10"/>
      <c r="F8" s="10"/>
      <c r="G8" s="10"/>
      <c r="H8" s="10"/>
      <c r="I8" s="10"/>
      <c r="J8" s="10"/>
      <c r="K8" s="10"/>
      <c r="L8" s="10"/>
      <c r="M8" s="10"/>
      <c r="N8" s="52"/>
      <c r="O8" s="52" t="str">
        <f ca="1">OFFSET(CurveData!$B$2,0,ROW(O8)-ROW($O$3))&amp;":"</f>
        <v>F:</v>
      </c>
      <c r="P8" s="1263" t="str">
        <f ca="1">IFERROR(HYPERLINK("#"&amp;CELL("address",INDIRECT(INDEX(List_of_Alternatives,MATCH(Summary!D7,Levelized_Cost,0)))),INDEX(OFFSET(List_of_Alternatives,0,1),MATCH(Summary!D7,Levelized_Cost,0))),"")</f>
        <v>Behavior Change</v>
      </c>
      <c r="Q8" s="10"/>
      <c r="R8" s="10"/>
      <c r="S8" s="10"/>
      <c r="T8" s="10"/>
      <c r="U8" s="10"/>
      <c r="V8" s="10"/>
      <c r="W8" s="10"/>
      <c r="X8" s="10"/>
      <c r="Y8" s="10"/>
      <c r="Z8" s="10"/>
      <c r="AA8" s="10"/>
      <c r="AB8" s="10"/>
      <c r="AC8" s="10"/>
      <c r="AD8" s="10"/>
      <c r="AE8" s="10"/>
    </row>
    <row r="9" spans="1:31" ht="15" customHeight="1">
      <c r="A9" s="10"/>
      <c r="B9" s="10"/>
      <c r="C9" s="10"/>
      <c r="D9" s="10"/>
      <c r="E9" s="10"/>
      <c r="F9" s="10"/>
      <c r="G9" s="10"/>
      <c r="H9" s="10"/>
      <c r="I9" s="10"/>
      <c r="J9" s="10"/>
      <c r="K9" s="10"/>
      <c r="L9" s="10"/>
      <c r="M9" s="10"/>
      <c r="N9" s="52"/>
      <c r="O9" s="52" t="str">
        <f ca="1">OFFSET(CurveData!$B$2,0,ROW(O9)-ROW($O$3))&amp;":"</f>
        <v>G:</v>
      </c>
      <c r="P9" s="1263" t="str">
        <f ca="1">IFERROR(HYPERLINK("#"&amp;CELL("address",INDIRECT(INDEX(List_of_Alternatives,MATCH(Summary!D8,Levelized_Cost,0)))),INDEX(OFFSET(List_of_Alternatives,0,1),MATCH(Summary!D8,Levelized_Cost,0))),"")</f>
        <v>Steam Line Improvements</v>
      </c>
      <c r="Q9" s="10"/>
      <c r="R9" s="10"/>
      <c r="S9" s="10"/>
      <c r="T9" s="10"/>
      <c r="U9" s="10"/>
      <c r="V9" s="10"/>
      <c r="W9" s="10"/>
      <c r="X9" s="10"/>
      <c r="Y9" s="10"/>
      <c r="Z9" s="10"/>
      <c r="AA9" s="10"/>
      <c r="AB9" s="10"/>
      <c r="AC9" s="10"/>
      <c r="AD9" s="10"/>
      <c r="AE9" s="10"/>
    </row>
    <row r="10" spans="1:31" ht="15" customHeight="1">
      <c r="A10" s="10"/>
      <c r="B10" s="10"/>
      <c r="C10" s="10"/>
      <c r="D10" s="10"/>
      <c r="E10" s="10"/>
      <c r="F10" s="10"/>
      <c r="G10" s="10"/>
      <c r="H10" s="10"/>
      <c r="I10" s="10"/>
      <c r="J10" s="10"/>
      <c r="K10" s="10"/>
      <c r="L10" s="10"/>
      <c r="M10" s="10"/>
      <c r="N10" s="52"/>
      <c r="O10" s="52" t="str">
        <f ca="1">OFFSET(CurveData!$B$2,0,ROW(O10)-ROW($O$3))&amp;":"</f>
        <v>H:</v>
      </c>
      <c r="P10" s="1263" t="str">
        <f ca="1">IFERROR(HYPERLINK("#"&amp;CELL("address",INDIRECT(INDEX(List_of_Alternatives,MATCH(Summary!D9,Levelized_Cost,0)))),INDEX(OFFSET(List_of_Alternatives,0,1),MATCH(Summary!D9,Levelized_Cost,0))),"")</f>
        <v>Mid-term Energy Conservation Measures</v>
      </c>
      <c r="Q10" s="10"/>
      <c r="R10" s="10"/>
      <c r="S10" s="10"/>
      <c r="T10" s="10"/>
      <c r="U10" s="10"/>
      <c r="V10" s="10"/>
      <c r="W10" s="10"/>
      <c r="X10" s="10"/>
      <c r="Y10" s="10"/>
      <c r="Z10" s="10"/>
      <c r="AA10" s="10"/>
      <c r="AB10" s="10"/>
      <c r="AC10" s="10"/>
      <c r="AD10" s="10"/>
      <c r="AE10" s="10"/>
    </row>
    <row r="11" spans="1:31" ht="15" customHeight="1">
      <c r="A11" s="10"/>
      <c r="B11" s="10"/>
      <c r="C11" s="10"/>
      <c r="D11" s="10"/>
      <c r="E11" s="10"/>
      <c r="F11" s="10"/>
      <c r="G11" s="10"/>
      <c r="H11" s="10"/>
      <c r="I11" s="10"/>
      <c r="J11" s="10"/>
      <c r="K11" s="10"/>
      <c r="L11" s="10"/>
      <c r="M11" s="10"/>
      <c r="N11" s="52"/>
      <c r="O11" s="52" t="str">
        <f ca="1">OFFSET(CurveData!$B$2,0,ROW(O11)-ROW($O$3))&amp;":"</f>
        <v>I:</v>
      </c>
      <c r="P11" s="1263" t="str">
        <f ca="1">IFERROR(HYPERLINK("#"&amp;CELL("address",INDIRECT(INDEX(List_of_Alternatives,MATCH(Summary!D10,Levelized_Cost,0)))),INDEX(OFFSET(List_of_Alternatives,0,1),MATCH(Summary!D10,Levelized_Cost,0))),"")</f>
        <v>Long-term Energy Conservation Measures</v>
      </c>
      <c r="Q11" s="10"/>
      <c r="R11" s="10"/>
      <c r="S11" s="10"/>
      <c r="T11" s="10"/>
      <c r="U11" s="10"/>
      <c r="V11" s="10"/>
      <c r="W11" s="10"/>
      <c r="X11" s="10"/>
      <c r="Y11" s="10"/>
      <c r="Z11" s="10"/>
      <c r="AA11" s="10"/>
      <c r="AB11" s="10"/>
      <c r="AC11" s="10"/>
      <c r="AD11" s="10"/>
      <c r="AE11" s="10"/>
    </row>
    <row r="12" spans="1:31" ht="15" customHeight="1">
      <c r="A12" s="10"/>
      <c r="B12" s="10"/>
      <c r="C12" s="10"/>
      <c r="D12" s="10"/>
      <c r="E12" s="10"/>
      <c r="F12" s="10"/>
      <c r="G12" s="10"/>
      <c r="H12" s="10"/>
      <c r="I12" s="10"/>
      <c r="J12" s="10"/>
      <c r="K12" s="10"/>
      <c r="L12" s="10"/>
      <c r="M12" s="10"/>
      <c r="N12" s="52"/>
      <c r="O12" s="52" t="str">
        <f ca="1">OFFSET(CurveData!$B$2,0,ROW(O12)-ROW($O$3))&amp;":"</f>
        <v>J:</v>
      </c>
      <c r="P12" s="1263" t="str">
        <f ca="1">IFERROR(HYPERLINK("#"&amp;CELL("address",INDIRECT(INDEX(List_of_Alternatives,MATCH(Summary!D11,Levelized_Cost,0)))),INDEX(OFFSET(List_of_Alternatives,0,1),MATCH(Summary!D11,Levelized_Cost,0))),"")</f>
        <v>Building Design &amp; Construction Standards</v>
      </c>
      <c r="Q12" s="10"/>
      <c r="R12" s="10"/>
      <c r="S12" s="10"/>
      <c r="T12" s="10"/>
      <c r="U12" s="10"/>
      <c r="V12" s="10"/>
      <c r="W12" s="10"/>
      <c r="X12" s="10"/>
      <c r="Y12" s="10"/>
      <c r="Z12" s="10"/>
      <c r="AA12" s="10"/>
      <c r="AB12" s="10"/>
      <c r="AC12" s="10"/>
      <c r="AD12" s="10"/>
      <c r="AE12" s="10"/>
    </row>
    <row r="13" spans="1:31" ht="15" customHeight="1">
      <c r="A13" s="10"/>
      <c r="B13" s="10"/>
      <c r="C13" s="10"/>
      <c r="D13" s="10"/>
      <c r="E13" s="10"/>
      <c r="F13" s="10"/>
      <c r="G13" s="10"/>
      <c r="H13" s="10"/>
      <c r="I13" s="10"/>
      <c r="J13" s="10"/>
      <c r="K13" s="10"/>
      <c r="L13" s="10"/>
      <c r="M13" s="10"/>
      <c r="N13" s="52" t="s">
        <v>1501</v>
      </c>
      <c r="O13" s="52" t="str">
        <f ca="1">OFFSET(CurveData!$B$2,0,ROW(O13)-ROW($O$3))&amp;":"</f>
        <v>K:</v>
      </c>
      <c r="P13" s="1263" t="str">
        <f ca="1">IFERROR(HYPERLINK("#"&amp;CELL("address",INDIRECT(INDEX(List_of_Alternatives,MATCH(Summary!D12,Levelized_Cost,0)))),INDEX(OFFSET(List_of_Alternatives,0,1),MATCH(Summary!D12,Levelized_Cost,0))),"")</f>
        <v>Combined Heat &amp; Power</v>
      </c>
      <c r="Q13" s="10"/>
      <c r="R13" s="10"/>
      <c r="S13" s="10"/>
      <c r="T13" s="10"/>
      <c r="U13" s="10"/>
      <c r="V13" s="10"/>
      <c r="W13" s="10"/>
      <c r="X13" s="10"/>
      <c r="Y13" s="10"/>
      <c r="Z13" s="10"/>
      <c r="AA13" s="10"/>
      <c r="AB13" s="10"/>
      <c r="AC13" s="10"/>
      <c r="AD13" s="10"/>
      <c r="AE13" s="10"/>
    </row>
    <row r="14" spans="1:31" ht="15" customHeight="1">
      <c r="A14" s="10"/>
      <c r="B14" s="10"/>
      <c r="C14" s="10"/>
      <c r="D14" s="10"/>
      <c r="E14" s="10"/>
      <c r="F14" s="10"/>
      <c r="G14" s="10"/>
      <c r="H14" s="10"/>
      <c r="I14" s="10"/>
      <c r="J14" s="10"/>
      <c r="K14" s="10"/>
      <c r="L14" s="10"/>
      <c r="M14" s="10"/>
      <c r="N14" s="52"/>
      <c r="O14" s="52" t="str">
        <f ca="1">OFFSET(CurveData!$B$2,0,ROW(O14)-ROW($O$3))&amp;":"</f>
        <v>L:</v>
      </c>
      <c r="P14" s="1263" t="str">
        <f ca="1">IFERROR(HYPERLINK("#"&amp;CELL("address",INDIRECT(INDEX(List_of_Alternatives,MATCH(Summary!D13,Levelized_Cost,0)))),INDEX(OFFSET(List_of_Alternatives,0,1),MATCH(Summary!D13,Levelized_Cost,0))),"")</f>
        <v>Waste Reduction</v>
      </c>
      <c r="Q14" s="10"/>
      <c r="R14" s="10"/>
      <c r="S14" s="10"/>
      <c r="T14" s="10"/>
      <c r="U14" s="10"/>
      <c r="V14" s="10"/>
      <c r="W14" s="10"/>
      <c r="X14" s="10"/>
      <c r="Y14" s="10"/>
      <c r="Z14" s="10"/>
      <c r="AA14" s="10"/>
      <c r="AB14" s="10"/>
      <c r="AC14" s="10"/>
      <c r="AD14" s="10"/>
      <c r="AE14" s="10"/>
    </row>
    <row r="15" spans="1:31" ht="15" customHeight="1">
      <c r="A15" s="10"/>
      <c r="B15" s="10"/>
      <c r="C15" s="10"/>
      <c r="D15" s="10"/>
      <c r="E15" s="10"/>
      <c r="F15" s="10"/>
      <c r="G15" s="10"/>
      <c r="H15" s="10"/>
      <c r="I15" s="10"/>
      <c r="J15" s="10"/>
      <c r="K15" s="10"/>
      <c r="L15" s="10"/>
      <c r="M15" s="10"/>
      <c r="N15" s="52"/>
      <c r="O15" s="52" t="str">
        <f ca="1">OFFSET(CurveData!$B$2,0,ROW(O15)-ROW($O$3))&amp;":"</f>
        <v>M:</v>
      </c>
      <c r="P15" s="1263" t="str">
        <f ca="1">IFERROR(HYPERLINK("#"&amp;CELL("address",INDIRECT(INDEX(List_of_Alternatives,MATCH(Summary!D14,Levelized_Cost,0)))),INDEX(OFFSET(List_of_Alternatives,0,1),MATCH(Summary!D14,Levelized_Cost,0))),"")</f>
        <v>Geo Exchange</v>
      </c>
      <c r="Q15" s="10"/>
      <c r="R15" s="10"/>
      <c r="S15" s="10"/>
      <c r="T15" s="10"/>
      <c r="U15" s="10"/>
      <c r="V15" s="10"/>
      <c r="W15" s="10"/>
      <c r="X15" s="10"/>
      <c r="Y15" s="10"/>
      <c r="Z15" s="10"/>
      <c r="AA15" s="10"/>
      <c r="AB15" s="10"/>
      <c r="AC15" s="10"/>
      <c r="AD15" s="10"/>
      <c r="AE15" s="10"/>
    </row>
    <row r="16" spans="1:31" ht="15" customHeight="1">
      <c r="A16" s="10"/>
      <c r="B16" s="10"/>
      <c r="C16" s="10"/>
      <c r="D16" s="10"/>
      <c r="E16" s="10"/>
      <c r="F16" s="10"/>
      <c r="G16" s="10"/>
      <c r="H16" s="10"/>
      <c r="I16" s="10"/>
      <c r="J16" s="10"/>
      <c r="K16" s="10"/>
      <c r="L16" s="10"/>
      <c r="M16" s="10"/>
      <c r="N16" s="52"/>
      <c r="O16" s="52" t="str">
        <f ca="1">OFFSET(CurveData!$B$2,0,ROW(O16)-ROW($O$3))&amp;":"</f>
        <v>N:</v>
      </c>
      <c r="P16" s="1263" t="str">
        <f ca="1">IFERROR(HYPERLINK("#"&amp;CELL("address",INDIRECT(INDEX(List_of_Alternatives,MATCH(Summary!D15,Levelized_Cost,0)))),INDEX(OFFSET(List_of_Alternatives,0,1),MATCH(Summary!D15,Levelized_Cost,0))),"")</f>
        <v>Solar DHW</v>
      </c>
      <c r="Q16" s="10"/>
      <c r="R16" s="10"/>
      <c r="S16" s="10"/>
      <c r="T16" s="10"/>
      <c r="U16" s="10"/>
      <c r="V16" s="10"/>
      <c r="W16" s="10"/>
      <c r="X16" s="10"/>
      <c r="Y16" s="10"/>
      <c r="Z16" s="10"/>
      <c r="AA16" s="10"/>
      <c r="AB16" s="10"/>
      <c r="AC16" s="10"/>
      <c r="AD16" s="10"/>
      <c r="AE16" s="10"/>
    </row>
    <row r="17" spans="1:31" ht="15" customHeight="1">
      <c r="A17" s="10"/>
      <c r="B17" s="10"/>
      <c r="C17" s="10"/>
      <c r="D17" s="10"/>
      <c r="E17" s="10"/>
      <c r="F17" s="10"/>
      <c r="G17" s="10"/>
      <c r="H17" s="10"/>
      <c r="I17" s="10"/>
      <c r="J17" s="10"/>
      <c r="K17" s="10"/>
      <c r="L17" s="10"/>
      <c r="M17" s="10"/>
      <c r="N17" s="52" t="s">
        <v>1501</v>
      </c>
      <c r="O17" s="52" t="str">
        <f ca="1">OFFSET(CurveData!$B$2,0,ROW(O17)-ROW($O$3))&amp;":"</f>
        <v>O:</v>
      </c>
      <c r="P17" s="1263" t="str">
        <f ca="1">IFERROR(HYPERLINK("#"&amp;CELL("address",INDIRECT(INDEX(List_of_Alternatives,MATCH(Summary!D16,Levelized_Cost,0)))),INDEX(OFFSET(List_of_Alternatives,0,1),MATCH(Summary!D16,Levelized_Cost,0))),"")</f>
        <v>Green Power Purchase (MCCo Reserve Fund)</v>
      </c>
      <c r="Q17" s="10"/>
      <c r="R17" s="10"/>
      <c r="S17" s="10"/>
      <c r="T17" s="10"/>
      <c r="U17" s="10"/>
      <c r="V17" s="10"/>
      <c r="W17" s="10"/>
      <c r="X17" s="10"/>
      <c r="Y17" s="10"/>
      <c r="Z17" s="10"/>
      <c r="AA17" s="10"/>
      <c r="AB17" s="10"/>
      <c r="AC17" s="10"/>
      <c r="AD17" s="10"/>
      <c r="AE17" s="10"/>
    </row>
    <row r="18" spans="1:31" ht="15" customHeight="1">
      <c r="A18" s="10"/>
      <c r="B18" s="10"/>
      <c r="C18" s="10"/>
      <c r="D18" s="10"/>
      <c r="E18" s="10"/>
      <c r="F18" s="10"/>
      <c r="G18" s="10"/>
      <c r="H18" s="10"/>
      <c r="I18" s="10"/>
      <c r="J18" s="10"/>
      <c r="K18" s="10"/>
      <c r="L18" s="10"/>
      <c r="M18" s="10"/>
      <c r="N18" s="52"/>
      <c r="O18" s="52" t="str">
        <f ca="1">OFFSET(CurveData!$B$2,0,ROW(O18)-ROW($O$3))&amp;":"</f>
        <v>P:</v>
      </c>
      <c r="P18" s="1263" t="str">
        <f ca="1">IFERROR(HYPERLINK("#"&amp;CELL("address",INDIRECT(INDEX(List_of_Alternatives,MATCH(Summary!D17,Levelized_Cost,0)))),INDEX(OFFSET(List_of_Alternatives,0,1),MATCH(Summary!D17,Levelized_Cost,0))),"")</f>
        <v>Coal to Natural Gas Conversion @ Steam Plant</v>
      </c>
      <c r="Q18" s="10"/>
      <c r="R18" s="10"/>
      <c r="S18" s="10"/>
      <c r="T18" s="10"/>
      <c r="U18" s="10"/>
      <c r="V18" s="10"/>
      <c r="W18" s="10"/>
      <c r="X18" s="10"/>
      <c r="Y18" s="10"/>
      <c r="Z18" s="10"/>
      <c r="AA18" s="10"/>
      <c r="AB18" s="10"/>
      <c r="AC18" s="10"/>
      <c r="AD18" s="10"/>
      <c r="AE18" s="10"/>
    </row>
    <row r="19" spans="1:31" ht="15" customHeight="1">
      <c r="A19" s="10"/>
      <c r="B19" s="10"/>
      <c r="C19" s="10"/>
      <c r="D19" s="10"/>
      <c r="E19" s="10"/>
      <c r="F19" s="10"/>
      <c r="G19" s="10"/>
      <c r="H19" s="10"/>
      <c r="I19" s="10"/>
      <c r="J19" s="10"/>
      <c r="K19" s="10"/>
      <c r="L19" s="10"/>
      <c r="M19" s="10"/>
      <c r="N19" s="52"/>
      <c r="O19" s="52" t="str">
        <f ca="1">OFFSET(CurveData!$B$2,0,ROW(O19)-ROW($O$3))&amp;":"</f>
        <v>Q:</v>
      </c>
      <c r="P19" s="1263" t="str">
        <f ca="1">IFERROR(HYPERLINK("#"&amp;CELL("address",INDIRECT(INDEX(List_of_Alternatives,MATCH(Summary!D18,Levelized_Cost,0)))),INDEX(OFFSET(List_of_Alternatives,0,1),MATCH(Summary!D18,Levelized_Cost,0))),"")</f>
        <v>Unitary Chiller Upgrades</v>
      </c>
      <c r="Q19" s="10"/>
      <c r="R19" s="10"/>
      <c r="S19" s="10"/>
      <c r="T19" s="10"/>
      <c r="U19" s="10"/>
      <c r="V19" s="10"/>
      <c r="W19" s="10"/>
      <c r="X19" s="10"/>
      <c r="Y19" s="10"/>
      <c r="Z19" s="10"/>
      <c r="AA19" s="10"/>
      <c r="AB19" s="10"/>
      <c r="AC19" s="10"/>
      <c r="AD19" s="10"/>
      <c r="AE19" s="10"/>
    </row>
    <row r="20" spans="1:31" ht="15" customHeight="1">
      <c r="A20" s="10"/>
      <c r="B20" s="10"/>
      <c r="C20" s="10"/>
      <c r="D20" s="10"/>
      <c r="E20" s="10"/>
      <c r="F20" s="10"/>
      <c r="G20" s="10"/>
      <c r="H20" s="10"/>
      <c r="I20" s="10"/>
      <c r="J20" s="10"/>
      <c r="K20" s="10"/>
      <c r="L20" s="10"/>
      <c r="M20" s="10"/>
      <c r="N20" s="52"/>
      <c r="O20" s="52" t="str">
        <f ca="1">OFFSET(CurveData!$B$2,0,ROW(O20)-ROW($O$3))&amp;":"</f>
        <v>R:</v>
      </c>
      <c r="P20" s="1263" t="str">
        <f ca="1">IFERROR(HYPERLINK("#"&amp;CELL("address",INDIRECT(INDEX(List_of_Alternatives,MATCH(Summary!D19,Levelized_Cost,0)))),INDEX(OFFSET(List_of_Alternatives,0,1),MATCH(Summary!D19,Levelized_Cost,0))),"")</f>
        <v>Green Power Purchase Opt 1 (Partial)</v>
      </c>
      <c r="Q20" s="10"/>
      <c r="R20" s="10"/>
      <c r="S20" s="10"/>
      <c r="T20" s="10"/>
      <c r="U20" s="10"/>
      <c r="V20" s="10"/>
      <c r="W20" s="10"/>
      <c r="X20" s="10"/>
      <c r="Y20" s="10"/>
      <c r="Z20" s="10"/>
      <c r="AA20" s="10"/>
      <c r="AB20" s="10"/>
      <c r="AC20" s="10"/>
      <c r="AD20" s="10"/>
      <c r="AE20" s="10"/>
    </row>
    <row r="21" spans="1:31" ht="15" customHeight="1">
      <c r="A21" s="10"/>
      <c r="B21" s="10"/>
      <c r="C21" s="10"/>
      <c r="D21" s="10"/>
      <c r="E21" s="10"/>
      <c r="F21" s="10"/>
      <c r="G21" s="10"/>
      <c r="H21" s="10"/>
      <c r="I21" s="10"/>
      <c r="J21" s="10"/>
      <c r="K21" s="10"/>
      <c r="L21" s="10"/>
      <c r="M21" s="10"/>
      <c r="N21" s="52"/>
      <c r="O21" s="52" t="str">
        <f ca="1">OFFSET(CurveData!$B$2,0,ROW(O21)-ROW($O$3))&amp;":"</f>
        <v>S:</v>
      </c>
      <c r="P21" s="1263" t="str">
        <f ca="1">IFERROR(HYPERLINK("#"&amp;CELL("address",INDIRECT(INDEX(List_of_Alternatives,MATCH(Summary!D20,Levelized_Cost,0)))),INDEX(OFFSET(List_of_Alternatives,0,1),MATCH(Summary!D20,Levelized_Cost,0))),"")</f>
        <v>On-site Wind</v>
      </c>
      <c r="Q21" s="10"/>
      <c r="R21" s="10"/>
      <c r="S21" s="10"/>
      <c r="T21" s="10"/>
      <c r="U21" s="10"/>
      <c r="V21" s="10"/>
      <c r="W21" s="10"/>
      <c r="X21" s="10"/>
      <c r="Y21" s="10"/>
      <c r="Z21" s="10"/>
      <c r="AA21" s="10"/>
      <c r="AB21" s="10"/>
      <c r="AC21" s="10"/>
      <c r="AD21" s="10"/>
      <c r="AE21" s="10"/>
    </row>
    <row r="22" spans="1:31" ht="15" customHeight="1">
      <c r="A22" s="10"/>
      <c r="B22" s="10"/>
      <c r="C22" s="10"/>
      <c r="D22" s="10"/>
      <c r="E22" s="10"/>
      <c r="F22" s="10"/>
      <c r="G22" s="10"/>
      <c r="H22" s="10"/>
      <c r="I22" s="10"/>
      <c r="J22" s="10"/>
      <c r="K22" s="10"/>
      <c r="L22" s="10"/>
      <c r="M22" s="10"/>
      <c r="N22" s="52"/>
      <c r="O22" s="52" t="str">
        <f ca="1">OFFSET(CurveData!$B$2,0,ROW(O22)-ROW($O$3))&amp;":"</f>
        <v>T:</v>
      </c>
      <c r="P22" s="1263" t="str">
        <f ca="1">IFERROR(HYPERLINK("#"&amp;CELL("address",INDIRECT(INDEX(List_of_Alternatives,MATCH(Summary!D21,Levelized_Cost,0)))),INDEX(OFFSET(List_of_Alternatives,0,1),MATCH(Summary!D21,Levelized_Cost,0))),"")</f>
        <v>Reduced Automobile Reliance Strategies</v>
      </c>
      <c r="Q22" s="10"/>
      <c r="R22" s="10"/>
      <c r="S22" s="10"/>
      <c r="T22" s="10"/>
      <c r="U22" s="10"/>
      <c r="V22" s="10"/>
      <c r="W22" s="10"/>
      <c r="X22" s="10"/>
      <c r="Y22" s="10"/>
      <c r="Z22" s="10"/>
      <c r="AA22" s="10"/>
      <c r="AB22" s="10"/>
      <c r="AC22" s="10"/>
      <c r="AD22" s="10"/>
      <c r="AE22" s="10"/>
    </row>
    <row r="23" spans="1:31" ht="15" customHeight="1">
      <c r="A23" s="10"/>
      <c r="B23" s="10"/>
      <c r="C23" s="10"/>
      <c r="D23" s="10"/>
      <c r="E23" s="10"/>
      <c r="F23" s="10"/>
      <c r="G23" s="10"/>
      <c r="H23" s="10"/>
      <c r="I23" s="10"/>
      <c r="J23" s="10"/>
      <c r="K23" s="10"/>
      <c r="L23" s="10"/>
      <c r="M23" s="10"/>
      <c r="N23" s="52"/>
      <c r="O23" s="52" t="str">
        <f ca="1">OFFSET(CurveData!$B$2,0,ROW(O23)-ROW($O$3))&amp;":"</f>
        <v>U:</v>
      </c>
      <c r="P23" s="1263" t="str">
        <f ca="1">IFERROR(HYPERLINK("#"&amp;CELL("address",INDIRECT(INDEX(List_of_Alternatives,MATCH(Summary!D22,Levelized_Cost,0)))),INDEX(OFFSET(List_of_Alternatives,0,1),MATCH(Summary!D22,Levelized_Cost,0))),"")</f>
        <v>Rooftop Solar PV</v>
      </c>
      <c r="Q23" s="10"/>
      <c r="R23" s="10"/>
      <c r="S23" s="10"/>
      <c r="T23" s="10"/>
      <c r="U23" s="10"/>
      <c r="V23" s="10"/>
      <c r="W23" s="10"/>
      <c r="X23" s="10"/>
      <c r="Y23" s="10"/>
      <c r="Z23" s="10"/>
      <c r="AA23" s="10"/>
      <c r="AB23" s="10"/>
      <c r="AC23" s="10"/>
      <c r="AD23" s="10"/>
      <c r="AE23" s="10"/>
    </row>
    <row r="24" spans="1:31" ht="15" customHeight="1">
      <c r="A24" s="10"/>
      <c r="B24" s="10"/>
      <c r="C24" s="10"/>
      <c r="D24" s="10"/>
      <c r="E24" s="10"/>
      <c r="F24" s="10"/>
      <c r="G24" s="10"/>
      <c r="H24" s="10"/>
      <c r="I24" s="10"/>
      <c r="J24" s="10"/>
      <c r="K24" s="10"/>
      <c r="L24" s="10"/>
      <c r="M24" s="10"/>
      <c r="N24" s="52"/>
      <c r="O24" s="52" t="str">
        <f ca="1">OFFSET(CurveData!$B$2,0,ROW(O24)-ROW($O$3))&amp;":"</f>
        <v>V:</v>
      </c>
      <c r="P24" s="1263" t="str">
        <f ca="1">IFERROR(HYPERLINK("#"&amp;CELL("address",INDIRECT(INDEX(List_of_Alternatives,MATCH(Summary!D23,Levelized_Cost,0)))),INDEX(OFFSET(List_of_Alternatives,0,1),MATCH(Summary!D23,Levelized_Cost,0))),"")</f>
        <v>Dish Stirling</v>
      </c>
      <c r="Q24" s="10"/>
      <c r="R24" s="10"/>
      <c r="S24" s="10"/>
      <c r="T24" s="10"/>
      <c r="U24" s="10"/>
      <c r="V24" s="10"/>
      <c r="W24" s="10"/>
      <c r="X24" s="10"/>
      <c r="Y24" s="10"/>
      <c r="Z24" s="10"/>
      <c r="AA24" s="10"/>
      <c r="AB24" s="10"/>
      <c r="AC24" s="10"/>
      <c r="AD24" s="10"/>
      <c r="AE24" s="10"/>
    </row>
    <row r="25" spans="1:31" ht="15" customHeight="1">
      <c r="A25" s="10"/>
      <c r="B25" s="10"/>
      <c r="C25" s="10"/>
      <c r="D25" s="10"/>
      <c r="E25" s="10"/>
      <c r="F25" s="10"/>
      <c r="G25" s="10"/>
      <c r="H25" s="10"/>
      <c r="I25" s="10"/>
      <c r="J25" s="10"/>
      <c r="K25" s="10"/>
      <c r="L25" s="10"/>
      <c r="M25" s="10"/>
      <c r="N25" s="52"/>
      <c r="O25" s="52" t="str">
        <f ca="1">OFFSET(CurveData!$B$2,0,ROW(O25)-ROW($O$3))&amp;":"</f>
        <v>W:</v>
      </c>
      <c r="P25" s="1263" t="str">
        <f ca="1">IFERROR(HYPERLINK("#"&amp;CELL("address",INDIRECT(INDEX(List_of_Alternatives,MATCH(Summary!D24,Levelized_Cost,0)))),INDEX(OFFSET(List_of_Alternatives,0,1),MATCH(Summary!D24,Levelized_Cost,0))),"")</f>
        <v>Parabolic Trough</v>
      </c>
      <c r="Q25" s="10"/>
      <c r="R25" s="10"/>
      <c r="S25" s="10"/>
      <c r="T25" s="10"/>
      <c r="U25" s="10"/>
      <c r="V25" s="10"/>
      <c r="W25" s="10"/>
      <c r="X25" s="10"/>
      <c r="Y25" s="10"/>
      <c r="Z25" s="10"/>
      <c r="AA25" s="10"/>
      <c r="AB25" s="10"/>
      <c r="AC25" s="10"/>
      <c r="AD25" s="10"/>
      <c r="AE25" s="10"/>
    </row>
    <row r="26" spans="1:31" ht="15" customHeight="1">
      <c r="A26" s="10"/>
      <c r="B26" s="10"/>
      <c r="C26" s="10"/>
      <c r="D26" s="10"/>
      <c r="E26" s="10"/>
      <c r="F26" s="10"/>
      <c r="G26" s="10"/>
      <c r="H26" s="10"/>
      <c r="I26" s="10"/>
      <c r="J26" s="10"/>
      <c r="K26" s="10"/>
      <c r="L26" s="10"/>
      <c r="M26" s="10"/>
      <c r="N26" s="52"/>
      <c r="O26" s="52" t="str">
        <f ca="1">OFFSET(CurveData!$B$2,0,ROW(O26)-ROW($O$3))&amp;":"</f>
        <v>X:</v>
      </c>
      <c r="P26" s="1263" t="str">
        <f ca="1">IFERROR(HYPERLINK("#"&amp;CELL("address",INDIRECT(INDEX(List_of_Alternatives,MATCH(Summary!D25,Levelized_Cost,0)))),INDEX(OFFSET(List_of_Alternatives,0,1),MATCH(Summary!D25,Levelized_Cost,0))),"")</f>
        <v/>
      </c>
      <c r="Q26" s="10"/>
      <c r="R26" s="10"/>
      <c r="S26" s="10"/>
      <c r="T26" s="10"/>
      <c r="U26" s="10"/>
      <c r="V26" s="10"/>
      <c r="W26" s="10"/>
      <c r="X26" s="10"/>
      <c r="Y26" s="10"/>
      <c r="Z26" s="10"/>
      <c r="AA26" s="10"/>
      <c r="AB26" s="10"/>
      <c r="AC26" s="10"/>
      <c r="AD26" s="10"/>
      <c r="AE26" s="10"/>
    </row>
    <row r="27" spans="1:31" ht="15" customHeight="1">
      <c r="A27" s="10"/>
      <c r="B27" s="10"/>
      <c r="C27" s="10"/>
      <c r="D27" s="10"/>
      <c r="E27" s="10"/>
      <c r="F27" s="10"/>
      <c r="G27" s="10"/>
      <c r="H27" s="10"/>
      <c r="I27" s="10"/>
      <c r="J27" s="10"/>
      <c r="K27" s="10"/>
      <c r="L27" s="10"/>
      <c r="M27" s="10"/>
      <c r="N27" s="52"/>
      <c r="O27" s="52" t="str">
        <f ca="1">OFFSET(CurveData!$B$2,0,ROW(O27)-ROW($O$3))&amp;":"</f>
        <v>Y:</v>
      </c>
      <c r="P27" s="1263" t="str">
        <f ca="1">IFERROR(HYPERLINK("#"&amp;CELL("address",INDIRECT(INDEX(List_of_Alternatives,MATCH(Summary!D26,Levelized_Cost,0)))),INDEX(OFFSET(List_of_Alternatives,0,1),MATCH(Summary!D26,Levelized_Cost,0))),"")</f>
        <v/>
      </c>
      <c r="Q27" s="10"/>
      <c r="R27" s="10"/>
      <c r="S27" s="10"/>
      <c r="T27" s="10"/>
      <c r="U27" s="10"/>
      <c r="V27" s="10"/>
      <c r="W27" s="10"/>
      <c r="X27" s="10"/>
      <c r="Y27" s="10"/>
      <c r="Z27" s="10"/>
      <c r="AA27" s="10"/>
      <c r="AB27" s="10"/>
      <c r="AC27" s="10"/>
      <c r="AD27" s="10"/>
      <c r="AE27" s="10"/>
    </row>
    <row r="28" spans="1:31" ht="15" customHeight="1">
      <c r="A28" s="10"/>
      <c r="B28" s="10"/>
      <c r="C28" s="10"/>
      <c r="D28" s="10"/>
      <c r="E28" s="10"/>
      <c r="F28" s="10"/>
      <c r="G28" s="10"/>
      <c r="H28" s="10"/>
      <c r="I28" s="10"/>
      <c r="J28" s="10"/>
      <c r="K28" s="10"/>
      <c r="L28" s="10"/>
      <c r="M28" s="10"/>
      <c r="N28" s="52"/>
      <c r="O28" s="52" t="str">
        <f ca="1">OFFSET(CurveData!$B$2,0,ROW(O28)-ROW($O$3))&amp;":"</f>
        <v>Z:</v>
      </c>
      <c r="P28" s="1263" t="str">
        <f ca="1">IFERROR(HYPERLINK("#"&amp;CELL("address",INDIRECT(INDEX(List_of_Alternatives,MATCH(Summary!D27,Levelized_Cost,0)))),INDEX(OFFSET(List_of_Alternatives,0,1),MATCH(Summary!D27,Levelized_Cost,0))),"")</f>
        <v/>
      </c>
      <c r="Q28" s="10"/>
      <c r="R28" s="10"/>
      <c r="S28" s="10"/>
      <c r="T28" s="10"/>
      <c r="U28" s="10"/>
      <c r="V28" s="10"/>
      <c r="W28" s="10"/>
      <c r="X28" s="10"/>
      <c r="Y28" s="10"/>
      <c r="Z28" s="10"/>
      <c r="AA28" s="10"/>
      <c r="AB28" s="10"/>
      <c r="AC28" s="10"/>
      <c r="AD28" s="10"/>
      <c r="AE28" s="10"/>
    </row>
    <row r="29" spans="1:31" ht="15" customHeight="1">
      <c r="A29" s="10"/>
      <c r="B29" s="10"/>
      <c r="C29" s="10"/>
      <c r="D29" s="10"/>
      <c r="E29" s="10"/>
      <c r="F29" s="10"/>
      <c r="G29" s="10"/>
      <c r="H29" s="10"/>
      <c r="I29" s="10"/>
      <c r="J29" s="10"/>
      <c r="K29" s="10"/>
      <c r="L29" s="10"/>
      <c r="M29" s="10"/>
      <c r="N29" s="52"/>
      <c r="O29" s="52" t="str">
        <f ca="1">OFFSET(CurveData!$B$2,0,ROW(O29)-ROW($O$3))&amp;":"</f>
        <v>AA:</v>
      </c>
      <c r="P29" s="1263" t="str">
        <f ca="1">IFERROR(HYPERLINK("#"&amp;CELL("address",INDIRECT(INDEX(List_of_Alternatives,MATCH(Summary!D28,Levelized_Cost,0)))),INDEX(OFFSET(List_of_Alternatives,0,1),MATCH(Summary!D28,Levelized_Cost,0))),"")</f>
        <v/>
      </c>
      <c r="Q29" s="10"/>
      <c r="R29" s="10"/>
      <c r="S29" s="10"/>
      <c r="T29" s="10"/>
      <c r="U29" s="10"/>
      <c r="V29" s="10"/>
      <c r="W29" s="10"/>
      <c r="X29" s="10"/>
      <c r="Y29" s="10"/>
      <c r="Z29" s="10"/>
      <c r="AA29" s="10"/>
      <c r="AB29" s="10"/>
      <c r="AC29" s="10"/>
      <c r="AD29" s="10"/>
      <c r="AE29" s="10"/>
    </row>
    <row r="30" spans="1:31" ht="15" customHeight="1">
      <c r="A30" s="10"/>
      <c r="B30" s="10"/>
      <c r="C30" s="10"/>
      <c r="D30" s="10"/>
      <c r="E30" s="10"/>
      <c r="F30" s="10"/>
      <c r="G30" s="10"/>
      <c r="H30" s="10"/>
      <c r="I30" s="10"/>
      <c r="J30" s="10"/>
      <c r="K30" s="10"/>
      <c r="L30" s="10"/>
      <c r="M30" s="10"/>
      <c r="N30" s="52"/>
      <c r="O30" s="52" t="str">
        <f ca="1">OFFSET(CurveData!$B$2,0,ROW(O30)-ROW($O$3))&amp;":"</f>
        <v>AB:</v>
      </c>
      <c r="P30" s="1263" t="str">
        <f ca="1">IFERROR(HYPERLINK("#"&amp;CELL("address",INDIRECT(INDEX(List_of_Alternatives,MATCH(Summary!D29,Levelized_Cost,0)))),INDEX(OFFSET(List_of_Alternatives,0,1),MATCH(Summary!D29,Levelized_Cost,0))),"")</f>
        <v/>
      </c>
      <c r="Q30" s="10"/>
      <c r="R30" s="10"/>
      <c r="S30" s="10"/>
      <c r="T30" s="10"/>
      <c r="U30" s="10"/>
      <c r="V30" s="10"/>
      <c r="W30" s="10"/>
      <c r="X30" s="10"/>
      <c r="Y30" s="10"/>
      <c r="Z30" s="10"/>
      <c r="AA30" s="10"/>
      <c r="AB30" s="10"/>
      <c r="AC30" s="10"/>
      <c r="AD30" s="10"/>
      <c r="AE30" s="10"/>
    </row>
    <row r="31" spans="1:31" ht="15" customHeight="1">
      <c r="A31" s="10"/>
      <c r="B31" s="10"/>
      <c r="C31" s="10"/>
      <c r="D31" s="10"/>
      <c r="E31" s="10"/>
      <c r="F31" s="10"/>
      <c r="G31" s="10"/>
      <c r="H31" s="10"/>
      <c r="I31" s="10"/>
      <c r="J31" s="10"/>
      <c r="K31" s="10"/>
      <c r="L31" s="10"/>
      <c r="M31" s="10"/>
      <c r="N31" s="52"/>
      <c r="O31" s="52" t="str">
        <f ca="1">OFFSET(CurveData!$B$2,0,ROW(O31)-ROW($O$3))&amp;":"</f>
        <v>AC:</v>
      </c>
      <c r="P31" s="1263" t="str">
        <f ca="1">IFERROR(HYPERLINK("#"&amp;CELL("address",INDIRECT(INDEX(List_of_Alternatives,MATCH(Summary!D30,Levelized_Cost,0)))),INDEX(OFFSET(List_of_Alternatives,0,1),MATCH(Summary!D30,Levelized_Cost,0))),"")</f>
        <v/>
      </c>
      <c r="Q31" s="10"/>
      <c r="R31" s="10"/>
      <c r="S31" s="10"/>
      <c r="T31" s="10"/>
      <c r="U31" s="10"/>
      <c r="V31" s="10"/>
      <c r="W31" s="10"/>
      <c r="X31" s="10"/>
      <c r="Y31" s="10"/>
      <c r="Z31" s="10"/>
      <c r="AA31" s="10"/>
      <c r="AB31" s="10"/>
      <c r="AC31" s="10"/>
      <c r="AD31" s="10"/>
      <c r="AE31" s="10"/>
    </row>
    <row r="32" spans="1:31" ht="15" customHeight="1">
      <c r="A32" s="10"/>
      <c r="B32" s="10"/>
      <c r="C32" s="334"/>
      <c r="D32" s="10"/>
      <c r="E32" s="10"/>
      <c r="F32" s="10"/>
      <c r="G32" s="10"/>
      <c r="H32" s="10"/>
      <c r="I32" s="10"/>
      <c r="J32" s="10"/>
      <c r="K32" s="10"/>
      <c r="L32" s="10"/>
      <c r="M32" s="10"/>
      <c r="N32" s="52"/>
      <c r="O32" s="52" t="str">
        <f ca="1">OFFSET(CurveData!$B$2,0,ROW(O32)-ROW($O$3))&amp;":"</f>
        <v>AD:</v>
      </c>
      <c r="P32" s="1263" t="str">
        <f ca="1">IFERROR(HYPERLINK("#"&amp;CELL("address",INDIRECT(INDEX(List_of_Alternatives,MATCH(Summary!D31,Levelized_Cost,0)))),INDEX(OFFSET(List_of_Alternatives,0,1),MATCH(Summary!D31,Levelized_Cost,0))),"")</f>
        <v/>
      </c>
      <c r="Q32" s="10"/>
      <c r="R32" s="10"/>
      <c r="S32" s="10"/>
      <c r="T32" s="10"/>
      <c r="U32" s="10"/>
      <c r="V32" s="10"/>
      <c r="W32" s="10"/>
      <c r="X32" s="10"/>
      <c r="Y32" s="10"/>
      <c r="Z32" s="10"/>
      <c r="AA32" s="10"/>
      <c r="AB32" s="10"/>
      <c r="AC32" s="10"/>
      <c r="AD32" s="10"/>
      <c r="AE32" s="10"/>
    </row>
    <row r="33" spans="1:31">
      <c r="A33" s="10"/>
      <c r="B33" s="10"/>
      <c r="C33" s="10"/>
      <c r="D33" s="10"/>
      <c r="E33" s="10"/>
      <c r="F33" s="10"/>
      <c r="G33" s="10"/>
      <c r="H33" s="10"/>
      <c r="I33" s="10"/>
      <c r="J33" s="10"/>
      <c r="K33" s="10"/>
      <c r="L33" s="10"/>
      <c r="M33" s="10"/>
      <c r="N33" s="52"/>
      <c r="O33" s="10"/>
      <c r="P33" s="10"/>
      <c r="Q33" s="10"/>
      <c r="R33" s="10"/>
      <c r="S33" s="10"/>
      <c r="T33" s="10"/>
      <c r="U33" s="10"/>
      <c r="V33" s="10"/>
      <c r="W33" s="10"/>
      <c r="X33" s="10"/>
      <c r="Y33" s="10"/>
      <c r="Z33" s="10"/>
      <c r="AA33" s="10"/>
      <c r="AB33" s="10"/>
      <c r="AC33" s="10"/>
      <c r="AD33" s="10"/>
      <c r="AE33" s="10"/>
    </row>
    <row r="34" spans="1:31">
      <c r="A34" s="10"/>
      <c r="B34" s="10" t="s">
        <v>395</v>
      </c>
      <c r="C34" s="10"/>
      <c r="D34" s="10"/>
      <c r="E34" s="10"/>
      <c r="F34" s="10"/>
      <c r="G34" s="10"/>
      <c r="H34" s="10"/>
      <c r="I34" s="10"/>
      <c r="J34" s="10"/>
      <c r="K34" s="10"/>
      <c r="L34" s="10"/>
      <c r="M34" s="10"/>
      <c r="N34" s="52"/>
      <c r="O34" s="10"/>
      <c r="P34" s="10"/>
      <c r="Q34" s="10"/>
      <c r="R34" s="10"/>
      <c r="S34" s="10"/>
      <c r="T34" s="10"/>
      <c r="U34" s="10"/>
      <c r="V34" s="10"/>
      <c r="W34" s="10"/>
      <c r="X34" s="10"/>
      <c r="Y34" s="10"/>
      <c r="Z34" s="10"/>
      <c r="AA34" s="10"/>
      <c r="AB34" s="10"/>
      <c r="AC34" s="10"/>
      <c r="AD34" s="10"/>
      <c r="AE34" s="10"/>
    </row>
    <row r="35" spans="1:31">
      <c r="A35" s="10"/>
      <c r="B35" s="10"/>
      <c r="C35" s="10"/>
      <c r="D35" s="10"/>
      <c r="E35" s="10"/>
      <c r="F35" s="10"/>
      <c r="G35" s="10"/>
      <c r="H35" s="10"/>
      <c r="I35" s="10"/>
      <c r="J35" s="10"/>
      <c r="K35" s="10"/>
      <c r="L35" s="10"/>
      <c r="M35" s="10"/>
      <c r="N35" s="52"/>
      <c r="O35" s="10"/>
      <c r="P35" s="10"/>
      <c r="Q35" s="10"/>
      <c r="R35" s="10"/>
      <c r="S35" s="10"/>
      <c r="T35" s="10"/>
      <c r="U35" s="10"/>
      <c r="V35" s="10"/>
      <c r="W35" s="10"/>
      <c r="X35" s="10"/>
      <c r="Y35" s="10"/>
      <c r="Z35" s="10"/>
      <c r="AA35" s="10"/>
      <c r="AB35" s="10"/>
      <c r="AC35" s="10"/>
      <c r="AD35" s="10"/>
      <c r="AE35" s="10"/>
    </row>
    <row r="36" spans="1:3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row>
    <row r="63" spans="1:3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row>
    <row r="64" spans="1:3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6" spans="1:3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row>
    <row r="67" spans="1:3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row>
    <row r="68" spans="1:3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row>
    <row r="69" spans="1:3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row>
    <row r="70" spans="1:3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row>
    <row r="71" spans="1:3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row>
    <row r="72" spans="1:3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row>
    <row r="73" spans="1:3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row>
    <row r="74" spans="1:31">
      <c r="N74" s="10"/>
    </row>
    <row r="75" spans="1:31">
      <c r="N75" s="10"/>
    </row>
    <row r="76" spans="1:31">
      <c r="N76" s="10"/>
    </row>
    <row r="77" spans="1:31">
      <c r="N77" s="10"/>
    </row>
    <row r="78" spans="1:31">
      <c r="N78" s="10"/>
    </row>
    <row r="79" spans="1:31">
      <c r="N79" s="10"/>
    </row>
    <row r="80" spans="1:31">
      <c r="N80" s="10"/>
    </row>
    <row r="81" spans="14:14">
      <c r="N81" s="10"/>
    </row>
    <row r="82" spans="14:14">
      <c r="N82" s="10"/>
    </row>
    <row r="83" spans="14:14">
      <c r="N83" s="10"/>
    </row>
    <row r="84" spans="14:14">
      <c r="N84" s="10"/>
    </row>
    <row r="85" spans="14:14">
      <c r="N85" s="10"/>
    </row>
    <row r="86" spans="14:14">
      <c r="N86" s="10"/>
    </row>
    <row r="87" spans="14:14">
      <c r="N87" s="10"/>
    </row>
    <row r="88" spans="14:14">
      <c r="N88" s="10"/>
    </row>
    <row r="89" spans="14:14">
      <c r="N89" s="10"/>
    </row>
    <row r="90" spans="14:14">
      <c r="N90" s="10"/>
    </row>
    <row r="91" spans="14:14">
      <c r="N91" s="10"/>
    </row>
  </sheetData>
  <mergeCells count="4">
    <mergeCell ref="D1:F1"/>
    <mergeCell ref="G1:I1"/>
    <mergeCell ref="J1:L1"/>
    <mergeCell ref="N1:N2"/>
  </mergeCells>
  <hyperlinks>
    <hyperlink ref="D1:F1" location="Overview!A1" display="Overview"/>
    <hyperlink ref="G1:I1" location="Summary!A1" display="Action Valuation Summary"/>
    <hyperlink ref="J1:L1" location="PortfolioDashboard!A1" display="Portfolio Dashboard"/>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sheetPr codeName="Sheet59"/>
  <dimension ref="A1:F19"/>
  <sheetViews>
    <sheetView topLeftCell="D1" workbookViewId="0">
      <selection activeCell="H10" sqref="H10"/>
    </sheetView>
  </sheetViews>
  <sheetFormatPr defaultRowHeight="15"/>
  <cols>
    <col min="1" max="1" width="39.28515625" bestFit="1" customWidth="1"/>
    <col min="2" max="3" width="42.5703125" bestFit="1" customWidth="1"/>
    <col min="4" max="4" width="39.28515625" bestFit="1" customWidth="1"/>
    <col min="5" max="5" width="46.28515625" bestFit="1" customWidth="1"/>
    <col min="6" max="6" width="41.42578125" bestFit="1" customWidth="1"/>
  </cols>
  <sheetData>
    <row r="1" spans="1:6">
      <c r="A1" t="s">
        <v>1494</v>
      </c>
    </row>
    <row r="3" spans="1:6">
      <c r="A3" s="1267" t="s">
        <v>1495</v>
      </c>
      <c r="B3" s="1267" t="s">
        <v>1496</v>
      </c>
      <c r="C3" s="1267" t="s">
        <v>1498</v>
      </c>
      <c r="D3" s="1267" t="s">
        <v>1499</v>
      </c>
      <c r="E3" s="1267" t="s">
        <v>1522</v>
      </c>
      <c r="F3" s="1267" t="s">
        <v>2962</v>
      </c>
    </row>
    <row r="4" spans="1:6">
      <c r="A4" t="s">
        <v>835</v>
      </c>
      <c r="B4" t="s">
        <v>954</v>
      </c>
      <c r="C4" t="s">
        <v>835</v>
      </c>
      <c r="D4" t="s">
        <v>788</v>
      </c>
      <c r="E4" t="s">
        <v>956</v>
      </c>
      <c r="F4" t="s">
        <v>835</v>
      </c>
    </row>
    <row r="5" spans="1:6">
      <c r="A5" t="s">
        <v>956</v>
      </c>
      <c r="B5" t="s">
        <v>968</v>
      </c>
      <c r="C5" t="s">
        <v>954</v>
      </c>
      <c r="D5" t="s">
        <v>789</v>
      </c>
      <c r="E5" t="s">
        <v>954</v>
      </c>
      <c r="F5" t="s">
        <v>954</v>
      </c>
    </row>
    <row r="6" spans="1:6">
      <c r="A6" t="s">
        <v>788</v>
      </c>
      <c r="B6" t="s">
        <v>850</v>
      </c>
      <c r="C6" t="s">
        <v>850</v>
      </c>
      <c r="D6" t="s">
        <v>790</v>
      </c>
      <c r="E6" t="s">
        <v>788</v>
      </c>
      <c r="F6" t="s">
        <v>956</v>
      </c>
    </row>
    <row r="7" spans="1:6">
      <c r="A7" t="s">
        <v>789</v>
      </c>
      <c r="B7" t="s">
        <v>967</v>
      </c>
      <c r="C7" t="s">
        <v>968</v>
      </c>
      <c r="D7" t="s">
        <v>954</v>
      </c>
      <c r="E7" t="s">
        <v>789</v>
      </c>
      <c r="F7" t="s">
        <v>962</v>
      </c>
    </row>
    <row r="8" spans="1:6">
      <c r="A8" t="s">
        <v>790</v>
      </c>
      <c r="B8" t="s">
        <v>956</v>
      </c>
      <c r="C8" t="s">
        <v>788</v>
      </c>
      <c r="D8" t="s">
        <v>958</v>
      </c>
      <c r="E8" t="s">
        <v>790</v>
      </c>
      <c r="F8" t="s">
        <v>788</v>
      </c>
    </row>
    <row r="9" spans="1:6">
      <c r="A9" t="s">
        <v>952</v>
      </c>
      <c r="B9" t="s">
        <v>788</v>
      </c>
      <c r="C9" t="s">
        <v>789</v>
      </c>
      <c r="D9" t="s">
        <v>804</v>
      </c>
      <c r="E9" t="s">
        <v>835</v>
      </c>
      <c r="F9" t="s">
        <v>789</v>
      </c>
    </row>
    <row r="10" spans="1:6">
      <c r="A10" t="s">
        <v>962</v>
      </c>
      <c r="B10" t="s">
        <v>789</v>
      </c>
      <c r="C10" t="s">
        <v>790</v>
      </c>
      <c r="D10" t="s">
        <v>962</v>
      </c>
      <c r="E10" t="s">
        <v>837</v>
      </c>
      <c r="F10" t="s">
        <v>790</v>
      </c>
    </row>
    <row r="11" spans="1:6">
      <c r="A11" t="s">
        <v>794</v>
      </c>
      <c r="B11" t="s">
        <v>790</v>
      </c>
      <c r="C11" t="s">
        <v>959</v>
      </c>
      <c r="D11" t="s">
        <v>774</v>
      </c>
      <c r="E11" t="s">
        <v>1365</v>
      </c>
      <c r="F11" t="s">
        <v>952</v>
      </c>
    </row>
    <row r="12" spans="1:6">
      <c r="A12" t="s">
        <v>804</v>
      </c>
      <c r="B12" t="s">
        <v>952</v>
      </c>
      <c r="C12" t="s">
        <v>829</v>
      </c>
      <c r="E12" t="s">
        <v>964</v>
      </c>
      <c r="F12" t="s">
        <v>967</v>
      </c>
    </row>
    <row r="13" spans="1:6">
      <c r="B13" t="s">
        <v>962</v>
      </c>
      <c r="C13" t="s">
        <v>1497</v>
      </c>
      <c r="E13" t="s">
        <v>1503</v>
      </c>
      <c r="F13" t="s">
        <v>968</v>
      </c>
    </row>
    <row r="14" spans="1:6">
      <c r="B14" t="s">
        <v>958</v>
      </c>
      <c r="C14" t="s">
        <v>774</v>
      </c>
      <c r="E14" t="s">
        <v>962</v>
      </c>
      <c r="F14" t="s">
        <v>850</v>
      </c>
    </row>
    <row r="15" spans="1:6">
      <c r="B15" t="s">
        <v>794</v>
      </c>
      <c r="C15" t="s">
        <v>1365</v>
      </c>
      <c r="E15" t="s">
        <v>967</v>
      </c>
      <c r="F15" t="s">
        <v>794</v>
      </c>
    </row>
    <row r="16" spans="1:6">
      <c r="B16" t="s">
        <v>804</v>
      </c>
      <c r="C16" t="s">
        <v>964</v>
      </c>
      <c r="E16" t="s">
        <v>968</v>
      </c>
      <c r="F16" t="s">
        <v>959</v>
      </c>
    </row>
    <row r="17" spans="2:6">
      <c r="B17" t="s">
        <v>959</v>
      </c>
      <c r="C17" t="s">
        <v>935</v>
      </c>
      <c r="E17" t="s">
        <v>829</v>
      </c>
      <c r="F17" t="s">
        <v>829</v>
      </c>
    </row>
    <row r="18" spans="2:6">
      <c r="B18" t="s">
        <v>829</v>
      </c>
      <c r="C18" t="s">
        <v>943</v>
      </c>
      <c r="E18" t="s">
        <v>850</v>
      </c>
      <c r="F18" t="s">
        <v>837</v>
      </c>
    </row>
    <row r="19" spans="2:6">
      <c r="B19" t="s">
        <v>774</v>
      </c>
      <c r="E19" t="s">
        <v>958</v>
      </c>
      <c r="F19" t="s">
        <v>964</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Sheet112"/>
  <dimension ref="A1:CC420"/>
  <sheetViews>
    <sheetView zoomScaleNormal="100" workbookViewId="0">
      <selection activeCell="B43" sqref="B43"/>
    </sheetView>
  </sheetViews>
  <sheetFormatPr defaultRowHeight="15"/>
  <cols>
    <col min="1" max="1" width="48.85546875" style="10" customWidth="1"/>
    <col min="2" max="2" width="13.85546875" style="10" customWidth="1"/>
    <col min="3" max="22" width="9.140625" style="10"/>
    <col min="23" max="23" width="15.5703125" style="10" bestFit="1" customWidth="1"/>
    <col min="24" max="24" width="11.85546875" style="10" bestFit="1" customWidth="1"/>
    <col min="25" max="25" width="15.5703125" style="10" bestFit="1" customWidth="1"/>
    <col min="26" max="26" width="9.140625" style="10"/>
    <col min="27" max="31" width="12.7109375" customWidth="1"/>
    <col min="32" max="32" width="12.5703125" bestFit="1" customWidth="1"/>
    <col min="33" max="73" width="13.42578125" customWidth="1"/>
  </cols>
  <sheetData>
    <row r="1" spans="1:81">
      <c r="A1" s="355"/>
      <c r="B1" s="356"/>
      <c r="Q1" s="9"/>
      <c r="R1" s="9"/>
      <c r="AE1" t="s">
        <v>370</v>
      </c>
      <c r="AF1">
        <v>33</v>
      </c>
      <c r="AG1">
        <v>32</v>
      </c>
      <c r="AH1">
        <v>31</v>
      </c>
      <c r="AI1">
        <v>30</v>
      </c>
      <c r="AJ1">
        <v>29</v>
      </c>
      <c r="AK1">
        <v>28</v>
      </c>
      <c r="AL1">
        <v>27</v>
      </c>
      <c r="AM1">
        <v>26</v>
      </c>
      <c r="AN1">
        <v>25</v>
      </c>
      <c r="AO1">
        <v>24</v>
      </c>
      <c r="AP1">
        <v>23</v>
      </c>
      <c r="AQ1">
        <v>22</v>
      </c>
      <c r="AR1">
        <v>21</v>
      </c>
      <c r="AS1">
        <v>20</v>
      </c>
      <c r="AT1">
        <v>19</v>
      </c>
      <c r="AU1">
        <v>18</v>
      </c>
      <c r="AV1">
        <v>17</v>
      </c>
      <c r="AW1">
        <v>16</v>
      </c>
      <c r="AX1">
        <v>15</v>
      </c>
      <c r="AY1">
        <v>14</v>
      </c>
      <c r="AZ1">
        <v>13</v>
      </c>
      <c r="BA1">
        <v>12</v>
      </c>
      <c r="BB1">
        <v>11</v>
      </c>
      <c r="BC1">
        <v>10</v>
      </c>
      <c r="BD1">
        <v>9</v>
      </c>
      <c r="BE1">
        <v>8</v>
      </c>
      <c r="BF1">
        <v>7</v>
      </c>
      <c r="BG1">
        <v>6</v>
      </c>
      <c r="BH1">
        <v>5</v>
      </c>
      <c r="BI1">
        <v>4</v>
      </c>
      <c r="BJ1">
        <v>3</v>
      </c>
      <c r="BK1">
        <v>2</v>
      </c>
      <c r="BL1">
        <v>1</v>
      </c>
      <c r="BM1" s="361">
        <f>IF(GridFootprintToggle="Yes",1,0)</f>
        <v>0</v>
      </c>
    </row>
    <row r="2" spans="1:81" ht="51.75" customHeight="1">
      <c r="A2" s="1481" t="s">
        <v>368</v>
      </c>
      <c r="B2" s="357" t="s">
        <v>369</v>
      </c>
      <c r="AB2" s="322" t="s">
        <v>308</v>
      </c>
      <c r="CB2" t="s">
        <v>2995</v>
      </c>
    </row>
    <row r="3" spans="1:81" ht="15" customHeight="1">
      <c r="A3" s="373" t="s">
        <v>835</v>
      </c>
      <c r="B3" s="359">
        <f ca="1">IF(A3="","",INDEX(Summary!$D$2:$D$35,MATCH(A3,ListofOptions,0)))</f>
        <v>-109.50809255997319</v>
      </c>
      <c r="W3" s="10" t="str">
        <f ca="1">W4&amp;": $"&amp;TEXT(ROUND(W5/1000000,1),0)&amp;"MM"</f>
        <v>PV of Offsets Required for Neutrality: $13MM</v>
      </c>
      <c r="AA3" s="323" t="s">
        <v>309</v>
      </c>
      <c r="AB3" s="323" t="s">
        <v>310</v>
      </c>
      <c r="AC3" s="323" t="s">
        <v>311</v>
      </c>
      <c r="AD3" s="323" t="s">
        <v>312</v>
      </c>
      <c r="AE3" s="323" t="s">
        <v>2931</v>
      </c>
      <c r="AF3" s="324">
        <f>INDEX($A$3:$A$35,AF1)</f>
        <v>0</v>
      </c>
      <c r="AG3" s="324">
        <f t="shared" ref="AG3:BK3" si="0">INDEX($A$3:$A$35,AG1)</f>
        <v>0</v>
      </c>
      <c r="AH3" s="324">
        <f t="shared" si="0"/>
        <v>0</v>
      </c>
      <c r="AI3" s="324">
        <f t="shared" si="0"/>
        <v>0</v>
      </c>
      <c r="AJ3" s="324">
        <f t="shared" si="0"/>
        <v>0</v>
      </c>
      <c r="AK3" s="324">
        <f t="shared" si="0"/>
        <v>0</v>
      </c>
      <c r="AL3" s="324">
        <f t="shared" si="0"/>
        <v>0</v>
      </c>
      <c r="AM3" s="324">
        <f t="shared" si="0"/>
        <v>0</v>
      </c>
      <c r="AN3" s="324">
        <f t="shared" si="0"/>
        <v>0</v>
      </c>
      <c r="AO3" s="324">
        <f t="shared" si="0"/>
        <v>0</v>
      </c>
      <c r="AP3" s="324">
        <f t="shared" si="0"/>
        <v>0</v>
      </c>
      <c r="AQ3" s="324">
        <f t="shared" si="0"/>
        <v>0</v>
      </c>
      <c r="AR3" s="324">
        <f t="shared" si="0"/>
        <v>0</v>
      </c>
      <c r="AS3" s="324">
        <f t="shared" si="0"/>
        <v>0</v>
      </c>
      <c r="AT3" s="324">
        <f t="shared" si="0"/>
        <v>0</v>
      </c>
      <c r="AU3" s="324">
        <f t="shared" si="0"/>
        <v>0</v>
      </c>
      <c r="AV3" s="324" t="str">
        <f t="shared" si="0"/>
        <v>Rooftop Solar PV</v>
      </c>
      <c r="AW3" s="324" t="str">
        <f t="shared" si="0"/>
        <v>Geo Exchange</v>
      </c>
      <c r="AX3" s="324" t="str">
        <f t="shared" si="0"/>
        <v>Solar DHW</v>
      </c>
      <c r="AY3" s="324" t="str">
        <f t="shared" si="0"/>
        <v>On-site Wind</v>
      </c>
      <c r="AZ3" s="324" t="str">
        <f t="shared" si="0"/>
        <v>Coal to Natural Gas Conversion @ Steam Plant</v>
      </c>
      <c r="BA3" s="324" t="str">
        <f t="shared" si="0"/>
        <v>Steam Line Improvements</v>
      </c>
      <c r="BB3" s="324" t="str">
        <f t="shared" si="0"/>
        <v>Waste Reduction</v>
      </c>
      <c r="BC3" s="324" t="str">
        <f t="shared" si="0"/>
        <v>Reduced Automobile Reliance Strategies</v>
      </c>
      <c r="BD3" s="324" t="str">
        <f t="shared" si="0"/>
        <v>Reduced Air Travel</v>
      </c>
      <c r="BE3" s="324" t="str">
        <f t="shared" si="0"/>
        <v>Green IT</v>
      </c>
      <c r="BF3" s="324" t="str">
        <f t="shared" si="0"/>
        <v>Long-term Energy Conservation Measures</v>
      </c>
      <c r="BG3" s="324" t="str">
        <f t="shared" si="0"/>
        <v>Mid-term Energy Conservation Measures</v>
      </c>
      <c r="BH3" s="324" t="str">
        <f t="shared" si="0"/>
        <v>Short-term Energy Conservation Measures</v>
      </c>
      <c r="BI3" s="324" t="str">
        <f t="shared" si="0"/>
        <v>Central Chiller Expansion</v>
      </c>
      <c r="BJ3" s="324" t="str">
        <f t="shared" si="0"/>
        <v>Space Planning &amp; Management</v>
      </c>
      <c r="BK3" s="324" t="str">
        <f t="shared" si="0"/>
        <v>Building Design &amp; Construction Standards</v>
      </c>
      <c r="BL3" s="324" t="str">
        <f>INDEX($A$3:$A$35,BL1)</f>
        <v>Behavior Change</v>
      </c>
      <c r="BM3" s="345" t="str">
        <f>IF(BM1=1,"Grid Footprint Change","")</f>
        <v/>
      </c>
      <c r="BN3" s="35"/>
      <c r="BU3" t="s">
        <v>316</v>
      </c>
      <c r="BV3" t="s">
        <v>315</v>
      </c>
      <c r="BW3" t="s">
        <v>2996</v>
      </c>
      <c r="BX3" t="s">
        <v>2964</v>
      </c>
      <c r="BY3" t="s">
        <v>2967</v>
      </c>
      <c r="BZ3" t="s">
        <v>2998</v>
      </c>
      <c r="CA3" t="s">
        <v>2999</v>
      </c>
      <c r="CB3" t="s">
        <v>2995</v>
      </c>
      <c r="CC3" t="s">
        <v>2994</v>
      </c>
    </row>
    <row r="4" spans="1:81">
      <c r="A4" s="373" t="s">
        <v>954</v>
      </c>
      <c r="B4" s="359">
        <f ca="1">IF(A4="","",INDEX(Summary!$D$2:$D$35,MATCH(A4,ListofOptions,0)))</f>
        <v>-62.686548806655011</v>
      </c>
      <c r="W4" s="10" t="s">
        <v>1493</v>
      </c>
      <c r="AA4" s="318">
        <v>2005</v>
      </c>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c r="BH4" s="318"/>
      <c r="BI4" s="318"/>
      <c r="BJ4" s="318"/>
      <c r="BK4" s="318"/>
      <c r="BL4" s="318"/>
      <c r="BM4" s="318"/>
    </row>
    <row r="5" spans="1:81" ht="15" customHeight="1">
      <c r="A5" s="373" t="s">
        <v>956</v>
      </c>
      <c r="B5" s="359">
        <f ca="1">IF(A5="","",INDEX(Summary!$D$2:$D$35,MATCH(A5,ListofOptions,0)))</f>
        <v>-1076.846007063994</v>
      </c>
      <c r="W5" s="1268">
        <f ca="1">NPV(DiscountRate,X9:X49)</f>
        <v>12899739.143763658</v>
      </c>
      <c r="AA5" s="318">
        <f>AA4+1</f>
        <v>2006</v>
      </c>
      <c r="AB5" s="318"/>
      <c r="AC5" s="318"/>
      <c r="AD5" s="1745" t="s">
        <v>318</v>
      </c>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318"/>
      <c r="BJ5" s="318"/>
      <c r="BK5" s="318"/>
      <c r="BL5" s="318"/>
      <c r="BM5" s="318"/>
    </row>
    <row r="6" spans="1:81">
      <c r="A6" s="373" t="s">
        <v>962</v>
      </c>
      <c r="B6" s="359">
        <f ca="1">IF(A6="","",INDEX(Summary!$D$2:$D$35,MATCH(A6,ListofOptions,0)))</f>
        <v>-238.57707316254573</v>
      </c>
      <c r="W6" s="10" t="s">
        <v>1491</v>
      </c>
      <c r="AA6" s="318">
        <f t="shared" ref="AA6:AA49" si="1">AA5+1</f>
        <v>2007</v>
      </c>
      <c r="AB6" s="318"/>
      <c r="AC6" s="318"/>
      <c r="AD6" s="1745"/>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row>
    <row r="7" spans="1:81">
      <c r="A7" s="373" t="s">
        <v>788</v>
      </c>
      <c r="B7" s="359">
        <f ca="1">IF(A7="","",INDEX(Summary!$D$2:$D$35,MATCH(A7,ListofOptions,0)))</f>
        <v>-115.74016509626473</v>
      </c>
      <c r="W7" s="366">
        <v>0.25</v>
      </c>
      <c r="AA7" s="318">
        <f t="shared" si="1"/>
        <v>2008</v>
      </c>
      <c r="AB7" s="338">
        <f>ExposureCalculations!G14</f>
        <v>0</v>
      </c>
      <c r="AC7" s="338">
        <f>AB7</f>
        <v>0</v>
      </c>
      <c r="AD7" s="1745"/>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c r="BD7" s="318"/>
      <c r="BE7" s="318"/>
      <c r="BF7" s="318"/>
      <c r="BG7" s="318"/>
      <c r="BH7" s="318"/>
      <c r="BI7" s="318"/>
      <c r="BJ7" s="318"/>
      <c r="BK7" s="318"/>
      <c r="BL7" s="318"/>
      <c r="BM7" s="318"/>
    </row>
    <row r="8" spans="1:81">
      <c r="A8" s="373" t="s">
        <v>789</v>
      </c>
      <c r="B8" s="359">
        <f ca="1">IF(A8="","",INDEX(Summary!$D$2:$D$35,MATCH(A8,ListofOptions,0)))</f>
        <v>-95.617893431330998</v>
      </c>
      <c r="W8" s="10" t="s">
        <v>1492</v>
      </c>
      <c r="AA8" s="318">
        <f t="shared" si="1"/>
        <v>2009</v>
      </c>
      <c r="AB8" s="338">
        <f ca="1">ExposureCalculations!G15</f>
        <v>263218.42990122229</v>
      </c>
      <c r="AC8" s="338">
        <f ca="1">AB8</f>
        <v>263218.42990122229</v>
      </c>
      <c r="AD8" s="33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c r="BJ8" s="318"/>
      <c r="BK8" s="318"/>
      <c r="BL8" s="318"/>
      <c r="BM8" s="318"/>
      <c r="BP8" t="s">
        <v>392</v>
      </c>
    </row>
    <row r="9" spans="1:81">
      <c r="A9" s="373" t="s">
        <v>790</v>
      </c>
      <c r="B9" s="359">
        <f ca="1">IF(A9="","",INDEX(Summary!$D$2:$D$35,MATCH(A9,ListofOptions,0)))</f>
        <v>-68.286883813284135</v>
      </c>
      <c r="W9" s="1268">
        <f ca="1">OFFSET(ExposureCalculations!Price_GHG_Allowance_2010,AA9-$AA$9,0)*$W$7</f>
        <v>0</v>
      </c>
      <c r="X9" s="15">
        <f ca="1">W9*AE9</f>
        <v>0</v>
      </c>
      <c r="AA9" s="360">
        <f>AA8+1</f>
        <v>2010</v>
      </c>
      <c r="AB9" s="362">
        <f ca="1">ExposureCalculations!G16</f>
        <v>266371.49010856845</v>
      </c>
      <c r="AC9" s="362">
        <f ca="1">AB9</f>
        <v>266371.49010856845</v>
      </c>
      <c r="AD9" s="362">
        <f t="shared" ref="AD9:AD49" ca="1" si="2">AB9-SUM(AE9:BM9)</f>
        <v>264359.96142904804</v>
      </c>
      <c r="AE9" s="362">
        <f t="shared" ref="AE9:AE49" ca="1" si="3">MAX(AB9-SUM(AF9:BM9)-AC9,0)</f>
        <v>0</v>
      </c>
      <c r="AF9" s="362" t="str">
        <f t="shared" ref="AF9:AO18" ca="1" si="4">IFERROR(-HLOOKUP(AF$3,GHGSavings,$AA9-$AA$9+2,FALSE),"")</f>
        <v/>
      </c>
      <c r="AG9" s="362" t="str">
        <f t="shared" ca="1" si="4"/>
        <v/>
      </c>
      <c r="AH9" s="362" t="str">
        <f t="shared" ca="1" si="4"/>
        <v/>
      </c>
      <c r="AI9" s="362" t="str">
        <f t="shared" ca="1" si="4"/>
        <v/>
      </c>
      <c r="AJ9" s="362" t="str">
        <f t="shared" ca="1" si="4"/>
        <v/>
      </c>
      <c r="AK9" s="362" t="str">
        <f t="shared" ca="1" si="4"/>
        <v/>
      </c>
      <c r="AL9" s="362" t="str">
        <f t="shared" ca="1" si="4"/>
        <v/>
      </c>
      <c r="AM9" s="362" t="str">
        <f t="shared" ca="1" si="4"/>
        <v/>
      </c>
      <c r="AN9" s="362" t="str">
        <f t="shared" ca="1" si="4"/>
        <v/>
      </c>
      <c r="AO9" s="362" t="str">
        <f t="shared" ca="1" si="4"/>
        <v/>
      </c>
      <c r="AP9" s="362" t="str">
        <f t="shared" ref="AP9:AY18" ca="1" si="5">IFERROR(-HLOOKUP(AP$3,GHGSavings,$AA9-$AA$9+2,FALSE),"")</f>
        <v/>
      </c>
      <c r="AQ9" s="362" t="str">
        <f t="shared" ca="1" si="5"/>
        <v/>
      </c>
      <c r="AR9" s="362" t="str">
        <f t="shared" ca="1" si="5"/>
        <v/>
      </c>
      <c r="AS9" s="362" t="str">
        <f t="shared" ca="1" si="5"/>
        <v/>
      </c>
      <c r="AT9" s="362" t="str">
        <f t="shared" ca="1" si="5"/>
        <v/>
      </c>
      <c r="AU9" s="362" t="str">
        <f t="shared" ca="1" si="5"/>
        <v/>
      </c>
      <c r="AV9" s="362">
        <f t="shared" ca="1" si="5"/>
        <v>0</v>
      </c>
      <c r="AW9" s="362">
        <f t="shared" ca="1" si="5"/>
        <v>0</v>
      </c>
      <c r="AX9" s="362">
        <f t="shared" ca="1" si="5"/>
        <v>0</v>
      </c>
      <c r="AY9" s="362">
        <f t="shared" ca="1" si="5"/>
        <v>0</v>
      </c>
      <c r="AZ9" s="362">
        <f t="shared" ref="AZ9:BL18" ca="1" si="6">IFERROR(-HLOOKUP(AZ$3,GHGSavings,$AA9-$AA$9+2,FALSE),"")</f>
        <v>0</v>
      </c>
      <c r="BA9" s="362">
        <f t="shared" ca="1" si="6"/>
        <v>0</v>
      </c>
      <c r="BB9" s="362">
        <f t="shared" ca="1" si="6"/>
        <v>0</v>
      </c>
      <c r="BC9" s="362">
        <f t="shared" ca="1" si="6"/>
        <v>0</v>
      </c>
      <c r="BD9" s="362">
        <f t="shared" ca="1" si="6"/>
        <v>0</v>
      </c>
      <c r="BE9" s="362">
        <f t="shared" ca="1" si="6"/>
        <v>0</v>
      </c>
      <c r="BF9" s="362">
        <f t="shared" ca="1" si="6"/>
        <v>0</v>
      </c>
      <c r="BG9" s="362">
        <f t="shared" ca="1" si="6"/>
        <v>0</v>
      </c>
      <c r="BH9" s="362">
        <f t="shared" ca="1" si="6"/>
        <v>0</v>
      </c>
      <c r="BI9" s="362">
        <f t="shared" ca="1" si="6"/>
        <v>0</v>
      </c>
      <c r="BJ9" s="362">
        <f t="shared" ca="1" si="6"/>
        <v>2011.5286795204174</v>
      </c>
      <c r="BK9" s="362">
        <f t="shared" ca="1" si="6"/>
        <v>0</v>
      </c>
      <c r="BL9" s="362">
        <f t="shared" ca="1" si="6"/>
        <v>0</v>
      </c>
      <c r="BM9" s="362">
        <f t="shared" ref="BM9:BM49" ca="1" si="7">AD56*(EF_PurchElec_MTperMWh-BP9)</f>
        <v>0</v>
      </c>
      <c r="BO9" s="360">
        <v>2010</v>
      </c>
      <c r="BP9" s="375">
        <f ca="1">EF_PurchElec_MTperMWh</f>
        <v>0.71025672512797189</v>
      </c>
      <c r="BQ9" t="s">
        <v>393</v>
      </c>
      <c r="BT9" s="360">
        <v>2010</v>
      </c>
      <c r="BU9" s="1504">
        <f ca="1">AD197</f>
        <v>19403.967151784022</v>
      </c>
      <c r="BV9" s="1504">
        <f ca="1">AD244-CA9</f>
        <v>183365.5656504092</v>
      </c>
      <c r="BW9" s="1504">
        <f ca="1">AD338-BZ9</f>
        <v>45441.480365382726</v>
      </c>
      <c r="BX9" s="1504">
        <f ca="1">AD291</f>
        <v>16281.643397406457</v>
      </c>
      <c r="BY9" s="1504">
        <v>2011.5286795204174</v>
      </c>
      <c r="BZ9" s="1504">
        <f ca="1">MIN(AD338,AE9-CA9)</f>
        <v>0</v>
      </c>
      <c r="CA9" s="1504">
        <f ca="1">MIN(AE9,AD244)</f>
        <v>0</v>
      </c>
      <c r="CB9" s="1504">
        <f ca="1">CC9-BY9</f>
        <v>0</v>
      </c>
      <c r="CC9" s="1504">
        <f t="shared" ref="CC9:CC49" ca="1" si="8">SUM(AF9:BM9)</f>
        <v>2011.5286795204174</v>
      </c>
    </row>
    <row r="10" spans="1:81">
      <c r="A10" s="373" t="s">
        <v>952</v>
      </c>
      <c r="B10" s="359">
        <f ca="1">IF(A10="","",INDEX(Summary!$D$2:$D$35,MATCH(A10,ListofOptions,0)))</f>
        <v>-125.45472871432995</v>
      </c>
      <c r="W10" s="1268">
        <f ca="1">OFFSET(ExposureCalculations!Price_GHG_Allowance_2010,AA10-$AA$9,0)*$W$7</f>
        <v>0</v>
      </c>
      <c r="X10" s="15">
        <f t="shared" ref="X10:X49" ca="1" si="9">W10*AE10</f>
        <v>0</v>
      </c>
      <c r="AA10" s="360">
        <f t="shared" si="1"/>
        <v>2011</v>
      </c>
      <c r="AB10" s="362">
        <f ca="1">ExposureCalculations!G17</f>
        <v>269303.67742545606</v>
      </c>
      <c r="AC10" s="362">
        <f ca="1">($AC$49-$AC$9)/($AA$49-$AA$9)+AC9</f>
        <v>259712.20285585424</v>
      </c>
      <c r="AD10" s="362">
        <f t="shared" ca="1" si="2"/>
        <v>259712.20285585424</v>
      </c>
      <c r="AE10" s="362">
        <f t="shared" ca="1" si="3"/>
        <v>1350.5557363123808</v>
      </c>
      <c r="AF10" s="362" t="str">
        <f t="shared" ca="1" si="4"/>
        <v/>
      </c>
      <c r="AG10" s="362" t="str">
        <f t="shared" ca="1" si="4"/>
        <v/>
      </c>
      <c r="AH10" s="362" t="str">
        <f t="shared" ca="1" si="4"/>
        <v/>
      </c>
      <c r="AI10" s="362" t="str">
        <f t="shared" ca="1" si="4"/>
        <v/>
      </c>
      <c r="AJ10" s="362" t="str">
        <f t="shared" ca="1" si="4"/>
        <v/>
      </c>
      <c r="AK10" s="362" t="str">
        <f t="shared" ca="1" si="4"/>
        <v/>
      </c>
      <c r="AL10" s="362" t="str">
        <f t="shared" ca="1" si="4"/>
        <v/>
      </c>
      <c r="AM10" s="362" t="str">
        <f t="shared" ca="1" si="4"/>
        <v/>
      </c>
      <c r="AN10" s="362" t="str">
        <f t="shared" ca="1" si="4"/>
        <v/>
      </c>
      <c r="AO10" s="362" t="str">
        <f t="shared" ca="1" si="4"/>
        <v/>
      </c>
      <c r="AP10" s="362" t="str">
        <f t="shared" ca="1" si="5"/>
        <v/>
      </c>
      <c r="AQ10" s="362" t="str">
        <f t="shared" ca="1" si="5"/>
        <v/>
      </c>
      <c r="AR10" s="362" t="str">
        <f t="shared" ca="1" si="5"/>
        <v/>
      </c>
      <c r="AS10" s="362" t="str">
        <f t="shared" ca="1" si="5"/>
        <v/>
      </c>
      <c r="AT10" s="362" t="str">
        <f t="shared" ca="1" si="5"/>
        <v/>
      </c>
      <c r="AU10" s="362" t="str">
        <f t="shared" ca="1" si="5"/>
        <v/>
      </c>
      <c r="AV10" s="362">
        <f t="shared" ca="1" si="5"/>
        <v>0</v>
      </c>
      <c r="AW10" s="362">
        <f t="shared" ca="1" si="5"/>
        <v>0</v>
      </c>
      <c r="AX10" s="362">
        <f t="shared" ca="1" si="5"/>
        <v>0</v>
      </c>
      <c r="AY10" s="362">
        <f t="shared" ca="1" si="5"/>
        <v>124.43697824242066</v>
      </c>
      <c r="AZ10" s="362">
        <f t="shared" ca="1" si="6"/>
        <v>0</v>
      </c>
      <c r="BA10" s="362">
        <f t="shared" ca="1" si="6"/>
        <v>0</v>
      </c>
      <c r="BB10" s="362">
        <f t="shared" ca="1" si="6"/>
        <v>0</v>
      </c>
      <c r="BC10" s="362">
        <f t="shared" ca="1" si="6"/>
        <v>0</v>
      </c>
      <c r="BD10" s="362">
        <f t="shared" ca="1" si="6"/>
        <v>561.67481273159069</v>
      </c>
      <c r="BE10" s="362">
        <f t="shared" ca="1" si="6"/>
        <v>0</v>
      </c>
      <c r="BF10" s="362">
        <f t="shared" ca="1" si="6"/>
        <v>0</v>
      </c>
      <c r="BG10" s="362">
        <f t="shared" ca="1" si="6"/>
        <v>0</v>
      </c>
      <c r="BH10" s="362">
        <f t="shared" ca="1" si="6"/>
        <v>2742.0270431200861</v>
      </c>
      <c r="BI10" s="362">
        <f t="shared" ca="1" si="6"/>
        <v>0</v>
      </c>
      <c r="BJ10" s="362">
        <f t="shared" ca="1" si="6"/>
        <v>4023.0573590408094</v>
      </c>
      <c r="BK10" s="362">
        <f t="shared" ca="1" si="6"/>
        <v>789.72264015453493</v>
      </c>
      <c r="BL10" s="362">
        <f t="shared" ca="1" si="6"/>
        <v>0</v>
      </c>
      <c r="BM10" s="362">
        <f t="shared" ca="1" si="7"/>
        <v>0</v>
      </c>
      <c r="BO10" s="360">
        <f t="shared" ref="BO10:BO49" si="10">BO9+1</f>
        <v>2011</v>
      </c>
      <c r="BP10" s="375">
        <f ca="1">IF(GridFootprintToggle="Yes",EF_PurchElec_MTperMWh*(1-ExposureCalculations!B16),EF_PurchElec_MTperMWh)</f>
        <v>0.71025672512797189</v>
      </c>
      <c r="BT10" s="360">
        <f t="shared" ref="BT10:BT49" si="11">BT9+1</f>
        <v>2011</v>
      </c>
      <c r="BU10" s="1504">
        <f t="shared" ref="BU10:BU49" ca="1" si="12">AD198</f>
        <v>19635.559920844986</v>
      </c>
      <c r="BV10" s="1504">
        <f t="shared" ref="BV10:BV49" ca="1" si="13">AD245-CA10</f>
        <v>178721.26665535814</v>
      </c>
      <c r="BW10" s="1504">
        <f t="shared" ref="BW10:BW49" ca="1" si="14">AD339-BZ10</f>
        <v>45712.571212049814</v>
      </c>
      <c r="BX10" s="1504">
        <f t="shared" ref="BX10:BX49" ca="1" si="15">AD292</f>
        <v>16337.600376534232</v>
      </c>
      <c r="BY10" s="1504">
        <v>8240.918833289441</v>
      </c>
      <c r="BZ10" s="1504">
        <f t="shared" ref="BZ10:BZ49" ca="1" si="16">MIN(AD339,AE10-CA10)</f>
        <v>0</v>
      </c>
      <c r="CA10" s="1504">
        <f t="shared" ref="CA10:CA49" ca="1" si="17">MIN(AE10,AD245)</f>
        <v>1350.5557363123808</v>
      </c>
      <c r="CB10" s="1504">
        <f t="shared" ref="CB10:CB49" ca="1" si="18">CC10-BY10</f>
        <v>0</v>
      </c>
      <c r="CC10" s="1504">
        <f t="shared" ca="1" si="8"/>
        <v>8240.918833289441</v>
      </c>
    </row>
    <row r="11" spans="1:81">
      <c r="A11" s="373" t="s">
        <v>967</v>
      </c>
      <c r="B11" s="359">
        <f ca="1">IF(A11="","",INDEX(Summary!$D$2:$D$35,MATCH(A11,ListofOptions,0)))</f>
        <v>-220.06822112410663</v>
      </c>
      <c r="W11" s="1268">
        <f ca="1">OFFSET(ExposureCalculations!Price_GHG_Allowance_2010,AA11-$AA$9,0)*$W$7</f>
        <v>0</v>
      </c>
      <c r="X11" s="15">
        <f t="shared" ca="1" si="9"/>
        <v>0</v>
      </c>
      <c r="AA11" s="360">
        <f t="shared" si="1"/>
        <v>2012</v>
      </c>
      <c r="AB11" s="362">
        <f ca="1">ExposureCalculations!G18</f>
        <v>275791.85529217363</v>
      </c>
      <c r="AC11" s="362">
        <f t="shared" ref="AC11:AC48" ca="1" si="19">($AC$49-$AC$9)/($AA$49-$AA$9)+AC10</f>
        <v>253052.91560314002</v>
      </c>
      <c r="AD11" s="362">
        <f t="shared" ca="1" si="2"/>
        <v>252130.48632544713</v>
      </c>
      <c r="AE11" s="362">
        <f t="shared" ca="1" si="3"/>
        <v>0</v>
      </c>
      <c r="AF11" s="362" t="str">
        <f t="shared" ca="1" si="4"/>
        <v/>
      </c>
      <c r="AG11" s="362" t="str">
        <f t="shared" ca="1" si="4"/>
        <v/>
      </c>
      <c r="AH11" s="362" t="str">
        <f t="shared" ca="1" si="4"/>
        <v/>
      </c>
      <c r="AI11" s="362" t="str">
        <f t="shared" ca="1" si="4"/>
        <v/>
      </c>
      <c r="AJ11" s="362" t="str">
        <f t="shared" ca="1" si="4"/>
        <v/>
      </c>
      <c r="AK11" s="362" t="str">
        <f t="shared" ca="1" si="4"/>
        <v/>
      </c>
      <c r="AL11" s="362" t="str">
        <f t="shared" ca="1" si="4"/>
        <v/>
      </c>
      <c r="AM11" s="362" t="str">
        <f t="shared" ca="1" si="4"/>
        <v/>
      </c>
      <c r="AN11" s="362" t="str">
        <f t="shared" ca="1" si="4"/>
        <v/>
      </c>
      <c r="AO11" s="362" t="str">
        <f t="shared" ca="1" si="4"/>
        <v/>
      </c>
      <c r="AP11" s="362" t="str">
        <f t="shared" ca="1" si="5"/>
        <v/>
      </c>
      <c r="AQ11" s="362" t="str">
        <f t="shared" ca="1" si="5"/>
        <v/>
      </c>
      <c r="AR11" s="362" t="str">
        <f t="shared" ca="1" si="5"/>
        <v/>
      </c>
      <c r="AS11" s="362" t="str">
        <f t="shared" ca="1" si="5"/>
        <v/>
      </c>
      <c r="AT11" s="362" t="str">
        <f t="shared" ca="1" si="5"/>
        <v/>
      </c>
      <c r="AU11" s="362" t="str">
        <f t="shared" ca="1" si="5"/>
        <v/>
      </c>
      <c r="AV11" s="362">
        <f t="shared" ca="1" si="5"/>
        <v>0</v>
      </c>
      <c r="AW11" s="362">
        <f t="shared" ca="1" si="5"/>
        <v>0</v>
      </c>
      <c r="AX11" s="362">
        <f t="shared" ca="1" si="5"/>
        <v>42.106365709288561</v>
      </c>
      <c r="AY11" s="362">
        <f t="shared" ca="1" si="5"/>
        <v>124.43697824242066</v>
      </c>
      <c r="AZ11" s="362">
        <f t="shared" ca="1" si="6"/>
        <v>0</v>
      </c>
      <c r="BA11" s="362">
        <f t="shared" ca="1" si="6"/>
        <v>3075.9772424453963</v>
      </c>
      <c r="BB11" s="362">
        <f t="shared" ca="1" si="6"/>
        <v>40.884638161468658</v>
      </c>
      <c r="BC11" s="362">
        <f t="shared" ca="1" si="6"/>
        <v>162.81643397406458</v>
      </c>
      <c r="BD11" s="362">
        <f t="shared" ca="1" si="6"/>
        <v>563.47528677760192</v>
      </c>
      <c r="BE11" s="362">
        <f t="shared" ca="1" si="6"/>
        <v>1948.4709492677364</v>
      </c>
      <c r="BF11" s="362">
        <f t="shared" ca="1" si="6"/>
        <v>0</v>
      </c>
      <c r="BG11" s="362">
        <f t="shared" ca="1" si="6"/>
        <v>0</v>
      </c>
      <c r="BH11" s="362">
        <f t="shared" ca="1" si="6"/>
        <v>5484.0540862401722</v>
      </c>
      <c r="BI11" s="362">
        <f t="shared" ca="1" si="6"/>
        <v>2167.9819457268204</v>
      </c>
      <c r="BJ11" s="362">
        <f t="shared" ca="1" si="6"/>
        <v>6034.5860385612268</v>
      </c>
      <c r="BK11" s="362">
        <f t="shared" ca="1" si="6"/>
        <v>3573.5485844890363</v>
      </c>
      <c r="BL11" s="362">
        <f t="shared" ca="1" si="6"/>
        <v>443.03041713126811</v>
      </c>
      <c r="BM11" s="362">
        <f t="shared" ca="1" si="7"/>
        <v>0</v>
      </c>
      <c r="BO11" s="360">
        <f t="shared" si="10"/>
        <v>2012</v>
      </c>
      <c r="BP11" s="375">
        <f ca="1">IF(GridFootprintToggle="Yes",EF_PurchElec_MTperMWh*(1-ExposureCalculations!B17),EF_PurchElec_MTperMWh)</f>
        <v>0.71025672512797189</v>
      </c>
      <c r="BT11" s="360">
        <f t="shared" si="11"/>
        <v>2012</v>
      </c>
      <c r="BU11" s="1504">
        <f t="shared" ca="1" si="12"/>
        <v>20175.606093442471</v>
      </c>
      <c r="BV11" s="1504">
        <f t="shared" ca="1" si="13"/>
        <v>170282.56913104199</v>
      </c>
      <c r="BW11" s="1504">
        <f t="shared" ca="1" si="14"/>
        <v>46029.605289521925</v>
      </c>
      <c r="BX11" s="1504">
        <f t="shared" ca="1" si="15"/>
        <v>16217.69618901952</v>
      </c>
      <c r="BY11" s="1504">
        <v>23661.368966726499</v>
      </c>
      <c r="BZ11" s="1504">
        <f t="shared" ca="1" si="16"/>
        <v>0</v>
      </c>
      <c r="CA11" s="1504">
        <f t="shared" ca="1" si="17"/>
        <v>0</v>
      </c>
      <c r="CB11" s="1504">
        <f t="shared" ca="1" si="18"/>
        <v>0</v>
      </c>
      <c r="CC11" s="1504">
        <f t="shared" ca="1" si="8"/>
        <v>23661.368966726499</v>
      </c>
    </row>
    <row r="12" spans="1:81">
      <c r="A12" s="373" t="s">
        <v>968</v>
      </c>
      <c r="B12" s="359">
        <f ca="1">IF(A12="","",INDEX(Summary!$D$2:$D$35,MATCH(A12,ListofOptions,0)))</f>
        <v>123.79174629217583</v>
      </c>
      <c r="W12" s="1268">
        <f ca="1">OFFSET(ExposureCalculations!Price_GHG_Allowance_2010,AA12-$AA$9,0)*$W$7</f>
        <v>0</v>
      </c>
      <c r="X12" s="15">
        <f t="shared" ca="1" si="9"/>
        <v>0</v>
      </c>
      <c r="AA12" s="360">
        <f t="shared" si="1"/>
        <v>2013</v>
      </c>
      <c r="AB12" s="362">
        <f ca="1">ExposureCalculations!G19</f>
        <v>279648.61947465339</v>
      </c>
      <c r="AC12" s="362">
        <f t="shared" ca="1" si="19"/>
        <v>246393.6283504258</v>
      </c>
      <c r="AD12" s="362">
        <f t="shared" ca="1" si="2"/>
        <v>246393.6283504258</v>
      </c>
      <c r="AE12" s="362">
        <f t="shared" ca="1" si="3"/>
        <v>406.49943653674563</v>
      </c>
      <c r="AF12" s="362" t="str">
        <f t="shared" ca="1" si="4"/>
        <v/>
      </c>
      <c r="AG12" s="362" t="str">
        <f t="shared" ca="1" si="4"/>
        <v/>
      </c>
      <c r="AH12" s="362" t="str">
        <f t="shared" ca="1" si="4"/>
        <v/>
      </c>
      <c r="AI12" s="362" t="str">
        <f t="shared" ca="1" si="4"/>
        <v/>
      </c>
      <c r="AJ12" s="362" t="str">
        <f t="shared" ca="1" si="4"/>
        <v/>
      </c>
      <c r="AK12" s="362" t="str">
        <f t="shared" ca="1" si="4"/>
        <v/>
      </c>
      <c r="AL12" s="362" t="str">
        <f t="shared" ca="1" si="4"/>
        <v/>
      </c>
      <c r="AM12" s="362" t="str">
        <f t="shared" ca="1" si="4"/>
        <v/>
      </c>
      <c r="AN12" s="362" t="str">
        <f t="shared" ca="1" si="4"/>
        <v/>
      </c>
      <c r="AO12" s="362" t="str">
        <f t="shared" ca="1" si="4"/>
        <v/>
      </c>
      <c r="AP12" s="362" t="str">
        <f t="shared" ca="1" si="5"/>
        <v/>
      </c>
      <c r="AQ12" s="362" t="str">
        <f t="shared" ca="1" si="5"/>
        <v/>
      </c>
      <c r="AR12" s="362" t="str">
        <f t="shared" ca="1" si="5"/>
        <v/>
      </c>
      <c r="AS12" s="362" t="str">
        <f t="shared" ca="1" si="5"/>
        <v/>
      </c>
      <c r="AT12" s="362" t="str">
        <f t="shared" ca="1" si="5"/>
        <v/>
      </c>
      <c r="AU12" s="362" t="str">
        <f t="shared" ca="1" si="5"/>
        <v/>
      </c>
      <c r="AV12" s="362">
        <f t="shared" ca="1" si="5"/>
        <v>0</v>
      </c>
      <c r="AW12" s="362">
        <f t="shared" ca="1" si="5"/>
        <v>680.80856317059579</v>
      </c>
      <c r="AX12" s="362">
        <f t="shared" ca="1" si="5"/>
        <v>42.106365709288561</v>
      </c>
      <c r="AY12" s="362">
        <f t="shared" ca="1" si="5"/>
        <v>124.43697824242066</v>
      </c>
      <c r="AZ12" s="362">
        <f t="shared" ca="1" si="6"/>
        <v>0</v>
      </c>
      <c r="BA12" s="362">
        <f t="shared" ca="1" si="6"/>
        <v>3125.3879734301372</v>
      </c>
      <c r="BB12" s="362">
        <f t="shared" ca="1" si="6"/>
        <v>81.937879892859442</v>
      </c>
      <c r="BC12" s="362">
        <f t="shared" ca="1" si="6"/>
        <v>326.1924377394069</v>
      </c>
      <c r="BD12" s="362">
        <f t="shared" ca="1" si="6"/>
        <v>564.85683910426201</v>
      </c>
      <c r="BE12" s="362">
        <f t="shared" ca="1" si="6"/>
        <v>3896.9418985354728</v>
      </c>
      <c r="BF12" s="362">
        <f t="shared" ca="1" si="6"/>
        <v>0</v>
      </c>
      <c r="BG12" s="362">
        <f t="shared" ca="1" si="6"/>
        <v>0</v>
      </c>
      <c r="BH12" s="362">
        <f t="shared" ca="1" si="6"/>
        <v>8226.0811293602583</v>
      </c>
      <c r="BI12" s="362">
        <f t="shared" ca="1" si="6"/>
        <v>2218.6346143360465</v>
      </c>
      <c r="BJ12" s="362">
        <f t="shared" ca="1" si="6"/>
        <v>8046.1147180816188</v>
      </c>
      <c r="BK12" s="362">
        <f t="shared" ca="1" si="6"/>
        <v>4637.7326311296556</v>
      </c>
      <c r="BL12" s="362">
        <f t="shared" ca="1" si="6"/>
        <v>877.25965895883451</v>
      </c>
      <c r="BM12" s="362">
        <f t="shared" ca="1" si="7"/>
        <v>0</v>
      </c>
      <c r="BO12" s="360">
        <f t="shared" si="10"/>
        <v>2013</v>
      </c>
      <c r="BP12" s="375">
        <f ca="1">IF(GridFootprintToggle="Yes",EF_PurchElec_MTperMWh*(1-ExposureCalculations!B18),EF_PurchElec_MTperMWh)</f>
        <v>0.71025672512797189</v>
      </c>
      <c r="BT12" s="360">
        <f t="shared" si="11"/>
        <v>2013</v>
      </c>
      <c r="BU12" s="1504">
        <f t="shared" ca="1" si="12"/>
        <v>20490.793479463464</v>
      </c>
      <c r="BV12" s="1504">
        <f t="shared" ca="1" si="13"/>
        <v>164101.01801120711</v>
      </c>
      <c r="BW12" s="1504">
        <f t="shared" ca="1" si="14"/>
        <v>46165.661177061251</v>
      </c>
      <c r="BX12" s="1504">
        <f t="shared" ca="1" si="15"/>
        <v>16090.480010411444</v>
      </c>
      <c r="BY12" s="1504">
        <v>32848.491687690854</v>
      </c>
      <c r="BZ12" s="1504">
        <f t="shared" ca="1" si="16"/>
        <v>0</v>
      </c>
      <c r="CA12" s="1504">
        <f t="shared" ca="1" si="17"/>
        <v>406.49943653674563</v>
      </c>
      <c r="CB12" s="1504">
        <f t="shared" ca="1" si="18"/>
        <v>0</v>
      </c>
      <c r="CC12" s="1504">
        <f t="shared" ca="1" si="8"/>
        <v>32848.491687690854</v>
      </c>
    </row>
    <row r="13" spans="1:81">
      <c r="A13" s="373" t="s">
        <v>850</v>
      </c>
      <c r="B13" s="359">
        <f ca="1">IF(A13="","",INDEX(Summary!$D$2:$D$35,MATCH(A13,ListofOptions,0)))</f>
        <v>-17.097335758589974</v>
      </c>
      <c r="W13" s="1268">
        <f ca="1">OFFSET(ExposureCalculations!Price_GHG_Allowance_2010,AA13-$AA$9,0)*$W$7</f>
        <v>0</v>
      </c>
      <c r="X13" s="15">
        <f t="shared" ca="1" si="9"/>
        <v>0</v>
      </c>
      <c r="AA13" s="360">
        <f t="shared" si="1"/>
        <v>2014</v>
      </c>
      <c r="AB13" s="362">
        <f ca="1">ExposureCalculations!G20</f>
        <v>282513.6365609222</v>
      </c>
      <c r="AC13" s="362">
        <f t="shared" ca="1" si="19"/>
        <v>239734.34109771159</v>
      </c>
      <c r="AD13" s="362">
        <f t="shared" ca="1" si="2"/>
        <v>239734.34109771159</v>
      </c>
      <c r="AE13" s="362">
        <f t="shared" ca="1" si="3"/>
        <v>361.31646908793482</v>
      </c>
      <c r="AF13" s="362" t="str">
        <f t="shared" ca="1" si="4"/>
        <v/>
      </c>
      <c r="AG13" s="362" t="str">
        <f t="shared" ca="1" si="4"/>
        <v/>
      </c>
      <c r="AH13" s="362" t="str">
        <f t="shared" ca="1" si="4"/>
        <v/>
      </c>
      <c r="AI13" s="362" t="str">
        <f t="shared" ca="1" si="4"/>
        <v/>
      </c>
      <c r="AJ13" s="362" t="str">
        <f t="shared" ca="1" si="4"/>
        <v/>
      </c>
      <c r="AK13" s="362" t="str">
        <f t="shared" ca="1" si="4"/>
        <v/>
      </c>
      <c r="AL13" s="362" t="str">
        <f t="shared" ca="1" si="4"/>
        <v/>
      </c>
      <c r="AM13" s="362" t="str">
        <f t="shared" ca="1" si="4"/>
        <v/>
      </c>
      <c r="AN13" s="362" t="str">
        <f t="shared" ca="1" si="4"/>
        <v/>
      </c>
      <c r="AO13" s="362" t="str">
        <f t="shared" ca="1" si="4"/>
        <v/>
      </c>
      <c r="AP13" s="362" t="str">
        <f t="shared" ca="1" si="5"/>
        <v/>
      </c>
      <c r="AQ13" s="362" t="str">
        <f t="shared" ca="1" si="5"/>
        <v/>
      </c>
      <c r="AR13" s="362" t="str">
        <f t="shared" ca="1" si="5"/>
        <v/>
      </c>
      <c r="AS13" s="362" t="str">
        <f t="shared" ca="1" si="5"/>
        <v/>
      </c>
      <c r="AT13" s="362" t="str">
        <f t="shared" ca="1" si="5"/>
        <v/>
      </c>
      <c r="AU13" s="362" t="str">
        <f t="shared" ca="1" si="5"/>
        <v/>
      </c>
      <c r="AV13" s="362">
        <f t="shared" ca="1" si="5"/>
        <v>0</v>
      </c>
      <c r="AW13" s="362">
        <f t="shared" ca="1" si="5"/>
        <v>680.80856317059579</v>
      </c>
      <c r="AX13" s="362">
        <f t="shared" ca="1" si="5"/>
        <v>42.106365709288561</v>
      </c>
      <c r="AY13" s="362">
        <f t="shared" ca="1" si="5"/>
        <v>124.43697824242066</v>
      </c>
      <c r="AZ13" s="362">
        <f t="shared" ca="1" si="6"/>
        <v>0</v>
      </c>
      <c r="BA13" s="362">
        <f t="shared" ca="1" si="6"/>
        <v>3161.5430998748739</v>
      </c>
      <c r="BB13" s="362">
        <f t="shared" ca="1" si="6"/>
        <v>123.12963392984285</v>
      </c>
      <c r="BC13" s="362">
        <f t="shared" ca="1" si="6"/>
        <v>489.99756396934276</v>
      </c>
      <c r="BD13" s="362">
        <f t="shared" ca="1" si="6"/>
        <v>566.02154159217173</v>
      </c>
      <c r="BE13" s="362">
        <f t="shared" ca="1" si="6"/>
        <v>5845.4128478032089</v>
      </c>
      <c r="BF13" s="362">
        <f t="shared" ca="1" si="6"/>
        <v>0</v>
      </c>
      <c r="BG13" s="362">
        <f t="shared" ca="1" si="6"/>
        <v>0</v>
      </c>
      <c r="BH13" s="362">
        <f t="shared" ca="1" si="6"/>
        <v>10968.108172480344</v>
      </c>
      <c r="BI13" s="362">
        <f t="shared" ca="1" si="6"/>
        <v>4005.0410780820157</v>
      </c>
      <c r="BJ13" s="362">
        <f t="shared" ca="1" si="6"/>
        <v>10057.643397602036</v>
      </c>
      <c r="BK13" s="362">
        <f t="shared" ca="1" si="6"/>
        <v>5052.878033826406</v>
      </c>
      <c r="BL13" s="362">
        <f t="shared" ca="1" si="6"/>
        <v>1300.8517178401214</v>
      </c>
      <c r="BM13" s="362">
        <f t="shared" ca="1" si="7"/>
        <v>0</v>
      </c>
      <c r="BO13" s="360">
        <f t="shared" si="10"/>
        <v>2014</v>
      </c>
      <c r="BP13" s="375">
        <f ca="1">IF(GridFootprintToggle="Yes",EF_PurchElec_MTperMWh*(1-ExposureCalculations!B19),EF_PurchElec_MTperMWh)</f>
        <v>0.71025672512797189</v>
      </c>
      <c r="BT13" s="360">
        <f t="shared" si="11"/>
        <v>2014</v>
      </c>
      <c r="BU13" s="1504">
        <f t="shared" ca="1" si="12"/>
        <v>20721.600734731339</v>
      </c>
      <c r="BV13" s="1504">
        <f t="shared" ca="1" si="13"/>
        <v>157156.84733727766</v>
      </c>
      <c r="BW13" s="1504">
        <f t="shared" ca="1" si="14"/>
        <v>46230.491546234407</v>
      </c>
      <c r="BX13" s="1504">
        <f t="shared" ca="1" si="15"/>
        <v>15958.519558171398</v>
      </c>
      <c r="BY13" s="1504">
        <v>42417.97899412267</v>
      </c>
      <c r="BZ13" s="1504">
        <f t="shared" ca="1" si="16"/>
        <v>0</v>
      </c>
      <c r="CA13" s="1504">
        <f t="shared" ca="1" si="17"/>
        <v>361.31646908793482</v>
      </c>
      <c r="CB13" s="1504">
        <f t="shared" ca="1" si="18"/>
        <v>0</v>
      </c>
      <c r="CC13" s="1504">
        <f t="shared" ca="1" si="8"/>
        <v>42417.97899412267</v>
      </c>
    </row>
    <row r="14" spans="1:81">
      <c r="A14" s="373" t="s">
        <v>794</v>
      </c>
      <c r="B14" s="359">
        <f ca="1">IF(A14="","",INDEX(Summary!$D$2:$D$35,MATCH(A14,ListofOptions,0)))</f>
        <v>-97.677702400310238</v>
      </c>
      <c r="W14" s="1268">
        <f ca="1">OFFSET(ExposureCalculations!Price_GHG_Allowance_2010,AA14-$AA$9,0)*$W$7</f>
        <v>8.2812188690220587</v>
      </c>
      <c r="X14" s="15">
        <f t="shared" ca="1" si="9"/>
        <v>0</v>
      </c>
      <c r="AA14" s="360">
        <f t="shared" si="1"/>
        <v>2015</v>
      </c>
      <c r="AB14" s="362">
        <f ca="1">ExposureCalculations!G21</f>
        <v>287982.71814977459</v>
      </c>
      <c r="AC14" s="362">
        <f t="shared" ca="1" si="19"/>
        <v>233075.05384499737</v>
      </c>
      <c r="AD14" s="362">
        <f t="shared" ca="1" si="2"/>
        <v>218654.71987025294</v>
      </c>
      <c r="AE14" s="362">
        <f t="shared" ca="1" si="3"/>
        <v>0</v>
      </c>
      <c r="AF14" s="362" t="str">
        <f t="shared" ca="1" si="4"/>
        <v/>
      </c>
      <c r="AG14" s="362" t="str">
        <f t="shared" ca="1" si="4"/>
        <v/>
      </c>
      <c r="AH14" s="362" t="str">
        <f t="shared" ca="1" si="4"/>
        <v/>
      </c>
      <c r="AI14" s="362" t="str">
        <f t="shared" ca="1" si="4"/>
        <v/>
      </c>
      <c r="AJ14" s="362" t="str">
        <f t="shared" ca="1" si="4"/>
        <v/>
      </c>
      <c r="AK14" s="362" t="str">
        <f t="shared" ca="1" si="4"/>
        <v/>
      </c>
      <c r="AL14" s="362" t="str">
        <f t="shared" ca="1" si="4"/>
        <v/>
      </c>
      <c r="AM14" s="362" t="str">
        <f t="shared" ca="1" si="4"/>
        <v/>
      </c>
      <c r="AN14" s="362" t="str">
        <f t="shared" ca="1" si="4"/>
        <v/>
      </c>
      <c r="AO14" s="362" t="str">
        <f t="shared" ca="1" si="4"/>
        <v/>
      </c>
      <c r="AP14" s="362" t="str">
        <f t="shared" ca="1" si="5"/>
        <v/>
      </c>
      <c r="AQ14" s="362" t="str">
        <f t="shared" ca="1" si="5"/>
        <v/>
      </c>
      <c r="AR14" s="362" t="str">
        <f t="shared" ca="1" si="5"/>
        <v/>
      </c>
      <c r="AS14" s="362" t="str">
        <f t="shared" ca="1" si="5"/>
        <v/>
      </c>
      <c r="AT14" s="362" t="str">
        <f t="shared" ca="1" si="5"/>
        <v/>
      </c>
      <c r="AU14" s="362" t="str">
        <f t="shared" ca="1" si="5"/>
        <v/>
      </c>
      <c r="AV14" s="362">
        <f t="shared" ca="1" si="5"/>
        <v>497.52640520481702</v>
      </c>
      <c r="AW14" s="362">
        <f t="shared" ca="1" si="5"/>
        <v>1361.6171263411916</v>
      </c>
      <c r="AX14" s="362">
        <f t="shared" ca="1" si="5"/>
        <v>42.106365709288561</v>
      </c>
      <c r="AY14" s="362">
        <f t="shared" ca="1" si="5"/>
        <v>124.43697824242066</v>
      </c>
      <c r="AZ14" s="362">
        <f t="shared" ca="1" si="6"/>
        <v>18056.365727671626</v>
      </c>
      <c r="BA14" s="362">
        <f t="shared" ca="1" si="6"/>
        <v>3233.0465050929606</v>
      </c>
      <c r="BB14" s="362">
        <f t="shared" ca="1" si="6"/>
        <v>164.44143102054525</v>
      </c>
      <c r="BC14" s="362">
        <f t="shared" ca="1" si="6"/>
        <v>654.16428845085125</v>
      </c>
      <c r="BD14" s="362">
        <f t="shared" ca="1" si="6"/>
        <v>567.04766508302907</v>
      </c>
      <c r="BE14" s="362">
        <f t="shared" ca="1" si="6"/>
        <v>5845.4128478032089</v>
      </c>
      <c r="BF14" s="362">
        <f t="shared" ca="1" si="6"/>
        <v>0</v>
      </c>
      <c r="BG14" s="362">
        <f t="shared" ca="1" si="6"/>
        <v>0</v>
      </c>
      <c r="BH14" s="362">
        <f t="shared" ca="1" si="6"/>
        <v>13710.13521560043</v>
      </c>
      <c r="BI14" s="362">
        <f t="shared" ca="1" si="6"/>
        <v>4055.6937466912427</v>
      </c>
      <c r="BJ14" s="362">
        <f t="shared" ca="1" si="6"/>
        <v>12069.172077122454</v>
      </c>
      <c r="BK14" s="362">
        <f t="shared" ca="1" si="6"/>
        <v>7226.3575762567925</v>
      </c>
      <c r="BL14" s="362">
        <f t="shared" ca="1" si="6"/>
        <v>1720.4743232307801</v>
      </c>
      <c r="BM14" s="362">
        <f t="shared" ca="1" si="7"/>
        <v>0</v>
      </c>
      <c r="BO14" s="360">
        <f t="shared" si="10"/>
        <v>2015</v>
      </c>
      <c r="BP14" s="375">
        <f ca="1">IF(GridFootprintToggle="Yes",EF_PurchElec_MTperMWh*(1-ExposureCalculations!B20),EF_PurchElec_MTperMWh)</f>
        <v>0.71025672512797189</v>
      </c>
      <c r="BT14" s="360">
        <f t="shared" si="11"/>
        <v>2015</v>
      </c>
      <c r="BU14" s="1504">
        <f t="shared" ca="1" si="12"/>
        <v>21176.94694453691</v>
      </c>
      <c r="BV14" s="1504">
        <f t="shared" ca="1" si="13"/>
        <v>135408.05633511263</v>
      </c>
      <c r="BW14" s="1504">
        <f t="shared" ca="1" si="14"/>
        <v>46458.092695257648</v>
      </c>
      <c r="BX14" s="1504">
        <f t="shared" ca="1" si="15"/>
        <v>15823.132335206108</v>
      </c>
      <c r="BY14" s="1504">
        <v>69327.998279521635</v>
      </c>
      <c r="BZ14" s="1504">
        <f t="shared" ca="1" si="16"/>
        <v>0</v>
      </c>
      <c r="CA14" s="1504">
        <f t="shared" ca="1" si="17"/>
        <v>0</v>
      </c>
      <c r="CB14" s="1504">
        <f ca="1">CC14-BY14+CA14</f>
        <v>0</v>
      </c>
      <c r="CC14" s="1504">
        <f t="shared" ca="1" si="8"/>
        <v>69327.998279521635</v>
      </c>
    </row>
    <row r="15" spans="1:81">
      <c r="A15" s="373" t="s">
        <v>959</v>
      </c>
      <c r="B15" s="359">
        <f ca="1">IF(A15="","",INDEX(Summary!$D$2:$D$35,MATCH(A15,ListofOptions,0)))</f>
        <v>17.959528154390838</v>
      </c>
      <c r="W15" s="1268">
        <f ca="1">OFFSET(ExposureCalculations!Price_GHG_Allowance_2010,AA15-$AA$9,0)*$W$7</f>
        <v>8.6556941177698086</v>
      </c>
      <c r="X15" s="15">
        <f t="shared" ca="1" si="9"/>
        <v>0</v>
      </c>
      <c r="AA15" s="360">
        <f t="shared" si="1"/>
        <v>2016</v>
      </c>
      <c r="AB15" s="362">
        <f ca="1">ExposureCalculations!G22</f>
        <v>290832.72619485745</v>
      </c>
      <c r="AC15" s="362">
        <f t="shared" ca="1" si="19"/>
        <v>226415.76659228315</v>
      </c>
      <c r="AD15" s="362">
        <f t="shared" ca="1" si="2"/>
        <v>215620.92562340829</v>
      </c>
      <c r="AE15" s="362">
        <f t="shared" ca="1" si="3"/>
        <v>0</v>
      </c>
      <c r="AF15" s="362" t="str">
        <f t="shared" ca="1" si="4"/>
        <v/>
      </c>
      <c r="AG15" s="362" t="str">
        <f t="shared" ca="1" si="4"/>
        <v/>
      </c>
      <c r="AH15" s="362" t="str">
        <f t="shared" ca="1" si="4"/>
        <v/>
      </c>
      <c r="AI15" s="362" t="str">
        <f t="shared" ca="1" si="4"/>
        <v/>
      </c>
      <c r="AJ15" s="362" t="str">
        <f t="shared" ca="1" si="4"/>
        <v/>
      </c>
      <c r="AK15" s="362" t="str">
        <f t="shared" ca="1" si="4"/>
        <v/>
      </c>
      <c r="AL15" s="362" t="str">
        <f t="shared" ca="1" si="4"/>
        <v/>
      </c>
      <c r="AM15" s="362" t="str">
        <f t="shared" ca="1" si="4"/>
        <v/>
      </c>
      <c r="AN15" s="362" t="str">
        <f t="shared" ca="1" si="4"/>
        <v/>
      </c>
      <c r="AO15" s="362" t="str">
        <f t="shared" ca="1" si="4"/>
        <v/>
      </c>
      <c r="AP15" s="362" t="str">
        <f t="shared" ca="1" si="5"/>
        <v/>
      </c>
      <c r="AQ15" s="362" t="str">
        <f t="shared" ca="1" si="5"/>
        <v/>
      </c>
      <c r="AR15" s="362" t="str">
        <f t="shared" ca="1" si="5"/>
        <v/>
      </c>
      <c r="AS15" s="362" t="str">
        <f t="shared" ca="1" si="5"/>
        <v/>
      </c>
      <c r="AT15" s="362" t="str">
        <f t="shared" ca="1" si="5"/>
        <v/>
      </c>
      <c r="AU15" s="362" t="str">
        <f t="shared" ca="1" si="5"/>
        <v/>
      </c>
      <c r="AV15" s="362">
        <f t="shared" ca="1" si="5"/>
        <v>497.52640520481702</v>
      </c>
      <c r="AW15" s="362">
        <f t="shared" ca="1" si="5"/>
        <v>1361.6171263411916</v>
      </c>
      <c r="AX15" s="362">
        <f t="shared" ca="1" si="5"/>
        <v>42.106365709288561</v>
      </c>
      <c r="AY15" s="362">
        <f t="shared" ca="1" si="5"/>
        <v>124.43697824242066</v>
      </c>
      <c r="AZ15" s="362">
        <f t="shared" ca="1" si="6"/>
        <v>18258.289883413876</v>
      </c>
      <c r="BA15" s="362">
        <f t="shared" ca="1" si="6"/>
        <v>3269.2016315376959</v>
      </c>
      <c r="BB15" s="362">
        <f t="shared" ca="1" si="6"/>
        <v>205.86052642059221</v>
      </c>
      <c r="BC15" s="362">
        <f t="shared" ca="1" si="6"/>
        <v>818.64945967225867</v>
      </c>
      <c r="BD15" s="362">
        <f t="shared" ca="1" si="6"/>
        <v>851.96302744449406</v>
      </c>
      <c r="BE15" s="362">
        <f t="shared" ca="1" si="6"/>
        <v>5845.4128478032089</v>
      </c>
      <c r="BF15" s="362">
        <f t="shared" ca="1" si="6"/>
        <v>0</v>
      </c>
      <c r="BG15" s="362">
        <f t="shared" ca="1" si="6"/>
        <v>1651.693688225191</v>
      </c>
      <c r="BH15" s="362">
        <f t="shared" ca="1" si="6"/>
        <v>13710.13521560043</v>
      </c>
      <c r="BI15" s="362">
        <f t="shared" ca="1" si="6"/>
        <v>4712.5079147936849</v>
      </c>
      <c r="BJ15" s="362">
        <f t="shared" ca="1" si="6"/>
        <v>14080.700756642846</v>
      </c>
      <c r="BK15" s="362">
        <f t="shared" ca="1" si="6"/>
        <v>7651.4767554743994</v>
      </c>
      <c r="BL15" s="362">
        <f t="shared" ca="1" si="6"/>
        <v>2130.2219889227813</v>
      </c>
      <c r="BM15" s="362">
        <f t="shared" ca="1" si="7"/>
        <v>0</v>
      </c>
      <c r="BO15" s="360">
        <f t="shared" si="10"/>
        <v>2016</v>
      </c>
      <c r="BP15" s="375">
        <f ca="1">IF(GridFootprintToggle="Yes",EF_PurchElec_MTperMWh*(1-ExposureCalculations!B21),EF_PurchElec_MTperMWh)</f>
        <v>0.71025672512797189</v>
      </c>
      <c r="BT15" s="360">
        <f t="shared" si="11"/>
        <v>2016</v>
      </c>
      <c r="BU15" s="1504">
        <f t="shared" ca="1" si="12"/>
        <v>21407.578677725378</v>
      </c>
      <c r="BV15" s="1504">
        <f t="shared" ca="1" si="13"/>
        <v>132389.04575446676</v>
      </c>
      <c r="BW15" s="1504">
        <f t="shared" ca="1" si="14"/>
        <v>46512.756424039675</v>
      </c>
      <c r="BX15" s="1504">
        <f t="shared" ca="1" si="15"/>
        <v>15685.10403664711</v>
      </c>
      <c r="BY15" s="1504">
        <v>75211.800571449174</v>
      </c>
      <c r="BZ15" s="1504">
        <f t="shared" ca="1" si="16"/>
        <v>0</v>
      </c>
      <c r="CA15" s="1504">
        <f t="shared" ca="1" si="17"/>
        <v>0</v>
      </c>
      <c r="CB15" s="1504">
        <f t="shared" ca="1" si="18"/>
        <v>0</v>
      </c>
      <c r="CC15" s="1504">
        <f t="shared" ca="1" si="8"/>
        <v>75211.800571449174</v>
      </c>
    </row>
    <row r="16" spans="1:81">
      <c r="A16" s="816" t="s">
        <v>1365</v>
      </c>
      <c r="B16" s="359">
        <f ca="1">IF(A16="","",INDEX(Summary!$D$2:$D$35,MATCH(A16,ListofOptions,0)))</f>
        <v>91.482591649640057</v>
      </c>
      <c r="W16" s="1268">
        <f ca="1">OFFSET(ExposureCalculations!Price_GHG_Allowance_2010,AA16-$AA$9,0)*$W$7</f>
        <v>9.0323318306039475</v>
      </c>
      <c r="X16" s="15">
        <f t="shared" ca="1" si="9"/>
        <v>0</v>
      </c>
      <c r="AA16" s="360">
        <f t="shared" si="1"/>
        <v>2017</v>
      </c>
      <c r="AB16" s="362">
        <f ca="1">ExposureCalculations!G23</f>
        <v>293677.61173126666</v>
      </c>
      <c r="AC16" s="362">
        <f t="shared" ca="1" si="19"/>
        <v>219756.47933956893</v>
      </c>
      <c r="AD16" s="362">
        <f t="shared" ca="1" si="2"/>
        <v>213519.63446284452</v>
      </c>
      <c r="AE16" s="362">
        <f t="shared" ca="1" si="3"/>
        <v>0</v>
      </c>
      <c r="AF16" s="362" t="str">
        <f t="shared" ca="1" si="4"/>
        <v/>
      </c>
      <c r="AG16" s="362" t="str">
        <f t="shared" ca="1" si="4"/>
        <v/>
      </c>
      <c r="AH16" s="362" t="str">
        <f t="shared" ca="1" si="4"/>
        <v/>
      </c>
      <c r="AI16" s="362" t="str">
        <f t="shared" ca="1" si="4"/>
        <v/>
      </c>
      <c r="AJ16" s="362" t="str">
        <f t="shared" ca="1" si="4"/>
        <v/>
      </c>
      <c r="AK16" s="362" t="str">
        <f t="shared" ca="1" si="4"/>
        <v/>
      </c>
      <c r="AL16" s="362" t="str">
        <f t="shared" ca="1" si="4"/>
        <v/>
      </c>
      <c r="AM16" s="362" t="str">
        <f t="shared" ca="1" si="4"/>
        <v/>
      </c>
      <c r="AN16" s="362" t="str">
        <f t="shared" ca="1" si="4"/>
        <v/>
      </c>
      <c r="AO16" s="362" t="str">
        <f t="shared" ca="1" si="4"/>
        <v/>
      </c>
      <c r="AP16" s="362" t="str">
        <f t="shared" ca="1" si="5"/>
        <v/>
      </c>
      <c r="AQ16" s="362" t="str">
        <f t="shared" ca="1" si="5"/>
        <v/>
      </c>
      <c r="AR16" s="362" t="str">
        <f t="shared" ca="1" si="5"/>
        <v/>
      </c>
      <c r="AS16" s="362" t="str">
        <f t="shared" ca="1" si="5"/>
        <v/>
      </c>
      <c r="AT16" s="362" t="str">
        <f t="shared" ca="1" si="5"/>
        <v/>
      </c>
      <c r="AU16" s="362" t="str">
        <f t="shared" ca="1" si="5"/>
        <v/>
      </c>
      <c r="AV16" s="362">
        <f t="shared" ca="1" si="5"/>
        <v>497.52640520481702</v>
      </c>
      <c r="AW16" s="362">
        <f t="shared" ca="1" si="5"/>
        <v>1361.6171263411916</v>
      </c>
      <c r="AX16" s="362">
        <f t="shared" ca="1" si="5"/>
        <v>42.106365709288561</v>
      </c>
      <c r="AY16" s="362">
        <f t="shared" ca="1" si="5"/>
        <v>124.43697824242066</v>
      </c>
      <c r="AZ16" s="362">
        <f t="shared" ca="1" si="6"/>
        <v>18460.214039156141</v>
      </c>
      <c r="BA16" s="362">
        <f t="shared" ca="1" si="6"/>
        <v>3305.3567579824307</v>
      </c>
      <c r="BB16" s="362">
        <f t="shared" ca="1" si="6"/>
        <v>206.14789241380251</v>
      </c>
      <c r="BC16" s="362">
        <f t="shared" ca="1" si="6"/>
        <v>983.42242590882825</v>
      </c>
      <c r="BD16" s="362">
        <f t="shared" ca="1" si="6"/>
        <v>853.24267117910142</v>
      </c>
      <c r="BE16" s="362">
        <f t="shared" ca="1" si="6"/>
        <v>5845.4128478032089</v>
      </c>
      <c r="BF16" s="362">
        <f t="shared" ca="1" si="6"/>
        <v>0</v>
      </c>
      <c r="BG16" s="362">
        <f t="shared" ca="1" si="6"/>
        <v>3303.3873764503819</v>
      </c>
      <c r="BH16" s="362">
        <f t="shared" ca="1" si="6"/>
        <v>13710.13521560043</v>
      </c>
      <c r="BI16" s="362">
        <f t="shared" ca="1" si="6"/>
        <v>4763.1605834029124</v>
      </c>
      <c r="BJ16" s="362">
        <f t="shared" ca="1" si="6"/>
        <v>16092.229436163265</v>
      </c>
      <c r="BK16" s="362">
        <f t="shared" ca="1" si="6"/>
        <v>8077.790562160325</v>
      </c>
      <c r="BL16" s="362">
        <f t="shared" ca="1" si="6"/>
        <v>2531.7905847036163</v>
      </c>
      <c r="BM16" s="362">
        <f t="shared" ca="1" si="7"/>
        <v>0</v>
      </c>
      <c r="BO16" s="360">
        <f t="shared" si="10"/>
        <v>2017</v>
      </c>
      <c r="BP16" s="375">
        <f ca="1">IF(GridFootprintToggle="Yes",EF_PurchElec_MTperMWh*(1-ExposureCalculations!B22),EF_PurchElec_MTperMWh)</f>
        <v>0.71025672512797189</v>
      </c>
      <c r="BT16" s="360">
        <f t="shared" si="11"/>
        <v>2017</v>
      </c>
      <c r="BU16" s="1504">
        <f t="shared" ca="1" si="12"/>
        <v>21638.150505990383</v>
      </c>
      <c r="BV16" s="1504">
        <f t="shared" ca="1" si="13"/>
        <v>129983.18111575692</v>
      </c>
      <c r="BW16" s="1504">
        <f t="shared" ca="1" si="14"/>
        <v>46563.894623993889</v>
      </c>
      <c r="BX16" s="1504">
        <f t="shared" ca="1" si="15"/>
        <v>15544.949121781041</v>
      </c>
      <c r="BY16" s="1504">
        <v>80157.977268422153</v>
      </c>
      <c r="BZ16" s="1504">
        <f t="shared" ca="1" si="16"/>
        <v>0</v>
      </c>
      <c r="CA16" s="1504">
        <f t="shared" ca="1" si="17"/>
        <v>0</v>
      </c>
      <c r="CB16" s="1504">
        <f t="shared" ca="1" si="18"/>
        <v>0</v>
      </c>
      <c r="CC16" s="1504">
        <f t="shared" ca="1" si="8"/>
        <v>80157.977268422153</v>
      </c>
    </row>
    <row r="17" spans="1:81">
      <c r="A17" s="816" t="s">
        <v>837</v>
      </c>
      <c r="B17" s="359">
        <f ca="1">IF(A17="","",INDEX(Summary!$D$2:$D$35,MATCH(A17,ListofOptions,0)))</f>
        <v>6.1336299893506787</v>
      </c>
      <c r="W17" s="1268">
        <f ca="1">OFFSET(ExposureCalculations!Price_GHG_Allowance_2010,AA17-$AA$9,0)*$W$7</f>
        <v>9.411240130728789</v>
      </c>
      <c r="X17" s="15">
        <f t="shared" ca="1" si="9"/>
        <v>0</v>
      </c>
      <c r="AA17" s="360">
        <f t="shared" si="1"/>
        <v>2018</v>
      </c>
      <c r="AB17" s="362">
        <f ca="1">ExposureCalculations!G24</f>
        <v>296518.31091099617</v>
      </c>
      <c r="AC17" s="362">
        <f t="shared" ca="1" si="19"/>
        <v>213097.19208685472</v>
      </c>
      <c r="AD17" s="362">
        <f t="shared" ca="1" si="2"/>
        <v>211504.61200159031</v>
      </c>
      <c r="AE17" s="362">
        <f t="shared" ca="1" si="3"/>
        <v>0</v>
      </c>
      <c r="AF17" s="362" t="str">
        <f t="shared" ca="1" si="4"/>
        <v/>
      </c>
      <c r="AG17" s="362" t="str">
        <f t="shared" ca="1" si="4"/>
        <v/>
      </c>
      <c r="AH17" s="362" t="str">
        <f t="shared" ca="1" si="4"/>
        <v/>
      </c>
      <c r="AI17" s="362" t="str">
        <f t="shared" ca="1" si="4"/>
        <v/>
      </c>
      <c r="AJ17" s="362" t="str">
        <f t="shared" ca="1" si="4"/>
        <v/>
      </c>
      <c r="AK17" s="362" t="str">
        <f t="shared" ca="1" si="4"/>
        <v/>
      </c>
      <c r="AL17" s="362" t="str">
        <f t="shared" ca="1" si="4"/>
        <v/>
      </c>
      <c r="AM17" s="362" t="str">
        <f t="shared" ca="1" si="4"/>
        <v/>
      </c>
      <c r="AN17" s="362" t="str">
        <f t="shared" ca="1" si="4"/>
        <v/>
      </c>
      <c r="AO17" s="362" t="str">
        <f t="shared" ca="1" si="4"/>
        <v/>
      </c>
      <c r="AP17" s="362" t="str">
        <f t="shared" ca="1" si="5"/>
        <v/>
      </c>
      <c r="AQ17" s="362" t="str">
        <f t="shared" ca="1" si="5"/>
        <v/>
      </c>
      <c r="AR17" s="362" t="str">
        <f t="shared" ca="1" si="5"/>
        <v/>
      </c>
      <c r="AS17" s="362" t="str">
        <f t="shared" ca="1" si="5"/>
        <v/>
      </c>
      <c r="AT17" s="362" t="str">
        <f t="shared" ca="1" si="5"/>
        <v/>
      </c>
      <c r="AU17" s="362" t="str">
        <f t="shared" ca="1" si="5"/>
        <v/>
      </c>
      <c r="AV17" s="362">
        <f t="shared" ca="1" si="5"/>
        <v>497.52640520481702</v>
      </c>
      <c r="AW17" s="362">
        <f t="shared" ca="1" si="5"/>
        <v>1361.6171263411916</v>
      </c>
      <c r="AX17" s="362">
        <f t="shared" ca="1" si="5"/>
        <v>42.106365709288561</v>
      </c>
      <c r="AY17" s="362">
        <f t="shared" ca="1" si="5"/>
        <v>124.43697824242066</v>
      </c>
      <c r="AZ17" s="362">
        <f t="shared" ca="1" si="6"/>
        <v>18662.138194898398</v>
      </c>
      <c r="BA17" s="362">
        <f t="shared" ca="1" si="6"/>
        <v>3341.5118844271651</v>
      </c>
      <c r="BB17" s="362">
        <f t="shared" ca="1" si="6"/>
        <v>206.41779245536574</v>
      </c>
      <c r="BC17" s="362">
        <f t="shared" ca="1" si="6"/>
        <v>1148.4599608720218</v>
      </c>
      <c r="BD17" s="362">
        <f t="shared" ca="1" si="6"/>
        <v>854.43373452629135</v>
      </c>
      <c r="BE17" s="362">
        <f t="shared" ca="1" si="6"/>
        <v>5845.4128478032089</v>
      </c>
      <c r="BF17" s="362">
        <f t="shared" ca="1" si="6"/>
        <v>0</v>
      </c>
      <c r="BG17" s="362">
        <f t="shared" ca="1" si="6"/>
        <v>4955.0810646755726</v>
      </c>
      <c r="BH17" s="362">
        <f t="shared" ca="1" si="6"/>
        <v>13710.13521560043</v>
      </c>
      <c r="BI17" s="362">
        <f t="shared" ca="1" si="6"/>
        <v>4813.8132520121389</v>
      </c>
      <c r="BJ17" s="362">
        <f t="shared" ca="1" si="6"/>
        <v>18103.758115683657</v>
      </c>
      <c r="BK17" s="362">
        <f t="shared" ca="1" si="6"/>
        <v>8505.2602187414213</v>
      </c>
      <c r="BL17" s="362">
        <f t="shared" ca="1" si="6"/>
        <v>2841.5897522124551</v>
      </c>
      <c r="BM17" s="362">
        <f t="shared" ca="1" si="7"/>
        <v>0</v>
      </c>
      <c r="BO17" s="360">
        <f t="shared" si="10"/>
        <v>2018</v>
      </c>
      <c r="BP17" s="375">
        <f ca="1">IF(GridFootprintToggle="Yes",EF_PurchElec_MTperMWh*(1-ExposureCalculations!B23),EF_PurchElec_MTperMWh)</f>
        <v>0.71025672512797189</v>
      </c>
      <c r="BT17" s="360">
        <f t="shared" si="11"/>
        <v>2018</v>
      </c>
      <c r="BU17" s="1504">
        <f t="shared" ca="1" si="12"/>
        <v>21868.673377042745</v>
      </c>
      <c r="BV17" s="1504">
        <f t="shared" ca="1" si="13"/>
        <v>127667.9300554239</v>
      </c>
      <c r="BW17" s="1504">
        <f t="shared" ca="1" si="14"/>
        <v>46612.122221914789</v>
      </c>
      <c r="BX17" s="1504">
        <f t="shared" ca="1" si="15"/>
        <v>15403.026870303636</v>
      </c>
      <c r="BY17" s="1504">
        <v>85013.698909405837</v>
      </c>
      <c r="BZ17" s="1504">
        <f t="shared" ca="1" si="16"/>
        <v>0</v>
      </c>
      <c r="CA17" s="1504">
        <f t="shared" ca="1" si="17"/>
        <v>0</v>
      </c>
      <c r="CB17" s="1504">
        <f t="shared" ca="1" si="18"/>
        <v>0</v>
      </c>
      <c r="CC17" s="1504">
        <f t="shared" ca="1" si="8"/>
        <v>85013.698909405837</v>
      </c>
    </row>
    <row r="18" spans="1:81">
      <c r="A18" s="816" t="s">
        <v>829</v>
      </c>
      <c r="B18" s="359">
        <f ca="1">IF(A18="","",INDEX(Summary!$D$2:$D$35,MATCH(A18,ListofOptions,0)))</f>
        <v>2.6602481319010307</v>
      </c>
      <c r="W18" s="1268">
        <f ca="1">OFFSET(ExposureCalculations!Price_GHG_Allowance_2010,AA18-$AA$9,0)*$W$7</f>
        <v>9.7925325475088751</v>
      </c>
      <c r="X18" s="15">
        <f t="shared" ca="1" si="9"/>
        <v>29901.236479738178</v>
      </c>
      <c r="AA18" s="360">
        <f t="shared" si="1"/>
        <v>2019</v>
      </c>
      <c r="AB18" s="362">
        <f ca="1">ExposureCalculations!G25</f>
        <v>299355.50534027134</v>
      </c>
      <c r="AC18" s="362">
        <f t="shared" ca="1" si="19"/>
        <v>206437.9048341405</v>
      </c>
      <c r="AD18" s="362">
        <f t="shared" ca="1" si="2"/>
        <v>206437.9048341405</v>
      </c>
      <c r="AE18" s="362">
        <f t="shared" ca="1" si="3"/>
        <v>3053.4732802440121</v>
      </c>
      <c r="AF18" s="362" t="str">
        <f t="shared" ca="1" si="4"/>
        <v/>
      </c>
      <c r="AG18" s="362" t="str">
        <f t="shared" ca="1" si="4"/>
        <v/>
      </c>
      <c r="AH18" s="362" t="str">
        <f t="shared" ca="1" si="4"/>
        <v/>
      </c>
      <c r="AI18" s="362" t="str">
        <f t="shared" ca="1" si="4"/>
        <v/>
      </c>
      <c r="AJ18" s="362" t="str">
        <f t="shared" ca="1" si="4"/>
        <v/>
      </c>
      <c r="AK18" s="362" t="str">
        <f t="shared" ca="1" si="4"/>
        <v/>
      </c>
      <c r="AL18" s="362" t="str">
        <f t="shared" ca="1" si="4"/>
        <v/>
      </c>
      <c r="AM18" s="362" t="str">
        <f t="shared" ca="1" si="4"/>
        <v/>
      </c>
      <c r="AN18" s="362" t="str">
        <f t="shared" ca="1" si="4"/>
        <v/>
      </c>
      <c r="AO18" s="362" t="str">
        <f t="shared" ca="1" si="4"/>
        <v/>
      </c>
      <c r="AP18" s="362" t="str">
        <f t="shared" ca="1" si="5"/>
        <v/>
      </c>
      <c r="AQ18" s="362" t="str">
        <f t="shared" ca="1" si="5"/>
        <v/>
      </c>
      <c r="AR18" s="362" t="str">
        <f t="shared" ca="1" si="5"/>
        <v/>
      </c>
      <c r="AS18" s="362" t="str">
        <f t="shared" ca="1" si="5"/>
        <v/>
      </c>
      <c r="AT18" s="362" t="str">
        <f t="shared" ca="1" si="5"/>
        <v/>
      </c>
      <c r="AU18" s="362" t="str">
        <f t="shared" ca="1" si="5"/>
        <v/>
      </c>
      <c r="AV18" s="362">
        <f t="shared" ca="1" si="5"/>
        <v>497.52640520481702</v>
      </c>
      <c r="AW18" s="362">
        <f t="shared" ca="1" si="5"/>
        <v>1361.6171263411916</v>
      </c>
      <c r="AX18" s="362">
        <f t="shared" ca="1" si="5"/>
        <v>42.106365709288561</v>
      </c>
      <c r="AY18" s="362">
        <f t="shared" ca="1" si="5"/>
        <v>124.43697824242066</v>
      </c>
      <c r="AZ18" s="362">
        <f t="shared" ca="1" si="6"/>
        <v>18864.062350640648</v>
      </c>
      <c r="BA18" s="362">
        <f t="shared" ca="1" si="6"/>
        <v>3377.6670108718999</v>
      </c>
      <c r="BB18" s="362">
        <f t="shared" ca="1" si="6"/>
        <v>206.6730702617173</v>
      </c>
      <c r="BC18" s="362">
        <f t="shared" ca="1" si="6"/>
        <v>1313.7436763489204</v>
      </c>
      <c r="BD18" s="362">
        <f t="shared" ca="1" si="6"/>
        <v>855.55240567912927</v>
      </c>
      <c r="BE18" s="362">
        <f t="shared" ca="1" si="6"/>
        <v>5845.4128478032089</v>
      </c>
      <c r="BF18" s="362">
        <f t="shared" ca="1" si="6"/>
        <v>0</v>
      </c>
      <c r="BG18" s="362">
        <f t="shared" ca="1" si="6"/>
        <v>6606.7747529007638</v>
      </c>
      <c r="BH18" s="362">
        <f t="shared" ca="1" si="6"/>
        <v>13710.13521560043</v>
      </c>
      <c r="BI18" s="362">
        <f t="shared" ca="1" si="6"/>
        <v>4864.4659206213655</v>
      </c>
      <c r="BJ18" s="362">
        <f t="shared" ca="1" si="6"/>
        <v>20115.286795204072</v>
      </c>
      <c r="BK18" s="362">
        <f t="shared" ca="1" si="6"/>
        <v>8933.8486079716986</v>
      </c>
      <c r="BL18" s="362">
        <f t="shared" ca="1" si="6"/>
        <v>3144.8176964852678</v>
      </c>
      <c r="BM18" s="362">
        <f t="shared" ca="1" si="7"/>
        <v>0</v>
      </c>
      <c r="BO18" s="360">
        <f t="shared" si="10"/>
        <v>2019</v>
      </c>
      <c r="BP18" s="375">
        <f ca="1">IF(GridFootprintToggle="Yes",EF_PurchElec_MTperMWh*(1-ExposureCalculations!B24),EF_PurchElec_MTperMWh)</f>
        <v>0.71025672512797189</v>
      </c>
      <c r="BT18" s="360">
        <f t="shared" si="11"/>
        <v>2019</v>
      </c>
      <c r="BU18" s="1504">
        <f t="shared" ca="1" si="12"/>
        <v>22099.155261844102</v>
      </c>
      <c r="BV18" s="1504">
        <f t="shared" ca="1" si="13"/>
        <v>122304.65820543375</v>
      </c>
      <c r="BW18" s="1504">
        <f t="shared" ca="1" si="14"/>
        <v>46657.888419552095</v>
      </c>
      <c r="BX18" s="1504">
        <f t="shared" ca="1" si="15"/>
        <v>15259.600348524797</v>
      </c>
      <c r="BY18" s="1504">
        <v>89864.127225886827</v>
      </c>
      <c r="BZ18" s="1504">
        <f t="shared" ca="1" si="16"/>
        <v>0</v>
      </c>
      <c r="CA18" s="1504">
        <f t="shared" ca="1" si="17"/>
        <v>3053.4732802440121</v>
      </c>
      <c r="CB18" s="1504">
        <f t="shared" ca="1" si="18"/>
        <v>0</v>
      </c>
      <c r="CC18" s="1504">
        <f t="shared" ca="1" si="8"/>
        <v>89864.127225886827</v>
      </c>
    </row>
    <row r="19" spans="1:81">
      <c r="A19" s="816" t="s">
        <v>964</v>
      </c>
      <c r="B19" s="359">
        <f ca="1">IF(A19="","",INDEX(Summary!$D$2:$D$35,MATCH(A19,ListofOptions,0)))</f>
        <v>426.62337235953368</v>
      </c>
      <c r="W19" s="1268">
        <f ca="1">OFFSET(ExposureCalculations!Price_GHG_Allowance_2010,AA19-$AA$9,0)*$W$7</f>
        <v>10.176328286776965</v>
      </c>
      <c r="X19" s="15">
        <f t="shared" ca="1" si="9"/>
        <v>78376.825099838534</v>
      </c>
      <c r="AA19" s="360">
        <f t="shared" si="1"/>
        <v>2020</v>
      </c>
      <c r="AB19" s="362">
        <f ca="1">ExposureCalculations!G26</f>
        <v>302189.70957647648</v>
      </c>
      <c r="AC19" s="362">
        <f t="shared" ca="1" si="19"/>
        <v>199778.61758142628</v>
      </c>
      <c r="AD19" s="362">
        <f t="shared" ca="1" si="2"/>
        <v>199778.61758142628</v>
      </c>
      <c r="AE19" s="362">
        <f t="shared" ca="1" si="3"/>
        <v>7701.8766387166106</v>
      </c>
      <c r="AF19" s="362" t="str">
        <f t="shared" ref="AF19:AO28" ca="1" si="20">IFERROR(-HLOOKUP(AF$3,GHGSavings,$AA19-$AA$9+2,FALSE),"")</f>
        <v/>
      </c>
      <c r="AG19" s="362" t="str">
        <f t="shared" ca="1" si="20"/>
        <v/>
      </c>
      <c r="AH19" s="362" t="str">
        <f t="shared" ca="1" si="20"/>
        <v/>
      </c>
      <c r="AI19" s="362" t="str">
        <f t="shared" ca="1" si="20"/>
        <v/>
      </c>
      <c r="AJ19" s="362" t="str">
        <f t="shared" ca="1" si="20"/>
        <v/>
      </c>
      <c r="AK19" s="362" t="str">
        <f t="shared" ca="1" si="20"/>
        <v/>
      </c>
      <c r="AL19" s="362" t="str">
        <f t="shared" ca="1" si="20"/>
        <v/>
      </c>
      <c r="AM19" s="362" t="str">
        <f t="shared" ca="1" si="20"/>
        <v/>
      </c>
      <c r="AN19" s="362" t="str">
        <f t="shared" ca="1" si="20"/>
        <v/>
      </c>
      <c r="AO19" s="362" t="str">
        <f t="shared" ca="1" si="20"/>
        <v/>
      </c>
      <c r="AP19" s="362" t="str">
        <f t="shared" ref="AP19:AY28" ca="1" si="21">IFERROR(-HLOOKUP(AP$3,GHGSavings,$AA19-$AA$9+2,FALSE),"")</f>
        <v/>
      </c>
      <c r="AQ19" s="362" t="str">
        <f t="shared" ca="1" si="21"/>
        <v/>
      </c>
      <c r="AR19" s="362" t="str">
        <f t="shared" ca="1" si="21"/>
        <v/>
      </c>
      <c r="AS19" s="362" t="str">
        <f t="shared" ca="1" si="21"/>
        <v/>
      </c>
      <c r="AT19" s="362" t="str">
        <f t="shared" ca="1" si="21"/>
        <v/>
      </c>
      <c r="AU19" s="362" t="str">
        <f t="shared" ca="1" si="21"/>
        <v/>
      </c>
      <c r="AV19" s="362">
        <f t="shared" ca="1" si="21"/>
        <v>497.52640520481702</v>
      </c>
      <c r="AW19" s="362">
        <f t="shared" ca="1" si="21"/>
        <v>1361.6171263411916</v>
      </c>
      <c r="AX19" s="362">
        <f t="shared" ca="1" si="21"/>
        <v>42.106365709288561</v>
      </c>
      <c r="AY19" s="362">
        <f t="shared" ca="1" si="21"/>
        <v>124.43697824242066</v>
      </c>
      <c r="AZ19" s="362">
        <f t="shared" ref="AZ19:BL28" ca="1" si="22">IFERROR(-HLOOKUP(AZ$3,GHGSavings,$AA19-$AA$9+2,FALSE),"")</f>
        <v>19065.986506382898</v>
      </c>
      <c r="BA19" s="362">
        <f t="shared" ca="1" si="22"/>
        <v>3413.8221373166357</v>
      </c>
      <c r="BB19" s="362">
        <f t="shared" ca="1" si="22"/>
        <v>206.91587260906391</v>
      </c>
      <c r="BC19" s="362">
        <f t="shared" ca="1" si="22"/>
        <v>1479.258544660677</v>
      </c>
      <c r="BD19" s="362">
        <f t="shared" ca="1" si="22"/>
        <v>856.61047116245152</v>
      </c>
      <c r="BE19" s="362">
        <f t="shared" ca="1" si="22"/>
        <v>5845.4128478032089</v>
      </c>
      <c r="BF19" s="362">
        <f t="shared" ca="1" si="22"/>
        <v>0</v>
      </c>
      <c r="BG19" s="362">
        <f t="shared" ca="1" si="22"/>
        <v>8258.468441125955</v>
      </c>
      <c r="BH19" s="362">
        <f t="shared" ca="1" si="22"/>
        <v>13710.13521560043</v>
      </c>
      <c r="BI19" s="362">
        <f t="shared" ca="1" si="22"/>
        <v>4915.118589230593</v>
      </c>
      <c r="BJ19" s="362">
        <f t="shared" ca="1" si="22"/>
        <v>22126.815474724466</v>
      </c>
      <c r="BK19" s="362">
        <f t="shared" ca="1" si="22"/>
        <v>9363.5201850112971</v>
      </c>
      <c r="BL19" s="362">
        <f t="shared" ca="1" si="22"/>
        <v>3441.464195208222</v>
      </c>
      <c r="BM19" s="362">
        <f t="shared" ca="1" si="7"/>
        <v>0</v>
      </c>
      <c r="BO19" s="360">
        <f t="shared" si="10"/>
        <v>2020</v>
      </c>
      <c r="BP19" s="375">
        <f ca="1">IF(GridFootprintToggle="Yes",EF_PurchElec_MTperMWh*(1-ExposureCalculations!B25),EF_PurchElec_MTperMWh)</f>
        <v>0.71025672512797189</v>
      </c>
      <c r="BT19" s="360">
        <f t="shared" si="11"/>
        <v>2020</v>
      </c>
      <c r="BU19" s="1504">
        <f t="shared" ca="1" si="12"/>
        <v>22329.602177826593</v>
      </c>
      <c r="BV19" s="1504">
        <f t="shared" ca="1" si="13"/>
        <v>115351.95453495551</v>
      </c>
      <c r="BW19" s="1504">
        <f t="shared" ca="1" si="14"/>
        <v>46701.533474005897</v>
      </c>
      <c r="BX19" s="1504">
        <f t="shared" ca="1" si="15"/>
        <v>15114.869296064064</v>
      </c>
      <c r="BY19" s="1504">
        <v>94709.215356333603</v>
      </c>
      <c r="BZ19" s="1504">
        <f t="shared" ca="1" si="16"/>
        <v>0</v>
      </c>
      <c r="CA19" s="1504">
        <f t="shared" ca="1" si="17"/>
        <v>7701.8766387166106</v>
      </c>
      <c r="CB19" s="1504">
        <f t="shared" ca="1" si="18"/>
        <v>0</v>
      </c>
      <c r="CC19" s="1504">
        <f t="shared" ca="1" si="8"/>
        <v>94709.215356333603</v>
      </c>
    </row>
    <row r="20" spans="1:81">
      <c r="A20" s="374"/>
      <c r="B20" s="359" t="str">
        <f>IF(A20="","",INDEX(Summary!$D$2:$D$35,MATCH(A20,ListofOptions,0)))</f>
        <v/>
      </c>
      <c r="W20" s="1268">
        <f ca="1">OFFSET(ExposureCalculations!Price_GHG_Allowance_2010,AA20-$AA$9,0)*$W$7</f>
        <v>10.650016043206771</v>
      </c>
      <c r="X20" s="15">
        <f t="shared" ca="1" si="9"/>
        <v>131560.45346860428</v>
      </c>
      <c r="AA20" s="360">
        <f t="shared" si="1"/>
        <v>2021</v>
      </c>
      <c r="AB20" s="362">
        <f ca="1">ExposureCalculations!G27</f>
        <v>305021.32337931462</v>
      </c>
      <c r="AC20" s="362">
        <f t="shared" ca="1" si="19"/>
        <v>193119.33032871207</v>
      </c>
      <c r="AD20" s="362">
        <f t="shared" ca="1" si="2"/>
        <v>193119.33032871207</v>
      </c>
      <c r="AE20" s="362">
        <f t="shared" ca="1" si="3"/>
        <v>12353.075613676803</v>
      </c>
      <c r="AF20" s="362" t="str">
        <f t="shared" ca="1" si="20"/>
        <v/>
      </c>
      <c r="AG20" s="362" t="str">
        <f t="shared" ca="1" si="20"/>
        <v/>
      </c>
      <c r="AH20" s="362" t="str">
        <f t="shared" ca="1" si="20"/>
        <v/>
      </c>
      <c r="AI20" s="362" t="str">
        <f t="shared" ca="1" si="20"/>
        <v/>
      </c>
      <c r="AJ20" s="362" t="str">
        <f t="shared" ca="1" si="20"/>
        <v/>
      </c>
      <c r="AK20" s="362" t="str">
        <f t="shared" ca="1" si="20"/>
        <v/>
      </c>
      <c r="AL20" s="362" t="str">
        <f t="shared" ca="1" si="20"/>
        <v/>
      </c>
      <c r="AM20" s="362" t="str">
        <f t="shared" ca="1" si="20"/>
        <v/>
      </c>
      <c r="AN20" s="362" t="str">
        <f t="shared" ca="1" si="20"/>
        <v/>
      </c>
      <c r="AO20" s="362" t="str">
        <f t="shared" ca="1" si="20"/>
        <v/>
      </c>
      <c r="AP20" s="362" t="str">
        <f t="shared" ca="1" si="21"/>
        <v/>
      </c>
      <c r="AQ20" s="362" t="str">
        <f t="shared" ca="1" si="21"/>
        <v/>
      </c>
      <c r="AR20" s="362" t="str">
        <f t="shared" ca="1" si="21"/>
        <v/>
      </c>
      <c r="AS20" s="362" t="str">
        <f t="shared" ca="1" si="21"/>
        <v/>
      </c>
      <c r="AT20" s="362" t="str">
        <f t="shared" ca="1" si="21"/>
        <v/>
      </c>
      <c r="AU20" s="362" t="str">
        <f t="shared" ca="1" si="21"/>
        <v/>
      </c>
      <c r="AV20" s="362">
        <f t="shared" ca="1" si="21"/>
        <v>497.52640520481702</v>
      </c>
      <c r="AW20" s="362">
        <f t="shared" ca="1" si="21"/>
        <v>1361.6171263411916</v>
      </c>
      <c r="AX20" s="362">
        <f t="shared" ca="1" si="21"/>
        <v>42.106365709288561</v>
      </c>
      <c r="AY20" s="362">
        <f t="shared" ca="1" si="21"/>
        <v>124.43697824242066</v>
      </c>
      <c r="AZ20" s="362">
        <f t="shared" ca="1" si="22"/>
        <v>19267.910662125156</v>
      </c>
      <c r="BA20" s="362">
        <f t="shared" ca="1" si="22"/>
        <v>3449.9772637613701</v>
      </c>
      <c r="BB20" s="362">
        <f t="shared" ca="1" si="22"/>
        <v>207.14786732897221</v>
      </c>
      <c r="BC20" s="362">
        <f t="shared" ca="1" si="22"/>
        <v>1644.9919849094142</v>
      </c>
      <c r="BD20" s="362">
        <f t="shared" ca="1" si="22"/>
        <v>857.61682885044911</v>
      </c>
      <c r="BE20" s="362">
        <f t="shared" ca="1" si="22"/>
        <v>5845.4128478032089</v>
      </c>
      <c r="BF20" s="362">
        <f t="shared" ca="1" si="22"/>
        <v>0</v>
      </c>
      <c r="BG20" s="362">
        <f t="shared" ca="1" si="22"/>
        <v>9910.1621293511453</v>
      </c>
      <c r="BH20" s="362">
        <f t="shared" ca="1" si="22"/>
        <v>13710.13521560043</v>
      </c>
      <c r="BI20" s="362">
        <f t="shared" ca="1" si="22"/>
        <v>4965.7712578398159</v>
      </c>
      <c r="BJ20" s="362">
        <f t="shared" ca="1" si="22"/>
        <v>24138.344154244882</v>
      </c>
      <c r="BK20" s="362">
        <f t="shared" ca="1" si="22"/>
        <v>9794.2408950338431</v>
      </c>
      <c r="BL20" s="362">
        <f t="shared" ca="1" si="22"/>
        <v>3731.5194545793479</v>
      </c>
      <c r="BM20" s="362">
        <f t="shared" ca="1" si="7"/>
        <v>0</v>
      </c>
      <c r="BO20" s="360">
        <f t="shared" si="10"/>
        <v>2021</v>
      </c>
      <c r="BP20" s="375">
        <f ca="1">IF(GridFootprintToggle="Yes",EF_PurchElec_MTperMWh*(1-ExposureCalculations!B26),EF_PurchElec_MTperMWh)</f>
        <v>0.71025672512797189</v>
      </c>
      <c r="BT20" s="360">
        <f t="shared" si="11"/>
        <v>2021</v>
      </c>
      <c r="BU20" s="1504">
        <f t="shared" ca="1" si="12"/>
        <v>22560.018799936457</v>
      </c>
      <c r="BV20" s="1504">
        <f t="shared" ca="1" si="13"/>
        <v>108401.99735435854</v>
      </c>
      <c r="BW20" s="1504">
        <f t="shared" ca="1" si="14"/>
        <v>46743.322637082791</v>
      </c>
      <c r="BX20" s="1504">
        <f t="shared" ca="1" si="15"/>
        <v>14968.989796422808</v>
      </c>
      <c r="BY20" s="1504">
        <v>99548.917436925753</v>
      </c>
      <c r="BZ20" s="1504">
        <f t="shared" ca="1" si="16"/>
        <v>0</v>
      </c>
      <c r="CA20" s="1504">
        <f t="shared" ca="1" si="17"/>
        <v>12353.075613676803</v>
      </c>
      <c r="CB20" s="1504">
        <f t="shared" ca="1" si="18"/>
        <v>0</v>
      </c>
      <c r="CC20" s="1504">
        <f t="shared" ca="1" si="8"/>
        <v>99548.917436925753</v>
      </c>
    </row>
    <row r="21" spans="1:81">
      <c r="A21" s="374"/>
      <c r="B21" s="359" t="str">
        <f>IF(A21="","",INDEX(Summary!$D$2:$D$35,MATCH(A21,ListofOptions,0)))</f>
        <v/>
      </c>
      <c r="W21" s="1268">
        <f ca="1">OFFSET(ExposureCalculations!Price_GHG_Allowance_2010,AA21-$AA$9,0)*$W$7</f>
        <v>11.126463712679602</v>
      </c>
      <c r="X21" s="15">
        <f t="shared" ca="1" si="9"/>
        <v>191078.92169557919</v>
      </c>
      <c r="AA21" s="360">
        <f t="shared" si="1"/>
        <v>2022</v>
      </c>
      <c r="AB21" s="362">
        <f ca="1">ExposureCalculations!G28</f>
        <v>307850.66465653217</v>
      </c>
      <c r="AC21" s="362">
        <f t="shared" ca="1" si="19"/>
        <v>186460.04307599785</v>
      </c>
      <c r="AD21" s="362">
        <f t="shared" ca="1" si="2"/>
        <v>186460.04307599785</v>
      </c>
      <c r="AE21" s="362">
        <f t="shared" ca="1" si="3"/>
        <v>17173.373915544042</v>
      </c>
      <c r="AF21" s="362" t="str">
        <f t="shared" ca="1" si="20"/>
        <v/>
      </c>
      <c r="AG21" s="362" t="str">
        <f t="shared" ca="1" si="20"/>
        <v/>
      </c>
      <c r="AH21" s="362" t="str">
        <f t="shared" ca="1" si="20"/>
        <v/>
      </c>
      <c r="AI21" s="362" t="str">
        <f t="shared" ca="1" si="20"/>
        <v/>
      </c>
      <c r="AJ21" s="362" t="str">
        <f t="shared" ca="1" si="20"/>
        <v/>
      </c>
      <c r="AK21" s="362" t="str">
        <f t="shared" ca="1" si="20"/>
        <v/>
      </c>
      <c r="AL21" s="362" t="str">
        <f t="shared" ca="1" si="20"/>
        <v/>
      </c>
      <c r="AM21" s="362" t="str">
        <f t="shared" ca="1" si="20"/>
        <v/>
      </c>
      <c r="AN21" s="362" t="str">
        <f t="shared" ca="1" si="20"/>
        <v/>
      </c>
      <c r="AO21" s="362" t="str">
        <f t="shared" ca="1" si="20"/>
        <v/>
      </c>
      <c r="AP21" s="362" t="str">
        <f t="shared" ca="1" si="21"/>
        <v/>
      </c>
      <c r="AQ21" s="362" t="str">
        <f t="shared" ca="1" si="21"/>
        <v/>
      </c>
      <c r="AR21" s="362" t="str">
        <f t="shared" ca="1" si="21"/>
        <v/>
      </c>
      <c r="AS21" s="362" t="str">
        <f t="shared" ca="1" si="21"/>
        <v/>
      </c>
      <c r="AT21" s="362" t="str">
        <f t="shared" ca="1" si="21"/>
        <v/>
      </c>
      <c r="AU21" s="362" t="str">
        <f t="shared" ca="1" si="21"/>
        <v/>
      </c>
      <c r="AV21" s="362">
        <f t="shared" ca="1" si="21"/>
        <v>497.52640520481702</v>
      </c>
      <c r="AW21" s="362">
        <f t="shared" ca="1" si="21"/>
        <v>1361.6171263411916</v>
      </c>
      <c r="AX21" s="362">
        <f t="shared" ca="1" si="21"/>
        <v>42.106365709288561</v>
      </c>
      <c r="AY21" s="362">
        <f t="shared" ca="1" si="21"/>
        <v>124.43697824242066</v>
      </c>
      <c r="AZ21" s="362">
        <f t="shared" ca="1" si="22"/>
        <v>19469.83481786742</v>
      </c>
      <c r="BA21" s="362">
        <f t="shared" ca="1" si="22"/>
        <v>3486.1323902061049</v>
      </c>
      <c r="BB21" s="362">
        <f t="shared" ca="1" si="22"/>
        <v>207.37038076033295</v>
      </c>
      <c r="BC21" s="362">
        <f t="shared" ca="1" si="22"/>
        <v>1644.9919849094142</v>
      </c>
      <c r="BD21" s="362">
        <f t="shared" ca="1" si="22"/>
        <v>858.5783915062716</v>
      </c>
      <c r="BE21" s="362">
        <f t="shared" ca="1" si="22"/>
        <v>5845.4128478032089</v>
      </c>
      <c r="BF21" s="362">
        <f t="shared" ca="1" si="22"/>
        <v>0</v>
      </c>
      <c r="BG21" s="362">
        <f t="shared" ca="1" si="22"/>
        <v>11561.855817576336</v>
      </c>
      <c r="BH21" s="362">
        <f t="shared" ca="1" si="22"/>
        <v>13710.13521560043</v>
      </c>
      <c r="BI21" s="362">
        <f t="shared" ca="1" si="22"/>
        <v>5016.4239264490425</v>
      </c>
      <c r="BJ21" s="362">
        <f t="shared" ca="1" si="22"/>
        <v>26149.872833765301</v>
      </c>
      <c r="BK21" s="362">
        <f t="shared" ca="1" si="22"/>
        <v>10225.978095960911</v>
      </c>
      <c r="BL21" s="362">
        <f t="shared" ca="1" si="22"/>
        <v>4014.9740870877836</v>
      </c>
      <c r="BM21" s="362">
        <f t="shared" ca="1" si="7"/>
        <v>0</v>
      </c>
      <c r="BO21" s="360">
        <f t="shared" si="10"/>
        <v>2022</v>
      </c>
      <c r="BP21" s="375">
        <f ca="1">IF(GridFootprintToggle="Yes",EF_PurchElec_MTperMWh*(1-ExposureCalculations!B27),EF_PurchElec_MTperMWh)</f>
        <v>0.71025672512797189</v>
      </c>
      <c r="BT21" s="360">
        <f t="shared" si="11"/>
        <v>2022</v>
      </c>
      <c r="BU21" s="1504">
        <f t="shared" ca="1" si="12"/>
        <v>22790.408845913007</v>
      </c>
      <c r="BV21" s="1504">
        <f t="shared" ca="1" si="13"/>
        <v>101288.5249828127</v>
      </c>
      <c r="BW21" s="1504">
        <f t="shared" ca="1" si="14"/>
        <v>46949.40885687813</v>
      </c>
      <c r="BX21" s="1504">
        <f t="shared" ca="1" si="15"/>
        <v>14988.027981714706</v>
      </c>
      <c r="BY21" s="1504">
        <v>104217.24766499028</v>
      </c>
      <c r="BZ21" s="1504">
        <f t="shared" ca="1" si="16"/>
        <v>0</v>
      </c>
      <c r="CA21" s="1504">
        <f t="shared" ca="1" si="17"/>
        <v>17173.373915544042</v>
      </c>
      <c r="CB21" s="1504">
        <f t="shared" ca="1" si="18"/>
        <v>0</v>
      </c>
      <c r="CC21" s="1504">
        <f t="shared" ca="1" si="8"/>
        <v>104217.24766499028</v>
      </c>
    </row>
    <row r="22" spans="1:81">
      <c r="A22" s="374"/>
      <c r="B22" s="359" t="str">
        <f>IF(A22="","",INDEX(Summary!$D$2:$D$35,MATCH(A22,ListofOptions,0)))</f>
        <v/>
      </c>
      <c r="W22" s="1268">
        <f ca="1">OFFSET(ExposureCalculations!Price_GHG_Allowance_2010,AA22-$AA$9,0)*$W$7</f>
        <v>11.605809290847612</v>
      </c>
      <c r="X22" s="15">
        <f t="shared" ca="1" si="9"/>
        <v>258986.44430889399</v>
      </c>
      <c r="AA22" s="360">
        <f t="shared" si="1"/>
        <v>2023</v>
      </c>
      <c r="AB22" s="362">
        <f ca="1">ExposureCalculations!G29</f>
        <v>310677.99116637878</v>
      </c>
      <c r="AC22" s="362">
        <f t="shared" ca="1" si="19"/>
        <v>179800.75582328363</v>
      </c>
      <c r="AD22" s="362">
        <f t="shared" ca="1" si="2"/>
        <v>179800.75582328366</v>
      </c>
      <c r="AE22" s="362">
        <f t="shared" ca="1" si="3"/>
        <v>22315.242118714785</v>
      </c>
      <c r="AF22" s="362" t="str">
        <f t="shared" ca="1" si="20"/>
        <v/>
      </c>
      <c r="AG22" s="362" t="str">
        <f t="shared" ca="1" si="20"/>
        <v/>
      </c>
      <c r="AH22" s="362" t="str">
        <f t="shared" ca="1" si="20"/>
        <v/>
      </c>
      <c r="AI22" s="362" t="str">
        <f t="shared" ca="1" si="20"/>
        <v/>
      </c>
      <c r="AJ22" s="362" t="str">
        <f t="shared" ca="1" si="20"/>
        <v/>
      </c>
      <c r="AK22" s="362" t="str">
        <f t="shared" ca="1" si="20"/>
        <v/>
      </c>
      <c r="AL22" s="362" t="str">
        <f t="shared" ca="1" si="20"/>
        <v/>
      </c>
      <c r="AM22" s="362" t="str">
        <f t="shared" ca="1" si="20"/>
        <v/>
      </c>
      <c r="AN22" s="362" t="str">
        <f t="shared" ca="1" si="20"/>
        <v/>
      </c>
      <c r="AO22" s="362" t="str">
        <f t="shared" ca="1" si="20"/>
        <v/>
      </c>
      <c r="AP22" s="362" t="str">
        <f t="shared" ca="1" si="21"/>
        <v/>
      </c>
      <c r="AQ22" s="362" t="str">
        <f t="shared" ca="1" si="21"/>
        <v/>
      </c>
      <c r="AR22" s="362" t="str">
        <f t="shared" ca="1" si="21"/>
        <v/>
      </c>
      <c r="AS22" s="362" t="str">
        <f t="shared" ca="1" si="21"/>
        <v/>
      </c>
      <c r="AT22" s="362" t="str">
        <f t="shared" ca="1" si="21"/>
        <v/>
      </c>
      <c r="AU22" s="362" t="str">
        <f t="shared" ca="1" si="21"/>
        <v/>
      </c>
      <c r="AV22" s="362">
        <f t="shared" ca="1" si="21"/>
        <v>497.52640520481702</v>
      </c>
      <c r="AW22" s="362">
        <f t="shared" ca="1" si="21"/>
        <v>1361.6171263411916</v>
      </c>
      <c r="AX22" s="362">
        <f t="shared" ca="1" si="21"/>
        <v>42.106365709288561</v>
      </c>
      <c r="AY22" s="362">
        <f t="shared" ca="1" si="21"/>
        <v>124.43697824242066</v>
      </c>
      <c r="AZ22" s="362">
        <f t="shared" ca="1" si="22"/>
        <v>19671.758973609671</v>
      </c>
      <c r="BA22" s="362">
        <f t="shared" ca="1" si="22"/>
        <v>3522.2875166508402</v>
      </c>
      <c r="BB22" s="362">
        <f t="shared" ca="1" si="22"/>
        <v>207.58448829362001</v>
      </c>
      <c r="BC22" s="362">
        <f t="shared" ca="1" si="22"/>
        <v>1644.9919849094142</v>
      </c>
      <c r="BD22" s="362">
        <f t="shared" ca="1" si="22"/>
        <v>859.50065648756083</v>
      </c>
      <c r="BE22" s="362">
        <f t="shared" ca="1" si="22"/>
        <v>5845.4128478032089</v>
      </c>
      <c r="BF22" s="362">
        <f t="shared" ca="1" si="22"/>
        <v>0</v>
      </c>
      <c r="BG22" s="362">
        <f t="shared" ca="1" si="22"/>
        <v>13213.549505801528</v>
      </c>
      <c r="BH22" s="362">
        <f t="shared" ca="1" si="22"/>
        <v>13710.13521560043</v>
      </c>
      <c r="BI22" s="362">
        <f t="shared" ca="1" si="22"/>
        <v>5067.07659505827</v>
      </c>
      <c r="BJ22" s="362">
        <f t="shared" ca="1" si="22"/>
        <v>28161.401513285691</v>
      </c>
      <c r="BK22" s="362">
        <f t="shared" ca="1" si="22"/>
        <v>10658.700485955025</v>
      </c>
      <c r="BL22" s="362">
        <f t="shared" ca="1" si="22"/>
        <v>3973.9065654273677</v>
      </c>
      <c r="BM22" s="362">
        <f t="shared" ca="1" si="7"/>
        <v>0</v>
      </c>
      <c r="BO22" s="360">
        <f t="shared" si="10"/>
        <v>2023</v>
      </c>
      <c r="BP22" s="375">
        <f ca="1">IF(GridFootprintToggle="Yes",EF_PurchElec_MTperMWh*(1-ExposureCalculations!B28),EF_PurchElec_MTperMWh)</f>
        <v>0.71025672512797189</v>
      </c>
      <c r="BT22" s="360">
        <f t="shared" si="11"/>
        <v>2023</v>
      </c>
      <c r="BU22" s="1504">
        <f t="shared" ca="1" si="12"/>
        <v>23020.77533008498</v>
      </c>
      <c r="BV22" s="1504">
        <f t="shared" ca="1" si="13"/>
        <v>94177.019675065239</v>
      </c>
      <c r="BW22" s="1504">
        <f t="shared" ca="1" si="14"/>
        <v>47154.221611206187</v>
      </c>
      <c r="BX22" s="1504">
        <f t="shared" ca="1" si="15"/>
        <v>15006.342939560818</v>
      </c>
      <c r="BY22" s="1504">
        <v>108561.99322438035</v>
      </c>
      <c r="BZ22" s="1504">
        <f t="shared" ca="1" si="16"/>
        <v>0</v>
      </c>
      <c r="CA22" s="1504">
        <f t="shared" ca="1" si="17"/>
        <v>22315.242118714785</v>
      </c>
      <c r="CB22" s="1504">
        <f t="shared" ca="1" si="18"/>
        <v>0</v>
      </c>
      <c r="CC22" s="1504">
        <f t="shared" ca="1" si="8"/>
        <v>108561.99322438035</v>
      </c>
    </row>
    <row r="23" spans="1:81">
      <c r="A23" s="374"/>
      <c r="B23" s="359" t="str">
        <f>IF(A23="","",INDEX(Summary!$D$2:$D$35,MATCH(A23,ListofOptions,0)))</f>
        <v/>
      </c>
      <c r="W23" s="1268">
        <f ca="1">OFFSET(ExposureCalculations!Price_GHG_Allowance_2010,AA23-$AA$9,0)*$W$7</f>
        <v>12.088197673145549</v>
      </c>
      <c r="X23" s="15">
        <f t="shared" ca="1" si="9"/>
        <v>339320.88797955745</v>
      </c>
      <c r="AA23" s="360">
        <f t="shared" si="1"/>
        <v>2024</v>
      </c>
      <c r="AB23" s="362">
        <f ca="1">ExposureCalculations!G30</f>
        <v>313503.51533850358</v>
      </c>
      <c r="AC23" s="362">
        <f t="shared" ca="1" si="19"/>
        <v>173141.46857056941</v>
      </c>
      <c r="AD23" s="362">
        <f t="shared" ca="1" si="2"/>
        <v>173141.46857056941</v>
      </c>
      <c r="AE23" s="362">
        <f t="shared" ca="1" si="3"/>
        <v>28070.428458774579</v>
      </c>
      <c r="AF23" s="362" t="str">
        <f t="shared" ca="1" si="20"/>
        <v/>
      </c>
      <c r="AG23" s="362" t="str">
        <f t="shared" ca="1" si="20"/>
        <v/>
      </c>
      <c r="AH23" s="362" t="str">
        <f t="shared" ca="1" si="20"/>
        <v/>
      </c>
      <c r="AI23" s="362" t="str">
        <f t="shared" ca="1" si="20"/>
        <v/>
      </c>
      <c r="AJ23" s="362" t="str">
        <f t="shared" ca="1" si="20"/>
        <v/>
      </c>
      <c r="AK23" s="362" t="str">
        <f t="shared" ca="1" si="20"/>
        <v/>
      </c>
      <c r="AL23" s="362" t="str">
        <f t="shared" ca="1" si="20"/>
        <v/>
      </c>
      <c r="AM23" s="362" t="str">
        <f t="shared" ca="1" si="20"/>
        <v/>
      </c>
      <c r="AN23" s="362" t="str">
        <f t="shared" ca="1" si="20"/>
        <v/>
      </c>
      <c r="AO23" s="362" t="str">
        <f t="shared" ca="1" si="20"/>
        <v/>
      </c>
      <c r="AP23" s="362" t="str">
        <f t="shared" ca="1" si="21"/>
        <v/>
      </c>
      <c r="AQ23" s="362" t="str">
        <f t="shared" ca="1" si="21"/>
        <v/>
      </c>
      <c r="AR23" s="362" t="str">
        <f t="shared" ca="1" si="21"/>
        <v/>
      </c>
      <c r="AS23" s="362" t="str">
        <f t="shared" ca="1" si="21"/>
        <v/>
      </c>
      <c r="AT23" s="362" t="str">
        <f t="shared" ca="1" si="21"/>
        <v/>
      </c>
      <c r="AU23" s="362" t="str">
        <f t="shared" ca="1" si="21"/>
        <v/>
      </c>
      <c r="AV23" s="362">
        <f t="shared" ca="1" si="21"/>
        <v>497.52640520481702</v>
      </c>
      <c r="AW23" s="362">
        <f t="shared" ca="1" si="21"/>
        <v>1361.6171263411916</v>
      </c>
      <c r="AX23" s="362">
        <f t="shared" ca="1" si="21"/>
        <v>42.106365709288561</v>
      </c>
      <c r="AY23" s="362">
        <f t="shared" ca="1" si="21"/>
        <v>124.43697824242066</v>
      </c>
      <c r="AZ23" s="362">
        <f t="shared" ca="1" si="22"/>
        <v>19873.683129351921</v>
      </c>
      <c r="BA23" s="362">
        <f t="shared" ca="1" si="22"/>
        <v>3558.4426430955759</v>
      </c>
      <c r="BB23" s="362">
        <f t="shared" ca="1" si="22"/>
        <v>207.79107620477433</v>
      </c>
      <c r="BC23" s="362">
        <f t="shared" ca="1" si="22"/>
        <v>1644.9919849094142</v>
      </c>
      <c r="BD23" s="362">
        <f t="shared" ca="1" si="22"/>
        <v>860.38808103075951</v>
      </c>
      <c r="BE23" s="362">
        <f t="shared" ca="1" si="22"/>
        <v>5845.4128478032089</v>
      </c>
      <c r="BF23" s="362">
        <f t="shared" ca="1" si="22"/>
        <v>1008.2241603025502</v>
      </c>
      <c r="BG23" s="362">
        <f t="shared" ca="1" si="22"/>
        <v>13213.549505801528</v>
      </c>
      <c r="BH23" s="362">
        <f t="shared" ca="1" si="22"/>
        <v>13710.13521560043</v>
      </c>
      <c r="BI23" s="362">
        <f t="shared" ca="1" si="22"/>
        <v>5117.7292636674965</v>
      </c>
      <c r="BJ23" s="362">
        <f t="shared" ca="1" si="22"/>
        <v>30172.93019280611</v>
      </c>
      <c r="BK23" s="362">
        <f t="shared" ca="1" si="22"/>
        <v>11092.378035332724</v>
      </c>
      <c r="BL23" s="362">
        <f t="shared" ca="1" si="22"/>
        <v>3960.275297755366</v>
      </c>
      <c r="BM23" s="362">
        <f t="shared" ca="1" si="7"/>
        <v>0</v>
      </c>
      <c r="BO23" s="360">
        <f t="shared" si="10"/>
        <v>2024</v>
      </c>
      <c r="BP23" s="375">
        <f ca="1">IF(GridFootprintToggle="Yes",EF_PurchElec_MTperMWh*(1-ExposureCalculations!B29),EF_PurchElec_MTperMWh)</f>
        <v>0.71025672512797189</v>
      </c>
      <c r="BT23" s="360">
        <f t="shared" si="11"/>
        <v>2024</v>
      </c>
      <c r="BU23" s="1504">
        <f t="shared" ca="1" si="12"/>
        <v>23251.120736691468</v>
      </c>
      <c r="BV23" s="1504">
        <f t="shared" ca="1" si="13"/>
        <v>87067.274344979276</v>
      </c>
      <c r="BW23" s="1504">
        <f t="shared" ca="1" si="14"/>
        <v>47357.895167910261</v>
      </c>
      <c r="BX23" s="1504">
        <f t="shared" ca="1" si="15"/>
        <v>15024.010926086292</v>
      </c>
      <c r="BY23" s="1504">
        <v>112291.61830915957</v>
      </c>
      <c r="BZ23" s="1504">
        <f t="shared" ca="1" si="16"/>
        <v>0</v>
      </c>
      <c r="CA23" s="1504">
        <f t="shared" ca="1" si="17"/>
        <v>28070.428458774579</v>
      </c>
      <c r="CB23" s="1504">
        <f t="shared" ca="1" si="18"/>
        <v>0</v>
      </c>
      <c r="CC23" s="1504">
        <f t="shared" ca="1" si="8"/>
        <v>112291.61830915957</v>
      </c>
    </row>
    <row r="24" spans="1:81">
      <c r="A24" s="374"/>
      <c r="B24" s="359" t="str">
        <f>IF(A24="","",INDEX(Summary!$D$2:$D$35,MATCH(A24,ListofOptions,0)))</f>
        <v/>
      </c>
      <c r="W24" s="1268">
        <f ca="1">OFFSET(ExposureCalculations!Price_GHG_Allowance_2010,AA24-$AA$9,0)*$W$7</f>
        <v>12.573780999779922</v>
      </c>
      <c r="X24" s="15">
        <f t="shared" ca="1" si="9"/>
        <v>425284.77121670166</v>
      </c>
      <c r="AA24" s="360">
        <f t="shared" si="1"/>
        <v>2025</v>
      </c>
      <c r="AB24" s="362">
        <f ca="1">ExposureCalculations!G31</f>
        <v>316327.41470602393</v>
      </c>
      <c r="AC24" s="362">
        <f t="shared" ca="1" si="19"/>
        <v>166482.1813178552</v>
      </c>
      <c r="AD24" s="362">
        <f t="shared" ca="1" si="2"/>
        <v>166482.1813178552</v>
      </c>
      <c r="AE24" s="362">
        <f t="shared" ca="1" si="3"/>
        <v>33823.141282971716</v>
      </c>
      <c r="AF24" s="362" t="str">
        <f t="shared" ca="1" si="20"/>
        <v/>
      </c>
      <c r="AG24" s="362" t="str">
        <f t="shared" ca="1" si="20"/>
        <v/>
      </c>
      <c r="AH24" s="362" t="str">
        <f t="shared" ca="1" si="20"/>
        <v/>
      </c>
      <c r="AI24" s="362" t="str">
        <f t="shared" ca="1" si="20"/>
        <v/>
      </c>
      <c r="AJ24" s="362" t="str">
        <f t="shared" ca="1" si="20"/>
        <v/>
      </c>
      <c r="AK24" s="362" t="str">
        <f t="shared" ca="1" si="20"/>
        <v/>
      </c>
      <c r="AL24" s="362" t="str">
        <f t="shared" ca="1" si="20"/>
        <v/>
      </c>
      <c r="AM24" s="362" t="str">
        <f t="shared" ca="1" si="20"/>
        <v/>
      </c>
      <c r="AN24" s="362" t="str">
        <f t="shared" ca="1" si="20"/>
        <v/>
      </c>
      <c r="AO24" s="362" t="str">
        <f t="shared" ca="1" si="20"/>
        <v/>
      </c>
      <c r="AP24" s="362" t="str">
        <f t="shared" ca="1" si="21"/>
        <v/>
      </c>
      <c r="AQ24" s="362" t="str">
        <f t="shared" ca="1" si="21"/>
        <v/>
      </c>
      <c r="AR24" s="362" t="str">
        <f t="shared" ca="1" si="21"/>
        <v/>
      </c>
      <c r="AS24" s="362" t="str">
        <f t="shared" ca="1" si="21"/>
        <v/>
      </c>
      <c r="AT24" s="362" t="str">
        <f t="shared" ca="1" si="21"/>
        <v/>
      </c>
      <c r="AU24" s="362" t="str">
        <f t="shared" ca="1" si="21"/>
        <v/>
      </c>
      <c r="AV24" s="362">
        <f t="shared" ca="1" si="21"/>
        <v>497.52640520481702</v>
      </c>
      <c r="AW24" s="362">
        <f t="shared" ca="1" si="21"/>
        <v>1361.6171263411916</v>
      </c>
      <c r="AX24" s="362">
        <f t="shared" ca="1" si="21"/>
        <v>42.106365709288561</v>
      </c>
      <c r="AY24" s="362">
        <f t="shared" ca="1" si="21"/>
        <v>124.43697824242066</v>
      </c>
      <c r="AZ24" s="362">
        <f t="shared" ca="1" si="22"/>
        <v>20075.607285094171</v>
      </c>
      <c r="BA24" s="362">
        <f t="shared" ca="1" si="22"/>
        <v>3594.5977695403094</v>
      </c>
      <c r="BB24" s="362">
        <f t="shared" ca="1" si="22"/>
        <v>207.99088517858286</v>
      </c>
      <c r="BC24" s="362">
        <f t="shared" ca="1" si="22"/>
        <v>1644.9919849094142</v>
      </c>
      <c r="BD24" s="362">
        <f t="shared" ca="1" si="22"/>
        <v>861.24433853777907</v>
      </c>
      <c r="BE24" s="362">
        <f t="shared" ca="1" si="22"/>
        <v>5845.4128478032089</v>
      </c>
      <c r="BF24" s="362">
        <f t="shared" ca="1" si="22"/>
        <v>2016.4483206051004</v>
      </c>
      <c r="BG24" s="362">
        <f t="shared" ca="1" si="22"/>
        <v>13213.549505801528</v>
      </c>
      <c r="BH24" s="362">
        <f t="shared" ca="1" si="22"/>
        <v>13710.13521560043</v>
      </c>
      <c r="BI24" s="362">
        <f t="shared" ca="1" si="22"/>
        <v>5168.3819322767222</v>
      </c>
      <c r="BJ24" s="362">
        <f t="shared" ca="1" si="22"/>
        <v>32184.45887232653</v>
      </c>
      <c r="BK24" s="362">
        <f t="shared" ca="1" si="22"/>
        <v>11526.981922587047</v>
      </c>
      <c r="BL24" s="362">
        <f t="shared" ca="1" si="22"/>
        <v>3946.6043494384821</v>
      </c>
      <c r="BM24" s="362">
        <f t="shared" ca="1" si="7"/>
        <v>0</v>
      </c>
      <c r="BO24" s="360">
        <f t="shared" si="10"/>
        <v>2025</v>
      </c>
      <c r="BP24" s="375">
        <f ca="1">IF(GridFootprintToggle="Yes",EF_PurchElec_MTperMWh*(1-ExposureCalculations!B30),EF_PurchElec_MTperMWh)</f>
        <v>0.71025672512797189</v>
      </c>
      <c r="BT24" s="360">
        <f t="shared" si="11"/>
        <v>2025</v>
      </c>
      <c r="BU24" s="1504">
        <f t="shared" ca="1" si="12"/>
        <v>23481.447141878285</v>
      </c>
      <c r="BV24" s="1504">
        <f t="shared" ca="1" si="13"/>
        <v>79959.115873524264</v>
      </c>
      <c r="BW24" s="1504">
        <f t="shared" ca="1" si="14"/>
        <v>47560.541738260363</v>
      </c>
      <c r="BX24" s="1504">
        <f t="shared" ca="1" si="15"/>
        <v>15041.095670509651</v>
      </c>
      <c r="BY24" s="1504">
        <v>116022.09210519702</v>
      </c>
      <c r="BZ24" s="1504">
        <f t="shared" ca="1" si="16"/>
        <v>0</v>
      </c>
      <c r="CA24" s="1504">
        <f t="shared" ca="1" si="17"/>
        <v>33823.141282971716</v>
      </c>
      <c r="CB24" s="1504">
        <f t="shared" ca="1" si="18"/>
        <v>0</v>
      </c>
      <c r="CC24" s="1504">
        <f t="shared" ca="1" si="8"/>
        <v>116022.09210519702</v>
      </c>
    </row>
    <row r="25" spans="1:81">
      <c r="A25" s="374"/>
      <c r="B25" s="359" t="str">
        <f>IF(A25="","",INDEX(Summary!$D$2:$D$35,MATCH(A25,ListofOptions,0)))</f>
        <v/>
      </c>
      <c r="W25" s="1268">
        <f ca="1">OFFSET(ExposureCalculations!Price_GHG_Allowance_2010,AA25-$AA$9,0)*$W$7</f>
        <v>13.162350864399929</v>
      </c>
      <c r="X25" s="15">
        <f t="shared" ca="1" si="9"/>
        <v>520880.99682603381</v>
      </c>
      <c r="AA25" s="360">
        <f t="shared" si="1"/>
        <v>2026</v>
      </c>
      <c r="AB25" s="362">
        <f ca="1">ExposureCalculations!G32</f>
        <v>319149.83943984361</v>
      </c>
      <c r="AC25" s="362">
        <f t="shared" ca="1" si="19"/>
        <v>159822.89406514098</v>
      </c>
      <c r="AD25" s="362">
        <f t="shared" ca="1" si="2"/>
        <v>159822.89406514104</v>
      </c>
      <c r="AE25" s="362">
        <f t="shared" ca="1" si="3"/>
        <v>39573.553553784615</v>
      </c>
      <c r="AF25" s="362" t="str">
        <f t="shared" ca="1" si="20"/>
        <v/>
      </c>
      <c r="AG25" s="362" t="str">
        <f t="shared" ca="1" si="20"/>
        <v/>
      </c>
      <c r="AH25" s="362" t="str">
        <f t="shared" ca="1" si="20"/>
        <v/>
      </c>
      <c r="AI25" s="362" t="str">
        <f t="shared" ca="1" si="20"/>
        <v/>
      </c>
      <c r="AJ25" s="362" t="str">
        <f t="shared" ca="1" si="20"/>
        <v/>
      </c>
      <c r="AK25" s="362" t="str">
        <f t="shared" ca="1" si="20"/>
        <v/>
      </c>
      <c r="AL25" s="362" t="str">
        <f t="shared" ca="1" si="20"/>
        <v/>
      </c>
      <c r="AM25" s="362" t="str">
        <f t="shared" ca="1" si="20"/>
        <v/>
      </c>
      <c r="AN25" s="362" t="str">
        <f t="shared" ca="1" si="20"/>
        <v/>
      </c>
      <c r="AO25" s="362" t="str">
        <f t="shared" ca="1" si="20"/>
        <v/>
      </c>
      <c r="AP25" s="362" t="str">
        <f t="shared" ca="1" si="21"/>
        <v/>
      </c>
      <c r="AQ25" s="362" t="str">
        <f t="shared" ca="1" si="21"/>
        <v/>
      </c>
      <c r="AR25" s="362" t="str">
        <f t="shared" ca="1" si="21"/>
        <v/>
      </c>
      <c r="AS25" s="362" t="str">
        <f t="shared" ca="1" si="21"/>
        <v/>
      </c>
      <c r="AT25" s="362" t="str">
        <f t="shared" ca="1" si="21"/>
        <v/>
      </c>
      <c r="AU25" s="362" t="str">
        <f t="shared" ca="1" si="21"/>
        <v/>
      </c>
      <c r="AV25" s="362">
        <f t="shared" ca="1" si="21"/>
        <v>497.52640520481702</v>
      </c>
      <c r="AW25" s="362">
        <f t="shared" ca="1" si="21"/>
        <v>1361.6171263411916</v>
      </c>
      <c r="AX25" s="362">
        <f t="shared" ca="1" si="21"/>
        <v>42.106365709288561</v>
      </c>
      <c r="AY25" s="362">
        <f t="shared" ca="1" si="21"/>
        <v>124.43697824242066</v>
      </c>
      <c r="AZ25" s="362">
        <f t="shared" ca="1" si="22"/>
        <v>20277.531440836436</v>
      </c>
      <c r="BA25" s="362">
        <f t="shared" ca="1" si="22"/>
        <v>3630.7528959850451</v>
      </c>
      <c r="BB25" s="362">
        <f t="shared" ca="1" si="22"/>
        <v>208.18454174242908</v>
      </c>
      <c r="BC25" s="362">
        <f t="shared" ca="1" si="22"/>
        <v>1644.9919849094142</v>
      </c>
      <c r="BD25" s="362">
        <f t="shared" ca="1" si="22"/>
        <v>862.07249897000111</v>
      </c>
      <c r="BE25" s="362">
        <f t="shared" ca="1" si="22"/>
        <v>5845.4128478032089</v>
      </c>
      <c r="BF25" s="362">
        <f t="shared" ca="1" si="22"/>
        <v>3024.6724809076504</v>
      </c>
      <c r="BG25" s="362">
        <f t="shared" ca="1" si="22"/>
        <v>13213.549505801528</v>
      </c>
      <c r="BH25" s="362">
        <f t="shared" ca="1" si="22"/>
        <v>13710.13521560043</v>
      </c>
      <c r="BI25" s="362">
        <f t="shared" ca="1" si="22"/>
        <v>5219.0346008859497</v>
      </c>
      <c r="BJ25" s="362">
        <f t="shared" ca="1" si="22"/>
        <v>34195.98755184692</v>
      </c>
      <c r="BK25" s="362">
        <f t="shared" ca="1" si="22"/>
        <v>11962.484474232047</v>
      </c>
      <c r="BL25" s="362">
        <f t="shared" ca="1" si="22"/>
        <v>3932.894905899223</v>
      </c>
      <c r="BM25" s="362">
        <f t="shared" ca="1" si="7"/>
        <v>0</v>
      </c>
      <c r="BO25" s="360">
        <f t="shared" si="10"/>
        <v>2026</v>
      </c>
      <c r="BP25" s="375">
        <f ca="1">IF(GridFootprintToggle="Yes",EF_PurchElec_MTperMWh*(1-ExposureCalculations!B31),EF_PurchElec_MTperMWh)</f>
        <v>0.71025672512797189</v>
      </c>
      <c r="BT25" s="360">
        <f t="shared" si="11"/>
        <v>2026</v>
      </c>
      <c r="BU25" s="1504">
        <f t="shared" ca="1" si="12"/>
        <v>23711.756301807087</v>
      </c>
      <c r="BV25" s="1504">
        <f t="shared" ca="1" si="13"/>
        <v>72852.397786285204</v>
      </c>
      <c r="BW25" s="1504">
        <f t="shared" ca="1" si="14"/>
        <v>47762.256239061331</v>
      </c>
      <c r="BX25" s="1504">
        <f t="shared" ca="1" si="15"/>
        <v>15057.65107976356</v>
      </c>
      <c r="BY25" s="1504">
        <v>119753.391820918</v>
      </c>
      <c r="BZ25" s="1504">
        <f t="shared" ca="1" si="16"/>
        <v>0</v>
      </c>
      <c r="CA25" s="1504">
        <f t="shared" ca="1" si="17"/>
        <v>39573.553553784615</v>
      </c>
      <c r="CB25" s="1504">
        <f t="shared" ca="1" si="18"/>
        <v>0</v>
      </c>
      <c r="CC25" s="1504">
        <f t="shared" ca="1" si="8"/>
        <v>119753.391820918</v>
      </c>
    </row>
    <row r="26" spans="1:81">
      <c r="A26" s="374"/>
      <c r="B26" s="359" t="str">
        <f>IF(A26="","",INDEX(Summary!$D$2:$D$35,MATCH(A26,ListofOptions,0)))</f>
        <v/>
      </c>
      <c r="W26" s="1268">
        <f ca="1">OFFSET(ExposureCalculations!Price_GHG_Allowance_2010,AA26-$AA$9,0)*$W$7</f>
        <v>13.754443155150856</v>
      </c>
      <c r="X26" s="15">
        <f t="shared" ca="1" si="9"/>
        <v>623376.34123376606</v>
      </c>
      <c r="AA26" s="360">
        <f t="shared" si="1"/>
        <v>2027</v>
      </c>
      <c r="AB26" s="362">
        <f ca="1">ExposureCalculations!G33</f>
        <v>321970.91791220132</v>
      </c>
      <c r="AC26" s="362">
        <f t="shared" ca="1" si="19"/>
        <v>153163.60681242676</v>
      </c>
      <c r="AD26" s="362">
        <f t="shared" ca="1" si="2"/>
        <v>153163.60681242682</v>
      </c>
      <c r="AE26" s="362">
        <f t="shared" ca="1" si="3"/>
        <v>45321.815954455407</v>
      </c>
      <c r="AF26" s="362" t="str">
        <f t="shared" ca="1" si="20"/>
        <v/>
      </c>
      <c r="AG26" s="362" t="str">
        <f t="shared" ca="1" si="20"/>
        <v/>
      </c>
      <c r="AH26" s="362" t="str">
        <f t="shared" ca="1" si="20"/>
        <v/>
      </c>
      <c r="AI26" s="362" t="str">
        <f t="shared" ca="1" si="20"/>
        <v/>
      </c>
      <c r="AJ26" s="362" t="str">
        <f t="shared" ca="1" si="20"/>
        <v/>
      </c>
      <c r="AK26" s="362" t="str">
        <f t="shared" ca="1" si="20"/>
        <v/>
      </c>
      <c r="AL26" s="362" t="str">
        <f t="shared" ca="1" si="20"/>
        <v/>
      </c>
      <c r="AM26" s="362" t="str">
        <f t="shared" ca="1" si="20"/>
        <v/>
      </c>
      <c r="AN26" s="362" t="str">
        <f t="shared" ca="1" si="20"/>
        <v/>
      </c>
      <c r="AO26" s="362" t="str">
        <f t="shared" ca="1" si="20"/>
        <v/>
      </c>
      <c r="AP26" s="362" t="str">
        <f t="shared" ca="1" si="21"/>
        <v/>
      </c>
      <c r="AQ26" s="362" t="str">
        <f t="shared" ca="1" si="21"/>
        <v/>
      </c>
      <c r="AR26" s="362" t="str">
        <f t="shared" ca="1" si="21"/>
        <v/>
      </c>
      <c r="AS26" s="362" t="str">
        <f t="shared" ca="1" si="21"/>
        <v/>
      </c>
      <c r="AT26" s="362" t="str">
        <f t="shared" ca="1" si="21"/>
        <v/>
      </c>
      <c r="AU26" s="362" t="str">
        <f t="shared" ca="1" si="21"/>
        <v/>
      </c>
      <c r="AV26" s="362">
        <f t="shared" ca="1" si="21"/>
        <v>497.52640520481702</v>
      </c>
      <c r="AW26" s="362">
        <f t="shared" ca="1" si="21"/>
        <v>1361.6171263411916</v>
      </c>
      <c r="AX26" s="362">
        <f t="shared" ca="1" si="21"/>
        <v>42.106365709288561</v>
      </c>
      <c r="AY26" s="362">
        <f t="shared" ca="1" si="21"/>
        <v>124.43697824242066</v>
      </c>
      <c r="AZ26" s="362">
        <f t="shared" ca="1" si="22"/>
        <v>20479.455596578686</v>
      </c>
      <c r="BA26" s="362">
        <f t="shared" ca="1" si="22"/>
        <v>3666.9080224297791</v>
      </c>
      <c r="BB26" s="362">
        <f t="shared" ca="1" si="22"/>
        <v>208.37258147784658</v>
      </c>
      <c r="BC26" s="362">
        <f t="shared" ca="1" si="22"/>
        <v>1644.9919849094142</v>
      </c>
      <c r="BD26" s="362">
        <f t="shared" ca="1" si="22"/>
        <v>862.87515913365939</v>
      </c>
      <c r="BE26" s="362">
        <f t="shared" ca="1" si="22"/>
        <v>5845.4128478032089</v>
      </c>
      <c r="BF26" s="362">
        <f t="shared" ca="1" si="22"/>
        <v>4032.8966412102009</v>
      </c>
      <c r="BG26" s="362">
        <f t="shared" ca="1" si="22"/>
        <v>13213.549505801528</v>
      </c>
      <c r="BH26" s="362">
        <f t="shared" ca="1" si="22"/>
        <v>13710.13521560043</v>
      </c>
      <c r="BI26" s="362">
        <f t="shared" ca="1" si="22"/>
        <v>5269.6872694951762</v>
      </c>
      <c r="BJ26" s="362">
        <f t="shared" ca="1" si="22"/>
        <v>36207.516231367335</v>
      </c>
      <c r="BK26" s="362">
        <f t="shared" ca="1" si="22"/>
        <v>12398.859108206347</v>
      </c>
      <c r="BL26" s="362">
        <f t="shared" ca="1" si="22"/>
        <v>3919.1481058077857</v>
      </c>
      <c r="BM26" s="362">
        <f t="shared" ca="1" si="7"/>
        <v>0</v>
      </c>
      <c r="BO26" s="360">
        <f t="shared" si="10"/>
        <v>2027</v>
      </c>
      <c r="BP26" s="375">
        <f ca="1">IF(GridFootprintToggle="Yes",EF_PurchElec_MTperMWh*(1-ExposureCalculations!B32),EF_PurchElec_MTperMWh)</f>
        <v>0.71025672512797189</v>
      </c>
      <c r="BT26" s="360">
        <f t="shared" si="11"/>
        <v>2027</v>
      </c>
      <c r="BU26" s="1504">
        <f t="shared" ca="1" si="12"/>
        <v>23942.049717717506</v>
      </c>
      <c r="BV26" s="1504">
        <f t="shared" ca="1" si="13"/>
        <v>65746.994843411012</v>
      </c>
      <c r="BW26" s="1504">
        <f t="shared" ca="1" si="14"/>
        <v>47963.119809125696</v>
      </c>
      <c r="BX26" s="1504">
        <f t="shared" ca="1" si="15"/>
        <v>15073.723235660607</v>
      </c>
      <c r="BY26" s="1504">
        <v>123485.49514531913</v>
      </c>
      <c r="BZ26" s="1504">
        <f t="shared" ca="1" si="16"/>
        <v>0</v>
      </c>
      <c r="CA26" s="1504">
        <f t="shared" ca="1" si="17"/>
        <v>45321.815954455407</v>
      </c>
      <c r="CB26" s="1504">
        <f t="shared" ca="1" si="18"/>
        <v>0</v>
      </c>
      <c r="CC26" s="1504">
        <f t="shared" ca="1" si="8"/>
        <v>123485.49514531913</v>
      </c>
    </row>
    <row r="27" spans="1:81">
      <c r="A27" s="374"/>
      <c r="B27" s="359" t="str">
        <f>IF(A27="","",INDEX(Summary!$D$2:$D$35,MATCH(A27,ListofOptions,0)))</f>
        <v/>
      </c>
      <c r="W27" s="1268">
        <f ca="1">OFFSET(ExposureCalculations!Price_GHG_Allowance_2010,AA27-$AA$9,0)*$W$7</f>
        <v>14.350233993339234</v>
      </c>
      <c r="X27" s="15">
        <f t="shared" ca="1" si="9"/>
        <v>732838.62514781824</v>
      </c>
      <c r="AA27" s="360">
        <f t="shared" si="1"/>
        <v>2028</v>
      </c>
      <c r="AB27" s="362">
        <f ca="1">ExposureCalculations!G34</f>
        <v>324790.76088511513</v>
      </c>
      <c r="AC27" s="362">
        <f t="shared" ca="1" si="19"/>
        <v>146504.31955971255</v>
      </c>
      <c r="AD27" s="362">
        <f t="shared" ca="1" si="2"/>
        <v>146504.31955971252</v>
      </c>
      <c r="AE27" s="362">
        <f t="shared" ca="1" si="3"/>
        <v>51068.061014752137</v>
      </c>
      <c r="AF27" s="362" t="str">
        <f t="shared" ca="1" si="20"/>
        <v/>
      </c>
      <c r="AG27" s="362" t="str">
        <f t="shared" ca="1" si="20"/>
        <v/>
      </c>
      <c r="AH27" s="362" t="str">
        <f t="shared" ca="1" si="20"/>
        <v/>
      </c>
      <c r="AI27" s="362" t="str">
        <f t="shared" ca="1" si="20"/>
        <v/>
      </c>
      <c r="AJ27" s="362" t="str">
        <f t="shared" ca="1" si="20"/>
        <v/>
      </c>
      <c r="AK27" s="362" t="str">
        <f t="shared" ca="1" si="20"/>
        <v/>
      </c>
      <c r="AL27" s="362" t="str">
        <f t="shared" ca="1" si="20"/>
        <v/>
      </c>
      <c r="AM27" s="362" t="str">
        <f t="shared" ca="1" si="20"/>
        <v/>
      </c>
      <c r="AN27" s="362" t="str">
        <f t="shared" ca="1" si="20"/>
        <v/>
      </c>
      <c r="AO27" s="362" t="str">
        <f t="shared" ca="1" si="20"/>
        <v/>
      </c>
      <c r="AP27" s="362" t="str">
        <f t="shared" ca="1" si="21"/>
        <v/>
      </c>
      <c r="AQ27" s="362" t="str">
        <f t="shared" ca="1" si="21"/>
        <v/>
      </c>
      <c r="AR27" s="362" t="str">
        <f t="shared" ca="1" si="21"/>
        <v/>
      </c>
      <c r="AS27" s="362" t="str">
        <f t="shared" ca="1" si="21"/>
        <v/>
      </c>
      <c r="AT27" s="362" t="str">
        <f t="shared" ca="1" si="21"/>
        <v/>
      </c>
      <c r="AU27" s="362" t="str">
        <f t="shared" ca="1" si="21"/>
        <v/>
      </c>
      <c r="AV27" s="362">
        <f t="shared" ca="1" si="21"/>
        <v>497.52640520481702</v>
      </c>
      <c r="AW27" s="362">
        <f t="shared" ca="1" si="21"/>
        <v>1361.6171263411916</v>
      </c>
      <c r="AX27" s="362">
        <f t="shared" ca="1" si="21"/>
        <v>42.106365709288561</v>
      </c>
      <c r="AY27" s="362">
        <f t="shared" ca="1" si="21"/>
        <v>124.43697824242066</v>
      </c>
      <c r="AZ27" s="362">
        <f t="shared" ca="1" si="22"/>
        <v>20681.379752320936</v>
      </c>
      <c r="BA27" s="362">
        <f t="shared" ca="1" si="22"/>
        <v>3703.0631488745134</v>
      </c>
      <c r="BB27" s="362">
        <f t="shared" ca="1" si="22"/>
        <v>208.555466495037</v>
      </c>
      <c r="BC27" s="362">
        <f t="shared" ca="1" si="22"/>
        <v>1644.9919849094142</v>
      </c>
      <c r="BD27" s="362">
        <f t="shared" ca="1" si="22"/>
        <v>863.65453888617992</v>
      </c>
      <c r="BE27" s="362">
        <f t="shared" ca="1" si="22"/>
        <v>5845.4128478032089</v>
      </c>
      <c r="BF27" s="362">
        <f t="shared" ca="1" si="22"/>
        <v>5041.1208015127513</v>
      </c>
      <c r="BG27" s="362">
        <f t="shared" ca="1" si="22"/>
        <v>13213.549505801528</v>
      </c>
      <c r="BH27" s="362">
        <f t="shared" ca="1" si="22"/>
        <v>13710.13521560043</v>
      </c>
      <c r="BI27" s="362">
        <f t="shared" ca="1" si="22"/>
        <v>5320.3399381044037</v>
      </c>
      <c r="BJ27" s="362">
        <f t="shared" ca="1" si="22"/>
        <v>38219.044910887722</v>
      </c>
      <c r="BK27" s="362">
        <f t="shared" ca="1" si="22"/>
        <v>12836.080280592192</v>
      </c>
      <c r="BL27" s="362">
        <f t="shared" ca="1" si="22"/>
        <v>3905.365043364422</v>
      </c>
      <c r="BM27" s="362">
        <f t="shared" ca="1" si="7"/>
        <v>0</v>
      </c>
      <c r="BO27" s="360">
        <f t="shared" si="10"/>
        <v>2028</v>
      </c>
      <c r="BP27" s="375">
        <f ca="1">IF(GridFootprintToggle="Yes",EF_PurchElec_MTperMWh*(1-ExposureCalculations!B33),EF_PurchElec_MTperMWh)</f>
        <v>0.71025672512797189</v>
      </c>
      <c r="BT27" s="360">
        <f t="shared" si="11"/>
        <v>2028</v>
      </c>
      <c r="BU27" s="1504">
        <f t="shared" ca="1" si="12"/>
        <v>24172.328684908407</v>
      </c>
      <c r="BV27" s="1504">
        <f t="shared" ca="1" si="13"/>
        <v>58642.798964851434</v>
      </c>
      <c r="BW27" s="1504">
        <f t="shared" ca="1" si="14"/>
        <v>48163.202456604762</v>
      </c>
      <c r="BX27" s="1504">
        <f t="shared" ca="1" si="15"/>
        <v>15089.351898432873</v>
      </c>
      <c r="BY27" s="1504">
        <v>127218.38031065046</v>
      </c>
      <c r="BZ27" s="1504">
        <f t="shared" ca="1" si="16"/>
        <v>0</v>
      </c>
      <c r="CA27" s="1504">
        <f t="shared" ca="1" si="17"/>
        <v>51068.061014752137</v>
      </c>
      <c r="CB27" s="1504">
        <f t="shared" ca="1" si="18"/>
        <v>0</v>
      </c>
      <c r="CC27" s="1504">
        <f t="shared" ca="1" si="8"/>
        <v>127218.38031065046</v>
      </c>
    </row>
    <row r="28" spans="1:81">
      <c r="A28" s="374"/>
      <c r="B28" s="359" t="str">
        <f>IF(A28="","",INDEX(Summary!$D$2:$D$35,MATCH(A28,ListofOptions,0)))</f>
        <v/>
      </c>
      <c r="W28" s="1268">
        <f ca="1">OFFSET(ExposureCalculations!Price_GHG_Allowance_2010,AA28-$AA$9,0)*$W$7</f>
        <v>14.949908306336956</v>
      </c>
      <c r="X28" s="15">
        <f t="shared" ca="1" si="9"/>
        <v>849340.26455505367</v>
      </c>
      <c r="AA28" s="360">
        <f t="shared" si="1"/>
        <v>2029</v>
      </c>
      <c r="AB28" s="362">
        <f ca="1">ExposureCalculations!G35</f>
        <v>327609.46471763018</v>
      </c>
      <c r="AC28" s="362">
        <f t="shared" ca="1" si="19"/>
        <v>139845.03230699833</v>
      </c>
      <c r="AD28" s="362">
        <f t="shared" ca="1" si="2"/>
        <v>139845.03230699836</v>
      </c>
      <c r="AE28" s="362">
        <f t="shared" ca="1" si="3"/>
        <v>56812.406280447613</v>
      </c>
      <c r="AF28" s="362" t="str">
        <f t="shared" ca="1" si="20"/>
        <v/>
      </c>
      <c r="AG28" s="362" t="str">
        <f t="shared" ca="1" si="20"/>
        <v/>
      </c>
      <c r="AH28" s="362" t="str">
        <f t="shared" ca="1" si="20"/>
        <v/>
      </c>
      <c r="AI28" s="362" t="str">
        <f t="shared" ca="1" si="20"/>
        <v/>
      </c>
      <c r="AJ28" s="362" t="str">
        <f t="shared" ca="1" si="20"/>
        <v/>
      </c>
      <c r="AK28" s="362" t="str">
        <f t="shared" ca="1" si="20"/>
        <v/>
      </c>
      <c r="AL28" s="362" t="str">
        <f t="shared" ca="1" si="20"/>
        <v/>
      </c>
      <c r="AM28" s="362" t="str">
        <f t="shared" ca="1" si="20"/>
        <v/>
      </c>
      <c r="AN28" s="362" t="str">
        <f t="shared" ca="1" si="20"/>
        <v/>
      </c>
      <c r="AO28" s="362" t="str">
        <f t="shared" ca="1" si="20"/>
        <v/>
      </c>
      <c r="AP28" s="362" t="str">
        <f t="shared" ca="1" si="21"/>
        <v/>
      </c>
      <c r="AQ28" s="362" t="str">
        <f t="shared" ca="1" si="21"/>
        <v/>
      </c>
      <c r="AR28" s="362" t="str">
        <f t="shared" ca="1" si="21"/>
        <v/>
      </c>
      <c r="AS28" s="362" t="str">
        <f t="shared" ca="1" si="21"/>
        <v/>
      </c>
      <c r="AT28" s="362" t="str">
        <f t="shared" ca="1" si="21"/>
        <v/>
      </c>
      <c r="AU28" s="362" t="str">
        <f t="shared" ca="1" si="21"/>
        <v/>
      </c>
      <c r="AV28" s="362">
        <f t="shared" ca="1" si="21"/>
        <v>497.52640520481702</v>
      </c>
      <c r="AW28" s="362">
        <f t="shared" ca="1" si="21"/>
        <v>1361.6171263411916</v>
      </c>
      <c r="AX28" s="362">
        <f t="shared" ca="1" si="21"/>
        <v>42.106365709288561</v>
      </c>
      <c r="AY28" s="362">
        <f t="shared" ca="1" si="21"/>
        <v>124.43697824242066</v>
      </c>
      <c r="AZ28" s="362">
        <f t="shared" ca="1" si="22"/>
        <v>20883.303908063201</v>
      </c>
      <c r="BA28" s="362">
        <f t="shared" ca="1" si="22"/>
        <v>3739.2182753192492</v>
      </c>
      <c r="BB28" s="362">
        <f t="shared" ca="1" si="22"/>
        <v>208.73359881376186</v>
      </c>
      <c r="BC28" s="362">
        <f t="shared" ca="1" si="22"/>
        <v>1644.9919849094142</v>
      </c>
      <c r="BD28" s="362">
        <f t="shared" ca="1" si="22"/>
        <v>864.41255356388149</v>
      </c>
      <c r="BE28" s="362">
        <f t="shared" ca="1" si="22"/>
        <v>5845.4128478032089</v>
      </c>
      <c r="BF28" s="362">
        <f t="shared" ca="1" si="22"/>
        <v>6049.3449618153018</v>
      </c>
      <c r="BG28" s="362">
        <f t="shared" ca="1" si="22"/>
        <v>13213.549505801528</v>
      </c>
      <c r="BH28" s="362">
        <f t="shared" ca="1" si="22"/>
        <v>13710.13521560043</v>
      </c>
      <c r="BI28" s="362">
        <f t="shared" ca="1" si="22"/>
        <v>5370.9926067136303</v>
      </c>
      <c r="BJ28" s="362">
        <f t="shared" ca="1" si="22"/>
        <v>40230.573590408145</v>
      </c>
      <c r="BK28" s="362">
        <f t="shared" ca="1" si="22"/>
        <v>13274.123435425432</v>
      </c>
      <c r="BL28" s="362">
        <f t="shared" ca="1" si="22"/>
        <v>3891.5467704493494</v>
      </c>
      <c r="BM28" s="362">
        <f t="shared" ca="1" si="7"/>
        <v>0</v>
      </c>
      <c r="BO28" s="360">
        <f t="shared" si="10"/>
        <v>2029</v>
      </c>
      <c r="BP28" s="375">
        <f ca="1">IF(GridFootprintToggle="Yes",EF_PurchElec_MTperMWh*(1-ExposureCalculations!B34),EF_PurchElec_MTperMWh)</f>
        <v>0.71025672512797189</v>
      </c>
      <c r="BT28" s="360">
        <f t="shared" si="11"/>
        <v>2029</v>
      </c>
      <c r="BU28" s="1504">
        <f t="shared" ca="1" si="12"/>
        <v>24402.594330244665</v>
      </c>
      <c r="BV28" s="1504">
        <f t="shared" ca="1" si="13"/>
        <v>51539.716108917375</v>
      </c>
      <c r="BW28" s="1504">
        <f t="shared" ca="1" si="14"/>
        <v>48362.565086148868</v>
      </c>
      <c r="BX28" s="1504">
        <f t="shared" ca="1" si="15"/>
        <v>15104.571658047698</v>
      </c>
      <c r="BY28" s="1504">
        <v>130952.02613018424</v>
      </c>
      <c r="BZ28" s="1504">
        <f t="shared" ca="1" si="16"/>
        <v>0</v>
      </c>
      <c r="CA28" s="1504">
        <f t="shared" ca="1" si="17"/>
        <v>56812.406280447613</v>
      </c>
      <c r="CB28" s="1504">
        <f t="shared" ca="1" si="18"/>
        <v>0</v>
      </c>
      <c r="CC28" s="1504">
        <f t="shared" ca="1" si="8"/>
        <v>130952.02613018424</v>
      </c>
    </row>
    <row r="29" spans="1:81">
      <c r="A29" s="374"/>
      <c r="B29" s="359" t="str">
        <f>IF(A29="","",INDEX(Summary!$D$2:$D$35,MATCH(A29,ListofOptions,0)))</f>
        <v/>
      </c>
      <c r="W29" s="1268">
        <f ca="1">OFFSET(ExposureCalculations!Price_GHG_Allowance_2010,AA29-$AA$9,0)*$W$7</f>
        <v>15.553660267884474</v>
      </c>
      <c r="X29" s="15">
        <f t="shared" ca="1" si="9"/>
        <v>972958.54592017585</v>
      </c>
      <c r="AA29" s="360">
        <f t="shared" si="1"/>
        <v>2030</v>
      </c>
      <c r="AB29" s="362">
        <f ca="1">ExposureCalculations!G36</f>
        <v>330427.11385898734</v>
      </c>
      <c r="AC29" s="362">
        <f t="shared" ca="1" si="19"/>
        <v>133185.74505428411</v>
      </c>
      <c r="AD29" s="362">
        <f t="shared" ca="1" si="2"/>
        <v>133185.74505428411</v>
      </c>
      <c r="AE29" s="362">
        <f t="shared" ca="1" si="3"/>
        <v>62554.956785905961</v>
      </c>
      <c r="AF29" s="362" t="str">
        <f t="shared" ref="AF29:AO38" ca="1" si="23">IFERROR(-HLOOKUP(AF$3,GHGSavings,$AA29-$AA$9+2,FALSE),"")</f>
        <v/>
      </c>
      <c r="AG29" s="362" t="str">
        <f t="shared" ca="1" si="23"/>
        <v/>
      </c>
      <c r="AH29" s="362" t="str">
        <f t="shared" ca="1" si="23"/>
        <v/>
      </c>
      <c r="AI29" s="362" t="str">
        <f t="shared" ca="1" si="23"/>
        <v/>
      </c>
      <c r="AJ29" s="362" t="str">
        <f t="shared" ca="1" si="23"/>
        <v/>
      </c>
      <c r="AK29" s="362" t="str">
        <f t="shared" ca="1" si="23"/>
        <v/>
      </c>
      <c r="AL29" s="362" t="str">
        <f t="shared" ca="1" si="23"/>
        <v/>
      </c>
      <c r="AM29" s="362" t="str">
        <f t="shared" ca="1" si="23"/>
        <v/>
      </c>
      <c r="AN29" s="362" t="str">
        <f t="shared" ca="1" si="23"/>
        <v/>
      </c>
      <c r="AO29" s="362" t="str">
        <f t="shared" ca="1" si="23"/>
        <v/>
      </c>
      <c r="AP29" s="362" t="str">
        <f t="shared" ref="AP29:AY38" ca="1" si="24">IFERROR(-HLOOKUP(AP$3,GHGSavings,$AA29-$AA$9+2,FALSE),"")</f>
        <v/>
      </c>
      <c r="AQ29" s="362" t="str">
        <f t="shared" ca="1" si="24"/>
        <v/>
      </c>
      <c r="AR29" s="362" t="str">
        <f t="shared" ca="1" si="24"/>
        <v/>
      </c>
      <c r="AS29" s="362" t="str">
        <f t="shared" ca="1" si="24"/>
        <v/>
      </c>
      <c r="AT29" s="362" t="str">
        <f t="shared" ca="1" si="24"/>
        <v/>
      </c>
      <c r="AU29" s="362" t="str">
        <f t="shared" ca="1" si="24"/>
        <v/>
      </c>
      <c r="AV29" s="362">
        <f t="shared" ca="1" si="24"/>
        <v>497.52640520481702</v>
      </c>
      <c r="AW29" s="362">
        <f t="shared" ca="1" si="24"/>
        <v>1361.6171263411916</v>
      </c>
      <c r="AX29" s="362">
        <f t="shared" ca="1" si="24"/>
        <v>42.106365709288561</v>
      </c>
      <c r="AY29" s="362">
        <f t="shared" ca="1" si="24"/>
        <v>124.43697824242066</v>
      </c>
      <c r="AZ29" s="362">
        <f t="shared" ref="AZ29:BL38" ca="1" si="25">IFERROR(-HLOOKUP(AZ$3,GHGSavings,$AA29-$AA$9+2,FALSE),"")</f>
        <v>21085.228063805465</v>
      </c>
      <c r="BA29" s="362">
        <f t="shared" ca="1" si="25"/>
        <v>3775.3734017639845</v>
      </c>
      <c r="BB29" s="362">
        <f t="shared" ca="1" si="25"/>
        <v>208.90733076504105</v>
      </c>
      <c r="BC29" s="362">
        <f t="shared" ca="1" si="25"/>
        <v>1644.9919849094142</v>
      </c>
      <c r="BD29" s="362">
        <f t="shared" ca="1" si="25"/>
        <v>865.15086944257303</v>
      </c>
      <c r="BE29" s="362">
        <f t="shared" ca="1" si="25"/>
        <v>5845.4128478032089</v>
      </c>
      <c r="BF29" s="362">
        <f t="shared" ca="1" si="25"/>
        <v>7057.5691221178513</v>
      </c>
      <c r="BG29" s="362">
        <f t="shared" ca="1" si="25"/>
        <v>13213.549505801528</v>
      </c>
      <c r="BH29" s="362">
        <f t="shared" ca="1" si="25"/>
        <v>13710.13521560043</v>
      </c>
      <c r="BI29" s="362">
        <f t="shared" ca="1" si="25"/>
        <v>5421.6452753228559</v>
      </c>
      <c r="BJ29" s="362">
        <f t="shared" ca="1" si="25"/>
        <v>42242.102269928539</v>
      </c>
      <c r="BK29" s="362">
        <f t="shared" ca="1" si="25"/>
        <v>13712.964957389482</v>
      </c>
      <c r="BL29" s="362">
        <f t="shared" ca="1" si="25"/>
        <v>3877.694298649179</v>
      </c>
      <c r="BM29" s="362">
        <f t="shared" ca="1" si="7"/>
        <v>0</v>
      </c>
      <c r="BO29" s="360">
        <f t="shared" si="10"/>
        <v>2030</v>
      </c>
      <c r="BP29" s="375">
        <f ca="1">IF(GridFootprintToggle="Yes",EF_PurchElec_MTperMWh*(1-ExposureCalculations!B35),EF_PurchElec_MTperMWh)</f>
        <v>0.71025672512797189</v>
      </c>
      <c r="BT29" s="360">
        <f t="shared" si="11"/>
        <v>2030</v>
      </c>
      <c r="BU29" s="1504">
        <f t="shared" ca="1" si="12"/>
        <v>24632.847641313125</v>
      </c>
      <c r="BV29" s="1504">
        <f t="shared" ca="1" si="13"/>
        <v>44437.663844974712</v>
      </c>
      <c r="BW29" s="1504">
        <f t="shared" ca="1" si="14"/>
        <v>48561.261074730137</v>
      </c>
      <c r="BX29" s="1504">
        <f t="shared" ca="1" si="15"/>
        <v>15119.412829187801</v>
      </c>
      <c r="BY29" s="1504">
        <v>134686.41201879727</v>
      </c>
      <c r="BZ29" s="1504">
        <f t="shared" ca="1" si="16"/>
        <v>0</v>
      </c>
      <c r="CA29" s="1504">
        <f t="shared" ca="1" si="17"/>
        <v>62554.956785905961</v>
      </c>
      <c r="CB29" s="1504">
        <f t="shared" ca="1" si="18"/>
        <v>0</v>
      </c>
      <c r="CC29" s="1504">
        <f t="shared" ca="1" si="8"/>
        <v>134686.41201879727</v>
      </c>
    </row>
    <row r="30" spans="1:81">
      <c r="A30" s="374"/>
      <c r="B30" s="359" t="str">
        <f>IF(A30="","",INDEX(Summary!$D$2:$D$35,MATCH(A30,ListofOptions,0)))</f>
        <v/>
      </c>
      <c r="W30" s="1268">
        <f ca="1">OFFSET(ExposureCalculations!Price_GHG_Allowance_2010,AA30-$AA$9,0)*$W$7</f>
        <v>16.288939782711097</v>
      </c>
      <c r="X30" s="15">
        <f t="shared" ca="1" si="9"/>
        <v>1113291.3660626684</v>
      </c>
      <c r="AA30" s="360">
        <f t="shared" si="1"/>
        <v>2031</v>
      </c>
      <c r="AB30" s="362">
        <f ca="1">ExposureCalculations!G37</f>
        <v>333243.78281291976</v>
      </c>
      <c r="AC30" s="362">
        <f t="shared" ca="1" si="19"/>
        <v>126526.45780156989</v>
      </c>
      <c r="AD30" s="362">
        <f t="shared" ca="1" si="2"/>
        <v>126526.45780156989</v>
      </c>
      <c r="AE30" s="362">
        <f t="shared" ca="1" si="3"/>
        <v>68346.459678382729</v>
      </c>
      <c r="AF30" s="362" t="str">
        <f t="shared" ca="1" si="23"/>
        <v/>
      </c>
      <c r="AG30" s="362" t="str">
        <f t="shared" ca="1" si="23"/>
        <v/>
      </c>
      <c r="AH30" s="362" t="str">
        <f t="shared" ca="1" si="23"/>
        <v/>
      </c>
      <c r="AI30" s="362" t="str">
        <f t="shared" ca="1" si="23"/>
        <v/>
      </c>
      <c r="AJ30" s="362" t="str">
        <f t="shared" ca="1" si="23"/>
        <v/>
      </c>
      <c r="AK30" s="362" t="str">
        <f t="shared" ca="1" si="23"/>
        <v/>
      </c>
      <c r="AL30" s="362" t="str">
        <f t="shared" ca="1" si="23"/>
        <v/>
      </c>
      <c r="AM30" s="362" t="str">
        <f t="shared" ca="1" si="23"/>
        <v/>
      </c>
      <c r="AN30" s="362" t="str">
        <f t="shared" ca="1" si="23"/>
        <v/>
      </c>
      <c r="AO30" s="362" t="str">
        <f t="shared" ca="1" si="23"/>
        <v/>
      </c>
      <c r="AP30" s="362" t="str">
        <f t="shared" ca="1" si="24"/>
        <v/>
      </c>
      <c r="AQ30" s="362" t="str">
        <f t="shared" ca="1" si="24"/>
        <v/>
      </c>
      <c r="AR30" s="362" t="str">
        <f t="shared" ca="1" si="24"/>
        <v/>
      </c>
      <c r="AS30" s="362" t="str">
        <f t="shared" ca="1" si="24"/>
        <v/>
      </c>
      <c r="AT30" s="362" t="str">
        <f t="shared" ca="1" si="24"/>
        <v/>
      </c>
      <c r="AU30" s="362" t="str">
        <f t="shared" ca="1" si="24"/>
        <v/>
      </c>
      <c r="AV30" s="362">
        <f t="shared" ca="1" si="24"/>
        <v>497.52640520481702</v>
      </c>
      <c r="AW30" s="362">
        <f t="shared" ca="1" si="24"/>
        <v>1361.6171263411916</v>
      </c>
      <c r="AX30" s="362">
        <f t="shared" ca="1" si="24"/>
        <v>42.106365709288561</v>
      </c>
      <c r="AY30" s="362">
        <f t="shared" ca="1" si="24"/>
        <v>124.43697824242066</v>
      </c>
      <c r="AZ30" s="362">
        <f t="shared" ca="1" si="25"/>
        <v>21287.152219547716</v>
      </c>
      <c r="BA30" s="362">
        <f t="shared" ca="1" si="25"/>
        <v>3811.5285282087202</v>
      </c>
      <c r="BB30" s="362">
        <f t="shared" ca="1" si="25"/>
        <v>209.07697318635553</v>
      </c>
      <c r="BC30" s="362">
        <f t="shared" ca="1" si="25"/>
        <v>1644.9919849094142</v>
      </c>
      <c r="BD30" s="362">
        <f t="shared" ca="1" si="25"/>
        <v>865.87094685010732</v>
      </c>
      <c r="BE30" s="362">
        <f t="shared" ca="1" si="25"/>
        <v>5845.4128478032089</v>
      </c>
      <c r="BF30" s="362">
        <f t="shared" ca="1" si="25"/>
        <v>8065.7932824204017</v>
      </c>
      <c r="BG30" s="362">
        <f t="shared" ca="1" si="25"/>
        <v>13213.549505801528</v>
      </c>
      <c r="BH30" s="362">
        <f t="shared" ca="1" si="25"/>
        <v>13710.13521560043</v>
      </c>
      <c r="BI30" s="362">
        <f t="shared" ca="1" si="25"/>
        <v>5421.6452753228559</v>
      </c>
      <c r="BJ30" s="362">
        <f t="shared" ca="1" si="25"/>
        <v>44253.630949448947</v>
      </c>
      <c r="BK30" s="362">
        <f t="shared" ca="1" si="25"/>
        <v>14152.582127201758</v>
      </c>
      <c r="BL30" s="362">
        <f t="shared" ca="1" si="25"/>
        <v>3863.8086011679702</v>
      </c>
      <c r="BM30" s="362">
        <f t="shared" ca="1" si="7"/>
        <v>0</v>
      </c>
      <c r="BO30" s="360">
        <f t="shared" si="10"/>
        <v>2031</v>
      </c>
      <c r="BP30" s="375">
        <f ca="1">IF(GridFootprintToggle="Yes",EF_PurchElec_MTperMWh*(1-ExposureCalculations!B36),EF_PurchElec_MTperMWh)</f>
        <v>0.71025672512797189</v>
      </c>
      <c r="BT30" s="360">
        <f t="shared" si="11"/>
        <v>2031</v>
      </c>
      <c r="BU30" s="1504">
        <f t="shared" ca="1" si="12"/>
        <v>24863.08948939394</v>
      </c>
      <c r="BV30" s="1504">
        <f t="shared" ca="1" si="13"/>
        <v>37336.569440455612</v>
      </c>
      <c r="BW30" s="1504">
        <f t="shared" ca="1" si="14"/>
        <v>48759.337513188191</v>
      </c>
      <c r="BX30" s="1504">
        <f t="shared" ca="1" si="15"/>
        <v>15133.902156380282</v>
      </c>
      <c r="BY30" s="1504">
        <v>138370.86533296714</v>
      </c>
      <c r="BZ30" s="1504">
        <f t="shared" ca="1" si="16"/>
        <v>0</v>
      </c>
      <c r="CA30" s="1504">
        <f t="shared" ca="1" si="17"/>
        <v>68346.459678382729</v>
      </c>
      <c r="CB30" s="1504">
        <f t="shared" ca="1" si="18"/>
        <v>0</v>
      </c>
      <c r="CC30" s="1504">
        <f t="shared" ca="1" si="8"/>
        <v>138370.86533296714</v>
      </c>
    </row>
    <row r="31" spans="1:81">
      <c r="A31" s="374"/>
      <c r="B31" s="359" t="str">
        <f>IF(A31="","",INDEX(Summary!$D$2:$D$35,MATCH(A31,ListofOptions,0)))</f>
        <v/>
      </c>
      <c r="W31" s="1268">
        <f ca="1">OFFSET(ExposureCalculations!Price_GHG_Allowance_2010,AA31-$AA$9,0)*$W$7</f>
        <v>17.028714905063875</v>
      </c>
      <c r="X31" s="15">
        <f t="shared" ca="1" si="9"/>
        <v>1262446.7304209291</v>
      </c>
      <c r="AA31" s="360">
        <f t="shared" si="1"/>
        <v>2032</v>
      </c>
      <c r="AB31" s="362">
        <f ca="1">ExposureCalculations!G38</f>
        <v>336059.53770405636</v>
      </c>
      <c r="AC31" s="362">
        <f t="shared" ca="1" si="19"/>
        <v>119867.17054885568</v>
      </c>
      <c r="AD31" s="362">
        <f t="shared" ca="1" si="2"/>
        <v>119867.17054885568</v>
      </c>
      <c r="AE31" s="362">
        <f t="shared" ca="1" si="3"/>
        <v>74136.347778393538</v>
      </c>
      <c r="AF31" s="362" t="str">
        <f t="shared" ca="1" si="23"/>
        <v/>
      </c>
      <c r="AG31" s="362" t="str">
        <f t="shared" ca="1" si="23"/>
        <v/>
      </c>
      <c r="AH31" s="362" t="str">
        <f t="shared" ca="1" si="23"/>
        <v/>
      </c>
      <c r="AI31" s="362" t="str">
        <f t="shared" ca="1" si="23"/>
        <v/>
      </c>
      <c r="AJ31" s="362" t="str">
        <f t="shared" ca="1" si="23"/>
        <v/>
      </c>
      <c r="AK31" s="362" t="str">
        <f t="shared" ca="1" si="23"/>
        <v/>
      </c>
      <c r="AL31" s="362" t="str">
        <f t="shared" ca="1" si="23"/>
        <v/>
      </c>
      <c r="AM31" s="362" t="str">
        <f t="shared" ca="1" si="23"/>
        <v/>
      </c>
      <c r="AN31" s="362" t="str">
        <f t="shared" ca="1" si="23"/>
        <v/>
      </c>
      <c r="AO31" s="362" t="str">
        <f t="shared" ca="1" si="23"/>
        <v/>
      </c>
      <c r="AP31" s="362" t="str">
        <f t="shared" ca="1" si="24"/>
        <v/>
      </c>
      <c r="AQ31" s="362" t="str">
        <f t="shared" ca="1" si="24"/>
        <v/>
      </c>
      <c r="AR31" s="362" t="str">
        <f t="shared" ca="1" si="24"/>
        <v/>
      </c>
      <c r="AS31" s="362" t="str">
        <f t="shared" ca="1" si="24"/>
        <v/>
      </c>
      <c r="AT31" s="362" t="str">
        <f t="shared" ca="1" si="24"/>
        <v/>
      </c>
      <c r="AU31" s="362" t="str">
        <f t="shared" ca="1" si="24"/>
        <v/>
      </c>
      <c r="AV31" s="362">
        <f t="shared" ca="1" si="24"/>
        <v>497.52640520481702</v>
      </c>
      <c r="AW31" s="362">
        <f t="shared" ca="1" si="24"/>
        <v>1361.6171263411916</v>
      </c>
      <c r="AX31" s="362">
        <f t="shared" ca="1" si="24"/>
        <v>42.106365709288561</v>
      </c>
      <c r="AY31" s="362">
        <f t="shared" ca="1" si="24"/>
        <v>124.43697824242066</v>
      </c>
      <c r="AZ31" s="362">
        <f t="shared" ca="1" si="25"/>
        <v>21489.076375289966</v>
      </c>
      <c r="BA31" s="362">
        <f t="shared" ca="1" si="25"/>
        <v>3847.6836546534541</v>
      </c>
      <c r="BB31" s="362">
        <f t="shared" ca="1" si="25"/>
        <v>209.24280195681288</v>
      </c>
      <c r="BC31" s="362">
        <f t="shared" ca="1" si="25"/>
        <v>1644.9919849094142</v>
      </c>
      <c r="BD31" s="362">
        <f t="shared" ca="1" si="25"/>
        <v>866.57407413353792</v>
      </c>
      <c r="BE31" s="362">
        <f t="shared" ca="1" si="25"/>
        <v>5845.4128478032089</v>
      </c>
      <c r="BF31" s="362">
        <f t="shared" ca="1" si="25"/>
        <v>9074.017442722954</v>
      </c>
      <c r="BG31" s="362">
        <f t="shared" ca="1" si="25"/>
        <v>13213.549505801528</v>
      </c>
      <c r="BH31" s="362">
        <f t="shared" ca="1" si="25"/>
        <v>13710.13521560043</v>
      </c>
      <c r="BI31" s="362">
        <f t="shared" ca="1" si="25"/>
        <v>5421.6452753228559</v>
      </c>
      <c r="BJ31" s="362">
        <f t="shared" ca="1" si="25"/>
        <v>46265.15962896937</v>
      </c>
      <c r="BK31" s="362">
        <f t="shared" ca="1" si="25"/>
        <v>14592.953079515333</v>
      </c>
      <c r="BL31" s="362">
        <f t="shared" ca="1" si="25"/>
        <v>3849.8906146305685</v>
      </c>
      <c r="BM31" s="362">
        <f t="shared" ca="1" si="7"/>
        <v>0</v>
      </c>
      <c r="BO31" s="360">
        <f t="shared" si="10"/>
        <v>2032</v>
      </c>
      <c r="BP31" s="375">
        <f ca="1">IF(GridFootprintToggle="Yes",EF_PurchElec_MTperMWh*(1-ExposureCalculations!B37),EF_PurchElec_MTperMWh)</f>
        <v>0.71025672512797189</v>
      </c>
      <c r="BT31" s="360">
        <f t="shared" si="11"/>
        <v>2032</v>
      </c>
      <c r="BU31" s="1504">
        <f t="shared" ca="1" si="12"/>
        <v>25093.320647778608</v>
      </c>
      <c r="BV31" s="1504">
        <f t="shared" ca="1" si="13"/>
        <v>30236.368334957428</v>
      </c>
      <c r="BW31" s="1504">
        <f t="shared" ca="1" si="14"/>
        <v>48956.836196285862</v>
      </c>
      <c r="BX31" s="1504">
        <f t="shared" ca="1" si="15"/>
        <v>15148.063376292877</v>
      </c>
      <c r="BY31" s="1504">
        <v>142056.01937680715</v>
      </c>
      <c r="BZ31" s="1504">
        <f t="shared" ca="1" si="16"/>
        <v>0</v>
      </c>
      <c r="CA31" s="1504">
        <f t="shared" ca="1" si="17"/>
        <v>74136.347778393538</v>
      </c>
      <c r="CB31" s="1504">
        <f t="shared" ca="1" si="18"/>
        <v>0</v>
      </c>
      <c r="CC31" s="1504">
        <f t="shared" ca="1" si="8"/>
        <v>142056.01937680715</v>
      </c>
    </row>
    <row r="32" spans="1:81">
      <c r="A32" s="374"/>
      <c r="B32" s="359" t="str">
        <f>IF(A32="","",INDEX(Summary!$D$2:$D$35,MATCH(A32,ListofOptions,0)))</f>
        <v/>
      </c>
      <c r="W32" s="1268">
        <f ca="1">OFFSET(ExposureCalculations!Price_GHG_Allowance_2010,AA32-$AA$9,0)*$W$7</f>
        <v>17.773210415319113</v>
      </c>
      <c r="X32" s="15">
        <f t="shared" ca="1" si="9"/>
        <v>1420518.4901136942</v>
      </c>
      <c r="AA32" s="360">
        <f t="shared" si="1"/>
        <v>2033</v>
      </c>
      <c r="AB32" s="362">
        <f ca="1">ExposureCalculations!G39</f>
        <v>338874.43754072115</v>
      </c>
      <c r="AC32" s="362">
        <f t="shared" ca="1" si="19"/>
        <v>113207.88329614146</v>
      </c>
      <c r="AD32" s="362">
        <f t="shared" ca="1" si="2"/>
        <v>113207.88329614143</v>
      </c>
      <c r="AE32" s="362">
        <f t="shared" ca="1" si="3"/>
        <v>79924.698854030255</v>
      </c>
      <c r="AF32" s="362" t="str">
        <f t="shared" ca="1" si="23"/>
        <v/>
      </c>
      <c r="AG32" s="362" t="str">
        <f t="shared" ca="1" si="23"/>
        <v/>
      </c>
      <c r="AH32" s="362" t="str">
        <f t="shared" ca="1" si="23"/>
        <v/>
      </c>
      <c r="AI32" s="362" t="str">
        <f t="shared" ca="1" si="23"/>
        <v/>
      </c>
      <c r="AJ32" s="362" t="str">
        <f t="shared" ca="1" si="23"/>
        <v/>
      </c>
      <c r="AK32" s="362" t="str">
        <f t="shared" ca="1" si="23"/>
        <v/>
      </c>
      <c r="AL32" s="362" t="str">
        <f t="shared" ca="1" si="23"/>
        <v/>
      </c>
      <c r="AM32" s="362" t="str">
        <f t="shared" ca="1" si="23"/>
        <v/>
      </c>
      <c r="AN32" s="362" t="str">
        <f t="shared" ca="1" si="23"/>
        <v/>
      </c>
      <c r="AO32" s="362" t="str">
        <f t="shared" ca="1" si="23"/>
        <v/>
      </c>
      <c r="AP32" s="362" t="str">
        <f t="shared" ca="1" si="24"/>
        <v/>
      </c>
      <c r="AQ32" s="362" t="str">
        <f t="shared" ca="1" si="24"/>
        <v/>
      </c>
      <c r="AR32" s="362" t="str">
        <f t="shared" ca="1" si="24"/>
        <v/>
      </c>
      <c r="AS32" s="362" t="str">
        <f t="shared" ca="1" si="24"/>
        <v/>
      </c>
      <c r="AT32" s="362" t="str">
        <f t="shared" ca="1" si="24"/>
        <v/>
      </c>
      <c r="AU32" s="362" t="str">
        <f t="shared" ca="1" si="24"/>
        <v/>
      </c>
      <c r="AV32" s="362">
        <f t="shared" ca="1" si="24"/>
        <v>497.52640520481702</v>
      </c>
      <c r="AW32" s="362">
        <f t="shared" ca="1" si="24"/>
        <v>1361.6171263411916</v>
      </c>
      <c r="AX32" s="362">
        <f t="shared" ca="1" si="24"/>
        <v>42.106365709288561</v>
      </c>
      <c r="AY32" s="362">
        <f t="shared" ca="1" si="24"/>
        <v>124.43697824242066</v>
      </c>
      <c r="AZ32" s="362">
        <f t="shared" ca="1" si="25"/>
        <v>21691.000531032216</v>
      </c>
      <c r="BA32" s="362">
        <f t="shared" ca="1" si="25"/>
        <v>3883.8387810981894</v>
      </c>
      <c r="BB32" s="362">
        <f t="shared" ca="1" si="25"/>
        <v>209.40506326564875</v>
      </c>
      <c r="BC32" s="362">
        <f t="shared" ca="1" si="25"/>
        <v>1644.9919849094142</v>
      </c>
      <c r="BD32" s="362">
        <f t="shared" ca="1" si="25"/>
        <v>867.26139474581635</v>
      </c>
      <c r="BE32" s="362">
        <f t="shared" ca="1" si="25"/>
        <v>5845.4128478032089</v>
      </c>
      <c r="BF32" s="362">
        <f t="shared" ca="1" si="25"/>
        <v>10082.241603025503</v>
      </c>
      <c r="BG32" s="362">
        <f t="shared" ca="1" si="25"/>
        <v>13213.549505801528</v>
      </c>
      <c r="BH32" s="362">
        <f t="shared" ca="1" si="25"/>
        <v>13710.13521560043</v>
      </c>
      <c r="BI32" s="362">
        <f t="shared" ca="1" si="25"/>
        <v>5421.6452753228559</v>
      </c>
      <c r="BJ32" s="362">
        <f t="shared" ca="1" si="25"/>
        <v>48276.688308489764</v>
      </c>
      <c r="BK32" s="362">
        <f t="shared" ca="1" si="25"/>
        <v>15034.056763171931</v>
      </c>
      <c r="BL32" s="362">
        <f t="shared" ca="1" si="25"/>
        <v>3835.9412407851964</v>
      </c>
      <c r="BM32" s="362">
        <f t="shared" ca="1" si="7"/>
        <v>0</v>
      </c>
      <c r="BO32" s="360">
        <f t="shared" si="10"/>
        <v>2033</v>
      </c>
      <c r="BP32" s="375">
        <f ca="1">IF(GridFootprintToggle="Yes",EF_PurchElec_MTperMWh*(1-ExposureCalculations!B38),EF_PurchElec_MTperMWh)</f>
        <v>0.71025672512797189</v>
      </c>
      <c r="BT32" s="360">
        <f t="shared" si="11"/>
        <v>2033</v>
      </c>
      <c r="BU32" s="1504">
        <f t="shared" ca="1" si="12"/>
        <v>25323.541806537673</v>
      </c>
      <c r="BV32" s="1504">
        <f t="shared" ca="1" si="13"/>
        <v>23137.002909798292</v>
      </c>
      <c r="BW32" s="1504">
        <f t="shared" ca="1" si="14"/>
        <v>49153.794420869657</v>
      </c>
      <c r="BX32" s="1504">
        <f t="shared" ca="1" si="15"/>
        <v>15161.91767104415</v>
      </c>
      <c r="BY32" s="1504">
        <v>145741.85539054943</v>
      </c>
      <c r="BZ32" s="1504">
        <f t="shared" ca="1" si="16"/>
        <v>0</v>
      </c>
      <c r="CA32" s="1504">
        <f t="shared" ca="1" si="17"/>
        <v>79924.698854030255</v>
      </c>
      <c r="CB32" s="1504">
        <f t="shared" ca="1" si="18"/>
        <v>0</v>
      </c>
      <c r="CC32" s="1504">
        <f t="shared" ca="1" si="8"/>
        <v>145741.85539054943</v>
      </c>
    </row>
    <row r="33" spans="1:81">
      <c r="A33" s="374"/>
      <c r="B33" s="359" t="str">
        <f>IF(A33="","",INDEX(Summary!$D$2:$D$35,MATCH(A33,ListofOptions,0)))</f>
        <v/>
      </c>
      <c r="W33" s="1268">
        <f ca="1">OFFSET(ExposureCalculations!Price_GHG_Allowance_2010,AA33-$AA$9,0)*$W$7</f>
        <v>18.522662332871942</v>
      </c>
      <c r="X33" s="15">
        <f t="shared" ca="1" si="9"/>
        <v>1606106.4880835977</v>
      </c>
      <c r="AA33" s="360">
        <f t="shared" si="1"/>
        <v>2034</v>
      </c>
      <c r="AB33" s="362">
        <f ca="1">ExposureCalculations!G40</f>
        <v>341688.53524309385</v>
      </c>
      <c r="AC33" s="362">
        <f t="shared" ca="1" si="19"/>
        <v>106548.59604342724</v>
      </c>
      <c r="AD33" s="362">
        <f t="shared" ca="1" si="2"/>
        <v>106548.59604342721</v>
      </c>
      <c r="AE33" s="362">
        <f t="shared" ca="1" si="3"/>
        <v>86710.347531049047</v>
      </c>
      <c r="AF33" s="362" t="str">
        <f t="shared" ca="1" si="23"/>
        <v/>
      </c>
      <c r="AG33" s="362" t="str">
        <f t="shared" ca="1" si="23"/>
        <v/>
      </c>
      <c r="AH33" s="362" t="str">
        <f t="shared" ca="1" si="23"/>
        <v/>
      </c>
      <c r="AI33" s="362" t="str">
        <f t="shared" ca="1" si="23"/>
        <v/>
      </c>
      <c r="AJ33" s="362" t="str">
        <f t="shared" ca="1" si="23"/>
        <v/>
      </c>
      <c r="AK33" s="362" t="str">
        <f t="shared" ca="1" si="23"/>
        <v/>
      </c>
      <c r="AL33" s="362" t="str">
        <f t="shared" ca="1" si="23"/>
        <v/>
      </c>
      <c r="AM33" s="362" t="str">
        <f t="shared" ca="1" si="23"/>
        <v/>
      </c>
      <c r="AN33" s="362" t="str">
        <f t="shared" ca="1" si="23"/>
        <v/>
      </c>
      <c r="AO33" s="362" t="str">
        <f t="shared" ca="1" si="23"/>
        <v/>
      </c>
      <c r="AP33" s="362" t="str">
        <f t="shared" ca="1" si="24"/>
        <v/>
      </c>
      <c r="AQ33" s="362" t="str">
        <f t="shared" ca="1" si="24"/>
        <v/>
      </c>
      <c r="AR33" s="362" t="str">
        <f t="shared" ca="1" si="24"/>
        <v/>
      </c>
      <c r="AS33" s="362" t="str">
        <f t="shared" ca="1" si="24"/>
        <v/>
      </c>
      <c r="AT33" s="362" t="str">
        <f t="shared" ca="1" si="24"/>
        <v/>
      </c>
      <c r="AU33" s="362" t="str">
        <f t="shared" ca="1" si="24"/>
        <v/>
      </c>
      <c r="AV33" s="362">
        <f t="shared" ca="1" si="24"/>
        <v>497.52640520481702</v>
      </c>
      <c r="AW33" s="362">
        <f t="shared" ca="1" si="24"/>
        <v>1361.6171263411916</v>
      </c>
      <c r="AX33" s="362">
        <f t="shared" ca="1" si="24"/>
        <v>42.106365709288561</v>
      </c>
      <c r="AY33" s="362">
        <f t="shared" ca="1" si="24"/>
        <v>124.43697824242066</v>
      </c>
      <c r="AZ33" s="362">
        <f t="shared" ca="1" si="25"/>
        <v>21892.924686774466</v>
      </c>
      <c r="BA33" s="362">
        <f t="shared" ca="1" si="25"/>
        <v>3919.9939075429229</v>
      </c>
      <c r="BB33" s="362">
        <f t="shared" ca="1" si="25"/>
        <v>209.5639779018</v>
      </c>
      <c r="BC33" s="362">
        <f t="shared" ca="1" si="25"/>
        <v>1644.9919849094142</v>
      </c>
      <c r="BD33" s="362">
        <f t="shared" ca="1" si="25"/>
        <v>867.93392908247324</v>
      </c>
      <c r="BE33" s="362">
        <f t="shared" ca="1" si="25"/>
        <v>5845.4128478032089</v>
      </c>
      <c r="BF33" s="362">
        <f t="shared" ca="1" si="25"/>
        <v>10082.241603025503</v>
      </c>
      <c r="BG33" s="362">
        <f t="shared" ca="1" si="25"/>
        <v>13213.549505801528</v>
      </c>
      <c r="BH33" s="362">
        <f t="shared" ca="1" si="25"/>
        <v>13710.13521560043</v>
      </c>
      <c r="BI33" s="362">
        <f t="shared" ca="1" si="25"/>
        <v>5421.6452753228559</v>
      </c>
      <c r="BJ33" s="362">
        <f t="shared" ca="1" si="25"/>
        <v>50288.216988010186</v>
      </c>
      <c r="BK33" s="362">
        <f t="shared" ca="1" si="25"/>
        <v>15475.872903654525</v>
      </c>
      <c r="BL33" s="362">
        <f t="shared" ca="1" si="25"/>
        <v>3831.4219676905486</v>
      </c>
      <c r="BM33" s="362">
        <f t="shared" ca="1" si="7"/>
        <v>0</v>
      </c>
      <c r="BO33" s="360">
        <f t="shared" si="10"/>
        <v>2034</v>
      </c>
      <c r="BP33" s="375">
        <f ca="1">IF(GridFootprintToggle="Yes",EF_PurchElec_MTperMWh*(1-ExposureCalculations!B39),EF_PurchElec_MTperMWh)</f>
        <v>0.71025672512797189</v>
      </c>
      <c r="BT33" s="360">
        <f t="shared" si="11"/>
        <v>2034</v>
      </c>
      <c r="BU33" s="1504">
        <f t="shared" ca="1" si="12"/>
        <v>25553.75358454444</v>
      </c>
      <c r="BV33" s="1504">
        <f t="shared" ca="1" si="13"/>
        <v>16038.421485982864</v>
      </c>
      <c r="BW33" s="1504">
        <f t="shared" ca="1" si="14"/>
        <v>49350.245635725681</v>
      </c>
      <c r="BX33" s="1504">
        <f t="shared" ca="1" si="15"/>
        <v>15175.484037284878</v>
      </c>
      <c r="BY33" s="1504">
        <v>148429.59166861756</v>
      </c>
      <c r="BZ33" s="1504">
        <f t="shared" ca="1" si="16"/>
        <v>0</v>
      </c>
      <c r="CA33" s="1504">
        <f t="shared" ca="1" si="17"/>
        <v>86710.347531049047</v>
      </c>
      <c r="CB33" s="1504">
        <f t="shared" ca="1" si="18"/>
        <v>0</v>
      </c>
      <c r="CC33" s="1504">
        <f t="shared" ca="1" si="8"/>
        <v>148429.59166861756</v>
      </c>
    </row>
    <row r="34" spans="1:81">
      <c r="A34" s="374"/>
      <c r="B34" s="359" t="str">
        <f>IF(A34="","",INDEX(Summary!$D$2:$D$35,MATCH(A34,ListofOptions,0)))</f>
        <v/>
      </c>
      <c r="W34" s="1268">
        <f ca="1">OFFSET(ExposureCalculations!Price_GHG_Allowance_2010,AA34-$AA$9,0)*$W$7</f>
        <v>19.277318478087235</v>
      </c>
      <c r="X34" s="15">
        <f t="shared" ca="1" si="9"/>
        <v>1802325.093974547</v>
      </c>
      <c r="AA34" s="360">
        <f t="shared" si="1"/>
        <v>2035</v>
      </c>
      <c r="AB34" s="362">
        <f ca="1">ExposureCalculations!G41</f>
        <v>344501.87848791596</v>
      </c>
      <c r="AC34" s="362">
        <f t="shared" ca="1" si="19"/>
        <v>99889.308790713025</v>
      </c>
      <c r="AD34" s="362">
        <f t="shared" ca="1" si="2"/>
        <v>99889.308790712996</v>
      </c>
      <c r="AE34" s="362">
        <f t="shared" ca="1" si="3"/>
        <v>93494.595528069534</v>
      </c>
      <c r="AF34" s="362" t="str">
        <f t="shared" ca="1" si="23"/>
        <v/>
      </c>
      <c r="AG34" s="362" t="str">
        <f t="shared" ca="1" si="23"/>
        <v/>
      </c>
      <c r="AH34" s="362" t="str">
        <f t="shared" ca="1" si="23"/>
        <v/>
      </c>
      <c r="AI34" s="362" t="str">
        <f t="shared" ca="1" si="23"/>
        <v/>
      </c>
      <c r="AJ34" s="362" t="str">
        <f t="shared" ca="1" si="23"/>
        <v/>
      </c>
      <c r="AK34" s="362" t="str">
        <f t="shared" ca="1" si="23"/>
        <v/>
      </c>
      <c r="AL34" s="362" t="str">
        <f t="shared" ca="1" si="23"/>
        <v/>
      </c>
      <c r="AM34" s="362" t="str">
        <f t="shared" ca="1" si="23"/>
        <v/>
      </c>
      <c r="AN34" s="362" t="str">
        <f t="shared" ca="1" si="23"/>
        <v/>
      </c>
      <c r="AO34" s="362" t="str">
        <f t="shared" ca="1" si="23"/>
        <v/>
      </c>
      <c r="AP34" s="362" t="str">
        <f t="shared" ca="1" si="24"/>
        <v/>
      </c>
      <c r="AQ34" s="362" t="str">
        <f t="shared" ca="1" si="24"/>
        <v/>
      </c>
      <c r="AR34" s="362" t="str">
        <f t="shared" ca="1" si="24"/>
        <v/>
      </c>
      <c r="AS34" s="362" t="str">
        <f t="shared" ca="1" si="24"/>
        <v/>
      </c>
      <c r="AT34" s="362" t="str">
        <f t="shared" ca="1" si="24"/>
        <v/>
      </c>
      <c r="AU34" s="362" t="str">
        <f t="shared" ca="1" si="24"/>
        <v/>
      </c>
      <c r="AV34" s="362">
        <f t="shared" ca="1" si="24"/>
        <v>497.52640520481702</v>
      </c>
      <c r="AW34" s="362">
        <f t="shared" ca="1" si="24"/>
        <v>1361.6171263411916</v>
      </c>
      <c r="AX34" s="362">
        <f t="shared" ca="1" si="24"/>
        <v>42.106365709288561</v>
      </c>
      <c r="AY34" s="362">
        <f t="shared" ca="1" si="24"/>
        <v>124.43697824242066</v>
      </c>
      <c r="AZ34" s="362">
        <f t="shared" ca="1" si="25"/>
        <v>22094.848842516731</v>
      </c>
      <c r="BA34" s="362">
        <f t="shared" ca="1" si="25"/>
        <v>3956.1490339876577</v>
      </c>
      <c r="BB34" s="362">
        <f t="shared" ca="1" si="25"/>
        <v>209.71974477808931</v>
      </c>
      <c r="BC34" s="362">
        <f t="shared" ca="1" si="25"/>
        <v>1644.9919849094142</v>
      </c>
      <c r="BD34" s="362">
        <f t="shared" ca="1" si="25"/>
        <v>868.59259226087261</v>
      </c>
      <c r="BE34" s="362">
        <f t="shared" ca="1" si="25"/>
        <v>5845.4128478032089</v>
      </c>
      <c r="BF34" s="362">
        <f t="shared" ca="1" si="25"/>
        <v>10082.241603025503</v>
      </c>
      <c r="BG34" s="362">
        <f t="shared" ca="1" si="25"/>
        <v>13213.549505801528</v>
      </c>
      <c r="BH34" s="362">
        <f t="shared" ca="1" si="25"/>
        <v>13710.13521560043</v>
      </c>
      <c r="BI34" s="362">
        <f t="shared" ca="1" si="25"/>
        <v>5421.6452753228559</v>
      </c>
      <c r="BJ34" s="362">
        <f t="shared" ca="1" si="25"/>
        <v>52299.745667530602</v>
      </c>
      <c r="BK34" s="362">
        <f t="shared" ca="1" si="25"/>
        <v>15918.381967598942</v>
      </c>
      <c r="BL34" s="362">
        <f t="shared" ca="1" si="25"/>
        <v>3826.8730124998601</v>
      </c>
      <c r="BM34" s="362">
        <f t="shared" ca="1" si="7"/>
        <v>0</v>
      </c>
      <c r="BO34" s="360">
        <f t="shared" si="10"/>
        <v>2035</v>
      </c>
      <c r="BP34" s="375">
        <f ca="1">IF(GridFootprintToggle="Yes",EF_PurchElec_MTperMWh*(1-ExposureCalculations!B40),EF_PurchElec_MTperMWh)</f>
        <v>0.71025672512797189</v>
      </c>
      <c r="BT34" s="360">
        <f t="shared" si="11"/>
        <v>2035</v>
      </c>
      <c r="BU34" s="1504">
        <f t="shared" ca="1" si="12"/>
        <v>25783.956539353247</v>
      </c>
      <c r="BV34" s="1504">
        <f t="shared" ca="1" si="13"/>
        <v>8940.5775007999619</v>
      </c>
      <c r="BW34" s="1504">
        <f t="shared" ca="1" si="14"/>
        <v>49546.219975481799</v>
      </c>
      <c r="BX34" s="1504">
        <f t="shared" ca="1" si="15"/>
        <v>15188.779589424114</v>
      </c>
      <c r="BY34" s="1504">
        <v>151117.97416913341</v>
      </c>
      <c r="BZ34" s="1504">
        <f t="shared" ca="1" si="16"/>
        <v>0</v>
      </c>
      <c r="CA34" s="1504">
        <f t="shared" ca="1" si="17"/>
        <v>93494.595528069534</v>
      </c>
      <c r="CB34" s="1504">
        <f t="shared" ca="1" si="18"/>
        <v>0</v>
      </c>
      <c r="CC34" s="1504">
        <f t="shared" ca="1" si="8"/>
        <v>151117.97416913341</v>
      </c>
    </row>
    <row r="35" spans="1:81">
      <c r="A35" s="374"/>
      <c r="B35" s="359" t="str">
        <f>IF(A35="","",INDEX(Summary!$D$2:$D$35,MATCH(A35,ListofOptions,0)))</f>
        <v/>
      </c>
      <c r="W35" s="1268">
        <f ca="1">OFFSET(ExposureCalculations!Price_GHG_Allowance_2010,AA35-$AA$9,0)*$W$7</f>
        <v>20.173513596021884</v>
      </c>
      <c r="X35" s="15">
        <f t="shared" ca="1" si="9"/>
        <v>2022949.5700060939</v>
      </c>
      <c r="AA35" s="360">
        <f t="shared" si="1"/>
        <v>2036</v>
      </c>
      <c r="AB35" s="362">
        <f ca="1">ExposureCalculations!G42</f>
        <v>347314.51040823129</v>
      </c>
      <c r="AC35" s="362">
        <f t="shared" ca="1" si="19"/>
        <v>93230.021537998808</v>
      </c>
      <c r="AD35" s="362">
        <f t="shared" ca="1" si="2"/>
        <v>93230.021537998808</v>
      </c>
      <c r="AE35" s="362">
        <f t="shared" ca="1" si="3"/>
        <v>100277.50299308344</v>
      </c>
      <c r="AF35" s="362" t="str">
        <f t="shared" ca="1" si="23"/>
        <v/>
      </c>
      <c r="AG35" s="362" t="str">
        <f t="shared" ca="1" si="23"/>
        <v/>
      </c>
      <c r="AH35" s="362" t="str">
        <f t="shared" ca="1" si="23"/>
        <v/>
      </c>
      <c r="AI35" s="362" t="str">
        <f t="shared" ca="1" si="23"/>
        <v/>
      </c>
      <c r="AJ35" s="362" t="str">
        <f t="shared" ca="1" si="23"/>
        <v/>
      </c>
      <c r="AK35" s="362" t="str">
        <f t="shared" ca="1" si="23"/>
        <v/>
      </c>
      <c r="AL35" s="362" t="str">
        <f t="shared" ca="1" si="23"/>
        <v/>
      </c>
      <c r="AM35" s="362" t="str">
        <f t="shared" ca="1" si="23"/>
        <v/>
      </c>
      <c r="AN35" s="362" t="str">
        <f t="shared" ca="1" si="23"/>
        <v/>
      </c>
      <c r="AO35" s="362" t="str">
        <f t="shared" ca="1" si="23"/>
        <v/>
      </c>
      <c r="AP35" s="362" t="str">
        <f t="shared" ca="1" si="24"/>
        <v/>
      </c>
      <c r="AQ35" s="362" t="str">
        <f t="shared" ca="1" si="24"/>
        <v/>
      </c>
      <c r="AR35" s="362" t="str">
        <f t="shared" ca="1" si="24"/>
        <v/>
      </c>
      <c r="AS35" s="362" t="str">
        <f t="shared" ca="1" si="24"/>
        <v/>
      </c>
      <c r="AT35" s="362" t="str">
        <f t="shared" ca="1" si="24"/>
        <v/>
      </c>
      <c r="AU35" s="362" t="str">
        <f t="shared" ca="1" si="24"/>
        <v/>
      </c>
      <c r="AV35" s="362">
        <f t="shared" ca="1" si="24"/>
        <v>497.52640520481702</v>
      </c>
      <c r="AW35" s="362">
        <f t="shared" ca="1" si="24"/>
        <v>1361.6171263411916</v>
      </c>
      <c r="AX35" s="362">
        <f t="shared" ca="1" si="24"/>
        <v>42.106365709288561</v>
      </c>
      <c r="AY35" s="362">
        <f t="shared" ca="1" si="24"/>
        <v>124.43697824242066</v>
      </c>
      <c r="AZ35" s="362">
        <f t="shared" ca="1" si="25"/>
        <v>22296.772998258981</v>
      </c>
      <c r="BA35" s="362">
        <f t="shared" ca="1" si="25"/>
        <v>3992.3041604323935</v>
      </c>
      <c r="BB35" s="362">
        <f t="shared" ca="1" si="25"/>
        <v>209.87254385060123</v>
      </c>
      <c r="BC35" s="362">
        <f t="shared" ca="1" si="25"/>
        <v>1644.9919849094142</v>
      </c>
      <c r="BD35" s="362">
        <f t="shared" ca="1" si="25"/>
        <v>869.23820872711428</v>
      </c>
      <c r="BE35" s="362">
        <f t="shared" ca="1" si="25"/>
        <v>5845.4128478032089</v>
      </c>
      <c r="BF35" s="362">
        <f t="shared" ca="1" si="25"/>
        <v>10082.241603025503</v>
      </c>
      <c r="BG35" s="362">
        <f t="shared" ca="1" si="25"/>
        <v>13213.549505801528</v>
      </c>
      <c r="BH35" s="362">
        <f t="shared" ca="1" si="25"/>
        <v>13710.13521560043</v>
      </c>
      <c r="BI35" s="362">
        <f t="shared" ca="1" si="25"/>
        <v>5421.6452753228559</v>
      </c>
      <c r="BJ35" s="362">
        <f t="shared" ca="1" si="25"/>
        <v>54311.274347050989</v>
      </c>
      <c r="BK35" s="362">
        <f t="shared" ca="1" si="25"/>
        <v>16361.565129233688</v>
      </c>
      <c r="BL35" s="362">
        <f t="shared" ca="1" si="25"/>
        <v>3822.2951816346049</v>
      </c>
      <c r="BM35" s="362">
        <f t="shared" ca="1" si="7"/>
        <v>0</v>
      </c>
      <c r="BO35" s="360">
        <f t="shared" si="10"/>
        <v>2036</v>
      </c>
      <c r="BP35" s="375">
        <f ca="1">IF(GridFootprintToggle="Yes",EF_PurchElec_MTperMWh*(1-ExposureCalculations!B41),EF_PurchElec_MTperMWh)</f>
        <v>0.71025672512797189</v>
      </c>
      <c r="BT35" s="360">
        <f t="shared" si="11"/>
        <v>2036</v>
      </c>
      <c r="BU35" s="1504">
        <f t="shared" ca="1" si="12"/>
        <v>26014.151175382554</v>
      </c>
      <c r="BV35" s="1504">
        <f t="shared" ca="1" si="13"/>
        <v>1843.4288256079599</v>
      </c>
      <c r="BW35" s="1504">
        <f t="shared" ca="1" si="14"/>
        <v>49741.744702883487</v>
      </c>
      <c r="BX35" s="1504">
        <f t="shared" ca="1" si="15"/>
        <v>15201.819810816407</v>
      </c>
      <c r="BY35" s="1504">
        <v>153806.98587714904</v>
      </c>
      <c r="BZ35" s="1504">
        <f t="shared" ca="1" si="16"/>
        <v>0</v>
      </c>
      <c r="CA35" s="1504">
        <f t="shared" ca="1" si="17"/>
        <v>100277.50299308344</v>
      </c>
      <c r="CB35" s="1504">
        <f t="shared" ca="1" si="18"/>
        <v>0</v>
      </c>
      <c r="CC35" s="1504">
        <f t="shared" ca="1" si="8"/>
        <v>153806.98587714904</v>
      </c>
    </row>
    <row r="36" spans="1:81">
      <c r="B36" s="358"/>
      <c r="W36" s="1268">
        <f ca="1">OFFSET(ExposureCalculations!Price_GHG_Allowance_2010,AA36-$AA$9,0)*$W$7</f>
        <v>21.049512147244037</v>
      </c>
      <c r="X36" s="15">
        <f t="shared" ca="1" si="9"/>
        <v>2253542.3640044406</v>
      </c>
      <c r="AA36" s="360">
        <f t="shared" si="1"/>
        <v>2037</v>
      </c>
      <c r="AB36" s="362">
        <f ca="1">ExposureCalculations!G43</f>
        <v>350126.47017745476</v>
      </c>
      <c r="AC36" s="362">
        <f t="shared" ca="1" si="19"/>
        <v>86570.73428528459</v>
      </c>
      <c r="AD36" s="362">
        <f t="shared" ca="1" si="2"/>
        <v>86570.73428528459</v>
      </c>
      <c r="AE36" s="362">
        <f t="shared" ca="1" si="3"/>
        <v>107059.12556265545</v>
      </c>
      <c r="AF36" s="362" t="str">
        <f t="shared" ca="1" si="23"/>
        <v/>
      </c>
      <c r="AG36" s="362" t="str">
        <f t="shared" ca="1" si="23"/>
        <v/>
      </c>
      <c r="AH36" s="362" t="str">
        <f t="shared" ca="1" si="23"/>
        <v/>
      </c>
      <c r="AI36" s="362" t="str">
        <f t="shared" ca="1" si="23"/>
        <v/>
      </c>
      <c r="AJ36" s="362" t="str">
        <f t="shared" ca="1" si="23"/>
        <v/>
      </c>
      <c r="AK36" s="362" t="str">
        <f t="shared" ca="1" si="23"/>
        <v/>
      </c>
      <c r="AL36" s="362" t="str">
        <f t="shared" ca="1" si="23"/>
        <v/>
      </c>
      <c r="AM36" s="362" t="str">
        <f t="shared" ca="1" si="23"/>
        <v/>
      </c>
      <c r="AN36" s="362" t="str">
        <f t="shared" ca="1" si="23"/>
        <v/>
      </c>
      <c r="AO36" s="362" t="str">
        <f t="shared" ca="1" si="23"/>
        <v/>
      </c>
      <c r="AP36" s="362" t="str">
        <f t="shared" ca="1" si="24"/>
        <v/>
      </c>
      <c r="AQ36" s="362" t="str">
        <f t="shared" ca="1" si="24"/>
        <v/>
      </c>
      <c r="AR36" s="362" t="str">
        <f t="shared" ca="1" si="24"/>
        <v/>
      </c>
      <c r="AS36" s="362" t="str">
        <f t="shared" ca="1" si="24"/>
        <v/>
      </c>
      <c r="AT36" s="362" t="str">
        <f t="shared" ca="1" si="24"/>
        <v/>
      </c>
      <c r="AU36" s="362" t="str">
        <f t="shared" ca="1" si="24"/>
        <v/>
      </c>
      <c r="AV36" s="362">
        <f t="shared" ca="1" si="24"/>
        <v>497.52640520481702</v>
      </c>
      <c r="AW36" s="362">
        <f t="shared" ca="1" si="24"/>
        <v>1361.6171263411916</v>
      </c>
      <c r="AX36" s="362">
        <f t="shared" ca="1" si="24"/>
        <v>42.106365709288561</v>
      </c>
      <c r="AY36" s="362">
        <f t="shared" ca="1" si="24"/>
        <v>124.43697824242066</v>
      </c>
      <c r="AZ36" s="362">
        <f t="shared" ca="1" si="25"/>
        <v>22498.697154001231</v>
      </c>
      <c r="BA36" s="362">
        <f t="shared" ca="1" si="25"/>
        <v>4028.4592868771292</v>
      </c>
      <c r="BB36" s="362">
        <f t="shared" ca="1" si="25"/>
        <v>210.02253855547011</v>
      </c>
      <c r="BC36" s="362">
        <f t="shared" ca="1" si="25"/>
        <v>1644.9919849094142</v>
      </c>
      <c r="BD36" s="362">
        <f t="shared" ca="1" si="25"/>
        <v>869.8715243561503</v>
      </c>
      <c r="BE36" s="362">
        <f t="shared" ca="1" si="25"/>
        <v>5845.4128478032089</v>
      </c>
      <c r="BF36" s="362">
        <f t="shared" ca="1" si="25"/>
        <v>10082.241603025503</v>
      </c>
      <c r="BG36" s="362">
        <f t="shared" ca="1" si="25"/>
        <v>13213.549505801528</v>
      </c>
      <c r="BH36" s="362">
        <f t="shared" ca="1" si="25"/>
        <v>13710.13521560043</v>
      </c>
      <c r="BI36" s="362">
        <f t="shared" ca="1" si="25"/>
        <v>5421.6452753228559</v>
      </c>
      <c r="BJ36" s="362">
        <f t="shared" ca="1" si="25"/>
        <v>56322.803026571382</v>
      </c>
      <c r="BK36" s="362">
        <f t="shared" ca="1" si="25"/>
        <v>16805.404238626754</v>
      </c>
      <c r="BL36" s="362">
        <f t="shared" ca="1" si="25"/>
        <v>3817.6892525659619</v>
      </c>
      <c r="BM36" s="362">
        <f t="shared" ca="1" si="7"/>
        <v>0</v>
      </c>
      <c r="BO36" s="360">
        <f t="shared" si="10"/>
        <v>2037</v>
      </c>
      <c r="BP36" s="375">
        <f ca="1">IF(GridFootprintToggle="Yes",EF_PurchElec_MTperMWh*(1-ExposureCalculations!B42),EF_PurchElec_MTperMWh)</f>
        <v>0.71025672512797189</v>
      </c>
      <c r="BT36" s="360">
        <f t="shared" si="11"/>
        <v>2037</v>
      </c>
      <c r="BU36" s="1504">
        <f t="shared" ca="1" si="12"/>
        <v>26244.337950745237</v>
      </c>
      <c r="BV36" s="1504">
        <f t="shared" ca="1" si="13"/>
        <v>0</v>
      </c>
      <c r="BW36" s="1504">
        <f t="shared" ca="1" si="14"/>
        <v>44683.781774261777</v>
      </c>
      <c r="BX36" s="1504">
        <f t="shared" ca="1" si="15"/>
        <v>15214.61876342641</v>
      </c>
      <c r="BY36" s="1504">
        <v>156496.61032951472</v>
      </c>
      <c r="BZ36" s="1504">
        <f t="shared" ca="1" si="16"/>
        <v>5253.062803697132</v>
      </c>
      <c r="CA36" s="1504">
        <f t="shared" ca="1" si="17"/>
        <v>101806.06275895832</v>
      </c>
      <c r="CB36" s="1504">
        <f t="shared" ca="1" si="18"/>
        <v>0</v>
      </c>
      <c r="CC36" s="1504">
        <f t="shared" ca="1" si="8"/>
        <v>156496.61032951472</v>
      </c>
    </row>
    <row r="37" spans="1:81">
      <c r="W37" s="1268">
        <f ca="1">OFFSET(ExposureCalculations!Price_GHG_Allowance_2010,AA37-$AA$9,0)*$W$7</f>
        <v>21.903074148900128</v>
      </c>
      <c r="X37" s="15">
        <f t="shared" ca="1" si="9"/>
        <v>2493435.335261262</v>
      </c>
      <c r="AA37" s="360">
        <f t="shared" si="1"/>
        <v>2038</v>
      </c>
      <c r="AB37" s="362">
        <f ca="1">ExposureCalculations!G44</f>
        <v>352937.79350031726</v>
      </c>
      <c r="AC37" s="362">
        <f t="shared" ca="1" si="19"/>
        <v>79911.447032570373</v>
      </c>
      <c r="AD37" s="362">
        <f t="shared" ca="1" si="2"/>
        <v>79911.447032570373</v>
      </c>
      <c r="AE37" s="362">
        <f t="shared" ca="1" si="3"/>
        <v>113839.51486949017</v>
      </c>
      <c r="AF37" s="362" t="str">
        <f t="shared" ca="1" si="23"/>
        <v/>
      </c>
      <c r="AG37" s="362" t="str">
        <f t="shared" ca="1" si="23"/>
        <v/>
      </c>
      <c r="AH37" s="362" t="str">
        <f t="shared" ca="1" si="23"/>
        <v/>
      </c>
      <c r="AI37" s="362" t="str">
        <f t="shared" ca="1" si="23"/>
        <v/>
      </c>
      <c r="AJ37" s="362" t="str">
        <f t="shared" ca="1" si="23"/>
        <v/>
      </c>
      <c r="AK37" s="362" t="str">
        <f t="shared" ca="1" si="23"/>
        <v/>
      </c>
      <c r="AL37" s="362" t="str">
        <f t="shared" ca="1" si="23"/>
        <v/>
      </c>
      <c r="AM37" s="362" t="str">
        <f t="shared" ca="1" si="23"/>
        <v/>
      </c>
      <c r="AN37" s="362" t="str">
        <f t="shared" ca="1" si="23"/>
        <v/>
      </c>
      <c r="AO37" s="362" t="str">
        <f t="shared" ca="1" si="23"/>
        <v/>
      </c>
      <c r="AP37" s="362" t="str">
        <f t="shared" ca="1" si="24"/>
        <v/>
      </c>
      <c r="AQ37" s="362" t="str">
        <f t="shared" ca="1" si="24"/>
        <v/>
      </c>
      <c r="AR37" s="362" t="str">
        <f t="shared" ca="1" si="24"/>
        <v/>
      </c>
      <c r="AS37" s="362" t="str">
        <f t="shared" ca="1" si="24"/>
        <v/>
      </c>
      <c r="AT37" s="362" t="str">
        <f t="shared" ca="1" si="24"/>
        <v/>
      </c>
      <c r="AU37" s="362" t="str">
        <f t="shared" ca="1" si="24"/>
        <v/>
      </c>
      <c r="AV37" s="362">
        <f t="shared" ca="1" si="24"/>
        <v>497.52640520481702</v>
      </c>
      <c r="AW37" s="362">
        <f t="shared" ca="1" si="24"/>
        <v>1361.6171263411916</v>
      </c>
      <c r="AX37" s="362">
        <f t="shared" ca="1" si="24"/>
        <v>42.106365709288561</v>
      </c>
      <c r="AY37" s="362">
        <f t="shared" ca="1" si="24"/>
        <v>124.43697824242066</v>
      </c>
      <c r="AZ37" s="362">
        <f t="shared" ca="1" si="25"/>
        <v>22700.621309743496</v>
      </c>
      <c r="BA37" s="362">
        <f t="shared" ca="1" si="25"/>
        <v>4064.6144133218636</v>
      </c>
      <c r="BB37" s="362">
        <f t="shared" ca="1" si="25"/>
        <v>210.16987785714261</v>
      </c>
      <c r="BC37" s="362">
        <f t="shared" ca="1" si="25"/>
        <v>1644.9919849094142</v>
      </c>
      <c r="BD37" s="362">
        <f t="shared" ca="1" si="25"/>
        <v>870.49321655168853</v>
      </c>
      <c r="BE37" s="362">
        <f t="shared" ca="1" si="25"/>
        <v>5845.4128478032089</v>
      </c>
      <c r="BF37" s="362">
        <f t="shared" ca="1" si="25"/>
        <v>10082.241603025503</v>
      </c>
      <c r="BG37" s="362">
        <f t="shared" ca="1" si="25"/>
        <v>13213.549505801528</v>
      </c>
      <c r="BH37" s="362">
        <f t="shared" ca="1" si="25"/>
        <v>13710.13521560043</v>
      </c>
      <c r="BI37" s="362">
        <f t="shared" ca="1" si="25"/>
        <v>5421.6452753228559</v>
      </c>
      <c r="BJ37" s="362">
        <f t="shared" ca="1" si="25"/>
        <v>58334.331706091805</v>
      </c>
      <c r="BK37" s="362">
        <f t="shared" ca="1" si="25"/>
        <v>17249.881791627668</v>
      </c>
      <c r="BL37" s="362">
        <f t="shared" ca="1" si="25"/>
        <v>3813.0559751023975</v>
      </c>
      <c r="BM37" s="362">
        <f t="shared" ca="1" si="7"/>
        <v>0</v>
      </c>
      <c r="BO37" s="360">
        <f t="shared" si="10"/>
        <v>2038</v>
      </c>
      <c r="BP37" s="375">
        <f ca="1">IF(GridFootprintToggle="Yes",EF_PurchElec_MTperMWh*(1-ExposureCalculations!B43),EF_PurchElec_MTperMWh)</f>
        <v>0.71025672512797189</v>
      </c>
      <c r="BT37" s="360">
        <f t="shared" si="11"/>
        <v>2038</v>
      </c>
      <c r="BU37" s="1504">
        <f t="shared" ca="1" si="12"/>
        <v>26474.517282989938</v>
      </c>
      <c r="BV37" s="1504">
        <f t="shared" ca="1" si="13"/>
        <v>0</v>
      </c>
      <c r="BW37" s="1504">
        <f t="shared" ca="1" si="14"/>
        <v>37782.609902846038</v>
      </c>
      <c r="BX37" s="1504">
        <f t="shared" ca="1" si="15"/>
        <v>15227.189264064065</v>
      </c>
      <c r="BY37" s="1504">
        <v>159186.83159825671</v>
      </c>
      <c r="BZ37" s="1504">
        <f t="shared" ca="1" si="16"/>
        <v>12348.932265477895</v>
      </c>
      <c r="CA37" s="1504">
        <f t="shared" ca="1" si="17"/>
        <v>101490.58260401228</v>
      </c>
      <c r="CB37" s="1504">
        <f t="shared" ca="1" si="18"/>
        <v>0</v>
      </c>
      <c r="CC37" s="1504">
        <f t="shared" ca="1" si="8"/>
        <v>159186.83159825671</v>
      </c>
    </row>
    <row r="38" spans="1:81">
      <c r="W38" s="1268">
        <f ca="1">OFFSET(ExposureCalculations!Price_GHG_Allowance_2010,AA38-$AA$9,0)*$W$7</f>
        <v>22.732543115309429</v>
      </c>
      <c r="X38" s="15">
        <f t="shared" ca="1" si="9"/>
        <v>2741970.2296081907</v>
      </c>
      <c r="AA38" s="360">
        <f t="shared" si="1"/>
        <v>2039</v>
      </c>
      <c r="AB38" s="362">
        <f ca="1">ExposureCalculations!G45</f>
        <v>355748.51302821358</v>
      </c>
      <c r="AC38" s="362">
        <f t="shared" ca="1" si="19"/>
        <v>73252.159779856156</v>
      </c>
      <c r="AD38" s="362">
        <f t="shared" ca="1" si="2"/>
        <v>73252.159779856214</v>
      </c>
      <c r="AE38" s="362">
        <f t="shared" ca="1" si="3"/>
        <v>120618.71897480695</v>
      </c>
      <c r="AF38" s="362" t="str">
        <f t="shared" ca="1" si="23"/>
        <v/>
      </c>
      <c r="AG38" s="362" t="str">
        <f t="shared" ca="1" si="23"/>
        <v/>
      </c>
      <c r="AH38" s="362" t="str">
        <f t="shared" ca="1" si="23"/>
        <v/>
      </c>
      <c r="AI38" s="362" t="str">
        <f t="shared" ca="1" si="23"/>
        <v/>
      </c>
      <c r="AJ38" s="362" t="str">
        <f t="shared" ca="1" si="23"/>
        <v/>
      </c>
      <c r="AK38" s="362" t="str">
        <f t="shared" ca="1" si="23"/>
        <v/>
      </c>
      <c r="AL38" s="362" t="str">
        <f t="shared" ca="1" si="23"/>
        <v/>
      </c>
      <c r="AM38" s="362" t="str">
        <f t="shared" ca="1" si="23"/>
        <v/>
      </c>
      <c r="AN38" s="362" t="str">
        <f t="shared" ca="1" si="23"/>
        <v/>
      </c>
      <c r="AO38" s="362" t="str">
        <f t="shared" ca="1" si="23"/>
        <v/>
      </c>
      <c r="AP38" s="362" t="str">
        <f t="shared" ca="1" si="24"/>
        <v/>
      </c>
      <c r="AQ38" s="362" t="str">
        <f t="shared" ca="1" si="24"/>
        <v/>
      </c>
      <c r="AR38" s="362" t="str">
        <f t="shared" ca="1" si="24"/>
        <v/>
      </c>
      <c r="AS38" s="362" t="str">
        <f t="shared" ca="1" si="24"/>
        <v/>
      </c>
      <c r="AT38" s="362" t="str">
        <f t="shared" ca="1" si="24"/>
        <v/>
      </c>
      <c r="AU38" s="362" t="str">
        <f t="shared" ca="1" si="24"/>
        <v/>
      </c>
      <c r="AV38" s="362">
        <f t="shared" ca="1" si="24"/>
        <v>497.52640520481702</v>
      </c>
      <c r="AW38" s="362">
        <f t="shared" ca="1" si="24"/>
        <v>1361.6171263411916</v>
      </c>
      <c r="AX38" s="362">
        <f t="shared" ca="1" si="24"/>
        <v>42.106365709288561</v>
      </c>
      <c r="AY38" s="362">
        <f t="shared" ca="1" si="24"/>
        <v>124.43697824242066</v>
      </c>
      <c r="AZ38" s="362">
        <f t="shared" ca="1" si="25"/>
        <v>22902.545465485746</v>
      </c>
      <c r="BA38" s="362">
        <f t="shared" ca="1" si="25"/>
        <v>4100.7695397665984</v>
      </c>
      <c r="BB38" s="362">
        <f t="shared" ca="1" si="25"/>
        <v>210.31469798124689</v>
      </c>
      <c r="BC38" s="362">
        <f t="shared" ca="1" si="25"/>
        <v>1644.9919849094142</v>
      </c>
      <c r="BD38" s="362">
        <f t="shared" ca="1" si="25"/>
        <v>871.10390273575013</v>
      </c>
      <c r="BE38" s="362">
        <f t="shared" ca="1" si="25"/>
        <v>5845.4128478032089</v>
      </c>
      <c r="BF38" s="362">
        <f t="shared" ca="1" si="25"/>
        <v>10082.241603025503</v>
      </c>
      <c r="BG38" s="362">
        <f t="shared" ca="1" si="25"/>
        <v>13213.549505801528</v>
      </c>
      <c r="BH38" s="362">
        <f t="shared" ca="1" si="25"/>
        <v>13710.13521560043</v>
      </c>
      <c r="BI38" s="362">
        <f t="shared" ca="1" si="25"/>
        <v>5421.6452753228559</v>
      </c>
      <c r="BJ38" s="362">
        <f t="shared" ca="1" si="25"/>
        <v>60345.860385612221</v>
      </c>
      <c r="BK38" s="362">
        <f t="shared" ca="1" si="25"/>
        <v>17694.980901399122</v>
      </c>
      <c r="BL38" s="362">
        <f t="shared" ca="1" si="25"/>
        <v>3808.39607260912</v>
      </c>
      <c r="BM38" s="362">
        <f t="shared" ca="1" si="7"/>
        <v>0</v>
      </c>
      <c r="BO38" s="360">
        <f t="shared" si="10"/>
        <v>2039</v>
      </c>
      <c r="BP38" s="375">
        <f ca="1">IF(GridFootprintToggle="Yes",EF_PurchElec_MTperMWh*(1-ExposureCalculations!B44),EF_PurchElec_MTperMWh)</f>
        <v>0.71025672512797189</v>
      </c>
      <c r="BT38" s="360">
        <f t="shared" si="11"/>
        <v>2039</v>
      </c>
      <c r="BU38" s="1504">
        <f t="shared" ca="1" si="12"/>
        <v>26704.689553958251</v>
      </c>
      <c r="BV38" s="1504">
        <f t="shared" ca="1" si="13"/>
        <v>0</v>
      </c>
      <c r="BW38" s="1504">
        <f t="shared" ca="1" si="14"/>
        <v>30881.646654224431</v>
      </c>
      <c r="BX38" s="1504">
        <f t="shared" ca="1" si="15"/>
        <v>15239.543033482882</v>
      </c>
      <c r="BY38" s="1504">
        <v>161877.63427355047</v>
      </c>
      <c r="BZ38" s="1504">
        <f t="shared" ca="1" si="16"/>
        <v>19444.21145748152</v>
      </c>
      <c r="CA38" s="1504">
        <f t="shared" ca="1" si="17"/>
        <v>101174.50751732543</v>
      </c>
      <c r="CB38" s="1504">
        <f t="shared" ca="1" si="18"/>
        <v>0</v>
      </c>
      <c r="CC38" s="1504">
        <f t="shared" ca="1" si="8"/>
        <v>161877.63427355047</v>
      </c>
    </row>
    <row r="39" spans="1:81">
      <c r="W39" s="1268">
        <f ca="1">OFFSET(ExposureCalculations!Price_GHG_Allowance_2010,AA39-$AA$9,0)*$W$7</f>
        <v>23.597103002738379</v>
      </c>
      <c r="X39" s="15">
        <f t="shared" ca="1" si="9"/>
        <v>3006195.0045099682</v>
      </c>
      <c r="AA39" s="360">
        <f t="shared" si="1"/>
        <v>2040</v>
      </c>
      <c r="AB39" s="362">
        <f ca="1">ExposureCalculations!G46</f>
        <v>358558.65871271305</v>
      </c>
      <c r="AC39" s="362">
        <f t="shared" ca="1" si="19"/>
        <v>66592.872527141939</v>
      </c>
      <c r="AD39" s="362">
        <f t="shared" ca="1" si="2"/>
        <v>66592.872527141939</v>
      </c>
      <c r="AE39" s="362">
        <f t="shared" ca="1" si="3"/>
        <v>127396.78273901282</v>
      </c>
      <c r="AF39" s="362" t="str">
        <f t="shared" ref="AF39:AO49" ca="1" si="26">IFERROR(-HLOOKUP(AF$3,GHGSavings,$AA39-$AA$9+2,FALSE),"")</f>
        <v/>
      </c>
      <c r="AG39" s="362" t="str">
        <f t="shared" ca="1" si="26"/>
        <v/>
      </c>
      <c r="AH39" s="362" t="str">
        <f t="shared" ca="1" si="26"/>
        <v/>
      </c>
      <c r="AI39" s="362" t="str">
        <f t="shared" ca="1" si="26"/>
        <v/>
      </c>
      <c r="AJ39" s="362" t="str">
        <f t="shared" ca="1" si="26"/>
        <v/>
      </c>
      <c r="AK39" s="362" t="str">
        <f t="shared" ca="1" si="26"/>
        <v/>
      </c>
      <c r="AL39" s="362" t="str">
        <f t="shared" ca="1" si="26"/>
        <v/>
      </c>
      <c r="AM39" s="362" t="str">
        <f t="shared" ca="1" si="26"/>
        <v/>
      </c>
      <c r="AN39" s="362" t="str">
        <f t="shared" ca="1" si="26"/>
        <v/>
      </c>
      <c r="AO39" s="362" t="str">
        <f t="shared" ca="1" si="26"/>
        <v/>
      </c>
      <c r="AP39" s="362" t="str">
        <f t="shared" ref="AP39:AY49" ca="1" si="27">IFERROR(-HLOOKUP(AP$3,GHGSavings,$AA39-$AA$9+2,FALSE),"")</f>
        <v/>
      </c>
      <c r="AQ39" s="362" t="str">
        <f t="shared" ca="1" si="27"/>
        <v/>
      </c>
      <c r="AR39" s="362" t="str">
        <f t="shared" ca="1" si="27"/>
        <v/>
      </c>
      <c r="AS39" s="362" t="str">
        <f t="shared" ca="1" si="27"/>
        <v/>
      </c>
      <c r="AT39" s="362" t="str">
        <f t="shared" ca="1" si="27"/>
        <v/>
      </c>
      <c r="AU39" s="362" t="str">
        <f t="shared" ca="1" si="27"/>
        <v/>
      </c>
      <c r="AV39" s="362">
        <f t="shared" ca="1" si="27"/>
        <v>497.52640520481702</v>
      </c>
      <c r="AW39" s="362">
        <f t="shared" ca="1" si="27"/>
        <v>1361.6171263411916</v>
      </c>
      <c r="AX39" s="362">
        <f t="shared" ca="1" si="27"/>
        <v>42.106365709288561</v>
      </c>
      <c r="AY39" s="362">
        <f t="shared" ca="1" si="27"/>
        <v>124.43697824242066</v>
      </c>
      <c r="AZ39" s="362">
        <f t="shared" ref="AZ39:BL49" ca="1" si="28">IFERROR(-HLOOKUP(AZ$3,GHGSavings,$AA39-$AA$9+2,FALSE),"")</f>
        <v>23104.469621227996</v>
      </c>
      <c r="BA39" s="362">
        <f t="shared" ca="1" si="28"/>
        <v>4136.9246662113328</v>
      </c>
      <c r="BB39" s="362">
        <f t="shared" ca="1" si="28"/>
        <v>210.45712388946993</v>
      </c>
      <c r="BC39" s="362">
        <f t="shared" ca="1" si="28"/>
        <v>1644.9919849094142</v>
      </c>
      <c r="BD39" s="362">
        <f t="shared" ca="1" si="28"/>
        <v>871.70414753099931</v>
      </c>
      <c r="BE39" s="362">
        <f t="shared" ca="1" si="28"/>
        <v>5845.4128478032089</v>
      </c>
      <c r="BF39" s="362">
        <f t="shared" ca="1" si="28"/>
        <v>10082.241603025503</v>
      </c>
      <c r="BG39" s="362">
        <f t="shared" ca="1" si="28"/>
        <v>13213.549505801528</v>
      </c>
      <c r="BH39" s="362">
        <f t="shared" ca="1" si="28"/>
        <v>13710.13521560043</v>
      </c>
      <c r="BI39" s="362">
        <f t="shared" ca="1" si="28"/>
        <v>5421.6452753228559</v>
      </c>
      <c r="BJ39" s="362">
        <f t="shared" ca="1" si="28"/>
        <v>62357.389065132607</v>
      </c>
      <c r="BK39" s="362">
        <f t="shared" ca="1" si="28"/>
        <v>18140.685271441605</v>
      </c>
      <c r="BL39" s="362">
        <f t="shared" ca="1" si="28"/>
        <v>3803.7102431636122</v>
      </c>
      <c r="BM39" s="362">
        <f t="shared" ca="1" si="7"/>
        <v>0</v>
      </c>
      <c r="BO39" s="360">
        <f t="shared" si="10"/>
        <v>2040</v>
      </c>
      <c r="BP39" s="375">
        <f ca="1">IF(GridFootprintToggle="Yes",EF_PurchElec_MTperMWh*(1-ExposureCalculations!B45),EF_PurchElec_MTperMWh)</f>
        <v>0.71025672512797189</v>
      </c>
      <c r="BT39" s="360">
        <f t="shared" si="11"/>
        <v>2040</v>
      </c>
      <c r="BU39" s="1504">
        <f t="shared" ca="1" si="12"/>
        <v>26934.85511391886</v>
      </c>
      <c r="BV39" s="1504">
        <f t="shared" ca="1" si="13"/>
        <v>0</v>
      </c>
      <c r="BW39" s="1504">
        <f t="shared" ca="1" si="14"/>
        <v>23980.881697689918</v>
      </c>
      <c r="BX39" s="1504">
        <f t="shared" ca="1" si="15"/>
        <v>15251.690823280158</v>
      </c>
      <c r="BY39" s="1504">
        <v>164569.00344655829</v>
      </c>
      <c r="BZ39" s="1504">
        <f t="shared" ca="1" si="16"/>
        <v>26538.929641693074</v>
      </c>
      <c r="CA39" s="1504">
        <f t="shared" ca="1" si="17"/>
        <v>100857.85309731975</v>
      </c>
      <c r="CB39" s="1504">
        <f t="shared" ca="1" si="18"/>
        <v>0</v>
      </c>
      <c r="CC39" s="1504">
        <f t="shared" ca="1" si="8"/>
        <v>164569.00344655829</v>
      </c>
    </row>
    <row r="40" spans="1:81">
      <c r="W40" s="1268">
        <f ca="1">OFFSET(ExposureCalculations!Price_GHG_Allowance_2010,AA40-$AA$9,0)*$W$7</f>
        <v>24.414351179423203</v>
      </c>
      <c r="X40" s="15">
        <f t="shared" ca="1" si="9"/>
        <v>3275765.0061829174</v>
      </c>
      <c r="AA40" s="360">
        <f t="shared" si="1"/>
        <v>2041</v>
      </c>
      <c r="AB40" s="362">
        <f ca="1">ExposureCalculations!G47</f>
        <v>361368.25810812588</v>
      </c>
      <c r="AC40" s="362">
        <f t="shared" ca="1" si="19"/>
        <v>59933.585274427729</v>
      </c>
      <c r="AD40" s="362">
        <f t="shared" ca="1" si="2"/>
        <v>59933.58527442778</v>
      </c>
      <c r="AE40" s="362">
        <f t="shared" ca="1" si="3"/>
        <v>134173.74814137118</v>
      </c>
      <c r="AF40" s="362" t="str">
        <f t="shared" ca="1" si="26"/>
        <v/>
      </c>
      <c r="AG40" s="362" t="str">
        <f t="shared" ca="1" si="26"/>
        <v/>
      </c>
      <c r="AH40" s="362" t="str">
        <f t="shared" ca="1" si="26"/>
        <v/>
      </c>
      <c r="AI40" s="362" t="str">
        <f t="shared" ca="1" si="26"/>
        <v/>
      </c>
      <c r="AJ40" s="362" t="str">
        <f t="shared" ca="1" si="26"/>
        <v/>
      </c>
      <c r="AK40" s="362" t="str">
        <f t="shared" ca="1" si="26"/>
        <v/>
      </c>
      <c r="AL40" s="362" t="str">
        <f t="shared" ca="1" si="26"/>
        <v/>
      </c>
      <c r="AM40" s="362" t="str">
        <f t="shared" ca="1" si="26"/>
        <v/>
      </c>
      <c r="AN40" s="362" t="str">
        <f t="shared" ca="1" si="26"/>
        <v/>
      </c>
      <c r="AO40" s="362" t="str">
        <f t="shared" ca="1" si="26"/>
        <v/>
      </c>
      <c r="AP40" s="362" t="str">
        <f t="shared" ca="1" si="27"/>
        <v/>
      </c>
      <c r="AQ40" s="362" t="str">
        <f t="shared" ca="1" si="27"/>
        <v/>
      </c>
      <c r="AR40" s="362" t="str">
        <f t="shared" ca="1" si="27"/>
        <v/>
      </c>
      <c r="AS40" s="362" t="str">
        <f t="shared" ca="1" si="27"/>
        <v/>
      </c>
      <c r="AT40" s="362" t="str">
        <f t="shared" ca="1" si="27"/>
        <v/>
      </c>
      <c r="AU40" s="362" t="str">
        <f t="shared" ca="1" si="27"/>
        <v/>
      </c>
      <c r="AV40" s="362">
        <f t="shared" ca="1" si="27"/>
        <v>497.52640520481702</v>
      </c>
      <c r="AW40" s="362">
        <f t="shared" ca="1" si="27"/>
        <v>1361.6171263411916</v>
      </c>
      <c r="AX40" s="362">
        <f t="shared" ca="1" si="27"/>
        <v>42.106365709288561</v>
      </c>
      <c r="AY40" s="362">
        <f t="shared" ca="1" si="27"/>
        <v>124.43697824242066</v>
      </c>
      <c r="AZ40" s="362">
        <f t="shared" ca="1" si="28"/>
        <v>23306.393776970261</v>
      </c>
      <c r="BA40" s="362">
        <f t="shared" ca="1" si="28"/>
        <v>4173.0797926560681</v>
      </c>
      <c r="BB40" s="362">
        <f t="shared" ca="1" si="28"/>
        <v>210.59727054189074</v>
      </c>
      <c r="BC40" s="362">
        <f t="shared" ca="1" si="28"/>
        <v>1644.9919849094142</v>
      </c>
      <c r="BD40" s="362">
        <f t="shared" ca="1" si="28"/>
        <v>872.29446887375661</v>
      </c>
      <c r="BE40" s="362">
        <f t="shared" ca="1" si="28"/>
        <v>5845.4128478032089</v>
      </c>
      <c r="BF40" s="362">
        <f t="shared" ca="1" si="28"/>
        <v>10082.241603025503</v>
      </c>
      <c r="BG40" s="362">
        <f t="shared" ca="1" si="28"/>
        <v>13213.549505801528</v>
      </c>
      <c r="BH40" s="362">
        <f t="shared" ca="1" si="28"/>
        <v>13710.13521560043</v>
      </c>
      <c r="BI40" s="362">
        <f t="shared" ca="1" si="28"/>
        <v>5421.6452753228559</v>
      </c>
      <c r="BJ40" s="362">
        <f t="shared" ca="1" si="28"/>
        <v>64368.91774465303</v>
      </c>
      <c r="BK40" s="362">
        <f t="shared" ca="1" si="28"/>
        <v>18586.97917002024</v>
      </c>
      <c r="BL40" s="362">
        <f t="shared" ca="1" si="28"/>
        <v>3798.9991606510753</v>
      </c>
      <c r="BM40" s="362">
        <f t="shared" ca="1" si="7"/>
        <v>0</v>
      </c>
      <c r="BO40" s="360">
        <f t="shared" si="10"/>
        <v>2041</v>
      </c>
      <c r="BP40" s="375">
        <f ca="1">IF(GridFootprintToggle="Yes",EF_PurchElec_MTperMWh*(1-ExposureCalculations!B46),EF_PurchElec_MTperMWh)</f>
        <v>0.71025672512797189</v>
      </c>
      <c r="BT40" s="360">
        <f t="shared" si="11"/>
        <v>2041</v>
      </c>
      <c r="BU40" s="1504">
        <f t="shared" ca="1" si="12"/>
        <v>27165.014285105874</v>
      </c>
      <c r="BV40" s="1504">
        <f t="shared" ca="1" si="13"/>
        <v>0</v>
      </c>
      <c r="BW40" s="1504">
        <f t="shared" ca="1" si="14"/>
        <v>17080.305527896686</v>
      </c>
      <c r="BX40" s="1504">
        <f t="shared" ca="1" si="15"/>
        <v>15263.642524509611</v>
      </c>
      <c r="BY40" s="1504">
        <v>167260.92469232698</v>
      </c>
      <c r="BZ40" s="1504">
        <f t="shared" ca="1" si="16"/>
        <v>33633.113739526132</v>
      </c>
      <c r="CA40" s="1504">
        <f t="shared" ca="1" si="17"/>
        <v>100540.63440184505</v>
      </c>
      <c r="CB40" s="1504">
        <f t="shared" ca="1" si="18"/>
        <v>0</v>
      </c>
      <c r="CC40" s="1504">
        <f t="shared" ca="1" si="8"/>
        <v>167260.92469232698</v>
      </c>
    </row>
    <row r="41" spans="1:81">
      <c r="W41" s="1268">
        <f ca="1">OFFSET(ExposureCalculations!Price_GHG_Allowance_2010,AA41-$AA$9,0)*$W$7</f>
        <v>25.178710651840039</v>
      </c>
      <c r="X41" s="15">
        <f t="shared" ca="1" si="9"/>
        <v>3548930.5685729655</v>
      </c>
      <c r="AA41" s="360">
        <f t="shared" si="1"/>
        <v>2042</v>
      </c>
      <c r="AB41" s="362">
        <f ca="1">ExposureCalculations!G48</f>
        <v>364177.33663181978</v>
      </c>
      <c r="AC41" s="362">
        <f t="shared" ca="1" si="19"/>
        <v>53274.298021713519</v>
      </c>
      <c r="AD41" s="362">
        <f t="shared" ca="1" si="2"/>
        <v>53274.298021713621</v>
      </c>
      <c r="AE41" s="362">
        <f t="shared" ca="1" si="3"/>
        <v>140949.65455721668</v>
      </c>
      <c r="AF41" s="362" t="str">
        <f t="shared" ca="1" si="26"/>
        <v/>
      </c>
      <c r="AG41" s="362" t="str">
        <f t="shared" ca="1" si="26"/>
        <v/>
      </c>
      <c r="AH41" s="362" t="str">
        <f t="shared" ca="1" si="26"/>
        <v/>
      </c>
      <c r="AI41" s="362" t="str">
        <f t="shared" ca="1" si="26"/>
        <v/>
      </c>
      <c r="AJ41" s="362" t="str">
        <f t="shared" ca="1" si="26"/>
        <v/>
      </c>
      <c r="AK41" s="362" t="str">
        <f t="shared" ca="1" si="26"/>
        <v/>
      </c>
      <c r="AL41" s="362" t="str">
        <f t="shared" ca="1" si="26"/>
        <v/>
      </c>
      <c r="AM41" s="362" t="str">
        <f t="shared" ca="1" si="26"/>
        <v/>
      </c>
      <c r="AN41" s="362" t="str">
        <f t="shared" ca="1" si="26"/>
        <v/>
      </c>
      <c r="AO41" s="362" t="str">
        <f t="shared" ca="1" si="26"/>
        <v/>
      </c>
      <c r="AP41" s="362" t="str">
        <f t="shared" ca="1" si="27"/>
        <v/>
      </c>
      <c r="AQ41" s="362" t="str">
        <f t="shared" ca="1" si="27"/>
        <v/>
      </c>
      <c r="AR41" s="362" t="str">
        <f t="shared" ca="1" si="27"/>
        <v/>
      </c>
      <c r="AS41" s="362" t="str">
        <f t="shared" ca="1" si="27"/>
        <v/>
      </c>
      <c r="AT41" s="362" t="str">
        <f t="shared" ca="1" si="27"/>
        <v/>
      </c>
      <c r="AU41" s="362" t="str">
        <f t="shared" ca="1" si="27"/>
        <v/>
      </c>
      <c r="AV41" s="362">
        <f t="shared" ca="1" si="27"/>
        <v>497.52640520481702</v>
      </c>
      <c r="AW41" s="362">
        <f t="shared" ca="1" si="27"/>
        <v>1361.6171263411916</v>
      </c>
      <c r="AX41" s="362">
        <f t="shared" ca="1" si="27"/>
        <v>42.106365709288561</v>
      </c>
      <c r="AY41" s="362">
        <f t="shared" ca="1" si="27"/>
        <v>124.43697824242066</v>
      </c>
      <c r="AZ41" s="362">
        <f t="shared" ca="1" si="28"/>
        <v>23508.317932712511</v>
      </c>
      <c r="BA41" s="362">
        <f t="shared" ca="1" si="28"/>
        <v>4209.2349191008025</v>
      </c>
      <c r="BB41" s="362">
        <f t="shared" ca="1" si="28"/>
        <v>210.73524398304829</v>
      </c>
      <c r="BC41" s="362">
        <f t="shared" ca="1" si="28"/>
        <v>1644.9919849094142</v>
      </c>
      <c r="BD41" s="362">
        <f t="shared" ca="1" si="28"/>
        <v>872.87534324606838</v>
      </c>
      <c r="BE41" s="362">
        <f t="shared" ca="1" si="28"/>
        <v>5845.4128478032089</v>
      </c>
      <c r="BF41" s="362">
        <f t="shared" ca="1" si="28"/>
        <v>10082.241603025503</v>
      </c>
      <c r="BG41" s="362">
        <f t="shared" ca="1" si="28"/>
        <v>13213.549505801528</v>
      </c>
      <c r="BH41" s="362">
        <f t="shared" ca="1" si="28"/>
        <v>13710.13521560043</v>
      </c>
      <c r="BI41" s="362">
        <f t="shared" ca="1" si="28"/>
        <v>5421.6452753228559</v>
      </c>
      <c r="BJ41" s="362">
        <f t="shared" ca="1" si="28"/>
        <v>66380.446424173453</v>
      </c>
      <c r="BK41" s="362">
        <f t="shared" ca="1" si="28"/>
        <v>19033.847405909608</v>
      </c>
      <c r="BL41" s="362">
        <f t="shared" ca="1" si="28"/>
        <v>3794.2634758034219</v>
      </c>
      <c r="BM41" s="362">
        <f t="shared" ca="1" si="7"/>
        <v>0</v>
      </c>
      <c r="BO41" s="360">
        <f t="shared" si="10"/>
        <v>2042</v>
      </c>
      <c r="BP41" s="375">
        <f ca="1">IF(GridFootprintToggle="Yes",EF_PurchElec_MTperMWh*(1-ExposureCalculations!B47),EF_PurchElec_MTperMWh)</f>
        <v>0.71025672512797189</v>
      </c>
      <c r="BT41" s="360">
        <f t="shared" si="11"/>
        <v>2042</v>
      </c>
      <c r="BU41" s="1504">
        <f t="shared" ca="1" si="12"/>
        <v>27395.167364763012</v>
      </c>
      <c r="BV41" s="1504">
        <f t="shared" ca="1" si="13"/>
        <v>0</v>
      </c>
      <c r="BW41" s="1504">
        <f t="shared" ca="1" si="14"/>
        <v>10179.909375396674</v>
      </c>
      <c r="BX41" s="1504">
        <f t="shared" ca="1" si="15"/>
        <v>15275.407261127853</v>
      </c>
      <c r="BY41" s="1504">
        <v>169953.3840528896</v>
      </c>
      <c r="BZ41" s="1504">
        <f t="shared" ca="1" si="16"/>
        <v>40726.78858582204</v>
      </c>
      <c r="CA41" s="1504">
        <f t="shared" ca="1" si="17"/>
        <v>100222.86597139464</v>
      </c>
      <c r="CB41" s="1504">
        <f t="shared" ca="1" si="18"/>
        <v>0</v>
      </c>
      <c r="CC41" s="1504">
        <f t="shared" ca="1" si="8"/>
        <v>169953.3840528896</v>
      </c>
    </row>
    <row r="42" spans="1:81">
      <c r="W42" s="1268">
        <f ca="1">OFFSET(ExposureCalculations!Price_GHG_Allowance_2010,AA42-$AA$9,0)*$W$7</f>
        <v>26.050194058162955</v>
      </c>
      <c r="X42" s="15">
        <f t="shared" ca="1" si="9"/>
        <v>3848252.9080924625</v>
      </c>
      <c r="AA42" s="360">
        <f t="shared" si="1"/>
        <v>2043</v>
      </c>
      <c r="AB42" s="362">
        <f ca="1">ExposureCalculations!G49</f>
        <v>366985.91778928402</v>
      </c>
      <c r="AC42" s="362">
        <f t="shared" ca="1" si="19"/>
        <v>46615.010768999309</v>
      </c>
      <c r="AD42" s="362">
        <f t="shared" ca="1" si="2"/>
        <v>46615.010768999346</v>
      </c>
      <c r="AE42" s="362">
        <f t="shared" ca="1" si="3"/>
        <v>147724.53899960849</v>
      </c>
      <c r="AF42" s="362" t="str">
        <f t="shared" ca="1" si="26"/>
        <v/>
      </c>
      <c r="AG42" s="362" t="str">
        <f t="shared" ca="1" si="26"/>
        <v/>
      </c>
      <c r="AH42" s="362" t="str">
        <f t="shared" ca="1" si="26"/>
        <v/>
      </c>
      <c r="AI42" s="362" t="str">
        <f t="shared" ca="1" si="26"/>
        <v/>
      </c>
      <c r="AJ42" s="362" t="str">
        <f t="shared" ca="1" si="26"/>
        <v/>
      </c>
      <c r="AK42" s="362" t="str">
        <f t="shared" ca="1" si="26"/>
        <v/>
      </c>
      <c r="AL42" s="362" t="str">
        <f t="shared" ca="1" si="26"/>
        <v/>
      </c>
      <c r="AM42" s="362" t="str">
        <f t="shared" ca="1" si="26"/>
        <v/>
      </c>
      <c r="AN42" s="362" t="str">
        <f t="shared" ca="1" si="26"/>
        <v/>
      </c>
      <c r="AO42" s="362" t="str">
        <f t="shared" ca="1" si="26"/>
        <v/>
      </c>
      <c r="AP42" s="362" t="str">
        <f t="shared" ca="1" si="27"/>
        <v/>
      </c>
      <c r="AQ42" s="362" t="str">
        <f t="shared" ca="1" si="27"/>
        <v/>
      </c>
      <c r="AR42" s="362" t="str">
        <f t="shared" ca="1" si="27"/>
        <v/>
      </c>
      <c r="AS42" s="362" t="str">
        <f t="shared" ca="1" si="27"/>
        <v/>
      </c>
      <c r="AT42" s="362" t="str">
        <f t="shared" ca="1" si="27"/>
        <v/>
      </c>
      <c r="AU42" s="362" t="str">
        <f t="shared" ca="1" si="27"/>
        <v/>
      </c>
      <c r="AV42" s="362">
        <f t="shared" ca="1" si="27"/>
        <v>497.52640520481702</v>
      </c>
      <c r="AW42" s="362">
        <f t="shared" ca="1" si="27"/>
        <v>1361.6171263411916</v>
      </c>
      <c r="AX42" s="362">
        <f t="shared" ca="1" si="27"/>
        <v>42.106365709288561</v>
      </c>
      <c r="AY42" s="362">
        <f t="shared" ca="1" si="27"/>
        <v>124.43697824242066</v>
      </c>
      <c r="AZ42" s="362">
        <f t="shared" ca="1" si="28"/>
        <v>23710.242088454761</v>
      </c>
      <c r="BA42" s="362">
        <f t="shared" ca="1" si="28"/>
        <v>4245.3900455455369</v>
      </c>
      <c r="BB42" s="362">
        <f t="shared" ca="1" si="28"/>
        <v>210.87114228092466</v>
      </c>
      <c r="BC42" s="362">
        <f t="shared" ca="1" si="28"/>
        <v>1644.9919849094142</v>
      </c>
      <c r="BD42" s="362">
        <f t="shared" ca="1" si="28"/>
        <v>873.44721017719871</v>
      </c>
      <c r="BE42" s="362">
        <f t="shared" ca="1" si="28"/>
        <v>5845.4128478032089</v>
      </c>
      <c r="BF42" s="362">
        <f t="shared" ca="1" si="28"/>
        <v>10082.241603025503</v>
      </c>
      <c r="BG42" s="362">
        <f t="shared" ca="1" si="28"/>
        <v>13213.549505801528</v>
      </c>
      <c r="BH42" s="362">
        <f t="shared" ca="1" si="28"/>
        <v>13710.13521560043</v>
      </c>
      <c r="BI42" s="362">
        <f t="shared" ca="1" si="28"/>
        <v>5421.6452753228559</v>
      </c>
      <c r="BJ42" s="362">
        <f t="shared" ca="1" si="28"/>
        <v>68391.97510369384</v>
      </c>
      <c r="BK42" s="362">
        <f t="shared" ca="1" si="28"/>
        <v>19481.275305378116</v>
      </c>
      <c r="BL42" s="362">
        <f t="shared" ca="1" si="28"/>
        <v>3789.5038171851834</v>
      </c>
      <c r="BM42" s="362">
        <f t="shared" ca="1" si="7"/>
        <v>0</v>
      </c>
      <c r="BO42" s="360">
        <f t="shared" si="10"/>
        <v>2043</v>
      </c>
      <c r="BP42" s="375">
        <f ca="1">IF(GridFootprintToggle="Yes",EF_PurchElec_MTperMWh*(1-ExposureCalculations!B48),EF_PurchElec_MTperMWh)</f>
        <v>0.71025672512797189</v>
      </c>
      <c r="BT42" s="360">
        <f t="shared" si="11"/>
        <v>2043</v>
      </c>
      <c r="BU42" s="1504">
        <f t="shared" ca="1" si="12"/>
        <v>27625.314627775704</v>
      </c>
      <c r="BV42" s="1504">
        <f t="shared" ca="1" si="13"/>
        <v>0</v>
      </c>
      <c r="BW42" s="1504">
        <f t="shared" ca="1" si="14"/>
        <v>3279.685129269521</v>
      </c>
      <c r="BX42" s="1504">
        <f t="shared" ca="1" si="15"/>
        <v>15286.993470785532</v>
      </c>
      <c r="BY42" s="1504">
        <v>172646.36802067622</v>
      </c>
      <c r="BZ42" s="1504">
        <f t="shared" ca="1" si="16"/>
        <v>47819.977148472739</v>
      </c>
      <c r="CA42" s="1504">
        <f t="shared" ca="1" si="17"/>
        <v>99904.561851135746</v>
      </c>
      <c r="CB42" s="1504">
        <f t="shared" ca="1" si="18"/>
        <v>0</v>
      </c>
      <c r="CC42" s="1504">
        <f t="shared" ca="1" si="8"/>
        <v>172646.36802067622</v>
      </c>
    </row>
    <row r="43" spans="1:81">
      <c r="W43" s="1268">
        <f ca="1">OFFSET(ExposureCalculations!Price_GHG_Allowance_2010,AA43-$AA$9,0)*$W$7</f>
        <v>27.050369596997598</v>
      </c>
      <c r="X43" s="15">
        <f t="shared" ca="1" si="9"/>
        <v>4179239.8049120167</v>
      </c>
      <c r="AA43" s="360">
        <f t="shared" si="1"/>
        <v>2044</v>
      </c>
      <c r="AB43" s="362">
        <f ca="1">ExposureCalculations!G50</f>
        <v>369794.02336960268</v>
      </c>
      <c r="AC43" s="362">
        <f t="shared" ca="1" si="19"/>
        <v>39955.723516285099</v>
      </c>
      <c r="AD43" s="362">
        <f t="shared" ca="1" si="2"/>
        <v>39955.723516285128</v>
      </c>
      <c r="AE43" s="362">
        <f t="shared" ca="1" si="3"/>
        <v>154498.43633100981</v>
      </c>
      <c r="AF43" s="362" t="str">
        <f t="shared" ca="1" si="26"/>
        <v/>
      </c>
      <c r="AG43" s="362" t="str">
        <f t="shared" ca="1" si="26"/>
        <v/>
      </c>
      <c r="AH43" s="362" t="str">
        <f t="shared" ca="1" si="26"/>
        <v/>
      </c>
      <c r="AI43" s="362" t="str">
        <f t="shared" ca="1" si="26"/>
        <v/>
      </c>
      <c r="AJ43" s="362" t="str">
        <f t="shared" ca="1" si="26"/>
        <v/>
      </c>
      <c r="AK43" s="362" t="str">
        <f t="shared" ca="1" si="26"/>
        <v/>
      </c>
      <c r="AL43" s="362" t="str">
        <f t="shared" ca="1" si="26"/>
        <v/>
      </c>
      <c r="AM43" s="362" t="str">
        <f t="shared" ca="1" si="26"/>
        <v/>
      </c>
      <c r="AN43" s="362" t="str">
        <f t="shared" ca="1" si="26"/>
        <v/>
      </c>
      <c r="AO43" s="362" t="str">
        <f t="shared" ca="1" si="26"/>
        <v/>
      </c>
      <c r="AP43" s="362" t="str">
        <f t="shared" ca="1" si="27"/>
        <v/>
      </c>
      <c r="AQ43" s="362" t="str">
        <f t="shared" ca="1" si="27"/>
        <v/>
      </c>
      <c r="AR43" s="362" t="str">
        <f t="shared" ca="1" si="27"/>
        <v/>
      </c>
      <c r="AS43" s="362" t="str">
        <f t="shared" ca="1" si="27"/>
        <v/>
      </c>
      <c r="AT43" s="362" t="str">
        <f t="shared" ca="1" si="27"/>
        <v/>
      </c>
      <c r="AU43" s="362" t="str">
        <f t="shared" ca="1" si="27"/>
        <v/>
      </c>
      <c r="AV43" s="362">
        <f t="shared" ca="1" si="27"/>
        <v>497.52640520481702</v>
      </c>
      <c r="AW43" s="362">
        <f t="shared" ca="1" si="27"/>
        <v>1361.6171263411916</v>
      </c>
      <c r="AX43" s="362">
        <f t="shared" ca="1" si="27"/>
        <v>42.106365709288561</v>
      </c>
      <c r="AY43" s="362">
        <f t="shared" ca="1" si="27"/>
        <v>124.43697824242066</v>
      </c>
      <c r="AZ43" s="362">
        <f t="shared" ca="1" si="28"/>
        <v>23912.166244197026</v>
      </c>
      <c r="BA43" s="362">
        <f t="shared" ca="1" si="28"/>
        <v>4281.5451719902721</v>
      </c>
      <c r="BB43" s="362">
        <f t="shared" ca="1" si="28"/>
        <v>211.00505634248034</v>
      </c>
      <c r="BC43" s="362">
        <f t="shared" ca="1" si="28"/>
        <v>1644.9919849094142</v>
      </c>
      <c r="BD43" s="362">
        <f t="shared" ca="1" si="28"/>
        <v>874.01047613549053</v>
      </c>
      <c r="BE43" s="362">
        <f t="shared" ca="1" si="28"/>
        <v>5845.4128478032089</v>
      </c>
      <c r="BF43" s="362">
        <f t="shared" ca="1" si="28"/>
        <v>10082.241603025503</v>
      </c>
      <c r="BG43" s="362">
        <f t="shared" ca="1" si="28"/>
        <v>13213.549505801528</v>
      </c>
      <c r="BH43" s="362">
        <f t="shared" ca="1" si="28"/>
        <v>13710.13521560043</v>
      </c>
      <c r="BI43" s="362">
        <f t="shared" ca="1" si="28"/>
        <v>5421.6452753228559</v>
      </c>
      <c r="BJ43" s="362">
        <f t="shared" ca="1" si="28"/>
        <v>70403.503783214255</v>
      </c>
      <c r="BK43" s="362">
        <f t="shared" ca="1" si="28"/>
        <v>19929.24869033814</v>
      </c>
      <c r="BL43" s="362">
        <f t="shared" ca="1" si="28"/>
        <v>3784.7207921294653</v>
      </c>
      <c r="BM43" s="362">
        <f t="shared" ca="1" si="7"/>
        <v>0</v>
      </c>
      <c r="BO43" s="360">
        <f t="shared" si="10"/>
        <v>2044</v>
      </c>
      <c r="BP43" s="375">
        <f ca="1">IF(GridFootprintToggle="Yes",EF_PurchElec_MTperMWh*(1-ExposureCalculations!B49),EF_PurchElec_MTperMWh)</f>
        <v>0.71025672512797189</v>
      </c>
      <c r="BT43" s="360">
        <f t="shared" si="11"/>
        <v>2044</v>
      </c>
      <c r="BU43" s="1504">
        <f t="shared" ca="1" si="12"/>
        <v>27855.456328956927</v>
      </c>
      <c r="BV43" s="1504">
        <f t="shared" ca="1" si="13"/>
        <v>0</v>
      </c>
      <c r="BW43" s="1504">
        <f t="shared" ca="1" si="14"/>
        <v>0</v>
      </c>
      <c r="BX43" s="1504">
        <f t="shared" ca="1" si="15"/>
        <v>15298.408974996779</v>
      </c>
      <c r="BY43" s="1504">
        <v>175339.86352230777</v>
      </c>
      <c r="BZ43" s="1504">
        <f t="shared" ca="1" si="16"/>
        <v>51292.325989094141</v>
      </c>
      <c r="CA43" s="1504">
        <f t="shared" ca="1" si="17"/>
        <v>99585.735611822718</v>
      </c>
      <c r="CB43" s="1504">
        <f t="shared" ca="1" si="18"/>
        <v>0</v>
      </c>
      <c r="CC43" s="1504">
        <f t="shared" ca="1" si="8"/>
        <v>175339.86352230777</v>
      </c>
    </row>
    <row r="44" spans="1:81">
      <c r="W44" s="1268">
        <f ca="1">OFFSET(ExposureCalculations!Price_GHG_Allowance_2010,AA44-$AA$9,0)*$W$7</f>
        <v>28.210493611912732</v>
      </c>
      <c r="X44" s="15">
        <f t="shared" ca="1" si="9"/>
        <v>4549545.2197462888</v>
      </c>
      <c r="AA44" s="360">
        <f t="shared" si="1"/>
        <v>2045</v>
      </c>
      <c r="AB44" s="362">
        <f ca="1">ExposureCalculations!G51</f>
        <v>372601.67361595959</v>
      </c>
      <c r="AC44" s="362">
        <f t="shared" ca="1" si="19"/>
        <v>33296.436263570889</v>
      </c>
      <c r="AD44" s="362">
        <f t="shared" ca="1" si="2"/>
        <v>33296.436263570853</v>
      </c>
      <c r="AE44" s="362">
        <f t="shared" ca="1" si="3"/>
        <v>161271.37944956432</v>
      </c>
      <c r="AF44" s="362" t="str">
        <f t="shared" ca="1" si="26"/>
        <v/>
      </c>
      <c r="AG44" s="362" t="str">
        <f t="shared" ca="1" si="26"/>
        <v/>
      </c>
      <c r="AH44" s="362" t="str">
        <f t="shared" ca="1" si="26"/>
        <v/>
      </c>
      <c r="AI44" s="362" t="str">
        <f t="shared" ca="1" si="26"/>
        <v/>
      </c>
      <c r="AJ44" s="362" t="str">
        <f t="shared" ca="1" si="26"/>
        <v/>
      </c>
      <c r="AK44" s="362" t="str">
        <f t="shared" ca="1" si="26"/>
        <v/>
      </c>
      <c r="AL44" s="362" t="str">
        <f t="shared" ca="1" si="26"/>
        <v/>
      </c>
      <c r="AM44" s="362" t="str">
        <f t="shared" ca="1" si="26"/>
        <v/>
      </c>
      <c r="AN44" s="362" t="str">
        <f t="shared" ca="1" si="26"/>
        <v/>
      </c>
      <c r="AO44" s="362" t="str">
        <f t="shared" ca="1" si="26"/>
        <v/>
      </c>
      <c r="AP44" s="362" t="str">
        <f t="shared" ca="1" si="27"/>
        <v/>
      </c>
      <c r="AQ44" s="362" t="str">
        <f t="shared" ca="1" si="27"/>
        <v/>
      </c>
      <c r="AR44" s="362" t="str">
        <f t="shared" ca="1" si="27"/>
        <v/>
      </c>
      <c r="AS44" s="362" t="str">
        <f t="shared" ca="1" si="27"/>
        <v/>
      </c>
      <c r="AT44" s="362" t="str">
        <f t="shared" ca="1" si="27"/>
        <v/>
      </c>
      <c r="AU44" s="362" t="str">
        <f t="shared" ca="1" si="27"/>
        <v/>
      </c>
      <c r="AV44" s="362">
        <f t="shared" ca="1" si="27"/>
        <v>497.52640520481702</v>
      </c>
      <c r="AW44" s="362">
        <f t="shared" ca="1" si="27"/>
        <v>1361.6171263411916</v>
      </c>
      <c r="AX44" s="362">
        <f t="shared" ca="1" si="27"/>
        <v>42.106365709288561</v>
      </c>
      <c r="AY44" s="362">
        <f t="shared" ca="1" si="27"/>
        <v>124.43697824242066</v>
      </c>
      <c r="AZ44" s="362">
        <f t="shared" ca="1" si="28"/>
        <v>24114.090399939276</v>
      </c>
      <c r="BA44" s="362">
        <f t="shared" ca="1" si="28"/>
        <v>4317.7002984350074</v>
      </c>
      <c r="BB44" s="362">
        <f t="shared" ca="1" si="28"/>
        <v>211.13707062501715</v>
      </c>
      <c r="BC44" s="362">
        <f t="shared" ca="1" si="28"/>
        <v>1644.9919849094142</v>
      </c>
      <c r="BD44" s="362">
        <f t="shared" ca="1" si="28"/>
        <v>874.56551790856349</v>
      </c>
      <c r="BE44" s="362">
        <f t="shared" ca="1" si="28"/>
        <v>5845.4128478032089</v>
      </c>
      <c r="BF44" s="362">
        <f t="shared" ca="1" si="28"/>
        <v>10082.241603025503</v>
      </c>
      <c r="BG44" s="362">
        <f t="shared" ca="1" si="28"/>
        <v>13213.549505801528</v>
      </c>
      <c r="BH44" s="362">
        <f t="shared" ca="1" si="28"/>
        <v>13710.13521560043</v>
      </c>
      <c r="BI44" s="362">
        <f t="shared" ca="1" si="28"/>
        <v>5421.6452753228559</v>
      </c>
      <c r="BJ44" s="362">
        <f t="shared" ca="1" si="28"/>
        <v>72415.032462734671</v>
      </c>
      <c r="BK44" s="362">
        <f t="shared" ca="1" si="28"/>
        <v>20377.753857594329</v>
      </c>
      <c r="BL44" s="362">
        <f t="shared" ca="1" si="28"/>
        <v>3779.9149876268702</v>
      </c>
      <c r="BM44" s="362">
        <f t="shared" ca="1" si="7"/>
        <v>0</v>
      </c>
      <c r="BO44" s="360">
        <f t="shared" si="10"/>
        <v>2045</v>
      </c>
      <c r="BP44" s="375">
        <f ca="1">IF(GridFootprintToggle="Yes",EF_PurchElec_MTperMWh*(1-ExposureCalculations!B50),EF_PurchElec_MTperMWh)</f>
        <v>0.71025672512797189</v>
      </c>
      <c r="BT44" s="360">
        <f t="shared" si="11"/>
        <v>2045</v>
      </c>
      <c r="BU44" s="1504">
        <f t="shared" ca="1" si="12"/>
        <v>28085.592705041225</v>
      </c>
      <c r="BV44" s="1504">
        <f t="shared" ca="1" si="13"/>
        <v>0</v>
      </c>
      <c r="BW44" s="1504">
        <f t="shared" ca="1" si="14"/>
        <v>0</v>
      </c>
      <c r="BX44" s="1504">
        <f t="shared" ca="1" si="15"/>
        <v>15309.66104034556</v>
      </c>
      <c r="BY44" s="1504">
        <v>178033.85790282438</v>
      </c>
      <c r="BZ44" s="1504">
        <f t="shared" ca="1" si="16"/>
        <v>51484.70189027334</v>
      </c>
      <c r="CA44" s="1504">
        <f t="shared" ca="1" si="17"/>
        <v>99266.400369660434</v>
      </c>
      <c r="CB44" s="1504">
        <f t="shared" ca="1" si="18"/>
        <v>0</v>
      </c>
      <c r="CC44" s="1504">
        <f t="shared" ca="1" si="8"/>
        <v>178033.85790282438</v>
      </c>
    </row>
    <row r="45" spans="1:81">
      <c r="W45" s="1268">
        <f ca="1">OFFSET(ExposureCalculations!Price_GHG_Allowance_2010,AA45-$AA$9,0)*$W$7</f>
        <v>29.443817658728346</v>
      </c>
      <c r="X45" s="15">
        <f t="shared" ca="1" si="9"/>
        <v>4947839.2122683469</v>
      </c>
      <c r="AA45" s="360">
        <f t="shared" si="1"/>
        <v>2046</v>
      </c>
      <c r="AB45" s="362">
        <f ca="1">ExposureCalculations!G52</f>
        <v>375408.887374966</v>
      </c>
      <c r="AC45" s="362">
        <f t="shared" ca="1" si="19"/>
        <v>26637.14901085668</v>
      </c>
      <c r="AD45" s="362">
        <f t="shared" ca="1" si="2"/>
        <v>26637.149010856752</v>
      </c>
      <c r="AE45" s="362">
        <f t="shared" ca="1" si="3"/>
        <v>168043.39945372561</v>
      </c>
      <c r="AF45" s="362" t="str">
        <f t="shared" ca="1" si="26"/>
        <v/>
      </c>
      <c r="AG45" s="362" t="str">
        <f t="shared" ca="1" si="26"/>
        <v/>
      </c>
      <c r="AH45" s="362" t="str">
        <f t="shared" ca="1" si="26"/>
        <v/>
      </c>
      <c r="AI45" s="362" t="str">
        <f t="shared" ca="1" si="26"/>
        <v/>
      </c>
      <c r="AJ45" s="362" t="str">
        <f t="shared" ca="1" si="26"/>
        <v/>
      </c>
      <c r="AK45" s="362" t="str">
        <f t="shared" ca="1" si="26"/>
        <v/>
      </c>
      <c r="AL45" s="362" t="str">
        <f t="shared" ca="1" si="26"/>
        <v/>
      </c>
      <c r="AM45" s="362" t="str">
        <f t="shared" ca="1" si="26"/>
        <v/>
      </c>
      <c r="AN45" s="362" t="str">
        <f t="shared" ca="1" si="26"/>
        <v/>
      </c>
      <c r="AO45" s="362" t="str">
        <f t="shared" ca="1" si="26"/>
        <v/>
      </c>
      <c r="AP45" s="362" t="str">
        <f t="shared" ca="1" si="27"/>
        <v/>
      </c>
      <c r="AQ45" s="362" t="str">
        <f t="shared" ca="1" si="27"/>
        <v/>
      </c>
      <c r="AR45" s="362" t="str">
        <f t="shared" ca="1" si="27"/>
        <v/>
      </c>
      <c r="AS45" s="362" t="str">
        <f t="shared" ca="1" si="27"/>
        <v/>
      </c>
      <c r="AT45" s="362" t="str">
        <f t="shared" ca="1" si="27"/>
        <v/>
      </c>
      <c r="AU45" s="362" t="str">
        <f t="shared" ca="1" si="27"/>
        <v/>
      </c>
      <c r="AV45" s="362">
        <f t="shared" ca="1" si="27"/>
        <v>497.52640520481702</v>
      </c>
      <c r="AW45" s="362">
        <f t="shared" ca="1" si="27"/>
        <v>1361.6171263411916</v>
      </c>
      <c r="AX45" s="362">
        <f t="shared" ca="1" si="27"/>
        <v>42.106365709288561</v>
      </c>
      <c r="AY45" s="362">
        <f t="shared" ca="1" si="27"/>
        <v>124.43697824242066</v>
      </c>
      <c r="AZ45" s="362">
        <f t="shared" ca="1" si="28"/>
        <v>24316.014555681541</v>
      </c>
      <c r="BA45" s="362">
        <f t="shared" ca="1" si="28"/>
        <v>4353.8554248797409</v>
      </c>
      <c r="BB45" s="362">
        <f t="shared" ca="1" si="28"/>
        <v>211.26726375918435</v>
      </c>
      <c r="BC45" s="362">
        <f t="shared" ca="1" si="28"/>
        <v>1644.9919849094142</v>
      </c>
      <c r="BD45" s="362">
        <f t="shared" ca="1" si="28"/>
        <v>875.11268555174433</v>
      </c>
      <c r="BE45" s="362">
        <f t="shared" ca="1" si="28"/>
        <v>5845.4128478032089</v>
      </c>
      <c r="BF45" s="362">
        <f t="shared" ca="1" si="28"/>
        <v>10082.241603025503</v>
      </c>
      <c r="BG45" s="362">
        <f t="shared" ca="1" si="28"/>
        <v>13213.549505801528</v>
      </c>
      <c r="BH45" s="362">
        <f t="shared" ca="1" si="28"/>
        <v>13710.13521560043</v>
      </c>
      <c r="BI45" s="362">
        <f t="shared" ca="1" si="28"/>
        <v>5421.6452753228559</v>
      </c>
      <c r="BJ45" s="362">
        <f t="shared" ca="1" si="28"/>
        <v>74426.561142255057</v>
      </c>
      <c r="BK45" s="362">
        <f t="shared" ca="1" si="28"/>
        <v>20826.777559125614</v>
      </c>
      <c r="BL45" s="362">
        <f t="shared" ca="1" si="28"/>
        <v>3775.0869711701425</v>
      </c>
      <c r="BM45" s="362">
        <f t="shared" ca="1" si="7"/>
        <v>0</v>
      </c>
      <c r="BO45" s="360">
        <f t="shared" si="10"/>
        <v>2046</v>
      </c>
      <c r="BP45" s="375">
        <f ca="1">IF(GridFootprintToggle="Yes",EF_PurchElec_MTperMWh*(1-ExposureCalculations!B51),EF_PurchElec_MTperMWh)</f>
        <v>0.71025672512797189</v>
      </c>
      <c r="BT45" s="360">
        <f t="shared" si="11"/>
        <v>2046</v>
      </c>
      <c r="BU45" s="1504">
        <f t="shared" ca="1" si="12"/>
        <v>28315.723976430982</v>
      </c>
      <c r="BV45" s="1504">
        <f t="shared" ca="1" si="13"/>
        <v>0</v>
      </c>
      <c r="BW45" s="1504">
        <f t="shared" ca="1" si="14"/>
        <v>0</v>
      </c>
      <c r="BX45" s="1504">
        <f t="shared" ca="1" si="15"/>
        <v>15320.756432089704</v>
      </c>
      <c r="BY45" s="1504">
        <v>180728.3389103837</v>
      </c>
      <c r="BZ45" s="1504">
        <f t="shared" ca="1" si="16"/>
        <v>51676.801893560492</v>
      </c>
      <c r="CA45" s="1504">
        <f t="shared" ca="1" si="17"/>
        <v>98946.568805177259</v>
      </c>
      <c r="CB45" s="1504">
        <f t="shared" ca="1" si="18"/>
        <v>0</v>
      </c>
      <c r="CC45" s="1504">
        <f t="shared" ca="1" si="8"/>
        <v>180728.3389103837</v>
      </c>
    </row>
    <row r="46" spans="1:81">
      <c r="W46" s="1268">
        <f ca="1">OFFSET(ExposureCalculations!Price_GHG_Allowance_2010,AA46-$AA$9,0)*$W$7</f>
        <v>30.759996346907279</v>
      </c>
      <c r="X46" s="15">
        <f t="shared" ca="1" si="9"/>
        <v>5377294.1746358164</v>
      </c>
      <c r="AA46" s="360">
        <f t="shared" si="1"/>
        <v>2047</v>
      </c>
      <c r="AB46" s="362">
        <f ca="1">ExposureCalculations!G53</f>
        <v>378215.68222793727</v>
      </c>
      <c r="AC46" s="362">
        <f t="shared" ca="1" si="19"/>
        <v>19977.86175814247</v>
      </c>
      <c r="AD46" s="362">
        <f t="shared" ca="1" si="2"/>
        <v>19977.861758142477</v>
      </c>
      <c r="AE46" s="362">
        <f t="shared" ca="1" si="3"/>
        <v>174814.52578834485</v>
      </c>
      <c r="AF46" s="362" t="str">
        <f t="shared" ca="1" si="26"/>
        <v/>
      </c>
      <c r="AG46" s="362" t="str">
        <f t="shared" ca="1" si="26"/>
        <v/>
      </c>
      <c r="AH46" s="362" t="str">
        <f t="shared" ca="1" si="26"/>
        <v/>
      </c>
      <c r="AI46" s="362" t="str">
        <f t="shared" ca="1" si="26"/>
        <v/>
      </c>
      <c r="AJ46" s="362" t="str">
        <f t="shared" ca="1" si="26"/>
        <v/>
      </c>
      <c r="AK46" s="362" t="str">
        <f t="shared" ca="1" si="26"/>
        <v/>
      </c>
      <c r="AL46" s="362" t="str">
        <f t="shared" ca="1" si="26"/>
        <v/>
      </c>
      <c r="AM46" s="362" t="str">
        <f t="shared" ca="1" si="26"/>
        <v/>
      </c>
      <c r="AN46" s="362" t="str">
        <f t="shared" ca="1" si="26"/>
        <v/>
      </c>
      <c r="AO46" s="362" t="str">
        <f t="shared" ca="1" si="26"/>
        <v/>
      </c>
      <c r="AP46" s="362" t="str">
        <f t="shared" ca="1" si="27"/>
        <v/>
      </c>
      <c r="AQ46" s="362" t="str">
        <f t="shared" ca="1" si="27"/>
        <v/>
      </c>
      <c r="AR46" s="362" t="str">
        <f t="shared" ca="1" si="27"/>
        <v/>
      </c>
      <c r="AS46" s="362" t="str">
        <f t="shared" ca="1" si="27"/>
        <v/>
      </c>
      <c r="AT46" s="362" t="str">
        <f t="shared" ca="1" si="27"/>
        <v/>
      </c>
      <c r="AU46" s="362" t="str">
        <f t="shared" ca="1" si="27"/>
        <v/>
      </c>
      <c r="AV46" s="362">
        <f t="shared" ca="1" si="27"/>
        <v>497.52640520481702</v>
      </c>
      <c r="AW46" s="362">
        <f t="shared" ca="1" si="27"/>
        <v>1361.6171263411916</v>
      </c>
      <c r="AX46" s="362">
        <f t="shared" ca="1" si="27"/>
        <v>42.106365709288561</v>
      </c>
      <c r="AY46" s="362">
        <f t="shared" ca="1" si="27"/>
        <v>124.43697824242066</v>
      </c>
      <c r="AZ46" s="362">
        <f t="shared" ca="1" si="28"/>
        <v>24517.938711423776</v>
      </c>
      <c r="BA46" s="362">
        <f t="shared" ca="1" si="28"/>
        <v>4390.0105513244744</v>
      </c>
      <c r="BB46" s="362">
        <f t="shared" ca="1" si="28"/>
        <v>211.39570909668265</v>
      </c>
      <c r="BC46" s="362">
        <f t="shared" ca="1" si="28"/>
        <v>1644.9919849094142</v>
      </c>
      <c r="BD46" s="362">
        <f t="shared" ca="1" si="28"/>
        <v>875.65230497027721</v>
      </c>
      <c r="BE46" s="362">
        <f t="shared" ca="1" si="28"/>
        <v>5845.4128478032089</v>
      </c>
      <c r="BF46" s="362">
        <f t="shared" ca="1" si="28"/>
        <v>10082.241603025503</v>
      </c>
      <c r="BG46" s="362">
        <f t="shared" ca="1" si="28"/>
        <v>13213.549505801528</v>
      </c>
      <c r="BH46" s="362">
        <f t="shared" ca="1" si="28"/>
        <v>13710.13521560043</v>
      </c>
      <c r="BI46" s="362">
        <f t="shared" ca="1" si="28"/>
        <v>5421.6452753228559</v>
      </c>
      <c r="BJ46" s="362">
        <f t="shared" ca="1" si="28"/>
        <v>76438.089821775444</v>
      </c>
      <c r="BK46" s="362">
        <f t="shared" ca="1" si="28"/>
        <v>21276.306983341619</v>
      </c>
      <c r="BL46" s="362">
        <f t="shared" ca="1" si="28"/>
        <v>3770.2372915570536</v>
      </c>
      <c r="BM46" s="362">
        <f t="shared" ca="1" si="7"/>
        <v>0</v>
      </c>
      <c r="BO46" s="360">
        <f t="shared" si="10"/>
        <v>2047</v>
      </c>
      <c r="BP46" s="375">
        <f ca="1">IF(GridFootprintToggle="Yes",EF_PurchElec_MTperMWh*(1-ExposureCalculations!B52),EF_PurchElec_MTperMWh)</f>
        <v>0.71025672512797189</v>
      </c>
      <c r="BT46" s="360">
        <f t="shared" si="11"/>
        <v>2047</v>
      </c>
      <c r="BU46" s="1504">
        <f t="shared" ca="1" si="12"/>
        <v>28545.850348731648</v>
      </c>
      <c r="BV46" s="1504">
        <f t="shared" ca="1" si="13"/>
        <v>0</v>
      </c>
      <c r="BW46" s="1504">
        <f t="shared" ca="1" si="14"/>
        <v>0</v>
      </c>
      <c r="BX46" s="1504">
        <f t="shared" ca="1" si="15"/>
        <v>15331.701461285826</v>
      </c>
      <c r="BY46" s="1504">
        <v>183423.29468144994</v>
      </c>
      <c r="BZ46" s="1504">
        <f t="shared" ca="1" si="16"/>
        <v>51868.637111493103</v>
      </c>
      <c r="CA46" s="1504">
        <f t="shared" ca="1" si="17"/>
        <v>98626.253181165666</v>
      </c>
      <c r="CB46" s="1504">
        <f t="shared" ca="1" si="18"/>
        <v>0</v>
      </c>
      <c r="CC46" s="1504">
        <f t="shared" ca="1" si="8"/>
        <v>183423.29468144994</v>
      </c>
    </row>
    <row r="47" spans="1:81">
      <c r="W47" s="1268">
        <f ca="1">OFFSET(ExposureCalculations!Price_GHG_Allowance_2010,AA47-$AA$9,0)*$W$7</f>
        <v>32.169329218070907</v>
      </c>
      <c r="X47" s="15">
        <f t="shared" ca="1" si="9"/>
        <v>5841460.7738841968</v>
      </c>
      <c r="AA47" s="360">
        <f t="shared" si="1"/>
        <v>2048</v>
      </c>
      <c r="AB47" s="362">
        <f ca="1">ExposureCalculations!G54</f>
        <v>381022.07460672036</v>
      </c>
      <c r="AC47" s="362">
        <f t="shared" ca="1" si="19"/>
        <v>13318.574505428258</v>
      </c>
      <c r="AD47" s="362">
        <f t="shared" ca="1" si="2"/>
        <v>13318.574505428318</v>
      </c>
      <c r="AE47" s="362">
        <f t="shared" ca="1" si="3"/>
        <v>181584.78637480558</v>
      </c>
      <c r="AF47" s="362" t="str">
        <f t="shared" ca="1" si="26"/>
        <v/>
      </c>
      <c r="AG47" s="362" t="str">
        <f t="shared" ca="1" si="26"/>
        <v/>
      </c>
      <c r="AH47" s="362" t="str">
        <f t="shared" ca="1" si="26"/>
        <v/>
      </c>
      <c r="AI47" s="362" t="str">
        <f t="shared" ca="1" si="26"/>
        <v/>
      </c>
      <c r="AJ47" s="362" t="str">
        <f t="shared" ca="1" si="26"/>
        <v/>
      </c>
      <c r="AK47" s="362" t="str">
        <f t="shared" ca="1" si="26"/>
        <v/>
      </c>
      <c r="AL47" s="362" t="str">
        <f t="shared" ca="1" si="26"/>
        <v/>
      </c>
      <c r="AM47" s="362" t="str">
        <f t="shared" ca="1" si="26"/>
        <v/>
      </c>
      <c r="AN47" s="362" t="str">
        <f t="shared" ca="1" si="26"/>
        <v/>
      </c>
      <c r="AO47" s="362" t="str">
        <f t="shared" ca="1" si="26"/>
        <v/>
      </c>
      <c r="AP47" s="362" t="str">
        <f t="shared" ca="1" si="27"/>
        <v/>
      </c>
      <c r="AQ47" s="362" t="str">
        <f t="shared" ca="1" si="27"/>
        <v/>
      </c>
      <c r="AR47" s="362" t="str">
        <f t="shared" ca="1" si="27"/>
        <v/>
      </c>
      <c r="AS47" s="362" t="str">
        <f t="shared" ca="1" si="27"/>
        <v/>
      </c>
      <c r="AT47" s="362" t="str">
        <f t="shared" ca="1" si="27"/>
        <v/>
      </c>
      <c r="AU47" s="362" t="str">
        <f t="shared" ca="1" si="27"/>
        <v/>
      </c>
      <c r="AV47" s="362">
        <f t="shared" ca="1" si="27"/>
        <v>497.52640520481702</v>
      </c>
      <c r="AW47" s="362">
        <f t="shared" ca="1" si="27"/>
        <v>1361.6171263411916</v>
      </c>
      <c r="AX47" s="362">
        <f t="shared" ca="1" si="27"/>
        <v>42.106365709288561</v>
      </c>
      <c r="AY47" s="362">
        <f t="shared" ca="1" si="27"/>
        <v>124.43697824242066</v>
      </c>
      <c r="AZ47" s="362">
        <f t="shared" ca="1" si="28"/>
        <v>24719.862867166041</v>
      </c>
      <c r="BA47" s="362">
        <f t="shared" ca="1" si="28"/>
        <v>4426.1656777692115</v>
      </c>
      <c r="BB47" s="362">
        <f t="shared" ca="1" si="28"/>
        <v>211.52247519350044</v>
      </c>
      <c r="BC47" s="362">
        <f t="shared" ca="1" si="28"/>
        <v>1644.9919849094142</v>
      </c>
      <c r="BD47" s="362">
        <f t="shared" ca="1" si="28"/>
        <v>876.18468018942747</v>
      </c>
      <c r="BE47" s="362">
        <f t="shared" ca="1" si="28"/>
        <v>5845.4128478032089</v>
      </c>
      <c r="BF47" s="362">
        <f t="shared" ca="1" si="28"/>
        <v>10082.241603025503</v>
      </c>
      <c r="BG47" s="362">
        <f t="shared" ca="1" si="28"/>
        <v>13213.549505801528</v>
      </c>
      <c r="BH47" s="362">
        <f t="shared" ca="1" si="28"/>
        <v>13710.13521560043</v>
      </c>
      <c r="BI47" s="362">
        <f t="shared" ca="1" si="28"/>
        <v>5421.6452753228559</v>
      </c>
      <c r="BJ47" s="362">
        <f t="shared" ca="1" si="28"/>
        <v>78449.618501295859</v>
      </c>
      <c r="BK47" s="362">
        <f t="shared" ca="1" si="28"/>
        <v>21726.329737257827</v>
      </c>
      <c r="BL47" s="362">
        <f t="shared" ca="1" si="28"/>
        <v>3765.3664796539692</v>
      </c>
      <c r="BM47" s="362">
        <f t="shared" ca="1" si="7"/>
        <v>0</v>
      </c>
      <c r="BO47" s="360">
        <f t="shared" si="10"/>
        <v>2048</v>
      </c>
      <c r="BP47" s="375">
        <f ca="1">IF(GridFootprintToggle="Yes",EF_PurchElec_MTperMWh*(1-ExposureCalculations!B53),EF_PurchElec_MTperMWh)</f>
        <v>0.71025672512797189</v>
      </c>
      <c r="BT47" s="360">
        <f t="shared" si="11"/>
        <v>2048</v>
      </c>
      <c r="BU47" s="1504">
        <f t="shared" ca="1" si="12"/>
        <v>28775.972014106253</v>
      </c>
      <c r="BV47" s="1504">
        <f t="shared" ca="1" si="13"/>
        <v>0</v>
      </c>
      <c r="BW47" s="1504">
        <f t="shared" ca="1" si="14"/>
        <v>0</v>
      </c>
      <c r="BX47" s="1504">
        <f t="shared" ca="1" si="15"/>
        <v>15342.50202636734</v>
      </c>
      <c r="BY47" s="1504">
        <v>186118.71372648652</v>
      </c>
      <c r="BZ47" s="1504">
        <f t="shared" ca="1" si="16"/>
        <v>52060.217930074316</v>
      </c>
      <c r="CA47" s="1504">
        <f t="shared" ca="1" si="17"/>
        <v>98305.465359743946</v>
      </c>
      <c r="CB47" s="1504">
        <f t="shared" ca="1" si="18"/>
        <v>0</v>
      </c>
      <c r="CC47" s="1504">
        <f t="shared" ca="1" si="8"/>
        <v>186118.71372648652</v>
      </c>
    </row>
    <row r="48" spans="1:81">
      <c r="W48" s="1268">
        <f ca="1">OFFSET(ExposureCalculations!Price_GHG_Allowance_2010,AA48-$AA$9,0)*$W$7</f>
        <v>33.682636272637787</v>
      </c>
      <c r="X48" s="15">
        <f t="shared" ca="1" si="9"/>
        <v>6344266.2693016697</v>
      </c>
      <c r="AA48" s="360">
        <f t="shared" si="1"/>
        <v>2049</v>
      </c>
      <c r="AB48" s="362">
        <f ca="1">ExposureCalculations!G55</f>
        <v>383828.07989623188</v>
      </c>
      <c r="AC48" s="362">
        <f t="shared" ca="1" si="19"/>
        <v>6659.2872527140462</v>
      </c>
      <c r="AD48" s="362">
        <f t="shared" ca="1" si="2"/>
        <v>6659.287252714159</v>
      </c>
      <c r="AE48" s="362">
        <f t="shared" ca="1" si="3"/>
        <v>188354.20772736421</v>
      </c>
      <c r="AF48" s="362" t="str">
        <f t="shared" ca="1" si="26"/>
        <v/>
      </c>
      <c r="AG48" s="362" t="str">
        <f t="shared" ca="1" si="26"/>
        <v/>
      </c>
      <c r="AH48" s="362" t="str">
        <f t="shared" ca="1" si="26"/>
        <v/>
      </c>
      <c r="AI48" s="362" t="str">
        <f t="shared" ca="1" si="26"/>
        <v/>
      </c>
      <c r="AJ48" s="362" t="str">
        <f t="shared" ca="1" si="26"/>
        <v/>
      </c>
      <c r="AK48" s="362" t="str">
        <f t="shared" ca="1" si="26"/>
        <v/>
      </c>
      <c r="AL48" s="362" t="str">
        <f t="shared" ca="1" si="26"/>
        <v/>
      </c>
      <c r="AM48" s="362" t="str">
        <f t="shared" ca="1" si="26"/>
        <v/>
      </c>
      <c r="AN48" s="362" t="str">
        <f t="shared" ca="1" si="26"/>
        <v/>
      </c>
      <c r="AO48" s="362" t="str">
        <f t="shared" ca="1" si="26"/>
        <v/>
      </c>
      <c r="AP48" s="362" t="str">
        <f t="shared" ca="1" si="27"/>
        <v/>
      </c>
      <c r="AQ48" s="362" t="str">
        <f t="shared" ca="1" si="27"/>
        <v/>
      </c>
      <c r="AR48" s="362" t="str">
        <f t="shared" ca="1" si="27"/>
        <v/>
      </c>
      <c r="AS48" s="362" t="str">
        <f t="shared" ca="1" si="27"/>
        <v/>
      </c>
      <c r="AT48" s="362" t="str">
        <f t="shared" ca="1" si="27"/>
        <v/>
      </c>
      <c r="AU48" s="362" t="str">
        <f t="shared" ca="1" si="27"/>
        <v/>
      </c>
      <c r="AV48" s="362">
        <f t="shared" ca="1" si="27"/>
        <v>497.52640520481702</v>
      </c>
      <c r="AW48" s="362">
        <f t="shared" ca="1" si="27"/>
        <v>1361.6171263411916</v>
      </c>
      <c r="AX48" s="362">
        <f t="shared" ca="1" si="27"/>
        <v>42.106365709288561</v>
      </c>
      <c r="AY48" s="362">
        <f t="shared" ca="1" si="27"/>
        <v>124.43697824242066</v>
      </c>
      <c r="AZ48" s="362">
        <f t="shared" ca="1" si="28"/>
        <v>24921.787022908306</v>
      </c>
      <c r="BA48" s="362">
        <f t="shared" ca="1" si="28"/>
        <v>4462.3208042139468</v>
      </c>
      <c r="BB48" s="362">
        <f t="shared" ca="1" si="28"/>
        <v>211.64762623772032</v>
      </c>
      <c r="BC48" s="362">
        <f t="shared" ca="1" si="28"/>
        <v>1644.9919849094142</v>
      </c>
      <c r="BD48" s="362">
        <f t="shared" ca="1" si="28"/>
        <v>876.71009535737846</v>
      </c>
      <c r="BE48" s="362">
        <f t="shared" ca="1" si="28"/>
        <v>5845.4128478032089</v>
      </c>
      <c r="BF48" s="362">
        <f t="shared" ca="1" si="28"/>
        <v>10082.241603025503</v>
      </c>
      <c r="BG48" s="362">
        <f t="shared" ca="1" si="28"/>
        <v>13213.549505801528</v>
      </c>
      <c r="BH48" s="362">
        <f t="shared" ca="1" si="28"/>
        <v>13710.13521560043</v>
      </c>
      <c r="BI48" s="362">
        <f t="shared" ca="1" si="28"/>
        <v>5421.6452753228559</v>
      </c>
      <c r="BJ48" s="362">
        <f t="shared" ca="1" si="28"/>
        <v>80461.14718081629</v>
      </c>
      <c r="BK48" s="362">
        <f t="shared" ca="1" si="28"/>
        <v>22176.83382953706</v>
      </c>
      <c r="BL48" s="362">
        <f t="shared" ca="1" si="28"/>
        <v>3760.4750491222649</v>
      </c>
      <c r="BM48" s="362">
        <f t="shared" ca="1" si="7"/>
        <v>0</v>
      </c>
      <c r="BO48" s="360">
        <f t="shared" si="10"/>
        <v>2049</v>
      </c>
      <c r="BP48" s="375">
        <f ca="1">IF(GridFootprintToggle="Yes",EF_PurchElec_MTperMWh*(1-ExposureCalculations!B54),EF_PurchElec_MTperMWh)</f>
        <v>0.71025672512797189</v>
      </c>
      <c r="BT48" s="360">
        <f t="shared" si="11"/>
        <v>2049</v>
      </c>
      <c r="BU48" s="1504">
        <f t="shared" ca="1" si="12"/>
        <v>29006.089152474538</v>
      </c>
      <c r="BV48" s="1504">
        <f t="shared" ca="1" si="13"/>
        <v>0</v>
      </c>
      <c r="BW48" s="1504">
        <f t="shared" ca="1" si="14"/>
        <v>0</v>
      </c>
      <c r="BX48" s="1504">
        <f t="shared" ca="1" si="15"/>
        <v>15353.163649953269</v>
      </c>
      <c r="BY48" s="1504">
        <v>188814.58491615363</v>
      </c>
      <c r="BZ48" s="1504">
        <f t="shared" ca="1" si="16"/>
        <v>52251.554073584142</v>
      </c>
      <c r="CA48" s="1504">
        <f t="shared" ca="1" si="17"/>
        <v>97984.216818587709</v>
      </c>
      <c r="CB48" s="1504">
        <f t="shared" ca="1" si="18"/>
        <v>0</v>
      </c>
      <c r="CC48" s="1504">
        <f t="shared" ca="1" si="8"/>
        <v>188814.58491615363</v>
      </c>
    </row>
    <row r="49" spans="23:81">
      <c r="W49" s="1268">
        <f ca="1">OFFSET(ExposureCalculations!Price_GHG_Allowance_2010,AA49-$AA$9,0)*$W$7</f>
        <v>35.31114075769888</v>
      </c>
      <c r="X49" s="15">
        <f t="shared" ca="1" si="9"/>
        <v>6890009.1875344273</v>
      </c>
      <c r="AA49" s="360">
        <f t="shared" si="1"/>
        <v>2050</v>
      </c>
      <c r="AB49" s="362">
        <f ca="1">ExposureCalculations!G56</f>
        <v>386633.71252553025</v>
      </c>
      <c r="AC49" s="362">
        <v>0</v>
      </c>
      <c r="AD49" s="362">
        <f t="shared" ca="1" si="2"/>
        <v>0</v>
      </c>
      <c r="AE49" s="362">
        <f t="shared" ca="1" si="3"/>
        <v>195122.81505751694</v>
      </c>
      <c r="AF49" s="362" t="str">
        <f t="shared" ca="1" si="26"/>
        <v/>
      </c>
      <c r="AG49" s="362" t="str">
        <f t="shared" ca="1" si="26"/>
        <v/>
      </c>
      <c r="AH49" s="362" t="str">
        <f t="shared" ca="1" si="26"/>
        <v/>
      </c>
      <c r="AI49" s="362" t="str">
        <f t="shared" ca="1" si="26"/>
        <v/>
      </c>
      <c r="AJ49" s="362" t="str">
        <f t="shared" ca="1" si="26"/>
        <v/>
      </c>
      <c r="AK49" s="362" t="str">
        <f t="shared" ca="1" si="26"/>
        <v/>
      </c>
      <c r="AL49" s="362" t="str">
        <f t="shared" ca="1" si="26"/>
        <v/>
      </c>
      <c r="AM49" s="362" t="str">
        <f t="shared" ca="1" si="26"/>
        <v/>
      </c>
      <c r="AN49" s="362" t="str">
        <f t="shared" ca="1" si="26"/>
        <v/>
      </c>
      <c r="AO49" s="362" t="str">
        <f t="shared" ca="1" si="26"/>
        <v/>
      </c>
      <c r="AP49" s="362" t="str">
        <f t="shared" ca="1" si="27"/>
        <v/>
      </c>
      <c r="AQ49" s="362" t="str">
        <f t="shared" ca="1" si="27"/>
        <v/>
      </c>
      <c r="AR49" s="362" t="str">
        <f t="shared" ca="1" si="27"/>
        <v/>
      </c>
      <c r="AS49" s="362" t="str">
        <f t="shared" ca="1" si="27"/>
        <v/>
      </c>
      <c r="AT49" s="362" t="str">
        <f t="shared" ca="1" si="27"/>
        <v/>
      </c>
      <c r="AU49" s="362" t="str">
        <f t="shared" ca="1" si="27"/>
        <v/>
      </c>
      <c r="AV49" s="362">
        <f t="shared" ca="1" si="27"/>
        <v>497.52640520481702</v>
      </c>
      <c r="AW49" s="362">
        <f t="shared" ca="1" si="27"/>
        <v>1361.6171263411916</v>
      </c>
      <c r="AX49" s="362">
        <f t="shared" ca="1" si="27"/>
        <v>42.106365709288561</v>
      </c>
      <c r="AY49" s="362">
        <f t="shared" ca="1" si="27"/>
        <v>124.43697824242066</v>
      </c>
      <c r="AZ49" s="362">
        <f t="shared" ca="1" si="28"/>
        <v>25123.711178650556</v>
      </c>
      <c r="BA49" s="362">
        <f t="shared" ca="1" si="28"/>
        <v>4498.4759306586811</v>
      </c>
      <c r="BB49" s="362">
        <f t="shared" ca="1" si="28"/>
        <v>211.77122242947524</v>
      </c>
      <c r="BC49" s="362">
        <f t="shared" ca="1" si="28"/>
        <v>1644.9919849094142</v>
      </c>
      <c r="BD49" s="362">
        <f t="shared" ca="1" si="28"/>
        <v>877.22881651838861</v>
      </c>
      <c r="BE49" s="362">
        <f t="shared" ca="1" si="28"/>
        <v>5845.4128478032089</v>
      </c>
      <c r="BF49" s="362">
        <f t="shared" ca="1" si="28"/>
        <v>10082.241603025503</v>
      </c>
      <c r="BG49" s="362">
        <f t="shared" ca="1" si="28"/>
        <v>13213.549505801528</v>
      </c>
      <c r="BH49" s="362">
        <f t="shared" ca="1" si="28"/>
        <v>13710.13521560043</v>
      </c>
      <c r="BI49" s="362">
        <f t="shared" ca="1" si="28"/>
        <v>5421.6452753228559</v>
      </c>
      <c r="BJ49" s="362">
        <f t="shared" ca="1" si="28"/>
        <v>82472.675860336691</v>
      </c>
      <c r="BK49" s="362">
        <f t="shared" ca="1" si="28"/>
        <v>22627.807654349104</v>
      </c>
      <c r="BL49" s="362">
        <f t="shared" ca="1" si="28"/>
        <v>3755.5634971097347</v>
      </c>
      <c r="BM49" s="362">
        <f t="shared" ca="1" si="7"/>
        <v>0</v>
      </c>
      <c r="BO49" s="360">
        <f t="shared" si="10"/>
        <v>2050</v>
      </c>
      <c r="BP49" s="375">
        <f ca="1">IF(GridFootprintToggle="Yes",EF_PurchElec_MTperMWh*(1-ExposureCalculations!B55),EF_PurchElec_MTperMWh)</f>
        <v>0.71025672512797189</v>
      </c>
      <c r="BT49" s="360">
        <f t="shared" si="11"/>
        <v>2050</v>
      </c>
      <c r="BU49" s="1504">
        <f t="shared" ca="1" si="12"/>
        <v>29236.201932578002</v>
      </c>
      <c r="BV49" s="1504">
        <f t="shared" ca="1" si="13"/>
        <v>0</v>
      </c>
      <c r="BW49" s="1504">
        <f t="shared" ca="1" si="14"/>
        <v>0</v>
      </c>
      <c r="BX49" s="1504">
        <f t="shared" ca="1" si="15"/>
        <v>15363.691511539932</v>
      </c>
      <c r="BY49" s="1504">
        <v>191510.89746801331</v>
      </c>
      <c r="BZ49" s="1504">
        <f t="shared" ca="1" si="16"/>
        <v>52442.654662141533</v>
      </c>
      <c r="CA49" s="1504">
        <f t="shared" ca="1" si="17"/>
        <v>97662.518666379561</v>
      </c>
      <c r="CB49" s="1504">
        <f t="shared" ca="1" si="18"/>
        <v>0</v>
      </c>
      <c r="CC49" s="1504">
        <f t="shared" ca="1" si="8"/>
        <v>191510.89746801331</v>
      </c>
    </row>
    <row r="50" spans="23:81" ht="60">
      <c r="AA50" s="323" t="s">
        <v>284</v>
      </c>
      <c r="AB50" s="323" t="s">
        <v>372</v>
      </c>
      <c r="AC50" s="323"/>
      <c r="AD50" s="323" t="s">
        <v>312</v>
      </c>
      <c r="AE50" s="323"/>
      <c r="AF50" s="345">
        <f t="shared" ref="AF50:BL50" si="29">AF$3</f>
        <v>0</v>
      </c>
      <c r="AG50" s="345">
        <f t="shared" si="29"/>
        <v>0</v>
      </c>
      <c r="AH50" s="345">
        <f t="shared" si="29"/>
        <v>0</v>
      </c>
      <c r="AI50" s="345">
        <f t="shared" si="29"/>
        <v>0</v>
      </c>
      <c r="AJ50" s="345">
        <f t="shared" si="29"/>
        <v>0</v>
      </c>
      <c r="AK50" s="345">
        <f t="shared" si="29"/>
        <v>0</v>
      </c>
      <c r="AL50" s="345">
        <f t="shared" si="29"/>
        <v>0</v>
      </c>
      <c r="AM50" s="345">
        <f t="shared" si="29"/>
        <v>0</v>
      </c>
      <c r="AN50" s="345">
        <f t="shared" si="29"/>
        <v>0</v>
      </c>
      <c r="AO50" s="345">
        <f t="shared" si="29"/>
        <v>0</v>
      </c>
      <c r="AP50" s="345">
        <f t="shared" si="29"/>
        <v>0</v>
      </c>
      <c r="AQ50" s="345">
        <f t="shared" si="29"/>
        <v>0</v>
      </c>
      <c r="AR50" s="345">
        <f t="shared" si="29"/>
        <v>0</v>
      </c>
      <c r="AS50" s="345">
        <f t="shared" si="29"/>
        <v>0</v>
      </c>
      <c r="AT50" s="345">
        <f t="shared" si="29"/>
        <v>0</v>
      </c>
      <c r="AU50" s="345">
        <f t="shared" si="29"/>
        <v>0</v>
      </c>
      <c r="AV50" s="345" t="str">
        <f t="shared" si="29"/>
        <v>Rooftop Solar PV</v>
      </c>
      <c r="AW50" s="345" t="str">
        <f t="shared" si="29"/>
        <v>Geo Exchange</v>
      </c>
      <c r="AX50" s="345" t="str">
        <f t="shared" si="29"/>
        <v>Solar DHW</v>
      </c>
      <c r="AY50" s="345" t="str">
        <f t="shared" si="29"/>
        <v>On-site Wind</v>
      </c>
      <c r="AZ50" s="345" t="str">
        <f t="shared" si="29"/>
        <v>Coal to Natural Gas Conversion @ Steam Plant</v>
      </c>
      <c r="BA50" s="345" t="str">
        <f t="shared" si="29"/>
        <v>Steam Line Improvements</v>
      </c>
      <c r="BB50" s="345" t="str">
        <f t="shared" si="29"/>
        <v>Waste Reduction</v>
      </c>
      <c r="BC50" s="345" t="str">
        <f t="shared" si="29"/>
        <v>Reduced Automobile Reliance Strategies</v>
      </c>
      <c r="BD50" s="345" t="str">
        <f t="shared" si="29"/>
        <v>Reduced Air Travel</v>
      </c>
      <c r="BE50" s="345" t="str">
        <f t="shared" si="29"/>
        <v>Green IT</v>
      </c>
      <c r="BF50" s="345" t="str">
        <f t="shared" si="29"/>
        <v>Long-term Energy Conservation Measures</v>
      </c>
      <c r="BG50" s="345" t="str">
        <f t="shared" si="29"/>
        <v>Mid-term Energy Conservation Measures</v>
      </c>
      <c r="BH50" s="345" t="str">
        <f t="shared" si="29"/>
        <v>Short-term Energy Conservation Measures</v>
      </c>
      <c r="BI50" s="345" t="str">
        <f t="shared" si="29"/>
        <v>Central Chiller Expansion</v>
      </c>
      <c r="BJ50" s="345" t="str">
        <f t="shared" si="29"/>
        <v>Space Planning &amp; Management</v>
      </c>
      <c r="BK50" s="345" t="str">
        <f t="shared" si="29"/>
        <v>Building Design &amp; Construction Standards</v>
      </c>
      <c r="BL50" s="345" t="str">
        <f t="shared" si="29"/>
        <v>Behavior Change</v>
      </c>
      <c r="BM50" s="345" t="str">
        <f>BM$3</f>
        <v/>
      </c>
    </row>
    <row r="51" spans="23:81">
      <c r="AA51" s="318">
        <v>2005</v>
      </c>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c r="AY51" s="318"/>
      <c r="AZ51" s="318"/>
      <c r="BA51" s="318"/>
      <c r="BB51" s="318"/>
      <c r="BC51" s="318"/>
      <c r="BD51" s="318"/>
      <c r="BE51" s="318"/>
      <c r="BF51" s="318"/>
      <c r="BG51" s="318"/>
      <c r="BH51" s="318"/>
      <c r="BI51" s="318"/>
      <c r="BJ51" s="318"/>
      <c r="BK51" s="318"/>
      <c r="BL51" s="318"/>
      <c r="BM51" s="318"/>
    </row>
    <row r="52" spans="23:81">
      <c r="AA52" s="318">
        <f>AA51+1</f>
        <v>2006</v>
      </c>
      <c r="AB52" s="318"/>
      <c r="AC52" s="318"/>
      <c r="AD52" s="1745" t="s">
        <v>318</v>
      </c>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18"/>
      <c r="BM52" s="318"/>
    </row>
    <row r="53" spans="23:81">
      <c r="AA53" s="318">
        <f t="shared" ref="AA53:AA96" si="30">AA52+1</f>
        <v>2007</v>
      </c>
      <c r="AB53" s="318"/>
      <c r="AC53" s="318"/>
      <c r="AD53" s="1745"/>
      <c r="AE53" s="318"/>
      <c r="AF53" s="318"/>
      <c r="AG53" s="318"/>
      <c r="AH53" s="318"/>
      <c r="AI53" s="318"/>
      <c r="AJ53" s="318"/>
      <c r="AK53" s="318"/>
      <c r="AL53" s="318"/>
      <c r="AM53" s="318"/>
      <c r="AN53" s="318"/>
      <c r="AO53" s="318"/>
      <c r="AP53" s="318"/>
      <c r="AQ53" s="318"/>
      <c r="AR53" s="318"/>
      <c r="AS53" s="318"/>
      <c r="AT53" s="318"/>
      <c r="AU53" s="318"/>
      <c r="AV53" s="318"/>
      <c r="AW53" s="318"/>
      <c r="AX53" s="318"/>
      <c r="AY53" s="318"/>
      <c r="AZ53" s="318"/>
      <c r="BA53" s="318"/>
      <c r="BB53" s="318"/>
      <c r="BC53" s="318"/>
      <c r="BD53" s="318"/>
      <c r="BE53" s="318"/>
      <c r="BF53" s="318"/>
      <c r="BG53" s="318"/>
      <c r="BH53" s="318"/>
      <c r="BI53" s="318"/>
      <c r="BJ53" s="318"/>
      <c r="BK53" s="318"/>
      <c r="BL53" s="318"/>
      <c r="BM53" s="318"/>
    </row>
    <row r="54" spans="23:81">
      <c r="AA54" s="318">
        <f t="shared" si="30"/>
        <v>2008</v>
      </c>
      <c r="AB54" s="338"/>
      <c r="AC54" s="338"/>
      <c r="AD54" s="1745"/>
      <c r="AE54" s="318"/>
      <c r="AF54" s="318"/>
      <c r="AG54" s="318"/>
      <c r="AH54" s="318"/>
      <c r="AI54" s="318"/>
      <c r="AJ54" s="318"/>
      <c r="AK54" s="318"/>
      <c r="AL54" s="318"/>
      <c r="AM54" s="318"/>
      <c r="AN54" s="318"/>
      <c r="AO54" s="318"/>
      <c r="AP54" s="318"/>
      <c r="AQ54" s="318"/>
      <c r="AR54" s="318"/>
      <c r="AS54" s="318"/>
      <c r="AT54" s="318"/>
      <c r="AU54" s="318"/>
      <c r="AV54" s="318"/>
      <c r="AW54" s="318"/>
      <c r="AX54" s="318"/>
      <c r="AY54" s="318"/>
      <c r="AZ54" s="318"/>
      <c r="BA54" s="318"/>
      <c r="BB54" s="318"/>
      <c r="BC54" s="318"/>
      <c r="BD54" s="318"/>
      <c r="BE54" s="318"/>
      <c r="BF54" s="318"/>
      <c r="BG54" s="318"/>
      <c r="BH54" s="318"/>
      <c r="BI54" s="318"/>
      <c r="BJ54" s="318"/>
      <c r="BK54" s="318"/>
      <c r="BL54" s="318"/>
      <c r="BM54" s="318"/>
    </row>
    <row r="55" spans="23:81">
      <c r="AA55" s="318">
        <f t="shared" si="30"/>
        <v>2009</v>
      </c>
      <c r="AB55" s="338"/>
      <c r="AC55" s="338"/>
      <c r="AD55" s="338"/>
      <c r="AE55" s="318"/>
      <c r="AF55" s="318"/>
      <c r="AG55" s="318"/>
      <c r="AH55" s="318"/>
      <c r="AI55" s="318"/>
      <c r="AJ55" s="318"/>
      <c r="AK55" s="318"/>
      <c r="AL55" s="318"/>
      <c r="AM55" s="318"/>
      <c r="AN55" s="318"/>
      <c r="AO55" s="318"/>
      <c r="AP55" s="318"/>
      <c r="AQ55" s="318"/>
      <c r="AR55" s="318"/>
      <c r="AS55" s="318"/>
      <c r="AT55" s="318"/>
      <c r="AU55" s="318"/>
      <c r="AV55" s="318"/>
      <c r="AW55" s="318"/>
      <c r="AX55" s="318"/>
      <c r="AY55" s="318"/>
      <c r="AZ55" s="318"/>
      <c r="BA55" s="318"/>
      <c r="BB55" s="318"/>
      <c r="BC55" s="318"/>
      <c r="BD55" s="318"/>
      <c r="BE55" s="318"/>
      <c r="BF55" s="318"/>
      <c r="BG55" s="318"/>
      <c r="BH55" s="318"/>
      <c r="BI55" s="318"/>
      <c r="BJ55" s="318"/>
      <c r="BK55" s="318"/>
      <c r="BL55" s="318"/>
      <c r="BM55" s="318"/>
    </row>
    <row r="56" spans="23:81">
      <c r="AA56" s="360">
        <f>AA55+1</f>
        <v>2010</v>
      </c>
      <c r="AB56" s="362">
        <f>UtilityDemand!C12</f>
        <v>128552.63513418502</v>
      </c>
      <c r="AC56" s="362"/>
      <c r="AD56" s="362">
        <f t="shared" ref="AD56:AD96" ca="1" si="31">AB56-SUM(AE56:BM56)</f>
        <v>127163.99016669342</v>
      </c>
      <c r="AE56" s="362"/>
      <c r="AF56" s="362" t="str">
        <f t="shared" ref="AF56:AO65" ca="1" si="32">IFERROR(-HLOOKUP(AF$50,ElecConsTable,$AA56-$AA$56+2,FALSE),"")</f>
        <v/>
      </c>
      <c r="AG56" s="362" t="str">
        <f t="shared" ca="1" si="32"/>
        <v/>
      </c>
      <c r="AH56" s="362" t="str">
        <f t="shared" ca="1" si="32"/>
        <v/>
      </c>
      <c r="AI56" s="362" t="str">
        <f t="shared" ca="1" si="32"/>
        <v/>
      </c>
      <c r="AJ56" s="362" t="str">
        <f t="shared" ca="1" si="32"/>
        <v/>
      </c>
      <c r="AK56" s="362" t="str">
        <f t="shared" ca="1" si="32"/>
        <v/>
      </c>
      <c r="AL56" s="362" t="str">
        <f t="shared" ca="1" si="32"/>
        <v/>
      </c>
      <c r="AM56" s="362" t="str">
        <f t="shared" ca="1" si="32"/>
        <v/>
      </c>
      <c r="AN56" s="362" t="str">
        <f t="shared" ca="1" si="32"/>
        <v/>
      </c>
      <c r="AO56" s="362" t="str">
        <f t="shared" ca="1" si="32"/>
        <v/>
      </c>
      <c r="AP56" s="362" t="str">
        <f t="shared" ref="AP56:AY65" ca="1" si="33">IFERROR(-HLOOKUP(AP$50,ElecConsTable,$AA56-$AA$56+2,FALSE),"")</f>
        <v/>
      </c>
      <c r="AQ56" s="362" t="str">
        <f t="shared" ca="1" si="33"/>
        <v/>
      </c>
      <c r="AR56" s="362" t="str">
        <f t="shared" ca="1" si="33"/>
        <v/>
      </c>
      <c r="AS56" s="362" t="str">
        <f t="shared" ca="1" si="33"/>
        <v/>
      </c>
      <c r="AT56" s="362" t="str">
        <f t="shared" ca="1" si="33"/>
        <v/>
      </c>
      <c r="AU56" s="362" t="str">
        <f t="shared" ca="1" si="33"/>
        <v/>
      </c>
      <c r="AV56" s="362">
        <f t="shared" ca="1" si="33"/>
        <v>0</v>
      </c>
      <c r="AW56" s="362">
        <f t="shared" ca="1" si="33"/>
        <v>0</v>
      </c>
      <c r="AX56" s="362">
        <f t="shared" ca="1" si="33"/>
        <v>0</v>
      </c>
      <c r="AY56" s="362">
        <f t="shared" ca="1" si="33"/>
        <v>0</v>
      </c>
      <c r="AZ56" s="362">
        <f t="shared" ref="AZ56:BL65" ca="1" si="34">IFERROR(-HLOOKUP(AZ$50,ElecConsTable,$AA56-$AA$56+2,FALSE),"")</f>
        <v>0</v>
      </c>
      <c r="BA56" s="362">
        <f t="shared" ca="1" si="34"/>
        <v>0</v>
      </c>
      <c r="BB56" s="362">
        <f t="shared" ca="1" si="34"/>
        <v>0</v>
      </c>
      <c r="BC56" s="362">
        <f t="shared" ca="1" si="34"/>
        <v>0</v>
      </c>
      <c r="BD56" s="362">
        <f t="shared" ca="1" si="34"/>
        <v>0</v>
      </c>
      <c r="BE56" s="362">
        <f t="shared" ca="1" si="34"/>
        <v>0</v>
      </c>
      <c r="BF56" s="362">
        <f t="shared" ca="1" si="34"/>
        <v>0</v>
      </c>
      <c r="BG56" s="362">
        <f t="shared" ca="1" si="34"/>
        <v>0</v>
      </c>
      <c r="BH56" s="362">
        <f t="shared" ca="1" si="34"/>
        <v>0</v>
      </c>
      <c r="BI56" s="362">
        <f t="shared" ca="1" si="34"/>
        <v>0</v>
      </c>
      <c r="BJ56" s="362">
        <f t="shared" ca="1" si="34"/>
        <v>1388.6449674916055</v>
      </c>
      <c r="BK56" s="362">
        <f t="shared" ca="1" si="34"/>
        <v>0</v>
      </c>
      <c r="BL56" s="362">
        <f t="shared" ca="1" si="34"/>
        <v>0</v>
      </c>
      <c r="BM56" s="362"/>
    </row>
    <row r="57" spans="23:81">
      <c r="AA57" s="360">
        <f t="shared" si="30"/>
        <v>2011</v>
      </c>
      <c r="AB57" s="362">
        <f>UtilityDemand!C13</f>
        <v>130129.26073503707</v>
      </c>
      <c r="AC57" s="362"/>
      <c r="AD57" s="362">
        <f t="shared" ca="1" si="31"/>
        <v>125343.16963995527</v>
      </c>
      <c r="AE57" s="362"/>
      <c r="AF57" s="362" t="str">
        <f t="shared" ca="1" si="32"/>
        <v/>
      </c>
      <c r="AG57" s="362" t="str">
        <f t="shared" ca="1" si="32"/>
        <v/>
      </c>
      <c r="AH57" s="362" t="str">
        <f t="shared" ca="1" si="32"/>
        <v/>
      </c>
      <c r="AI57" s="362" t="str">
        <f t="shared" ca="1" si="32"/>
        <v/>
      </c>
      <c r="AJ57" s="362" t="str">
        <f t="shared" ca="1" si="32"/>
        <v/>
      </c>
      <c r="AK57" s="362" t="str">
        <f t="shared" ca="1" si="32"/>
        <v/>
      </c>
      <c r="AL57" s="362" t="str">
        <f t="shared" ca="1" si="32"/>
        <v/>
      </c>
      <c r="AM57" s="362" t="str">
        <f t="shared" ca="1" si="32"/>
        <v/>
      </c>
      <c r="AN57" s="362" t="str">
        <f t="shared" ca="1" si="32"/>
        <v/>
      </c>
      <c r="AO57" s="362" t="str">
        <f t="shared" ca="1" si="32"/>
        <v/>
      </c>
      <c r="AP57" s="362" t="str">
        <f t="shared" ca="1" si="33"/>
        <v/>
      </c>
      <c r="AQ57" s="362" t="str">
        <f t="shared" ca="1" si="33"/>
        <v/>
      </c>
      <c r="AR57" s="362" t="str">
        <f t="shared" ca="1" si="33"/>
        <v/>
      </c>
      <c r="AS57" s="362" t="str">
        <f t="shared" ca="1" si="33"/>
        <v/>
      </c>
      <c r="AT57" s="362" t="str">
        <f t="shared" ca="1" si="33"/>
        <v/>
      </c>
      <c r="AU57" s="362" t="str">
        <f t="shared" ca="1" si="33"/>
        <v/>
      </c>
      <c r="AV57" s="362">
        <f t="shared" ca="1" si="33"/>
        <v>0</v>
      </c>
      <c r="AW57" s="362">
        <f t="shared" ca="1" si="33"/>
        <v>0</v>
      </c>
      <c r="AX57" s="362">
        <f t="shared" ca="1" si="33"/>
        <v>0</v>
      </c>
      <c r="AY57" s="362">
        <f t="shared" ca="1" si="33"/>
        <v>175.19999999999709</v>
      </c>
      <c r="AZ57" s="362">
        <f t="shared" ca="1" si="34"/>
        <v>0</v>
      </c>
      <c r="BA57" s="362">
        <f t="shared" ca="1" si="34"/>
        <v>0</v>
      </c>
      <c r="BB57" s="362">
        <f t="shared" ca="1" si="34"/>
        <v>0</v>
      </c>
      <c r="BC57" s="362">
        <f t="shared" ca="1" si="34"/>
        <v>0</v>
      </c>
      <c r="BD57" s="362">
        <f t="shared" ca="1" si="34"/>
        <v>0</v>
      </c>
      <c r="BE57" s="362">
        <f t="shared" ca="1" si="34"/>
        <v>0</v>
      </c>
      <c r="BF57" s="362">
        <f t="shared" ca="1" si="34"/>
        <v>0</v>
      </c>
      <c r="BG57" s="362">
        <f t="shared" ca="1" si="34"/>
        <v>0</v>
      </c>
      <c r="BH57" s="362">
        <f t="shared" ca="1" si="34"/>
        <v>1316.4</v>
      </c>
      <c r="BI57" s="362">
        <f t="shared" ca="1" si="34"/>
        <v>0</v>
      </c>
      <c r="BJ57" s="362">
        <f t="shared" ca="1" si="34"/>
        <v>2777.2899349831932</v>
      </c>
      <c r="BK57" s="362">
        <f t="shared" ca="1" si="34"/>
        <v>517.2011600986034</v>
      </c>
      <c r="BL57" s="362">
        <f t="shared" ca="1" si="34"/>
        <v>0</v>
      </c>
      <c r="BM57" s="362"/>
    </row>
    <row r="58" spans="23:81">
      <c r="AA58" s="360">
        <f t="shared" si="30"/>
        <v>2012</v>
      </c>
      <c r="AB58" s="362">
        <f>UtilityDemand!C14</f>
        <v>133825.36797702796</v>
      </c>
      <c r="AC58" s="362"/>
      <c r="AD58" s="362">
        <f t="shared" ca="1" si="31"/>
        <v>113507.60182405892</v>
      </c>
      <c r="AE58" s="362"/>
      <c r="AF58" s="362" t="str">
        <f t="shared" ca="1" si="32"/>
        <v/>
      </c>
      <c r="AG58" s="362" t="str">
        <f t="shared" ca="1" si="32"/>
        <v/>
      </c>
      <c r="AH58" s="362" t="str">
        <f t="shared" ca="1" si="32"/>
        <v/>
      </c>
      <c r="AI58" s="362" t="str">
        <f t="shared" ca="1" si="32"/>
        <v/>
      </c>
      <c r="AJ58" s="362" t="str">
        <f t="shared" ca="1" si="32"/>
        <v/>
      </c>
      <c r="AK58" s="362" t="str">
        <f t="shared" ca="1" si="32"/>
        <v/>
      </c>
      <c r="AL58" s="362" t="str">
        <f t="shared" ca="1" si="32"/>
        <v/>
      </c>
      <c r="AM58" s="362" t="str">
        <f t="shared" ca="1" si="32"/>
        <v/>
      </c>
      <c r="AN58" s="362" t="str">
        <f t="shared" ca="1" si="32"/>
        <v/>
      </c>
      <c r="AO58" s="362" t="str">
        <f t="shared" ca="1" si="32"/>
        <v/>
      </c>
      <c r="AP58" s="362" t="str">
        <f t="shared" ca="1" si="33"/>
        <v/>
      </c>
      <c r="AQ58" s="362" t="str">
        <f t="shared" ca="1" si="33"/>
        <v/>
      </c>
      <c r="AR58" s="362" t="str">
        <f t="shared" ca="1" si="33"/>
        <v/>
      </c>
      <c r="AS58" s="362" t="str">
        <f t="shared" ca="1" si="33"/>
        <v/>
      </c>
      <c r="AT58" s="362" t="str">
        <f t="shared" ca="1" si="33"/>
        <v/>
      </c>
      <c r="AU58" s="362" t="str">
        <f t="shared" ca="1" si="33"/>
        <v/>
      </c>
      <c r="AV58" s="362">
        <f t="shared" ca="1" si="33"/>
        <v>0</v>
      </c>
      <c r="AW58" s="362">
        <f t="shared" ca="1" si="33"/>
        <v>0</v>
      </c>
      <c r="AX58" s="362">
        <f t="shared" ca="1" si="33"/>
        <v>0</v>
      </c>
      <c r="AY58" s="362">
        <f t="shared" ca="1" si="33"/>
        <v>175.20000000001164</v>
      </c>
      <c r="AZ58" s="362">
        <f t="shared" ca="1" si="34"/>
        <v>0</v>
      </c>
      <c r="BA58" s="362">
        <f t="shared" ca="1" si="34"/>
        <v>0</v>
      </c>
      <c r="BB58" s="362">
        <f t="shared" ca="1" si="34"/>
        <v>0</v>
      </c>
      <c r="BC58" s="362">
        <f t="shared" ca="1" si="34"/>
        <v>0</v>
      </c>
      <c r="BD58" s="362">
        <f t="shared" ca="1" si="34"/>
        <v>0</v>
      </c>
      <c r="BE58" s="362">
        <f t="shared" ca="1" si="34"/>
        <v>2743.3333333333335</v>
      </c>
      <c r="BF58" s="362">
        <f t="shared" ca="1" si="34"/>
        <v>0</v>
      </c>
      <c r="BG58" s="362">
        <f t="shared" ca="1" si="34"/>
        <v>0</v>
      </c>
      <c r="BH58" s="362">
        <f t="shared" ca="1" si="34"/>
        <v>2632.8</v>
      </c>
      <c r="BI58" s="362">
        <f t="shared" ca="1" si="34"/>
        <v>7702.2960000000003</v>
      </c>
      <c r="BJ58" s="362">
        <f t="shared" ca="1" si="34"/>
        <v>4165.9349024747989</v>
      </c>
      <c r="BK58" s="362">
        <f t="shared" ca="1" si="34"/>
        <v>2274.4409565709784</v>
      </c>
      <c r="BL58" s="362">
        <f t="shared" ca="1" si="34"/>
        <v>623.76096058991095</v>
      </c>
      <c r="BM58" s="362"/>
    </row>
    <row r="59" spans="23:81">
      <c r="AA59" s="360">
        <f t="shared" si="30"/>
        <v>2013</v>
      </c>
      <c r="AB59" s="362">
        <f>UtilityDemand!C15</f>
        <v>135980.03402546333</v>
      </c>
      <c r="AC59" s="362"/>
      <c r="AD59" s="362">
        <f t="shared" ca="1" si="31"/>
        <v>109218.09697479419</v>
      </c>
      <c r="AE59" s="362"/>
      <c r="AF59" s="362" t="str">
        <f t="shared" ca="1" si="32"/>
        <v/>
      </c>
      <c r="AG59" s="362" t="str">
        <f t="shared" ca="1" si="32"/>
        <v/>
      </c>
      <c r="AH59" s="362" t="str">
        <f t="shared" ca="1" si="32"/>
        <v/>
      </c>
      <c r="AI59" s="362" t="str">
        <f t="shared" ca="1" si="32"/>
        <v/>
      </c>
      <c r="AJ59" s="362" t="str">
        <f t="shared" ca="1" si="32"/>
        <v/>
      </c>
      <c r="AK59" s="362" t="str">
        <f t="shared" ca="1" si="32"/>
        <v/>
      </c>
      <c r="AL59" s="362" t="str">
        <f t="shared" ca="1" si="32"/>
        <v/>
      </c>
      <c r="AM59" s="362" t="str">
        <f t="shared" ca="1" si="32"/>
        <v/>
      </c>
      <c r="AN59" s="362" t="str">
        <f t="shared" ca="1" si="32"/>
        <v/>
      </c>
      <c r="AO59" s="362" t="str">
        <f t="shared" ca="1" si="32"/>
        <v/>
      </c>
      <c r="AP59" s="362" t="str">
        <f t="shared" ca="1" si="33"/>
        <v/>
      </c>
      <c r="AQ59" s="362" t="str">
        <f t="shared" ca="1" si="33"/>
        <v/>
      </c>
      <c r="AR59" s="362" t="str">
        <f t="shared" ca="1" si="33"/>
        <v/>
      </c>
      <c r="AS59" s="362" t="str">
        <f t="shared" ca="1" si="33"/>
        <v/>
      </c>
      <c r="AT59" s="362" t="str">
        <f t="shared" ca="1" si="33"/>
        <v/>
      </c>
      <c r="AU59" s="362" t="str">
        <f t="shared" ca="1" si="33"/>
        <v/>
      </c>
      <c r="AV59" s="362">
        <f t="shared" ca="1" si="33"/>
        <v>0</v>
      </c>
      <c r="AW59" s="362">
        <f t="shared" ca="1" si="33"/>
        <v>-518.29999999998836</v>
      </c>
      <c r="AX59" s="362">
        <f t="shared" ca="1" si="33"/>
        <v>0</v>
      </c>
      <c r="AY59" s="362">
        <f t="shared" ca="1" si="33"/>
        <v>175.20000000001164</v>
      </c>
      <c r="AZ59" s="362">
        <f t="shared" ca="1" si="34"/>
        <v>0</v>
      </c>
      <c r="BA59" s="362">
        <f t="shared" ca="1" si="34"/>
        <v>0</v>
      </c>
      <c r="BB59" s="362">
        <f t="shared" ca="1" si="34"/>
        <v>0</v>
      </c>
      <c r="BC59" s="362">
        <f t="shared" ca="1" si="34"/>
        <v>0</v>
      </c>
      <c r="BD59" s="362">
        <f t="shared" ca="1" si="34"/>
        <v>0</v>
      </c>
      <c r="BE59" s="362">
        <f t="shared" ca="1" si="34"/>
        <v>5486.666666666667</v>
      </c>
      <c r="BF59" s="362">
        <f t="shared" ca="1" si="34"/>
        <v>0</v>
      </c>
      <c r="BG59" s="362">
        <f t="shared" ca="1" si="34"/>
        <v>0</v>
      </c>
      <c r="BH59" s="362">
        <f t="shared" ca="1" si="34"/>
        <v>3949.2000000000003</v>
      </c>
      <c r="BI59" s="362">
        <f t="shared" ca="1" si="34"/>
        <v>7916.2439999999997</v>
      </c>
      <c r="BJ59" s="362">
        <f t="shared" ca="1" si="34"/>
        <v>5554.5798699663865</v>
      </c>
      <c r="BK59" s="362">
        <f t="shared" ca="1" si="34"/>
        <v>2963.2161338192936</v>
      </c>
      <c r="BL59" s="362">
        <f t="shared" ca="1" si="34"/>
        <v>1235.1303802167765</v>
      </c>
      <c r="BM59" s="362"/>
    </row>
    <row r="60" spans="23:81">
      <c r="AA60" s="360">
        <f t="shared" si="30"/>
        <v>2014</v>
      </c>
      <c r="AB60" s="362">
        <f>UtilityDemand!C16</f>
        <v>137556.65962631535</v>
      </c>
      <c r="AC60" s="362"/>
      <c r="AD60" s="362">
        <f t="shared" ca="1" si="31"/>
        <v>98143.335887137262</v>
      </c>
      <c r="AE60" s="362"/>
      <c r="AF60" s="362" t="str">
        <f t="shared" ca="1" si="32"/>
        <v/>
      </c>
      <c r="AG60" s="362" t="str">
        <f t="shared" ca="1" si="32"/>
        <v/>
      </c>
      <c r="AH60" s="362" t="str">
        <f t="shared" ca="1" si="32"/>
        <v/>
      </c>
      <c r="AI60" s="362" t="str">
        <f t="shared" ca="1" si="32"/>
        <v/>
      </c>
      <c r="AJ60" s="362" t="str">
        <f t="shared" ca="1" si="32"/>
        <v/>
      </c>
      <c r="AK60" s="362" t="str">
        <f t="shared" ca="1" si="32"/>
        <v/>
      </c>
      <c r="AL60" s="362" t="str">
        <f t="shared" ca="1" si="32"/>
        <v/>
      </c>
      <c r="AM60" s="362" t="str">
        <f t="shared" ca="1" si="32"/>
        <v/>
      </c>
      <c r="AN60" s="362" t="str">
        <f t="shared" ca="1" si="32"/>
        <v/>
      </c>
      <c r="AO60" s="362" t="str">
        <f t="shared" ca="1" si="32"/>
        <v/>
      </c>
      <c r="AP60" s="362" t="str">
        <f t="shared" ca="1" si="33"/>
        <v/>
      </c>
      <c r="AQ60" s="362" t="str">
        <f t="shared" ca="1" si="33"/>
        <v/>
      </c>
      <c r="AR60" s="362" t="str">
        <f t="shared" ca="1" si="33"/>
        <v/>
      </c>
      <c r="AS60" s="362" t="str">
        <f t="shared" ca="1" si="33"/>
        <v/>
      </c>
      <c r="AT60" s="362" t="str">
        <f t="shared" ca="1" si="33"/>
        <v/>
      </c>
      <c r="AU60" s="362" t="str">
        <f t="shared" ca="1" si="33"/>
        <v/>
      </c>
      <c r="AV60" s="362">
        <f t="shared" ca="1" si="33"/>
        <v>0</v>
      </c>
      <c r="AW60" s="362">
        <f t="shared" ca="1" si="33"/>
        <v>-518.29999999998836</v>
      </c>
      <c r="AX60" s="362">
        <f t="shared" ca="1" si="33"/>
        <v>0</v>
      </c>
      <c r="AY60" s="362">
        <f t="shared" ca="1" si="33"/>
        <v>175.20000000001164</v>
      </c>
      <c r="AZ60" s="362">
        <f t="shared" ca="1" si="34"/>
        <v>0</v>
      </c>
      <c r="BA60" s="362">
        <f t="shared" ca="1" si="34"/>
        <v>0</v>
      </c>
      <c r="BB60" s="362">
        <f t="shared" ca="1" si="34"/>
        <v>0</v>
      </c>
      <c r="BC60" s="362">
        <f t="shared" ca="1" si="34"/>
        <v>0</v>
      </c>
      <c r="BD60" s="362">
        <f t="shared" ca="1" si="34"/>
        <v>0</v>
      </c>
      <c r="BE60" s="362">
        <f t="shared" ca="1" si="34"/>
        <v>8230</v>
      </c>
      <c r="BF60" s="362">
        <f t="shared" ca="1" si="34"/>
        <v>0</v>
      </c>
      <c r="BG60" s="362">
        <f t="shared" ca="1" si="34"/>
        <v>0</v>
      </c>
      <c r="BH60" s="362">
        <f t="shared" ca="1" si="34"/>
        <v>5265.6</v>
      </c>
      <c r="BI60" s="362">
        <f t="shared" ca="1" si="34"/>
        <v>14239.791999999999</v>
      </c>
      <c r="BJ60" s="362">
        <f t="shared" ca="1" si="34"/>
        <v>6943.2248374579913</v>
      </c>
      <c r="BK60" s="362">
        <f t="shared" ca="1" si="34"/>
        <v>3246.2836344032548</v>
      </c>
      <c r="BL60" s="362">
        <f t="shared" ca="1" si="34"/>
        <v>1831.5232673168114</v>
      </c>
      <c r="BM60" s="362"/>
    </row>
    <row r="61" spans="23:81">
      <c r="AA61" s="360">
        <f t="shared" si="30"/>
        <v>2015</v>
      </c>
      <c r="AB61" s="362">
        <f>UtilityDemand!C17</f>
        <v>140674.7264207229</v>
      </c>
      <c r="AC61" s="362"/>
      <c r="AD61" s="362">
        <f t="shared" ca="1" si="31"/>
        <v>96171.214257446176</v>
      </c>
      <c r="AE61" s="362"/>
      <c r="AF61" s="362" t="str">
        <f t="shared" ca="1" si="32"/>
        <v/>
      </c>
      <c r="AG61" s="362" t="str">
        <f t="shared" ca="1" si="32"/>
        <v/>
      </c>
      <c r="AH61" s="362" t="str">
        <f t="shared" ca="1" si="32"/>
        <v/>
      </c>
      <c r="AI61" s="362" t="str">
        <f t="shared" ca="1" si="32"/>
        <v/>
      </c>
      <c r="AJ61" s="362" t="str">
        <f t="shared" ca="1" si="32"/>
        <v/>
      </c>
      <c r="AK61" s="362" t="str">
        <f t="shared" ca="1" si="32"/>
        <v/>
      </c>
      <c r="AL61" s="362" t="str">
        <f t="shared" ca="1" si="32"/>
        <v/>
      </c>
      <c r="AM61" s="362" t="str">
        <f t="shared" ca="1" si="32"/>
        <v/>
      </c>
      <c r="AN61" s="362" t="str">
        <f t="shared" ca="1" si="32"/>
        <v/>
      </c>
      <c r="AO61" s="362" t="str">
        <f t="shared" ca="1" si="32"/>
        <v/>
      </c>
      <c r="AP61" s="362" t="str">
        <f t="shared" ca="1" si="33"/>
        <v/>
      </c>
      <c r="AQ61" s="362" t="str">
        <f t="shared" ca="1" si="33"/>
        <v/>
      </c>
      <c r="AR61" s="362" t="str">
        <f t="shared" ca="1" si="33"/>
        <v/>
      </c>
      <c r="AS61" s="362" t="str">
        <f t="shared" ca="1" si="33"/>
        <v/>
      </c>
      <c r="AT61" s="362" t="str">
        <f t="shared" ca="1" si="33"/>
        <v/>
      </c>
      <c r="AU61" s="362" t="str">
        <f t="shared" ca="1" si="33"/>
        <v/>
      </c>
      <c r="AV61" s="362">
        <f t="shared" ca="1" si="33"/>
        <v>700.48813000001246</v>
      </c>
      <c r="AW61" s="362">
        <f t="shared" ca="1" si="33"/>
        <v>-1036.6000000000058</v>
      </c>
      <c r="AX61" s="362">
        <f t="shared" ca="1" si="33"/>
        <v>0</v>
      </c>
      <c r="AY61" s="362">
        <f t="shared" ca="1" si="33"/>
        <v>175.20000000001164</v>
      </c>
      <c r="AZ61" s="362">
        <f t="shared" ca="1" si="34"/>
        <v>0</v>
      </c>
      <c r="BA61" s="362">
        <f t="shared" ca="1" si="34"/>
        <v>0</v>
      </c>
      <c r="BB61" s="362">
        <f t="shared" ca="1" si="34"/>
        <v>0</v>
      </c>
      <c r="BC61" s="362">
        <f t="shared" ca="1" si="34"/>
        <v>0</v>
      </c>
      <c r="BD61" s="362">
        <f t="shared" ca="1" si="34"/>
        <v>0</v>
      </c>
      <c r="BE61" s="362">
        <f t="shared" ca="1" si="34"/>
        <v>8230</v>
      </c>
      <c r="BF61" s="362">
        <f t="shared" ca="1" si="34"/>
        <v>0</v>
      </c>
      <c r="BG61" s="362">
        <f t="shared" ca="1" si="34"/>
        <v>0</v>
      </c>
      <c r="BH61" s="362">
        <f t="shared" ca="1" si="34"/>
        <v>6582</v>
      </c>
      <c r="BI61" s="362">
        <f t="shared" ca="1" si="34"/>
        <v>14453.74</v>
      </c>
      <c r="BJ61" s="362">
        <f t="shared" ca="1" si="34"/>
        <v>8331.8698049495979</v>
      </c>
      <c r="BK61" s="362">
        <f t="shared" ca="1" si="34"/>
        <v>4644.486832664943</v>
      </c>
      <c r="BL61" s="362">
        <f t="shared" ca="1" si="34"/>
        <v>2422.3273956621674</v>
      </c>
      <c r="BM61" s="362"/>
    </row>
    <row r="62" spans="23:81">
      <c r="AA62" s="360">
        <f t="shared" si="30"/>
        <v>2016</v>
      </c>
      <c r="AB62" s="362">
        <f>UtilityDemand!C18</f>
        <v>142251.35202157494</v>
      </c>
      <c r="AC62" s="362"/>
      <c r="AD62" s="362">
        <f t="shared" ca="1" si="31"/>
        <v>92099.523103294239</v>
      </c>
      <c r="AE62" s="362"/>
      <c r="AF62" s="362" t="str">
        <f t="shared" ca="1" si="32"/>
        <v/>
      </c>
      <c r="AG62" s="362" t="str">
        <f t="shared" ca="1" si="32"/>
        <v/>
      </c>
      <c r="AH62" s="362" t="str">
        <f t="shared" ca="1" si="32"/>
        <v/>
      </c>
      <c r="AI62" s="362" t="str">
        <f t="shared" ca="1" si="32"/>
        <v/>
      </c>
      <c r="AJ62" s="362" t="str">
        <f t="shared" ca="1" si="32"/>
        <v/>
      </c>
      <c r="AK62" s="362" t="str">
        <f t="shared" ca="1" si="32"/>
        <v/>
      </c>
      <c r="AL62" s="362" t="str">
        <f t="shared" ca="1" si="32"/>
        <v/>
      </c>
      <c r="AM62" s="362" t="str">
        <f t="shared" ca="1" si="32"/>
        <v/>
      </c>
      <c r="AN62" s="362" t="str">
        <f t="shared" ca="1" si="32"/>
        <v/>
      </c>
      <c r="AO62" s="362" t="str">
        <f t="shared" ca="1" si="32"/>
        <v/>
      </c>
      <c r="AP62" s="362" t="str">
        <f t="shared" ca="1" si="33"/>
        <v/>
      </c>
      <c r="AQ62" s="362" t="str">
        <f t="shared" ca="1" si="33"/>
        <v/>
      </c>
      <c r="AR62" s="362" t="str">
        <f t="shared" ca="1" si="33"/>
        <v/>
      </c>
      <c r="AS62" s="362" t="str">
        <f t="shared" ca="1" si="33"/>
        <v/>
      </c>
      <c r="AT62" s="362" t="str">
        <f t="shared" ca="1" si="33"/>
        <v/>
      </c>
      <c r="AU62" s="362" t="str">
        <f t="shared" ca="1" si="33"/>
        <v/>
      </c>
      <c r="AV62" s="362">
        <f t="shared" ca="1" si="33"/>
        <v>700.48813000001246</v>
      </c>
      <c r="AW62" s="362">
        <f t="shared" ca="1" si="33"/>
        <v>-1036.6000000000058</v>
      </c>
      <c r="AX62" s="362">
        <f t="shared" ca="1" si="33"/>
        <v>0</v>
      </c>
      <c r="AY62" s="362">
        <f t="shared" ca="1" si="33"/>
        <v>175.20000000001164</v>
      </c>
      <c r="AZ62" s="362">
        <f t="shared" ca="1" si="34"/>
        <v>0</v>
      </c>
      <c r="BA62" s="362">
        <f t="shared" ca="1" si="34"/>
        <v>0</v>
      </c>
      <c r="BB62" s="362">
        <f t="shared" ca="1" si="34"/>
        <v>0</v>
      </c>
      <c r="BC62" s="362">
        <f t="shared" ca="1" si="34"/>
        <v>0</v>
      </c>
      <c r="BD62" s="362">
        <f t="shared" ca="1" si="34"/>
        <v>0</v>
      </c>
      <c r="BE62" s="362">
        <f t="shared" ca="1" si="34"/>
        <v>8230</v>
      </c>
      <c r="BF62" s="362">
        <f t="shared" ca="1" si="34"/>
        <v>0</v>
      </c>
      <c r="BG62" s="362">
        <f t="shared" ca="1" si="34"/>
        <v>1040.125</v>
      </c>
      <c r="BH62" s="362">
        <f t="shared" ca="1" si="34"/>
        <v>6582</v>
      </c>
      <c r="BI62" s="362">
        <f t="shared" ca="1" si="34"/>
        <v>16801.288</v>
      </c>
      <c r="BJ62" s="362">
        <f t="shared" ca="1" si="34"/>
        <v>9720.5147724411854</v>
      </c>
      <c r="BK62" s="362">
        <f t="shared" ca="1" si="34"/>
        <v>4939.5848303704188</v>
      </c>
      <c r="BL62" s="362">
        <f t="shared" ca="1" si="34"/>
        <v>2999.2281854690841</v>
      </c>
      <c r="BM62" s="362"/>
    </row>
    <row r="63" spans="23:81">
      <c r="AA63" s="360">
        <f t="shared" si="30"/>
        <v>2017</v>
      </c>
      <c r="AB63" s="362">
        <f>UtilityDemand!C19</f>
        <v>143827.97762242699</v>
      </c>
      <c r="AC63" s="362"/>
      <c r="AD63" s="362">
        <f t="shared" ca="1" si="31"/>
        <v>90171.506627065217</v>
      </c>
      <c r="AE63" s="362"/>
      <c r="AF63" s="362" t="str">
        <f t="shared" ca="1" si="32"/>
        <v/>
      </c>
      <c r="AG63" s="362" t="str">
        <f t="shared" ca="1" si="32"/>
        <v/>
      </c>
      <c r="AH63" s="362" t="str">
        <f t="shared" ca="1" si="32"/>
        <v/>
      </c>
      <c r="AI63" s="362" t="str">
        <f t="shared" ca="1" si="32"/>
        <v/>
      </c>
      <c r="AJ63" s="362" t="str">
        <f t="shared" ca="1" si="32"/>
        <v/>
      </c>
      <c r="AK63" s="362" t="str">
        <f t="shared" ca="1" si="32"/>
        <v/>
      </c>
      <c r="AL63" s="362" t="str">
        <f t="shared" ca="1" si="32"/>
        <v/>
      </c>
      <c r="AM63" s="362" t="str">
        <f t="shared" ca="1" si="32"/>
        <v/>
      </c>
      <c r="AN63" s="362" t="str">
        <f t="shared" ca="1" si="32"/>
        <v/>
      </c>
      <c r="AO63" s="362" t="str">
        <f t="shared" ca="1" si="32"/>
        <v/>
      </c>
      <c r="AP63" s="362" t="str">
        <f t="shared" ca="1" si="33"/>
        <v/>
      </c>
      <c r="AQ63" s="362" t="str">
        <f t="shared" ca="1" si="33"/>
        <v/>
      </c>
      <c r="AR63" s="362" t="str">
        <f t="shared" ca="1" si="33"/>
        <v/>
      </c>
      <c r="AS63" s="362" t="str">
        <f t="shared" ca="1" si="33"/>
        <v/>
      </c>
      <c r="AT63" s="362" t="str">
        <f t="shared" ca="1" si="33"/>
        <v/>
      </c>
      <c r="AU63" s="362" t="str">
        <f t="shared" ca="1" si="33"/>
        <v/>
      </c>
      <c r="AV63" s="362">
        <f t="shared" ca="1" si="33"/>
        <v>700.48813000001246</v>
      </c>
      <c r="AW63" s="362">
        <f t="shared" ca="1" si="33"/>
        <v>-1036.6000000000058</v>
      </c>
      <c r="AX63" s="362">
        <f t="shared" ca="1" si="33"/>
        <v>0</v>
      </c>
      <c r="AY63" s="362">
        <f t="shared" ca="1" si="33"/>
        <v>175.20000000001164</v>
      </c>
      <c r="AZ63" s="362">
        <f t="shared" ca="1" si="34"/>
        <v>0</v>
      </c>
      <c r="BA63" s="362">
        <f t="shared" ca="1" si="34"/>
        <v>0</v>
      </c>
      <c r="BB63" s="362">
        <f t="shared" ca="1" si="34"/>
        <v>0</v>
      </c>
      <c r="BC63" s="362">
        <f t="shared" ca="1" si="34"/>
        <v>0</v>
      </c>
      <c r="BD63" s="362">
        <f t="shared" ca="1" si="34"/>
        <v>0</v>
      </c>
      <c r="BE63" s="362">
        <f t="shared" ca="1" si="34"/>
        <v>8230</v>
      </c>
      <c r="BF63" s="362">
        <f t="shared" ca="1" si="34"/>
        <v>0</v>
      </c>
      <c r="BG63" s="362">
        <f t="shared" ca="1" si="34"/>
        <v>2080.25</v>
      </c>
      <c r="BH63" s="362">
        <f t="shared" ca="1" si="34"/>
        <v>6582</v>
      </c>
      <c r="BI63" s="362">
        <f t="shared" ca="1" si="34"/>
        <v>17015.236000000001</v>
      </c>
      <c r="BJ63" s="362">
        <f t="shared" ca="1" si="34"/>
        <v>11109.159739932793</v>
      </c>
      <c r="BK63" s="362">
        <f t="shared" ca="1" si="34"/>
        <v>5236.1238030454897</v>
      </c>
      <c r="BL63" s="362">
        <f t="shared" ca="1" si="34"/>
        <v>3564.6133223834609</v>
      </c>
      <c r="BM63" s="362"/>
    </row>
    <row r="64" spans="23:81">
      <c r="AA64" s="360">
        <f t="shared" si="30"/>
        <v>2018</v>
      </c>
      <c r="AB64" s="362">
        <f>UtilityDemand!C20</f>
        <v>145404.603223279</v>
      </c>
      <c r="AC64" s="362"/>
      <c r="AD64" s="362">
        <f t="shared" ca="1" si="31"/>
        <v>88371.301946838576</v>
      </c>
      <c r="AE64" s="362"/>
      <c r="AF64" s="362" t="str">
        <f t="shared" ca="1" si="32"/>
        <v/>
      </c>
      <c r="AG64" s="362" t="str">
        <f t="shared" ca="1" si="32"/>
        <v/>
      </c>
      <c r="AH64" s="362" t="str">
        <f t="shared" ca="1" si="32"/>
        <v/>
      </c>
      <c r="AI64" s="362" t="str">
        <f t="shared" ca="1" si="32"/>
        <v/>
      </c>
      <c r="AJ64" s="362" t="str">
        <f t="shared" ca="1" si="32"/>
        <v/>
      </c>
      <c r="AK64" s="362" t="str">
        <f t="shared" ca="1" si="32"/>
        <v/>
      </c>
      <c r="AL64" s="362" t="str">
        <f t="shared" ca="1" si="32"/>
        <v/>
      </c>
      <c r="AM64" s="362" t="str">
        <f t="shared" ca="1" si="32"/>
        <v/>
      </c>
      <c r="AN64" s="362" t="str">
        <f t="shared" ca="1" si="32"/>
        <v/>
      </c>
      <c r="AO64" s="362" t="str">
        <f t="shared" ca="1" si="32"/>
        <v/>
      </c>
      <c r="AP64" s="362" t="str">
        <f t="shared" ca="1" si="33"/>
        <v/>
      </c>
      <c r="AQ64" s="362" t="str">
        <f t="shared" ca="1" si="33"/>
        <v/>
      </c>
      <c r="AR64" s="362" t="str">
        <f t="shared" ca="1" si="33"/>
        <v/>
      </c>
      <c r="AS64" s="362" t="str">
        <f t="shared" ca="1" si="33"/>
        <v/>
      </c>
      <c r="AT64" s="362" t="str">
        <f t="shared" ca="1" si="33"/>
        <v/>
      </c>
      <c r="AU64" s="362" t="str">
        <f t="shared" ca="1" si="33"/>
        <v/>
      </c>
      <c r="AV64" s="362">
        <f t="shared" ca="1" si="33"/>
        <v>700.48813000001246</v>
      </c>
      <c r="AW64" s="362">
        <f t="shared" ca="1" si="33"/>
        <v>-1036.6000000000058</v>
      </c>
      <c r="AX64" s="362">
        <f t="shared" ca="1" si="33"/>
        <v>0</v>
      </c>
      <c r="AY64" s="362">
        <f t="shared" ca="1" si="33"/>
        <v>175.20000000001164</v>
      </c>
      <c r="AZ64" s="362">
        <f t="shared" ca="1" si="34"/>
        <v>0</v>
      </c>
      <c r="BA64" s="362">
        <f t="shared" ca="1" si="34"/>
        <v>0</v>
      </c>
      <c r="BB64" s="362">
        <f t="shared" ca="1" si="34"/>
        <v>0</v>
      </c>
      <c r="BC64" s="362">
        <f t="shared" ca="1" si="34"/>
        <v>0</v>
      </c>
      <c r="BD64" s="362">
        <f t="shared" ca="1" si="34"/>
        <v>0</v>
      </c>
      <c r="BE64" s="362">
        <f t="shared" ca="1" si="34"/>
        <v>8230</v>
      </c>
      <c r="BF64" s="362">
        <f t="shared" ca="1" si="34"/>
        <v>0</v>
      </c>
      <c r="BG64" s="362">
        <f t="shared" ca="1" si="34"/>
        <v>3120.375</v>
      </c>
      <c r="BH64" s="362">
        <f t="shared" ca="1" si="34"/>
        <v>6582</v>
      </c>
      <c r="BI64" s="362">
        <f t="shared" ca="1" si="34"/>
        <v>17229.184000000001</v>
      </c>
      <c r="BJ64" s="362">
        <f t="shared" ca="1" si="34"/>
        <v>12497.804707424379</v>
      </c>
      <c r="BK64" s="362">
        <f t="shared" ca="1" si="34"/>
        <v>5534.0569766842273</v>
      </c>
      <c r="BL64" s="362">
        <f t="shared" ca="1" si="34"/>
        <v>4000.7924623317945</v>
      </c>
      <c r="BM64" s="362"/>
    </row>
    <row r="65" spans="27:65">
      <c r="AA65" s="360">
        <f t="shared" si="30"/>
        <v>2019</v>
      </c>
      <c r="AB65" s="362">
        <f>UtilityDemand!C21</f>
        <v>146981.22882413102</v>
      </c>
      <c r="AC65" s="362"/>
      <c r="AD65" s="362">
        <f t="shared" ca="1" si="31"/>
        <v>86578.999735595804</v>
      </c>
      <c r="AE65" s="362"/>
      <c r="AF65" s="362" t="str">
        <f t="shared" ca="1" si="32"/>
        <v/>
      </c>
      <c r="AG65" s="362" t="str">
        <f t="shared" ca="1" si="32"/>
        <v/>
      </c>
      <c r="AH65" s="362" t="str">
        <f t="shared" ca="1" si="32"/>
        <v/>
      </c>
      <c r="AI65" s="362" t="str">
        <f t="shared" ca="1" si="32"/>
        <v/>
      </c>
      <c r="AJ65" s="362" t="str">
        <f t="shared" ca="1" si="32"/>
        <v/>
      </c>
      <c r="AK65" s="362" t="str">
        <f t="shared" ca="1" si="32"/>
        <v/>
      </c>
      <c r="AL65" s="362" t="str">
        <f t="shared" ca="1" si="32"/>
        <v/>
      </c>
      <c r="AM65" s="362" t="str">
        <f t="shared" ca="1" si="32"/>
        <v/>
      </c>
      <c r="AN65" s="362" t="str">
        <f t="shared" ca="1" si="32"/>
        <v/>
      </c>
      <c r="AO65" s="362" t="str">
        <f t="shared" ca="1" si="32"/>
        <v/>
      </c>
      <c r="AP65" s="362" t="str">
        <f t="shared" ca="1" si="33"/>
        <v/>
      </c>
      <c r="AQ65" s="362" t="str">
        <f t="shared" ca="1" si="33"/>
        <v/>
      </c>
      <c r="AR65" s="362" t="str">
        <f t="shared" ca="1" si="33"/>
        <v/>
      </c>
      <c r="AS65" s="362" t="str">
        <f t="shared" ca="1" si="33"/>
        <v/>
      </c>
      <c r="AT65" s="362" t="str">
        <f t="shared" ca="1" si="33"/>
        <v/>
      </c>
      <c r="AU65" s="362" t="str">
        <f t="shared" ca="1" si="33"/>
        <v/>
      </c>
      <c r="AV65" s="362">
        <f t="shared" ca="1" si="33"/>
        <v>700.48813000001246</v>
      </c>
      <c r="AW65" s="362">
        <f t="shared" ca="1" si="33"/>
        <v>-1036.6000000000058</v>
      </c>
      <c r="AX65" s="362">
        <f t="shared" ca="1" si="33"/>
        <v>0</v>
      </c>
      <c r="AY65" s="362">
        <f t="shared" ca="1" si="33"/>
        <v>175.20000000001164</v>
      </c>
      <c r="AZ65" s="362">
        <f t="shared" ca="1" si="34"/>
        <v>0</v>
      </c>
      <c r="BA65" s="362">
        <f t="shared" ca="1" si="34"/>
        <v>0</v>
      </c>
      <c r="BB65" s="362">
        <f t="shared" ca="1" si="34"/>
        <v>0</v>
      </c>
      <c r="BC65" s="362">
        <f t="shared" ca="1" si="34"/>
        <v>0</v>
      </c>
      <c r="BD65" s="362">
        <f t="shared" ca="1" si="34"/>
        <v>0</v>
      </c>
      <c r="BE65" s="362">
        <f t="shared" ca="1" si="34"/>
        <v>8230</v>
      </c>
      <c r="BF65" s="362">
        <f t="shared" ca="1" si="34"/>
        <v>0</v>
      </c>
      <c r="BG65" s="362">
        <f t="shared" ca="1" si="34"/>
        <v>4160.5</v>
      </c>
      <c r="BH65" s="362">
        <f t="shared" ca="1" si="34"/>
        <v>6582</v>
      </c>
      <c r="BI65" s="362">
        <f t="shared" ca="1" si="34"/>
        <v>17443.132000000001</v>
      </c>
      <c r="BJ65" s="362">
        <f t="shared" ca="1" si="34"/>
        <v>13886.449674915983</v>
      </c>
      <c r="BK65" s="362">
        <f t="shared" ca="1" si="34"/>
        <v>5833.3395799886057</v>
      </c>
      <c r="BL65" s="362">
        <f t="shared" ca="1" si="34"/>
        <v>4427.7197036306052</v>
      </c>
      <c r="BM65" s="362"/>
    </row>
    <row r="66" spans="27:65">
      <c r="AA66" s="360">
        <f t="shared" si="30"/>
        <v>2020</v>
      </c>
      <c r="AB66" s="362">
        <f>UtilityDemand!C22</f>
        <v>148557.85442498306</v>
      </c>
      <c r="AC66" s="362"/>
      <c r="AD66" s="362">
        <f t="shared" ca="1" si="31"/>
        <v>84794.657260399574</v>
      </c>
      <c r="AE66" s="362"/>
      <c r="AF66" s="362" t="str">
        <f t="shared" ref="AF66:AO75" ca="1" si="35">IFERROR(-HLOOKUP(AF$50,ElecConsTable,$AA66-$AA$56+2,FALSE),"")</f>
        <v/>
      </c>
      <c r="AG66" s="362" t="str">
        <f t="shared" ca="1" si="35"/>
        <v/>
      </c>
      <c r="AH66" s="362" t="str">
        <f t="shared" ca="1" si="35"/>
        <v/>
      </c>
      <c r="AI66" s="362" t="str">
        <f t="shared" ca="1" si="35"/>
        <v/>
      </c>
      <c r="AJ66" s="362" t="str">
        <f t="shared" ca="1" si="35"/>
        <v/>
      </c>
      <c r="AK66" s="362" t="str">
        <f t="shared" ca="1" si="35"/>
        <v/>
      </c>
      <c r="AL66" s="362" t="str">
        <f t="shared" ca="1" si="35"/>
        <v/>
      </c>
      <c r="AM66" s="362" t="str">
        <f t="shared" ca="1" si="35"/>
        <v/>
      </c>
      <c r="AN66" s="362" t="str">
        <f t="shared" ca="1" si="35"/>
        <v/>
      </c>
      <c r="AO66" s="362" t="str">
        <f t="shared" ca="1" si="35"/>
        <v/>
      </c>
      <c r="AP66" s="362" t="str">
        <f t="shared" ref="AP66:AY75" ca="1" si="36">IFERROR(-HLOOKUP(AP$50,ElecConsTable,$AA66-$AA$56+2,FALSE),"")</f>
        <v/>
      </c>
      <c r="AQ66" s="362" t="str">
        <f t="shared" ca="1" si="36"/>
        <v/>
      </c>
      <c r="AR66" s="362" t="str">
        <f t="shared" ca="1" si="36"/>
        <v/>
      </c>
      <c r="AS66" s="362" t="str">
        <f t="shared" ca="1" si="36"/>
        <v/>
      </c>
      <c r="AT66" s="362" t="str">
        <f t="shared" ca="1" si="36"/>
        <v/>
      </c>
      <c r="AU66" s="362" t="str">
        <f t="shared" ca="1" si="36"/>
        <v/>
      </c>
      <c r="AV66" s="362">
        <f t="shared" ca="1" si="36"/>
        <v>700.48813000001246</v>
      </c>
      <c r="AW66" s="362">
        <f t="shared" ca="1" si="36"/>
        <v>-1036.6000000000058</v>
      </c>
      <c r="AX66" s="362">
        <f t="shared" ca="1" si="36"/>
        <v>0</v>
      </c>
      <c r="AY66" s="362">
        <f t="shared" ca="1" si="36"/>
        <v>175.20000000001164</v>
      </c>
      <c r="AZ66" s="362">
        <f t="shared" ref="AZ66:BL75" ca="1" si="37">IFERROR(-HLOOKUP(AZ$50,ElecConsTable,$AA66-$AA$56+2,FALSE),"")</f>
        <v>0</v>
      </c>
      <c r="BA66" s="362">
        <f t="shared" ca="1" si="37"/>
        <v>0</v>
      </c>
      <c r="BB66" s="362">
        <f t="shared" ca="1" si="37"/>
        <v>0</v>
      </c>
      <c r="BC66" s="362">
        <f t="shared" ca="1" si="37"/>
        <v>0</v>
      </c>
      <c r="BD66" s="362">
        <f t="shared" ca="1" si="37"/>
        <v>0</v>
      </c>
      <c r="BE66" s="362">
        <f t="shared" ca="1" si="37"/>
        <v>8230</v>
      </c>
      <c r="BF66" s="362">
        <f t="shared" ca="1" si="37"/>
        <v>0</v>
      </c>
      <c r="BG66" s="362">
        <f t="shared" ca="1" si="37"/>
        <v>5200.625</v>
      </c>
      <c r="BH66" s="362">
        <f t="shared" ca="1" si="37"/>
        <v>6582</v>
      </c>
      <c r="BI66" s="362">
        <f t="shared" ca="1" si="37"/>
        <v>17657.080000000002</v>
      </c>
      <c r="BJ66" s="362">
        <f t="shared" ca="1" si="37"/>
        <v>15275.094642407574</v>
      </c>
      <c r="BK66" s="362">
        <f t="shared" ca="1" si="37"/>
        <v>6133.9287383170322</v>
      </c>
      <c r="BL66" s="362">
        <f t="shared" ca="1" si="37"/>
        <v>4845.380653858856</v>
      </c>
      <c r="BM66" s="362"/>
    </row>
    <row r="67" spans="27:65">
      <c r="AA67" s="360">
        <f t="shared" si="30"/>
        <v>2021</v>
      </c>
      <c r="AB67" s="362">
        <f>UtilityDemand!C23</f>
        <v>150134.48002583507</v>
      </c>
      <c r="AC67" s="362"/>
      <c r="AD67" s="362">
        <f t="shared" ca="1" si="31"/>
        <v>83018.329387719365</v>
      </c>
      <c r="AE67" s="362"/>
      <c r="AF67" s="362" t="str">
        <f t="shared" ca="1" si="35"/>
        <v/>
      </c>
      <c r="AG67" s="362" t="str">
        <f t="shared" ca="1" si="35"/>
        <v/>
      </c>
      <c r="AH67" s="362" t="str">
        <f t="shared" ca="1" si="35"/>
        <v/>
      </c>
      <c r="AI67" s="362" t="str">
        <f t="shared" ca="1" si="35"/>
        <v/>
      </c>
      <c r="AJ67" s="362" t="str">
        <f t="shared" ca="1" si="35"/>
        <v/>
      </c>
      <c r="AK67" s="362" t="str">
        <f t="shared" ca="1" si="35"/>
        <v/>
      </c>
      <c r="AL67" s="362" t="str">
        <f t="shared" ca="1" si="35"/>
        <v/>
      </c>
      <c r="AM67" s="362" t="str">
        <f t="shared" ca="1" si="35"/>
        <v/>
      </c>
      <c r="AN67" s="362" t="str">
        <f t="shared" ca="1" si="35"/>
        <v/>
      </c>
      <c r="AO67" s="362" t="str">
        <f t="shared" ca="1" si="35"/>
        <v/>
      </c>
      <c r="AP67" s="362" t="str">
        <f t="shared" ca="1" si="36"/>
        <v/>
      </c>
      <c r="AQ67" s="362" t="str">
        <f t="shared" ca="1" si="36"/>
        <v/>
      </c>
      <c r="AR67" s="362" t="str">
        <f t="shared" ca="1" si="36"/>
        <v/>
      </c>
      <c r="AS67" s="362" t="str">
        <f t="shared" ca="1" si="36"/>
        <v/>
      </c>
      <c r="AT67" s="362" t="str">
        <f t="shared" ca="1" si="36"/>
        <v/>
      </c>
      <c r="AU67" s="362" t="str">
        <f t="shared" ca="1" si="36"/>
        <v/>
      </c>
      <c r="AV67" s="362">
        <f t="shared" ca="1" si="36"/>
        <v>700.48813000001246</v>
      </c>
      <c r="AW67" s="362">
        <f t="shared" ca="1" si="36"/>
        <v>-1036.6000000000058</v>
      </c>
      <c r="AX67" s="362">
        <f t="shared" ca="1" si="36"/>
        <v>0</v>
      </c>
      <c r="AY67" s="362">
        <f t="shared" ca="1" si="36"/>
        <v>175.20000000001164</v>
      </c>
      <c r="AZ67" s="362">
        <f t="shared" ca="1" si="37"/>
        <v>0</v>
      </c>
      <c r="BA67" s="362">
        <f t="shared" ca="1" si="37"/>
        <v>0</v>
      </c>
      <c r="BB67" s="362">
        <f t="shared" ca="1" si="37"/>
        <v>0</v>
      </c>
      <c r="BC67" s="362">
        <f t="shared" ca="1" si="37"/>
        <v>0</v>
      </c>
      <c r="BD67" s="362">
        <f t="shared" ca="1" si="37"/>
        <v>0</v>
      </c>
      <c r="BE67" s="362">
        <f t="shared" ca="1" si="37"/>
        <v>8230</v>
      </c>
      <c r="BF67" s="362">
        <f t="shared" ca="1" si="37"/>
        <v>0</v>
      </c>
      <c r="BG67" s="362">
        <f t="shared" ca="1" si="37"/>
        <v>6240.75</v>
      </c>
      <c r="BH67" s="362">
        <f t="shared" ca="1" si="37"/>
        <v>6582</v>
      </c>
      <c r="BI67" s="362">
        <f t="shared" ca="1" si="37"/>
        <v>17871.027999999998</v>
      </c>
      <c r="BJ67" s="362">
        <f t="shared" ca="1" si="37"/>
        <v>16663.739609899178</v>
      </c>
      <c r="BK67" s="362">
        <f t="shared" ca="1" si="37"/>
        <v>6435.7833743013107</v>
      </c>
      <c r="BL67" s="362">
        <f t="shared" ca="1" si="37"/>
        <v>5253.7615239151928</v>
      </c>
      <c r="BM67" s="362"/>
    </row>
    <row r="68" spans="27:65">
      <c r="AA68" s="360">
        <f t="shared" si="30"/>
        <v>2022</v>
      </c>
      <c r="AB68" s="362">
        <f>UtilityDemand!C24</f>
        <v>151711.10562668712</v>
      </c>
      <c r="AC68" s="362"/>
      <c r="AD68" s="362">
        <f t="shared" ca="1" si="31"/>
        <v>81250.068707916012</v>
      </c>
      <c r="AE68" s="362"/>
      <c r="AF68" s="362" t="str">
        <f t="shared" ca="1" si="35"/>
        <v/>
      </c>
      <c r="AG68" s="362" t="str">
        <f t="shared" ca="1" si="35"/>
        <v/>
      </c>
      <c r="AH68" s="362" t="str">
        <f t="shared" ca="1" si="35"/>
        <v/>
      </c>
      <c r="AI68" s="362" t="str">
        <f t="shared" ca="1" si="35"/>
        <v/>
      </c>
      <c r="AJ68" s="362" t="str">
        <f t="shared" ca="1" si="35"/>
        <v/>
      </c>
      <c r="AK68" s="362" t="str">
        <f t="shared" ca="1" si="35"/>
        <v/>
      </c>
      <c r="AL68" s="362" t="str">
        <f t="shared" ca="1" si="35"/>
        <v/>
      </c>
      <c r="AM68" s="362" t="str">
        <f t="shared" ca="1" si="35"/>
        <v/>
      </c>
      <c r="AN68" s="362" t="str">
        <f t="shared" ca="1" si="35"/>
        <v/>
      </c>
      <c r="AO68" s="362" t="str">
        <f t="shared" ca="1" si="35"/>
        <v/>
      </c>
      <c r="AP68" s="362" t="str">
        <f t="shared" ca="1" si="36"/>
        <v/>
      </c>
      <c r="AQ68" s="362" t="str">
        <f t="shared" ca="1" si="36"/>
        <v/>
      </c>
      <c r="AR68" s="362" t="str">
        <f t="shared" ca="1" si="36"/>
        <v/>
      </c>
      <c r="AS68" s="362" t="str">
        <f t="shared" ca="1" si="36"/>
        <v/>
      </c>
      <c r="AT68" s="362" t="str">
        <f t="shared" ca="1" si="36"/>
        <v/>
      </c>
      <c r="AU68" s="362" t="str">
        <f t="shared" ca="1" si="36"/>
        <v/>
      </c>
      <c r="AV68" s="362">
        <f t="shared" ca="1" si="36"/>
        <v>700.48813000001246</v>
      </c>
      <c r="AW68" s="362">
        <f t="shared" ca="1" si="36"/>
        <v>-1036.6000000000058</v>
      </c>
      <c r="AX68" s="362">
        <f t="shared" ca="1" si="36"/>
        <v>0</v>
      </c>
      <c r="AY68" s="362">
        <f t="shared" ca="1" si="36"/>
        <v>175.20000000001164</v>
      </c>
      <c r="AZ68" s="362">
        <f t="shared" ca="1" si="37"/>
        <v>0</v>
      </c>
      <c r="BA68" s="362">
        <f t="shared" ca="1" si="37"/>
        <v>0</v>
      </c>
      <c r="BB68" s="362">
        <f t="shared" ca="1" si="37"/>
        <v>0</v>
      </c>
      <c r="BC68" s="362">
        <f t="shared" ca="1" si="37"/>
        <v>0</v>
      </c>
      <c r="BD68" s="362">
        <f t="shared" ca="1" si="37"/>
        <v>0</v>
      </c>
      <c r="BE68" s="362">
        <f t="shared" ca="1" si="37"/>
        <v>8230</v>
      </c>
      <c r="BF68" s="362">
        <f t="shared" ca="1" si="37"/>
        <v>0</v>
      </c>
      <c r="BG68" s="362">
        <f t="shared" ca="1" si="37"/>
        <v>7280.875</v>
      </c>
      <c r="BH68" s="362">
        <f t="shared" ca="1" si="37"/>
        <v>6582</v>
      </c>
      <c r="BI68" s="362">
        <f t="shared" ca="1" si="37"/>
        <v>18084.975999999999</v>
      </c>
      <c r="BJ68" s="362">
        <f t="shared" ca="1" si="37"/>
        <v>18052.384577390785</v>
      </c>
      <c r="BK68" s="362">
        <f t="shared" ca="1" si="37"/>
        <v>6738.8641146478949</v>
      </c>
      <c r="BL68" s="362">
        <f t="shared" ca="1" si="37"/>
        <v>5652.8490967324215</v>
      </c>
      <c r="BM68" s="362"/>
    </row>
    <row r="69" spans="27:65">
      <c r="AA69" s="360">
        <f t="shared" si="30"/>
        <v>2023</v>
      </c>
      <c r="AB69" s="362">
        <f>UtilityDemand!C25</f>
        <v>153287.73122753916</v>
      </c>
      <c r="AC69" s="362"/>
      <c r="AD69" s="362">
        <f t="shared" ca="1" si="31"/>
        <v>79937.527925978837</v>
      </c>
      <c r="AE69" s="362"/>
      <c r="AF69" s="362" t="str">
        <f t="shared" ca="1" si="35"/>
        <v/>
      </c>
      <c r="AG69" s="362" t="str">
        <f t="shared" ca="1" si="35"/>
        <v/>
      </c>
      <c r="AH69" s="362" t="str">
        <f t="shared" ca="1" si="35"/>
        <v/>
      </c>
      <c r="AI69" s="362" t="str">
        <f t="shared" ca="1" si="35"/>
        <v/>
      </c>
      <c r="AJ69" s="362" t="str">
        <f t="shared" ca="1" si="35"/>
        <v/>
      </c>
      <c r="AK69" s="362" t="str">
        <f t="shared" ca="1" si="35"/>
        <v/>
      </c>
      <c r="AL69" s="362" t="str">
        <f t="shared" ca="1" si="35"/>
        <v/>
      </c>
      <c r="AM69" s="362" t="str">
        <f t="shared" ca="1" si="35"/>
        <v/>
      </c>
      <c r="AN69" s="362" t="str">
        <f t="shared" ca="1" si="35"/>
        <v/>
      </c>
      <c r="AO69" s="362" t="str">
        <f t="shared" ca="1" si="35"/>
        <v/>
      </c>
      <c r="AP69" s="362" t="str">
        <f t="shared" ca="1" si="36"/>
        <v/>
      </c>
      <c r="AQ69" s="362" t="str">
        <f t="shared" ca="1" si="36"/>
        <v/>
      </c>
      <c r="AR69" s="362" t="str">
        <f t="shared" ca="1" si="36"/>
        <v/>
      </c>
      <c r="AS69" s="362" t="str">
        <f t="shared" ca="1" si="36"/>
        <v/>
      </c>
      <c r="AT69" s="362" t="str">
        <f t="shared" ca="1" si="36"/>
        <v/>
      </c>
      <c r="AU69" s="362" t="str">
        <f t="shared" ca="1" si="36"/>
        <v/>
      </c>
      <c r="AV69" s="362">
        <f t="shared" ca="1" si="36"/>
        <v>700.48813000001246</v>
      </c>
      <c r="AW69" s="362">
        <f t="shared" ca="1" si="36"/>
        <v>-1036.6000000000058</v>
      </c>
      <c r="AX69" s="362">
        <f t="shared" ca="1" si="36"/>
        <v>0</v>
      </c>
      <c r="AY69" s="362">
        <f t="shared" ca="1" si="36"/>
        <v>175.20000000001164</v>
      </c>
      <c r="AZ69" s="362">
        <f t="shared" ca="1" si="37"/>
        <v>0</v>
      </c>
      <c r="BA69" s="362">
        <f t="shared" ca="1" si="37"/>
        <v>0</v>
      </c>
      <c r="BB69" s="362">
        <f t="shared" ca="1" si="37"/>
        <v>0</v>
      </c>
      <c r="BC69" s="362">
        <f t="shared" ca="1" si="37"/>
        <v>0</v>
      </c>
      <c r="BD69" s="362">
        <f t="shared" ca="1" si="37"/>
        <v>0</v>
      </c>
      <c r="BE69" s="362">
        <f t="shared" ca="1" si="37"/>
        <v>8230</v>
      </c>
      <c r="BF69" s="362">
        <f t="shared" ca="1" si="37"/>
        <v>0</v>
      </c>
      <c r="BG69" s="362">
        <f t="shared" ca="1" si="37"/>
        <v>8321</v>
      </c>
      <c r="BH69" s="362">
        <f t="shared" ca="1" si="37"/>
        <v>6582</v>
      </c>
      <c r="BI69" s="362">
        <f t="shared" ca="1" si="37"/>
        <v>18298.923999999999</v>
      </c>
      <c r="BJ69" s="362">
        <f t="shared" ca="1" si="37"/>
        <v>19441.029544882371</v>
      </c>
      <c r="BK69" s="362">
        <f t="shared" ca="1" si="37"/>
        <v>7043.1332026790515</v>
      </c>
      <c r="BL69" s="362">
        <f t="shared" ca="1" si="37"/>
        <v>5595.0284239988878</v>
      </c>
      <c r="BM69" s="362"/>
    </row>
    <row r="70" spans="27:65">
      <c r="AA70" s="360">
        <f t="shared" si="30"/>
        <v>2024</v>
      </c>
      <c r="AB70" s="362">
        <f>UtilityDemand!C26</f>
        <v>154864.35682839117</v>
      </c>
      <c r="AC70" s="362"/>
      <c r="AD70" s="362">
        <f t="shared" ca="1" si="31"/>
        <v>79358.931374820997</v>
      </c>
      <c r="AE70" s="362"/>
      <c r="AF70" s="362" t="str">
        <f t="shared" ca="1" si="35"/>
        <v/>
      </c>
      <c r="AG70" s="362" t="str">
        <f t="shared" ca="1" si="35"/>
        <v/>
      </c>
      <c r="AH70" s="362" t="str">
        <f t="shared" ca="1" si="35"/>
        <v/>
      </c>
      <c r="AI70" s="362" t="str">
        <f t="shared" ca="1" si="35"/>
        <v/>
      </c>
      <c r="AJ70" s="362" t="str">
        <f t="shared" ca="1" si="35"/>
        <v/>
      </c>
      <c r="AK70" s="362" t="str">
        <f t="shared" ca="1" si="35"/>
        <v/>
      </c>
      <c r="AL70" s="362" t="str">
        <f t="shared" ca="1" si="35"/>
        <v/>
      </c>
      <c r="AM70" s="362" t="str">
        <f t="shared" ca="1" si="35"/>
        <v/>
      </c>
      <c r="AN70" s="362" t="str">
        <f t="shared" ca="1" si="35"/>
        <v/>
      </c>
      <c r="AO70" s="362" t="str">
        <f t="shared" ca="1" si="35"/>
        <v/>
      </c>
      <c r="AP70" s="362" t="str">
        <f t="shared" ca="1" si="36"/>
        <v/>
      </c>
      <c r="AQ70" s="362" t="str">
        <f t="shared" ca="1" si="36"/>
        <v/>
      </c>
      <c r="AR70" s="362" t="str">
        <f t="shared" ca="1" si="36"/>
        <v/>
      </c>
      <c r="AS70" s="362" t="str">
        <f t="shared" ca="1" si="36"/>
        <v/>
      </c>
      <c r="AT70" s="362" t="str">
        <f t="shared" ca="1" si="36"/>
        <v/>
      </c>
      <c r="AU70" s="362" t="str">
        <f t="shared" ca="1" si="36"/>
        <v/>
      </c>
      <c r="AV70" s="362">
        <f t="shared" ca="1" si="36"/>
        <v>700.48813000001246</v>
      </c>
      <c r="AW70" s="362">
        <f t="shared" ca="1" si="36"/>
        <v>-1036.6000000000058</v>
      </c>
      <c r="AX70" s="362">
        <f t="shared" ca="1" si="36"/>
        <v>0</v>
      </c>
      <c r="AY70" s="362">
        <f t="shared" ca="1" si="36"/>
        <v>175.20000000001164</v>
      </c>
      <c r="AZ70" s="362">
        <f t="shared" ca="1" si="37"/>
        <v>0</v>
      </c>
      <c r="BA70" s="362">
        <f t="shared" ca="1" si="37"/>
        <v>0</v>
      </c>
      <c r="BB70" s="362">
        <f t="shared" ca="1" si="37"/>
        <v>0</v>
      </c>
      <c r="BC70" s="362">
        <f t="shared" ca="1" si="37"/>
        <v>0</v>
      </c>
      <c r="BD70" s="362">
        <f t="shared" ca="1" si="37"/>
        <v>0</v>
      </c>
      <c r="BE70" s="362">
        <f t="shared" ca="1" si="37"/>
        <v>8230</v>
      </c>
      <c r="BF70" s="362">
        <f t="shared" ca="1" si="37"/>
        <v>266.39999999999998</v>
      </c>
      <c r="BG70" s="362">
        <f t="shared" ca="1" si="37"/>
        <v>8321</v>
      </c>
      <c r="BH70" s="362">
        <f t="shared" ca="1" si="37"/>
        <v>6582</v>
      </c>
      <c r="BI70" s="362">
        <f t="shared" ca="1" si="37"/>
        <v>18512.871999999999</v>
      </c>
      <c r="BJ70" s="362">
        <f t="shared" ca="1" si="37"/>
        <v>20829.674512373978</v>
      </c>
      <c r="BK70" s="362">
        <f t="shared" ca="1" si="37"/>
        <v>7348.5544162056012</v>
      </c>
      <c r="BL70" s="362">
        <f t="shared" ca="1" si="37"/>
        <v>5575.8363949905797</v>
      </c>
      <c r="BM70" s="362"/>
    </row>
    <row r="71" spans="27:65">
      <c r="AA71" s="360">
        <f t="shared" si="30"/>
        <v>2025</v>
      </c>
      <c r="AB71" s="362">
        <f>UtilityDemand!C27</f>
        <v>156440.98242924322</v>
      </c>
      <c r="AC71" s="362"/>
      <c r="AD71" s="362">
        <f t="shared" ca="1" si="31"/>
        <v>78779.273331070261</v>
      </c>
      <c r="AE71" s="362"/>
      <c r="AF71" s="362" t="str">
        <f t="shared" ca="1" si="35"/>
        <v/>
      </c>
      <c r="AG71" s="362" t="str">
        <f t="shared" ca="1" si="35"/>
        <v/>
      </c>
      <c r="AH71" s="362" t="str">
        <f t="shared" ca="1" si="35"/>
        <v/>
      </c>
      <c r="AI71" s="362" t="str">
        <f t="shared" ca="1" si="35"/>
        <v/>
      </c>
      <c r="AJ71" s="362" t="str">
        <f t="shared" ca="1" si="35"/>
        <v/>
      </c>
      <c r="AK71" s="362" t="str">
        <f t="shared" ca="1" si="35"/>
        <v/>
      </c>
      <c r="AL71" s="362" t="str">
        <f t="shared" ca="1" si="35"/>
        <v/>
      </c>
      <c r="AM71" s="362" t="str">
        <f t="shared" ca="1" si="35"/>
        <v/>
      </c>
      <c r="AN71" s="362" t="str">
        <f t="shared" ca="1" si="35"/>
        <v/>
      </c>
      <c r="AO71" s="362" t="str">
        <f t="shared" ca="1" si="35"/>
        <v/>
      </c>
      <c r="AP71" s="362" t="str">
        <f t="shared" ca="1" si="36"/>
        <v/>
      </c>
      <c r="AQ71" s="362" t="str">
        <f t="shared" ca="1" si="36"/>
        <v/>
      </c>
      <c r="AR71" s="362" t="str">
        <f t="shared" ca="1" si="36"/>
        <v/>
      </c>
      <c r="AS71" s="362" t="str">
        <f t="shared" ca="1" si="36"/>
        <v/>
      </c>
      <c r="AT71" s="362" t="str">
        <f t="shared" ca="1" si="36"/>
        <v/>
      </c>
      <c r="AU71" s="362" t="str">
        <f t="shared" ca="1" si="36"/>
        <v/>
      </c>
      <c r="AV71" s="362">
        <f t="shared" ca="1" si="36"/>
        <v>700.48813000001246</v>
      </c>
      <c r="AW71" s="362">
        <f t="shared" ca="1" si="36"/>
        <v>-1036.6000000000058</v>
      </c>
      <c r="AX71" s="362">
        <f t="shared" ca="1" si="36"/>
        <v>0</v>
      </c>
      <c r="AY71" s="362">
        <f t="shared" ca="1" si="36"/>
        <v>175.20000000001164</v>
      </c>
      <c r="AZ71" s="362">
        <f t="shared" ca="1" si="37"/>
        <v>0</v>
      </c>
      <c r="BA71" s="362">
        <f t="shared" ca="1" si="37"/>
        <v>0</v>
      </c>
      <c r="BB71" s="362">
        <f t="shared" ca="1" si="37"/>
        <v>0</v>
      </c>
      <c r="BC71" s="362">
        <f t="shared" ca="1" si="37"/>
        <v>0</v>
      </c>
      <c r="BD71" s="362">
        <f t="shared" ca="1" si="37"/>
        <v>0</v>
      </c>
      <c r="BE71" s="362">
        <f t="shared" ca="1" si="37"/>
        <v>8230</v>
      </c>
      <c r="BF71" s="362">
        <f t="shared" ca="1" si="37"/>
        <v>532.79999999999995</v>
      </c>
      <c r="BG71" s="362">
        <f t="shared" ca="1" si="37"/>
        <v>8321</v>
      </c>
      <c r="BH71" s="362">
        <f t="shared" ca="1" si="37"/>
        <v>6582</v>
      </c>
      <c r="BI71" s="362">
        <f t="shared" ca="1" si="37"/>
        <v>18726.82</v>
      </c>
      <c r="BJ71" s="362">
        <f t="shared" ca="1" si="37"/>
        <v>22218.319479865586</v>
      </c>
      <c r="BK71" s="362">
        <f t="shared" ca="1" si="37"/>
        <v>7655.0929903562728</v>
      </c>
      <c r="BL71" s="362">
        <f t="shared" ca="1" si="37"/>
        <v>5556.5884979510683</v>
      </c>
      <c r="BM71" s="362"/>
    </row>
    <row r="72" spans="27:65">
      <c r="AA72" s="360">
        <f t="shared" si="30"/>
        <v>2026</v>
      </c>
      <c r="AB72" s="362">
        <f>UtilityDemand!C28</f>
        <v>158017.60803009526</v>
      </c>
      <c r="AC72" s="362"/>
      <c r="AD72" s="362">
        <f t="shared" ca="1" si="31"/>
        <v>78198.585505834562</v>
      </c>
      <c r="AE72" s="362"/>
      <c r="AF72" s="362" t="str">
        <f t="shared" ca="1" si="35"/>
        <v/>
      </c>
      <c r="AG72" s="362" t="str">
        <f t="shared" ca="1" si="35"/>
        <v/>
      </c>
      <c r="AH72" s="362" t="str">
        <f t="shared" ca="1" si="35"/>
        <v/>
      </c>
      <c r="AI72" s="362" t="str">
        <f t="shared" ca="1" si="35"/>
        <v/>
      </c>
      <c r="AJ72" s="362" t="str">
        <f t="shared" ca="1" si="35"/>
        <v/>
      </c>
      <c r="AK72" s="362" t="str">
        <f t="shared" ca="1" si="35"/>
        <v/>
      </c>
      <c r="AL72" s="362" t="str">
        <f t="shared" ca="1" si="35"/>
        <v/>
      </c>
      <c r="AM72" s="362" t="str">
        <f t="shared" ca="1" si="35"/>
        <v/>
      </c>
      <c r="AN72" s="362" t="str">
        <f t="shared" ca="1" si="35"/>
        <v/>
      </c>
      <c r="AO72" s="362" t="str">
        <f t="shared" ca="1" si="35"/>
        <v/>
      </c>
      <c r="AP72" s="362" t="str">
        <f t="shared" ca="1" si="36"/>
        <v/>
      </c>
      <c r="AQ72" s="362" t="str">
        <f t="shared" ca="1" si="36"/>
        <v/>
      </c>
      <c r="AR72" s="362" t="str">
        <f t="shared" ca="1" si="36"/>
        <v/>
      </c>
      <c r="AS72" s="362" t="str">
        <f t="shared" ca="1" si="36"/>
        <v/>
      </c>
      <c r="AT72" s="362" t="str">
        <f t="shared" ca="1" si="36"/>
        <v/>
      </c>
      <c r="AU72" s="362" t="str">
        <f t="shared" ca="1" si="36"/>
        <v/>
      </c>
      <c r="AV72" s="362">
        <f t="shared" ca="1" si="36"/>
        <v>700.48813000001246</v>
      </c>
      <c r="AW72" s="362">
        <f t="shared" ca="1" si="36"/>
        <v>-1036.6000000000058</v>
      </c>
      <c r="AX72" s="362">
        <f t="shared" ca="1" si="36"/>
        <v>0</v>
      </c>
      <c r="AY72" s="362">
        <f t="shared" ca="1" si="36"/>
        <v>175.20000000001164</v>
      </c>
      <c r="AZ72" s="362">
        <f t="shared" ca="1" si="37"/>
        <v>0</v>
      </c>
      <c r="BA72" s="362">
        <f t="shared" ca="1" si="37"/>
        <v>0</v>
      </c>
      <c r="BB72" s="362">
        <f t="shared" ca="1" si="37"/>
        <v>0</v>
      </c>
      <c r="BC72" s="362">
        <f t="shared" ca="1" si="37"/>
        <v>0</v>
      </c>
      <c r="BD72" s="362">
        <f t="shared" ca="1" si="37"/>
        <v>0</v>
      </c>
      <c r="BE72" s="362">
        <f t="shared" ca="1" si="37"/>
        <v>8230</v>
      </c>
      <c r="BF72" s="362">
        <f t="shared" ca="1" si="37"/>
        <v>799.19999999999993</v>
      </c>
      <c r="BG72" s="362">
        <f t="shared" ca="1" si="37"/>
        <v>8321</v>
      </c>
      <c r="BH72" s="362">
        <f t="shared" ca="1" si="37"/>
        <v>6582</v>
      </c>
      <c r="BI72" s="362">
        <f t="shared" ca="1" si="37"/>
        <v>18940.768</v>
      </c>
      <c r="BJ72" s="362">
        <f t="shared" ca="1" si="37"/>
        <v>23606.964447357168</v>
      </c>
      <c r="BK72" s="362">
        <f t="shared" ca="1" si="37"/>
        <v>7962.7155450174951</v>
      </c>
      <c r="BL72" s="362">
        <f t="shared" ca="1" si="37"/>
        <v>5537.2864018860309</v>
      </c>
      <c r="BM72" s="362"/>
    </row>
    <row r="73" spans="27:65">
      <c r="AA73" s="360">
        <f t="shared" si="30"/>
        <v>2027</v>
      </c>
      <c r="AB73" s="362">
        <f>UtilityDemand!C29</f>
        <v>159594.23363094722</v>
      </c>
      <c r="AC73" s="362"/>
      <c r="AD73" s="362">
        <f t="shared" ca="1" si="31"/>
        <v>77616.89835955578</v>
      </c>
      <c r="AE73" s="362"/>
      <c r="AF73" s="362" t="str">
        <f t="shared" ca="1" si="35"/>
        <v/>
      </c>
      <c r="AG73" s="362" t="str">
        <f t="shared" ca="1" si="35"/>
        <v/>
      </c>
      <c r="AH73" s="362" t="str">
        <f t="shared" ca="1" si="35"/>
        <v/>
      </c>
      <c r="AI73" s="362" t="str">
        <f t="shared" ca="1" si="35"/>
        <v/>
      </c>
      <c r="AJ73" s="362" t="str">
        <f t="shared" ca="1" si="35"/>
        <v/>
      </c>
      <c r="AK73" s="362" t="str">
        <f t="shared" ca="1" si="35"/>
        <v/>
      </c>
      <c r="AL73" s="362" t="str">
        <f t="shared" ca="1" si="35"/>
        <v/>
      </c>
      <c r="AM73" s="362" t="str">
        <f t="shared" ca="1" si="35"/>
        <v/>
      </c>
      <c r="AN73" s="362" t="str">
        <f t="shared" ca="1" si="35"/>
        <v/>
      </c>
      <c r="AO73" s="362" t="str">
        <f t="shared" ca="1" si="35"/>
        <v/>
      </c>
      <c r="AP73" s="362" t="str">
        <f t="shared" ca="1" si="36"/>
        <v/>
      </c>
      <c r="AQ73" s="362" t="str">
        <f t="shared" ca="1" si="36"/>
        <v/>
      </c>
      <c r="AR73" s="362" t="str">
        <f t="shared" ca="1" si="36"/>
        <v/>
      </c>
      <c r="AS73" s="362" t="str">
        <f t="shared" ca="1" si="36"/>
        <v/>
      </c>
      <c r="AT73" s="362" t="str">
        <f t="shared" ca="1" si="36"/>
        <v/>
      </c>
      <c r="AU73" s="362" t="str">
        <f t="shared" ca="1" si="36"/>
        <v/>
      </c>
      <c r="AV73" s="362">
        <f t="shared" ca="1" si="36"/>
        <v>700.48813000001246</v>
      </c>
      <c r="AW73" s="362">
        <f t="shared" ca="1" si="36"/>
        <v>-1036.6000000000058</v>
      </c>
      <c r="AX73" s="362">
        <f t="shared" ca="1" si="36"/>
        <v>0</v>
      </c>
      <c r="AY73" s="362">
        <f t="shared" ca="1" si="36"/>
        <v>175.20000000001164</v>
      </c>
      <c r="AZ73" s="362">
        <f t="shared" ca="1" si="37"/>
        <v>0</v>
      </c>
      <c r="BA73" s="362">
        <f t="shared" ca="1" si="37"/>
        <v>0</v>
      </c>
      <c r="BB73" s="362">
        <f t="shared" ca="1" si="37"/>
        <v>0</v>
      </c>
      <c r="BC73" s="362">
        <f t="shared" ca="1" si="37"/>
        <v>0</v>
      </c>
      <c r="BD73" s="362">
        <f t="shared" ca="1" si="37"/>
        <v>0</v>
      </c>
      <c r="BE73" s="362">
        <f t="shared" ca="1" si="37"/>
        <v>8230</v>
      </c>
      <c r="BF73" s="362">
        <f t="shared" ca="1" si="37"/>
        <v>1065.5999999999999</v>
      </c>
      <c r="BG73" s="362">
        <f t="shared" ca="1" si="37"/>
        <v>8321</v>
      </c>
      <c r="BH73" s="362">
        <f t="shared" ca="1" si="37"/>
        <v>6582</v>
      </c>
      <c r="BI73" s="362">
        <f t="shared" ca="1" si="37"/>
        <v>19154.716</v>
      </c>
      <c r="BJ73" s="362">
        <f t="shared" ca="1" si="37"/>
        <v>24995.609414848775</v>
      </c>
      <c r="BK73" s="362">
        <f t="shared" ca="1" si="37"/>
        <v>8271.3900165660216</v>
      </c>
      <c r="BL73" s="362">
        <f t="shared" ca="1" si="37"/>
        <v>5517.9317099766222</v>
      </c>
      <c r="BM73" s="362"/>
    </row>
    <row r="74" spans="27:65">
      <c r="AA74" s="360">
        <f t="shared" si="30"/>
        <v>2028</v>
      </c>
      <c r="AB74" s="362">
        <f>UtilityDemand!C30</f>
        <v>161170.85923179929</v>
      </c>
      <c r="AC74" s="362"/>
      <c r="AD74" s="362">
        <f t="shared" ca="1" si="31"/>
        <v>77034.241163065279</v>
      </c>
      <c r="AE74" s="362"/>
      <c r="AF74" s="362" t="str">
        <f t="shared" ca="1" si="35"/>
        <v/>
      </c>
      <c r="AG74" s="362" t="str">
        <f t="shared" ca="1" si="35"/>
        <v/>
      </c>
      <c r="AH74" s="362" t="str">
        <f t="shared" ca="1" si="35"/>
        <v/>
      </c>
      <c r="AI74" s="362" t="str">
        <f t="shared" ca="1" si="35"/>
        <v/>
      </c>
      <c r="AJ74" s="362" t="str">
        <f t="shared" ca="1" si="35"/>
        <v/>
      </c>
      <c r="AK74" s="362" t="str">
        <f t="shared" ca="1" si="35"/>
        <v/>
      </c>
      <c r="AL74" s="362" t="str">
        <f t="shared" ca="1" si="35"/>
        <v/>
      </c>
      <c r="AM74" s="362" t="str">
        <f t="shared" ca="1" si="35"/>
        <v/>
      </c>
      <c r="AN74" s="362" t="str">
        <f t="shared" ca="1" si="35"/>
        <v/>
      </c>
      <c r="AO74" s="362" t="str">
        <f t="shared" ca="1" si="35"/>
        <v/>
      </c>
      <c r="AP74" s="362" t="str">
        <f t="shared" ca="1" si="36"/>
        <v/>
      </c>
      <c r="AQ74" s="362" t="str">
        <f t="shared" ca="1" si="36"/>
        <v/>
      </c>
      <c r="AR74" s="362" t="str">
        <f t="shared" ca="1" si="36"/>
        <v/>
      </c>
      <c r="AS74" s="362" t="str">
        <f t="shared" ca="1" si="36"/>
        <v/>
      </c>
      <c r="AT74" s="362" t="str">
        <f t="shared" ca="1" si="36"/>
        <v/>
      </c>
      <c r="AU74" s="362" t="str">
        <f t="shared" ca="1" si="36"/>
        <v/>
      </c>
      <c r="AV74" s="362">
        <f t="shared" ca="1" si="36"/>
        <v>700.48813000001246</v>
      </c>
      <c r="AW74" s="362">
        <f t="shared" ca="1" si="36"/>
        <v>-1036.6000000000058</v>
      </c>
      <c r="AX74" s="362">
        <f t="shared" ca="1" si="36"/>
        <v>0</v>
      </c>
      <c r="AY74" s="362">
        <f t="shared" ca="1" si="36"/>
        <v>175.20000000001164</v>
      </c>
      <c r="AZ74" s="362">
        <f t="shared" ca="1" si="37"/>
        <v>0</v>
      </c>
      <c r="BA74" s="362">
        <f t="shared" ca="1" si="37"/>
        <v>0</v>
      </c>
      <c r="BB74" s="362">
        <f t="shared" ca="1" si="37"/>
        <v>0</v>
      </c>
      <c r="BC74" s="362">
        <f t="shared" ca="1" si="37"/>
        <v>0</v>
      </c>
      <c r="BD74" s="362">
        <f t="shared" ca="1" si="37"/>
        <v>0</v>
      </c>
      <c r="BE74" s="362">
        <f t="shared" ca="1" si="37"/>
        <v>8230</v>
      </c>
      <c r="BF74" s="362">
        <f t="shared" ca="1" si="37"/>
        <v>1332</v>
      </c>
      <c r="BG74" s="362">
        <f t="shared" ca="1" si="37"/>
        <v>8321</v>
      </c>
      <c r="BH74" s="362">
        <f t="shared" ca="1" si="37"/>
        <v>6582</v>
      </c>
      <c r="BI74" s="362">
        <f t="shared" ca="1" si="37"/>
        <v>19368.664000000001</v>
      </c>
      <c r="BJ74" s="362">
        <f t="shared" ca="1" si="37"/>
        <v>26384.254382340361</v>
      </c>
      <c r="BK74" s="362">
        <f t="shared" ca="1" si="37"/>
        <v>8581.0855936007174</v>
      </c>
      <c r="BL74" s="362">
        <f t="shared" ca="1" si="37"/>
        <v>5498.5259627929117</v>
      </c>
      <c r="BM74" s="362"/>
    </row>
    <row r="75" spans="27:65">
      <c r="AA75" s="360">
        <f t="shared" si="30"/>
        <v>2029</v>
      </c>
      <c r="AB75" s="362">
        <f>UtilityDemand!C31</f>
        <v>162747.48483265133</v>
      </c>
      <c r="AC75" s="362"/>
      <c r="AD75" s="362">
        <f t="shared" ca="1" si="31"/>
        <v>76450.642055095755</v>
      </c>
      <c r="AE75" s="362"/>
      <c r="AF75" s="362" t="str">
        <f t="shared" ca="1" si="35"/>
        <v/>
      </c>
      <c r="AG75" s="362" t="str">
        <f t="shared" ca="1" si="35"/>
        <v/>
      </c>
      <c r="AH75" s="362" t="str">
        <f t="shared" ca="1" si="35"/>
        <v/>
      </c>
      <c r="AI75" s="362" t="str">
        <f t="shared" ca="1" si="35"/>
        <v/>
      </c>
      <c r="AJ75" s="362" t="str">
        <f t="shared" ca="1" si="35"/>
        <v/>
      </c>
      <c r="AK75" s="362" t="str">
        <f t="shared" ca="1" si="35"/>
        <v/>
      </c>
      <c r="AL75" s="362" t="str">
        <f t="shared" ca="1" si="35"/>
        <v/>
      </c>
      <c r="AM75" s="362" t="str">
        <f t="shared" ca="1" si="35"/>
        <v/>
      </c>
      <c r="AN75" s="362" t="str">
        <f t="shared" ca="1" si="35"/>
        <v/>
      </c>
      <c r="AO75" s="362" t="str">
        <f t="shared" ca="1" si="35"/>
        <v/>
      </c>
      <c r="AP75" s="362" t="str">
        <f t="shared" ca="1" si="36"/>
        <v/>
      </c>
      <c r="AQ75" s="362" t="str">
        <f t="shared" ca="1" si="36"/>
        <v/>
      </c>
      <c r="AR75" s="362" t="str">
        <f t="shared" ca="1" si="36"/>
        <v/>
      </c>
      <c r="AS75" s="362" t="str">
        <f t="shared" ca="1" si="36"/>
        <v/>
      </c>
      <c r="AT75" s="362" t="str">
        <f t="shared" ca="1" si="36"/>
        <v/>
      </c>
      <c r="AU75" s="362" t="str">
        <f t="shared" ca="1" si="36"/>
        <v/>
      </c>
      <c r="AV75" s="362">
        <f t="shared" ca="1" si="36"/>
        <v>700.48813000001246</v>
      </c>
      <c r="AW75" s="362">
        <f t="shared" ca="1" si="36"/>
        <v>-1036.6000000000058</v>
      </c>
      <c r="AX75" s="362">
        <f t="shared" ca="1" si="36"/>
        <v>0</v>
      </c>
      <c r="AY75" s="362">
        <f t="shared" ca="1" si="36"/>
        <v>175.20000000001164</v>
      </c>
      <c r="AZ75" s="362">
        <f t="shared" ca="1" si="37"/>
        <v>0</v>
      </c>
      <c r="BA75" s="362">
        <f t="shared" ca="1" si="37"/>
        <v>0</v>
      </c>
      <c r="BB75" s="362">
        <f t="shared" ca="1" si="37"/>
        <v>0</v>
      </c>
      <c r="BC75" s="362">
        <f t="shared" ca="1" si="37"/>
        <v>0</v>
      </c>
      <c r="BD75" s="362">
        <f t="shared" ca="1" si="37"/>
        <v>0</v>
      </c>
      <c r="BE75" s="362">
        <f t="shared" ca="1" si="37"/>
        <v>8230</v>
      </c>
      <c r="BF75" s="362">
        <f t="shared" ca="1" si="37"/>
        <v>1598.4</v>
      </c>
      <c r="BG75" s="362">
        <f t="shared" ca="1" si="37"/>
        <v>8321</v>
      </c>
      <c r="BH75" s="362">
        <f t="shared" ca="1" si="37"/>
        <v>6582</v>
      </c>
      <c r="BI75" s="362">
        <f t="shared" ca="1" si="37"/>
        <v>19582.612000000001</v>
      </c>
      <c r="BJ75" s="362">
        <f t="shared" ca="1" si="37"/>
        <v>27772.899349831965</v>
      </c>
      <c r="BK75" s="362">
        <f t="shared" ca="1" si="37"/>
        <v>8891.7726564027671</v>
      </c>
      <c r="BL75" s="362">
        <f t="shared" ca="1" si="37"/>
        <v>5479.07064132083</v>
      </c>
      <c r="BM75" s="362"/>
    </row>
    <row r="76" spans="27:65">
      <c r="AA76" s="360">
        <f t="shared" si="30"/>
        <v>2030</v>
      </c>
      <c r="AB76" s="362">
        <f>UtilityDemand!C32</f>
        <v>164324.11043350337</v>
      </c>
      <c r="AC76" s="362"/>
      <c r="AD76" s="362">
        <f t="shared" ca="1" si="31"/>
        <v>75866.128096490007</v>
      </c>
      <c r="AE76" s="362"/>
      <c r="AF76" s="362" t="str">
        <f t="shared" ref="AF76:AO85" ca="1" si="38">IFERROR(-HLOOKUP(AF$50,ElecConsTable,$AA76-$AA$56+2,FALSE),"")</f>
        <v/>
      </c>
      <c r="AG76" s="362" t="str">
        <f t="shared" ca="1" si="38"/>
        <v/>
      </c>
      <c r="AH76" s="362" t="str">
        <f t="shared" ca="1" si="38"/>
        <v/>
      </c>
      <c r="AI76" s="362" t="str">
        <f t="shared" ca="1" si="38"/>
        <v/>
      </c>
      <c r="AJ76" s="362" t="str">
        <f t="shared" ca="1" si="38"/>
        <v/>
      </c>
      <c r="AK76" s="362" t="str">
        <f t="shared" ca="1" si="38"/>
        <v/>
      </c>
      <c r="AL76" s="362" t="str">
        <f t="shared" ca="1" si="38"/>
        <v/>
      </c>
      <c r="AM76" s="362" t="str">
        <f t="shared" ca="1" si="38"/>
        <v/>
      </c>
      <c r="AN76" s="362" t="str">
        <f t="shared" ca="1" si="38"/>
        <v/>
      </c>
      <c r="AO76" s="362" t="str">
        <f t="shared" ca="1" si="38"/>
        <v/>
      </c>
      <c r="AP76" s="362" t="str">
        <f t="shared" ref="AP76:AY85" ca="1" si="39">IFERROR(-HLOOKUP(AP$50,ElecConsTable,$AA76-$AA$56+2,FALSE),"")</f>
        <v/>
      </c>
      <c r="AQ76" s="362" t="str">
        <f t="shared" ca="1" si="39"/>
        <v/>
      </c>
      <c r="AR76" s="362" t="str">
        <f t="shared" ca="1" si="39"/>
        <v/>
      </c>
      <c r="AS76" s="362" t="str">
        <f t="shared" ca="1" si="39"/>
        <v/>
      </c>
      <c r="AT76" s="362" t="str">
        <f t="shared" ca="1" si="39"/>
        <v/>
      </c>
      <c r="AU76" s="362" t="str">
        <f t="shared" ca="1" si="39"/>
        <v/>
      </c>
      <c r="AV76" s="362">
        <f t="shared" ca="1" si="39"/>
        <v>700.48813000001246</v>
      </c>
      <c r="AW76" s="362">
        <f t="shared" ca="1" si="39"/>
        <v>-1036.6000000000058</v>
      </c>
      <c r="AX76" s="362">
        <f t="shared" ca="1" si="39"/>
        <v>0</v>
      </c>
      <c r="AY76" s="362">
        <f t="shared" ca="1" si="39"/>
        <v>175.20000000001164</v>
      </c>
      <c r="AZ76" s="362">
        <f t="shared" ref="AZ76:BL85" ca="1" si="40">IFERROR(-HLOOKUP(AZ$50,ElecConsTable,$AA76-$AA$56+2,FALSE),"")</f>
        <v>0</v>
      </c>
      <c r="BA76" s="362">
        <f t="shared" ca="1" si="40"/>
        <v>0</v>
      </c>
      <c r="BB76" s="362">
        <f t="shared" ca="1" si="40"/>
        <v>0</v>
      </c>
      <c r="BC76" s="362">
        <f t="shared" ca="1" si="40"/>
        <v>0</v>
      </c>
      <c r="BD76" s="362">
        <f t="shared" ca="1" si="40"/>
        <v>0</v>
      </c>
      <c r="BE76" s="362">
        <f t="shared" ca="1" si="40"/>
        <v>8230</v>
      </c>
      <c r="BF76" s="362">
        <f t="shared" ca="1" si="40"/>
        <v>1864.8000000000002</v>
      </c>
      <c r="BG76" s="362">
        <f t="shared" ca="1" si="40"/>
        <v>8321</v>
      </c>
      <c r="BH76" s="362">
        <f t="shared" ca="1" si="40"/>
        <v>6582</v>
      </c>
      <c r="BI76" s="362">
        <f t="shared" ca="1" si="40"/>
        <v>19796.560000000001</v>
      </c>
      <c r="BJ76" s="362">
        <f t="shared" ca="1" si="40"/>
        <v>29161.544317323558</v>
      </c>
      <c r="BK76" s="362">
        <f t="shared" ca="1" si="40"/>
        <v>9203.4227198745357</v>
      </c>
      <c r="BL76" s="362">
        <f t="shared" ca="1" si="40"/>
        <v>5459.5671698152637</v>
      </c>
      <c r="BM76" s="362"/>
    </row>
    <row r="77" spans="27:65">
      <c r="AA77" s="360">
        <f t="shared" si="30"/>
        <v>2031</v>
      </c>
      <c r="AB77" s="362">
        <f>UtilityDemand!C33</f>
        <v>165900.73603435536</v>
      </c>
      <c r="AC77" s="362"/>
      <c r="AD77" s="362">
        <f t="shared" ca="1" si="31"/>
        <v>75494.673321323382</v>
      </c>
      <c r="AE77" s="362"/>
      <c r="AF77" s="362" t="str">
        <f t="shared" ca="1" si="38"/>
        <v/>
      </c>
      <c r="AG77" s="362" t="str">
        <f t="shared" ca="1" si="38"/>
        <v/>
      </c>
      <c r="AH77" s="362" t="str">
        <f t="shared" ca="1" si="38"/>
        <v/>
      </c>
      <c r="AI77" s="362" t="str">
        <f t="shared" ca="1" si="38"/>
        <v/>
      </c>
      <c r="AJ77" s="362" t="str">
        <f t="shared" ca="1" si="38"/>
        <v/>
      </c>
      <c r="AK77" s="362" t="str">
        <f t="shared" ca="1" si="38"/>
        <v/>
      </c>
      <c r="AL77" s="362" t="str">
        <f t="shared" ca="1" si="38"/>
        <v/>
      </c>
      <c r="AM77" s="362" t="str">
        <f t="shared" ca="1" si="38"/>
        <v/>
      </c>
      <c r="AN77" s="362" t="str">
        <f t="shared" ca="1" si="38"/>
        <v/>
      </c>
      <c r="AO77" s="362" t="str">
        <f t="shared" ca="1" si="38"/>
        <v/>
      </c>
      <c r="AP77" s="362" t="str">
        <f t="shared" ca="1" si="39"/>
        <v/>
      </c>
      <c r="AQ77" s="362" t="str">
        <f t="shared" ca="1" si="39"/>
        <v/>
      </c>
      <c r="AR77" s="362" t="str">
        <f t="shared" ca="1" si="39"/>
        <v/>
      </c>
      <c r="AS77" s="362" t="str">
        <f t="shared" ca="1" si="39"/>
        <v/>
      </c>
      <c r="AT77" s="362" t="str">
        <f t="shared" ca="1" si="39"/>
        <v/>
      </c>
      <c r="AU77" s="362" t="str">
        <f t="shared" ca="1" si="39"/>
        <v/>
      </c>
      <c r="AV77" s="362">
        <f t="shared" ca="1" si="39"/>
        <v>700.48813000001246</v>
      </c>
      <c r="AW77" s="362">
        <f t="shared" ca="1" si="39"/>
        <v>-1036.6000000000058</v>
      </c>
      <c r="AX77" s="362">
        <f t="shared" ca="1" si="39"/>
        <v>0</v>
      </c>
      <c r="AY77" s="362">
        <f t="shared" ca="1" si="39"/>
        <v>175.20000000001164</v>
      </c>
      <c r="AZ77" s="362">
        <f t="shared" ca="1" si="40"/>
        <v>0</v>
      </c>
      <c r="BA77" s="362">
        <f t="shared" ca="1" si="40"/>
        <v>0</v>
      </c>
      <c r="BB77" s="362">
        <f t="shared" ca="1" si="40"/>
        <v>0</v>
      </c>
      <c r="BC77" s="362">
        <f t="shared" ca="1" si="40"/>
        <v>0</v>
      </c>
      <c r="BD77" s="362">
        <f t="shared" ca="1" si="40"/>
        <v>0</v>
      </c>
      <c r="BE77" s="362">
        <f t="shared" ca="1" si="40"/>
        <v>8230</v>
      </c>
      <c r="BF77" s="362">
        <f t="shared" ca="1" si="40"/>
        <v>2131.2000000000003</v>
      </c>
      <c r="BG77" s="362">
        <f t="shared" ca="1" si="40"/>
        <v>8321</v>
      </c>
      <c r="BH77" s="362">
        <f t="shared" ca="1" si="40"/>
        <v>6582</v>
      </c>
      <c r="BI77" s="362">
        <f t="shared" ca="1" si="40"/>
        <v>19796.560000000001</v>
      </c>
      <c r="BJ77" s="362">
        <f t="shared" ca="1" si="40"/>
        <v>30550.189284815162</v>
      </c>
      <c r="BK77" s="362">
        <f t="shared" ca="1" si="40"/>
        <v>9516.0083797260704</v>
      </c>
      <c r="BL77" s="362">
        <f t="shared" ca="1" si="40"/>
        <v>5440.0169184907063</v>
      </c>
      <c r="BM77" s="362"/>
    </row>
    <row r="78" spans="27:65">
      <c r="AA78" s="360">
        <f t="shared" si="30"/>
        <v>2032</v>
      </c>
      <c r="AB78" s="362">
        <f>UtilityDemand!C34</f>
        <v>167477.3616352074</v>
      </c>
      <c r="AC78" s="362"/>
      <c r="AD78" s="362">
        <f t="shared" ca="1" si="31"/>
        <v>75122.354785144809</v>
      </c>
      <c r="AE78" s="362"/>
      <c r="AF78" s="362" t="str">
        <f t="shared" ca="1" si="38"/>
        <v/>
      </c>
      <c r="AG78" s="362" t="str">
        <f t="shared" ca="1" si="38"/>
        <v/>
      </c>
      <c r="AH78" s="362" t="str">
        <f t="shared" ca="1" si="38"/>
        <v/>
      </c>
      <c r="AI78" s="362" t="str">
        <f t="shared" ca="1" si="38"/>
        <v/>
      </c>
      <c r="AJ78" s="362" t="str">
        <f t="shared" ca="1" si="38"/>
        <v/>
      </c>
      <c r="AK78" s="362" t="str">
        <f t="shared" ca="1" si="38"/>
        <v/>
      </c>
      <c r="AL78" s="362" t="str">
        <f t="shared" ca="1" si="38"/>
        <v/>
      </c>
      <c r="AM78" s="362" t="str">
        <f t="shared" ca="1" si="38"/>
        <v/>
      </c>
      <c r="AN78" s="362" t="str">
        <f t="shared" ca="1" si="38"/>
        <v/>
      </c>
      <c r="AO78" s="362" t="str">
        <f t="shared" ca="1" si="38"/>
        <v/>
      </c>
      <c r="AP78" s="362" t="str">
        <f t="shared" ca="1" si="39"/>
        <v/>
      </c>
      <c r="AQ78" s="362" t="str">
        <f t="shared" ca="1" si="39"/>
        <v/>
      </c>
      <c r="AR78" s="362" t="str">
        <f t="shared" ca="1" si="39"/>
        <v/>
      </c>
      <c r="AS78" s="362" t="str">
        <f t="shared" ca="1" si="39"/>
        <v/>
      </c>
      <c r="AT78" s="362" t="str">
        <f t="shared" ca="1" si="39"/>
        <v/>
      </c>
      <c r="AU78" s="362" t="str">
        <f t="shared" ca="1" si="39"/>
        <v/>
      </c>
      <c r="AV78" s="362">
        <f t="shared" ca="1" si="39"/>
        <v>700.48813000001246</v>
      </c>
      <c r="AW78" s="362">
        <f t="shared" ca="1" si="39"/>
        <v>-1036.6000000000058</v>
      </c>
      <c r="AX78" s="362">
        <f t="shared" ca="1" si="39"/>
        <v>0</v>
      </c>
      <c r="AY78" s="362">
        <f t="shared" ca="1" si="39"/>
        <v>175.20000000001164</v>
      </c>
      <c r="AZ78" s="362">
        <f t="shared" ca="1" si="40"/>
        <v>0</v>
      </c>
      <c r="BA78" s="362">
        <f t="shared" ca="1" si="40"/>
        <v>0</v>
      </c>
      <c r="BB78" s="362">
        <f t="shared" ca="1" si="40"/>
        <v>0</v>
      </c>
      <c r="BC78" s="362">
        <f t="shared" ca="1" si="40"/>
        <v>0</v>
      </c>
      <c r="BD78" s="362">
        <f t="shared" ca="1" si="40"/>
        <v>0</v>
      </c>
      <c r="BE78" s="362">
        <f t="shared" ca="1" si="40"/>
        <v>8230</v>
      </c>
      <c r="BF78" s="362">
        <f t="shared" ca="1" si="40"/>
        <v>2397.6000000000004</v>
      </c>
      <c r="BG78" s="362">
        <f t="shared" ca="1" si="40"/>
        <v>8321</v>
      </c>
      <c r="BH78" s="362">
        <f t="shared" ca="1" si="40"/>
        <v>6582</v>
      </c>
      <c r="BI78" s="362">
        <f t="shared" ca="1" si="40"/>
        <v>19796.560000000001</v>
      </c>
      <c r="BJ78" s="362">
        <f t="shared" ca="1" si="40"/>
        <v>31938.834252306769</v>
      </c>
      <c r="BK78" s="362">
        <f t="shared" ca="1" si="40"/>
        <v>9829.5032616955414</v>
      </c>
      <c r="BL78" s="362">
        <f t="shared" ca="1" si="40"/>
        <v>5420.4212060602549</v>
      </c>
      <c r="BM78" s="362"/>
    </row>
    <row r="79" spans="27:65">
      <c r="AA79" s="360">
        <f t="shared" si="30"/>
        <v>2033</v>
      </c>
      <c r="AB79" s="362">
        <f>UtilityDemand!C35</f>
        <v>169053.98723605942</v>
      </c>
      <c r="AC79" s="362"/>
      <c r="AD79" s="362">
        <f t="shared" ca="1" si="31"/>
        <v>74749.196610522384</v>
      </c>
      <c r="AE79" s="362"/>
      <c r="AF79" s="362" t="str">
        <f t="shared" ca="1" si="38"/>
        <v/>
      </c>
      <c r="AG79" s="362" t="str">
        <f t="shared" ca="1" si="38"/>
        <v/>
      </c>
      <c r="AH79" s="362" t="str">
        <f t="shared" ca="1" si="38"/>
        <v/>
      </c>
      <c r="AI79" s="362" t="str">
        <f t="shared" ca="1" si="38"/>
        <v/>
      </c>
      <c r="AJ79" s="362" t="str">
        <f t="shared" ca="1" si="38"/>
        <v/>
      </c>
      <c r="AK79" s="362" t="str">
        <f t="shared" ca="1" si="38"/>
        <v/>
      </c>
      <c r="AL79" s="362" t="str">
        <f t="shared" ca="1" si="38"/>
        <v/>
      </c>
      <c r="AM79" s="362" t="str">
        <f t="shared" ca="1" si="38"/>
        <v/>
      </c>
      <c r="AN79" s="362" t="str">
        <f t="shared" ca="1" si="38"/>
        <v/>
      </c>
      <c r="AO79" s="362" t="str">
        <f t="shared" ca="1" si="38"/>
        <v/>
      </c>
      <c r="AP79" s="362" t="str">
        <f t="shared" ca="1" si="39"/>
        <v/>
      </c>
      <c r="AQ79" s="362" t="str">
        <f t="shared" ca="1" si="39"/>
        <v/>
      </c>
      <c r="AR79" s="362" t="str">
        <f t="shared" ca="1" si="39"/>
        <v/>
      </c>
      <c r="AS79" s="362" t="str">
        <f t="shared" ca="1" si="39"/>
        <v/>
      </c>
      <c r="AT79" s="362" t="str">
        <f t="shared" ca="1" si="39"/>
        <v/>
      </c>
      <c r="AU79" s="362" t="str">
        <f t="shared" ca="1" si="39"/>
        <v/>
      </c>
      <c r="AV79" s="362">
        <f t="shared" ca="1" si="39"/>
        <v>700.48813000001246</v>
      </c>
      <c r="AW79" s="362">
        <f t="shared" ca="1" si="39"/>
        <v>-1036.6000000000058</v>
      </c>
      <c r="AX79" s="362">
        <f t="shared" ca="1" si="39"/>
        <v>0</v>
      </c>
      <c r="AY79" s="362">
        <f t="shared" ca="1" si="39"/>
        <v>175.20000000001164</v>
      </c>
      <c r="AZ79" s="362">
        <f t="shared" ca="1" si="40"/>
        <v>0</v>
      </c>
      <c r="BA79" s="362">
        <f t="shared" ca="1" si="40"/>
        <v>0</v>
      </c>
      <c r="BB79" s="362">
        <f t="shared" ca="1" si="40"/>
        <v>0</v>
      </c>
      <c r="BC79" s="362">
        <f t="shared" ca="1" si="40"/>
        <v>0</v>
      </c>
      <c r="BD79" s="362">
        <f t="shared" ca="1" si="40"/>
        <v>0</v>
      </c>
      <c r="BE79" s="362">
        <f t="shared" ca="1" si="40"/>
        <v>8230</v>
      </c>
      <c r="BF79" s="362">
        <f t="shared" ca="1" si="40"/>
        <v>2664.0000000000005</v>
      </c>
      <c r="BG79" s="362">
        <f t="shared" ca="1" si="40"/>
        <v>8321</v>
      </c>
      <c r="BH79" s="362">
        <f t="shared" ca="1" si="40"/>
        <v>6582</v>
      </c>
      <c r="BI79" s="362">
        <f t="shared" ca="1" si="40"/>
        <v>19796.560000000001</v>
      </c>
      <c r="BJ79" s="362">
        <f t="shared" ca="1" si="40"/>
        <v>33327.479219798355</v>
      </c>
      <c r="BK79" s="362">
        <f t="shared" ca="1" si="40"/>
        <v>10143.881973605912</v>
      </c>
      <c r="BL79" s="362">
        <f t="shared" ca="1" si="40"/>
        <v>5400.7813021327584</v>
      </c>
      <c r="BM79" s="362"/>
    </row>
    <row r="80" spans="27:65">
      <c r="AA80" s="360">
        <f t="shared" si="30"/>
        <v>2034</v>
      </c>
      <c r="AB80" s="362">
        <f>UtilityDemand!C36</f>
        <v>170630.61283691146</v>
      </c>
      <c r="AC80" s="362"/>
      <c r="AD80" s="362">
        <f t="shared" ca="1" si="31"/>
        <v>74628.302030069332</v>
      </c>
      <c r="AE80" s="362"/>
      <c r="AF80" s="362" t="str">
        <f t="shared" ca="1" si="38"/>
        <v/>
      </c>
      <c r="AG80" s="362" t="str">
        <f t="shared" ca="1" si="38"/>
        <v/>
      </c>
      <c r="AH80" s="362" t="str">
        <f t="shared" ca="1" si="38"/>
        <v/>
      </c>
      <c r="AI80" s="362" t="str">
        <f t="shared" ca="1" si="38"/>
        <v/>
      </c>
      <c r="AJ80" s="362" t="str">
        <f t="shared" ca="1" si="38"/>
        <v/>
      </c>
      <c r="AK80" s="362" t="str">
        <f t="shared" ca="1" si="38"/>
        <v/>
      </c>
      <c r="AL80" s="362" t="str">
        <f t="shared" ca="1" si="38"/>
        <v/>
      </c>
      <c r="AM80" s="362" t="str">
        <f t="shared" ca="1" si="38"/>
        <v/>
      </c>
      <c r="AN80" s="362" t="str">
        <f t="shared" ca="1" si="38"/>
        <v/>
      </c>
      <c r="AO80" s="362" t="str">
        <f t="shared" ca="1" si="38"/>
        <v/>
      </c>
      <c r="AP80" s="362" t="str">
        <f t="shared" ca="1" si="39"/>
        <v/>
      </c>
      <c r="AQ80" s="362" t="str">
        <f t="shared" ca="1" si="39"/>
        <v/>
      </c>
      <c r="AR80" s="362" t="str">
        <f t="shared" ca="1" si="39"/>
        <v/>
      </c>
      <c r="AS80" s="362" t="str">
        <f t="shared" ca="1" si="39"/>
        <v/>
      </c>
      <c r="AT80" s="362" t="str">
        <f t="shared" ca="1" si="39"/>
        <v/>
      </c>
      <c r="AU80" s="362" t="str">
        <f t="shared" ca="1" si="39"/>
        <v/>
      </c>
      <c r="AV80" s="362">
        <f t="shared" ca="1" si="39"/>
        <v>700.48813000001246</v>
      </c>
      <c r="AW80" s="362">
        <f t="shared" ca="1" si="39"/>
        <v>-1036.6000000000058</v>
      </c>
      <c r="AX80" s="362">
        <f t="shared" ca="1" si="39"/>
        <v>0</v>
      </c>
      <c r="AY80" s="362">
        <f t="shared" ca="1" si="39"/>
        <v>175.20000000001164</v>
      </c>
      <c r="AZ80" s="362">
        <f t="shared" ca="1" si="40"/>
        <v>0</v>
      </c>
      <c r="BA80" s="362">
        <f t="shared" ca="1" si="40"/>
        <v>0</v>
      </c>
      <c r="BB80" s="362">
        <f t="shared" ca="1" si="40"/>
        <v>0</v>
      </c>
      <c r="BC80" s="362">
        <f t="shared" ca="1" si="40"/>
        <v>0</v>
      </c>
      <c r="BD80" s="362">
        <f t="shared" ca="1" si="40"/>
        <v>0</v>
      </c>
      <c r="BE80" s="362">
        <f t="shared" ca="1" si="40"/>
        <v>8230</v>
      </c>
      <c r="BF80" s="362">
        <f t="shared" ca="1" si="40"/>
        <v>2664.0000000000005</v>
      </c>
      <c r="BG80" s="362">
        <f t="shared" ca="1" si="40"/>
        <v>8321</v>
      </c>
      <c r="BH80" s="362">
        <f t="shared" ca="1" si="40"/>
        <v>6582</v>
      </c>
      <c r="BI80" s="362">
        <f t="shared" ca="1" si="40"/>
        <v>19796.560000000001</v>
      </c>
      <c r="BJ80" s="362">
        <f t="shared" ca="1" si="40"/>
        <v>34716.124187289963</v>
      </c>
      <c r="BK80" s="362">
        <f t="shared" ca="1" si="40"/>
        <v>10459.120060074812</v>
      </c>
      <c r="BL80" s="362">
        <f t="shared" ca="1" si="40"/>
        <v>5394.418429477334</v>
      </c>
      <c r="BM80" s="362"/>
    </row>
    <row r="81" spans="27:65">
      <c r="AA81" s="360">
        <f t="shared" si="30"/>
        <v>2035</v>
      </c>
      <c r="AB81" s="362">
        <f>UtilityDemand!C37</f>
        <v>172207.23843776347</v>
      </c>
      <c r="AC81" s="362"/>
      <c r="AD81" s="362">
        <f t="shared" ca="1" si="31"/>
        <v>74506.613427110293</v>
      </c>
      <c r="AE81" s="362"/>
      <c r="AF81" s="362" t="str">
        <f t="shared" ca="1" si="38"/>
        <v/>
      </c>
      <c r="AG81" s="362" t="str">
        <f t="shared" ca="1" si="38"/>
        <v/>
      </c>
      <c r="AH81" s="362" t="str">
        <f t="shared" ca="1" si="38"/>
        <v/>
      </c>
      <c r="AI81" s="362" t="str">
        <f t="shared" ca="1" si="38"/>
        <v/>
      </c>
      <c r="AJ81" s="362" t="str">
        <f t="shared" ca="1" si="38"/>
        <v/>
      </c>
      <c r="AK81" s="362" t="str">
        <f t="shared" ca="1" si="38"/>
        <v/>
      </c>
      <c r="AL81" s="362" t="str">
        <f t="shared" ca="1" si="38"/>
        <v/>
      </c>
      <c r="AM81" s="362" t="str">
        <f t="shared" ca="1" si="38"/>
        <v/>
      </c>
      <c r="AN81" s="362" t="str">
        <f t="shared" ca="1" si="38"/>
        <v/>
      </c>
      <c r="AO81" s="362" t="str">
        <f t="shared" ca="1" si="38"/>
        <v/>
      </c>
      <c r="AP81" s="362" t="str">
        <f t="shared" ca="1" si="39"/>
        <v/>
      </c>
      <c r="AQ81" s="362" t="str">
        <f t="shared" ca="1" si="39"/>
        <v/>
      </c>
      <c r="AR81" s="362" t="str">
        <f t="shared" ca="1" si="39"/>
        <v/>
      </c>
      <c r="AS81" s="362" t="str">
        <f t="shared" ca="1" si="39"/>
        <v/>
      </c>
      <c r="AT81" s="362" t="str">
        <f t="shared" ca="1" si="39"/>
        <v/>
      </c>
      <c r="AU81" s="362" t="str">
        <f t="shared" ca="1" si="39"/>
        <v/>
      </c>
      <c r="AV81" s="362">
        <f t="shared" ca="1" si="39"/>
        <v>700.48813000001246</v>
      </c>
      <c r="AW81" s="362">
        <f t="shared" ca="1" si="39"/>
        <v>-1036.6000000000058</v>
      </c>
      <c r="AX81" s="362">
        <f t="shared" ca="1" si="39"/>
        <v>0</v>
      </c>
      <c r="AY81" s="362">
        <f t="shared" ca="1" si="39"/>
        <v>175.20000000001164</v>
      </c>
      <c r="AZ81" s="362">
        <f t="shared" ca="1" si="40"/>
        <v>0</v>
      </c>
      <c r="BA81" s="362">
        <f t="shared" ca="1" si="40"/>
        <v>0</v>
      </c>
      <c r="BB81" s="362">
        <f t="shared" ca="1" si="40"/>
        <v>0</v>
      </c>
      <c r="BC81" s="362">
        <f t="shared" ca="1" si="40"/>
        <v>0</v>
      </c>
      <c r="BD81" s="362">
        <f t="shared" ca="1" si="40"/>
        <v>0</v>
      </c>
      <c r="BE81" s="362">
        <f t="shared" ca="1" si="40"/>
        <v>8230</v>
      </c>
      <c r="BF81" s="362">
        <f t="shared" ca="1" si="40"/>
        <v>2664.0000000000005</v>
      </c>
      <c r="BG81" s="362">
        <f t="shared" ca="1" si="40"/>
        <v>8321</v>
      </c>
      <c r="BH81" s="362">
        <f t="shared" ca="1" si="40"/>
        <v>6582</v>
      </c>
      <c r="BI81" s="362">
        <f t="shared" ca="1" si="40"/>
        <v>19796.560000000001</v>
      </c>
      <c r="BJ81" s="362">
        <f t="shared" ca="1" si="40"/>
        <v>36104.76915478157</v>
      </c>
      <c r="BK81" s="362">
        <f t="shared" ca="1" si="40"/>
        <v>10775.193959707907</v>
      </c>
      <c r="BL81" s="362">
        <f t="shared" ca="1" si="40"/>
        <v>5388.0137661637009</v>
      </c>
      <c r="BM81" s="362"/>
    </row>
    <row r="82" spans="27:65">
      <c r="AA82" s="360">
        <f t="shared" si="30"/>
        <v>2036</v>
      </c>
      <c r="AB82" s="362">
        <f>UtilityDemand!C38</f>
        <v>173783.86403861555</v>
      </c>
      <c r="AC82" s="362"/>
      <c r="AD82" s="362">
        <f t="shared" ca="1" si="31"/>
        <v>74384.152374137964</v>
      </c>
      <c r="AE82" s="362"/>
      <c r="AF82" s="362" t="str">
        <f t="shared" ca="1" si="38"/>
        <v/>
      </c>
      <c r="AG82" s="362" t="str">
        <f t="shared" ca="1" si="38"/>
        <v/>
      </c>
      <c r="AH82" s="362" t="str">
        <f t="shared" ca="1" si="38"/>
        <v/>
      </c>
      <c r="AI82" s="362" t="str">
        <f t="shared" ca="1" si="38"/>
        <v/>
      </c>
      <c r="AJ82" s="362" t="str">
        <f t="shared" ca="1" si="38"/>
        <v/>
      </c>
      <c r="AK82" s="362" t="str">
        <f t="shared" ca="1" si="38"/>
        <v/>
      </c>
      <c r="AL82" s="362" t="str">
        <f t="shared" ca="1" si="38"/>
        <v/>
      </c>
      <c r="AM82" s="362" t="str">
        <f t="shared" ca="1" si="38"/>
        <v/>
      </c>
      <c r="AN82" s="362" t="str">
        <f t="shared" ca="1" si="38"/>
        <v/>
      </c>
      <c r="AO82" s="362" t="str">
        <f t="shared" ca="1" si="38"/>
        <v/>
      </c>
      <c r="AP82" s="362" t="str">
        <f t="shared" ca="1" si="39"/>
        <v/>
      </c>
      <c r="AQ82" s="362" t="str">
        <f t="shared" ca="1" si="39"/>
        <v/>
      </c>
      <c r="AR82" s="362" t="str">
        <f t="shared" ca="1" si="39"/>
        <v/>
      </c>
      <c r="AS82" s="362" t="str">
        <f t="shared" ca="1" si="39"/>
        <v/>
      </c>
      <c r="AT82" s="362" t="str">
        <f t="shared" ca="1" si="39"/>
        <v/>
      </c>
      <c r="AU82" s="362" t="str">
        <f t="shared" ca="1" si="39"/>
        <v/>
      </c>
      <c r="AV82" s="362">
        <f t="shared" ca="1" si="39"/>
        <v>700.48813000001246</v>
      </c>
      <c r="AW82" s="362">
        <f t="shared" ca="1" si="39"/>
        <v>-1036.6000000000058</v>
      </c>
      <c r="AX82" s="362">
        <f t="shared" ca="1" si="39"/>
        <v>0</v>
      </c>
      <c r="AY82" s="362">
        <f t="shared" ca="1" si="39"/>
        <v>175.20000000001164</v>
      </c>
      <c r="AZ82" s="362">
        <f t="shared" ca="1" si="40"/>
        <v>0</v>
      </c>
      <c r="BA82" s="362">
        <f t="shared" ca="1" si="40"/>
        <v>0</v>
      </c>
      <c r="BB82" s="362">
        <f t="shared" ca="1" si="40"/>
        <v>0</v>
      </c>
      <c r="BC82" s="362">
        <f t="shared" ca="1" si="40"/>
        <v>0</v>
      </c>
      <c r="BD82" s="362">
        <f t="shared" ca="1" si="40"/>
        <v>0</v>
      </c>
      <c r="BE82" s="362">
        <f t="shared" ca="1" si="40"/>
        <v>8230</v>
      </c>
      <c r="BF82" s="362">
        <f t="shared" ca="1" si="40"/>
        <v>2664.0000000000005</v>
      </c>
      <c r="BG82" s="362">
        <f t="shared" ca="1" si="40"/>
        <v>8321</v>
      </c>
      <c r="BH82" s="362">
        <f t="shared" ca="1" si="40"/>
        <v>6582</v>
      </c>
      <c r="BI82" s="362">
        <f t="shared" ca="1" si="40"/>
        <v>19796.560000000001</v>
      </c>
      <c r="BJ82" s="362">
        <f t="shared" ca="1" si="40"/>
        <v>37493.414122273156</v>
      </c>
      <c r="BK82" s="362">
        <f t="shared" ca="1" si="40"/>
        <v>11092.080964618208</v>
      </c>
      <c r="BL82" s="362">
        <f t="shared" ca="1" si="40"/>
        <v>5381.5684475862099</v>
      </c>
      <c r="BM82" s="362"/>
    </row>
    <row r="83" spans="27:65">
      <c r="AA83" s="360">
        <f t="shared" si="30"/>
        <v>2037</v>
      </c>
      <c r="AB83" s="362">
        <f>UtilityDemand!C39</f>
        <v>175360.48963946756</v>
      </c>
      <c r="AC83" s="362"/>
      <c r="AD83" s="362">
        <f t="shared" ca="1" si="31"/>
        <v>74260.939669198837</v>
      </c>
      <c r="AE83" s="362"/>
      <c r="AF83" s="362" t="str">
        <f t="shared" ca="1" si="38"/>
        <v/>
      </c>
      <c r="AG83" s="362" t="str">
        <f t="shared" ca="1" si="38"/>
        <v/>
      </c>
      <c r="AH83" s="362" t="str">
        <f t="shared" ca="1" si="38"/>
        <v/>
      </c>
      <c r="AI83" s="362" t="str">
        <f t="shared" ca="1" si="38"/>
        <v/>
      </c>
      <c r="AJ83" s="362" t="str">
        <f t="shared" ca="1" si="38"/>
        <v/>
      </c>
      <c r="AK83" s="362" t="str">
        <f t="shared" ca="1" si="38"/>
        <v/>
      </c>
      <c r="AL83" s="362" t="str">
        <f t="shared" ca="1" si="38"/>
        <v/>
      </c>
      <c r="AM83" s="362" t="str">
        <f t="shared" ca="1" si="38"/>
        <v/>
      </c>
      <c r="AN83" s="362" t="str">
        <f t="shared" ca="1" si="38"/>
        <v/>
      </c>
      <c r="AO83" s="362" t="str">
        <f t="shared" ca="1" si="38"/>
        <v/>
      </c>
      <c r="AP83" s="362" t="str">
        <f t="shared" ca="1" si="39"/>
        <v/>
      </c>
      <c r="AQ83" s="362" t="str">
        <f t="shared" ca="1" si="39"/>
        <v/>
      </c>
      <c r="AR83" s="362" t="str">
        <f t="shared" ca="1" si="39"/>
        <v/>
      </c>
      <c r="AS83" s="362" t="str">
        <f t="shared" ca="1" si="39"/>
        <v/>
      </c>
      <c r="AT83" s="362" t="str">
        <f t="shared" ca="1" si="39"/>
        <v/>
      </c>
      <c r="AU83" s="362" t="str">
        <f t="shared" ca="1" si="39"/>
        <v/>
      </c>
      <c r="AV83" s="362">
        <f t="shared" ca="1" si="39"/>
        <v>700.48813000001246</v>
      </c>
      <c r="AW83" s="362">
        <f t="shared" ca="1" si="39"/>
        <v>-1036.6000000000058</v>
      </c>
      <c r="AX83" s="362">
        <f t="shared" ca="1" si="39"/>
        <v>0</v>
      </c>
      <c r="AY83" s="362">
        <f t="shared" ca="1" si="39"/>
        <v>175.20000000001164</v>
      </c>
      <c r="AZ83" s="362">
        <f t="shared" ca="1" si="40"/>
        <v>0</v>
      </c>
      <c r="BA83" s="362">
        <f t="shared" ca="1" si="40"/>
        <v>0</v>
      </c>
      <c r="BB83" s="362">
        <f t="shared" ca="1" si="40"/>
        <v>0</v>
      </c>
      <c r="BC83" s="362">
        <f t="shared" ca="1" si="40"/>
        <v>0</v>
      </c>
      <c r="BD83" s="362">
        <f t="shared" ca="1" si="40"/>
        <v>0</v>
      </c>
      <c r="BE83" s="362">
        <f t="shared" ca="1" si="40"/>
        <v>8230</v>
      </c>
      <c r="BF83" s="362">
        <f t="shared" ca="1" si="40"/>
        <v>2664.0000000000005</v>
      </c>
      <c r="BG83" s="362">
        <f t="shared" ca="1" si="40"/>
        <v>8321</v>
      </c>
      <c r="BH83" s="362">
        <f t="shared" ca="1" si="40"/>
        <v>6582</v>
      </c>
      <c r="BI83" s="362">
        <f t="shared" ca="1" si="40"/>
        <v>19796.560000000001</v>
      </c>
      <c r="BJ83" s="362">
        <f t="shared" ca="1" si="40"/>
        <v>38882.059089764742</v>
      </c>
      <c r="BK83" s="362">
        <f t="shared" ca="1" si="40"/>
        <v>11409.759182125072</v>
      </c>
      <c r="BL83" s="362">
        <f t="shared" ca="1" si="40"/>
        <v>5375.0835683788873</v>
      </c>
      <c r="BM83" s="362"/>
    </row>
    <row r="84" spans="27:65">
      <c r="AA84" s="360">
        <f t="shared" si="30"/>
        <v>2038</v>
      </c>
      <c r="AB84" s="362">
        <f>UtilityDemand!C40</f>
        <v>176937.1152403196</v>
      </c>
      <c r="AC84" s="362"/>
      <c r="AD84" s="362">
        <f t="shared" ca="1" si="31"/>
        <v>74136.99537033723</v>
      </c>
      <c r="AE84" s="362"/>
      <c r="AF84" s="362" t="str">
        <f t="shared" ca="1" si="38"/>
        <v/>
      </c>
      <c r="AG84" s="362" t="str">
        <f t="shared" ca="1" si="38"/>
        <v/>
      </c>
      <c r="AH84" s="362" t="str">
        <f t="shared" ca="1" si="38"/>
        <v/>
      </c>
      <c r="AI84" s="362" t="str">
        <f t="shared" ca="1" si="38"/>
        <v/>
      </c>
      <c r="AJ84" s="362" t="str">
        <f t="shared" ca="1" si="38"/>
        <v/>
      </c>
      <c r="AK84" s="362" t="str">
        <f t="shared" ca="1" si="38"/>
        <v/>
      </c>
      <c r="AL84" s="362" t="str">
        <f t="shared" ca="1" si="38"/>
        <v/>
      </c>
      <c r="AM84" s="362" t="str">
        <f t="shared" ca="1" si="38"/>
        <v/>
      </c>
      <c r="AN84" s="362" t="str">
        <f t="shared" ca="1" si="38"/>
        <v/>
      </c>
      <c r="AO84" s="362" t="str">
        <f t="shared" ca="1" si="38"/>
        <v/>
      </c>
      <c r="AP84" s="362" t="str">
        <f t="shared" ca="1" si="39"/>
        <v/>
      </c>
      <c r="AQ84" s="362" t="str">
        <f t="shared" ca="1" si="39"/>
        <v/>
      </c>
      <c r="AR84" s="362" t="str">
        <f t="shared" ca="1" si="39"/>
        <v/>
      </c>
      <c r="AS84" s="362" t="str">
        <f t="shared" ca="1" si="39"/>
        <v/>
      </c>
      <c r="AT84" s="362" t="str">
        <f t="shared" ca="1" si="39"/>
        <v/>
      </c>
      <c r="AU84" s="362" t="str">
        <f t="shared" ca="1" si="39"/>
        <v/>
      </c>
      <c r="AV84" s="362">
        <f t="shared" ca="1" si="39"/>
        <v>700.48813000001246</v>
      </c>
      <c r="AW84" s="362">
        <f t="shared" ca="1" si="39"/>
        <v>-1036.6000000000058</v>
      </c>
      <c r="AX84" s="362">
        <f t="shared" ca="1" si="39"/>
        <v>0</v>
      </c>
      <c r="AY84" s="362">
        <f t="shared" ca="1" si="39"/>
        <v>175.20000000001164</v>
      </c>
      <c r="AZ84" s="362">
        <f t="shared" ca="1" si="40"/>
        <v>0</v>
      </c>
      <c r="BA84" s="362">
        <f t="shared" ca="1" si="40"/>
        <v>0</v>
      </c>
      <c r="BB84" s="362">
        <f t="shared" ca="1" si="40"/>
        <v>0</v>
      </c>
      <c r="BC84" s="362">
        <f t="shared" ca="1" si="40"/>
        <v>0</v>
      </c>
      <c r="BD84" s="362">
        <f t="shared" ca="1" si="40"/>
        <v>0</v>
      </c>
      <c r="BE84" s="362">
        <f t="shared" ca="1" si="40"/>
        <v>8230</v>
      </c>
      <c r="BF84" s="362">
        <f t="shared" ca="1" si="40"/>
        <v>2664.0000000000005</v>
      </c>
      <c r="BG84" s="362">
        <f t="shared" ca="1" si="40"/>
        <v>8321</v>
      </c>
      <c r="BH84" s="362">
        <f t="shared" ca="1" si="40"/>
        <v>6582</v>
      </c>
      <c r="BI84" s="362">
        <f t="shared" ca="1" si="40"/>
        <v>19796.560000000001</v>
      </c>
      <c r="BJ84" s="362">
        <f t="shared" ca="1" si="40"/>
        <v>40270.704057256349</v>
      </c>
      <c r="BK84" s="362">
        <f t="shared" ca="1" si="40"/>
        <v>11728.207498497741</v>
      </c>
      <c r="BL84" s="362">
        <f t="shared" ca="1" si="40"/>
        <v>5368.5601842282767</v>
      </c>
      <c r="BM84" s="362"/>
    </row>
    <row r="85" spans="27:65">
      <c r="AA85" s="360">
        <f t="shared" si="30"/>
        <v>2039</v>
      </c>
      <c r="AB85" s="362">
        <f>UtilityDemand!C41</f>
        <v>178513.74084117162</v>
      </c>
      <c r="AC85" s="362"/>
      <c r="AD85" s="362">
        <f t="shared" ca="1" si="31"/>
        <v>74012.338828216743</v>
      </c>
      <c r="AE85" s="362"/>
      <c r="AF85" s="362" t="str">
        <f t="shared" ca="1" si="38"/>
        <v/>
      </c>
      <c r="AG85" s="362" t="str">
        <f t="shared" ca="1" si="38"/>
        <v/>
      </c>
      <c r="AH85" s="362" t="str">
        <f t="shared" ca="1" si="38"/>
        <v/>
      </c>
      <c r="AI85" s="362" t="str">
        <f t="shared" ca="1" si="38"/>
        <v/>
      </c>
      <c r="AJ85" s="362" t="str">
        <f t="shared" ca="1" si="38"/>
        <v/>
      </c>
      <c r="AK85" s="362" t="str">
        <f t="shared" ca="1" si="38"/>
        <v/>
      </c>
      <c r="AL85" s="362" t="str">
        <f t="shared" ca="1" si="38"/>
        <v/>
      </c>
      <c r="AM85" s="362" t="str">
        <f t="shared" ca="1" si="38"/>
        <v/>
      </c>
      <c r="AN85" s="362" t="str">
        <f t="shared" ca="1" si="38"/>
        <v/>
      </c>
      <c r="AO85" s="362" t="str">
        <f t="shared" ca="1" si="38"/>
        <v/>
      </c>
      <c r="AP85" s="362" t="str">
        <f t="shared" ca="1" si="39"/>
        <v/>
      </c>
      <c r="AQ85" s="362" t="str">
        <f t="shared" ca="1" si="39"/>
        <v/>
      </c>
      <c r="AR85" s="362" t="str">
        <f t="shared" ca="1" si="39"/>
        <v/>
      </c>
      <c r="AS85" s="362" t="str">
        <f t="shared" ca="1" si="39"/>
        <v/>
      </c>
      <c r="AT85" s="362" t="str">
        <f t="shared" ca="1" si="39"/>
        <v/>
      </c>
      <c r="AU85" s="362" t="str">
        <f t="shared" ca="1" si="39"/>
        <v/>
      </c>
      <c r="AV85" s="362">
        <f t="shared" ca="1" si="39"/>
        <v>700.48813000001246</v>
      </c>
      <c r="AW85" s="362">
        <f t="shared" ca="1" si="39"/>
        <v>-1036.6000000000058</v>
      </c>
      <c r="AX85" s="362">
        <f t="shared" ca="1" si="39"/>
        <v>0</v>
      </c>
      <c r="AY85" s="362">
        <f t="shared" ca="1" si="39"/>
        <v>175.20000000001164</v>
      </c>
      <c r="AZ85" s="362">
        <f t="shared" ca="1" si="40"/>
        <v>0</v>
      </c>
      <c r="BA85" s="362">
        <f t="shared" ca="1" si="40"/>
        <v>0</v>
      </c>
      <c r="BB85" s="362">
        <f t="shared" ca="1" si="40"/>
        <v>0</v>
      </c>
      <c r="BC85" s="362">
        <f t="shared" ca="1" si="40"/>
        <v>0</v>
      </c>
      <c r="BD85" s="362">
        <f t="shared" ca="1" si="40"/>
        <v>0</v>
      </c>
      <c r="BE85" s="362">
        <f t="shared" ca="1" si="40"/>
        <v>8230</v>
      </c>
      <c r="BF85" s="362">
        <f t="shared" ca="1" si="40"/>
        <v>2664.0000000000005</v>
      </c>
      <c r="BG85" s="362">
        <f t="shared" ca="1" si="40"/>
        <v>8321</v>
      </c>
      <c r="BH85" s="362">
        <f t="shared" ca="1" si="40"/>
        <v>6582</v>
      </c>
      <c r="BI85" s="362">
        <f t="shared" ca="1" si="40"/>
        <v>19796.560000000001</v>
      </c>
      <c r="BJ85" s="362">
        <f t="shared" ca="1" si="40"/>
        <v>41659.349024747957</v>
      </c>
      <c r="BK85" s="362">
        <f t="shared" ca="1" si="40"/>
        <v>12047.405544616535</v>
      </c>
      <c r="BL85" s="362">
        <f t="shared" ca="1" si="40"/>
        <v>5361.9993135903569</v>
      </c>
      <c r="BM85" s="362"/>
    </row>
    <row r="86" spans="27:65">
      <c r="AA86" s="360">
        <f t="shared" si="30"/>
        <v>2040</v>
      </c>
      <c r="AB86" s="362">
        <f>UtilityDemand!C42</f>
        <v>180090.36644202363</v>
      </c>
      <c r="AC86" s="362"/>
      <c r="AD86" s="362">
        <f t="shared" ca="1" si="31"/>
        <v>73886.988717031825</v>
      </c>
      <c r="AE86" s="362"/>
      <c r="AF86" s="362" t="str">
        <f t="shared" ref="AF86:AO96" ca="1" si="41">IFERROR(-HLOOKUP(AF$50,ElecConsTable,$AA86-$AA$56+2,FALSE),"")</f>
        <v/>
      </c>
      <c r="AG86" s="362" t="str">
        <f t="shared" ca="1" si="41"/>
        <v/>
      </c>
      <c r="AH86" s="362" t="str">
        <f t="shared" ca="1" si="41"/>
        <v/>
      </c>
      <c r="AI86" s="362" t="str">
        <f t="shared" ca="1" si="41"/>
        <v/>
      </c>
      <c r="AJ86" s="362" t="str">
        <f t="shared" ca="1" si="41"/>
        <v/>
      </c>
      <c r="AK86" s="362" t="str">
        <f t="shared" ca="1" si="41"/>
        <v/>
      </c>
      <c r="AL86" s="362" t="str">
        <f t="shared" ca="1" si="41"/>
        <v/>
      </c>
      <c r="AM86" s="362" t="str">
        <f t="shared" ca="1" si="41"/>
        <v/>
      </c>
      <c r="AN86" s="362" t="str">
        <f t="shared" ca="1" si="41"/>
        <v/>
      </c>
      <c r="AO86" s="362" t="str">
        <f t="shared" ca="1" si="41"/>
        <v/>
      </c>
      <c r="AP86" s="362" t="str">
        <f t="shared" ref="AP86:AY96" ca="1" si="42">IFERROR(-HLOOKUP(AP$50,ElecConsTable,$AA86-$AA$56+2,FALSE),"")</f>
        <v/>
      </c>
      <c r="AQ86" s="362" t="str">
        <f t="shared" ca="1" si="42"/>
        <v/>
      </c>
      <c r="AR86" s="362" t="str">
        <f t="shared" ca="1" si="42"/>
        <v/>
      </c>
      <c r="AS86" s="362" t="str">
        <f t="shared" ca="1" si="42"/>
        <v/>
      </c>
      <c r="AT86" s="362" t="str">
        <f t="shared" ca="1" si="42"/>
        <v/>
      </c>
      <c r="AU86" s="362" t="str">
        <f t="shared" ca="1" si="42"/>
        <v/>
      </c>
      <c r="AV86" s="362">
        <f t="shared" ca="1" si="42"/>
        <v>700.48813000001246</v>
      </c>
      <c r="AW86" s="362">
        <f t="shared" ca="1" si="42"/>
        <v>-1036.6000000000058</v>
      </c>
      <c r="AX86" s="362">
        <f t="shared" ca="1" si="42"/>
        <v>0</v>
      </c>
      <c r="AY86" s="362">
        <f t="shared" ca="1" si="42"/>
        <v>175.20000000001164</v>
      </c>
      <c r="AZ86" s="362">
        <f t="shared" ref="AZ86:BL96" ca="1" si="43">IFERROR(-HLOOKUP(AZ$50,ElecConsTable,$AA86-$AA$56+2,FALSE),"")</f>
        <v>0</v>
      </c>
      <c r="BA86" s="362">
        <f t="shared" ca="1" si="43"/>
        <v>0</v>
      </c>
      <c r="BB86" s="362">
        <f t="shared" ca="1" si="43"/>
        <v>0</v>
      </c>
      <c r="BC86" s="362">
        <f t="shared" ca="1" si="43"/>
        <v>0</v>
      </c>
      <c r="BD86" s="362">
        <f t="shared" ca="1" si="43"/>
        <v>0</v>
      </c>
      <c r="BE86" s="362">
        <f t="shared" ca="1" si="43"/>
        <v>8230</v>
      </c>
      <c r="BF86" s="362">
        <f t="shared" ca="1" si="43"/>
        <v>2664.0000000000005</v>
      </c>
      <c r="BG86" s="362">
        <f t="shared" ca="1" si="43"/>
        <v>8321</v>
      </c>
      <c r="BH86" s="362">
        <f t="shared" ca="1" si="43"/>
        <v>6582</v>
      </c>
      <c r="BI86" s="362">
        <f t="shared" ca="1" si="43"/>
        <v>19796.560000000001</v>
      </c>
      <c r="BJ86" s="362">
        <f t="shared" ca="1" si="43"/>
        <v>43047.993992239542</v>
      </c>
      <c r="BK86" s="362">
        <f t="shared" ca="1" si="43"/>
        <v>12367.333663434774</v>
      </c>
      <c r="BL86" s="362">
        <f t="shared" ca="1" si="43"/>
        <v>5355.4019393174649</v>
      </c>
      <c r="BM86" s="362"/>
    </row>
    <row r="87" spans="27:65">
      <c r="AA87" s="360">
        <f t="shared" si="30"/>
        <v>2041</v>
      </c>
      <c r="AB87" s="362">
        <f>UtilityDemand!C43</f>
        <v>181666.99204287567</v>
      </c>
      <c r="AC87" s="362"/>
      <c r="AD87" s="362">
        <f t="shared" ca="1" si="31"/>
        <v>73760.963063811738</v>
      </c>
      <c r="AE87" s="362"/>
      <c r="AF87" s="362" t="str">
        <f t="shared" ca="1" si="41"/>
        <v/>
      </c>
      <c r="AG87" s="362" t="str">
        <f t="shared" ca="1" si="41"/>
        <v/>
      </c>
      <c r="AH87" s="362" t="str">
        <f t="shared" ca="1" si="41"/>
        <v/>
      </c>
      <c r="AI87" s="362" t="str">
        <f t="shared" ca="1" si="41"/>
        <v/>
      </c>
      <c r="AJ87" s="362" t="str">
        <f t="shared" ca="1" si="41"/>
        <v/>
      </c>
      <c r="AK87" s="362" t="str">
        <f t="shared" ca="1" si="41"/>
        <v/>
      </c>
      <c r="AL87" s="362" t="str">
        <f t="shared" ca="1" si="41"/>
        <v/>
      </c>
      <c r="AM87" s="362" t="str">
        <f t="shared" ca="1" si="41"/>
        <v/>
      </c>
      <c r="AN87" s="362" t="str">
        <f t="shared" ca="1" si="41"/>
        <v/>
      </c>
      <c r="AO87" s="362" t="str">
        <f t="shared" ca="1" si="41"/>
        <v/>
      </c>
      <c r="AP87" s="362" t="str">
        <f t="shared" ca="1" si="42"/>
        <v/>
      </c>
      <c r="AQ87" s="362" t="str">
        <f t="shared" ca="1" si="42"/>
        <v/>
      </c>
      <c r="AR87" s="362" t="str">
        <f t="shared" ca="1" si="42"/>
        <v/>
      </c>
      <c r="AS87" s="362" t="str">
        <f t="shared" ca="1" si="42"/>
        <v/>
      </c>
      <c r="AT87" s="362" t="str">
        <f t="shared" ca="1" si="42"/>
        <v/>
      </c>
      <c r="AU87" s="362" t="str">
        <f t="shared" ca="1" si="42"/>
        <v/>
      </c>
      <c r="AV87" s="362">
        <f t="shared" ca="1" si="42"/>
        <v>700.48813000001246</v>
      </c>
      <c r="AW87" s="362">
        <f t="shared" ca="1" si="42"/>
        <v>-1036.6000000000058</v>
      </c>
      <c r="AX87" s="362">
        <f t="shared" ca="1" si="42"/>
        <v>0</v>
      </c>
      <c r="AY87" s="362">
        <f t="shared" ca="1" si="42"/>
        <v>175.20000000001164</v>
      </c>
      <c r="AZ87" s="362">
        <f t="shared" ca="1" si="43"/>
        <v>0</v>
      </c>
      <c r="BA87" s="362">
        <f t="shared" ca="1" si="43"/>
        <v>0</v>
      </c>
      <c r="BB87" s="362">
        <f t="shared" ca="1" si="43"/>
        <v>0</v>
      </c>
      <c r="BC87" s="362">
        <f t="shared" ca="1" si="43"/>
        <v>0</v>
      </c>
      <c r="BD87" s="362">
        <f t="shared" ca="1" si="43"/>
        <v>0</v>
      </c>
      <c r="BE87" s="362">
        <f t="shared" ca="1" si="43"/>
        <v>8230</v>
      </c>
      <c r="BF87" s="362">
        <f t="shared" ca="1" si="43"/>
        <v>2664.0000000000005</v>
      </c>
      <c r="BG87" s="362">
        <f t="shared" ca="1" si="43"/>
        <v>8321</v>
      </c>
      <c r="BH87" s="362">
        <f t="shared" ca="1" si="43"/>
        <v>6582</v>
      </c>
      <c r="BI87" s="362">
        <f t="shared" ca="1" si="43"/>
        <v>19796.560000000001</v>
      </c>
      <c r="BJ87" s="362">
        <f t="shared" ca="1" si="43"/>
        <v>44436.63895973115</v>
      </c>
      <c r="BK87" s="362">
        <f t="shared" ca="1" si="43"/>
        <v>12687.97287913215</v>
      </c>
      <c r="BL87" s="362">
        <f t="shared" ca="1" si="43"/>
        <v>5348.7690102006191</v>
      </c>
      <c r="BM87" s="362"/>
    </row>
    <row r="88" spans="27:65">
      <c r="AA88" s="360">
        <f t="shared" si="30"/>
        <v>2042</v>
      </c>
      <c r="AB88" s="362">
        <f>UtilityDemand!C44</f>
        <v>183243.61764372772</v>
      </c>
      <c r="AC88" s="362"/>
      <c r="AD88" s="362">
        <f t="shared" ca="1" si="31"/>
        <v>73634.279276214802</v>
      </c>
      <c r="AE88" s="362"/>
      <c r="AF88" s="362" t="str">
        <f t="shared" ca="1" si="41"/>
        <v/>
      </c>
      <c r="AG88" s="362" t="str">
        <f t="shared" ca="1" si="41"/>
        <v/>
      </c>
      <c r="AH88" s="362" t="str">
        <f t="shared" ca="1" si="41"/>
        <v/>
      </c>
      <c r="AI88" s="362" t="str">
        <f t="shared" ca="1" si="41"/>
        <v/>
      </c>
      <c r="AJ88" s="362" t="str">
        <f t="shared" ca="1" si="41"/>
        <v/>
      </c>
      <c r="AK88" s="362" t="str">
        <f t="shared" ca="1" si="41"/>
        <v/>
      </c>
      <c r="AL88" s="362" t="str">
        <f t="shared" ca="1" si="41"/>
        <v/>
      </c>
      <c r="AM88" s="362" t="str">
        <f t="shared" ca="1" si="41"/>
        <v/>
      </c>
      <c r="AN88" s="362" t="str">
        <f t="shared" ca="1" si="41"/>
        <v/>
      </c>
      <c r="AO88" s="362" t="str">
        <f t="shared" ca="1" si="41"/>
        <v/>
      </c>
      <c r="AP88" s="362" t="str">
        <f t="shared" ca="1" si="42"/>
        <v/>
      </c>
      <c r="AQ88" s="362" t="str">
        <f t="shared" ca="1" si="42"/>
        <v/>
      </c>
      <c r="AR88" s="362" t="str">
        <f t="shared" ca="1" si="42"/>
        <v/>
      </c>
      <c r="AS88" s="362" t="str">
        <f t="shared" ca="1" si="42"/>
        <v/>
      </c>
      <c r="AT88" s="362" t="str">
        <f t="shared" ca="1" si="42"/>
        <v/>
      </c>
      <c r="AU88" s="362" t="str">
        <f t="shared" ca="1" si="42"/>
        <v/>
      </c>
      <c r="AV88" s="362">
        <f t="shared" ca="1" si="42"/>
        <v>700.48813000001246</v>
      </c>
      <c r="AW88" s="362">
        <f t="shared" ca="1" si="42"/>
        <v>-1036.6000000000058</v>
      </c>
      <c r="AX88" s="362">
        <f t="shared" ca="1" si="42"/>
        <v>0</v>
      </c>
      <c r="AY88" s="362">
        <f t="shared" ca="1" si="42"/>
        <v>175.20000000001164</v>
      </c>
      <c r="AZ88" s="362">
        <f t="shared" ca="1" si="43"/>
        <v>0</v>
      </c>
      <c r="BA88" s="362">
        <f t="shared" ca="1" si="43"/>
        <v>0</v>
      </c>
      <c r="BB88" s="362">
        <f t="shared" ca="1" si="43"/>
        <v>0</v>
      </c>
      <c r="BC88" s="362">
        <f t="shared" ca="1" si="43"/>
        <v>0</v>
      </c>
      <c r="BD88" s="362">
        <f t="shared" ca="1" si="43"/>
        <v>0</v>
      </c>
      <c r="BE88" s="362">
        <f t="shared" ca="1" si="43"/>
        <v>8230</v>
      </c>
      <c r="BF88" s="362">
        <f t="shared" ca="1" si="43"/>
        <v>2664.0000000000005</v>
      </c>
      <c r="BG88" s="362">
        <f t="shared" ca="1" si="43"/>
        <v>8321</v>
      </c>
      <c r="BH88" s="362">
        <f t="shared" ca="1" si="43"/>
        <v>6582</v>
      </c>
      <c r="BI88" s="362">
        <f t="shared" ca="1" si="43"/>
        <v>19796.560000000001</v>
      </c>
      <c r="BJ88" s="362">
        <f t="shared" ca="1" si="43"/>
        <v>45825.283927222757</v>
      </c>
      <c r="BK88" s="362">
        <f t="shared" ca="1" si="43"/>
        <v>13009.304867857798</v>
      </c>
      <c r="BL88" s="362">
        <f t="shared" ca="1" si="43"/>
        <v>5342.1014424323585</v>
      </c>
      <c r="BM88" s="362"/>
    </row>
    <row r="89" spans="27:65">
      <c r="AA89" s="360">
        <f t="shared" si="30"/>
        <v>2043</v>
      </c>
      <c r="AB89" s="362">
        <f>UtilityDemand!C45</f>
        <v>184820.24324457973</v>
      </c>
      <c r="AC89" s="362"/>
      <c r="AD89" s="362">
        <f t="shared" ca="1" si="31"/>
        <v>73506.954168902026</v>
      </c>
      <c r="AE89" s="362"/>
      <c r="AF89" s="362" t="str">
        <f t="shared" ca="1" si="41"/>
        <v/>
      </c>
      <c r="AG89" s="362" t="str">
        <f t="shared" ca="1" si="41"/>
        <v/>
      </c>
      <c r="AH89" s="362" t="str">
        <f t="shared" ca="1" si="41"/>
        <v/>
      </c>
      <c r="AI89" s="362" t="str">
        <f t="shared" ca="1" si="41"/>
        <v/>
      </c>
      <c r="AJ89" s="362" t="str">
        <f t="shared" ca="1" si="41"/>
        <v/>
      </c>
      <c r="AK89" s="362" t="str">
        <f t="shared" ca="1" si="41"/>
        <v/>
      </c>
      <c r="AL89" s="362" t="str">
        <f t="shared" ca="1" si="41"/>
        <v/>
      </c>
      <c r="AM89" s="362" t="str">
        <f t="shared" ca="1" si="41"/>
        <v/>
      </c>
      <c r="AN89" s="362" t="str">
        <f t="shared" ca="1" si="41"/>
        <v/>
      </c>
      <c r="AO89" s="362" t="str">
        <f t="shared" ca="1" si="41"/>
        <v/>
      </c>
      <c r="AP89" s="362" t="str">
        <f t="shared" ca="1" si="42"/>
        <v/>
      </c>
      <c r="AQ89" s="362" t="str">
        <f t="shared" ca="1" si="42"/>
        <v/>
      </c>
      <c r="AR89" s="362" t="str">
        <f t="shared" ca="1" si="42"/>
        <v/>
      </c>
      <c r="AS89" s="362" t="str">
        <f t="shared" ca="1" si="42"/>
        <v/>
      </c>
      <c r="AT89" s="362" t="str">
        <f t="shared" ca="1" si="42"/>
        <v/>
      </c>
      <c r="AU89" s="362" t="str">
        <f t="shared" ca="1" si="42"/>
        <v/>
      </c>
      <c r="AV89" s="362">
        <f t="shared" ca="1" si="42"/>
        <v>700.48813000001246</v>
      </c>
      <c r="AW89" s="362">
        <f t="shared" ca="1" si="42"/>
        <v>-1036.6000000000058</v>
      </c>
      <c r="AX89" s="362">
        <f t="shared" ca="1" si="42"/>
        <v>0</v>
      </c>
      <c r="AY89" s="362">
        <f t="shared" ca="1" si="42"/>
        <v>175.20000000001164</v>
      </c>
      <c r="AZ89" s="362">
        <f t="shared" ca="1" si="43"/>
        <v>0</v>
      </c>
      <c r="BA89" s="362">
        <f t="shared" ca="1" si="43"/>
        <v>0</v>
      </c>
      <c r="BB89" s="362">
        <f t="shared" ca="1" si="43"/>
        <v>0</v>
      </c>
      <c r="BC89" s="362">
        <f t="shared" ca="1" si="43"/>
        <v>0</v>
      </c>
      <c r="BD89" s="362">
        <f t="shared" ca="1" si="43"/>
        <v>0</v>
      </c>
      <c r="BE89" s="362">
        <f t="shared" ca="1" si="43"/>
        <v>8230</v>
      </c>
      <c r="BF89" s="362">
        <f t="shared" ca="1" si="43"/>
        <v>2664.0000000000005</v>
      </c>
      <c r="BG89" s="362">
        <f t="shared" ca="1" si="43"/>
        <v>8321</v>
      </c>
      <c r="BH89" s="362">
        <f t="shared" ca="1" si="43"/>
        <v>6582</v>
      </c>
      <c r="BI89" s="362">
        <f t="shared" ca="1" si="43"/>
        <v>19796.560000000001</v>
      </c>
      <c r="BJ89" s="362">
        <f t="shared" ca="1" si="43"/>
        <v>47213.928894714336</v>
      </c>
      <c r="BK89" s="362">
        <f t="shared" ca="1" si="43"/>
        <v>13331.31192996851</v>
      </c>
      <c r="BL89" s="362">
        <f t="shared" ca="1" si="43"/>
        <v>5335.4001209948447</v>
      </c>
      <c r="BM89" s="362"/>
    </row>
    <row r="90" spans="27:65">
      <c r="AA90" s="360">
        <f t="shared" si="30"/>
        <v>2044</v>
      </c>
      <c r="AB90" s="362">
        <f>UtilityDemand!C46</f>
        <v>186396.86884543177</v>
      </c>
      <c r="AC90" s="362"/>
      <c r="AD90" s="362">
        <f t="shared" ca="1" si="31"/>
        <v>73379.003988574972</v>
      </c>
      <c r="AE90" s="362"/>
      <c r="AF90" s="362" t="str">
        <f t="shared" ca="1" si="41"/>
        <v/>
      </c>
      <c r="AG90" s="362" t="str">
        <f t="shared" ca="1" si="41"/>
        <v/>
      </c>
      <c r="AH90" s="362" t="str">
        <f t="shared" ca="1" si="41"/>
        <v/>
      </c>
      <c r="AI90" s="362" t="str">
        <f t="shared" ca="1" si="41"/>
        <v/>
      </c>
      <c r="AJ90" s="362" t="str">
        <f t="shared" ca="1" si="41"/>
        <v/>
      </c>
      <c r="AK90" s="362" t="str">
        <f t="shared" ca="1" si="41"/>
        <v/>
      </c>
      <c r="AL90" s="362" t="str">
        <f t="shared" ca="1" si="41"/>
        <v/>
      </c>
      <c r="AM90" s="362" t="str">
        <f t="shared" ca="1" si="41"/>
        <v/>
      </c>
      <c r="AN90" s="362" t="str">
        <f t="shared" ca="1" si="41"/>
        <v/>
      </c>
      <c r="AO90" s="362" t="str">
        <f t="shared" ca="1" si="41"/>
        <v/>
      </c>
      <c r="AP90" s="362" t="str">
        <f t="shared" ca="1" si="42"/>
        <v/>
      </c>
      <c r="AQ90" s="362" t="str">
        <f t="shared" ca="1" si="42"/>
        <v/>
      </c>
      <c r="AR90" s="362" t="str">
        <f t="shared" ca="1" si="42"/>
        <v/>
      </c>
      <c r="AS90" s="362" t="str">
        <f t="shared" ca="1" si="42"/>
        <v/>
      </c>
      <c r="AT90" s="362" t="str">
        <f t="shared" ca="1" si="42"/>
        <v/>
      </c>
      <c r="AU90" s="362" t="str">
        <f t="shared" ca="1" si="42"/>
        <v/>
      </c>
      <c r="AV90" s="362">
        <f t="shared" ca="1" si="42"/>
        <v>700.48813000001246</v>
      </c>
      <c r="AW90" s="362">
        <f t="shared" ca="1" si="42"/>
        <v>-1036.6000000000058</v>
      </c>
      <c r="AX90" s="362">
        <f t="shared" ca="1" si="42"/>
        <v>0</v>
      </c>
      <c r="AY90" s="362">
        <f t="shared" ca="1" si="42"/>
        <v>175.20000000001164</v>
      </c>
      <c r="AZ90" s="362">
        <f t="shared" ca="1" si="43"/>
        <v>0</v>
      </c>
      <c r="BA90" s="362">
        <f t="shared" ca="1" si="43"/>
        <v>0</v>
      </c>
      <c r="BB90" s="362">
        <f t="shared" ca="1" si="43"/>
        <v>0</v>
      </c>
      <c r="BC90" s="362">
        <f t="shared" ca="1" si="43"/>
        <v>0</v>
      </c>
      <c r="BD90" s="362">
        <f t="shared" ca="1" si="43"/>
        <v>0</v>
      </c>
      <c r="BE90" s="362">
        <f t="shared" ca="1" si="43"/>
        <v>8230</v>
      </c>
      <c r="BF90" s="362">
        <f t="shared" ca="1" si="43"/>
        <v>2664.0000000000005</v>
      </c>
      <c r="BG90" s="362">
        <f t="shared" ca="1" si="43"/>
        <v>8321</v>
      </c>
      <c r="BH90" s="362">
        <f t="shared" ca="1" si="43"/>
        <v>6582</v>
      </c>
      <c r="BI90" s="362">
        <f t="shared" ca="1" si="43"/>
        <v>19796.560000000001</v>
      </c>
      <c r="BJ90" s="362">
        <f t="shared" ca="1" si="43"/>
        <v>48602.573862205943</v>
      </c>
      <c r="BK90" s="362">
        <f t="shared" ca="1" si="43"/>
        <v>13653.976963673216</v>
      </c>
      <c r="BL90" s="362">
        <f t="shared" ca="1" si="43"/>
        <v>5328.6659009776304</v>
      </c>
      <c r="BM90" s="362"/>
    </row>
    <row r="91" spans="27:65">
      <c r="AA91" s="360">
        <f t="shared" si="30"/>
        <v>2045</v>
      </c>
      <c r="AB91" s="362">
        <f>UtilityDemand!C47</f>
        <v>187973.49444628376</v>
      </c>
      <c r="AC91" s="362"/>
      <c r="AD91" s="362">
        <f t="shared" ca="1" si="31"/>
        <v>73250.44443775501</v>
      </c>
      <c r="AE91" s="362"/>
      <c r="AF91" s="362" t="str">
        <f t="shared" ca="1" si="41"/>
        <v/>
      </c>
      <c r="AG91" s="362" t="str">
        <f t="shared" ca="1" si="41"/>
        <v/>
      </c>
      <c r="AH91" s="362" t="str">
        <f t="shared" ca="1" si="41"/>
        <v/>
      </c>
      <c r="AI91" s="362" t="str">
        <f t="shared" ca="1" si="41"/>
        <v/>
      </c>
      <c r="AJ91" s="362" t="str">
        <f t="shared" ca="1" si="41"/>
        <v/>
      </c>
      <c r="AK91" s="362" t="str">
        <f t="shared" ca="1" si="41"/>
        <v/>
      </c>
      <c r="AL91" s="362" t="str">
        <f t="shared" ca="1" si="41"/>
        <v/>
      </c>
      <c r="AM91" s="362" t="str">
        <f t="shared" ca="1" si="41"/>
        <v/>
      </c>
      <c r="AN91" s="362" t="str">
        <f t="shared" ca="1" si="41"/>
        <v/>
      </c>
      <c r="AO91" s="362" t="str">
        <f t="shared" ca="1" si="41"/>
        <v/>
      </c>
      <c r="AP91" s="362" t="str">
        <f t="shared" ca="1" si="42"/>
        <v/>
      </c>
      <c r="AQ91" s="362" t="str">
        <f t="shared" ca="1" si="42"/>
        <v/>
      </c>
      <c r="AR91" s="362" t="str">
        <f t="shared" ca="1" si="42"/>
        <v/>
      </c>
      <c r="AS91" s="362" t="str">
        <f t="shared" ca="1" si="42"/>
        <v/>
      </c>
      <c r="AT91" s="362" t="str">
        <f t="shared" ca="1" si="42"/>
        <v/>
      </c>
      <c r="AU91" s="362" t="str">
        <f t="shared" ca="1" si="42"/>
        <v/>
      </c>
      <c r="AV91" s="362">
        <f t="shared" ca="1" si="42"/>
        <v>700.48813000001246</v>
      </c>
      <c r="AW91" s="362">
        <f t="shared" ca="1" si="42"/>
        <v>-1036.6000000000058</v>
      </c>
      <c r="AX91" s="362">
        <f t="shared" ca="1" si="42"/>
        <v>0</v>
      </c>
      <c r="AY91" s="362">
        <f t="shared" ca="1" si="42"/>
        <v>175.20000000001164</v>
      </c>
      <c r="AZ91" s="362">
        <f t="shared" ca="1" si="43"/>
        <v>0</v>
      </c>
      <c r="BA91" s="362">
        <f t="shared" ca="1" si="43"/>
        <v>0</v>
      </c>
      <c r="BB91" s="362">
        <f t="shared" ca="1" si="43"/>
        <v>0</v>
      </c>
      <c r="BC91" s="362">
        <f t="shared" ca="1" si="43"/>
        <v>0</v>
      </c>
      <c r="BD91" s="362">
        <f t="shared" ca="1" si="43"/>
        <v>0</v>
      </c>
      <c r="BE91" s="362">
        <f t="shared" ca="1" si="43"/>
        <v>8230</v>
      </c>
      <c r="BF91" s="362">
        <f t="shared" ca="1" si="43"/>
        <v>2664.0000000000005</v>
      </c>
      <c r="BG91" s="362">
        <f t="shared" ca="1" si="43"/>
        <v>8321</v>
      </c>
      <c r="BH91" s="362">
        <f t="shared" ca="1" si="43"/>
        <v>6582</v>
      </c>
      <c r="BI91" s="362">
        <f t="shared" ca="1" si="43"/>
        <v>19796.560000000001</v>
      </c>
      <c r="BJ91" s="362">
        <f t="shared" ca="1" si="43"/>
        <v>49991.218829697551</v>
      </c>
      <c r="BK91" s="362">
        <f t="shared" ca="1" si="43"/>
        <v>13977.283440001984</v>
      </c>
      <c r="BL91" s="362">
        <f t="shared" ca="1" si="43"/>
        <v>5321.8996088292115</v>
      </c>
      <c r="BM91" s="362"/>
    </row>
    <row r="92" spans="27:65">
      <c r="AA92" s="360">
        <f t="shared" si="30"/>
        <v>2046</v>
      </c>
      <c r="AB92" s="362">
        <f>UtilityDemand!C48</f>
        <v>189550.12004713583</v>
      </c>
      <c r="AC92" s="362"/>
      <c r="AD92" s="362">
        <f t="shared" ca="1" si="31"/>
        <v>73121.290697378514</v>
      </c>
      <c r="AE92" s="362"/>
      <c r="AF92" s="362" t="str">
        <f t="shared" ca="1" si="41"/>
        <v/>
      </c>
      <c r="AG92" s="362" t="str">
        <f t="shared" ca="1" si="41"/>
        <v/>
      </c>
      <c r="AH92" s="362" t="str">
        <f t="shared" ca="1" si="41"/>
        <v/>
      </c>
      <c r="AI92" s="362" t="str">
        <f t="shared" ca="1" si="41"/>
        <v/>
      </c>
      <c r="AJ92" s="362" t="str">
        <f t="shared" ca="1" si="41"/>
        <v/>
      </c>
      <c r="AK92" s="362" t="str">
        <f t="shared" ca="1" si="41"/>
        <v/>
      </c>
      <c r="AL92" s="362" t="str">
        <f t="shared" ca="1" si="41"/>
        <v/>
      </c>
      <c r="AM92" s="362" t="str">
        <f t="shared" ca="1" si="41"/>
        <v/>
      </c>
      <c r="AN92" s="362" t="str">
        <f t="shared" ca="1" si="41"/>
        <v/>
      </c>
      <c r="AO92" s="362" t="str">
        <f t="shared" ca="1" si="41"/>
        <v/>
      </c>
      <c r="AP92" s="362" t="str">
        <f t="shared" ca="1" si="42"/>
        <v/>
      </c>
      <c r="AQ92" s="362" t="str">
        <f t="shared" ca="1" si="42"/>
        <v/>
      </c>
      <c r="AR92" s="362" t="str">
        <f t="shared" ca="1" si="42"/>
        <v/>
      </c>
      <c r="AS92" s="362" t="str">
        <f t="shared" ca="1" si="42"/>
        <v/>
      </c>
      <c r="AT92" s="362" t="str">
        <f t="shared" ca="1" si="42"/>
        <v/>
      </c>
      <c r="AU92" s="362" t="str">
        <f t="shared" ca="1" si="42"/>
        <v/>
      </c>
      <c r="AV92" s="362">
        <f t="shared" ca="1" si="42"/>
        <v>700.48813000001246</v>
      </c>
      <c r="AW92" s="362">
        <f t="shared" ca="1" si="42"/>
        <v>-1036.6000000000058</v>
      </c>
      <c r="AX92" s="362">
        <f t="shared" ca="1" si="42"/>
        <v>0</v>
      </c>
      <c r="AY92" s="362">
        <f t="shared" ca="1" si="42"/>
        <v>175.20000000001164</v>
      </c>
      <c r="AZ92" s="362">
        <f t="shared" ca="1" si="43"/>
        <v>0</v>
      </c>
      <c r="BA92" s="362">
        <f t="shared" ca="1" si="43"/>
        <v>0</v>
      </c>
      <c r="BB92" s="362">
        <f t="shared" ca="1" si="43"/>
        <v>0</v>
      </c>
      <c r="BC92" s="362">
        <f t="shared" ca="1" si="43"/>
        <v>0</v>
      </c>
      <c r="BD92" s="362">
        <f t="shared" ca="1" si="43"/>
        <v>0</v>
      </c>
      <c r="BE92" s="362">
        <f t="shared" ca="1" si="43"/>
        <v>8230</v>
      </c>
      <c r="BF92" s="362">
        <f t="shared" ca="1" si="43"/>
        <v>2664.0000000000005</v>
      </c>
      <c r="BG92" s="362">
        <f t="shared" ca="1" si="43"/>
        <v>8321</v>
      </c>
      <c r="BH92" s="362">
        <f t="shared" ca="1" si="43"/>
        <v>6582</v>
      </c>
      <c r="BI92" s="362">
        <f t="shared" ca="1" si="43"/>
        <v>19796.560000000001</v>
      </c>
      <c r="BJ92" s="362">
        <f t="shared" ca="1" si="43"/>
        <v>51379.863797189137</v>
      </c>
      <c r="BK92" s="362">
        <f t="shared" ca="1" si="43"/>
        <v>14301.21537902192</v>
      </c>
      <c r="BL92" s="362">
        <f t="shared" ca="1" si="43"/>
        <v>5315.1020435462387</v>
      </c>
      <c r="BM92" s="362"/>
    </row>
    <row r="93" spans="27:65">
      <c r="AA93" s="360">
        <f t="shared" si="30"/>
        <v>2047</v>
      </c>
      <c r="AB93" s="362">
        <f>UtilityDemand!C49</f>
        <v>191126.74564798782</v>
      </c>
      <c r="AC93" s="362"/>
      <c r="AD93" s="362">
        <f t="shared" ca="1" si="31"/>
        <v>72991.557448274689</v>
      </c>
      <c r="AE93" s="362"/>
      <c r="AF93" s="362" t="str">
        <f t="shared" ca="1" si="41"/>
        <v/>
      </c>
      <c r="AG93" s="362" t="str">
        <f t="shared" ca="1" si="41"/>
        <v/>
      </c>
      <c r="AH93" s="362" t="str">
        <f t="shared" ca="1" si="41"/>
        <v/>
      </c>
      <c r="AI93" s="362" t="str">
        <f t="shared" ca="1" si="41"/>
        <v/>
      </c>
      <c r="AJ93" s="362" t="str">
        <f t="shared" ca="1" si="41"/>
        <v/>
      </c>
      <c r="AK93" s="362" t="str">
        <f t="shared" ca="1" si="41"/>
        <v/>
      </c>
      <c r="AL93" s="362" t="str">
        <f t="shared" ca="1" si="41"/>
        <v/>
      </c>
      <c r="AM93" s="362" t="str">
        <f t="shared" ca="1" si="41"/>
        <v/>
      </c>
      <c r="AN93" s="362" t="str">
        <f t="shared" ca="1" si="41"/>
        <v/>
      </c>
      <c r="AO93" s="362" t="str">
        <f t="shared" ca="1" si="41"/>
        <v/>
      </c>
      <c r="AP93" s="362" t="str">
        <f t="shared" ca="1" si="42"/>
        <v/>
      </c>
      <c r="AQ93" s="362" t="str">
        <f t="shared" ca="1" si="42"/>
        <v/>
      </c>
      <c r="AR93" s="362" t="str">
        <f t="shared" ca="1" si="42"/>
        <v/>
      </c>
      <c r="AS93" s="362" t="str">
        <f t="shared" ca="1" si="42"/>
        <v/>
      </c>
      <c r="AT93" s="362" t="str">
        <f t="shared" ca="1" si="42"/>
        <v/>
      </c>
      <c r="AU93" s="362" t="str">
        <f t="shared" ca="1" si="42"/>
        <v/>
      </c>
      <c r="AV93" s="362">
        <f t="shared" ca="1" si="42"/>
        <v>700.48813000001246</v>
      </c>
      <c r="AW93" s="362">
        <f t="shared" ca="1" si="42"/>
        <v>-1036.6000000000058</v>
      </c>
      <c r="AX93" s="362">
        <f t="shared" ca="1" si="42"/>
        <v>0</v>
      </c>
      <c r="AY93" s="362">
        <f t="shared" ca="1" si="42"/>
        <v>175.20000000001164</v>
      </c>
      <c r="AZ93" s="362">
        <f t="shared" ca="1" si="43"/>
        <v>0</v>
      </c>
      <c r="BA93" s="362">
        <f t="shared" ca="1" si="43"/>
        <v>0</v>
      </c>
      <c r="BB93" s="362">
        <f t="shared" ca="1" si="43"/>
        <v>0</v>
      </c>
      <c r="BC93" s="362">
        <f t="shared" ca="1" si="43"/>
        <v>0</v>
      </c>
      <c r="BD93" s="362">
        <f t="shared" ca="1" si="43"/>
        <v>0</v>
      </c>
      <c r="BE93" s="362">
        <f t="shared" ca="1" si="43"/>
        <v>8230</v>
      </c>
      <c r="BF93" s="362">
        <f t="shared" ca="1" si="43"/>
        <v>2664.0000000000005</v>
      </c>
      <c r="BG93" s="362">
        <f t="shared" ca="1" si="43"/>
        <v>8321</v>
      </c>
      <c r="BH93" s="362">
        <f t="shared" ca="1" si="43"/>
        <v>6582</v>
      </c>
      <c r="BI93" s="362">
        <f t="shared" ca="1" si="43"/>
        <v>19796.560000000001</v>
      </c>
      <c r="BJ93" s="362">
        <f t="shared" ca="1" si="43"/>
        <v>52768.508764680722</v>
      </c>
      <c r="BK93" s="362">
        <f t="shared" ca="1" si="43"/>
        <v>14625.757327228459</v>
      </c>
      <c r="BL93" s="362">
        <f t="shared" ca="1" si="43"/>
        <v>5308.2739778039322</v>
      </c>
      <c r="BM93" s="362"/>
    </row>
    <row r="94" spans="27:65">
      <c r="AA94" s="360">
        <f t="shared" si="30"/>
        <v>2048</v>
      </c>
      <c r="AB94" s="362">
        <f>UtilityDemand!C50</f>
        <v>192703.37124883989</v>
      </c>
      <c r="AC94" s="362"/>
      <c r="AD94" s="362">
        <f t="shared" ca="1" si="31"/>
        <v>72861.258891591642</v>
      </c>
      <c r="AE94" s="362"/>
      <c r="AF94" s="362" t="str">
        <f t="shared" ca="1" si="41"/>
        <v/>
      </c>
      <c r="AG94" s="362" t="str">
        <f t="shared" ca="1" si="41"/>
        <v/>
      </c>
      <c r="AH94" s="362" t="str">
        <f t="shared" ca="1" si="41"/>
        <v/>
      </c>
      <c r="AI94" s="362" t="str">
        <f t="shared" ca="1" si="41"/>
        <v/>
      </c>
      <c r="AJ94" s="362" t="str">
        <f t="shared" ca="1" si="41"/>
        <v/>
      </c>
      <c r="AK94" s="362" t="str">
        <f t="shared" ca="1" si="41"/>
        <v/>
      </c>
      <c r="AL94" s="362" t="str">
        <f t="shared" ca="1" si="41"/>
        <v/>
      </c>
      <c r="AM94" s="362" t="str">
        <f t="shared" ca="1" si="41"/>
        <v/>
      </c>
      <c r="AN94" s="362" t="str">
        <f t="shared" ca="1" si="41"/>
        <v/>
      </c>
      <c r="AO94" s="362" t="str">
        <f t="shared" ca="1" si="41"/>
        <v/>
      </c>
      <c r="AP94" s="362" t="str">
        <f t="shared" ca="1" si="42"/>
        <v/>
      </c>
      <c r="AQ94" s="362" t="str">
        <f t="shared" ca="1" si="42"/>
        <v/>
      </c>
      <c r="AR94" s="362" t="str">
        <f t="shared" ca="1" si="42"/>
        <v/>
      </c>
      <c r="AS94" s="362" t="str">
        <f t="shared" ca="1" si="42"/>
        <v/>
      </c>
      <c r="AT94" s="362" t="str">
        <f t="shared" ca="1" si="42"/>
        <v/>
      </c>
      <c r="AU94" s="362" t="str">
        <f t="shared" ca="1" si="42"/>
        <v/>
      </c>
      <c r="AV94" s="362">
        <f t="shared" ca="1" si="42"/>
        <v>700.48813000001246</v>
      </c>
      <c r="AW94" s="362">
        <f t="shared" ca="1" si="42"/>
        <v>-1036.6000000000058</v>
      </c>
      <c r="AX94" s="362">
        <f t="shared" ca="1" si="42"/>
        <v>0</v>
      </c>
      <c r="AY94" s="362">
        <f t="shared" ca="1" si="42"/>
        <v>175.20000000001164</v>
      </c>
      <c r="AZ94" s="362">
        <f t="shared" ca="1" si="43"/>
        <v>0</v>
      </c>
      <c r="BA94" s="362">
        <f t="shared" ca="1" si="43"/>
        <v>0</v>
      </c>
      <c r="BB94" s="362">
        <f t="shared" ca="1" si="43"/>
        <v>0</v>
      </c>
      <c r="BC94" s="362">
        <f t="shared" ca="1" si="43"/>
        <v>0</v>
      </c>
      <c r="BD94" s="362">
        <f t="shared" ca="1" si="43"/>
        <v>0</v>
      </c>
      <c r="BE94" s="362">
        <f t="shared" ca="1" si="43"/>
        <v>8230</v>
      </c>
      <c r="BF94" s="362">
        <f t="shared" ca="1" si="43"/>
        <v>2664.0000000000005</v>
      </c>
      <c r="BG94" s="362">
        <f t="shared" ca="1" si="43"/>
        <v>8321</v>
      </c>
      <c r="BH94" s="362">
        <f t="shared" ca="1" si="43"/>
        <v>6582</v>
      </c>
      <c r="BI94" s="362">
        <f t="shared" ca="1" si="43"/>
        <v>19796.560000000001</v>
      </c>
      <c r="BJ94" s="362">
        <f t="shared" ca="1" si="43"/>
        <v>54157.15373217233</v>
      </c>
      <c r="BK94" s="362">
        <f t="shared" ca="1" si="43"/>
        <v>14950.894336044752</v>
      </c>
      <c r="BL94" s="362">
        <f t="shared" ca="1" si="43"/>
        <v>5301.4161590311405</v>
      </c>
      <c r="BM94" s="362"/>
    </row>
    <row r="95" spans="27:65">
      <c r="AA95" s="360">
        <f t="shared" si="30"/>
        <v>2049</v>
      </c>
      <c r="AB95" s="362">
        <f>UtilityDemand!C51</f>
        <v>194279.99684969187</v>
      </c>
      <c r="AC95" s="362"/>
      <c r="AD95" s="362">
        <f t="shared" ca="1" si="31"/>
        <v>72730.408768228648</v>
      </c>
      <c r="AE95" s="362"/>
      <c r="AF95" s="362" t="str">
        <f t="shared" ca="1" si="41"/>
        <v/>
      </c>
      <c r="AG95" s="362" t="str">
        <f t="shared" ca="1" si="41"/>
        <v/>
      </c>
      <c r="AH95" s="362" t="str">
        <f t="shared" ca="1" si="41"/>
        <v/>
      </c>
      <c r="AI95" s="362" t="str">
        <f t="shared" ca="1" si="41"/>
        <v/>
      </c>
      <c r="AJ95" s="362" t="str">
        <f t="shared" ca="1" si="41"/>
        <v/>
      </c>
      <c r="AK95" s="362" t="str">
        <f t="shared" ca="1" si="41"/>
        <v/>
      </c>
      <c r="AL95" s="362" t="str">
        <f t="shared" ca="1" si="41"/>
        <v/>
      </c>
      <c r="AM95" s="362" t="str">
        <f t="shared" ca="1" si="41"/>
        <v/>
      </c>
      <c r="AN95" s="362" t="str">
        <f t="shared" ca="1" si="41"/>
        <v/>
      </c>
      <c r="AO95" s="362" t="str">
        <f t="shared" ca="1" si="41"/>
        <v/>
      </c>
      <c r="AP95" s="362" t="str">
        <f t="shared" ca="1" si="42"/>
        <v/>
      </c>
      <c r="AQ95" s="362" t="str">
        <f t="shared" ca="1" si="42"/>
        <v/>
      </c>
      <c r="AR95" s="362" t="str">
        <f t="shared" ca="1" si="42"/>
        <v/>
      </c>
      <c r="AS95" s="362" t="str">
        <f t="shared" ca="1" si="42"/>
        <v/>
      </c>
      <c r="AT95" s="362" t="str">
        <f t="shared" ca="1" si="42"/>
        <v/>
      </c>
      <c r="AU95" s="362" t="str">
        <f t="shared" ca="1" si="42"/>
        <v/>
      </c>
      <c r="AV95" s="362">
        <f t="shared" ca="1" si="42"/>
        <v>700.48813000001246</v>
      </c>
      <c r="AW95" s="362">
        <f t="shared" ca="1" si="42"/>
        <v>-1036.6000000000058</v>
      </c>
      <c r="AX95" s="362">
        <f t="shared" ca="1" si="42"/>
        <v>0</v>
      </c>
      <c r="AY95" s="362">
        <f t="shared" ca="1" si="42"/>
        <v>175.20000000001164</v>
      </c>
      <c r="AZ95" s="362">
        <f t="shared" ca="1" si="43"/>
        <v>0</v>
      </c>
      <c r="BA95" s="362">
        <f t="shared" ca="1" si="43"/>
        <v>0</v>
      </c>
      <c r="BB95" s="362">
        <f t="shared" ca="1" si="43"/>
        <v>0</v>
      </c>
      <c r="BC95" s="362">
        <f t="shared" ca="1" si="43"/>
        <v>0</v>
      </c>
      <c r="BD95" s="362">
        <f t="shared" ca="1" si="43"/>
        <v>0</v>
      </c>
      <c r="BE95" s="362">
        <f t="shared" ca="1" si="43"/>
        <v>8230</v>
      </c>
      <c r="BF95" s="362">
        <f t="shared" ca="1" si="43"/>
        <v>2664.0000000000005</v>
      </c>
      <c r="BG95" s="362">
        <f t="shared" ca="1" si="43"/>
        <v>8321</v>
      </c>
      <c r="BH95" s="362">
        <f t="shared" ca="1" si="43"/>
        <v>6582</v>
      </c>
      <c r="BI95" s="362">
        <f t="shared" ca="1" si="43"/>
        <v>19796.560000000001</v>
      </c>
      <c r="BJ95" s="362">
        <f t="shared" ca="1" si="43"/>
        <v>55545.79869966393</v>
      </c>
      <c r="BK95" s="362">
        <f t="shared" ca="1" si="43"/>
        <v>15276.611941366187</v>
      </c>
      <c r="BL95" s="362">
        <f t="shared" ca="1" si="43"/>
        <v>5294.5293104330885</v>
      </c>
      <c r="BM95" s="362"/>
    </row>
    <row r="96" spans="27:65">
      <c r="AA96" s="360">
        <f t="shared" si="30"/>
        <v>2050</v>
      </c>
      <c r="AB96" s="362">
        <f>UtilityDemand!C52</f>
        <v>195856.62245054395</v>
      </c>
      <c r="AC96" s="362"/>
      <c r="AD96" s="362">
        <f t="shared" ca="1" si="31"/>
        <v>72599.020377332039</v>
      </c>
      <c r="AE96" s="362"/>
      <c r="AF96" s="362" t="str">
        <f t="shared" ca="1" si="41"/>
        <v/>
      </c>
      <c r="AG96" s="362" t="str">
        <f t="shared" ca="1" si="41"/>
        <v/>
      </c>
      <c r="AH96" s="362" t="str">
        <f t="shared" ca="1" si="41"/>
        <v/>
      </c>
      <c r="AI96" s="362" t="str">
        <f t="shared" ca="1" si="41"/>
        <v/>
      </c>
      <c r="AJ96" s="362" t="str">
        <f t="shared" ca="1" si="41"/>
        <v/>
      </c>
      <c r="AK96" s="362" t="str">
        <f t="shared" ca="1" si="41"/>
        <v/>
      </c>
      <c r="AL96" s="362" t="str">
        <f t="shared" ca="1" si="41"/>
        <v/>
      </c>
      <c r="AM96" s="362" t="str">
        <f t="shared" ca="1" si="41"/>
        <v/>
      </c>
      <c r="AN96" s="362" t="str">
        <f t="shared" ca="1" si="41"/>
        <v/>
      </c>
      <c r="AO96" s="362" t="str">
        <f t="shared" ca="1" si="41"/>
        <v/>
      </c>
      <c r="AP96" s="362" t="str">
        <f t="shared" ca="1" si="42"/>
        <v/>
      </c>
      <c r="AQ96" s="362" t="str">
        <f t="shared" ca="1" si="42"/>
        <v/>
      </c>
      <c r="AR96" s="362" t="str">
        <f t="shared" ca="1" si="42"/>
        <v/>
      </c>
      <c r="AS96" s="362" t="str">
        <f t="shared" ca="1" si="42"/>
        <v/>
      </c>
      <c r="AT96" s="362" t="str">
        <f t="shared" ca="1" si="42"/>
        <v/>
      </c>
      <c r="AU96" s="362" t="str">
        <f t="shared" ca="1" si="42"/>
        <v/>
      </c>
      <c r="AV96" s="362">
        <f t="shared" ca="1" si="42"/>
        <v>700.48813000001246</v>
      </c>
      <c r="AW96" s="362">
        <f t="shared" ca="1" si="42"/>
        <v>-1036.6000000000058</v>
      </c>
      <c r="AX96" s="362">
        <f t="shared" ca="1" si="42"/>
        <v>0</v>
      </c>
      <c r="AY96" s="362">
        <f t="shared" ca="1" si="42"/>
        <v>175.20000000001164</v>
      </c>
      <c r="AZ96" s="362">
        <f t="shared" ca="1" si="43"/>
        <v>0</v>
      </c>
      <c r="BA96" s="362">
        <f t="shared" ca="1" si="43"/>
        <v>0</v>
      </c>
      <c r="BB96" s="362">
        <f t="shared" ca="1" si="43"/>
        <v>0</v>
      </c>
      <c r="BC96" s="362">
        <f t="shared" ca="1" si="43"/>
        <v>0</v>
      </c>
      <c r="BD96" s="362">
        <f t="shared" ca="1" si="43"/>
        <v>0</v>
      </c>
      <c r="BE96" s="362">
        <f t="shared" ca="1" si="43"/>
        <v>8230</v>
      </c>
      <c r="BF96" s="362">
        <f t="shared" ca="1" si="43"/>
        <v>2664.0000000000005</v>
      </c>
      <c r="BG96" s="362">
        <f t="shared" ca="1" si="43"/>
        <v>8321</v>
      </c>
      <c r="BH96" s="362">
        <f t="shared" ca="1" si="43"/>
        <v>6582</v>
      </c>
      <c r="BI96" s="362">
        <f t="shared" ca="1" si="43"/>
        <v>19796.560000000001</v>
      </c>
      <c r="BJ96" s="362">
        <f t="shared" ca="1" si="43"/>
        <v>56934.44366715553</v>
      </c>
      <c r="BK96" s="362">
        <f t="shared" ca="1" si="43"/>
        <v>15602.896144091515</v>
      </c>
      <c r="BL96" s="362">
        <f t="shared" ca="1" si="43"/>
        <v>5287.614131964845</v>
      </c>
      <c r="BM96" s="362"/>
    </row>
    <row r="97" spans="26:65" ht="60">
      <c r="Z97" s="323" t="s">
        <v>394</v>
      </c>
      <c r="AA97" s="323" t="s">
        <v>605</v>
      </c>
      <c r="AB97" s="323" t="s">
        <v>371</v>
      </c>
      <c r="AC97" s="323"/>
      <c r="AD97" s="323" t="s">
        <v>312</v>
      </c>
      <c r="AE97" s="323"/>
      <c r="AF97" s="345">
        <f t="shared" ref="AF97:BL97" si="44">AF$3</f>
        <v>0</v>
      </c>
      <c r="AG97" s="345">
        <f t="shared" si="44"/>
        <v>0</v>
      </c>
      <c r="AH97" s="345">
        <f t="shared" si="44"/>
        <v>0</v>
      </c>
      <c r="AI97" s="345">
        <f t="shared" si="44"/>
        <v>0</v>
      </c>
      <c r="AJ97" s="345">
        <f t="shared" si="44"/>
        <v>0</v>
      </c>
      <c r="AK97" s="345">
        <f t="shared" si="44"/>
        <v>0</v>
      </c>
      <c r="AL97" s="345">
        <f t="shared" si="44"/>
        <v>0</v>
      </c>
      <c r="AM97" s="345">
        <f t="shared" si="44"/>
        <v>0</v>
      </c>
      <c r="AN97" s="345">
        <f t="shared" si="44"/>
        <v>0</v>
      </c>
      <c r="AO97" s="345">
        <f t="shared" si="44"/>
        <v>0</v>
      </c>
      <c r="AP97" s="345">
        <f t="shared" si="44"/>
        <v>0</v>
      </c>
      <c r="AQ97" s="345">
        <f t="shared" si="44"/>
        <v>0</v>
      </c>
      <c r="AR97" s="345">
        <f t="shared" si="44"/>
        <v>0</v>
      </c>
      <c r="AS97" s="345">
        <f t="shared" si="44"/>
        <v>0</v>
      </c>
      <c r="AT97" s="345">
        <f t="shared" si="44"/>
        <v>0</v>
      </c>
      <c r="AU97" s="345">
        <f t="shared" si="44"/>
        <v>0</v>
      </c>
      <c r="AV97" s="345" t="str">
        <f t="shared" si="44"/>
        <v>Rooftop Solar PV</v>
      </c>
      <c r="AW97" s="345" t="str">
        <f t="shared" si="44"/>
        <v>Geo Exchange</v>
      </c>
      <c r="AX97" s="345" t="str">
        <f t="shared" si="44"/>
        <v>Solar DHW</v>
      </c>
      <c r="AY97" s="345" t="str">
        <f t="shared" si="44"/>
        <v>On-site Wind</v>
      </c>
      <c r="AZ97" s="345" t="str">
        <f t="shared" si="44"/>
        <v>Coal to Natural Gas Conversion @ Steam Plant</v>
      </c>
      <c r="BA97" s="345" t="str">
        <f t="shared" si="44"/>
        <v>Steam Line Improvements</v>
      </c>
      <c r="BB97" s="345" t="str">
        <f t="shared" si="44"/>
        <v>Waste Reduction</v>
      </c>
      <c r="BC97" s="345" t="str">
        <f t="shared" si="44"/>
        <v>Reduced Automobile Reliance Strategies</v>
      </c>
      <c r="BD97" s="345" t="str">
        <f t="shared" si="44"/>
        <v>Reduced Air Travel</v>
      </c>
      <c r="BE97" s="345" t="str">
        <f t="shared" si="44"/>
        <v>Green IT</v>
      </c>
      <c r="BF97" s="345" t="str">
        <f t="shared" si="44"/>
        <v>Long-term Energy Conservation Measures</v>
      </c>
      <c r="BG97" s="345" t="str">
        <f t="shared" si="44"/>
        <v>Mid-term Energy Conservation Measures</v>
      </c>
      <c r="BH97" s="345" t="str">
        <f t="shared" si="44"/>
        <v>Short-term Energy Conservation Measures</v>
      </c>
      <c r="BI97" s="345" t="str">
        <f t="shared" si="44"/>
        <v>Central Chiller Expansion</v>
      </c>
      <c r="BJ97" s="345" t="str">
        <f t="shared" si="44"/>
        <v>Space Planning &amp; Management</v>
      </c>
      <c r="BK97" s="345" t="str">
        <f t="shared" si="44"/>
        <v>Building Design &amp; Construction Standards</v>
      </c>
      <c r="BL97" s="345" t="str">
        <f t="shared" si="44"/>
        <v>Behavior Change</v>
      </c>
      <c r="BM97" s="345" t="str">
        <f>BM$3</f>
        <v/>
      </c>
    </row>
    <row r="98" spans="26:65">
      <c r="AA98" s="318">
        <v>2005</v>
      </c>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row>
    <row r="99" spans="26:65">
      <c r="AA99" s="318">
        <f>AA98+1</f>
        <v>2006</v>
      </c>
      <c r="AB99" s="318"/>
      <c r="AC99" s="318"/>
      <c r="AD99" s="1745" t="s">
        <v>318</v>
      </c>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row>
    <row r="100" spans="26:65">
      <c r="AA100" s="318">
        <f t="shared" ref="AA100:AA143" si="45">AA99+1</f>
        <v>2007</v>
      </c>
      <c r="AB100" s="318"/>
      <c r="AC100" s="318"/>
      <c r="AD100" s="1745"/>
      <c r="AE100" s="318"/>
      <c r="AF100" s="318"/>
      <c r="AG100" s="318"/>
      <c r="AH100" s="318"/>
      <c r="AI100" s="318"/>
      <c r="AJ100" s="318"/>
      <c r="AK100" s="318"/>
      <c r="AL100" s="318"/>
      <c r="AM100" s="318"/>
      <c r="AN100" s="318"/>
      <c r="AO100" s="318"/>
      <c r="AP100" s="318"/>
      <c r="AQ100" s="318"/>
      <c r="AR100" s="318"/>
      <c r="AS100" s="318"/>
      <c r="AT100" s="318"/>
      <c r="AU100" s="318"/>
      <c r="AV100" s="318"/>
      <c r="AW100" s="318"/>
      <c r="AX100" s="318"/>
      <c r="AY100" s="318"/>
      <c r="AZ100" s="318"/>
      <c r="BA100" s="318"/>
      <c r="BB100" s="318"/>
      <c r="BC100" s="318"/>
      <c r="BD100" s="318"/>
      <c r="BE100" s="318"/>
      <c r="BF100" s="318"/>
      <c r="BG100" s="318"/>
      <c r="BH100" s="318"/>
      <c r="BI100" s="318"/>
      <c r="BJ100" s="318"/>
      <c r="BK100" s="318"/>
      <c r="BL100" s="318"/>
      <c r="BM100" s="318"/>
    </row>
    <row r="101" spans="26:65">
      <c r="AA101" s="318">
        <f t="shared" si="45"/>
        <v>2008</v>
      </c>
      <c r="AB101" s="338"/>
      <c r="AC101" s="338"/>
      <c r="AD101" s="1745"/>
      <c r="AE101" s="318"/>
      <c r="AF101" s="318"/>
      <c r="AG101" s="318"/>
      <c r="AH101" s="318"/>
      <c r="AI101" s="318"/>
      <c r="AJ101" s="318"/>
      <c r="AK101" s="318"/>
      <c r="AL101" s="318"/>
      <c r="AM101" s="318"/>
      <c r="AN101" s="318"/>
      <c r="AO101" s="318"/>
      <c r="AP101" s="318"/>
      <c r="AQ101" s="318"/>
      <c r="AR101" s="318"/>
      <c r="AS101" s="318"/>
      <c r="AT101" s="318"/>
      <c r="AU101" s="318"/>
      <c r="AV101" s="318"/>
      <c r="AW101" s="318"/>
      <c r="AX101" s="318"/>
      <c r="AY101" s="318"/>
      <c r="AZ101" s="318"/>
      <c r="BA101" s="318"/>
      <c r="BB101" s="318"/>
      <c r="BC101" s="318"/>
      <c r="BD101" s="318"/>
      <c r="BE101" s="318"/>
      <c r="BF101" s="318"/>
      <c r="BG101" s="318"/>
      <c r="BH101" s="318"/>
      <c r="BI101" s="318"/>
      <c r="BJ101" s="318"/>
      <c r="BK101" s="318"/>
      <c r="BL101" s="318"/>
      <c r="BM101" s="318"/>
    </row>
    <row r="102" spans="26:65">
      <c r="AA102" s="318">
        <f t="shared" si="45"/>
        <v>2009</v>
      </c>
      <c r="AB102" s="338"/>
      <c r="AC102" s="338"/>
      <c r="AD102" s="338"/>
      <c r="AE102" s="318"/>
      <c r="AF102" s="318"/>
      <c r="AG102" s="318"/>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c r="BD102" s="318"/>
      <c r="BE102" s="318"/>
      <c r="BF102" s="318"/>
      <c r="BG102" s="318"/>
      <c r="BH102" s="318"/>
      <c r="BI102" s="318"/>
      <c r="BJ102" s="318"/>
      <c r="BK102" s="318"/>
      <c r="BL102" s="318"/>
      <c r="BM102" s="318"/>
    </row>
    <row r="103" spans="26:65">
      <c r="AA103" s="360">
        <f>AA102+1</f>
        <v>2010</v>
      </c>
      <c r="AB103" s="362">
        <f>UtilityDemand!E12</f>
        <v>685461.01512967527</v>
      </c>
      <c r="AC103" s="362"/>
      <c r="AD103" s="362">
        <f t="shared" ref="AD103:AD143" ca="1" si="46">AB103-SUM(AE103:BM103)</f>
        <v>678074.34788952675</v>
      </c>
      <c r="AE103" s="362"/>
      <c r="AF103" s="362" t="str">
        <f t="shared" ref="AF103:AO112" ca="1" si="47">IFERROR(-HLOOKUP(AF$50,NGConsTable,$AA103-$AA$103+2,FALSE),"")</f>
        <v/>
      </c>
      <c r="AG103" s="362" t="str">
        <f t="shared" ca="1" si="47"/>
        <v/>
      </c>
      <c r="AH103" s="362" t="str">
        <f t="shared" ca="1" si="47"/>
        <v/>
      </c>
      <c r="AI103" s="362" t="str">
        <f t="shared" ca="1" si="47"/>
        <v/>
      </c>
      <c r="AJ103" s="362" t="str">
        <f t="shared" ca="1" si="47"/>
        <v/>
      </c>
      <c r="AK103" s="362" t="str">
        <f t="shared" ca="1" si="47"/>
        <v/>
      </c>
      <c r="AL103" s="362" t="str">
        <f t="shared" ca="1" si="47"/>
        <v/>
      </c>
      <c r="AM103" s="362" t="str">
        <f t="shared" ca="1" si="47"/>
        <v/>
      </c>
      <c r="AN103" s="362" t="str">
        <f t="shared" ca="1" si="47"/>
        <v/>
      </c>
      <c r="AO103" s="362" t="str">
        <f t="shared" ca="1" si="47"/>
        <v/>
      </c>
      <c r="AP103" s="362" t="str">
        <f t="shared" ref="AP103:AY112" ca="1" si="48">IFERROR(-HLOOKUP(AP$50,NGConsTable,$AA103-$AA$103+2,FALSE),"")</f>
        <v/>
      </c>
      <c r="AQ103" s="362" t="str">
        <f t="shared" ca="1" si="48"/>
        <v/>
      </c>
      <c r="AR103" s="362" t="str">
        <f t="shared" ca="1" si="48"/>
        <v/>
      </c>
      <c r="AS103" s="362" t="str">
        <f t="shared" ca="1" si="48"/>
        <v/>
      </c>
      <c r="AT103" s="362" t="str">
        <f t="shared" ca="1" si="48"/>
        <v/>
      </c>
      <c r="AU103" s="362" t="str">
        <f t="shared" ca="1" si="48"/>
        <v/>
      </c>
      <c r="AV103" s="362">
        <f t="shared" ca="1" si="48"/>
        <v>0</v>
      </c>
      <c r="AW103" s="362">
        <f t="shared" ca="1" si="48"/>
        <v>0</v>
      </c>
      <c r="AX103" s="362">
        <f t="shared" ca="1" si="48"/>
        <v>0</v>
      </c>
      <c r="AY103" s="362">
        <f t="shared" ca="1" si="48"/>
        <v>0</v>
      </c>
      <c r="AZ103" s="362">
        <f t="shared" ref="AZ103:BL112" ca="1" si="49">IFERROR(-HLOOKUP(AZ$50,NGConsTable,$AA103-$AA$103+2,FALSE),"")</f>
        <v>0</v>
      </c>
      <c r="BA103" s="362">
        <f t="shared" ca="1" si="49"/>
        <v>0</v>
      </c>
      <c r="BB103" s="362">
        <f t="shared" ca="1" si="49"/>
        <v>0</v>
      </c>
      <c r="BC103" s="362">
        <f t="shared" ca="1" si="49"/>
        <v>0</v>
      </c>
      <c r="BD103" s="362">
        <f t="shared" ca="1" si="49"/>
        <v>0</v>
      </c>
      <c r="BE103" s="362">
        <f t="shared" ca="1" si="49"/>
        <v>0</v>
      </c>
      <c r="BF103" s="362">
        <f t="shared" ca="1" si="49"/>
        <v>0</v>
      </c>
      <c r="BG103" s="362">
        <f t="shared" ca="1" si="49"/>
        <v>0</v>
      </c>
      <c r="BH103" s="362">
        <f t="shared" ca="1" si="49"/>
        <v>0</v>
      </c>
      <c r="BI103" s="362">
        <f t="shared" ca="1" si="49"/>
        <v>0</v>
      </c>
      <c r="BJ103" s="362">
        <f t="shared" ca="1" si="49"/>
        <v>7386.6672401485412</v>
      </c>
      <c r="BK103" s="362">
        <f t="shared" ca="1" si="49"/>
        <v>0</v>
      </c>
      <c r="BL103" s="362">
        <f t="shared" ca="1" si="49"/>
        <v>0</v>
      </c>
      <c r="BM103" s="362"/>
    </row>
    <row r="104" spans="26:65">
      <c r="AA104" s="360">
        <f t="shared" si="45"/>
        <v>2011</v>
      </c>
      <c r="AB104" s="362">
        <f>UtilityDemand!E13</f>
        <v>693847.61425935081</v>
      </c>
      <c r="AC104" s="362"/>
      <c r="AD104" s="362">
        <f t="shared" ca="1" si="46"/>
        <v>662488.42315347015</v>
      </c>
      <c r="AE104" s="362"/>
      <c r="AF104" s="362" t="str">
        <f t="shared" ca="1" si="47"/>
        <v/>
      </c>
      <c r="AG104" s="362" t="str">
        <f t="shared" ca="1" si="47"/>
        <v/>
      </c>
      <c r="AH104" s="362" t="str">
        <f t="shared" ca="1" si="47"/>
        <v/>
      </c>
      <c r="AI104" s="362" t="str">
        <f t="shared" ca="1" si="47"/>
        <v/>
      </c>
      <c r="AJ104" s="362" t="str">
        <f t="shared" ca="1" si="47"/>
        <v/>
      </c>
      <c r="AK104" s="362" t="str">
        <f t="shared" ca="1" si="47"/>
        <v/>
      </c>
      <c r="AL104" s="362" t="str">
        <f t="shared" ca="1" si="47"/>
        <v/>
      </c>
      <c r="AM104" s="362" t="str">
        <f t="shared" ca="1" si="47"/>
        <v/>
      </c>
      <c r="AN104" s="362" t="str">
        <f t="shared" ca="1" si="47"/>
        <v/>
      </c>
      <c r="AO104" s="362" t="str">
        <f t="shared" ca="1" si="47"/>
        <v/>
      </c>
      <c r="AP104" s="362" t="str">
        <f t="shared" ca="1" si="48"/>
        <v/>
      </c>
      <c r="AQ104" s="362" t="str">
        <f t="shared" ca="1" si="48"/>
        <v/>
      </c>
      <c r="AR104" s="362" t="str">
        <f t="shared" ca="1" si="48"/>
        <v/>
      </c>
      <c r="AS104" s="362" t="str">
        <f t="shared" ca="1" si="48"/>
        <v/>
      </c>
      <c r="AT104" s="362" t="str">
        <f t="shared" ca="1" si="48"/>
        <v/>
      </c>
      <c r="AU104" s="362" t="str">
        <f t="shared" ca="1" si="48"/>
        <v/>
      </c>
      <c r="AV104" s="362">
        <f t="shared" ca="1" si="48"/>
        <v>0</v>
      </c>
      <c r="AW104" s="362">
        <f t="shared" ca="1" si="48"/>
        <v>0</v>
      </c>
      <c r="AX104" s="362">
        <f t="shared" ca="1" si="48"/>
        <v>0</v>
      </c>
      <c r="AY104" s="362">
        <f t="shared" ca="1" si="48"/>
        <v>0</v>
      </c>
      <c r="AZ104" s="362">
        <f t="shared" ca="1" si="49"/>
        <v>0</v>
      </c>
      <c r="BA104" s="362">
        <f t="shared" ca="1" si="49"/>
        <v>0</v>
      </c>
      <c r="BB104" s="362">
        <f t="shared" ca="1" si="49"/>
        <v>0</v>
      </c>
      <c r="BC104" s="362">
        <f t="shared" ca="1" si="49"/>
        <v>0</v>
      </c>
      <c r="BD104" s="362">
        <f t="shared" ca="1" si="49"/>
        <v>0</v>
      </c>
      <c r="BE104" s="362">
        <f t="shared" ca="1" si="49"/>
        <v>0</v>
      </c>
      <c r="BF104" s="362">
        <f t="shared" ca="1" si="49"/>
        <v>0</v>
      </c>
      <c r="BG104" s="362">
        <f t="shared" ca="1" si="49"/>
        <v>0</v>
      </c>
      <c r="BH104" s="362">
        <f t="shared" ca="1" si="49"/>
        <v>13233.084999999999</v>
      </c>
      <c r="BI104" s="362">
        <f t="shared" ca="1" si="49"/>
        <v>0</v>
      </c>
      <c r="BJ104" s="362">
        <f t="shared" ca="1" si="49"/>
        <v>14773.33448029699</v>
      </c>
      <c r="BK104" s="362">
        <f t="shared" ca="1" si="49"/>
        <v>3352.7716255836644</v>
      </c>
      <c r="BL104" s="362">
        <f t="shared" ca="1" si="49"/>
        <v>0</v>
      </c>
      <c r="BM104" s="362"/>
    </row>
    <row r="105" spans="26:65">
      <c r="AA105" s="360">
        <f t="shared" si="45"/>
        <v>2012</v>
      </c>
      <c r="AB105" s="362">
        <f>UtilityDemand!E14</f>
        <v>713508.44544344163</v>
      </c>
      <c r="AC105" s="362"/>
      <c r="AD105" s="362">
        <f t="shared" ca="1" si="46"/>
        <v>619647.86410018068</v>
      </c>
      <c r="AE105" s="362"/>
      <c r="AF105" s="362" t="str">
        <f t="shared" ca="1" si="47"/>
        <v/>
      </c>
      <c r="AG105" s="362" t="str">
        <f t="shared" ca="1" si="47"/>
        <v/>
      </c>
      <c r="AH105" s="362" t="str">
        <f t="shared" ca="1" si="47"/>
        <v/>
      </c>
      <c r="AI105" s="362" t="str">
        <f t="shared" ca="1" si="47"/>
        <v/>
      </c>
      <c r="AJ105" s="362" t="str">
        <f t="shared" ca="1" si="47"/>
        <v/>
      </c>
      <c r="AK105" s="362" t="str">
        <f t="shared" ca="1" si="47"/>
        <v/>
      </c>
      <c r="AL105" s="362" t="str">
        <f t="shared" ca="1" si="47"/>
        <v/>
      </c>
      <c r="AM105" s="362" t="str">
        <f t="shared" ca="1" si="47"/>
        <v/>
      </c>
      <c r="AN105" s="362" t="str">
        <f t="shared" ca="1" si="47"/>
        <v/>
      </c>
      <c r="AO105" s="362" t="str">
        <f t="shared" ca="1" si="47"/>
        <v/>
      </c>
      <c r="AP105" s="362" t="str">
        <f t="shared" ca="1" si="48"/>
        <v/>
      </c>
      <c r="AQ105" s="362" t="str">
        <f t="shared" ca="1" si="48"/>
        <v/>
      </c>
      <c r="AR105" s="362" t="str">
        <f t="shared" ca="1" si="48"/>
        <v/>
      </c>
      <c r="AS105" s="362" t="str">
        <f t="shared" ca="1" si="48"/>
        <v/>
      </c>
      <c r="AT105" s="362" t="str">
        <f t="shared" ca="1" si="48"/>
        <v/>
      </c>
      <c r="AU105" s="362" t="str">
        <f t="shared" ca="1" si="48"/>
        <v/>
      </c>
      <c r="AV105" s="362">
        <f t="shared" ca="1" si="48"/>
        <v>0</v>
      </c>
      <c r="AW105" s="362">
        <f t="shared" ca="1" si="48"/>
        <v>0</v>
      </c>
      <c r="AX105" s="362">
        <f t="shared" ca="1" si="48"/>
        <v>390.68231228680816</v>
      </c>
      <c r="AY105" s="362">
        <f t="shared" ca="1" si="48"/>
        <v>0</v>
      </c>
      <c r="AZ105" s="362">
        <f t="shared" ca="1" si="49"/>
        <v>0</v>
      </c>
      <c r="BA105" s="362">
        <f t="shared" ca="1" si="49"/>
        <v>28540.337817737665</v>
      </c>
      <c r="BB105" s="362">
        <f t="shared" ca="1" si="49"/>
        <v>0</v>
      </c>
      <c r="BC105" s="362">
        <f t="shared" ca="1" si="49"/>
        <v>0</v>
      </c>
      <c r="BD105" s="362">
        <f t="shared" ca="1" si="49"/>
        <v>0</v>
      </c>
      <c r="BE105" s="362">
        <f t="shared" ca="1" si="49"/>
        <v>0</v>
      </c>
      <c r="BF105" s="362">
        <f t="shared" ca="1" si="49"/>
        <v>0</v>
      </c>
      <c r="BG105" s="362">
        <f t="shared" ca="1" si="49"/>
        <v>0</v>
      </c>
      <c r="BH105" s="362">
        <f t="shared" ca="1" si="49"/>
        <v>26466.17</v>
      </c>
      <c r="BI105" s="362">
        <f t="shared" ca="1" si="49"/>
        <v>0</v>
      </c>
      <c r="BJ105" s="362">
        <f t="shared" ca="1" si="49"/>
        <v>22160.001720445529</v>
      </c>
      <c r="BK105" s="362">
        <f t="shared" ca="1" si="49"/>
        <v>16303.389492790942</v>
      </c>
      <c r="BL105" s="362">
        <f t="shared" ca="1" si="49"/>
        <v>0</v>
      </c>
      <c r="BM105" s="362"/>
    </row>
    <row r="106" spans="26:65">
      <c r="AA106" s="360">
        <f t="shared" si="45"/>
        <v>2013</v>
      </c>
      <c r="AB106" s="362">
        <f>UtilityDemand!E15</f>
        <v>724969.83513341204</v>
      </c>
      <c r="AC106" s="362"/>
      <c r="AD106" s="362">
        <f t="shared" ca="1" si="46"/>
        <v>595547.36958931689</v>
      </c>
      <c r="AE106" s="362"/>
      <c r="AF106" s="362" t="str">
        <f t="shared" ca="1" si="47"/>
        <v/>
      </c>
      <c r="AG106" s="362" t="str">
        <f t="shared" ca="1" si="47"/>
        <v/>
      </c>
      <c r="AH106" s="362" t="str">
        <f t="shared" ca="1" si="47"/>
        <v/>
      </c>
      <c r="AI106" s="362" t="str">
        <f t="shared" ca="1" si="47"/>
        <v/>
      </c>
      <c r="AJ106" s="362" t="str">
        <f t="shared" ca="1" si="47"/>
        <v/>
      </c>
      <c r="AK106" s="362" t="str">
        <f t="shared" ca="1" si="47"/>
        <v/>
      </c>
      <c r="AL106" s="362" t="str">
        <f t="shared" ca="1" si="47"/>
        <v/>
      </c>
      <c r="AM106" s="362" t="str">
        <f t="shared" ca="1" si="47"/>
        <v/>
      </c>
      <c r="AN106" s="362" t="str">
        <f t="shared" ca="1" si="47"/>
        <v/>
      </c>
      <c r="AO106" s="362" t="str">
        <f t="shared" ca="1" si="47"/>
        <v/>
      </c>
      <c r="AP106" s="362" t="str">
        <f t="shared" ca="1" si="48"/>
        <v/>
      </c>
      <c r="AQ106" s="362" t="str">
        <f t="shared" ca="1" si="48"/>
        <v/>
      </c>
      <c r="AR106" s="362" t="str">
        <f t="shared" ca="1" si="48"/>
        <v/>
      </c>
      <c r="AS106" s="362" t="str">
        <f t="shared" ca="1" si="48"/>
        <v/>
      </c>
      <c r="AT106" s="362" t="str">
        <f t="shared" ca="1" si="48"/>
        <v/>
      </c>
      <c r="AU106" s="362" t="str">
        <f t="shared" ca="1" si="48"/>
        <v/>
      </c>
      <c r="AV106" s="362">
        <f t="shared" ca="1" si="48"/>
        <v>0</v>
      </c>
      <c r="AW106" s="362">
        <f t="shared" ca="1" si="48"/>
        <v>9732.5</v>
      </c>
      <c r="AX106" s="362">
        <f t="shared" ca="1" si="48"/>
        <v>390.68231228680816</v>
      </c>
      <c r="AY106" s="362">
        <f t="shared" ca="1" si="48"/>
        <v>0</v>
      </c>
      <c r="AZ106" s="362">
        <f t="shared" ca="1" si="49"/>
        <v>0</v>
      </c>
      <c r="BA106" s="362">
        <f t="shared" ca="1" si="49"/>
        <v>28998.793405336473</v>
      </c>
      <c r="BB106" s="362">
        <f t="shared" ca="1" si="49"/>
        <v>0</v>
      </c>
      <c r="BC106" s="362">
        <f t="shared" ca="1" si="49"/>
        <v>0</v>
      </c>
      <c r="BD106" s="362">
        <f t="shared" ca="1" si="49"/>
        <v>0</v>
      </c>
      <c r="BE106" s="362">
        <f t="shared" ca="1" si="49"/>
        <v>0</v>
      </c>
      <c r="BF106" s="362">
        <f t="shared" ca="1" si="49"/>
        <v>0</v>
      </c>
      <c r="BG106" s="362">
        <f t="shared" ca="1" si="49"/>
        <v>0</v>
      </c>
      <c r="BH106" s="362">
        <f t="shared" ca="1" si="49"/>
        <v>39699.254999999997</v>
      </c>
      <c r="BI106" s="362">
        <f t="shared" ca="1" si="49"/>
        <v>0</v>
      </c>
      <c r="BJ106" s="362">
        <f t="shared" ca="1" si="49"/>
        <v>29546.668960593979</v>
      </c>
      <c r="BK106" s="362">
        <f t="shared" ca="1" si="49"/>
        <v>21054.565865877918</v>
      </c>
      <c r="BL106" s="362">
        <f t="shared" ca="1" si="49"/>
        <v>0</v>
      </c>
      <c r="BM106" s="362"/>
    </row>
    <row r="107" spans="26:65">
      <c r="AA107" s="360">
        <f t="shared" si="45"/>
        <v>2014</v>
      </c>
      <c r="AB107" s="362">
        <f>UtilityDemand!E16</f>
        <v>733356.43426308746</v>
      </c>
      <c r="AC107" s="362"/>
      <c r="AD107" s="362">
        <f t="shared" ca="1" si="46"/>
        <v>581302.36670086486</v>
      </c>
      <c r="AE107" s="362"/>
      <c r="AF107" s="362" t="str">
        <f t="shared" ca="1" si="47"/>
        <v/>
      </c>
      <c r="AG107" s="362" t="str">
        <f t="shared" ca="1" si="47"/>
        <v/>
      </c>
      <c r="AH107" s="362" t="str">
        <f t="shared" ca="1" si="47"/>
        <v/>
      </c>
      <c r="AI107" s="362" t="str">
        <f t="shared" ca="1" si="47"/>
        <v/>
      </c>
      <c r="AJ107" s="362" t="str">
        <f t="shared" ca="1" si="47"/>
        <v/>
      </c>
      <c r="AK107" s="362" t="str">
        <f t="shared" ca="1" si="47"/>
        <v/>
      </c>
      <c r="AL107" s="362" t="str">
        <f t="shared" ca="1" si="47"/>
        <v/>
      </c>
      <c r="AM107" s="362" t="str">
        <f t="shared" ca="1" si="47"/>
        <v/>
      </c>
      <c r="AN107" s="362" t="str">
        <f t="shared" ca="1" si="47"/>
        <v/>
      </c>
      <c r="AO107" s="362" t="str">
        <f t="shared" ca="1" si="47"/>
        <v/>
      </c>
      <c r="AP107" s="362" t="str">
        <f t="shared" ca="1" si="48"/>
        <v/>
      </c>
      <c r="AQ107" s="362" t="str">
        <f t="shared" ca="1" si="48"/>
        <v/>
      </c>
      <c r="AR107" s="362" t="str">
        <f t="shared" ca="1" si="48"/>
        <v/>
      </c>
      <c r="AS107" s="362" t="str">
        <f t="shared" ca="1" si="48"/>
        <v/>
      </c>
      <c r="AT107" s="362" t="str">
        <f t="shared" ca="1" si="48"/>
        <v/>
      </c>
      <c r="AU107" s="362" t="str">
        <f t="shared" ca="1" si="48"/>
        <v/>
      </c>
      <c r="AV107" s="362">
        <f t="shared" ca="1" si="48"/>
        <v>0</v>
      </c>
      <c r="AW107" s="362">
        <f t="shared" ca="1" si="48"/>
        <v>9732.5</v>
      </c>
      <c r="AX107" s="362">
        <f t="shared" ca="1" si="48"/>
        <v>390.68231228680816</v>
      </c>
      <c r="AY107" s="362">
        <f t="shared" ca="1" si="48"/>
        <v>0</v>
      </c>
      <c r="AZ107" s="362">
        <f t="shared" ca="1" si="49"/>
        <v>0</v>
      </c>
      <c r="BA107" s="362">
        <f t="shared" ca="1" si="49"/>
        <v>29334.257370523505</v>
      </c>
      <c r="BB107" s="362">
        <f t="shared" ca="1" si="49"/>
        <v>0</v>
      </c>
      <c r="BC107" s="362">
        <f t="shared" ca="1" si="49"/>
        <v>0</v>
      </c>
      <c r="BD107" s="362">
        <f t="shared" ca="1" si="49"/>
        <v>0</v>
      </c>
      <c r="BE107" s="362">
        <f t="shared" ca="1" si="49"/>
        <v>0</v>
      </c>
      <c r="BF107" s="362">
        <f t="shared" ca="1" si="49"/>
        <v>0</v>
      </c>
      <c r="BG107" s="362">
        <f t="shared" ca="1" si="49"/>
        <v>0</v>
      </c>
      <c r="BH107" s="362">
        <f t="shared" ca="1" si="49"/>
        <v>52932.34</v>
      </c>
      <c r="BI107" s="362">
        <f t="shared" ca="1" si="49"/>
        <v>0</v>
      </c>
      <c r="BJ107" s="362">
        <f t="shared" ca="1" si="49"/>
        <v>36933.336200742517</v>
      </c>
      <c r="BK107" s="362">
        <f t="shared" ca="1" si="49"/>
        <v>22730.951678669753</v>
      </c>
      <c r="BL107" s="362">
        <f t="shared" ca="1" si="49"/>
        <v>0</v>
      </c>
      <c r="BM107" s="362"/>
    </row>
    <row r="108" spans="26:65">
      <c r="AA108" s="360">
        <f t="shared" si="45"/>
        <v>2015</v>
      </c>
      <c r="AB108" s="362">
        <f>UtilityDemand!E17</f>
        <v>749942.47488688328</v>
      </c>
      <c r="AC108" s="362"/>
      <c r="AD108" s="362">
        <f t="shared" ca="1" si="46"/>
        <v>556996.88615264825</v>
      </c>
      <c r="AE108" s="362"/>
      <c r="AF108" s="362" t="str">
        <f t="shared" ca="1" si="47"/>
        <v/>
      </c>
      <c r="AG108" s="362" t="str">
        <f t="shared" ca="1" si="47"/>
        <v/>
      </c>
      <c r="AH108" s="362" t="str">
        <f t="shared" ca="1" si="47"/>
        <v/>
      </c>
      <c r="AI108" s="362" t="str">
        <f t="shared" ca="1" si="47"/>
        <v/>
      </c>
      <c r="AJ108" s="362" t="str">
        <f t="shared" ca="1" si="47"/>
        <v/>
      </c>
      <c r="AK108" s="362" t="str">
        <f t="shared" ca="1" si="47"/>
        <v/>
      </c>
      <c r="AL108" s="362" t="str">
        <f t="shared" ca="1" si="47"/>
        <v/>
      </c>
      <c r="AM108" s="362" t="str">
        <f t="shared" ca="1" si="47"/>
        <v/>
      </c>
      <c r="AN108" s="362" t="str">
        <f t="shared" ca="1" si="47"/>
        <v/>
      </c>
      <c r="AO108" s="362" t="str">
        <f t="shared" ca="1" si="47"/>
        <v/>
      </c>
      <c r="AP108" s="362" t="str">
        <f t="shared" ca="1" si="48"/>
        <v/>
      </c>
      <c r="AQ108" s="362" t="str">
        <f t="shared" ca="1" si="48"/>
        <v/>
      </c>
      <c r="AR108" s="362" t="str">
        <f t="shared" ca="1" si="48"/>
        <v/>
      </c>
      <c r="AS108" s="362" t="str">
        <f t="shared" ca="1" si="48"/>
        <v/>
      </c>
      <c r="AT108" s="362" t="str">
        <f t="shared" ca="1" si="48"/>
        <v/>
      </c>
      <c r="AU108" s="362" t="str">
        <f t="shared" ca="1" si="48"/>
        <v/>
      </c>
      <c r="AV108" s="362">
        <f t="shared" ca="1" si="48"/>
        <v>0</v>
      </c>
      <c r="AW108" s="362">
        <f t="shared" ca="1" si="48"/>
        <v>19465</v>
      </c>
      <c r="AX108" s="362">
        <f t="shared" ca="1" si="48"/>
        <v>390.68231228680816</v>
      </c>
      <c r="AY108" s="362">
        <f t="shared" ca="1" si="48"/>
        <v>0</v>
      </c>
      <c r="AZ108" s="362">
        <f t="shared" ca="1" si="49"/>
        <v>0</v>
      </c>
      <c r="BA108" s="362">
        <f t="shared" ca="1" si="49"/>
        <v>29997.698995475323</v>
      </c>
      <c r="BB108" s="362">
        <f t="shared" ca="1" si="49"/>
        <v>0</v>
      </c>
      <c r="BC108" s="362">
        <f t="shared" ca="1" si="49"/>
        <v>0</v>
      </c>
      <c r="BD108" s="362">
        <f t="shared" ca="1" si="49"/>
        <v>0</v>
      </c>
      <c r="BE108" s="362">
        <f t="shared" ca="1" si="49"/>
        <v>0</v>
      </c>
      <c r="BF108" s="362">
        <f t="shared" ca="1" si="49"/>
        <v>0</v>
      </c>
      <c r="BG108" s="362">
        <f t="shared" ca="1" si="49"/>
        <v>0</v>
      </c>
      <c r="BH108" s="362">
        <f t="shared" ca="1" si="49"/>
        <v>66165.424999999988</v>
      </c>
      <c r="BI108" s="362">
        <f t="shared" ca="1" si="49"/>
        <v>0</v>
      </c>
      <c r="BJ108" s="362">
        <f t="shared" ca="1" si="49"/>
        <v>44320.003440891058</v>
      </c>
      <c r="BK108" s="362">
        <f t="shared" ca="1" si="49"/>
        <v>32606.778985581885</v>
      </c>
      <c r="BL108" s="362">
        <f t="shared" ca="1" si="49"/>
        <v>0</v>
      </c>
      <c r="BM108" s="362"/>
    </row>
    <row r="109" spans="26:65">
      <c r="AA109" s="360">
        <f t="shared" si="45"/>
        <v>2016</v>
      </c>
      <c r="AB109" s="362">
        <f>UtilityDemand!E18</f>
        <v>758329.0740165587</v>
      </c>
      <c r="AC109" s="362"/>
      <c r="AD109" s="362">
        <f t="shared" ca="1" si="46"/>
        <v>548468.34638919635</v>
      </c>
      <c r="AE109" s="362"/>
      <c r="AF109" s="362" t="str">
        <f t="shared" ca="1" si="47"/>
        <v/>
      </c>
      <c r="AG109" s="362" t="str">
        <f t="shared" ca="1" si="47"/>
        <v/>
      </c>
      <c r="AH109" s="362" t="str">
        <f t="shared" ca="1" si="47"/>
        <v/>
      </c>
      <c r="AI109" s="362" t="str">
        <f t="shared" ca="1" si="47"/>
        <v/>
      </c>
      <c r="AJ109" s="362" t="str">
        <f t="shared" ca="1" si="47"/>
        <v/>
      </c>
      <c r="AK109" s="362" t="str">
        <f t="shared" ca="1" si="47"/>
        <v/>
      </c>
      <c r="AL109" s="362" t="str">
        <f t="shared" ca="1" si="47"/>
        <v/>
      </c>
      <c r="AM109" s="362" t="str">
        <f t="shared" ca="1" si="47"/>
        <v/>
      </c>
      <c r="AN109" s="362" t="str">
        <f t="shared" ca="1" si="47"/>
        <v/>
      </c>
      <c r="AO109" s="362" t="str">
        <f t="shared" ca="1" si="47"/>
        <v/>
      </c>
      <c r="AP109" s="362" t="str">
        <f t="shared" ca="1" si="48"/>
        <v/>
      </c>
      <c r="AQ109" s="362" t="str">
        <f t="shared" ca="1" si="48"/>
        <v/>
      </c>
      <c r="AR109" s="362" t="str">
        <f t="shared" ca="1" si="48"/>
        <v/>
      </c>
      <c r="AS109" s="362" t="str">
        <f t="shared" ca="1" si="48"/>
        <v/>
      </c>
      <c r="AT109" s="362" t="str">
        <f t="shared" ca="1" si="48"/>
        <v/>
      </c>
      <c r="AU109" s="362" t="str">
        <f t="shared" ca="1" si="48"/>
        <v/>
      </c>
      <c r="AV109" s="362">
        <f t="shared" ca="1" si="48"/>
        <v>0</v>
      </c>
      <c r="AW109" s="362">
        <f t="shared" ca="1" si="48"/>
        <v>19465</v>
      </c>
      <c r="AX109" s="362">
        <f t="shared" ca="1" si="48"/>
        <v>390.68231228680816</v>
      </c>
      <c r="AY109" s="362">
        <f t="shared" ca="1" si="48"/>
        <v>0</v>
      </c>
      <c r="AZ109" s="362">
        <f t="shared" ca="1" si="49"/>
        <v>0</v>
      </c>
      <c r="BA109" s="362">
        <f t="shared" ca="1" si="49"/>
        <v>30333.162960662339</v>
      </c>
      <c r="BB109" s="362">
        <f t="shared" ca="1" si="49"/>
        <v>0</v>
      </c>
      <c r="BC109" s="362">
        <f t="shared" ca="1" si="49"/>
        <v>0</v>
      </c>
      <c r="BD109" s="362">
        <f t="shared" ca="1" si="49"/>
        <v>0</v>
      </c>
      <c r="BE109" s="362">
        <f t="shared" ca="1" si="49"/>
        <v>0</v>
      </c>
      <c r="BF109" s="362">
        <f t="shared" ca="1" si="49"/>
        <v>0</v>
      </c>
      <c r="BG109" s="362">
        <f t="shared" ca="1" si="49"/>
        <v>7516.6218749999998</v>
      </c>
      <c r="BH109" s="362">
        <f t="shared" ca="1" si="49"/>
        <v>66165.424999999988</v>
      </c>
      <c r="BI109" s="362">
        <f t="shared" ca="1" si="49"/>
        <v>0</v>
      </c>
      <c r="BJ109" s="362">
        <f t="shared" ca="1" si="49"/>
        <v>51706.670681039512</v>
      </c>
      <c r="BK109" s="362">
        <f t="shared" ca="1" si="49"/>
        <v>34283.16479837372</v>
      </c>
      <c r="BL109" s="362">
        <f t="shared" ca="1" si="49"/>
        <v>0</v>
      </c>
      <c r="BM109" s="362"/>
    </row>
    <row r="110" spans="26:65">
      <c r="AA110" s="360">
        <f t="shared" si="45"/>
        <v>2017</v>
      </c>
      <c r="AB110" s="362">
        <f>UtilityDemand!E19</f>
        <v>766715.67314623413</v>
      </c>
      <c r="AC110" s="362"/>
      <c r="AD110" s="362">
        <f t="shared" ca="1" si="46"/>
        <v>539939.80662574433</v>
      </c>
      <c r="AE110" s="362"/>
      <c r="AF110" s="362" t="str">
        <f t="shared" ca="1" si="47"/>
        <v/>
      </c>
      <c r="AG110" s="362" t="str">
        <f t="shared" ca="1" si="47"/>
        <v/>
      </c>
      <c r="AH110" s="362" t="str">
        <f t="shared" ca="1" si="47"/>
        <v/>
      </c>
      <c r="AI110" s="362" t="str">
        <f t="shared" ca="1" si="47"/>
        <v/>
      </c>
      <c r="AJ110" s="362" t="str">
        <f t="shared" ca="1" si="47"/>
        <v/>
      </c>
      <c r="AK110" s="362" t="str">
        <f t="shared" ca="1" si="47"/>
        <v/>
      </c>
      <c r="AL110" s="362" t="str">
        <f t="shared" ca="1" si="47"/>
        <v/>
      </c>
      <c r="AM110" s="362" t="str">
        <f t="shared" ca="1" si="47"/>
        <v/>
      </c>
      <c r="AN110" s="362" t="str">
        <f t="shared" ca="1" si="47"/>
        <v/>
      </c>
      <c r="AO110" s="362" t="str">
        <f t="shared" ca="1" si="47"/>
        <v/>
      </c>
      <c r="AP110" s="362" t="str">
        <f t="shared" ca="1" si="48"/>
        <v/>
      </c>
      <c r="AQ110" s="362" t="str">
        <f t="shared" ca="1" si="48"/>
        <v/>
      </c>
      <c r="AR110" s="362" t="str">
        <f t="shared" ca="1" si="48"/>
        <v/>
      </c>
      <c r="AS110" s="362" t="str">
        <f t="shared" ca="1" si="48"/>
        <v/>
      </c>
      <c r="AT110" s="362" t="str">
        <f t="shared" ca="1" si="48"/>
        <v/>
      </c>
      <c r="AU110" s="362" t="str">
        <f t="shared" ca="1" si="48"/>
        <v/>
      </c>
      <c r="AV110" s="362">
        <f t="shared" ca="1" si="48"/>
        <v>0</v>
      </c>
      <c r="AW110" s="362">
        <f t="shared" ca="1" si="48"/>
        <v>19465</v>
      </c>
      <c r="AX110" s="362">
        <f t="shared" ca="1" si="48"/>
        <v>390.68231228680816</v>
      </c>
      <c r="AY110" s="362">
        <f t="shared" ca="1" si="48"/>
        <v>0</v>
      </c>
      <c r="AZ110" s="362">
        <f t="shared" ca="1" si="49"/>
        <v>0</v>
      </c>
      <c r="BA110" s="362">
        <f t="shared" ca="1" si="49"/>
        <v>30668.626925849356</v>
      </c>
      <c r="BB110" s="362">
        <f t="shared" ca="1" si="49"/>
        <v>0</v>
      </c>
      <c r="BC110" s="362">
        <f t="shared" ca="1" si="49"/>
        <v>0</v>
      </c>
      <c r="BD110" s="362">
        <f t="shared" ca="1" si="49"/>
        <v>0</v>
      </c>
      <c r="BE110" s="362">
        <f t="shared" ca="1" si="49"/>
        <v>0</v>
      </c>
      <c r="BF110" s="362">
        <f t="shared" ca="1" si="49"/>
        <v>0</v>
      </c>
      <c r="BG110" s="362">
        <f t="shared" ca="1" si="49"/>
        <v>15033.24375</v>
      </c>
      <c r="BH110" s="362">
        <f t="shared" ca="1" si="49"/>
        <v>66165.424999999988</v>
      </c>
      <c r="BI110" s="362">
        <f t="shared" ca="1" si="49"/>
        <v>0</v>
      </c>
      <c r="BJ110" s="362">
        <f t="shared" ca="1" si="49"/>
        <v>59093.337921188053</v>
      </c>
      <c r="BK110" s="362">
        <f t="shared" ca="1" si="49"/>
        <v>35959.550611165556</v>
      </c>
      <c r="BL110" s="362">
        <f t="shared" ca="1" si="49"/>
        <v>0</v>
      </c>
      <c r="BM110" s="362"/>
    </row>
    <row r="111" spans="26:65">
      <c r="AA111" s="360">
        <f t="shared" si="45"/>
        <v>2018</v>
      </c>
      <c r="AB111" s="362">
        <f>UtilityDemand!E20</f>
        <v>775102.27227590943</v>
      </c>
      <c r="AC111" s="362"/>
      <c r="AD111" s="362">
        <f t="shared" ca="1" si="46"/>
        <v>531411.26686229242</v>
      </c>
      <c r="AE111" s="362"/>
      <c r="AF111" s="362" t="str">
        <f t="shared" ca="1" si="47"/>
        <v/>
      </c>
      <c r="AG111" s="362" t="str">
        <f t="shared" ca="1" si="47"/>
        <v/>
      </c>
      <c r="AH111" s="362" t="str">
        <f t="shared" ca="1" si="47"/>
        <v/>
      </c>
      <c r="AI111" s="362" t="str">
        <f t="shared" ca="1" si="47"/>
        <v/>
      </c>
      <c r="AJ111" s="362" t="str">
        <f t="shared" ca="1" si="47"/>
        <v/>
      </c>
      <c r="AK111" s="362" t="str">
        <f t="shared" ca="1" si="47"/>
        <v/>
      </c>
      <c r="AL111" s="362" t="str">
        <f t="shared" ca="1" si="47"/>
        <v/>
      </c>
      <c r="AM111" s="362" t="str">
        <f t="shared" ca="1" si="47"/>
        <v/>
      </c>
      <c r="AN111" s="362" t="str">
        <f t="shared" ca="1" si="47"/>
        <v/>
      </c>
      <c r="AO111" s="362" t="str">
        <f t="shared" ca="1" si="47"/>
        <v/>
      </c>
      <c r="AP111" s="362" t="str">
        <f t="shared" ca="1" si="48"/>
        <v/>
      </c>
      <c r="AQ111" s="362" t="str">
        <f t="shared" ca="1" si="48"/>
        <v/>
      </c>
      <c r="AR111" s="362" t="str">
        <f t="shared" ca="1" si="48"/>
        <v/>
      </c>
      <c r="AS111" s="362" t="str">
        <f t="shared" ca="1" si="48"/>
        <v/>
      </c>
      <c r="AT111" s="362" t="str">
        <f t="shared" ca="1" si="48"/>
        <v/>
      </c>
      <c r="AU111" s="362" t="str">
        <f t="shared" ca="1" si="48"/>
        <v/>
      </c>
      <c r="AV111" s="362">
        <f t="shared" ca="1" si="48"/>
        <v>0</v>
      </c>
      <c r="AW111" s="362">
        <f t="shared" ca="1" si="48"/>
        <v>19465</v>
      </c>
      <c r="AX111" s="362">
        <f t="shared" ca="1" si="48"/>
        <v>390.68231228680816</v>
      </c>
      <c r="AY111" s="362">
        <f t="shared" ca="1" si="48"/>
        <v>0</v>
      </c>
      <c r="AZ111" s="362">
        <f t="shared" ca="1" si="49"/>
        <v>0</v>
      </c>
      <c r="BA111" s="362">
        <f t="shared" ca="1" si="49"/>
        <v>31004.090891036365</v>
      </c>
      <c r="BB111" s="362">
        <f t="shared" ca="1" si="49"/>
        <v>0</v>
      </c>
      <c r="BC111" s="362">
        <f t="shared" ca="1" si="49"/>
        <v>0</v>
      </c>
      <c r="BD111" s="362">
        <f t="shared" ca="1" si="49"/>
        <v>0</v>
      </c>
      <c r="BE111" s="362">
        <f t="shared" ca="1" si="49"/>
        <v>0</v>
      </c>
      <c r="BF111" s="362">
        <f t="shared" ca="1" si="49"/>
        <v>0</v>
      </c>
      <c r="BG111" s="362">
        <f t="shared" ca="1" si="49"/>
        <v>22549.865624999999</v>
      </c>
      <c r="BH111" s="362">
        <f t="shared" ca="1" si="49"/>
        <v>66165.424999999988</v>
      </c>
      <c r="BI111" s="362">
        <f t="shared" ca="1" si="49"/>
        <v>0</v>
      </c>
      <c r="BJ111" s="362">
        <f t="shared" ca="1" si="49"/>
        <v>66480.005161336492</v>
      </c>
      <c r="BK111" s="362">
        <f t="shared" ca="1" si="49"/>
        <v>37635.936423957384</v>
      </c>
      <c r="BL111" s="362">
        <f t="shared" ca="1" si="49"/>
        <v>0</v>
      </c>
      <c r="BM111" s="362"/>
    </row>
    <row r="112" spans="26:65">
      <c r="AA112" s="360">
        <f t="shared" si="45"/>
        <v>2019</v>
      </c>
      <c r="AB112" s="362">
        <f>UtilityDemand!E21</f>
        <v>783488.87140558485</v>
      </c>
      <c r="AC112" s="362"/>
      <c r="AD112" s="362">
        <f t="shared" ca="1" si="46"/>
        <v>522882.72709884041</v>
      </c>
      <c r="AE112" s="362"/>
      <c r="AF112" s="362" t="str">
        <f t="shared" ca="1" si="47"/>
        <v/>
      </c>
      <c r="AG112" s="362" t="str">
        <f t="shared" ca="1" si="47"/>
        <v/>
      </c>
      <c r="AH112" s="362" t="str">
        <f t="shared" ca="1" si="47"/>
        <v/>
      </c>
      <c r="AI112" s="362" t="str">
        <f t="shared" ca="1" si="47"/>
        <v/>
      </c>
      <c r="AJ112" s="362" t="str">
        <f t="shared" ca="1" si="47"/>
        <v/>
      </c>
      <c r="AK112" s="362" t="str">
        <f t="shared" ca="1" si="47"/>
        <v/>
      </c>
      <c r="AL112" s="362" t="str">
        <f t="shared" ca="1" si="47"/>
        <v/>
      </c>
      <c r="AM112" s="362" t="str">
        <f t="shared" ca="1" si="47"/>
        <v/>
      </c>
      <c r="AN112" s="362" t="str">
        <f t="shared" ca="1" si="47"/>
        <v/>
      </c>
      <c r="AO112" s="362" t="str">
        <f t="shared" ca="1" si="47"/>
        <v/>
      </c>
      <c r="AP112" s="362" t="str">
        <f t="shared" ca="1" si="48"/>
        <v/>
      </c>
      <c r="AQ112" s="362" t="str">
        <f t="shared" ca="1" si="48"/>
        <v/>
      </c>
      <c r="AR112" s="362" t="str">
        <f t="shared" ca="1" si="48"/>
        <v/>
      </c>
      <c r="AS112" s="362" t="str">
        <f t="shared" ca="1" si="48"/>
        <v/>
      </c>
      <c r="AT112" s="362" t="str">
        <f t="shared" ca="1" si="48"/>
        <v/>
      </c>
      <c r="AU112" s="362" t="str">
        <f t="shared" ca="1" si="48"/>
        <v/>
      </c>
      <c r="AV112" s="362">
        <f t="shared" ca="1" si="48"/>
        <v>0</v>
      </c>
      <c r="AW112" s="362">
        <f t="shared" ca="1" si="48"/>
        <v>19465</v>
      </c>
      <c r="AX112" s="362">
        <f t="shared" ca="1" si="48"/>
        <v>390.68231228680816</v>
      </c>
      <c r="AY112" s="362">
        <f t="shared" ca="1" si="48"/>
        <v>0</v>
      </c>
      <c r="AZ112" s="362">
        <f t="shared" ca="1" si="49"/>
        <v>0</v>
      </c>
      <c r="BA112" s="362">
        <f t="shared" ca="1" si="49"/>
        <v>31339.554856223382</v>
      </c>
      <c r="BB112" s="362">
        <f t="shared" ca="1" si="49"/>
        <v>0</v>
      </c>
      <c r="BC112" s="362">
        <f t="shared" ca="1" si="49"/>
        <v>0</v>
      </c>
      <c r="BD112" s="362">
        <f t="shared" ca="1" si="49"/>
        <v>0</v>
      </c>
      <c r="BE112" s="362">
        <f t="shared" ca="1" si="49"/>
        <v>0</v>
      </c>
      <c r="BF112" s="362">
        <f t="shared" ca="1" si="49"/>
        <v>0</v>
      </c>
      <c r="BG112" s="362">
        <f t="shared" ca="1" si="49"/>
        <v>30066.487499999999</v>
      </c>
      <c r="BH112" s="362">
        <f t="shared" ca="1" si="49"/>
        <v>66165.424999999988</v>
      </c>
      <c r="BI112" s="362">
        <f t="shared" ca="1" si="49"/>
        <v>0</v>
      </c>
      <c r="BJ112" s="362">
        <f t="shared" ca="1" si="49"/>
        <v>73866.672401485033</v>
      </c>
      <c r="BK112" s="362">
        <f t="shared" ca="1" si="49"/>
        <v>39312.322236749213</v>
      </c>
      <c r="BL112" s="362">
        <f t="shared" ca="1" si="49"/>
        <v>0</v>
      </c>
      <c r="BM112" s="362"/>
    </row>
    <row r="113" spans="27:65">
      <c r="AA113" s="360">
        <f t="shared" si="45"/>
        <v>2020</v>
      </c>
      <c r="AB113" s="362">
        <f>UtilityDemand!E22</f>
        <v>791875.47053526016</v>
      </c>
      <c r="AC113" s="362"/>
      <c r="AD113" s="362">
        <f t="shared" ca="1" si="46"/>
        <v>514354.18733538844</v>
      </c>
      <c r="AE113" s="362"/>
      <c r="AF113" s="362" t="str">
        <f t="shared" ref="AF113:AO122" ca="1" si="50">IFERROR(-HLOOKUP(AF$50,NGConsTable,$AA113-$AA$103+2,FALSE),"")</f>
        <v/>
      </c>
      <c r="AG113" s="362" t="str">
        <f t="shared" ca="1" si="50"/>
        <v/>
      </c>
      <c r="AH113" s="362" t="str">
        <f t="shared" ca="1" si="50"/>
        <v/>
      </c>
      <c r="AI113" s="362" t="str">
        <f t="shared" ca="1" si="50"/>
        <v/>
      </c>
      <c r="AJ113" s="362" t="str">
        <f t="shared" ca="1" si="50"/>
        <v/>
      </c>
      <c r="AK113" s="362" t="str">
        <f t="shared" ca="1" si="50"/>
        <v/>
      </c>
      <c r="AL113" s="362" t="str">
        <f t="shared" ca="1" si="50"/>
        <v/>
      </c>
      <c r="AM113" s="362" t="str">
        <f t="shared" ca="1" si="50"/>
        <v/>
      </c>
      <c r="AN113" s="362" t="str">
        <f t="shared" ca="1" si="50"/>
        <v/>
      </c>
      <c r="AO113" s="362" t="str">
        <f t="shared" ca="1" si="50"/>
        <v/>
      </c>
      <c r="AP113" s="362" t="str">
        <f t="shared" ref="AP113:AY122" ca="1" si="51">IFERROR(-HLOOKUP(AP$50,NGConsTable,$AA113-$AA$103+2,FALSE),"")</f>
        <v/>
      </c>
      <c r="AQ113" s="362" t="str">
        <f t="shared" ca="1" si="51"/>
        <v/>
      </c>
      <c r="AR113" s="362" t="str">
        <f t="shared" ca="1" si="51"/>
        <v/>
      </c>
      <c r="AS113" s="362" t="str">
        <f t="shared" ca="1" si="51"/>
        <v/>
      </c>
      <c r="AT113" s="362" t="str">
        <f t="shared" ca="1" si="51"/>
        <v/>
      </c>
      <c r="AU113" s="362" t="str">
        <f t="shared" ca="1" si="51"/>
        <v/>
      </c>
      <c r="AV113" s="362">
        <f t="shared" ca="1" si="51"/>
        <v>0</v>
      </c>
      <c r="AW113" s="362">
        <f t="shared" ca="1" si="51"/>
        <v>19465</v>
      </c>
      <c r="AX113" s="362">
        <f t="shared" ca="1" si="51"/>
        <v>390.68231228680816</v>
      </c>
      <c r="AY113" s="362">
        <f t="shared" ca="1" si="51"/>
        <v>0</v>
      </c>
      <c r="AZ113" s="362">
        <f t="shared" ref="AZ113:BL122" ca="1" si="52">IFERROR(-HLOOKUP(AZ$50,NGConsTable,$AA113-$AA$103+2,FALSE),"")</f>
        <v>0</v>
      </c>
      <c r="BA113" s="362">
        <f t="shared" ca="1" si="52"/>
        <v>31675.018821410406</v>
      </c>
      <c r="BB113" s="362">
        <f t="shared" ca="1" si="52"/>
        <v>0</v>
      </c>
      <c r="BC113" s="362">
        <f t="shared" ca="1" si="52"/>
        <v>0</v>
      </c>
      <c r="BD113" s="362">
        <f t="shared" ca="1" si="52"/>
        <v>0</v>
      </c>
      <c r="BE113" s="362">
        <f t="shared" ca="1" si="52"/>
        <v>0</v>
      </c>
      <c r="BF113" s="362">
        <f t="shared" ca="1" si="52"/>
        <v>0</v>
      </c>
      <c r="BG113" s="362">
        <f t="shared" ca="1" si="52"/>
        <v>37583.109375</v>
      </c>
      <c r="BH113" s="362">
        <f t="shared" ca="1" si="52"/>
        <v>66165.424999999988</v>
      </c>
      <c r="BI113" s="362">
        <f t="shared" ca="1" si="52"/>
        <v>0</v>
      </c>
      <c r="BJ113" s="362">
        <f t="shared" ca="1" si="52"/>
        <v>81253.339641633487</v>
      </c>
      <c r="BK113" s="362">
        <f t="shared" ca="1" si="52"/>
        <v>40988.708049541048</v>
      </c>
      <c r="BL113" s="362">
        <f t="shared" ca="1" si="52"/>
        <v>0</v>
      </c>
      <c r="BM113" s="362"/>
    </row>
    <row r="114" spans="27:65">
      <c r="AA114" s="360">
        <f t="shared" si="45"/>
        <v>2021</v>
      </c>
      <c r="AB114" s="362">
        <f>UtilityDemand!E23</f>
        <v>800262.06966493546</v>
      </c>
      <c r="AC114" s="362"/>
      <c r="AD114" s="362">
        <f t="shared" ca="1" si="46"/>
        <v>505825.64757193648</v>
      </c>
      <c r="AE114" s="362"/>
      <c r="AF114" s="362" t="str">
        <f t="shared" ca="1" si="50"/>
        <v/>
      </c>
      <c r="AG114" s="362" t="str">
        <f t="shared" ca="1" si="50"/>
        <v/>
      </c>
      <c r="AH114" s="362" t="str">
        <f t="shared" ca="1" si="50"/>
        <v/>
      </c>
      <c r="AI114" s="362" t="str">
        <f t="shared" ca="1" si="50"/>
        <v/>
      </c>
      <c r="AJ114" s="362" t="str">
        <f t="shared" ca="1" si="50"/>
        <v/>
      </c>
      <c r="AK114" s="362" t="str">
        <f t="shared" ca="1" si="50"/>
        <v/>
      </c>
      <c r="AL114" s="362" t="str">
        <f t="shared" ca="1" si="50"/>
        <v/>
      </c>
      <c r="AM114" s="362" t="str">
        <f t="shared" ca="1" si="50"/>
        <v/>
      </c>
      <c r="AN114" s="362" t="str">
        <f t="shared" ca="1" si="50"/>
        <v/>
      </c>
      <c r="AO114" s="362" t="str">
        <f t="shared" ca="1" si="50"/>
        <v/>
      </c>
      <c r="AP114" s="362" t="str">
        <f t="shared" ca="1" si="51"/>
        <v/>
      </c>
      <c r="AQ114" s="362" t="str">
        <f t="shared" ca="1" si="51"/>
        <v/>
      </c>
      <c r="AR114" s="362" t="str">
        <f t="shared" ca="1" si="51"/>
        <v/>
      </c>
      <c r="AS114" s="362" t="str">
        <f t="shared" ca="1" si="51"/>
        <v/>
      </c>
      <c r="AT114" s="362" t="str">
        <f t="shared" ca="1" si="51"/>
        <v/>
      </c>
      <c r="AU114" s="362" t="str">
        <f t="shared" ca="1" si="51"/>
        <v/>
      </c>
      <c r="AV114" s="362">
        <f t="shared" ca="1" si="51"/>
        <v>0</v>
      </c>
      <c r="AW114" s="362">
        <f t="shared" ca="1" si="51"/>
        <v>19465</v>
      </c>
      <c r="AX114" s="362">
        <f t="shared" ca="1" si="51"/>
        <v>390.68231228680816</v>
      </c>
      <c r="AY114" s="362">
        <f t="shared" ca="1" si="51"/>
        <v>0</v>
      </c>
      <c r="AZ114" s="362">
        <f t="shared" ca="1" si="52"/>
        <v>0</v>
      </c>
      <c r="BA114" s="362">
        <f t="shared" ca="1" si="52"/>
        <v>32010.482786597415</v>
      </c>
      <c r="BB114" s="362">
        <f t="shared" ca="1" si="52"/>
        <v>0</v>
      </c>
      <c r="BC114" s="362">
        <f t="shared" ca="1" si="52"/>
        <v>0</v>
      </c>
      <c r="BD114" s="362">
        <f t="shared" ca="1" si="52"/>
        <v>0</v>
      </c>
      <c r="BE114" s="362">
        <f t="shared" ca="1" si="52"/>
        <v>0</v>
      </c>
      <c r="BF114" s="362">
        <f t="shared" ca="1" si="52"/>
        <v>0</v>
      </c>
      <c r="BG114" s="362">
        <f t="shared" ca="1" si="52"/>
        <v>45099.731249999997</v>
      </c>
      <c r="BH114" s="362">
        <f t="shared" ca="1" si="52"/>
        <v>66165.424999999988</v>
      </c>
      <c r="BI114" s="362">
        <f t="shared" ca="1" si="52"/>
        <v>0</v>
      </c>
      <c r="BJ114" s="362">
        <f t="shared" ca="1" si="52"/>
        <v>88640.006881782028</v>
      </c>
      <c r="BK114" s="362">
        <f t="shared" ca="1" si="52"/>
        <v>42665.093862332782</v>
      </c>
      <c r="BL114" s="362">
        <f t="shared" ca="1" si="52"/>
        <v>0</v>
      </c>
      <c r="BM114" s="362"/>
    </row>
    <row r="115" spans="27:65">
      <c r="AA115" s="360">
        <f t="shared" si="45"/>
        <v>2022</v>
      </c>
      <c r="AB115" s="362">
        <f>UtilityDemand!E24</f>
        <v>808648.668794611</v>
      </c>
      <c r="AC115" s="362"/>
      <c r="AD115" s="362">
        <f t="shared" ca="1" si="46"/>
        <v>497297.1078084847</v>
      </c>
      <c r="AE115" s="362"/>
      <c r="AF115" s="362" t="str">
        <f t="shared" ca="1" si="50"/>
        <v/>
      </c>
      <c r="AG115" s="362" t="str">
        <f t="shared" ca="1" si="50"/>
        <v/>
      </c>
      <c r="AH115" s="362" t="str">
        <f t="shared" ca="1" si="50"/>
        <v/>
      </c>
      <c r="AI115" s="362" t="str">
        <f t="shared" ca="1" si="50"/>
        <v/>
      </c>
      <c r="AJ115" s="362" t="str">
        <f t="shared" ca="1" si="50"/>
        <v/>
      </c>
      <c r="AK115" s="362" t="str">
        <f t="shared" ca="1" si="50"/>
        <v/>
      </c>
      <c r="AL115" s="362" t="str">
        <f t="shared" ca="1" si="50"/>
        <v/>
      </c>
      <c r="AM115" s="362" t="str">
        <f t="shared" ca="1" si="50"/>
        <v/>
      </c>
      <c r="AN115" s="362" t="str">
        <f t="shared" ca="1" si="50"/>
        <v/>
      </c>
      <c r="AO115" s="362" t="str">
        <f t="shared" ca="1" si="50"/>
        <v/>
      </c>
      <c r="AP115" s="362" t="str">
        <f t="shared" ca="1" si="51"/>
        <v/>
      </c>
      <c r="AQ115" s="362" t="str">
        <f t="shared" ca="1" si="51"/>
        <v/>
      </c>
      <c r="AR115" s="362" t="str">
        <f t="shared" ca="1" si="51"/>
        <v/>
      </c>
      <c r="AS115" s="362" t="str">
        <f t="shared" ca="1" si="51"/>
        <v/>
      </c>
      <c r="AT115" s="362" t="str">
        <f t="shared" ca="1" si="51"/>
        <v/>
      </c>
      <c r="AU115" s="362" t="str">
        <f t="shared" ca="1" si="51"/>
        <v/>
      </c>
      <c r="AV115" s="362">
        <f t="shared" ca="1" si="51"/>
        <v>0</v>
      </c>
      <c r="AW115" s="362">
        <f t="shared" ca="1" si="51"/>
        <v>19465</v>
      </c>
      <c r="AX115" s="362">
        <f t="shared" ca="1" si="51"/>
        <v>390.68231228680816</v>
      </c>
      <c r="AY115" s="362">
        <f t="shared" ca="1" si="51"/>
        <v>0</v>
      </c>
      <c r="AZ115" s="362">
        <f t="shared" ca="1" si="52"/>
        <v>0</v>
      </c>
      <c r="BA115" s="362">
        <f t="shared" ca="1" si="52"/>
        <v>32345.946751784431</v>
      </c>
      <c r="BB115" s="362">
        <f t="shared" ca="1" si="52"/>
        <v>0</v>
      </c>
      <c r="BC115" s="362">
        <f t="shared" ca="1" si="52"/>
        <v>0</v>
      </c>
      <c r="BD115" s="362">
        <f t="shared" ca="1" si="52"/>
        <v>0</v>
      </c>
      <c r="BE115" s="362">
        <f t="shared" ca="1" si="52"/>
        <v>0</v>
      </c>
      <c r="BF115" s="362">
        <f t="shared" ca="1" si="52"/>
        <v>0</v>
      </c>
      <c r="BG115" s="362">
        <f t="shared" ca="1" si="52"/>
        <v>52616.353124999994</v>
      </c>
      <c r="BH115" s="362">
        <f t="shared" ca="1" si="52"/>
        <v>66165.424999999988</v>
      </c>
      <c r="BI115" s="362">
        <f t="shared" ca="1" si="52"/>
        <v>0</v>
      </c>
      <c r="BJ115" s="362">
        <f t="shared" ca="1" si="52"/>
        <v>96026.67412193057</v>
      </c>
      <c r="BK115" s="362">
        <f t="shared" ca="1" si="52"/>
        <v>44341.47967512453</v>
      </c>
      <c r="BL115" s="362">
        <f t="shared" ca="1" si="52"/>
        <v>0</v>
      </c>
      <c r="BM115" s="362"/>
    </row>
    <row r="116" spans="27:65">
      <c r="AA116" s="360">
        <f t="shared" si="45"/>
        <v>2023</v>
      </c>
      <c r="AB116" s="362">
        <f>UtilityDemand!E25</f>
        <v>817035.26792428643</v>
      </c>
      <c r="AC116" s="362"/>
      <c r="AD116" s="362">
        <f t="shared" ca="1" si="46"/>
        <v>488768.56804503273</v>
      </c>
      <c r="AE116" s="362"/>
      <c r="AF116" s="362" t="str">
        <f t="shared" ca="1" si="50"/>
        <v/>
      </c>
      <c r="AG116" s="362" t="str">
        <f t="shared" ca="1" si="50"/>
        <v/>
      </c>
      <c r="AH116" s="362" t="str">
        <f t="shared" ca="1" si="50"/>
        <v/>
      </c>
      <c r="AI116" s="362" t="str">
        <f t="shared" ca="1" si="50"/>
        <v/>
      </c>
      <c r="AJ116" s="362" t="str">
        <f t="shared" ca="1" si="50"/>
        <v/>
      </c>
      <c r="AK116" s="362" t="str">
        <f t="shared" ca="1" si="50"/>
        <v/>
      </c>
      <c r="AL116" s="362" t="str">
        <f t="shared" ca="1" si="50"/>
        <v/>
      </c>
      <c r="AM116" s="362" t="str">
        <f t="shared" ca="1" si="50"/>
        <v/>
      </c>
      <c r="AN116" s="362" t="str">
        <f t="shared" ca="1" si="50"/>
        <v/>
      </c>
      <c r="AO116" s="362" t="str">
        <f t="shared" ca="1" si="50"/>
        <v/>
      </c>
      <c r="AP116" s="362" t="str">
        <f t="shared" ca="1" si="51"/>
        <v/>
      </c>
      <c r="AQ116" s="362" t="str">
        <f t="shared" ca="1" si="51"/>
        <v/>
      </c>
      <c r="AR116" s="362" t="str">
        <f t="shared" ca="1" si="51"/>
        <v/>
      </c>
      <c r="AS116" s="362" t="str">
        <f t="shared" ca="1" si="51"/>
        <v/>
      </c>
      <c r="AT116" s="362" t="str">
        <f t="shared" ca="1" si="51"/>
        <v/>
      </c>
      <c r="AU116" s="362" t="str">
        <f t="shared" ca="1" si="51"/>
        <v/>
      </c>
      <c r="AV116" s="362">
        <f t="shared" ca="1" si="51"/>
        <v>0</v>
      </c>
      <c r="AW116" s="362">
        <f t="shared" ca="1" si="51"/>
        <v>19465</v>
      </c>
      <c r="AX116" s="362">
        <f t="shared" ca="1" si="51"/>
        <v>390.68231228680816</v>
      </c>
      <c r="AY116" s="362">
        <f t="shared" ca="1" si="51"/>
        <v>0</v>
      </c>
      <c r="AZ116" s="362">
        <f t="shared" ca="1" si="52"/>
        <v>0</v>
      </c>
      <c r="BA116" s="362">
        <f t="shared" ca="1" si="52"/>
        <v>32681.410716971448</v>
      </c>
      <c r="BB116" s="362">
        <f t="shared" ca="1" si="52"/>
        <v>0</v>
      </c>
      <c r="BC116" s="362">
        <f t="shared" ca="1" si="52"/>
        <v>0</v>
      </c>
      <c r="BD116" s="362">
        <f t="shared" ca="1" si="52"/>
        <v>0</v>
      </c>
      <c r="BE116" s="362">
        <f t="shared" ca="1" si="52"/>
        <v>0</v>
      </c>
      <c r="BF116" s="362">
        <f t="shared" ca="1" si="52"/>
        <v>0</v>
      </c>
      <c r="BG116" s="362">
        <f t="shared" ca="1" si="52"/>
        <v>60132.974999999991</v>
      </c>
      <c r="BH116" s="362">
        <f t="shared" ca="1" si="52"/>
        <v>66165.424999999988</v>
      </c>
      <c r="BI116" s="362">
        <f t="shared" ca="1" si="52"/>
        <v>0</v>
      </c>
      <c r="BJ116" s="362">
        <f t="shared" ca="1" si="52"/>
        <v>103413.34136207902</v>
      </c>
      <c r="BK116" s="362">
        <f t="shared" ca="1" si="52"/>
        <v>46017.865487916453</v>
      </c>
      <c r="BL116" s="362">
        <f t="shared" ca="1" si="52"/>
        <v>0</v>
      </c>
      <c r="BM116" s="362"/>
    </row>
    <row r="117" spans="27:65">
      <c r="AA117" s="360">
        <f t="shared" si="45"/>
        <v>2024</v>
      </c>
      <c r="AB117" s="362">
        <f>UtilityDemand!E26</f>
        <v>825421.86705396173</v>
      </c>
      <c r="AC117" s="362"/>
      <c r="AD117" s="362">
        <f t="shared" ca="1" si="46"/>
        <v>482028.17265658069</v>
      </c>
      <c r="AE117" s="362"/>
      <c r="AF117" s="362" t="str">
        <f t="shared" ca="1" si="50"/>
        <v/>
      </c>
      <c r="AG117" s="362" t="str">
        <f t="shared" ca="1" si="50"/>
        <v/>
      </c>
      <c r="AH117" s="362" t="str">
        <f t="shared" ca="1" si="50"/>
        <v/>
      </c>
      <c r="AI117" s="362" t="str">
        <f t="shared" ca="1" si="50"/>
        <v/>
      </c>
      <c r="AJ117" s="362" t="str">
        <f t="shared" ca="1" si="50"/>
        <v/>
      </c>
      <c r="AK117" s="362" t="str">
        <f t="shared" ca="1" si="50"/>
        <v/>
      </c>
      <c r="AL117" s="362" t="str">
        <f t="shared" ca="1" si="50"/>
        <v/>
      </c>
      <c r="AM117" s="362" t="str">
        <f t="shared" ca="1" si="50"/>
        <v/>
      </c>
      <c r="AN117" s="362" t="str">
        <f t="shared" ca="1" si="50"/>
        <v/>
      </c>
      <c r="AO117" s="362" t="str">
        <f t="shared" ca="1" si="50"/>
        <v/>
      </c>
      <c r="AP117" s="362" t="str">
        <f t="shared" ca="1" si="51"/>
        <v/>
      </c>
      <c r="AQ117" s="362" t="str">
        <f t="shared" ca="1" si="51"/>
        <v/>
      </c>
      <c r="AR117" s="362" t="str">
        <f t="shared" ca="1" si="51"/>
        <v/>
      </c>
      <c r="AS117" s="362" t="str">
        <f t="shared" ca="1" si="51"/>
        <v/>
      </c>
      <c r="AT117" s="362" t="str">
        <f t="shared" ca="1" si="51"/>
        <v/>
      </c>
      <c r="AU117" s="362" t="str">
        <f t="shared" ca="1" si="51"/>
        <v/>
      </c>
      <c r="AV117" s="362">
        <f t="shared" ca="1" si="51"/>
        <v>0</v>
      </c>
      <c r="AW117" s="362">
        <f t="shared" ca="1" si="51"/>
        <v>19465</v>
      </c>
      <c r="AX117" s="362">
        <f t="shared" ca="1" si="51"/>
        <v>390.68231228680816</v>
      </c>
      <c r="AY117" s="362">
        <f t="shared" ca="1" si="51"/>
        <v>0</v>
      </c>
      <c r="AZ117" s="362">
        <f t="shared" ca="1" si="52"/>
        <v>0</v>
      </c>
      <c r="BA117" s="362">
        <f t="shared" ca="1" si="52"/>
        <v>33016.874682158472</v>
      </c>
      <c r="BB117" s="362">
        <f t="shared" ca="1" si="52"/>
        <v>0</v>
      </c>
      <c r="BC117" s="362">
        <f t="shared" ca="1" si="52"/>
        <v>0</v>
      </c>
      <c r="BD117" s="362">
        <f t="shared" ca="1" si="52"/>
        <v>0</v>
      </c>
      <c r="BE117" s="362">
        <f t="shared" ca="1" si="52"/>
        <v>0</v>
      </c>
      <c r="BF117" s="362">
        <f t="shared" ca="1" si="52"/>
        <v>5728.4775</v>
      </c>
      <c r="BG117" s="362">
        <f t="shared" ca="1" si="52"/>
        <v>60132.974999999991</v>
      </c>
      <c r="BH117" s="362">
        <f t="shared" ca="1" si="52"/>
        <v>66165.424999999988</v>
      </c>
      <c r="BI117" s="362">
        <f t="shared" ca="1" si="52"/>
        <v>0</v>
      </c>
      <c r="BJ117" s="362">
        <f t="shared" ca="1" si="52"/>
        <v>110800.00860222756</v>
      </c>
      <c r="BK117" s="362">
        <f t="shared" ca="1" si="52"/>
        <v>47694.251300708194</v>
      </c>
      <c r="BL117" s="362">
        <f t="shared" ca="1" si="52"/>
        <v>0</v>
      </c>
      <c r="BM117" s="362"/>
    </row>
    <row r="118" spans="27:65">
      <c r="AA118" s="360">
        <f t="shared" si="45"/>
        <v>2025</v>
      </c>
      <c r="AB118" s="362">
        <f>UtilityDemand!E27</f>
        <v>833808.46618363715</v>
      </c>
      <c r="AC118" s="362"/>
      <c r="AD118" s="362">
        <f t="shared" ca="1" si="46"/>
        <v>475287.7772681287</v>
      </c>
      <c r="AE118" s="362"/>
      <c r="AF118" s="362" t="str">
        <f t="shared" ca="1" si="50"/>
        <v/>
      </c>
      <c r="AG118" s="362" t="str">
        <f t="shared" ca="1" si="50"/>
        <v/>
      </c>
      <c r="AH118" s="362" t="str">
        <f t="shared" ca="1" si="50"/>
        <v/>
      </c>
      <c r="AI118" s="362" t="str">
        <f t="shared" ca="1" si="50"/>
        <v/>
      </c>
      <c r="AJ118" s="362" t="str">
        <f t="shared" ca="1" si="50"/>
        <v/>
      </c>
      <c r="AK118" s="362" t="str">
        <f t="shared" ca="1" si="50"/>
        <v/>
      </c>
      <c r="AL118" s="362" t="str">
        <f t="shared" ca="1" si="50"/>
        <v/>
      </c>
      <c r="AM118" s="362" t="str">
        <f t="shared" ca="1" si="50"/>
        <v/>
      </c>
      <c r="AN118" s="362" t="str">
        <f t="shared" ca="1" si="50"/>
        <v/>
      </c>
      <c r="AO118" s="362" t="str">
        <f t="shared" ca="1" si="50"/>
        <v/>
      </c>
      <c r="AP118" s="362" t="str">
        <f t="shared" ca="1" si="51"/>
        <v/>
      </c>
      <c r="AQ118" s="362" t="str">
        <f t="shared" ca="1" si="51"/>
        <v/>
      </c>
      <c r="AR118" s="362" t="str">
        <f t="shared" ca="1" si="51"/>
        <v/>
      </c>
      <c r="AS118" s="362" t="str">
        <f t="shared" ca="1" si="51"/>
        <v/>
      </c>
      <c r="AT118" s="362" t="str">
        <f t="shared" ca="1" si="51"/>
        <v/>
      </c>
      <c r="AU118" s="362" t="str">
        <f t="shared" ca="1" si="51"/>
        <v/>
      </c>
      <c r="AV118" s="362">
        <f t="shared" ca="1" si="51"/>
        <v>0</v>
      </c>
      <c r="AW118" s="362">
        <f t="shared" ca="1" si="51"/>
        <v>19465</v>
      </c>
      <c r="AX118" s="362">
        <f t="shared" ca="1" si="51"/>
        <v>390.68231228680816</v>
      </c>
      <c r="AY118" s="362">
        <f t="shared" ca="1" si="51"/>
        <v>0</v>
      </c>
      <c r="AZ118" s="362">
        <f t="shared" ca="1" si="52"/>
        <v>0</v>
      </c>
      <c r="BA118" s="362">
        <f t="shared" ca="1" si="52"/>
        <v>33352.338647345474</v>
      </c>
      <c r="BB118" s="362">
        <f t="shared" ca="1" si="52"/>
        <v>0</v>
      </c>
      <c r="BC118" s="362">
        <f t="shared" ca="1" si="52"/>
        <v>0</v>
      </c>
      <c r="BD118" s="362">
        <f t="shared" ca="1" si="52"/>
        <v>0</v>
      </c>
      <c r="BE118" s="362">
        <f t="shared" ca="1" si="52"/>
        <v>0</v>
      </c>
      <c r="BF118" s="362">
        <f t="shared" ca="1" si="52"/>
        <v>11456.955</v>
      </c>
      <c r="BG118" s="362">
        <f t="shared" ca="1" si="52"/>
        <v>60132.974999999991</v>
      </c>
      <c r="BH118" s="362">
        <f t="shared" ca="1" si="52"/>
        <v>66165.424999999988</v>
      </c>
      <c r="BI118" s="362">
        <f t="shared" ca="1" si="52"/>
        <v>0</v>
      </c>
      <c r="BJ118" s="362">
        <f t="shared" ca="1" si="52"/>
        <v>118186.67584237611</v>
      </c>
      <c r="BK118" s="362">
        <f t="shared" ca="1" si="52"/>
        <v>49370.637113500015</v>
      </c>
      <c r="BL118" s="362">
        <f t="shared" ca="1" si="52"/>
        <v>0</v>
      </c>
      <c r="BM118" s="362"/>
    </row>
    <row r="119" spans="27:65">
      <c r="AA119" s="360">
        <f t="shared" si="45"/>
        <v>2026</v>
      </c>
      <c r="AB119" s="362">
        <f>UtilityDemand!E28</f>
        <v>842195.06531331246</v>
      </c>
      <c r="AC119" s="362"/>
      <c r="AD119" s="362">
        <f t="shared" ca="1" si="46"/>
        <v>468547.38187967677</v>
      </c>
      <c r="AE119" s="362"/>
      <c r="AF119" s="362" t="str">
        <f t="shared" ca="1" si="50"/>
        <v/>
      </c>
      <c r="AG119" s="362" t="str">
        <f t="shared" ca="1" si="50"/>
        <v/>
      </c>
      <c r="AH119" s="362" t="str">
        <f t="shared" ca="1" si="50"/>
        <v/>
      </c>
      <c r="AI119" s="362" t="str">
        <f t="shared" ca="1" si="50"/>
        <v/>
      </c>
      <c r="AJ119" s="362" t="str">
        <f t="shared" ca="1" si="50"/>
        <v/>
      </c>
      <c r="AK119" s="362" t="str">
        <f t="shared" ca="1" si="50"/>
        <v/>
      </c>
      <c r="AL119" s="362" t="str">
        <f t="shared" ca="1" si="50"/>
        <v/>
      </c>
      <c r="AM119" s="362" t="str">
        <f t="shared" ca="1" si="50"/>
        <v/>
      </c>
      <c r="AN119" s="362" t="str">
        <f t="shared" ca="1" si="50"/>
        <v/>
      </c>
      <c r="AO119" s="362" t="str">
        <f t="shared" ca="1" si="50"/>
        <v/>
      </c>
      <c r="AP119" s="362" t="str">
        <f t="shared" ca="1" si="51"/>
        <v/>
      </c>
      <c r="AQ119" s="362" t="str">
        <f t="shared" ca="1" si="51"/>
        <v/>
      </c>
      <c r="AR119" s="362" t="str">
        <f t="shared" ca="1" si="51"/>
        <v/>
      </c>
      <c r="AS119" s="362" t="str">
        <f t="shared" ca="1" si="51"/>
        <v/>
      </c>
      <c r="AT119" s="362" t="str">
        <f t="shared" ca="1" si="51"/>
        <v/>
      </c>
      <c r="AU119" s="362" t="str">
        <f t="shared" ca="1" si="51"/>
        <v/>
      </c>
      <c r="AV119" s="362">
        <f t="shared" ca="1" si="51"/>
        <v>0</v>
      </c>
      <c r="AW119" s="362">
        <f t="shared" ca="1" si="51"/>
        <v>19465</v>
      </c>
      <c r="AX119" s="362">
        <f t="shared" ca="1" si="51"/>
        <v>390.68231228680816</v>
      </c>
      <c r="AY119" s="362">
        <f t="shared" ca="1" si="51"/>
        <v>0</v>
      </c>
      <c r="AZ119" s="362">
        <f t="shared" ca="1" si="52"/>
        <v>0</v>
      </c>
      <c r="BA119" s="362">
        <f t="shared" ca="1" si="52"/>
        <v>33687.802612532498</v>
      </c>
      <c r="BB119" s="362">
        <f t="shared" ca="1" si="52"/>
        <v>0</v>
      </c>
      <c r="BC119" s="362">
        <f t="shared" ca="1" si="52"/>
        <v>0</v>
      </c>
      <c r="BD119" s="362">
        <f t="shared" ca="1" si="52"/>
        <v>0</v>
      </c>
      <c r="BE119" s="362">
        <f t="shared" ca="1" si="52"/>
        <v>0</v>
      </c>
      <c r="BF119" s="362">
        <f t="shared" ca="1" si="52"/>
        <v>17185.432499999999</v>
      </c>
      <c r="BG119" s="362">
        <f t="shared" ca="1" si="52"/>
        <v>60132.974999999991</v>
      </c>
      <c r="BH119" s="362">
        <f t="shared" ca="1" si="52"/>
        <v>66165.424999999988</v>
      </c>
      <c r="BI119" s="362">
        <f t="shared" ca="1" si="52"/>
        <v>0</v>
      </c>
      <c r="BJ119" s="362">
        <f t="shared" ca="1" si="52"/>
        <v>125573.34308252455</v>
      </c>
      <c r="BK119" s="362">
        <f t="shared" ca="1" si="52"/>
        <v>51047.022926291858</v>
      </c>
      <c r="BL119" s="362">
        <f t="shared" ca="1" si="52"/>
        <v>0</v>
      </c>
      <c r="BM119" s="362"/>
    </row>
    <row r="120" spans="27:65">
      <c r="AA120" s="360">
        <f t="shared" si="45"/>
        <v>2027</v>
      </c>
      <c r="AB120" s="362">
        <f>UtilityDemand!E29</f>
        <v>850581.66444298776</v>
      </c>
      <c r="AC120" s="362"/>
      <c r="AD120" s="362">
        <f t="shared" ca="1" si="46"/>
        <v>461806.98649122484</v>
      </c>
      <c r="AE120" s="362"/>
      <c r="AF120" s="362" t="str">
        <f t="shared" ca="1" si="50"/>
        <v/>
      </c>
      <c r="AG120" s="362" t="str">
        <f t="shared" ca="1" si="50"/>
        <v/>
      </c>
      <c r="AH120" s="362" t="str">
        <f t="shared" ca="1" si="50"/>
        <v/>
      </c>
      <c r="AI120" s="362" t="str">
        <f t="shared" ca="1" si="50"/>
        <v/>
      </c>
      <c r="AJ120" s="362" t="str">
        <f t="shared" ca="1" si="50"/>
        <v/>
      </c>
      <c r="AK120" s="362" t="str">
        <f t="shared" ca="1" si="50"/>
        <v/>
      </c>
      <c r="AL120" s="362" t="str">
        <f t="shared" ca="1" si="50"/>
        <v/>
      </c>
      <c r="AM120" s="362" t="str">
        <f t="shared" ca="1" si="50"/>
        <v/>
      </c>
      <c r="AN120" s="362" t="str">
        <f t="shared" ca="1" si="50"/>
        <v/>
      </c>
      <c r="AO120" s="362" t="str">
        <f t="shared" ca="1" si="50"/>
        <v/>
      </c>
      <c r="AP120" s="362" t="str">
        <f t="shared" ca="1" si="51"/>
        <v/>
      </c>
      <c r="AQ120" s="362" t="str">
        <f t="shared" ca="1" si="51"/>
        <v/>
      </c>
      <c r="AR120" s="362" t="str">
        <f t="shared" ca="1" si="51"/>
        <v/>
      </c>
      <c r="AS120" s="362" t="str">
        <f t="shared" ca="1" si="51"/>
        <v/>
      </c>
      <c r="AT120" s="362" t="str">
        <f t="shared" ca="1" si="51"/>
        <v/>
      </c>
      <c r="AU120" s="362" t="str">
        <f t="shared" ca="1" si="51"/>
        <v/>
      </c>
      <c r="AV120" s="362">
        <f t="shared" ca="1" si="51"/>
        <v>0</v>
      </c>
      <c r="AW120" s="362">
        <f t="shared" ca="1" si="51"/>
        <v>19465</v>
      </c>
      <c r="AX120" s="362">
        <f t="shared" ca="1" si="51"/>
        <v>390.68231228680816</v>
      </c>
      <c r="AY120" s="362">
        <f t="shared" ca="1" si="51"/>
        <v>0</v>
      </c>
      <c r="AZ120" s="362">
        <f t="shared" ca="1" si="52"/>
        <v>0</v>
      </c>
      <c r="BA120" s="362">
        <f t="shared" ca="1" si="52"/>
        <v>34023.266577719507</v>
      </c>
      <c r="BB120" s="362">
        <f t="shared" ca="1" si="52"/>
        <v>0</v>
      </c>
      <c r="BC120" s="362">
        <f t="shared" ca="1" si="52"/>
        <v>0</v>
      </c>
      <c r="BD120" s="362">
        <f t="shared" ca="1" si="52"/>
        <v>0</v>
      </c>
      <c r="BE120" s="362">
        <f t="shared" ca="1" si="52"/>
        <v>0</v>
      </c>
      <c r="BF120" s="362">
        <f t="shared" ca="1" si="52"/>
        <v>22913.91</v>
      </c>
      <c r="BG120" s="362">
        <f t="shared" ca="1" si="52"/>
        <v>60132.974999999991</v>
      </c>
      <c r="BH120" s="362">
        <f t="shared" ca="1" si="52"/>
        <v>66165.424999999988</v>
      </c>
      <c r="BI120" s="362">
        <f t="shared" ca="1" si="52"/>
        <v>0</v>
      </c>
      <c r="BJ120" s="362">
        <f t="shared" ca="1" si="52"/>
        <v>132960.0103226731</v>
      </c>
      <c r="BK120" s="362">
        <f t="shared" ca="1" si="52"/>
        <v>52723.408739083592</v>
      </c>
      <c r="BL120" s="362">
        <f t="shared" ca="1" si="52"/>
        <v>0</v>
      </c>
      <c r="BM120" s="362"/>
    </row>
    <row r="121" spans="27:65">
      <c r="AA121" s="360">
        <f t="shared" si="45"/>
        <v>2028</v>
      </c>
      <c r="AB121" s="362">
        <f>UtilityDemand!E30</f>
        <v>858968.26357266307</v>
      </c>
      <c r="AC121" s="362"/>
      <c r="AD121" s="362">
        <f t="shared" ca="1" si="46"/>
        <v>455066.5911027728</v>
      </c>
      <c r="AE121" s="362"/>
      <c r="AF121" s="362" t="str">
        <f t="shared" ca="1" si="50"/>
        <v/>
      </c>
      <c r="AG121" s="362" t="str">
        <f t="shared" ca="1" si="50"/>
        <v/>
      </c>
      <c r="AH121" s="362" t="str">
        <f t="shared" ca="1" si="50"/>
        <v/>
      </c>
      <c r="AI121" s="362" t="str">
        <f t="shared" ca="1" si="50"/>
        <v/>
      </c>
      <c r="AJ121" s="362" t="str">
        <f t="shared" ca="1" si="50"/>
        <v/>
      </c>
      <c r="AK121" s="362" t="str">
        <f t="shared" ca="1" si="50"/>
        <v/>
      </c>
      <c r="AL121" s="362" t="str">
        <f t="shared" ca="1" si="50"/>
        <v/>
      </c>
      <c r="AM121" s="362" t="str">
        <f t="shared" ca="1" si="50"/>
        <v/>
      </c>
      <c r="AN121" s="362" t="str">
        <f t="shared" ca="1" si="50"/>
        <v/>
      </c>
      <c r="AO121" s="362" t="str">
        <f t="shared" ca="1" si="50"/>
        <v/>
      </c>
      <c r="AP121" s="362" t="str">
        <f t="shared" ca="1" si="51"/>
        <v/>
      </c>
      <c r="AQ121" s="362" t="str">
        <f t="shared" ca="1" si="51"/>
        <v/>
      </c>
      <c r="AR121" s="362" t="str">
        <f t="shared" ca="1" si="51"/>
        <v/>
      </c>
      <c r="AS121" s="362" t="str">
        <f t="shared" ca="1" si="51"/>
        <v/>
      </c>
      <c r="AT121" s="362" t="str">
        <f t="shared" ca="1" si="51"/>
        <v/>
      </c>
      <c r="AU121" s="362" t="str">
        <f t="shared" ca="1" si="51"/>
        <v/>
      </c>
      <c r="AV121" s="362">
        <f t="shared" ca="1" si="51"/>
        <v>0</v>
      </c>
      <c r="AW121" s="362">
        <f t="shared" ca="1" si="51"/>
        <v>19465</v>
      </c>
      <c r="AX121" s="362">
        <f t="shared" ca="1" si="51"/>
        <v>390.68231228680816</v>
      </c>
      <c r="AY121" s="362">
        <f t="shared" ca="1" si="51"/>
        <v>0</v>
      </c>
      <c r="AZ121" s="362">
        <f t="shared" ca="1" si="52"/>
        <v>0</v>
      </c>
      <c r="BA121" s="362">
        <f t="shared" ca="1" si="52"/>
        <v>34358.730542906516</v>
      </c>
      <c r="BB121" s="362">
        <f t="shared" ca="1" si="52"/>
        <v>0</v>
      </c>
      <c r="BC121" s="362">
        <f t="shared" ca="1" si="52"/>
        <v>0</v>
      </c>
      <c r="BD121" s="362">
        <f t="shared" ca="1" si="52"/>
        <v>0</v>
      </c>
      <c r="BE121" s="362">
        <f t="shared" ca="1" si="52"/>
        <v>0</v>
      </c>
      <c r="BF121" s="362">
        <f t="shared" ca="1" si="52"/>
        <v>28642.387500000001</v>
      </c>
      <c r="BG121" s="362">
        <f t="shared" ca="1" si="52"/>
        <v>60132.974999999991</v>
      </c>
      <c r="BH121" s="362">
        <f t="shared" ca="1" si="52"/>
        <v>66165.424999999988</v>
      </c>
      <c r="BI121" s="362">
        <f t="shared" ca="1" si="52"/>
        <v>0</v>
      </c>
      <c r="BJ121" s="362">
        <f t="shared" ca="1" si="52"/>
        <v>140346.67756282154</v>
      </c>
      <c r="BK121" s="362">
        <f t="shared" ca="1" si="52"/>
        <v>54399.79455187542</v>
      </c>
      <c r="BL121" s="362">
        <f t="shared" ca="1" si="52"/>
        <v>0</v>
      </c>
      <c r="BM121" s="362"/>
    </row>
    <row r="122" spans="27:65">
      <c r="AA122" s="360">
        <f t="shared" si="45"/>
        <v>2029</v>
      </c>
      <c r="AB122" s="362">
        <f>UtilityDemand!E31</f>
        <v>867354.86270233872</v>
      </c>
      <c r="AC122" s="362"/>
      <c r="AD122" s="362">
        <f t="shared" ca="1" si="46"/>
        <v>448326.19571432099</v>
      </c>
      <c r="AE122" s="362"/>
      <c r="AF122" s="362" t="str">
        <f t="shared" ca="1" si="50"/>
        <v/>
      </c>
      <c r="AG122" s="362" t="str">
        <f t="shared" ca="1" si="50"/>
        <v/>
      </c>
      <c r="AH122" s="362" t="str">
        <f t="shared" ca="1" si="50"/>
        <v/>
      </c>
      <c r="AI122" s="362" t="str">
        <f t="shared" ca="1" si="50"/>
        <v/>
      </c>
      <c r="AJ122" s="362" t="str">
        <f t="shared" ca="1" si="50"/>
        <v/>
      </c>
      <c r="AK122" s="362" t="str">
        <f t="shared" ca="1" si="50"/>
        <v/>
      </c>
      <c r="AL122" s="362" t="str">
        <f t="shared" ca="1" si="50"/>
        <v/>
      </c>
      <c r="AM122" s="362" t="str">
        <f t="shared" ca="1" si="50"/>
        <v/>
      </c>
      <c r="AN122" s="362" t="str">
        <f t="shared" ca="1" si="50"/>
        <v/>
      </c>
      <c r="AO122" s="362" t="str">
        <f t="shared" ca="1" si="50"/>
        <v/>
      </c>
      <c r="AP122" s="362" t="str">
        <f t="shared" ca="1" si="51"/>
        <v/>
      </c>
      <c r="AQ122" s="362" t="str">
        <f t="shared" ca="1" si="51"/>
        <v/>
      </c>
      <c r="AR122" s="362" t="str">
        <f t="shared" ca="1" si="51"/>
        <v/>
      </c>
      <c r="AS122" s="362" t="str">
        <f t="shared" ca="1" si="51"/>
        <v/>
      </c>
      <c r="AT122" s="362" t="str">
        <f t="shared" ca="1" si="51"/>
        <v/>
      </c>
      <c r="AU122" s="362" t="str">
        <f t="shared" ca="1" si="51"/>
        <v/>
      </c>
      <c r="AV122" s="362">
        <f t="shared" ca="1" si="51"/>
        <v>0</v>
      </c>
      <c r="AW122" s="362">
        <f t="shared" ca="1" si="51"/>
        <v>19465</v>
      </c>
      <c r="AX122" s="362">
        <f t="shared" ca="1" si="51"/>
        <v>390.68231228680816</v>
      </c>
      <c r="AY122" s="362">
        <f t="shared" ca="1" si="51"/>
        <v>0</v>
      </c>
      <c r="AZ122" s="362">
        <f t="shared" ca="1" si="52"/>
        <v>0</v>
      </c>
      <c r="BA122" s="362">
        <f t="shared" ca="1" si="52"/>
        <v>34694.19450809354</v>
      </c>
      <c r="BB122" s="362">
        <f t="shared" ca="1" si="52"/>
        <v>0</v>
      </c>
      <c r="BC122" s="362">
        <f t="shared" ca="1" si="52"/>
        <v>0</v>
      </c>
      <c r="BD122" s="362">
        <f t="shared" ca="1" si="52"/>
        <v>0</v>
      </c>
      <c r="BE122" s="362">
        <f t="shared" ca="1" si="52"/>
        <v>0</v>
      </c>
      <c r="BF122" s="362">
        <f t="shared" ca="1" si="52"/>
        <v>34370.864999999998</v>
      </c>
      <c r="BG122" s="362">
        <f t="shared" ca="1" si="52"/>
        <v>60132.974999999991</v>
      </c>
      <c r="BH122" s="362">
        <f t="shared" ca="1" si="52"/>
        <v>66165.424999999988</v>
      </c>
      <c r="BI122" s="362">
        <f t="shared" ca="1" si="52"/>
        <v>0</v>
      </c>
      <c r="BJ122" s="362">
        <f t="shared" ca="1" si="52"/>
        <v>147733.34480297007</v>
      </c>
      <c r="BK122" s="362">
        <f t="shared" ca="1" si="52"/>
        <v>56076.180364667351</v>
      </c>
      <c r="BL122" s="362">
        <f t="shared" ca="1" si="52"/>
        <v>0</v>
      </c>
      <c r="BM122" s="362"/>
    </row>
    <row r="123" spans="27:65">
      <c r="AA123" s="360">
        <f t="shared" si="45"/>
        <v>2030</v>
      </c>
      <c r="AB123" s="362">
        <f>UtilityDemand!E32</f>
        <v>875741.46183201415</v>
      </c>
      <c r="AC123" s="362"/>
      <c r="AD123" s="362">
        <f t="shared" ca="1" si="46"/>
        <v>441585.80032586906</v>
      </c>
      <c r="AE123" s="362"/>
      <c r="AF123" s="362" t="str">
        <f t="shared" ref="AF123:AO132" ca="1" si="53">IFERROR(-HLOOKUP(AF$50,NGConsTable,$AA123-$AA$103+2,FALSE),"")</f>
        <v/>
      </c>
      <c r="AG123" s="362" t="str">
        <f t="shared" ca="1" si="53"/>
        <v/>
      </c>
      <c r="AH123" s="362" t="str">
        <f t="shared" ca="1" si="53"/>
        <v/>
      </c>
      <c r="AI123" s="362" t="str">
        <f t="shared" ca="1" si="53"/>
        <v/>
      </c>
      <c r="AJ123" s="362" t="str">
        <f t="shared" ca="1" si="53"/>
        <v/>
      </c>
      <c r="AK123" s="362" t="str">
        <f t="shared" ca="1" si="53"/>
        <v/>
      </c>
      <c r="AL123" s="362" t="str">
        <f t="shared" ca="1" si="53"/>
        <v/>
      </c>
      <c r="AM123" s="362" t="str">
        <f t="shared" ca="1" si="53"/>
        <v/>
      </c>
      <c r="AN123" s="362" t="str">
        <f t="shared" ca="1" si="53"/>
        <v/>
      </c>
      <c r="AO123" s="362" t="str">
        <f t="shared" ca="1" si="53"/>
        <v/>
      </c>
      <c r="AP123" s="362" t="str">
        <f t="shared" ref="AP123:AY132" ca="1" si="54">IFERROR(-HLOOKUP(AP$50,NGConsTable,$AA123-$AA$103+2,FALSE),"")</f>
        <v/>
      </c>
      <c r="AQ123" s="362" t="str">
        <f t="shared" ca="1" si="54"/>
        <v/>
      </c>
      <c r="AR123" s="362" t="str">
        <f t="shared" ca="1" si="54"/>
        <v/>
      </c>
      <c r="AS123" s="362" t="str">
        <f t="shared" ca="1" si="54"/>
        <v/>
      </c>
      <c r="AT123" s="362" t="str">
        <f t="shared" ca="1" si="54"/>
        <v/>
      </c>
      <c r="AU123" s="362" t="str">
        <f t="shared" ca="1" si="54"/>
        <v/>
      </c>
      <c r="AV123" s="362">
        <f t="shared" ca="1" si="54"/>
        <v>0</v>
      </c>
      <c r="AW123" s="362">
        <f t="shared" ca="1" si="54"/>
        <v>19465</v>
      </c>
      <c r="AX123" s="362">
        <f t="shared" ca="1" si="54"/>
        <v>390.68231228680816</v>
      </c>
      <c r="AY123" s="362">
        <f t="shared" ca="1" si="54"/>
        <v>0</v>
      </c>
      <c r="AZ123" s="362">
        <f t="shared" ref="AZ123:BL132" ca="1" si="55">IFERROR(-HLOOKUP(AZ$50,NGConsTable,$AA123-$AA$103+2,FALSE),"")</f>
        <v>0</v>
      </c>
      <c r="BA123" s="362">
        <f t="shared" ca="1" si="55"/>
        <v>35029.658473280557</v>
      </c>
      <c r="BB123" s="362">
        <f t="shared" ca="1" si="55"/>
        <v>0</v>
      </c>
      <c r="BC123" s="362">
        <f t="shared" ca="1" si="55"/>
        <v>0</v>
      </c>
      <c r="BD123" s="362">
        <f t="shared" ca="1" si="55"/>
        <v>0</v>
      </c>
      <c r="BE123" s="362">
        <f t="shared" ca="1" si="55"/>
        <v>0</v>
      </c>
      <c r="BF123" s="362">
        <f t="shared" ca="1" si="55"/>
        <v>40099.342499999999</v>
      </c>
      <c r="BG123" s="362">
        <f t="shared" ca="1" si="55"/>
        <v>60132.974999999991</v>
      </c>
      <c r="BH123" s="362">
        <f t="shared" ca="1" si="55"/>
        <v>66165.424999999988</v>
      </c>
      <c r="BI123" s="362">
        <f t="shared" ca="1" si="55"/>
        <v>0</v>
      </c>
      <c r="BJ123" s="362">
        <f t="shared" ca="1" si="55"/>
        <v>155120.01204311854</v>
      </c>
      <c r="BK123" s="362">
        <f t="shared" ca="1" si="55"/>
        <v>57752.566177459186</v>
      </c>
      <c r="BL123" s="362">
        <f t="shared" ca="1" si="55"/>
        <v>0</v>
      </c>
      <c r="BM123" s="362"/>
    </row>
    <row r="124" spans="27:65">
      <c r="AA124" s="360">
        <f t="shared" si="45"/>
        <v>2031</v>
      </c>
      <c r="AB124" s="362">
        <f>UtilityDemand!E33</f>
        <v>884128.06096168945</v>
      </c>
      <c r="AC124" s="362"/>
      <c r="AD124" s="362">
        <f t="shared" ca="1" si="46"/>
        <v>434845.40493741713</v>
      </c>
      <c r="AE124" s="362"/>
      <c r="AF124" s="362" t="str">
        <f t="shared" ca="1" si="53"/>
        <v/>
      </c>
      <c r="AG124" s="362" t="str">
        <f t="shared" ca="1" si="53"/>
        <v/>
      </c>
      <c r="AH124" s="362" t="str">
        <f t="shared" ca="1" si="53"/>
        <v/>
      </c>
      <c r="AI124" s="362" t="str">
        <f t="shared" ca="1" si="53"/>
        <v/>
      </c>
      <c r="AJ124" s="362" t="str">
        <f t="shared" ca="1" si="53"/>
        <v/>
      </c>
      <c r="AK124" s="362" t="str">
        <f t="shared" ca="1" si="53"/>
        <v/>
      </c>
      <c r="AL124" s="362" t="str">
        <f t="shared" ca="1" si="53"/>
        <v/>
      </c>
      <c r="AM124" s="362" t="str">
        <f t="shared" ca="1" si="53"/>
        <v/>
      </c>
      <c r="AN124" s="362" t="str">
        <f t="shared" ca="1" si="53"/>
        <v/>
      </c>
      <c r="AO124" s="362" t="str">
        <f t="shared" ca="1" si="53"/>
        <v/>
      </c>
      <c r="AP124" s="362" t="str">
        <f t="shared" ca="1" si="54"/>
        <v/>
      </c>
      <c r="AQ124" s="362" t="str">
        <f t="shared" ca="1" si="54"/>
        <v/>
      </c>
      <c r="AR124" s="362" t="str">
        <f t="shared" ca="1" si="54"/>
        <v/>
      </c>
      <c r="AS124" s="362" t="str">
        <f t="shared" ca="1" si="54"/>
        <v/>
      </c>
      <c r="AT124" s="362" t="str">
        <f t="shared" ca="1" si="54"/>
        <v/>
      </c>
      <c r="AU124" s="362" t="str">
        <f t="shared" ca="1" si="54"/>
        <v/>
      </c>
      <c r="AV124" s="362">
        <f t="shared" ca="1" si="54"/>
        <v>0</v>
      </c>
      <c r="AW124" s="362">
        <f t="shared" ca="1" si="54"/>
        <v>19465</v>
      </c>
      <c r="AX124" s="362">
        <f t="shared" ca="1" si="54"/>
        <v>390.68231228680816</v>
      </c>
      <c r="AY124" s="362">
        <f t="shared" ca="1" si="54"/>
        <v>0</v>
      </c>
      <c r="AZ124" s="362">
        <f t="shared" ca="1" si="55"/>
        <v>0</v>
      </c>
      <c r="BA124" s="362">
        <f t="shared" ca="1" si="55"/>
        <v>35365.122438467581</v>
      </c>
      <c r="BB124" s="362">
        <f t="shared" ca="1" si="55"/>
        <v>0</v>
      </c>
      <c r="BC124" s="362">
        <f t="shared" ca="1" si="55"/>
        <v>0</v>
      </c>
      <c r="BD124" s="362">
        <f t="shared" ca="1" si="55"/>
        <v>0</v>
      </c>
      <c r="BE124" s="362">
        <f t="shared" ca="1" si="55"/>
        <v>0</v>
      </c>
      <c r="BF124" s="362">
        <f t="shared" ca="1" si="55"/>
        <v>45827.82</v>
      </c>
      <c r="BG124" s="362">
        <f t="shared" ca="1" si="55"/>
        <v>60132.974999999991</v>
      </c>
      <c r="BH124" s="362">
        <f t="shared" ca="1" si="55"/>
        <v>66165.424999999988</v>
      </c>
      <c r="BI124" s="362">
        <f t="shared" ca="1" si="55"/>
        <v>0</v>
      </c>
      <c r="BJ124" s="362">
        <f t="shared" ca="1" si="55"/>
        <v>162506.67928326706</v>
      </c>
      <c r="BK124" s="362">
        <f t="shared" ca="1" si="55"/>
        <v>59428.95199025092</v>
      </c>
      <c r="BL124" s="362">
        <f t="shared" ca="1" si="55"/>
        <v>0</v>
      </c>
      <c r="BM124" s="362"/>
    </row>
    <row r="125" spans="27:65">
      <c r="AA125" s="360">
        <f t="shared" si="45"/>
        <v>2032</v>
      </c>
      <c r="AB125" s="362">
        <f>UtilityDemand!E34</f>
        <v>892514.66009136476</v>
      </c>
      <c r="AC125" s="362"/>
      <c r="AD125" s="362">
        <f t="shared" ca="1" si="46"/>
        <v>428105.00954896508</v>
      </c>
      <c r="AE125" s="362"/>
      <c r="AF125" s="362" t="str">
        <f t="shared" ca="1" si="53"/>
        <v/>
      </c>
      <c r="AG125" s="362" t="str">
        <f t="shared" ca="1" si="53"/>
        <v/>
      </c>
      <c r="AH125" s="362" t="str">
        <f t="shared" ca="1" si="53"/>
        <v/>
      </c>
      <c r="AI125" s="362" t="str">
        <f t="shared" ca="1" si="53"/>
        <v/>
      </c>
      <c r="AJ125" s="362" t="str">
        <f t="shared" ca="1" si="53"/>
        <v/>
      </c>
      <c r="AK125" s="362" t="str">
        <f t="shared" ca="1" si="53"/>
        <v/>
      </c>
      <c r="AL125" s="362" t="str">
        <f t="shared" ca="1" si="53"/>
        <v/>
      </c>
      <c r="AM125" s="362" t="str">
        <f t="shared" ca="1" si="53"/>
        <v/>
      </c>
      <c r="AN125" s="362" t="str">
        <f t="shared" ca="1" si="53"/>
        <v/>
      </c>
      <c r="AO125" s="362" t="str">
        <f t="shared" ca="1" si="53"/>
        <v/>
      </c>
      <c r="AP125" s="362" t="str">
        <f t="shared" ca="1" si="54"/>
        <v/>
      </c>
      <c r="AQ125" s="362" t="str">
        <f t="shared" ca="1" si="54"/>
        <v/>
      </c>
      <c r="AR125" s="362" t="str">
        <f t="shared" ca="1" si="54"/>
        <v/>
      </c>
      <c r="AS125" s="362" t="str">
        <f t="shared" ca="1" si="54"/>
        <v/>
      </c>
      <c r="AT125" s="362" t="str">
        <f t="shared" ca="1" si="54"/>
        <v/>
      </c>
      <c r="AU125" s="362" t="str">
        <f t="shared" ca="1" si="54"/>
        <v/>
      </c>
      <c r="AV125" s="362">
        <f t="shared" ca="1" si="54"/>
        <v>0</v>
      </c>
      <c r="AW125" s="362">
        <f t="shared" ca="1" si="54"/>
        <v>19465</v>
      </c>
      <c r="AX125" s="362">
        <f t="shared" ca="1" si="54"/>
        <v>390.68231228680816</v>
      </c>
      <c r="AY125" s="362">
        <f t="shared" ca="1" si="54"/>
        <v>0</v>
      </c>
      <c r="AZ125" s="362">
        <f t="shared" ca="1" si="55"/>
        <v>0</v>
      </c>
      <c r="BA125" s="362">
        <f t="shared" ca="1" si="55"/>
        <v>35700.58640365459</v>
      </c>
      <c r="BB125" s="362">
        <f t="shared" ca="1" si="55"/>
        <v>0</v>
      </c>
      <c r="BC125" s="362">
        <f t="shared" ca="1" si="55"/>
        <v>0</v>
      </c>
      <c r="BD125" s="362">
        <f t="shared" ca="1" si="55"/>
        <v>0</v>
      </c>
      <c r="BE125" s="362">
        <f t="shared" ca="1" si="55"/>
        <v>0</v>
      </c>
      <c r="BF125" s="362">
        <f t="shared" ca="1" si="55"/>
        <v>51556.297500000001</v>
      </c>
      <c r="BG125" s="362">
        <f t="shared" ca="1" si="55"/>
        <v>60132.974999999991</v>
      </c>
      <c r="BH125" s="362">
        <f t="shared" ca="1" si="55"/>
        <v>66165.424999999988</v>
      </c>
      <c r="BI125" s="362">
        <f t="shared" ca="1" si="55"/>
        <v>0</v>
      </c>
      <c r="BJ125" s="362">
        <f t="shared" ca="1" si="55"/>
        <v>169893.34652341562</v>
      </c>
      <c r="BK125" s="362">
        <f t="shared" ca="1" si="55"/>
        <v>61105.337803042661</v>
      </c>
      <c r="BL125" s="362">
        <f t="shared" ca="1" si="55"/>
        <v>0</v>
      </c>
      <c r="BM125" s="362"/>
    </row>
    <row r="126" spans="27:65">
      <c r="AA126" s="360">
        <f t="shared" si="45"/>
        <v>2033</v>
      </c>
      <c r="AB126" s="362">
        <f>UtilityDemand!E35</f>
        <v>900901.25922104018</v>
      </c>
      <c r="AC126" s="362"/>
      <c r="AD126" s="362">
        <f t="shared" ca="1" si="46"/>
        <v>421364.61416051321</v>
      </c>
      <c r="AE126" s="362"/>
      <c r="AF126" s="362" t="str">
        <f t="shared" ca="1" si="53"/>
        <v/>
      </c>
      <c r="AG126" s="362" t="str">
        <f t="shared" ca="1" si="53"/>
        <v/>
      </c>
      <c r="AH126" s="362" t="str">
        <f t="shared" ca="1" si="53"/>
        <v/>
      </c>
      <c r="AI126" s="362" t="str">
        <f t="shared" ca="1" si="53"/>
        <v/>
      </c>
      <c r="AJ126" s="362" t="str">
        <f t="shared" ca="1" si="53"/>
        <v/>
      </c>
      <c r="AK126" s="362" t="str">
        <f t="shared" ca="1" si="53"/>
        <v/>
      </c>
      <c r="AL126" s="362" t="str">
        <f t="shared" ca="1" si="53"/>
        <v/>
      </c>
      <c r="AM126" s="362" t="str">
        <f t="shared" ca="1" si="53"/>
        <v/>
      </c>
      <c r="AN126" s="362" t="str">
        <f t="shared" ca="1" si="53"/>
        <v/>
      </c>
      <c r="AO126" s="362" t="str">
        <f t="shared" ca="1" si="53"/>
        <v/>
      </c>
      <c r="AP126" s="362" t="str">
        <f t="shared" ca="1" si="54"/>
        <v/>
      </c>
      <c r="AQ126" s="362" t="str">
        <f t="shared" ca="1" si="54"/>
        <v/>
      </c>
      <c r="AR126" s="362" t="str">
        <f t="shared" ca="1" si="54"/>
        <v/>
      </c>
      <c r="AS126" s="362" t="str">
        <f t="shared" ca="1" si="54"/>
        <v/>
      </c>
      <c r="AT126" s="362" t="str">
        <f t="shared" ca="1" si="54"/>
        <v/>
      </c>
      <c r="AU126" s="362" t="str">
        <f t="shared" ca="1" si="54"/>
        <v/>
      </c>
      <c r="AV126" s="362">
        <f t="shared" ca="1" si="54"/>
        <v>0</v>
      </c>
      <c r="AW126" s="362">
        <f t="shared" ca="1" si="54"/>
        <v>19465</v>
      </c>
      <c r="AX126" s="362">
        <f t="shared" ca="1" si="54"/>
        <v>390.68231228680816</v>
      </c>
      <c r="AY126" s="362">
        <f t="shared" ca="1" si="54"/>
        <v>0</v>
      </c>
      <c r="AZ126" s="362">
        <f t="shared" ca="1" si="55"/>
        <v>0</v>
      </c>
      <c r="BA126" s="362">
        <f t="shared" ca="1" si="55"/>
        <v>36036.050368841607</v>
      </c>
      <c r="BB126" s="362">
        <f t="shared" ca="1" si="55"/>
        <v>0</v>
      </c>
      <c r="BC126" s="362">
        <f t="shared" ca="1" si="55"/>
        <v>0</v>
      </c>
      <c r="BD126" s="362">
        <f t="shared" ca="1" si="55"/>
        <v>0</v>
      </c>
      <c r="BE126" s="362">
        <f t="shared" ca="1" si="55"/>
        <v>0</v>
      </c>
      <c r="BF126" s="362">
        <f t="shared" ca="1" si="55"/>
        <v>57284.775000000001</v>
      </c>
      <c r="BG126" s="362">
        <f t="shared" ca="1" si="55"/>
        <v>60132.974999999991</v>
      </c>
      <c r="BH126" s="362">
        <f t="shared" ca="1" si="55"/>
        <v>66165.424999999988</v>
      </c>
      <c r="BI126" s="362">
        <f t="shared" ca="1" si="55"/>
        <v>0</v>
      </c>
      <c r="BJ126" s="362">
        <f t="shared" ca="1" si="55"/>
        <v>177280.01376356406</v>
      </c>
      <c r="BK126" s="362">
        <f t="shared" ca="1" si="55"/>
        <v>62781.723615834504</v>
      </c>
      <c r="BL126" s="362">
        <f t="shared" ca="1" si="55"/>
        <v>0</v>
      </c>
      <c r="BM126" s="362"/>
    </row>
    <row r="127" spans="27:65">
      <c r="AA127" s="360">
        <f t="shared" si="45"/>
        <v>2034</v>
      </c>
      <c r="AB127" s="362">
        <f>UtilityDemand!E36</f>
        <v>909287.85835071537</v>
      </c>
      <c r="AC127" s="362"/>
      <c r="AD127" s="362">
        <f t="shared" ca="1" si="46"/>
        <v>420352.69627206109</v>
      </c>
      <c r="AE127" s="362"/>
      <c r="AF127" s="362" t="str">
        <f t="shared" ca="1" si="53"/>
        <v/>
      </c>
      <c r="AG127" s="362" t="str">
        <f t="shared" ca="1" si="53"/>
        <v/>
      </c>
      <c r="AH127" s="362" t="str">
        <f t="shared" ca="1" si="53"/>
        <v/>
      </c>
      <c r="AI127" s="362" t="str">
        <f t="shared" ca="1" si="53"/>
        <v/>
      </c>
      <c r="AJ127" s="362" t="str">
        <f t="shared" ca="1" si="53"/>
        <v/>
      </c>
      <c r="AK127" s="362" t="str">
        <f t="shared" ca="1" si="53"/>
        <v/>
      </c>
      <c r="AL127" s="362" t="str">
        <f t="shared" ca="1" si="53"/>
        <v/>
      </c>
      <c r="AM127" s="362" t="str">
        <f t="shared" ca="1" si="53"/>
        <v/>
      </c>
      <c r="AN127" s="362" t="str">
        <f t="shared" ca="1" si="53"/>
        <v/>
      </c>
      <c r="AO127" s="362" t="str">
        <f t="shared" ca="1" si="53"/>
        <v/>
      </c>
      <c r="AP127" s="362" t="str">
        <f t="shared" ca="1" si="54"/>
        <v/>
      </c>
      <c r="AQ127" s="362" t="str">
        <f t="shared" ca="1" si="54"/>
        <v/>
      </c>
      <c r="AR127" s="362" t="str">
        <f t="shared" ca="1" si="54"/>
        <v/>
      </c>
      <c r="AS127" s="362" t="str">
        <f t="shared" ca="1" si="54"/>
        <v/>
      </c>
      <c r="AT127" s="362" t="str">
        <f t="shared" ca="1" si="54"/>
        <v/>
      </c>
      <c r="AU127" s="362" t="str">
        <f t="shared" ca="1" si="54"/>
        <v/>
      </c>
      <c r="AV127" s="362">
        <f t="shared" ca="1" si="54"/>
        <v>0</v>
      </c>
      <c r="AW127" s="362">
        <f t="shared" ca="1" si="54"/>
        <v>19465</v>
      </c>
      <c r="AX127" s="362">
        <f t="shared" ca="1" si="54"/>
        <v>390.68231228680816</v>
      </c>
      <c r="AY127" s="362">
        <f t="shared" ca="1" si="54"/>
        <v>0</v>
      </c>
      <c r="AZ127" s="362">
        <f t="shared" ca="1" si="55"/>
        <v>0</v>
      </c>
      <c r="BA127" s="362">
        <f t="shared" ca="1" si="55"/>
        <v>36371.514334028609</v>
      </c>
      <c r="BB127" s="362">
        <f t="shared" ca="1" si="55"/>
        <v>0</v>
      </c>
      <c r="BC127" s="362">
        <f t="shared" ca="1" si="55"/>
        <v>0</v>
      </c>
      <c r="BD127" s="362">
        <f t="shared" ca="1" si="55"/>
        <v>0</v>
      </c>
      <c r="BE127" s="362">
        <f t="shared" ca="1" si="55"/>
        <v>0</v>
      </c>
      <c r="BF127" s="362">
        <f t="shared" ca="1" si="55"/>
        <v>57284.775000000001</v>
      </c>
      <c r="BG127" s="362">
        <f t="shared" ca="1" si="55"/>
        <v>60132.974999999991</v>
      </c>
      <c r="BH127" s="362">
        <f t="shared" ca="1" si="55"/>
        <v>66165.424999999988</v>
      </c>
      <c r="BI127" s="362">
        <f t="shared" ca="1" si="55"/>
        <v>0</v>
      </c>
      <c r="BJ127" s="362">
        <f t="shared" ca="1" si="55"/>
        <v>184666.68100371261</v>
      </c>
      <c r="BK127" s="362">
        <f t="shared" ca="1" si="55"/>
        <v>64458.109428626223</v>
      </c>
      <c r="BL127" s="362">
        <f t="shared" ca="1" si="55"/>
        <v>0</v>
      </c>
      <c r="BM127" s="362"/>
    </row>
    <row r="128" spans="27:65">
      <c r="AA128" s="360">
        <f t="shared" si="45"/>
        <v>2035</v>
      </c>
      <c r="AB128" s="362">
        <f>UtilityDemand!E37</f>
        <v>917674.45748039079</v>
      </c>
      <c r="AC128" s="362"/>
      <c r="AD128" s="362">
        <f t="shared" ca="1" si="46"/>
        <v>419340.77838360931</v>
      </c>
      <c r="AE128" s="362"/>
      <c r="AF128" s="362" t="str">
        <f t="shared" ca="1" si="53"/>
        <v/>
      </c>
      <c r="AG128" s="362" t="str">
        <f t="shared" ca="1" si="53"/>
        <v/>
      </c>
      <c r="AH128" s="362" t="str">
        <f t="shared" ca="1" si="53"/>
        <v/>
      </c>
      <c r="AI128" s="362" t="str">
        <f t="shared" ca="1" si="53"/>
        <v/>
      </c>
      <c r="AJ128" s="362" t="str">
        <f t="shared" ca="1" si="53"/>
        <v/>
      </c>
      <c r="AK128" s="362" t="str">
        <f t="shared" ca="1" si="53"/>
        <v/>
      </c>
      <c r="AL128" s="362" t="str">
        <f t="shared" ca="1" si="53"/>
        <v/>
      </c>
      <c r="AM128" s="362" t="str">
        <f t="shared" ca="1" si="53"/>
        <v/>
      </c>
      <c r="AN128" s="362" t="str">
        <f t="shared" ca="1" si="53"/>
        <v/>
      </c>
      <c r="AO128" s="362" t="str">
        <f t="shared" ca="1" si="53"/>
        <v/>
      </c>
      <c r="AP128" s="362" t="str">
        <f t="shared" ca="1" si="54"/>
        <v/>
      </c>
      <c r="AQ128" s="362" t="str">
        <f t="shared" ca="1" si="54"/>
        <v/>
      </c>
      <c r="AR128" s="362" t="str">
        <f t="shared" ca="1" si="54"/>
        <v/>
      </c>
      <c r="AS128" s="362" t="str">
        <f t="shared" ca="1" si="54"/>
        <v/>
      </c>
      <c r="AT128" s="362" t="str">
        <f t="shared" ca="1" si="54"/>
        <v/>
      </c>
      <c r="AU128" s="362" t="str">
        <f t="shared" ca="1" si="54"/>
        <v/>
      </c>
      <c r="AV128" s="362">
        <f t="shared" ca="1" si="54"/>
        <v>0</v>
      </c>
      <c r="AW128" s="362">
        <f t="shared" ca="1" si="54"/>
        <v>19465</v>
      </c>
      <c r="AX128" s="362">
        <f t="shared" ca="1" si="54"/>
        <v>390.68231228680816</v>
      </c>
      <c r="AY128" s="362">
        <f t="shared" ca="1" si="54"/>
        <v>0</v>
      </c>
      <c r="AZ128" s="362">
        <f t="shared" ca="1" si="55"/>
        <v>0</v>
      </c>
      <c r="BA128" s="362">
        <f t="shared" ca="1" si="55"/>
        <v>36706.978299215625</v>
      </c>
      <c r="BB128" s="362">
        <f t="shared" ca="1" si="55"/>
        <v>0</v>
      </c>
      <c r="BC128" s="362">
        <f t="shared" ca="1" si="55"/>
        <v>0</v>
      </c>
      <c r="BD128" s="362">
        <f t="shared" ca="1" si="55"/>
        <v>0</v>
      </c>
      <c r="BE128" s="362">
        <f t="shared" ca="1" si="55"/>
        <v>0</v>
      </c>
      <c r="BF128" s="362">
        <f t="shared" ca="1" si="55"/>
        <v>57284.775000000001</v>
      </c>
      <c r="BG128" s="362">
        <f t="shared" ca="1" si="55"/>
        <v>60132.974999999991</v>
      </c>
      <c r="BH128" s="362">
        <f t="shared" ca="1" si="55"/>
        <v>66165.424999999988</v>
      </c>
      <c r="BI128" s="362">
        <f t="shared" ca="1" si="55"/>
        <v>0</v>
      </c>
      <c r="BJ128" s="362">
        <f t="shared" ca="1" si="55"/>
        <v>192053.34824386114</v>
      </c>
      <c r="BK128" s="362">
        <f t="shared" ca="1" si="55"/>
        <v>66134.495241417972</v>
      </c>
      <c r="BL128" s="362">
        <f t="shared" ca="1" si="55"/>
        <v>0</v>
      </c>
      <c r="BM128" s="362"/>
    </row>
    <row r="129" spans="27:65">
      <c r="AA129" s="360">
        <f t="shared" si="45"/>
        <v>2036</v>
      </c>
      <c r="AB129" s="362">
        <f>UtilityDemand!E38</f>
        <v>926061.05661006644</v>
      </c>
      <c r="AC129" s="362"/>
      <c r="AD129" s="362">
        <f t="shared" ca="1" si="46"/>
        <v>418328.86049515742</v>
      </c>
      <c r="AE129" s="362"/>
      <c r="AF129" s="362" t="str">
        <f t="shared" ca="1" si="53"/>
        <v/>
      </c>
      <c r="AG129" s="362" t="str">
        <f t="shared" ca="1" si="53"/>
        <v/>
      </c>
      <c r="AH129" s="362" t="str">
        <f t="shared" ca="1" si="53"/>
        <v/>
      </c>
      <c r="AI129" s="362" t="str">
        <f t="shared" ca="1" si="53"/>
        <v/>
      </c>
      <c r="AJ129" s="362" t="str">
        <f t="shared" ca="1" si="53"/>
        <v/>
      </c>
      <c r="AK129" s="362" t="str">
        <f t="shared" ca="1" si="53"/>
        <v/>
      </c>
      <c r="AL129" s="362" t="str">
        <f t="shared" ca="1" si="53"/>
        <v/>
      </c>
      <c r="AM129" s="362" t="str">
        <f t="shared" ca="1" si="53"/>
        <v/>
      </c>
      <c r="AN129" s="362" t="str">
        <f t="shared" ca="1" si="53"/>
        <v/>
      </c>
      <c r="AO129" s="362" t="str">
        <f t="shared" ca="1" si="53"/>
        <v/>
      </c>
      <c r="AP129" s="362" t="str">
        <f t="shared" ca="1" si="54"/>
        <v/>
      </c>
      <c r="AQ129" s="362" t="str">
        <f t="shared" ca="1" si="54"/>
        <v/>
      </c>
      <c r="AR129" s="362" t="str">
        <f t="shared" ca="1" si="54"/>
        <v/>
      </c>
      <c r="AS129" s="362" t="str">
        <f t="shared" ca="1" si="54"/>
        <v/>
      </c>
      <c r="AT129" s="362" t="str">
        <f t="shared" ca="1" si="54"/>
        <v/>
      </c>
      <c r="AU129" s="362" t="str">
        <f t="shared" ca="1" si="54"/>
        <v/>
      </c>
      <c r="AV129" s="362">
        <f t="shared" ca="1" si="54"/>
        <v>0</v>
      </c>
      <c r="AW129" s="362">
        <f t="shared" ca="1" si="54"/>
        <v>19465</v>
      </c>
      <c r="AX129" s="362">
        <f t="shared" ca="1" si="54"/>
        <v>390.68231228680816</v>
      </c>
      <c r="AY129" s="362">
        <f t="shared" ca="1" si="54"/>
        <v>0</v>
      </c>
      <c r="AZ129" s="362">
        <f t="shared" ca="1" si="55"/>
        <v>0</v>
      </c>
      <c r="BA129" s="362">
        <f t="shared" ca="1" si="55"/>
        <v>37042.442264402649</v>
      </c>
      <c r="BB129" s="362">
        <f t="shared" ca="1" si="55"/>
        <v>0</v>
      </c>
      <c r="BC129" s="362">
        <f t="shared" ca="1" si="55"/>
        <v>0</v>
      </c>
      <c r="BD129" s="362">
        <f t="shared" ca="1" si="55"/>
        <v>0</v>
      </c>
      <c r="BE129" s="362">
        <f t="shared" ca="1" si="55"/>
        <v>0</v>
      </c>
      <c r="BF129" s="362">
        <f t="shared" ca="1" si="55"/>
        <v>57284.775000000001</v>
      </c>
      <c r="BG129" s="362">
        <f t="shared" ca="1" si="55"/>
        <v>60132.974999999991</v>
      </c>
      <c r="BH129" s="362">
        <f t="shared" ca="1" si="55"/>
        <v>66165.424999999988</v>
      </c>
      <c r="BI129" s="362">
        <f t="shared" ca="1" si="55"/>
        <v>0</v>
      </c>
      <c r="BJ129" s="362">
        <f t="shared" ca="1" si="55"/>
        <v>199440.01548400958</v>
      </c>
      <c r="BK129" s="362">
        <f t="shared" ca="1" si="55"/>
        <v>67810.881054210011</v>
      </c>
      <c r="BL129" s="362">
        <f t="shared" ca="1" si="55"/>
        <v>0</v>
      </c>
      <c r="BM129" s="362"/>
    </row>
    <row r="130" spans="27:65">
      <c r="AA130" s="360">
        <f t="shared" si="45"/>
        <v>2037</v>
      </c>
      <c r="AB130" s="362">
        <f>UtilityDemand!E39</f>
        <v>934447.65573974175</v>
      </c>
      <c r="AC130" s="362"/>
      <c r="AD130" s="362">
        <f t="shared" ca="1" si="46"/>
        <v>417316.94260670542</v>
      </c>
      <c r="AE130" s="362"/>
      <c r="AF130" s="362" t="str">
        <f t="shared" ca="1" si="53"/>
        <v/>
      </c>
      <c r="AG130" s="362" t="str">
        <f t="shared" ca="1" si="53"/>
        <v/>
      </c>
      <c r="AH130" s="362" t="str">
        <f t="shared" ca="1" si="53"/>
        <v/>
      </c>
      <c r="AI130" s="362" t="str">
        <f t="shared" ca="1" si="53"/>
        <v/>
      </c>
      <c r="AJ130" s="362" t="str">
        <f t="shared" ca="1" si="53"/>
        <v/>
      </c>
      <c r="AK130" s="362" t="str">
        <f t="shared" ca="1" si="53"/>
        <v/>
      </c>
      <c r="AL130" s="362" t="str">
        <f t="shared" ca="1" si="53"/>
        <v/>
      </c>
      <c r="AM130" s="362" t="str">
        <f t="shared" ca="1" si="53"/>
        <v/>
      </c>
      <c r="AN130" s="362" t="str">
        <f t="shared" ca="1" si="53"/>
        <v/>
      </c>
      <c r="AO130" s="362" t="str">
        <f t="shared" ca="1" si="53"/>
        <v/>
      </c>
      <c r="AP130" s="362" t="str">
        <f t="shared" ca="1" si="54"/>
        <v/>
      </c>
      <c r="AQ130" s="362" t="str">
        <f t="shared" ca="1" si="54"/>
        <v/>
      </c>
      <c r="AR130" s="362" t="str">
        <f t="shared" ca="1" si="54"/>
        <v/>
      </c>
      <c r="AS130" s="362" t="str">
        <f t="shared" ca="1" si="54"/>
        <v/>
      </c>
      <c r="AT130" s="362" t="str">
        <f t="shared" ca="1" si="54"/>
        <v/>
      </c>
      <c r="AU130" s="362" t="str">
        <f t="shared" ca="1" si="54"/>
        <v/>
      </c>
      <c r="AV130" s="362">
        <f t="shared" ca="1" si="54"/>
        <v>0</v>
      </c>
      <c r="AW130" s="362">
        <f t="shared" ca="1" si="54"/>
        <v>19465</v>
      </c>
      <c r="AX130" s="362">
        <f t="shared" ca="1" si="54"/>
        <v>390.68231228680816</v>
      </c>
      <c r="AY130" s="362">
        <f t="shared" ca="1" si="54"/>
        <v>0</v>
      </c>
      <c r="AZ130" s="362">
        <f t="shared" ca="1" si="55"/>
        <v>0</v>
      </c>
      <c r="BA130" s="362">
        <f t="shared" ca="1" si="55"/>
        <v>37377.906229589673</v>
      </c>
      <c r="BB130" s="362">
        <f t="shared" ca="1" si="55"/>
        <v>0</v>
      </c>
      <c r="BC130" s="362">
        <f t="shared" ca="1" si="55"/>
        <v>0</v>
      </c>
      <c r="BD130" s="362">
        <f t="shared" ca="1" si="55"/>
        <v>0</v>
      </c>
      <c r="BE130" s="362">
        <f t="shared" ca="1" si="55"/>
        <v>0</v>
      </c>
      <c r="BF130" s="362">
        <f t="shared" ca="1" si="55"/>
        <v>57284.775000000001</v>
      </c>
      <c r="BG130" s="362">
        <f t="shared" ca="1" si="55"/>
        <v>60132.974999999991</v>
      </c>
      <c r="BH130" s="362">
        <f t="shared" ca="1" si="55"/>
        <v>66165.424999999988</v>
      </c>
      <c r="BI130" s="362">
        <f t="shared" ca="1" si="55"/>
        <v>0</v>
      </c>
      <c r="BJ130" s="362">
        <f t="shared" ca="1" si="55"/>
        <v>206826.68272415805</v>
      </c>
      <c r="BK130" s="362">
        <f t="shared" ca="1" si="55"/>
        <v>69487.266867001832</v>
      </c>
      <c r="BL130" s="362">
        <f t="shared" ca="1" si="55"/>
        <v>0</v>
      </c>
      <c r="BM130" s="362"/>
    </row>
    <row r="131" spans="27:65">
      <c r="AA131" s="360">
        <f t="shared" si="45"/>
        <v>2038</v>
      </c>
      <c r="AB131" s="362">
        <f>UtilityDemand!E40</f>
        <v>942834.25486941705</v>
      </c>
      <c r="AC131" s="362"/>
      <c r="AD131" s="362">
        <f t="shared" ca="1" si="46"/>
        <v>416305.02471825341</v>
      </c>
      <c r="AE131" s="362"/>
      <c r="AF131" s="362" t="str">
        <f t="shared" ca="1" si="53"/>
        <v/>
      </c>
      <c r="AG131" s="362" t="str">
        <f t="shared" ca="1" si="53"/>
        <v/>
      </c>
      <c r="AH131" s="362" t="str">
        <f t="shared" ca="1" si="53"/>
        <v/>
      </c>
      <c r="AI131" s="362" t="str">
        <f t="shared" ca="1" si="53"/>
        <v/>
      </c>
      <c r="AJ131" s="362" t="str">
        <f t="shared" ca="1" si="53"/>
        <v/>
      </c>
      <c r="AK131" s="362" t="str">
        <f t="shared" ca="1" si="53"/>
        <v/>
      </c>
      <c r="AL131" s="362" t="str">
        <f t="shared" ca="1" si="53"/>
        <v/>
      </c>
      <c r="AM131" s="362" t="str">
        <f t="shared" ca="1" si="53"/>
        <v/>
      </c>
      <c r="AN131" s="362" t="str">
        <f t="shared" ca="1" si="53"/>
        <v/>
      </c>
      <c r="AO131" s="362" t="str">
        <f t="shared" ca="1" si="53"/>
        <v/>
      </c>
      <c r="AP131" s="362" t="str">
        <f t="shared" ca="1" si="54"/>
        <v/>
      </c>
      <c r="AQ131" s="362" t="str">
        <f t="shared" ca="1" si="54"/>
        <v/>
      </c>
      <c r="AR131" s="362" t="str">
        <f t="shared" ca="1" si="54"/>
        <v/>
      </c>
      <c r="AS131" s="362" t="str">
        <f t="shared" ca="1" si="54"/>
        <v/>
      </c>
      <c r="AT131" s="362" t="str">
        <f t="shared" ca="1" si="54"/>
        <v/>
      </c>
      <c r="AU131" s="362" t="str">
        <f t="shared" ca="1" si="54"/>
        <v/>
      </c>
      <c r="AV131" s="362">
        <f t="shared" ca="1" si="54"/>
        <v>0</v>
      </c>
      <c r="AW131" s="362">
        <f t="shared" ca="1" si="54"/>
        <v>19465</v>
      </c>
      <c r="AX131" s="362">
        <f t="shared" ca="1" si="54"/>
        <v>390.68231228680816</v>
      </c>
      <c r="AY131" s="362">
        <f t="shared" ca="1" si="54"/>
        <v>0</v>
      </c>
      <c r="AZ131" s="362">
        <f t="shared" ca="1" si="55"/>
        <v>0</v>
      </c>
      <c r="BA131" s="362">
        <f t="shared" ca="1" si="55"/>
        <v>37713.370194776682</v>
      </c>
      <c r="BB131" s="362">
        <f t="shared" ca="1" si="55"/>
        <v>0</v>
      </c>
      <c r="BC131" s="362">
        <f t="shared" ca="1" si="55"/>
        <v>0</v>
      </c>
      <c r="BD131" s="362">
        <f t="shared" ca="1" si="55"/>
        <v>0</v>
      </c>
      <c r="BE131" s="362">
        <f t="shared" ca="1" si="55"/>
        <v>0</v>
      </c>
      <c r="BF131" s="362">
        <f t="shared" ca="1" si="55"/>
        <v>57284.775000000001</v>
      </c>
      <c r="BG131" s="362">
        <f t="shared" ca="1" si="55"/>
        <v>60132.974999999991</v>
      </c>
      <c r="BH131" s="362">
        <f t="shared" ca="1" si="55"/>
        <v>66165.424999999988</v>
      </c>
      <c r="BI131" s="362">
        <f t="shared" ca="1" si="55"/>
        <v>0</v>
      </c>
      <c r="BJ131" s="362">
        <f t="shared" ca="1" si="55"/>
        <v>214213.34996430657</v>
      </c>
      <c r="BK131" s="362">
        <f t="shared" ca="1" si="55"/>
        <v>71163.652679793566</v>
      </c>
      <c r="BL131" s="362">
        <f t="shared" ca="1" si="55"/>
        <v>0</v>
      </c>
      <c r="BM131" s="362"/>
    </row>
    <row r="132" spans="27:65">
      <c r="AA132" s="360">
        <f t="shared" si="45"/>
        <v>2039</v>
      </c>
      <c r="AB132" s="362">
        <f>UtilityDemand!E41</f>
        <v>951220.85399909248</v>
      </c>
      <c r="AC132" s="362"/>
      <c r="AD132" s="362">
        <f t="shared" ca="1" si="46"/>
        <v>415293.10682980157</v>
      </c>
      <c r="AE132" s="362"/>
      <c r="AF132" s="362" t="str">
        <f t="shared" ca="1" si="53"/>
        <v/>
      </c>
      <c r="AG132" s="362" t="str">
        <f t="shared" ca="1" si="53"/>
        <v/>
      </c>
      <c r="AH132" s="362" t="str">
        <f t="shared" ca="1" si="53"/>
        <v/>
      </c>
      <c r="AI132" s="362" t="str">
        <f t="shared" ca="1" si="53"/>
        <v/>
      </c>
      <c r="AJ132" s="362" t="str">
        <f t="shared" ca="1" si="53"/>
        <v/>
      </c>
      <c r="AK132" s="362" t="str">
        <f t="shared" ca="1" si="53"/>
        <v/>
      </c>
      <c r="AL132" s="362" t="str">
        <f t="shared" ca="1" si="53"/>
        <v/>
      </c>
      <c r="AM132" s="362" t="str">
        <f t="shared" ca="1" si="53"/>
        <v/>
      </c>
      <c r="AN132" s="362" t="str">
        <f t="shared" ca="1" si="53"/>
        <v/>
      </c>
      <c r="AO132" s="362" t="str">
        <f t="shared" ca="1" si="53"/>
        <v/>
      </c>
      <c r="AP132" s="362" t="str">
        <f t="shared" ca="1" si="54"/>
        <v/>
      </c>
      <c r="AQ132" s="362" t="str">
        <f t="shared" ca="1" si="54"/>
        <v/>
      </c>
      <c r="AR132" s="362" t="str">
        <f t="shared" ca="1" si="54"/>
        <v/>
      </c>
      <c r="AS132" s="362" t="str">
        <f t="shared" ca="1" si="54"/>
        <v/>
      </c>
      <c r="AT132" s="362" t="str">
        <f t="shared" ca="1" si="54"/>
        <v/>
      </c>
      <c r="AU132" s="362" t="str">
        <f t="shared" ca="1" si="54"/>
        <v/>
      </c>
      <c r="AV132" s="362">
        <f t="shared" ca="1" si="54"/>
        <v>0</v>
      </c>
      <c r="AW132" s="362">
        <f t="shared" ca="1" si="54"/>
        <v>19465</v>
      </c>
      <c r="AX132" s="362">
        <f t="shared" ca="1" si="54"/>
        <v>390.68231228680816</v>
      </c>
      <c r="AY132" s="362">
        <f t="shared" ca="1" si="54"/>
        <v>0</v>
      </c>
      <c r="AZ132" s="362">
        <f t="shared" ca="1" si="55"/>
        <v>0</v>
      </c>
      <c r="BA132" s="362">
        <f t="shared" ca="1" si="55"/>
        <v>38048.834159963699</v>
      </c>
      <c r="BB132" s="362">
        <f t="shared" ca="1" si="55"/>
        <v>0</v>
      </c>
      <c r="BC132" s="362">
        <f t="shared" ca="1" si="55"/>
        <v>0</v>
      </c>
      <c r="BD132" s="362">
        <f t="shared" ca="1" si="55"/>
        <v>0</v>
      </c>
      <c r="BE132" s="362">
        <f t="shared" ca="1" si="55"/>
        <v>0</v>
      </c>
      <c r="BF132" s="362">
        <f t="shared" ca="1" si="55"/>
        <v>57284.775000000001</v>
      </c>
      <c r="BG132" s="362">
        <f t="shared" ca="1" si="55"/>
        <v>60132.974999999991</v>
      </c>
      <c r="BH132" s="362">
        <f t="shared" ca="1" si="55"/>
        <v>66165.424999999988</v>
      </c>
      <c r="BI132" s="362">
        <f t="shared" ca="1" si="55"/>
        <v>0</v>
      </c>
      <c r="BJ132" s="362">
        <f t="shared" ca="1" si="55"/>
        <v>221600.01720445513</v>
      </c>
      <c r="BK132" s="362">
        <f t="shared" ca="1" si="55"/>
        <v>72840.038492585314</v>
      </c>
      <c r="BL132" s="362">
        <f t="shared" ca="1" si="55"/>
        <v>0</v>
      </c>
      <c r="BM132" s="362"/>
    </row>
    <row r="133" spans="27:65">
      <c r="AA133" s="360">
        <f t="shared" si="45"/>
        <v>2040</v>
      </c>
      <c r="AB133" s="362">
        <f>UtilityDemand!E42</f>
        <v>959607.45312876778</v>
      </c>
      <c r="AC133" s="362"/>
      <c r="AD133" s="362">
        <f t="shared" ca="1" si="46"/>
        <v>414281.18894134951</v>
      </c>
      <c r="AE133" s="362"/>
      <c r="AF133" s="362" t="str">
        <f t="shared" ref="AF133:AO143" ca="1" si="56">IFERROR(-HLOOKUP(AF$50,NGConsTable,$AA133-$AA$103+2,FALSE),"")</f>
        <v/>
      </c>
      <c r="AG133" s="362" t="str">
        <f t="shared" ca="1" si="56"/>
        <v/>
      </c>
      <c r="AH133" s="362" t="str">
        <f t="shared" ca="1" si="56"/>
        <v/>
      </c>
      <c r="AI133" s="362" t="str">
        <f t="shared" ca="1" si="56"/>
        <v/>
      </c>
      <c r="AJ133" s="362" t="str">
        <f t="shared" ca="1" si="56"/>
        <v/>
      </c>
      <c r="AK133" s="362" t="str">
        <f t="shared" ca="1" si="56"/>
        <v/>
      </c>
      <c r="AL133" s="362" t="str">
        <f t="shared" ca="1" si="56"/>
        <v/>
      </c>
      <c r="AM133" s="362" t="str">
        <f t="shared" ca="1" si="56"/>
        <v/>
      </c>
      <c r="AN133" s="362" t="str">
        <f t="shared" ca="1" si="56"/>
        <v/>
      </c>
      <c r="AO133" s="362" t="str">
        <f t="shared" ca="1" si="56"/>
        <v/>
      </c>
      <c r="AP133" s="362" t="str">
        <f t="shared" ref="AP133:AY143" ca="1" si="57">IFERROR(-HLOOKUP(AP$50,NGConsTable,$AA133-$AA$103+2,FALSE),"")</f>
        <v/>
      </c>
      <c r="AQ133" s="362" t="str">
        <f t="shared" ca="1" si="57"/>
        <v/>
      </c>
      <c r="AR133" s="362" t="str">
        <f t="shared" ca="1" si="57"/>
        <v/>
      </c>
      <c r="AS133" s="362" t="str">
        <f t="shared" ca="1" si="57"/>
        <v/>
      </c>
      <c r="AT133" s="362" t="str">
        <f t="shared" ca="1" si="57"/>
        <v/>
      </c>
      <c r="AU133" s="362" t="str">
        <f t="shared" ca="1" si="57"/>
        <v/>
      </c>
      <c r="AV133" s="362">
        <f t="shared" ca="1" si="57"/>
        <v>0</v>
      </c>
      <c r="AW133" s="362">
        <f t="shared" ca="1" si="57"/>
        <v>19465</v>
      </c>
      <c r="AX133" s="362">
        <f t="shared" ca="1" si="57"/>
        <v>390.68231228680816</v>
      </c>
      <c r="AY133" s="362">
        <f t="shared" ca="1" si="57"/>
        <v>0</v>
      </c>
      <c r="AZ133" s="362">
        <f t="shared" ref="AZ133:BL143" ca="1" si="58">IFERROR(-HLOOKUP(AZ$50,NGConsTable,$AA133-$AA$103+2,FALSE),"")</f>
        <v>0</v>
      </c>
      <c r="BA133" s="362">
        <f t="shared" ca="1" si="58"/>
        <v>38384.298125150708</v>
      </c>
      <c r="BB133" s="362">
        <f t="shared" ca="1" si="58"/>
        <v>0</v>
      </c>
      <c r="BC133" s="362">
        <f t="shared" ca="1" si="58"/>
        <v>0</v>
      </c>
      <c r="BD133" s="362">
        <f t="shared" ca="1" si="58"/>
        <v>0</v>
      </c>
      <c r="BE133" s="362">
        <f t="shared" ca="1" si="58"/>
        <v>0</v>
      </c>
      <c r="BF133" s="362">
        <f t="shared" ca="1" si="58"/>
        <v>57284.775000000001</v>
      </c>
      <c r="BG133" s="362">
        <f t="shared" ca="1" si="58"/>
        <v>60132.974999999991</v>
      </c>
      <c r="BH133" s="362">
        <f t="shared" ca="1" si="58"/>
        <v>66165.424999999988</v>
      </c>
      <c r="BI133" s="362">
        <f t="shared" ca="1" si="58"/>
        <v>0</v>
      </c>
      <c r="BJ133" s="362">
        <f t="shared" ca="1" si="58"/>
        <v>228986.68444460357</v>
      </c>
      <c r="BK133" s="362">
        <f t="shared" ca="1" si="58"/>
        <v>74516.42430537715</v>
      </c>
      <c r="BL133" s="362">
        <f t="shared" ca="1" si="58"/>
        <v>0</v>
      </c>
      <c r="BM133" s="362"/>
    </row>
    <row r="134" spans="27:65">
      <c r="AA134" s="360">
        <f t="shared" si="45"/>
        <v>2041</v>
      </c>
      <c r="AB134" s="362">
        <f>UtilityDemand!E43</f>
        <v>967994.0522584432</v>
      </c>
      <c r="AC134" s="362"/>
      <c r="AD134" s="362">
        <f t="shared" ca="1" si="46"/>
        <v>413269.27105289756</v>
      </c>
      <c r="AE134" s="362"/>
      <c r="AF134" s="362" t="str">
        <f t="shared" ca="1" si="56"/>
        <v/>
      </c>
      <c r="AG134" s="362" t="str">
        <f t="shared" ca="1" si="56"/>
        <v/>
      </c>
      <c r="AH134" s="362" t="str">
        <f t="shared" ca="1" si="56"/>
        <v/>
      </c>
      <c r="AI134" s="362" t="str">
        <f t="shared" ca="1" si="56"/>
        <v/>
      </c>
      <c r="AJ134" s="362" t="str">
        <f t="shared" ca="1" si="56"/>
        <v/>
      </c>
      <c r="AK134" s="362" t="str">
        <f t="shared" ca="1" si="56"/>
        <v/>
      </c>
      <c r="AL134" s="362" t="str">
        <f t="shared" ca="1" si="56"/>
        <v/>
      </c>
      <c r="AM134" s="362" t="str">
        <f t="shared" ca="1" si="56"/>
        <v/>
      </c>
      <c r="AN134" s="362" t="str">
        <f t="shared" ca="1" si="56"/>
        <v/>
      </c>
      <c r="AO134" s="362" t="str">
        <f t="shared" ca="1" si="56"/>
        <v/>
      </c>
      <c r="AP134" s="362" t="str">
        <f t="shared" ca="1" si="57"/>
        <v/>
      </c>
      <c r="AQ134" s="362" t="str">
        <f t="shared" ca="1" si="57"/>
        <v/>
      </c>
      <c r="AR134" s="362" t="str">
        <f t="shared" ca="1" si="57"/>
        <v/>
      </c>
      <c r="AS134" s="362" t="str">
        <f t="shared" ca="1" si="57"/>
        <v/>
      </c>
      <c r="AT134" s="362" t="str">
        <f t="shared" ca="1" si="57"/>
        <v/>
      </c>
      <c r="AU134" s="362" t="str">
        <f t="shared" ca="1" si="57"/>
        <v/>
      </c>
      <c r="AV134" s="362">
        <f t="shared" ca="1" si="57"/>
        <v>0</v>
      </c>
      <c r="AW134" s="362">
        <f t="shared" ca="1" si="57"/>
        <v>19465</v>
      </c>
      <c r="AX134" s="362">
        <f t="shared" ca="1" si="57"/>
        <v>390.68231228680816</v>
      </c>
      <c r="AY134" s="362">
        <f t="shared" ca="1" si="57"/>
        <v>0</v>
      </c>
      <c r="AZ134" s="362">
        <f t="shared" ca="1" si="58"/>
        <v>0</v>
      </c>
      <c r="BA134" s="362">
        <f t="shared" ca="1" si="58"/>
        <v>38719.762090337725</v>
      </c>
      <c r="BB134" s="362">
        <f t="shared" ca="1" si="58"/>
        <v>0</v>
      </c>
      <c r="BC134" s="362">
        <f t="shared" ca="1" si="58"/>
        <v>0</v>
      </c>
      <c r="BD134" s="362">
        <f t="shared" ca="1" si="58"/>
        <v>0</v>
      </c>
      <c r="BE134" s="362">
        <f t="shared" ca="1" si="58"/>
        <v>0</v>
      </c>
      <c r="BF134" s="362">
        <f t="shared" ca="1" si="58"/>
        <v>57284.775000000001</v>
      </c>
      <c r="BG134" s="362">
        <f t="shared" ca="1" si="58"/>
        <v>60132.974999999991</v>
      </c>
      <c r="BH134" s="362">
        <f t="shared" ca="1" si="58"/>
        <v>66165.424999999988</v>
      </c>
      <c r="BI134" s="362">
        <f t="shared" ca="1" si="58"/>
        <v>0</v>
      </c>
      <c r="BJ134" s="362">
        <f t="shared" ca="1" si="58"/>
        <v>236373.3516847521</v>
      </c>
      <c r="BK134" s="362">
        <f t="shared" ca="1" si="58"/>
        <v>76192.810118169058</v>
      </c>
      <c r="BL134" s="362">
        <f t="shared" ca="1" si="58"/>
        <v>0</v>
      </c>
      <c r="BM134" s="362"/>
    </row>
    <row r="135" spans="27:65">
      <c r="AA135" s="360">
        <f t="shared" si="45"/>
        <v>2042</v>
      </c>
      <c r="AB135" s="362">
        <f>UtilityDemand!E44</f>
        <v>976380.65138811851</v>
      </c>
      <c r="AC135" s="362"/>
      <c r="AD135" s="362">
        <f t="shared" ca="1" si="46"/>
        <v>412257.35316444549</v>
      </c>
      <c r="AE135" s="362"/>
      <c r="AF135" s="362" t="str">
        <f t="shared" ca="1" si="56"/>
        <v/>
      </c>
      <c r="AG135" s="362" t="str">
        <f t="shared" ca="1" si="56"/>
        <v/>
      </c>
      <c r="AH135" s="362" t="str">
        <f t="shared" ca="1" si="56"/>
        <v/>
      </c>
      <c r="AI135" s="362" t="str">
        <f t="shared" ca="1" si="56"/>
        <v/>
      </c>
      <c r="AJ135" s="362" t="str">
        <f t="shared" ca="1" si="56"/>
        <v/>
      </c>
      <c r="AK135" s="362" t="str">
        <f t="shared" ca="1" si="56"/>
        <v/>
      </c>
      <c r="AL135" s="362" t="str">
        <f t="shared" ca="1" si="56"/>
        <v/>
      </c>
      <c r="AM135" s="362" t="str">
        <f t="shared" ca="1" si="56"/>
        <v/>
      </c>
      <c r="AN135" s="362" t="str">
        <f t="shared" ca="1" si="56"/>
        <v/>
      </c>
      <c r="AO135" s="362" t="str">
        <f t="shared" ca="1" si="56"/>
        <v/>
      </c>
      <c r="AP135" s="362" t="str">
        <f t="shared" ca="1" si="57"/>
        <v/>
      </c>
      <c r="AQ135" s="362" t="str">
        <f t="shared" ca="1" si="57"/>
        <v/>
      </c>
      <c r="AR135" s="362" t="str">
        <f t="shared" ca="1" si="57"/>
        <v/>
      </c>
      <c r="AS135" s="362" t="str">
        <f t="shared" ca="1" si="57"/>
        <v/>
      </c>
      <c r="AT135" s="362" t="str">
        <f t="shared" ca="1" si="57"/>
        <v/>
      </c>
      <c r="AU135" s="362" t="str">
        <f t="shared" ca="1" si="57"/>
        <v/>
      </c>
      <c r="AV135" s="362">
        <f t="shared" ca="1" si="57"/>
        <v>0</v>
      </c>
      <c r="AW135" s="362">
        <f t="shared" ca="1" si="57"/>
        <v>19465</v>
      </c>
      <c r="AX135" s="362">
        <f t="shared" ca="1" si="57"/>
        <v>390.68231228680816</v>
      </c>
      <c r="AY135" s="362">
        <f t="shared" ca="1" si="57"/>
        <v>0</v>
      </c>
      <c r="AZ135" s="362">
        <f t="shared" ca="1" si="58"/>
        <v>0</v>
      </c>
      <c r="BA135" s="362">
        <f t="shared" ca="1" si="58"/>
        <v>39055.226055524734</v>
      </c>
      <c r="BB135" s="362">
        <f t="shared" ca="1" si="58"/>
        <v>0</v>
      </c>
      <c r="BC135" s="362">
        <f t="shared" ca="1" si="58"/>
        <v>0</v>
      </c>
      <c r="BD135" s="362">
        <f t="shared" ca="1" si="58"/>
        <v>0</v>
      </c>
      <c r="BE135" s="362">
        <f t="shared" ca="1" si="58"/>
        <v>0</v>
      </c>
      <c r="BF135" s="362">
        <f t="shared" ca="1" si="58"/>
        <v>57284.775000000001</v>
      </c>
      <c r="BG135" s="362">
        <f t="shared" ca="1" si="58"/>
        <v>60132.974999999991</v>
      </c>
      <c r="BH135" s="362">
        <f t="shared" ca="1" si="58"/>
        <v>66165.424999999988</v>
      </c>
      <c r="BI135" s="362">
        <f t="shared" ca="1" si="58"/>
        <v>0</v>
      </c>
      <c r="BJ135" s="362">
        <f t="shared" ca="1" si="58"/>
        <v>243760.01892490065</v>
      </c>
      <c r="BK135" s="362">
        <f t="shared" ca="1" si="58"/>
        <v>77869.195930960792</v>
      </c>
      <c r="BL135" s="362">
        <f t="shared" ca="1" si="58"/>
        <v>0</v>
      </c>
      <c r="BM135" s="362"/>
    </row>
    <row r="136" spans="27:65">
      <c r="AA136" s="360">
        <f t="shared" si="45"/>
        <v>2043</v>
      </c>
      <c r="AB136" s="362">
        <f>UtilityDemand!E45</f>
        <v>984767.25051779393</v>
      </c>
      <c r="AC136" s="362"/>
      <c r="AD136" s="362">
        <f t="shared" ca="1" si="46"/>
        <v>411245.43527599366</v>
      </c>
      <c r="AE136" s="362"/>
      <c r="AF136" s="362" t="str">
        <f t="shared" ca="1" si="56"/>
        <v/>
      </c>
      <c r="AG136" s="362" t="str">
        <f t="shared" ca="1" si="56"/>
        <v/>
      </c>
      <c r="AH136" s="362" t="str">
        <f t="shared" ca="1" si="56"/>
        <v/>
      </c>
      <c r="AI136" s="362" t="str">
        <f t="shared" ca="1" si="56"/>
        <v/>
      </c>
      <c r="AJ136" s="362" t="str">
        <f t="shared" ca="1" si="56"/>
        <v/>
      </c>
      <c r="AK136" s="362" t="str">
        <f t="shared" ca="1" si="56"/>
        <v/>
      </c>
      <c r="AL136" s="362" t="str">
        <f t="shared" ca="1" si="56"/>
        <v/>
      </c>
      <c r="AM136" s="362" t="str">
        <f t="shared" ca="1" si="56"/>
        <v/>
      </c>
      <c r="AN136" s="362" t="str">
        <f t="shared" ca="1" si="56"/>
        <v/>
      </c>
      <c r="AO136" s="362" t="str">
        <f t="shared" ca="1" si="56"/>
        <v/>
      </c>
      <c r="AP136" s="362" t="str">
        <f t="shared" ca="1" si="57"/>
        <v/>
      </c>
      <c r="AQ136" s="362" t="str">
        <f t="shared" ca="1" si="57"/>
        <v/>
      </c>
      <c r="AR136" s="362" t="str">
        <f t="shared" ca="1" si="57"/>
        <v/>
      </c>
      <c r="AS136" s="362" t="str">
        <f t="shared" ca="1" si="57"/>
        <v/>
      </c>
      <c r="AT136" s="362" t="str">
        <f t="shared" ca="1" si="57"/>
        <v/>
      </c>
      <c r="AU136" s="362" t="str">
        <f t="shared" ca="1" si="57"/>
        <v/>
      </c>
      <c r="AV136" s="362">
        <f t="shared" ca="1" si="57"/>
        <v>0</v>
      </c>
      <c r="AW136" s="362">
        <f t="shared" ca="1" si="57"/>
        <v>19465</v>
      </c>
      <c r="AX136" s="362">
        <f t="shared" ca="1" si="57"/>
        <v>390.68231228680816</v>
      </c>
      <c r="AY136" s="362">
        <f t="shared" ca="1" si="57"/>
        <v>0</v>
      </c>
      <c r="AZ136" s="362">
        <f t="shared" ca="1" si="58"/>
        <v>0</v>
      </c>
      <c r="BA136" s="362">
        <f t="shared" ca="1" si="58"/>
        <v>39390.690020711751</v>
      </c>
      <c r="BB136" s="362">
        <f t="shared" ca="1" si="58"/>
        <v>0</v>
      </c>
      <c r="BC136" s="362">
        <f t="shared" ca="1" si="58"/>
        <v>0</v>
      </c>
      <c r="BD136" s="362">
        <f t="shared" ca="1" si="58"/>
        <v>0</v>
      </c>
      <c r="BE136" s="362">
        <f t="shared" ca="1" si="58"/>
        <v>0</v>
      </c>
      <c r="BF136" s="362">
        <f t="shared" ca="1" si="58"/>
        <v>57284.775000000001</v>
      </c>
      <c r="BG136" s="362">
        <f t="shared" ca="1" si="58"/>
        <v>60132.974999999991</v>
      </c>
      <c r="BH136" s="362">
        <f t="shared" ca="1" si="58"/>
        <v>66165.424999999988</v>
      </c>
      <c r="BI136" s="362">
        <f t="shared" ca="1" si="58"/>
        <v>0</v>
      </c>
      <c r="BJ136" s="362">
        <f t="shared" ca="1" si="58"/>
        <v>251146.68616504909</v>
      </c>
      <c r="BK136" s="362">
        <f t="shared" ca="1" si="58"/>
        <v>79545.581743752642</v>
      </c>
      <c r="BL136" s="362">
        <f t="shared" ca="1" si="58"/>
        <v>0</v>
      </c>
      <c r="BM136" s="362"/>
    </row>
    <row r="137" spans="27:65">
      <c r="AA137" s="360">
        <f t="shared" si="45"/>
        <v>2044</v>
      </c>
      <c r="AB137" s="362">
        <f>UtilityDemand!E46</f>
        <v>993153.84964746935</v>
      </c>
      <c r="AC137" s="362"/>
      <c r="AD137" s="362">
        <f t="shared" ca="1" si="46"/>
        <v>410233.51738754183</v>
      </c>
      <c r="AE137" s="362"/>
      <c r="AF137" s="362" t="str">
        <f t="shared" ca="1" si="56"/>
        <v/>
      </c>
      <c r="AG137" s="362" t="str">
        <f t="shared" ca="1" si="56"/>
        <v/>
      </c>
      <c r="AH137" s="362" t="str">
        <f t="shared" ca="1" si="56"/>
        <v/>
      </c>
      <c r="AI137" s="362" t="str">
        <f t="shared" ca="1" si="56"/>
        <v/>
      </c>
      <c r="AJ137" s="362" t="str">
        <f t="shared" ca="1" si="56"/>
        <v/>
      </c>
      <c r="AK137" s="362" t="str">
        <f t="shared" ca="1" si="56"/>
        <v/>
      </c>
      <c r="AL137" s="362" t="str">
        <f t="shared" ca="1" si="56"/>
        <v/>
      </c>
      <c r="AM137" s="362" t="str">
        <f t="shared" ca="1" si="56"/>
        <v/>
      </c>
      <c r="AN137" s="362" t="str">
        <f t="shared" ca="1" si="56"/>
        <v/>
      </c>
      <c r="AO137" s="362" t="str">
        <f t="shared" ca="1" si="56"/>
        <v/>
      </c>
      <c r="AP137" s="362" t="str">
        <f t="shared" ca="1" si="57"/>
        <v/>
      </c>
      <c r="AQ137" s="362" t="str">
        <f t="shared" ca="1" si="57"/>
        <v/>
      </c>
      <c r="AR137" s="362" t="str">
        <f t="shared" ca="1" si="57"/>
        <v/>
      </c>
      <c r="AS137" s="362" t="str">
        <f t="shared" ca="1" si="57"/>
        <v/>
      </c>
      <c r="AT137" s="362" t="str">
        <f t="shared" ca="1" si="57"/>
        <v/>
      </c>
      <c r="AU137" s="362" t="str">
        <f t="shared" ca="1" si="57"/>
        <v/>
      </c>
      <c r="AV137" s="362">
        <f t="shared" ca="1" si="57"/>
        <v>0</v>
      </c>
      <c r="AW137" s="362">
        <f t="shared" ca="1" si="57"/>
        <v>19465</v>
      </c>
      <c r="AX137" s="362">
        <f t="shared" ca="1" si="57"/>
        <v>390.68231228680816</v>
      </c>
      <c r="AY137" s="362">
        <f t="shared" ca="1" si="57"/>
        <v>0</v>
      </c>
      <c r="AZ137" s="362">
        <f t="shared" ca="1" si="58"/>
        <v>0</v>
      </c>
      <c r="BA137" s="362">
        <f t="shared" ca="1" si="58"/>
        <v>39726.153985898767</v>
      </c>
      <c r="BB137" s="362">
        <f t="shared" ca="1" si="58"/>
        <v>0</v>
      </c>
      <c r="BC137" s="362">
        <f t="shared" ca="1" si="58"/>
        <v>0</v>
      </c>
      <c r="BD137" s="362">
        <f t="shared" ca="1" si="58"/>
        <v>0</v>
      </c>
      <c r="BE137" s="362">
        <f t="shared" ca="1" si="58"/>
        <v>0</v>
      </c>
      <c r="BF137" s="362">
        <f t="shared" ca="1" si="58"/>
        <v>57284.775000000001</v>
      </c>
      <c r="BG137" s="362">
        <f t="shared" ca="1" si="58"/>
        <v>60132.974999999991</v>
      </c>
      <c r="BH137" s="362">
        <f t="shared" ca="1" si="58"/>
        <v>66165.424999999988</v>
      </c>
      <c r="BI137" s="362">
        <f t="shared" ca="1" si="58"/>
        <v>0</v>
      </c>
      <c r="BJ137" s="362">
        <f t="shared" ca="1" si="58"/>
        <v>258533.35340519765</v>
      </c>
      <c r="BK137" s="362">
        <f t="shared" ca="1" si="58"/>
        <v>81221.967556544376</v>
      </c>
      <c r="BL137" s="362">
        <f t="shared" ca="1" si="58"/>
        <v>0</v>
      </c>
      <c r="BM137" s="362"/>
    </row>
    <row r="138" spans="27:65">
      <c r="AA138" s="360">
        <f t="shared" si="45"/>
        <v>2045</v>
      </c>
      <c r="AB138" s="362">
        <f>UtilityDemand!E47</f>
        <v>1001540.4487771448</v>
      </c>
      <c r="AC138" s="362"/>
      <c r="AD138" s="362">
        <f t="shared" ca="1" si="46"/>
        <v>409221.59949908988</v>
      </c>
      <c r="AE138" s="362"/>
      <c r="AF138" s="362" t="str">
        <f t="shared" ca="1" si="56"/>
        <v/>
      </c>
      <c r="AG138" s="362" t="str">
        <f t="shared" ca="1" si="56"/>
        <v/>
      </c>
      <c r="AH138" s="362" t="str">
        <f t="shared" ca="1" si="56"/>
        <v/>
      </c>
      <c r="AI138" s="362" t="str">
        <f t="shared" ca="1" si="56"/>
        <v/>
      </c>
      <c r="AJ138" s="362" t="str">
        <f t="shared" ca="1" si="56"/>
        <v/>
      </c>
      <c r="AK138" s="362" t="str">
        <f t="shared" ca="1" si="56"/>
        <v/>
      </c>
      <c r="AL138" s="362" t="str">
        <f t="shared" ca="1" si="56"/>
        <v/>
      </c>
      <c r="AM138" s="362" t="str">
        <f t="shared" ca="1" si="56"/>
        <v/>
      </c>
      <c r="AN138" s="362" t="str">
        <f t="shared" ca="1" si="56"/>
        <v/>
      </c>
      <c r="AO138" s="362" t="str">
        <f t="shared" ca="1" si="56"/>
        <v/>
      </c>
      <c r="AP138" s="362" t="str">
        <f t="shared" ca="1" si="57"/>
        <v/>
      </c>
      <c r="AQ138" s="362" t="str">
        <f t="shared" ca="1" si="57"/>
        <v/>
      </c>
      <c r="AR138" s="362" t="str">
        <f t="shared" ca="1" si="57"/>
        <v/>
      </c>
      <c r="AS138" s="362" t="str">
        <f t="shared" ca="1" si="57"/>
        <v/>
      </c>
      <c r="AT138" s="362" t="str">
        <f t="shared" ca="1" si="57"/>
        <v/>
      </c>
      <c r="AU138" s="362" t="str">
        <f t="shared" ca="1" si="57"/>
        <v/>
      </c>
      <c r="AV138" s="362">
        <f t="shared" ca="1" si="57"/>
        <v>0</v>
      </c>
      <c r="AW138" s="362">
        <f t="shared" ca="1" si="57"/>
        <v>19465</v>
      </c>
      <c r="AX138" s="362">
        <f t="shared" ca="1" si="57"/>
        <v>390.68231228680816</v>
      </c>
      <c r="AY138" s="362">
        <f t="shared" ca="1" si="57"/>
        <v>0</v>
      </c>
      <c r="AZ138" s="362">
        <f t="shared" ca="1" si="58"/>
        <v>0</v>
      </c>
      <c r="BA138" s="362">
        <f t="shared" ca="1" si="58"/>
        <v>40061.617951085791</v>
      </c>
      <c r="BB138" s="362">
        <f t="shared" ca="1" si="58"/>
        <v>0</v>
      </c>
      <c r="BC138" s="362">
        <f t="shared" ca="1" si="58"/>
        <v>0</v>
      </c>
      <c r="BD138" s="362">
        <f t="shared" ca="1" si="58"/>
        <v>0</v>
      </c>
      <c r="BE138" s="362">
        <f t="shared" ca="1" si="58"/>
        <v>0</v>
      </c>
      <c r="BF138" s="362">
        <f t="shared" ca="1" si="58"/>
        <v>57284.775000000001</v>
      </c>
      <c r="BG138" s="362">
        <f t="shared" ca="1" si="58"/>
        <v>60132.974999999991</v>
      </c>
      <c r="BH138" s="362">
        <f t="shared" ca="1" si="58"/>
        <v>66165.424999999988</v>
      </c>
      <c r="BI138" s="362">
        <f t="shared" ca="1" si="58"/>
        <v>0</v>
      </c>
      <c r="BJ138" s="362">
        <f t="shared" ca="1" si="58"/>
        <v>265920.0206453462</v>
      </c>
      <c r="BK138" s="362">
        <f t="shared" ca="1" si="58"/>
        <v>82898.35336933611</v>
      </c>
      <c r="BL138" s="362">
        <f t="shared" ca="1" si="58"/>
        <v>0</v>
      </c>
      <c r="BM138" s="362"/>
    </row>
    <row r="139" spans="27:65">
      <c r="AA139" s="360">
        <f t="shared" si="45"/>
        <v>2046</v>
      </c>
      <c r="AB139" s="362">
        <f>UtilityDemand!E48</f>
        <v>1009927.04790682</v>
      </c>
      <c r="AC139" s="362"/>
      <c r="AD139" s="362">
        <f t="shared" ca="1" si="46"/>
        <v>408209.68161063781</v>
      </c>
      <c r="AE139" s="362"/>
      <c r="AF139" s="362" t="str">
        <f t="shared" ca="1" si="56"/>
        <v/>
      </c>
      <c r="AG139" s="362" t="str">
        <f t="shared" ca="1" si="56"/>
        <v/>
      </c>
      <c r="AH139" s="362" t="str">
        <f t="shared" ca="1" si="56"/>
        <v/>
      </c>
      <c r="AI139" s="362" t="str">
        <f t="shared" ca="1" si="56"/>
        <v/>
      </c>
      <c r="AJ139" s="362" t="str">
        <f t="shared" ca="1" si="56"/>
        <v/>
      </c>
      <c r="AK139" s="362" t="str">
        <f t="shared" ca="1" si="56"/>
        <v/>
      </c>
      <c r="AL139" s="362" t="str">
        <f t="shared" ca="1" si="56"/>
        <v/>
      </c>
      <c r="AM139" s="362" t="str">
        <f t="shared" ca="1" si="56"/>
        <v/>
      </c>
      <c r="AN139" s="362" t="str">
        <f t="shared" ca="1" si="56"/>
        <v/>
      </c>
      <c r="AO139" s="362" t="str">
        <f t="shared" ca="1" si="56"/>
        <v/>
      </c>
      <c r="AP139" s="362" t="str">
        <f t="shared" ca="1" si="57"/>
        <v/>
      </c>
      <c r="AQ139" s="362" t="str">
        <f t="shared" ca="1" si="57"/>
        <v/>
      </c>
      <c r="AR139" s="362" t="str">
        <f t="shared" ca="1" si="57"/>
        <v/>
      </c>
      <c r="AS139" s="362" t="str">
        <f t="shared" ca="1" si="57"/>
        <v/>
      </c>
      <c r="AT139" s="362" t="str">
        <f t="shared" ca="1" si="57"/>
        <v/>
      </c>
      <c r="AU139" s="362" t="str">
        <f t="shared" ca="1" si="57"/>
        <v/>
      </c>
      <c r="AV139" s="362">
        <f t="shared" ca="1" si="57"/>
        <v>0</v>
      </c>
      <c r="AW139" s="362">
        <f t="shared" ca="1" si="57"/>
        <v>19465</v>
      </c>
      <c r="AX139" s="362">
        <f t="shared" ca="1" si="57"/>
        <v>390.68231228680816</v>
      </c>
      <c r="AY139" s="362">
        <f t="shared" ca="1" si="57"/>
        <v>0</v>
      </c>
      <c r="AZ139" s="362">
        <f t="shared" ca="1" si="58"/>
        <v>0</v>
      </c>
      <c r="BA139" s="362">
        <f t="shared" ca="1" si="58"/>
        <v>40397.081916272786</v>
      </c>
      <c r="BB139" s="362">
        <f t="shared" ca="1" si="58"/>
        <v>0</v>
      </c>
      <c r="BC139" s="362">
        <f t="shared" ca="1" si="58"/>
        <v>0</v>
      </c>
      <c r="BD139" s="362">
        <f t="shared" ca="1" si="58"/>
        <v>0</v>
      </c>
      <c r="BE139" s="362">
        <f t="shared" ca="1" si="58"/>
        <v>0</v>
      </c>
      <c r="BF139" s="362">
        <f t="shared" ca="1" si="58"/>
        <v>57284.775000000001</v>
      </c>
      <c r="BG139" s="362">
        <f t="shared" ca="1" si="58"/>
        <v>60132.974999999991</v>
      </c>
      <c r="BH139" s="362">
        <f t="shared" ca="1" si="58"/>
        <v>66165.424999999988</v>
      </c>
      <c r="BI139" s="362">
        <f t="shared" ca="1" si="58"/>
        <v>0</v>
      </c>
      <c r="BJ139" s="362">
        <f t="shared" ca="1" si="58"/>
        <v>273306.68788549461</v>
      </c>
      <c r="BK139" s="362">
        <f t="shared" ca="1" si="58"/>
        <v>84574.73918212796</v>
      </c>
      <c r="BL139" s="362">
        <f t="shared" ca="1" si="58"/>
        <v>0</v>
      </c>
      <c r="BM139" s="362"/>
    </row>
    <row r="140" spans="27:65">
      <c r="AA140" s="360">
        <f t="shared" si="45"/>
        <v>2047</v>
      </c>
      <c r="AB140" s="362">
        <f>UtilityDemand!E49</f>
        <v>1018313.6470364953</v>
      </c>
      <c r="AC140" s="362"/>
      <c r="AD140" s="362">
        <f t="shared" ca="1" si="46"/>
        <v>407197.76372218586</v>
      </c>
      <c r="AE140" s="362"/>
      <c r="AF140" s="362" t="str">
        <f t="shared" ca="1" si="56"/>
        <v/>
      </c>
      <c r="AG140" s="362" t="str">
        <f t="shared" ca="1" si="56"/>
        <v/>
      </c>
      <c r="AH140" s="362" t="str">
        <f t="shared" ca="1" si="56"/>
        <v/>
      </c>
      <c r="AI140" s="362" t="str">
        <f t="shared" ca="1" si="56"/>
        <v/>
      </c>
      <c r="AJ140" s="362" t="str">
        <f t="shared" ca="1" si="56"/>
        <v/>
      </c>
      <c r="AK140" s="362" t="str">
        <f t="shared" ca="1" si="56"/>
        <v/>
      </c>
      <c r="AL140" s="362" t="str">
        <f t="shared" ca="1" si="56"/>
        <v/>
      </c>
      <c r="AM140" s="362" t="str">
        <f t="shared" ca="1" si="56"/>
        <v/>
      </c>
      <c r="AN140" s="362" t="str">
        <f t="shared" ca="1" si="56"/>
        <v/>
      </c>
      <c r="AO140" s="362" t="str">
        <f t="shared" ca="1" si="56"/>
        <v/>
      </c>
      <c r="AP140" s="362" t="str">
        <f t="shared" ca="1" si="57"/>
        <v/>
      </c>
      <c r="AQ140" s="362" t="str">
        <f t="shared" ca="1" si="57"/>
        <v/>
      </c>
      <c r="AR140" s="362" t="str">
        <f t="shared" ca="1" si="57"/>
        <v/>
      </c>
      <c r="AS140" s="362" t="str">
        <f t="shared" ca="1" si="57"/>
        <v/>
      </c>
      <c r="AT140" s="362" t="str">
        <f t="shared" ca="1" si="57"/>
        <v/>
      </c>
      <c r="AU140" s="362" t="str">
        <f t="shared" ca="1" si="57"/>
        <v/>
      </c>
      <c r="AV140" s="362">
        <f t="shared" ca="1" si="57"/>
        <v>0</v>
      </c>
      <c r="AW140" s="362">
        <f t="shared" ca="1" si="57"/>
        <v>19465</v>
      </c>
      <c r="AX140" s="362">
        <f t="shared" ca="1" si="57"/>
        <v>390.68231228680816</v>
      </c>
      <c r="AY140" s="362">
        <f t="shared" ca="1" si="57"/>
        <v>0</v>
      </c>
      <c r="AZ140" s="362">
        <f t="shared" ca="1" si="58"/>
        <v>0</v>
      </c>
      <c r="BA140" s="362">
        <f t="shared" ca="1" si="58"/>
        <v>40732.545881459795</v>
      </c>
      <c r="BB140" s="362">
        <f t="shared" ca="1" si="58"/>
        <v>0</v>
      </c>
      <c r="BC140" s="362">
        <f t="shared" ca="1" si="58"/>
        <v>0</v>
      </c>
      <c r="BD140" s="362">
        <f t="shared" ca="1" si="58"/>
        <v>0</v>
      </c>
      <c r="BE140" s="362">
        <f t="shared" ca="1" si="58"/>
        <v>0</v>
      </c>
      <c r="BF140" s="362">
        <f t="shared" ca="1" si="58"/>
        <v>57284.775000000001</v>
      </c>
      <c r="BG140" s="362">
        <f t="shared" ca="1" si="58"/>
        <v>60132.974999999991</v>
      </c>
      <c r="BH140" s="362">
        <f t="shared" ca="1" si="58"/>
        <v>66165.424999999988</v>
      </c>
      <c r="BI140" s="362">
        <f t="shared" ca="1" si="58"/>
        <v>0</v>
      </c>
      <c r="BJ140" s="362">
        <f t="shared" ca="1" si="58"/>
        <v>280693.35512564308</v>
      </c>
      <c r="BK140" s="362">
        <f t="shared" ca="1" si="58"/>
        <v>86251.124994919752</v>
      </c>
      <c r="BL140" s="362">
        <f t="shared" ca="1" si="58"/>
        <v>0</v>
      </c>
      <c r="BM140" s="362"/>
    </row>
    <row r="141" spans="27:65">
      <c r="AA141" s="360">
        <f t="shared" si="45"/>
        <v>2048</v>
      </c>
      <c r="AB141" s="362">
        <f>UtilityDemand!E50</f>
        <v>1026700.2461661708</v>
      </c>
      <c r="AC141" s="362"/>
      <c r="AD141" s="362">
        <f t="shared" ca="1" si="46"/>
        <v>406185.84583373391</v>
      </c>
      <c r="AE141" s="362"/>
      <c r="AF141" s="362" t="str">
        <f t="shared" ca="1" si="56"/>
        <v/>
      </c>
      <c r="AG141" s="362" t="str">
        <f t="shared" ca="1" si="56"/>
        <v/>
      </c>
      <c r="AH141" s="362" t="str">
        <f t="shared" ca="1" si="56"/>
        <v/>
      </c>
      <c r="AI141" s="362" t="str">
        <f t="shared" ca="1" si="56"/>
        <v/>
      </c>
      <c r="AJ141" s="362" t="str">
        <f t="shared" ca="1" si="56"/>
        <v/>
      </c>
      <c r="AK141" s="362" t="str">
        <f t="shared" ca="1" si="56"/>
        <v/>
      </c>
      <c r="AL141" s="362" t="str">
        <f t="shared" ca="1" si="56"/>
        <v/>
      </c>
      <c r="AM141" s="362" t="str">
        <f t="shared" ca="1" si="56"/>
        <v/>
      </c>
      <c r="AN141" s="362" t="str">
        <f t="shared" ca="1" si="56"/>
        <v/>
      </c>
      <c r="AO141" s="362" t="str">
        <f t="shared" ca="1" si="56"/>
        <v/>
      </c>
      <c r="AP141" s="362" t="str">
        <f t="shared" ca="1" si="57"/>
        <v/>
      </c>
      <c r="AQ141" s="362" t="str">
        <f t="shared" ca="1" si="57"/>
        <v/>
      </c>
      <c r="AR141" s="362" t="str">
        <f t="shared" ca="1" si="57"/>
        <v/>
      </c>
      <c r="AS141" s="362" t="str">
        <f t="shared" ca="1" si="57"/>
        <v/>
      </c>
      <c r="AT141" s="362" t="str">
        <f t="shared" ca="1" si="57"/>
        <v/>
      </c>
      <c r="AU141" s="362" t="str">
        <f t="shared" ca="1" si="57"/>
        <v/>
      </c>
      <c r="AV141" s="362">
        <f t="shared" ca="1" si="57"/>
        <v>0</v>
      </c>
      <c r="AW141" s="362">
        <f t="shared" ca="1" si="57"/>
        <v>19465</v>
      </c>
      <c r="AX141" s="362">
        <f t="shared" ca="1" si="57"/>
        <v>390.68231228680816</v>
      </c>
      <c r="AY141" s="362">
        <f t="shared" ca="1" si="57"/>
        <v>0</v>
      </c>
      <c r="AZ141" s="362">
        <f t="shared" ca="1" si="58"/>
        <v>0</v>
      </c>
      <c r="BA141" s="362">
        <f t="shared" ca="1" si="58"/>
        <v>41068.009846646826</v>
      </c>
      <c r="BB141" s="362">
        <f t="shared" ca="1" si="58"/>
        <v>0</v>
      </c>
      <c r="BC141" s="362">
        <f t="shared" ca="1" si="58"/>
        <v>0</v>
      </c>
      <c r="BD141" s="362">
        <f t="shared" ca="1" si="58"/>
        <v>0</v>
      </c>
      <c r="BE141" s="362">
        <f t="shared" ca="1" si="58"/>
        <v>0</v>
      </c>
      <c r="BF141" s="362">
        <f t="shared" ca="1" si="58"/>
        <v>57284.775000000001</v>
      </c>
      <c r="BG141" s="362">
        <f t="shared" ca="1" si="58"/>
        <v>60132.974999999991</v>
      </c>
      <c r="BH141" s="362">
        <f t="shared" ca="1" si="58"/>
        <v>66165.424999999988</v>
      </c>
      <c r="BI141" s="362">
        <f t="shared" ca="1" si="58"/>
        <v>0</v>
      </c>
      <c r="BJ141" s="362">
        <f t="shared" ca="1" si="58"/>
        <v>288080.02236579161</v>
      </c>
      <c r="BK141" s="362">
        <f t="shared" ca="1" si="58"/>
        <v>87927.510807711689</v>
      </c>
      <c r="BL141" s="362">
        <f t="shared" ca="1" si="58"/>
        <v>0</v>
      </c>
      <c r="BM141" s="362"/>
    </row>
    <row r="142" spans="27:65">
      <c r="AA142" s="360">
        <f t="shared" si="45"/>
        <v>2049</v>
      </c>
      <c r="AB142" s="362">
        <f>UtilityDemand!E51</f>
        <v>1035086.8452958462</v>
      </c>
      <c r="AC142" s="362"/>
      <c r="AD142" s="362">
        <f t="shared" ca="1" si="46"/>
        <v>405173.92794528208</v>
      </c>
      <c r="AE142" s="362"/>
      <c r="AF142" s="362" t="str">
        <f t="shared" ca="1" si="56"/>
        <v/>
      </c>
      <c r="AG142" s="362" t="str">
        <f t="shared" ca="1" si="56"/>
        <v/>
      </c>
      <c r="AH142" s="362" t="str">
        <f t="shared" ca="1" si="56"/>
        <v/>
      </c>
      <c r="AI142" s="362" t="str">
        <f t="shared" ca="1" si="56"/>
        <v/>
      </c>
      <c r="AJ142" s="362" t="str">
        <f t="shared" ca="1" si="56"/>
        <v/>
      </c>
      <c r="AK142" s="362" t="str">
        <f t="shared" ca="1" si="56"/>
        <v/>
      </c>
      <c r="AL142" s="362" t="str">
        <f t="shared" ca="1" si="56"/>
        <v/>
      </c>
      <c r="AM142" s="362" t="str">
        <f t="shared" ca="1" si="56"/>
        <v/>
      </c>
      <c r="AN142" s="362" t="str">
        <f t="shared" ca="1" si="56"/>
        <v/>
      </c>
      <c r="AO142" s="362" t="str">
        <f t="shared" ca="1" si="56"/>
        <v/>
      </c>
      <c r="AP142" s="362" t="str">
        <f t="shared" ca="1" si="57"/>
        <v/>
      </c>
      <c r="AQ142" s="362" t="str">
        <f t="shared" ca="1" si="57"/>
        <v/>
      </c>
      <c r="AR142" s="362" t="str">
        <f t="shared" ca="1" si="57"/>
        <v/>
      </c>
      <c r="AS142" s="362" t="str">
        <f t="shared" ca="1" si="57"/>
        <v/>
      </c>
      <c r="AT142" s="362" t="str">
        <f t="shared" ca="1" si="57"/>
        <v/>
      </c>
      <c r="AU142" s="362" t="str">
        <f t="shared" ca="1" si="57"/>
        <v/>
      </c>
      <c r="AV142" s="362">
        <f t="shared" ca="1" si="57"/>
        <v>0</v>
      </c>
      <c r="AW142" s="362">
        <f t="shared" ca="1" si="57"/>
        <v>19465</v>
      </c>
      <c r="AX142" s="362">
        <f t="shared" ca="1" si="57"/>
        <v>390.68231228680816</v>
      </c>
      <c r="AY142" s="362">
        <f t="shared" ca="1" si="57"/>
        <v>0</v>
      </c>
      <c r="AZ142" s="362">
        <f t="shared" ca="1" si="58"/>
        <v>0</v>
      </c>
      <c r="BA142" s="362">
        <f t="shared" ca="1" si="58"/>
        <v>41403.473811833843</v>
      </c>
      <c r="BB142" s="362">
        <f t="shared" ca="1" si="58"/>
        <v>0</v>
      </c>
      <c r="BC142" s="362">
        <f t="shared" ca="1" si="58"/>
        <v>0</v>
      </c>
      <c r="BD142" s="362">
        <f t="shared" ca="1" si="58"/>
        <v>0</v>
      </c>
      <c r="BE142" s="362">
        <f t="shared" ca="1" si="58"/>
        <v>0</v>
      </c>
      <c r="BF142" s="362">
        <f t="shared" ca="1" si="58"/>
        <v>57284.775000000001</v>
      </c>
      <c r="BG142" s="362">
        <f t="shared" ca="1" si="58"/>
        <v>60132.974999999991</v>
      </c>
      <c r="BH142" s="362">
        <f t="shared" ca="1" si="58"/>
        <v>66165.424999999988</v>
      </c>
      <c r="BI142" s="362">
        <f t="shared" ca="1" si="58"/>
        <v>0</v>
      </c>
      <c r="BJ142" s="362">
        <f t="shared" ca="1" si="58"/>
        <v>295466.68960594013</v>
      </c>
      <c r="BK142" s="362">
        <f t="shared" ca="1" si="58"/>
        <v>89603.896620503438</v>
      </c>
      <c r="BL142" s="362">
        <f t="shared" ca="1" si="58"/>
        <v>0</v>
      </c>
      <c r="BM142" s="362"/>
    </row>
    <row r="143" spans="27:65">
      <c r="AA143" s="360">
        <f t="shared" si="45"/>
        <v>2050</v>
      </c>
      <c r="AB143" s="362">
        <f>UtilityDemand!E52</f>
        <v>1043473.4444255217</v>
      </c>
      <c r="AC143" s="362"/>
      <c r="AD143" s="362">
        <f t="shared" ca="1" si="46"/>
        <v>404162.01005683013</v>
      </c>
      <c r="AE143" s="362"/>
      <c r="AF143" s="362" t="str">
        <f t="shared" ca="1" si="56"/>
        <v/>
      </c>
      <c r="AG143" s="362" t="str">
        <f t="shared" ca="1" si="56"/>
        <v/>
      </c>
      <c r="AH143" s="362" t="str">
        <f t="shared" ca="1" si="56"/>
        <v/>
      </c>
      <c r="AI143" s="362" t="str">
        <f t="shared" ca="1" si="56"/>
        <v/>
      </c>
      <c r="AJ143" s="362" t="str">
        <f t="shared" ca="1" si="56"/>
        <v/>
      </c>
      <c r="AK143" s="362" t="str">
        <f t="shared" ca="1" si="56"/>
        <v/>
      </c>
      <c r="AL143" s="362" t="str">
        <f t="shared" ca="1" si="56"/>
        <v/>
      </c>
      <c r="AM143" s="362" t="str">
        <f t="shared" ca="1" si="56"/>
        <v/>
      </c>
      <c r="AN143" s="362" t="str">
        <f t="shared" ca="1" si="56"/>
        <v/>
      </c>
      <c r="AO143" s="362" t="str">
        <f t="shared" ca="1" si="56"/>
        <v/>
      </c>
      <c r="AP143" s="362" t="str">
        <f t="shared" ca="1" si="57"/>
        <v/>
      </c>
      <c r="AQ143" s="362" t="str">
        <f t="shared" ca="1" si="57"/>
        <v/>
      </c>
      <c r="AR143" s="362" t="str">
        <f t="shared" ca="1" si="57"/>
        <v/>
      </c>
      <c r="AS143" s="362" t="str">
        <f t="shared" ca="1" si="57"/>
        <v/>
      </c>
      <c r="AT143" s="362" t="str">
        <f t="shared" ca="1" si="57"/>
        <v/>
      </c>
      <c r="AU143" s="362" t="str">
        <f t="shared" ca="1" si="57"/>
        <v/>
      </c>
      <c r="AV143" s="362">
        <f t="shared" ca="1" si="57"/>
        <v>0</v>
      </c>
      <c r="AW143" s="362">
        <f t="shared" ca="1" si="57"/>
        <v>19465</v>
      </c>
      <c r="AX143" s="362">
        <f t="shared" ca="1" si="57"/>
        <v>390.68231228680816</v>
      </c>
      <c r="AY143" s="362">
        <f t="shared" ca="1" si="57"/>
        <v>0</v>
      </c>
      <c r="AZ143" s="362">
        <f t="shared" ca="1" si="58"/>
        <v>0</v>
      </c>
      <c r="BA143" s="362">
        <f t="shared" ca="1" si="58"/>
        <v>41738.937777020859</v>
      </c>
      <c r="BB143" s="362">
        <f t="shared" ca="1" si="58"/>
        <v>0</v>
      </c>
      <c r="BC143" s="362">
        <f t="shared" ca="1" si="58"/>
        <v>0</v>
      </c>
      <c r="BD143" s="362">
        <f t="shared" ca="1" si="58"/>
        <v>0</v>
      </c>
      <c r="BE143" s="362">
        <f t="shared" ca="1" si="58"/>
        <v>0</v>
      </c>
      <c r="BF143" s="362">
        <f t="shared" ca="1" si="58"/>
        <v>57284.775000000001</v>
      </c>
      <c r="BG143" s="362">
        <f t="shared" ca="1" si="58"/>
        <v>60132.974999999991</v>
      </c>
      <c r="BH143" s="362">
        <f t="shared" ca="1" si="58"/>
        <v>66165.424999999988</v>
      </c>
      <c r="BI143" s="362">
        <f t="shared" ca="1" si="58"/>
        <v>0</v>
      </c>
      <c r="BJ143" s="362">
        <f t="shared" ca="1" si="58"/>
        <v>302853.3568460886</v>
      </c>
      <c r="BK143" s="362">
        <f t="shared" ca="1" si="58"/>
        <v>91280.282433295288</v>
      </c>
      <c r="BL143" s="362">
        <f t="shared" ca="1" si="58"/>
        <v>0</v>
      </c>
      <c r="BM143" s="362"/>
    </row>
    <row r="144" spans="27:65" ht="60">
      <c r="AA144" s="323" t="s">
        <v>606</v>
      </c>
      <c r="AB144" s="323" t="s">
        <v>371</v>
      </c>
      <c r="AC144" s="323"/>
      <c r="AD144" s="323" t="s">
        <v>312</v>
      </c>
      <c r="AE144" s="323"/>
      <c r="AF144" s="345">
        <f t="shared" ref="AF144:BL144" si="59">AF$3</f>
        <v>0</v>
      </c>
      <c r="AG144" s="345">
        <f t="shared" si="59"/>
        <v>0</v>
      </c>
      <c r="AH144" s="345">
        <f t="shared" si="59"/>
        <v>0</v>
      </c>
      <c r="AI144" s="345">
        <f t="shared" si="59"/>
        <v>0</v>
      </c>
      <c r="AJ144" s="345">
        <f t="shared" si="59"/>
        <v>0</v>
      </c>
      <c r="AK144" s="345">
        <f t="shared" si="59"/>
        <v>0</v>
      </c>
      <c r="AL144" s="345">
        <f t="shared" si="59"/>
        <v>0</v>
      </c>
      <c r="AM144" s="345">
        <f t="shared" si="59"/>
        <v>0</v>
      </c>
      <c r="AN144" s="345">
        <f t="shared" si="59"/>
        <v>0</v>
      </c>
      <c r="AO144" s="345">
        <f t="shared" si="59"/>
        <v>0</v>
      </c>
      <c r="AP144" s="345">
        <f t="shared" si="59"/>
        <v>0</v>
      </c>
      <c r="AQ144" s="345">
        <f t="shared" si="59"/>
        <v>0</v>
      </c>
      <c r="AR144" s="345">
        <f t="shared" si="59"/>
        <v>0</v>
      </c>
      <c r="AS144" s="345">
        <f t="shared" si="59"/>
        <v>0</v>
      </c>
      <c r="AT144" s="345">
        <f t="shared" si="59"/>
        <v>0</v>
      </c>
      <c r="AU144" s="345">
        <f t="shared" si="59"/>
        <v>0</v>
      </c>
      <c r="AV144" s="345" t="str">
        <f t="shared" si="59"/>
        <v>Rooftop Solar PV</v>
      </c>
      <c r="AW144" s="345" t="str">
        <f t="shared" si="59"/>
        <v>Geo Exchange</v>
      </c>
      <c r="AX144" s="345" t="str">
        <f t="shared" si="59"/>
        <v>Solar DHW</v>
      </c>
      <c r="AY144" s="345" t="str">
        <f t="shared" si="59"/>
        <v>On-site Wind</v>
      </c>
      <c r="AZ144" s="345" t="str">
        <f t="shared" si="59"/>
        <v>Coal to Natural Gas Conversion @ Steam Plant</v>
      </c>
      <c r="BA144" s="345" t="str">
        <f t="shared" si="59"/>
        <v>Steam Line Improvements</v>
      </c>
      <c r="BB144" s="345" t="str">
        <f t="shared" si="59"/>
        <v>Waste Reduction</v>
      </c>
      <c r="BC144" s="345" t="str">
        <f t="shared" si="59"/>
        <v>Reduced Automobile Reliance Strategies</v>
      </c>
      <c r="BD144" s="345" t="str">
        <f t="shared" si="59"/>
        <v>Reduced Air Travel</v>
      </c>
      <c r="BE144" s="345" t="str">
        <f t="shared" si="59"/>
        <v>Green IT</v>
      </c>
      <c r="BF144" s="345" t="str">
        <f t="shared" si="59"/>
        <v>Long-term Energy Conservation Measures</v>
      </c>
      <c r="BG144" s="345" t="str">
        <f t="shared" si="59"/>
        <v>Mid-term Energy Conservation Measures</v>
      </c>
      <c r="BH144" s="345" t="str">
        <f t="shared" si="59"/>
        <v>Short-term Energy Conservation Measures</v>
      </c>
      <c r="BI144" s="345" t="str">
        <f t="shared" si="59"/>
        <v>Central Chiller Expansion</v>
      </c>
      <c r="BJ144" s="345" t="str">
        <f t="shared" si="59"/>
        <v>Space Planning &amp; Management</v>
      </c>
      <c r="BK144" s="345" t="str">
        <f t="shared" si="59"/>
        <v>Building Design &amp; Construction Standards</v>
      </c>
      <c r="BL144" s="345" t="str">
        <f t="shared" si="59"/>
        <v>Behavior Change</v>
      </c>
      <c r="BM144" s="345" t="str">
        <f>BM$3</f>
        <v/>
      </c>
    </row>
    <row r="145" spans="27:65">
      <c r="AA145" s="318">
        <v>2005</v>
      </c>
      <c r="AB145" s="318"/>
      <c r="AC145" s="318"/>
      <c r="AD145" s="318"/>
      <c r="AE145" s="318"/>
      <c r="AF145" s="318"/>
      <c r="AG145" s="318"/>
      <c r="AH145" s="318"/>
      <c r="AI145" s="318"/>
      <c r="AJ145" s="318"/>
      <c r="AK145" s="318"/>
      <c r="AL145" s="318"/>
      <c r="AM145" s="318"/>
      <c r="AN145" s="318"/>
      <c r="AO145" s="318"/>
      <c r="AP145" s="318"/>
      <c r="AQ145" s="318"/>
      <c r="AR145" s="318"/>
      <c r="AS145" s="318"/>
      <c r="AT145" s="318"/>
      <c r="AU145" s="318"/>
      <c r="AV145" s="318"/>
      <c r="AW145" s="318"/>
      <c r="AX145" s="318"/>
      <c r="AY145" s="318"/>
      <c r="AZ145" s="318"/>
      <c r="BA145" s="318"/>
      <c r="BB145" s="318"/>
      <c r="BC145" s="318"/>
      <c r="BD145" s="318"/>
      <c r="BE145" s="318"/>
      <c r="BF145" s="318"/>
      <c r="BG145" s="318"/>
      <c r="BH145" s="318"/>
      <c r="BI145" s="318"/>
      <c r="BJ145" s="318"/>
      <c r="BK145" s="318"/>
      <c r="BL145" s="318"/>
      <c r="BM145" s="318"/>
    </row>
    <row r="146" spans="27:65">
      <c r="AA146" s="318">
        <f>AA145+1</f>
        <v>2006</v>
      </c>
      <c r="AB146" s="318"/>
      <c r="AC146" s="318"/>
      <c r="AD146" s="1745" t="s">
        <v>318</v>
      </c>
      <c r="AE146" s="318"/>
      <c r="AF146" s="318"/>
      <c r="AG146" s="318"/>
      <c r="AH146" s="318"/>
      <c r="AI146" s="318"/>
      <c r="AJ146" s="318"/>
      <c r="AK146" s="318"/>
      <c r="AL146" s="318"/>
      <c r="AM146" s="318"/>
      <c r="AN146" s="318"/>
      <c r="AO146" s="318"/>
      <c r="AP146" s="318"/>
      <c r="AQ146" s="318"/>
      <c r="AR146" s="318"/>
      <c r="AS146" s="318"/>
      <c r="AT146" s="318"/>
      <c r="AU146" s="318"/>
      <c r="AV146" s="318"/>
      <c r="AW146" s="318"/>
      <c r="AX146" s="318"/>
      <c r="AY146" s="318"/>
      <c r="AZ146" s="318"/>
      <c r="BA146" s="318"/>
      <c r="BB146" s="318"/>
      <c r="BC146" s="318"/>
      <c r="BD146" s="318"/>
      <c r="BE146" s="318"/>
      <c r="BF146" s="318"/>
      <c r="BG146" s="318"/>
      <c r="BH146" s="318"/>
      <c r="BI146" s="318"/>
      <c r="BJ146" s="318"/>
      <c r="BK146" s="318"/>
      <c r="BL146" s="318"/>
      <c r="BM146" s="318"/>
    </row>
    <row r="147" spans="27:65">
      <c r="AA147" s="318">
        <f t="shared" ref="AA147:AA190" si="60">AA146+1</f>
        <v>2007</v>
      </c>
      <c r="AB147" s="318"/>
      <c r="AC147" s="318"/>
      <c r="AD147" s="1745"/>
      <c r="AE147" s="318"/>
      <c r="AF147" s="318"/>
      <c r="AG147" s="318"/>
      <c r="AH147" s="318"/>
      <c r="AI147" s="318"/>
      <c r="AJ147" s="318"/>
      <c r="AK147" s="318"/>
      <c r="AL147" s="318"/>
      <c r="AM147" s="318"/>
      <c r="AN147" s="318"/>
      <c r="AO147" s="318"/>
      <c r="AP147" s="318"/>
      <c r="AQ147" s="318"/>
      <c r="AR147" s="318"/>
      <c r="AS147" s="318"/>
      <c r="AT147" s="318"/>
      <c r="AU147" s="318"/>
      <c r="AV147" s="318"/>
      <c r="AW147" s="318"/>
      <c r="AX147" s="318"/>
      <c r="AY147" s="318"/>
      <c r="AZ147" s="318"/>
      <c r="BA147" s="318"/>
      <c r="BB147" s="318"/>
      <c r="BC147" s="318"/>
      <c r="BD147" s="318"/>
      <c r="BE147" s="318"/>
      <c r="BF147" s="318"/>
      <c r="BG147" s="318"/>
      <c r="BH147" s="318"/>
      <c r="BI147" s="318"/>
      <c r="BJ147" s="318"/>
      <c r="BK147" s="318"/>
      <c r="BL147" s="318"/>
      <c r="BM147" s="318"/>
    </row>
    <row r="148" spans="27:65">
      <c r="AA148" s="318">
        <f t="shared" si="60"/>
        <v>2008</v>
      </c>
      <c r="AB148" s="338"/>
      <c r="AC148" s="338"/>
      <c r="AD148" s="1745"/>
      <c r="AE148" s="318"/>
      <c r="AF148" s="318"/>
      <c r="AG148" s="318"/>
      <c r="AH148" s="318"/>
      <c r="AI148" s="318"/>
      <c r="AJ148" s="318"/>
      <c r="AK148" s="318"/>
      <c r="AL148" s="318"/>
      <c r="AM148" s="318"/>
      <c r="AN148" s="318"/>
      <c r="AO148" s="318"/>
      <c r="AP148" s="318"/>
      <c r="AQ148" s="318"/>
      <c r="AR148" s="318"/>
      <c r="AS148" s="318"/>
      <c r="AT148" s="318"/>
      <c r="AU148" s="318"/>
      <c r="AV148" s="318"/>
      <c r="AW148" s="318"/>
      <c r="AX148" s="318"/>
      <c r="AY148" s="318"/>
      <c r="AZ148" s="318"/>
      <c r="BA148" s="318"/>
      <c r="BB148" s="318"/>
      <c r="BC148" s="318"/>
      <c r="BD148" s="318"/>
      <c r="BE148" s="318"/>
      <c r="BF148" s="318"/>
      <c r="BG148" s="318"/>
      <c r="BH148" s="318"/>
      <c r="BI148" s="318"/>
      <c r="BJ148" s="318"/>
      <c r="BK148" s="318"/>
      <c r="BL148" s="318"/>
      <c r="BM148" s="318"/>
    </row>
    <row r="149" spans="27:65">
      <c r="AA149" s="318">
        <f t="shared" si="60"/>
        <v>2009</v>
      </c>
      <c r="AB149" s="338"/>
      <c r="AC149" s="338"/>
      <c r="AD149" s="338"/>
      <c r="AE149" s="318"/>
      <c r="AF149" s="318"/>
      <c r="AG149" s="318"/>
      <c r="AH149" s="318"/>
      <c r="AI149" s="318"/>
      <c r="AJ149" s="318"/>
      <c r="AK149" s="318"/>
      <c r="AL149" s="318"/>
      <c r="AM149" s="318"/>
      <c r="AN149" s="318"/>
      <c r="AO149" s="318"/>
      <c r="AP149" s="318"/>
      <c r="AQ149" s="318"/>
      <c r="AR149" s="318"/>
      <c r="AS149" s="318"/>
      <c r="AT149" s="318"/>
      <c r="AU149" s="318"/>
      <c r="AV149" s="318"/>
      <c r="AW149" s="318"/>
      <c r="AX149" s="318"/>
      <c r="AY149" s="318"/>
      <c r="AZ149" s="318"/>
      <c r="BA149" s="318"/>
      <c r="BB149" s="318"/>
      <c r="BC149" s="318"/>
      <c r="BD149" s="318"/>
      <c r="BE149" s="318"/>
      <c r="BF149" s="318"/>
      <c r="BG149" s="318"/>
      <c r="BH149" s="318"/>
      <c r="BI149" s="318"/>
      <c r="BJ149" s="318"/>
      <c r="BK149" s="318"/>
      <c r="BL149" s="318"/>
      <c r="BM149" s="318"/>
    </row>
    <row r="150" spans="27:65">
      <c r="AA150" s="360">
        <f>AA149+1</f>
        <v>2010</v>
      </c>
      <c r="AB150" s="362">
        <f>UtilityDemand!G12</f>
        <v>179442.39456260367</v>
      </c>
      <c r="AC150" s="362"/>
      <c r="AD150" s="362">
        <f t="shared" ref="AD150:AD190" ca="1" si="61">AB150-SUM(AE150:BM150)</f>
        <v>172055.72732245515</v>
      </c>
      <c r="AE150" s="362"/>
      <c r="AF150" s="362" t="str">
        <f t="shared" ref="AF150:AU165" ca="1" si="62">IFERROR(-HLOOKUP(AF$50,NGConsTable,$AA150-$AA$103+2,FALSE),"")</f>
        <v/>
      </c>
      <c r="AG150" s="362" t="str">
        <f t="shared" ca="1" si="62"/>
        <v/>
      </c>
      <c r="AH150" s="362" t="str">
        <f t="shared" ca="1" si="62"/>
        <v/>
      </c>
      <c r="AI150" s="362" t="str">
        <f t="shared" ca="1" si="62"/>
        <v/>
      </c>
      <c r="AJ150" s="362" t="str">
        <f t="shared" ca="1" si="62"/>
        <v/>
      </c>
      <c r="AK150" s="362" t="str">
        <f t="shared" ca="1" si="62"/>
        <v/>
      </c>
      <c r="AL150" s="362" t="str">
        <f t="shared" ca="1" si="62"/>
        <v/>
      </c>
      <c r="AM150" s="362" t="str">
        <f t="shared" ca="1" si="62"/>
        <v/>
      </c>
      <c r="AN150" s="362" t="str">
        <f t="shared" ca="1" si="62"/>
        <v/>
      </c>
      <c r="AO150" s="362" t="str">
        <f t="shared" ca="1" si="62"/>
        <v/>
      </c>
      <c r="AP150" s="362" t="str">
        <f t="shared" ca="1" si="62"/>
        <v/>
      </c>
      <c r="AQ150" s="362" t="str">
        <f t="shared" ca="1" si="62"/>
        <v/>
      </c>
      <c r="AR150" s="362" t="str">
        <f t="shared" ca="1" si="62"/>
        <v/>
      </c>
      <c r="AS150" s="362" t="str">
        <f t="shared" ca="1" si="62"/>
        <v/>
      </c>
      <c r="AT150" s="362" t="str">
        <f t="shared" ca="1" si="62"/>
        <v/>
      </c>
      <c r="AU150" s="362" t="str">
        <f t="shared" ca="1" si="62"/>
        <v/>
      </c>
      <c r="AV150" s="362">
        <f t="shared" ref="AV150:BK150" ca="1" si="63">IFERROR(-HLOOKUP(AV$50,NGConsTable,$AA150-$AA$103+2,FALSE),"")</f>
        <v>0</v>
      </c>
      <c r="AW150" s="362">
        <f t="shared" ca="1" si="63"/>
        <v>0</v>
      </c>
      <c r="AX150" s="362">
        <f t="shared" ca="1" si="63"/>
        <v>0</v>
      </c>
      <c r="AY150" s="362">
        <f t="shared" ca="1" si="63"/>
        <v>0</v>
      </c>
      <c r="AZ150" s="362">
        <f t="shared" ca="1" si="63"/>
        <v>0</v>
      </c>
      <c r="BA150" s="362">
        <f t="shared" ca="1" si="63"/>
        <v>0</v>
      </c>
      <c r="BB150" s="362">
        <f t="shared" ca="1" si="63"/>
        <v>0</v>
      </c>
      <c r="BC150" s="362">
        <f t="shared" ca="1" si="63"/>
        <v>0</v>
      </c>
      <c r="BD150" s="362">
        <f t="shared" ca="1" si="63"/>
        <v>0</v>
      </c>
      <c r="BE150" s="362">
        <f t="shared" ca="1" si="63"/>
        <v>0</v>
      </c>
      <c r="BF150" s="362">
        <f t="shared" ca="1" si="63"/>
        <v>0</v>
      </c>
      <c r="BG150" s="362">
        <f t="shared" ca="1" si="63"/>
        <v>0</v>
      </c>
      <c r="BH150" s="362">
        <f t="shared" ca="1" si="63"/>
        <v>0</v>
      </c>
      <c r="BI150" s="362">
        <f t="shared" ca="1" si="63"/>
        <v>0</v>
      </c>
      <c r="BJ150" s="362">
        <f t="shared" ca="1" si="63"/>
        <v>7386.6672401485412</v>
      </c>
      <c r="BK150" s="362">
        <f t="shared" ca="1" si="63"/>
        <v>0</v>
      </c>
      <c r="BL150" s="362">
        <f t="shared" ref="AZ150:BL165" ca="1" si="64">IFERROR(-HLOOKUP(BL$50,NGConsTable,$AA150-$AA$103+2,FALSE),"")</f>
        <v>0</v>
      </c>
      <c r="BM150" s="362"/>
    </row>
    <row r="151" spans="27:65">
      <c r="AA151" s="360">
        <f t="shared" si="60"/>
        <v>2011</v>
      </c>
      <c r="AB151" s="362">
        <f>UtilityDemand!G13</f>
        <v>182506.92912520736</v>
      </c>
      <c r="AC151" s="362"/>
      <c r="AD151" s="362">
        <f t="shared" ca="1" si="61"/>
        <v>151147.7380193267</v>
      </c>
      <c r="AE151" s="362"/>
      <c r="AF151" s="362" t="str">
        <f t="shared" ca="1" si="62"/>
        <v/>
      </c>
      <c r="AG151" s="362" t="str">
        <f t="shared" ca="1" si="62"/>
        <v/>
      </c>
      <c r="AH151" s="362" t="str">
        <f t="shared" ca="1" si="62"/>
        <v/>
      </c>
      <c r="AI151" s="362" t="str">
        <f t="shared" ca="1" si="62"/>
        <v/>
      </c>
      <c r="AJ151" s="362" t="str">
        <f t="shared" ca="1" si="62"/>
        <v/>
      </c>
      <c r="AK151" s="362" t="str">
        <f t="shared" ca="1" si="62"/>
        <v/>
      </c>
      <c r="AL151" s="362" t="str">
        <f t="shared" ca="1" si="62"/>
        <v/>
      </c>
      <c r="AM151" s="362" t="str">
        <f t="shared" ca="1" si="62"/>
        <v/>
      </c>
      <c r="AN151" s="362" t="str">
        <f t="shared" ca="1" si="62"/>
        <v/>
      </c>
      <c r="AO151" s="362" t="str">
        <f t="shared" ca="1" si="62"/>
        <v/>
      </c>
      <c r="AP151" s="362" t="str">
        <f t="shared" ca="1" si="62"/>
        <v/>
      </c>
      <c r="AQ151" s="362" t="str">
        <f t="shared" ca="1" si="62"/>
        <v/>
      </c>
      <c r="AR151" s="362" t="str">
        <f t="shared" ca="1" si="62"/>
        <v/>
      </c>
      <c r="AS151" s="362" t="str">
        <f t="shared" ca="1" si="62"/>
        <v/>
      </c>
      <c r="AT151" s="362" t="str">
        <f t="shared" ca="1" si="62"/>
        <v/>
      </c>
      <c r="AU151" s="362" t="str">
        <f t="shared" ca="1" si="62"/>
        <v/>
      </c>
      <c r="AV151" s="362">
        <f t="shared" ref="AV151:AY164" ca="1" si="65">IFERROR(-HLOOKUP(AV$50,NGConsTable,$AA151-$AA$103+2,FALSE),"")</f>
        <v>0</v>
      </c>
      <c r="AW151" s="362">
        <f t="shared" ca="1" si="65"/>
        <v>0</v>
      </c>
      <c r="AX151" s="362">
        <f t="shared" ca="1" si="65"/>
        <v>0</v>
      </c>
      <c r="AY151" s="362">
        <f t="shared" ca="1" si="65"/>
        <v>0</v>
      </c>
      <c r="AZ151" s="362">
        <f t="shared" ca="1" si="64"/>
        <v>0</v>
      </c>
      <c r="BA151" s="362">
        <f t="shared" ca="1" si="64"/>
        <v>0</v>
      </c>
      <c r="BB151" s="362">
        <f t="shared" ca="1" si="64"/>
        <v>0</v>
      </c>
      <c r="BC151" s="362">
        <f t="shared" ca="1" si="64"/>
        <v>0</v>
      </c>
      <c r="BD151" s="362">
        <f t="shared" ca="1" si="64"/>
        <v>0</v>
      </c>
      <c r="BE151" s="362">
        <f t="shared" ca="1" si="64"/>
        <v>0</v>
      </c>
      <c r="BF151" s="362">
        <f t="shared" ca="1" si="64"/>
        <v>0</v>
      </c>
      <c r="BG151" s="362">
        <f t="shared" ca="1" si="64"/>
        <v>0</v>
      </c>
      <c r="BH151" s="362">
        <f t="shared" ca="1" si="64"/>
        <v>13233.084999999999</v>
      </c>
      <c r="BI151" s="362">
        <f t="shared" ca="1" si="64"/>
        <v>0</v>
      </c>
      <c r="BJ151" s="362">
        <f t="shared" ca="1" si="64"/>
        <v>14773.33448029699</v>
      </c>
      <c r="BK151" s="362">
        <f t="shared" ca="1" si="64"/>
        <v>3352.7716255836644</v>
      </c>
      <c r="BL151" s="362">
        <f t="shared" ca="1" si="64"/>
        <v>0</v>
      </c>
      <c r="BM151" s="362"/>
    </row>
    <row r="152" spans="27:65">
      <c r="AA152" s="360">
        <f t="shared" si="60"/>
        <v>2012</v>
      </c>
      <c r="AB152" s="362">
        <f>UtilityDemand!G14</f>
        <v>188515.56027382973</v>
      </c>
      <c r="AC152" s="362"/>
      <c r="AD152" s="362">
        <f t="shared" ca="1" si="61"/>
        <v>94654.978930568788</v>
      </c>
      <c r="AE152" s="362"/>
      <c r="AF152" s="362" t="str">
        <f t="shared" ca="1" si="62"/>
        <v/>
      </c>
      <c r="AG152" s="362" t="str">
        <f t="shared" ca="1" si="62"/>
        <v/>
      </c>
      <c r="AH152" s="362" t="str">
        <f t="shared" ca="1" si="62"/>
        <v/>
      </c>
      <c r="AI152" s="362" t="str">
        <f t="shared" ca="1" si="62"/>
        <v/>
      </c>
      <c r="AJ152" s="362" t="str">
        <f t="shared" ca="1" si="62"/>
        <v/>
      </c>
      <c r="AK152" s="362" t="str">
        <f t="shared" ca="1" si="62"/>
        <v/>
      </c>
      <c r="AL152" s="362" t="str">
        <f t="shared" ca="1" si="62"/>
        <v/>
      </c>
      <c r="AM152" s="362" t="str">
        <f t="shared" ca="1" si="62"/>
        <v/>
      </c>
      <c r="AN152" s="362" t="str">
        <f t="shared" ca="1" si="62"/>
        <v/>
      </c>
      <c r="AO152" s="362" t="str">
        <f t="shared" ca="1" si="62"/>
        <v/>
      </c>
      <c r="AP152" s="362" t="str">
        <f t="shared" ca="1" si="62"/>
        <v/>
      </c>
      <c r="AQ152" s="362" t="str">
        <f t="shared" ca="1" si="62"/>
        <v/>
      </c>
      <c r="AR152" s="362" t="str">
        <f t="shared" ca="1" si="62"/>
        <v/>
      </c>
      <c r="AS152" s="362" t="str">
        <f t="shared" ca="1" si="62"/>
        <v/>
      </c>
      <c r="AT152" s="362" t="str">
        <f t="shared" ca="1" si="62"/>
        <v/>
      </c>
      <c r="AU152" s="362" t="str">
        <f t="shared" ca="1" si="62"/>
        <v/>
      </c>
      <c r="AV152" s="362">
        <f t="shared" ca="1" si="65"/>
        <v>0</v>
      </c>
      <c r="AW152" s="362">
        <f t="shared" ca="1" si="65"/>
        <v>0</v>
      </c>
      <c r="AX152" s="362">
        <f t="shared" ca="1" si="65"/>
        <v>390.68231228680816</v>
      </c>
      <c r="AY152" s="362">
        <f t="shared" ca="1" si="65"/>
        <v>0</v>
      </c>
      <c r="AZ152" s="362">
        <f t="shared" ca="1" si="64"/>
        <v>0</v>
      </c>
      <c r="BA152" s="362">
        <f t="shared" ca="1" si="64"/>
        <v>28540.337817737665</v>
      </c>
      <c r="BB152" s="362">
        <f t="shared" ca="1" si="64"/>
        <v>0</v>
      </c>
      <c r="BC152" s="362">
        <f t="shared" ca="1" si="64"/>
        <v>0</v>
      </c>
      <c r="BD152" s="362">
        <f t="shared" ca="1" si="64"/>
        <v>0</v>
      </c>
      <c r="BE152" s="362">
        <f t="shared" ca="1" si="64"/>
        <v>0</v>
      </c>
      <c r="BF152" s="362">
        <f t="shared" ca="1" si="64"/>
        <v>0</v>
      </c>
      <c r="BG152" s="362">
        <f t="shared" ca="1" si="64"/>
        <v>0</v>
      </c>
      <c r="BH152" s="362">
        <f t="shared" ca="1" si="64"/>
        <v>26466.17</v>
      </c>
      <c r="BI152" s="362">
        <f t="shared" ca="1" si="64"/>
        <v>0</v>
      </c>
      <c r="BJ152" s="362">
        <f t="shared" ca="1" si="64"/>
        <v>22160.001720445529</v>
      </c>
      <c r="BK152" s="362">
        <f t="shared" ca="1" si="64"/>
        <v>16303.389492790942</v>
      </c>
      <c r="BL152" s="362">
        <f t="shared" ca="1" si="64"/>
        <v>0</v>
      </c>
      <c r="BM152" s="362"/>
    </row>
    <row r="153" spans="27:65">
      <c r="AA153" s="360">
        <f t="shared" si="60"/>
        <v>2013</v>
      </c>
      <c r="AB153" s="362">
        <f>UtilityDemand!G15</f>
        <v>192383.03026898397</v>
      </c>
      <c r="AC153" s="362"/>
      <c r="AD153" s="362">
        <f t="shared" ca="1" si="61"/>
        <v>62960.564724888798</v>
      </c>
      <c r="AE153" s="362"/>
      <c r="AF153" s="362" t="str">
        <f t="shared" ca="1" si="62"/>
        <v/>
      </c>
      <c r="AG153" s="362" t="str">
        <f t="shared" ca="1" si="62"/>
        <v/>
      </c>
      <c r="AH153" s="362" t="str">
        <f t="shared" ca="1" si="62"/>
        <v/>
      </c>
      <c r="AI153" s="362" t="str">
        <f t="shared" ca="1" si="62"/>
        <v/>
      </c>
      <c r="AJ153" s="362" t="str">
        <f t="shared" ca="1" si="62"/>
        <v/>
      </c>
      <c r="AK153" s="362" t="str">
        <f t="shared" ca="1" si="62"/>
        <v/>
      </c>
      <c r="AL153" s="362" t="str">
        <f t="shared" ca="1" si="62"/>
        <v/>
      </c>
      <c r="AM153" s="362" t="str">
        <f t="shared" ca="1" si="62"/>
        <v/>
      </c>
      <c r="AN153" s="362" t="str">
        <f t="shared" ca="1" si="62"/>
        <v/>
      </c>
      <c r="AO153" s="362" t="str">
        <f t="shared" ca="1" si="62"/>
        <v/>
      </c>
      <c r="AP153" s="362" t="str">
        <f t="shared" ca="1" si="62"/>
        <v/>
      </c>
      <c r="AQ153" s="362" t="str">
        <f t="shared" ca="1" si="62"/>
        <v/>
      </c>
      <c r="AR153" s="362" t="str">
        <f t="shared" ca="1" si="62"/>
        <v/>
      </c>
      <c r="AS153" s="362" t="str">
        <f t="shared" ca="1" si="62"/>
        <v/>
      </c>
      <c r="AT153" s="362" t="str">
        <f t="shared" ca="1" si="62"/>
        <v/>
      </c>
      <c r="AU153" s="362" t="str">
        <f t="shared" ca="1" si="62"/>
        <v/>
      </c>
      <c r="AV153" s="362">
        <f t="shared" ca="1" si="65"/>
        <v>0</v>
      </c>
      <c r="AW153" s="362">
        <f t="shared" ca="1" si="65"/>
        <v>9732.5</v>
      </c>
      <c r="AX153" s="362">
        <f t="shared" ca="1" si="65"/>
        <v>390.68231228680816</v>
      </c>
      <c r="AY153" s="362">
        <f t="shared" ca="1" si="65"/>
        <v>0</v>
      </c>
      <c r="AZ153" s="362">
        <f t="shared" ca="1" si="64"/>
        <v>0</v>
      </c>
      <c r="BA153" s="362">
        <f t="shared" ca="1" si="64"/>
        <v>28998.793405336473</v>
      </c>
      <c r="BB153" s="362">
        <f t="shared" ca="1" si="64"/>
        <v>0</v>
      </c>
      <c r="BC153" s="362">
        <f t="shared" ca="1" si="64"/>
        <v>0</v>
      </c>
      <c r="BD153" s="362">
        <f t="shared" ca="1" si="64"/>
        <v>0</v>
      </c>
      <c r="BE153" s="362">
        <f t="shared" ca="1" si="64"/>
        <v>0</v>
      </c>
      <c r="BF153" s="362">
        <f t="shared" ca="1" si="64"/>
        <v>0</v>
      </c>
      <c r="BG153" s="362">
        <f t="shared" ca="1" si="64"/>
        <v>0</v>
      </c>
      <c r="BH153" s="362">
        <f t="shared" ca="1" si="64"/>
        <v>39699.254999999997</v>
      </c>
      <c r="BI153" s="362">
        <f t="shared" ca="1" si="64"/>
        <v>0</v>
      </c>
      <c r="BJ153" s="362">
        <f t="shared" ca="1" si="64"/>
        <v>29546.668960593979</v>
      </c>
      <c r="BK153" s="362">
        <f t="shared" ca="1" si="64"/>
        <v>21054.565865877918</v>
      </c>
      <c r="BL153" s="362">
        <f t="shared" ca="1" si="64"/>
        <v>0</v>
      </c>
      <c r="BM153" s="362"/>
    </row>
    <row r="154" spans="27:65">
      <c r="AA154" s="360">
        <f t="shared" si="60"/>
        <v>2014</v>
      </c>
      <c r="AB154" s="362">
        <f>UtilityDemand!G16</f>
        <v>195447.56483158763</v>
      </c>
      <c r="AC154" s="362"/>
      <c r="AD154" s="362">
        <f t="shared" ca="1" si="61"/>
        <v>43393.497269365063</v>
      </c>
      <c r="AE154" s="362"/>
      <c r="AF154" s="362" t="str">
        <f t="shared" ca="1" si="62"/>
        <v/>
      </c>
      <c r="AG154" s="362" t="str">
        <f t="shared" ca="1" si="62"/>
        <v/>
      </c>
      <c r="AH154" s="362" t="str">
        <f t="shared" ca="1" si="62"/>
        <v/>
      </c>
      <c r="AI154" s="362" t="str">
        <f t="shared" ca="1" si="62"/>
        <v/>
      </c>
      <c r="AJ154" s="362" t="str">
        <f t="shared" ca="1" si="62"/>
        <v/>
      </c>
      <c r="AK154" s="362" t="str">
        <f t="shared" ca="1" si="62"/>
        <v/>
      </c>
      <c r="AL154" s="362" t="str">
        <f t="shared" ca="1" si="62"/>
        <v/>
      </c>
      <c r="AM154" s="362" t="str">
        <f t="shared" ca="1" si="62"/>
        <v/>
      </c>
      <c r="AN154" s="362" t="str">
        <f t="shared" ca="1" si="62"/>
        <v/>
      </c>
      <c r="AO154" s="362" t="str">
        <f t="shared" ca="1" si="62"/>
        <v/>
      </c>
      <c r="AP154" s="362" t="str">
        <f t="shared" ca="1" si="62"/>
        <v/>
      </c>
      <c r="AQ154" s="362" t="str">
        <f t="shared" ca="1" si="62"/>
        <v/>
      </c>
      <c r="AR154" s="362" t="str">
        <f t="shared" ca="1" si="62"/>
        <v/>
      </c>
      <c r="AS154" s="362" t="str">
        <f t="shared" ca="1" si="62"/>
        <v/>
      </c>
      <c r="AT154" s="362" t="str">
        <f t="shared" ca="1" si="62"/>
        <v/>
      </c>
      <c r="AU154" s="362" t="str">
        <f t="shared" ca="1" si="62"/>
        <v/>
      </c>
      <c r="AV154" s="362">
        <f t="shared" ca="1" si="65"/>
        <v>0</v>
      </c>
      <c r="AW154" s="362">
        <f t="shared" ca="1" si="65"/>
        <v>9732.5</v>
      </c>
      <c r="AX154" s="362">
        <f t="shared" ca="1" si="65"/>
        <v>390.68231228680816</v>
      </c>
      <c r="AY154" s="362">
        <f t="shared" ca="1" si="65"/>
        <v>0</v>
      </c>
      <c r="AZ154" s="362">
        <f t="shared" ca="1" si="64"/>
        <v>0</v>
      </c>
      <c r="BA154" s="362">
        <f t="shared" ca="1" si="64"/>
        <v>29334.257370523505</v>
      </c>
      <c r="BB154" s="362">
        <f t="shared" ca="1" si="64"/>
        <v>0</v>
      </c>
      <c r="BC154" s="362">
        <f t="shared" ca="1" si="64"/>
        <v>0</v>
      </c>
      <c r="BD154" s="362">
        <f t="shared" ca="1" si="64"/>
        <v>0</v>
      </c>
      <c r="BE154" s="362">
        <f t="shared" ca="1" si="64"/>
        <v>0</v>
      </c>
      <c r="BF154" s="362">
        <f t="shared" ca="1" si="64"/>
        <v>0</v>
      </c>
      <c r="BG154" s="362">
        <f t="shared" ca="1" si="64"/>
        <v>0</v>
      </c>
      <c r="BH154" s="362">
        <f t="shared" ca="1" si="64"/>
        <v>52932.34</v>
      </c>
      <c r="BI154" s="362">
        <f t="shared" ca="1" si="64"/>
        <v>0</v>
      </c>
      <c r="BJ154" s="362">
        <f t="shared" ca="1" si="64"/>
        <v>36933.336200742517</v>
      </c>
      <c r="BK154" s="362">
        <f t="shared" ca="1" si="64"/>
        <v>22730.951678669753</v>
      </c>
      <c r="BL154" s="362">
        <f t="shared" ca="1" si="64"/>
        <v>0</v>
      </c>
      <c r="BM154" s="362"/>
    </row>
    <row r="155" spans="27:65">
      <c r="AA155" s="360">
        <f t="shared" si="60"/>
        <v>2015</v>
      </c>
      <c r="AB155" s="362">
        <f>UtilityDemand!G17</f>
        <v>200653.26054765948</v>
      </c>
      <c r="AC155" s="362"/>
      <c r="AD155" s="362">
        <f t="shared" ca="1" si="61"/>
        <v>7707.6718134244147</v>
      </c>
      <c r="AE155" s="362"/>
      <c r="AF155" s="362" t="str">
        <f t="shared" ca="1" si="62"/>
        <v/>
      </c>
      <c r="AG155" s="362" t="str">
        <f t="shared" ca="1" si="62"/>
        <v/>
      </c>
      <c r="AH155" s="362" t="str">
        <f t="shared" ca="1" si="62"/>
        <v/>
      </c>
      <c r="AI155" s="362" t="str">
        <f t="shared" ca="1" si="62"/>
        <v/>
      </c>
      <c r="AJ155" s="362" t="str">
        <f t="shared" ca="1" si="62"/>
        <v/>
      </c>
      <c r="AK155" s="362" t="str">
        <f t="shared" ca="1" si="62"/>
        <v/>
      </c>
      <c r="AL155" s="362" t="str">
        <f t="shared" ca="1" si="62"/>
        <v/>
      </c>
      <c r="AM155" s="362" t="str">
        <f t="shared" ca="1" si="62"/>
        <v/>
      </c>
      <c r="AN155" s="362" t="str">
        <f t="shared" ca="1" si="62"/>
        <v/>
      </c>
      <c r="AO155" s="362" t="str">
        <f t="shared" ca="1" si="62"/>
        <v/>
      </c>
      <c r="AP155" s="362" t="str">
        <f t="shared" ca="1" si="62"/>
        <v/>
      </c>
      <c r="AQ155" s="362" t="str">
        <f t="shared" ca="1" si="62"/>
        <v/>
      </c>
      <c r="AR155" s="362" t="str">
        <f t="shared" ca="1" si="62"/>
        <v/>
      </c>
      <c r="AS155" s="362" t="str">
        <f t="shared" ca="1" si="62"/>
        <v/>
      </c>
      <c r="AT155" s="362" t="str">
        <f t="shared" ca="1" si="62"/>
        <v/>
      </c>
      <c r="AU155" s="362" t="str">
        <f t="shared" ca="1" si="62"/>
        <v/>
      </c>
      <c r="AV155" s="362">
        <f t="shared" ca="1" si="65"/>
        <v>0</v>
      </c>
      <c r="AW155" s="362">
        <f t="shared" ca="1" si="65"/>
        <v>19465</v>
      </c>
      <c r="AX155" s="362">
        <f t="shared" ca="1" si="65"/>
        <v>390.68231228680816</v>
      </c>
      <c r="AY155" s="362">
        <f t="shared" ca="1" si="65"/>
        <v>0</v>
      </c>
      <c r="AZ155" s="362">
        <f t="shared" ca="1" si="64"/>
        <v>0</v>
      </c>
      <c r="BA155" s="362">
        <f t="shared" ca="1" si="64"/>
        <v>29997.698995475323</v>
      </c>
      <c r="BB155" s="362">
        <f t="shared" ca="1" si="64"/>
        <v>0</v>
      </c>
      <c r="BC155" s="362">
        <f t="shared" ca="1" si="64"/>
        <v>0</v>
      </c>
      <c r="BD155" s="362">
        <f t="shared" ca="1" si="64"/>
        <v>0</v>
      </c>
      <c r="BE155" s="362">
        <f t="shared" ca="1" si="64"/>
        <v>0</v>
      </c>
      <c r="BF155" s="362">
        <f t="shared" ca="1" si="64"/>
        <v>0</v>
      </c>
      <c r="BG155" s="362">
        <f t="shared" ca="1" si="64"/>
        <v>0</v>
      </c>
      <c r="BH155" s="362">
        <f t="shared" ca="1" si="64"/>
        <v>66165.424999999988</v>
      </c>
      <c r="BI155" s="362">
        <f t="shared" ca="1" si="64"/>
        <v>0</v>
      </c>
      <c r="BJ155" s="362">
        <f t="shared" ca="1" si="64"/>
        <v>44320.003440891058</v>
      </c>
      <c r="BK155" s="362">
        <f t="shared" ca="1" si="64"/>
        <v>32606.778985581885</v>
      </c>
      <c r="BL155" s="362">
        <f t="shared" ca="1" si="64"/>
        <v>0</v>
      </c>
      <c r="BM155" s="362"/>
    </row>
    <row r="156" spans="27:65">
      <c r="AA156" s="360">
        <f t="shared" si="60"/>
        <v>2016</v>
      </c>
      <c r="AB156" s="362">
        <f>UtilityDemand!G18</f>
        <v>203717.79511026316</v>
      </c>
      <c r="AC156" s="362"/>
      <c r="AD156" s="362">
        <f t="shared" ca="1" si="61"/>
        <v>-6142.9325170991942</v>
      </c>
      <c r="AE156" s="362"/>
      <c r="AF156" s="362" t="str">
        <f t="shared" ca="1" si="62"/>
        <v/>
      </c>
      <c r="AG156" s="362" t="str">
        <f t="shared" ca="1" si="62"/>
        <v/>
      </c>
      <c r="AH156" s="362" t="str">
        <f t="shared" ca="1" si="62"/>
        <v/>
      </c>
      <c r="AI156" s="362" t="str">
        <f t="shared" ca="1" si="62"/>
        <v/>
      </c>
      <c r="AJ156" s="362" t="str">
        <f t="shared" ca="1" si="62"/>
        <v/>
      </c>
      <c r="AK156" s="362" t="str">
        <f t="shared" ca="1" si="62"/>
        <v/>
      </c>
      <c r="AL156" s="362" t="str">
        <f t="shared" ca="1" si="62"/>
        <v/>
      </c>
      <c r="AM156" s="362" t="str">
        <f t="shared" ca="1" si="62"/>
        <v/>
      </c>
      <c r="AN156" s="362" t="str">
        <f t="shared" ca="1" si="62"/>
        <v/>
      </c>
      <c r="AO156" s="362" t="str">
        <f t="shared" ca="1" si="62"/>
        <v/>
      </c>
      <c r="AP156" s="362" t="str">
        <f t="shared" ca="1" si="62"/>
        <v/>
      </c>
      <c r="AQ156" s="362" t="str">
        <f t="shared" ca="1" si="62"/>
        <v/>
      </c>
      <c r="AR156" s="362" t="str">
        <f t="shared" ca="1" si="62"/>
        <v/>
      </c>
      <c r="AS156" s="362" t="str">
        <f t="shared" ca="1" si="62"/>
        <v/>
      </c>
      <c r="AT156" s="362" t="str">
        <f t="shared" ca="1" si="62"/>
        <v/>
      </c>
      <c r="AU156" s="362" t="str">
        <f t="shared" ca="1" si="62"/>
        <v/>
      </c>
      <c r="AV156" s="362">
        <f t="shared" ca="1" si="65"/>
        <v>0</v>
      </c>
      <c r="AW156" s="362">
        <f t="shared" ca="1" si="65"/>
        <v>19465</v>
      </c>
      <c r="AX156" s="362">
        <f t="shared" ca="1" si="65"/>
        <v>390.68231228680816</v>
      </c>
      <c r="AY156" s="362">
        <f t="shared" ca="1" si="65"/>
        <v>0</v>
      </c>
      <c r="AZ156" s="362">
        <f t="shared" ca="1" si="64"/>
        <v>0</v>
      </c>
      <c r="BA156" s="362">
        <f t="shared" ca="1" si="64"/>
        <v>30333.162960662339</v>
      </c>
      <c r="BB156" s="362">
        <f t="shared" ca="1" si="64"/>
        <v>0</v>
      </c>
      <c r="BC156" s="362">
        <f t="shared" ca="1" si="64"/>
        <v>0</v>
      </c>
      <c r="BD156" s="362">
        <f t="shared" ca="1" si="64"/>
        <v>0</v>
      </c>
      <c r="BE156" s="362">
        <f t="shared" ca="1" si="64"/>
        <v>0</v>
      </c>
      <c r="BF156" s="362">
        <f t="shared" ca="1" si="64"/>
        <v>0</v>
      </c>
      <c r="BG156" s="362">
        <f t="shared" ca="1" si="64"/>
        <v>7516.6218749999998</v>
      </c>
      <c r="BH156" s="362">
        <f t="shared" ca="1" si="64"/>
        <v>66165.424999999988</v>
      </c>
      <c r="BI156" s="362">
        <f t="shared" ca="1" si="64"/>
        <v>0</v>
      </c>
      <c r="BJ156" s="362">
        <f t="shared" ca="1" si="64"/>
        <v>51706.670681039512</v>
      </c>
      <c r="BK156" s="362">
        <f t="shared" ca="1" si="64"/>
        <v>34283.16479837372</v>
      </c>
      <c r="BL156" s="362">
        <f t="shared" ca="1" si="64"/>
        <v>0</v>
      </c>
      <c r="BM156" s="362"/>
    </row>
    <row r="157" spans="27:65">
      <c r="AA157" s="360">
        <f t="shared" si="60"/>
        <v>2017</v>
      </c>
      <c r="AB157" s="362">
        <f>UtilityDemand!G19</f>
        <v>206782.32967286685</v>
      </c>
      <c r="AC157" s="362"/>
      <c r="AD157" s="362">
        <f t="shared" ca="1" si="61"/>
        <v>-19993.53684762292</v>
      </c>
      <c r="AE157" s="362"/>
      <c r="AF157" s="362" t="str">
        <f t="shared" ca="1" si="62"/>
        <v/>
      </c>
      <c r="AG157" s="362" t="str">
        <f t="shared" ca="1" si="62"/>
        <v/>
      </c>
      <c r="AH157" s="362" t="str">
        <f t="shared" ca="1" si="62"/>
        <v/>
      </c>
      <c r="AI157" s="362" t="str">
        <f t="shared" ca="1" si="62"/>
        <v/>
      </c>
      <c r="AJ157" s="362" t="str">
        <f t="shared" ca="1" si="62"/>
        <v/>
      </c>
      <c r="AK157" s="362" t="str">
        <f t="shared" ca="1" si="62"/>
        <v/>
      </c>
      <c r="AL157" s="362" t="str">
        <f t="shared" ca="1" si="62"/>
        <v/>
      </c>
      <c r="AM157" s="362" t="str">
        <f t="shared" ca="1" si="62"/>
        <v/>
      </c>
      <c r="AN157" s="362" t="str">
        <f t="shared" ca="1" si="62"/>
        <v/>
      </c>
      <c r="AO157" s="362" t="str">
        <f t="shared" ca="1" si="62"/>
        <v/>
      </c>
      <c r="AP157" s="362" t="str">
        <f t="shared" ca="1" si="62"/>
        <v/>
      </c>
      <c r="AQ157" s="362" t="str">
        <f t="shared" ca="1" si="62"/>
        <v/>
      </c>
      <c r="AR157" s="362" t="str">
        <f t="shared" ca="1" si="62"/>
        <v/>
      </c>
      <c r="AS157" s="362" t="str">
        <f t="shared" ca="1" si="62"/>
        <v/>
      </c>
      <c r="AT157" s="362" t="str">
        <f t="shared" ca="1" si="62"/>
        <v/>
      </c>
      <c r="AU157" s="362" t="str">
        <f t="shared" ca="1" si="62"/>
        <v/>
      </c>
      <c r="AV157" s="362">
        <f t="shared" ca="1" si="65"/>
        <v>0</v>
      </c>
      <c r="AW157" s="362">
        <f t="shared" ca="1" si="65"/>
        <v>19465</v>
      </c>
      <c r="AX157" s="362">
        <f t="shared" ca="1" si="65"/>
        <v>390.68231228680816</v>
      </c>
      <c r="AY157" s="362">
        <f t="shared" ca="1" si="65"/>
        <v>0</v>
      </c>
      <c r="AZ157" s="362">
        <f t="shared" ca="1" si="64"/>
        <v>0</v>
      </c>
      <c r="BA157" s="362">
        <f t="shared" ca="1" si="64"/>
        <v>30668.626925849356</v>
      </c>
      <c r="BB157" s="362">
        <f t="shared" ca="1" si="64"/>
        <v>0</v>
      </c>
      <c r="BC157" s="362">
        <f t="shared" ca="1" si="64"/>
        <v>0</v>
      </c>
      <c r="BD157" s="362">
        <f t="shared" ca="1" si="64"/>
        <v>0</v>
      </c>
      <c r="BE157" s="362">
        <f t="shared" ca="1" si="64"/>
        <v>0</v>
      </c>
      <c r="BF157" s="362">
        <f t="shared" ca="1" si="64"/>
        <v>0</v>
      </c>
      <c r="BG157" s="362">
        <f t="shared" ca="1" si="64"/>
        <v>15033.24375</v>
      </c>
      <c r="BH157" s="362">
        <f t="shared" ca="1" si="64"/>
        <v>66165.424999999988</v>
      </c>
      <c r="BI157" s="362">
        <f t="shared" ca="1" si="64"/>
        <v>0</v>
      </c>
      <c r="BJ157" s="362">
        <f t="shared" ca="1" si="64"/>
        <v>59093.337921188053</v>
      </c>
      <c r="BK157" s="362">
        <f t="shared" ca="1" si="64"/>
        <v>35959.550611165556</v>
      </c>
      <c r="BL157" s="362">
        <f t="shared" ca="1" si="64"/>
        <v>0</v>
      </c>
      <c r="BM157" s="362"/>
    </row>
    <row r="158" spans="27:65">
      <c r="AA158" s="360">
        <f t="shared" si="60"/>
        <v>2018</v>
      </c>
      <c r="AB158" s="362">
        <f>UtilityDemand!G20</f>
        <v>209846.86423547054</v>
      </c>
      <c r="AC158" s="362"/>
      <c r="AD158" s="362">
        <f t="shared" ca="1" si="61"/>
        <v>-33844.141178146499</v>
      </c>
      <c r="AE158" s="362"/>
      <c r="AF158" s="362" t="str">
        <f t="shared" ca="1" si="62"/>
        <v/>
      </c>
      <c r="AG158" s="362" t="str">
        <f t="shared" ca="1" si="62"/>
        <v/>
      </c>
      <c r="AH158" s="362" t="str">
        <f t="shared" ca="1" si="62"/>
        <v/>
      </c>
      <c r="AI158" s="362" t="str">
        <f t="shared" ca="1" si="62"/>
        <v/>
      </c>
      <c r="AJ158" s="362" t="str">
        <f t="shared" ca="1" si="62"/>
        <v/>
      </c>
      <c r="AK158" s="362" t="str">
        <f t="shared" ca="1" si="62"/>
        <v/>
      </c>
      <c r="AL158" s="362" t="str">
        <f t="shared" ca="1" si="62"/>
        <v/>
      </c>
      <c r="AM158" s="362" t="str">
        <f t="shared" ca="1" si="62"/>
        <v/>
      </c>
      <c r="AN158" s="362" t="str">
        <f t="shared" ca="1" si="62"/>
        <v/>
      </c>
      <c r="AO158" s="362" t="str">
        <f t="shared" ca="1" si="62"/>
        <v/>
      </c>
      <c r="AP158" s="362" t="str">
        <f t="shared" ca="1" si="62"/>
        <v/>
      </c>
      <c r="AQ158" s="362" t="str">
        <f t="shared" ca="1" si="62"/>
        <v/>
      </c>
      <c r="AR158" s="362" t="str">
        <f t="shared" ca="1" si="62"/>
        <v/>
      </c>
      <c r="AS158" s="362" t="str">
        <f t="shared" ca="1" si="62"/>
        <v/>
      </c>
      <c r="AT158" s="362" t="str">
        <f t="shared" ca="1" si="62"/>
        <v/>
      </c>
      <c r="AU158" s="362" t="str">
        <f t="shared" ca="1" si="62"/>
        <v/>
      </c>
      <c r="AV158" s="362">
        <f t="shared" ca="1" si="65"/>
        <v>0</v>
      </c>
      <c r="AW158" s="362">
        <f t="shared" ca="1" si="65"/>
        <v>19465</v>
      </c>
      <c r="AX158" s="362">
        <f t="shared" ca="1" si="65"/>
        <v>390.68231228680816</v>
      </c>
      <c r="AY158" s="362">
        <f t="shared" ca="1" si="65"/>
        <v>0</v>
      </c>
      <c r="AZ158" s="362">
        <f t="shared" ca="1" si="64"/>
        <v>0</v>
      </c>
      <c r="BA158" s="362">
        <f t="shared" ca="1" si="64"/>
        <v>31004.090891036365</v>
      </c>
      <c r="BB158" s="362">
        <f t="shared" ca="1" si="64"/>
        <v>0</v>
      </c>
      <c r="BC158" s="362">
        <f t="shared" ca="1" si="64"/>
        <v>0</v>
      </c>
      <c r="BD158" s="362">
        <f t="shared" ca="1" si="64"/>
        <v>0</v>
      </c>
      <c r="BE158" s="362">
        <f t="shared" ca="1" si="64"/>
        <v>0</v>
      </c>
      <c r="BF158" s="362">
        <f t="shared" ca="1" si="64"/>
        <v>0</v>
      </c>
      <c r="BG158" s="362">
        <f t="shared" ca="1" si="64"/>
        <v>22549.865624999999</v>
      </c>
      <c r="BH158" s="362">
        <f t="shared" ca="1" si="64"/>
        <v>66165.424999999988</v>
      </c>
      <c r="BI158" s="362">
        <f t="shared" ca="1" si="64"/>
        <v>0</v>
      </c>
      <c r="BJ158" s="362">
        <f t="shared" ca="1" si="64"/>
        <v>66480.005161336492</v>
      </c>
      <c r="BK158" s="362">
        <f t="shared" ca="1" si="64"/>
        <v>37635.936423957384</v>
      </c>
      <c r="BL158" s="362">
        <f t="shared" ca="1" si="64"/>
        <v>0</v>
      </c>
      <c r="BM158" s="362"/>
    </row>
    <row r="159" spans="27:65">
      <c r="AA159" s="360">
        <f t="shared" si="60"/>
        <v>2019</v>
      </c>
      <c r="AB159" s="362">
        <f>UtilityDemand!G21</f>
        <v>212911.39879807425</v>
      </c>
      <c r="AC159" s="362"/>
      <c r="AD159" s="362">
        <f t="shared" ca="1" si="61"/>
        <v>-47694.745508670196</v>
      </c>
      <c r="AE159" s="362"/>
      <c r="AF159" s="362" t="str">
        <f t="shared" ca="1" si="62"/>
        <v/>
      </c>
      <c r="AG159" s="362" t="str">
        <f t="shared" ca="1" si="62"/>
        <v/>
      </c>
      <c r="AH159" s="362" t="str">
        <f t="shared" ca="1" si="62"/>
        <v/>
      </c>
      <c r="AI159" s="362" t="str">
        <f t="shared" ca="1" si="62"/>
        <v/>
      </c>
      <c r="AJ159" s="362" t="str">
        <f t="shared" ca="1" si="62"/>
        <v/>
      </c>
      <c r="AK159" s="362" t="str">
        <f t="shared" ca="1" si="62"/>
        <v/>
      </c>
      <c r="AL159" s="362" t="str">
        <f t="shared" ca="1" si="62"/>
        <v/>
      </c>
      <c r="AM159" s="362" t="str">
        <f t="shared" ca="1" si="62"/>
        <v/>
      </c>
      <c r="AN159" s="362" t="str">
        <f t="shared" ca="1" si="62"/>
        <v/>
      </c>
      <c r="AO159" s="362" t="str">
        <f t="shared" ca="1" si="62"/>
        <v/>
      </c>
      <c r="AP159" s="362" t="str">
        <f t="shared" ca="1" si="62"/>
        <v/>
      </c>
      <c r="AQ159" s="362" t="str">
        <f t="shared" ca="1" si="62"/>
        <v/>
      </c>
      <c r="AR159" s="362" t="str">
        <f t="shared" ca="1" si="62"/>
        <v/>
      </c>
      <c r="AS159" s="362" t="str">
        <f t="shared" ca="1" si="62"/>
        <v/>
      </c>
      <c r="AT159" s="362" t="str">
        <f t="shared" ca="1" si="62"/>
        <v/>
      </c>
      <c r="AU159" s="362" t="str">
        <f t="shared" ca="1" si="62"/>
        <v/>
      </c>
      <c r="AV159" s="362">
        <f t="shared" ca="1" si="65"/>
        <v>0</v>
      </c>
      <c r="AW159" s="362">
        <f t="shared" ca="1" si="65"/>
        <v>19465</v>
      </c>
      <c r="AX159" s="362">
        <f t="shared" ca="1" si="65"/>
        <v>390.68231228680816</v>
      </c>
      <c r="AY159" s="362">
        <f t="shared" ca="1" si="65"/>
        <v>0</v>
      </c>
      <c r="AZ159" s="362">
        <f t="shared" ca="1" si="64"/>
        <v>0</v>
      </c>
      <c r="BA159" s="362">
        <f t="shared" ca="1" si="64"/>
        <v>31339.554856223382</v>
      </c>
      <c r="BB159" s="362">
        <f t="shared" ca="1" si="64"/>
        <v>0</v>
      </c>
      <c r="BC159" s="362">
        <f t="shared" ca="1" si="64"/>
        <v>0</v>
      </c>
      <c r="BD159" s="362">
        <f t="shared" ca="1" si="64"/>
        <v>0</v>
      </c>
      <c r="BE159" s="362">
        <f t="shared" ca="1" si="64"/>
        <v>0</v>
      </c>
      <c r="BF159" s="362">
        <f t="shared" ca="1" si="64"/>
        <v>0</v>
      </c>
      <c r="BG159" s="362">
        <f t="shared" ca="1" si="64"/>
        <v>30066.487499999999</v>
      </c>
      <c r="BH159" s="362">
        <f t="shared" ca="1" si="64"/>
        <v>66165.424999999988</v>
      </c>
      <c r="BI159" s="362">
        <f t="shared" ca="1" si="64"/>
        <v>0</v>
      </c>
      <c r="BJ159" s="362">
        <f t="shared" ca="1" si="64"/>
        <v>73866.672401485033</v>
      </c>
      <c r="BK159" s="362">
        <f t="shared" ca="1" si="64"/>
        <v>39312.322236749213</v>
      </c>
      <c r="BL159" s="362">
        <f t="shared" ca="1" si="64"/>
        <v>0</v>
      </c>
      <c r="BM159" s="362"/>
    </row>
    <row r="160" spans="27:65">
      <c r="AA160" s="360">
        <f t="shared" si="60"/>
        <v>2020</v>
      </c>
      <c r="AB160" s="362">
        <f>UtilityDemand!G22</f>
        <v>215975.93336067794</v>
      </c>
      <c r="AC160" s="362"/>
      <c r="AD160" s="362">
        <f t="shared" ca="1" si="61"/>
        <v>-61545.349839193776</v>
      </c>
      <c r="AE160" s="362"/>
      <c r="AF160" s="362" t="str">
        <f t="shared" ca="1" si="62"/>
        <v/>
      </c>
      <c r="AG160" s="362" t="str">
        <f t="shared" ca="1" si="62"/>
        <v/>
      </c>
      <c r="AH160" s="362" t="str">
        <f t="shared" ca="1" si="62"/>
        <v/>
      </c>
      <c r="AI160" s="362" t="str">
        <f t="shared" ca="1" si="62"/>
        <v/>
      </c>
      <c r="AJ160" s="362" t="str">
        <f t="shared" ca="1" si="62"/>
        <v/>
      </c>
      <c r="AK160" s="362" t="str">
        <f t="shared" ca="1" si="62"/>
        <v/>
      </c>
      <c r="AL160" s="362" t="str">
        <f t="shared" ca="1" si="62"/>
        <v/>
      </c>
      <c r="AM160" s="362" t="str">
        <f t="shared" ca="1" si="62"/>
        <v/>
      </c>
      <c r="AN160" s="362" t="str">
        <f t="shared" ca="1" si="62"/>
        <v/>
      </c>
      <c r="AO160" s="362" t="str">
        <f t="shared" ca="1" si="62"/>
        <v/>
      </c>
      <c r="AP160" s="362" t="str">
        <f t="shared" ca="1" si="62"/>
        <v/>
      </c>
      <c r="AQ160" s="362" t="str">
        <f t="shared" ca="1" si="62"/>
        <v/>
      </c>
      <c r="AR160" s="362" t="str">
        <f t="shared" ca="1" si="62"/>
        <v/>
      </c>
      <c r="AS160" s="362" t="str">
        <f t="shared" ca="1" si="62"/>
        <v/>
      </c>
      <c r="AT160" s="362" t="str">
        <f t="shared" ca="1" si="62"/>
        <v/>
      </c>
      <c r="AU160" s="362" t="str">
        <f t="shared" ca="1" si="62"/>
        <v/>
      </c>
      <c r="AV160" s="362">
        <f t="shared" ca="1" si="65"/>
        <v>0</v>
      </c>
      <c r="AW160" s="362">
        <f t="shared" ca="1" si="65"/>
        <v>19465</v>
      </c>
      <c r="AX160" s="362">
        <f t="shared" ca="1" si="65"/>
        <v>390.68231228680816</v>
      </c>
      <c r="AY160" s="362">
        <f t="shared" ca="1" si="65"/>
        <v>0</v>
      </c>
      <c r="AZ160" s="362">
        <f t="shared" ca="1" si="64"/>
        <v>0</v>
      </c>
      <c r="BA160" s="362">
        <f t="shared" ca="1" si="64"/>
        <v>31675.018821410406</v>
      </c>
      <c r="BB160" s="362">
        <f t="shared" ca="1" si="64"/>
        <v>0</v>
      </c>
      <c r="BC160" s="362">
        <f t="shared" ca="1" si="64"/>
        <v>0</v>
      </c>
      <c r="BD160" s="362">
        <f t="shared" ca="1" si="64"/>
        <v>0</v>
      </c>
      <c r="BE160" s="362">
        <f t="shared" ca="1" si="64"/>
        <v>0</v>
      </c>
      <c r="BF160" s="362">
        <f t="shared" ca="1" si="64"/>
        <v>0</v>
      </c>
      <c r="BG160" s="362">
        <f t="shared" ca="1" si="64"/>
        <v>37583.109375</v>
      </c>
      <c r="BH160" s="362">
        <f t="shared" ca="1" si="64"/>
        <v>66165.424999999988</v>
      </c>
      <c r="BI160" s="362">
        <f t="shared" ca="1" si="64"/>
        <v>0</v>
      </c>
      <c r="BJ160" s="362">
        <f t="shared" ca="1" si="64"/>
        <v>81253.339641633487</v>
      </c>
      <c r="BK160" s="362">
        <f t="shared" ca="1" si="64"/>
        <v>40988.708049541048</v>
      </c>
      <c r="BL160" s="362">
        <f t="shared" ca="1" si="64"/>
        <v>0</v>
      </c>
      <c r="BM160" s="362"/>
    </row>
    <row r="161" spans="27:65">
      <c r="AA161" s="360">
        <f t="shared" si="60"/>
        <v>2021</v>
      </c>
      <c r="AB161" s="362">
        <f>UtilityDemand!G23</f>
        <v>219040.46792328163</v>
      </c>
      <c r="AC161" s="362"/>
      <c r="AD161" s="362">
        <f t="shared" ca="1" si="61"/>
        <v>-75395.954169717355</v>
      </c>
      <c r="AE161" s="362"/>
      <c r="AF161" s="362" t="str">
        <f t="shared" ca="1" si="62"/>
        <v/>
      </c>
      <c r="AG161" s="362" t="str">
        <f t="shared" ca="1" si="62"/>
        <v/>
      </c>
      <c r="AH161" s="362" t="str">
        <f t="shared" ca="1" si="62"/>
        <v/>
      </c>
      <c r="AI161" s="362" t="str">
        <f t="shared" ca="1" si="62"/>
        <v/>
      </c>
      <c r="AJ161" s="362" t="str">
        <f t="shared" ca="1" si="62"/>
        <v/>
      </c>
      <c r="AK161" s="362" t="str">
        <f t="shared" ca="1" si="62"/>
        <v/>
      </c>
      <c r="AL161" s="362" t="str">
        <f t="shared" ca="1" si="62"/>
        <v/>
      </c>
      <c r="AM161" s="362" t="str">
        <f t="shared" ca="1" si="62"/>
        <v/>
      </c>
      <c r="AN161" s="362" t="str">
        <f t="shared" ca="1" si="62"/>
        <v/>
      </c>
      <c r="AO161" s="362" t="str">
        <f t="shared" ca="1" si="62"/>
        <v/>
      </c>
      <c r="AP161" s="362" t="str">
        <f t="shared" ca="1" si="62"/>
        <v/>
      </c>
      <c r="AQ161" s="362" t="str">
        <f t="shared" ca="1" si="62"/>
        <v/>
      </c>
      <c r="AR161" s="362" t="str">
        <f t="shared" ca="1" si="62"/>
        <v/>
      </c>
      <c r="AS161" s="362" t="str">
        <f t="shared" ca="1" si="62"/>
        <v/>
      </c>
      <c r="AT161" s="362" t="str">
        <f t="shared" ca="1" si="62"/>
        <v/>
      </c>
      <c r="AU161" s="362" t="str">
        <f t="shared" ca="1" si="62"/>
        <v/>
      </c>
      <c r="AV161" s="362">
        <f t="shared" ca="1" si="65"/>
        <v>0</v>
      </c>
      <c r="AW161" s="362">
        <f t="shared" ca="1" si="65"/>
        <v>19465</v>
      </c>
      <c r="AX161" s="362">
        <f t="shared" ca="1" si="65"/>
        <v>390.68231228680816</v>
      </c>
      <c r="AY161" s="362">
        <f t="shared" ca="1" si="65"/>
        <v>0</v>
      </c>
      <c r="AZ161" s="362">
        <f t="shared" ca="1" si="64"/>
        <v>0</v>
      </c>
      <c r="BA161" s="362">
        <f t="shared" ca="1" si="64"/>
        <v>32010.482786597415</v>
      </c>
      <c r="BB161" s="362">
        <f t="shared" ca="1" si="64"/>
        <v>0</v>
      </c>
      <c r="BC161" s="362">
        <f t="shared" ca="1" si="64"/>
        <v>0</v>
      </c>
      <c r="BD161" s="362">
        <f t="shared" ca="1" si="64"/>
        <v>0</v>
      </c>
      <c r="BE161" s="362">
        <f t="shared" ca="1" si="64"/>
        <v>0</v>
      </c>
      <c r="BF161" s="362">
        <f t="shared" ca="1" si="64"/>
        <v>0</v>
      </c>
      <c r="BG161" s="362">
        <f t="shared" ca="1" si="64"/>
        <v>45099.731249999997</v>
      </c>
      <c r="BH161" s="362">
        <f t="shared" ca="1" si="64"/>
        <v>66165.424999999988</v>
      </c>
      <c r="BI161" s="362">
        <f t="shared" ca="1" si="64"/>
        <v>0</v>
      </c>
      <c r="BJ161" s="362">
        <f t="shared" ca="1" si="64"/>
        <v>88640.006881782028</v>
      </c>
      <c r="BK161" s="362">
        <f t="shared" ca="1" si="64"/>
        <v>42665.093862332782</v>
      </c>
      <c r="BL161" s="362">
        <f t="shared" ca="1" si="64"/>
        <v>0</v>
      </c>
      <c r="BM161" s="362"/>
    </row>
    <row r="162" spans="27:65">
      <c r="AA162" s="360">
        <f t="shared" si="60"/>
        <v>2022</v>
      </c>
      <c r="AB162" s="362">
        <f>UtilityDemand!G24</f>
        <v>222105.00248588528</v>
      </c>
      <c r="AC162" s="362"/>
      <c r="AD162" s="362">
        <f t="shared" ca="1" si="61"/>
        <v>-89246.558500241023</v>
      </c>
      <c r="AE162" s="362"/>
      <c r="AF162" s="362" t="str">
        <f t="shared" ca="1" si="62"/>
        <v/>
      </c>
      <c r="AG162" s="362" t="str">
        <f t="shared" ca="1" si="62"/>
        <v/>
      </c>
      <c r="AH162" s="362" t="str">
        <f t="shared" ca="1" si="62"/>
        <v/>
      </c>
      <c r="AI162" s="362" t="str">
        <f t="shared" ca="1" si="62"/>
        <v/>
      </c>
      <c r="AJ162" s="362" t="str">
        <f t="shared" ca="1" si="62"/>
        <v/>
      </c>
      <c r="AK162" s="362" t="str">
        <f t="shared" ca="1" si="62"/>
        <v/>
      </c>
      <c r="AL162" s="362" t="str">
        <f t="shared" ca="1" si="62"/>
        <v/>
      </c>
      <c r="AM162" s="362" t="str">
        <f t="shared" ca="1" si="62"/>
        <v/>
      </c>
      <c r="AN162" s="362" t="str">
        <f t="shared" ca="1" si="62"/>
        <v/>
      </c>
      <c r="AO162" s="362" t="str">
        <f t="shared" ca="1" si="62"/>
        <v/>
      </c>
      <c r="AP162" s="362" t="str">
        <f t="shared" ca="1" si="62"/>
        <v/>
      </c>
      <c r="AQ162" s="362" t="str">
        <f t="shared" ca="1" si="62"/>
        <v/>
      </c>
      <c r="AR162" s="362" t="str">
        <f t="shared" ca="1" si="62"/>
        <v/>
      </c>
      <c r="AS162" s="362" t="str">
        <f t="shared" ca="1" si="62"/>
        <v/>
      </c>
      <c r="AT162" s="362" t="str">
        <f t="shared" ca="1" si="62"/>
        <v/>
      </c>
      <c r="AU162" s="362" t="str">
        <f t="shared" ca="1" si="62"/>
        <v/>
      </c>
      <c r="AV162" s="362">
        <f t="shared" ca="1" si="65"/>
        <v>0</v>
      </c>
      <c r="AW162" s="362">
        <f t="shared" ca="1" si="65"/>
        <v>19465</v>
      </c>
      <c r="AX162" s="362">
        <f t="shared" ca="1" si="65"/>
        <v>390.68231228680816</v>
      </c>
      <c r="AY162" s="362">
        <f t="shared" ca="1" si="65"/>
        <v>0</v>
      </c>
      <c r="AZ162" s="362">
        <f t="shared" ca="1" si="64"/>
        <v>0</v>
      </c>
      <c r="BA162" s="362">
        <f t="shared" ca="1" si="64"/>
        <v>32345.946751784431</v>
      </c>
      <c r="BB162" s="362">
        <f t="shared" ca="1" si="64"/>
        <v>0</v>
      </c>
      <c r="BC162" s="362">
        <f t="shared" ca="1" si="64"/>
        <v>0</v>
      </c>
      <c r="BD162" s="362">
        <f t="shared" ca="1" si="64"/>
        <v>0</v>
      </c>
      <c r="BE162" s="362">
        <f t="shared" ca="1" si="64"/>
        <v>0</v>
      </c>
      <c r="BF162" s="362">
        <f t="shared" ca="1" si="64"/>
        <v>0</v>
      </c>
      <c r="BG162" s="362">
        <f t="shared" ca="1" si="64"/>
        <v>52616.353124999994</v>
      </c>
      <c r="BH162" s="362">
        <f t="shared" ca="1" si="64"/>
        <v>66165.424999999988</v>
      </c>
      <c r="BI162" s="362">
        <f t="shared" ca="1" si="64"/>
        <v>0</v>
      </c>
      <c r="BJ162" s="362">
        <f t="shared" ca="1" si="64"/>
        <v>96026.67412193057</v>
      </c>
      <c r="BK162" s="362">
        <f t="shared" ca="1" si="64"/>
        <v>44341.47967512453</v>
      </c>
      <c r="BL162" s="362">
        <f t="shared" ca="1" si="64"/>
        <v>0</v>
      </c>
      <c r="BM162" s="362"/>
    </row>
    <row r="163" spans="27:65">
      <c r="AA163" s="360">
        <f t="shared" si="60"/>
        <v>2023</v>
      </c>
      <c r="AB163" s="362">
        <f>UtilityDemand!G25</f>
        <v>225169.537048489</v>
      </c>
      <c r="AC163" s="362"/>
      <c r="AD163" s="362">
        <f t="shared" ca="1" si="61"/>
        <v>-103097.16283076469</v>
      </c>
      <c r="AE163" s="362"/>
      <c r="AF163" s="362" t="str">
        <f t="shared" ca="1" si="62"/>
        <v/>
      </c>
      <c r="AG163" s="362" t="str">
        <f t="shared" ca="1" si="62"/>
        <v/>
      </c>
      <c r="AH163" s="362" t="str">
        <f t="shared" ca="1" si="62"/>
        <v/>
      </c>
      <c r="AI163" s="362" t="str">
        <f t="shared" ca="1" si="62"/>
        <v/>
      </c>
      <c r="AJ163" s="362" t="str">
        <f t="shared" ca="1" si="62"/>
        <v/>
      </c>
      <c r="AK163" s="362" t="str">
        <f t="shared" ca="1" si="62"/>
        <v/>
      </c>
      <c r="AL163" s="362" t="str">
        <f t="shared" ca="1" si="62"/>
        <v/>
      </c>
      <c r="AM163" s="362" t="str">
        <f t="shared" ca="1" si="62"/>
        <v/>
      </c>
      <c r="AN163" s="362" t="str">
        <f t="shared" ca="1" si="62"/>
        <v/>
      </c>
      <c r="AO163" s="362" t="str">
        <f t="shared" ca="1" si="62"/>
        <v/>
      </c>
      <c r="AP163" s="362" t="str">
        <f t="shared" ca="1" si="62"/>
        <v/>
      </c>
      <c r="AQ163" s="362" t="str">
        <f t="shared" ca="1" si="62"/>
        <v/>
      </c>
      <c r="AR163" s="362" t="str">
        <f t="shared" ca="1" si="62"/>
        <v/>
      </c>
      <c r="AS163" s="362" t="str">
        <f t="shared" ca="1" si="62"/>
        <v/>
      </c>
      <c r="AT163" s="362" t="str">
        <f t="shared" ca="1" si="62"/>
        <v/>
      </c>
      <c r="AU163" s="362" t="str">
        <f t="shared" ca="1" si="62"/>
        <v/>
      </c>
      <c r="AV163" s="362">
        <f t="shared" ca="1" si="65"/>
        <v>0</v>
      </c>
      <c r="AW163" s="362">
        <f t="shared" ca="1" si="65"/>
        <v>19465</v>
      </c>
      <c r="AX163" s="362">
        <f t="shared" ca="1" si="65"/>
        <v>390.68231228680816</v>
      </c>
      <c r="AY163" s="362">
        <f t="shared" ca="1" si="65"/>
        <v>0</v>
      </c>
      <c r="AZ163" s="362">
        <f t="shared" ca="1" si="64"/>
        <v>0</v>
      </c>
      <c r="BA163" s="362">
        <f t="shared" ca="1" si="64"/>
        <v>32681.410716971448</v>
      </c>
      <c r="BB163" s="362">
        <f t="shared" ca="1" si="64"/>
        <v>0</v>
      </c>
      <c r="BC163" s="362">
        <f t="shared" ca="1" si="64"/>
        <v>0</v>
      </c>
      <c r="BD163" s="362">
        <f t="shared" ca="1" si="64"/>
        <v>0</v>
      </c>
      <c r="BE163" s="362">
        <f t="shared" ca="1" si="64"/>
        <v>0</v>
      </c>
      <c r="BF163" s="362">
        <f t="shared" ca="1" si="64"/>
        <v>0</v>
      </c>
      <c r="BG163" s="362">
        <f t="shared" ca="1" si="64"/>
        <v>60132.974999999991</v>
      </c>
      <c r="BH163" s="362">
        <f t="shared" ca="1" si="64"/>
        <v>66165.424999999988</v>
      </c>
      <c r="BI163" s="362">
        <f t="shared" ca="1" si="64"/>
        <v>0</v>
      </c>
      <c r="BJ163" s="362">
        <f t="shared" ca="1" si="64"/>
        <v>103413.34136207902</v>
      </c>
      <c r="BK163" s="362">
        <f t="shared" ca="1" si="64"/>
        <v>46017.865487916453</v>
      </c>
      <c r="BL163" s="362">
        <f t="shared" ca="1" si="64"/>
        <v>0</v>
      </c>
      <c r="BM163" s="362"/>
    </row>
    <row r="164" spans="27:65">
      <c r="AA164" s="360">
        <f t="shared" si="60"/>
        <v>2024</v>
      </c>
      <c r="AB164" s="362">
        <f>UtilityDemand!G26</f>
        <v>228234.07161109266</v>
      </c>
      <c r="AC164" s="362"/>
      <c r="AD164" s="362">
        <f t="shared" ca="1" si="61"/>
        <v>-115159.62278628838</v>
      </c>
      <c r="AE164" s="362"/>
      <c r="AF164" s="362" t="str">
        <f t="shared" ca="1" si="62"/>
        <v/>
      </c>
      <c r="AG164" s="362" t="str">
        <f t="shared" ca="1" si="62"/>
        <v/>
      </c>
      <c r="AH164" s="362" t="str">
        <f t="shared" ca="1" si="62"/>
        <v/>
      </c>
      <c r="AI164" s="362" t="str">
        <f t="shared" ca="1" si="62"/>
        <v/>
      </c>
      <c r="AJ164" s="362" t="str">
        <f t="shared" ca="1" si="62"/>
        <v/>
      </c>
      <c r="AK164" s="362" t="str">
        <f t="shared" ca="1" si="62"/>
        <v/>
      </c>
      <c r="AL164" s="362" t="str">
        <f t="shared" ca="1" si="62"/>
        <v/>
      </c>
      <c r="AM164" s="362" t="str">
        <f t="shared" ca="1" si="62"/>
        <v/>
      </c>
      <c r="AN164" s="362" t="str">
        <f t="shared" ca="1" si="62"/>
        <v/>
      </c>
      <c r="AO164" s="362" t="str">
        <f t="shared" ca="1" si="62"/>
        <v/>
      </c>
      <c r="AP164" s="362" t="str">
        <f t="shared" ca="1" si="62"/>
        <v/>
      </c>
      <c r="AQ164" s="362" t="str">
        <f t="shared" ca="1" si="62"/>
        <v/>
      </c>
      <c r="AR164" s="362" t="str">
        <f t="shared" ca="1" si="62"/>
        <v/>
      </c>
      <c r="AS164" s="362" t="str">
        <f t="shared" ca="1" si="62"/>
        <v/>
      </c>
      <c r="AT164" s="362" t="str">
        <f t="shared" ca="1" si="62"/>
        <v/>
      </c>
      <c r="AU164" s="362" t="str">
        <f t="shared" ca="1" si="62"/>
        <v/>
      </c>
      <c r="AV164" s="362">
        <f t="shared" ca="1" si="65"/>
        <v>0</v>
      </c>
      <c r="AW164" s="362">
        <f t="shared" ca="1" si="65"/>
        <v>19465</v>
      </c>
      <c r="AX164" s="362">
        <f t="shared" ca="1" si="65"/>
        <v>390.68231228680816</v>
      </c>
      <c r="AY164" s="362">
        <f t="shared" ca="1" si="65"/>
        <v>0</v>
      </c>
      <c r="AZ164" s="362">
        <f t="shared" ca="1" si="64"/>
        <v>0</v>
      </c>
      <c r="BA164" s="362">
        <f t="shared" ca="1" si="64"/>
        <v>33016.874682158472</v>
      </c>
      <c r="BB164" s="362">
        <f t="shared" ca="1" si="64"/>
        <v>0</v>
      </c>
      <c r="BC164" s="362">
        <f t="shared" ca="1" si="64"/>
        <v>0</v>
      </c>
      <c r="BD164" s="362">
        <f t="shared" ca="1" si="64"/>
        <v>0</v>
      </c>
      <c r="BE164" s="362">
        <f t="shared" ca="1" si="64"/>
        <v>0</v>
      </c>
      <c r="BF164" s="362">
        <f t="shared" ca="1" si="64"/>
        <v>5728.4775</v>
      </c>
      <c r="BG164" s="362">
        <f t="shared" ca="1" si="64"/>
        <v>60132.974999999991</v>
      </c>
      <c r="BH164" s="362">
        <f t="shared" ca="1" si="64"/>
        <v>66165.424999999988</v>
      </c>
      <c r="BI164" s="362">
        <f t="shared" ca="1" si="64"/>
        <v>0</v>
      </c>
      <c r="BJ164" s="362">
        <f t="shared" ca="1" si="64"/>
        <v>110800.00860222756</v>
      </c>
      <c r="BK164" s="362">
        <f t="shared" ca="1" si="64"/>
        <v>47694.251300708194</v>
      </c>
      <c r="BL164" s="362">
        <f t="shared" ca="1" si="64"/>
        <v>0</v>
      </c>
      <c r="BM164" s="362"/>
    </row>
    <row r="165" spans="27:65">
      <c r="AA165" s="360">
        <f t="shared" si="60"/>
        <v>2025</v>
      </c>
      <c r="AB165" s="362">
        <f>UtilityDemand!G27</f>
        <v>231298.6061736964</v>
      </c>
      <c r="AC165" s="362"/>
      <c r="AD165" s="362">
        <f t="shared" ca="1" si="61"/>
        <v>-127222.08274181205</v>
      </c>
      <c r="AE165" s="362"/>
      <c r="AF165" s="362" t="str">
        <f t="shared" ca="1" si="62"/>
        <v/>
      </c>
      <c r="AG165" s="362" t="str">
        <f t="shared" ca="1" si="62"/>
        <v/>
      </c>
      <c r="AH165" s="362" t="str">
        <f t="shared" ca="1" si="62"/>
        <v/>
      </c>
      <c r="AI165" s="362" t="str">
        <f t="shared" ca="1" si="62"/>
        <v/>
      </c>
      <c r="AJ165" s="362" t="str">
        <f t="shared" ca="1" si="62"/>
        <v/>
      </c>
      <c r="AK165" s="362" t="str">
        <f t="shared" ca="1" si="62"/>
        <v/>
      </c>
      <c r="AL165" s="362" t="str">
        <f t="shared" ca="1" si="62"/>
        <v/>
      </c>
      <c r="AM165" s="362" t="str">
        <f t="shared" ca="1" si="62"/>
        <v/>
      </c>
      <c r="AN165" s="362" t="str">
        <f t="shared" ca="1" si="62"/>
        <v/>
      </c>
      <c r="AO165" s="362" t="str">
        <f t="shared" ca="1" si="62"/>
        <v/>
      </c>
      <c r="AP165" s="362" t="str">
        <f t="shared" ca="1" si="62"/>
        <v/>
      </c>
      <c r="AQ165" s="362" t="str">
        <f t="shared" ca="1" si="62"/>
        <v/>
      </c>
      <c r="AR165" s="362" t="str">
        <f t="shared" ca="1" si="62"/>
        <v/>
      </c>
      <c r="AS165" s="362" t="str">
        <f t="shared" ca="1" si="62"/>
        <v/>
      </c>
      <c r="AT165" s="362" t="str">
        <f t="shared" ca="1" si="62"/>
        <v/>
      </c>
      <c r="AU165" s="362" t="str">
        <f t="shared" ref="AP165:BE180" ca="1" si="66">IFERROR(-HLOOKUP(AU$50,NGConsTable,$AA165-$AA$103+2,FALSE),"")</f>
        <v/>
      </c>
      <c r="AV165" s="362">
        <f t="shared" ca="1" si="66"/>
        <v>0</v>
      </c>
      <c r="AW165" s="362">
        <f t="shared" ca="1" si="66"/>
        <v>19465</v>
      </c>
      <c r="AX165" s="362">
        <f t="shared" ca="1" si="66"/>
        <v>390.68231228680816</v>
      </c>
      <c r="AY165" s="362">
        <f t="shared" ca="1" si="66"/>
        <v>0</v>
      </c>
      <c r="AZ165" s="362">
        <f t="shared" ca="1" si="64"/>
        <v>0</v>
      </c>
      <c r="BA165" s="362">
        <f t="shared" ca="1" si="64"/>
        <v>33352.338647345474</v>
      </c>
      <c r="BB165" s="362">
        <f t="shared" ca="1" si="64"/>
        <v>0</v>
      </c>
      <c r="BC165" s="362">
        <f t="shared" ca="1" si="64"/>
        <v>0</v>
      </c>
      <c r="BD165" s="362">
        <f t="shared" ca="1" si="64"/>
        <v>0</v>
      </c>
      <c r="BE165" s="362">
        <f t="shared" ca="1" si="64"/>
        <v>0</v>
      </c>
      <c r="BF165" s="362">
        <f t="shared" ca="1" si="64"/>
        <v>11456.955</v>
      </c>
      <c r="BG165" s="362">
        <f t="shared" ca="1" si="64"/>
        <v>60132.974999999991</v>
      </c>
      <c r="BH165" s="362">
        <f t="shared" ca="1" si="64"/>
        <v>66165.424999999988</v>
      </c>
      <c r="BI165" s="362">
        <f t="shared" ca="1" si="64"/>
        <v>0</v>
      </c>
      <c r="BJ165" s="362">
        <f t="shared" ca="1" si="64"/>
        <v>118186.67584237611</v>
      </c>
      <c r="BK165" s="362">
        <f t="shared" ca="1" si="64"/>
        <v>49370.637113500015</v>
      </c>
      <c r="BL165" s="362">
        <f t="shared" ca="1" si="64"/>
        <v>0</v>
      </c>
      <c r="BM165" s="362"/>
    </row>
    <row r="166" spans="27:65">
      <c r="AA166" s="360">
        <f t="shared" si="60"/>
        <v>2026</v>
      </c>
      <c r="AB166" s="362">
        <f>UtilityDemand!G28</f>
        <v>234363.14073630009</v>
      </c>
      <c r="AC166" s="362"/>
      <c r="AD166" s="362">
        <f t="shared" ca="1" si="61"/>
        <v>-139284.54269733559</v>
      </c>
      <c r="AE166" s="362"/>
      <c r="AF166" s="362" t="str">
        <f t="shared" ref="AF166:AU181" ca="1" si="67">IFERROR(-HLOOKUP(AF$50,NGConsTable,$AA166-$AA$103+2,FALSE),"")</f>
        <v/>
      </c>
      <c r="AG166" s="362" t="str">
        <f t="shared" ca="1" si="67"/>
        <v/>
      </c>
      <c r="AH166" s="362" t="str">
        <f t="shared" ca="1" si="67"/>
        <v/>
      </c>
      <c r="AI166" s="362" t="str">
        <f t="shared" ca="1" si="67"/>
        <v/>
      </c>
      <c r="AJ166" s="362" t="str">
        <f t="shared" ca="1" si="67"/>
        <v/>
      </c>
      <c r="AK166" s="362" t="str">
        <f t="shared" ca="1" si="67"/>
        <v/>
      </c>
      <c r="AL166" s="362" t="str">
        <f t="shared" ca="1" si="67"/>
        <v/>
      </c>
      <c r="AM166" s="362" t="str">
        <f t="shared" ca="1" si="67"/>
        <v/>
      </c>
      <c r="AN166" s="362" t="str">
        <f t="shared" ca="1" si="67"/>
        <v/>
      </c>
      <c r="AO166" s="362" t="str">
        <f t="shared" ca="1" si="67"/>
        <v/>
      </c>
      <c r="AP166" s="362" t="str">
        <f t="shared" ca="1" si="66"/>
        <v/>
      </c>
      <c r="AQ166" s="362" t="str">
        <f t="shared" ca="1" si="66"/>
        <v/>
      </c>
      <c r="AR166" s="362" t="str">
        <f t="shared" ca="1" si="66"/>
        <v/>
      </c>
      <c r="AS166" s="362" t="str">
        <f t="shared" ca="1" si="66"/>
        <v/>
      </c>
      <c r="AT166" s="362" t="str">
        <f t="shared" ca="1" si="66"/>
        <v/>
      </c>
      <c r="AU166" s="362" t="str">
        <f t="shared" ca="1" si="66"/>
        <v/>
      </c>
      <c r="AV166" s="362">
        <f t="shared" ca="1" si="66"/>
        <v>0</v>
      </c>
      <c r="AW166" s="362">
        <f t="shared" ca="1" si="66"/>
        <v>19465</v>
      </c>
      <c r="AX166" s="362">
        <f t="shared" ca="1" si="66"/>
        <v>390.68231228680816</v>
      </c>
      <c r="AY166" s="362">
        <f t="shared" ca="1" si="66"/>
        <v>0</v>
      </c>
      <c r="AZ166" s="362">
        <f t="shared" ca="1" si="66"/>
        <v>0</v>
      </c>
      <c r="BA166" s="362">
        <f t="shared" ca="1" si="66"/>
        <v>33687.802612532498</v>
      </c>
      <c r="BB166" s="362">
        <f t="shared" ca="1" si="66"/>
        <v>0</v>
      </c>
      <c r="BC166" s="362">
        <f t="shared" ca="1" si="66"/>
        <v>0</v>
      </c>
      <c r="BD166" s="362">
        <f t="shared" ca="1" si="66"/>
        <v>0</v>
      </c>
      <c r="BE166" s="362">
        <f t="shared" ca="1" si="66"/>
        <v>0</v>
      </c>
      <c r="BF166" s="362">
        <f t="shared" ref="AZ166:BL181" ca="1" si="68">IFERROR(-HLOOKUP(BF$50,NGConsTable,$AA166-$AA$103+2,FALSE),"")</f>
        <v>17185.432499999999</v>
      </c>
      <c r="BG166" s="362">
        <f t="shared" ca="1" si="68"/>
        <v>60132.974999999991</v>
      </c>
      <c r="BH166" s="362">
        <f t="shared" ca="1" si="68"/>
        <v>66165.424999999988</v>
      </c>
      <c r="BI166" s="362">
        <f t="shared" ca="1" si="68"/>
        <v>0</v>
      </c>
      <c r="BJ166" s="362">
        <f t="shared" ca="1" si="68"/>
        <v>125573.34308252455</v>
      </c>
      <c r="BK166" s="362">
        <f t="shared" ca="1" si="68"/>
        <v>51047.022926291858</v>
      </c>
      <c r="BL166" s="362">
        <f t="shared" ca="1" si="68"/>
        <v>0</v>
      </c>
      <c r="BM166" s="362"/>
    </row>
    <row r="167" spans="27:65">
      <c r="AA167" s="360">
        <f t="shared" si="60"/>
        <v>2027</v>
      </c>
      <c r="AB167" s="362">
        <f>UtilityDemand!G29</f>
        <v>237427.67529890378</v>
      </c>
      <c r="AC167" s="362"/>
      <c r="AD167" s="362">
        <f t="shared" ca="1" si="61"/>
        <v>-151347.00265285914</v>
      </c>
      <c r="AE167" s="362"/>
      <c r="AF167" s="362" t="str">
        <f t="shared" ca="1" si="67"/>
        <v/>
      </c>
      <c r="AG167" s="362" t="str">
        <f t="shared" ca="1" si="67"/>
        <v/>
      </c>
      <c r="AH167" s="362" t="str">
        <f t="shared" ca="1" si="67"/>
        <v/>
      </c>
      <c r="AI167" s="362" t="str">
        <f t="shared" ca="1" si="67"/>
        <v/>
      </c>
      <c r="AJ167" s="362" t="str">
        <f t="shared" ca="1" si="67"/>
        <v/>
      </c>
      <c r="AK167" s="362" t="str">
        <f t="shared" ca="1" si="67"/>
        <v/>
      </c>
      <c r="AL167" s="362" t="str">
        <f t="shared" ca="1" si="67"/>
        <v/>
      </c>
      <c r="AM167" s="362" t="str">
        <f t="shared" ca="1" si="67"/>
        <v/>
      </c>
      <c r="AN167" s="362" t="str">
        <f t="shared" ca="1" si="67"/>
        <v/>
      </c>
      <c r="AO167" s="362" t="str">
        <f t="shared" ca="1" si="67"/>
        <v/>
      </c>
      <c r="AP167" s="362" t="str">
        <f t="shared" ca="1" si="66"/>
        <v/>
      </c>
      <c r="AQ167" s="362" t="str">
        <f t="shared" ca="1" si="66"/>
        <v/>
      </c>
      <c r="AR167" s="362" t="str">
        <f t="shared" ca="1" si="66"/>
        <v/>
      </c>
      <c r="AS167" s="362" t="str">
        <f t="shared" ca="1" si="66"/>
        <v/>
      </c>
      <c r="AT167" s="362" t="str">
        <f t="shared" ca="1" si="66"/>
        <v/>
      </c>
      <c r="AU167" s="362" t="str">
        <f t="shared" ca="1" si="66"/>
        <v/>
      </c>
      <c r="AV167" s="362">
        <f t="shared" ca="1" si="66"/>
        <v>0</v>
      </c>
      <c r="AW167" s="362">
        <f t="shared" ca="1" si="66"/>
        <v>19465</v>
      </c>
      <c r="AX167" s="362">
        <f t="shared" ca="1" si="66"/>
        <v>390.68231228680816</v>
      </c>
      <c r="AY167" s="362">
        <f t="shared" ca="1" si="66"/>
        <v>0</v>
      </c>
      <c r="AZ167" s="362">
        <f t="shared" ca="1" si="68"/>
        <v>0</v>
      </c>
      <c r="BA167" s="362">
        <f t="shared" ca="1" si="68"/>
        <v>34023.266577719507</v>
      </c>
      <c r="BB167" s="362">
        <f t="shared" ca="1" si="68"/>
        <v>0</v>
      </c>
      <c r="BC167" s="362">
        <f t="shared" ca="1" si="68"/>
        <v>0</v>
      </c>
      <c r="BD167" s="362">
        <f t="shared" ca="1" si="68"/>
        <v>0</v>
      </c>
      <c r="BE167" s="362">
        <f t="shared" ca="1" si="68"/>
        <v>0</v>
      </c>
      <c r="BF167" s="362">
        <f t="shared" ca="1" si="68"/>
        <v>22913.91</v>
      </c>
      <c r="BG167" s="362">
        <f t="shared" ca="1" si="68"/>
        <v>60132.974999999991</v>
      </c>
      <c r="BH167" s="362">
        <f t="shared" ca="1" si="68"/>
        <v>66165.424999999988</v>
      </c>
      <c r="BI167" s="362">
        <f t="shared" ca="1" si="68"/>
        <v>0</v>
      </c>
      <c r="BJ167" s="362">
        <f t="shared" ca="1" si="68"/>
        <v>132960.0103226731</v>
      </c>
      <c r="BK167" s="362">
        <f t="shared" ca="1" si="68"/>
        <v>52723.408739083592</v>
      </c>
      <c r="BL167" s="362">
        <f t="shared" ca="1" si="68"/>
        <v>0</v>
      </c>
      <c r="BM167" s="362"/>
    </row>
    <row r="168" spans="27:65">
      <c r="AA168" s="360">
        <f t="shared" si="60"/>
        <v>2028</v>
      </c>
      <c r="AB168" s="362">
        <f>UtilityDemand!G30</f>
        <v>240492.20986150744</v>
      </c>
      <c r="AC168" s="362"/>
      <c r="AD168" s="362">
        <f t="shared" ca="1" si="61"/>
        <v>-163409.46260838283</v>
      </c>
      <c r="AE168" s="362"/>
      <c r="AF168" s="362" t="str">
        <f t="shared" ca="1" si="67"/>
        <v/>
      </c>
      <c r="AG168" s="362" t="str">
        <f t="shared" ca="1" si="67"/>
        <v/>
      </c>
      <c r="AH168" s="362" t="str">
        <f t="shared" ca="1" si="67"/>
        <v/>
      </c>
      <c r="AI168" s="362" t="str">
        <f t="shared" ca="1" si="67"/>
        <v/>
      </c>
      <c r="AJ168" s="362" t="str">
        <f t="shared" ca="1" si="67"/>
        <v/>
      </c>
      <c r="AK168" s="362" t="str">
        <f t="shared" ca="1" si="67"/>
        <v/>
      </c>
      <c r="AL168" s="362" t="str">
        <f t="shared" ca="1" si="67"/>
        <v/>
      </c>
      <c r="AM168" s="362" t="str">
        <f t="shared" ca="1" si="67"/>
        <v/>
      </c>
      <c r="AN168" s="362" t="str">
        <f t="shared" ca="1" si="67"/>
        <v/>
      </c>
      <c r="AO168" s="362" t="str">
        <f t="shared" ca="1" si="67"/>
        <v/>
      </c>
      <c r="AP168" s="362" t="str">
        <f t="shared" ca="1" si="66"/>
        <v/>
      </c>
      <c r="AQ168" s="362" t="str">
        <f t="shared" ca="1" si="66"/>
        <v/>
      </c>
      <c r="AR168" s="362" t="str">
        <f t="shared" ca="1" si="66"/>
        <v/>
      </c>
      <c r="AS168" s="362" t="str">
        <f t="shared" ca="1" si="66"/>
        <v/>
      </c>
      <c r="AT168" s="362" t="str">
        <f t="shared" ca="1" si="66"/>
        <v/>
      </c>
      <c r="AU168" s="362" t="str">
        <f t="shared" ca="1" si="66"/>
        <v/>
      </c>
      <c r="AV168" s="362">
        <f t="shared" ca="1" si="66"/>
        <v>0</v>
      </c>
      <c r="AW168" s="362">
        <f t="shared" ca="1" si="66"/>
        <v>19465</v>
      </c>
      <c r="AX168" s="362">
        <f t="shared" ca="1" si="66"/>
        <v>390.68231228680816</v>
      </c>
      <c r="AY168" s="362">
        <f t="shared" ca="1" si="66"/>
        <v>0</v>
      </c>
      <c r="AZ168" s="362">
        <f t="shared" ca="1" si="68"/>
        <v>0</v>
      </c>
      <c r="BA168" s="362">
        <f t="shared" ca="1" si="68"/>
        <v>34358.730542906516</v>
      </c>
      <c r="BB168" s="362">
        <f t="shared" ca="1" si="68"/>
        <v>0</v>
      </c>
      <c r="BC168" s="362">
        <f t="shared" ca="1" si="68"/>
        <v>0</v>
      </c>
      <c r="BD168" s="362">
        <f t="shared" ca="1" si="68"/>
        <v>0</v>
      </c>
      <c r="BE168" s="362">
        <f t="shared" ca="1" si="68"/>
        <v>0</v>
      </c>
      <c r="BF168" s="362">
        <f t="shared" ca="1" si="68"/>
        <v>28642.387500000001</v>
      </c>
      <c r="BG168" s="362">
        <f t="shared" ca="1" si="68"/>
        <v>60132.974999999991</v>
      </c>
      <c r="BH168" s="362">
        <f t="shared" ca="1" si="68"/>
        <v>66165.424999999988</v>
      </c>
      <c r="BI168" s="362">
        <f t="shared" ca="1" si="68"/>
        <v>0</v>
      </c>
      <c r="BJ168" s="362">
        <f t="shared" ca="1" si="68"/>
        <v>140346.67756282154</v>
      </c>
      <c r="BK168" s="362">
        <f t="shared" ca="1" si="68"/>
        <v>54399.79455187542</v>
      </c>
      <c r="BL168" s="362">
        <f t="shared" ca="1" si="68"/>
        <v>0</v>
      </c>
      <c r="BM168" s="362"/>
    </row>
    <row r="169" spans="27:65">
      <c r="AA169" s="360">
        <f t="shared" si="60"/>
        <v>2029</v>
      </c>
      <c r="AB169" s="362">
        <f>UtilityDemand!G31</f>
        <v>243556.74442411118</v>
      </c>
      <c r="AC169" s="362"/>
      <c r="AD169" s="362">
        <f t="shared" ca="1" si="61"/>
        <v>-175471.92256390656</v>
      </c>
      <c r="AE169" s="362"/>
      <c r="AF169" s="362" t="str">
        <f t="shared" ca="1" si="67"/>
        <v/>
      </c>
      <c r="AG169" s="362" t="str">
        <f t="shared" ca="1" si="67"/>
        <v/>
      </c>
      <c r="AH169" s="362" t="str">
        <f t="shared" ca="1" si="67"/>
        <v/>
      </c>
      <c r="AI169" s="362" t="str">
        <f t="shared" ca="1" si="67"/>
        <v/>
      </c>
      <c r="AJ169" s="362" t="str">
        <f t="shared" ca="1" si="67"/>
        <v/>
      </c>
      <c r="AK169" s="362" t="str">
        <f t="shared" ca="1" si="67"/>
        <v/>
      </c>
      <c r="AL169" s="362" t="str">
        <f t="shared" ca="1" si="67"/>
        <v/>
      </c>
      <c r="AM169" s="362" t="str">
        <f t="shared" ca="1" si="67"/>
        <v/>
      </c>
      <c r="AN169" s="362" t="str">
        <f t="shared" ca="1" si="67"/>
        <v/>
      </c>
      <c r="AO169" s="362" t="str">
        <f t="shared" ca="1" si="67"/>
        <v/>
      </c>
      <c r="AP169" s="362" t="str">
        <f t="shared" ca="1" si="66"/>
        <v/>
      </c>
      <c r="AQ169" s="362" t="str">
        <f t="shared" ca="1" si="66"/>
        <v/>
      </c>
      <c r="AR169" s="362" t="str">
        <f t="shared" ca="1" si="66"/>
        <v/>
      </c>
      <c r="AS169" s="362" t="str">
        <f t="shared" ca="1" si="66"/>
        <v/>
      </c>
      <c r="AT169" s="362" t="str">
        <f t="shared" ca="1" si="66"/>
        <v/>
      </c>
      <c r="AU169" s="362" t="str">
        <f t="shared" ca="1" si="66"/>
        <v/>
      </c>
      <c r="AV169" s="362">
        <f t="shared" ca="1" si="66"/>
        <v>0</v>
      </c>
      <c r="AW169" s="362">
        <f t="shared" ca="1" si="66"/>
        <v>19465</v>
      </c>
      <c r="AX169" s="362">
        <f t="shared" ca="1" si="66"/>
        <v>390.68231228680816</v>
      </c>
      <c r="AY169" s="362">
        <f t="shared" ca="1" si="66"/>
        <v>0</v>
      </c>
      <c r="AZ169" s="362">
        <f t="shared" ca="1" si="68"/>
        <v>0</v>
      </c>
      <c r="BA169" s="362">
        <f t="shared" ca="1" si="68"/>
        <v>34694.19450809354</v>
      </c>
      <c r="BB169" s="362">
        <f t="shared" ca="1" si="68"/>
        <v>0</v>
      </c>
      <c r="BC169" s="362">
        <f t="shared" ca="1" si="68"/>
        <v>0</v>
      </c>
      <c r="BD169" s="362">
        <f t="shared" ca="1" si="68"/>
        <v>0</v>
      </c>
      <c r="BE169" s="362">
        <f t="shared" ca="1" si="68"/>
        <v>0</v>
      </c>
      <c r="BF169" s="362">
        <f t="shared" ca="1" si="68"/>
        <v>34370.864999999998</v>
      </c>
      <c r="BG169" s="362">
        <f t="shared" ca="1" si="68"/>
        <v>60132.974999999991</v>
      </c>
      <c r="BH169" s="362">
        <f t="shared" ca="1" si="68"/>
        <v>66165.424999999988</v>
      </c>
      <c r="BI169" s="362">
        <f t="shared" ca="1" si="68"/>
        <v>0</v>
      </c>
      <c r="BJ169" s="362">
        <f t="shared" ca="1" si="68"/>
        <v>147733.34480297007</v>
      </c>
      <c r="BK169" s="362">
        <f t="shared" ca="1" si="68"/>
        <v>56076.180364667351</v>
      </c>
      <c r="BL169" s="362">
        <f t="shared" ca="1" si="68"/>
        <v>0</v>
      </c>
      <c r="BM169" s="362"/>
    </row>
    <row r="170" spans="27:65">
      <c r="AA170" s="360">
        <f t="shared" si="60"/>
        <v>2030</v>
      </c>
      <c r="AB170" s="362">
        <f>UtilityDemand!G32</f>
        <v>246621.27898671487</v>
      </c>
      <c r="AC170" s="362"/>
      <c r="AD170" s="362">
        <f t="shared" ca="1" si="61"/>
        <v>-187534.38251943022</v>
      </c>
      <c r="AE170" s="362"/>
      <c r="AF170" s="362" t="str">
        <f t="shared" ca="1" si="67"/>
        <v/>
      </c>
      <c r="AG170" s="362" t="str">
        <f t="shared" ca="1" si="67"/>
        <v/>
      </c>
      <c r="AH170" s="362" t="str">
        <f t="shared" ca="1" si="67"/>
        <v/>
      </c>
      <c r="AI170" s="362" t="str">
        <f t="shared" ca="1" si="67"/>
        <v/>
      </c>
      <c r="AJ170" s="362" t="str">
        <f t="shared" ca="1" si="67"/>
        <v/>
      </c>
      <c r="AK170" s="362" t="str">
        <f t="shared" ca="1" si="67"/>
        <v/>
      </c>
      <c r="AL170" s="362" t="str">
        <f t="shared" ca="1" si="67"/>
        <v/>
      </c>
      <c r="AM170" s="362" t="str">
        <f t="shared" ca="1" si="67"/>
        <v/>
      </c>
      <c r="AN170" s="362" t="str">
        <f t="shared" ca="1" si="67"/>
        <v/>
      </c>
      <c r="AO170" s="362" t="str">
        <f t="shared" ca="1" si="67"/>
        <v/>
      </c>
      <c r="AP170" s="362" t="str">
        <f t="shared" ca="1" si="66"/>
        <v/>
      </c>
      <c r="AQ170" s="362" t="str">
        <f t="shared" ca="1" si="66"/>
        <v/>
      </c>
      <c r="AR170" s="362" t="str">
        <f t="shared" ca="1" si="66"/>
        <v/>
      </c>
      <c r="AS170" s="362" t="str">
        <f t="shared" ca="1" si="66"/>
        <v/>
      </c>
      <c r="AT170" s="362" t="str">
        <f t="shared" ca="1" si="66"/>
        <v/>
      </c>
      <c r="AU170" s="362" t="str">
        <f t="shared" ca="1" si="66"/>
        <v/>
      </c>
      <c r="AV170" s="362">
        <f t="shared" ca="1" si="66"/>
        <v>0</v>
      </c>
      <c r="AW170" s="362">
        <f t="shared" ca="1" si="66"/>
        <v>19465</v>
      </c>
      <c r="AX170" s="362">
        <f t="shared" ca="1" si="66"/>
        <v>390.68231228680816</v>
      </c>
      <c r="AY170" s="362">
        <f t="shared" ca="1" si="66"/>
        <v>0</v>
      </c>
      <c r="AZ170" s="362">
        <f t="shared" ca="1" si="68"/>
        <v>0</v>
      </c>
      <c r="BA170" s="362">
        <f t="shared" ca="1" si="68"/>
        <v>35029.658473280557</v>
      </c>
      <c r="BB170" s="362">
        <f t="shared" ca="1" si="68"/>
        <v>0</v>
      </c>
      <c r="BC170" s="362">
        <f t="shared" ca="1" si="68"/>
        <v>0</v>
      </c>
      <c r="BD170" s="362">
        <f t="shared" ca="1" si="68"/>
        <v>0</v>
      </c>
      <c r="BE170" s="362">
        <f t="shared" ca="1" si="68"/>
        <v>0</v>
      </c>
      <c r="BF170" s="362">
        <f t="shared" ca="1" si="68"/>
        <v>40099.342499999999</v>
      </c>
      <c r="BG170" s="362">
        <f t="shared" ca="1" si="68"/>
        <v>60132.974999999991</v>
      </c>
      <c r="BH170" s="362">
        <f t="shared" ca="1" si="68"/>
        <v>66165.424999999988</v>
      </c>
      <c r="BI170" s="362">
        <f t="shared" ca="1" si="68"/>
        <v>0</v>
      </c>
      <c r="BJ170" s="362">
        <f t="shared" ca="1" si="68"/>
        <v>155120.01204311854</v>
      </c>
      <c r="BK170" s="362">
        <f t="shared" ca="1" si="68"/>
        <v>57752.566177459186</v>
      </c>
      <c r="BL170" s="362">
        <f t="shared" ca="1" si="68"/>
        <v>0</v>
      </c>
      <c r="BM170" s="362"/>
    </row>
    <row r="171" spans="27:65">
      <c r="AA171" s="360">
        <f t="shared" si="60"/>
        <v>2031</v>
      </c>
      <c r="AB171" s="362">
        <f>UtilityDemand!G33</f>
        <v>249685.81354931853</v>
      </c>
      <c r="AC171" s="362"/>
      <c r="AD171" s="362">
        <f t="shared" ca="1" si="61"/>
        <v>-199596.8424749538</v>
      </c>
      <c r="AE171" s="362"/>
      <c r="AF171" s="362" t="str">
        <f t="shared" ca="1" si="67"/>
        <v/>
      </c>
      <c r="AG171" s="362" t="str">
        <f t="shared" ca="1" si="67"/>
        <v/>
      </c>
      <c r="AH171" s="362" t="str">
        <f t="shared" ca="1" si="67"/>
        <v/>
      </c>
      <c r="AI171" s="362" t="str">
        <f t="shared" ca="1" si="67"/>
        <v/>
      </c>
      <c r="AJ171" s="362" t="str">
        <f t="shared" ca="1" si="67"/>
        <v/>
      </c>
      <c r="AK171" s="362" t="str">
        <f t="shared" ca="1" si="67"/>
        <v/>
      </c>
      <c r="AL171" s="362" t="str">
        <f t="shared" ca="1" si="67"/>
        <v/>
      </c>
      <c r="AM171" s="362" t="str">
        <f t="shared" ca="1" si="67"/>
        <v/>
      </c>
      <c r="AN171" s="362" t="str">
        <f t="shared" ca="1" si="67"/>
        <v/>
      </c>
      <c r="AO171" s="362" t="str">
        <f t="shared" ca="1" si="67"/>
        <v/>
      </c>
      <c r="AP171" s="362" t="str">
        <f t="shared" ca="1" si="66"/>
        <v/>
      </c>
      <c r="AQ171" s="362" t="str">
        <f t="shared" ca="1" si="66"/>
        <v/>
      </c>
      <c r="AR171" s="362" t="str">
        <f t="shared" ca="1" si="66"/>
        <v/>
      </c>
      <c r="AS171" s="362" t="str">
        <f t="shared" ca="1" si="66"/>
        <v/>
      </c>
      <c r="AT171" s="362" t="str">
        <f t="shared" ca="1" si="66"/>
        <v/>
      </c>
      <c r="AU171" s="362" t="str">
        <f t="shared" ca="1" si="66"/>
        <v/>
      </c>
      <c r="AV171" s="362">
        <f t="shared" ca="1" si="66"/>
        <v>0</v>
      </c>
      <c r="AW171" s="362">
        <f t="shared" ca="1" si="66"/>
        <v>19465</v>
      </c>
      <c r="AX171" s="362">
        <f t="shared" ca="1" si="66"/>
        <v>390.68231228680816</v>
      </c>
      <c r="AY171" s="362">
        <f t="shared" ca="1" si="66"/>
        <v>0</v>
      </c>
      <c r="AZ171" s="362">
        <f t="shared" ca="1" si="68"/>
        <v>0</v>
      </c>
      <c r="BA171" s="362">
        <f t="shared" ca="1" si="68"/>
        <v>35365.122438467581</v>
      </c>
      <c r="BB171" s="362">
        <f t="shared" ca="1" si="68"/>
        <v>0</v>
      </c>
      <c r="BC171" s="362">
        <f t="shared" ca="1" si="68"/>
        <v>0</v>
      </c>
      <c r="BD171" s="362">
        <f t="shared" ca="1" si="68"/>
        <v>0</v>
      </c>
      <c r="BE171" s="362">
        <f t="shared" ca="1" si="68"/>
        <v>0</v>
      </c>
      <c r="BF171" s="362">
        <f t="shared" ca="1" si="68"/>
        <v>45827.82</v>
      </c>
      <c r="BG171" s="362">
        <f t="shared" ca="1" si="68"/>
        <v>60132.974999999991</v>
      </c>
      <c r="BH171" s="362">
        <f t="shared" ca="1" si="68"/>
        <v>66165.424999999988</v>
      </c>
      <c r="BI171" s="362">
        <f t="shared" ca="1" si="68"/>
        <v>0</v>
      </c>
      <c r="BJ171" s="362">
        <f t="shared" ca="1" si="68"/>
        <v>162506.67928326706</v>
      </c>
      <c r="BK171" s="362">
        <f t="shared" ca="1" si="68"/>
        <v>59428.95199025092</v>
      </c>
      <c r="BL171" s="362">
        <f t="shared" ca="1" si="68"/>
        <v>0</v>
      </c>
      <c r="BM171" s="362"/>
    </row>
    <row r="172" spans="27:65">
      <c r="AA172" s="360">
        <f t="shared" si="60"/>
        <v>2032</v>
      </c>
      <c r="AB172" s="362">
        <f>UtilityDemand!G34</f>
        <v>252750.34811192221</v>
      </c>
      <c r="AC172" s="362"/>
      <c r="AD172" s="362">
        <f t="shared" ca="1" si="61"/>
        <v>-211659.30243047746</v>
      </c>
      <c r="AE172" s="362"/>
      <c r="AF172" s="362" t="str">
        <f t="shared" ca="1" si="67"/>
        <v/>
      </c>
      <c r="AG172" s="362" t="str">
        <f t="shared" ca="1" si="67"/>
        <v/>
      </c>
      <c r="AH172" s="362" t="str">
        <f t="shared" ca="1" si="67"/>
        <v/>
      </c>
      <c r="AI172" s="362" t="str">
        <f t="shared" ca="1" si="67"/>
        <v/>
      </c>
      <c r="AJ172" s="362" t="str">
        <f t="shared" ca="1" si="67"/>
        <v/>
      </c>
      <c r="AK172" s="362" t="str">
        <f t="shared" ca="1" si="67"/>
        <v/>
      </c>
      <c r="AL172" s="362" t="str">
        <f t="shared" ca="1" si="67"/>
        <v/>
      </c>
      <c r="AM172" s="362" t="str">
        <f t="shared" ca="1" si="67"/>
        <v/>
      </c>
      <c r="AN172" s="362" t="str">
        <f t="shared" ca="1" si="67"/>
        <v/>
      </c>
      <c r="AO172" s="362" t="str">
        <f t="shared" ca="1" si="67"/>
        <v/>
      </c>
      <c r="AP172" s="362" t="str">
        <f t="shared" ca="1" si="66"/>
        <v/>
      </c>
      <c r="AQ172" s="362" t="str">
        <f t="shared" ca="1" si="66"/>
        <v/>
      </c>
      <c r="AR172" s="362" t="str">
        <f t="shared" ca="1" si="66"/>
        <v/>
      </c>
      <c r="AS172" s="362" t="str">
        <f t="shared" ca="1" si="66"/>
        <v/>
      </c>
      <c r="AT172" s="362" t="str">
        <f t="shared" ca="1" si="66"/>
        <v/>
      </c>
      <c r="AU172" s="362" t="str">
        <f t="shared" ca="1" si="66"/>
        <v/>
      </c>
      <c r="AV172" s="362">
        <f t="shared" ca="1" si="66"/>
        <v>0</v>
      </c>
      <c r="AW172" s="362">
        <f t="shared" ca="1" si="66"/>
        <v>19465</v>
      </c>
      <c r="AX172" s="362">
        <f t="shared" ca="1" si="66"/>
        <v>390.68231228680816</v>
      </c>
      <c r="AY172" s="362">
        <f t="shared" ca="1" si="66"/>
        <v>0</v>
      </c>
      <c r="AZ172" s="362">
        <f t="shared" ca="1" si="68"/>
        <v>0</v>
      </c>
      <c r="BA172" s="362">
        <f t="shared" ca="1" si="68"/>
        <v>35700.58640365459</v>
      </c>
      <c r="BB172" s="362">
        <f t="shared" ca="1" si="68"/>
        <v>0</v>
      </c>
      <c r="BC172" s="362">
        <f t="shared" ca="1" si="68"/>
        <v>0</v>
      </c>
      <c r="BD172" s="362">
        <f t="shared" ca="1" si="68"/>
        <v>0</v>
      </c>
      <c r="BE172" s="362">
        <f t="shared" ca="1" si="68"/>
        <v>0</v>
      </c>
      <c r="BF172" s="362">
        <f t="shared" ca="1" si="68"/>
        <v>51556.297500000001</v>
      </c>
      <c r="BG172" s="362">
        <f t="shared" ca="1" si="68"/>
        <v>60132.974999999991</v>
      </c>
      <c r="BH172" s="362">
        <f t="shared" ca="1" si="68"/>
        <v>66165.424999999988</v>
      </c>
      <c r="BI172" s="362">
        <f t="shared" ca="1" si="68"/>
        <v>0</v>
      </c>
      <c r="BJ172" s="362">
        <f t="shared" ca="1" si="68"/>
        <v>169893.34652341562</v>
      </c>
      <c r="BK172" s="362">
        <f t="shared" ca="1" si="68"/>
        <v>61105.337803042661</v>
      </c>
      <c r="BL172" s="362">
        <f t="shared" ca="1" si="68"/>
        <v>0</v>
      </c>
      <c r="BM172" s="362"/>
    </row>
    <row r="173" spans="27:65">
      <c r="AA173" s="360">
        <f t="shared" si="60"/>
        <v>2033</v>
      </c>
      <c r="AB173" s="362">
        <f>UtilityDemand!G35</f>
        <v>255814.8826745259</v>
      </c>
      <c r="AC173" s="362"/>
      <c r="AD173" s="362">
        <f t="shared" ca="1" si="61"/>
        <v>-223721.76238600106</v>
      </c>
      <c r="AE173" s="362"/>
      <c r="AF173" s="362" t="str">
        <f t="shared" ca="1" si="67"/>
        <v/>
      </c>
      <c r="AG173" s="362" t="str">
        <f t="shared" ca="1" si="67"/>
        <v/>
      </c>
      <c r="AH173" s="362" t="str">
        <f t="shared" ca="1" si="67"/>
        <v/>
      </c>
      <c r="AI173" s="362" t="str">
        <f t="shared" ca="1" si="67"/>
        <v/>
      </c>
      <c r="AJ173" s="362" t="str">
        <f t="shared" ca="1" si="67"/>
        <v/>
      </c>
      <c r="AK173" s="362" t="str">
        <f t="shared" ca="1" si="67"/>
        <v/>
      </c>
      <c r="AL173" s="362" t="str">
        <f t="shared" ca="1" si="67"/>
        <v/>
      </c>
      <c r="AM173" s="362" t="str">
        <f t="shared" ca="1" si="67"/>
        <v/>
      </c>
      <c r="AN173" s="362" t="str">
        <f t="shared" ca="1" si="67"/>
        <v/>
      </c>
      <c r="AO173" s="362" t="str">
        <f t="shared" ca="1" si="67"/>
        <v/>
      </c>
      <c r="AP173" s="362" t="str">
        <f t="shared" ca="1" si="66"/>
        <v/>
      </c>
      <c r="AQ173" s="362" t="str">
        <f t="shared" ca="1" si="66"/>
        <v/>
      </c>
      <c r="AR173" s="362" t="str">
        <f t="shared" ca="1" si="66"/>
        <v/>
      </c>
      <c r="AS173" s="362" t="str">
        <f t="shared" ca="1" si="66"/>
        <v/>
      </c>
      <c r="AT173" s="362" t="str">
        <f t="shared" ca="1" si="66"/>
        <v/>
      </c>
      <c r="AU173" s="362" t="str">
        <f t="shared" ca="1" si="66"/>
        <v/>
      </c>
      <c r="AV173" s="362">
        <f t="shared" ca="1" si="66"/>
        <v>0</v>
      </c>
      <c r="AW173" s="362">
        <f t="shared" ca="1" si="66"/>
        <v>19465</v>
      </c>
      <c r="AX173" s="362">
        <f t="shared" ca="1" si="66"/>
        <v>390.68231228680816</v>
      </c>
      <c r="AY173" s="362">
        <f t="shared" ca="1" si="66"/>
        <v>0</v>
      </c>
      <c r="AZ173" s="362">
        <f t="shared" ca="1" si="68"/>
        <v>0</v>
      </c>
      <c r="BA173" s="362">
        <f t="shared" ca="1" si="68"/>
        <v>36036.050368841607</v>
      </c>
      <c r="BB173" s="362">
        <f t="shared" ca="1" si="68"/>
        <v>0</v>
      </c>
      <c r="BC173" s="362">
        <f t="shared" ca="1" si="68"/>
        <v>0</v>
      </c>
      <c r="BD173" s="362">
        <f t="shared" ca="1" si="68"/>
        <v>0</v>
      </c>
      <c r="BE173" s="362">
        <f t="shared" ca="1" si="68"/>
        <v>0</v>
      </c>
      <c r="BF173" s="362">
        <f t="shared" ca="1" si="68"/>
        <v>57284.775000000001</v>
      </c>
      <c r="BG173" s="362">
        <f t="shared" ca="1" si="68"/>
        <v>60132.974999999991</v>
      </c>
      <c r="BH173" s="362">
        <f t="shared" ca="1" si="68"/>
        <v>66165.424999999988</v>
      </c>
      <c r="BI173" s="362">
        <f t="shared" ca="1" si="68"/>
        <v>0</v>
      </c>
      <c r="BJ173" s="362">
        <f t="shared" ca="1" si="68"/>
        <v>177280.01376356406</v>
      </c>
      <c r="BK173" s="362">
        <f t="shared" ca="1" si="68"/>
        <v>62781.723615834504</v>
      </c>
      <c r="BL173" s="362">
        <f t="shared" ca="1" si="68"/>
        <v>0</v>
      </c>
      <c r="BM173" s="362"/>
    </row>
    <row r="174" spans="27:65">
      <c r="AA174" s="360">
        <f t="shared" si="60"/>
        <v>2034</v>
      </c>
      <c r="AB174" s="362">
        <f>UtilityDemand!G36</f>
        <v>258879.41723712959</v>
      </c>
      <c r="AC174" s="362"/>
      <c r="AD174" s="362">
        <f t="shared" ca="1" si="61"/>
        <v>-230055.74484152469</v>
      </c>
      <c r="AE174" s="362"/>
      <c r="AF174" s="362" t="str">
        <f t="shared" ca="1" si="67"/>
        <v/>
      </c>
      <c r="AG174" s="362" t="str">
        <f t="shared" ca="1" si="67"/>
        <v/>
      </c>
      <c r="AH174" s="362" t="str">
        <f t="shared" ca="1" si="67"/>
        <v/>
      </c>
      <c r="AI174" s="362" t="str">
        <f t="shared" ca="1" si="67"/>
        <v/>
      </c>
      <c r="AJ174" s="362" t="str">
        <f t="shared" ca="1" si="67"/>
        <v/>
      </c>
      <c r="AK174" s="362" t="str">
        <f t="shared" ca="1" si="67"/>
        <v/>
      </c>
      <c r="AL174" s="362" t="str">
        <f t="shared" ca="1" si="67"/>
        <v/>
      </c>
      <c r="AM174" s="362" t="str">
        <f t="shared" ca="1" si="67"/>
        <v/>
      </c>
      <c r="AN174" s="362" t="str">
        <f t="shared" ca="1" si="67"/>
        <v/>
      </c>
      <c r="AO174" s="362" t="str">
        <f t="shared" ca="1" si="67"/>
        <v/>
      </c>
      <c r="AP174" s="362" t="str">
        <f t="shared" ca="1" si="66"/>
        <v/>
      </c>
      <c r="AQ174" s="362" t="str">
        <f t="shared" ca="1" si="66"/>
        <v/>
      </c>
      <c r="AR174" s="362" t="str">
        <f t="shared" ca="1" si="66"/>
        <v/>
      </c>
      <c r="AS174" s="362" t="str">
        <f t="shared" ca="1" si="66"/>
        <v/>
      </c>
      <c r="AT174" s="362" t="str">
        <f t="shared" ca="1" si="66"/>
        <v/>
      </c>
      <c r="AU174" s="362" t="str">
        <f t="shared" ca="1" si="66"/>
        <v/>
      </c>
      <c r="AV174" s="362">
        <f t="shared" ca="1" si="66"/>
        <v>0</v>
      </c>
      <c r="AW174" s="362">
        <f t="shared" ca="1" si="66"/>
        <v>19465</v>
      </c>
      <c r="AX174" s="362">
        <f t="shared" ca="1" si="66"/>
        <v>390.68231228680816</v>
      </c>
      <c r="AY174" s="362">
        <f t="shared" ca="1" si="66"/>
        <v>0</v>
      </c>
      <c r="AZ174" s="362">
        <f t="shared" ca="1" si="68"/>
        <v>0</v>
      </c>
      <c r="BA174" s="362">
        <f t="shared" ca="1" si="68"/>
        <v>36371.514334028609</v>
      </c>
      <c r="BB174" s="362">
        <f t="shared" ca="1" si="68"/>
        <v>0</v>
      </c>
      <c r="BC174" s="362">
        <f t="shared" ca="1" si="68"/>
        <v>0</v>
      </c>
      <c r="BD174" s="362">
        <f t="shared" ca="1" si="68"/>
        <v>0</v>
      </c>
      <c r="BE174" s="362">
        <f t="shared" ca="1" si="68"/>
        <v>0</v>
      </c>
      <c r="BF174" s="362">
        <f t="shared" ca="1" si="68"/>
        <v>57284.775000000001</v>
      </c>
      <c r="BG174" s="362">
        <f t="shared" ca="1" si="68"/>
        <v>60132.974999999991</v>
      </c>
      <c r="BH174" s="362">
        <f t="shared" ca="1" si="68"/>
        <v>66165.424999999988</v>
      </c>
      <c r="BI174" s="362">
        <f t="shared" ca="1" si="68"/>
        <v>0</v>
      </c>
      <c r="BJ174" s="362">
        <f t="shared" ca="1" si="68"/>
        <v>184666.68100371261</v>
      </c>
      <c r="BK174" s="362">
        <f t="shared" ca="1" si="68"/>
        <v>64458.109428626223</v>
      </c>
      <c r="BL174" s="362">
        <f t="shared" ca="1" si="68"/>
        <v>0</v>
      </c>
      <c r="BM174" s="362"/>
    </row>
    <row r="175" spans="27:65">
      <c r="AA175" s="360">
        <f t="shared" si="60"/>
        <v>2035</v>
      </c>
      <c r="AB175" s="362">
        <f>UtilityDemand!G37</f>
        <v>261943.95179973327</v>
      </c>
      <c r="AC175" s="362"/>
      <c r="AD175" s="362">
        <f t="shared" ca="1" si="61"/>
        <v>-236389.7272970482</v>
      </c>
      <c r="AE175" s="362"/>
      <c r="AF175" s="362" t="str">
        <f t="shared" ca="1" si="67"/>
        <v/>
      </c>
      <c r="AG175" s="362" t="str">
        <f t="shared" ca="1" si="67"/>
        <v/>
      </c>
      <c r="AH175" s="362" t="str">
        <f t="shared" ca="1" si="67"/>
        <v/>
      </c>
      <c r="AI175" s="362" t="str">
        <f t="shared" ca="1" si="67"/>
        <v/>
      </c>
      <c r="AJ175" s="362" t="str">
        <f t="shared" ca="1" si="67"/>
        <v/>
      </c>
      <c r="AK175" s="362" t="str">
        <f t="shared" ca="1" si="67"/>
        <v/>
      </c>
      <c r="AL175" s="362" t="str">
        <f t="shared" ca="1" si="67"/>
        <v/>
      </c>
      <c r="AM175" s="362" t="str">
        <f t="shared" ca="1" si="67"/>
        <v/>
      </c>
      <c r="AN175" s="362" t="str">
        <f t="shared" ca="1" si="67"/>
        <v/>
      </c>
      <c r="AO175" s="362" t="str">
        <f t="shared" ca="1" si="67"/>
        <v/>
      </c>
      <c r="AP175" s="362" t="str">
        <f t="shared" ca="1" si="66"/>
        <v/>
      </c>
      <c r="AQ175" s="362" t="str">
        <f t="shared" ca="1" si="66"/>
        <v/>
      </c>
      <c r="AR175" s="362" t="str">
        <f t="shared" ca="1" si="66"/>
        <v/>
      </c>
      <c r="AS175" s="362" t="str">
        <f t="shared" ca="1" si="66"/>
        <v/>
      </c>
      <c r="AT175" s="362" t="str">
        <f t="shared" ca="1" si="66"/>
        <v/>
      </c>
      <c r="AU175" s="362" t="str">
        <f t="shared" ca="1" si="66"/>
        <v/>
      </c>
      <c r="AV175" s="362">
        <f t="shared" ca="1" si="66"/>
        <v>0</v>
      </c>
      <c r="AW175" s="362">
        <f t="shared" ca="1" si="66"/>
        <v>19465</v>
      </c>
      <c r="AX175" s="362">
        <f t="shared" ca="1" si="66"/>
        <v>390.68231228680816</v>
      </c>
      <c r="AY175" s="362">
        <f t="shared" ca="1" si="66"/>
        <v>0</v>
      </c>
      <c r="AZ175" s="362">
        <f t="shared" ca="1" si="68"/>
        <v>0</v>
      </c>
      <c r="BA175" s="362">
        <f t="shared" ca="1" si="68"/>
        <v>36706.978299215625</v>
      </c>
      <c r="BB175" s="362">
        <f t="shared" ca="1" si="68"/>
        <v>0</v>
      </c>
      <c r="BC175" s="362">
        <f t="shared" ca="1" si="68"/>
        <v>0</v>
      </c>
      <c r="BD175" s="362">
        <f t="shared" ca="1" si="68"/>
        <v>0</v>
      </c>
      <c r="BE175" s="362">
        <f t="shared" ca="1" si="68"/>
        <v>0</v>
      </c>
      <c r="BF175" s="362">
        <f t="shared" ca="1" si="68"/>
        <v>57284.775000000001</v>
      </c>
      <c r="BG175" s="362">
        <f t="shared" ca="1" si="68"/>
        <v>60132.974999999991</v>
      </c>
      <c r="BH175" s="362">
        <f t="shared" ca="1" si="68"/>
        <v>66165.424999999988</v>
      </c>
      <c r="BI175" s="362">
        <f t="shared" ca="1" si="68"/>
        <v>0</v>
      </c>
      <c r="BJ175" s="362">
        <f t="shared" ca="1" si="68"/>
        <v>192053.34824386114</v>
      </c>
      <c r="BK175" s="362">
        <f t="shared" ca="1" si="68"/>
        <v>66134.495241417972</v>
      </c>
      <c r="BL175" s="362">
        <f t="shared" ca="1" si="68"/>
        <v>0</v>
      </c>
      <c r="BM175" s="362"/>
    </row>
    <row r="176" spans="27:65">
      <c r="AA176" s="360">
        <f t="shared" si="60"/>
        <v>2036</v>
      </c>
      <c r="AB176" s="362">
        <f>UtilityDemand!G38</f>
        <v>265008.48636233702</v>
      </c>
      <c r="AC176" s="362"/>
      <c r="AD176" s="362">
        <f t="shared" ca="1" si="61"/>
        <v>-242723.709752572</v>
      </c>
      <c r="AE176" s="362"/>
      <c r="AF176" s="362" t="str">
        <f t="shared" ca="1" si="67"/>
        <v/>
      </c>
      <c r="AG176" s="362" t="str">
        <f t="shared" ca="1" si="67"/>
        <v/>
      </c>
      <c r="AH176" s="362" t="str">
        <f t="shared" ca="1" si="67"/>
        <v/>
      </c>
      <c r="AI176" s="362" t="str">
        <f t="shared" ca="1" si="67"/>
        <v/>
      </c>
      <c r="AJ176" s="362" t="str">
        <f t="shared" ca="1" si="67"/>
        <v/>
      </c>
      <c r="AK176" s="362" t="str">
        <f t="shared" ca="1" si="67"/>
        <v/>
      </c>
      <c r="AL176" s="362" t="str">
        <f t="shared" ca="1" si="67"/>
        <v/>
      </c>
      <c r="AM176" s="362" t="str">
        <f t="shared" ca="1" si="67"/>
        <v/>
      </c>
      <c r="AN176" s="362" t="str">
        <f t="shared" ca="1" si="67"/>
        <v/>
      </c>
      <c r="AO176" s="362" t="str">
        <f t="shared" ca="1" si="67"/>
        <v/>
      </c>
      <c r="AP176" s="362" t="str">
        <f t="shared" ca="1" si="66"/>
        <v/>
      </c>
      <c r="AQ176" s="362" t="str">
        <f t="shared" ca="1" si="66"/>
        <v/>
      </c>
      <c r="AR176" s="362" t="str">
        <f t="shared" ca="1" si="66"/>
        <v/>
      </c>
      <c r="AS176" s="362" t="str">
        <f t="shared" ca="1" si="66"/>
        <v/>
      </c>
      <c r="AT176" s="362" t="str">
        <f t="shared" ca="1" si="66"/>
        <v/>
      </c>
      <c r="AU176" s="362" t="str">
        <f t="shared" ca="1" si="66"/>
        <v/>
      </c>
      <c r="AV176" s="362">
        <f t="shared" ca="1" si="66"/>
        <v>0</v>
      </c>
      <c r="AW176" s="362">
        <f t="shared" ca="1" si="66"/>
        <v>19465</v>
      </c>
      <c r="AX176" s="362">
        <f t="shared" ca="1" si="66"/>
        <v>390.68231228680816</v>
      </c>
      <c r="AY176" s="362">
        <f t="shared" ca="1" si="66"/>
        <v>0</v>
      </c>
      <c r="AZ176" s="362">
        <f t="shared" ca="1" si="68"/>
        <v>0</v>
      </c>
      <c r="BA176" s="362">
        <f t="shared" ca="1" si="68"/>
        <v>37042.442264402649</v>
      </c>
      <c r="BB176" s="362">
        <f t="shared" ca="1" si="68"/>
        <v>0</v>
      </c>
      <c r="BC176" s="362">
        <f t="shared" ca="1" si="68"/>
        <v>0</v>
      </c>
      <c r="BD176" s="362">
        <f t="shared" ca="1" si="68"/>
        <v>0</v>
      </c>
      <c r="BE176" s="362">
        <f t="shared" ca="1" si="68"/>
        <v>0</v>
      </c>
      <c r="BF176" s="362">
        <f t="shared" ca="1" si="68"/>
        <v>57284.775000000001</v>
      </c>
      <c r="BG176" s="362">
        <f t="shared" ca="1" si="68"/>
        <v>60132.974999999991</v>
      </c>
      <c r="BH176" s="362">
        <f t="shared" ca="1" si="68"/>
        <v>66165.424999999988</v>
      </c>
      <c r="BI176" s="362">
        <f t="shared" ca="1" si="68"/>
        <v>0</v>
      </c>
      <c r="BJ176" s="362">
        <f t="shared" ca="1" si="68"/>
        <v>199440.01548400958</v>
      </c>
      <c r="BK176" s="362">
        <f t="shared" ca="1" si="68"/>
        <v>67810.881054210011</v>
      </c>
      <c r="BL176" s="362">
        <f t="shared" ca="1" si="68"/>
        <v>0</v>
      </c>
      <c r="BM176" s="362"/>
    </row>
    <row r="177" spans="27:65">
      <c r="AA177" s="360">
        <f t="shared" si="60"/>
        <v>2037</v>
      </c>
      <c r="AB177" s="362">
        <f>UtilityDemand!G39</f>
        <v>268073.02092494071</v>
      </c>
      <c r="AC177" s="362"/>
      <c r="AD177" s="362">
        <f t="shared" ca="1" si="61"/>
        <v>-249057.69220809563</v>
      </c>
      <c r="AE177" s="362"/>
      <c r="AF177" s="362" t="str">
        <f t="shared" ca="1" si="67"/>
        <v/>
      </c>
      <c r="AG177" s="362" t="str">
        <f t="shared" ca="1" si="67"/>
        <v/>
      </c>
      <c r="AH177" s="362" t="str">
        <f t="shared" ca="1" si="67"/>
        <v/>
      </c>
      <c r="AI177" s="362" t="str">
        <f t="shared" ca="1" si="67"/>
        <v/>
      </c>
      <c r="AJ177" s="362" t="str">
        <f t="shared" ca="1" si="67"/>
        <v/>
      </c>
      <c r="AK177" s="362" t="str">
        <f t="shared" ca="1" si="67"/>
        <v/>
      </c>
      <c r="AL177" s="362" t="str">
        <f t="shared" ca="1" si="67"/>
        <v/>
      </c>
      <c r="AM177" s="362" t="str">
        <f t="shared" ca="1" si="67"/>
        <v/>
      </c>
      <c r="AN177" s="362" t="str">
        <f t="shared" ca="1" si="67"/>
        <v/>
      </c>
      <c r="AO177" s="362" t="str">
        <f t="shared" ca="1" si="67"/>
        <v/>
      </c>
      <c r="AP177" s="362" t="str">
        <f t="shared" ca="1" si="66"/>
        <v/>
      </c>
      <c r="AQ177" s="362" t="str">
        <f t="shared" ca="1" si="66"/>
        <v/>
      </c>
      <c r="AR177" s="362" t="str">
        <f t="shared" ca="1" si="66"/>
        <v/>
      </c>
      <c r="AS177" s="362" t="str">
        <f t="shared" ca="1" si="66"/>
        <v/>
      </c>
      <c r="AT177" s="362" t="str">
        <f t="shared" ca="1" si="66"/>
        <v/>
      </c>
      <c r="AU177" s="362" t="str">
        <f t="shared" ca="1" si="66"/>
        <v/>
      </c>
      <c r="AV177" s="362">
        <f t="shared" ca="1" si="66"/>
        <v>0</v>
      </c>
      <c r="AW177" s="362">
        <f t="shared" ca="1" si="66"/>
        <v>19465</v>
      </c>
      <c r="AX177" s="362">
        <f t="shared" ca="1" si="66"/>
        <v>390.68231228680816</v>
      </c>
      <c r="AY177" s="362">
        <f t="shared" ca="1" si="66"/>
        <v>0</v>
      </c>
      <c r="AZ177" s="362">
        <f t="shared" ca="1" si="68"/>
        <v>0</v>
      </c>
      <c r="BA177" s="362">
        <f t="shared" ca="1" si="68"/>
        <v>37377.906229589673</v>
      </c>
      <c r="BB177" s="362">
        <f t="shared" ca="1" si="68"/>
        <v>0</v>
      </c>
      <c r="BC177" s="362">
        <f t="shared" ca="1" si="68"/>
        <v>0</v>
      </c>
      <c r="BD177" s="362">
        <f t="shared" ca="1" si="68"/>
        <v>0</v>
      </c>
      <c r="BE177" s="362">
        <f t="shared" ca="1" si="68"/>
        <v>0</v>
      </c>
      <c r="BF177" s="362">
        <f t="shared" ca="1" si="68"/>
        <v>57284.775000000001</v>
      </c>
      <c r="BG177" s="362">
        <f t="shared" ca="1" si="68"/>
        <v>60132.974999999991</v>
      </c>
      <c r="BH177" s="362">
        <f t="shared" ca="1" si="68"/>
        <v>66165.424999999988</v>
      </c>
      <c r="BI177" s="362">
        <f t="shared" ca="1" si="68"/>
        <v>0</v>
      </c>
      <c r="BJ177" s="362">
        <f t="shared" ca="1" si="68"/>
        <v>206826.68272415805</v>
      </c>
      <c r="BK177" s="362">
        <f t="shared" ca="1" si="68"/>
        <v>69487.266867001832</v>
      </c>
      <c r="BL177" s="362">
        <f t="shared" ca="1" si="68"/>
        <v>0</v>
      </c>
      <c r="BM177" s="362"/>
    </row>
    <row r="178" spans="27:65">
      <c r="AA178" s="360">
        <f t="shared" si="60"/>
        <v>2038</v>
      </c>
      <c r="AB178" s="362">
        <f>UtilityDemand!G40</f>
        <v>271137.55548754439</v>
      </c>
      <c r="AC178" s="362"/>
      <c r="AD178" s="362">
        <f t="shared" ca="1" si="61"/>
        <v>-255391.67466361925</v>
      </c>
      <c r="AE178" s="362"/>
      <c r="AF178" s="362" t="str">
        <f t="shared" ca="1" si="67"/>
        <v/>
      </c>
      <c r="AG178" s="362" t="str">
        <f t="shared" ca="1" si="67"/>
        <v/>
      </c>
      <c r="AH178" s="362" t="str">
        <f t="shared" ca="1" si="67"/>
        <v/>
      </c>
      <c r="AI178" s="362" t="str">
        <f t="shared" ca="1" si="67"/>
        <v/>
      </c>
      <c r="AJ178" s="362" t="str">
        <f t="shared" ca="1" si="67"/>
        <v/>
      </c>
      <c r="AK178" s="362" t="str">
        <f t="shared" ca="1" si="67"/>
        <v/>
      </c>
      <c r="AL178" s="362" t="str">
        <f t="shared" ca="1" si="67"/>
        <v/>
      </c>
      <c r="AM178" s="362" t="str">
        <f t="shared" ca="1" si="67"/>
        <v/>
      </c>
      <c r="AN178" s="362" t="str">
        <f t="shared" ca="1" si="67"/>
        <v/>
      </c>
      <c r="AO178" s="362" t="str">
        <f t="shared" ca="1" si="67"/>
        <v/>
      </c>
      <c r="AP178" s="362" t="str">
        <f t="shared" ca="1" si="66"/>
        <v/>
      </c>
      <c r="AQ178" s="362" t="str">
        <f t="shared" ca="1" si="66"/>
        <v/>
      </c>
      <c r="AR178" s="362" t="str">
        <f t="shared" ca="1" si="66"/>
        <v/>
      </c>
      <c r="AS178" s="362" t="str">
        <f t="shared" ca="1" si="66"/>
        <v/>
      </c>
      <c r="AT178" s="362" t="str">
        <f t="shared" ca="1" si="66"/>
        <v/>
      </c>
      <c r="AU178" s="362" t="str">
        <f t="shared" ca="1" si="66"/>
        <v/>
      </c>
      <c r="AV178" s="362">
        <f t="shared" ca="1" si="66"/>
        <v>0</v>
      </c>
      <c r="AW178" s="362">
        <f t="shared" ca="1" si="66"/>
        <v>19465</v>
      </c>
      <c r="AX178" s="362">
        <f t="shared" ca="1" si="66"/>
        <v>390.68231228680816</v>
      </c>
      <c r="AY178" s="362">
        <f t="shared" ca="1" si="66"/>
        <v>0</v>
      </c>
      <c r="AZ178" s="362">
        <f t="shared" ca="1" si="68"/>
        <v>0</v>
      </c>
      <c r="BA178" s="362">
        <f t="shared" ca="1" si="68"/>
        <v>37713.370194776682</v>
      </c>
      <c r="BB178" s="362">
        <f t="shared" ca="1" si="68"/>
        <v>0</v>
      </c>
      <c r="BC178" s="362">
        <f t="shared" ca="1" si="68"/>
        <v>0</v>
      </c>
      <c r="BD178" s="362">
        <f t="shared" ca="1" si="68"/>
        <v>0</v>
      </c>
      <c r="BE178" s="362">
        <f t="shared" ca="1" si="68"/>
        <v>0</v>
      </c>
      <c r="BF178" s="362">
        <f t="shared" ca="1" si="68"/>
        <v>57284.775000000001</v>
      </c>
      <c r="BG178" s="362">
        <f t="shared" ca="1" si="68"/>
        <v>60132.974999999991</v>
      </c>
      <c r="BH178" s="362">
        <f t="shared" ca="1" si="68"/>
        <v>66165.424999999988</v>
      </c>
      <c r="BI178" s="362">
        <f t="shared" ca="1" si="68"/>
        <v>0</v>
      </c>
      <c r="BJ178" s="362">
        <f t="shared" ca="1" si="68"/>
        <v>214213.34996430657</v>
      </c>
      <c r="BK178" s="362">
        <f t="shared" ca="1" si="68"/>
        <v>71163.652679793566</v>
      </c>
      <c r="BL178" s="362">
        <f t="shared" ca="1" si="68"/>
        <v>0</v>
      </c>
      <c r="BM178" s="362"/>
    </row>
    <row r="179" spans="27:65">
      <c r="AA179" s="360">
        <f t="shared" si="60"/>
        <v>2039</v>
      </c>
      <c r="AB179" s="362">
        <f>UtilityDemand!G41</f>
        <v>274202.09005014808</v>
      </c>
      <c r="AC179" s="362"/>
      <c r="AD179" s="362">
        <f t="shared" ca="1" si="61"/>
        <v>-261725.65711914282</v>
      </c>
      <c r="AE179" s="362"/>
      <c r="AF179" s="362" t="str">
        <f t="shared" ca="1" si="67"/>
        <v/>
      </c>
      <c r="AG179" s="362" t="str">
        <f t="shared" ca="1" si="67"/>
        <v/>
      </c>
      <c r="AH179" s="362" t="str">
        <f t="shared" ca="1" si="67"/>
        <v/>
      </c>
      <c r="AI179" s="362" t="str">
        <f t="shared" ca="1" si="67"/>
        <v/>
      </c>
      <c r="AJ179" s="362" t="str">
        <f t="shared" ca="1" si="67"/>
        <v/>
      </c>
      <c r="AK179" s="362" t="str">
        <f t="shared" ca="1" si="67"/>
        <v/>
      </c>
      <c r="AL179" s="362" t="str">
        <f t="shared" ca="1" si="67"/>
        <v/>
      </c>
      <c r="AM179" s="362" t="str">
        <f t="shared" ca="1" si="67"/>
        <v/>
      </c>
      <c r="AN179" s="362" t="str">
        <f t="shared" ca="1" si="67"/>
        <v/>
      </c>
      <c r="AO179" s="362" t="str">
        <f t="shared" ca="1" si="67"/>
        <v/>
      </c>
      <c r="AP179" s="362" t="str">
        <f t="shared" ca="1" si="66"/>
        <v/>
      </c>
      <c r="AQ179" s="362" t="str">
        <f t="shared" ca="1" si="66"/>
        <v/>
      </c>
      <c r="AR179" s="362" t="str">
        <f t="shared" ca="1" si="66"/>
        <v/>
      </c>
      <c r="AS179" s="362" t="str">
        <f t="shared" ca="1" si="66"/>
        <v/>
      </c>
      <c r="AT179" s="362" t="str">
        <f t="shared" ca="1" si="66"/>
        <v/>
      </c>
      <c r="AU179" s="362" t="str">
        <f t="shared" ca="1" si="66"/>
        <v/>
      </c>
      <c r="AV179" s="362">
        <f t="shared" ca="1" si="66"/>
        <v>0</v>
      </c>
      <c r="AW179" s="362">
        <f t="shared" ca="1" si="66"/>
        <v>19465</v>
      </c>
      <c r="AX179" s="362">
        <f t="shared" ca="1" si="66"/>
        <v>390.68231228680816</v>
      </c>
      <c r="AY179" s="362">
        <f t="shared" ca="1" si="66"/>
        <v>0</v>
      </c>
      <c r="AZ179" s="362">
        <f t="shared" ca="1" si="68"/>
        <v>0</v>
      </c>
      <c r="BA179" s="362">
        <f t="shared" ca="1" si="68"/>
        <v>38048.834159963699</v>
      </c>
      <c r="BB179" s="362">
        <f t="shared" ca="1" si="68"/>
        <v>0</v>
      </c>
      <c r="BC179" s="362">
        <f t="shared" ca="1" si="68"/>
        <v>0</v>
      </c>
      <c r="BD179" s="362">
        <f t="shared" ca="1" si="68"/>
        <v>0</v>
      </c>
      <c r="BE179" s="362">
        <f t="shared" ca="1" si="68"/>
        <v>0</v>
      </c>
      <c r="BF179" s="362">
        <f t="shared" ca="1" si="68"/>
        <v>57284.775000000001</v>
      </c>
      <c r="BG179" s="362">
        <f t="shared" ca="1" si="68"/>
        <v>60132.974999999991</v>
      </c>
      <c r="BH179" s="362">
        <f t="shared" ca="1" si="68"/>
        <v>66165.424999999988</v>
      </c>
      <c r="BI179" s="362">
        <f t="shared" ca="1" si="68"/>
        <v>0</v>
      </c>
      <c r="BJ179" s="362">
        <f t="shared" ca="1" si="68"/>
        <v>221600.01720445513</v>
      </c>
      <c r="BK179" s="362">
        <f t="shared" ca="1" si="68"/>
        <v>72840.038492585314</v>
      </c>
      <c r="BL179" s="362">
        <f t="shared" ca="1" si="68"/>
        <v>0</v>
      </c>
      <c r="BM179" s="362"/>
    </row>
    <row r="180" spans="27:65">
      <c r="AA180" s="360">
        <f t="shared" si="60"/>
        <v>2040</v>
      </c>
      <c r="AB180" s="362">
        <f>UtilityDemand!G42</f>
        <v>277266.62461275177</v>
      </c>
      <c r="AC180" s="362"/>
      <c r="AD180" s="362">
        <f t="shared" ca="1" si="61"/>
        <v>-268059.63957466651</v>
      </c>
      <c r="AE180" s="362"/>
      <c r="AF180" s="362" t="str">
        <f t="shared" ca="1" si="67"/>
        <v/>
      </c>
      <c r="AG180" s="362" t="str">
        <f t="shared" ca="1" si="67"/>
        <v/>
      </c>
      <c r="AH180" s="362" t="str">
        <f t="shared" ca="1" si="67"/>
        <v/>
      </c>
      <c r="AI180" s="362" t="str">
        <f t="shared" ca="1" si="67"/>
        <v/>
      </c>
      <c r="AJ180" s="362" t="str">
        <f t="shared" ca="1" si="67"/>
        <v/>
      </c>
      <c r="AK180" s="362" t="str">
        <f t="shared" ca="1" si="67"/>
        <v/>
      </c>
      <c r="AL180" s="362" t="str">
        <f t="shared" ca="1" si="67"/>
        <v/>
      </c>
      <c r="AM180" s="362" t="str">
        <f t="shared" ca="1" si="67"/>
        <v/>
      </c>
      <c r="AN180" s="362" t="str">
        <f t="shared" ca="1" si="67"/>
        <v/>
      </c>
      <c r="AO180" s="362" t="str">
        <f t="shared" ca="1" si="67"/>
        <v/>
      </c>
      <c r="AP180" s="362" t="str">
        <f t="shared" ca="1" si="66"/>
        <v/>
      </c>
      <c r="AQ180" s="362" t="str">
        <f t="shared" ca="1" si="66"/>
        <v/>
      </c>
      <c r="AR180" s="362" t="str">
        <f t="shared" ca="1" si="66"/>
        <v/>
      </c>
      <c r="AS180" s="362" t="str">
        <f t="shared" ca="1" si="66"/>
        <v/>
      </c>
      <c r="AT180" s="362" t="str">
        <f t="shared" ca="1" si="66"/>
        <v/>
      </c>
      <c r="AU180" s="362" t="str">
        <f t="shared" ca="1" si="66"/>
        <v/>
      </c>
      <c r="AV180" s="362">
        <f t="shared" ca="1" si="66"/>
        <v>0</v>
      </c>
      <c r="AW180" s="362">
        <f t="shared" ca="1" si="66"/>
        <v>19465</v>
      </c>
      <c r="AX180" s="362">
        <f t="shared" ca="1" si="66"/>
        <v>390.68231228680816</v>
      </c>
      <c r="AY180" s="362">
        <f t="shared" ca="1" si="66"/>
        <v>0</v>
      </c>
      <c r="AZ180" s="362">
        <f t="shared" ca="1" si="68"/>
        <v>0</v>
      </c>
      <c r="BA180" s="362">
        <f t="shared" ca="1" si="68"/>
        <v>38384.298125150708</v>
      </c>
      <c r="BB180" s="362">
        <f t="shared" ca="1" si="68"/>
        <v>0</v>
      </c>
      <c r="BC180" s="362">
        <f t="shared" ca="1" si="68"/>
        <v>0</v>
      </c>
      <c r="BD180" s="362">
        <f t="shared" ca="1" si="68"/>
        <v>0</v>
      </c>
      <c r="BE180" s="362">
        <f t="shared" ca="1" si="68"/>
        <v>0</v>
      </c>
      <c r="BF180" s="362">
        <f t="shared" ca="1" si="68"/>
        <v>57284.775000000001</v>
      </c>
      <c r="BG180" s="362">
        <f t="shared" ca="1" si="68"/>
        <v>60132.974999999991</v>
      </c>
      <c r="BH180" s="362">
        <f t="shared" ca="1" si="68"/>
        <v>66165.424999999988</v>
      </c>
      <c r="BI180" s="362">
        <f t="shared" ca="1" si="68"/>
        <v>0</v>
      </c>
      <c r="BJ180" s="362">
        <f t="shared" ca="1" si="68"/>
        <v>228986.68444460357</v>
      </c>
      <c r="BK180" s="362">
        <f t="shared" ca="1" si="68"/>
        <v>74516.42430537715</v>
      </c>
      <c r="BL180" s="362">
        <f t="shared" ca="1" si="68"/>
        <v>0</v>
      </c>
      <c r="BM180" s="362"/>
    </row>
    <row r="181" spans="27:65">
      <c r="AA181" s="360">
        <f t="shared" si="60"/>
        <v>2041</v>
      </c>
      <c r="AB181" s="362">
        <f>UtilityDemand!G43</f>
        <v>280331.15917535545</v>
      </c>
      <c r="AC181" s="362"/>
      <c r="AD181" s="362">
        <f t="shared" ca="1" si="61"/>
        <v>-274393.62203019019</v>
      </c>
      <c r="AE181" s="362"/>
      <c r="AF181" s="362" t="str">
        <f t="shared" ca="1" si="67"/>
        <v/>
      </c>
      <c r="AG181" s="362" t="str">
        <f t="shared" ca="1" si="67"/>
        <v/>
      </c>
      <c r="AH181" s="362" t="str">
        <f t="shared" ca="1" si="67"/>
        <v/>
      </c>
      <c r="AI181" s="362" t="str">
        <f t="shared" ca="1" si="67"/>
        <v/>
      </c>
      <c r="AJ181" s="362" t="str">
        <f t="shared" ca="1" si="67"/>
        <v/>
      </c>
      <c r="AK181" s="362" t="str">
        <f t="shared" ca="1" si="67"/>
        <v/>
      </c>
      <c r="AL181" s="362" t="str">
        <f t="shared" ca="1" si="67"/>
        <v/>
      </c>
      <c r="AM181" s="362" t="str">
        <f t="shared" ca="1" si="67"/>
        <v/>
      </c>
      <c r="AN181" s="362" t="str">
        <f t="shared" ca="1" si="67"/>
        <v/>
      </c>
      <c r="AO181" s="362" t="str">
        <f t="shared" ca="1" si="67"/>
        <v/>
      </c>
      <c r="AP181" s="362" t="str">
        <f t="shared" ca="1" si="67"/>
        <v/>
      </c>
      <c r="AQ181" s="362" t="str">
        <f t="shared" ca="1" si="67"/>
        <v/>
      </c>
      <c r="AR181" s="362" t="str">
        <f t="shared" ca="1" si="67"/>
        <v/>
      </c>
      <c r="AS181" s="362" t="str">
        <f t="shared" ca="1" si="67"/>
        <v/>
      </c>
      <c r="AT181" s="362" t="str">
        <f t="shared" ca="1" si="67"/>
        <v/>
      </c>
      <c r="AU181" s="362" t="str">
        <f t="shared" ca="1" si="67"/>
        <v/>
      </c>
      <c r="AV181" s="362">
        <f t="shared" ref="AP181:BE190" ca="1" si="69">IFERROR(-HLOOKUP(AV$50,NGConsTable,$AA181-$AA$103+2,FALSE),"")</f>
        <v>0</v>
      </c>
      <c r="AW181" s="362">
        <f t="shared" ca="1" si="69"/>
        <v>19465</v>
      </c>
      <c r="AX181" s="362">
        <f t="shared" ca="1" si="69"/>
        <v>390.68231228680816</v>
      </c>
      <c r="AY181" s="362">
        <f t="shared" ca="1" si="69"/>
        <v>0</v>
      </c>
      <c r="AZ181" s="362">
        <f t="shared" ca="1" si="68"/>
        <v>0</v>
      </c>
      <c r="BA181" s="362">
        <f t="shared" ca="1" si="68"/>
        <v>38719.762090337725</v>
      </c>
      <c r="BB181" s="362">
        <f t="shared" ca="1" si="68"/>
        <v>0</v>
      </c>
      <c r="BC181" s="362">
        <f t="shared" ca="1" si="68"/>
        <v>0</v>
      </c>
      <c r="BD181" s="362">
        <f t="shared" ca="1" si="68"/>
        <v>0</v>
      </c>
      <c r="BE181" s="362">
        <f t="shared" ca="1" si="68"/>
        <v>0</v>
      </c>
      <c r="BF181" s="362">
        <f t="shared" ca="1" si="68"/>
        <v>57284.775000000001</v>
      </c>
      <c r="BG181" s="362">
        <f t="shared" ca="1" si="68"/>
        <v>60132.974999999991</v>
      </c>
      <c r="BH181" s="362">
        <f t="shared" ca="1" si="68"/>
        <v>66165.424999999988</v>
      </c>
      <c r="BI181" s="362">
        <f t="shared" ca="1" si="68"/>
        <v>0</v>
      </c>
      <c r="BJ181" s="362">
        <f t="shared" ca="1" si="68"/>
        <v>236373.3516847521</v>
      </c>
      <c r="BK181" s="362">
        <f t="shared" ca="1" si="68"/>
        <v>76192.810118169058</v>
      </c>
      <c r="BL181" s="362">
        <f t="shared" ca="1" si="68"/>
        <v>0</v>
      </c>
      <c r="BM181" s="362"/>
    </row>
    <row r="182" spans="27:65">
      <c r="AA182" s="360">
        <f t="shared" si="60"/>
        <v>2042</v>
      </c>
      <c r="AB182" s="362">
        <f>UtilityDemand!G44</f>
        <v>283395.69373795914</v>
      </c>
      <c r="AC182" s="362"/>
      <c r="AD182" s="362">
        <f t="shared" ca="1" si="61"/>
        <v>-280727.60448571388</v>
      </c>
      <c r="AE182" s="362"/>
      <c r="AF182" s="362" t="str">
        <f t="shared" ref="AF182:AO190" ca="1" si="70">IFERROR(-HLOOKUP(AF$50,NGConsTable,$AA182-$AA$103+2,FALSE),"")</f>
        <v/>
      </c>
      <c r="AG182" s="362" t="str">
        <f t="shared" ca="1" si="70"/>
        <v/>
      </c>
      <c r="AH182" s="362" t="str">
        <f t="shared" ca="1" si="70"/>
        <v/>
      </c>
      <c r="AI182" s="362" t="str">
        <f t="shared" ca="1" si="70"/>
        <v/>
      </c>
      <c r="AJ182" s="362" t="str">
        <f t="shared" ca="1" si="70"/>
        <v/>
      </c>
      <c r="AK182" s="362" t="str">
        <f t="shared" ca="1" si="70"/>
        <v/>
      </c>
      <c r="AL182" s="362" t="str">
        <f t="shared" ca="1" si="70"/>
        <v/>
      </c>
      <c r="AM182" s="362" t="str">
        <f t="shared" ca="1" si="70"/>
        <v/>
      </c>
      <c r="AN182" s="362" t="str">
        <f t="shared" ca="1" si="70"/>
        <v/>
      </c>
      <c r="AO182" s="362" t="str">
        <f t="shared" ca="1" si="70"/>
        <v/>
      </c>
      <c r="AP182" s="362" t="str">
        <f t="shared" ca="1" si="69"/>
        <v/>
      </c>
      <c r="AQ182" s="362" t="str">
        <f t="shared" ca="1" si="69"/>
        <v/>
      </c>
      <c r="AR182" s="362" t="str">
        <f t="shared" ca="1" si="69"/>
        <v/>
      </c>
      <c r="AS182" s="362" t="str">
        <f t="shared" ca="1" si="69"/>
        <v/>
      </c>
      <c r="AT182" s="362" t="str">
        <f t="shared" ca="1" si="69"/>
        <v/>
      </c>
      <c r="AU182" s="362" t="str">
        <f t="shared" ca="1" si="69"/>
        <v/>
      </c>
      <c r="AV182" s="362">
        <f t="shared" ca="1" si="69"/>
        <v>0</v>
      </c>
      <c r="AW182" s="362">
        <f t="shared" ca="1" si="69"/>
        <v>19465</v>
      </c>
      <c r="AX182" s="362">
        <f t="shared" ca="1" si="69"/>
        <v>390.68231228680816</v>
      </c>
      <c r="AY182" s="362">
        <f t="shared" ca="1" si="69"/>
        <v>0</v>
      </c>
      <c r="AZ182" s="362">
        <f t="shared" ca="1" si="69"/>
        <v>0</v>
      </c>
      <c r="BA182" s="362">
        <f t="shared" ca="1" si="69"/>
        <v>39055.226055524734</v>
      </c>
      <c r="BB182" s="362">
        <f t="shared" ca="1" si="69"/>
        <v>0</v>
      </c>
      <c r="BC182" s="362">
        <f t="shared" ca="1" si="69"/>
        <v>0</v>
      </c>
      <c r="BD182" s="362">
        <f t="shared" ca="1" si="69"/>
        <v>0</v>
      </c>
      <c r="BE182" s="362">
        <f t="shared" ca="1" si="69"/>
        <v>0</v>
      </c>
      <c r="BF182" s="362">
        <f t="shared" ref="AZ182:BL190" ca="1" si="71">IFERROR(-HLOOKUP(BF$50,NGConsTable,$AA182-$AA$103+2,FALSE),"")</f>
        <v>57284.775000000001</v>
      </c>
      <c r="BG182" s="362">
        <f t="shared" ca="1" si="71"/>
        <v>60132.974999999991</v>
      </c>
      <c r="BH182" s="362">
        <f t="shared" ca="1" si="71"/>
        <v>66165.424999999988</v>
      </c>
      <c r="BI182" s="362">
        <f t="shared" ca="1" si="71"/>
        <v>0</v>
      </c>
      <c r="BJ182" s="362">
        <f t="shared" ca="1" si="71"/>
        <v>243760.01892490065</v>
      </c>
      <c r="BK182" s="362">
        <f t="shared" ca="1" si="71"/>
        <v>77869.195930960792</v>
      </c>
      <c r="BL182" s="362">
        <f t="shared" ca="1" si="71"/>
        <v>0</v>
      </c>
      <c r="BM182" s="362"/>
    </row>
    <row r="183" spans="27:65">
      <c r="AA183" s="360">
        <f t="shared" si="60"/>
        <v>2043</v>
      </c>
      <c r="AB183" s="362">
        <f>UtilityDemand!G45</f>
        <v>286460.22830056283</v>
      </c>
      <c r="AC183" s="362"/>
      <c r="AD183" s="362">
        <f t="shared" ca="1" si="61"/>
        <v>-287061.58694123744</v>
      </c>
      <c r="AE183" s="362"/>
      <c r="AF183" s="362" t="str">
        <f t="shared" ca="1" si="70"/>
        <v/>
      </c>
      <c r="AG183" s="362" t="str">
        <f t="shared" ca="1" si="70"/>
        <v/>
      </c>
      <c r="AH183" s="362" t="str">
        <f t="shared" ca="1" si="70"/>
        <v/>
      </c>
      <c r="AI183" s="362" t="str">
        <f t="shared" ca="1" si="70"/>
        <v/>
      </c>
      <c r="AJ183" s="362" t="str">
        <f t="shared" ca="1" si="70"/>
        <v/>
      </c>
      <c r="AK183" s="362" t="str">
        <f t="shared" ca="1" si="70"/>
        <v/>
      </c>
      <c r="AL183" s="362" t="str">
        <f t="shared" ca="1" si="70"/>
        <v/>
      </c>
      <c r="AM183" s="362" t="str">
        <f t="shared" ca="1" si="70"/>
        <v/>
      </c>
      <c r="AN183" s="362" t="str">
        <f t="shared" ca="1" si="70"/>
        <v/>
      </c>
      <c r="AO183" s="362" t="str">
        <f t="shared" ca="1" si="70"/>
        <v/>
      </c>
      <c r="AP183" s="362" t="str">
        <f t="shared" ca="1" si="69"/>
        <v/>
      </c>
      <c r="AQ183" s="362" t="str">
        <f t="shared" ca="1" si="69"/>
        <v/>
      </c>
      <c r="AR183" s="362" t="str">
        <f t="shared" ca="1" si="69"/>
        <v/>
      </c>
      <c r="AS183" s="362" t="str">
        <f t="shared" ca="1" si="69"/>
        <v/>
      </c>
      <c r="AT183" s="362" t="str">
        <f t="shared" ca="1" si="69"/>
        <v/>
      </c>
      <c r="AU183" s="362" t="str">
        <f t="shared" ca="1" si="69"/>
        <v/>
      </c>
      <c r="AV183" s="362">
        <f t="shared" ca="1" si="69"/>
        <v>0</v>
      </c>
      <c r="AW183" s="362">
        <f t="shared" ca="1" si="69"/>
        <v>19465</v>
      </c>
      <c r="AX183" s="362">
        <f t="shared" ca="1" si="69"/>
        <v>390.68231228680816</v>
      </c>
      <c r="AY183" s="362">
        <f t="shared" ca="1" si="69"/>
        <v>0</v>
      </c>
      <c r="AZ183" s="362">
        <f t="shared" ca="1" si="71"/>
        <v>0</v>
      </c>
      <c r="BA183" s="362">
        <f t="shared" ca="1" si="71"/>
        <v>39390.690020711751</v>
      </c>
      <c r="BB183" s="362">
        <f t="shared" ca="1" si="71"/>
        <v>0</v>
      </c>
      <c r="BC183" s="362">
        <f t="shared" ca="1" si="71"/>
        <v>0</v>
      </c>
      <c r="BD183" s="362">
        <f t="shared" ca="1" si="71"/>
        <v>0</v>
      </c>
      <c r="BE183" s="362">
        <f t="shared" ca="1" si="71"/>
        <v>0</v>
      </c>
      <c r="BF183" s="362">
        <f t="shared" ca="1" si="71"/>
        <v>57284.775000000001</v>
      </c>
      <c r="BG183" s="362">
        <f t="shared" ca="1" si="71"/>
        <v>60132.974999999991</v>
      </c>
      <c r="BH183" s="362">
        <f t="shared" ca="1" si="71"/>
        <v>66165.424999999988</v>
      </c>
      <c r="BI183" s="362">
        <f t="shared" ca="1" si="71"/>
        <v>0</v>
      </c>
      <c r="BJ183" s="362">
        <f t="shared" ca="1" si="71"/>
        <v>251146.68616504909</v>
      </c>
      <c r="BK183" s="362">
        <f t="shared" ca="1" si="71"/>
        <v>79545.581743752642</v>
      </c>
      <c r="BL183" s="362">
        <f t="shared" ca="1" si="71"/>
        <v>0</v>
      </c>
      <c r="BM183" s="362"/>
    </row>
    <row r="184" spans="27:65">
      <c r="AA184" s="360">
        <f t="shared" si="60"/>
        <v>2044</v>
      </c>
      <c r="AB184" s="362">
        <f>UtilityDemand!G46</f>
        <v>289524.76286316651</v>
      </c>
      <c r="AC184" s="362"/>
      <c r="AD184" s="362">
        <f t="shared" ca="1" si="61"/>
        <v>-293395.56939676101</v>
      </c>
      <c r="AE184" s="362"/>
      <c r="AF184" s="362" t="str">
        <f t="shared" ca="1" si="70"/>
        <v/>
      </c>
      <c r="AG184" s="362" t="str">
        <f t="shared" ca="1" si="70"/>
        <v/>
      </c>
      <c r="AH184" s="362" t="str">
        <f t="shared" ca="1" si="70"/>
        <v/>
      </c>
      <c r="AI184" s="362" t="str">
        <f t="shared" ca="1" si="70"/>
        <v/>
      </c>
      <c r="AJ184" s="362" t="str">
        <f t="shared" ca="1" si="70"/>
        <v/>
      </c>
      <c r="AK184" s="362" t="str">
        <f t="shared" ca="1" si="70"/>
        <v/>
      </c>
      <c r="AL184" s="362" t="str">
        <f t="shared" ca="1" si="70"/>
        <v/>
      </c>
      <c r="AM184" s="362" t="str">
        <f t="shared" ca="1" si="70"/>
        <v/>
      </c>
      <c r="AN184" s="362" t="str">
        <f t="shared" ca="1" si="70"/>
        <v/>
      </c>
      <c r="AO184" s="362" t="str">
        <f t="shared" ca="1" si="70"/>
        <v/>
      </c>
      <c r="AP184" s="362" t="str">
        <f t="shared" ca="1" si="69"/>
        <v/>
      </c>
      <c r="AQ184" s="362" t="str">
        <f t="shared" ca="1" si="69"/>
        <v/>
      </c>
      <c r="AR184" s="362" t="str">
        <f t="shared" ca="1" si="69"/>
        <v/>
      </c>
      <c r="AS184" s="362" t="str">
        <f t="shared" ca="1" si="69"/>
        <v/>
      </c>
      <c r="AT184" s="362" t="str">
        <f t="shared" ca="1" si="69"/>
        <v/>
      </c>
      <c r="AU184" s="362" t="str">
        <f t="shared" ca="1" si="69"/>
        <v/>
      </c>
      <c r="AV184" s="362">
        <f t="shared" ca="1" si="69"/>
        <v>0</v>
      </c>
      <c r="AW184" s="362">
        <f t="shared" ca="1" si="69"/>
        <v>19465</v>
      </c>
      <c r="AX184" s="362">
        <f t="shared" ca="1" si="69"/>
        <v>390.68231228680816</v>
      </c>
      <c r="AY184" s="362">
        <f t="shared" ca="1" si="69"/>
        <v>0</v>
      </c>
      <c r="AZ184" s="362">
        <f t="shared" ca="1" si="71"/>
        <v>0</v>
      </c>
      <c r="BA184" s="362">
        <f t="shared" ca="1" si="71"/>
        <v>39726.153985898767</v>
      </c>
      <c r="BB184" s="362">
        <f t="shared" ca="1" si="71"/>
        <v>0</v>
      </c>
      <c r="BC184" s="362">
        <f t="shared" ca="1" si="71"/>
        <v>0</v>
      </c>
      <c r="BD184" s="362">
        <f t="shared" ca="1" si="71"/>
        <v>0</v>
      </c>
      <c r="BE184" s="362">
        <f t="shared" ca="1" si="71"/>
        <v>0</v>
      </c>
      <c r="BF184" s="362">
        <f t="shared" ca="1" si="71"/>
        <v>57284.775000000001</v>
      </c>
      <c r="BG184" s="362">
        <f t="shared" ca="1" si="71"/>
        <v>60132.974999999991</v>
      </c>
      <c r="BH184" s="362">
        <f t="shared" ca="1" si="71"/>
        <v>66165.424999999988</v>
      </c>
      <c r="BI184" s="362">
        <f t="shared" ca="1" si="71"/>
        <v>0</v>
      </c>
      <c r="BJ184" s="362">
        <f t="shared" ca="1" si="71"/>
        <v>258533.35340519765</v>
      </c>
      <c r="BK184" s="362">
        <f t="shared" ca="1" si="71"/>
        <v>81221.967556544376</v>
      </c>
      <c r="BL184" s="362">
        <f t="shared" ca="1" si="71"/>
        <v>0</v>
      </c>
      <c r="BM184" s="362"/>
    </row>
    <row r="185" spans="27:65">
      <c r="AA185" s="360">
        <f t="shared" si="60"/>
        <v>2045</v>
      </c>
      <c r="AB185" s="362">
        <f>UtilityDemand!G47</f>
        <v>292589.2974257702</v>
      </c>
      <c r="AC185" s="362"/>
      <c r="AD185" s="362">
        <f t="shared" ca="1" si="61"/>
        <v>-299729.5518522847</v>
      </c>
      <c r="AE185" s="362"/>
      <c r="AF185" s="362" t="str">
        <f t="shared" ca="1" si="70"/>
        <v/>
      </c>
      <c r="AG185" s="362" t="str">
        <f t="shared" ca="1" si="70"/>
        <v/>
      </c>
      <c r="AH185" s="362" t="str">
        <f t="shared" ca="1" si="70"/>
        <v/>
      </c>
      <c r="AI185" s="362" t="str">
        <f t="shared" ca="1" si="70"/>
        <v/>
      </c>
      <c r="AJ185" s="362" t="str">
        <f t="shared" ca="1" si="70"/>
        <v/>
      </c>
      <c r="AK185" s="362" t="str">
        <f t="shared" ca="1" si="70"/>
        <v/>
      </c>
      <c r="AL185" s="362" t="str">
        <f t="shared" ca="1" si="70"/>
        <v/>
      </c>
      <c r="AM185" s="362" t="str">
        <f t="shared" ca="1" si="70"/>
        <v/>
      </c>
      <c r="AN185" s="362" t="str">
        <f t="shared" ca="1" si="70"/>
        <v/>
      </c>
      <c r="AO185" s="362" t="str">
        <f t="shared" ca="1" si="70"/>
        <v/>
      </c>
      <c r="AP185" s="362" t="str">
        <f t="shared" ca="1" si="69"/>
        <v/>
      </c>
      <c r="AQ185" s="362" t="str">
        <f t="shared" ca="1" si="69"/>
        <v/>
      </c>
      <c r="AR185" s="362" t="str">
        <f t="shared" ca="1" si="69"/>
        <v/>
      </c>
      <c r="AS185" s="362" t="str">
        <f t="shared" ca="1" si="69"/>
        <v/>
      </c>
      <c r="AT185" s="362" t="str">
        <f t="shared" ca="1" si="69"/>
        <v/>
      </c>
      <c r="AU185" s="362" t="str">
        <f t="shared" ca="1" si="69"/>
        <v/>
      </c>
      <c r="AV185" s="362">
        <f t="shared" ca="1" si="69"/>
        <v>0</v>
      </c>
      <c r="AW185" s="362">
        <f t="shared" ca="1" si="69"/>
        <v>19465</v>
      </c>
      <c r="AX185" s="362">
        <f t="shared" ca="1" si="69"/>
        <v>390.68231228680816</v>
      </c>
      <c r="AY185" s="362">
        <f t="shared" ca="1" si="69"/>
        <v>0</v>
      </c>
      <c r="AZ185" s="362">
        <f t="shared" ca="1" si="71"/>
        <v>0</v>
      </c>
      <c r="BA185" s="362">
        <f t="shared" ca="1" si="71"/>
        <v>40061.617951085791</v>
      </c>
      <c r="BB185" s="362">
        <f t="shared" ca="1" si="71"/>
        <v>0</v>
      </c>
      <c r="BC185" s="362">
        <f t="shared" ca="1" si="71"/>
        <v>0</v>
      </c>
      <c r="BD185" s="362">
        <f t="shared" ca="1" si="71"/>
        <v>0</v>
      </c>
      <c r="BE185" s="362">
        <f t="shared" ca="1" si="71"/>
        <v>0</v>
      </c>
      <c r="BF185" s="362">
        <f t="shared" ca="1" si="71"/>
        <v>57284.775000000001</v>
      </c>
      <c r="BG185" s="362">
        <f t="shared" ca="1" si="71"/>
        <v>60132.974999999991</v>
      </c>
      <c r="BH185" s="362">
        <f t="shared" ca="1" si="71"/>
        <v>66165.424999999988</v>
      </c>
      <c r="BI185" s="362">
        <f t="shared" ca="1" si="71"/>
        <v>0</v>
      </c>
      <c r="BJ185" s="362">
        <f t="shared" ca="1" si="71"/>
        <v>265920.0206453462</v>
      </c>
      <c r="BK185" s="362">
        <f t="shared" ca="1" si="71"/>
        <v>82898.35336933611</v>
      </c>
      <c r="BL185" s="362">
        <f t="shared" ca="1" si="71"/>
        <v>0</v>
      </c>
      <c r="BM185" s="362"/>
    </row>
    <row r="186" spans="27:65">
      <c r="AA186" s="360">
        <f t="shared" si="60"/>
        <v>2046</v>
      </c>
      <c r="AB186" s="362">
        <f>UtilityDemand!G48</f>
        <v>295653.83198837389</v>
      </c>
      <c r="AC186" s="362"/>
      <c r="AD186" s="362">
        <f t="shared" ca="1" si="61"/>
        <v>-306063.53430780827</v>
      </c>
      <c r="AE186" s="362"/>
      <c r="AF186" s="362" t="str">
        <f t="shared" ca="1" si="70"/>
        <v/>
      </c>
      <c r="AG186" s="362" t="str">
        <f t="shared" ca="1" si="70"/>
        <v/>
      </c>
      <c r="AH186" s="362" t="str">
        <f t="shared" ca="1" si="70"/>
        <v/>
      </c>
      <c r="AI186" s="362" t="str">
        <f t="shared" ca="1" si="70"/>
        <v/>
      </c>
      <c r="AJ186" s="362" t="str">
        <f t="shared" ca="1" si="70"/>
        <v/>
      </c>
      <c r="AK186" s="362" t="str">
        <f t="shared" ca="1" si="70"/>
        <v/>
      </c>
      <c r="AL186" s="362" t="str">
        <f t="shared" ca="1" si="70"/>
        <v/>
      </c>
      <c r="AM186" s="362" t="str">
        <f t="shared" ca="1" si="70"/>
        <v/>
      </c>
      <c r="AN186" s="362" t="str">
        <f t="shared" ca="1" si="70"/>
        <v/>
      </c>
      <c r="AO186" s="362" t="str">
        <f t="shared" ca="1" si="70"/>
        <v/>
      </c>
      <c r="AP186" s="362" t="str">
        <f t="shared" ca="1" si="69"/>
        <v/>
      </c>
      <c r="AQ186" s="362" t="str">
        <f t="shared" ca="1" si="69"/>
        <v/>
      </c>
      <c r="AR186" s="362" t="str">
        <f t="shared" ca="1" si="69"/>
        <v/>
      </c>
      <c r="AS186" s="362" t="str">
        <f t="shared" ca="1" si="69"/>
        <v/>
      </c>
      <c r="AT186" s="362" t="str">
        <f t="shared" ca="1" si="69"/>
        <v/>
      </c>
      <c r="AU186" s="362" t="str">
        <f t="shared" ca="1" si="69"/>
        <v/>
      </c>
      <c r="AV186" s="362">
        <f t="shared" ca="1" si="69"/>
        <v>0</v>
      </c>
      <c r="AW186" s="362">
        <f t="shared" ca="1" si="69"/>
        <v>19465</v>
      </c>
      <c r="AX186" s="362">
        <f t="shared" ca="1" si="69"/>
        <v>390.68231228680816</v>
      </c>
      <c r="AY186" s="362">
        <f t="shared" ca="1" si="69"/>
        <v>0</v>
      </c>
      <c r="AZ186" s="362">
        <f t="shared" ca="1" si="71"/>
        <v>0</v>
      </c>
      <c r="BA186" s="362">
        <f t="shared" ca="1" si="71"/>
        <v>40397.081916272786</v>
      </c>
      <c r="BB186" s="362">
        <f t="shared" ca="1" si="71"/>
        <v>0</v>
      </c>
      <c r="BC186" s="362">
        <f t="shared" ca="1" si="71"/>
        <v>0</v>
      </c>
      <c r="BD186" s="362">
        <f t="shared" ca="1" si="71"/>
        <v>0</v>
      </c>
      <c r="BE186" s="362">
        <f t="shared" ca="1" si="71"/>
        <v>0</v>
      </c>
      <c r="BF186" s="362">
        <f t="shared" ca="1" si="71"/>
        <v>57284.775000000001</v>
      </c>
      <c r="BG186" s="362">
        <f t="shared" ca="1" si="71"/>
        <v>60132.974999999991</v>
      </c>
      <c r="BH186" s="362">
        <f t="shared" ca="1" si="71"/>
        <v>66165.424999999988</v>
      </c>
      <c r="BI186" s="362">
        <f t="shared" ca="1" si="71"/>
        <v>0</v>
      </c>
      <c r="BJ186" s="362">
        <f t="shared" ca="1" si="71"/>
        <v>273306.68788549461</v>
      </c>
      <c r="BK186" s="362">
        <f t="shared" ca="1" si="71"/>
        <v>84574.73918212796</v>
      </c>
      <c r="BL186" s="362">
        <f t="shared" ca="1" si="71"/>
        <v>0</v>
      </c>
      <c r="BM186" s="362"/>
    </row>
    <row r="187" spans="27:65">
      <c r="AA187" s="360">
        <f t="shared" si="60"/>
        <v>2047</v>
      </c>
      <c r="AB187" s="362">
        <f>UtilityDemand!G49</f>
        <v>298718.36655097757</v>
      </c>
      <c r="AC187" s="362"/>
      <c r="AD187" s="362">
        <f t="shared" ca="1" si="61"/>
        <v>-312397.51676333183</v>
      </c>
      <c r="AE187" s="362"/>
      <c r="AF187" s="362" t="str">
        <f t="shared" ca="1" si="70"/>
        <v/>
      </c>
      <c r="AG187" s="362" t="str">
        <f t="shared" ca="1" si="70"/>
        <v/>
      </c>
      <c r="AH187" s="362" t="str">
        <f t="shared" ca="1" si="70"/>
        <v/>
      </c>
      <c r="AI187" s="362" t="str">
        <f t="shared" ca="1" si="70"/>
        <v/>
      </c>
      <c r="AJ187" s="362" t="str">
        <f t="shared" ca="1" si="70"/>
        <v/>
      </c>
      <c r="AK187" s="362" t="str">
        <f t="shared" ca="1" si="70"/>
        <v/>
      </c>
      <c r="AL187" s="362" t="str">
        <f t="shared" ca="1" si="70"/>
        <v/>
      </c>
      <c r="AM187" s="362" t="str">
        <f t="shared" ca="1" si="70"/>
        <v/>
      </c>
      <c r="AN187" s="362" t="str">
        <f t="shared" ca="1" si="70"/>
        <v/>
      </c>
      <c r="AO187" s="362" t="str">
        <f t="shared" ca="1" si="70"/>
        <v/>
      </c>
      <c r="AP187" s="362" t="str">
        <f t="shared" ca="1" si="69"/>
        <v/>
      </c>
      <c r="AQ187" s="362" t="str">
        <f t="shared" ca="1" si="69"/>
        <v/>
      </c>
      <c r="AR187" s="362" t="str">
        <f t="shared" ca="1" si="69"/>
        <v/>
      </c>
      <c r="AS187" s="362" t="str">
        <f t="shared" ca="1" si="69"/>
        <v/>
      </c>
      <c r="AT187" s="362" t="str">
        <f t="shared" ca="1" si="69"/>
        <v/>
      </c>
      <c r="AU187" s="362" t="str">
        <f t="shared" ca="1" si="69"/>
        <v/>
      </c>
      <c r="AV187" s="362">
        <f t="shared" ca="1" si="69"/>
        <v>0</v>
      </c>
      <c r="AW187" s="362">
        <f t="shared" ca="1" si="69"/>
        <v>19465</v>
      </c>
      <c r="AX187" s="362">
        <f t="shared" ca="1" si="69"/>
        <v>390.68231228680816</v>
      </c>
      <c r="AY187" s="362">
        <f t="shared" ca="1" si="69"/>
        <v>0</v>
      </c>
      <c r="AZ187" s="362">
        <f t="shared" ca="1" si="71"/>
        <v>0</v>
      </c>
      <c r="BA187" s="362">
        <f t="shared" ca="1" si="71"/>
        <v>40732.545881459795</v>
      </c>
      <c r="BB187" s="362">
        <f t="shared" ca="1" si="71"/>
        <v>0</v>
      </c>
      <c r="BC187" s="362">
        <f t="shared" ca="1" si="71"/>
        <v>0</v>
      </c>
      <c r="BD187" s="362">
        <f t="shared" ca="1" si="71"/>
        <v>0</v>
      </c>
      <c r="BE187" s="362">
        <f t="shared" ca="1" si="71"/>
        <v>0</v>
      </c>
      <c r="BF187" s="362">
        <f t="shared" ca="1" si="71"/>
        <v>57284.775000000001</v>
      </c>
      <c r="BG187" s="362">
        <f t="shared" ca="1" si="71"/>
        <v>60132.974999999991</v>
      </c>
      <c r="BH187" s="362">
        <f t="shared" ca="1" si="71"/>
        <v>66165.424999999988</v>
      </c>
      <c r="BI187" s="362">
        <f t="shared" ca="1" si="71"/>
        <v>0</v>
      </c>
      <c r="BJ187" s="362">
        <f t="shared" ca="1" si="71"/>
        <v>280693.35512564308</v>
      </c>
      <c r="BK187" s="362">
        <f t="shared" ca="1" si="71"/>
        <v>86251.124994919752</v>
      </c>
      <c r="BL187" s="362">
        <f t="shared" ca="1" si="71"/>
        <v>0</v>
      </c>
      <c r="BM187" s="362"/>
    </row>
    <row r="188" spans="27:65">
      <c r="AA188" s="360">
        <f t="shared" si="60"/>
        <v>2048</v>
      </c>
      <c r="AB188" s="362">
        <f>UtilityDemand!G50</f>
        <v>301782.90111358126</v>
      </c>
      <c r="AC188" s="362"/>
      <c r="AD188" s="362">
        <f t="shared" ca="1" si="61"/>
        <v>-318731.49921885564</v>
      </c>
      <c r="AE188" s="362"/>
      <c r="AF188" s="362" t="str">
        <f t="shared" ca="1" si="70"/>
        <v/>
      </c>
      <c r="AG188" s="362" t="str">
        <f t="shared" ca="1" si="70"/>
        <v/>
      </c>
      <c r="AH188" s="362" t="str">
        <f t="shared" ca="1" si="70"/>
        <v/>
      </c>
      <c r="AI188" s="362" t="str">
        <f t="shared" ca="1" si="70"/>
        <v/>
      </c>
      <c r="AJ188" s="362" t="str">
        <f t="shared" ca="1" si="70"/>
        <v/>
      </c>
      <c r="AK188" s="362" t="str">
        <f t="shared" ca="1" si="70"/>
        <v/>
      </c>
      <c r="AL188" s="362" t="str">
        <f t="shared" ca="1" si="70"/>
        <v/>
      </c>
      <c r="AM188" s="362" t="str">
        <f t="shared" ca="1" si="70"/>
        <v/>
      </c>
      <c r="AN188" s="362" t="str">
        <f t="shared" ca="1" si="70"/>
        <v/>
      </c>
      <c r="AO188" s="362" t="str">
        <f t="shared" ca="1" si="70"/>
        <v/>
      </c>
      <c r="AP188" s="362" t="str">
        <f t="shared" ca="1" si="69"/>
        <v/>
      </c>
      <c r="AQ188" s="362" t="str">
        <f t="shared" ca="1" si="69"/>
        <v/>
      </c>
      <c r="AR188" s="362" t="str">
        <f t="shared" ca="1" si="69"/>
        <v/>
      </c>
      <c r="AS188" s="362" t="str">
        <f t="shared" ca="1" si="69"/>
        <v/>
      </c>
      <c r="AT188" s="362" t="str">
        <f t="shared" ca="1" si="69"/>
        <v/>
      </c>
      <c r="AU188" s="362" t="str">
        <f t="shared" ca="1" si="69"/>
        <v/>
      </c>
      <c r="AV188" s="362">
        <f t="shared" ca="1" si="69"/>
        <v>0</v>
      </c>
      <c r="AW188" s="362">
        <f t="shared" ca="1" si="69"/>
        <v>19465</v>
      </c>
      <c r="AX188" s="362">
        <f t="shared" ca="1" si="69"/>
        <v>390.68231228680816</v>
      </c>
      <c r="AY188" s="362">
        <f t="shared" ca="1" si="69"/>
        <v>0</v>
      </c>
      <c r="AZ188" s="362">
        <f t="shared" ca="1" si="71"/>
        <v>0</v>
      </c>
      <c r="BA188" s="362">
        <f t="shared" ca="1" si="71"/>
        <v>41068.009846646826</v>
      </c>
      <c r="BB188" s="362">
        <f t="shared" ca="1" si="71"/>
        <v>0</v>
      </c>
      <c r="BC188" s="362">
        <f t="shared" ca="1" si="71"/>
        <v>0</v>
      </c>
      <c r="BD188" s="362">
        <f t="shared" ca="1" si="71"/>
        <v>0</v>
      </c>
      <c r="BE188" s="362">
        <f t="shared" ca="1" si="71"/>
        <v>0</v>
      </c>
      <c r="BF188" s="362">
        <f t="shared" ca="1" si="71"/>
        <v>57284.775000000001</v>
      </c>
      <c r="BG188" s="362">
        <f t="shared" ca="1" si="71"/>
        <v>60132.974999999991</v>
      </c>
      <c r="BH188" s="362">
        <f t="shared" ca="1" si="71"/>
        <v>66165.424999999988</v>
      </c>
      <c r="BI188" s="362">
        <f t="shared" ca="1" si="71"/>
        <v>0</v>
      </c>
      <c r="BJ188" s="362">
        <f t="shared" ca="1" si="71"/>
        <v>288080.02236579161</v>
      </c>
      <c r="BK188" s="362">
        <f t="shared" ca="1" si="71"/>
        <v>87927.510807711689</v>
      </c>
      <c r="BL188" s="362">
        <f t="shared" ca="1" si="71"/>
        <v>0</v>
      </c>
      <c r="BM188" s="362"/>
    </row>
    <row r="189" spans="27:65">
      <c r="AA189" s="360">
        <f t="shared" si="60"/>
        <v>2049</v>
      </c>
      <c r="AB189" s="362">
        <f>UtilityDemand!G51</f>
        <v>304847.43567618495</v>
      </c>
      <c r="AC189" s="362"/>
      <c r="AD189" s="362">
        <f t="shared" ca="1" si="61"/>
        <v>-325065.4816743792</v>
      </c>
      <c r="AE189" s="362"/>
      <c r="AF189" s="362" t="str">
        <f t="shared" ca="1" si="70"/>
        <v/>
      </c>
      <c r="AG189" s="362" t="str">
        <f t="shared" ca="1" si="70"/>
        <v/>
      </c>
      <c r="AH189" s="362" t="str">
        <f t="shared" ca="1" si="70"/>
        <v/>
      </c>
      <c r="AI189" s="362" t="str">
        <f t="shared" ca="1" si="70"/>
        <v/>
      </c>
      <c r="AJ189" s="362" t="str">
        <f t="shared" ca="1" si="70"/>
        <v/>
      </c>
      <c r="AK189" s="362" t="str">
        <f t="shared" ca="1" si="70"/>
        <v/>
      </c>
      <c r="AL189" s="362" t="str">
        <f t="shared" ca="1" si="70"/>
        <v/>
      </c>
      <c r="AM189" s="362" t="str">
        <f t="shared" ca="1" si="70"/>
        <v/>
      </c>
      <c r="AN189" s="362" t="str">
        <f t="shared" ca="1" si="70"/>
        <v/>
      </c>
      <c r="AO189" s="362" t="str">
        <f t="shared" ca="1" si="70"/>
        <v/>
      </c>
      <c r="AP189" s="362" t="str">
        <f t="shared" ca="1" si="69"/>
        <v/>
      </c>
      <c r="AQ189" s="362" t="str">
        <f t="shared" ca="1" si="69"/>
        <v/>
      </c>
      <c r="AR189" s="362" t="str">
        <f t="shared" ca="1" si="69"/>
        <v/>
      </c>
      <c r="AS189" s="362" t="str">
        <f t="shared" ca="1" si="69"/>
        <v/>
      </c>
      <c r="AT189" s="362" t="str">
        <f t="shared" ca="1" si="69"/>
        <v/>
      </c>
      <c r="AU189" s="362" t="str">
        <f t="shared" ca="1" si="69"/>
        <v/>
      </c>
      <c r="AV189" s="362">
        <f t="shared" ca="1" si="69"/>
        <v>0</v>
      </c>
      <c r="AW189" s="362">
        <f t="shared" ca="1" si="69"/>
        <v>19465</v>
      </c>
      <c r="AX189" s="362">
        <f t="shared" ca="1" si="69"/>
        <v>390.68231228680816</v>
      </c>
      <c r="AY189" s="362">
        <f t="shared" ca="1" si="69"/>
        <v>0</v>
      </c>
      <c r="AZ189" s="362">
        <f t="shared" ca="1" si="71"/>
        <v>0</v>
      </c>
      <c r="BA189" s="362">
        <f t="shared" ca="1" si="71"/>
        <v>41403.473811833843</v>
      </c>
      <c r="BB189" s="362">
        <f t="shared" ca="1" si="71"/>
        <v>0</v>
      </c>
      <c r="BC189" s="362">
        <f t="shared" ca="1" si="71"/>
        <v>0</v>
      </c>
      <c r="BD189" s="362">
        <f t="shared" ca="1" si="71"/>
        <v>0</v>
      </c>
      <c r="BE189" s="362">
        <f t="shared" ca="1" si="71"/>
        <v>0</v>
      </c>
      <c r="BF189" s="362">
        <f t="shared" ca="1" si="71"/>
        <v>57284.775000000001</v>
      </c>
      <c r="BG189" s="362">
        <f t="shared" ca="1" si="71"/>
        <v>60132.974999999991</v>
      </c>
      <c r="BH189" s="362">
        <f t="shared" ca="1" si="71"/>
        <v>66165.424999999988</v>
      </c>
      <c r="BI189" s="362">
        <f t="shared" ca="1" si="71"/>
        <v>0</v>
      </c>
      <c r="BJ189" s="362">
        <f t="shared" ca="1" si="71"/>
        <v>295466.68960594013</v>
      </c>
      <c r="BK189" s="362">
        <f t="shared" ca="1" si="71"/>
        <v>89603.896620503438</v>
      </c>
      <c r="BL189" s="362">
        <f t="shared" ca="1" si="71"/>
        <v>0</v>
      </c>
      <c r="BM189" s="362"/>
    </row>
    <row r="190" spans="27:65">
      <c r="AA190" s="360">
        <f t="shared" si="60"/>
        <v>2050</v>
      </c>
      <c r="AB190" s="362">
        <f>UtilityDemand!G52</f>
        <v>307911.97023878864</v>
      </c>
      <c r="AC190" s="362"/>
      <c r="AD190" s="362">
        <f t="shared" ca="1" si="61"/>
        <v>-331399.46412990289</v>
      </c>
      <c r="AE190" s="362"/>
      <c r="AF190" s="362" t="str">
        <f t="shared" ca="1" si="70"/>
        <v/>
      </c>
      <c r="AG190" s="362" t="str">
        <f t="shared" ca="1" si="70"/>
        <v/>
      </c>
      <c r="AH190" s="362" t="str">
        <f t="shared" ca="1" si="70"/>
        <v/>
      </c>
      <c r="AI190" s="362" t="str">
        <f t="shared" ca="1" si="70"/>
        <v/>
      </c>
      <c r="AJ190" s="362" t="str">
        <f t="shared" ca="1" si="70"/>
        <v/>
      </c>
      <c r="AK190" s="362" t="str">
        <f t="shared" ca="1" si="70"/>
        <v/>
      </c>
      <c r="AL190" s="362" t="str">
        <f t="shared" ca="1" si="70"/>
        <v/>
      </c>
      <c r="AM190" s="362" t="str">
        <f t="shared" ca="1" si="70"/>
        <v/>
      </c>
      <c r="AN190" s="362" t="str">
        <f t="shared" ca="1" si="70"/>
        <v/>
      </c>
      <c r="AO190" s="362" t="str">
        <f t="shared" ca="1" si="70"/>
        <v/>
      </c>
      <c r="AP190" s="362" t="str">
        <f t="shared" ca="1" si="69"/>
        <v/>
      </c>
      <c r="AQ190" s="362" t="str">
        <f t="shared" ca="1" si="69"/>
        <v/>
      </c>
      <c r="AR190" s="362" t="str">
        <f t="shared" ca="1" si="69"/>
        <v/>
      </c>
      <c r="AS190" s="362" t="str">
        <f t="shared" ca="1" si="69"/>
        <v/>
      </c>
      <c r="AT190" s="362" t="str">
        <f t="shared" ca="1" si="69"/>
        <v/>
      </c>
      <c r="AU190" s="362" t="str">
        <f t="shared" ca="1" si="69"/>
        <v/>
      </c>
      <c r="AV190" s="362">
        <f t="shared" ca="1" si="69"/>
        <v>0</v>
      </c>
      <c r="AW190" s="362">
        <f t="shared" ca="1" si="69"/>
        <v>19465</v>
      </c>
      <c r="AX190" s="362">
        <f t="shared" ca="1" si="69"/>
        <v>390.68231228680816</v>
      </c>
      <c r="AY190" s="362">
        <f t="shared" ca="1" si="69"/>
        <v>0</v>
      </c>
      <c r="AZ190" s="362">
        <f t="shared" ca="1" si="71"/>
        <v>0</v>
      </c>
      <c r="BA190" s="362">
        <f t="shared" ca="1" si="71"/>
        <v>41738.937777020859</v>
      </c>
      <c r="BB190" s="362">
        <f t="shared" ca="1" si="71"/>
        <v>0</v>
      </c>
      <c r="BC190" s="362">
        <f t="shared" ca="1" si="71"/>
        <v>0</v>
      </c>
      <c r="BD190" s="362">
        <f t="shared" ca="1" si="71"/>
        <v>0</v>
      </c>
      <c r="BE190" s="362">
        <f t="shared" ca="1" si="71"/>
        <v>0</v>
      </c>
      <c r="BF190" s="362">
        <f t="shared" ca="1" si="71"/>
        <v>57284.775000000001</v>
      </c>
      <c r="BG190" s="362">
        <f t="shared" ca="1" si="71"/>
        <v>60132.974999999991</v>
      </c>
      <c r="BH190" s="362">
        <f t="shared" ca="1" si="71"/>
        <v>66165.424999999988</v>
      </c>
      <c r="BI190" s="362">
        <f t="shared" ca="1" si="71"/>
        <v>0</v>
      </c>
      <c r="BJ190" s="362">
        <f t="shared" ca="1" si="71"/>
        <v>302853.3568460886</v>
      </c>
      <c r="BK190" s="362">
        <f t="shared" ca="1" si="71"/>
        <v>91280.282433295288</v>
      </c>
      <c r="BL190" s="362">
        <f t="shared" ca="1" si="71"/>
        <v>0</v>
      </c>
      <c r="BM190" s="362"/>
    </row>
    <row r="191" spans="27:65" ht="60">
      <c r="AA191" s="323" t="s">
        <v>373</v>
      </c>
      <c r="AB191" s="323" t="s">
        <v>374</v>
      </c>
      <c r="AC191" s="323" t="s">
        <v>397</v>
      </c>
      <c r="AD191" s="323" t="s">
        <v>398</v>
      </c>
      <c r="AE191" s="323"/>
      <c r="AF191" s="345">
        <f t="shared" ref="AF191:BL191" si="72">AF$3</f>
        <v>0</v>
      </c>
      <c r="AG191" s="345">
        <f t="shared" si="72"/>
        <v>0</v>
      </c>
      <c r="AH191" s="345">
        <f t="shared" si="72"/>
        <v>0</v>
      </c>
      <c r="AI191" s="345">
        <f t="shared" si="72"/>
        <v>0</v>
      </c>
      <c r="AJ191" s="345">
        <f t="shared" si="72"/>
        <v>0</v>
      </c>
      <c r="AK191" s="345">
        <f t="shared" si="72"/>
        <v>0</v>
      </c>
      <c r="AL191" s="345">
        <f t="shared" si="72"/>
        <v>0</v>
      </c>
      <c r="AM191" s="345">
        <f t="shared" si="72"/>
        <v>0</v>
      </c>
      <c r="AN191" s="345">
        <f t="shared" si="72"/>
        <v>0</v>
      </c>
      <c r="AO191" s="345">
        <f t="shared" si="72"/>
        <v>0</v>
      </c>
      <c r="AP191" s="345">
        <f t="shared" si="72"/>
        <v>0</v>
      </c>
      <c r="AQ191" s="345">
        <f t="shared" si="72"/>
        <v>0</v>
      </c>
      <c r="AR191" s="345">
        <f t="shared" si="72"/>
        <v>0</v>
      </c>
      <c r="AS191" s="345">
        <f t="shared" si="72"/>
        <v>0</v>
      </c>
      <c r="AT191" s="345">
        <f t="shared" si="72"/>
        <v>0</v>
      </c>
      <c r="AU191" s="345">
        <f t="shared" si="72"/>
        <v>0</v>
      </c>
      <c r="AV191" s="345" t="str">
        <f t="shared" si="72"/>
        <v>Rooftop Solar PV</v>
      </c>
      <c r="AW191" s="345" t="str">
        <f t="shared" si="72"/>
        <v>Geo Exchange</v>
      </c>
      <c r="AX191" s="345" t="str">
        <f t="shared" si="72"/>
        <v>Solar DHW</v>
      </c>
      <c r="AY191" s="345" t="str">
        <f t="shared" si="72"/>
        <v>On-site Wind</v>
      </c>
      <c r="AZ191" s="345" t="str">
        <f t="shared" si="72"/>
        <v>Coal to Natural Gas Conversion @ Steam Plant</v>
      </c>
      <c r="BA191" s="345" t="str">
        <f t="shared" si="72"/>
        <v>Steam Line Improvements</v>
      </c>
      <c r="BB191" s="345" t="str">
        <f t="shared" si="72"/>
        <v>Waste Reduction</v>
      </c>
      <c r="BC191" s="345" t="str">
        <f t="shared" si="72"/>
        <v>Reduced Automobile Reliance Strategies</v>
      </c>
      <c r="BD191" s="345" t="str">
        <f t="shared" si="72"/>
        <v>Reduced Air Travel</v>
      </c>
      <c r="BE191" s="345" t="str">
        <f t="shared" si="72"/>
        <v>Green IT</v>
      </c>
      <c r="BF191" s="345" t="str">
        <f t="shared" si="72"/>
        <v>Long-term Energy Conservation Measures</v>
      </c>
      <c r="BG191" s="345" t="str">
        <f t="shared" si="72"/>
        <v>Mid-term Energy Conservation Measures</v>
      </c>
      <c r="BH191" s="345" t="str">
        <f t="shared" si="72"/>
        <v>Short-term Energy Conservation Measures</v>
      </c>
      <c r="BI191" s="345" t="str">
        <f t="shared" si="72"/>
        <v>Central Chiller Expansion</v>
      </c>
      <c r="BJ191" s="345" t="str">
        <f t="shared" si="72"/>
        <v>Space Planning &amp; Management</v>
      </c>
      <c r="BK191" s="345" t="str">
        <f t="shared" si="72"/>
        <v>Building Design &amp; Construction Standards</v>
      </c>
      <c r="BL191" s="345" t="str">
        <f t="shared" si="72"/>
        <v>Behavior Change</v>
      </c>
      <c r="BM191" s="345" t="str">
        <f>BM$3</f>
        <v/>
      </c>
    </row>
    <row r="192" spans="27:65">
      <c r="AA192" s="318">
        <v>2005</v>
      </c>
      <c r="AB192" s="318"/>
      <c r="AC192" s="318"/>
      <c r="AD192" s="318"/>
      <c r="AE192" s="318"/>
      <c r="AF192" s="318"/>
      <c r="AG192" s="318"/>
      <c r="AH192" s="318"/>
      <c r="AI192" s="318"/>
      <c r="AJ192" s="318"/>
      <c r="AK192" s="318"/>
      <c r="AL192" s="318"/>
      <c r="AM192" s="318"/>
      <c r="AN192" s="318"/>
      <c r="AO192" s="318"/>
      <c r="AP192" s="318"/>
      <c r="AQ192" s="318"/>
      <c r="AR192" s="318"/>
      <c r="AS192" s="318"/>
      <c r="AT192" s="318"/>
      <c r="AU192" s="318"/>
      <c r="AV192" s="318"/>
      <c r="AW192" s="318"/>
      <c r="AX192" s="318"/>
      <c r="AY192" s="318"/>
      <c r="AZ192" s="318"/>
      <c r="BA192" s="318"/>
      <c r="BB192" s="318"/>
      <c r="BC192" s="318"/>
      <c r="BD192" s="318"/>
      <c r="BE192" s="318"/>
      <c r="BF192" s="318"/>
      <c r="BG192" s="318"/>
      <c r="BH192" s="318"/>
      <c r="BI192" s="318"/>
      <c r="BJ192" s="318"/>
      <c r="BK192" s="318"/>
      <c r="BL192" s="318"/>
      <c r="BM192" s="318"/>
    </row>
    <row r="193" spans="25:65">
      <c r="AA193" s="318">
        <f>AA192+1</f>
        <v>2006</v>
      </c>
      <c r="AB193" s="318"/>
      <c r="AC193" s="318"/>
      <c r="AD193" s="1745" t="s">
        <v>318</v>
      </c>
      <c r="AE193" s="318"/>
      <c r="AF193" s="318"/>
      <c r="AG193" s="318"/>
      <c r="AH193" s="318"/>
      <c r="AI193" s="318"/>
      <c r="AJ193" s="318"/>
      <c r="AK193" s="318"/>
      <c r="AL193" s="318"/>
      <c r="AM193" s="318"/>
      <c r="AN193" s="318"/>
      <c r="AO193" s="318"/>
      <c r="AP193" s="318"/>
      <c r="AQ193" s="318"/>
      <c r="AR193" s="318"/>
      <c r="AS193" s="318"/>
      <c r="AT193" s="318"/>
      <c r="AU193" s="318"/>
      <c r="AV193" s="318"/>
      <c r="AW193" s="318"/>
      <c r="AX193" s="318"/>
      <c r="AY193" s="318"/>
      <c r="AZ193" s="318"/>
      <c r="BA193" s="318"/>
      <c r="BB193" s="318"/>
      <c r="BC193" s="318"/>
      <c r="BD193" s="318"/>
      <c r="BE193" s="318"/>
      <c r="BF193" s="318"/>
      <c r="BG193" s="318"/>
      <c r="BH193" s="318"/>
      <c r="BI193" s="318"/>
      <c r="BJ193" s="318"/>
      <c r="BK193" s="318"/>
      <c r="BL193" s="318"/>
      <c r="BM193" s="318"/>
    </row>
    <row r="194" spans="25:65">
      <c r="AA194" s="318">
        <f t="shared" ref="AA194:AA237" si="73">AA193+1</f>
        <v>2007</v>
      </c>
      <c r="AB194" s="318"/>
      <c r="AC194" s="318"/>
      <c r="AD194" s="1745"/>
      <c r="AE194" s="318"/>
      <c r="AF194" s="318"/>
      <c r="AG194" s="318"/>
      <c r="AH194" s="318"/>
      <c r="AI194" s="318"/>
      <c r="AJ194" s="318"/>
      <c r="AK194" s="318"/>
      <c r="AL194" s="318"/>
      <c r="AM194" s="318"/>
      <c r="AN194" s="318"/>
      <c r="AO194" s="318"/>
      <c r="AP194" s="318"/>
      <c r="AQ194" s="318"/>
      <c r="AR194" s="318"/>
      <c r="AS194" s="318"/>
      <c r="AT194" s="318"/>
      <c r="AU194" s="318"/>
      <c r="AV194" s="318"/>
      <c r="AW194" s="318"/>
      <c r="AX194" s="318"/>
      <c r="AY194" s="318"/>
      <c r="AZ194" s="318"/>
      <c r="BA194" s="318"/>
      <c r="BB194" s="318"/>
      <c r="BC194" s="318"/>
      <c r="BD194" s="318"/>
      <c r="BE194" s="318"/>
      <c r="BF194" s="318"/>
      <c r="BG194" s="318"/>
      <c r="BH194" s="318"/>
      <c r="BI194" s="318"/>
      <c r="BJ194" s="318"/>
      <c r="BK194" s="318"/>
      <c r="BL194" s="318"/>
      <c r="BM194" s="318"/>
    </row>
    <row r="195" spans="25:65">
      <c r="AA195" s="318">
        <f t="shared" si="73"/>
        <v>2008</v>
      </c>
      <c r="AB195" s="338"/>
      <c r="AC195" s="338"/>
      <c r="AD195" s="1745"/>
      <c r="AE195" s="318"/>
      <c r="AF195" s="318"/>
      <c r="AG195" s="318"/>
      <c r="AH195" s="318"/>
      <c r="AI195" s="318"/>
      <c r="AJ195" s="318"/>
      <c r="AK195" s="318"/>
      <c r="AL195" s="318"/>
      <c r="AM195" s="318"/>
      <c r="AN195" s="318"/>
      <c r="AO195" s="318"/>
      <c r="AP195" s="318"/>
      <c r="AQ195" s="318"/>
      <c r="AR195" s="318"/>
      <c r="AS195" s="318"/>
      <c r="AT195" s="318"/>
      <c r="AU195" s="318"/>
      <c r="AV195" s="318"/>
      <c r="AW195" s="318"/>
      <c r="AX195" s="318"/>
      <c r="AY195" s="318"/>
      <c r="AZ195" s="318"/>
      <c r="BA195" s="318"/>
      <c r="BB195" s="318"/>
      <c r="BC195" s="318"/>
      <c r="BD195" s="318"/>
      <c r="BE195" s="318"/>
      <c r="BF195" s="318"/>
      <c r="BG195" s="318"/>
      <c r="BH195" s="318"/>
      <c r="BI195" s="318"/>
      <c r="BJ195" s="318"/>
      <c r="BK195" s="318"/>
      <c r="BL195" s="318"/>
      <c r="BM195" s="318"/>
    </row>
    <row r="196" spans="25:65">
      <c r="Y196" s="10" t="s">
        <v>672</v>
      </c>
      <c r="AA196" s="318">
        <f t="shared" si="73"/>
        <v>2009</v>
      </c>
      <c r="AB196" s="338"/>
      <c r="AC196" s="338"/>
      <c r="AD196" s="338"/>
      <c r="AE196" s="318"/>
      <c r="AF196" s="318"/>
      <c r="AG196" s="318"/>
      <c r="AH196" s="318"/>
      <c r="AI196" s="318"/>
      <c r="AJ196" s="318"/>
      <c r="AK196" s="318"/>
      <c r="AL196" s="318"/>
      <c r="AM196" s="318"/>
      <c r="AN196" s="318"/>
      <c r="AO196" s="318"/>
      <c r="AP196" s="318"/>
      <c r="AQ196" s="318"/>
      <c r="AR196" s="318"/>
      <c r="AS196" s="318"/>
      <c r="AT196" s="318"/>
      <c r="AU196" s="318"/>
      <c r="AV196" s="318"/>
      <c r="AW196" s="318"/>
      <c r="AX196" s="318"/>
      <c r="AY196" s="318"/>
      <c r="AZ196" s="318"/>
      <c r="BA196" s="318"/>
      <c r="BB196" s="318"/>
      <c r="BC196" s="318"/>
      <c r="BD196" s="318"/>
      <c r="BE196" s="318"/>
      <c r="BF196" s="318"/>
      <c r="BG196" s="318"/>
      <c r="BH196" s="318"/>
      <c r="BI196" s="318"/>
      <c r="BJ196" s="318"/>
      <c r="BK196" s="318"/>
      <c r="BL196" s="318"/>
      <c r="BM196" s="318"/>
    </row>
    <row r="197" spans="25:65">
      <c r="Y197" s="10">
        <v>0</v>
      </c>
      <c r="AA197" s="360">
        <f>AA196+1</f>
        <v>2010</v>
      </c>
      <c r="AB197" s="362">
        <f ca="1">'GHG Emissions'!I12</f>
        <v>19403.967151784022</v>
      </c>
      <c r="AC197" s="362">
        <f t="shared" ref="AC197:AC237" si="74">Y197*Emission_Factor_NG</f>
        <v>0</v>
      </c>
      <c r="AD197" s="362">
        <f ca="1">AB197-SUM(AE197:BM197)-AC197</f>
        <v>19403.967151784022</v>
      </c>
      <c r="AE197" s="362"/>
      <c r="AF197" s="362" t="str">
        <f t="shared" ref="AF197:AO206" ca="1" si="75">IFERROR(-HLOOKUP(AF$50,Scope1Table,$AA197-$AA$197+2,FALSE),"")</f>
        <v/>
      </c>
      <c r="AG197" s="362" t="str">
        <f t="shared" ca="1" si="75"/>
        <v/>
      </c>
      <c r="AH197" s="362" t="str">
        <f t="shared" ca="1" si="75"/>
        <v/>
      </c>
      <c r="AI197" s="362" t="str">
        <f t="shared" ca="1" si="75"/>
        <v/>
      </c>
      <c r="AJ197" s="362" t="str">
        <f t="shared" ca="1" si="75"/>
        <v/>
      </c>
      <c r="AK197" s="362" t="str">
        <f t="shared" ca="1" si="75"/>
        <v/>
      </c>
      <c r="AL197" s="362" t="str">
        <f t="shared" ca="1" si="75"/>
        <v/>
      </c>
      <c r="AM197" s="362" t="str">
        <f t="shared" ca="1" si="75"/>
        <v/>
      </c>
      <c r="AN197" s="362" t="str">
        <f t="shared" ca="1" si="75"/>
        <v/>
      </c>
      <c r="AO197" s="362" t="str">
        <f t="shared" ca="1" si="75"/>
        <v/>
      </c>
      <c r="AP197" s="362" t="str">
        <f t="shared" ref="AP197:AY206" ca="1" si="76">IFERROR(-HLOOKUP(AP$50,Scope1Table,$AA197-$AA$197+2,FALSE),"")</f>
        <v/>
      </c>
      <c r="AQ197" s="362" t="str">
        <f t="shared" ca="1" si="76"/>
        <v/>
      </c>
      <c r="AR197" s="362" t="str">
        <f t="shared" ca="1" si="76"/>
        <v/>
      </c>
      <c r="AS197" s="362" t="str">
        <f t="shared" ca="1" si="76"/>
        <v/>
      </c>
      <c r="AT197" s="362" t="str">
        <f t="shared" ca="1" si="76"/>
        <v/>
      </c>
      <c r="AU197" s="362" t="str">
        <f t="shared" ca="1" si="76"/>
        <v/>
      </c>
      <c r="AV197" s="362">
        <f t="shared" ca="1" si="76"/>
        <v>0</v>
      </c>
      <c r="AW197" s="362">
        <f t="shared" ca="1" si="76"/>
        <v>0</v>
      </c>
      <c r="AX197" s="362">
        <f t="shared" ca="1" si="76"/>
        <v>0</v>
      </c>
      <c r="AY197" s="362">
        <f t="shared" ca="1" si="76"/>
        <v>0</v>
      </c>
      <c r="AZ197" s="362">
        <f t="shared" ref="AZ197:BL206" ca="1" si="77">IFERROR(-HLOOKUP(AZ$50,Scope1Table,$AA197-$AA$197+2,FALSE),"")</f>
        <v>0</v>
      </c>
      <c r="BA197" s="362">
        <f t="shared" ca="1" si="77"/>
        <v>0</v>
      </c>
      <c r="BB197" s="362">
        <f t="shared" ca="1" si="77"/>
        <v>0</v>
      </c>
      <c r="BC197" s="362">
        <f t="shared" ca="1" si="77"/>
        <v>0</v>
      </c>
      <c r="BD197" s="362">
        <f t="shared" ca="1" si="77"/>
        <v>0</v>
      </c>
      <c r="BE197" s="362">
        <f t="shared" ca="1" si="77"/>
        <v>0</v>
      </c>
      <c r="BF197" s="362">
        <f t="shared" ca="1" si="77"/>
        <v>0</v>
      </c>
      <c r="BG197" s="362">
        <f t="shared" ca="1" si="77"/>
        <v>0</v>
      </c>
      <c r="BH197" s="362">
        <f t="shared" ca="1" si="77"/>
        <v>0</v>
      </c>
      <c r="BI197" s="362">
        <f t="shared" ca="1" si="77"/>
        <v>0</v>
      </c>
      <c r="BJ197" s="362">
        <f t="shared" ca="1" si="77"/>
        <v>0</v>
      </c>
      <c r="BK197" s="362">
        <f t="shared" ca="1" si="77"/>
        <v>0</v>
      </c>
      <c r="BL197" s="362">
        <f t="shared" ca="1" si="77"/>
        <v>0</v>
      </c>
      <c r="BM197" s="362"/>
    </row>
    <row r="198" spans="25:65">
      <c r="Y198" s="10">
        <v>0</v>
      </c>
      <c r="AA198" s="360">
        <f t="shared" si="73"/>
        <v>2011</v>
      </c>
      <c r="AB198" s="362">
        <f ca="1">'GHG Emissions'!I13</f>
        <v>19635.559920844986</v>
      </c>
      <c r="AC198" s="362">
        <f t="shared" si="74"/>
        <v>0</v>
      </c>
      <c r="AD198" s="362">
        <f t="shared" ref="AD198:AD237" ca="1" si="78">AB198-SUM(AE198:BM198)-AC198</f>
        <v>19635.559920844986</v>
      </c>
      <c r="AE198" s="362"/>
      <c r="AF198" s="362" t="str">
        <f t="shared" ca="1" si="75"/>
        <v/>
      </c>
      <c r="AG198" s="362" t="str">
        <f t="shared" ca="1" si="75"/>
        <v/>
      </c>
      <c r="AH198" s="362" t="str">
        <f t="shared" ca="1" si="75"/>
        <v/>
      </c>
      <c r="AI198" s="362" t="str">
        <f t="shared" ca="1" si="75"/>
        <v/>
      </c>
      <c r="AJ198" s="362" t="str">
        <f t="shared" ca="1" si="75"/>
        <v/>
      </c>
      <c r="AK198" s="362" t="str">
        <f t="shared" ca="1" si="75"/>
        <v/>
      </c>
      <c r="AL198" s="362" t="str">
        <f t="shared" ca="1" si="75"/>
        <v/>
      </c>
      <c r="AM198" s="362" t="str">
        <f t="shared" ca="1" si="75"/>
        <v/>
      </c>
      <c r="AN198" s="362" t="str">
        <f t="shared" ca="1" si="75"/>
        <v/>
      </c>
      <c r="AO198" s="362" t="str">
        <f t="shared" ca="1" si="75"/>
        <v/>
      </c>
      <c r="AP198" s="362" t="str">
        <f t="shared" ca="1" si="76"/>
        <v/>
      </c>
      <c r="AQ198" s="362" t="str">
        <f t="shared" ca="1" si="76"/>
        <v/>
      </c>
      <c r="AR198" s="362" t="str">
        <f t="shared" ca="1" si="76"/>
        <v/>
      </c>
      <c r="AS198" s="362" t="str">
        <f t="shared" ca="1" si="76"/>
        <v/>
      </c>
      <c r="AT198" s="362" t="str">
        <f t="shared" ca="1" si="76"/>
        <v/>
      </c>
      <c r="AU198" s="362" t="str">
        <f t="shared" ca="1" si="76"/>
        <v/>
      </c>
      <c r="AV198" s="362">
        <f t="shared" ca="1" si="76"/>
        <v>0</v>
      </c>
      <c r="AW198" s="362">
        <f t="shared" ca="1" si="76"/>
        <v>0</v>
      </c>
      <c r="AX198" s="362">
        <f t="shared" ca="1" si="76"/>
        <v>0</v>
      </c>
      <c r="AY198" s="362">
        <f t="shared" ca="1" si="76"/>
        <v>0</v>
      </c>
      <c r="AZ198" s="362">
        <f t="shared" ca="1" si="77"/>
        <v>0</v>
      </c>
      <c r="BA198" s="362">
        <f t="shared" ca="1" si="77"/>
        <v>0</v>
      </c>
      <c r="BB198" s="362">
        <f t="shared" ca="1" si="77"/>
        <v>0</v>
      </c>
      <c r="BC198" s="362">
        <f t="shared" ca="1" si="77"/>
        <v>0</v>
      </c>
      <c r="BD198" s="362">
        <f t="shared" ca="1" si="77"/>
        <v>0</v>
      </c>
      <c r="BE198" s="362">
        <f t="shared" ca="1" si="77"/>
        <v>0</v>
      </c>
      <c r="BF198" s="362">
        <f t="shared" ca="1" si="77"/>
        <v>0</v>
      </c>
      <c r="BG198" s="362">
        <f t="shared" ca="1" si="77"/>
        <v>0</v>
      </c>
      <c r="BH198" s="362">
        <f t="shared" ca="1" si="77"/>
        <v>0</v>
      </c>
      <c r="BI198" s="362">
        <f t="shared" ca="1" si="77"/>
        <v>0</v>
      </c>
      <c r="BJ198" s="362">
        <f t="shared" ca="1" si="77"/>
        <v>0</v>
      </c>
      <c r="BK198" s="362">
        <f t="shared" ca="1" si="77"/>
        <v>0</v>
      </c>
      <c r="BL198" s="362">
        <f t="shared" ca="1" si="77"/>
        <v>0</v>
      </c>
      <c r="BM198" s="362"/>
    </row>
    <row r="199" spans="25:65">
      <c r="Y199" s="10">
        <v>0</v>
      </c>
      <c r="AA199" s="360">
        <f t="shared" si="73"/>
        <v>2012</v>
      </c>
      <c r="AB199" s="362">
        <f ca="1">'GHG Emissions'!I14</f>
        <v>20175.606093442471</v>
      </c>
      <c r="AC199" s="362">
        <f t="shared" si="74"/>
        <v>0</v>
      </c>
      <c r="AD199" s="362">
        <f t="shared" ca="1" si="78"/>
        <v>20175.606093442471</v>
      </c>
      <c r="AE199" s="362"/>
      <c r="AF199" s="362" t="str">
        <f t="shared" ca="1" si="75"/>
        <v/>
      </c>
      <c r="AG199" s="362" t="str">
        <f t="shared" ca="1" si="75"/>
        <v/>
      </c>
      <c r="AH199" s="362" t="str">
        <f t="shared" ca="1" si="75"/>
        <v/>
      </c>
      <c r="AI199" s="362" t="str">
        <f t="shared" ca="1" si="75"/>
        <v/>
      </c>
      <c r="AJ199" s="362" t="str">
        <f t="shared" ca="1" si="75"/>
        <v/>
      </c>
      <c r="AK199" s="362" t="str">
        <f t="shared" ca="1" si="75"/>
        <v/>
      </c>
      <c r="AL199" s="362" t="str">
        <f t="shared" ca="1" si="75"/>
        <v/>
      </c>
      <c r="AM199" s="362" t="str">
        <f t="shared" ca="1" si="75"/>
        <v/>
      </c>
      <c r="AN199" s="362" t="str">
        <f t="shared" ca="1" si="75"/>
        <v/>
      </c>
      <c r="AO199" s="362" t="str">
        <f t="shared" ca="1" si="75"/>
        <v/>
      </c>
      <c r="AP199" s="362" t="str">
        <f t="shared" ca="1" si="76"/>
        <v/>
      </c>
      <c r="AQ199" s="362" t="str">
        <f t="shared" ca="1" si="76"/>
        <v/>
      </c>
      <c r="AR199" s="362" t="str">
        <f t="shared" ca="1" si="76"/>
        <v/>
      </c>
      <c r="AS199" s="362" t="str">
        <f t="shared" ca="1" si="76"/>
        <v/>
      </c>
      <c r="AT199" s="362" t="str">
        <f t="shared" ca="1" si="76"/>
        <v/>
      </c>
      <c r="AU199" s="362" t="str">
        <f t="shared" ca="1" si="76"/>
        <v/>
      </c>
      <c r="AV199" s="362">
        <f t="shared" ca="1" si="76"/>
        <v>0</v>
      </c>
      <c r="AW199" s="362">
        <f t="shared" ca="1" si="76"/>
        <v>0</v>
      </c>
      <c r="AX199" s="362">
        <f t="shared" ca="1" si="76"/>
        <v>0</v>
      </c>
      <c r="AY199" s="362">
        <f t="shared" ca="1" si="76"/>
        <v>0</v>
      </c>
      <c r="AZ199" s="362">
        <f t="shared" ca="1" si="77"/>
        <v>0</v>
      </c>
      <c r="BA199" s="362">
        <f t="shared" ca="1" si="77"/>
        <v>0</v>
      </c>
      <c r="BB199" s="362">
        <f t="shared" ca="1" si="77"/>
        <v>0</v>
      </c>
      <c r="BC199" s="362">
        <f t="shared" ca="1" si="77"/>
        <v>0</v>
      </c>
      <c r="BD199" s="362">
        <f t="shared" ca="1" si="77"/>
        <v>0</v>
      </c>
      <c r="BE199" s="362">
        <f t="shared" ca="1" si="77"/>
        <v>0</v>
      </c>
      <c r="BF199" s="362">
        <f t="shared" ca="1" si="77"/>
        <v>0</v>
      </c>
      <c r="BG199" s="362">
        <f t="shared" ca="1" si="77"/>
        <v>0</v>
      </c>
      <c r="BH199" s="362">
        <f t="shared" ca="1" si="77"/>
        <v>0</v>
      </c>
      <c r="BI199" s="362">
        <f t="shared" ca="1" si="77"/>
        <v>0</v>
      </c>
      <c r="BJ199" s="362">
        <f t="shared" ca="1" si="77"/>
        <v>0</v>
      </c>
      <c r="BK199" s="362">
        <f t="shared" ca="1" si="77"/>
        <v>0</v>
      </c>
      <c r="BL199" s="362">
        <f t="shared" ca="1" si="77"/>
        <v>0</v>
      </c>
      <c r="BM199" s="362"/>
    </row>
    <row r="200" spans="25:65">
      <c r="Y200" s="10">
        <v>0</v>
      </c>
      <c r="AA200" s="360">
        <f t="shared" si="73"/>
        <v>2013</v>
      </c>
      <c r="AB200" s="362">
        <f ca="1">'GHG Emissions'!I15</f>
        <v>20490.793479463464</v>
      </c>
      <c r="AC200" s="362">
        <f t="shared" si="74"/>
        <v>0</v>
      </c>
      <c r="AD200" s="362">
        <f t="shared" ca="1" si="78"/>
        <v>20490.793479463464</v>
      </c>
      <c r="AE200" s="362"/>
      <c r="AF200" s="362" t="str">
        <f t="shared" ca="1" si="75"/>
        <v/>
      </c>
      <c r="AG200" s="362" t="str">
        <f t="shared" ca="1" si="75"/>
        <v/>
      </c>
      <c r="AH200" s="362" t="str">
        <f t="shared" ca="1" si="75"/>
        <v/>
      </c>
      <c r="AI200" s="362" t="str">
        <f t="shared" ca="1" si="75"/>
        <v/>
      </c>
      <c r="AJ200" s="362" t="str">
        <f t="shared" ca="1" si="75"/>
        <v/>
      </c>
      <c r="AK200" s="362" t="str">
        <f t="shared" ca="1" si="75"/>
        <v/>
      </c>
      <c r="AL200" s="362" t="str">
        <f t="shared" ca="1" si="75"/>
        <v/>
      </c>
      <c r="AM200" s="362" t="str">
        <f t="shared" ca="1" si="75"/>
        <v/>
      </c>
      <c r="AN200" s="362" t="str">
        <f t="shared" ca="1" si="75"/>
        <v/>
      </c>
      <c r="AO200" s="362" t="str">
        <f t="shared" ca="1" si="75"/>
        <v/>
      </c>
      <c r="AP200" s="362" t="str">
        <f t="shared" ca="1" si="76"/>
        <v/>
      </c>
      <c r="AQ200" s="362" t="str">
        <f t="shared" ca="1" si="76"/>
        <v/>
      </c>
      <c r="AR200" s="362" t="str">
        <f t="shared" ca="1" si="76"/>
        <v/>
      </c>
      <c r="AS200" s="362" t="str">
        <f t="shared" ca="1" si="76"/>
        <v/>
      </c>
      <c r="AT200" s="362" t="str">
        <f t="shared" ca="1" si="76"/>
        <v/>
      </c>
      <c r="AU200" s="362" t="str">
        <f t="shared" ca="1" si="76"/>
        <v/>
      </c>
      <c r="AV200" s="362">
        <f t="shared" ca="1" si="76"/>
        <v>0</v>
      </c>
      <c r="AW200" s="362">
        <f t="shared" ca="1" si="76"/>
        <v>0</v>
      </c>
      <c r="AX200" s="362">
        <f t="shared" ca="1" si="76"/>
        <v>0</v>
      </c>
      <c r="AY200" s="362">
        <f t="shared" ca="1" si="76"/>
        <v>0</v>
      </c>
      <c r="AZ200" s="362">
        <f t="shared" ca="1" si="77"/>
        <v>0</v>
      </c>
      <c r="BA200" s="362">
        <f t="shared" ca="1" si="77"/>
        <v>0</v>
      </c>
      <c r="BB200" s="362">
        <f t="shared" ca="1" si="77"/>
        <v>0</v>
      </c>
      <c r="BC200" s="362">
        <f t="shared" ca="1" si="77"/>
        <v>0</v>
      </c>
      <c r="BD200" s="362">
        <f t="shared" ca="1" si="77"/>
        <v>0</v>
      </c>
      <c r="BE200" s="362">
        <f t="shared" ca="1" si="77"/>
        <v>0</v>
      </c>
      <c r="BF200" s="362">
        <f t="shared" ca="1" si="77"/>
        <v>0</v>
      </c>
      <c r="BG200" s="362">
        <f t="shared" ca="1" si="77"/>
        <v>0</v>
      </c>
      <c r="BH200" s="362">
        <f t="shared" ca="1" si="77"/>
        <v>0</v>
      </c>
      <c r="BI200" s="362">
        <f t="shared" ca="1" si="77"/>
        <v>0</v>
      </c>
      <c r="BJ200" s="362">
        <f t="shared" ca="1" si="77"/>
        <v>0</v>
      </c>
      <c r="BK200" s="362">
        <f t="shared" ca="1" si="77"/>
        <v>0</v>
      </c>
      <c r="BL200" s="362">
        <f t="shared" ca="1" si="77"/>
        <v>0</v>
      </c>
      <c r="BM200" s="362"/>
    </row>
    <row r="201" spans="25:65">
      <c r="Y201" s="10">
        <v>0</v>
      </c>
      <c r="AA201" s="360">
        <f t="shared" si="73"/>
        <v>2014</v>
      </c>
      <c r="AB201" s="362">
        <f ca="1">'GHG Emissions'!I16</f>
        <v>20721.600734731339</v>
      </c>
      <c r="AC201" s="362">
        <f t="shared" si="74"/>
        <v>0</v>
      </c>
      <c r="AD201" s="362">
        <f t="shared" ca="1" si="78"/>
        <v>20721.600734731339</v>
      </c>
      <c r="AE201" s="362"/>
      <c r="AF201" s="362" t="str">
        <f t="shared" ca="1" si="75"/>
        <v/>
      </c>
      <c r="AG201" s="362" t="str">
        <f t="shared" ca="1" si="75"/>
        <v/>
      </c>
      <c r="AH201" s="362" t="str">
        <f t="shared" ca="1" si="75"/>
        <v/>
      </c>
      <c r="AI201" s="362" t="str">
        <f t="shared" ca="1" si="75"/>
        <v/>
      </c>
      <c r="AJ201" s="362" t="str">
        <f t="shared" ca="1" si="75"/>
        <v/>
      </c>
      <c r="AK201" s="362" t="str">
        <f t="shared" ca="1" si="75"/>
        <v/>
      </c>
      <c r="AL201" s="362" t="str">
        <f t="shared" ca="1" si="75"/>
        <v/>
      </c>
      <c r="AM201" s="362" t="str">
        <f t="shared" ca="1" si="75"/>
        <v/>
      </c>
      <c r="AN201" s="362" t="str">
        <f t="shared" ca="1" si="75"/>
        <v/>
      </c>
      <c r="AO201" s="362" t="str">
        <f t="shared" ca="1" si="75"/>
        <v/>
      </c>
      <c r="AP201" s="362" t="str">
        <f t="shared" ca="1" si="76"/>
        <v/>
      </c>
      <c r="AQ201" s="362" t="str">
        <f t="shared" ca="1" si="76"/>
        <v/>
      </c>
      <c r="AR201" s="362" t="str">
        <f t="shared" ca="1" si="76"/>
        <v/>
      </c>
      <c r="AS201" s="362" t="str">
        <f t="shared" ca="1" si="76"/>
        <v/>
      </c>
      <c r="AT201" s="362" t="str">
        <f t="shared" ca="1" si="76"/>
        <v/>
      </c>
      <c r="AU201" s="362" t="str">
        <f t="shared" ca="1" si="76"/>
        <v/>
      </c>
      <c r="AV201" s="362">
        <f t="shared" ca="1" si="76"/>
        <v>0</v>
      </c>
      <c r="AW201" s="362">
        <f t="shared" ca="1" si="76"/>
        <v>0</v>
      </c>
      <c r="AX201" s="362">
        <f t="shared" ca="1" si="76"/>
        <v>0</v>
      </c>
      <c r="AY201" s="362">
        <f t="shared" ca="1" si="76"/>
        <v>0</v>
      </c>
      <c r="AZ201" s="362">
        <f t="shared" ca="1" si="77"/>
        <v>0</v>
      </c>
      <c r="BA201" s="362">
        <f t="shared" ca="1" si="77"/>
        <v>0</v>
      </c>
      <c r="BB201" s="362">
        <f t="shared" ca="1" si="77"/>
        <v>0</v>
      </c>
      <c r="BC201" s="362">
        <f t="shared" ca="1" si="77"/>
        <v>0</v>
      </c>
      <c r="BD201" s="362">
        <f t="shared" ca="1" si="77"/>
        <v>0</v>
      </c>
      <c r="BE201" s="362">
        <f t="shared" ca="1" si="77"/>
        <v>0</v>
      </c>
      <c r="BF201" s="362">
        <f t="shared" ca="1" si="77"/>
        <v>0</v>
      </c>
      <c r="BG201" s="362">
        <f t="shared" ca="1" si="77"/>
        <v>0</v>
      </c>
      <c r="BH201" s="362">
        <f t="shared" ca="1" si="77"/>
        <v>0</v>
      </c>
      <c r="BI201" s="362">
        <f t="shared" ca="1" si="77"/>
        <v>0</v>
      </c>
      <c r="BJ201" s="362">
        <f t="shared" ca="1" si="77"/>
        <v>0</v>
      </c>
      <c r="BK201" s="362">
        <f t="shared" ca="1" si="77"/>
        <v>0</v>
      </c>
      <c r="BL201" s="362">
        <f t="shared" ca="1" si="77"/>
        <v>0</v>
      </c>
      <c r="BM201" s="362"/>
    </row>
    <row r="202" spans="25:65">
      <c r="Y202" s="10">
        <v>0</v>
      </c>
      <c r="AA202" s="360">
        <f t="shared" si="73"/>
        <v>2015</v>
      </c>
      <c r="AB202" s="362">
        <f ca="1">'GHG Emissions'!I17</f>
        <v>21176.94694453691</v>
      </c>
      <c r="AC202" s="362">
        <f t="shared" si="74"/>
        <v>0</v>
      </c>
      <c r="AD202" s="362">
        <f t="shared" ca="1" si="78"/>
        <v>21176.94694453691</v>
      </c>
      <c r="AE202" s="362"/>
      <c r="AF202" s="362" t="str">
        <f t="shared" ca="1" si="75"/>
        <v/>
      </c>
      <c r="AG202" s="362" t="str">
        <f t="shared" ca="1" si="75"/>
        <v/>
      </c>
      <c r="AH202" s="362" t="str">
        <f t="shared" ca="1" si="75"/>
        <v/>
      </c>
      <c r="AI202" s="362" t="str">
        <f t="shared" ca="1" si="75"/>
        <v/>
      </c>
      <c r="AJ202" s="362" t="str">
        <f t="shared" ca="1" si="75"/>
        <v/>
      </c>
      <c r="AK202" s="362" t="str">
        <f t="shared" ca="1" si="75"/>
        <v/>
      </c>
      <c r="AL202" s="362" t="str">
        <f t="shared" ca="1" si="75"/>
        <v/>
      </c>
      <c r="AM202" s="362" t="str">
        <f t="shared" ca="1" si="75"/>
        <v/>
      </c>
      <c r="AN202" s="362" t="str">
        <f t="shared" ca="1" si="75"/>
        <v/>
      </c>
      <c r="AO202" s="362" t="str">
        <f t="shared" ca="1" si="75"/>
        <v/>
      </c>
      <c r="AP202" s="362" t="str">
        <f t="shared" ca="1" si="76"/>
        <v/>
      </c>
      <c r="AQ202" s="362" t="str">
        <f t="shared" ca="1" si="76"/>
        <v/>
      </c>
      <c r="AR202" s="362" t="str">
        <f t="shared" ca="1" si="76"/>
        <v/>
      </c>
      <c r="AS202" s="362" t="str">
        <f t="shared" ca="1" si="76"/>
        <v/>
      </c>
      <c r="AT202" s="362" t="str">
        <f t="shared" ca="1" si="76"/>
        <v/>
      </c>
      <c r="AU202" s="362" t="str">
        <f t="shared" ca="1" si="76"/>
        <v/>
      </c>
      <c r="AV202" s="362">
        <f t="shared" ca="1" si="76"/>
        <v>0</v>
      </c>
      <c r="AW202" s="362">
        <f t="shared" ca="1" si="76"/>
        <v>0</v>
      </c>
      <c r="AX202" s="362">
        <f t="shared" ca="1" si="76"/>
        <v>0</v>
      </c>
      <c r="AY202" s="362">
        <f t="shared" ca="1" si="76"/>
        <v>0</v>
      </c>
      <c r="AZ202" s="362">
        <f t="shared" ca="1" si="77"/>
        <v>0</v>
      </c>
      <c r="BA202" s="362">
        <f t="shared" ca="1" si="77"/>
        <v>0</v>
      </c>
      <c r="BB202" s="362">
        <f t="shared" ca="1" si="77"/>
        <v>0</v>
      </c>
      <c r="BC202" s="362">
        <f t="shared" ca="1" si="77"/>
        <v>0</v>
      </c>
      <c r="BD202" s="362">
        <f t="shared" ca="1" si="77"/>
        <v>0</v>
      </c>
      <c r="BE202" s="362">
        <f t="shared" ca="1" si="77"/>
        <v>0</v>
      </c>
      <c r="BF202" s="362">
        <f t="shared" ca="1" si="77"/>
        <v>0</v>
      </c>
      <c r="BG202" s="362">
        <f t="shared" ca="1" si="77"/>
        <v>0</v>
      </c>
      <c r="BH202" s="362">
        <f t="shared" ca="1" si="77"/>
        <v>0</v>
      </c>
      <c r="BI202" s="362">
        <f t="shared" ca="1" si="77"/>
        <v>0</v>
      </c>
      <c r="BJ202" s="362">
        <f t="shared" ca="1" si="77"/>
        <v>0</v>
      </c>
      <c r="BK202" s="362">
        <f t="shared" ca="1" si="77"/>
        <v>0</v>
      </c>
      <c r="BL202" s="362">
        <f t="shared" ca="1" si="77"/>
        <v>0</v>
      </c>
      <c r="BM202" s="362"/>
    </row>
    <row r="203" spans="25:65">
      <c r="Y203" s="10">
        <v>0</v>
      </c>
      <c r="AA203" s="360">
        <f t="shared" si="73"/>
        <v>2016</v>
      </c>
      <c r="AB203" s="362">
        <f ca="1">'GHG Emissions'!I18</f>
        <v>21407.578677725378</v>
      </c>
      <c r="AC203" s="362">
        <f t="shared" si="74"/>
        <v>0</v>
      </c>
      <c r="AD203" s="362">
        <f t="shared" ca="1" si="78"/>
        <v>21407.578677725378</v>
      </c>
      <c r="AE203" s="362"/>
      <c r="AF203" s="362" t="str">
        <f t="shared" ca="1" si="75"/>
        <v/>
      </c>
      <c r="AG203" s="362" t="str">
        <f t="shared" ca="1" si="75"/>
        <v/>
      </c>
      <c r="AH203" s="362" t="str">
        <f t="shared" ca="1" si="75"/>
        <v/>
      </c>
      <c r="AI203" s="362" t="str">
        <f t="shared" ca="1" si="75"/>
        <v/>
      </c>
      <c r="AJ203" s="362" t="str">
        <f t="shared" ca="1" si="75"/>
        <v/>
      </c>
      <c r="AK203" s="362" t="str">
        <f t="shared" ca="1" si="75"/>
        <v/>
      </c>
      <c r="AL203" s="362" t="str">
        <f t="shared" ca="1" si="75"/>
        <v/>
      </c>
      <c r="AM203" s="362" t="str">
        <f t="shared" ca="1" si="75"/>
        <v/>
      </c>
      <c r="AN203" s="362" t="str">
        <f t="shared" ca="1" si="75"/>
        <v/>
      </c>
      <c r="AO203" s="362" t="str">
        <f t="shared" ca="1" si="75"/>
        <v/>
      </c>
      <c r="AP203" s="362" t="str">
        <f t="shared" ca="1" si="76"/>
        <v/>
      </c>
      <c r="AQ203" s="362" t="str">
        <f t="shared" ca="1" si="76"/>
        <v/>
      </c>
      <c r="AR203" s="362" t="str">
        <f t="shared" ca="1" si="76"/>
        <v/>
      </c>
      <c r="AS203" s="362" t="str">
        <f t="shared" ca="1" si="76"/>
        <v/>
      </c>
      <c r="AT203" s="362" t="str">
        <f t="shared" ca="1" si="76"/>
        <v/>
      </c>
      <c r="AU203" s="362" t="str">
        <f t="shared" ca="1" si="76"/>
        <v/>
      </c>
      <c r="AV203" s="362">
        <f t="shared" ca="1" si="76"/>
        <v>0</v>
      </c>
      <c r="AW203" s="362">
        <f t="shared" ca="1" si="76"/>
        <v>0</v>
      </c>
      <c r="AX203" s="362">
        <f t="shared" ca="1" si="76"/>
        <v>0</v>
      </c>
      <c r="AY203" s="362">
        <f t="shared" ca="1" si="76"/>
        <v>0</v>
      </c>
      <c r="AZ203" s="362">
        <f t="shared" ca="1" si="77"/>
        <v>0</v>
      </c>
      <c r="BA203" s="362">
        <f t="shared" ca="1" si="77"/>
        <v>0</v>
      </c>
      <c r="BB203" s="362">
        <f t="shared" ca="1" si="77"/>
        <v>0</v>
      </c>
      <c r="BC203" s="362">
        <f t="shared" ca="1" si="77"/>
        <v>0</v>
      </c>
      <c r="BD203" s="362">
        <f t="shared" ca="1" si="77"/>
        <v>0</v>
      </c>
      <c r="BE203" s="362">
        <f t="shared" ca="1" si="77"/>
        <v>0</v>
      </c>
      <c r="BF203" s="362">
        <f t="shared" ca="1" si="77"/>
        <v>0</v>
      </c>
      <c r="BG203" s="362">
        <f t="shared" ca="1" si="77"/>
        <v>0</v>
      </c>
      <c r="BH203" s="362">
        <f t="shared" ca="1" si="77"/>
        <v>0</v>
      </c>
      <c r="BI203" s="362">
        <f t="shared" ca="1" si="77"/>
        <v>0</v>
      </c>
      <c r="BJ203" s="362">
        <f t="shared" ca="1" si="77"/>
        <v>0</v>
      </c>
      <c r="BK203" s="362">
        <f t="shared" ca="1" si="77"/>
        <v>0</v>
      </c>
      <c r="BL203" s="362">
        <f t="shared" ca="1" si="77"/>
        <v>0</v>
      </c>
      <c r="BM203" s="362"/>
    </row>
    <row r="204" spans="25:65">
      <c r="Y204" s="10">
        <v>0</v>
      </c>
      <c r="AA204" s="360">
        <f t="shared" si="73"/>
        <v>2017</v>
      </c>
      <c r="AB204" s="362">
        <f ca="1">'GHG Emissions'!I19</f>
        <v>21638.150505990383</v>
      </c>
      <c r="AC204" s="362">
        <f t="shared" si="74"/>
        <v>0</v>
      </c>
      <c r="AD204" s="362">
        <f t="shared" ca="1" si="78"/>
        <v>21638.150505990383</v>
      </c>
      <c r="AE204" s="362"/>
      <c r="AF204" s="362" t="str">
        <f t="shared" ca="1" si="75"/>
        <v/>
      </c>
      <c r="AG204" s="362" t="str">
        <f t="shared" ca="1" si="75"/>
        <v/>
      </c>
      <c r="AH204" s="362" t="str">
        <f t="shared" ca="1" si="75"/>
        <v/>
      </c>
      <c r="AI204" s="362" t="str">
        <f t="shared" ca="1" si="75"/>
        <v/>
      </c>
      <c r="AJ204" s="362" t="str">
        <f t="shared" ca="1" si="75"/>
        <v/>
      </c>
      <c r="AK204" s="362" t="str">
        <f t="shared" ca="1" si="75"/>
        <v/>
      </c>
      <c r="AL204" s="362" t="str">
        <f t="shared" ca="1" si="75"/>
        <v/>
      </c>
      <c r="AM204" s="362" t="str">
        <f t="shared" ca="1" si="75"/>
        <v/>
      </c>
      <c r="AN204" s="362" t="str">
        <f t="shared" ca="1" si="75"/>
        <v/>
      </c>
      <c r="AO204" s="362" t="str">
        <f t="shared" ca="1" si="75"/>
        <v/>
      </c>
      <c r="AP204" s="362" t="str">
        <f t="shared" ca="1" si="76"/>
        <v/>
      </c>
      <c r="AQ204" s="362" t="str">
        <f t="shared" ca="1" si="76"/>
        <v/>
      </c>
      <c r="AR204" s="362" t="str">
        <f t="shared" ca="1" si="76"/>
        <v/>
      </c>
      <c r="AS204" s="362" t="str">
        <f t="shared" ca="1" si="76"/>
        <v/>
      </c>
      <c r="AT204" s="362" t="str">
        <f t="shared" ca="1" si="76"/>
        <v/>
      </c>
      <c r="AU204" s="362" t="str">
        <f t="shared" ca="1" si="76"/>
        <v/>
      </c>
      <c r="AV204" s="362">
        <f t="shared" ca="1" si="76"/>
        <v>0</v>
      </c>
      <c r="AW204" s="362">
        <f t="shared" ca="1" si="76"/>
        <v>0</v>
      </c>
      <c r="AX204" s="362">
        <f t="shared" ca="1" si="76"/>
        <v>0</v>
      </c>
      <c r="AY204" s="362">
        <f t="shared" ca="1" si="76"/>
        <v>0</v>
      </c>
      <c r="AZ204" s="362">
        <f t="shared" ca="1" si="77"/>
        <v>0</v>
      </c>
      <c r="BA204" s="362">
        <f t="shared" ca="1" si="77"/>
        <v>0</v>
      </c>
      <c r="BB204" s="362">
        <f t="shared" ca="1" si="77"/>
        <v>0</v>
      </c>
      <c r="BC204" s="362">
        <f t="shared" ca="1" si="77"/>
        <v>0</v>
      </c>
      <c r="BD204" s="362">
        <f t="shared" ca="1" si="77"/>
        <v>0</v>
      </c>
      <c r="BE204" s="362">
        <f t="shared" ca="1" si="77"/>
        <v>0</v>
      </c>
      <c r="BF204" s="362">
        <f t="shared" ca="1" si="77"/>
        <v>0</v>
      </c>
      <c r="BG204" s="362">
        <f t="shared" ca="1" si="77"/>
        <v>0</v>
      </c>
      <c r="BH204" s="362">
        <f t="shared" ca="1" si="77"/>
        <v>0</v>
      </c>
      <c r="BI204" s="362">
        <f t="shared" ca="1" si="77"/>
        <v>0</v>
      </c>
      <c r="BJ204" s="362">
        <f t="shared" ca="1" si="77"/>
        <v>0</v>
      </c>
      <c r="BK204" s="362">
        <f t="shared" ca="1" si="77"/>
        <v>0</v>
      </c>
      <c r="BL204" s="362">
        <f t="shared" ca="1" si="77"/>
        <v>0</v>
      </c>
      <c r="BM204" s="362"/>
    </row>
    <row r="205" spans="25:65">
      <c r="Y205" s="10">
        <v>0</v>
      </c>
      <c r="AA205" s="360">
        <f t="shared" si="73"/>
        <v>2018</v>
      </c>
      <c r="AB205" s="362">
        <f ca="1">'GHG Emissions'!I20</f>
        <v>21868.673377042745</v>
      </c>
      <c r="AC205" s="362">
        <f t="shared" si="74"/>
        <v>0</v>
      </c>
      <c r="AD205" s="362">
        <f t="shared" ca="1" si="78"/>
        <v>21868.673377042745</v>
      </c>
      <c r="AE205" s="362"/>
      <c r="AF205" s="362" t="str">
        <f t="shared" ca="1" si="75"/>
        <v/>
      </c>
      <c r="AG205" s="362" t="str">
        <f t="shared" ca="1" si="75"/>
        <v/>
      </c>
      <c r="AH205" s="362" t="str">
        <f t="shared" ca="1" si="75"/>
        <v/>
      </c>
      <c r="AI205" s="362" t="str">
        <f t="shared" ca="1" si="75"/>
        <v/>
      </c>
      <c r="AJ205" s="362" t="str">
        <f t="shared" ca="1" si="75"/>
        <v/>
      </c>
      <c r="AK205" s="362" t="str">
        <f t="shared" ca="1" si="75"/>
        <v/>
      </c>
      <c r="AL205" s="362" t="str">
        <f t="shared" ca="1" si="75"/>
        <v/>
      </c>
      <c r="AM205" s="362" t="str">
        <f t="shared" ca="1" si="75"/>
        <v/>
      </c>
      <c r="AN205" s="362" t="str">
        <f t="shared" ca="1" si="75"/>
        <v/>
      </c>
      <c r="AO205" s="362" t="str">
        <f t="shared" ca="1" si="75"/>
        <v/>
      </c>
      <c r="AP205" s="362" t="str">
        <f t="shared" ca="1" si="76"/>
        <v/>
      </c>
      <c r="AQ205" s="362" t="str">
        <f t="shared" ca="1" si="76"/>
        <v/>
      </c>
      <c r="AR205" s="362" t="str">
        <f t="shared" ca="1" si="76"/>
        <v/>
      </c>
      <c r="AS205" s="362" t="str">
        <f t="shared" ca="1" si="76"/>
        <v/>
      </c>
      <c r="AT205" s="362" t="str">
        <f t="shared" ca="1" si="76"/>
        <v/>
      </c>
      <c r="AU205" s="362" t="str">
        <f t="shared" ca="1" si="76"/>
        <v/>
      </c>
      <c r="AV205" s="362">
        <f t="shared" ca="1" si="76"/>
        <v>0</v>
      </c>
      <c r="AW205" s="362">
        <f t="shared" ca="1" si="76"/>
        <v>0</v>
      </c>
      <c r="AX205" s="362">
        <f t="shared" ca="1" si="76"/>
        <v>0</v>
      </c>
      <c r="AY205" s="362">
        <f t="shared" ca="1" si="76"/>
        <v>0</v>
      </c>
      <c r="AZ205" s="362">
        <f t="shared" ca="1" si="77"/>
        <v>0</v>
      </c>
      <c r="BA205" s="362">
        <f t="shared" ca="1" si="77"/>
        <v>0</v>
      </c>
      <c r="BB205" s="362">
        <f t="shared" ca="1" si="77"/>
        <v>0</v>
      </c>
      <c r="BC205" s="362">
        <f t="shared" ca="1" si="77"/>
        <v>0</v>
      </c>
      <c r="BD205" s="362">
        <f t="shared" ca="1" si="77"/>
        <v>0</v>
      </c>
      <c r="BE205" s="362">
        <f t="shared" ca="1" si="77"/>
        <v>0</v>
      </c>
      <c r="BF205" s="362">
        <f t="shared" ca="1" si="77"/>
        <v>0</v>
      </c>
      <c r="BG205" s="362">
        <f t="shared" ca="1" si="77"/>
        <v>0</v>
      </c>
      <c r="BH205" s="362">
        <f t="shared" ca="1" si="77"/>
        <v>0</v>
      </c>
      <c r="BI205" s="362">
        <f t="shared" ca="1" si="77"/>
        <v>0</v>
      </c>
      <c r="BJ205" s="362">
        <f t="shared" ca="1" si="77"/>
        <v>0</v>
      </c>
      <c r="BK205" s="362">
        <f t="shared" ca="1" si="77"/>
        <v>0</v>
      </c>
      <c r="BL205" s="362">
        <f t="shared" ca="1" si="77"/>
        <v>0</v>
      </c>
      <c r="BM205" s="362"/>
    </row>
    <row r="206" spans="25:65">
      <c r="Y206" s="10">
        <v>0</v>
      </c>
      <c r="AA206" s="360">
        <f t="shared" si="73"/>
        <v>2019</v>
      </c>
      <c r="AB206" s="362">
        <f ca="1">'GHG Emissions'!I21</f>
        <v>22099.155261844102</v>
      </c>
      <c r="AC206" s="362">
        <f t="shared" si="74"/>
        <v>0</v>
      </c>
      <c r="AD206" s="362">
        <f t="shared" ca="1" si="78"/>
        <v>22099.155261844102</v>
      </c>
      <c r="AE206" s="362"/>
      <c r="AF206" s="362" t="str">
        <f t="shared" ca="1" si="75"/>
        <v/>
      </c>
      <c r="AG206" s="362" t="str">
        <f t="shared" ca="1" si="75"/>
        <v/>
      </c>
      <c r="AH206" s="362" t="str">
        <f t="shared" ca="1" si="75"/>
        <v/>
      </c>
      <c r="AI206" s="362" t="str">
        <f t="shared" ca="1" si="75"/>
        <v/>
      </c>
      <c r="AJ206" s="362" t="str">
        <f t="shared" ca="1" si="75"/>
        <v/>
      </c>
      <c r="AK206" s="362" t="str">
        <f t="shared" ca="1" si="75"/>
        <v/>
      </c>
      <c r="AL206" s="362" t="str">
        <f t="shared" ca="1" si="75"/>
        <v/>
      </c>
      <c r="AM206" s="362" t="str">
        <f t="shared" ca="1" si="75"/>
        <v/>
      </c>
      <c r="AN206" s="362" t="str">
        <f t="shared" ca="1" si="75"/>
        <v/>
      </c>
      <c r="AO206" s="362" t="str">
        <f t="shared" ca="1" si="75"/>
        <v/>
      </c>
      <c r="AP206" s="362" t="str">
        <f t="shared" ca="1" si="76"/>
        <v/>
      </c>
      <c r="AQ206" s="362" t="str">
        <f t="shared" ca="1" si="76"/>
        <v/>
      </c>
      <c r="AR206" s="362" t="str">
        <f t="shared" ca="1" si="76"/>
        <v/>
      </c>
      <c r="AS206" s="362" t="str">
        <f t="shared" ca="1" si="76"/>
        <v/>
      </c>
      <c r="AT206" s="362" t="str">
        <f t="shared" ca="1" si="76"/>
        <v/>
      </c>
      <c r="AU206" s="362" t="str">
        <f t="shared" ca="1" si="76"/>
        <v/>
      </c>
      <c r="AV206" s="362">
        <f t="shared" ca="1" si="76"/>
        <v>0</v>
      </c>
      <c r="AW206" s="362">
        <f t="shared" ca="1" si="76"/>
        <v>0</v>
      </c>
      <c r="AX206" s="362">
        <f t="shared" ca="1" si="76"/>
        <v>0</v>
      </c>
      <c r="AY206" s="362">
        <f t="shared" ca="1" si="76"/>
        <v>0</v>
      </c>
      <c r="AZ206" s="362">
        <f t="shared" ca="1" si="77"/>
        <v>0</v>
      </c>
      <c r="BA206" s="362">
        <f t="shared" ca="1" si="77"/>
        <v>0</v>
      </c>
      <c r="BB206" s="362">
        <f t="shared" ca="1" si="77"/>
        <v>0</v>
      </c>
      <c r="BC206" s="362">
        <f t="shared" ca="1" si="77"/>
        <v>0</v>
      </c>
      <c r="BD206" s="362">
        <f t="shared" ca="1" si="77"/>
        <v>0</v>
      </c>
      <c r="BE206" s="362">
        <f t="shared" ca="1" si="77"/>
        <v>0</v>
      </c>
      <c r="BF206" s="362">
        <f t="shared" ca="1" si="77"/>
        <v>0</v>
      </c>
      <c r="BG206" s="362">
        <f t="shared" ca="1" si="77"/>
        <v>0</v>
      </c>
      <c r="BH206" s="362">
        <f t="shared" ca="1" si="77"/>
        <v>0</v>
      </c>
      <c r="BI206" s="362">
        <f t="shared" ca="1" si="77"/>
        <v>0</v>
      </c>
      <c r="BJ206" s="362">
        <f t="shared" ca="1" si="77"/>
        <v>0</v>
      </c>
      <c r="BK206" s="362">
        <f t="shared" ca="1" si="77"/>
        <v>0</v>
      </c>
      <c r="BL206" s="362">
        <f t="shared" ca="1" si="77"/>
        <v>0</v>
      </c>
      <c r="BM206" s="362"/>
    </row>
    <row r="207" spans="25:65">
      <c r="Y207" s="10">
        <v>0</v>
      </c>
      <c r="AA207" s="360">
        <f t="shared" si="73"/>
        <v>2020</v>
      </c>
      <c r="AB207" s="362">
        <f ca="1">'GHG Emissions'!I22</f>
        <v>22329.602177826593</v>
      </c>
      <c r="AC207" s="362">
        <f t="shared" si="74"/>
        <v>0</v>
      </c>
      <c r="AD207" s="362">
        <f t="shared" ca="1" si="78"/>
        <v>22329.602177826593</v>
      </c>
      <c r="AE207" s="362"/>
      <c r="AF207" s="362" t="str">
        <f t="shared" ref="AF207:AO216" ca="1" si="79">IFERROR(-HLOOKUP(AF$50,Scope1Table,$AA207-$AA$197+2,FALSE),"")</f>
        <v/>
      </c>
      <c r="AG207" s="362" t="str">
        <f t="shared" ca="1" si="79"/>
        <v/>
      </c>
      <c r="AH207" s="362" t="str">
        <f t="shared" ca="1" si="79"/>
        <v/>
      </c>
      <c r="AI207" s="362" t="str">
        <f t="shared" ca="1" si="79"/>
        <v/>
      </c>
      <c r="AJ207" s="362" t="str">
        <f t="shared" ca="1" si="79"/>
        <v/>
      </c>
      <c r="AK207" s="362" t="str">
        <f t="shared" ca="1" si="79"/>
        <v/>
      </c>
      <c r="AL207" s="362" t="str">
        <f t="shared" ca="1" si="79"/>
        <v/>
      </c>
      <c r="AM207" s="362" t="str">
        <f t="shared" ca="1" si="79"/>
        <v/>
      </c>
      <c r="AN207" s="362" t="str">
        <f t="shared" ca="1" si="79"/>
        <v/>
      </c>
      <c r="AO207" s="362" t="str">
        <f t="shared" ca="1" si="79"/>
        <v/>
      </c>
      <c r="AP207" s="362" t="str">
        <f t="shared" ref="AP207:AY216" ca="1" si="80">IFERROR(-HLOOKUP(AP$50,Scope1Table,$AA207-$AA$197+2,FALSE),"")</f>
        <v/>
      </c>
      <c r="AQ207" s="362" t="str">
        <f t="shared" ca="1" si="80"/>
        <v/>
      </c>
      <c r="AR207" s="362" t="str">
        <f t="shared" ca="1" si="80"/>
        <v/>
      </c>
      <c r="AS207" s="362" t="str">
        <f t="shared" ca="1" si="80"/>
        <v/>
      </c>
      <c r="AT207" s="362" t="str">
        <f t="shared" ca="1" si="80"/>
        <v/>
      </c>
      <c r="AU207" s="362" t="str">
        <f t="shared" ca="1" si="80"/>
        <v/>
      </c>
      <c r="AV207" s="362">
        <f t="shared" ca="1" si="80"/>
        <v>0</v>
      </c>
      <c r="AW207" s="362">
        <f t="shared" ca="1" si="80"/>
        <v>0</v>
      </c>
      <c r="AX207" s="362">
        <f t="shared" ca="1" si="80"/>
        <v>0</v>
      </c>
      <c r="AY207" s="362">
        <f t="shared" ca="1" si="80"/>
        <v>0</v>
      </c>
      <c r="AZ207" s="362">
        <f t="shared" ref="AZ207:BL216" ca="1" si="81">IFERROR(-HLOOKUP(AZ$50,Scope1Table,$AA207-$AA$197+2,FALSE),"")</f>
        <v>0</v>
      </c>
      <c r="BA207" s="362">
        <f t="shared" ca="1" si="81"/>
        <v>0</v>
      </c>
      <c r="BB207" s="362">
        <f t="shared" ca="1" si="81"/>
        <v>0</v>
      </c>
      <c r="BC207" s="362">
        <f t="shared" ca="1" si="81"/>
        <v>0</v>
      </c>
      <c r="BD207" s="362">
        <f t="shared" ca="1" si="81"/>
        <v>0</v>
      </c>
      <c r="BE207" s="362">
        <f t="shared" ca="1" si="81"/>
        <v>0</v>
      </c>
      <c r="BF207" s="362">
        <f t="shared" ca="1" si="81"/>
        <v>0</v>
      </c>
      <c r="BG207" s="362">
        <f t="shared" ca="1" si="81"/>
        <v>0</v>
      </c>
      <c r="BH207" s="362">
        <f t="shared" ca="1" si="81"/>
        <v>0</v>
      </c>
      <c r="BI207" s="362">
        <f t="shared" ca="1" si="81"/>
        <v>0</v>
      </c>
      <c r="BJ207" s="362">
        <f t="shared" ca="1" si="81"/>
        <v>0</v>
      </c>
      <c r="BK207" s="362">
        <f t="shared" ca="1" si="81"/>
        <v>0</v>
      </c>
      <c r="BL207" s="362">
        <f t="shared" ca="1" si="81"/>
        <v>0</v>
      </c>
      <c r="BM207" s="362"/>
    </row>
    <row r="208" spans="25:65">
      <c r="Y208" s="10">
        <v>0</v>
      </c>
      <c r="AA208" s="360">
        <f t="shared" si="73"/>
        <v>2021</v>
      </c>
      <c r="AB208" s="362">
        <f ca="1">'GHG Emissions'!I23</f>
        <v>22560.018799936457</v>
      </c>
      <c r="AC208" s="362">
        <f t="shared" si="74"/>
        <v>0</v>
      </c>
      <c r="AD208" s="362">
        <f t="shared" ca="1" si="78"/>
        <v>22560.018799936457</v>
      </c>
      <c r="AE208" s="362"/>
      <c r="AF208" s="362" t="str">
        <f t="shared" ca="1" si="79"/>
        <v/>
      </c>
      <c r="AG208" s="362" t="str">
        <f t="shared" ca="1" si="79"/>
        <v/>
      </c>
      <c r="AH208" s="362" t="str">
        <f t="shared" ca="1" si="79"/>
        <v/>
      </c>
      <c r="AI208" s="362" t="str">
        <f t="shared" ca="1" si="79"/>
        <v/>
      </c>
      <c r="AJ208" s="362" t="str">
        <f t="shared" ca="1" si="79"/>
        <v/>
      </c>
      <c r="AK208" s="362" t="str">
        <f t="shared" ca="1" si="79"/>
        <v/>
      </c>
      <c r="AL208" s="362" t="str">
        <f t="shared" ca="1" si="79"/>
        <v/>
      </c>
      <c r="AM208" s="362" t="str">
        <f t="shared" ca="1" si="79"/>
        <v/>
      </c>
      <c r="AN208" s="362" t="str">
        <f t="shared" ca="1" si="79"/>
        <v/>
      </c>
      <c r="AO208" s="362" t="str">
        <f t="shared" ca="1" si="79"/>
        <v/>
      </c>
      <c r="AP208" s="362" t="str">
        <f t="shared" ca="1" si="80"/>
        <v/>
      </c>
      <c r="AQ208" s="362" t="str">
        <f t="shared" ca="1" si="80"/>
        <v/>
      </c>
      <c r="AR208" s="362" t="str">
        <f t="shared" ca="1" si="80"/>
        <v/>
      </c>
      <c r="AS208" s="362" t="str">
        <f t="shared" ca="1" si="80"/>
        <v/>
      </c>
      <c r="AT208" s="362" t="str">
        <f t="shared" ca="1" si="80"/>
        <v/>
      </c>
      <c r="AU208" s="362" t="str">
        <f t="shared" ca="1" si="80"/>
        <v/>
      </c>
      <c r="AV208" s="362">
        <f t="shared" ca="1" si="80"/>
        <v>0</v>
      </c>
      <c r="AW208" s="362">
        <f t="shared" ca="1" si="80"/>
        <v>0</v>
      </c>
      <c r="AX208" s="362">
        <f t="shared" ca="1" si="80"/>
        <v>0</v>
      </c>
      <c r="AY208" s="362">
        <f t="shared" ca="1" si="80"/>
        <v>0</v>
      </c>
      <c r="AZ208" s="362">
        <f t="shared" ca="1" si="81"/>
        <v>0</v>
      </c>
      <c r="BA208" s="362">
        <f t="shared" ca="1" si="81"/>
        <v>0</v>
      </c>
      <c r="BB208" s="362">
        <f t="shared" ca="1" si="81"/>
        <v>0</v>
      </c>
      <c r="BC208" s="362">
        <f t="shared" ca="1" si="81"/>
        <v>0</v>
      </c>
      <c r="BD208" s="362">
        <f t="shared" ca="1" si="81"/>
        <v>0</v>
      </c>
      <c r="BE208" s="362">
        <f t="shared" ca="1" si="81"/>
        <v>0</v>
      </c>
      <c r="BF208" s="362">
        <f t="shared" ca="1" si="81"/>
        <v>0</v>
      </c>
      <c r="BG208" s="362">
        <f t="shared" ca="1" si="81"/>
        <v>0</v>
      </c>
      <c r="BH208" s="362">
        <f t="shared" ca="1" si="81"/>
        <v>0</v>
      </c>
      <c r="BI208" s="362">
        <f t="shared" ca="1" si="81"/>
        <v>0</v>
      </c>
      <c r="BJ208" s="362">
        <f t="shared" ca="1" si="81"/>
        <v>0</v>
      </c>
      <c r="BK208" s="362">
        <f t="shared" ca="1" si="81"/>
        <v>0</v>
      </c>
      <c r="BL208" s="362">
        <f t="shared" ca="1" si="81"/>
        <v>0</v>
      </c>
      <c r="BM208" s="362"/>
    </row>
    <row r="209" spans="25:65">
      <c r="Y209" s="10">
        <v>0</v>
      </c>
      <c r="AA209" s="360">
        <f t="shared" si="73"/>
        <v>2022</v>
      </c>
      <c r="AB209" s="362">
        <f ca="1">'GHG Emissions'!I24</f>
        <v>22790.408845913007</v>
      </c>
      <c r="AC209" s="362">
        <f t="shared" si="74"/>
        <v>0</v>
      </c>
      <c r="AD209" s="362">
        <f t="shared" ca="1" si="78"/>
        <v>22790.408845913007</v>
      </c>
      <c r="AE209" s="362"/>
      <c r="AF209" s="362" t="str">
        <f t="shared" ca="1" si="79"/>
        <v/>
      </c>
      <c r="AG209" s="362" t="str">
        <f t="shared" ca="1" si="79"/>
        <v/>
      </c>
      <c r="AH209" s="362" t="str">
        <f t="shared" ca="1" si="79"/>
        <v/>
      </c>
      <c r="AI209" s="362" t="str">
        <f t="shared" ca="1" si="79"/>
        <v/>
      </c>
      <c r="AJ209" s="362" t="str">
        <f t="shared" ca="1" si="79"/>
        <v/>
      </c>
      <c r="AK209" s="362" t="str">
        <f t="shared" ca="1" si="79"/>
        <v/>
      </c>
      <c r="AL209" s="362" t="str">
        <f t="shared" ca="1" si="79"/>
        <v/>
      </c>
      <c r="AM209" s="362" t="str">
        <f t="shared" ca="1" si="79"/>
        <v/>
      </c>
      <c r="AN209" s="362" t="str">
        <f t="shared" ca="1" si="79"/>
        <v/>
      </c>
      <c r="AO209" s="362" t="str">
        <f t="shared" ca="1" si="79"/>
        <v/>
      </c>
      <c r="AP209" s="362" t="str">
        <f t="shared" ca="1" si="80"/>
        <v/>
      </c>
      <c r="AQ209" s="362" t="str">
        <f t="shared" ca="1" si="80"/>
        <v/>
      </c>
      <c r="AR209" s="362" t="str">
        <f t="shared" ca="1" si="80"/>
        <v/>
      </c>
      <c r="AS209" s="362" t="str">
        <f t="shared" ca="1" si="80"/>
        <v/>
      </c>
      <c r="AT209" s="362" t="str">
        <f t="shared" ca="1" si="80"/>
        <v/>
      </c>
      <c r="AU209" s="362" t="str">
        <f t="shared" ca="1" si="80"/>
        <v/>
      </c>
      <c r="AV209" s="362">
        <f t="shared" ca="1" si="80"/>
        <v>0</v>
      </c>
      <c r="AW209" s="362">
        <f t="shared" ca="1" si="80"/>
        <v>0</v>
      </c>
      <c r="AX209" s="362">
        <f t="shared" ca="1" si="80"/>
        <v>0</v>
      </c>
      <c r="AY209" s="362">
        <f t="shared" ca="1" si="80"/>
        <v>0</v>
      </c>
      <c r="AZ209" s="362">
        <f t="shared" ca="1" si="81"/>
        <v>0</v>
      </c>
      <c r="BA209" s="362">
        <f t="shared" ca="1" si="81"/>
        <v>0</v>
      </c>
      <c r="BB209" s="362">
        <f t="shared" ca="1" si="81"/>
        <v>0</v>
      </c>
      <c r="BC209" s="362">
        <f t="shared" ca="1" si="81"/>
        <v>0</v>
      </c>
      <c r="BD209" s="362">
        <f t="shared" ca="1" si="81"/>
        <v>0</v>
      </c>
      <c r="BE209" s="362">
        <f t="shared" ca="1" si="81"/>
        <v>0</v>
      </c>
      <c r="BF209" s="362">
        <f t="shared" ca="1" si="81"/>
        <v>0</v>
      </c>
      <c r="BG209" s="362">
        <f t="shared" ca="1" si="81"/>
        <v>0</v>
      </c>
      <c r="BH209" s="362">
        <f t="shared" ca="1" si="81"/>
        <v>0</v>
      </c>
      <c r="BI209" s="362">
        <f t="shared" ca="1" si="81"/>
        <v>0</v>
      </c>
      <c r="BJ209" s="362">
        <f t="shared" ca="1" si="81"/>
        <v>0</v>
      </c>
      <c r="BK209" s="362">
        <f t="shared" ca="1" si="81"/>
        <v>0</v>
      </c>
      <c r="BL209" s="362">
        <f t="shared" ca="1" si="81"/>
        <v>0</v>
      </c>
      <c r="BM209" s="362"/>
    </row>
    <row r="210" spans="25:65">
      <c r="Y210" s="10">
        <v>0</v>
      </c>
      <c r="AA210" s="360">
        <f t="shared" si="73"/>
        <v>2023</v>
      </c>
      <c r="AB210" s="362">
        <f ca="1">'GHG Emissions'!I25</f>
        <v>23020.77533008498</v>
      </c>
      <c r="AC210" s="362">
        <f t="shared" si="74"/>
        <v>0</v>
      </c>
      <c r="AD210" s="362">
        <f t="shared" ca="1" si="78"/>
        <v>23020.77533008498</v>
      </c>
      <c r="AE210" s="362"/>
      <c r="AF210" s="362" t="str">
        <f t="shared" ca="1" si="79"/>
        <v/>
      </c>
      <c r="AG210" s="362" t="str">
        <f t="shared" ca="1" si="79"/>
        <v/>
      </c>
      <c r="AH210" s="362" t="str">
        <f t="shared" ca="1" si="79"/>
        <v/>
      </c>
      <c r="AI210" s="362" t="str">
        <f t="shared" ca="1" si="79"/>
        <v/>
      </c>
      <c r="AJ210" s="362" t="str">
        <f t="shared" ca="1" si="79"/>
        <v/>
      </c>
      <c r="AK210" s="362" t="str">
        <f t="shared" ca="1" si="79"/>
        <v/>
      </c>
      <c r="AL210" s="362" t="str">
        <f t="shared" ca="1" si="79"/>
        <v/>
      </c>
      <c r="AM210" s="362" t="str">
        <f t="shared" ca="1" si="79"/>
        <v/>
      </c>
      <c r="AN210" s="362" t="str">
        <f t="shared" ca="1" si="79"/>
        <v/>
      </c>
      <c r="AO210" s="362" t="str">
        <f t="shared" ca="1" si="79"/>
        <v/>
      </c>
      <c r="AP210" s="362" t="str">
        <f t="shared" ca="1" si="80"/>
        <v/>
      </c>
      <c r="AQ210" s="362" t="str">
        <f t="shared" ca="1" si="80"/>
        <v/>
      </c>
      <c r="AR210" s="362" t="str">
        <f t="shared" ca="1" si="80"/>
        <v/>
      </c>
      <c r="AS210" s="362" t="str">
        <f t="shared" ca="1" si="80"/>
        <v/>
      </c>
      <c r="AT210" s="362" t="str">
        <f t="shared" ca="1" si="80"/>
        <v/>
      </c>
      <c r="AU210" s="362" t="str">
        <f t="shared" ca="1" si="80"/>
        <v/>
      </c>
      <c r="AV210" s="362">
        <f t="shared" ca="1" si="80"/>
        <v>0</v>
      </c>
      <c r="AW210" s="362">
        <f t="shared" ca="1" si="80"/>
        <v>0</v>
      </c>
      <c r="AX210" s="362">
        <f t="shared" ca="1" si="80"/>
        <v>0</v>
      </c>
      <c r="AY210" s="362">
        <f t="shared" ca="1" si="80"/>
        <v>0</v>
      </c>
      <c r="AZ210" s="362">
        <f t="shared" ca="1" si="81"/>
        <v>0</v>
      </c>
      <c r="BA210" s="362">
        <f t="shared" ca="1" si="81"/>
        <v>0</v>
      </c>
      <c r="BB210" s="362">
        <f t="shared" ca="1" si="81"/>
        <v>0</v>
      </c>
      <c r="BC210" s="362">
        <f t="shared" ca="1" si="81"/>
        <v>0</v>
      </c>
      <c r="BD210" s="362">
        <f t="shared" ca="1" si="81"/>
        <v>0</v>
      </c>
      <c r="BE210" s="362">
        <f t="shared" ca="1" si="81"/>
        <v>0</v>
      </c>
      <c r="BF210" s="362">
        <f t="shared" ca="1" si="81"/>
        <v>0</v>
      </c>
      <c r="BG210" s="362">
        <f t="shared" ca="1" si="81"/>
        <v>0</v>
      </c>
      <c r="BH210" s="362">
        <f t="shared" ca="1" si="81"/>
        <v>0</v>
      </c>
      <c r="BI210" s="362">
        <f t="shared" ca="1" si="81"/>
        <v>0</v>
      </c>
      <c r="BJ210" s="362">
        <f t="shared" ca="1" si="81"/>
        <v>0</v>
      </c>
      <c r="BK210" s="362">
        <f t="shared" ca="1" si="81"/>
        <v>0</v>
      </c>
      <c r="BL210" s="362">
        <f t="shared" ca="1" si="81"/>
        <v>0</v>
      </c>
      <c r="BM210" s="362"/>
    </row>
    <row r="211" spans="25:65">
      <c r="Y211" s="10">
        <v>0</v>
      </c>
      <c r="AA211" s="360">
        <f t="shared" si="73"/>
        <v>2024</v>
      </c>
      <c r="AB211" s="362">
        <f ca="1">'GHG Emissions'!I26</f>
        <v>23251.120736691468</v>
      </c>
      <c r="AC211" s="362">
        <f t="shared" si="74"/>
        <v>0</v>
      </c>
      <c r="AD211" s="362">
        <f t="shared" ca="1" si="78"/>
        <v>23251.120736691468</v>
      </c>
      <c r="AE211" s="362"/>
      <c r="AF211" s="362" t="str">
        <f t="shared" ca="1" si="79"/>
        <v/>
      </c>
      <c r="AG211" s="362" t="str">
        <f t="shared" ca="1" si="79"/>
        <v/>
      </c>
      <c r="AH211" s="362" t="str">
        <f t="shared" ca="1" si="79"/>
        <v/>
      </c>
      <c r="AI211" s="362" t="str">
        <f t="shared" ca="1" si="79"/>
        <v/>
      </c>
      <c r="AJ211" s="362" t="str">
        <f t="shared" ca="1" si="79"/>
        <v/>
      </c>
      <c r="AK211" s="362" t="str">
        <f t="shared" ca="1" si="79"/>
        <v/>
      </c>
      <c r="AL211" s="362" t="str">
        <f t="shared" ca="1" si="79"/>
        <v/>
      </c>
      <c r="AM211" s="362" t="str">
        <f t="shared" ca="1" si="79"/>
        <v/>
      </c>
      <c r="AN211" s="362" t="str">
        <f t="shared" ca="1" si="79"/>
        <v/>
      </c>
      <c r="AO211" s="362" t="str">
        <f t="shared" ca="1" si="79"/>
        <v/>
      </c>
      <c r="AP211" s="362" t="str">
        <f t="shared" ca="1" si="80"/>
        <v/>
      </c>
      <c r="AQ211" s="362" t="str">
        <f t="shared" ca="1" si="80"/>
        <v/>
      </c>
      <c r="AR211" s="362" t="str">
        <f t="shared" ca="1" si="80"/>
        <v/>
      </c>
      <c r="AS211" s="362" t="str">
        <f t="shared" ca="1" si="80"/>
        <v/>
      </c>
      <c r="AT211" s="362" t="str">
        <f t="shared" ca="1" si="80"/>
        <v/>
      </c>
      <c r="AU211" s="362" t="str">
        <f t="shared" ca="1" si="80"/>
        <v/>
      </c>
      <c r="AV211" s="362">
        <f t="shared" ca="1" si="80"/>
        <v>0</v>
      </c>
      <c r="AW211" s="362">
        <f t="shared" ca="1" si="80"/>
        <v>0</v>
      </c>
      <c r="AX211" s="362">
        <f t="shared" ca="1" si="80"/>
        <v>0</v>
      </c>
      <c r="AY211" s="362">
        <f t="shared" ca="1" si="80"/>
        <v>0</v>
      </c>
      <c r="AZ211" s="362">
        <f t="shared" ca="1" si="81"/>
        <v>0</v>
      </c>
      <c r="BA211" s="362">
        <f t="shared" ca="1" si="81"/>
        <v>0</v>
      </c>
      <c r="BB211" s="362">
        <f t="shared" ca="1" si="81"/>
        <v>0</v>
      </c>
      <c r="BC211" s="362">
        <f t="shared" ca="1" si="81"/>
        <v>0</v>
      </c>
      <c r="BD211" s="362">
        <f t="shared" ca="1" si="81"/>
        <v>0</v>
      </c>
      <c r="BE211" s="362">
        <f t="shared" ca="1" si="81"/>
        <v>0</v>
      </c>
      <c r="BF211" s="362">
        <f t="shared" ca="1" si="81"/>
        <v>0</v>
      </c>
      <c r="BG211" s="362">
        <f t="shared" ca="1" si="81"/>
        <v>0</v>
      </c>
      <c r="BH211" s="362">
        <f t="shared" ca="1" si="81"/>
        <v>0</v>
      </c>
      <c r="BI211" s="362">
        <f t="shared" ca="1" si="81"/>
        <v>0</v>
      </c>
      <c r="BJ211" s="362">
        <f t="shared" ca="1" si="81"/>
        <v>0</v>
      </c>
      <c r="BK211" s="362">
        <f t="shared" ca="1" si="81"/>
        <v>0</v>
      </c>
      <c r="BL211" s="362">
        <f t="shared" ca="1" si="81"/>
        <v>0</v>
      </c>
      <c r="BM211" s="362"/>
    </row>
    <row r="212" spans="25:65">
      <c r="Y212" s="10">
        <v>0</v>
      </c>
      <c r="AA212" s="360">
        <f t="shared" si="73"/>
        <v>2025</v>
      </c>
      <c r="AB212" s="362">
        <f ca="1">'GHG Emissions'!I27</f>
        <v>23481.447141878285</v>
      </c>
      <c r="AC212" s="362">
        <f t="shared" si="74"/>
        <v>0</v>
      </c>
      <c r="AD212" s="362">
        <f t="shared" ca="1" si="78"/>
        <v>23481.447141878285</v>
      </c>
      <c r="AE212" s="362"/>
      <c r="AF212" s="362" t="str">
        <f t="shared" ca="1" si="79"/>
        <v/>
      </c>
      <c r="AG212" s="362" t="str">
        <f t="shared" ca="1" si="79"/>
        <v/>
      </c>
      <c r="AH212" s="362" t="str">
        <f t="shared" ca="1" si="79"/>
        <v/>
      </c>
      <c r="AI212" s="362" t="str">
        <f t="shared" ca="1" si="79"/>
        <v/>
      </c>
      <c r="AJ212" s="362" t="str">
        <f t="shared" ca="1" si="79"/>
        <v/>
      </c>
      <c r="AK212" s="362" t="str">
        <f t="shared" ca="1" si="79"/>
        <v/>
      </c>
      <c r="AL212" s="362" t="str">
        <f t="shared" ca="1" si="79"/>
        <v/>
      </c>
      <c r="AM212" s="362" t="str">
        <f t="shared" ca="1" si="79"/>
        <v/>
      </c>
      <c r="AN212" s="362" t="str">
        <f t="shared" ca="1" si="79"/>
        <v/>
      </c>
      <c r="AO212" s="362" t="str">
        <f t="shared" ca="1" si="79"/>
        <v/>
      </c>
      <c r="AP212" s="362" t="str">
        <f t="shared" ca="1" si="80"/>
        <v/>
      </c>
      <c r="AQ212" s="362" t="str">
        <f t="shared" ca="1" si="80"/>
        <v/>
      </c>
      <c r="AR212" s="362" t="str">
        <f t="shared" ca="1" si="80"/>
        <v/>
      </c>
      <c r="AS212" s="362" t="str">
        <f t="shared" ca="1" si="80"/>
        <v/>
      </c>
      <c r="AT212" s="362" t="str">
        <f t="shared" ca="1" si="80"/>
        <v/>
      </c>
      <c r="AU212" s="362" t="str">
        <f t="shared" ca="1" si="80"/>
        <v/>
      </c>
      <c r="AV212" s="362">
        <f t="shared" ca="1" si="80"/>
        <v>0</v>
      </c>
      <c r="AW212" s="362">
        <f t="shared" ca="1" si="80"/>
        <v>0</v>
      </c>
      <c r="AX212" s="362">
        <f t="shared" ca="1" si="80"/>
        <v>0</v>
      </c>
      <c r="AY212" s="362">
        <f t="shared" ca="1" si="80"/>
        <v>0</v>
      </c>
      <c r="AZ212" s="362">
        <f t="shared" ca="1" si="81"/>
        <v>0</v>
      </c>
      <c r="BA212" s="362">
        <f t="shared" ca="1" si="81"/>
        <v>0</v>
      </c>
      <c r="BB212" s="362">
        <f t="shared" ca="1" si="81"/>
        <v>0</v>
      </c>
      <c r="BC212" s="362">
        <f t="shared" ca="1" si="81"/>
        <v>0</v>
      </c>
      <c r="BD212" s="362">
        <f t="shared" ca="1" si="81"/>
        <v>0</v>
      </c>
      <c r="BE212" s="362">
        <f t="shared" ca="1" si="81"/>
        <v>0</v>
      </c>
      <c r="BF212" s="362">
        <f t="shared" ca="1" si="81"/>
        <v>0</v>
      </c>
      <c r="BG212" s="362">
        <f t="shared" ca="1" si="81"/>
        <v>0</v>
      </c>
      <c r="BH212" s="362">
        <f t="shared" ca="1" si="81"/>
        <v>0</v>
      </c>
      <c r="BI212" s="362">
        <f t="shared" ca="1" si="81"/>
        <v>0</v>
      </c>
      <c r="BJ212" s="362">
        <f t="shared" ca="1" si="81"/>
        <v>0</v>
      </c>
      <c r="BK212" s="362">
        <f t="shared" ca="1" si="81"/>
        <v>0</v>
      </c>
      <c r="BL212" s="362">
        <f t="shared" ca="1" si="81"/>
        <v>0</v>
      </c>
      <c r="BM212" s="362"/>
    </row>
    <row r="213" spans="25:65">
      <c r="Y213" s="10">
        <v>0</v>
      </c>
      <c r="AA213" s="360">
        <f t="shared" si="73"/>
        <v>2026</v>
      </c>
      <c r="AB213" s="362">
        <f ca="1">'GHG Emissions'!I28</f>
        <v>23711.756301807087</v>
      </c>
      <c r="AC213" s="362">
        <f t="shared" si="74"/>
        <v>0</v>
      </c>
      <c r="AD213" s="362">
        <f t="shared" ca="1" si="78"/>
        <v>23711.756301807087</v>
      </c>
      <c r="AE213" s="362"/>
      <c r="AF213" s="362" t="str">
        <f t="shared" ca="1" si="79"/>
        <v/>
      </c>
      <c r="AG213" s="362" t="str">
        <f t="shared" ca="1" si="79"/>
        <v/>
      </c>
      <c r="AH213" s="362" t="str">
        <f t="shared" ca="1" si="79"/>
        <v/>
      </c>
      <c r="AI213" s="362" t="str">
        <f t="shared" ca="1" si="79"/>
        <v/>
      </c>
      <c r="AJ213" s="362" t="str">
        <f t="shared" ca="1" si="79"/>
        <v/>
      </c>
      <c r="AK213" s="362" t="str">
        <f t="shared" ca="1" si="79"/>
        <v/>
      </c>
      <c r="AL213" s="362" t="str">
        <f t="shared" ca="1" si="79"/>
        <v/>
      </c>
      <c r="AM213" s="362" t="str">
        <f t="shared" ca="1" si="79"/>
        <v/>
      </c>
      <c r="AN213" s="362" t="str">
        <f t="shared" ca="1" si="79"/>
        <v/>
      </c>
      <c r="AO213" s="362" t="str">
        <f t="shared" ca="1" si="79"/>
        <v/>
      </c>
      <c r="AP213" s="362" t="str">
        <f t="shared" ca="1" si="80"/>
        <v/>
      </c>
      <c r="AQ213" s="362" t="str">
        <f t="shared" ca="1" si="80"/>
        <v/>
      </c>
      <c r="AR213" s="362" t="str">
        <f t="shared" ca="1" si="80"/>
        <v/>
      </c>
      <c r="AS213" s="362" t="str">
        <f t="shared" ca="1" si="80"/>
        <v/>
      </c>
      <c r="AT213" s="362" t="str">
        <f t="shared" ca="1" si="80"/>
        <v/>
      </c>
      <c r="AU213" s="362" t="str">
        <f t="shared" ca="1" si="80"/>
        <v/>
      </c>
      <c r="AV213" s="362">
        <f t="shared" ca="1" si="80"/>
        <v>0</v>
      </c>
      <c r="AW213" s="362">
        <f t="shared" ca="1" si="80"/>
        <v>0</v>
      </c>
      <c r="AX213" s="362">
        <f t="shared" ca="1" si="80"/>
        <v>0</v>
      </c>
      <c r="AY213" s="362">
        <f t="shared" ca="1" si="80"/>
        <v>0</v>
      </c>
      <c r="AZ213" s="362">
        <f t="shared" ca="1" si="81"/>
        <v>0</v>
      </c>
      <c r="BA213" s="362">
        <f t="shared" ca="1" si="81"/>
        <v>0</v>
      </c>
      <c r="BB213" s="362">
        <f t="shared" ca="1" si="81"/>
        <v>0</v>
      </c>
      <c r="BC213" s="362">
        <f t="shared" ca="1" si="81"/>
        <v>0</v>
      </c>
      <c r="BD213" s="362">
        <f t="shared" ca="1" si="81"/>
        <v>0</v>
      </c>
      <c r="BE213" s="362">
        <f t="shared" ca="1" si="81"/>
        <v>0</v>
      </c>
      <c r="BF213" s="362">
        <f t="shared" ca="1" si="81"/>
        <v>0</v>
      </c>
      <c r="BG213" s="362">
        <f t="shared" ca="1" si="81"/>
        <v>0</v>
      </c>
      <c r="BH213" s="362">
        <f t="shared" ca="1" si="81"/>
        <v>0</v>
      </c>
      <c r="BI213" s="362">
        <f t="shared" ca="1" si="81"/>
        <v>0</v>
      </c>
      <c r="BJ213" s="362">
        <f t="shared" ca="1" si="81"/>
        <v>0</v>
      </c>
      <c r="BK213" s="362">
        <f t="shared" ca="1" si="81"/>
        <v>0</v>
      </c>
      <c r="BL213" s="362">
        <f t="shared" ca="1" si="81"/>
        <v>0</v>
      </c>
      <c r="BM213" s="362"/>
    </row>
    <row r="214" spans="25:65">
      <c r="Y214" s="10">
        <v>0</v>
      </c>
      <c r="AA214" s="360">
        <f t="shared" si="73"/>
        <v>2027</v>
      </c>
      <c r="AB214" s="362">
        <f ca="1">'GHG Emissions'!I29</f>
        <v>23942.049717717506</v>
      </c>
      <c r="AC214" s="362">
        <f t="shared" si="74"/>
        <v>0</v>
      </c>
      <c r="AD214" s="362">
        <f t="shared" ca="1" si="78"/>
        <v>23942.049717717506</v>
      </c>
      <c r="AE214" s="362"/>
      <c r="AF214" s="362" t="str">
        <f t="shared" ca="1" si="79"/>
        <v/>
      </c>
      <c r="AG214" s="362" t="str">
        <f t="shared" ca="1" si="79"/>
        <v/>
      </c>
      <c r="AH214" s="362" t="str">
        <f t="shared" ca="1" si="79"/>
        <v/>
      </c>
      <c r="AI214" s="362" t="str">
        <f t="shared" ca="1" si="79"/>
        <v/>
      </c>
      <c r="AJ214" s="362" t="str">
        <f t="shared" ca="1" si="79"/>
        <v/>
      </c>
      <c r="AK214" s="362" t="str">
        <f t="shared" ca="1" si="79"/>
        <v/>
      </c>
      <c r="AL214" s="362" t="str">
        <f t="shared" ca="1" si="79"/>
        <v/>
      </c>
      <c r="AM214" s="362" t="str">
        <f t="shared" ca="1" si="79"/>
        <v/>
      </c>
      <c r="AN214" s="362" t="str">
        <f t="shared" ca="1" si="79"/>
        <v/>
      </c>
      <c r="AO214" s="362" t="str">
        <f t="shared" ca="1" si="79"/>
        <v/>
      </c>
      <c r="AP214" s="362" t="str">
        <f t="shared" ca="1" si="80"/>
        <v/>
      </c>
      <c r="AQ214" s="362" t="str">
        <f t="shared" ca="1" si="80"/>
        <v/>
      </c>
      <c r="AR214" s="362" t="str">
        <f t="shared" ca="1" si="80"/>
        <v/>
      </c>
      <c r="AS214" s="362" t="str">
        <f t="shared" ca="1" si="80"/>
        <v/>
      </c>
      <c r="AT214" s="362" t="str">
        <f t="shared" ca="1" si="80"/>
        <v/>
      </c>
      <c r="AU214" s="362" t="str">
        <f t="shared" ca="1" si="80"/>
        <v/>
      </c>
      <c r="AV214" s="362">
        <f t="shared" ca="1" si="80"/>
        <v>0</v>
      </c>
      <c r="AW214" s="362">
        <f t="shared" ca="1" si="80"/>
        <v>0</v>
      </c>
      <c r="AX214" s="362">
        <f t="shared" ca="1" si="80"/>
        <v>0</v>
      </c>
      <c r="AY214" s="362">
        <f t="shared" ca="1" si="80"/>
        <v>0</v>
      </c>
      <c r="AZ214" s="362">
        <f t="shared" ca="1" si="81"/>
        <v>0</v>
      </c>
      <c r="BA214" s="362">
        <f t="shared" ca="1" si="81"/>
        <v>0</v>
      </c>
      <c r="BB214" s="362">
        <f t="shared" ca="1" si="81"/>
        <v>0</v>
      </c>
      <c r="BC214" s="362">
        <f t="shared" ca="1" si="81"/>
        <v>0</v>
      </c>
      <c r="BD214" s="362">
        <f t="shared" ca="1" si="81"/>
        <v>0</v>
      </c>
      <c r="BE214" s="362">
        <f t="shared" ca="1" si="81"/>
        <v>0</v>
      </c>
      <c r="BF214" s="362">
        <f t="shared" ca="1" si="81"/>
        <v>0</v>
      </c>
      <c r="BG214" s="362">
        <f t="shared" ca="1" si="81"/>
        <v>0</v>
      </c>
      <c r="BH214" s="362">
        <f t="shared" ca="1" si="81"/>
        <v>0</v>
      </c>
      <c r="BI214" s="362">
        <f t="shared" ca="1" si="81"/>
        <v>0</v>
      </c>
      <c r="BJ214" s="362">
        <f t="shared" ca="1" si="81"/>
        <v>0</v>
      </c>
      <c r="BK214" s="362">
        <f t="shared" ca="1" si="81"/>
        <v>0</v>
      </c>
      <c r="BL214" s="362">
        <f t="shared" ca="1" si="81"/>
        <v>0</v>
      </c>
      <c r="BM214" s="362"/>
    </row>
    <row r="215" spans="25:65">
      <c r="Y215" s="10">
        <v>0</v>
      </c>
      <c r="AA215" s="360">
        <f t="shared" si="73"/>
        <v>2028</v>
      </c>
      <c r="AB215" s="362">
        <f ca="1">'GHG Emissions'!I30</f>
        <v>24172.328684908407</v>
      </c>
      <c r="AC215" s="362">
        <f t="shared" si="74"/>
        <v>0</v>
      </c>
      <c r="AD215" s="362">
        <f t="shared" ca="1" si="78"/>
        <v>24172.328684908407</v>
      </c>
      <c r="AE215" s="362"/>
      <c r="AF215" s="362" t="str">
        <f t="shared" ca="1" si="79"/>
        <v/>
      </c>
      <c r="AG215" s="362" t="str">
        <f t="shared" ca="1" si="79"/>
        <v/>
      </c>
      <c r="AH215" s="362" t="str">
        <f t="shared" ca="1" si="79"/>
        <v/>
      </c>
      <c r="AI215" s="362" t="str">
        <f t="shared" ca="1" si="79"/>
        <v/>
      </c>
      <c r="AJ215" s="362" t="str">
        <f t="shared" ca="1" si="79"/>
        <v/>
      </c>
      <c r="AK215" s="362" t="str">
        <f t="shared" ca="1" si="79"/>
        <v/>
      </c>
      <c r="AL215" s="362" t="str">
        <f t="shared" ca="1" si="79"/>
        <v/>
      </c>
      <c r="AM215" s="362" t="str">
        <f t="shared" ca="1" si="79"/>
        <v/>
      </c>
      <c r="AN215" s="362" t="str">
        <f t="shared" ca="1" si="79"/>
        <v/>
      </c>
      <c r="AO215" s="362" t="str">
        <f t="shared" ca="1" si="79"/>
        <v/>
      </c>
      <c r="AP215" s="362" t="str">
        <f t="shared" ca="1" si="80"/>
        <v/>
      </c>
      <c r="AQ215" s="362" t="str">
        <f t="shared" ca="1" si="80"/>
        <v/>
      </c>
      <c r="AR215" s="362" t="str">
        <f t="shared" ca="1" si="80"/>
        <v/>
      </c>
      <c r="AS215" s="362" t="str">
        <f t="shared" ca="1" si="80"/>
        <v/>
      </c>
      <c r="AT215" s="362" t="str">
        <f t="shared" ca="1" si="80"/>
        <v/>
      </c>
      <c r="AU215" s="362" t="str">
        <f t="shared" ca="1" si="80"/>
        <v/>
      </c>
      <c r="AV215" s="362">
        <f t="shared" ca="1" si="80"/>
        <v>0</v>
      </c>
      <c r="AW215" s="362">
        <f t="shared" ca="1" si="80"/>
        <v>0</v>
      </c>
      <c r="AX215" s="362">
        <f t="shared" ca="1" si="80"/>
        <v>0</v>
      </c>
      <c r="AY215" s="362">
        <f t="shared" ca="1" si="80"/>
        <v>0</v>
      </c>
      <c r="AZ215" s="362">
        <f t="shared" ca="1" si="81"/>
        <v>0</v>
      </c>
      <c r="BA215" s="362">
        <f t="shared" ca="1" si="81"/>
        <v>0</v>
      </c>
      <c r="BB215" s="362">
        <f t="shared" ca="1" si="81"/>
        <v>0</v>
      </c>
      <c r="BC215" s="362">
        <f t="shared" ca="1" si="81"/>
        <v>0</v>
      </c>
      <c r="BD215" s="362">
        <f t="shared" ca="1" si="81"/>
        <v>0</v>
      </c>
      <c r="BE215" s="362">
        <f t="shared" ca="1" si="81"/>
        <v>0</v>
      </c>
      <c r="BF215" s="362">
        <f t="shared" ca="1" si="81"/>
        <v>0</v>
      </c>
      <c r="BG215" s="362">
        <f t="shared" ca="1" si="81"/>
        <v>0</v>
      </c>
      <c r="BH215" s="362">
        <f t="shared" ca="1" si="81"/>
        <v>0</v>
      </c>
      <c r="BI215" s="362">
        <f t="shared" ca="1" si="81"/>
        <v>0</v>
      </c>
      <c r="BJ215" s="362">
        <f t="shared" ca="1" si="81"/>
        <v>0</v>
      </c>
      <c r="BK215" s="362">
        <f t="shared" ca="1" si="81"/>
        <v>0</v>
      </c>
      <c r="BL215" s="362">
        <f t="shared" ca="1" si="81"/>
        <v>0</v>
      </c>
      <c r="BM215" s="362"/>
    </row>
    <row r="216" spans="25:65">
      <c r="Y216" s="10">
        <v>0</v>
      </c>
      <c r="AA216" s="360">
        <f t="shared" si="73"/>
        <v>2029</v>
      </c>
      <c r="AB216" s="362">
        <f ca="1">'GHG Emissions'!I31</f>
        <v>24402.594330244665</v>
      </c>
      <c r="AC216" s="362">
        <f t="shared" si="74"/>
        <v>0</v>
      </c>
      <c r="AD216" s="362">
        <f t="shared" ca="1" si="78"/>
        <v>24402.594330244665</v>
      </c>
      <c r="AE216" s="362"/>
      <c r="AF216" s="362" t="str">
        <f t="shared" ca="1" si="79"/>
        <v/>
      </c>
      <c r="AG216" s="362" t="str">
        <f t="shared" ca="1" si="79"/>
        <v/>
      </c>
      <c r="AH216" s="362" t="str">
        <f t="shared" ca="1" si="79"/>
        <v/>
      </c>
      <c r="AI216" s="362" t="str">
        <f t="shared" ca="1" si="79"/>
        <v/>
      </c>
      <c r="AJ216" s="362" t="str">
        <f t="shared" ca="1" si="79"/>
        <v/>
      </c>
      <c r="AK216" s="362" t="str">
        <f t="shared" ca="1" si="79"/>
        <v/>
      </c>
      <c r="AL216" s="362" t="str">
        <f t="shared" ca="1" si="79"/>
        <v/>
      </c>
      <c r="AM216" s="362" t="str">
        <f t="shared" ca="1" si="79"/>
        <v/>
      </c>
      <c r="AN216" s="362" t="str">
        <f t="shared" ca="1" si="79"/>
        <v/>
      </c>
      <c r="AO216" s="362" t="str">
        <f t="shared" ca="1" si="79"/>
        <v/>
      </c>
      <c r="AP216" s="362" t="str">
        <f t="shared" ca="1" si="80"/>
        <v/>
      </c>
      <c r="AQ216" s="362" t="str">
        <f t="shared" ca="1" si="80"/>
        <v/>
      </c>
      <c r="AR216" s="362" t="str">
        <f t="shared" ca="1" si="80"/>
        <v/>
      </c>
      <c r="AS216" s="362" t="str">
        <f t="shared" ca="1" si="80"/>
        <v/>
      </c>
      <c r="AT216" s="362" t="str">
        <f t="shared" ca="1" si="80"/>
        <v/>
      </c>
      <c r="AU216" s="362" t="str">
        <f t="shared" ca="1" si="80"/>
        <v/>
      </c>
      <c r="AV216" s="362">
        <f t="shared" ca="1" si="80"/>
        <v>0</v>
      </c>
      <c r="AW216" s="362">
        <f t="shared" ca="1" si="80"/>
        <v>0</v>
      </c>
      <c r="AX216" s="362">
        <f t="shared" ca="1" si="80"/>
        <v>0</v>
      </c>
      <c r="AY216" s="362">
        <f t="shared" ca="1" si="80"/>
        <v>0</v>
      </c>
      <c r="AZ216" s="362">
        <f t="shared" ca="1" si="81"/>
        <v>0</v>
      </c>
      <c r="BA216" s="362">
        <f t="shared" ca="1" si="81"/>
        <v>0</v>
      </c>
      <c r="BB216" s="362">
        <f t="shared" ca="1" si="81"/>
        <v>0</v>
      </c>
      <c r="BC216" s="362">
        <f t="shared" ca="1" si="81"/>
        <v>0</v>
      </c>
      <c r="BD216" s="362">
        <f t="shared" ca="1" si="81"/>
        <v>0</v>
      </c>
      <c r="BE216" s="362">
        <f t="shared" ca="1" si="81"/>
        <v>0</v>
      </c>
      <c r="BF216" s="362">
        <f t="shared" ca="1" si="81"/>
        <v>0</v>
      </c>
      <c r="BG216" s="362">
        <f t="shared" ca="1" si="81"/>
        <v>0</v>
      </c>
      <c r="BH216" s="362">
        <f t="shared" ca="1" si="81"/>
        <v>0</v>
      </c>
      <c r="BI216" s="362">
        <f t="shared" ca="1" si="81"/>
        <v>0</v>
      </c>
      <c r="BJ216" s="362">
        <f t="shared" ca="1" si="81"/>
        <v>0</v>
      </c>
      <c r="BK216" s="362">
        <f t="shared" ca="1" si="81"/>
        <v>0</v>
      </c>
      <c r="BL216" s="362">
        <f t="shared" ca="1" si="81"/>
        <v>0</v>
      </c>
      <c r="BM216" s="362"/>
    </row>
    <row r="217" spans="25:65">
      <c r="Y217" s="10">
        <v>0</v>
      </c>
      <c r="AA217" s="360">
        <f t="shared" si="73"/>
        <v>2030</v>
      </c>
      <c r="AB217" s="362">
        <f ca="1">'GHG Emissions'!I32</f>
        <v>24632.847641313125</v>
      </c>
      <c r="AC217" s="362">
        <f t="shared" si="74"/>
        <v>0</v>
      </c>
      <c r="AD217" s="362">
        <f t="shared" ca="1" si="78"/>
        <v>24632.847641313125</v>
      </c>
      <c r="AE217" s="362"/>
      <c r="AF217" s="362" t="str">
        <f t="shared" ref="AF217:AO226" ca="1" si="82">IFERROR(-HLOOKUP(AF$50,Scope1Table,$AA217-$AA$197+2,FALSE),"")</f>
        <v/>
      </c>
      <c r="AG217" s="362" t="str">
        <f t="shared" ca="1" si="82"/>
        <v/>
      </c>
      <c r="AH217" s="362" t="str">
        <f t="shared" ca="1" si="82"/>
        <v/>
      </c>
      <c r="AI217" s="362" t="str">
        <f t="shared" ca="1" si="82"/>
        <v/>
      </c>
      <c r="AJ217" s="362" t="str">
        <f t="shared" ca="1" si="82"/>
        <v/>
      </c>
      <c r="AK217" s="362" t="str">
        <f t="shared" ca="1" si="82"/>
        <v/>
      </c>
      <c r="AL217" s="362" t="str">
        <f t="shared" ca="1" si="82"/>
        <v/>
      </c>
      <c r="AM217" s="362" t="str">
        <f t="shared" ca="1" si="82"/>
        <v/>
      </c>
      <c r="AN217" s="362" t="str">
        <f t="shared" ca="1" si="82"/>
        <v/>
      </c>
      <c r="AO217" s="362" t="str">
        <f t="shared" ca="1" si="82"/>
        <v/>
      </c>
      <c r="AP217" s="362" t="str">
        <f t="shared" ref="AP217:AY226" ca="1" si="83">IFERROR(-HLOOKUP(AP$50,Scope1Table,$AA217-$AA$197+2,FALSE),"")</f>
        <v/>
      </c>
      <c r="AQ217" s="362" t="str">
        <f t="shared" ca="1" si="83"/>
        <v/>
      </c>
      <c r="AR217" s="362" t="str">
        <f t="shared" ca="1" si="83"/>
        <v/>
      </c>
      <c r="AS217" s="362" t="str">
        <f t="shared" ca="1" si="83"/>
        <v/>
      </c>
      <c r="AT217" s="362" t="str">
        <f t="shared" ca="1" si="83"/>
        <v/>
      </c>
      <c r="AU217" s="362" t="str">
        <f t="shared" ca="1" si="83"/>
        <v/>
      </c>
      <c r="AV217" s="362">
        <f t="shared" ca="1" si="83"/>
        <v>0</v>
      </c>
      <c r="AW217" s="362">
        <f t="shared" ca="1" si="83"/>
        <v>0</v>
      </c>
      <c r="AX217" s="362">
        <f t="shared" ca="1" si="83"/>
        <v>0</v>
      </c>
      <c r="AY217" s="362">
        <f t="shared" ca="1" si="83"/>
        <v>0</v>
      </c>
      <c r="AZ217" s="362">
        <f t="shared" ref="AZ217:BL226" ca="1" si="84">IFERROR(-HLOOKUP(AZ$50,Scope1Table,$AA217-$AA$197+2,FALSE),"")</f>
        <v>0</v>
      </c>
      <c r="BA217" s="362">
        <f t="shared" ca="1" si="84"/>
        <v>0</v>
      </c>
      <c r="BB217" s="362">
        <f t="shared" ca="1" si="84"/>
        <v>0</v>
      </c>
      <c r="BC217" s="362">
        <f t="shared" ca="1" si="84"/>
        <v>0</v>
      </c>
      <c r="BD217" s="362">
        <f t="shared" ca="1" si="84"/>
        <v>0</v>
      </c>
      <c r="BE217" s="362">
        <f t="shared" ca="1" si="84"/>
        <v>0</v>
      </c>
      <c r="BF217" s="362">
        <f t="shared" ca="1" si="84"/>
        <v>0</v>
      </c>
      <c r="BG217" s="362">
        <f t="shared" ca="1" si="84"/>
        <v>0</v>
      </c>
      <c r="BH217" s="362">
        <f t="shared" ca="1" si="84"/>
        <v>0</v>
      </c>
      <c r="BI217" s="362">
        <f t="shared" ca="1" si="84"/>
        <v>0</v>
      </c>
      <c r="BJ217" s="362">
        <f t="shared" ca="1" si="84"/>
        <v>0</v>
      </c>
      <c r="BK217" s="362">
        <f t="shared" ca="1" si="84"/>
        <v>0</v>
      </c>
      <c r="BL217" s="362">
        <f t="shared" ca="1" si="84"/>
        <v>0</v>
      </c>
      <c r="BM217" s="362"/>
    </row>
    <row r="218" spans="25:65">
      <c r="Y218" s="10">
        <v>0</v>
      </c>
      <c r="AA218" s="360">
        <f t="shared" si="73"/>
        <v>2031</v>
      </c>
      <c r="AB218" s="362">
        <f ca="1">'GHG Emissions'!I33</f>
        <v>24863.08948939394</v>
      </c>
      <c r="AC218" s="362">
        <f t="shared" si="74"/>
        <v>0</v>
      </c>
      <c r="AD218" s="362">
        <f t="shared" ca="1" si="78"/>
        <v>24863.08948939394</v>
      </c>
      <c r="AE218" s="362"/>
      <c r="AF218" s="362" t="str">
        <f t="shared" ca="1" si="82"/>
        <v/>
      </c>
      <c r="AG218" s="362" t="str">
        <f t="shared" ca="1" si="82"/>
        <v/>
      </c>
      <c r="AH218" s="362" t="str">
        <f t="shared" ca="1" si="82"/>
        <v/>
      </c>
      <c r="AI218" s="362" t="str">
        <f t="shared" ca="1" si="82"/>
        <v/>
      </c>
      <c r="AJ218" s="362" t="str">
        <f t="shared" ca="1" si="82"/>
        <v/>
      </c>
      <c r="AK218" s="362" t="str">
        <f t="shared" ca="1" si="82"/>
        <v/>
      </c>
      <c r="AL218" s="362" t="str">
        <f t="shared" ca="1" si="82"/>
        <v/>
      </c>
      <c r="AM218" s="362" t="str">
        <f t="shared" ca="1" si="82"/>
        <v/>
      </c>
      <c r="AN218" s="362" t="str">
        <f t="shared" ca="1" si="82"/>
        <v/>
      </c>
      <c r="AO218" s="362" t="str">
        <f t="shared" ca="1" si="82"/>
        <v/>
      </c>
      <c r="AP218" s="362" t="str">
        <f t="shared" ca="1" si="83"/>
        <v/>
      </c>
      <c r="AQ218" s="362" t="str">
        <f t="shared" ca="1" si="83"/>
        <v/>
      </c>
      <c r="AR218" s="362" t="str">
        <f t="shared" ca="1" si="83"/>
        <v/>
      </c>
      <c r="AS218" s="362" t="str">
        <f t="shared" ca="1" si="83"/>
        <v/>
      </c>
      <c r="AT218" s="362" t="str">
        <f t="shared" ca="1" si="83"/>
        <v/>
      </c>
      <c r="AU218" s="362" t="str">
        <f t="shared" ca="1" si="83"/>
        <v/>
      </c>
      <c r="AV218" s="362">
        <f t="shared" ca="1" si="83"/>
        <v>0</v>
      </c>
      <c r="AW218" s="362">
        <f t="shared" ca="1" si="83"/>
        <v>0</v>
      </c>
      <c r="AX218" s="362">
        <f t="shared" ca="1" si="83"/>
        <v>0</v>
      </c>
      <c r="AY218" s="362">
        <f t="shared" ca="1" si="83"/>
        <v>0</v>
      </c>
      <c r="AZ218" s="362">
        <f t="shared" ca="1" si="84"/>
        <v>0</v>
      </c>
      <c r="BA218" s="362">
        <f t="shared" ca="1" si="84"/>
        <v>0</v>
      </c>
      <c r="BB218" s="362">
        <f t="shared" ca="1" si="84"/>
        <v>0</v>
      </c>
      <c r="BC218" s="362">
        <f t="shared" ca="1" si="84"/>
        <v>0</v>
      </c>
      <c r="BD218" s="362">
        <f t="shared" ca="1" si="84"/>
        <v>0</v>
      </c>
      <c r="BE218" s="362">
        <f t="shared" ca="1" si="84"/>
        <v>0</v>
      </c>
      <c r="BF218" s="362">
        <f t="shared" ca="1" si="84"/>
        <v>0</v>
      </c>
      <c r="BG218" s="362">
        <f t="shared" ca="1" si="84"/>
        <v>0</v>
      </c>
      <c r="BH218" s="362">
        <f t="shared" ca="1" si="84"/>
        <v>0</v>
      </c>
      <c r="BI218" s="362">
        <f t="shared" ca="1" si="84"/>
        <v>0</v>
      </c>
      <c r="BJ218" s="362">
        <f t="shared" ca="1" si="84"/>
        <v>0</v>
      </c>
      <c r="BK218" s="362">
        <f t="shared" ca="1" si="84"/>
        <v>0</v>
      </c>
      <c r="BL218" s="362">
        <f t="shared" ca="1" si="84"/>
        <v>0</v>
      </c>
      <c r="BM218" s="362"/>
    </row>
    <row r="219" spans="25:65">
      <c r="Y219" s="10">
        <v>0</v>
      </c>
      <c r="AA219" s="360">
        <f t="shared" si="73"/>
        <v>2032</v>
      </c>
      <c r="AB219" s="362">
        <f ca="1">'GHG Emissions'!I34</f>
        <v>25093.320647778608</v>
      </c>
      <c r="AC219" s="362">
        <f t="shared" si="74"/>
        <v>0</v>
      </c>
      <c r="AD219" s="362">
        <f t="shared" ca="1" si="78"/>
        <v>25093.320647778608</v>
      </c>
      <c r="AE219" s="362"/>
      <c r="AF219" s="362" t="str">
        <f t="shared" ca="1" si="82"/>
        <v/>
      </c>
      <c r="AG219" s="362" t="str">
        <f t="shared" ca="1" si="82"/>
        <v/>
      </c>
      <c r="AH219" s="362" t="str">
        <f t="shared" ca="1" si="82"/>
        <v/>
      </c>
      <c r="AI219" s="362" t="str">
        <f t="shared" ca="1" si="82"/>
        <v/>
      </c>
      <c r="AJ219" s="362" t="str">
        <f t="shared" ca="1" si="82"/>
        <v/>
      </c>
      <c r="AK219" s="362" t="str">
        <f t="shared" ca="1" si="82"/>
        <v/>
      </c>
      <c r="AL219" s="362" t="str">
        <f t="shared" ca="1" si="82"/>
        <v/>
      </c>
      <c r="AM219" s="362" t="str">
        <f t="shared" ca="1" si="82"/>
        <v/>
      </c>
      <c r="AN219" s="362" t="str">
        <f t="shared" ca="1" si="82"/>
        <v/>
      </c>
      <c r="AO219" s="362" t="str">
        <f t="shared" ca="1" si="82"/>
        <v/>
      </c>
      <c r="AP219" s="362" t="str">
        <f t="shared" ca="1" si="83"/>
        <v/>
      </c>
      <c r="AQ219" s="362" t="str">
        <f t="shared" ca="1" si="83"/>
        <v/>
      </c>
      <c r="AR219" s="362" t="str">
        <f t="shared" ca="1" si="83"/>
        <v/>
      </c>
      <c r="AS219" s="362" t="str">
        <f t="shared" ca="1" si="83"/>
        <v/>
      </c>
      <c r="AT219" s="362" t="str">
        <f t="shared" ca="1" si="83"/>
        <v/>
      </c>
      <c r="AU219" s="362" t="str">
        <f t="shared" ca="1" si="83"/>
        <v/>
      </c>
      <c r="AV219" s="362">
        <f t="shared" ca="1" si="83"/>
        <v>0</v>
      </c>
      <c r="AW219" s="362">
        <f t="shared" ca="1" si="83"/>
        <v>0</v>
      </c>
      <c r="AX219" s="362">
        <f t="shared" ca="1" si="83"/>
        <v>0</v>
      </c>
      <c r="AY219" s="362">
        <f t="shared" ca="1" si="83"/>
        <v>0</v>
      </c>
      <c r="AZ219" s="362">
        <f t="shared" ca="1" si="84"/>
        <v>0</v>
      </c>
      <c r="BA219" s="362">
        <f t="shared" ca="1" si="84"/>
        <v>0</v>
      </c>
      <c r="BB219" s="362">
        <f t="shared" ca="1" si="84"/>
        <v>0</v>
      </c>
      <c r="BC219" s="362">
        <f t="shared" ca="1" si="84"/>
        <v>0</v>
      </c>
      <c r="BD219" s="362">
        <f t="shared" ca="1" si="84"/>
        <v>0</v>
      </c>
      <c r="BE219" s="362">
        <f t="shared" ca="1" si="84"/>
        <v>0</v>
      </c>
      <c r="BF219" s="362">
        <f t="shared" ca="1" si="84"/>
        <v>0</v>
      </c>
      <c r="BG219" s="362">
        <f t="shared" ca="1" si="84"/>
        <v>0</v>
      </c>
      <c r="BH219" s="362">
        <f t="shared" ca="1" si="84"/>
        <v>0</v>
      </c>
      <c r="BI219" s="362">
        <f t="shared" ca="1" si="84"/>
        <v>0</v>
      </c>
      <c r="BJ219" s="362">
        <f t="shared" ca="1" si="84"/>
        <v>0</v>
      </c>
      <c r="BK219" s="362">
        <f t="shared" ca="1" si="84"/>
        <v>0</v>
      </c>
      <c r="BL219" s="362">
        <f t="shared" ca="1" si="84"/>
        <v>0</v>
      </c>
      <c r="BM219" s="362"/>
    </row>
    <row r="220" spans="25:65">
      <c r="Y220" s="10">
        <v>0</v>
      </c>
      <c r="AA220" s="360">
        <f t="shared" si="73"/>
        <v>2033</v>
      </c>
      <c r="AB220" s="362">
        <f ca="1">'GHG Emissions'!I35</f>
        <v>25323.541806537673</v>
      </c>
      <c r="AC220" s="362">
        <f t="shared" si="74"/>
        <v>0</v>
      </c>
      <c r="AD220" s="362">
        <f t="shared" ca="1" si="78"/>
        <v>25323.541806537673</v>
      </c>
      <c r="AE220" s="362"/>
      <c r="AF220" s="362" t="str">
        <f t="shared" ca="1" si="82"/>
        <v/>
      </c>
      <c r="AG220" s="362" t="str">
        <f t="shared" ca="1" si="82"/>
        <v/>
      </c>
      <c r="AH220" s="362" t="str">
        <f t="shared" ca="1" si="82"/>
        <v/>
      </c>
      <c r="AI220" s="362" t="str">
        <f t="shared" ca="1" si="82"/>
        <v/>
      </c>
      <c r="AJ220" s="362" t="str">
        <f t="shared" ca="1" si="82"/>
        <v/>
      </c>
      <c r="AK220" s="362" t="str">
        <f t="shared" ca="1" si="82"/>
        <v/>
      </c>
      <c r="AL220" s="362" t="str">
        <f t="shared" ca="1" si="82"/>
        <v/>
      </c>
      <c r="AM220" s="362" t="str">
        <f t="shared" ca="1" si="82"/>
        <v/>
      </c>
      <c r="AN220" s="362" t="str">
        <f t="shared" ca="1" si="82"/>
        <v/>
      </c>
      <c r="AO220" s="362" t="str">
        <f t="shared" ca="1" si="82"/>
        <v/>
      </c>
      <c r="AP220" s="362" t="str">
        <f t="shared" ca="1" si="83"/>
        <v/>
      </c>
      <c r="AQ220" s="362" t="str">
        <f t="shared" ca="1" si="83"/>
        <v/>
      </c>
      <c r="AR220" s="362" t="str">
        <f t="shared" ca="1" si="83"/>
        <v/>
      </c>
      <c r="AS220" s="362" t="str">
        <f t="shared" ca="1" si="83"/>
        <v/>
      </c>
      <c r="AT220" s="362" t="str">
        <f t="shared" ca="1" si="83"/>
        <v/>
      </c>
      <c r="AU220" s="362" t="str">
        <f t="shared" ca="1" si="83"/>
        <v/>
      </c>
      <c r="AV220" s="362">
        <f t="shared" ca="1" si="83"/>
        <v>0</v>
      </c>
      <c r="AW220" s="362">
        <f t="shared" ca="1" si="83"/>
        <v>0</v>
      </c>
      <c r="AX220" s="362">
        <f t="shared" ca="1" si="83"/>
        <v>0</v>
      </c>
      <c r="AY220" s="362">
        <f t="shared" ca="1" si="83"/>
        <v>0</v>
      </c>
      <c r="AZ220" s="362">
        <f t="shared" ca="1" si="84"/>
        <v>0</v>
      </c>
      <c r="BA220" s="362">
        <f t="shared" ca="1" si="84"/>
        <v>0</v>
      </c>
      <c r="BB220" s="362">
        <f t="shared" ca="1" si="84"/>
        <v>0</v>
      </c>
      <c r="BC220" s="362">
        <f t="shared" ca="1" si="84"/>
        <v>0</v>
      </c>
      <c r="BD220" s="362">
        <f t="shared" ca="1" si="84"/>
        <v>0</v>
      </c>
      <c r="BE220" s="362">
        <f t="shared" ca="1" si="84"/>
        <v>0</v>
      </c>
      <c r="BF220" s="362">
        <f t="shared" ca="1" si="84"/>
        <v>0</v>
      </c>
      <c r="BG220" s="362">
        <f t="shared" ca="1" si="84"/>
        <v>0</v>
      </c>
      <c r="BH220" s="362">
        <f t="shared" ca="1" si="84"/>
        <v>0</v>
      </c>
      <c r="BI220" s="362">
        <f t="shared" ca="1" si="84"/>
        <v>0</v>
      </c>
      <c r="BJ220" s="362">
        <f t="shared" ca="1" si="84"/>
        <v>0</v>
      </c>
      <c r="BK220" s="362">
        <f t="shared" ca="1" si="84"/>
        <v>0</v>
      </c>
      <c r="BL220" s="362">
        <f t="shared" ca="1" si="84"/>
        <v>0</v>
      </c>
      <c r="BM220" s="362"/>
    </row>
    <row r="221" spans="25:65">
      <c r="Y221" s="10">
        <v>0</v>
      </c>
      <c r="AA221" s="360">
        <f t="shared" si="73"/>
        <v>2034</v>
      </c>
      <c r="AB221" s="362">
        <f ca="1">'GHG Emissions'!I36</f>
        <v>25553.75358454444</v>
      </c>
      <c r="AC221" s="362">
        <f t="shared" si="74"/>
        <v>0</v>
      </c>
      <c r="AD221" s="362">
        <f t="shared" ca="1" si="78"/>
        <v>25553.75358454444</v>
      </c>
      <c r="AE221" s="362"/>
      <c r="AF221" s="362" t="str">
        <f t="shared" ca="1" si="82"/>
        <v/>
      </c>
      <c r="AG221" s="362" t="str">
        <f t="shared" ca="1" si="82"/>
        <v/>
      </c>
      <c r="AH221" s="362" t="str">
        <f t="shared" ca="1" si="82"/>
        <v/>
      </c>
      <c r="AI221" s="362" t="str">
        <f t="shared" ca="1" si="82"/>
        <v/>
      </c>
      <c r="AJ221" s="362" t="str">
        <f t="shared" ca="1" si="82"/>
        <v/>
      </c>
      <c r="AK221" s="362" t="str">
        <f t="shared" ca="1" si="82"/>
        <v/>
      </c>
      <c r="AL221" s="362" t="str">
        <f t="shared" ca="1" si="82"/>
        <v/>
      </c>
      <c r="AM221" s="362" t="str">
        <f t="shared" ca="1" si="82"/>
        <v/>
      </c>
      <c r="AN221" s="362" t="str">
        <f t="shared" ca="1" si="82"/>
        <v/>
      </c>
      <c r="AO221" s="362" t="str">
        <f t="shared" ca="1" si="82"/>
        <v/>
      </c>
      <c r="AP221" s="362" t="str">
        <f t="shared" ca="1" si="83"/>
        <v/>
      </c>
      <c r="AQ221" s="362" t="str">
        <f t="shared" ca="1" si="83"/>
        <v/>
      </c>
      <c r="AR221" s="362" t="str">
        <f t="shared" ca="1" si="83"/>
        <v/>
      </c>
      <c r="AS221" s="362" t="str">
        <f t="shared" ca="1" si="83"/>
        <v/>
      </c>
      <c r="AT221" s="362" t="str">
        <f t="shared" ca="1" si="83"/>
        <v/>
      </c>
      <c r="AU221" s="362" t="str">
        <f t="shared" ca="1" si="83"/>
        <v/>
      </c>
      <c r="AV221" s="362">
        <f t="shared" ca="1" si="83"/>
        <v>0</v>
      </c>
      <c r="AW221" s="362">
        <f t="shared" ca="1" si="83"/>
        <v>0</v>
      </c>
      <c r="AX221" s="362">
        <f t="shared" ca="1" si="83"/>
        <v>0</v>
      </c>
      <c r="AY221" s="362">
        <f t="shared" ca="1" si="83"/>
        <v>0</v>
      </c>
      <c r="AZ221" s="362">
        <f t="shared" ca="1" si="84"/>
        <v>0</v>
      </c>
      <c r="BA221" s="362">
        <f t="shared" ca="1" si="84"/>
        <v>0</v>
      </c>
      <c r="BB221" s="362">
        <f t="shared" ca="1" si="84"/>
        <v>0</v>
      </c>
      <c r="BC221" s="362">
        <f t="shared" ca="1" si="84"/>
        <v>0</v>
      </c>
      <c r="BD221" s="362">
        <f t="shared" ca="1" si="84"/>
        <v>0</v>
      </c>
      <c r="BE221" s="362">
        <f t="shared" ca="1" si="84"/>
        <v>0</v>
      </c>
      <c r="BF221" s="362">
        <f t="shared" ca="1" si="84"/>
        <v>0</v>
      </c>
      <c r="BG221" s="362">
        <f t="shared" ca="1" si="84"/>
        <v>0</v>
      </c>
      <c r="BH221" s="362">
        <f t="shared" ca="1" si="84"/>
        <v>0</v>
      </c>
      <c r="BI221" s="362">
        <f t="shared" ca="1" si="84"/>
        <v>0</v>
      </c>
      <c r="BJ221" s="362">
        <f t="shared" ca="1" si="84"/>
        <v>0</v>
      </c>
      <c r="BK221" s="362">
        <f t="shared" ca="1" si="84"/>
        <v>0</v>
      </c>
      <c r="BL221" s="362">
        <f t="shared" ca="1" si="84"/>
        <v>0</v>
      </c>
      <c r="BM221" s="362"/>
    </row>
    <row r="222" spans="25:65">
      <c r="Y222" s="10">
        <v>0</v>
      </c>
      <c r="AA222" s="360">
        <f t="shared" si="73"/>
        <v>2035</v>
      </c>
      <c r="AB222" s="362">
        <f ca="1">'GHG Emissions'!I37</f>
        <v>25783.956539353247</v>
      </c>
      <c r="AC222" s="362">
        <f t="shared" si="74"/>
        <v>0</v>
      </c>
      <c r="AD222" s="362">
        <f t="shared" ca="1" si="78"/>
        <v>25783.956539353247</v>
      </c>
      <c r="AE222" s="362"/>
      <c r="AF222" s="362" t="str">
        <f t="shared" ca="1" si="82"/>
        <v/>
      </c>
      <c r="AG222" s="362" t="str">
        <f t="shared" ca="1" si="82"/>
        <v/>
      </c>
      <c r="AH222" s="362" t="str">
        <f t="shared" ca="1" si="82"/>
        <v/>
      </c>
      <c r="AI222" s="362" t="str">
        <f t="shared" ca="1" si="82"/>
        <v/>
      </c>
      <c r="AJ222" s="362" t="str">
        <f t="shared" ca="1" si="82"/>
        <v/>
      </c>
      <c r="AK222" s="362" t="str">
        <f t="shared" ca="1" si="82"/>
        <v/>
      </c>
      <c r="AL222" s="362" t="str">
        <f t="shared" ca="1" si="82"/>
        <v/>
      </c>
      <c r="AM222" s="362" t="str">
        <f t="shared" ca="1" si="82"/>
        <v/>
      </c>
      <c r="AN222" s="362" t="str">
        <f t="shared" ca="1" si="82"/>
        <v/>
      </c>
      <c r="AO222" s="362" t="str">
        <f t="shared" ca="1" si="82"/>
        <v/>
      </c>
      <c r="AP222" s="362" t="str">
        <f t="shared" ca="1" si="83"/>
        <v/>
      </c>
      <c r="AQ222" s="362" t="str">
        <f t="shared" ca="1" si="83"/>
        <v/>
      </c>
      <c r="AR222" s="362" t="str">
        <f t="shared" ca="1" si="83"/>
        <v/>
      </c>
      <c r="AS222" s="362" t="str">
        <f t="shared" ca="1" si="83"/>
        <v/>
      </c>
      <c r="AT222" s="362" t="str">
        <f t="shared" ca="1" si="83"/>
        <v/>
      </c>
      <c r="AU222" s="362" t="str">
        <f t="shared" ca="1" si="83"/>
        <v/>
      </c>
      <c r="AV222" s="362">
        <f t="shared" ca="1" si="83"/>
        <v>0</v>
      </c>
      <c r="AW222" s="362">
        <f t="shared" ca="1" si="83"/>
        <v>0</v>
      </c>
      <c r="AX222" s="362">
        <f t="shared" ca="1" si="83"/>
        <v>0</v>
      </c>
      <c r="AY222" s="362">
        <f t="shared" ca="1" si="83"/>
        <v>0</v>
      </c>
      <c r="AZ222" s="362">
        <f t="shared" ca="1" si="84"/>
        <v>0</v>
      </c>
      <c r="BA222" s="362">
        <f t="shared" ca="1" si="84"/>
        <v>0</v>
      </c>
      <c r="BB222" s="362">
        <f t="shared" ca="1" si="84"/>
        <v>0</v>
      </c>
      <c r="BC222" s="362">
        <f t="shared" ca="1" si="84"/>
        <v>0</v>
      </c>
      <c r="BD222" s="362">
        <f t="shared" ca="1" si="84"/>
        <v>0</v>
      </c>
      <c r="BE222" s="362">
        <f t="shared" ca="1" si="84"/>
        <v>0</v>
      </c>
      <c r="BF222" s="362">
        <f t="shared" ca="1" si="84"/>
        <v>0</v>
      </c>
      <c r="BG222" s="362">
        <f t="shared" ca="1" si="84"/>
        <v>0</v>
      </c>
      <c r="BH222" s="362">
        <f t="shared" ca="1" si="84"/>
        <v>0</v>
      </c>
      <c r="BI222" s="362">
        <f t="shared" ca="1" si="84"/>
        <v>0</v>
      </c>
      <c r="BJ222" s="362">
        <f t="shared" ca="1" si="84"/>
        <v>0</v>
      </c>
      <c r="BK222" s="362">
        <f t="shared" ca="1" si="84"/>
        <v>0</v>
      </c>
      <c r="BL222" s="362">
        <f t="shared" ca="1" si="84"/>
        <v>0</v>
      </c>
      <c r="BM222" s="362"/>
    </row>
    <row r="223" spans="25:65">
      <c r="Y223" s="10">
        <v>0</v>
      </c>
      <c r="AA223" s="360">
        <f t="shared" si="73"/>
        <v>2036</v>
      </c>
      <c r="AB223" s="362">
        <f ca="1">'GHG Emissions'!I38</f>
        <v>26014.151175382554</v>
      </c>
      <c r="AC223" s="362">
        <f t="shared" si="74"/>
        <v>0</v>
      </c>
      <c r="AD223" s="362">
        <f t="shared" ca="1" si="78"/>
        <v>26014.151175382554</v>
      </c>
      <c r="AE223" s="362"/>
      <c r="AF223" s="362" t="str">
        <f t="shared" ca="1" si="82"/>
        <v/>
      </c>
      <c r="AG223" s="362" t="str">
        <f t="shared" ca="1" si="82"/>
        <v/>
      </c>
      <c r="AH223" s="362" t="str">
        <f t="shared" ca="1" si="82"/>
        <v/>
      </c>
      <c r="AI223" s="362" t="str">
        <f t="shared" ca="1" si="82"/>
        <v/>
      </c>
      <c r="AJ223" s="362" t="str">
        <f t="shared" ca="1" si="82"/>
        <v/>
      </c>
      <c r="AK223" s="362" t="str">
        <f t="shared" ca="1" si="82"/>
        <v/>
      </c>
      <c r="AL223" s="362" t="str">
        <f t="shared" ca="1" si="82"/>
        <v/>
      </c>
      <c r="AM223" s="362" t="str">
        <f t="shared" ca="1" si="82"/>
        <v/>
      </c>
      <c r="AN223" s="362" t="str">
        <f t="shared" ca="1" si="82"/>
        <v/>
      </c>
      <c r="AO223" s="362" t="str">
        <f t="shared" ca="1" si="82"/>
        <v/>
      </c>
      <c r="AP223" s="362" t="str">
        <f t="shared" ca="1" si="83"/>
        <v/>
      </c>
      <c r="AQ223" s="362" t="str">
        <f t="shared" ca="1" si="83"/>
        <v/>
      </c>
      <c r="AR223" s="362" t="str">
        <f t="shared" ca="1" si="83"/>
        <v/>
      </c>
      <c r="AS223" s="362" t="str">
        <f t="shared" ca="1" si="83"/>
        <v/>
      </c>
      <c r="AT223" s="362" t="str">
        <f t="shared" ca="1" si="83"/>
        <v/>
      </c>
      <c r="AU223" s="362" t="str">
        <f t="shared" ca="1" si="83"/>
        <v/>
      </c>
      <c r="AV223" s="362">
        <f t="shared" ca="1" si="83"/>
        <v>0</v>
      </c>
      <c r="AW223" s="362">
        <f t="shared" ca="1" si="83"/>
        <v>0</v>
      </c>
      <c r="AX223" s="362">
        <f t="shared" ca="1" si="83"/>
        <v>0</v>
      </c>
      <c r="AY223" s="362">
        <f t="shared" ca="1" si="83"/>
        <v>0</v>
      </c>
      <c r="AZ223" s="362">
        <f t="shared" ca="1" si="84"/>
        <v>0</v>
      </c>
      <c r="BA223" s="362">
        <f t="shared" ca="1" si="84"/>
        <v>0</v>
      </c>
      <c r="BB223" s="362">
        <f t="shared" ca="1" si="84"/>
        <v>0</v>
      </c>
      <c r="BC223" s="362">
        <f t="shared" ca="1" si="84"/>
        <v>0</v>
      </c>
      <c r="BD223" s="362">
        <f t="shared" ca="1" si="84"/>
        <v>0</v>
      </c>
      <c r="BE223" s="362">
        <f t="shared" ca="1" si="84"/>
        <v>0</v>
      </c>
      <c r="BF223" s="362">
        <f t="shared" ca="1" si="84"/>
        <v>0</v>
      </c>
      <c r="BG223" s="362">
        <f t="shared" ca="1" si="84"/>
        <v>0</v>
      </c>
      <c r="BH223" s="362">
        <f t="shared" ca="1" si="84"/>
        <v>0</v>
      </c>
      <c r="BI223" s="362">
        <f t="shared" ca="1" si="84"/>
        <v>0</v>
      </c>
      <c r="BJ223" s="362">
        <f t="shared" ca="1" si="84"/>
        <v>0</v>
      </c>
      <c r="BK223" s="362">
        <f t="shared" ca="1" si="84"/>
        <v>0</v>
      </c>
      <c r="BL223" s="362">
        <f t="shared" ca="1" si="84"/>
        <v>0</v>
      </c>
      <c r="BM223" s="362"/>
    </row>
    <row r="224" spans="25:65">
      <c r="Y224" s="10">
        <v>0</v>
      </c>
      <c r="AA224" s="360">
        <f t="shared" si="73"/>
        <v>2037</v>
      </c>
      <c r="AB224" s="362">
        <f ca="1">'GHG Emissions'!I39</f>
        <v>26244.337950745237</v>
      </c>
      <c r="AC224" s="362">
        <f t="shared" si="74"/>
        <v>0</v>
      </c>
      <c r="AD224" s="362">
        <f t="shared" ca="1" si="78"/>
        <v>26244.337950745237</v>
      </c>
      <c r="AE224" s="362"/>
      <c r="AF224" s="362" t="str">
        <f t="shared" ca="1" si="82"/>
        <v/>
      </c>
      <c r="AG224" s="362" t="str">
        <f t="shared" ca="1" si="82"/>
        <v/>
      </c>
      <c r="AH224" s="362" t="str">
        <f t="shared" ca="1" si="82"/>
        <v/>
      </c>
      <c r="AI224" s="362" t="str">
        <f t="shared" ca="1" si="82"/>
        <v/>
      </c>
      <c r="AJ224" s="362" t="str">
        <f t="shared" ca="1" si="82"/>
        <v/>
      </c>
      <c r="AK224" s="362" t="str">
        <f t="shared" ca="1" si="82"/>
        <v/>
      </c>
      <c r="AL224" s="362" t="str">
        <f t="shared" ca="1" si="82"/>
        <v/>
      </c>
      <c r="AM224" s="362" t="str">
        <f t="shared" ca="1" si="82"/>
        <v/>
      </c>
      <c r="AN224" s="362" t="str">
        <f t="shared" ca="1" si="82"/>
        <v/>
      </c>
      <c r="AO224" s="362" t="str">
        <f t="shared" ca="1" si="82"/>
        <v/>
      </c>
      <c r="AP224" s="362" t="str">
        <f t="shared" ca="1" si="83"/>
        <v/>
      </c>
      <c r="AQ224" s="362" t="str">
        <f t="shared" ca="1" si="83"/>
        <v/>
      </c>
      <c r="AR224" s="362" t="str">
        <f t="shared" ca="1" si="83"/>
        <v/>
      </c>
      <c r="AS224" s="362" t="str">
        <f t="shared" ca="1" si="83"/>
        <v/>
      </c>
      <c r="AT224" s="362" t="str">
        <f t="shared" ca="1" si="83"/>
        <v/>
      </c>
      <c r="AU224" s="362" t="str">
        <f t="shared" ca="1" si="83"/>
        <v/>
      </c>
      <c r="AV224" s="362">
        <f t="shared" ca="1" si="83"/>
        <v>0</v>
      </c>
      <c r="AW224" s="362">
        <f t="shared" ca="1" si="83"/>
        <v>0</v>
      </c>
      <c r="AX224" s="362">
        <f t="shared" ca="1" si="83"/>
        <v>0</v>
      </c>
      <c r="AY224" s="362">
        <f t="shared" ca="1" si="83"/>
        <v>0</v>
      </c>
      <c r="AZ224" s="362">
        <f t="shared" ca="1" si="84"/>
        <v>0</v>
      </c>
      <c r="BA224" s="362">
        <f t="shared" ca="1" si="84"/>
        <v>0</v>
      </c>
      <c r="BB224" s="362">
        <f t="shared" ca="1" si="84"/>
        <v>0</v>
      </c>
      <c r="BC224" s="362">
        <f t="shared" ca="1" si="84"/>
        <v>0</v>
      </c>
      <c r="BD224" s="362">
        <f t="shared" ca="1" si="84"/>
        <v>0</v>
      </c>
      <c r="BE224" s="362">
        <f t="shared" ca="1" si="84"/>
        <v>0</v>
      </c>
      <c r="BF224" s="362">
        <f t="shared" ca="1" si="84"/>
        <v>0</v>
      </c>
      <c r="BG224" s="362">
        <f t="shared" ca="1" si="84"/>
        <v>0</v>
      </c>
      <c r="BH224" s="362">
        <f t="shared" ca="1" si="84"/>
        <v>0</v>
      </c>
      <c r="BI224" s="362">
        <f t="shared" ca="1" si="84"/>
        <v>0</v>
      </c>
      <c r="BJ224" s="362">
        <f t="shared" ca="1" si="84"/>
        <v>0</v>
      </c>
      <c r="BK224" s="362">
        <f t="shared" ca="1" si="84"/>
        <v>0</v>
      </c>
      <c r="BL224" s="362">
        <f t="shared" ca="1" si="84"/>
        <v>0</v>
      </c>
      <c r="BM224" s="362"/>
    </row>
    <row r="225" spans="25:65">
      <c r="Y225" s="10">
        <v>0</v>
      </c>
      <c r="AA225" s="360">
        <f t="shared" si="73"/>
        <v>2038</v>
      </c>
      <c r="AB225" s="362">
        <f ca="1">'GHG Emissions'!I40</f>
        <v>26474.517282989938</v>
      </c>
      <c r="AC225" s="362">
        <f t="shared" si="74"/>
        <v>0</v>
      </c>
      <c r="AD225" s="362">
        <f t="shared" ca="1" si="78"/>
        <v>26474.517282989938</v>
      </c>
      <c r="AE225" s="362"/>
      <c r="AF225" s="362" t="str">
        <f t="shared" ca="1" si="82"/>
        <v/>
      </c>
      <c r="AG225" s="362" t="str">
        <f t="shared" ca="1" si="82"/>
        <v/>
      </c>
      <c r="AH225" s="362" t="str">
        <f t="shared" ca="1" si="82"/>
        <v/>
      </c>
      <c r="AI225" s="362" t="str">
        <f t="shared" ca="1" si="82"/>
        <v/>
      </c>
      <c r="AJ225" s="362" t="str">
        <f t="shared" ca="1" si="82"/>
        <v/>
      </c>
      <c r="AK225" s="362" t="str">
        <f t="shared" ca="1" si="82"/>
        <v/>
      </c>
      <c r="AL225" s="362" t="str">
        <f t="shared" ca="1" si="82"/>
        <v/>
      </c>
      <c r="AM225" s="362" t="str">
        <f t="shared" ca="1" si="82"/>
        <v/>
      </c>
      <c r="AN225" s="362" t="str">
        <f t="shared" ca="1" si="82"/>
        <v/>
      </c>
      <c r="AO225" s="362" t="str">
        <f t="shared" ca="1" si="82"/>
        <v/>
      </c>
      <c r="AP225" s="362" t="str">
        <f t="shared" ca="1" si="83"/>
        <v/>
      </c>
      <c r="AQ225" s="362" t="str">
        <f t="shared" ca="1" si="83"/>
        <v/>
      </c>
      <c r="AR225" s="362" t="str">
        <f t="shared" ca="1" si="83"/>
        <v/>
      </c>
      <c r="AS225" s="362" t="str">
        <f t="shared" ca="1" si="83"/>
        <v/>
      </c>
      <c r="AT225" s="362" t="str">
        <f t="shared" ca="1" si="83"/>
        <v/>
      </c>
      <c r="AU225" s="362" t="str">
        <f t="shared" ca="1" si="83"/>
        <v/>
      </c>
      <c r="AV225" s="362">
        <f t="shared" ca="1" si="83"/>
        <v>0</v>
      </c>
      <c r="AW225" s="362">
        <f t="shared" ca="1" si="83"/>
        <v>0</v>
      </c>
      <c r="AX225" s="362">
        <f t="shared" ca="1" si="83"/>
        <v>0</v>
      </c>
      <c r="AY225" s="362">
        <f t="shared" ca="1" si="83"/>
        <v>0</v>
      </c>
      <c r="AZ225" s="362">
        <f t="shared" ca="1" si="84"/>
        <v>0</v>
      </c>
      <c r="BA225" s="362">
        <f t="shared" ca="1" si="84"/>
        <v>0</v>
      </c>
      <c r="BB225" s="362">
        <f t="shared" ca="1" si="84"/>
        <v>0</v>
      </c>
      <c r="BC225" s="362">
        <f t="shared" ca="1" si="84"/>
        <v>0</v>
      </c>
      <c r="BD225" s="362">
        <f t="shared" ca="1" si="84"/>
        <v>0</v>
      </c>
      <c r="BE225" s="362">
        <f t="shared" ca="1" si="84"/>
        <v>0</v>
      </c>
      <c r="BF225" s="362">
        <f t="shared" ca="1" si="84"/>
        <v>0</v>
      </c>
      <c r="BG225" s="362">
        <f t="shared" ca="1" si="84"/>
        <v>0</v>
      </c>
      <c r="BH225" s="362">
        <f t="shared" ca="1" si="84"/>
        <v>0</v>
      </c>
      <c r="BI225" s="362">
        <f t="shared" ca="1" si="84"/>
        <v>0</v>
      </c>
      <c r="BJ225" s="362">
        <f t="shared" ca="1" si="84"/>
        <v>0</v>
      </c>
      <c r="BK225" s="362">
        <f t="shared" ca="1" si="84"/>
        <v>0</v>
      </c>
      <c r="BL225" s="362">
        <f t="shared" ca="1" si="84"/>
        <v>0</v>
      </c>
      <c r="BM225" s="362"/>
    </row>
    <row r="226" spans="25:65">
      <c r="Y226" s="10">
        <v>0</v>
      </c>
      <c r="AA226" s="360">
        <f t="shared" si="73"/>
        <v>2039</v>
      </c>
      <c r="AB226" s="362">
        <f ca="1">'GHG Emissions'!I41</f>
        <v>26704.689553958251</v>
      </c>
      <c r="AC226" s="362">
        <f t="shared" si="74"/>
        <v>0</v>
      </c>
      <c r="AD226" s="362">
        <f t="shared" ca="1" si="78"/>
        <v>26704.689553958251</v>
      </c>
      <c r="AE226" s="362"/>
      <c r="AF226" s="362" t="str">
        <f t="shared" ca="1" si="82"/>
        <v/>
      </c>
      <c r="AG226" s="362" t="str">
        <f t="shared" ca="1" si="82"/>
        <v/>
      </c>
      <c r="AH226" s="362" t="str">
        <f t="shared" ca="1" si="82"/>
        <v/>
      </c>
      <c r="AI226" s="362" t="str">
        <f t="shared" ca="1" si="82"/>
        <v/>
      </c>
      <c r="AJ226" s="362" t="str">
        <f t="shared" ca="1" si="82"/>
        <v/>
      </c>
      <c r="AK226" s="362" t="str">
        <f t="shared" ca="1" si="82"/>
        <v/>
      </c>
      <c r="AL226" s="362" t="str">
        <f t="shared" ca="1" si="82"/>
        <v/>
      </c>
      <c r="AM226" s="362" t="str">
        <f t="shared" ca="1" si="82"/>
        <v/>
      </c>
      <c r="AN226" s="362" t="str">
        <f t="shared" ca="1" si="82"/>
        <v/>
      </c>
      <c r="AO226" s="362" t="str">
        <f t="shared" ca="1" si="82"/>
        <v/>
      </c>
      <c r="AP226" s="362" t="str">
        <f t="shared" ca="1" si="83"/>
        <v/>
      </c>
      <c r="AQ226" s="362" t="str">
        <f t="shared" ca="1" si="83"/>
        <v/>
      </c>
      <c r="AR226" s="362" t="str">
        <f t="shared" ca="1" si="83"/>
        <v/>
      </c>
      <c r="AS226" s="362" t="str">
        <f t="shared" ca="1" si="83"/>
        <v/>
      </c>
      <c r="AT226" s="362" t="str">
        <f t="shared" ca="1" si="83"/>
        <v/>
      </c>
      <c r="AU226" s="362" t="str">
        <f t="shared" ca="1" si="83"/>
        <v/>
      </c>
      <c r="AV226" s="362">
        <f t="shared" ca="1" si="83"/>
        <v>0</v>
      </c>
      <c r="AW226" s="362">
        <f t="shared" ca="1" si="83"/>
        <v>0</v>
      </c>
      <c r="AX226" s="362">
        <f t="shared" ca="1" si="83"/>
        <v>0</v>
      </c>
      <c r="AY226" s="362">
        <f t="shared" ca="1" si="83"/>
        <v>0</v>
      </c>
      <c r="AZ226" s="362">
        <f t="shared" ca="1" si="84"/>
        <v>0</v>
      </c>
      <c r="BA226" s="362">
        <f t="shared" ca="1" si="84"/>
        <v>0</v>
      </c>
      <c r="BB226" s="362">
        <f t="shared" ca="1" si="84"/>
        <v>0</v>
      </c>
      <c r="BC226" s="362">
        <f t="shared" ca="1" si="84"/>
        <v>0</v>
      </c>
      <c r="BD226" s="362">
        <f t="shared" ca="1" si="84"/>
        <v>0</v>
      </c>
      <c r="BE226" s="362">
        <f t="shared" ca="1" si="84"/>
        <v>0</v>
      </c>
      <c r="BF226" s="362">
        <f t="shared" ca="1" si="84"/>
        <v>0</v>
      </c>
      <c r="BG226" s="362">
        <f t="shared" ca="1" si="84"/>
        <v>0</v>
      </c>
      <c r="BH226" s="362">
        <f t="shared" ca="1" si="84"/>
        <v>0</v>
      </c>
      <c r="BI226" s="362">
        <f t="shared" ca="1" si="84"/>
        <v>0</v>
      </c>
      <c r="BJ226" s="362">
        <f t="shared" ca="1" si="84"/>
        <v>0</v>
      </c>
      <c r="BK226" s="362">
        <f t="shared" ca="1" si="84"/>
        <v>0</v>
      </c>
      <c r="BL226" s="362">
        <f t="shared" ca="1" si="84"/>
        <v>0</v>
      </c>
      <c r="BM226" s="362"/>
    </row>
    <row r="227" spans="25:65">
      <c r="Y227" s="10">
        <v>0</v>
      </c>
      <c r="AA227" s="360">
        <f t="shared" si="73"/>
        <v>2040</v>
      </c>
      <c r="AB227" s="362">
        <f ca="1">'GHG Emissions'!I42</f>
        <v>26934.85511391886</v>
      </c>
      <c r="AC227" s="362">
        <f t="shared" si="74"/>
        <v>0</v>
      </c>
      <c r="AD227" s="362">
        <f t="shared" ca="1" si="78"/>
        <v>26934.85511391886</v>
      </c>
      <c r="AE227" s="362"/>
      <c r="AF227" s="362" t="str">
        <f t="shared" ref="AF227:AO237" ca="1" si="85">IFERROR(-HLOOKUP(AF$50,Scope1Table,$AA227-$AA$197+2,FALSE),"")</f>
        <v/>
      </c>
      <c r="AG227" s="362" t="str">
        <f t="shared" ca="1" si="85"/>
        <v/>
      </c>
      <c r="AH227" s="362" t="str">
        <f t="shared" ca="1" si="85"/>
        <v/>
      </c>
      <c r="AI227" s="362" t="str">
        <f t="shared" ca="1" si="85"/>
        <v/>
      </c>
      <c r="AJ227" s="362" t="str">
        <f t="shared" ca="1" si="85"/>
        <v/>
      </c>
      <c r="AK227" s="362" t="str">
        <f t="shared" ca="1" si="85"/>
        <v/>
      </c>
      <c r="AL227" s="362" t="str">
        <f t="shared" ca="1" si="85"/>
        <v/>
      </c>
      <c r="AM227" s="362" t="str">
        <f t="shared" ca="1" si="85"/>
        <v/>
      </c>
      <c r="AN227" s="362" t="str">
        <f t="shared" ca="1" si="85"/>
        <v/>
      </c>
      <c r="AO227" s="362" t="str">
        <f t="shared" ca="1" si="85"/>
        <v/>
      </c>
      <c r="AP227" s="362" t="str">
        <f t="shared" ref="AP227:AY237" ca="1" si="86">IFERROR(-HLOOKUP(AP$50,Scope1Table,$AA227-$AA$197+2,FALSE),"")</f>
        <v/>
      </c>
      <c r="AQ227" s="362" t="str">
        <f t="shared" ca="1" si="86"/>
        <v/>
      </c>
      <c r="AR227" s="362" t="str">
        <f t="shared" ca="1" si="86"/>
        <v/>
      </c>
      <c r="AS227" s="362" t="str">
        <f t="shared" ca="1" si="86"/>
        <v/>
      </c>
      <c r="AT227" s="362" t="str">
        <f t="shared" ca="1" si="86"/>
        <v/>
      </c>
      <c r="AU227" s="362" t="str">
        <f t="shared" ca="1" si="86"/>
        <v/>
      </c>
      <c r="AV227" s="362">
        <f t="shared" ca="1" si="86"/>
        <v>0</v>
      </c>
      <c r="AW227" s="362">
        <f t="shared" ca="1" si="86"/>
        <v>0</v>
      </c>
      <c r="AX227" s="362">
        <f t="shared" ca="1" si="86"/>
        <v>0</v>
      </c>
      <c r="AY227" s="362">
        <f t="shared" ca="1" si="86"/>
        <v>0</v>
      </c>
      <c r="AZ227" s="362">
        <f t="shared" ref="AZ227:BL237" ca="1" si="87">IFERROR(-HLOOKUP(AZ$50,Scope1Table,$AA227-$AA$197+2,FALSE),"")</f>
        <v>0</v>
      </c>
      <c r="BA227" s="362">
        <f t="shared" ca="1" si="87"/>
        <v>0</v>
      </c>
      <c r="BB227" s="362">
        <f t="shared" ca="1" si="87"/>
        <v>0</v>
      </c>
      <c r="BC227" s="362">
        <f t="shared" ca="1" si="87"/>
        <v>0</v>
      </c>
      <c r="BD227" s="362">
        <f t="shared" ca="1" si="87"/>
        <v>0</v>
      </c>
      <c r="BE227" s="362">
        <f t="shared" ca="1" si="87"/>
        <v>0</v>
      </c>
      <c r="BF227" s="362">
        <f t="shared" ca="1" si="87"/>
        <v>0</v>
      </c>
      <c r="BG227" s="362">
        <f t="shared" ca="1" si="87"/>
        <v>0</v>
      </c>
      <c r="BH227" s="362">
        <f t="shared" ca="1" si="87"/>
        <v>0</v>
      </c>
      <c r="BI227" s="362">
        <f t="shared" ca="1" si="87"/>
        <v>0</v>
      </c>
      <c r="BJ227" s="362">
        <f t="shared" ca="1" si="87"/>
        <v>0</v>
      </c>
      <c r="BK227" s="362">
        <f t="shared" ca="1" si="87"/>
        <v>0</v>
      </c>
      <c r="BL227" s="362">
        <f t="shared" ca="1" si="87"/>
        <v>0</v>
      </c>
      <c r="BM227" s="362"/>
    </row>
    <row r="228" spans="25:65">
      <c r="Y228" s="10">
        <v>0</v>
      </c>
      <c r="AA228" s="360">
        <f t="shared" si="73"/>
        <v>2041</v>
      </c>
      <c r="AB228" s="362">
        <f ca="1">'GHG Emissions'!I43</f>
        <v>27165.014285105874</v>
      </c>
      <c r="AC228" s="362">
        <f t="shared" si="74"/>
        <v>0</v>
      </c>
      <c r="AD228" s="362">
        <f t="shared" ca="1" si="78"/>
        <v>27165.014285105874</v>
      </c>
      <c r="AE228" s="362"/>
      <c r="AF228" s="362" t="str">
        <f t="shared" ca="1" si="85"/>
        <v/>
      </c>
      <c r="AG228" s="362" t="str">
        <f t="shared" ca="1" si="85"/>
        <v/>
      </c>
      <c r="AH228" s="362" t="str">
        <f t="shared" ca="1" si="85"/>
        <v/>
      </c>
      <c r="AI228" s="362" t="str">
        <f t="shared" ca="1" si="85"/>
        <v/>
      </c>
      <c r="AJ228" s="362" t="str">
        <f t="shared" ca="1" si="85"/>
        <v/>
      </c>
      <c r="AK228" s="362" t="str">
        <f t="shared" ca="1" si="85"/>
        <v/>
      </c>
      <c r="AL228" s="362" t="str">
        <f t="shared" ca="1" si="85"/>
        <v/>
      </c>
      <c r="AM228" s="362" t="str">
        <f t="shared" ca="1" si="85"/>
        <v/>
      </c>
      <c r="AN228" s="362" t="str">
        <f t="shared" ca="1" si="85"/>
        <v/>
      </c>
      <c r="AO228" s="362" t="str">
        <f t="shared" ca="1" si="85"/>
        <v/>
      </c>
      <c r="AP228" s="362" t="str">
        <f t="shared" ca="1" si="86"/>
        <v/>
      </c>
      <c r="AQ228" s="362" t="str">
        <f t="shared" ca="1" si="86"/>
        <v/>
      </c>
      <c r="AR228" s="362" t="str">
        <f t="shared" ca="1" si="86"/>
        <v/>
      </c>
      <c r="AS228" s="362" t="str">
        <f t="shared" ca="1" si="86"/>
        <v/>
      </c>
      <c r="AT228" s="362" t="str">
        <f t="shared" ca="1" si="86"/>
        <v/>
      </c>
      <c r="AU228" s="362" t="str">
        <f t="shared" ca="1" si="86"/>
        <v/>
      </c>
      <c r="AV228" s="362">
        <f t="shared" ca="1" si="86"/>
        <v>0</v>
      </c>
      <c r="AW228" s="362">
        <f t="shared" ca="1" si="86"/>
        <v>0</v>
      </c>
      <c r="AX228" s="362">
        <f t="shared" ca="1" si="86"/>
        <v>0</v>
      </c>
      <c r="AY228" s="362">
        <f t="shared" ca="1" si="86"/>
        <v>0</v>
      </c>
      <c r="AZ228" s="362">
        <f t="shared" ca="1" si="87"/>
        <v>0</v>
      </c>
      <c r="BA228" s="362">
        <f t="shared" ca="1" si="87"/>
        <v>0</v>
      </c>
      <c r="BB228" s="362">
        <f t="shared" ca="1" si="87"/>
        <v>0</v>
      </c>
      <c r="BC228" s="362">
        <f t="shared" ca="1" si="87"/>
        <v>0</v>
      </c>
      <c r="BD228" s="362">
        <f t="shared" ca="1" si="87"/>
        <v>0</v>
      </c>
      <c r="BE228" s="362">
        <f t="shared" ca="1" si="87"/>
        <v>0</v>
      </c>
      <c r="BF228" s="362">
        <f t="shared" ca="1" si="87"/>
        <v>0</v>
      </c>
      <c r="BG228" s="362">
        <f t="shared" ca="1" si="87"/>
        <v>0</v>
      </c>
      <c r="BH228" s="362">
        <f t="shared" ca="1" si="87"/>
        <v>0</v>
      </c>
      <c r="BI228" s="362">
        <f t="shared" ca="1" si="87"/>
        <v>0</v>
      </c>
      <c r="BJ228" s="362">
        <f t="shared" ca="1" si="87"/>
        <v>0</v>
      </c>
      <c r="BK228" s="362">
        <f t="shared" ca="1" si="87"/>
        <v>0</v>
      </c>
      <c r="BL228" s="362">
        <f t="shared" ca="1" si="87"/>
        <v>0</v>
      </c>
      <c r="BM228" s="362"/>
    </row>
    <row r="229" spans="25:65">
      <c r="Y229" s="10">
        <v>0</v>
      </c>
      <c r="AA229" s="360">
        <f t="shared" si="73"/>
        <v>2042</v>
      </c>
      <c r="AB229" s="362">
        <f ca="1">'GHG Emissions'!I44</f>
        <v>27395.167364763012</v>
      </c>
      <c r="AC229" s="362">
        <f t="shared" si="74"/>
        <v>0</v>
      </c>
      <c r="AD229" s="362">
        <f t="shared" ca="1" si="78"/>
        <v>27395.167364763012</v>
      </c>
      <c r="AE229" s="362"/>
      <c r="AF229" s="362" t="str">
        <f t="shared" ca="1" si="85"/>
        <v/>
      </c>
      <c r="AG229" s="362" t="str">
        <f t="shared" ca="1" si="85"/>
        <v/>
      </c>
      <c r="AH229" s="362" t="str">
        <f t="shared" ca="1" si="85"/>
        <v/>
      </c>
      <c r="AI229" s="362" t="str">
        <f t="shared" ca="1" si="85"/>
        <v/>
      </c>
      <c r="AJ229" s="362" t="str">
        <f t="shared" ca="1" si="85"/>
        <v/>
      </c>
      <c r="AK229" s="362" t="str">
        <f t="shared" ca="1" si="85"/>
        <v/>
      </c>
      <c r="AL229" s="362" t="str">
        <f t="shared" ca="1" si="85"/>
        <v/>
      </c>
      <c r="AM229" s="362" t="str">
        <f t="shared" ca="1" si="85"/>
        <v/>
      </c>
      <c r="AN229" s="362" t="str">
        <f t="shared" ca="1" si="85"/>
        <v/>
      </c>
      <c r="AO229" s="362" t="str">
        <f t="shared" ca="1" si="85"/>
        <v/>
      </c>
      <c r="AP229" s="362" t="str">
        <f t="shared" ca="1" si="86"/>
        <v/>
      </c>
      <c r="AQ229" s="362" t="str">
        <f t="shared" ca="1" si="86"/>
        <v/>
      </c>
      <c r="AR229" s="362" t="str">
        <f t="shared" ca="1" si="86"/>
        <v/>
      </c>
      <c r="AS229" s="362" t="str">
        <f t="shared" ca="1" si="86"/>
        <v/>
      </c>
      <c r="AT229" s="362" t="str">
        <f t="shared" ca="1" si="86"/>
        <v/>
      </c>
      <c r="AU229" s="362" t="str">
        <f t="shared" ca="1" si="86"/>
        <v/>
      </c>
      <c r="AV229" s="362">
        <f t="shared" ca="1" si="86"/>
        <v>0</v>
      </c>
      <c r="AW229" s="362">
        <f t="shared" ca="1" si="86"/>
        <v>0</v>
      </c>
      <c r="AX229" s="362">
        <f t="shared" ca="1" si="86"/>
        <v>0</v>
      </c>
      <c r="AY229" s="362">
        <f t="shared" ca="1" si="86"/>
        <v>0</v>
      </c>
      <c r="AZ229" s="362">
        <f t="shared" ca="1" si="87"/>
        <v>0</v>
      </c>
      <c r="BA229" s="362">
        <f t="shared" ca="1" si="87"/>
        <v>0</v>
      </c>
      <c r="BB229" s="362">
        <f t="shared" ca="1" si="87"/>
        <v>0</v>
      </c>
      <c r="BC229" s="362">
        <f t="shared" ca="1" si="87"/>
        <v>0</v>
      </c>
      <c r="BD229" s="362">
        <f t="shared" ca="1" si="87"/>
        <v>0</v>
      </c>
      <c r="BE229" s="362">
        <f t="shared" ca="1" si="87"/>
        <v>0</v>
      </c>
      <c r="BF229" s="362">
        <f t="shared" ca="1" si="87"/>
        <v>0</v>
      </c>
      <c r="BG229" s="362">
        <f t="shared" ca="1" si="87"/>
        <v>0</v>
      </c>
      <c r="BH229" s="362">
        <f t="shared" ca="1" si="87"/>
        <v>0</v>
      </c>
      <c r="BI229" s="362">
        <f t="shared" ca="1" si="87"/>
        <v>0</v>
      </c>
      <c r="BJ229" s="362">
        <f t="shared" ca="1" si="87"/>
        <v>0</v>
      </c>
      <c r="BK229" s="362">
        <f t="shared" ca="1" si="87"/>
        <v>0</v>
      </c>
      <c r="BL229" s="362">
        <f t="shared" ca="1" si="87"/>
        <v>0</v>
      </c>
      <c r="BM229" s="362"/>
    </row>
    <row r="230" spans="25:65">
      <c r="Y230" s="10">
        <v>0</v>
      </c>
      <c r="AA230" s="360">
        <f t="shared" si="73"/>
        <v>2043</v>
      </c>
      <c r="AB230" s="362">
        <f ca="1">'GHG Emissions'!I45</f>
        <v>27625.314627775704</v>
      </c>
      <c r="AC230" s="362">
        <f t="shared" si="74"/>
        <v>0</v>
      </c>
      <c r="AD230" s="362">
        <f t="shared" ca="1" si="78"/>
        <v>27625.314627775704</v>
      </c>
      <c r="AE230" s="362"/>
      <c r="AF230" s="362" t="str">
        <f t="shared" ca="1" si="85"/>
        <v/>
      </c>
      <c r="AG230" s="362" t="str">
        <f t="shared" ca="1" si="85"/>
        <v/>
      </c>
      <c r="AH230" s="362" t="str">
        <f t="shared" ca="1" si="85"/>
        <v/>
      </c>
      <c r="AI230" s="362" t="str">
        <f t="shared" ca="1" si="85"/>
        <v/>
      </c>
      <c r="AJ230" s="362" t="str">
        <f t="shared" ca="1" si="85"/>
        <v/>
      </c>
      <c r="AK230" s="362" t="str">
        <f t="shared" ca="1" si="85"/>
        <v/>
      </c>
      <c r="AL230" s="362" t="str">
        <f t="shared" ca="1" si="85"/>
        <v/>
      </c>
      <c r="AM230" s="362" t="str">
        <f t="shared" ca="1" si="85"/>
        <v/>
      </c>
      <c r="AN230" s="362" t="str">
        <f t="shared" ca="1" si="85"/>
        <v/>
      </c>
      <c r="AO230" s="362" t="str">
        <f t="shared" ca="1" si="85"/>
        <v/>
      </c>
      <c r="AP230" s="362" t="str">
        <f t="shared" ca="1" si="86"/>
        <v/>
      </c>
      <c r="AQ230" s="362" t="str">
        <f t="shared" ca="1" si="86"/>
        <v/>
      </c>
      <c r="AR230" s="362" t="str">
        <f t="shared" ca="1" si="86"/>
        <v/>
      </c>
      <c r="AS230" s="362" t="str">
        <f t="shared" ca="1" si="86"/>
        <v/>
      </c>
      <c r="AT230" s="362" t="str">
        <f t="shared" ca="1" si="86"/>
        <v/>
      </c>
      <c r="AU230" s="362" t="str">
        <f t="shared" ca="1" si="86"/>
        <v/>
      </c>
      <c r="AV230" s="362">
        <f t="shared" ca="1" si="86"/>
        <v>0</v>
      </c>
      <c r="AW230" s="362">
        <f t="shared" ca="1" si="86"/>
        <v>0</v>
      </c>
      <c r="AX230" s="362">
        <f t="shared" ca="1" si="86"/>
        <v>0</v>
      </c>
      <c r="AY230" s="362">
        <f t="shared" ca="1" si="86"/>
        <v>0</v>
      </c>
      <c r="AZ230" s="362">
        <f t="shared" ca="1" si="87"/>
        <v>0</v>
      </c>
      <c r="BA230" s="362">
        <f t="shared" ca="1" si="87"/>
        <v>0</v>
      </c>
      <c r="BB230" s="362">
        <f t="shared" ca="1" si="87"/>
        <v>0</v>
      </c>
      <c r="BC230" s="362">
        <f t="shared" ca="1" si="87"/>
        <v>0</v>
      </c>
      <c r="BD230" s="362">
        <f t="shared" ca="1" si="87"/>
        <v>0</v>
      </c>
      <c r="BE230" s="362">
        <f t="shared" ca="1" si="87"/>
        <v>0</v>
      </c>
      <c r="BF230" s="362">
        <f t="shared" ca="1" si="87"/>
        <v>0</v>
      </c>
      <c r="BG230" s="362">
        <f t="shared" ca="1" si="87"/>
        <v>0</v>
      </c>
      <c r="BH230" s="362">
        <f t="shared" ca="1" si="87"/>
        <v>0</v>
      </c>
      <c r="BI230" s="362">
        <f t="shared" ca="1" si="87"/>
        <v>0</v>
      </c>
      <c r="BJ230" s="362">
        <f t="shared" ca="1" si="87"/>
        <v>0</v>
      </c>
      <c r="BK230" s="362">
        <f t="shared" ca="1" si="87"/>
        <v>0</v>
      </c>
      <c r="BL230" s="362">
        <f t="shared" ca="1" si="87"/>
        <v>0</v>
      </c>
      <c r="BM230" s="362"/>
    </row>
    <row r="231" spans="25:65">
      <c r="Y231" s="10">
        <v>0</v>
      </c>
      <c r="AA231" s="360">
        <f t="shared" si="73"/>
        <v>2044</v>
      </c>
      <c r="AB231" s="362">
        <f ca="1">'GHG Emissions'!I46</f>
        <v>27855.456328956927</v>
      </c>
      <c r="AC231" s="362">
        <f t="shared" si="74"/>
        <v>0</v>
      </c>
      <c r="AD231" s="362">
        <f t="shared" ca="1" si="78"/>
        <v>27855.456328956927</v>
      </c>
      <c r="AE231" s="362"/>
      <c r="AF231" s="362" t="str">
        <f t="shared" ca="1" si="85"/>
        <v/>
      </c>
      <c r="AG231" s="362" t="str">
        <f t="shared" ca="1" si="85"/>
        <v/>
      </c>
      <c r="AH231" s="362" t="str">
        <f t="shared" ca="1" si="85"/>
        <v/>
      </c>
      <c r="AI231" s="362" t="str">
        <f t="shared" ca="1" si="85"/>
        <v/>
      </c>
      <c r="AJ231" s="362" t="str">
        <f t="shared" ca="1" si="85"/>
        <v/>
      </c>
      <c r="AK231" s="362" t="str">
        <f t="shared" ca="1" si="85"/>
        <v/>
      </c>
      <c r="AL231" s="362" t="str">
        <f t="shared" ca="1" si="85"/>
        <v/>
      </c>
      <c r="AM231" s="362" t="str">
        <f t="shared" ca="1" si="85"/>
        <v/>
      </c>
      <c r="AN231" s="362" t="str">
        <f t="shared" ca="1" si="85"/>
        <v/>
      </c>
      <c r="AO231" s="362" t="str">
        <f t="shared" ca="1" si="85"/>
        <v/>
      </c>
      <c r="AP231" s="362" t="str">
        <f t="shared" ca="1" si="86"/>
        <v/>
      </c>
      <c r="AQ231" s="362" t="str">
        <f t="shared" ca="1" si="86"/>
        <v/>
      </c>
      <c r="AR231" s="362" t="str">
        <f t="shared" ca="1" si="86"/>
        <v/>
      </c>
      <c r="AS231" s="362" t="str">
        <f t="shared" ca="1" si="86"/>
        <v/>
      </c>
      <c r="AT231" s="362" t="str">
        <f t="shared" ca="1" si="86"/>
        <v/>
      </c>
      <c r="AU231" s="362" t="str">
        <f t="shared" ca="1" si="86"/>
        <v/>
      </c>
      <c r="AV231" s="362">
        <f t="shared" ca="1" si="86"/>
        <v>0</v>
      </c>
      <c r="AW231" s="362">
        <f t="shared" ca="1" si="86"/>
        <v>0</v>
      </c>
      <c r="AX231" s="362">
        <f t="shared" ca="1" si="86"/>
        <v>0</v>
      </c>
      <c r="AY231" s="362">
        <f t="shared" ca="1" si="86"/>
        <v>0</v>
      </c>
      <c r="AZ231" s="362">
        <f t="shared" ca="1" si="87"/>
        <v>0</v>
      </c>
      <c r="BA231" s="362">
        <f t="shared" ca="1" si="87"/>
        <v>0</v>
      </c>
      <c r="BB231" s="362">
        <f t="shared" ca="1" si="87"/>
        <v>0</v>
      </c>
      <c r="BC231" s="362">
        <f t="shared" ca="1" si="87"/>
        <v>0</v>
      </c>
      <c r="BD231" s="362">
        <f t="shared" ca="1" si="87"/>
        <v>0</v>
      </c>
      <c r="BE231" s="362">
        <f t="shared" ca="1" si="87"/>
        <v>0</v>
      </c>
      <c r="BF231" s="362">
        <f t="shared" ca="1" si="87"/>
        <v>0</v>
      </c>
      <c r="BG231" s="362">
        <f t="shared" ca="1" si="87"/>
        <v>0</v>
      </c>
      <c r="BH231" s="362">
        <f t="shared" ca="1" si="87"/>
        <v>0</v>
      </c>
      <c r="BI231" s="362">
        <f t="shared" ca="1" si="87"/>
        <v>0</v>
      </c>
      <c r="BJ231" s="362">
        <f t="shared" ca="1" si="87"/>
        <v>0</v>
      </c>
      <c r="BK231" s="362">
        <f t="shared" ca="1" si="87"/>
        <v>0</v>
      </c>
      <c r="BL231" s="362">
        <f t="shared" ca="1" si="87"/>
        <v>0</v>
      </c>
      <c r="BM231" s="362"/>
    </row>
    <row r="232" spans="25:65">
      <c r="Y232" s="10">
        <v>0</v>
      </c>
      <c r="AA232" s="360">
        <f t="shared" si="73"/>
        <v>2045</v>
      </c>
      <c r="AB232" s="362">
        <f ca="1">'GHG Emissions'!I47</f>
        <v>28085.592705041225</v>
      </c>
      <c r="AC232" s="362">
        <f t="shared" si="74"/>
        <v>0</v>
      </c>
      <c r="AD232" s="362">
        <f t="shared" ca="1" si="78"/>
        <v>28085.592705041225</v>
      </c>
      <c r="AE232" s="362"/>
      <c r="AF232" s="362" t="str">
        <f t="shared" ca="1" si="85"/>
        <v/>
      </c>
      <c r="AG232" s="362" t="str">
        <f t="shared" ca="1" si="85"/>
        <v/>
      </c>
      <c r="AH232" s="362" t="str">
        <f t="shared" ca="1" si="85"/>
        <v/>
      </c>
      <c r="AI232" s="362" t="str">
        <f t="shared" ca="1" si="85"/>
        <v/>
      </c>
      <c r="AJ232" s="362" t="str">
        <f t="shared" ca="1" si="85"/>
        <v/>
      </c>
      <c r="AK232" s="362" t="str">
        <f t="shared" ca="1" si="85"/>
        <v/>
      </c>
      <c r="AL232" s="362" t="str">
        <f t="shared" ca="1" si="85"/>
        <v/>
      </c>
      <c r="AM232" s="362" t="str">
        <f t="shared" ca="1" si="85"/>
        <v/>
      </c>
      <c r="AN232" s="362" t="str">
        <f t="shared" ca="1" si="85"/>
        <v/>
      </c>
      <c r="AO232" s="362" t="str">
        <f t="shared" ca="1" si="85"/>
        <v/>
      </c>
      <c r="AP232" s="362" t="str">
        <f t="shared" ca="1" si="86"/>
        <v/>
      </c>
      <c r="AQ232" s="362" t="str">
        <f t="shared" ca="1" si="86"/>
        <v/>
      </c>
      <c r="AR232" s="362" t="str">
        <f t="shared" ca="1" si="86"/>
        <v/>
      </c>
      <c r="AS232" s="362" t="str">
        <f t="shared" ca="1" si="86"/>
        <v/>
      </c>
      <c r="AT232" s="362" t="str">
        <f t="shared" ca="1" si="86"/>
        <v/>
      </c>
      <c r="AU232" s="362" t="str">
        <f t="shared" ca="1" si="86"/>
        <v/>
      </c>
      <c r="AV232" s="362">
        <f t="shared" ca="1" si="86"/>
        <v>0</v>
      </c>
      <c r="AW232" s="362">
        <f t="shared" ca="1" si="86"/>
        <v>0</v>
      </c>
      <c r="AX232" s="362">
        <f t="shared" ca="1" si="86"/>
        <v>0</v>
      </c>
      <c r="AY232" s="362">
        <f t="shared" ca="1" si="86"/>
        <v>0</v>
      </c>
      <c r="AZ232" s="362">
        <f t="shared" ca="1" si="87"/>
        <v>0</v>
      </c>
      <c r="BA232" s="362">
        <f t="shared" ca="1" si="87"/>
        <v>0</v>
      </c>
      <c r="BB232" s="362">
        <f t="shared" ca="1" si="87"/>
        <v>0</v>
      </c>
      <c r="BC232" s="362">
        <f t="shared" ca="1" si="87"/>
        <v>0</v>
      </c>
      <c r="BD232" s="362">
        <f t="shared" ca="1" si="87"/>
        <v>0</v>
      </c>
      <c r="BE232" s="362">
        <f t="shared" ca="1" si="87"/>
        <v>0</v>
      </c>
      <c r="BF232" s="362">
        <f t="shared" ca="1" si="87"/>
        <v>0</v>
      </c>
      <c r="BG232" s="362">
        <f t="shared" ca="1" si="87"/>
        <v>0</v>
      </c>
      <c r="BH232" s="362">
        <f t="shared" ca="1" si="87"/>
        <v>0</v>
      </c>
      <c r="BI232" s="362">
        <f t="shared" ca="1" si="87"/>
        <v>0</v>
      </c>
      <c r="BJ232" s="362">
        <f t="shared" ca="1" si="87"/>
        <v>0</v>
      </c>
      <c r="BK232" s="362">
        <f t="shared" ca="1" si="87"/>
        <v>0</v>
      </c>
      <c r="BL232" s="362">
        <f t="shared" ca="1" si="87"/>
        <v>0</v>
      </c>
      <c r="BM232" s="362"/>
    </row>
    <row r="233" spans="25:65">
      <c r="Y233" s="10">
        <v>0</v>
      </c>
      <c r="AA233" s="360">
        <f t="shared" si="73"/>
        <v>2046</v>
      </c>
      <c r="AB233" s="362">
        <f ca="1">'GHG Emissions'!I48</f>
        <v>28315.723976430982</v>
      </c>
      <c r="AC233" s="362">
        <f t="shared" si="74"/>
        <v>0</v>
      </c>
      <c r="AD233" s="362">
        <f t="shared" ca="1" si="78"/>
        <v>28315.723976430982</v>
      </c>
      <c r="AE233" s="362"/>
      <c r="AF233" s="362" t="str">
        <f t="shared" ca="1" si="85"/>
        <v/>
      </c>
      <c r="AG233" s="362" t="str">
        <f t="shared" ca="1" si="85"/>
        <v/>
      </c>
      <c r="AH233" s="362" t="str">
        <f t="shared" ca="1" si="85"/>
        <v/>
      </c>
      <c r="AI233" s="362" t="str">
        <f t="shared" ca="1" si="85"/>
        <v/>
      </c>
      <c r="AJ233" s="362" t="str">
        <f t="shared" ca="1" si="85"/>
        <v/>
      </c>
      <c r="AK233" s="362" t="str">
        <f t="shared" ca="1" si="85"/>
        <v/>
      </c>
      <c r="AL233" s="362" t="str">
        <f t="shared" ca="1" si="85"/>
        <v/>
      </c>
      <c r="AM233" s="362" t="str">
        <f t="shared" ca="1" si="85"/>
        <v/>
      </c>
      <c r="AN233" s="362" t="str">
        <f t="shared" ca="1" si="85"/>
        <v/>
      </c>
      <c r="AO233" s="362" t="str">
        <f t="shared" ca="1" si="85"/>
        <v/>
      </c>
      <c r="AP233" s="362" t="str">
        <f t="shared" ca="1" si="86"/>
        <v/>
      </c>
      <c r="AQ233" s="362" t="str">
        <f t="shared" ca="1" si="86"/>
        <v/>
      </c>
      <c r="AR233" s="362" t="str">
        <f t="shared" ca="1" si="86"/>
        <v/>
      </c>
      <c r="AS233" s="362" t="str">
        <f t="shared" ca="1" si="86"/>
        <v/>
      </c>
      <c r="AT233" s="362" t="str">
        <f t="shared" ca="1" si="86"/>
        <v/>
      </c>
      <c r="AU233" s="362" t="str">
        <f t="shared" ca="1" si="86"/>
        <v/>
      </c>
      <c r="AV233" s="362">
        <f t="shared" ca="1" si="86"/>
        <v>0</v>
      </c>
      <c r="AW233" s="362">
        <f t="shared" ca="1" si="86"/>
        <v>0</v>
      </c>
      <c r="AX233" s="362">
        <f t="shared" ca="1" si="86"/>
        <v>0</v>
      </c>
      <c r="AY233" s="362">
        <f t="shared" ca="1" si="86"/>
        <v>0</v>
      </c>
      <c r="AZ233" s="362">
        <f t="shared" ca="1" si="87"/>
        <v>0</v>
      </c>
      <c r="BA233" s="362">
        <f t="shared" ca="1" si="87"/>
        <v>0</v>
      </c>
      <c r="BB233" s="362">
        <f t="shared" ca="1" si="87"/>
        <v>0</v>
      </c>
      <c r="BC233" s="362">
        <f t="shared" ca="1" si="87"/>
        <v>0</v>
      </c>
      <c r="BD233" s="362">
        <f t="shared" ca="1" si="87"/>
        <v>0</v>
      </c>
      <c r="BE233" s="362">
        <f t="shared" ca="1" si="87"/>
        <v>0</v>
      </c>
      <c r="BF233" s="362">
        <f t="shared" ca="1" si="87"/>
        <v>0</v>
      </c>
      <c r="BG233" s="362">
        <f t="shared" ca="1" si="87"/>
        <v>0</v>
      </c>
      <c r="BH233" s="362">
        <f t="shared" ca="1" si="87"/>
        <v>0</v>
      </c>
      <c r="BI233" s="362">
        <f t="shared" ca="1" si="87"/>
        <v>0</v>
      </c>
      <c r="BJ233" s="362">
        <f t="shared" ca="1" si="87"/>
        <v>0</v>
      </c>
      <c r="BK233" s="362">
        <f t="shared" ca="1" si="87"/>
        <v>0</v>
      </c>
      <c r="BL233" s="362">
        <f t="shared" ca="1" si="87"/>
        <v>0</v>
      </c>
      <c r="BM233" s="362"/>
    </row>
    <row r="234" spans="25:65">
      <c r="Y234" s="10">
        <v>0</v>
      </c>
      <c r="AA234" s="360">
        <f t="shared" si="73"/>
        <v>2047</v>
      </c>
      <c r="AB234" s="362">
        <f ca="1">'GHG Emissions'!I49</f>
        <v>28545.850348731648</v>
      </c>
      <c r="AC234" s="362">
        <f t="shared" si="74"/>
        <v>0</v>
      </c>
      <c r="AD234" s="362">
        <f t="shared" ca="1" si="78"/>
        <v>28545.850348731648</v>
      </c>
      <c r="AE234" s="362"/>
      <c r="AF234" s="362" t="str">
        <f t="shared" ca="1" si="85"/>
        <v/>
      </c>
      <c r="AG234" s="362" t="str">
        <f t="shared" ca="1" si="85"/>
        <v/>
      </c>
      <c r="AH234" s="362" t="str">
        <f t="shared" ca="1" si="85"/>
        <v/>
      </c>
      <c r="AI234" s="362" t="str">
        <f t="shared" ca="1" si="85"/>
        <v/>
      </c>
      <c r="AJ234" s="362" t="str">
        <f t="shared" ca="1" si="85"/>
        <v/>
      </c>
      <c r="AK234" s="362" t="str">
        <f t="shared" ca="1" si="85"/>
        <v/>
      </c>
      <c r="AL234" s="362" t="str">
        <f t="shared" ca="1" si="85"/>
        <v/>
      </c>
      <c r="AM234" s="362" t="str">
        <f t="shared" ca="1" si="85"/>
        <v/>
      </c>
      <c r="AN234" s="362" t="str">
        <f t="shared" ca="1" si="85"/>
        <v/>
      </c>
      <c r="AO234" s="362" t="str">
        <f t="shared" ca="1" si="85"/>
        <v/>
      </c>
      <c r="AP234" s="362" t="str">
        <f t="shared" ca="1" si="86"/>
        <v/>
      </c>
      <c r="AQ234" s="362" t="str">
        <f t="shared" ca="1" si="86"/>
        <v/>
      </c>
      <c r="AR234" s="362" t="str">
        <f t="shared" ca="1" si="86"/>
        <v/>
      </c>
      <c r="AS234" s="362" t="str">
        <f t="shared" ca="1" si="86"/>
        <v/>
      </c>
      <c r="AT234" s="362" t="str">
        <f t="shared" ca="1" si="86"/>
        <v/>
      </c>
      <c r="AU234" s="362" t="str">
        <f t="shared" ca="1" si="86"/>
        <v/>
      </c>
      <c r="AV234" s="362">
        <f t="shared" ca="1" si="86"/>
        <v>0</v>
      </c>
      <c r="AW234" s="362">
        <f t="shared" ca="1" si="86"/>
        <v>0</v>
      </c>
      <c r="AX234" s="362">
        <f t="shared" ca="1" si="86"/>
        <v>0</v>
      </c>
      <c r="AY234" s="362">
        <f t="shared" ca="1" si="86"/>
        <v>0</v>
      </c>
      <c r="AZ234" s="362">
        <f t="shared" ca="1" si="87"/>
        <v>0</v>
      </c>
      <c r="BA234" s="362">
        <f t="shared" ca="1" si="87"/>
        <v>0</v>
      </c>
      <c r="BB234" s="362">
        <f t="shared" ca="1" si="87"/>
        <v>0</v>
      </c>
      <c r="BC234" s="362">
        <f t="shared" ca="1" si="87"/>
        <v>0</v>
      </c>
      <c r="BD234" s="362">
        <f t="shared" ca="1" si="87"/>
        <v>0</v>
      </c>
      <c r="BE234" s="362">
        <f t="shared" ca="1" si="87"/>
        <v>0</v>
      </c>
      <c r="BF234" s="362">
        <f t="shared" ca="1" si="87"/>
        <v>0</v>
      </c>
      <c r="BG234" s="362">
        <f t="shared" ca="1" si="87"/>
        <v>0</v>
      </c>
      <c r="BH234" s="362">
        <f t="shared" ca="1" si="87"/>
        <v>0</v>
      </c>
      <c r="BI234" s="362">
        <f t="shared" ca="1" si="87"/>
        <v>0</v>
      </c>
      <c r="BJ234" s="362">
        <f t="shared" ca="1" si="87"/>
        <v>0</v>
      </c>
      <c r="BK234" s="362">
        <f t="shared" ca="1" si="87"/>
        <v>0</v>
      </c>
      <c r="BL234" s="362">
        <f t="shared" ca="1" si="87"/>
        <v>0</v>
      </c>
      <c r="BM234" s="362"/>
    </row>
    <row r="235" spans="25:65">
      <c r="Y235" s="10">
        <v>0</v>
      </c>
      <c r="AA235" s="360">
        <f t="shared" si="73"/>
        <v>2048</v>
      </c>
      <c r="AB235" s="362">
        <f ca="1">'GHG Emissions'!I50</f>
        <v>28775.972014106253</v>
      </c>
      <c r="AC235" s="362">
        <f t="shared" si="74"/>
        <v>0</v>
      </c>
      <c r="AD235" s="362">
        <f t="shared" ca="1" si="78"/>
        <v>28775.972014106253</v>
      </c>
      <c r="AE235" s="362"/>
      <c r="AF235" s="362" t="str">
        <f t="shared" ca="1" si="85"/>
        <v/>
      </c>
      <c r="AG235" s="362" t="str">
        <f t="shared" ca="1" si="85"/>
        <v/>
      </c>
      <c r="AH235" s="362" t="str">
        <f t="shared" ca="1" si="85"/>
        <v/>
      </c>
      <c r="AI235" s="362" t="str">
        <f t="shared" ca="1" si="85"/>
        <v/>
      </c>
      <c r="AJ235" s="362" t="str">
        <f t="shared" ca="1" si="85"/>
        <v/>
      </c>
      <c r="AK235" s="362" t="str">
        <f t="shared" ca="1" si="85"/>
        <v/>
      </c>
      <c r="AL235" s="362" t="str">
        <f t="shared" ca="1" si="85"/>
        <v/>
      </c>
      <c r="AM235" s="362" t="str">
        <f t="shared" ca="1" si="85"/>
        <v/>
      </c>
      <c r="AN235" s="362" t="str">
        <f t="shared" ca="1" si="85"/>
        <v/>
      </c>
      <c r="AO235" s="362" t="str">
        <f t="shared" ca="1" si="85"/>
        <v/>
      </c>
      <c r="AP235" s="362" t="str">
        <f t="shared" ca="1" si="86"/>
        <v/>
      </c>
      <c r="AQ235" s="362" t="str">
        <f t="shared" ca="1" si="86"/>
        <v/>
      </c>
      <c r="AR235" s="362" t="str">
        <f t="shared" ca="1" si="86"/>
        <v/>
      </c>
      <c r="AS235" s="362" t="str">
        <f t="shared" ca="1" si="86"/>
        <v/>
      </c>
      <c r="AT235" s="362" t="str">
        <f t="shared" ca="1" si="86"/>
        <v/>
      </c>
      <c r="AU235" s="362" t="str">
        <f t="shared" ca="1" si="86"/>
        <v/>
      </c>
      <c r="AV235" s="362">
        <f t="shared" ca="1" si="86"/>
        <v>0</v>
      </c>
      <c r="AW235" s="362">
        <f t="shared" ca="1" si="86"/>
        <v>0</v>
      </c>
      <c r="AX235" s="362">
        <f t="shared" ca="1" si="86"/>
        <v>0</v>
      </c>
      <c r="AY235" s="362">
        <f t="shared" ca="1" si="86"/>
        <v>0</v>
      </c>
      <c r="AZ235" s="362">
        <f t="shared" ca="1" si="87"/>
        <v>0</v>
      </c>
      <c r="BA235" s="362">
        <f t="shared" ca="1" si="87"/>
        <v>0</v>
      </c>
      <c r="BB235" s="362">
        <f t="shared" ca="1" si="87"/>
        <v>0</v>
      </c>
      <c r="BC235" s="362">
        <f t="shared" ca="1" si="87"/>
        <v>0</v>
      </c>
      <c r="BD235" s="362">
        <f t="shared" ca="1" si="87"/>
        <v>0</v>
      </c>
      <c r="BE235" s="362">
        <f t="shared" ca="1" si="87"/>
        <v>0</v>
      </c>
      <c r="BF235" s="362">
        <f t="shared" ca="1" si="87"/>
        <v>0</v>
      </c>
      <c r="BG235" s="362">
        <f t="shared" ca="1" si="87"/>
        <v>0</v>
      </c>
      <c r="BH235" s="362">
        <f t="shared" ca="1" si="87"/>
        <v>0</v>
      </c>
      <c r="BI235" s="362">
        <f t="shared" ca="1" si="87"/>
        <v>0</v>
      </c>
      <c r="BJ235" s="362">
        <f t="shared" ca="1" si="87"/>
        <v>0</v>
      </c>
      <c r="BK235" s="362">
        <f t="shared" ca="1" si="87"/>
        <v>0</v>
      </c>
      <c r="BL235" s="362">
        <f t="shared" ca="1" si="87"/>
        <v>0</v>
      </c>
      <c r="BM235" s="362"/>
    </row>
    <row r="236" spans="25:65">
      <c r="Y236" s="10">
        <v>0</v>
      </c>
      <c r="AA236" s="360">
        <f t="shared" si="73"/>
        <v>2049</v>
      </c>
      <c r="AB236" s="362">
        <f ca="1">'GHG Emissions'!I51</f>
        <v>29006.089152474538</v>
      </c>
      <c r="AC236" s="362">
        <f t="shared" si="74"/>
        <v>0</v>
      </c>
      <c r="AD236" s="362">
        <f t="shared" ca="1" si="78"/>
        <v>29006.089152474538</v>
      </c>
      <c r="AE236" s="362"/>
      <c r="AF236" s="362" t="str">
        <f t="shared" ca="1" si="85"/>
        <v/>
      </c>
      <c r="AG236" s="362" t="str">
        <f t="shared" ca="1" si="85"/>
        <v/>
      </c>
      <c r="AH236" s="362" t="str">
        <f t="shared" ca="1" si="85"/>
        <v/>
      </c>
      <c r="AI236" s="362" t="str">
        <f t="shared" ca="1" si="85"/>
        <v/>
      </c>
      <c r="AJ236" s="362" t="str">
        <f t="shared" ca="1" si="85"/>
        <v/>
      </c>
      <c r="AK236" s="362" t="str">
        <f t="shared" ca="1" si="85"/>
        <v/>
      </c>
      <c r="AL236" s="362" t="str">
        <f t="shared" ca="1" si="85"/>
        <v/>
      </c>
      <c r="AM236" s="362" t="str">
        <f t="shared" ca="1" si="85"/>
        <v/>
      </c>
      <c r="AN236" s="362" t="str">
        <f t="shared" ca="1" si="85"/>
        <v/>
      </c>
      <c r="AO236" s="362" t="str">
        <f t="shared" ca="1" si="85"/>
        <v/>
      </c>
      <c r="AP236" s="362" t="str">
        <f t="shared" ca="1" si="86"/>
        <v/>
      </c>
      <c r="AQ236" s="362" t="str">
        <f t="shared" ca="1" si="86"/>
        <v/>
      </c>
      <c r="AR236" s="362" t="str">
        <f t="shared" ca="1" si="86"/>
        <v/>
      </c>
      <c r="AS236" s="362" t="str">
        <f t="shared" ca="1" si="86"/>
        <v/>
      </c>
      <c r="AT236" s="362" t="str">
        <f t="shared" ca="1" si="86"/>
        <v/>
      </c>
      <c r="AU236" s="362" t="str">
        <f t="shared" ca="1" si="86"/>
        <v/>
      </c>
      <c r="AV236" s="362">
        <f t="shared" ca="1" si="86"/>
        <v>0</v>
      </c>
      <c r="AW236" s="362">
        <f t="shared" ca="1" si="86"/>
        <v>0</v>
      </c>
      <c r="AX236" s="362">
        <f t="shared" ca="1" si="86"/>
        <v>0</v>
      </c>
      <c r="AY236" s="362">
        <f t="shared" ca="1" si="86"/>
        <v>0</v>
      </c>
      <c r="AZ236" s="362">
        <f t="shared" ca="1" si="87"/>
        <v>0</v>
      </c>
      <c r="BA236" s="362">
        <f t="shared" ca="1" si="87"/>
        <v>0</v>
      </c>
      <c r="BB236" s="362">
        <f t="shared" ca="1" si="87"/>
        <v>0</v>
      </c>
      <c r="BC236" s="362">
        <f t="shared" ca="1" si="87"/>
        <v>0</v>
      </c>
      <c r="BD236" s="362">
        <f t="shared" ca="1" si="87"/>
        <v>0</v>
      </c>
      <c r="BE236" s="362">
        <f t="shared" ca="1" si="87"/>
        <v>0</v>
      </c>
      <c r="BF236" s="362">
        <f t="shared" ca="1" si="87"/>
        <v>0</v>
      </c>
      <c r="BG236" s="362">
        <f t="shared" ca="1" si="87"/>
        <v>0</v>
      </c>
      <c r="BH236" s="362">
        <f t="shared" ca="1" si="87"/>
        <v>0</v>
      </c>
      <c r="BI236" s="362">
        <f t="shared" ca="1" si="87"/>
        <v>0</v>
      </c>
      <c r="BJ236" s="362">
        <f t="shared" ca="1" si="87"/>
        <v>0</v>
      </c>
      <c r="BK236" s="362">
        <f t="shared" ca="1" si="87"/>
        <v>0</v>
      </c>
      <c r="BL236" s="362">
        <f t="shared" ca="1" si="87"/>
        <v>0</v>
      </c>
      <c r="BM236" s="362"/>
    </row>
    <row r="237" spans="25:65">
      <c r="Y237" s="10">
        <v>0</v>
      </c>
      <c r="AA237" s="360">
        <f t="shared" si="73"/>
        <v>2050</v>
      </c>
      <c r="AB237" s="362">
        <f ca="1">'GHG Emissions'!I52</f>
        <v>29236.201932578002</v>
      </c>
      <c r="AC237" s="362">
        <f t="shared" si="74"/>
        <v>0</v>
      </c>
      <c r="AD237" s="362">
        <f t="shared" ca="1" si="78"/>
        <v>29236.201932578002</v>
      </c>
      <c r="AE237" s="362"/>
      <c r="AF237" s="362" t="str">
        <f t="shared" ca="1" si="85"/>
        <v/>
      </c>
      <c r="AG237" s="362" t="str">
        <f t="shared" ca="1" si="85"/>
        <v/>
      </c>
      <c r="AH237" s="362" t="str">
        <f t="shared" ca="1" si="85"/>
        <v/>
      </c>
      <c r="AI237" s="362" t="str">
        <f t="shared" ca="1" si="85"/>
        <v/>
      </c>
      <c r="AJ237" s="362" t="str">
        <f t="shared" ca="1" si="85"/>
        <v/>
      </c>
      <c r="AK237" s="362" t="str">
        <f t="shared" ca="1" si="85"/>
        <v/>
      </c>
      <c r="AL237" s="362" t="str">
        <f t="shared" ca="1" si="85"/>
        <v/>
      </c>
      <c r="AM237" s="362" t="str">
        <f t="shared" ca="1" si="85"/>
        <v/>
      </c>
      <c r="AN237" s="362" t="str">
        <f t="shared" ca="1" si="85"/>
        <v/>
      </c>
      <c r="AO237" s="362" t="str">
        <f t="shared" ca="1" si="85"/>
        <v/>
      </c>
      <c r="AP237" s="362" t="str">
        <f t="shared" ca="1" si="86"/>
        <v/>
      </c>
      <c r="AQ237" s="362" t="str">
        <f t="shared" ca="1" si="86"/>
        <v/>
      </c>
      <c r="AR237" s="362" t="str">
        <f t="shared" ca="1" si="86"/>
        <v/>
      </c>
      <c r="AS237" s="362" t="str">
        <f t="shared" ca="1" si="86"/>
        <v/>
      </c>
      <c r="AT237" s="362" t="str">
        <f t="shared" ca="1" si="86"/>
        <v/>
      </c>
      <c r="AU237" s="362" t="str">
        <f t="shared" ca="1" si="86"/>
        <v/>
      </c>
      <c r="AV237" s="362">
        <f t="shared" ca="1" si="86"/>
        <v>0</v>
      </c>
      <c r="AW237" s="362">
        <f t="shared" ca="1" si="86"/>
        <v>0</v>
      </c>
      <c r="AX237" s="362">
        <f t="shared" ca="1" si="86"/>
        <v>0</v>
      </c>
      <c r="AY237" s="362">
        <f t="shared" ca="1" si="86"/>
        <v>0</v>
      </c>
      <c r="AZ237" s="362">
        <f t="shared" ca="1" si="87"/>
        <v>0</v>
      </c>
      <c r="BA237" s="362">
        <f t="shared" ca="1" si="87"/>
        <v>0</v>
      </c>
      <c r="BB237" s="362">
        <f t="shared" ca="1" si="87"/>
        <v>0</v>
      </c>
      <c r="BC237" s="362">
        <f t="shared" ca="1" si="87"/>
        <v>0</v>
      </c>
      <c r="BD237" s="362">
        <f t="shared" ca="1" si="87"/>
        <v>0</v>
      </c>
      <c r="BE237" s="362">
        <f t="shared" ca="1" si="87"/>
        <v>0</v>
      </c>
      <c r="BF237" s="362">
        <f t="shared" ca="1" si="87"/>
        <v>0</v>
      </c>
      <c r="BG237" s="362">
        <f t="shared" ca="1" si="87"/>
        <v>0</v>
      </c>
      <c r="BH237" s="362">
        <f t="shared" ca="1" si="87"/>
        <v>0</v>
      </c>
      <c r="BI237" s="362">
        <f t="shared" ca="1" si="87"/>
        <v>0</v>
      </c>
      <c r="BJ237" s="362">
        <f t="shared" ca="1" si="87"/>
        <v>0</v>
      </c>
      <c r="BK237" s="362">
        <f t="shared" ca="1" si="87"/>
        <v>0</v>
      </c>
      <c r="BL237" s="362">
        <f t="shared" ca="1" si="87"/>
        <v>0</v>
      </c>
      <c r="BM237" s="362"/>
    </row>
    <row r="238" spans="25:65" ht="60">
      <c r="AA238" s="323" t="s">
        <v>375</v>
      </c>
      <c r="AB238" s="323" t="s">
        <v>374</v>
      </c>
      <c r="AC238" s="323"/>
      <c r="AD238" s="323" t="s">
        <v>312</v>
      </c>
      <c r="AE238" s="323"/>
      <c r="AF238" s="345">
        <f t="shared" ref="AF238:BL238" si="88">AF$3</f>
        <v>0</v>
      </c>
      <c r="AG238" s="345">
        <f t="shared" si="88"/>
        <v>0</v>
      </c>
      <c r="AH238" s="345">
        <f t="shared" si="88"/>
        <v>0</v>
      </c>
      <c r="AI238" s="345">
        <f t="shared" si="88"/>
        <v>0</v>
      </c>
      <c r="AJ238" s="345">
        <f t="shared" si="88"/>
        <v>0</v>
      </c>
      <c r="AK238" s="345">
        <f t="shared" si="88"/>
        <v>0</v>
      </c>
      <c r="AL238" s="345">
        <f t="shared" si="88"/>
        <v>0</v>
      </c>
      <c r="AM238" s="345">
        <f t="shared" si="88"/>
        <v>0</v>
      </c>
      <c r="AN238" s="345">
        <f t="shared" si="88"/>
        <v>0</v>
      </c>
      <c r="AO238" s="345">
        <f t="shared" si="88"/>
        <v>0</v>
      </c>
      <c r="AP238" s="345">
        <f t="shared" si="88"/>
        <v>0</v>
      </c>
      <c r="AQ238" s="345">
        <f t="shared" si="88"/>
        <v>0</v>
      </c>
      <c r="AR238" s="345">
        <f t="shared" si="88"/>
        <v>0</v>
      </c>
      <c r="AS238" s="345">
        <f t="shared" si="88"/>
        <v>0</v>
      </c>
      <c r="AT238" s="345">
        <f t="shared" si="88"/>
        <v>0</v>
      </c>
      <c r="AU238" s="345">
        <f t="shared" si="88"/>
        <v>0</v>
      </c>
      <c r="AV238" s="345" t="str">
        <f t="shared" si="88"/>
        <v>Rooftop Solar PV</v>
      </c>
      <c r="AW238" s="345" t="str">
        <f t="shared" si="88"/>
        <v>Geo Exchange</v>
      </c>
      <c r="AX238" s="345" t="str">
        <f t="shared" si="88"/>
        <v>Solar DHW</v>
      </c>
      <c r="AY238" s="345" t="str">
        <f t="shared" si="88"/>
        <v>On-site Wind</v>
      </c>
      <c r="AZ238" s="345" t="str">
        <f t="shared" si="88"/>
        <v>Coal to Natural Gas Conversion @ Steam Plant</v>
      </c>
      <c r="BA238" s="345" t="str">
        <f t="shared" si="88"/>
        <v>Steam Line Improvements</v>
      </c>
      <c r="BB238" s="345" t="str">
        <f t="shared" si="88"/>
        <v>Waste Reduction</v>
      </c>
      <c r="BC238" s="345" t="str">
        <f t="shared" si="88"/>
        <v>Reduced Automobile Reliance Strategies</v>
      </c>
      <c r="BD238" s="345" t="str">
        <f t="shared" si="88"/>
        <v>Reduced Air Travel</v>
      </c>
      <c r="BE238" s="345" t="str">
        <f t="shared" si="88"/>
        <v>Green IT</v>
      </c>
      <c r="BF238" s="345" t="str">
        <f t="shared" si="88"/>
        <v>Long-term Energy Conservation Measures</v>
      </c>
      <c r="BG238" s="345" t="str">
        <f t="shared" si="88"/>
        <v>Mid-term Energy Conservation Measures</v>
      </c>
      <c r="BH238" s="345" t="str">
        <f t="shared" si="88"/>
        <v>Short-term Energy Conservation Measures</v>
      </c>
      <c r="BI238" s="345" t="str">
        <f t="shared" si="88"/>
        <v>Central Chiller Expansion</v>
      </c>
      <c r="BJ238" s="345" t="str">
        <f t="shared" si="88"/>
        <v>Space Planning &amp; Management</v>
      </c>
      <c r="BK238" s="345" t="str">
        <f t="shared" si="88"/>
        <v>Building Design &amp; Construction Standards</v>
      </c>
      <c r="BL238" s="345" t="str">
        <f t="shared" si="88"/>
        <v>Behavior Change</v>
      </c>
      <c r="BM238" s="345" t="str">
        <f>BM$3</f>
        <v/>
      </c>
    </row>
    <row r="239" spans="25:65">
      <c r="AA239" s="318">
        <v>2005</v>
      </c>
      <c r="AB239" s="318"/>
      <c r="AC239" s="318"/>
      <c r="AD239" s="318"/>
      <c r="AE239" s="318"/>
      <c r="AF239" s="318"/>
      <c r="AG239" s="318"/>
      <c r="AH239" s="318"/>
      <c r="AI239" s="318"/>
      <c r="AJ239" s="318"/>
      <c r="AK239" s="318"/>
      <c r="AL239" s="318"/>
      <c r="AM239" s="318"/>
      <c r="AN239" s="318"/>
      <c r="AO239" s="318"/>
      <c r="AP239" s="318"/>
      <c r="AQ239" s="318"/>
      <c r="AR239" s="318"/>
      <c r="AS239" s="318"/>
      <c r="AT239" s="318"/>
      <c r="AU239" s="318"/>
      <c r="AV239" s="318"/>
      <c r="AW239" s="318"/>
      <c r="AX239" s="318"/>
      <c r="AY239" s="318"/>
      <c r="AZ239" s="318"/>
      <c r="BA239" s="318"/>
      <c r="BB239" s="318"/>
      <c r="BC239" s="318"/>
      <c r="BD239" s="318"/>
      <c r="BE239" s="318"/>
      <c r="BF239" s="318"/>
      <c r="BG239" s="318"/>
      <c r="BH239" s="318"/>
      <c r="BI239" s="318"/>
      <c r="BJ239" s="318"/>
      <c r="BK239" s="318"/>
      <c r="BL239" s="318"/>
      <c r="BM239" s="318"/>
    </row>
    <row r="240" spans="25:65">
      <c r="AA240" s="318">
        <f>AA239+1</f>
        <v>2006</v>
      </c>
      <c r="AB240" s="318"/>
      <c r="AC240" s="318"/>
      <c r="AD240" s="1745" t="s">
        <v>318</v>
      </c>
      <c r="AE240" s="318"/>
      <c r="AF240" s="318"/>
      <c r="AG240" s="318"/>
      <c r="AH240" s="318"/>
      <c r="AI240" s="318"/>
      <c r="AJ240" s="318"/>
      <c r="AK240" s="318"/>
      <c r="AL240" s="318"/>
      <c r="AM240" s="318"/>
      <c r="AN240" s="318"/>
      <c r="AO240" s="318"/>
      <c r="AP240" s="318"/>
      <c r="AQ240" s="318"/>
      <c r="AR240" s="318"/>
      <c r="AS240" s="318"/>
      <c r="AT240" s="318"/>
      <c r="AU240" s="318"/>
      <c r="AV240" s="318"/>
      <c r="AW240" s="318"/>
      <c r="AX240" s="318"/>
      <c r="AY240" s="318"/>
      <c r="AZ240" s="318"/>
      <c r="BA240" s="318"/>
      <c r="BB240" s="318"/>
      <c r="BC240" s="318"/>
      <c r="BD240" s="318"/>
      <c r="BE240" s="318"/>
      <c r="BF240" s="318"/>
      <c r="BG240" s="318"/>
      <c r="BH240" s="318"/>
      <c r="BI240" s="318"/>
      <c r="BJ240" s="318"/>
      <c r="BK240" s="318"/>
      <c r="BL240" s="318"/>
      <c r="BM240" s="318"/>
    </row>
    <row r="241" spans="1:65">
      <c r="AA241" s="318">
        <f t="shared" ref="AA241:AA284" si="89">AA240+1</f>
        <v>2007</v>
      </c>
      <c r="AB241" s="318"/>
      <c r="AC241" s="318"/>
      <c r="AD241" s="1745"/>
      <c r="AE241" s="318"/>
      <c r="AF241" s="318"/>
      <c r="AG241" s="318"/>
      <c r="AH241" s="318"/>
      <c r="AI241" s="318"/>
      <c r="AJ241" s="318"/>
      <c r="AK241" s="318"/>
      <c r="AL241" s="318"/>
      <c r="AM241" s="318"/>
      <c r="AN241" s="318"/>
      <c r="AO241" s="318"/>
      <c r="AP241" s="318"/>
      <c r="AQ241" s="318"/>
      <c r="AR241" s="318"/>
      <c r="AS241" s="318"/>
      <c r="AT241" s="318"/>
      <c r="AU241" s="318"/>
      <c r="AV241" s="318"/>
      <c r="AW241" s="318"/>
      <c r="AX241" s="318"/>
      <c r="AY241" s="318"/>
      <c r="AZ241" s="318"/>
      <c r="BA241" s="318"/>
      <c r="BB241" s="318"/>
      <c r="BC241" s="318"/>
      <c r="BD241" s="318"/>
      <c r="BE241" s="318"/>
      <c r="BF241" s="318"/>
      <c r="BG241" s="318"/>
      <c r="BH241" s="318"/>
      <c r="BI241" s="318"/>
      <c r="BJ241" s="318"/>
      <c r="BK241" s="318"/>
      <c r="BL241" s="318"/>
      <c r="BM241" s="318"/>
    </row>
    <row r="242" spans="1:65">
      <c r="AA242" s="318">
        <f t="shared" si="89"/>
        <v>2008</v>
      </c>
      <c r="AB242" s="338"/>
      <c r="AC242" s="338"/>
      <c r="AD242" s="1745"/>
      <c r="AE242" s="318"/>
      <c r="AF242" s="318"/>
      <c r="AG242" s="318"/>
      <c r="AH242" s="318"/>
      <c r="AI242" s="318"/>
      <c r="AJ242" s="318"/>
      <c r="AK242" s="318"/>
      <c r="AL242" s="318"/>
      <c r="AM242" s="318"/>
      <c r="AN242" s="318"/>
      <c r="AO242" s="318"/>
      <c r="AP242" s="318"/>
      <c r="AQ242" s="318"/>
      <c r="AR242" s="318"/>
      <c r="AS242" s="318"/>
      <c r="AT242" s="318"/>
      <c r="AU242" s="318"/>
      <c r="AV242" s="318"/>
      <c r="AW242" s="318"/>
      <c r="AX242" s="318"/>
      <c r="AY242" s="318"/>
      <c r="AZ242" s="318"/>
      <c r="BA242" s="318"/>
      <c r="BB242" s="318"/>
      <c r="BC242" s="318"/>
      <c r="BD242" s="318"/>
      <c r="BE242" s="318"/>
      <c r="BF242" s="318"/>
      <c r="BG242" s="318"/>
      <c r="BH242" s="318"/>
      <c r="BI242" s="318"/>
      <c r="BJ242" s="318"/>
      <c r="BK242" s="318"/>
      <c r="BL242" s="318"/>
      <c r="BM242" s="318"/>
    </row>
    <row r="243" spans="1:65">
      <c r="AA243" s="318">
        <f t="shared" si="89"/>
        <v>2009</v>
      </c>
      <c r="AB243" s="338"/>
      <c r="AC243" s="338"/>
      <c r="AD243" s="338"/>
      <c r="AE243" s="318"/>
      <c r="AF243" s="318"/>
      <c r="AG243" s="318"/>
      <c r="AH243" s="318"/>
      <c r="AI243" s="318"/>
      <c r="AJ243" s="318"/>
      <c r="AK243" s="318"/>
      <c r="AL243" s="318"/>
      <c r="AM243" s="318"/>
      <c r="AN243" s="318"/>
      <c r="AO243" s="318"/>
      <c r="AP243" s="318"/>
      <c r="AQ243" s="318"/>
      <c r="AR243" s="318"/>
      <c r="AS243" s="318"/>
      <c r="AT243" s="318"/>
      <c r="AU243" s="318"/>
      <c r="AV243" s="318"/>
      <c r="AW243" s="318"/>
      <c r="AX243" s="318"/>
      <c r="AY243" s="318"/>
      <c r="AZ243" s="318"/>
      <c r="BA243" s="318"/>
      <c r="BB243" s="318"/>
      <c r="BC243" s="318"/>
      <c r="BD243" s="318"/>
      <c r="BE243" s="318"/>
      <c r="BF243" s="318"/>
      <c r="BG243" s="318"/>
      <c r="BH243" s="318"/>
      <c r="BI243" s="318"/>
      <c r="BJ243" s="318"/>
      <c r="BK243" s="318"/>
      <c r="BL243" s="318"/>
      <c r="BM243" s="318"/>
    </row>
    <row r="244" spans="1:65">
      <c r="AA244" s="360">
        <f>AA243+1</f>
        <v>2010</v>
      </c>
      <c r="AB244" s="362">
        <f ca="1">'GHG Emissions'!M12</f>
        <v>185377.09432992962</v>
      </c>
      <c r="AC244" s="362"/>
      <c r="AD244" s="362">
        <f t="shared" ref="AD244:AD284" ca="1" si="90">AB244-SUM(AE244:BM244)</f>
        <v>183365.5656504092</v>
      </c>
      <c r="AE244" s="362"/>
      <c r="AF244" s="362" t="str">
        <f t="shared" ref="AF244:AO253" ca="1" si="91">IFERROR(-HLOOKUP(AF$50,Scope2Table,$AA244-$AA$244+2,FALSE),"")</f>
        <v/>
      </c>
      <c r="AG244" s="362" t="str">
        <f t="shared" ca="1" si="91"/>
        <v/>
      </c>
      <c r="AH244" s="362" t="str">
        <f t="shared" ca="1" si="91"/>
        <v/>
      </c>
      <c r="AI244" s="362" t="str">
        <f t="shared" ca="1" si="91"/>
        <v/>
      </c>
      <c r="AJ244" s="362" t="str">
        <f t="shared" ca="1" si="91"/>
        <v/>
      </c>
      <c r="AK244" s="362" t="str">
        <f t="shared" ca="1" si="91"/>
        <v/>
      </c>
      <c r="AL244" s="362" t="str">
        <f t="shared" ca="1" si="91"/>
        <v/>
      </c>
      <c r="AM244" s="362" t="str">
        <f t="shared" ca="1" si="91"/>
        <v/>
      </c>
      <c r="AN244" s="362" t="str">
        <f t="shared" ca="1" si="91"/>
        <v/>
      </c>
      <c r="AO244" s="362" t="str">
        <f t="shared" ca="1" si="91"/>
        <v/>
      </c>
      <c r="AP244" s="362" t="str">
        <f t="shared" ref="AP244:AY253" ca="1" si="92">IFERROR(-HLOOKUP(AP$50,Scope2Table,$AA244-$AA$244+2,FALSE),"")</f>
        <v/>
      </c>
      <c r="AQ244" s="362" t="str">
        <f t="shared" ca="1" si="92"/>
        <v/>
      </c>
      <c r="AR244" s="362" t="str">
        <f t="shared" ca="1" si="92"/>
        <v/>
      </c>
      <c r="AS244" s="362" t="str">
        <f t="shared" ca="1" si="92"/>
        <v/>
      </c>
      <c r="AT244" s="362" t="str">
        <f t="shared" ca="1" si="92"/>
        <v/>
      </c>
      <c r="AU244" s="362" t="str">
        <f t="shared" ca="1" si="92"/>
        <v/>
      </c>
      <c r="AV244" s="362">
        <f t="shared" ca="1" si="92"/>
        <v>0</v>
      </c>
      <c r="AW244" s="362">
        <f t="shared" ca="1" si="92"/>
        <v>0</v>
      </c>
      <c r="AX244" s="362">
        <f t="shared" ca="1" si="92"/>
        <v>0</v>
      </c>
      <c r="AY244" s="362">
        <f t="shared" ca="1" si="92"/>
        <v>0</v>
      </c>
      <c r="AZ244" s="362">
        <f t="shared" ref="AZ244:BL253" ca="1" si="93">IFERROR(-HLOOKUP(AZ$50,Scope2Table,$AA244-$AA$244+2,FALSE),"")</f>
        <v>0</v>
      </c>
      <c r="BA244" s="362">
        <f t="shared" ca="1" si="93"/>
        <v>0</v>
      </c>
      <c r="BB244" s="362">
        <f t="shared" ca="1" si="93"/>
        <v>0</v>
      </c>
      <c r="BC244" s="362">
        <f t="shared" ca="1" si="93"/>
        <v>0</v>
      </c>
      <c r="BD244" s="362">
        <f t="shared" ca="1" si="93"/>
        <v>0</v>
      </c>
      <c r="BE244" s="362">
        <f t="shared" ca="1" si="93"/>
        <v>0</v>
      </c>
      <c r="BF244" s="362">
        <f t="shared" ca="1" si="93"/>
        <v>0</v>
      </c>
      <c r="BG244" s="362">
        <f t="shared" ca="1" si="93"/>
        <v>0</v>
      </c>
      <c r="BH244" s="362">
        <f t="shared" ca="1" si="93"/>
        <v>0</v>
      </c>
      <c r="BI244" s="362">
        <f t="shared" ca="1" si="93"/>
        <v>0</v>
      </c>
      <c r="BJ244" s="362">
        <f t="shared" ca="1" si="93"/>
        <v>2011.5286795204174</v>
      </c>
      <c r="BK244" s="362">
        <f t="shared" ca="1" si="93"/>
        <v>0</v>
      </c>
      <c r="BL244" s="362">
        <f t="shared" ca="1" si="93"/>
        <v>0</v>
      </c>
      <c r="BM244" s="362">
        <f ca="1">BM9</f>
        <v>0</v>
      </c>
    </row>
    <row r="245" spans="1:65">
      <c r="AA245" s="360">
        <f t="shared" si="89"/>
        <v>2011</v>
      </c>
      <c r="AB245" s="362">
        <f ca="1">'GHG Emissions'!M13</f>
        <v>187751.06641222836</v>
      </c>
      <c r="AC245" s="362"/>
      <c r="AD245" s="362">
        <f t="shared" ca="1" si="90"/>
        <v>180071.82239167052</v>
      </c>
      <c r="AE245" s="362"/>
      <c r="AF245" s="362" t="str">
        <f t="shared" ca="1" si="91"/>
        <v/>
      </c>
      <c r="AG245" s="362" t="str">
        <f t="shared" ca="1" si="91"/>
        <v/>
      </c>
      <c r="AH245" s="362" t="str">
        <f t="shared" ca="1" si="91"/>
        <v/>
      </c>
      <c r="AI245" s="362" t="str">
        <f t="shared" ca="1" si="91"/>
        <v/>
      </c>
      <c r="AJ245" s="362" t="str">
        <f t="shared" ca="1" si="91"/>
        <v/>
      </c>
      <c r="AK245" s="362" t="str">
        <f t="shared" ca="1" si="91"/>
        <v/>
      </c>
      <c r="AL245" s="362" t="str">
        <f t="shared" ca="1" si="91"/>
        <v/>
      </c>
      <c r="AM245" s="362" t="str">
        <f t="shared" ca="1" si="91"/>
        <v/>
      </c>
      <c r="AN245" s="362" t="str">
        <f t="shared" ca="1" si="91"/>
        <v/>
      </c>
      <c r="AO245" s="362" t="str">
        <f t="shared" ca="1" si="91"/>
        <v/>
      </c>
      <c r="AP245" s="362" t="str">
        <f t="shared" ca="1" si="92"/>
        <v/>
      </c>
      <c r="AQ245" s="362" t="str">
        <f t="shared" ca="1" si="92"/>
        <v/>
      </c>
      <c r="AR245" s="362" t="str">
        <f t="shared" ca="1" si="92"/>
        <v/>
      </c>
      <c r="AS245" s="362" t="str">
        <f t="shared" ca="1" si="92"/>
        <v/>
      </c>
      <c r="AT245" s="362" t="str">
        <f t="shared" ca="1" si="92"/>
        <v/>
      </c>
      <c r="AU245" s="362" t="str">
        <f t="shared" ca="1" si="92"/>
        <v/>
      </c>
      <c r="AV245" s="362">
        <f t="shared" ca="1" si="92"/>
        <v>0</v>
      </c>
      <c r="AW245" s="362">
        <f t="shared" ca="1" si="92"/>
        <v>0</v>
      </c>
      <c r="AX245" s="362">
        <f t="shared" ca="1" si="92"/>
        <v>0</v>
      </c>
      <c r="AY245" s="362">
        <f t="shared" ca="1" si="92"/>
        <v>124.43697824242066</v>
      </c>
      <c r="AZ245" s="362">
        <f t="shared" ca="1" si="93"/>
        <v>0</v>
      </c>
      <c r="BA245" s="362">
        <f t="shared" ca="1" si="93"/>
        <v>0</v>
      </c>
      <c r="BB245" s="362">
        <f t="shared" ca="1" si="93"/>
        <v>0</v>
      </c>
      <c r="BC245" s="362">
        <f t="shared" ca="1" si="93"/>
        <v>0</v>
      </c>
      <c r="BD245" s="362">
        <f t="shared" ca="1" si="93"/>
        <v>0</v>
      </c>
      <c r="BE245" s="362">
        <f t="shared" ca="1" si="93"/>
        <v>0</v>
      </c>
      <c r="BF245" s="362">
        <f t="shared" ca="1" si="93"/>
        <v>0</v>
      </c>
      <c r="BG245" s="362">
        <f t="shared" ca="1" si="93"/>
        <v>0</v>
      </c>
      <c r="BH245" s="362">
        <f t="shared" ca="1" si="93"/>
        <v>2742.0270431200861</v>
      </c>
      <c r="BI245" s="362">
        <f t="shared" ca="1" si="93"/>
        <v>0</v>
      </c>
      <c r="BJ245" s="362">
        <f t="shared" ca="1" si="93"/>
        <v>4023.0573590408094</v>
      </c>
      <c r="BK245" s="362">
        <f t="shared" ca="1" si="93"/>
        <v>789.72264015453493</v>
      </c>
      <c r="BL245" s="362">
        <f t="shared" ca="1" si="93"/>
        <v>0</v>
      </c>
      <c r="BM245" s="362">
        <f t="shared" ref="BM245:BM284" ca="1" si="94">BM10</f>
        <v>0</v>
      </c>
    </row>
    <row r="246" spans="1:65">
      <c r="N246" s="10" t="s">
        <v>2966</v>
      </c>
      <c r="O246" s="10" t="s">
        <v>2963</v>
      </c>
      <c r="P246" s="10" t="s">
        <v>2967</v>
      </c>
      <c r="Q246" s="10" t="s">
        <v>2968</v>
      </c>
      <c r="R246" s="10" t="s">
        <v>2969</v>
      </c>
      <c r="S246" s="10" t="s">
        <v>2970</v>
      </c>
      <c r="U246" s="10" t="s">
        <v>2997</v>
      </c>
      <c r="AA246" s="360">
        <f t="shared" si="89"/>
        <v>2012</v>
      </c>
      <c r="AB246" s="362">
        <f ca="1">'GHG Emissions'!M14</f>
        <v>193176.76173885536</v>
      </c>
      <c r="AC246" s="362"/>
      <c r="AD246" s="362">
        <f t="shared" ca="1" si="90"/>
        <v>170282.56913104199</v>
      </c>
      <c r="AE246" s="362"/>
      <c r="AF246" s="362" t="str">
        <f t="shared" ca="1" si="91"/>
        <v/>
      </c>
      <c r="AG246" s="362" t="str">
        <f t="shared" ca="1" si="91"/>
        <v/>
      </c>
      <c r="AH246" s="362" t="str">
        <f t="shared" ca="1" si="91"/>
        <v/>
      </c>
      <c r="AI246" s="362" t="str">
        <f t="shared" ca="1" si="91"/>
        <v/>
      </c>
      <c r="AJ246" s="362" t="str">
        <f t="shared" ca="1" si="91"/>
        <v/>
      </c>
      <c r="AK246" s="362" t="str">
        <f t="shared" ca="1" si="91"/>
        <v/>
      </c>
      <c r="AL246" s="362" t="str">
        <f t="shared" ca="1" si="91"/>
        <v/>
      </c>
      <c r="AM246" s="362" t="str">
        <f t="shared" ca="1" si="91"/>
        <v/>
      </c>
      <c r="AN246" s="362" t="str">
        <f t="shared" ca="1" si="91"/>
        <v/>
      </c>
      <c r="AO246" s="362" t="str">
        <f t="shared" ca="1" si="91"/>
        <v/>
      </c>
      <c r="AP246" s="362" t="str">
        <f t="shared" ca="1" si="92"/>
        <v/>
      </c>
      <c r="AQ246" s="362" t="str">
        <f t="shared" ca="1" si="92"/>
        <v/>
      </c>
      <c r="AR246" s="362" t="str">
        <f t="shared" ca="1" si="92"/>
        <v/>
      </c>
      <c r="AS246" s="362" t="str">
        <f t="shared" ca="1" si="92"/>
        <v/>
      </c>
      <c r="AT246" s="362" t="str">
        <f t="shared" ca="1" si="92"/>
        <v/>
      </c>
      <c r="AU246" s="362" t="str">
        <f t="shared" ca="1" si="92"/>
        <v/>
      </c>
      <c r="AV246" s="362">
        <f t="shared" ca="1" si="92"/>
        <v>0</v>
      </c>
      <c r="AW246" s="362">
        <f t="shared" ca="1" si="92"/>
        <v>0</v>
      </c>
      <c r="AX246" s="362">
        <f t="shared" ca="1" si="92"/>
        <v>42.106365709288561</v>
      </c>
      <c r="AY246" s="362">
        <f t="shared" ca="1" si="92"/>
        <v>124.43697824242066</v>
      </c>
      <c r="AZ246" s="362">
        <f t="shared" ca="1" si="93"/>
        <v>0</v>
      </c>
      <c r="BA246" s="362">
        <f t="shared" ca="1" si="93"/>
        <v>3075.9772424453963</v>
      </c>
      <c r="BB246" s="362">
        <f t="shared" ca="1" si="93"/>
        <v>0</v>
      </c>
      <c r="BC246" s="362">
        <f t="shared" ca="1" si="93"/>
        <v>0</v>
      </c>
      <c r="BD246" s="362">
        <f t="shared" ca="1" si="93"/>
        <v>0</v>
      </c>
      <c r="BE246" s="362">
        <f t="shared" ca="1" si="93"/>
        <v>1948.4709492677364</v>
      </c>
      <c r="BF246" s="362">
        <f t="shared" ca="1" si="93"/>
        <v>0</v>
      </c>
      <c r="BG246" s="362">
        <f t="shared" ca="1" si="93"/>
        <v>0</v>
      </c>
      <c r="BH246" s="362">
        <f t="shared" ca="1" si="93"/>
        <v>5484.0540862401722</v>
      </c>
      <c r="BI246" s="362">
        <f t="shared" ca="1" si="93"/>
        <v>2167.9819457268204</v>
      </c>
      <c r="BJ246" s="362">
        <f t="shared" ca="1" si="93"/>
        <v>6034.5860385612268</v>
      </c>
      <c r="BK246" s="362">
        <f t="shared" ca="1" si="93"/>
        <v>3573.5485844890363</v>
      </c>
      <c r="BL246" s="362">
        <f t="shared" ca="1" si="93"/>
        <v>443.03041713126811</v>
      </c>
      <c r="BM246" s="362">
        <f t="shared" ca="1" si="94"/>
        <v>0</v>
      </c>
    </row>
    <row r="247" spans="1:65">
      <c r="B247" s="10" t="s">
        <v>2966</v>
      </c>
      <c r="N247" s="782">
        <f ca="1">ROUND(AD237,-3)</f>
        <v>29000</v>
      </c>
      <c r="O247" s="10" t="s">
        <v>261</v>
      </c>
      <c r="P247" s="782">
        <v>29236.201932578002</v>
      </c>
      <c r="Q247" s="782">
        <v>29236.201932578002</v>
      </c>
      <c r="R247" s="782">
        <v>29236.201932578002</v>
      </c>
      <c r="S247" s="782">
        <v>29236.201932578002</v>
      </c>
      <c r="U247" s="782">
        <f ca="1">AD237</f>
        <v>29236.201932578002</v>
      </c>
      <c r="AA247" s="360">
        <f t="shared" si="89"/>
        <v>2013</v>
      </c>
      <c r="AB247" s="362">
        <f ca="1">'GHG Emissions'!M15</f>
        <v>196383.02197869818</v>
      </c>
      <c r="AC247" s="362"/>
      <c r="AD247" s="362">
        <f t="shared" ca="1" si="90"/>
        <v>164507.51744774386</v>
      </c>
      <c r="AE247" s="362"/>
      <c r="AF247" s="362" t="str">
        <f t="shared" ca="1" si="91"/>
        <v/>
      </c>
      <c r="AG247" s="362" t="str">
        <f t="shared" ca="1" si="91"/>
        <v/>
      </c>
      <c r="AH247" s="362" t="str">
        <f t="shared" ca="1" si="91"/>
        <v/>
      </c>
      <c r="AI247" s="362" t="str">
        <f t="shared" ca="1" si="91"/>
        <v/>
      </c>
      <c r="AJ247" s="362" t="str">
        <f t="shared" ca="1" si="91"/>
        <v/>
      </c>
      <c r="AK247" s="362" t="str">
        <f t="shared" ca="1" si="91"/>
        <v/>
      </c>
      <c r="AL247" s="362" t="str">
        <f t="shared" ca="1" si="91"/>
        <v/>
      </c>
      <c r="AM247" s="362" t="str">
        <f t="shared" ca="1" si="91"/>
        <v/>
      </c>
      <c r="AN247" s="362" t="str">
        <f t="shared" ca="1" si="91"/>
        <v/>
      </c>
      <c r="AO247" s="362" t="str">
        <f t="shared" ca="1" si="91"/>
        <v/>
      </c>
      <c r="AP247" s="362" t="str">
        <f t="shared" ca="1" si="92"/>
        <v/>
      </c>
      <c r="AQ247" s="362" t="str">
        <f t="shared" ca="1" si="92"/>
        <v/>
      </c>
      <c r="AR247" s="362" t="str">
        <f t="shared" ca="1" si="92"/>
        <v/>
      </c>
      <c r="AS247" s="362" t="str">
        <f t="shared" ca="1" si="92"/>
        <v/>
      </c>
      <c r="AT247" s="362" t="str">
        <f t="shared" ca="1" si="92"/>
        <v/>
      </c>
      <c r="AU247" s="362" t="str">
        <f t="shared" ca="1" si="92"/>
        <v/>
      </c>
      <c r="AV247" s="362">
        <f t="shared" ca="1" si="92"/>
        <v>0</v>
      </c>
      <c r="AW247" s="362">
        <f t="shared" ca="1" si="92"/>
        <v>680.80856317059579</v>
      </c>
      <c r="AX247" s="362">
        <f t="shared" ca="1" si="92"/>
        <v>42.106365709288561</v>
      </c>
      <c r="AY247" s="362">
        <f t="shared" ca="1" si="92"/>
        <v>124.43697824242066</v>
      </c>
      <c r="AZ247" s="362">
        <f t="shared" ca="1" si="93"/>
        <v>0</v>
      </c>
      <c r="BA247" s="362">
        <f t="shared" ca="1" si="93"/>
        <v>3125.3879734301372</v>
      </c>
      <c r="BB247" s="362">
        <f t="shared" ca="1" si="93"/>
        <v>0</v>
      </c>
      <c r="BC247" s="362">
        <f t="shared" ca="1" si="93"/>
        <v>0</v>
      </c>
      <c r="BD247" s="362">
        <f t="shared" ca="1" si="93"/>
        <v>0</v>
      </c>
      <c r="BE247" s="362">
        <f t="shared" ca="1" si="93"/>
        <v>3896.9418985354728</v>
      </c>
      <c r="BF247" s="362">
        <f t="shared" ca="1" si="93"/>
        <v>0</v>
      </c>
      <c r="BG247" s="362">
        <f t="shared" ca="1" si="93"/>
        <v>0</v>
      </c>
      <c r="BH247" s="362">
        <f t="shared" ca="1" si="93"/>
        <v>8226.0811293602583</v>
      </c>
      <c r="BI247" s="362">
        <f t="shared" ca="1" si="93"/>
        <v>2218.6346143360465</v>
      </c>
      <c r="BJ247" s="362">
        <f t="shared" ca="1" si="93"/>
        <v>8046.1147180816188</v>
      </c>
      <c r="BK247" s="362">
        <f t="shared" ca="1" si="93"/>
        <v>4637.7326311296556</v>
      </c>
      <c r="BL247" s="362">
        <f t="shared" ca="1" si="93"/>
        <v>877.25965895883451</v>
      </c>
      <c r="BM247" s="362">
        <f t="shared" ca="1" si="94"/>
        <v>0</v>
      </c>
    </row>
    <row r="248" spans="1:65">
      <c r="B248" s="782">
        <f ca="1">IF(ROUND(BU49,-3)=0,"",ROUND(BU49,-3))</f>
        <v>29000</v>
      </c>
      <c r="J248" s="10" t="str">
        <f ca="1">"Total Remaining Emissions in 2050: "&amp;TEXT(N251,"0,000")&amp;" MTCO2e"</f>
        <v>Total Remaining Emissions in 2050: 194,000 MTCO2e</v>
      </c>
      <c r="N248" s="782">
        <f ca="1">ROUND(AD284,-3)</f>
        <v>98000</v>
      </c>
      <c r="O248" s="10" t="s">
        <v>262</v>
      </c>
      <c r="P248" s="782">
        <v>97786.955644622009</v>
      </c>
      <c r="Q248" s="782">
        <v>53735.266134925536</v>
      </c>
      <c r="R248" s="782">
        <v>89076.367167652556</v>
      </c>
      <c r="S248" s="782">
        <v>45024.677657956083</v>
      </c>
      <c r="U248" s="782">
        <f ca="1">AD284</f>
        <v>97662.518666379561</v>
      </c>
      <c r="AA248" s="360">
        <f t="shared" si="89"/>
        <v>2014</v>
      </c>
      <c r="AB248" s="362">
        <f ca="1">'GHG Emissions'!M16</f>
        <v>198756.99406099692</v>
      </c>
      <c r="AC248" s="362"/>
      <c r="AD248" s="362">
        <f t="shared" ca="1" si="90"/>
        <v>157518.1638063656</v>
      </c>
      <c r="AE248" s="362"/>
      <c r="AF248" s="362" t="str">
        <f t="shared" ca="1" si="91"/>
        <v/>
      </c>
      <c r="AG248" s="362" t="str">
        <f t="shared" ca="1" si="91"/>
        <v/>
      </c>
      <c r="AH248" s="362" t="str">
        <f t="shared" ca="1" si="91"/>
        <v/>
      </c>
      <c r="AI248" s="362" t="str">
        <f t="shared" ca="1" si="91"/>
        <v/>
      </c>
      <c r="AJ248" s="362" t="str">
        <f t="shared" ca="1" si="91"/>
        <v/>
      </c>
      <c r="AK248" s="362" t="str">
        <f t="shared" ca="1" si="91"/>
        <v/>
      </c>
      <c r="AL248" s="362" t="str">
        <f t="shared" ca="1" si="91"/>
        <v/>
      </c>
      <c r="AM248" s="362" t="str">
        <f t="shared" ca="1" si="91"/>
        <v/>
      </c>
      <c r="AN248" s="362" t="str">
        <f t="shared" ca="1" si="91"/>
        <v/>
      </c>
      <c r="AO248" s="362" t="str">
        <f t="shared" ca="1" si="91"/>
        <v/>
      </c>
      <c r="AP248" s="362" t="str">
        <f t="shared" ca="1" si="92"/>
        <v/>
      </c>
      <c r="AQ248" s="362" t="str">
        <f t="shared" ca="1" si="92"/>
        <v/>
      </c>
      <c r="AR248" s="362" t="str">
        <f t="shared" ca="1" si="92"/>
        <v/>
      </c>
      <c r="AS248" s="362" t="str">
        <f t="shared" ca="1" si="92"/>
        <v/>
      </c>
      <c r="AT248" s="362" t="str">
        <f t="shared" ca="1" si="92"/>
        <v/>
      </c>
      <c r="AU248" s="362" t="str">
        <f t="shared" ca="1" si="92"/>
        <v/>
      </c>
      <c r="AV248" s="362">
        <f t="shared" ca="1" si="92"/>
        <v>0</v>
      </c>
      <c r="AW248" s="362">
        <f t="shared" ca="1" si="92"/>
        <v>680.80856317059579</v>
      </c>
      <c r="AX248" s="362">
        <f t="shared" ca="1" si="92"/>
        <v>42.106365709288561</v>
      </c>
      <c r="AY248" s="362">
        <f t="shared" ca="1" si="92"/>
        <v>124.43697824242066</v>
      </c>
      <c r="AZ248" s="362">
        <f t="shared" ca="1" si="93"/>
        <v>0</v>
      </c>
      <c r="BA248" s="362">
        <f t="shared" ca="1" si="93"/>
        <v>3161.5430998748739</v>
      </c>
      <c r="BB248" s="362">
        <f t="shared" ca="1" si="93"/>
        <v>0</v>
      </c>
      <c r="BC248" s="362">
        <f t="shared" ca="1" si="93"/>
        <v>0</v>
      </c>
      <c r="BD248" s="362">
        <f t="shared" ca="1" si="93"/>
        <v>0</v>
      </c>
      <c r="BE248" s="362">
        <f t="shared" ca="1" si="93"/>
        <v>5845.4128478032089</v>
      </c>
      <c r="BF248" s="362">
        <f t="shared" ca="1" si="93"/>
        <v>0</v>
      </c>
      <c r="BG248" s="362">
        <f t="shared" ca="1" si="93"/>
        <v>0</v>
      </c>
      <c r="BH248" s="362">
        <f t="shared" ca="1" si="93"/>
        <v>10968.108172480344</v>
      </c>
      <c r="BI248" s="362">
        <f t="shared" ca="1" si="93"/>
        <v>4005.0410780820157</v>
      </c>
      <c r="BJ248" s="362">
        <f t="shared" ca="1" si="93"/>
        <v>10057.643397602036</v>
      </c>
      <c r="BK248" s="362">
        <f t="shared" ca="1" si="93"/>
        <v>5052.878033826406</v>
      </c>
      <c r="BL248" s="362">
        <f t="shared" ca="1" si="93"/>
        <v>1300.8517178401214</v>
      </c>
      <c r="BM248" s="362">
        <f t="shared" ca="1" si="94"/>
        <v>0</v>
      </c>
    </row>
    <row r="249" spans="1:65">
      <c r="A249" s="10" t="str">
        <f ca="1">"Total Remaining Emissions in 2050: "&amp;TEXT(B252,"0,000")&amp;" MTCO2e"</f>
        <v>Total Remaining Emissions in 2050: 44,000 MTCO2e</v>
      </c>
      <c r="B249" s="782"/>
      <c r="N249" s="782">
        <f ca="1">ROUND(AD331,-3)</f>
        <v>15000</v>
      </c>
      <c r="O249" s="10" t="s">
        <v>2964</v>
      </c>
      <c r="P249" s="782">
        <v>15363.691511539932</v>
      </c>
      <c r="Q249" s="782">
        <v>15363.691511539932</v>
      </c>
      <c r="R249" s="782">
        <v>15363.691511539932</v>
      </c>
      <c r="S249" s="782">
        <v>15363.691511539932</v>
      </c>
      <c r="U249" s="782">
        <f ca="1">AD331</f>
        <v>15363.691511539932</v>
      </c>
      <c r="AA249" s="360">
        <f t="shared" si="89"/>
        <v>2015</v>
      </c>
      <c r="AB249" s="362">
        <f ca="1">'GHG Emissions'!M17</f>
        <v>203350.40123007985</v>
      </c>
      <c r="AC249" s="362"/>
      <c r="AD249" s="362">
        <f t="shared" ca="1" si="90"/>
        <v>135408.05633511263</v>
      </c>
      <c r="AE249" s="362"/>
      <c r="AF249" s="362" t="str">
        <f t="shared" ca="1" si="91"/>
        <v/>
      </c>
      <c r="AG249" s="362" t="str">
        <f t="shared" ca="1" si="91"/>
        <v/>
      </c>
      <c r="AH249" s="362" t="str">
        <f t="shared" ca="1" si="91"/>
        <v/>
      </c>
      <c r="AI249" s="362" t="str">
        <f t="shared" ca="1" si="91"/>
        <v/>
      </c>
      <c r="AJ249" s="362" t="str">
        <f t="shared" ca="1" si="91"/>
        <v/>
      </c>
      <c r="AK249" s="362" t="str">
        <f t="shared" ca="1" si="91"/>
        <v/>
      </c>
      <c r="AL249" s="362" t="str">
        <f t="shared" ca="1" si="91"/>
        <v/>
      </c>
      <c r="AM249" s="362" t="str">
        <f t="shared" ca="1" si="91"/>
        <v/>
      </c>
      <c r="AN249" s="362" t="str">
        <f t="shared" ca="1" si="91"/>
        <v/>
      </c>
      <c r="AO249" s="362" t="str">
        <f t="shared" ca="1" si="91"/>
        <v/>
      </c>
      <c r="AP249" s="362" t="str">
        <f t="shared" ca="1" si="92"/>
        <v/>
      </c>
      <c r="AQ249" s="362" t="str">
        <f t="shared" ca="1" si="92"/>
        <v/>
      </c>
      <c r="AR249" s="362" t="str">
        <f t="shared" ca="1" si="92"/>
        <v/>
      </c>
      <c r="AS249" s="362" t="str">
        <f t="shared" ca="1" si="92"/>
        <v/>
      </c>
      <c r="AT249" s="362" t="str">
        <f t="shared" ca="1" si="92"/>
        <v/>
      </c>
      <c r="AU249" s="362" t="str">
        <f t="shared" ca="1" si="92"/>
        <v/>
      </c>
      <c r="AV249" s="362">
        <f t="shared" ca="1" si="92"/>
        <v>497.52640520481702</v>
      </c>
      <c r="AW249" s="362">
        <f t="shared" ca="1" si="92"/>
        <v>1361.6171263411916</v>
      </c>
      <c r="AX249" s="362">
        <f t="shared" ca="1" si="92"/>
        <v>42.106365709288561</v>
      </c>
      <c r="AY249" s="362">
        <f t="shared" ca="1" si="92"/>
        <v>124.43697824242066</v>
      </c>
      <c r="AZ249" s="362">
        <f t="shared" ca="1" si="93"/>
        <v>18056.365727671626</v>
      </c>
      <c r="BA249" s="362">
        <f t="shared" ca="1" si="93"/>
        <v>3233.0465050929606</v>
      </c>
      <c r="BB249" s="362">
        <f t="shared" ca="1" si="93"/>
        <v>0</v>
      </c>
      <c r="BC249" s="362">
        <f t="shared" ca="1" si="93"/>
        <v>0</v>
      </c>
      <c r="BD249" s="362">
        <f t="shared" ca="1" si="93"/>
        <v>0</v>
      </c>
      <c r="BE249" s="362">
        <f t="shared" ca="1" si="93"/>
        <v>5845.4128478032089</v>
      </c>
      <c r="BF249" s="362">
        <f t="shared" ca="1" si="93"/>
        <v>0</v>
      </c>
      <c r="BG249" s="362">
        <f t="shared" ca="1" si="93"/>
        <v>0</v>
      </c>
      <c r="BH249" s="362">
        <f t="shared" ca="1" si="93"/>
        <v>13710.13521560043</v>
      </c>
      <c r="BI249" s="362">
        <f t="shared" ca="1" si="93"/>
        <v>4055.6937466912427</v>
      </c>
      <c r="BJ249" s="362">
        <f t="shared" ca="1" si="93"/>
        <v>12069.172077122454</v>
      </c>
      <c r="BK249" s="362">
        <f t="shared" ca="1" si="93"/>
        <v>7226.3575762567925</v>
      </c>
      <c r="BL249" s="362">
        <f t="shared" ca="1" si="93"/>
        <v>1720.4743232307801</v>
      </c>
      <c r="BM249" s="362">
        <f t="shared" ca="1" si="94"/>
        <v>0</v>
      </c>
    </row>
    <row r="250" spans="1:65">
      <c r="B250" s="782">
        <f ca="1">IF(ROUND(BX49,-3)=0,"",ROUND(BX49,-3))</f>
        <v>15000</v>
      </c>
      <c r="N250" s="782">
        <f ca="1">ROUND(AD378,-3)</f>
        <v>52000</v>
      </c>
      <c r="O250" s="10" t="s">
        <v>2965</v>
      </c>
      <c r="P250" s="782">
        <v>52442.654662141533</v>
      </c>
      <c r="Q250" s="782">
        <v>52442.654662141533</v>
      </c>
      <c r="R250" s="782">
        <v>52442.654662141533</v>
      </c>
      <c r="S250" s="782">
        <v>52442.654662141533</v>
      </c>
      <c r="U250" s="782">
        <f ca="1">AD378</f>
        <v>52442.654662141533</v>
      </c>
      <c r="AA250" s="360">
        <f t="shared" si="89"/>
        <v>2016</v>
      </c>
      <c r="AB250" s="362">
        <f ca="1">'GHG Emissions'!M18</f>
        <v>205724.37331237859</v>
      </c>
      <c r="AC250" s="362"/>
      <c r="AD250" s="362">
        <f t="shared" ca="1" si="90"/>
        <v>132389.04575446676</v>
      </c>
      <c r="AE250" s="362"/>
      <c r="AF250" s="362" t="str">
        <f t="shared" ca="1" si="91"/>
        <v/>
      </c>
      <c r="AG250" s="362" t="str">
        <f t="shared" ca="1" si="91"/>
        <v/>
      </c>
      <c r="AH250" s="362" t="str">
        <f t="shared" ca="1" si="91"/>
        <v/>
      </c>
      <c r="AI250" s="362" t="str">
        <f t="shared" ca="1" si="91"/>
        <v/>
      </c>
      <c r="AJ250" s="362" t="str">
        <f t="shared" ca="1" si="91"/>
        <v/>
      </c>
      <c r="AK250" s="362" t="str">
        <f t="shared" ca="1" si="91"/>
        <v/>
      </c>
      <c r="AL250" s="362" t="str">
        <f t="shared" ca="1" si="91"/>
        <v/>
      </c>
      <c r="AM250" s="362" t="str">
        <f t="shared" ca="1" si="91"/>
        <v/>
      </c>
      <c r="AN250" s="362" t="str">
        <f t="shared" ca="1" si="91"/>
        <v/>
      </c>
      <c r="AO250" s="362" t="str">
        <f t="shared" ca="1" si="91"/>
        <v/>
      </c>
      <c r="AP250" s="362" t="str">
        <f t="shared" ca="1" si="92"/>
        <v/>
      </c>
      <c r="AQ250" s="362" t="str">
        <f t="shared" ca="1" si="92"/>
        <v/>
      </c>
      <c r="AR250" s="362" t="str">
        <f t="shared" ca="1" si="92"/>
        <v/>
      </c>
      <c r="AS250" s="362" t="str">
        <f t="shared" ca="1" si="92"/>
        <v/>
      </c>
      <c r="AT250" s="362" t="str">
        <f t="shared" ca="1" si="92"/>
        <v/>
      </c>
      <c r="AU250" s="362" t="str">
        <f t="shared" ca="1" si="92"/>
        <v/>
      </c>
      <c r="AV250" s="362">
        <f t="shared" ca="1" si="92"/>
        <v>497.52640520481702</v>
      </c>
      <c r="AW250" s="362">
        <f t="shared" ca="1" si="92"/>
        <v>1361.6171263411916</v>
      </c>
      <c r="AX250" s="362">
        <f t="shared" ca="1" si="92"/>
        <v>42.106365709288561</v>
      </c>
      <c r="AY250" s="362">
        <f t="shared" ca="1" si="92"/>
        <v>124.43697824242066</v>
      </c>
      <c r="AZ250" s="362">
        <f t="shared" ca="1" si="93"/>
        <v>18258.289883413876</v>
      </c>
      <c r="BA250" s="362">
        <f t="shared" ca="1" si="93"/>
        <v>3269.2016315376959</v>
      </c>
      <c r="BB250" s="362">
        <f t="shared" ca="1" si="93"/>
        <v>0</v>
      </c>
      <c r="BC250" s="362">
        <f t="shared" ca="1" si="93"/>
        <v>0</v>
      </c>
      <c r="BD250" s="362">
        <f t="shared" ca="1" si="93"/>
        <v>0</v>
      </c>
      <c r="BE250" s="362">
        <f t="shared" ca="1" si="93"/>
        <v>5845.4128478032089</v>
      </c>
      <c r="BF250" s="362">
        <f t="shared" ca="1" si="93"/>
        <v>0</v>
      </c>
      <c r="BG250" s="362">
        <f t="shared" ca="1" si="93"/>
        <v>1651.693688225191</v>
      </c>
      <c r="BH250" s="362">
        <f t="shared" ca="1" si="93"/>
        <v>13710.13521560043</v>
      </c>
      <c r="BI250" s="362">
        <f t="shared" ca="1" si="93"/>
        <v>4712.5079147936849</v>
      </c>
      <c r="BJ250" s="362">
        <f t="shared" ca="1" si="93"/>
        <v>14080.700756642846</v>
      </c>
      <c r="BK250" s="362">
        <f t="shared" ca="1" si="93"/>
        <v>7651.4767554743994</v>
      </c>
      <c r="BL250" s="362">
        <f t="shared" ca="1" si="93"/>
        <v>2130.2219889227813</v>
      </c>
      <c r="BM250" s="362">
        <f t="shared" ca="1" si="94"/>
        <v>0</v>
      </c>
    </row>
    <row r="251" spans="1:65">
      <c r="B251" s="782"/>
      <c r="N251" s="782">
        <f ca="1">SUM(N247:N250)</f>
        <v>194000</v>
      </c>
      <c r="O251" s="10" t="s">
        <v>7</v>
      </c>
      <c r="P251" s="782">
        <f t="shared" ref="P251:S251" si="95">SUM(P247:P250)</f>
        <v>194829.50375088147</v>
      </c>
      <c r="Q251" s="782">
        <f t="shared" si="95"/>
        <v>150777.814241185</v>
      </c>
      <c r="R251" s="782">
        <f t="shared" si="95"/>
        <v>186118.91527391202</v>
      </c>
      <c r="S251" s="782">
        <f t="shared" si="95"/>
        <v>142067.22576421555</v>
      </c>
      <c r="U251" s="782">
        <f ca="1">SUM(U247:U250)</f>
        <v>194705.06677263899</v>
      </c>
      <c r="AA251" s="360">
        <f t="shared" si="89"/>
        <v>2017</v>
      </c>
      <c r="AB251" s="362">
        <f ca="1">'GHG Emissions'!M19</f>
        <v>208098.34539467734</v>
      </c>
      <c r="AC251" s="362"/>
      <c r="AD251" s="362">
        <f t="shared" ca="1" si="90"/>
        <v>129983.18111575692</v>
      </c>
      <c r="AE251" s="362"/>
      <c r="AF251" s="362" t="str">
        <f t="shared" ca="1" si="91"/>
        <v/>
      </c>
      <c r="AG251" s="362" t="str">
        <f t="shared" ca="1" si="91"/>
        <v/>
      </c>
      <c r="AH251" s="362" t="str">
        <f t="shared" ca="1" si="91"/>
        <v/>
      </c>
      <c r="AI251" s="362" t="str">
        <f t="shared" ca="1" si="91"/>
        <v/>
      </c>
      <c r="AJ251" s="362" t="str">
        <f t="shared" ca="1" si="91"/>
        <v/>
      </c>
      <c r="AK251" s="362" t="str">
        <f t="shared" ca="1" si="91"/>
        <v/>
      </c>
      <c r="AL251" s="362" t="str">
        <f t="shared" ca="1" si="91"/>
        <v/>
      </c>
      <c r="AM251" s="362" t="str">
        <f t="shared" ca="1" si="91"/>
        <v/>
      </c>
      <c r="AN251" s="362" t="str">
        <f t="shared" ca="1" si="91"/>
        <v/>
      </c>
      <c r="AO251" s="362" t="str">
        <f t="shared" ca="1" si="91"/>
        <v/>
      </c>
      <c r="AP251" s="362" t="str">
        <f t="shared" ca="1" si="92"/>
        <v/>
      </c>
      <c r="AQ251" s="362" t="str">
        <f t="shared" ca="1" si="92"/>
        <v/>
      </c>
      <c r="AR251" s="362" t="str">
        <f t="shared" ca="1" si="92"/>
        <v/>
      </c>
      <c r="AS251" s="362" t="str">
        <f t="shared" ca="1" si="92"/>
        <v/>
      </c>
      <c r="AT251" s="362" t="str">
        <f t="shared" ca="1" si="92"/>
        <v/>
      </c>
      <c r="AU251" s="362" t="str">
        <f t="shared" ca="1" si="92"/>
        <v/>
      </c>
      <c r="AV251" s="362">
        <f t="shared" ca="1" si="92"/>
        <v>497.52640520481702</v>
      </c>
      <c r="AW251" s="362">
        <f t="shared" ca="1" si="92"/>
        <v>1361.6171263411916</v>
      </c>
      <c r="AX251" s="362">
        <f t="shared" ca="1" si="92"/>
        <v>42.106365709288561</v>
      </c>
      <c r="AY251" s="362">
        <f t="shared" ca="1" si="92"/>
        <v>124.43697824242066</v>
      </c>
      <c r="AZ251" s="362">
        <f t="shared" ca="1" si="93"/>
        <v>18460.214039156141</v>
      </c>
      <c r="BA251" s="362">
        <f t="shared" ca="1" si="93"/>
        <v>3305.3567579824307</v>
      </c>
      <c r="BB251" s="362">
        <f t="shared" ca="1" si="93"/>
        <v>0</v>
      </c>
      <c r="BC251" s="362">
        <f t="shared" ca="1" si="93"/>
        <v>0</v>
      </c>
      <c r="BD251" s="362">
        <f t="shared" ca="1" si="93"/>
        <v>0</v>
      </c>
      <c r="BE251" s="362">
        <f t="shared" ca="1" si="93"/>
        <v>5845.4128478032089</v>
      </c>
      <c r="BF251" s="362">
        <f t="shared" ca="1" si="93"/>
        <v>0</v>
      </c>
      <c r="BG251" s="362">
        <f t="shared" ca="1" si="93"/>
        <v>3303.3873764503819</v>
      </c>
      <c r="BH251" s="362">
        <f t="shared" ca="1" si="93"/>
        <v>13710.13521560043</v>
      </c>
      <c r="BI251" s="362">
        <f t="shared" ca="1" si="93"/>
        <v>4763.1605834029124</v>
      </c>
      <c r="BJ251" s="362">
        <f t="shared" ca="1" si="93"/>
        <v>16092.229436163265</v>
      </c>
      <c r="BK251" s="362">
        <f t="shared" ca="1" si="93"/>
        <v>8077.790562160325</v>
      </c>
      <c r="BL251" s="362">
        <f t="shared" ca="1" si="93"/>
        <v>2531.7905847036163</v>
      </c>
      <c r="BM251" s="362">
        <f t="shared" ca="1" si="94"/>
        <v>0</v>
      </c>
    </row>
    <row r="252" spans="1:65">
      <c r="B252" s="782">
        <f ca="1">SUM(B248:B251)</f>
        <v>44000</v>
      </c>
      <c r="AA252" s="360">
        <f t="shared" si="89"/>
        <v>2018</v>
      </c>
      <c r="AB252" s="362">
        <f ca="1">'GHG Emissions'!M20</f>
        <v>210472.31747697605</v>
      </c>
      <c r="AC252" s="362"/>
      <c r="AD252" s="362">
        <f t="shared" ca="1" si="90"/>
        <v>127667.9300554239</v>
      </c>
      <c r="AE252" s="362"/>
      <c r="AF252" s="362" t="str">
        <f t="shared" ca="1" si="91"/>
        <v/>
      </c>
      <c r="AG252" s="362" t="str">
        <f t="shared" ca="1" si="91"/>
        <v/>
      </c>
      <c r="AH252" s="362" t="str">
        <f t="shared" ca="1" si="91"/>
        <v/>
      </c>
      <c r="AI252" s="362" t="str">
        <f t="shared" ca="1" si="91"/>
        <v/>
      </c>
      <c r="AJ252" s="362" t="str">
        <f t="shared" ca="1" si="91"/>
        <v/>
      </c>
      <c r="AK252" s="362" t="str">
        <f t="shared" ca="1" si="91"/>
        <v/>
      </c>
      <c r="AL252" s="362" t="str">
        <f t="shared" ca="1" si="91"/>
        <v/>
      </c>
      <c r="AM252" s="362" t="str">
        <f t="shared" ca="1" si="91"/>
        <v/>
      </c>
      <c r="AN252" s="362" t="str">
        <f t="shared" ca="1" si="91"/>
        <v/>
      </c>
      <c r="AO252" s="362" t="str">
        <f t="shared" ca="1" si="91"/>
        <v/>
      </c>
      <c r="AP252" s="362" t="str">
        <f t="shared" ca="1" si="92"/>
        <v/>
      </c>
      <c r="AQ252" s="362" t="str">
        <f t="shared" ca="1" si="92"/>
        <v/>
      </c>
      <c r="AR252" s="362" t="str">
        <f t="shared" ca="1" si="92"/>
        <v/>
      </c>
      <c r="AS252" s="362" t="str">
        <f t="shared" ca="1" si="92"/>
        <v/>
      </c>
      <c r="AT252" s="362" t="str">
        <f t="shared" ca="1" si="92"/>
        <v/>
      </c>
      <c r="AU252" s="362" t="str">
        <f t="shared" ca="1" si="92"/>
        <v/>
      </c>
      <c r="AV252" s="362">
        <f t="shared" ca="1" si="92"/>
        <v>497.52640520481702</v>
      </c>
      <c r="AW252" s="362">
        <f t="shared" ca="1" si="92"/>
        <v>1361.6171263411916</v>
      </c>
      <c r="AX252" s="362">
        <f t="shared" ca="1" si="92"/>
        <v>42.106365709288561</v>
      </c>
      <c r="AY252" s="362">
        <f t="shared" ca="1" si="92"/>
        <v>124.43697824242066</v>
      </c>
      <c r="AZ252" s="362">
        <f t="shared" ca="1" si="93"/>
        <v>18662.138194898398</v>
      </c>
      <c r="BA252" s="362">
        <f t="shared" ca="1" si="93"/>
        <v>3341.5118844271651</v>
      </c>
      <c r="BB252" s="362">
        <f t="shared" ca="1" si="93"/>
        <v>0</v>
      </c>
      <c r="BC252" s="362">
        <f t="shared" ca="1" si="93"/>
        <v>0</v>
      </c>
      <c r="BD252" s="362">
        <f t="shared" ca="1" si="93"/>
        <v>0</v>
      </c>
      <c r="BE252" s="362">
        <f t="shared" ca="1" si="93"/>
        <v>5845.4128478032089</v>
      </c>
      <c r="BF252" s="362">
        <f t="shared" ca="1" si="93"/>
        <v>0</v>
      </c>
      <c r="BG252" s="362">
        <f t="shared" ca="1" si="93"/>
        <v>4955.0810646755726</v>
      </c>
      <c r="BH252" s="362">
        <f t="shared" ca="1" si="93"/>
        <v>13710.13521560043</v>
      </c>
      <c r="BI252" s="362">
        <f t="shared" ca="1" si="93"/>
        <v>4813.8132520121389</v>
      </c>
      <c r="BJ252" s="362">
        <f t="shared" ca="1" si="93"/>
        <v>18103.758115683657</v>
      </c>
      <c r="BK252" s="362">
        <f t="shared" ca="1" si="93"/>
        <v>8505.2602187414213</v>
      </c>
      <c r="BL252" s="362">
        <f t="shared" ca="1" si="93"/>
        <v>2841.5897522124551</v>
      </c>
      <c r="BM252" s="362">
        <f t="shared" ca="1" si="94"/>
        <v>0</v>
      </c>
    </row>
    <row r="253" spans="1:65">
      <c r="AA253" s="360">
        <f t="shared" si="89"/>
        <v>2019</v>
      </c>
      <c r="AB253" s="362">
        <f ca="1">'GHG Emissions'!M21</f>
        <v>212846.28955927482</v>
      </c>
      <c r="AC253" s="362"/>
      <c r="AD253" s="362">
        <f t="shared" ca="1" si="90"/>
        <v>125358.13148567776</v>
      </c>
      <c r="AE253" s="362"/>
      <c r="AF253" s="362" t="str">
        <f t="shared" ca="1" si="91"/>
        <v/>
      </c>
      <c r="AG253" s="362" t="str">
        <f t="shared" ca="1" si="91"/>
        <v/>
      </c>
      <c r="AH253" s="362" t="str">
        <f t="shared" ca="1" si="91"/>
        <v/>
      </c>
      <c r="AI253" s="362" t="str">
        <f t="shared" ca="1" si="91"/>
        <v/>
      </c>
      <c r="AJ253" s="362" t="str">
        <f t="shared" ca="1" si="91"/>
        <v/>
      </c>
      <c r="AK253" s="362" t="str">
        <f t="shared" ca="1" si="91"/>
        <v/>
      </c>
      <c r="AL253" s="362" t="str">
        <f t="shared" ca="1" si="91"/>
        <v/>
      </c>
      <c r="AM253" s="362" t="str">
        <f t="shared" ca="1" si="91"/>
        <v/>
      </c>
      <c r="AN253" s="362" t="str">
        <f t="shared" ca="1" si="91"/>
        <v/>
      </c>
      <c r="AO253" s="362" t="str">
        <f t="shared" ca="1" si="91"/>
        <v/>
      </c>
      <c r="AP253" s="362" t="str">
        <f t="shared" ca="1" si="92"/>
        <v/>
      </c>
      <c r="AQ253" s="362" t="str">
        <f t="shared" ca="1" si="92"/>
        <v/>
      </c>
      <c r="AR253" s="362" t="str">
        <f t="shared" ca="1" si="92"/>
        <v/>
      </c>
      <c r="AS253" s="362" t="str">
        <f t="shared" ca="1" si="92"/>
        <v/>
      </c>
      <c r="AT253" s="362" t="str">
        <f t="shared" ca="1" si="92"/>
        <v/>
      </c>
      <c r="AU253" s="362" t="str">
        <f t="shared" ca="1" si="92"/>
        <v/>
      </c>
      <c r="AV253" s="362">
        <f t="shared" ca="1" si="92"/>
        <v>497.52640520481702</v>
      </c>
      <c r="AW253" s="362">
        <f t="shared" ca="1" si="92"/>
        <v>1361.6171263411916</v>
      </c>
      <c r="AX253" s="362">
        <f t="shared" ca="1" si="92"/>
        <v>42.106365709288561</v>
      </c>
      <c r="AY253" s="362">
        <f t="shared" ca="1" si="92"/>
        <v>124.43697824242066</v>
      </c>
      <c r="AZ253" s="362">
        <f t="shared" ca="1" si="93"/>
        <v>18864.062350640648</v>
      </c>
      <c r="BA253" s="362">
        <f t="shared" ca="1" si="93"/>
        <v>3377.6670108718999</v>
      </c>
      <c r="BB253" s="362">
        <f t="shared" ca="1" si="93"/>
        <v>0</v>
      </c>
      <c r="BC253" s="362">
        <f t="shared" ca="1" si="93"/>
        <v>0</v>
      </c>
      <c r="BD253" s="362">
        <f t="shared" ca="1" si="93"/>
        <v>0</v>
      </c>
      <c r="BE253" s="362">
        <f t="shared" ca="1" si="93"/>
        <v>5845.4128478032089</v>
      </c>
      <c r="BF253" s="362">
        <f t="shared" ca="1" si="93"/>
        <v>0</v>
      </c>
      <c r="BG253" s="362">
        <f t="shared" ca="1" si="93"/>
        <v>6606.7747529007638</v>
      </c>
      <c r="BH253" s="362">
        <f t="shared" ca="1" si="93"/>
        <v>13710.13521560043</v>
      </c>
      <c r="BI253" s="362">
        <f t="shared" ca="1" si="93"/>
        <v>4864.4659206213655</v>
      </c>
      <c r="BJ253" s="362">
        <f t="shared" ca="1" si="93"/>
        <v>20115.286795204072</v>
      </c>
      <c r="BK253" s="362">
        <f t="shared" ca="1" si="93"/>
        <v>8933.8486079716986</v>
      </c>
      <c r="BL253" s="362">
        <f t="shared" ca="1" si="93"/>
        <v>3144.8176964852678</v>
      </c>
      <c r="BM253" s="362">
        <f t="shared" ca="1" si="94"/>
        <v>0</v>
      </c>
    </row>
    <row r="254" spans="1:65">
      <c r="AA254" s="360">
        <f t="shared" si="89"/>
        <v>2020</v>
      </c>
      <c r="AB254" s="362">
        <f ca="1">'GHG Emissions'!M22</f>
        <v>215220.26164157354</v>
      </c>
      <c r="AC254" s="362"/>
      <c r="AD254" s="362">
        <f t="shared" ca="1" si="90"/>
        <v>123053.83117367212</v>
      </c>
      <c r="AE254" s="362"/>
      <c r="AF254" s="362" t="str">
        <f t="shared" ref="AF254:AO263" ca="1" si="96">IFERROR(-HLOOKUP(AF$50,Scope2Table,$AA254-$AA$244+2,FALSE),"")</f>
        <v/>
      </c>
      <c r="AG254" s="362" t="str">
        <f t="shared" ca="1" si="96"/>
        <v/>
      </c>
      <c r="AH254" s="362" t="str">
        <f t="shared" ca="1" si="96"/>
        <v/>
      </c>
      <c r="AI254" s="362" t="str">
        <f t="shared" ca="1" si="96"/>
        <v/>
      </c>
      <c r="AJ254" s="362" t="str">
        <f t="shared" ca="1" si="96"/>
        <v/>
      </c>
      <c r="AK254" s="362" t="str">
        <f t="shared" ca="1" si="96"/>
        <v/>
      </c>
      <c r="AL254" s="362" t="str">
        <f t="shared" ca="1" si="96"/>
        <v/>
      </c>
      <c r="AM254" s="362" t="str">
        <f t="shared" ca="1" si="96"/>
        <v/>
      </c>
      <c r="AN254" s="362" t="str">
        <f t="shared" ca="1" si="96"/>
        <v/>
      </c>
      <c r="AO254" s="362" t="str">
        <f t="shared" ca="1" si="96"/>
        <v/>
      </c>
      <c r="AP254" s="362" t="str">
        <f t="shared" ref="AP254:AY263" ca="1" si="97">IFERROR(-HLOOKUP(AP$50,Scope2Table,$AA254-$AA$244+2,FALSE),"")</f>
        <v/>
      </c>
      <c r="AQ254" s="362" t="str">
        <f t="shared" ca="1" si="97"/>
        <v/>
      </c>
      <c r="AR254" s="362" t="str">
        <f t="shared" ca="1" si="97"/>
        <v/>
      </c>
      <c r="AS254" s="362" t="str">
        <f t="shared" ca="1" si="97"/>
        <v/>
      </c>
      <c r="AT254" s="362" t="str">
        <f t="shared" ca="1" si="97"/>
        <v/>
      </c>
      <c r="AU254" s="362" t="str">
        <f t="shared" ca="1" si="97"/>
        <v/>
      </c>
      <c r="AV254" s="362">
        <f t="shared" ca="1" si="97"/>
        <v>497.52640520481702</v>
      </c>
      <c r="AW254" s="362">
        <f t="shared" ca="1" si="97"/>
        <v>1361.6171263411916</v>
      </c>
      <c r="AX254" s="362">
        <f t="shared" ca="1" si="97"/>
        <v>42.106365709288561</v>
      </c>
      <c r="AY254" s="362">
        <f t="shared" ca="1" si="97"/>
        <v>124.43697824242066</v>
      </c>
      <c r="AZ254" s="362">
        <f t="shared" ref="AZ254:BL263" ca="1" si="98">IFERROR(-HLOOKUP(AZ$50,Scope2Table,$AA254-$AA$244+2,FALSE),"")</f>
        <v>19065.986506382898</v>
      </c>
      <c r="BA254" s="362">
        <f t="shared" ca="1" si="98"/>
        <v>3413.8221373166357</v>
      </c>
      <c r="BB254" s="362">
        <f t="shared" ca="1" si="98"/>
        <v>0</v>
      </c>
      <c r="BC254" s="362">
        <f t="shared" ca="1" si="98"/>
        <v>0</v>
      </c>
      <c r="BD254" s="362">
        <f t="shared" ca="1" si="98"/>
        <v>0</v>
      </c>
      <c r="BE254" s="362">
        <f t="shared" ca="1" si="98"/>
        <v>5845.4128478032089</v>
      </c>
      <c r="BF254" s="362">
        <f t="shared" ca="1" si="98"/>
        <v>0</v>
      </c>
      <c r="BG254" s="362">
        <f t="shared" ca="1" si="98"/>
        <v>8258.468441125955</v>
      </c>
      <c r="BH254" s="362">
        <f t="shared" ca="1" si="98"/>
        <v>13710.13521560043</v>
      </c>
      <c r="BI254" s="362">
        <f t="shared" ca="1" si="98"/>
        <v>4915.118589230593</v>
      </c>
      <c r="BJ254" s="362">
        <f t="shared" ca="1" si="98"/>
        <v>22126.815474724466</v>
      </c>
      <c r="BK254" s="362">
        <f t="shared" ca="1" si="98"/>
        <v>9363.5201850112971</v>
      </c>
      <c r="BL254" s="362">
        <f t="shared" ca="1" si="98"/>
        <v>3441.464195208222</v>
      </c>
      <c r="BM254" s="362">
        <f t="shared" ca="1" si="94"/>
        <v>0</v>
      </c>
    </row>
    <row r="255" spans="1:65">
      <c r="AA255" s="360">
        <f t="shared" si="89"/>
        <v>2021</v>
      </c>
      <c r="AB255" s="362">
        <f ca="1">'GHG Emissions'!M23</f>
        <v>217594.23372387225</v>
      </c>
      <c r="AC255" s="362"/>
      <c r="AD255" s="362">
        <f t="shared" ca="1" si="90"/>
        <v>120755.07296803534</v>
      </c>
      <c r="AE255" s="362"/>
      <c r="AF255" s="362" t="str">
        <f t="shared" ca="1" si="96"/>
        <v/>
      </c>
      <c r="AG255" s="362" t="str">
        <f t="shared" ca="1" si="96"/>
        <v/>
      </c>
      <c r="AH255" s="362" t="str">
        <f t="shared" ca="1" si="96"/>
        <v/>
      </c>
      <c r="AI255" s="362" t="str">
        <f t="shared" ca="1" si="96"/>
        <v/>
      </c>
      <c r="AJ255" s="362" t="str">
        <f t="shared" ca="1" si="96"/>
        <v/>
      </c>
      <c r="AK255" s="362" t="str">
        <f t="shared" ca="1" si="96"/>
        <v/>
      </c>
      <c r="AL255" s="362" t="str">
        <f t="shared" ca="1" si="96"/>
        <v/>
      </c>
      <c r="AM255" s="362" t="str">
        <f t="shared" ca="1" si="96"/>
        <v/>
      </c>
      <c r="AN255" s="362" t="str">
        <f t="shared" ca="1" si="96"/>
        <v/>
      </c>
      <c r="AO255" s="362" t="str">
        <f t="shared" ca="1" si="96"/>
        <v/>
      </c>
      <c r="AP255" s="362" t="str">
        <f t="shared" ca="1" si="97"/>
        <v/>
      </c>
      <c r="AQ255" s="362" t="str">
        <f t="shared" ca="1" si="97"/>
        <v/>
      </c>
      <c r="AR255" s="362" t="str">
        <f t="shared" ca="1" si="97"/>
        <v/>
      </c>
      <c r="AS255" s="362" t="str">
        <f t="shared" ca="1" si="97"/>
        <v/>
      </c>
      <c r="AT255" s="362" t="str">
        <f t="shared" ca="1" si="97"/>
        <v/>
      </c>
      <c r="AU255" s="362" t="str">
        <f t="shared" ca="1" si="97"/>
        <v/>
      </c>
      <c r="AV255" s="362">
        <f t="shared" ca="1" si="97"/>
        <v>497.52640520481702</v>
      </c>
      <c r="AW255" s="362">
        <f t="shared" ca="1" si="97"/>
        <v>1361.6171263411916</v>
      </c>
      <c r="AX255" s="362">
        <f t="shared" ca="1" si="97"/>
        <v>42.106365709288561</v>
      </c>
      <c r="AY255" s="362">
        <f t="shared" ca="1" si="97"/>
        <v>124.43697824242066</v>
      </c>
      <c r="AZ255" s="362">
        <f t="shared" ca="1" si="98"/>
        <v>19267.910662125156</v>
      </c>
      <c r="BA255" s="362">
        <f t="shared" ca="1" si="98"/>
        <v>3449.9772637613701</v>
      </c>
      <c r="BB255" s="362">
        <f t="shared" ca="1" si="98"/>
        <v>0</v>
      </c>
      <c r="BC255" s="362">
        <f t="shared" ca="1" si="98"/>
        <v>0</v>
      </c>
      <c r="BD255" s="362">
        <f t="shared" ca="1" si="98"/>
        <v>0</v>
      </c>
      <c r="BE255" s="362">
        <f t="shared" ca="1" si="98"/>
        <v>5845.4128478032089</v>
      </c>
      <c r="BF255" s="362">
        <f t="shared" ca="1" si="98"/>
        <v>0</v>
      </c>
      <c r="BG255" s="362">
        <f t="shared" ca="1" si="98"/>
        <v>9910.1621293511453</v>
      </c>
      <c r="BH255" s="362">
        <f t="shared" ca="1" si="98"/>
        <v>13710.13521560043</v>
      </c>
      <c r="BI255" s="362">
        <f t="shared" ca="1" si="98"/>
        <v>4965.7712578398159</v>
      </c>
      <c r="BJ255" s="362">
        <f t="shared" ca="1" si="98"/>
        <v>24138.344154244882</v>
      </c>
      <c r="BK255" s="362">
        <f t="shared" ca="1" si="98"/>
        <v>9794.2408950338431</v>
      </c>
      <c r="BL255" s="362">
        <f t="shared" ca="1" si="98"/>
        <v>3731.5194545793479</v>
      </c>
      <c r="BM255" s="362">
        <f t="shared" ca="1" si="94"/>
        <v>0</v>
      </c>
    </row>
    <row r="256" spans="1:65">
      <c r="AA256" s="360">
        <f t="shared" si="89"/>
        <v>2022</v>
      </c>
      <c r="AB256" s="362">
        <f ca="1">'GHG Emissions'!M24</f>
        <v>219968.205806171</v>
      </c>
      <c r="AC256" s="362"/>
      <c r="AD256" s="362">
        <f t="shared" ca="1" si="90"/>
        <v>118461.89889835674</v>
      </c>
      <c r="AE256" s="362"/>
      <c r="AF256" s="362" t="str">
        <f t="shared" ca="1" si="96"/>
        <v/>
      </c>
      <c r="AG256" s="362" t="str">
        <f t="shared" ca="1" si="96"/>
        <v/>
      </c>
      <c r="AH256" s="362" t="str">
        <f t="shared" ca="1" si="96"/>
        <v/>
      </c>
      <c r="AI256" s="362" t="str">
        <f t="shared" ca="1" si="96"/>
        <v/>
      </c>
      <c r="AJ256" s="362" t="str">
        <f t="shared" ca="1" si="96"/>
        <v/>
      </c>
      <c r="AK256" s="362" t="str">
        <f t="shared" ca="1" si="96"/>
        <v/>
      </c>
      <c r="AL256" s="362" t="str">
        <f t="shared" ca="1" si="96"/>
        <v/>
      </c>
      <c r="AM256" s="362" t="str">
        <f t="shared" ca="1" si="96"/>
        <v/>
      </c>
      <c r="AN256" s="362" t="str">
        <f t="shared" ca="1" si="96"/>
        <v/>
      </c>
      <c r="AO256" s="362" t="str">
        <f t="shared" ca="1" si="96"/>
        <v/>
      </c>
      <c r="AP256" s="362" t="str">
        <f t="shared" ca="1" si="97"/>
        <v/>
      </c>
      <c r="AQ256" s="362" t="str">
        <f t="shared" ca="1" si="97"/>
        <v/>
      </c>
      <c r="AR256" s="362" t="str">
        <f t="shared" ca="1" si="97"/>
        <v/>
      </c>
      <c r="AS256" s="362" t="str">
        <f t="shared" ca="1" si="97"/>
        <v/>
      </c>
      <c r="AT256" s="362" t="str">
        <f t="shared" ca="1" si="97"/>
        <v/>
      </c>
      <c r="AU256" s="362" t="str">
        <f t="shared" ca="1" si="97"/>
        <v/>
      </c>
      <c r="AV256" s="362">
        <f t="shared" ca="1" si="97"/>
        <v>497.52640520481702</v>
      </c>
      <c r="AW256" s="362">
        <f t="shared" ca="1" si="97"/>
        <v>1361.6171263411916</v>
      </c>
      <c r="AX256" s="362">
        <f t="shared" ca="1" si="97"/>
        <v>42.106365709288561</v>
      </c>
      <c r="AY256" s="362">
        <f t="shared" ca="1" si="97"/>
        <v>124.43697824242066</v>
      </c>
      <c r="AZ256" s="362">
        <f t="shared" ca="1" si="98"/>
        <v>19469.83481786742</v>
      </c>
      <c r="BA256" s="362">
        <f t="shared" ca="1" si="98"/>
        <v>3486.1323902061049</v>
      </c>
      <c r="BB256" s="362">
        <f t="shared" ca="1" si="98"/>
        <v>0</v>
      </c>
      <c r="BC256" s="362">
        <f t="shared" ca="1" si="98"/>
        <v>0</v>
      </c>
      <c r="BD256" s="362">
        <f t="shared" ca="1" si="98"/>
        <v>0</v>
      </c>
      <c r="BE256" s="362">
        <f t="shared" ca="1" si="98"/>
        <v>5845.4128478032089</v>
      </c>
      <c r="BF256" s="362">
        <f t="shared" ca="1" si="98"/>
        <v>0</v>
      </c>
      <c r="BG256" s="362">
        <f t="shared" ca="1" si="98"/>
        <v>11561.855817576336</v>
      </c>
      <c r="BH256" s="362">
        <f t="shared" ca="1" si="98"/>
        <v>13710.13521560043</v>
      </c>
      <c r="BI256" s="362">
        <f t="shared" ca="1" si="98"/>
        <v>5016.4239264490425</v>
      </c>
      <c r="BJ256" s="362">
        <f t="shared" ca="1" si="98"/>
        <v>26149.872833765301</v>
      </c>
      <c r="BK256" s="362">
        <f t="shared" ca="1" si="98"/>
        <v>10225.978095960911</v>
      </c>
      <c r="BL256" s="362">
        <f t="shared" ca="1" si="98"/>
        <v>4014.9740870877836</v>
      </c>
      <c r="BM256" s="362">
        <f t="shared" ca="1" si="94"/>
        <v>0</v>
      </c>
    </row>
    <row r="257" spans="27:65">
      <c r="AA257" s="360">
        <f t="shared" si="89"/>
        <v>2023</v>
      </c>
      <c r="AB257" s="362">
        <f ca="1">'GHG Emissions'!M25</f>
        <v>222342.17788846977</v>
      </c>
      <c r="AC257" s="362"/>
      <c r="AD257" s="362">
        <f t="shared" ca="1" si="90"/>
        <v>116492.26179378002</v>
      </c>
      <c r="AE257" s="362"/>
      <c r="AF257" s="362" t="str">
        <f t="shared" ca="1" si="96"/>
        <v/>
      </c>
      <c r="AG257" s="362" t="str">
        <f t="shared" ca="1" si="96"/>
        <v/>
      </c>
      <c r="AH257" s="362" t="str">
        <f t="shared" ca="1" si="96"/>
        <v/>
      </c>
      <c r="AI257" s="362" t="str">
        <f t="shared" ca="1" si="96"/>
        <v/>
      </c>
      <c r="AJ257" s="362" t="str">
        <f t="shared" ca="1" si="96"/>
        <v/>
      </c>
      <c r="AK257" s="362" t="str">
        <f t="shared" ca="1" si="96"/>
        <v/>
      </c>
      <c r="AL257" s="362" t="str">
        <f t="shared" ca="1" si="96"/>
        <v/>
      </c>
      <c r="AM257" s="362" t="str">
        <f t="shared" ca="1" si="96"/>
        <v/>
      </c>
      <c r="AN257" s="362" t="str">
        <f t="shared" ca="1" si="96"/>
        <v/>
      </c>
      <c r="AO257" s="362" t="str">
        <f t="shared" ca="1" si="96"/>
        <v/>
      </c>
      <c r="AP257" s="362" t="str">
        <f t="shared" ca="1" si="97"/>
        <v/>
      </c>
      <c r="AQ257" s="362" t="str">
        <f t="shared" ca="1" si="97"/>
        <v/>
      </c>
      <c r="AR257" s="362" t="str">
        <f t="shared" ca="1" si="97"/>
        <v/>
      </c>
      <c r="AS257" s="362" t="str">
        <f t="shared" ca="1" si="97"/>
        <v/>
      </c>
      <c r="AT257" s="362" t="str">
        <f t="shared" ca="1" si="97"/>
        <v/>
      </c>
      <c r="AU257" s="362" t="str">
        <f t="shared" ca="1" si="97"/>
        <v/>
      </c>
      <c r="AV257" s="362">
        <f t="shared" ca="1" si="97"/>
        <v>497.52640520481702</v>
      </c>
      <c r="AW257" s="362">
        <f t="shared" ca="1" si="97"/>
        <v>1361.6171263411916</v>
      </c>
      <c r="AX257" s="362">
        <f t="shared" ca="1" si="97"/>
        <v>42.106365709288561</v>
      </c>
      <c r="AY257" s="362">
        <f t="shared" ca="1" si="97"/>
        <v>124.43697824242066</v>
      </c>
      <c r="AZ257" s="362">
        <f t="shared" ca="1" si="98"/>
        <v>19671.758973609671</v>
      </c>
      <c r="BA257" s="362">
        <f t="shared" ca="1" si="98"/>
        <v>3522.2875166508402</v>
      </c>
      <c r="BB257" s="362">
        <f t="shared" ca="1" si="98"/>
        <v>0</v>
      </c>
      <c r="BC257" s="362">
        <f t="shared" ca="1" si="98"/>
        <v>0</v>
      </c>
      <c r="BD257" s="362">
        <f t="shared" ca="1" si="98"/>
        <v>0</v>
      </c>
      <c r="BE257" s="362">
        <f t="shared" ca="1" si="98"/>
        <v>5845.4128478032089</v>
      </c>
      <c r="BF257" s="362">
        <f t="shared" ca="1" si="98"/>
        <v>0</v>
      </c>
      <c r="BG257" s="362">
        <f t="shared" ca="1" si="98"/>
        <v>13213.549505801528</v>
      </c>
      <c r="BH257" s="362">
        <f t="shared" ca="1" si="98"/>
        <v>13710.13521560043</v>
      </c>
      <c r="BI257" s="362">
        <f t="shared" ca="1" si="98"/>
        <v>5067.07659505827</v>
      </c>
      <c r="BJ257" s="362">
        <f t="shared" ca="1" si="98"/>
        <v>28161.401513285691</v>
      </c>
      <c r="BK257" s="362">
        <f t="shared" ca="1" si="98"/>
        <v>10658.700485955025</v>
      </c>
      <c r="BL257" s="362">
        <f t="shared" ca="1" si="98"/>
        <v>3973.9065654273677</v>
      </c>
      <c r="BM257" s="362">
        <f t="shared" ca="1" si="94"/>
        <v>0</v>
      </c>
    </row>
    <row r="258" spans="27:65">
      <c r="AA258" s="360">
        <f t="shared" si="89"/>
        <v>2024</v>
      </c>
      <c r="AB258" s="362">
        <f ca="1">'GHG Emissions'!M26</f>
        <v>224716.14997076849</v>
      </c>
      <c r="AC258" s="362"/>
      <c r="AD258" s="362">
        <f t="shared" ca="1" si="90"/>
        <v>115137.70280375385</v>
      </c>
      <c r="AE258" s="362"/>
      <c r="AF258" s="362" t="str">
        <f t="shared" ca="1" si="96"/>
        <v/>
      </c>
      <c r="AG258" s="362" t="str">
        <f t="shared" ca="1" si="96"/>
        <v/>
      </c>
      <c r="AH258" s="362" t="str">
        <f t="shared" ca="1" si="96"/>
        <v/>
      </c>
      <c r="AI258" s="362" t="str">
        <f t="shared" ca="1" si="96"/>
        <v/>
      </c>
      <c r="AJ258" s="362" t="str">
        <f t="shared" ca="1" si="96"/>
        <v/>
      </c>
      <c r="AK258" s="362" t="str">
        <f t="shared" ca="1" si="96"/>
        <v/>
      </c>
      <c r="AL258" s="362" t="str">
        <f t="shared" ca="1" si="96"/>
        <v/>
      </c>
      <c r="AM258" s="362" t="str">
        <f t="shared" ca="1" si="96"/>
        <v/>
      </c>
      <c r="AN258" s="362" t="str">
        <f t="shared" ca="1" si="96"/>
        <v/>
      </c>
      <c r="AO258" s="362" t="str">
        <f t="shared" ca="1" si="96"/>
        <v/>
      </c>
      <c r="AP258" s="362" t="str">
        <f t="shared" ca="1" si="97"/>
        <v/>
      </c>
      <c r="AQ258" s="362" t="str">
        <f t="shared" ca="1" si="97"/>
        <v/>
      </c>
      <c r="AR258" s="362" t="str">
        <f t="shared" ca="1" si="97"/>
        <v/>
      </c>
      <c r="AS258" s="362" t="str">
        <f t="shared" ca="1" si="97"/>
        <v/>
      </c>
      <c r="AT258" s="362" t="str">
        <f t="shared" ca="1" si="97"/>
        <v/>
      </c>
      <c r="AU258" s="362" t="str">
        <f t="shared" ca="1" si="97"/>
        <v/>
      </c>
      <c r="AV258" s="362">
        <f t="shared" ca="1" si="97"/>
        <v>497.52640520481702</v>
      </c>
      <c r="AW258" s="362">
        <f t="shared" ca="1" si="97"/>
        <v>1361.6171263411916</v>
      </c>
      <c r="AX258" s="362">
        <f t="shared" ca="1" si="97"/>
        <v>42.106365709288561</v>
      </c>
      <c r="AY258" s="362">
        <f t="shared" ca="1" si="97"/>
        <v>124.43697824242066</v>
      </c>
      <c r="AZ258" s="362">
        <f t="shared" ca="1" si="98"/>
        <v>19873.683129351921</v>
      </c>
      <c r="BA258" s="362">
        <f t="shared" ca="1" si="98"/>
        <v>3558.4426430955759</v>
      </c>
      <c r="BB258" s="362">
        <f t="shared" ca="1" si="98"/>
        <v>0</v>
      </c>
      <c r="BC258" s="362">
        <f t="shared" ca="1" si="98"/>
        <v>0</v>
      </c>
      <c r="BD258" s="362">
        <f t="shared" ca="1" si="98"/>
        <v>0</v>
      </c>
      <c r="BE258" s="362">
        <f t="shared" ca="1" si="98"/>
        <v>5845.4128478032089</v>
      </c>
      <c r="BF258" s="362">
        <f t="shared" ca="1" si="98"/>
        <v>1008.2241603025502</v>
      </c>
      <c r="BG258" s="362">
        <f t="shared" ca="1" si="98"/>
        <v>13213.549505801528</v>
      </c>
      <c r="BH258" s="362">
        <f t="shared" ca="1" si="98"/>
        <v>13710.13521560043</v>
      </c>
      <c r="BI258" s="362">
        <f t="shared" ca="1" si="98"/>
        <v>5117.7292636674965</v>
      </c>
      <c r="BJ258" s="362">
        <f t="shared" ca="1" si="98"/>
        <v>30172.93019280611</v>
      </c>
      <c r="BK258" s="362">
        <f t="shared" ca="1" si="98"/>
        <v>11092.378035332724</v>
      </c>
      <c r="BL258" s="362">
        <f t="shared" ca="1" si="98"/>
        <v>3960.275297755366</v>
      </c>
      <c r="BM258" s="362">
        <f t="shared" ca="1" si="94"/>
        <v>0</v>
      </c>
    </row>
    <row r="259" spans="27:65">
      <c r="AA259" s="360">
        <f t="shared" si="89"/>
        <v>2025</v>
      </c>
      <c r="AB259" s="362">
        <f ca="1">'GHG Emissions'!M27</f>
        <v>227090.12205306723</v>
      </c>
      <c r="AC259" s="362"/>
      <c r="AD259" s="362">
        <f t="shared" ca="1" si="90"/>
        <v>113782.25715649598</v>
      </c>
      <c r="AE259" s="362"/>
      <c r="AF259" s="362" t="str">
        <f t="shared" ca="1" si="96"/>
        <v/>
      </c>
      <c r="AG259" s="362" t="str">
        <f t="shared" ca="1" si="96"/>
        <v/>
      </c>
      <c r="AH259" s="362" t="str">
        <f t="shared" ca="1" si="96"/>
        <v/>
      </c>
      <c r="AI259" s="362" t="str">
        <f t="shared" ca="1" si="96"/>
        <v/>
      </c>
      <c r="AJ259" s="362" t="str">
        <f t="shared" ca="1" si="96"/>
        <v/>
      </c>
      <c r="AK259" s="362" t="str">
        <f t="shared" ca="1" si="96"/>
        <v/>
      </c>
      <c r="AL259" s="362" t="str">
        <f t="shared" ca="1" si="96"/>
        <v/>
      </c>
      <c r="AM259" s="362" t="str">
        <f t="shared" ca="1" si="96"/>
        <v/>
      </c>
      <c r="AN259" s="362" t="str">
        <f t="shared" ca="1" si="96"/>
        <v/>
      </c>
      <c r="AO259" s="362" t="str">
        <f t="shared" ca="1" si="96"/>
        <v/>
      </c>
      <c r="AP259" s="362" t="str">
        <f t="shared" ca="1" si="97"/>
        <v/>
      </c>
      <c r="AQ259" s="362" t="str">
        <f t="shared" ca="1" si="97"/>
        <v/>
      </c>
      <c r="AR259" s="362" t="str">
        <f t="shared" ca="1" si="97"/>
        <v/>
      </c>
      <c r="AS259" s="362" t="str">
        <f t="shared" ca="1" si="97"/>
        <v/>
      </c>
      <c r="AT259" s="362" t="str">
        <f t="shared" ca="1" si="97"/>
        <v/>
      </c>
      <c r="AU259" s="362" t="str">
        <f t="shared" ca="1" si="97"/>
        <v/>
      </c>
      <c r="AV259" s="362">
        <f t="shared" ca="1" si="97"/>
        <v>497.52640520481702</v>
      </c>
      <c r="AW259" s="362">
        <f t="shared" ca="1" si="97"/>
        <v>1361.6171263411916</v>
      </c>
      <c r="AX259" s="362">
        <f t="shared" ca="1" si="97"/>
        <v>42.106365709288561</v>
      </c>
      <c r="AY259" s="362">
        <f t="shared" ca="1" si="97"/>
        <v>124.43697824242066</v>
      </c>
      <c r="AZ259" s="362">
        <f t="shared" ca="1" si="98"/>
        <v>20075.607285094171</v>
      </c>
      <c r="BA259" s="362">
        <f t="shared" ca="1" si="98"/>
        <v>3594.5977695403094</v>
      </c>
      <c r="BB259" s="362">
        <f t="shared" ca="1" si="98"/>
        <v>0</v>
      </c>
      <c r="BC259" s="362">
        <f t="shared" ca="1" si="98"/>
        <v>0</v>
      </c>
      <c r="BD259" s="362">
        <f t="shared" ca="1" si="98"/>
        <v>0</v>
      </c>
      <c r="BE259" s="362">
        <f t="shared" ca="1" si="98"/>
        <v>5845.4128478032089</v>
      </c>
      <c r="BF259" s="362">
        <f t="shared" ca="1" si="98"/>
        <v>2016.4483206051004</v>
      </c>
      <c r="BG259" s="362">
        <f t="shared" ca="1" si="98"/>
        <v>13213.549505801528</v>
      </c>
      <c r="BH259" s="362">
        <f t="shared" ca="1" si="98"/>
        <v>13710.13521560043</v>
      </c>
      <c r="BI259" s="362">
        <f t="shared" ca="1" si="98"/>
        <v>5168.3819322767222</v>
      </c>
      <c r="BJ259" s="362">
        <f t="shared" ca="1" si="98"/>
        <v>32184.45887232653</v>
      </c>
      <c r="BK259" s="362">
        <f t="shared" ca="1" si="98"/>
        <v>11526.981922587047</v>
      </c>
      <c r="BL259" s="362">
        <f t="shared" ca="1" si="98"/>
        <v>3946.6043494384821</v>
      </c>
      <c r="BM259" s="362">
        <f t="shared" ca="1" si="94"/>
        <v>0</v>
      </c>
    </row>
    <row r="260" spans="27:65">
      <c r="AA260" s="360">
        <f t="shared" si="89"/>
        <v>2026</v>
      </c>
      <c r="AB260" s="362">
        <f ca="1">'GHG Emissions'!M28</f>
        <v>229464.09413536597</v>
      </c>
      <c r="AC260" s="362"/>
      <c r="AD260" s="362">
        <f t="shared" ca="1" si="90"/>
        <v>112425.95134006982</v>
      </c>
      <c r="AE260" s="362"/>
      <c r="AF260" s="362" t="str">
        <f t="shared" ca="1" si="96"/>
        <v/>
      </c>
      <c r="AG260" s="362" t="str">
        <f t="shared" ca="1" si="96"/>
        <v/>
      </c>
      <c r="AH260" s="362" t="str">
        <f t="shared" ca="1" si="96"/>
        <v/>
      </c>
      <c r="AI260" s="362" t="str">
        <f t="shared" ca="1" si="96"/>
        <v/>
      </c>
      <c r="AJ260" s="362" t="str">
        <f t="shared" ca="1" si="96"/>
        <v/>
      </c>
      <c r="AK260" s="362" t="str">
        <f t="shared" ca="1" si="96"/>
        <v/>
      </c>
      <c r="AL260" s="362" t="str">
        <f t="shared" ca="1" si="96"/>
        <v/>
      </c>
      <c r="AM260" s="362" t="str">
        <f t="shared" ca="1" si="96"/>
        <v/>
      </c>
      <c r="AN260" s="362" t="str">
        <f t="shared" ca="1" si="96"/>
        <v/>
      </c>
      <c r="AO260" s="362" t="str">
        <f t="shared" ca="1" si="96"/>
        <v/>
      </c>
      <c r="AP260" s="362" t="str">
        <f t="shared" ca="1" si="97"/>
        <v/>
      </c>
      <c r="AQ260" s="362" t="str">
        <f t="shared" ca="1" si="97"/>
        <v/>
      </c>
      <c r="AR260" s="362" t="str">
        <f t="shared" ca="1" si="97"/>
        <v/>
      </c>
      <c r="AS260" s="362" t="str">
        <f t="shared" ca="1" si="97"/>
        <v/>
      </c>
      <c r="AT260" s="362" t="str">
        <f t="shared" ca="1" si="97"/>
        <v/>
      </c>
      <c r="AU260" s="362" t="str">
        <f t="shared" ca="1" si="97"/>
        <v/>
      </c>
      <c r="AV260" s="362">
        <f t="shared" ca="1" si="97"/>
        <v>497.52640520481702</v>
      </c>
      <c r="AW260" s="362">
        <f t="shared" ca="1" si="97"/>
        <v>1361.6171263411916</v>
      </c>
      <c r="AX260" s="362">
        <f t="shared" ca="1" si="97"/>
        <v>42.106365709288561</v>
      </c>
      <c r="AY260" s="362">
        <f t="shared" ca="1" si="97"/>
        <v>124.43697824242066</v>
      </c>
      <c r="AZ260" s="362">
        <f t="shared" ca="1" si="98"/>
        <v>20277.531440836436</v>
      </c>
      <c r="BA260" s="362">
        <f t="shared" ca="1" si="98"/>
        <v>3630.7528959850451</v>
      </c>
      <c r="BB260" s="362">
        <f t="shared" ca="1" si="98"/>
        <v>0</v>
      </c>
      <c r="BC260" s="362">
        <f t="shared" ca="1" si="98"/>
        <v>0</v>
      </c>
      <c r="BD260" s="362">
        <f t="shared" ca="1" si="98"/>
        <v>0</v>
      </c>
      <c r="BE260" s="362">
        <f t="shared" ca="1" si="98"/>
        <v>5845.4128478032089</v>
      </c>
      <c r="BF260" s="362">
        <f t="shared" ca="1" si="98"/>
        <v>3024.6724809076504</v>
      </c>
      <c r="BG260" s="362">
        <f t="shared" ca="1" si="98"/>
        <v>13213.549505801528</v>
      </c>
      <c r="BH260" s="362">
        <f t="shared" ca="1" si="98"/>
        <v>13710.13521560043</v>
      </c>
      <c r="BI260" s="362">
        <f t="shared" ca="1" si="98"/>
        <v>5219.0346008859497</v>
      </c>
      <c r="BJ260" s="362">
        <f t="shared" ca="1" si="98"/>
        <v>34195.98755184692</v>
      </c>
      <c r="BK260" s="362">
        <f t="shared" ca="1" si="98"/>
        <v>11962.484474232047</v>
      </c>
      <c r="BL260" s="362">
        <f t="shared" ca="1" si="98"/>
        <v>3932.894905899223</v>
      </c>
      <c r="BM260" s="362">
        <f t="shared" ca="1" si="94"/>
        <v>0</v>
      </c>
    </row>
    <row r="261" spans="27:65">
      <c r="AA261" s="360">
        <f t="shared" si="89"/>
        <v>2027</v>
      </c>
      <c r="AB261" s="362">
        <f ca="1">'GHG Emissions'!M29</f>
        <v>231838.06621766463</v>
      </c>
      <c r="AC261" s="362"/>
      <c r="AD261" s="362">
        <f t="shared" ca="1" si="90"/>
        <v>111068.81079786642</v>
      </c>
      <c r="AE261" s="362"/>
      <c r="AF261" s="362" t="str">
        <f t="shared" ca="1" si="96"/>
        <v/>
      </c>
      <c r="AG261" s="362" t="str">
        <f t="shared" ca="1" si="96"/>
        <v/>
      </c>
      <c r="AH261" s="362" t="str">
        <f t="shared" ca="1" si="96"/>
        <v/>
      </c>
      <c r="AI261" s="362" t="str">
        <f t="shared" ca="1" si="96"/>
        <v/>
      </c>
      <c r="AJ261" s="362" t="str">
        <f t="shared" ca="1" si="96"/>
        <v/>
      </c>
      <c r="AK261" s="362" t="str">
        <f t="shared" ca="1" si="96"/>
        <v/>
      </c>
      <c r="AL261" s="362" t="str">
        <f t="shared" ca="1" si="96"/>
        <v/>
      </c>
      <c r="AM261" s="362" t="str">
        <f t="shared" ca="1" si="96"/>
        <v/>
      </c>
      <c r="AN261" s="362" t="str">
        <f t="shared" ca="1" si="96"/>
        <v/>
      </c>
      <c r="AO261" s="362" t="str">
        <f t="shared" ca="1" si="96"/>
        <v/>
      </c>
      <c r="AP261" s="362" t="str">
        <f t="shared" ca="1" si="97"/>
        <v/>
      </c>
      <c r="AQ261" s="362" t="str">
        <f t="shared" ca="1" si="97"/>
        <v/>
      </c>
      <c r="AR261" s="362" t="str">
        <f t="shared" ca="1" si="97"/>
        <v/>
      </c>
      <c r="AS261" s="362" t="str">
        <f t="shared" ca="1" si="97"/>
        <v/>
      </c>
      <c r="AT261" s="362" t="str">
        <f t="shared" ca="1" si="97"/>
        <v/>
      </c>
      <c r="AU261" s="362" t="str">
        <f t="shared" ca="1" si="97"/>
        <v/>
      </c>
      <c r="AV261" s="362">
        <f t="shared" ca="1" si="97"/>
        <v>497.52640520481702</v>
      </c>
      <c r="AW261" s="362">
        <f t="shared" ca="1" si="97"/>
        <v>1361.6171263411916</v>
      </c>
      <c r="AX261" s="362">
        <f t="shared" ca="1" si="97"/>
        <v>42.106365709288561</v>
      </c>
      <c r="AY261" s="362">
        <f t="shared" ca="1" si="97"/>
        <v>124.43697824242066</v>
      </c>
      <c r="AZ261" s="362">
        <f t="shared" ca="1" si="98"/>
        <v>20479.455596578686</v>
      </c>
      <c r="BA261" s="362">
        <f t="shared" ca="1" si="98"/>
        <v>3666.9080224297791</v>
      </c>
      <c r="BB261" s="362">
        <f t="shared" ca="1" si="98"/>
        <v>0</v>
      </c>
      <c r="BC261" s="362">
        <f t="shared" ca="1" si="98"/>
        <v>0</v>
      </c>
      <c r="BD261" s="362">
        <f t="shared" ca="1" si="98"/>
        <v>0</v>
      </c>
      <c r="BE261" s="362">
        <f t="shared" ca="1" si="98"/>
        <v>5845.4128478032089</v>
      </c>
      <c r="BF261" s="362">
        <f t="shared" ca="1" si="98"/>
        <v>4032.8966412102009</v>
      </c>
      <c r="BG261" s="362">
        <f t="shared" ca="1" si="98"/>
        <v>13213.549505801528</v>
      </c>
      <c r="BH261" s="362">
        <f t="shared" ca="1" si="98"/>
        <v>13710.13521560043</v>
      </c>
      <c r="BI261" s="362">
        <f t="shared" ca="1" si="98"/>
        <v>5269.6872694951762</v>
      </c>
      <c r="BJ261" s="362">
        <f t="shared" ca="1" si="98"/>
        <v>36207.516231367335</v>
      </c>
      <c r="BK261" s="362">
        <f t="shared" ca="1" si="98"/>
        <v>12398.859108206347</v>
      </c>
      <c r="BL261" s="362">
        <f t="shared" ca="1" si="98"/>
        <v>3919.1481058077857</v>
      </c>
      <c r="BM261" s="362">
        <f t="shared" ca="1" si="94"/>
        <v>0</v>
      </c>
    </row>
    <row r="262" spans="27:65">
      <c r="AA262" s="360">
        <f t="shared" si="89"/>
        <v>2028</v>
      </c>
      <c r="AB262" s="362">
        <f ca="1">'GHG Emissions'!M30</f>
        <v>234212.0382999634</v>
      </c>
      <c r="AC262" s="362"/>
      <c r="AD262" s="362">
        <f t="shared" ca="1" si="90"/>
        <v>109710.85997960357</v>
      </c>
      <c r="AE262" s="362"/>
      <c r="AF262" s="362" t="str">
        <f t="shared" ca="1" si="96"/>
        <v/>
      </c>
      <c r="AG262" s="362" t="str">
        <f t="shared" ca="1" si="96"/>
        <v/>
      </c>
      <c r="AH262" s="362" t="str">
        <f t="shared" ca="1" si="96"/>
        <v/>
      </c>
      <c r="AI262" s="362" t="str">
        <f t="shared" ca="1" si="96"/>
        <v/>
      </c>
      <c r="AJ262" s="362" t="str">
        <f t="shared" ca="1" si="96"/>
        <v/>
      </c>
      <c r="AK262" s="362" t="str">
        <f t="shared" ca="1" si="96"/>
        <v/>
      </c>
      <c r="AL262" s="362" t="str">
        <f t="shared" ca="1" si="96"/>
        <v/>
      </c>
      <c r="AM262" s="362" t="str">
        <f t="shared" ca="1" si="96"/>
        <v/>
      </c>
      <c r="AN262" s="362" t="str">
        <f t="shared" ca="1" si="96"/>
        <v/>
      </c>
      <c r="AO262" s="362" t="str">
        <f t="shared" ca="1" si="96"/>
        <v/>
      </c>
      <c r="AP262" s="362" t="str">
        <f t="shared" ca="1" si="97"/>
        <v/>
      </c>
      <c r="AQ262" s="362" t="str">
        <f t="shared" ca="1" si="97"/>
        <v/>
      </c>
      <c r="AR262" s="362" t="str">
        <f t="shared" ca="1" si="97"/>
        <v/>
      </c>
      <c r="AS262" s="362" t="str">
        <f t="shared" ca="1" si="97"/>
        <v/>
      </c>
      <c r="AT262" s="362" t="str">
        <f t="shared" ca="1" si="97"/>
        <v/>
      </c>
      <c r="AU262" s="362" t="str">
        <f t="shared" ca="1" si="97"/>
        <v/>
      </c>
      <c r="AV262" s="362">
        <f t="shared" ca="1" si="97"/>
        <v>497.52640520481702</v>
      </c>
      <c r="AW262" s="362">
        <f t="shared" ca="1" si="97"/>
        <v>1361.6171263411916</v>
      </c>
      <c r="AX262" s="362">
        <f t="shared" ca="1" si="97"/>
        <v>42.106365709288561</v>
      </c>
      <c r="AY262" s="362">
        <f t="shared" ca="1" si="97"/>
        <v>124.43697824242066</v>
      </c>
      <c r="AZ262" s="362">
        <f t="shared" ca="1" si="98"/>
        <v>20681.379752320936</v>
      </c>
      <c r="BA262" s="362">
        <f t="shared" ca="1" si="98"/>
        <v>3703.0631488745134</v>
      </c>
      <c r="BB262" s="362">
        <f t="shared" ca="1" si="98"/>
        <v>0</v>
      </c>
      <c r="BC262" s="362">
        <f t="shared" ca="1" si="98"/>
        <v>0</v>
      </c>
      <c r="BD262" s="362">
        <f t="shared" ca="1" si="98"/>
        <v>0</v>
      </c>
      <c r="BE262" s="362">
        <f t="shared" ca="1" si="98"/>
        <v>5845.4128478032089</v>
      </c>
      <c r="BF262" s="362">
        <f t="shared" ca="1" si="98"/>
        <v>5041.1208015127513</v>
      </c>
      <c r="BG262" s="362">
        <f t="shared" ca="1" si="98"/>
        <v>13213.549505801528</v>
      </c>
      <c r="BH262" s="362">
        <f t="shared" ca="1" si="98"/>
        <v>13710.13521560043</v>
      </c>
      <c r="BI262" s="362">
        <f t="shared" ca="1" si="98"/>
        <v>5320.3399381044037</v>
      </c>
      <c r="BJ262" s="362">
        <f t="shared" ca="1" si="98"/>
        <v>38219.044910887722</v>
      </c>
      <c r="BK262" s="362">
        <f t="shared" ca="1" si="98"/>
        <v>12836.080280592192</v>
      </c>
      <c r="BL262" s="362">
        <f t="shared" ca="1" si="98"/>
        <v>3905.365043364422</v>
      </c>
      <c r="BM262" s="362">
        <f t="shared" ca="1" si="94"/>
        <v>0</v>
      </c>
    </row>
    <row r="263" spans="27:65">
      <c r="AA263" s="360">
        <f t="shared" si="89"/>
        <v>2029</v>
      </c>
      <c r="AB263" s="362">
        <f ca="1">'GHG Emissions'!M31</f>
        <v>236586.01038226217</v>
      </c>
      <c r="AC263" s="362"/>
      <c r="AD263" s="362">
        <f t="shared" ca="1" si="90"/>
        <v>108352.12238936499</v>
      </c>
      <c r="AE263" s="362"/>
      <c r="AF263" s="362" t="str">
        <f t="shared" ca="1" si="96"/>
        <v/>
      </c>
      <c r="AG263" s="362" t="str">
        <f t="shared" ca="1" si="96"/>
        <v/>
      </c>
      <c r="AH263" s="362" t="str">
        <f t="shared" ca="1" si="96"/>
        <v/>
      </c>
      <c r="AI263" s="362" t="str">
        <f t="shared" ca="1" si="96"/>
        <v/>
      </c>
      <c r="AJ263" s="362" t="str">
        <f t="shared" ca="1" si="96"/>
        <v/>
      </c>
      <c r="AK263" s="362" t="str">
        <f t="shared" ca="1" si="96"/>
        <v/>
      </c>
      <c r="AL263" s="362" t="str">
        <f t="shared" ca="1" si="96"/>
        <v/>
      </c>
      <c r="AM263" s="362" t="str">
        <f t="shared" ca="1" si="96"/>
        <v/>
      </c>
      <c r="AN263" s="362" t="str">
        <f t="shared" ca="1" si="96"/>
        <v/>
      </c>
      <c r="AO263" s="362" t="str">
        <f t="shared" ca="1" si="96"/>
        <v/>
      </c>
      <c r="AP263" s="362" t="str">
        <f t="shared" ca="1" si="97"/>
        <v/>
      </c>
      <c r="AQ263" s="362" t="str">
        <f t="shared" ca="1" si="97"/>
        <v/>
      </c>
      <c r="AR263" s="362" t="str">
        <f t="shared" ca="1" si="97"/>
        <v/>
      </c>
      <c r="AS263" s="362" t="str">
        <f t="shared" ca="1" si="97"/>
        <v/>
      </c>
      <c r="AT263" s="362" t="str">
        <f t="shared" ca="1" si="97"/>
        <v/>
      </c>
      <c r="AU263" s="362" t="str">
        <f t="shared" ca="1" si="97"/>
        <v/>
      </c>
      <c r="AV263" s="362">
        <f t="shared" ca="1" si="97"/>
        <v>497.52640520481702</v>
      </c>
      <c r="AW263" s="362">
        <f t="shared" ca="1" si="97"/>
        <v>1361.6171263411916</v>
      </c>
      <c r="AX263" s="362">
        <f t="shared" ca="1" si="97"/>
        <v>42.106365709288561</v>
      </c>
      <c r="AY263" s="362">
        <f t="shared" ca="1" si="97"/>
        <v>124.43697824242066</v>
      </c>
      <c r="AZ263" s="362">
        <f t="shared" ca="1" si="98"/>
        <v>20883.303908063201</v>
      </c>
      <c r="BA263" s="362">
        <f t="shared" ca="1" si="98"/>
        <v>3739.2182753192492</v>
      </c>
      <c r="BB263" s="362">
        <f t="shared" ca="1" si="98"/>
        <v>0</v>
      </c>
      <c r="BC263" s="362">
        <f t="shared" ca="1" si="98"/>
        <v>0</v>
      </c>
      <c r="BD263" s="362">
        <f t="shared" ca="1" si="98"/>
        <v>0</v>
      </c>
      <c r="BE263" s="362">
        <f t="shared" ca="1" si="98"/>
        <v>5845.4128478032089</v>
      </c>
      <c r="BF263" s="362">
        <f t="shared" ca="1" si="98"/>
        <v>6049.3449618153018</v>
      </c>
      <c r="BG263" s="362">
        <f t="shared" ca="1" si="98"/>
        <v>13213.549505801528</v>
      </c>
      <c r="BH263" s="362">
        <f t="shared" ca="1" si="98"/>
        <v>13710.13521560043</v>
      </c>
      <c r="BI263" s="362">
        <f t="shared" ca="1" si="98"/>
        <v>5370.9926067136303</v>
      </c>
      <c r="BJ263" s="362">
        <f t="shared" ca="1" si="98"/>
        <v>40230.573590408145</v>
      </c>
      <c r="BK263" s="362">
        <f t="shared" ca="1" si="98"/>
        <v>13274.123435425432</v>
      </c>
      <c r="BL263" s="362">
        <f t="shared" ca="1" si="98"/>
        <v>3891.5467704493494</v>
      </c>
      <c r="BM263" s="362">
        <f t="shared" ca="1" si="94"/>
        <v>0</v>
      </c>
    </row>
    <row r="264" spans="27:65">
      <c r="AA264" s="360">
        <f t="shared" si="89"/>
        <v>2030</v>
      </c>
      <c r="AB264" s="362">
        <f ca="1">'GHG Emissions'!M32</f>
        <v>238959.98246456092</v>
      </c>
      <c r="AC264" s="362"/>
      <c r="AD264" s="362">
        <f t="shared" ca="1" si="90"/>
        <v>106992.62063088067</v>
      </c>
      <c r="AE264" s="362"/>
      <c r="AF264" s="362" t="str">
        <f t="shared" ref="AF264:AO273" ca="1" si="99">IFERROR(-HLOOKUP(AF$50,Scope2Table,$AA264-$AA$244+2,FALSE),"")</f>
        <v/>
      </c>
      <c r="AG264" s="362" t="str">
        <f t="shared" ca="1" si="99"/>
        <v/>
      </c>
      <c r="AH264" s="362" t="str">
        <f t="shared" ca="1" si="99"/>
        <v/>
      </c>
      <c r="AI264" s="362" t="str">
        <f t="shared" ca="1" si="99"/>
        <v/>
      </c>
      <c r="AJ264" s="362" t="str">
        <f t="shared" ca="1" si="99"/>
        <v/>
      </c>
      <c r="AK264" s="362" t="str">
        <f t="shared" ca="1" si="99"/>
        <v/>
      </c>
      <c r="AL264" s="362" t="str">
        <f t="shared" ca="1" si="99"/>
        <v/>
      </c>
      <c r="AM264" s="362" t="str">
        <f t="shared" ca="1" si="99"/>
        <v/>
      </c>
      <c r="AN264" s="362" t="str">
        <f t="shared" ca="1" si="99"/>
        <v/>
      </c>
      <c r="AO264" s="362" t="str">
        <f t="shared" ca="1" si="99"/>
        <v/>
      </c>
      <c r="AP264" s="362" t="str">
        <f t="shared" ref="AP264:AY273" ca="1" si="100">IFERROR(-HLOOKUP(AP$50,Scope2Table,$AA264-$AA$244+2,FALSE),"")</f>
        <v/>
      </c>
      <c r="AQ264" s="362" t="str">
        <f t="shared" ca="1" si="100"/>
        <v/>
      </c>
      <c r="AR264" s="362" t="str">
        <f t="shared" ca="1" si="100"/>
        <v/>
      </c>
      <c r="AS264" s="362" t="str">
        <f t="shared" ca="1" si="100"/>
        <v/>
      </c>
      <c r="AT264" s="362" t="str">
        <f t="shared" ca="1" si="100"/>
        <v/>
      </c>
      <c r="AU264" s="362" t="str">
        <f t="shared" ca="1" si="100"/>
        <v/>
      </c>
      <c r="AV264" s="362">
        <f t="shared" ca="1" si="100"/>
        <v>497.52640520481702</v>
      </c>
      <c r="AW264" s="362">
        <f t="shared" ca="1" si="100"/>
        <v>1361.6171263411916</v>
      </c>
      <c r="AX264" s="362">
        <f t="shared" ca="1" si="100"/>
        <v>42.106365709288561</v>
      </c>
      <c r="AY264" s="362">
        <f t="shared" ca="1" si="100"/>
        <v>124.43697824242066</v>
      </c>
      <c r="AZ264" s="362">
        <f t="shared" ref="AZ264:BL273" ca="1" si="101">IFERROR(-HLOOKUP(AZ$50,Scope2Table,$AA264-$AA$244+2,FALSE),"")</f>
        <v>21085.228063805465</v>
      </c>
      <c r="BA264" s="362">
        <f t="shared" ca="1" si="101"/>
        <v>3775.3734017639845</v>
      </c>
      <c r="BB264" s="362">
        <f t="shared" ca="1" si="101"/>
        <v>0</v>
      </c>
      <c r="BC264" s="362">
        <f t="shared" ca="1" si="101"/>
        <v>0</v>
      </c>
      <c r="BD264" s="362">
        <f t="shared" ca="1" si="101"/>
        <v>0</v>
      </c>
      <c r="BE264" s="362">
        <f t="shared" ca="1" si="101"/>
        <v>5845.4128478032089</v>
      </c>
      <c r="BF264" s="362">
        <f t="shared" ca="1" si="101"/>
        <v>7057.5691221178513</v>
      </c>
      <c r="BG264" s="362">
        <f t="shared" ca="1" si="101"/>
        <v>13213.549505801528</v>
      </c>
      <c r="BH264" s="362">
        <f t="shared" ca="1" si="101"/>
        <v>13710.13521560043</v>
      </c>
      <c r="BI264" s="362">
        <f t="shared" ca="1" si="101"/>
        <v>5421.6452753228559</v>
      </c>
      <c r="BJ264" s="362">
        <f t="shared" ca="1" si="101"/>
        <v>42242.102269928539</v>
      </c>
      <c r="BK264" s="362">
        <f t="shared" ca="1" si="101"/>
        <v>13712.964957389482</v>
      </c>
      <c r="BL264" s="362">
        <f t="shared" ca="1" si="101"/>
        <v>3877.694298649179</v>
      </c>
      <c r="BM264" s="362">
        <f t="shared" ca="1" si="94"/>
        <v>0</v>
      </c>
    </row>
    <row r="265" spans="27:65">
      <c r="AA265" s="360">
        <f t="shared" si="89"/>
        <v>2031</v>
      </c>
      <c r="AB265" s="362">
        <f ca="1">'GHG Emissions'!M33</f>
        <v>241333.9545468596</v>
      </c>
      <c r="AC265" s="362"/>
      <c r="AD265" s="362">
        <f t="shared" ca="1" si="90"/>
        <v>105683.02911883834</v>
      </c>
      <c r="AE265" s="362"/>
      <c r="AF265" s="362" t="str">
        <f t="shared" ca="1" si="99"/>
        <v/>
      </c>
      <c r="AG265" s="362" t="str">
        <f t="shared" ca="1" si="99"/>
        <v/>
      </c>
      <c r="AH265" s="362" t="str">
        <f t="shared" ca="1" si="99"/>
        <v/>
      </c>
      <c r="AI265" s="362" t="str">
        <f t="shared" ca="1" si="99"/>
        <v/>
      </c>
      <c r="AJ265" s="362" t="str">
        <f t="shared" ca="1" si="99"/>
        <v/>
      </c>
      <c r="AK265" s="362" t="str">
        <f t="shared" ca="1" si="99"/>
        <v/>
      </c>
      <c r="AL265" s="362" t="str">
        <f t="shared" ca="1" si="99"/>
        <v/>
      </c>
      <c r="AM265" s="362" t="str">
        <f t="shared" ca="1" si="99"/>
        <v/>
      </c>
      <c r="AN265" s="362" t="str">
        <f t="shared" ca="1" si="99"/>
        <v/>
      </c>
      <c r="AO265" s="362" t="str">
        <f t="shared" ca="1" si="99"/>
        <v/>
      </c>
      <c r="AP265" s="362" t="str">
        <f t="shared" ca="1" si="100"/>
        <v/>
      </c>
      <c r="AQ265" s="362" t="str">
        <f t="shared" ca="1" si="100"/>
        <v/>
      </c>
      <c r="AR265" s="362" t="str">
        <f t="shared" ca="1" si="100"/>
        <v/>
      </c>
      <c r="AS265" s="362" t="str">
        <f t="shared" ca="1" si="100"/>
        <v/>
      </c>
      <c r="AT265" s="362" t="str">
        <f t="shared" ca="1" si="100"/>
        <v/>
      </c>
      <c r="AU265" s="362" t="str">
        <f t="shared" ca="1" si="100"/>
        <v/>
      </c>
      <c r="AV265" s="362">
        <f t="shared" ca="1" si="100"/>
        <v>497.52640520481702</v>
      </c>
      <c r="AW265" s="362">
        <f t="shared" ca="1" si="100"/>
        <v>1361.6171263411916</v>
      </c>
      <c r="AX265" s="362">
        <f t="shared" ca="1" si="100"/>
        <v>42.106365709288561</v>
      </c>
      <c r="AY265" s="362">
        <f t="shared" ca="1" si="100"/>
        <v>124.43697824242066</v>
      </c>
      <c r="AZ265" s="362">
        <f t="shared" ca="1" si="101"/>
        <v>21287.152219547716</v>
      </c>
      <c r="BA265" s="362">
        <f t="shared" ca="1" si="101"/>
        <v>3811.5285282087202</v>
      </c>
      <c r="BB265" s="362">
        <f t="shared" ca="1" si="101"/>
        <v>0</v>
      </c>
      <c r="BC265" s="362">
        <f t="shared" ca="1" si="101"/>
        <v>0</v>
      </c>
      <c r="BD265" s="362">
        <f t="shared" ca="1" si="101"/>
        <v>0</v>
      </c>
      <c r="BE265" s="362">
        <f t="shared" ca="1" si="101"/>
        <v>5845.4128478032089</v>
      </c>
      <c r="BF265" s="362">
        <f t="shared" ca="1" si="101"/>
        <v>8065.7932824204017</v>
      </c>
      <c r="BG265" s="362">
        <f t="shared" ca="1" si="101"/>
        <v>13213.549505801528</v>
      </c>
      <c r="BH265" s="362">
        <f t="shared" ca="1" si="101"/>
        <v>13710.13521560043</v>
      </c>
      <c r="BI265" s="362">
        <f t="shared" ca="1" si="101"/>
        <v>5421.6452753228559</v>
      </c>
      <c r="BJ265" s="362">
        <f t="shared" ca="1" si="101"/>
        <v>44253.630949448947</v>
      </c>
      <c r="BK265" s="362">
        <f t="shared" ca="1" si="101"/>
        <v>14152.582127201758</v>
      </c>
      <c r="BL265" s="362">
        <f t="shared" ca="1" si="101"/>
        <v>3863.8086011679702</v>
      </c>
      <c r="BM265" s="362">
        <f t="shared" ca="1" si="94"/>
        <v>0</v>
      </c>
    </row>
    <row r="266" spans="27:65">
      <c r="AA266" s="360">
        <f t="shared" si="89"/>
        <v>2032</v>
      </c>
      <c r="AB266" s="362">
        <f ca="1">'GHG Emissions'!M34</f>
        <v>243707.92662915835</v>
      </c>
      <c r="AC266" s="362"/>
      <c r="AD266" s="362">
        <f t="shared" ca="1" si="90"/>
        <v>104372.71611335097</v>
      </c>
      <c r="AE266" s="362"/>
      <c r="AF266" s="362" t="str">
        <f t="shared" ca="1" si="99"/>
        <v/>
      </c>
      <c r="AG266" s="362" t="str">
        <f t="shared" ca="1" si="99"/>
        <v/>
      </c>
      <c r="AH266" s="362" t="str">
        <f t="shared" ca="1" si="99"/>
        <v/>
      </c>
      <c r="AI266" s="362" t="str">
        <f t="shared" ca="1" si="99"/>
        <v/>
      </c>
      <c r="AJ266" s="362" t="str">
        <f t="shared" ca="1" si="99"/>
        <v/>
      </c>
      <c r="AK266" s="362" t="str">
        <f t="shared" ca="1" si="99"/>
        <v/>
      </c>
      <c r="AL266" s="362" t="str">
        <f t="shared" ca="1" si="99"/>
        <v/>
      </c>
      <c r="AM266" s="362" t="str">
        <f t="shared" ca="1" si="99"/>
        <v/>
      </c>
      <c r="AN266" s="362" t="str">
        <f t="shared" ca="1" si="99"/>
        <v/>
      </c>
      <c r="AO266" s="362" t="str">
        <f t="shared" ca="1" si="99"/>
        <v/>
      </c>
      <c r="AP266" s="362" t="str">
        <f t="shared" ca="1" si="100"/>
        <v/>
      </c>
      <c r="AQ266" s="362" t="str">
        <f t="shared" ca="1" si="100"/>
        <v/>
      </c>
      <c r="AR266" s="362" t="str">
        <f t="shared" ca="1" si="100"/>
        <v/>
      </c>
      <c r="AS266" s="362" t="str">
        <f t="shared" ca="1" si="100"/>
        <v/>
      </c>
      <c r="AT266" s="362" t="str">
        <f t="shared" ca="1" si="100"/>
        <v/>
      </c>
      <c r="AU266" s="362" t="str">
        <f t="shared" ca="1" si="100"/>
        <v/>
      </c>
      <c r="AV266" s="362">
        <f t="shared" ca="1" si="100"/>
        <v>497.52640520481702</v>
      </c>
      <c r="AW266" s="362">
        <f t="shared" ca="1" si="100"/>
        <v>1361.6171263411916</v>
      </c>
      <c r="AX266" s="362">
        <f t="shared" ca="1" si="100"/>
        <v>42.106365709288561</v>
      </c>
      <c r="AY266" s="362">
        <f t="shared" ca="1" si="100"/>
        <v>124.43697824242066</v>
      </c>
      <c r="AZ266" s="362">
        <f t="shared" ca="1" si="101"/>
        <v>21489.076375289966</v>
      </c>
      <c r="BA266" s="362">
        <f t="shared" ca="1" si="101"/>
        <v>3847.6836546534541</v>
      </c>
      <c r="BB266" s="362">
        <f t="shared" ca="1" si="101"/>
        <v>0</v>
      </c>
      <c r="BC266" s="362">
        <f t="shared" ca="1" si="101"/>
        <v>0</v>
      </c>
      <c r="BD266" s="362">
        <f t="shared" ca="1" si="101"/>
        <v>0</v>
      </c>
      <c r="BE266" s="362">
        <f t="shared" ca="1" si="101"/>
        <v>5845.4128478032089</v>
      </c>
      <c r="BF266" s="362">
        <f t="shared" ca="1" si="101"/>
        <v>9074.017442722954</v>
      </c>
      <c r="BG266" s="362">
        <f t="shared" ca="1" si="101"/>
        <v>13213.549505801528</v>
      </c>
      <c r="BH266" s="362">
        <f t="shared" ca="1" si="101"/>
        <v>13710.13521560043</v>
      </c>
      <c r="BI266" s="362">
        <f t="shared" ca="1" si="101"/>
        <v>5421.6452753228559</v>
      </c>
      <c r="BJ266" s="362">
        <f t="shared" ca="1" si="101"/>
        <v>46265.15962896937</v>
      </c>
      <c r="BK266" s="362">
        <f t="shared" ca="1" si="101"/>
        <v>14592.953079515333</v>
      </c>
      <c r="BL266" s="362">
        <f t="shared" ca="1" si="101"/>
        <v>3849.8906146305685</v>
      </c>
      <c r="BM266" s="362">
        <f t="shared" ca="1" si="94"/>
        <v>0</v>
      </c>
    </row>
    <row r="267" spans="27:65">
      <c r="AA267" s="360">
        <f t="shared" si="89"/>
        <v>2033</v>
      </c>
      <c r="AB267" s="362">
        <f ca="1">'GHG Emissions'!M35</f>
        <v>246081.89871145709</v>
      </c>
      <c r="AC267" s="362"/>
      <c r="AD267" s="362">
        <f t="shared" ca="1" si="90"/>
        <v>103061.70176382855</v>
      </c>
      <c r="AE267" s="362"/>
      <c r="AF267" s="362" t="str">
        <f t="shared" ca="1" si="99"/>
        <v/>
      </c>
      <c r="AG267" s="362" t="str">
        <f t="shared" ca="1" si="99"/>
        <v/>
      </c>
      <c r="AH267" s="362" t="str">
        <f t="shared" ca="1" si="99"/>
        <v/>
      </c>
      <c r="AI267" s="362" t="str">
        <f t="shared" ca="1" si="99"/>
        <v/>
      </c>
      <c r="AJ267" s="362" t="str">
        <f t="shared" ca="1" si="99"/>
        <v/>
      </c>
      <c r="AK267" s="362" t="str">
        <f t="shared" ca="1" si="99"/>
        <v/>
      </c>
      <c r="AL267" s="362" t="str">
        <f t="shared" ca="1" si="99"/>
        <v/>
      </c>
      <c r="AM267" s="362" t="str">
        <f t="shared" ca="1" si="99"/>
        <v/>
      </c>
      <c r="AN267" s="362" t="str">
        <f t="shared" ca="1" si="99"/>
        <v/>
      </c>
      <c r="AO267" s="362" t="str">
        <f t="shared" ca="1" si="99"/>
        <v/>
      </c>
      <c r="AP267" s="362" t="str">
        <f t="shared" ca="1" si="100"/>
        <v/>
      </c>
      <c r="AQ267" s="362" t="str">
        <f t="shared" ca="1" si="100"/>
        <v/>
      </c>
      <c r="AR267" s="362" t="str">
        <f t="shared" ca="1" si="100"/>
        <v/>
      </c>
      <c r="AS267" s="362" t="str">
        <f t="shared" ca="1" si="100"/>
        <v/>
      </c>
      <c r="AT267" s="362" t="str">
        <f t="shared" ca="1" si="100"/>
        <v/>
      </c>
      <c r="AU267" s="362" t="str">
        <f t="shared" ca="1" si="100"/>
        <v/>
      </c>
      <c r="AV267" s="362">
        <f t="shared" ca="1" si="100"/>
        <v>497.52640520481702</v>
      </c>
      <c r="AW267" s="362">
        <f t="shared" ca="1" si="100"/>
        <v>1361.6171263411916</v>
      </c>
      <c r="AX267" s="362">
        <f t="shared" ca="1" si="100"/>
        <v>42.106365709288561</v>
      </c>
      <c r="AY267" s="362">
        <f t="shared" ca="1" si="100"/>
        <v>124.43697824242066</v>
      </c>
      <c r="AZ267" s="362">
        <f t="shared" ca="1" si="101"/>
        <v>21691.000531032216</v>
      </c>
      <c r="BA267" s="362">
        <f t="shared" ca="1" si="101"/>
        <v>3883.8387810981894</v>
      </c>
      <c r="BB267" s="362">
        <f t="shared" ca="1" si="101"/>
        <v>0</v>
      </c>
      <c r="BC267" s="362">
        <f t="shared" ca="1" si="101"/>
        <v>0</v>
      </c>
      <c r="BD267" s="362">
        <f t="shared" ca="1" si="101"/>
        <v>0</v>
      </c>
      <c r="BE267" s="362">
        <f t="shared" ca="1" si="101"/>
        <v>5845.4128478032089</v>
      </c>
      <c r="BF267" s="362">
        <f t="shared" ca="1" si="101"/>
        <v>10082.241603025503</v>
      </c>
      <c r="BG267" s="362">
        <f t="shared" ca="1" si="101"/>
        <v>13213.549505801528</v>
      </c>
      <c r="BH267" s="362">
        <f t="shared" ca="1" si="101"/>
        <v>13710.13521560043</v>
      </c>
      <c r="BI267" s="362">
        <f t="shared" ca="1" si="101"/>
        <v>5421.6452753228559</v>
      </c>
      <c r="BJ267" s="362">
        <f t="shared" ca="1" si="101"/>
        <v>48276.688308489764</v>
      </c>
      <c r="BK267" s="362">
        <f t="shared" ca="1" si="101"/>
        <v>15034.056763171931</v>
      </c>
      <c r="BL267" s="362">
        <f t="shared" ca="1" si="101"/>
        <v>3835.9412407851964</v>
      </c>
      <c r="BM267" s="362">
        <f t="shared" ca="1" si="94"/>
        <v>0</v>
      </c>
    </row>
    <row r="268" spans="27:65">
      <c r="AA268" s="360">
        <f t="shared" si="89"/>
        <v>2034</v>
      </c>
      <c r="AB268" s="362">
        <f ca="1">'GHG Emissions'!M36</f>
        <v>248455.87079375581</v>
      </c>
      <c r="AC268" s="362"/>
      <c r="AD268" s="362">
        <f t="shared" ca="1" si="90"/>
        <v>102748.76901703191</v>
      </c>
      <c r="AE268" s="362"/>
      <c r="AF268" s="362" t="str">
        <f t="shared" ca="1" si="99"/>
        <v/>
      </c>
      <c r="AG268" s="362" t="str">
        <f t="shared" ca="1" si="99"/>
        <v/>
      </c>
      <c r="AH268" s="362" t="str">
        <f t="shared" ca="1" si="99"/>
        <v/>
      </c>
      <c r="AI268" s="362" t="str">
        <f t="shared" ca="1" si="99"/>
        <v/>
      </c>
      <c r="AJ268" s="362" t="str">
        <f t="shared" ca="1" si="99"/>
        <v/>
      </c>
      <c r="AK268" s="362" t="str">
        <f t="shared" ca="1" si="99"/>
        <v/>
      </c>
      <c r="AL268" s="362" t="str">
        <f t="shared" ca="1" si="99"/>
        <v/>
      </c>
      <c r="AM268" s="362" t="str">
        <f t="shared" ca="1" si="99"/>
        <v/>
      </c>
      <c r="AN268" s="362" t="str">
        <f t="shared" ca="1" si="99"/>
        <v/>
      </c>
      <c r="AO268" s="362" t="str">
        <f t="shared" ca="1" si="99"/>
        <v/>
      </c>
      <c r="AP268" s="362" t="str">
        <f t="shared" ca="1" si="100"/>
        <v/>
      </c>
      <c r="AQ268" s="362" t="str">
        <f t="shared" ca="1" si="100"/>
        <v/>
      </c>
      <c r="AR268" s="362" t="str">
        <f t="shared" ca="1" si="100"/>
        <v/>
      </c>
      <c r="AS268" s="362" t="str">
        <f t="shared" ca="1" si="100"/>
        <v/>
      </c>
      <c r="AT268" s="362" t="str">
        <f t="shared" ca="1" si="100"/>
        <v/>
      </c>
      <c r="AU268" s="362" t="str">
        <f t="shared" ca="1" si="100"/>
        <v/>
      </c>
      <c r="AV268" s="362">
        <f t="shared" ca="1" si="100"/>
        <v>497.52640520481702</v>
      </c>
      <c r="AW268" s="362">
        <f t="shared" ca="1" si="100"/>
        <v>1361.6171263411916</v>
      </c>
      <c r="AX268" s="362">
        <f t="shared" ca="1" si="100"/>
        <v>42.106365709288561</v>
      </c>
      <c r="AY268" s="362">
        <f t="shared" ca="1" si="100"/>
        <v>124.43697824242066</v>
      </c>
      <c r="AZ268" s="362">
        <f t="shared" ca="1" si="101"/>
        <v>21892.924686774466</v>
      </c>
      <c r="BA268" s="362">
        <f t="shared" ca="1" si="101"/>
        <v>3919.9939075429229</v>
      </c>
      <c r="BB268" s="362">
        <f t="shared" ca="1" si="101"/>
        <v>0</v>
      </c>
      <c r="BC268" s="362">
        <f t="shared" ca="1" si="101"/>
        <v>0</v>
      </c>
      <c r="BD268" s="362">
        <f t="shared" ca="1" si="101"/>
        <v>0</v>
      </c>
      <c r="BE268" s="362">
        <f t="shared" ca="1" si="101"/>
        <v>5845.4128478032089</v>
      </c>
      <c r="BF268" s="362">
        <f t="shared" ca="1" si="101"/>
        <v>10082.241603025503</v>
      </c>
      <c r="BG268" s="362">
        <f t="shared" ca="1" si="101"/>
        <v>13213.549505801528</v>
      </c>
      <c r="BH268" s="362">
        <f t="shared" ca="1" si="101"/>
        <v>13710.13521560043</v>
      </c>
      <c r="BI268" s="362">
        <f t="shared" ca="1" si="101"/>
        <v>5421.6452753228559</v>
      </c>
      <c r="BJ268" s="362">
        <f t="shared" ca="1" si="101"/>
        <v>50288.216988010186</v>
      </c>
      <c r="BK268" s="362">
        <f t="shared" ca="1" si="101"/>
        <v>15475.872903654525</v>
      </c>
      <c r="BL268" s="362">
        <f t="shared" ca="1" si="101"/>
        <v>3831.4219676905486</v>
      </c>
      <c r="BM268" s="362">
        <f t="shared" ca="1" si="94"/>
        <v>0</v>
      </c>
    </row>
    <row r="269" spans="27:65">
      <c r="AA269" s="360">
        <f t="shared" si="89"/>
        <v>2035</v>
      </c>
      <c r="AB269" s="362">
        <f ca="1">'GHG Emissions'!M37</f>
        <v>250829.84287605452</v>
      </c>
      <c r="AC269" s="362"/>
      <c r="AD269" s="362">
        <f t="shared" ca="1" si="90"/>
        <v>102435.1730288695</v>
      </c>
      <c r="AE269" s="362"/>
      <c r="AF269" s="362" t="str">
        <f t="shared" ca="1" si="99"/>
        <v/>
      </c>
      <c r="AG269" s="362" t="str">
        <f t="shared" ca="1" si="99"/>
        <v/>
      </c>
      <c r="AH269" s="362" t="str">
        <f t="shared" ca="1" si="99"/>
        <v/>
      </c>
      <c r="AI269" s="362" t="str">
        <f t="shared" ca="1" si="99"/>
        <v/>
      </c>
      <c r="AJ269" s="362" t="str">
        <f t="shared" ca="1" si="99"/>
        <v/>
      </c>
      <c r="AK269" s="362" t="str">
        <f t="shared" ca="1" si="99"/>
        <v/>
      </c>
      <c r="AL269" s="362" t="str">
        <f t="shared" ca="1" si="99"/>
        <v/>
      </c>
      <c r="AM269" s="362" t="str">
        <f t="shared" ca="1" si="99"/>
        <v/>
      </c>
      <c r="AN269" s="362" t="str">
        <f t="shared" ca="1" si="99"/>
        <v/>
      </c>
      <c r="AO269" s="362" t="str">
        <f t="shared" ca="1" si="99"/>
        <v/>
      </c>
      <c r="AP269" s="362" t="str">
        <f t="shared" ca="1" si="100"/>
        <v/>
      </c>
      <c r="AQ269" s="362" t="str">
        <f t="shared" ca="1" si="100"/>
        <v/>
      </c>
      <c r="AR269" s="362" t="str">
        <f t="shared" ca="1" si="100"/>
        <v/>
      </c>
      <c r="AS269" s="362" t="str">
        <f t="shared" ca="1" si="100"/>
        <v/>
      </c>
      <c r="AT269" s="362" t="str">
        <f t="shared" ca="1" si="100"/>
        <v/>
      </c>
      <c r="AU269" s="362" t="str">
        <f t="shared" ca="1" si="100"/>
        <v/>
      </c>
      <c r="AV269" s="362">
        <f t="shared" ca="1" si="100"/>
        <v>497.52640520481702</v>
      </c>
      <c r="AW269" s="362">
        <f t="shared" ca="1" si="100"/>
        <v>1361.6171263411916</v>
      </c>
      <c r="AX269" s="362">
        <f t="shared" ca="1" si="100"/>
        <v>42.106365709288561</v>
      </c>
      <c r="AY269" s="362">
        <f t="shared" ca="1" si="100"/>
        <v>124.43697824242066</v>
      </c>
      <c r="AZ269" s="362">
        <f t="shared" ca="1" si="101"/>
        <v>22094.848842516731</v>
      </c>
      <c r="BA269" s="362">
        <f t="shared" ca="1" si="101"/>
        <v>3956.1490339876577</v>
      </c>
      <c r="BB269" s="362">
        <f t="shared" ca="1" si="101"/>
        <v>0</v>
      </c>
      <c r="BC269" s="362">
        <f t="shared" ca="1" si="101"/>
        <v>0</v>
      </c>
      <c r="BD269" s="362">
        <f t="shared" ca="1" si="101"/>
        <v>0</v>
      </c>
      <c r="BE269" s="362">
        <f t="shared" ca="1" si="101"/>
        <v>5845.4128478032089</v>
      </c>
      <c r="BF269" s="362">
        <f t="shared" ca="1" si="101"/>
        <v>10082.241603025503</v>
      </c>
      <c r="BG269" s="362">
        <f t="shared" ca="1" si="101"/>
        <v>13213.549505801528</v>
      </c>
      <c r="BH269" s="362">
        <f t="shared" ca="1" si="101"/>
        <v>13710.13521560043</v>
      </c>
      <c r="BI269" s="362">
        <f t="shared" ca="1" si="101"/>
        <v>5421.6452753228559</v>
      </c>
      <c r="BJ269" s="362">
        <f t="shared" ca="1" si="101"/>
        <v>52299.745667530602</v>
      </c>
      <c r="BK269" s="362">
        <f t="shared" ca="1" si="101"/>
        <v>15918.381967598942</v>
      </c>
      <c r="BL269" s="362">
        <f t="shared" ca="1" si="101"/>
        <v>3826.8730124998601</v>
      </c>
      <c r="BM269" s="362">
        <f t="shared" ca="1" si="94"/>
        <v>0</v>
      </c>
    </row>
    <row r="270" spans="27:65">
      <c r="AA270" s="360">
        <f t="shared" si="89"/>
        <v>2036</v>
      </c>
      <c r="AB270" s="362">
        <f ca="1">'GHG Emissions'!M38</f>
        <v>253203.81495835329</v>
      </c>
      <c r="AC270" s="362"/>
      <c r="AD270" s="362">
        <f t="shared" ca="1" si="90"/>
        <v>102120.9318186914</v>
      </c>
      <c r="AE270" s="362"/>
      <c r="AF270" s="362" t="str">
        <f t="shared" ca="1" si="99"/>
        <v/>
      </c>
      <c r="AG270" s="362" t="str">
        <f t="shared" ca="1" si="99"/>
        <v/>
      </c>
      <c r="AH270" s="362" t="str">
        <f t="shared" ca="1" si="99"/>
        <v/>
      </c>
      <c r="AI270" s="362" t="str">
        <f t="shared" ca="1" si="99"/>
        <v/>
      </c>
      <c r="AJ270" s="362" t="str">
        <f t="shared" ca="1" si="99"/>
        <v/>
      </c>
      <c r="AK270" s="362" t="str">
        <f t="shared" ca="1" si="99"/>
        <v/>
      </c>
      <c r="AL270" s="362" t="str">
        <f t="shared" ca="1" si="99"/>
        <v/>
      </c>
      <c r="AM270" s="362" t="str">
        <f t="shared" ca="1" si="99"/>
        <v/>
      </c>
      <c r="AN270" s="362" t="str">
        <f t="shared" ca="1" si="99"/>
        <v/>
      </c>
      <c r="AO270" s="362" t="str">
        <f t="shared" ca="1" si="99"/>
        <v/>
      </c>
      <c r="AP270" s="362" t="str">
        <f t="shared" ca="1" si="100"/>
        <v/>
      </c>
      <c r="AQ270" s="362" t="str">
        <f t="shared" ca="1" si="100"/>
        <v/>
      </c>
      <c r="AR270" s="362" t="str">
        <f t="shared" ca="1" si="100"/>
        <v/>
      </c>
      <c r="AS270" s="362" t="str">
        <f t="shared" ca="1" si="100"/>
        <v/>
      </c>
      <c r="AT270" s="362" t="str">
        <f t="shared" ca="1" si="100"/>
        <v/>
      </c>
      <c r="AU270" s="362" t="str">
        <f t="shared" ca="1" si="100"/>
        <v/>
      </c>
      <c r="AV270" s="362">
        <f t="shared" ca="1" si="100"/>
        <v>497.52640520481702</v>
      </c>
      <c r="AW270" s="362">
        <f t="shared" ca="1" si="100"/>
        <v>1361.6171263411916</v>
      </c>
      <c r="AX270" s="362">
        <f t="shared" ca="1" si="100"/>
        <v>42.106365709288561</v>
      </c>
      <c r="AY270" s="362">
        <f t="shared" ca="1" si="100"/>
        <v>124.43697824242066</v>
      </c>
      <c r="AZ270" s="362">
        <f t="shared" ca="1" si="101"/>
        <v>22296.772998258981</v>
      </c>
      <c r="BA270" s="362">
        <f t="shared" ca="1" si="101"/>
        <v>3992.3041604323935</v>
      </c>
      <c r="BB270" s="362">
        <f t="shared" ca="1" si="101"/>
        <v>0</v>
      </c>
      <c r="BC270" s="362">
        <f t="shared" ca="1" si="101"/>
        <v>0</v>
      </c>
      <c r="BD270" s="362">
        <f t="shared" ca="1" si="101"/>
        <v>0</v>
      </c>
      <c r="BE270" s="362">
        <f t="shared" ca="1" si="101"/>
        <v>5845.4128478032089</v>
      </c>
      <c r="BF270" s="362">
        <f t="shared" ca="1" si="101"/>
        <v>10082.241603025503</v>
      </c>
      <c r="BG270" s="362">
        <f t="shared" ca="1" si="101"/>
        <v>13213.549505801528</v>
      </c>
      <c r="BH270" s="362">
        <f t="shared" ca="1" si="101"/>
        <v>13710.13521560043</v>
      </c>
      <c r="BI270" s="362">
        <f t="shared" ca="1" si="101"/>
        <v>5421.6452753228559</v>
      </c>
      <c r="BJ270" s="362">
        <f t="shared" ca="1" si="101"/>
        <v>54311.274347050989</v>
      </c>
      <c r="BK270" s="362">
        <f t="shared" ca="1" si="101"/>
        <v>16361.565129233688</v>
      </c>
      <c r="BL270" s="362">
        <f t="shared" ca="1" si="101"/>
        <v>3822.2951816346049</v>
      </c>
      <c r="BM270" s="362">
        <f t="shared" ca="1" si="94"/>
        <v>0</v>
      </c>
    </row>
    <row r="271" spans="27:65">
      <c r="AA271" s="360">
        <f t="shared" si="89"/>
        <v>2037</v>
      </c>
      <c r="AB271" s="362">
        <f ca="1">'GHG Emissions'!M39</f>
        <v>255577.78704065201</v>
      </c>
      <c r="AC271" s="362"/>
      <c r="AD271" s="362">
        <f t="shared" ca="1" si="90"/>
        <v>101806.06275895832</v>
      </c>
      <c r="AE271" s="362"/>
      <c r="AF271" s="362" t="str">
        <f t="shared" ca="1" si="99"/>
        <v/>
      </c>
      <c r="AG271" s="362" t="str">
        <f t="shared" ca="1" si="99"/>
        <v/>
      </c>
      <c r="AH271" s="362" t="str">
        <f t="shared" ca="1" si="99"/>
        <v/>
      </c>
      <c r="AI271" s="362" t="str">
        <f t="shared" ca="1" si="99"/>
        <v/>
      </c>
      <c r="AJ271" s="362" t="str">
        <f t="shared" ca="1" si="99"/>
        <v/>
      </c>
      <c r="AK271" s="362" t="str">
        <f t="shared" ca="1" si="99"/>
        <v/>
      </c>
      <c r="AL271" s="362" t="str">
        <f t="shared" ca="1" si="99"/>
        <v/>
      </c>
      <c r="AM271" s="362" t="str">
        <f t="shared" ca="1" si="99"/>
        <v/>
      </c>
      <c r="AN271" s="362" t="str">
        <f t="shared" ca="1" si="99"/>
        <v/>
      </c>
      <c r="AO271" s="362" t="str">
        <f t="shared" ca="1" si="99"/>
        <v/>
      </c>
      <c r="AP271" s="362" t="str">
        <f t="shared" ca="1" si="100"/>
        <v/>
      </c>
      <c r="AQ271" s="362" t="str">
        <f t="shared" ca="1" si="100"/>
        <v/>
      </c>
      <c r="AR271" s="362" t="str">
        <f t="shared" ca="1" si="100"/>
        <v/>
      </c>
      <c r="AS271" s="362" t="str">
        <f t="shared" ca="1" si="100"/>
        <v/>
      </c>
      <c r="AT271" s="362" t="str">
        <f t="shared" ca="1" si="100"/>
        <v/>
      </c>
      <c r="AU271" s="362" t="str">
        <f t="shared" ca="1" si="100"/>
        <v/>
      </c>
      <c r="AV271" s="362">
        <f t="shared" ca="1" si="100"/>
        <v>497.52640520481702</v>
      </c>
      <c r="AW271" s="362">
        <f t="shared" ca="1" si="100"/>
        <v>1361.6171263411916</v>
      </c>
      <c r="AX271" s="362">
        <f t="shared" ca="1" si="100"/>
        <v>42.106365709288561</v>
      </c>
      <c r="AY271" s="362">
        <f t="shared" ca="1" si="100"/>
        <v>124.43697824242066</v>
      </c>
      <c r="AZ271" s="362">
        <f t="shared" ca="1" si="101"/>
        <v>22498.697154001231</v>
      </c>
      <c r="BA271" s="362">
        <f t="shared" ca="1" si="101"/>
        <v>4028.4592868771292</v>
      </c>
      <c r="BB271" s="362">
        <f t="shared" ca="1" si="101"/>
        <v>0</v>
      </c>
      <c r="BC271" s="362">
        <f t="shared" ca="1" si="101"/>
        <v>0</v>
      </c>
      <c r="BD271" s="362">
        <f t="shared" ca="1" si="101"/>
        <v>0</v>
      </c>
      <c r="BE271" s="362">
        <f t="shared" ca="1" si="101"/>
        <v>5845.4128478032089</v>
      </c>
      <c r="BF271" s="362">
        <f t="shared" ca="1" si="101"/>
        <v>10082.241603025503</v>
      </c>
      <c r="BG271" s="362">
        <f t="shared" ca="1" si="101"/>
        <v>13213.549505801528</v>
      </c>
      <c r="BH271" s="362">
        <f t="shared" ca="1" si="101"/>
        <v>13710.13521560043</v>
      </c>
      <c r="BI271" s="362">
        <f t="shared" ca="1" si="101"/>
        <v>5421.6452753228559</v>
      </c>
      <c r="BJ271" s="362">
        <f t="shared" ca="1" si="101"/>
        <v>56322.803026571382</v>
      </c>
      <c r="BK271" s="362">
        <f t="shared" ca="1" si="101"/>
        <v>16805.404238626754</v>
      </c>
      <c r="BL271" s="362">
        <f t="shared" ca="1" si="101"/>
        <v>3817.6892525659619</v>
      </c>
      <c r="BM271" s="362">
        <f t="shared" ca="1" si="94"/>
        <v>0</v>
      </c>
    </row>
    <row r="272" spans="27:65">
      <c r="AA272" s="360">
        <f t="shared" si="89"/>
        <v>2038</v>
      </c>
      <c r="AB272" s="362">
        <f ca="1">'GHG Emissions'!M40</f>
        <v>257951.75912295078</v>
      </c>
      <c r="AC272" s="362"/>
      <c r="AD272" s="362">
        <f t="shared" ca="1" si="90"/>
        <v>101490.58260401228</v>
      </c>
      <c r="AE272" s="362"/>
      <c r="AF272" s="362" t="str">
        <f t="shared" ca="1" si="99"/>
        <v/>
      </c>
      <c r="AG272" s="362" t="str">
        <f t="shared" ca="1" si="99"/>
        <v/>
      </c>
      <c r="AH272" s="362" t="str">
        <f t="shared" ca="1" si="99"/>
        <v/>
      </c>
      <c r="AI272" s="362" t="str">
        <f t="shared" ca="1" si="99"/>
        <v/>
      </c>
      <c r="AJ272" s="362" t="str">
        <f t="shared" ca="1" si="99"/>
        <v/>
      </c>
      <c r="AK272" s="362" t="str">
        <f t="shared" ca="1" si="99"/>
        <v/>
      </c>
      <c r="AL272" s="362" t="str">
        <f t="shared" ca="1" si="99"/>
        <v/>
      </c>
      <c r="AM272" s="362" t="str">
        <f t="shared" ca="1" si="99"/>
        <v/>
      </c>
      <c r="AN272" s="362" t="str">
        <f t="shared" ca="1" si="99"/>
        <v/>
      </c>
      <c r="AO272" s="362" t="str">
        <f t="shared" ca="1" si="99"/>
        <v/>
      </c>
      <c r="AP272" s="362" t="str">
        <f t="shared" ca="1" si="100"/>
        <v/>
      </c>
      <c r="AQ272" s="362" t="str">
        <f t="shared" ca="1" si="100"/>
        <v/>
      </c>
      <c r="AR272" s="362" t="str">
        <f t="shared" ca="1" si="100"/>
        <v/>
      </c>
      <c r="AS272" s="362" t="str">
        <f t="shared" ca="1" si="100"/>
        <v/>
      </c>
      <c r="AT272" s="362" t="str">
        <f t="shared" ca="1" si="100"/>
        <v/>
      </c>
      <c r="AU272" s="362" t="str">
        <f t="shared" ca="1" si="100"/>
        <v/>
      </c>
      <c r="AV272" s="362">
        <f t="shared" ca="1" si="100"/>
        <v>497.52640520481702</v>
      </c>
      <c r="AW272" s="362">
        <f t="shared" ca="1" si="100"/>
        <v>1361.6171263411916</v>
      </c>
      <c r="AX272" s="362">
        <f t="shared" ca="1" si="100"/>
        <v>42.106365709288561</v>
      </c>
      <c r="AY272" s="362">
        <f t="shared" ca="1" si="100"/>
        <v>124.43697824242066</v>
      </c>
      <c r="AZ272" s="362">
        <f t="shared" ca="1" si="101"/>
        <v>22700.621309743496</v>
      </c>
      <c r="BA272" s="362">
        <f t="shared" ca="1" si="101"/>
        <v>4064.6144133218636</v>
      </c>
      <c r="BB272" s="362">
        <f t="shared" ca="1" si="101"/>
        <v>0</v>
      </c>
      <c r="BC272" s="362">
        <f t="shared" ca="1" si="101"/>
        <v>0</v>
      </c>
      <c r="BD272" s="362">
        <f t="shared" ca="1" si="101"/>
        <v>0</v>
      </c>
      <c r="BE272" s="362">
        <f t="shared" ca="1" si="101"/>
        <v>5845.4128478032089</v>
      </c>
      <c r="BF272" s="362">
        <f t="shared" ca="1" si="101"/>
        <v>10082.241603025503</v>
      </c>
      <c r="BG272" s="362">
        <f t="shared" ca="1" si="101"/>
        <v>13213.549505801528</v>
      </c>
      <c r="BH272" s="362">
        <f t="shared" ca="1" si="101"/>
        <v>13710.13521560043</v>
      </c>
      <c r="BI272" s="362">
        <f t="shared" ca="1" si="101"/>
        <v>5421.6452753228559</v>
      </c>
      <c r="BJ272" s="362">
        <f t="shared" ca="1" si="101"/>
        <v>58334.331706091805</v>
      </c>
      <c r="BK272" s="362">
        <f t="shared" ca="1" si="101"/>
        <v>17249.881791627668</v>
      </c>
      <c r="BL272" s="362">
        <f t="shared" ca="1" si="101"/>
        <v>3813.0559751023975</v>
      </c>
      <c r="BM272" s="362">
        <f t="shared" ca="1" si="94"/>
        <v>0</v>
      </c>
    </row>
    <row r="273" spans="27:65">
      <c r="AA273" s="360">
        <f t="shared" si="89"/>
        <v>2039</v>
      </c>
      <c r="AB273" s="362">
        <f ca="1">'GHG Emissions'!M41</f>
        <v>260325.7312052495</v>
      </c>
      <c r="AC273" s="362"/>
      <c r="AD273" s="362">
        <f t="shared" ca="1" si="90"/>
        <v>101174.50751732543</v>
      </c>
      <c r="AE273" s="362"/>
      <c r="AF273" s="362" t="str">
        <f t="shared" ca="1" si="99"/>
        <v/>
      </c>
      <c r="AG273" s="362" t="str">
        <f t="shared" ca="1" si="99"/>
        <v/>
      </c>
      <c r="AH273" s="362" t="str">
        <f t="shared" ca="1" si="99"/>
        <v/>
      </c>
      <c r="AI273" s="362" t="str">
        <f t="shared" ca="1" si="99"/>
        <v/>
      </c>
      <c r="AJ273" s="362" t="str">
        <f t="shared" ca="1" si="99"/>
        <v/>
      </c>
      <c r="AK273" s="362" t="str">
        <f t="shared" ca="1" si="99"/>
        <v/>
      </c>
      <c r="AL273" s="362" t="str">
        <f t="shared" ca="1" si="99"/>
        <v/>
      </c>
      <c r="AM273" s="362" t="str">
        <f t="shared" ca="1" si="99"/>
        <v/>
      </c>
      <c r="AN273" s="362" t="str">
        <f t="shared" ca="1" si="99"/>
        <v/>
      </c>
      <c r="AO273" s="362" t="str">
        <f t="shared" ca="1" si="99"/>
        <v/>
      </c>
      <c r="AP273" s="362" t="str">
        <f t="shared" ca="1" si="100"/>
        <v/>
      </c>
      <c r="AQ273" s="362" t="str">
        <f t="shared" ca="1" si="100"/>
        <v/>
      </c>
      <c r="AR273" s="362" t="str">
        <f t="shared" ca="1" si="100"/>
        <v/>
      </c>
      <c r="AS273" s="362" t="str">
        <f t="shared" ca="1" si="100"/>
        <v/>
      </c>
      <c r="AT273" s="362" t="str">
        <f t="shared" ca="1" si="100"/>
        <v/>
      </c>
      <c r="AU273" s="362" t="str">
        <f t="shared" ca="1" si="100"/>
        <v/>
      </c>
      <c r="AV273" s="362">
        <f t="shared" ca="1" si="100"/>
        <v>497.52640520481702</v>
      </c>
      <c r="AW273" s="362">
        <f t="shared" ca="1" si="100"/>
        <v>1361.6171263411916</v>
      </c>
      <c r="AX273" s="362">
        <f t="shared" ca="1" si="100"/>
        <v>42.106365709288561</v>
      </c>
      <c r="AY273" s="362">
        <f t="shared" ca="1" si="100"/>
        <v>124.43697824242066</v>
      </c>
      <c r="AZ273" s="362">
        <f t="shared" ca="1" si="101"/>
        <v>22902.545465485746</v>
      </c>
      <c r="BA273" s="362">
        <f t="shared" ca="1" si="101"/>
        <v>4100.7695397665984</v>
      </c>
      <c r="BB273" s="362">
        <f t="shared" ca="1" si="101"/>
        <v>0</v>
      </c>
      <c r="BC273" s="362">
        <f t="shared" ca="1" si="101"/>
        <v>0</v>
      </c>
      <c r="BD273" s="362">
        <f t="shared" ca="1" si="101"/>
        <v>0</v>
      </c>
      <c r="BE273" s="362">
        <f t="shared" ca="1" si="101"/>
        <v>5845.4128478032089</v>
      </c>
      <c r="BF273" s="362">
        <f t="shared" ca="1" si="101"/>
        <v>10082.241603025503</v>
      </c>
      <c r="BG273" s="362">
        <f t="shared" ca="1" si="101"/>
        <v>13213.549505801528</v>
      </c>
      <c r="BH273" s="362">
        <f t="shared" ca="1" si="101"/>
        <v>13710.13521560043</v>
      </c>
      <c r="BI273" s="362">
        <f t="shared" ca="1" si="101"/>
        <v>5421.6452753228559</v>
      </c>
      <c r="BJ273" s="362">
        <f t="shared" ca="1" si="101"/>
        <v>60345.860385612221</v>
      </c>
      <c r="BK273" s="362">
        <f t="shared" ca="1" si="101"/>
        <v>17694.980901399122</v>
      </c>
      <c r="BL273" s="362">
        <f t="shared" ca="1" si="101"/>
        <v>3808.39607260912</v>
      </c>
      <c r="BM273" s="362">
        <f t="shared" ca="1" si="94"/>
        <v>0</v>
      </c>
    </row>
    <row r="274" spans="27:65">
      <c r="AA274" s="360">
        <f t="shared" si="89"/>
        <v>2040</v>
      </c>
      <c r="AB274" s="362">
        <f ca="1">'GHG Emissions'!M42</f>
        <v>262699.70328754815</v>
      </c>
      <c r="AC274" s="362"/>
      <c r="AD274" s="362">
        <f t="shared" ca="1" si="90"/>
        <v>100857.85309731975</v>
      </c>
      <c r="AE274" s="362"/>
      <c r="AF274" s="362" t="str">
        <f t="shared" ref="AF274:AO284" ca="1" si="102">IFERROR(-HLOOKUP(AF$50,Scope2Table,$AA274-$AA$244+2,FALSE),"")</f>
        <v/>
      </c>
      <c r="AG274" s="362" t="str">
        <f t="shared" ca="1" si="102"/>
        <v/>
      </c>
      <c r="AH274" s="362" t="str">
        <f t="shared" ca="1" si="102"/>
        <v/>
      </c>
      <c r="AI274" s="362" t="str">
        <f t="shared" ca="1" si="102"/>
        <v/>
      </c>
      <c r="AJ274" s="362" t="str">
        <f t="shared" ca="1" si="102"/>
        <v/>
      </c>
      <c r="AK274" s="362" t="str">
        <f t="shared" ca="1" si="102"/>
        <v/>
      </c>
      <c r="AL274" s="362" t="str">
        <f t="shared" ca="1" si="102"/>
        <v/>
      </c>
      <c r="AM274" s="362" t="str">
        <f t="shared" ca="1" si="102"/>
        <v/>
      </c>
      <c r="AN274" s="362" t="str">
        <f t="shared" ca="1" si="102"/>
        <v/>
      </c>
      <c r="AO274" s="362" t="str">
        <f t="shared" ca="1" si="102"/>
        <v/>
      </c>
      <c r="AP274" s="362" t="str">
        <f t="shared" ref="AP274:AY284" ca="1" si="103">IFERROR(-HLOOKUP(AP$50,Scope2Table,$AA274-$AA$244+2,FALSE),"")</f>
        <v/>
      </c>
      <c r="AQ274" s="362" t="str">
        <f t="shared" ca="1" si="103"/>
        <v/>
      </c>
      <c r="AR274" s="362" t="str">
        <f t="shared" ca="1" si="103"/>
        <v/>
      </c>
      <c r="AS274" s="362" t="str">
        <f t="shared" ca="1" si="103"/>
        <v/>
      </c>
      <c r="AT274" s="362" t="str">
        <f t="shared" ca="1" si="103"/>
        <v/>
      </c>
      <c r="AU274" s="362" t="str">
        <f t="shared" ca="1" si="103"/>
        <v/>
      </c>
      <c r="AV274" s="362">
        <f t="shared" ca="1" si="103"/>
        <v>497.52640520481702</v>
      </c>
      <c r="AW274" s="362">
        <f t="shared" ca="1" si="103"/>
        <v>1361.6171263411916</v>
      </c>
      <c r="AX274" s="362">
        <f t="shared" ca="1" si="103"/>
        <v>42.106365709288561</v>
      </c>
      <c r="AY274" s="362">
        <f t="shared" ca="1" si="103"/>
        <v>124.43697824242066</v>
      </c>
      <c r="AZ274" s="362">
        <f t="shared" ref="AZ274:BL284" ca="1" si="104">IFERROR(-HLOOKUP(AZ$50,Scope2Table,$AA274-$AA$244+2,FALSE),"")</f>
        <v>23104.469621227996</v>
      </c>
      <c r="BA274" s="362">
        <f t="shared" ca="1" si="104"/>
        <v>4136.9246662113328</v>
      </c>
      <c r="BB274" s="362">
        <f t="shared" ca="1" si="104"/>
        <v>0</v>
      </c>
      <c r="BC274" s="362">
        <f t="shared" ca="1" si="104"/>
        <v>0</v>
      </c>
      <c r="BD274" s="362">
        <f t="shared" ca="1" si="104"/>
        <v>0</v>
      </c>
      <c r="BE274" s="362">
        <f t="shared" ca="1" si="104"/>
        <v>5845.4128478032089</v>
      </c>
      <c r="BF274" s="362">
        <f t="shared" ca="1" si="104"/>
        <v>10082.241603025503</v>
      </c>
      <c r="BG274" s="362">
        <f t="shared" ca="1" si="104"/>
        <v>13213.549505801528</v>
      </c>
      <c r="BH274" s="362">
        <f t="shared" ca="1" si="104"/>
        <v>13710.13521560043</v>
      </c>
      <c r="BI274" s="362">
        <f t="shared" ca="1" si="104"/>
        <v>5421.6452753228559</v>
      </c>
      <c r="BJ274" s="362">
        <f t="shared" ca="1" si="104"/>
        <v>62357.389065132607</v>
      </c>
      <c r="BK274" s="362">
        <f t="shared" ca="1" si="104"/>
        <v>18140.685271441605</v>
      </c>
      <c r="BL274" s="362">
        <f t="shared" ca="1" si="104"/>
        <v>3803.7102431636122</v>
      </c>
      <c r="BM274" s="362">
        <f t="shared" ca="1" si="94"/>
        <v>0</v>
      </c>
    </row>
    <row r="275" spans="27:65">
      <c r="AA275" s="360">
        <f t="shared" si="89"/>
        <v>2041</v>
      </c>
      <c r="AB275" s="362">
        <f ca="1">'GHG Emissions'!M43</f>
        <v>265073.67536984698</v>
      </c>
      <c r="AC275" s="362"/>
      <c r="AD275" s="362">
        <f t="shared" ca="1" si="90"/>
        <v>100540.63440184505</v>
      </c>
      <c r="AE275" s="362"/>
      <c r="AF275" s="362" t="str">
        <f t="shared" ca="1" si="102"/>
        <v/>
      </c>
      <c r="AG275" s="362" t="str">
        <f t="shared" ca="1" si="102"/>
        <v/>
      </c>
      <c r="AH275" s="362" t="str">
        <f t="shared" ca="1" si="102"/>
        <v/>
      </c>
      <c r="AI275" s="362" t="str">
        <f t="shared" ca="1" si="102"/>
        <v/>
      </c>
      <c r="AJ275" s="362" t="str">
        <f t="shared" ca="1" si="102"/>
        <v/>
      </c>
      <c r="AK275" s="362" t="str">
        <f t="shared" ca="1" si="102"/>
        <v/>
      </c>
      <c r="AL275" s="362" t="str">
        <f t="shared" ca="1" si="102"/>
        <v/>
      </c>
      <c r="AM275" s="362" t="str">
        <f t="shared" ca="1" si="102"/>
        <v/>
      </c>
      <c r="AN275" s="362" t="str">
        <f t="shared" ca="1" si="102"/>
        <v/>
      </c>
      <c r="AO275" s="362" t="str">
        <f t="shared" ca="1" si="102"/>
        <v/>
      </c>
      <c r="AP275" s="362" t="str">
        <f t="shared" ca="1" si="103"/>
        <v/>
      </c>
      <c r="AQ275" s="362" t="str">
        <f t="shared" ca="1" si="103"/>
        <v/>
      </c>
      <c r="AR275" s="362" t="str">
        <f t="shared" ca="1" si="103"/>
        <v/>
      </c>
      <c r="AS275" s="362" t="str">
        <f t="shared" ca="1" si="103"/>
        <v/>
      </c>
      <c r="AT275" s="362" t="str">
        <f t="shared" ca="1" si="103"/>
        <v/>
      </c>
      <c r="AU275" s="362" t="str">
        <f t="shared" ca="1" si="103"/>
        <v/>
      </c>
      <c r="AV275" s="362">
        <f t="shared" ca="1" si="103"/>
        <v>497.52640520481702</v>
      </c>
      <c r="AW275" s="362">
        <f t="shared" ca="1" si="103"/>
        <v>1361.6171263411916</v>
      </c>
      <c r="AX275" s="362">
        <f t="shared" ca="1" si="103"/>
        <v>42.106365709288561</v>
      </c>
      <c r="AY275" s="362">
        <f t="shared" ca="1" si="103"/>
        <v>124.43697824242066</v>
      </c>
      <c r="AZ275" s="362">
        <f t="shared" ca="1" si="104"/>
        <v>23306.393776970261</v>
      </c>
      <c r="BA275" s="362">
        <f t="shared" ca="1" si="104"/>
        <v>4173.0797926560681</v>
      </c>
      <c r="BB275" s="362">
        <f t="shared" ca="1" si="104"/>
        <v>0</v>
      </c>
      <c r="BC275" s="362">
        <f t="shared" ca="1" si="104"/>
        <v>0</v>
      </c>
      <c r="BD275" s="362">
        <f t="shared" ca="1" si="104"/>
        <v>0</v>
      </c>
      <c r="BE275" s="362">
        <f t="shared" ca="1" si="104"/>
        <v>5845.4128478032089</v>
      </c>
      <c r="BF275" s="362">
        <f t="shared" ca="1" si="104"/>
        <v>10082.241603025503</v>
      </c>
      <c r="BG275" s="362">
        <f t="shared" ca="1" si="104"/>
        <v>13213.549505801528</v>
      </c>
      <c r="BH275" s="362">
        <f t="shared" ca="1" si="104"/>
        <v>13710.13521560043</v>
      </c>
      <c r="BI275" s="362">
        <f t="shared" ca="1" si="104"/>
        <v>5421.6452753228559</v>
      </c>
      <c r="BJ275" s="362">
        <f t="shared" ca="1" si="104"/>
        <v>64368.91774465303</v>
      </c>
      <c r="BK275" s="362">
        <f t="shared" ca="1" si="104"/>
        <v>18586.97917002024</v>
      </c>
      <c r="BL275" s="362">
        <f t="shared" ca="1" si="104"/>
        <v>3798.9991606510753</v>
      </c>
      <c r="BM275" s="362">
        <f t="shared" ca="1" si="94"/>
        <v>0</v>
      </c>
    </row>
    <row r="276" spans="27:65">
      <c r="AA276" s="360">
        <f t="shared" si="89"/>
        <v>2042</v>
      </c>
      <c r="AB276" s="362">
        <f ca="1">'GHG Emissions'!M44</f>
        <v>267447.6474521457</v>
      </c>
      <c r="AC276" s="362"/>
      <c r="AD276" s="362">
        <f t="shared" ca="1" si="90"/>
        <v>100222.86597139464</v>
      </c>
      <c r="AE276" s="362"/>
      <c r="AF276" s="362" t="str">
        <f t="shared" ca="1" si="102"/>
        <v/>
      </c>
      <c r="AG276" s="362" t="str">
        <f t="shared" ca="1" si="102"/>
        <v/>
      </c>
      <c r="AH276" s="362" t="str">
        <f t="shared" ca="1" si="102"/>
        <v/>
      </c>
      <c r="AI276" s="362" t="str">
        <f t="shared" ca="1" si="102"/>
        <v/>
      </c>
      <c r="AJ276" s="362" t="str">
        <f t="shared" ca="1" si="102"/>
        <v/>
      </c>
      <c r="AK276" s="362" t="str">
        <f t="shared" ca="1" si="102"/>
        <v/>
      </c>
      <c r="AL276" s="362" t="str">
        <f t="shared" ca="1" si="102"/>
        <v/>
      </c>
      <c r="AM276" s="362" t="str">
        <f t="shared" ca="1" si="102"/>
        <v/>
      </c>
      <c r="AN276" s="362" t="str">
        <f t="shared" ca="1" si="102"/>
        <v/>
      </c>
      <c r="AO276" s="362" t="str">
        <f t="shared" ca="1" si="102"/>
        <v/>
      </c>
      <c r="AP276" s="362" t="str">
        <f t="shared" ca="1" si="103"/>
        <v/>
      </c>
      <c r="AQ276" s="362" t="str">
        <f t="shared" ca="1" si="103"/>
        <v/>
      </c>
      <c r="AR276" s="362" t="str">
        <f t="shared" ca="1" si="103"/>
        <v/>
      </c>
      <c r="AS276" s="362" t="str">
        <f t="shared" ca="1" si="103"/>
        <v/>
      </c>
      <c r="AT276" s="362" t="str">
        <f t="shared" ca="1" si="103"/>
        <v/>
      </c>
      <c r="AU276" s="362" t="str">
        <f t="shared" ca="1" si="103"/>
        <v/>
      </c>
      <c r="AV276" s="362">
        <f t="shared" ca="1" si="103"/>
        <v>497.52640520481702</v>
      </c>
      <c r="AW276" s="362">
        <f t="shared" ca="1" si="103"/>
        <v>1361.6171263411916</v>
      </c>
      <c r="AX276" s="362">
        <f t="shared" ca="1" si="103"/>
        <v>42.106365709288561</v>
      </c>
      <c r="AY276" s="362">
        <f t="shared" ca="1" si="103"/>
        <v>124.43697824242066</v>
      </c>
      <c r="AZ276" s="362">
        <f t="shared" ca="1" si="104"/>
        <v>23508.317932712511</v>
      </c>
      <c r="BA276" s="362">
        <f t="shared" ca="1" si="104"/>
        <v>4209.2349191008025</v>
      </c>
      <c r="BB276" s="362">
        <f t="shared" ca="1" si="104"/>
        <v>0</v>
      </c>
      <c r="BC276" s="362">
        <f t="shared" ca="1" si="104"/>
        <v>0</v>
      </c>
      <c r="BD276" s="362">
        <f t="shared" ca="1" si="104"/>
        <v>0</v>
      </c>
      <c r="BE276" s="362">
        <f t="shared" ca="1" si="104"/>
        <v>5845.4128478032089</v>
      </c>
      <c r="BF276" s="362">
        <f t="shared" ca="1" si="104"/>
        <v>10082.241603025503</v>
      </c>
      <c r="BG276" s="362">
        <f t="shared" ca="1" si="104"/>
        <v>13213.549505801528</v>
      </c>
      <c r="BH276" s="362">
        <f t="shared" ca="1" si="104"/>
        <v>13710.13521560043</v>
      </c>
      <c r="BI276" s="362">
        <f t="shared" ca="1" si="104"/>
        <v>5421.6452753228559</v>
      </c>
      <c r="BJ276" s="362">
        <f t="shared" ca="1" si="104"/>
        <v>66380.446424173453</v>
      </c>
      <c r="BK276" s="362">
        <f t="shared" ca="1" si="104"/>
        <v>19033.847405909608</v>
      </c>
      <c r="BL276" s="362">
        <f t="shared" ca="1" si="104"/>
        <v>3794.2634758034219</v>
      </c>
      <c r="BM276" s="362">
        <f t="shared" ca="1" si="94"/>
        <v>0</v>
      </c>
    </row>
    <row r="277" spans="27:65">
      <c r="AA277" s="360">
        <f t="shared" si="89"/>
        <v>2043</v>
      </c>
      <c r="AB277" s="362">
        <f ca="1">'GHG Emissions'!M45</f>
        <v>269821.61953444441</v>
      </c>
      <c r="AC277" s="362"/>
      <c r="AD277" s="362">
        <f t="shared" ca="1" si="90"/>
        <v>99904.561851135746</v>
      </c>
      <c r="AE277" s="362"/>
      <c r="AF277" s="362" t="str">
        <f t="shared" ca="1" si="102"/>
        <v/>
      </c>
      <c r="AG277" s="362" t="str">
        <f t="shared" ca="1" si="102"/>
        <v/>
      </c>
      <c r="AH277" s="362" t="str">
        <f t="shared" ca="1" si="102"/>
        <v/>
      </c>
      <c r="AI277" s="362" t="str">
        <f t="shared" ca="1" si="102"/>
        <v/>
      </c>
      <c r="AJ277" s="362" t="str">
        <f t="shared" ca="1" si="102"/>
        <v/>
      </c>
      <c r="AK277" s="362" t="str">
        <f t="shared" ca="1" si="102"/>
        <v/>
      </c>
      <c r="AL277" s="362" t="str">
        <f t="shared" ca="1" si="102"/>
        <v/>
      </c>
      <c r="AM277" s="362" t="str">
        <f t="shared" ca="1" si="102"/>
        <v/>
      </c>
      <c r="AN277" s="362" t="str">
        <f t="shared" ca="1" si="102"/>
        <v/>
      </c>
      <c r="AO277" s="362" t="str">
        <f t="shared" ca="1" si="102"/>
        <v/>
      </c>
      <c r="AP277" s="362" t="str">
        <f t="shared" ca="1" si="103"/>
        <v/>
      </c>
      <c r="AQ277" s="362" t="str">
        <f t="shared" ca="1" si="103"/>
        <v/>
      </c>
      <c r="AR277" s="362" t="str">
        <f t="shared" ca="1" si="103"/>
        <v/>
      </c>
      <c r="AS277" s="362" t="str">
        <f t="shared" ca="1" si="103"/>
        <v/>
      </c>
      <c r="AT277" s="362" t="str">
        <f t="shared" ca="1" si="103"/>
        <v/>
      </c>
      <c r="AU277" s="362" t="str">
        <f t="shared" ca="1" si="103"/>
        <v/>
      </c>
      <c r="AV277" s="362">
        <f t="shared" ca="1" si="103"/>
        <v>497.52640520481702</v>
      </c>
      <c r="AW277" s="362">
        <f t="shared" ca="1" si="103"/>
        <v>1361.6171263411916</v>
      </c>
      <c r="AX277" s="362">
        <f t="shared" ca="1" si="103"/>
        <v>42.106365709288561</v>
      </c>
      <c r="AY277" s="362">
        <f t="shared" ca="1" si="103"/>
        <v>124.43697824242066</v>
      </c>
      <c r="AZ277" s="362">
        <f t="shared" ca="1" si="104"/>
        <v>23710.242088454761</v>
      </c>
      <c r="BA277" s="362">
        <f t="shared" ca="1" si="104"/>
        <v>4245.3900455455369</v>
      </c>
      <c r="BB277" s="362">
        <f t="shared" ca="1" si="104"/>
        <v>0</v>
      </c>
      <c r="BC277" s="362">
        <f t="shared" ca="1" si="104"/>
        <v>0</v>
      </c>
      <c r="BD277" s="362">
        <f t="shared" ca="1" si="104"/>
        <v>0</v>
      </c>
      <c r="BE277" s="362">
        <f t="shared" ca="1" si="104"/>
        <v>5845.4128478032089</v>
      </c>
      <c r="BF277" s="362">
        <f t="shared" ca="1" si="104"/>
        <v>10082.241603025503</v>
      </c>
      <c r="BG277" s="362">
        <f t="shared" ca="1" si="104"/>
        <v>13213.549505801528</v>
      </c>
      <c r="BH277" s="362">
        <f t="shared" ca="1" si="104"/>
        <v>13710.13521560043</v>
      </c>
      <c r="BI277" s="362">
        <f t="shared" ca="1" si="104"/>
        <v>5421.6452753228559</v>
      </c>
      <c r="BJ277" s="362">
        <f t="shared" ca="1" si="104"/>
        <v>68391.97510369384</v>
      </c>
      <c r="BK277" s="362">
        <f t="shared" ca="1" si="104"/>
        <v>19481.275305378116</v>
      </c>
      <c r="BL277" s="362">
        <f t="shared" ca="1" si="104"/>
        <v>3789.5038171851834</v>
      </c>
      <c r="BM277" s="362">
        <f t="shared" ca="1" si="94"/>
        <v>0</v>
      </c>
    </row>
    <row r="278" spans="27:65">
      <c r="AA278" s="360">
        <f t="shared" si="89"/>
        <v>2044</v>
      </c>
      <c r="AB278" s="362">
        <f ca="1">'GHG Emissions'!M46</f>
        <v>272195.59161674313</v>
      </c>
      <c r="AC278" s="362"/>
      <c r="AD278" s="362">
        <f t="shared" ca="1" si="90"/>
        <v>99585.735611822718</v>
      </c>
      <c r="AE278" s="362"/>
      <c r="AF278" s="362" t="str">
        <f t="shared" ca="1" si="102"/>
        <v/>
      </c>
      <c r="AG278" s="362" t="str">
        <f t="shared" ca="1" si="102"/>
        <v/>
      </c>
      <c r="AH278" s="362" t="str">
        <f t="shared" ca="1" si="102"/>
        <v/>
      </c>
      <c r="AI278" s="362" t="str">
        <f t="shared" ca="1" si="102"/>
        <v/>
      </c>
      <c r="AJ278" s="362" t="str">
        <f t="shared" ca="1" si="102"/>
        <v/>
      </c>
      <c r="AK278" s="362" t="str">
        <f t="shared" ca="1" si="102"/>
        <v/>
      </c>
      <c r="AL278" s="362" t="str">
        <f t="shared" ca="1" si="102"/>
        <v/>
      </c>
      <c r="AM278" s="362" t="str">
        <f t="shared" ca="1" si="102"/>
        <v/>
      </c>
      <c r="AN278" s="362" t="str">
        <f t="shared" ca="1" si="102"/>
        <v/>
      </c>
      <c r="AO278" s="362" t="str">
        <f t="shared" ca="1" si="102"/>
        <v/>
      </c>
      <c r="AP278" s="362" t="str">
        <f t="shared" ca="1" si="103"/>
        <v/>
      </c>
      <c r="AQ278" s="362" t="str">
        <f t="shared" ca="1" si="103"/>
        <v/>
      </c>
      <c r="AR278" s="362" t="str">
        <f t="shared" ca="1" si="103"/>
        <v/>
      </c>
      <c r="AS278" s="362" t="str">
        <f t="shared" ca="1" si="103"/>
        <v/>
      </c>
      <c r="AT278" s="362" t="str">
        <f t="shared" ca="1" si="103"/>
        <v/>
      </c>
      <c r="AU278" s="362" t="str">
        <f t="shared" ca="1" si="103"/>
        <v/>
      </c>
      <c r="AV278" s="362">
        <f t="shared" ca="1" si="103"/>
        <v>497.52640520481702</v>
      </c>
      <c r="AW278" s="362">
        <f t="shared" ca="1" si="103"/>
        <v>1361.6171263411916</v>
      </c>
      <c r="AX278" s="362">
        <f t="shared" ca="1" si="103"/>
        <v>42.106365709288561</v>
      </c>
      <c r="AY278" s="362">
        <f t="shared" ca="1" si="103"/>
        <v>124.43697824242066</v>
      </c>
      <c r="AZ278" s="362">
        <f t="shared" ca="1" si="104"/>
        <v>23912.166244197026</v>
      </c>
      <c r="BA278" s="362">
        <f t="shared" ca="1" si="104"/>
        <v>4281.5451719902721</v>
      </c>
      <c r="BB278" s="362">
        <f t="shared" ca="1" si="104"/>
        <v>0</v>
      </c>
      <c r="BC278" s="362">
        <f t="shared" ca="1" si="104"/>
        <v>0</v>
      </c>
      <c r="BD278" s="362">
        <f t="shared" ca="1" si="104"/>
        <v>0</v>
      </c>
      <c r="BE278" s="362">
        <f t="shared" ca="1" si="104"/>
        <v>5845.4128478032089</v>
      </c>
      <c r="BF278" s="362">
        <f t="shared" ca="1" si="104"/>
        <v>10082.241603025503</v>
      </c>
      <c r="BG278" s="362">
        <f t="shared" ca="1" si="104"/>
        <v>13213.549505801528</v>
      </c>
      <c r="BH278" s="362">
        <f t="shared" ca="1" si="104"/>
        <v>13710.13521560043</v>
      </c>
      <c r="BI278" s="362">
        <f t="shared" ca="1" si="104"/>
        <v>5421.6452753228559</v>
      </c>
      <c r="BJ278" s="362">
        <f t="shared" ca="1" si="104"/>
        <v>70403.503783214255</v>
      </c>
      <c r="BK278" s="362">
        <f t="shared" ca="1" si="104"/>
        <v>19929.24869033814</v>
      </c>
      <c r="BL278" s="362">
        <f t="shared" ca="1" si="104"/>
        <v>3784.7207921294653</v>
      </c>
      <c r="BM278" s="362">
        <f t="shared" ca="1" si="94"/>
        <v>0</v>
      </c>
    </row>
    <row r="279" spans="27:65">
      <c r="AA279" s="360">
        <f t="shared" si="89"/>
        <v>2045</v>
      </c>
      <c r="AB279" s="362">
        <f ca="1">'GHG Emissions'!M47</f>
        <v>274569.56369904184</v>
      </c>
      <c r="AC279" s="362"/>
      <c r="AD279" s="362">
        <f t="shared" ca="1" si="90"/>
        <v>99266.400369660434</v>
      </c>
      <c r="AE279" s="362"/>
      <c r="AF279" s="362" t="str">
        <f t="shared" ca="1" si="102"/>
        <v/>
      </c>
      <c r="AG279" s="362" t="str">
        <f t="shared" ca="1" si="102"/>
        <v/>
      </c>
      <c r="AH279" s="362" t="str">
        <f t="shared" ca="1" si="102"/>
        <v/>
      </c>
      <c r="AI279" s="362" t="str">
        <f t="shared" ca="1" si="102"/>
        <v/>
      </c>
      <c r="AJ279" s="362" t="str">
        <f t="shared" ca="1" si="102"/>
        <v/>
      </c>
      <c r="AK279" s="362" t="str">
        <f t="shared" ca="1" si="102"/>
        <v/>
      </c>
      <c r="AL279" s="362" t="str">
        <f t="shared" ca="1" si="102"/>
        <v/>
      </c>
      <c r="AM279" s="362" t="str">
        <f t="shared" ca="1" si="102"/>
        <v/>
      </c>
      <c r="AN279" s="362" t="str">
        <f t="shared" ca="1" si="102"/>
        <v/>
      </c>
      <c r="AO279" s="362" t="str">
        <f t="shared" ca="1" si="102"/>
        <v/>
      </c>
      <c r="AP279" s="362" t="str">
        <f t="shared" ca="1" si="103"/>
        <v/>
      </c>
      <c r="AQ279" s="362" t="str">
        <f t="shared" ca="1" si="103"/>
        <v/>
      </c>
      <c r="AR279" s="362" t="str">
        <f t="shared" ca="1" si="103"/>
        <v/>
      </c>
      <c r="AS279" s="362" t="str">
        <f t="shared" ca="1" si="103"/>
        <v/>
      </c>
      <c r="AT279" s="362" t="str">
        <f t="shared" ca="1" si="103"/>
        <v/>
      </c>
      <c r="AU279" s="362" t="str">
        <f t="shared" ca="1" si="103"/>
        <v/>
      </c>
      <c r="AV279" s="362">
        <f t="shared" ca="1" si="103"/>
        <v>497.52640520481702</v>
      </c>
      <c r="AW279" s="362">
        <f t="shared" ca="1" si="103"/>
        <v>1361.6171263411916</v>
      </c>
      <c r="AX279" s="362">
        <f t="shared" ca="1" si="103"/>
        <v>42.106365709288561</v>
      </c>
      <c r="AY279" s="362">
        <f t="shared" ca="1" si="103"/>
        <v>124.43697824242066</v>
      </c>
      <c r="AZ279" s="362">
        <f t="shared" ca="1" si="104"/>
        <v>24114.090399939276</v>
      </c>
      <c r="BA279" s="362">
        <f t="shared" ca="1" si="104"/>
        <v>4317.7002984350074</v>
      </c>
      <c r="BB279" s="362">
        <f t="shared" ca="1" si="104"/>
        <v>0</v>
      </c>
      <c r="BC279" s="362">
        <f t="shared" ca="1" si="104"/>
        <v>0</v>
      </c>
      <c r="BD279" s="362">
        <f t="shared" ca="1" si="104"/>
        <v>0</v>
      </c>
      <c r="BE279" s="362">
        <f t="shared" ca="1" si="104"/>
        <v>5845.4128478032089</v>
      </c>
      <c r="BF279" s="362">
        <f t="shared" ca="1" si="104"/>
        <v>10082.241603025503</v>
      </c>
      <c r="BG279" s="362">
        <f t="shared" ca="1" si="104"/>
        <v>13213.549505801528</v>
      </c>
      <c r="BH279" s="362">
        <f t="shared" ca="1" si="104"/>
        <v>13710.13521560043</v>
      </c>
      <c r="BI279" s="362">
        <f t="shared" ca="1" si="104"/>
        <v>5421.6452753228559</v>
      </c>
      <c r="BJ279" s="362">
        <f t="shared" ca="1" si="104"/>
        <v>72415.032462734671</v>
      </c>
      <c r="BK279" s="362">
        <f t="shared" ca="1" si="104"/>
        <v>20377.753857594329</v>
      </c>
      <c r="BL279" s="362">
        <f t="shared" ca="1" si="104"/>
        <v>3779.9149876268702</v>
      </c>
      <c r="BM279" s="362">
        <f t="shared" ca="1" si="94"/>
        <v>0</v>
      </c>
    </row>
    <row r="280" spans="27:65">
      <c r="AA280" s="360">
        <f t="shared" si="89"/>
        <v>2046</v>
      </c>
      <c r="AB280" s="362">
        <f ca="1">'GHG Emissions'!M48</f>
        <v>276943.53578134062</v>
      </c>
      <c r="AC280" s="362"/>
      <c r="AD280" s="362">
        <f t="shared" ca="1" si="90"/>
        <v>98946.568805177259</v>
      </c>
      <c r="AE280" s="362"/>
      <c r="AF280" s="362" t="str">
        <f t="shared" ca="1" si="102"/>
        <v/>
      </c>
      <c r="AG280" s="362" t="str">
        <f t="shared" ca="1" si="102"/>
        <v/>
      </c>
      <c r="AH280" s="362" t="str">
        <f t="shared" ca="1" si="102"/>
        <v/>
      </c>
      <c r="AI280" s="362" t="str">
        <f t="shared" ca="1" si="102"/>
        <v/>
      </c>
      <c r="AJ280" s="362" t="str">
        <f t="shared" ca="1" si="102"/>
        <v/>
      </c>
      <c r="AK280" s="362" t="str">
        <f t="shared" ca="1" si="102"/>
        <v/>
      </c>
      <c r="AL280" s="362" t="str">
        <f t="shared" ca="1" si="102"/>
        <v/>
      </c>
      <c r="AM280" s="362" t="str">
        <f t="shared" ca="1" si="102"/>
        <v/>
      </c>
      <c r="AN280" s="362" t="str">
        <f t="shared" ca="1" si="102"/>
        <v/>
      </c>
      <c r="AO280" s="362" t="str">
        <f t="shared" ca="1" si="102"/>
        <v/>
      </c>
      <c r="AP280" s="362" t="str">
        <f t="shared" ca="1" si="103"/>
        <v/>
      </c>
      <c r="AQ280" s="362" t="str">
        <f t="shared" ca="1" si="103"/>
        <v/>
      </c>
      <c r="AR280" s="362" t="str">
        <f t="shared" ca="1" si="103"/>
        <v/>
      </c>
      <c r="AS280" s="362" t="str">
        <f t="shared" ca="1" si="103"/>
        <v/>
      </c>
      <c r="AT280" s="362" t="str">
        <f t="shared" ca="1" si="103"/>
        <v/>
      </c>
      <c r="AU280" s="362" t="str">
        <f t="shared" ca="1" si="103"/>
        <v/>
      </c>
      <c r="AV280" s="362">
        <f t="shared" ca="1" si="103"/>
        <v>497.52640520481702</v>
      </c>
      <c r="AW280" s="362">
        <f t="shared" ca="1" si="103"/>
        <v>1361.6171263411916</v>
      </c>
      <c r="AX280" s="362">
        <f t="shared" ca="1" si="103"/>
        <v>42.106365709288561</v>
      </c>
      <c r="AY280" s="362">
        <f t="shared" ca="1" si="103"/>
        <v>124.43697824242066</v>
      </c>
      <c r="AZ280" s="362">
        <f t="shared" ca="1" si="104"/>
        <v>24316.014555681541</v>
      </c>
      <c r="BA280" s="362">
        <f t="shared" ca="1" si="104"/>
        <v>4353.8554248797409</v>
      </c>
      <c r="BB280" s="362">
        <f t="shared" ca="1" si="104"/>
        <v>0</v>
      </c>
      <c r="BC280" s="362">
        <f t="shared" ca="1" si="104"/>
        <v>0</v>
      </c>
      <c r="BD280" s="362">
        <f t="shared" ca="1" si="104"/>
        <v>0</v>
      </c>
      <c r="BE280" s="362">
        <f t="shared" ca="1" si="104"/>
        <v>5845.4128478032089</v>
      </c>
      <c r="BF280" s="362">
        <f t="shared" ca="1" si="104"/>
        <v>10082.241603025503</v>
      </c>
      <c r="BG280" s="362">
        <f t="shared" ca="1" si="104"/>
        <v>13213.549505801528</v>
      </c>
      <c r="BH280" s="362">
        <f t="shared" ca="1" si="104"/>
        <v>13710.13521560043</v>
      </c>
      <c r="BI280" s="362">
        <f t="shared" ca="1" si="104"/>
        <v>5421.6452753228559</v>
      </c>
      <c r="BJ280" s="362">
        <f t="shared" ca="1" si="104"/>
        <v>74426.561142255057</v>
      </c>
      <c r="BK280" s="362">
        <f t="shared" ca="1" si="104"/>
        <v>20826.777559125614</v>
      </c>
      <c r="BL280" s="362">
        <f t="shared" ca="1" si="104"/>
        <v>3775.0869711701425</v>
      </c>
      <c r="BM280" s="362">
        <f t="shared" ca="1" si="94"/>
        <v>0</v>
      </c>
    </row>
    <row r="281" spans="27:65">
      <c r="AA281" s="360">
        <f t="shared" si="89"/>
        <v>2047</v>
      </c>
      <c r="AB281" s="362">
        <f ca="1">'GHG Emissions'!M49</f>
        <v>279317.50786363927</v>
      </c>
      <c r="AC281" s="362"/>
      <c r="AD281" s="362">
        <f t="shared" ca="1" si="90"/>
        <v>98626.253181165666</v>
      </c>
      <c r="AE281" s="362"/>
      <c r="AF281" s="362" t="str">
        <f t="shared" ca="1" si="102"/>
        <v/>
      </c>
      <c r="AG281" s="362" t="str">
        <f t="shared" ca="1" si="102"/>
        <v/>
      </c>
      <c r="AH281" s="362" t="str">
        <f t="shared" ca="1" si="102"/>
        <v/>
      </c>
      <c r="AI281" s="362" t="str">
        <f t="shared" ca="1" si="102"/>
        <v/>
      </c>
      <c r="AJ281" s="362" t="str">
        <f t="shared" ca="1" si="102"/>
        <v/>
      </c>
      <c r="AK281" s="362" t="str">
        <f t="shared" ca="1" si="102"/>
        <v/>
      </c>
      <c r="AL281" s="362" t="str">
        <f t="shared" ca="1" si="102"/>
        <v/>
      </c>
      <c r="AM281" s="362" t="str">
        <f t="shared" ca="1" si="102"/>
        <v/>
      </c>
      <c r="AN281" s="362" t="str">
        <f t="shared" ca="1" si="102"/>
        <v/>
      </c>
      <c r="AO281" s="362" t="str">
        <f t="shared" ca="1" si="102"/>
        <v/>
      </c>
      <c r="AP281" s="362" t="str">
        <f t="shared" ca="1" si="103"/>
        <v/>
      </c>
      <c r="AQ281" s="362" t="str">
        <f t="shared" ca="1" si="103"/>
        <v/>
      </c>
      <c r="AR281" s="362" t="str">
        <f t="shared" ca="1" si="103"/>
        <v/>
      </c>
      <c r="AS281" s="362" t="str">
        <f t="shared" ca="1" si="103"/>
        <v/>
      </c>
      <c r="AT281" s="362" t="str">
        <f t="shared" ca="1" si="103"/>
        <v/>
      </c>
      <c r="AU281" s="362" t="str">
        <f t="shared" ca="1" si="103"/>
        <v/>
      </c>
      <c r="AV281" s="362">
        <f t="shared" ca="1" si="103"/>
        <v>497.52640520481702</v>
      </c>
      <c r="AW281" s="362">
        <f t="shared" ca="1" si="103"/>
        <v>1361.6171263411916</v>
      </c>
      <c r="AX281" s="362">
        <f t="shared" ca="1" si="103"/>
        <v>42.106365709288561</v>
      </c>
      <c r="AY281" s="362">
        <f t="shared" ca="1" si="103"/>
        <v>124.43697824242066</v>
      </c>
      <c r="AZ281" s="362">
        <f t="shared" ca="1" si="104"/>
        <v>24517.938711423776</v>
      </c>
      <c r="BA281" s="362">
        <f t="shared" ca="1" si="104"/>
        <v>4390.0105513244744</v>
      </c>
      <c r="BB281" s="362">
        <f t="shared" ca="1" si="104"/>
        <v>0</v>
      </c>
      <c r="BC281" s="362">
        <f t="shared" ca="1" si="104"/>
        <v>0</v>
      </c>
      <c r="BD281" s="362">
        <f t="shared" ca="1" si="104"/>
        <v>0</v>
      </c>
      <c r="BE281" s="362">
        <f t="shared" ca="1" si="104"/>
        <v>5845.4128478032089</v>
      </c>
      <c r="BF281" s="362">
        <f t="shared" ca="1" si="104"/>
        <v>10082.241603025503</v>
      </c>
      <c r="BG281" s="362">
        <f t="shared" ca="1" si="104"/>
        <v>13213.549505801528</v>
      </c>
      <c r="BH281" s="362">
        <f t="shared" ca="1" si="104"/>
        <v>13710.13521560043</v>
      </c>
      <c r="BI281" s="362">
        <f t="shared" ca="1" si="104"/>
        <v>5421.6452753228559</v>
      </c>
      <c r="BJ281" s="362">
        <f t="shared" ca="1" si="104"/>
        <v>76438.089821775444</v>
      </c>
      <c r="BK281" s="362">
        <f t="shared" ca="1" si="104"/>
        <v>21276.306983341619</v>
      </c>
      <c r="BL281" s="362">
        <f t="shared" ca="1" si="104"/>
        <v>3770.2372915570536</v>
      </c>
      <c r="BM281" s="362">
        <f t="shared" ca="1" si="94"/>
        <v>0</v>
      </c>
    </row>
    <row r="282" spans="27:65">
      <c r="AA282" s="360">
        <f t="shared" si="89"/>
        <v>2048</v>
      </c>
      <c r="AB282" s="362">
        <f ca="1">'GHG Emissions'!M50</f>
        <v>281691.4799459381</v>
      </c>
      <c r="AC282" s="362"/>
      <c r="AD282" s="362">
        <f t="shared" ca="1" si="90"/>
        <v>98305.465359743946</v>
      </c>
      <c r="AE282" s="362"/>
      <c r="AF282" s="362" t="str">
        <f t="shared" ca="1" si="102"/>
        <v/>
      </c>
      <c r="AG282" s="362" t="str">
        <f t="shared" ca="1" si="102"/>
        <v/>
      </c>
      <c r="AH282" s="362" t="str">
        <f t="shared" ca="1" si="102"/>
        <v/>
      </c>
      <c r="AI282" s="362" t="str">
        <f t="shared" ca="1" si="102"/>
        <v/>
      </c>
      <c r="AJ282" s="362" t="str">
        <f t="shared" ca="1" si="102"/>
        <v/>
      </c>
      <c r="AK282" s="362" t="str">
        <f t="shared" ca="1" si="102"/>
        <v/>
      </c>
      <c r="AL282" s="362" t="str">
        <f t="shared" ca="1" si="102"/>
        <v/>
      </c>
      <c r="AM282" s="362" t="str">
        <f t="shared" ca="1" si="102"/>
        <v/>
      </c>
      <c r="AN282" s="362" t="str">
        <f t="shared" ca="1" si="102"/>
        <v/>
      </c>
      <c r="AO282" s="362" t="str">
        <f t="shared" ca="1" si="102"/>
        <v/>
      </c>
      <c r="AP282" s="362" t="str">
        <f t="shared" ca="1" si="103"/>
        <v/>
      </c>
      <c r="AQ282" s="362" t="str">
        <f t="shared" ca="1" si="103"/>
        <v/>
      </c>
      <c r="AR282" s="362" t="str">
        <f t="shared" ca="1" si="103"/>
        <v/>
      </c>
      <c r="AS282" s="362" t="str">
        <f t="shared" ca="1" si="103"/>
        <v/>
      </c>
      <c r="AT282" s="362" t="str">
        <f t="shared" ca="1" si="103"/>
        <v/>
      </c>
      <c r="AU282" s="362" t="str">
        <f t="shared" ca="1" si="103"/>
        <v/>
      </c>
      <c r="AV282" s="362">
        <f t="shared" ca="1" si="103"/>
        <v>497.52640520481702</v>
      </c>
      <c r="AW282" s="362">
        <f t="shared" ca="1" si="103"/>
        <v>1361.6171263411916</v>
      </c>
      <c r="AX282" s="362">
        <f t="shared" ca="1" si="103"/>
        <v>42.106365709288561</v>
      </c>
      <c r="AY282" s="362">
        <f t="shared" ca="1" si="103"/>
        <v>124.43697824242066</v>
      </c>
      <c r="AZ282" s="362">
        <f t="shared" ca="1" si="104"/>
        <v>24719.862867166041</v>
      </c>
      <c r="BA282" s="362">
        <f t="shared" ca="1" si="104"/>
        <v>4426.1656777692115</v>
      </c>
      <c r="BB282" s="362">
        <f t="shared" ca="1" si="104"/>
        <v>0</v>
      </c>
      <c r="BC282" s="362">
        <f t="shared" ca="1" si="104"/>
        <v>0</v>
      </c>
      <c r="BD282" s="362">
        <f t="shared" ca="1" si="104"/>
        <v>0</v>
      </c>
      <c r="BE282" s="362">
        <f t="shared" ca="1" si="104"/>
        <v>5845.4128478032089</v>
      </c>
      <c r="BF282" s="362">
        <f t="shared" ca="1" si="104"/>
        <v>10082.241603025503</v>
      </c>
      <c r="BG282" s="362">
        <f t="shared" ca="1" si="104"/>
        <v>13213.549505801528</v>
      </c>
      <c r="BH282" s="362">
        <f t="shared" ca="1" si="104"/>
        <v>13710.13521560043</v>
      </c>
      <c r="BI282" s="362">
        <f t="shared" ca="1" si="104"/>
        <v>5421.6452753228559</v>
      </c>
      <c r="BJ282" s="362">
        <f t="shared" ca="1" si="104"/>
        <v>78449.618501295859</v>
      </c>
      <c r="BK282" s="362">
        <f t="shared" ca="1" si="104"/>
        <v>21726.329737257827</v>
      </c>
      <c r="BL282" s="362">
        <f t="shared" ca="1" si="104"/>
        <v>3765.3664796539692</v>
      </c>
      <c r="BM282" s="362">
        <f t="shared" ca="1" si="94"/>
        <v>0</v>
      </c>
    </row>
    <row r="283" spans="27:65">
      <c r="AA283" s="360">
        <f t="shared" si="89"/>
        <v>2049</v>
      </c>
      <c r="AB283" s="362">
        <f ca="1">'GHG Emissions'!M51</f>
        <v>284065.45202823682</v>
      </c>
      <c r="AC283" s="362"/>
      <c r="AD283" s="362">
        <f t="shared" ca="1" si="90"/>
        <v>97984.216818587709</v>
      </c>
      <c r="AE283" s="362"/>
      <c r="AF283" s="362" t="str">
        <f t="shared" ca="1" si="102"/>
        <v/>
      </c>
      <c r="AG283" s="362" t="str">
        <f t="shared" ca="1" si="102"/>
        <v/>
      </c>
      <c r="AH283" s="362" t="str">
        <f t="shared" ca="1" si="102"/>
        <v/>
      </c>
      <c r="AI283" s="362" t="str">
        <f t="shared" ca="1" si="102"/>
        <v/>
      </c>
      <c r="AJ283" s="362" t="str">
        <f t="shared" ca="1" si="102"/>
        <v/>
      </c>
      <c r="AK283" s="362" t="str">
        <f t="shared" ca="1" si="102"/>
        <v/>
      </c>
      <c r="AL283" s="362" t="str">
        <f t="shared" ca="1" si="102"/>
        <v/>
      </c>
      <c r="AM283" s="362" t="str">
        <f t="shared" ca="1" si="102"/>
        <v/>
      </c>
      <c r="AN283" s="362" t="str">
        <f t="shared" ca="1" si="102"/>
        <v/>
      </c>
      <c r="AO283" s="362" t="str">
        <f t="shared" ca="1" si="102"/>
        <v/>
      </c>
      <c r="AP283" s="362" t="str">
        <f t="shared" ca="1" si="103"/>
        <v/>
      </c>
      <c r="AQ283" s="362" t="str">
        <f t="shared" ca="1" si="103"/>
        <v/>
      </c>
      <c r="AR283" s="362" t="str">
        <f t="shared" ca="1" si="103"/>
        <v/>
      </c>
      <c r="AS283" s="362" t="str">
        <f t="shared" ca="1" si="103"/>
        <v/>
      </c>
      <c r="AT283" s="362" t="str">
        <f t="shared" ca="1" si="103"/>
        <v/>
      </c>
      <c r="AU283" s="362" t="str">
        <f t="shared" ca="1" si="103"/>
        <v/>
      </c>
      <c r="AV283" s="362">
        <f t="shared" ca="1" si="103"/>
        <v>497.52640520481702</v>
      </c>
      <c r="AW283" s="362">
        <f t="shared" ca="1" si="103"/>
        <v>1361.6171263411916</v>
      </c>
      <c r="AX283" s="362">
        <f t="shared" ca="1" si="103"/>
        <v>42.106365709288561</v>
      </c>
      <c r="AY283" s="362">
        <f t="shared" ca="1" si="103"/>
        <v>124.43697824242066</v>
      </c>
      <c r="AZ283" s="362">
        <f t="shared" ca="1" si="104"/>
        <v>24921.787022908306</v>
      </c>
      <c r="BA283" s="362">
        <f t="shared" ca="1" si="104"/>
        <v>4462.3208042139468</v>
      </c>
      <c r="BB283" s="362">
        <f t="shared" ca="1" si="104"/>
        <v>0</v>
      </c>
      <c r="BC283" s="362">
        <f t="shared" ca="1" si="104"/>
        <v>0</v>
      </c>
      <c r="BD283" s="362">
        <f t="shared" ca="1" si="104"/>
        <v>0</v>
      </c>
      <c r="BE283" s="362">
        <f t="shared" ca="1" si="104"/>
        <v>5845.4128478032089</v>
      </c>
      <c r="BF283" s="362">
        <f t="shared" ca="1" si="104"/>
        <v>10082.241603025503</v>
      </c>
      <c r="BG283" s="362">
        <f t="shared" ca="1" si="104"/>
        <v>13213.549505801528</v>
      </c>
      <c r="BH283" s="362">
        <f t="shared" ca="1" si="104"/>
        <v>13710.13521560043</v>
      </c>
      <c r="BI283" s="362">
        <f t="shared" ca="1" si="104"/>
        <v>5421.6452753228559</v>
      </c>
      <c r="BJ283" s="362">
        <f t="shared" ca="1" si="104"/>
        <v>80461.14718081629</v>
      </c>
      <c r="BK283" s="362">
        <f t="shared" ca="1" si="104"/>
        <v>22176.83382953706</v>
      </c>
      <c r="BL283" s="362">
        <f t="shared" ca="1" si="104"/>
        <v>3760.4750491222649</v>
      </c>
      <c r="BM283" s="362">
        <f t="shared" ca="1" si="94"/>
        <v>0</v>
      </c>
    </row>
    <row r="284" spans="27:65">
      <c r="AA284" s="360">
        <f t="shared" si="89"/>
        <v>2050</v>
      </c>
      <c r="AB284" s="362">
        <f ca="1">'GHG Emissions'!M52</f>
        <v>286439.42411053559</v>
      </c>
      <c r="AC284" s="362"/>
      <c r="AD284" s="362">
        <f t="shared" ca="1" si="90"/>
        <v>97662.518666379561</v>
      </c>
      <c r="AE284" s="362"/>
      <c r="AF284" s="362" t="str">
        <f t="shared" ca="1" si="102"/>
        <v/>
      </c>
      <c r="AG284" s="362" t="str">
        <f t="shared" ca="1" si="102"/>
        <v/>
      </c>
      <c r="AH284" s="362" t="str">
        <f t="shared" ca="1" si="102"/>
        <v/>
      </c>
      <c r="AI284" s="362" t="str">
        <f t="shared" ca="1" si="102"/>
        <v/>
      </c>
      <c r="AJ284" s="362" t="str">
        <f t="shared" ca="1" si="102"/>
        <v/>
      </c>
      <c r="AK284" s="362" t="str">
        <f t="shared" ca="1" si="102"/>
        <v/>
      </c>
      <c r="AL284" s="362" t="str">
        <f t="shared" ca="1" si="102"/>
        <v/>
      </c>
      <c r="AM284" s="362" t="str">
        <f t="shared" ca="1" si="102"/>
        <v/>
      </c>
      <c r="AN284" s="362" t="str">
        <f t="shared" ca="1" si="102"/>
        <v/>
      </c>
      <c r="AO284" s="362" t="str">
        <f t="shared" ca="1" si="102"/>
        <v/>
      </c>
      <c r="AP284" s="362" t="str">
        <f t="shared" ca="1" si="103"/>
        <v/>
      </c>
      <c r="AQ284" s="362" t="str">
        <f t="shared" ca="1" si="103"/>
        <v/>
      </c>
      <c r="AR284" s="362" t="str">
        <f t="shared" ca="1" si="103"/>
        <v/>
      </c>
      <c r="AS284" s="362" t="str">
        <f t="shared" ca="1" si="103"/>
        <v/>
      </c>
      <c r="AT284" s="362" t="str">
        <f t="shared" ca="1" si="103"/>
        <v/>
      </c>
      <c r="AU284" s="362" t="str">
        <f t="shared" ca="1" si="103"/>
        <v/>
      </c>
      <c r="AV284" s="362">
        <f t="shared" ca="1" si="103"/>
        <v>497.52640520481702</v>
      </c>
      <c r="AW284" s="362">
        <f t="shared" ca="1" si="103"/>
        <v>1361.6171263411916</v>
      </c>
      <c r="AX284" s="362">
        <f t="shared" ca="1" si="103"/>
        <v>42.106365709288561</v>
      </c>
      <c r="AY284" s="362">
        <f t="shared" ca="1" si="103"/>
        <v>124.43697824242066</v>
      </c>
      <c r="AZ284" s="362">
        <f t="shared" ca="1" si="104"/>
        <v>25123.711178650556</v>
      </c>
      <c r="BA284" s="362">
        <f t="shared" ca="1" si="104"/>
        <v>4498.4759306586811</v>
      </c>
      <c r="BB284" s="362">
        <f t="shared" ca="1" si="104"/>
        <v>0</v>
      </c>
      <c r="BC284" s="362">
        <f t="shared" ca="1" si="104"/>
        <v>0</v>
      </c>
      <c r="BD284" s="362">
        <f t="shared" ca="1" si="104"/>
        <v>0</v>
      </c>
      <c r="BE284" s="362">
        <f t="shared" ca="1" si="104"/>
        <v>5845.4128478032089</v>
      </c>
      <c r="BF284" s="362">
        <f t="shared" ca="1" si="104"/>
        <v>10082.241603025503</v>
      </c>
      <c r="BG284" s="362">
        <f t="shared" ca="1" si="104"/>
        <v>13213.549505801528</v>
      </c>
      <c r="BH284" s="362">
        <f t="shared" ca="1" si="104"/>
        <v>13710.13521560043</v>
      </c>
      <c r="BI284" s="362">
        <f t="shared" ca="1" si="104"/>
        <v>5421.6452753228559</v>
      </c>
      <c r="BJ284" s="362">
        <f t="shared" ca="1" si="104"/>
        <v>82472.675860336691</v>
      </c>
      <c r="BK284" s="362">
        <f t="shared" ca="1" si="104"/>
        <v>22627.807654349104</v>
      </c>
      <c r="BL284" s="362">
        <f t="shared" ca="1" si="104"/>
        <v>3755.5634971097347</v>
      </c>
      <c r="BM284" s="362">
        <f t="shared" ca="1" si="94"/>
        <v>0</v>
      </c>
    </row>
    <row r="285" spans="27:65" ht="60">
      <c r="AA285" s="323" t="s">
        <v>376</v>
      </c>
      <c r="AB285" s="323" t="s">
        <v>374</v>
      </c>
      <c r="AC285" s="323"/>
      <c r="AD285" s="323" t="s">
        <v>312</v>
      </c>
      <c r="AE285" s="323"/>
      <c r="AF285" s="345">
        <f t="shared" ref="AF285:BL285" si="105">AF$3</f>
        <v>0</v>
      </c>
      <c r="AG285" s="345">
        <f t="shared" si="105"/>
        <v>0</v>
      </c>
      <c r="AH285" s="345">
        <f t="shared" si="105"/>
        <v>0</v>
      </c>
      <c r="AI285" s="345">
        <f t="shared" si="105"/>
        <v>0</v>
      </c>
      <c r="AJ285" s="345">
        <f t="shared" si="105"/>
        <v>0</v>
      </c>
      <c r="AK285" s="345">
        <f t="shared" si="105"/>
        <v>0</v>
      </c>
      <c r="AL285" s="345">
        <f t="shared" si="105"/>
        <v>0</v>
      </c>
      <c r="AM285" s="345">
        <f t="shared" si="105"/>
        <v>0</v>
      </c>
      <c r="AN285" s="345">
        <f t="shared" si="105"/>
        <v>0</v>
      </c>
      <c r="AO285" s="345">
        <f t="shared" si="105"/>
        <v>0</v>
      </c>
      <c r="AP285" s="345">
        <f t="shared" si="105"/>
        <v>0</v>
      </c>
      <c r="AQ285" s="345">
        <f t="shared" si="105"/>
        <v>0</v>
      </c>
      <c r="AR285" s="345">
        <f t="shared" si="105"/>
        <v>0</v>
      </c>
      <c r="AS285" s="345">
        <f t="shared" si="105"/>
        <v>0</v>
      </c>
      <c r="AT285" s="345">
        <f t="shared" si="105"/>
        <v>0</v>
      </c>
      <c r="AU285" s="345">
        <f t="shared" si="105"/>
        <v>0</v>
      </c>
      <c r="AV285" s="345" t="str">
        <f t="shared" si="105"/>
        <v>Rooftop Solar PV</v>
      </c>
      <c r="AW285" s="345" t="str">
        <f t="shared" si="105"/>
        <v>Geo Exchange</v>
      </c>
      <c r="AX285" s="345" t="str">
        <f t="shared" si="105"/>
        <v>Solar DHW</v>
      </c>
      <c r="AY285" s="345" t="str">
        <f t="shared" si="105"/>
        <v>On-site Wind</v>
      </c>
      <c r="AZ285" s="345" t="str">
        <f t="shared" si="105"/>
        <v>Coal to Natural Gas Conversion @ Steam Plant</v>
      </c>
      <c r="BA285" s="345" t="str">
        <f t="shared" si="105"/>
        <v>Steam Line Improvements</v>
      </c>
      <c r="BB285" s="345" t="str">
        <f t="shared" si="105"/>
        <v>Waste Reduction</v>
      </c>
      <c r="BC285" s="345" t="str">
        <f t="shared" si="105"/>
        <v>Reduced Automobile Reliance Strategies</v>
      </c>
      <c r="BD285" s="345" t="str">
        <f t="shared" si="105"/>
        <v>Reduced Air Travel</v>
      </c>
      <c r="BE285" s="345" t="str">
        <f t="shared" si="105"/>
        <v>Green IT</v>
      </c>
      <c r="BF285" s="345" t="str">
        <f t="shared" si="105"/>
        <v>Long-term Energy Conservation Measures</v>
      </c>
      <c r="BG285" s="345" t="str">
        <f t="shared" si="105"/>
        <v>Mid-term Energy Conservation Measures</v>
      </c>
      <c r="BH285" s="345" t="str">
        <f t="shared" si="105"/>
        <v>Short-term Energy Conservation Measures</v>
      </c>
      <c r="BI285" s="345" t="str">
        <f t="shared" si="105"/>
        <v>Central Chiller Expansion</v>
      </c>
      <c r="BJ285" s="345" t="str">
        <f t="shared" si="105"/>
        <v>Space Planning &amp; Management</v>
      </c>
      <c r="BK285" s="345" t="str">
        <f t="shared" si="105"/>
        <v>Building Design &amp; Construction Standards</v>
      </c>
      <c r="BL285" s="345" t="str">
        <f t="shared" si="105"/>
        <v>Behavior Change</v>
      </c>
      <c r="BM285" s="345" t="str">
        <f>BM$3</f>
        <v/>
      </c>
    </row>
    <row r="286" spans="27:65">
      <c r="AA286" s="318">
        <v>2005</v>
      </c>
      <c r="AB286" s="318"/>
      <c r="AC286" s="318"/>
      <c r="AD286" s="318"/>
      <c r="AE286" s="318"/>
      <c r="AF286" s="318"/>
      <c r="AG286" s="318"/>
      <c r="AH286" s="318"/>
      <c r="AI286" s="318"/>
      <c r="AJ286" s="318"/>
      <c r="AK286" s="318"/>
      <c r="AL286" s="318"/>
      <c r="AM286" s="318"/>
      <c r="AN286" s="318"/>
      <c r="AO286" s="318"/>
      <c r="AP286" s="318"/>
      <c r="AQ286" s="318"/>
      <c r="AR286" s="318"/>
      <c r="AS286" s="318"/>
      <c r="AT286" s="318"/>
      <c r="AU286" s="318"/>
      <c r="AV286" s="318"/>
      <c r="AW286" s="318"/>
      <c r="AX286" s="318"/>
      <c r="AY286" s="318"/>
      <c r="AZ286" s="318"/>
      <c r="BA286" s="318"/>
      <c r="BB286" s="318"/>
      <c r="BC286" s="318"/>
      <c r="BD286" s="318"/>
      <c r="BE286" s="318"/>
      <c r="BF286" s="318"/>
      <c r="BG286" s="318"/>
      <c r="BH286" s="318"/>
      <c r="BI286" s="318"/>
      <c r="BJ286" s="318"/>
      <c r="BK286" s="318"/>
      <c r="BL286" s="318"/>
      <c r="BM286" s="318"/>
    </row>
    <row r="287" spans="27:65">
      <c r="AA287" s="318">
        <f>AA286+1</f>
        <v>2006</v>
      </c>
      <c r="AB287" s="318"/>
      <c r="AC287" s="318"/>
      <c r="AD287" s="1745" t="s">
        <v>318</v>
      </c>
      <c r="AE287" s="318"/>
      <c r="AF287" s="318"/>
      <c r="AG287" s="318"/>
      <c r="AH287" s="318"/>
      <c r="AI287" s="318"/>
      <c r="AJ287" s="318"/>
      <c r="AK287" s="318"/>
      <c r="AL287" s="318"/>
      <c r="AM287" s="318"/>
      <c r="AN287" s="318"/>
      <c r="AO287" s="318"/>
      <c r="AP287" s="318"/>
      <c r="AQ287" s="318"/>
      <c r="AR287" s="318"/>
      <c r="AS287" s="318"/>
      <c r="AT287" s="318"/>
      <c r="AU287" s="318"/>
      <c r="AV287" s="318"/>
      <c r="AW287" s="318"/>
      <c r="AX287" s="318"/>
      <c r="AY287" s="318"/>
      <c r="AZ287" s="318"/>
      <c r="BA287" s="318"/>
      <c r="BB287" s="318"/>
      <c r="BC287" s="318"/>
      <c r="BD287" s="318"/>
      <c r="BE287" s="318"/>
      <c r="BF287" s="318"/>
      <c r="BG287" s="318"/>
      <c r="BH287" s="318"/>
      <c r="BI287" s="318"/>
      <c r="BJ287" s="318"/>
      <c r="BK287" s="318"/>
      <c r="BL287" s="318"/>
      <c r="BM287" s="318"/>
    </row>
    <row r="288" spans="27:65">
      <c r="AA288" s="318">
        <f t="shared" ref="AA288:AA331" si="106">AA287+1</f>
        <v>2007</v>
      </c>
      <c r="AB288" s="318"/>
      <c r="AC288" s="318"/>
      <c r="AD288" s="1745"/>
      <c r="AE288" s="318"/>
      <c r="AF288" s="318"/>
      <c r="AG288" s="318"/>
      <c r="AH288" s="318"/>
      <c r="AI288" s="318"/>
      <c r="AJ288" s="318"/>
      <c r="AK288" s="318"/>
      <c r="AL288" s="318"/>
      <c r="AM288" s="318"/>
      <c r="AN288" s="318"/>
      <c r="AO288" s="318"/>
      <c r="AP288" s="318"/>
      <c r="AQ288" s="318"/>
      <c r="AR288" s="318"/>
      <c r="AS288" s="318"/>
      <c r="AT288" s="318"/>
      <c r="AU288" s="318"/>
      <c r="AV288" s="318"/>
      <c r="AW288" s="318"/>
      <c r="AX288" s="318"/>
      <c r="AY288" s="318"/>
      <c r="AZ288" s="318"/>
      <c r="BA288" s="318"/>
      <c r="BB288" s="318"/>
      <c r="BC288" s="318"/>
      <c r="BD288" s="318"/>
      <c r="BE288" s="318"/>
      <c r="BF288" s="318"/>
      <c r="BG288" s="318"/>
      <c r="BH288" s="318"/>
      <c r="BI288" s="318"/>
      <c r="BJ288" s="318"/>
      <c r="BK288" s="318"/>
      <c r="BL288" s="318"/>
      <c r="BM288" s="318"/>
    </row>
    <row r="289" spans="27:65">
      <c r="AA289" s="318">
        <f t="shared" si="106"/>
        <v>2008</v>
      </c>
      <c r="AB289" s="338"/>
      <c r="AC289" s="338"/>
      <c r="AD289" s="1745"/>
      <c r="AE289" s="318"/>
      <c r="AF289" s="318"/>
      <c r="AG289" s="318"/>
      <c r="AH289" s="318"/>
      <c r="AI289" s="318"/>
      <c r="AJ289" s="318"/>
      <c r="AK289" s="318"/>
      <c r="AL289" s="318"/>
      <c r="AM289" s="318"/>
      <c r="AN289" s="318"/>
      <c r="AO289" s="318"/>
      <c r="AP289" s="318"/>
      <c r="AQ289" s="318"/>
      <c r="AR289" s="318"/>
      <c r="AS289" s="318"/>
      <c r="AT289" s="318"/>
      <c r="AU289" s="318"/>
      <c r="AV289" s="318"/>
      <c r="AW289" s="318"/>
      <c r="AX289" s="318"/>
      <c r="AY289" s="318"/>
      <c r="AZ289" s="318"/>
      <c r="BA289" s="318"/>
      <c r="BB289" s="318"/>
      <c r="BC289" s="318"/>
      <c r="BD289" s="318"/>
      <c r="BE289" s="318"/>
      <c r="BF289" s="318"/>
      <c r="BG289" s="318"/>
      <c r="BH289" s="318"/>
      <c r="BI289" s="318"/>
      <c r="BJ289" s="318"/>
      <c r="BK289" s="318"/>
      <c r="BL289" s="318"/>
      <c r="BM289" s="318"/>
    </row>
    <row r="290" spans="27:65">
      <c r="AA290" s="318">
        <f t="shared" si="106"/>
        <v>2009</v>
      </c>
      <c r="AB290" s="338"/>
      <c r="AC290" s="338"/>
      <c r="AD290" s="338"/>
      <c r="AE290" s="318"/>
      <c r="AF290" s="318"/>
      <c r="AG290" s="318"/>
      <c r="AH290" s="318"/>
      <c r="AI290" s="318"/>
      <c r="AJ290" s="318"/>
      <c r="AK290" s="318"/>
      <c r="AL290" s="318"/>
      <c r="AM290" s="318"/>
      <c r="AN290" s="318"/>
      <c r="AO290" s="318"/>
      <c r="AP290" s="318"/>
      <c r="AQ290" s="318"/>
      <c r="AR290" s="318"/>
      <c r="AS290" s="318"/>
      <c r="AT290" s="318"/>
      <c r="AU290" s="318"/>
      <c r="AV290" s="318"/>
      <c r="AW290" s="318"/>
      <c r="AX290" s="318"/>
      <c r="AY290" s="318"/>
      <c r="AZ290" s="318"/>
      <c r="BA290" s="318"/>
      <c r="BB290" s="318"/>
      <c r="BC290" s="318"/>
      <c r="BD290" s="318"/>
      <c r="BE290" s="318"/>
      <c r="BF290" s="318"/>
      <c r="BG290" s="318"/>
      <c r="BH290" s="318"/>
      <c r="BI290" s="318"/>
      <c r="BJ290" s="318"/>
      <c r="BK290" s="318"/>
      <c r="BL290" s="318"/>
      <c r="BM290" s="318"/>
    </row>
    <row r="291" spans="27:65">
      <c r="AA291" s="360">
        <f>AA290+1</f>
        <v>2010</v>
      </c>
      <c r="AB291" s="362">
        <f ca="1">'GHG Emissions'!N12+'GHG Emissions'!O12</f>
        <v>16281.643397406457</v>
      </c>
      <c r="AC291" s="362"/>
      <c r="AD291" s="362">
        <f t="shared" ref="AD291:AD331" ca="1" si="107">AB291-SUM(AE291:BM291)</f>
        <v>16281.643397406457</v>
      </c>
      <c r="AE291" s="362"/>
      <c r="AF291" s="362" t="str">
        <f t="shared" ref="AF291:AO300" ca="1" si="108">IFERROR(-HLOOKUP(AF$50,Scope3CommuteTable,$AA291-$AA$291+2,FALSE),"")</f>
        <v/>
      </c>
      <c r="AG291" s="362" t="str">
        <f t="shared" ca="1" si="108"/>
        <v/>
      </c>
      <c r="AH291" s="362" t="str">
        <f t="shared" ca="1" si="108"/>
        <v/>
      </c>
      <c r="AI291" s="362" t="str">
        <f t="shared" ca="1" si="108"/>
        <v/>
      </c>
      <c r="AJ291" s="362" t="str">
        <f t="shared" ca="1" si="108"/>
        <v/>
      </c>
      <c r="AK291" s="362" t="str">
        <f t="shared" ca="1" si="108"/>
        <v/>
      </c>
      <c r="AL291" s="362" t="str">
        <f t="shared" ca="1" si="108"/>
        <v/>
      </c>
      <c r="AM291" s="362" t="str">
        <f t="shared" ca="1" si="108"/>
        <v/>
      </c>
      <c r="AN291" s="362" t="str">
        <f t="shared" ca="1" si="108"/>
        <v/>
      </c>
      <c r="AO291" s="362" t="str">
        <f t="shared" ca="1" si="108"/>
        <v/>
      </c>
      <c r="AP291" s="362" t="str">
        <f t="shared" ref="AP291:AY300" ca="1" si="109">IFERROR(-HLOOKUP(AP$50,Scope3CommuteTable,$AA291-$AA$291+2,FALSE),"")</f>
        <v/>
      </c>
      <c r="AQ291" s="362" t="str">
        <f t="shared" ca="1" si="109"/>
        <v/>
      </c>
      <c r="AR291" s="362" t="str">
        <f t="shared" ca="1" si="109"/>
        <v/>
      </c>
      <c r="AS291" s="362" t="str">
        <f t="shared" ca="1" si="109"/>
        <v/>
      </c>
      <c r="AT291" s="362" t="str">
        <f t="shared" ca="1" si="109"/>
        <v/>
      </c>
      <c r="AU291" s="362" t="str">
        <f t="shared" ca="1" si="109"/>
        <v/>
      </c>
      <c r="AV291" s="362">
        <f t="shared" ca="1" si="109"/>
        <v>0</v>
      </c>
      <c r="AW291" s="362">
        <f t="shared" ca="1" si="109"/>
        <v>0</v>
      </c>
      <c r="AX291" s="362">
        <f t="shared" ca="1" si="109"/>
        <v>0</v>
      </c>
      <c r="AY291" s="362">
        <f t="shared" ca="1" si="109"/>
        <v>0</v>
      </c>
      <c r="AZ291" s="362">
        <f t="shared" ref="AZ291:BL300" ca="1" si="110">IFERROR(-HLOOKUP(AZ$50,Scope3CommuteTable,$AA291-$AA$291+2,FALSE),"")</f>
        <v>0</v>
      </c>
      <c r="BA291" s="362">
        <f t="shared" ca="1" si="110"/>
        <v>0</v>
      </c>
      <c r="BB291" s="362">
        <f t="shared" ca="1" si="110"/>
        <v>0</v>
      </c>
      <c r="BC291" s="362">
        <f t="shared" ca="1" si="110"/>
        <v>0</v>
      </c>
      <c r="BD291" s="362">
        <f t="shared" ca="1" si="110"/>
        <v>0</v>
      </c>
      <c r="BE291" s="362">
        <f t="shared" ca="1" si="110"/>
        <v>0</v>
      </c>
      <c r="BF291" s="362">
        <f t="shared" ca="1" si="110"/>
        <v>0</v>
      </c>
      <c r="BG291" s="362">
        <f t="shared" ca="1" si="110"/>
        <v>0</v>
      </c>
      <c r="BH291" s="362">
        <f t="shared" ca="1" si="110"/>
        <v>0</v>
      </c>
      <c r="BI291" s="362">
        <f t="shared" ca="1" si="110"/>
        <v>0</v>
      </c>
      <c r="BJ291" s="362">
        <f t="shared" ca="1" si="110"/>
        <v>0</v>
      </c>
      <c r="BK291" s="362">
        <f t="shared" ca="1" si="110"/>
        <v>0</v>
      </c>
      <c r="BL291" s="362">
        <f t="shared" ca="1" si="110"/>
        <v>0</v>
      </c>
      <c r="BM291" s="362"/>
    </row>
    <row r="292" spans="27:65">
      <c r="AA292" s="360">
        <f t="shared" si="106"/>
        <v>2011</v>
      </c>
      <c r="AB292" s="362">
        <f ca="1">'GHG Emissions'!N13+'GHG Emissions'!O13</f>
        <v>16337.600376534232</v>
      </c>
      <c r="AC292" s="362"/>
      <c r="AD292" s="362">
        <f t="shared" ca="1" si="107"/>
        <v>16337.600376534232</v>
      </c>
      <c r="AE292" s="362"/>
      <c r="AF292" s="362" t="str">
        <f t="shared" ca="1" si="108"/>
        <v/>
      </c>
      <c r="AG292" s="362" t="str">
        <f t="shared" ca="1" si="108"/>
        <v/>
      </c>
      <c r="AH292" s="362" t="str">
        <f t="shared" ca="1" si="108"/>
        <v/>
      </c>
      <c r="AI292" s="362" t="str">
        <f t="shared" ca="1" si="108"/>
        <v/>
      </c>
      <c r="AJ292" s="362" t="str">
        <f t="shared" ca="1" si="108"/>
        <v/>
      </c>
      <c r="AK292" s="362" t="str">
        <f t="shared" ca="1" si="108"/>
        <v/>
      </c>
      <c r="AL292" s="362" t="str">
        <f t="shared" ca="1" si="108"/>
        <v/>
      </c>
      <c r="AM292" s="362" t="str">
        <f t="shared" ca="1" si="108"/>
        <v/>
      </c>
      <c r="AN292" s="362" t="str">
        <f t="shared" ca="1" si="108"/>
        <v/>
      </c>
      <c r="AO292" s="362" t="str">
        <f t="shared" ca="1" si="108"/>
        <v/>
      </c>
      <c r="AP292" s="362" t="str">
        <f t="shared" ca="1" si="109"/>
        <v/>
      </c>
      <c r="AQ292" s="362" t="str">
        <f t="shared" ca="1" si="109"/>
        <v/>
      </c>
      <c r="AR292" s="362" t="str">
        <f t="shared" ca="1" si="109"/>
        <v/>
      </c>
      <c r="AS292" s="362" t="str">
        <f t="shared" ca="1" si="109"/>
        <v/>
      </c>
      <c r="AT292" s="362" t="str">
        <f t="shared" ca="1" si="109"/>
        <v/>
      </c>
      <c r="AU292" s="362" t="str">
        <f t="shared" ca="1" si="109"/>
        <v/>
      </c>
      <c r="AV292" s="362">
        <f t="shared" ca="1" si="109"/>
        <v>0</v>
      </c>
      <c r="AW292" s="362">
        <f t="shared" ca="1" si="109"/>
        <v>0</v>
      </c>
      <c r="AX292" s="362">
        <f t="shared" ca="1" si="109"/>
        <v>0</v>
      </c>
      <c r="AY292" s="362">
        <f t="shared" ca="1" si="109"/>
        <v>0</v>
      </c>
      <c r="AZ292" s="362">
        <f t="shared" ca="1" si="110"/>
        <v>0</v>
      </c>
      <c r="BA292" s="362">
        <f t="shared" ca="1" si="110"/>
        <v>0</v>
      </c>
      <c r="BB292" s="362">
        <f t="shared" ca="1" si="110"/>
        <v>0</v>
      </c>
      <c r="BC292" s="362">
        <f t="shared" ca="1" si="110"/>
        <v>0</v>
      </c>
      <c r="BD292" s="362">
        <f t="shared" ca="1" si="110"/>
        <v>0</v>
      </c>
      <c r="BE292" s="362">
        <f t="shared" ca="1" si="110"/>
        <v>0</v>
      </c>
      <c r="BF292" s="362">
        <f t="shared" ca="1" si="110"/>
        <v>0</v>
      </c>
      <c r="BG292" s="362">
        <f t="shared" ca="1" si="110"/>
        <v>0</v>
      </c>
      <c r="BH292" s="362">
        <f t="shared" ca="1" si="110"/>
        <v>0</v>
      </c>
      <c r="BI292" s="362">
        <f t="shared" ca="1" si="110"/>
        <v>0</v>
      </c>
      <c r="BJ292" s="362">
        <f t="shared" ca="1" si="110"/>
        <v>0</v>
      </c>
      <c r="BK292" s="362">
        <f t="shared" ca="1" si="110"/>
        <v>0</v>
      </c>
      <c r="BL292" s="362">
        <f t="shared" ca="1" si="110"/>
        <v>0</v>
      </c>
      <c r="BM292" s="362"/>
    </row>
    <row r="293" spans="27:65">
      <c r="AA293" s="360">
        <f t="shared" si="106"/>
        <v>2012</v>
      </c>
      <c r="AB293" s="362">
        <f ca="1">'GHG Emissions'!N14+'GHG Emissions'!O14</f>
        <v>16380.512622993585</v>
      </c>
      <c r="AC293" s="362"/>
      <c r="AD293" s="362">
        <f t="shared" ca="1" si="107"/>
        <v>16217.69618901952</v>
      </c>
      <c r="AE293" s="362"/>
      <c r="AF293" s="362" t="str">
        <f t="shared" ca="1" si="108"/>
        <v/>
      </c>
      <c r="AG293" s="362" t="str">
        <f t="shared" ca="1" si="108"/>
        <v/>
      </c>
      <c r="AH293" s="362" t="str">
        <f t="shared" ca="1" si="108"/>
        <v/>
      </c>
      <c r="AI293" s="362" t="str">
        <f t="shared" ca="1" si="108"/>
        <v/>
      </c>
      <c r="AJ293" s="362" t="str">
        <f t="shared" ca="1" si="108"/>
        <v/>
      </c>
      <c r="AK293" s="362" t="str">
        <f t="shared" ca="1" si="108"/>
        <v/>
      </c>
      <c r="AL293" s="362" t="str">
        <f t="shared" ca="1" si="108"/>
        <v/>
      </c>
      <c r="AM293" s="362" t="str">
        <f t="shared" ca="1" si="108"/>
        <v/>
      </c>
      <c r="AN293" s="362" t="str">
        <f t="shared" ca="1" si="108"/>
        <v/>
      </c>
      <c r="AO293" s="362" t="str">
        <f t="shared" ca="1" si="108"/>
        <v/>
      </c>
      <c r="AP293" s="362" t="str">
        <f t="shared" ca="1" si="109"/>
        <v/>
      </c>
      <c r="AQ293" s="362" t="str">
        <f t="shared" ca="1" si="109"/>
        <v/>
      </c>
      <c r="AR293" s="362" t="str">
        <f t="shared" ca="1" si="109"/>
        <v/>
      </c>
      <c r="AS293" s="362" t="str">
        <f t="shared" ca="1" si="109"/>
        <v/>
      </c>
      <c r="AT293" s="362" t="str">
        <f t="shared" ca="1" si="109"/>
        <v/>
      </c>
      <c r="AU293" s="362" t="str">
        <f t="shared" ca="1" si="109"/>
        <v/>
      </c>
      <c r="AV293" s="362">
        <f t="shared" ca="1" si="109"/>
        <v>0</v>
      </c>
      <c r="AW293" s="362">
        <f t="shared" ca="1" si="109"/>
        <v>0</v>
      </c>
      <c r="AX293" s="362">
        <f t="shared" ca="1" si="109"/>
        <v>0</v>
      </c>
      <c r="AY293" s="362">
        <f t="shared" ca="1" si="109"/>
        <v>0</v>
      </c>
      <c r="AZ293" s="362">
        <f t="shared" ca="1" si="110"/>
        <v>0</v>
      </c>
      <c r="BA293" s="362">
        <f t="shared" ca="1" si="110"/>
        <v>0</v>
      </c>
      <c r="BB293" s="362">
        <f t="shared" ca="1" si="110"/>
        <v>0</v>
      </c>
      <c r="BC293" s="362">
        <f t="shared" ca="1" si="110"/>
        <v>162.81643397406458</v>
      </c>
      <c r="BD293" s="362">
        <f t="shared" ca="1" si="110"/>
        <v>0</v>
      </c>
      <c r="BE293" s="362">
        <f t="shared" ca="1" si="110"/>
        <v>0</v>
      </c>
      <c r="BF293" s="362">
        <f t="shared" ca="1" si="110"/>
        <v>0</v>
      </c>
      <c r="BG293" s="362">
        <f t="shared" ca="1" si="110"/>
        <v>0</v>
      </c>
      <c r="BH293" s="362">
        <f t="shared" ca="1" si="110"/>
        <v>0</v>
      </c>
      <c r="BI293" s="362">
        <f t="shared" ca="1" si="110"/>
        <v>0</v>
      </c>
      <c r="BJ293" s="362">
        <f t="shared" ca="1" si="110"/>
        <v>0</v>
      </c>
      <c r="BK293" s="362">
        <f t="shared" ca="1" si="110"/>
        <v>0</v>
      </c>
      <c r="BL293" s="362">
        <f t="shared" ca="1" si="110"/>
        <v>0</v>
      </c>
      <c r="BM293" s="362"/>
    </row>
    <row r="294" spans="27:65">
      <c r="AA294" s="360">
        <f t="shared" si="106"/>
        <v>2013</v>
      </c>
      <c r="AB294" s="362">
        <f ca="1">'GHG Emissions'!N15+'GHG Emissions'!O15</f>
        <v>16416.67244815085</v>
      </c>
      <c r="AC294" s="362"/>
      <c r="AD294" s="362">
        <f t="shared" ca="1" si="107"/>
        <v>16090.480010411444</v>
      </c>
      <c r="AE294" s="362"/>
      <c r="AF294" s="362" t="str">
        <f t="shared" ca="1" si="108"/>
        <v/>
      </c>
      <c r="AG294" s="362" t="str">
        <f t="shared" ca="1" si="108"/>
        <v/>
      </c>
      <c r="AH294" s="362" t="str">
        <f t="shared" ca="1" si="108"/>
        <v/>
      </c>
      <c r="AI294" s="362" t="str">
        <f t="shared" ca="1" si="108"/>
        <v/>
      </c>
      <c r="AJ294" s="362" t="str">
        <f t="shared" ca="1" si="108"/>
        <v/>
      </c>
      <c r="AK294" s="362" t="str">
        <f t="shared" ca="1" si="108"/>
        <v/>
      </c>
      <c r="AL294" s="362" t="str">
        <f t="shared" ca="1" si="108"/>
        <v/>
      </c>
      <c r="AM294" s="362" t="str">
        <f t="shared" ca="1" si="108"/>
        <v/>
      </c>
      <c r="AN294" s="362" t="str">
        <f t="shared" ca="1" si="108"/>
        <v/>
      </c>
      <c r="AO294" s="362" t="str">
        <f t="shared" ca="1" si="108"/>
        <v/>
      </c>
      <c r="AP294" s="362" t="str">
        <f t="shared" ca="1" si="109"/>
        <v/>
      </c>
      <c r="AQ294" s="362" t="str">
        <f t="shared" ca="1" si="109"/>
        <v/>
      </c>
      <c r="AR294" s="362" t="str">
        <f t="shared" ca="1" si="109"/>
        <v/>
      </c>
      <c r="AS294" s="362" t="str">
        <f t="shared" ca="1" si="109"/>
        <v/>
      </c>
      <c r="AT294" s="362" t="str">
        <f t="shared" ca="1" si="109"/>
        <v/>
      </c>
      <c r="AU294" s="362" t="str">
        <f t="shared" ca="1" si="109"/>
        <v/>
      </c>
      <c r="AV294" s="362">
        <f t="shared" ca="1" si="109"/>
        <v>0</v>
      </c>
      <c r="AW294" s="362">
        <f t="shared" ca="1" si="109"/>
        <v>0</v>
      </c>
      <c r="AX294" s="362">
        <f t="shared" ca="1" si="109"/>
        <v>0</v>
      </c>
      <c r="AY294" s="362">
        <f t="shared" ca="1" si="109"/>
        <v>0</v>
      </c>
      <c r="AZ294" s="362">
        <f t="shared" ca="1" si="110"/>
        <v>0</v>
      </c>
      <c r="BA294" s="362">
        <f t="shared" ca="1" si="110"/>
        <v>0</v>
      </c>
      <c r="BB294" s="362">
        <f t="shared" ca="1" si="110"/>
        <v>0</v>
      </c>
      <c r="BC294" s="362">
        <f t="shared" ca="1" si="110"/>
        <v>326.1924377394069</v>
      </c>
      <c r="BD294" s="362">
        <f t="shared" ca="1" si="110"/>
        <v>0</v>
      </c>
      <c r="BE294" s="362">
        <f t="shared" ca="1" si="110"/>
        <v>0</v>
      </c>
      <c r="BF294" s="362">
        <f t="shared" ca="1" si="110"/>
        <v>0</v>
      </c>
      <c r="BG294" s="362">
        <f t="shared" ca="1" si="110"/>
        <v>0</v>
      </c>
      <c r="BH294" s="362">
        <f t="shared" ca="1" si="110"/>
        <v>0</v>
      </c>
      <c r="BI294" s="362">
        <f t="shared" ca="1" si="110"/>
        <v>0</v>
      </c>
      <c r="BJ294" s="362">
        <f t="shared" ca="1" si="110"/>
        <v>0</v>
      </c>
      <c r="BK294" s="362">
        <f t="shared" ca="1" si="110"/>
        <v>0</v>
      </c>
      <c r="BL294" s="362">
        <f t="shared" ca="1" si="110"/>
        <v>0</v>
      </c>
      <c r="BM294" s="362"/>
    </row>
    <row r="295" spans="27:65">
      <c r="AA295" s="360">
        <f t="shared" si="106"/>
        <v>2014</v>
      </c>
      <c r="AB295" s="362">
        <f ca="1">'GHG Emissions'!N16+'GHG Emissions'!O16</f>
        <v>16448.51712214074</v>
      </c>
      <c r="AC295" s="362"/>
      <c r="AD295" s="362">
        <f t="shared" ca="1" si="107"/>
        <v>15958.519558171398</v>
      </c>
      <c r="AE295" s="362"/>
      <c r="AF295" s="362" t="str">
        <f t="shared" ca="1" si="108"/>
        <v/>
      </c>
      <c r="AG295" s="362" t="str">
        <f t="shared" ca="1" si="108"/>
        <v/>
      </c>
      <c r="AH295" s="362" t="str">
        <f t="shared" ca="1" si="108"/>
        <v/>
      </c>
      <c r="AI295" s="362" t="str">
        <f t="shared" ca="1" si="108"/>
        <v/>
      </c>
      <c r="AJ295" s="362" t="str">
        <f t="shared" ca="1" si="108"/>
        <v/>
      </c>
      <c r="AK295" s="362" t="str">
        <f t="shared" ca="1" si="108"/>
        <v/>
      </c>
      <c r="AL295" s="362" t="str">
        <f t="shared" ca="1" si="108"/>
        <v/>
      </c>
      <c r="AM295" s="362" t="str">
        <f t="shared" ca="1" si="108"/>
        <v/>
      </c>
      <c r="AN295" s="362" t="str">
        <f t="shared" ca="1" si="108"/>
        <v/>
      </c>
      <c r="AO295" s="362" t="str">
        <f t="shared" ca="1" si="108"/>
        <v/>
      </c>
      <c r="AP295" s="362" t="str">
        <f t="shared" ca="1" si="109"/>
        <v/>
      </c>
      <c r="AQ295" s="362" t="str">
        <f t="shared" ca="1" si="109"/>
        <v/>
      </c>
      <c r="AR295" s="362" t="str">
        <f t="shared" ca="1" si="109"/>
        <v/>
      </c>
      <c r="AS295" s="362" t="str">
        <f t="shared" ca="1" si="109"/>
        <v/>
      </c>
      <c r="AT295" s="362" t="str">
        <f t="shared" ca="1" si="109"/>
        <v/>
      </c>
      <c r="AU295" s="362" t="str">
        <f t="shared" ca="1" si="109"/>
        <v/>
      </c>
      <c r="AV295" s="362">
        <f t="shared" ca="1" si="109"/>
        <v>0</v>
      </c>
      <c r="AW295" s="362">
        <f t="shared" ca="1" si="109"/>
        <v>0</v>
      </c>
      <c r="AX295" s="362">
        <f t="shared" ca="1" si="109"/>
        <v>0</v>
      </c>
      <c r="AY295" s="362">
        <f t="shared" ca="1" si="109"/>
        <v>0</v>
      </c>
      <c r="AZ295" s="362">
        <f t="shared" ca="1" si="110"/>
        <v>0</v>
      </c>
      <c r="BA295" s="362">
        <f t="shared" ca="1" si="110"/>
        <v>0</v>
      </c>
      <c r="BB295" s="362">
        <f t="shared" ca="1" si="110"/>
        <v>0</v>
      </c>
      <c r="BC295" s="362">
        <f t="shared" ca="1" si="110"/>
        <v>489.99756396934276</v>
      </c>
      <c r="BD295" s="362">
        <f t="shared" ca="1" si="110"/>
        <v>0</v>
      </c>
      <c r="BE295" s="362">
        <f t="shared" ca="1" si="110"/>
        <v>0</v>
      </c>
      <c r="BF295" s="362">
        <f t="shared" ca="1" si="110"/>
        <v>0</v>
      </c>
      <c r="BG295" s="362">
        <f t="shared" ca="1" si="110"/>
        <v>0</v>
      </c>
      <c r="BH295" s="362">
        <f t="shared" ca="1" si="110"/>
        <v>0</v>
      </c>
      <c r="BI295" s="362">
        <f t="shared" ca="1" si="110"/>
        <v>0</v>
      </c>
      <c r="BJ295" s="362">
        <f t="shared" ca="1" si="110"/>
        <v>0</v>
      </c>
      <c r="BK295" s="362">
        <f t="shared" ca="1" si="110"/>
        <v>0</v>
      </c>
      <c r="BL295" s="362">
        <f t="shared" ca="1" si="110"/>
        <v>0</v>
      </c>
      <c r="BM295" s="362"/>
    </row>
    <row r="296" spans="27:65">
      <c r="AA296" s="360">
        <f t="shared" si="106"/>
        <v>2015</v>
      </c>
      <c r="AB296" s="362">
        <f ca="1">'GHG Emissions'!N17+'GHG Emissions'!O17</f>
        <v>16477.296623656959</v>
      </c>
      <c r="AC296" s="362"/>
      <c r="AD296" s="362">
        <f t="shared" ca="1" si="107"/>
        <v>15823.132335206108</v>
      </c>
      <c r="AE296" s="362"/>
      <c r="AF296" s="362" t="str">
        <f t="shared" ca="1" si="108"/>
        <v/>
      </c>
      <c r="AG296" s="362" t="str">
        <f t="shared" ca="1" si="108"/>
        <v/>
      </c>
      <c r="AH296" s="362" t="str">
        <f t="shared" ca="1" si="108"/>
        <v/>
      </c>
      <c r="AI296" s="362" t="str">
        <f t="shared" ca="1" si="108"/>
        <v/>
      </c>
      <c r="AJ296" s="362" t="str">
        <f t="shared" ca="1" si="108"/>
        <v/>
      </c>
      <c r="AK296" s="362" t="str">
        <f t="shared" ca="1" si="108"/>
        <v/>
      </c>
      <c r="AL296" s="362" t="str">
        <f t="shared" ca="1" si="108"/>
        <v/>
      </c>
      <c r="AM296" s="362" t="str">
        <f t="shared" ca="1" si="108"/>
        <v/>
      </c>
      <c r="AN296" s="362" t="str">
        <f t="shared" ca="1" si="108"/>
        <v/>
      </c>
      <c r="AO296" s="362" t="str">
        <f t="shared" ca="1" si="108"/>
        <v/>
      </c>
      <c r="AP296" s="362" t="str">
        <f t="shared" ca="1" si="109"/>
        <v/>
      </c>
      <c r="AQ296" s="362" t="str">
        <f t="shared" ca="1" si="109"/>
        <v/>
      </c>
      <c r="AR296" s="362" t="str">
        <f t="shared" ca="1" si="109"/>
        <v/>
      </c>
      <c r="AS296" s="362" t="str">
        <f t="shared" ca="1" si="109"/>
        <v/>
      </c>
      <c r="AT296" s="362" t="str">
        <f t="shared" ca="1" si="109"/>
        <v/>
      </c>
      <c r="AU296" s="362" t="str">
        <f t="shared" ca="1" si="109"/>
        <v/>
      </c>
      <c r="AV296" s="362">
        <f t="shared" ca="1" si="109"/>
        <v>0</v>
      </c>
      <c r="AW296" s="362">
        <f t="shared" ca="1" si="109"/>
        <v>0</v>
      </c>
      <c r="AX296" s="362">
        <f t="shared" ca="1" si="109"/>
        <v>0</v>
      </c>
      <c r="AY296" s="362">
        <f t="shared" ca="1" si="109"/>
        <v>0</v>
      </c>
      <c r="AZ296" s="362">
        <f t="shared" ca="1" si="110"/>
        <v>0</v>
      </c>
      <c r="BA296" s="362">
        <f t="shared" ca="1" si="110"/>
        <v>0</v>
      </c>
      <c r="BB296" s="362">
        <f t="shared" ca="1" si="110"/>
        <v>0</v>
      </c>
      <c r="BC296" s="362">
        <f t="shared" ca="1" si="110"/>
        <v>654.16428845085125</v>
      </c>
      <c r="BD296" s="362">
        <f t="shared" ca="1" si="110"/>
        <v>0</v>
      </c>
      <c r="BE296" s="362">
        <f t="shared" ca="1" si="110"/>
        <v>0</v>
      </c>
      <c r="BF296" s="362">
        <f t="shared" ca="1" si="110"/>
        <v>0</v>
      </c>
      <c r="BG296" s="362">
        <f t="shared" ca="1" si="110"/>
        <v>0</v>
      </c>
      <c r="BH296" s="362">
        <f t="shared" ca="1" si="110"/>
        <v>0</v>
      </c>
      <c r="BI296" s="362">
        <f t="shared" ca="1" si="110"/>
        <v>0</v>
      </c>
      <c r="BJ296" s="362">
        <f t="shared" ca="1" si="110"/>
        <v>0</v>
      </c>
      <c r="BK296" s="362">
        <f t="shared" ca="1" si="110"/>
        <v>0</v>
      </c>
      <c r="BL296" s="362">
        <f t="shared" ca="1" si="110"/>
        <v>0</v>
      </c>
      <c r="BM296" s="362"/>
    </row>
    <row r="297" spans="27:65">
      <c r="AA297" s="360">
        <f t="shared" si="106"/>
        <v>2016</v>
      </c>
      <c r="AB297" s="362">
        <f ca="1">'GHG Emissions'!N18+'GHG Emissions'!O18</f>
        <v>16503.753496319368</v>
      </c>
      <c r="AC297" s="362"/>
      <c r="AD297" s="362">
        <f t="shared" ca="1" si="107"/>
        <v>15685.10403664711</v>
      </c>
      <c r="AE297" s="362"/>
      <c r="AF297" s="362" t="str">
        <f t="shared" ca="1" si="108"/>
        <v/>
      </c>
      <c r="AG297" s="362" t="str">
        <f t="shared" ca="1" si="108"/>
        <v/>
      </c>
      <c r="AH297" s="362" t="str">
        <f t="shared" ca="1" si="108"/>
        <v/>
      </c>
      <c r="AI297" s="362" t="str">
        <f t="shared" ca="1" si="108"/>
        <v/>
      </c>
      <c r="AJ297" s="362" t="str">
        <f t="shared" ca="1" si="108"/>
        <v/>
      </c>
      <c r="AK297" s="362" t="str">
        <f t="shared" ca="1" si="108"/>
        <v/>
      </c>
      <c r="AL297" s="362" t="str">
        <f t="shared" ca="1" si="108"/>
        <v/>
      </c>
      <c r="AM297" s="362" t="str">
        <f t="shared" ca="1" si="108"/>
        <v/>
      </c>
      <c r="AN297" s="362" t="str">
        <f t="shared" ca="1" si="108"/>
        <v/>
      </c>
      <c r="AO297" s="362" t="str">
        <f t="shared" ca="1" si="108"/>
        <v/>
      </c>
      <c r="AP297" s="362" t="str">
        <f t="shared" ca="1" si="109"/>
        <v/>
      </c>
      <c r="AQ297" s="362" t="str">
        <f t="shared" ca="1" si="109"/>
        <v/>
      </c>
      <c r="AR297" s="362" t="str">
        <f t="shared" ca="1" si="109"/>
        <v/>
      </c>
      <c r="AS297" s="362" t="str">
        <f t="shared" ca="1" si="109"/>
        <v/>
      </c>
      <c r="AT297" s="362" t="str">
        <f t="shared" ca="1" si="109"/>
        <v/>
      </c>
      <c r="AU297" s="362" t="str">
        <f t="shared" ca="1" si="109"/>
        <v/>
      </c>
      <c r="AV297" s="362">
        <f t="shared" ca="1" si="109"/>
        <v>0</v>
      </c>
      <c r="AW297" s="362">
        <f t="shared" ca="1" si="109"/>
        <v>0</v>
      </c>
      <c r="AX297" s="362">
        <f t="shared" ca="1" si="109"/>
        <v>0</v>
      </c>
      <c r="AY297" s="362">
        <f t="shared" ca="1" si="109"/>
        <v>0</v>
      </c>
      <c r="AZ297" s="362">
        <f t="shared" ca="1" si="110"/>
        <v>0</v>
      </c>
      <c r="BA297" s="362">
        <f t="shared" ca="1" si="110"/>
        <v>0</v>
      </c>
      <c r="BB297" s="362">
        <f t="shared" ca="1" si="110"/>
        <v>0</v>
      </c>
      <c r="BC297" s="362">
        <f t="shared" ca="1" si="110"/>
        <v>818.64945967225867</v>
      </c>
      <c r="BD297" s="362">
        <f t="shared" ca="1" si="110"/>
        <v>0</v>
      </c>
      <c r="BE297" s="362">
        <f t="shared" ca="1" si="110"/>
        <v>0</v>
      </c>
      <c r="BF297" s="362">
        <f t="shared" ca="1" si="110"/>
        <v>0</v>
      </c>
      <c r="BG297" s="362">
        <f t="shared" ca="1" si="110"/>
        <v>0</v>
      </c>
      <c r="BH297" s="362">
        <f t="shared" ca="1" si="110"/>
        <v>0</v>
      </c>
      <c r="BI297" s="362">
        <f t="shared" ca="1" si="110"/>
        <v>0</v>
      </c>
      <c r="BJ297" s="362">
        <f t="shared" ca="1" si="110"/>
        <v>0</v>
      </c>
      <c r="BK297" s="362">
        <f t="shared" ca="1" si="110"/>
        <v>0</v>
      </c>
      <c r="BL297" s="362">
        <f t="shared" ca="1" si="110"/>
        <v>0</v>
      </c>
      <c r="BM297" s="362"/>
    </row>
    <row r="298" spans="27:65">
      <c r="AA298" s="360">
        <f t="shared" si="106"/>
        <v>2017</v>
      </c>
      <c r="AB298" s="362">
        <f ca="1">'GHG Emissions'!N19+'GHG Emissions'!O19</f>
        <v>16528.371547689869</v>
      </c>
      <c r="AC298" s="362"/>
      <c r="AD298" s="362">
        <f t="shared" ca="1" si="107"/>
        <v>15544.949121781041</v>
      </c>
      <c r="AE298" s="362"/>
      <c r="AF298" s="362" t="str">
        <f t="shared" ca="1" si="108"/>
        <v/>
      </c>
      <c r="AG298" s="362" t="str">
        <f t="shared" ca="1" si="108"/>
        <v/>
      </c>
      <c r="AH298" s="362" t="str">
        <f t="shared" ca="1" si="108"/>
        <v/>
      </c>
      <c r="AI298" s="362" t="str">
        <f t="shared" ca="1" si="108"/>
        <v/>
      </c>
      <c r="AJ298" s="362" t="str">
        <f t="shared" ca="1" si="108"/>
        <v/>
      </c>
      <c r="AK298" s="362" t="str">
        <f t="shared" ca="1" si="108"/>
        <v/>
      </c>
      <c r="AL298" s="362" t="str">
        <f t="shared" ca="1" si="108"/>
        <v/>
      </c>
      <c r="AM298" s="362" t="str">
        <f t="shared" ca="1" si="108"/>
        <v/>
      </c>
      <c r="AN298" s="362" t="str">
        <f t="shared" ca="1" si="108"/>
        <v/>
      </c>
      <c r="AO298" s="362" t="str">
        <f t="shared" ca="1" si="108"/>
        <v/>
      </c>
      <c r="AP298" s="362" t="str">
        <f t="shared" ca="1" si="109"/>
        <v/>
      </c>
      <c r="AQ298" s="362" t="str">
        <f t="shared" ca="1" si="109"/>
        <v/>
      </c>
      <c r="AR298" s="362" t="str">
        <f t="shared" ca="1" si="109"/>
        <v/>
      </c>
      <c r="AS298" s="362" t="str">
        <f t="shared" ca="1" si="109"/>
        <v/>
      </c>
      <c r="AT298" s="362" t="str">
        <f t="shared" ca="1" si="109"/>
        <v/>
      </c>
      <c r="AU298" s="362" t="str">
        <f t="shared" ca="1" si="109"/>
        <v/>
      </c>
      <c r="AV298" s="362">
        <f t="shared" ca="1" si="109"/>
        <v>0</v>
      </c>
      <c r="AW298" s="362">
        <f t="shared" ca="1" si="109"/>
        <v>0</v>
      </c>
      <c r="AX298" s="362">
        <f t="shared" ca="1" si="109"/>
        <v>0</v>
      </c>
      <c r="AY298" s="362">
        <f t="shared" ca="1" si="109"/>
        <v>0</v>
      </c>
      <c r="AZ298" s="362">
        <f t="shared" ca="1" si="110"/>
        <v>0</v>
      </c>
      <c r="BA298" s="362">
        <f t="shared" ca="1" si="110"/>
        <v>0</v>
      </c>
      <c r="BB298" s="362">
        <f t="shared" ca="1" si="110"/>
        <v>0</v>
      </c>
      <c r="BC298" s="362">
        <f t="shared" ca="1" si="110"/>
        <v>983.42242590882825</v>
      </c>
      <c r="BD298" s="362">
        <f t="shared" ca="1" si="110"/>
        <v>0</v>
      </c>
      <c r="BE298" s="362">
        <f t="shared" ca="1" si="110"/>
        <v>0</v>
      </c>
      <c r="BF298" s="362">
        <f t="shared" ca="1" si="110"/>
        <v>0</v>
      </c>
      <c r="BG298" s="362">
        <f t="shared" ca="1" si="110"/>
        <v>0</v>
      </c>
      <c r="BH298" s="362">
        <f t="shared" ca="1" si="110"/>
        <v>0</v>
      </c>
      <c r="BI298" s="362">
        <f t="shared" ca="1" si="110"/>
        <v>0</v>
      </c>
      <c r="BJ298" s="362">
        <f t="shared" ca="1" si="110"/>
        <v>0</v>
      </c>
      <c r="BK298" s="362">
        <f t="shared" ca="1" si="110"/>
        <v>0</v>
      </c>
      <c r="BL298" s="362">
        <f t="shared" ca="1" si="110"/>
        <v>0</v>
      </c>
      <c r="BM298" s="362"/>
    </row>
    <row r="299" spans="27:65">
      <c r="AA299" s="360">
        <f t="shared" si="106"/>
        <v>2018</v>
      </c>
      <c r="AB299" s="362">
        <f ca="1">'GHG Emissions'!N20+'GHG Emissions'!O20</f>
        <v>16551.486831175658</v>
      </c>
      <c r="AC299" s="362"/>
      <c r="AD299" s="362">
        <f t="shared" ca="1" si="107"/>
        <v>15403.026870303636</v>
      </c>
      <c r="AE299" s="362"/>
      <c r="AF299" s="362" t="str">
        <f t="shared" ca="1" si="108"/>
        <v/>
      </c>
      <c r="AG299" s="362" t="str">
        <f t="shared" ca="1" si="108"/>
        <v/>
      </c>
      <c r="AH299" s="362" t="str">
        <f t="shared" ca="1" si="108"/>
        <v/>
      </c>
      <c r="AI299" s="362" t="str">
        <f t="shared" ca="1" si="108"/>
        <v/>
      </c>
      <c r="AJ299" s="362" t="str">
        <f t="shared" ca="1" si="108"/>
        <v/>
      </c>
      <c r="AK299" s="362" t="str">
        <f t="shared" ca="1" si="108"/>
        <v/>
      </c>
      <c r="AL299" s="362" t="str">
        <f t="shared" ca="1" si="108"/>
        <v/>
      </c>
      <c r="AM299" s="362" t="str">
        <f t="shared" ca="1" si="108"/>
        <v/>
      </c>
      <c r="AN299" s="362" t="str">
        <f t="shared" ca="1" si="108"/>
        <v/>
      </c>
      <c r="AO299" s="362" t="str">
        <f t="shared" ca="1" si="108"/>
        <v/>
      </c>
      <c r="AP299" s="362" t="str">
        <f t="shared" ca="1" si="109"/>
        <v/>
      </c>
      <c r="AQ299" s="362" t="str">
        <f t="shared" ca="1" si="109"/>
        <v/>
      </c>
      <c r="AR299" s="362" t="str">
        <f t="shared" ca="1" si="109"/>
        <v/>
      </c>
      <c r="AS299" s="362" t="str">
        <f t="shared" ca="1" si="109"/>
        <v/>
      </c>
      <c r="AT299" s="362" t="str">
        <f t="shared" ca="1" si="109"/>
        <v/>
      </c>
      <c r="AU299" s="362" t="str">
        <f t="shared" ca="1" si="109"/>
        <v/>
      </c>
      <c r="AV299" s="362">
        <f t="shared" ca="1" si="109"/>
        <v>0</v>
      </c>
      <c r="AW299" s="362">
        <f t="shared" ca="1" si="109"/>
        <v>0</v>
      </c>
      <c r="AX299" s="362">
        <f t="shared" ca="1" si="109"/>
        <v>0</v>
      </c>
      <c r="AY299" s="362">
        <f t="shared" ca="1" si="109"/>
        <v>0</v>
      </c>
      <c r="AZ299" s="362">
        <f t="shared" ca="1" si="110"/>
        <v>0</v>
      </c>
      <c r="BA299" s="362">
        <f t="shared" ca="1" si="110"/>
        <v>0</v>
      </c>
      <c r="BB299" s="362">
        <f t="shared" ca="1" si="110"/>
        <v>0</v>
      </c>
      <c r="BC299" s="362">
        <f t="shared" ca="1" si="110"/>
        <v>1148.4599608720218</v>
      </c>
      <c r="BD299" s="362">
        <f t="shared" ca="1" si="110"/>
        <v>0</v>
      </c>
      <c r="BE299" s="362">
        <f t="shared" ca="1" si="110"/>
        <v>0</v>
      </c>
      <c r="BF299" s="362">
        <f t="shared" ca="1" si="110"/>
        <v>0</v>
      </c>
      <c r="BG299" s="362">
        <f t="shared" ca="1" si="110"/>
        <v>0</v>
      </c>
      <c r="BH299" s="362">
        <f t="shared" ca="1" si="110"/>
        <v>0</v>
      </c>
      <c r="BI299" s="362">
        <f t="shared" ca="1" si="110"/>
        <v>0</v>
      </c>
      <c r="BJ299" s="362">
        <f t="shared" ca="1" si="110"/>
        <v>0</v>
      </c>
      <c r="BK299" s="362">
        <f t="shared" ca="1" si="110"/>
        <v>0</v>
      </c>
      <c r="BL299" s="362">
        <f t="shared" ca="1" si="110"/>
        <v>0</v>
      </c>
      <c r="BM299" s="362"/>
    </row>
    <row r="300" spans="27:65">
      <c r="AA300" s="360">
        <f t="shared" si="106"/>
        <v>2019</v>
      </c>
      <c r="AB300" s="362">
        <f ca="1">'GHG Emissions'!N21+'GHG Emissions'!O21</f>
        <v>16573.344024873717</v>
      </c>
      <c r="AC300" s="362"/>
      <c r="AD300" s="362">
        <f t="shared" ca="1" si="107"/>
        <v>15259.600348524797</v>
      </c>
      <c r="AE300" s="362"/>
      <c r="AF300" s="362" t="str">
        <f t="shared" ca="1" si="108"/>
        <v/>
      </c>
      <c r="AG300" s="362" t="str">
        <f t="shared" ca="1" si="108"/>
        <v/>
      </c>
      <c r="AH300" s="362" t="str">
        <f t="shared" ca="1" si="108"/>
        <v/>
      </c>
      <c r="AI300" s="362" t="str">
        <f t="shared" ca="1" si="108"/>
        <v/>
      </c>
      <c r="AJ300" s="362" t="str">
        <f t="shared" ca="1" si="108"/>
        <v/>
      </c>
      <c r="AK300" s="362" t="str">
        <f t="shared" ca="1" si="108"/>
        <v/>
      </c>
      <c r="AL300" s="362" t="str">
        <f t="shared" ca="1" si="108"/>
        <v/>
      </c>
      <c r="AM300" s="362" t="str">
        <f t="shared" ca="1" si="108"/>
        <v/>
      </c>
      <c r="AN300" s="362" t="str">
        <f t="shared" ca="1" si="108"/>
        <v/>
      </c>
      <c r="AO300" s="362" t="str">
        <f t="shared" ca="1" si="108"/>
        <v/>
      </c>
      <c r="AP300" s="362" t="str">
        <f t="shared" ca="1" si="109"/>
        <v/>
      </c>
      <c r="AQ300" s="362" t="str">
        <f t="shared" ca="1" si="109"/>
        <v/>
      </c>
      <c r="AR300" s="362" t="str">
        <f t="shared" ca="1" si="109"/>
        <v/>
      </c>
      <c r="AS300" s="362" t="str">
        <f t="shared" ca="1" si="109"/>
        <v/>
      </c>
      <c r="AT300" s="362" t="str">
        <f t="shared" ca="1" si="109"/>
        <v/>
      </c>
      <c r="AU300" s="362" t="str">
        <f t="shared" ca="1" si="109"/>
        <v/>
      </c>
      <c r="AV300" s="362">
        <f t="shared" ca="1" si="109"/>
        <v>0</v>
      </c>
      <c r="AW300" s="362">
        <f t="shared" ca="1" si="109"/>
        <v>0</v>
      </c>
      <c r="AX300" s="362">
        <f t="shared" ca="1" si="109"/>
        <v>0</v>
      </c>
      <c r="AY300" s="362">
        <f t="shared" ca="1" si="109"/>
        <v>0</v>
      </c>
      <c r="AZ300" s="362">
        <f t="shared" ca="1" si="110"/>
        <v>0</v>
      </c>
      <c r="BA300" s="362">
        <f t="shared" ca="1" si="110"/>
        <v>0</v>
      </c>
      <c r="BB300" s="362">
        <f t="shared" ca="1" si="110"/>
        <v>0</v>
      </c>
      <c r="BC300" s="362">
        <f t="shared" ca="1" si="110"/>
        <v>1313.7436763489204</v>
      </c>
      <c r="BD300" s="362">
        <f t="shared" ca="1" si="110"/>
        <v>0</v>
      </c>
      <c r="BE300" s="362">
        <f t="shared" ca="1" si="110"/>
        <v>0</v>
      </c>
      <c r="BF300" s="362">
        <f t="shared" ca="1" si="110"/>
        <v>0</v>
      </c>
      <c r="BG300" s="362">
        <f t="shared" ca="1" si="110"/>
        <v>0</v>
      </c>
      <c r="BH300" s="362">
        <f t="shared" ca="1" si="110"/>
        <v>0</v>
      </c>
      <c r="BI300" s="362">
        <f t="shared" ca="1" si="110"/>
        <v>0</v>
      </c>
      <c r="BJ300" s="362">
        <f t="shared" ca="1" si="110"/>
        <v>0</v>
      </c>
      <c r="BK300" s="362">
        <f t="shared" ca="1" si="110"/>
        <v>0</v>
      </c>
      <c r="BL300" s="362">
        <f t="shared" ca="1" si="110"/>
        <v>0</v>
      </c>
      <c r="BM300" s="362"/>
    </row>
    <row r="301" spans="27:65">
      <c r="AA301" s="360">
        <f t="shared" si="106"/>
        <v>2020</v>
      </c>
      <c r="AB301" s="362">
        <f ca="1">'GHG Emissions'!N22+'GHG Emissions'!O22</f>
        <v>16594.127840724741</v>
      </c>
      <c r="AC301" s="362"/>
      <c r="AD301" s="362">
        <f t="shared" ca="1" si="107"/>
        <v>15114.869296064064</v>
      </c>
      <c r="AE301" s="362"/>
      <c r="AF301" s="362" t="str">
        <f t="shared" ref="AF301:AO310" ca="1" si="111">IFERROR(-HLOOKUP(AF$50,Scope3CommuteTable,$AA301-$AA$291+2,FALSE),"")</f>
        <v/>
      </c>
      <c r="AG301" s="362" t="str">
        <f t="shared" ca="1" si="111"/>
        <v/>
      </c>
      <c r="AH301" s="362" t="str">
        <f t="shared" ca="1" si="111"/>
        <v/>
      </c>
      <c r="AI301" s="362" t="str">
        <f t="shared" ca="1" si="111"/>
        <v/>
      </c>
      <c r="AJ301" s="362" t="str">
        <f t="shared" ca="1" si="111"/>
        <v/>
      </c>
      <c r="AK301" s="362" t="str">
        <f t="shared" ca="1" si="111"/>
        <v/>
      </c>
      <c r="AL301" s="362" t="str">
        <f t="shared" ca="1" si="111"/>
        <v/>
      </c>
      <c r="AM301" s="362" t="str">
        <f t="shared" ca="1" si="111"/>
        <v/>
      </c>
      <c r="AN301" s="362" t="str">
        <f t="shared" ca="1" si="111"/>
        <v/>
      </c>
      <c r="AO301" s="362" t="str">
        <f t="shared" ca="1" si="111"/>
        <v/>
      </c>
      <c r="AP301" s="362" t="str">
        <f t="shared" ref="AP301:AY310" ca="1" si="112">IFERROR(-HLOOKUP(AP$50,Scope3CommuteTable,$AA301-$AA$291+2,FALSE),"")</f>
        <v/>
      </c>
      <c r="AQ301" s="362" t="str">
        <f t="shared" ca="1" si="112"/>
        <v/>
      </c>
      <c r="AR301" s="362" t="str">
        <f t="shared" ca="1" si="112"/>
        <v/>
      </c>
      <c r="AS301" s="362" t="str">
        <f t="shared" ca="1" si="112"/>
        <v/>
      </c>
      <c r="AT301" s="362" t="str">
        <f t="shared" ca="1" si="112"/>
        <v/>
      </c>
      <c r="AU301" s="362" t="str">
        <f t="shared" ca="1" si="112"/>
        <v/>
      </c>
      <c r="AV301" s="362">
        <f t="shared" ca="1" si="112"/>
        <v>0</v>
      </c>
      <c r="AW301" s="362">
        <f t="shared" ca="1" si="112"/>
        <v>0</v>
      </c>
      <c r="AX301" s="362">
        <f t="shared" ca="1" si="112"/>
        <v>0</v>
      </c>
      <c r="AY301" s="362">
        <f t="shared" ca="1" si="112"/>
        <v>0</v>
      </c>
      <c r="AZ301" s="362">
        <f t="shared" ref="AZ301:BL310" ca="1" si="113">IFERROR(-HLOOKUP(AZ$50,Scope3CommuteTable,$AA301-$AA$291+2,FALSE),"")</f>
        <v>0</v>
      </c>
      <c r="BA301" s="362">
        <f t="shared" ca="1" si="113"/>
        <v>0</v>
      </c>
      <c r="BB301" s="362">
        <f t="shared" ca="1" si="113"/>
        <v>0</v>
      </c>
      <c r="BC301" s="362">
        <f t="shared" ca="1" si="113"/>
        <v>1479.258544660677</v>
      </c>
      <c r="BD301" s="362">
        <f t="shared" ca="1" si="113"/>
        <v>0</v>
      </c>
      <c r="BE301" s="362">
        <f t="shared" ca="1" si="113"/>
        <v>0</v>
      </c>
      <c r="BF301" s="362">
        <f t="shared" ca="1" si="113"/>
        <v>0</v>
      </c>
      <c r="BG301" s="362">
        <f t="shared" ca="1" si="113"/>
        <v>0</v>
      </c>
      <c r="BH301" s="362">
        <f t="shared" ca="1" si="113"/>
        <v>0</v>
      </c>
      <c r="BI301" s="362">
        <f t="shared" ca="1" si="113"/>
        <v>0</v>
      </c>
      <c r="BJ301" s="362">
        <f t="shared" ca="1" si="113"/>
        <v>0</v>
      </c>
      <c r="BK301" s="362">
        <f t="shared" ca="1" si="113"/>
        <v>0</v>
      </c>
      <c r="BL301" s="362">
        <f t="shared" ca="1" si="113"/>
        <v>0</v>
      </c>
      <c r="BM301" s="362"/>
    </row>
    <row r="302" spans="27:65">
      <c r="AA302" s="360">
        <f t="shared" si="106"/>
        <v>2021</v>
      </c>
      <c r="AB302" s="362">
        <f ca="1">'GHG Emissions'!N23+'GHG Emissions'!O23</f>
        <v>16613.981781332222</v>
      </c>
      <c r="AC302" s="362"/>
      <c r="AD302" s="362">
        <f t="shared" ca="1" si="107"/>
        <v>14968.989796422808</v>
      </c>
      <c r="AE302" s="362"/>
      <c r="AF302" s="362" t="str">
        <f t="shared" ca="1" si="111"/>
        <v/>
      </c>
      <c r="AG302" s="362" t="str">
        <f t="shared" ca="1" si="111"/>
        <v/>
      </c>
      <c r="AH302" s="362" t="str">
        <f t="shared" ca="1" si="111"/>
        <v/>
      </c>
      <c r="AI302" s="362" t="str">
        <f t="shared" ca="1" si="111"/>
        <v/>
      </c>
      <c r="AJ302" s="362" t="str">
        <f t="shared" ca="1" si="111"/>
        <v/>
      </c>
      <c r="AK302" s="362" t="str">
        <f t="shared" ca="1" si="111"/>
        <v/>
      </c>
      <c r="AL302" s="362" t="str">
        <f t="shared" ca="1" si="111"/>
        <v/>
      </c>
      <c r="AM302" s="362" t="str">
        <f t="shared" ca="1" si="111"/>
        <v/>
      </c>
      <c r="AN302" s="362" t="str">
        <f t="shared" ca="1" si="111"/>
        <v/>
      </c>
      <c r="AO302" s="362" t="str">
        <f t="shared" ca="1" si="111"/>
        <v/>
      </c>
      <c r="AP302" s="362" t="str">
        <f t="shared" ca="1" si="112"/>
        <v/>
      </c>
      <c r="AQ302" s="362" t="str">
        <f t="shared" ca="1" si="112"/>
        <v/>
      </c>
      <c r="AR302" s="362" t="str">
        <f t="shared" ca="1" si="112"/>
        <v/>
      </c>
      <c r="AS302" s="362" t="str">
        <f t="shared" ca="1" si="112"/>
        <v/>
      </c>
      <c r="AT302" s="362" t="str">
        <f t="shared" ca="1" si="112"/>
        <v/>
      </c>
      <c r="AU302" s="362" t="str">
        <f t="shared" ca="1" si="112"/>
        <v/>
      </c>
      <c r="AV302" s="362">
        <f t="shared" ca="1" si="112"/>
        <v>0</v>
      </c>
      <c r="AW302" s="362">
        <f t="shared" ca="1" si="112"/>
        <v>0</v>
      </c>
      <c r="AX302" s="362">
        <f t="shared" ca="1" si="112"/>
        <v>0</v>
      </c>
      <c r="AY302" s="362">
        <f t="shared" ca="1" si="112"/>
        <v>0</v>
      </c>
      <c r="AZ302" s="362">
        <f t="shared" ca="1" si="113"/>
        <v>0</v>
      </c>
      <c r="BA302" s="362">
        <f t="shared" ca="1" si="113"/>
        <v>0</v>
      </c>
      <c r="BB302" s="362">
        <f t="shared" ca="1" si="113"/>
        <v>0</v>
      </c>
      <c r="BC302" s="362">
        <f t="shared" ca="1" si="113"/>
        <v>1644.9919849094142</v>
      </c>
      <c r="BD302" s="362">
        <f t="shared" ca="1" si="113"/>
        <v>0</v>
      </c>
      <c r="BE302" s="362">
        <f t="shared" ca="1" si="113"/>
        <v>0</v>
      </c>
      <c r="BF302" s="362">
        <f t="shared" ca="1" si="113"/>
        <v>0</v>
      </c>
      <c r="BG302" s="362">
        <f t="shared" ca="1" si="113"/>
        <v>0</v>
      </c>
      <c r="BH302" s="362">
        <f t="shared" ca="1" si="113"/>
        <v>0</v>
      </c>
      <c r="BI302" s="362">
        <f t="shared" ca="1" si="113"/>
        <v>0</v>
      </c>
      <c r="BJ302" s="362">
        <f t="shared" ca="1" si="113"/>
        <v>0</v>
      </c>
      <c r="BK302" s="362">
        <f t="shared" ca="1" si="113"/>
        <v>0</v>
      </c>
      <c r="BL302" s="362">
        <f t="shared" ca="1" si="113"/>
        <v>0</v>
      </c>
      <c r="BM302" s="362"/>
    </row>
    <row r="303" spans="27:65">
      <c r="AA303" s="360">
        <f t="shared" si="106"/>
        <v>2022</v>
      </c>
      <c r="AB303" s="362">
        <f ca="1">'GHG Emissions'!N24+'GHG Emissions'!O24</f>
        <v>16633.019966624121</v>
      </c>
      <c r="AC303" s="362"/>
      <c r="AD303" s="362">
        <f t="shared" ca="1" si="107"/>
        <v>14988.027981714706</v>
      </c>
      <c r="AE303" s="362"/>
      <c r="AF303" s="362" t="str">
        <f t="shared" ca="1" si="111"/>
        <v/>
      </c>
      <c r="AG303" s="362" t="str">
        <f t="shared" ca="1" si="111"/>
        <v/>
      </c>
      <c r="AH303" s="362" t="str">
        <f t="shared" ca="1" si="111"/>
        <v/>
      </c>
      <c r="AI303" s="362" t="str">
        <f t="shared" ca="1" si="111"/>
        <v/>
      </c>
      <c r="AJ303" s="362" t="str">
        <f t="shared" ca="1" si="111"/>
        <v/>
      </c>
      <c r="AK303" s="362" t="str">
        <f t="shared" ca="1" si="111"/>
        <v/>
      </c>
      <c r="AL303" s="362" t="str">
        <f t="shared" ca="1" si="111"/>
        <v/>
      </c>
      <c r="AM303" s="362" t="str">
        <f t="shared" ca="1" si="111"/>
        <v/>
      </c>
      <c r="AN303" s="362" t="str">
        <f t="shared" ca="1" si="111"/>
        <v/>
      </c>
      <c r="AO303" s="362" t="str">
        <f t="shared" ca="1" si="111"/>
        <v/>
      </c>
      <c r="AP303" s="362" t="str">
        <f t="shared" ca="1" si="112"/>
        <v/>
      </c>
      <c r="AQ303" s="362" t="str">
        <f t="shared" ca="1" si="112"/>
        <v/>
      </c>
      <c r="AR303" s="362" t="str">
        <f t="shared" ca="1" si="112"/>
        <v/>
      </c>
      <c r="AS303" s="362" t="str">
        <f t="shared" ca="1" si="112"/>
        <v/>
      </c>
      <c r="AT303" s="362" t="str">
        <f t="shared" ca="1" si="112"/>
        <v/>
      </c>
      <c r="AU303" s="362" t="str">
        <f t="shared" ca="1" si="112"/>
        <v/>
      </c>
      <c r="AV303" s="362">
        <f t="shared" ca="1" si="112"/>
        <v>0</v>
      </c>
      <c r="AW303" s="362">
        <f t="shared" ca="1" si="112"/>
        <v>0</v>
      </c>
      <c r="AX303" s="362">
        <f t="shared" ca="1" si="112"/>
        <v>0</v>
      </c>
      <c r="AY303" s="362">
        <f t="shared" ca="1" si="112"/>
        <v>0</v>
      </c>
      <c r="AZ303" s="362">
        <f t="shared" ca="1" si="113"/>
        <v>0</v>
      </c>
      <c r="BA303" s="362">
        <f t="shared" ca="1" si="113"/>
        <v>0</v>
      </c>
      <c r="BB303" s="362">
        <f t="shared" ca="1" si="113"/>
        <v>0</v>
      </c>
      <c r="BC303" s="362">
        <f t="shared" ca="1" si="113"/>
        <v>1644.9919849094142</v>
      </c>
      <c r="BD303" s="362">
        <f t="shared" ca="1" si="113"/>
        <v>0</v>
      </c>
      <c r="BE303" s="362">
        <f t="shared" ca="1" si="113"/>
        <v>0</v>
      </c>
      <c r="BF303" s="362">
        <f t="shared" ca="1" si="113"/>
        <v>0</v>
      </c>
      <c r="BG303" s="362">
        <f t="shared" ca="1" si="113"/>
        <v>0</v>
      </c>
      <c r="BH303" s="362">
        <f t="shared" ca="1" si="113"/>
        <v>0</v>
      </c>
      <c r="BI303" s="362">
        <f t="shared" ca="1" si="113"/>
        <v>0</v>
      </c>
      <c r="BJ303" s="362">
        <f t="shared" ca="1" si="113"/>
        <v>0</v>
      </c>
      <c r="BK303" s="362">
        <f t="shared" ca="1" si="113"/>
        <v>0</v>
      </c>
      <c r="BL303" s="362">
        <f t="shared" ca="1" si="113"/>
        <v>0</v>
      </c>
      <c r="BM303" s="362"/>
    </row>
    <row r="304" spans="27:65">
      <c r="AA304" s="360">
        <f t="shared" si="106"/>
        <v>2023</v>
      </c>
      <c r="AB304" s="362">
        <f ca="1">'GHG Emissions'!N25+'GHG Emissions'!O25</f>
        <v>16651.334924470233</v>
      </c>
      <c r="AC304" s="362"/>
      <c r="AD304" s="362">
        <f t="shared" ca="1" si="107"/>
        <v>15006.342939560818</v>
      </c>
      <c r="AE304" s="362"/>
      <c r="AF304" s="362" t="str">
        <f t="shared" ca="1" si="111"/>
        <v/>
      </c>
      <c r="AG304" s="362" t="str">
        <f t="shared" ca="1" si="111"/>
        <v/>
      </c>
      <c r="AH304" s="362" t="str">
        <f t="shared" ca="1" si="111"/>
        <v/>
      </c>
      <c r="AI304" s="362" t="str">
        <f t="shared" ca="1" si="111"/>
        <v/>
      </c>
      <c r="AJ304" s="362" t="str">
        <f t="shared" ca="1" si="111"/>
        <v/>
      </c>
      <c r="AK304" s="362" t="str">
        <f t="shared" ca="1" si="111"/>
        <v/>
      </c>
      <c r="AL304" s="362" t="str">
        <f t="shared" ca="1" si="111"/>
        <v/>
      </c>
      <c r="AM304" s="362" t="str">
        <f t="shared" ca="1" si="111"/>
        <v/>
      </c>
      <c r="AN304" s="362" t="str">
        <f t="shared" ca="1" si="111"/>
        <v/>
      </c>
      <c r="AO304" s="362" t="str">
        <f t="shared" ca="1" si="111"/>
        <v/>
      </c>
      <c r="AP304" s="362" t="str">
        <f t="shared" ca="1" si="112"/>
        <v/>
      </c>
      <c r="AQ304" s="362" t="str">
        <f t="shared" ca="1" si="112"/>
        <v/>
      </c>
      <c r="AR304" s="362" t="str">
        <f t="shared" ca="1" si="112"/>
        <v/>
      </c>
      <c r="AS304" s="362" t="str">
        <f t="shared" ca="1" si="112"/>
        <v/>
      </c>
      <c r="AT304" s="362" t="str">
        <f t="shared" ca="1" si="112"/>
        <v/>
      </c>
      <c r="AU304" s="362" t="str">
        <f t="shared" ca="1" si="112"/>
        <v/>
      </c>
      <c r="AV304" s="362">
        <f t="shared" ca="1" si="112"/>
        <v>0</v>
      </c>
      <c r="AW304" s="362">
        <f t="shared" ca="1" si="112"/>
        <v>0</v>
      </c>
      <c r="AX304" s="362">
        <f t="shared" ca="1" si="112"/>
        <v>0</v>
      </c>
      <c r="AY304" s="362">
        <f t="shared" ca="1" si="112"/>
        <v>0</v>
      </c>
      <c r="AZ304" s="362">
        <f t="shared" ca="1" si="113"/>
        <v>0</v>
      </c>
      <c r="BA304" s="362">
        <f t="shared" ca="1" si="113"/>
        <v>0</v>
      </c>
      <c r="BB304" s="362">
        <f t="shared" ca="1" si="113"/>
        <v>0</v>
      </c>
      <c r="BC304" s="362">
        <f t="shared" ca="1" si="113"/>
        <v>1644.9919849094142</v>
      </c>
      <c r="BD304" s="362">
        <f t="shared" ca="1" si="113"/>
        <v>0</v>
      </c>
      <c r="BE304" s="362">
        <f t="shared" ca="1" si="113"/>
        <v>0</v>
      </c>
      <c r="BF304" s="362">
        <f t="shared" ca="1" si="113"/>
        <v>0</v>
      </c>
      <c r="BG304" s="362">
        <f t="shared" ca="1" si="113"/>
        <v>0</v>
      </c>
      <c r="BH304" s="362">
        <f t="shared" ca="1" si="113"/>
        <v>0</v>
      </c>
      <c r="BI304" s="362">
        <f t="shared" ca="1" si="113"/>
        <v>0</v>
      </c>
      <c r="BJ304" s="362">
        <f t="shared" ca="1" si="113"/>
        <v>0</v>
      </c>
      <c r="BK304" s="362">
        <f t="shared" ca="1" si="113"/>
        <v>0</v>
      </c>
      <c r="BL304" s="362">
        <f t="shared" ca="1" si="113"/>
        <v>0</v>
      </c>
      <c r="BM304" s="362"/>
    </row>
    <row r="305" spans="27:65">
      <c r="AA305" s="360">
        <f t="shared" si="106"/>
        <v>2024</v>
      </c>
      <c r="AB305" s="362">
        <f ca="1">'GHG Emissions'!N26+'GHG Emissions'!O26</f>
        <v>16669.002910995707</v>
      </c>
      <c r="AC305" s="362"/>
      <c r="AD305" s="362">
        <f t="shared" ca="1" si="107"/>
        <v>15024.010926086292</v>
      </c>
      <c r="AE305" s="362"/>
      <c r="AF305" s="362" t="str">
        <f t="shared" ca="1" si="111"/>
        <v/>
      </c>
      <c r="AG305" s="362" t="str">
        <f t="shared" ca="1" si="111"/>
        <v/>
      </c>
      <c r="AH305" s="362" t="str">
        <f t="shared" ca="1" si="111"/>
        <v/>
      </c>
      <c r="AI305" s="362" t="str">
        <f t="shared" ca="1" si="111"/>
        <v/>
      </c>
      <c r="AJ305" s="362" t="str">
        <f t="shared" ca="1" si="111"/>
        <v/>
      </c>
      <c r="AK305" s="362" t="str">
        <f t="shared" ca="1" si="111"/>
        <v/>
      </c>
      <c r="AL305" s="362" t="str">
        <f t="shared" ca="1" si="111"/>
        <v/>
      </c>
      <c r="AM305" s="362" t="str">
        <f t="shared" ca="1" si="111"/>
        <v/>
      </c>
      <c r="AN305" s="362" t="str">
        <f t="shared" ca="1" si="111"/>
        <v/>
      </c>
      <c r="AO305" s="362" t="str">
        <f t="shared" ca="1" si="111"/>
        <v/>
      </c>
      <c r="AP305" s="362" t="str">
        <f t="shared" ca="1" si="112"/>
        <v/>
      </c>
      <c r="AQ305" s="362" t="str">
        <f t="shared" ca="1" si="112"/>
        <v/>
      </c>
      <c r="AR305" s="362" t="str">
        <f t="shared" ca="1" si="112"/>
        <v/>
      </c>
      <c r="AS305" s="362" t="str">
        <f t="shared" ca="1" si="112"/>
        <v/>
      </c>
      <c r="AT305" s="362" t="str">
        <f t="shared" ca="1" si="112"/>
        <v/>
      </c>
      <c r="AU305" s="362" t="str">
        <f t="shared" ca="1" si="112"/>
        <v/>
      </c>
      <c r="AV305" s="362">
        <f t="shared" ca="1" si="112"/>
        <v>0</v>
      </c>
      <c r="AW305" s="362">
        <f t="shared" ca="1" si="112"/>
        <v>0</v>
      </c>
      <c r="AX305" s="362">
        <f t="shared" ca="1" si="112"/>
        <v>0</v>
      </c>
      <c r="AY305" s="362">
        <f t="shared" ca="1" si="112"/>
        <v>0</v>
      </c>
      <c r="AZ305" s="362">
        <f t="shared" ca="1" si="113"/>
        <v>0</v>
      </c>
      <c r="BA305" s="362">
        <f t="shared" ca="1" si="113"/>
        <v>0</v>
      </c>
      <c r="BB305" s="362">
        <f t="shared" ca="1" si="113"/>
        <v>0</v>
      </c>
      <c r="BC305" s="362">
        <f t="shared" ca="1" si="113"/>
        <v>1644.9919849094142</v>
      </c>
      <c r="BD305" s="362">
        <f t="shared" ca="1" si="113"/>
        <v>0</v>
      </c>
      <c r="BE305" s="362">
        <f t="shared" ca="1" si="113"/>
        <v>0</v>
      </c>
      <c r="BF305" s="362">
        <f t="shared" ca="1" si="113"/>
        <v>0</v>
      </c>
      <c r="BG305" s="362">
        <f t="shared" ca="1" si="113"/>
        <v>0</v>
      </c>
      <c r="BH305" s="362">
        <f t="shared" ca="1" si="113"/>
        <v>0</v>
      </c>
      <c r="BI305" s="362">
        <f t="shared" ca="1" si="113"/>
        <v>0</v>
      </c>
      <c r="BJ305" s="362">
        <f t="shared" ca="1" si="113"/>
        <v>0</v>
      </c>
      <c r="BK305" s="362">
        <f t="shared" ca="1" si="113"/>
        <v>0</v>
      </c>
      <c r="BL305" s="362">
        <f t="shared" ca="1" si="113"/>
        <v>0</v>
      </c>
      <c r="BM305" s="362"/>
    </row>
    <row r="306" spans="27:65">
      <c r="AA306" s="360">
        <f t="shared" si="106"/>
        <v>2025</v>
      </c>
      <c r="AB306" s="362">
        <f ca="1">'GHG Emissions'!N27+'GHG Emissions'!O27</f>
        <v>16686.087655419065</v>
      </c>
      <c r="AC306" s="362"/>
      <c r="AD306" s="362">
        <f t="shared" ca="1" si="107"/>
        <v>15041.095670509651</v>
      </c>
      <c r="AE306" s="362"/>
      <c r="AF306" s="362" t="str">
        <f t="shared" ca="1" si="111"/>
        <v/>
      </c>
      <c r="AG306" s="362" t="str">
        <f t="shared" ca="1" si="111"/>
        <v/>
      </c>
      <c r="AH306" s="362" t="str">
        <f t="shared" ca="1" si="111"/>
        <v/>
      </c>
      <c r="AI306" s="362" t="str">
        <f t="shared" ca="1" si="111"/>
        <v/>
      </c>
      <c r="AJ306" s="362" t="str">
        <f t="shared" ca="1" si="111"/>
        <v/>
      </c>
      <c r="AK306" s="362" t="str">
        <f t="shared" ca="1" si="111"/>
        <v/>
      </c>
      <c r="AL306" s="362" t="str">
        <f t="shared" ca="1" si="111"/>
        <v/>
      </c>
      <c r="AM306" s="362" t="str">
        <f t="shared" ca="1" si="111"/>
        <v/>
      </c>
      <c r="AN306" s="362" t="str">
        <f t="shared" ca="1" si="111"/>
        <v/>
      </c>
      <c r="AO306" s="362" t="str">
        <f t="shared" ca="1" si="111"/>
        <v/>
      </c>
      <c r="AP306" s="362" t="str">
        <f t="shared" ca="1" si="112"/>
        <v/>
      </c>
      <c r="AQ306" s="362" t="str">
        <f t="shared" ca="1" si="112"/>
        <v/>
      </c>
      <c r="AR306" s="362" t="str">
        <f t="shared" ca="1" si="112"/>
        <v/>
      </c>
      <c r="AS306" s="362" t="str">
        <f t="shared" ca="1" si="112"/>
        <v/>
      </c>
      <c r="AT306" s="362" t="str">
        <f t="shared" ca="1" si="112"/>
        <v/>
      </c>
      <c r="AU306" s="362" t="str">
        <f t="shared" ca="1" si="112"/>
        <v/>
      </c>
      <c r="AV306" s="362">
        <f t="shared" ca="1" si="112"/>
        <v>0</v>
      </c>
      <c r="AW306" s="362">
        <f t="shared" ca="1" si="112"/>
        <v>0</v>
      </c>
      <c r="AX306" s="362">
        <f t="shared" ca="1" si="112"/>
        <v>0</v>
      </c>
      <c r="AY306" s="362">
        <f t="shared" ca="1" si="112"/>
        <v>0</v>
      </c>
      <c r="AZ306" s="362">
        <f t="shared" ca="1" si="113"/>
        <v>0</v>
      </c>
      <c r="BA306" s="362">
        <f t="shared" ca="1" si="113"/>
        <v>0</v>
      </c>
      <c r="BB306" s="362">
        <f t="shared" ca="1" si="113"/>
        <v>0</v>
      </c>
      <c r="BC306" s="362">
        <f t="shared" ca="1" si="113"/>
        <v>1644.9919849094142</v>
      </c>
      <c r="BD306" s="362">
        <f t="shared" ca="1" si="113"/>
        <v>0</v>
      </c>
      <c r="BE306" s="362">
        <f t="shared" ca="1" si="113"/>
        <v>0</v>
      </c>
      <c r="BF306" s="362">
        <f t="shared" ca="1" si="113"/>
        <v>0</v>
      </c>
      <c r="BG306" s="362">
        <f t="shared" ca="1" si="113"/>
        <v>0</v>
      </c>
      <c r="BH306" s="362">
        <f t="shared" ca="1" si="113"/>
        <v>0</v>
      </c>
      <c r="BI306" s="362">
        <f t="shared" ca="1" si="113"/>
        <v>0</v>
      </c>
      <c r="BJ306" s="362">
        <f t="shared" ca="1" si="113"/>
        <v>0</v>
      </c>
      <c r="BK306" s="362">
        <f t="shared" ca="1" si="113"/>
        <v>0</v>
      </c>
      <c r="BL306" s="362">
        <f t="shared" ca="1" si="113"/>
        <v>0</v>
      </c>
      <c r="BM306" s="362"/>
    </row>
    <row r="307" spans="27:65">
      <c r="AA307" s="360">
        <f t="shared" si="106"/>
        <v>2026</v>
      </c>
      <c r="AB307" s="362">
        <f ca="1">'GHG Emissions'!N28+'GHG Emissions'!O28</f>
        <v>16702.643064672975</v>
      </c>
      <c r="AC307" s="362"/>
      <c r="AD307" s="362">
        <f t="shared" ca="1" si="107"/>
        <v>15057.65107976356</v>
      </c>
      <c r="AE307" s="362"/>
      <c r="AF307" s="362" t="str">
        <f t="shared" ca="1" si="111"/>
        <v/>
      </c>
      <c r="AG307" s="362" t="str">
        <f t="shared" ca="1" si="111"/>
        <v/>
      </c>
      <c r="AH307" s="362" t="str">
        <f t="shared" ca="1" si="111"/>
        <v/>
      </c>
      <c r="AI307" s="362" t="str">
        <f t="shared" ca="1" si="111"/>
        <v/>
      </c>
      <c r="AJ307" s="362" t="str">
        <f t="shared" ca="1" si="111"/>
        <v/>
      </c>
      <c r="AK307" s="362" t="str">
        <f t="shared" ca="1" si="111"/>
        <v/>
      </c>
      <c r="AL307" s="362" t="str">
        <f t="shared" ca="1" si="111"/>
        <v/>
      </c>
      <c r="AM307" s="362" t="str">
        <f t="shared" ca="1" si="111"/>
        <v/>
      </c>
      <c r="AN307" s="362" t="str">
        <f t="shared" ca="1" si="111"/>
        <v/>
      </c>
      <c r="AO307" s="362" t="str">
        <f t="shared" ca="1" si="111"/>
        <v/>
      </c>
      <c r="AP307" s="362" t="str">
        <f t="shared" ca="1" si="112"/>
        <v/>
      </c>
      <c r="AQ307" s="362" t="str">
        <f t="shared" ca="1" si="112"/>
        <v/>
      </c>
      <c r="AR307" s="362" t="str">
        <f t="shared" ca="1" si="112"/>
        <v/>
      </c>
      <c r="AS307" s="362" t="str">
        <f t="shared" ca="1" si="112"/>
        <v/>
      </c>
      <c r="AT307" s="362" t="str">
        <f t="shared" ca="1" si="112"/>
        <v/>
      </c>
      <c r="AU307" s="362" t="str">
        <f t="shared" ca="1" si="112"/>
        <v/>
      </c>
      <c r="AV307" s="362">
        <f t="shared" ca="1" si="112"/>
        <v>0</v>
      </c>
      <c r="AW307" s="362">
        <f t="shared" ca="1" si="112"/>
        <v>0</v>
      </c>
      <c r="AX307" s="362">
        <f t="shared" ca="1" si="112"/>
        <v>0</v>
      </c>
      <c r="AY307" s="362">
        <f t="shared" ca="1" si="112"/>
        <v>0</v>
      </c>
      <c r="AZ307" s="362">
        <f t="shared" ca="1" si="113"/>
        <v>0</v>
      </c>
      <c r="BA307" s="362">
        <f t="shared" ca="1" si="113"/>
        <v>0</v>
      </c>
      <c r="BB307" s="362">
        <f t="shared" ca="1" si="113"/>
        <v>0</v>
      </c>
      <c r="BC307" s="362">
        <f t="shared" ca="1" si="113"/>
        <v>1644.9919849094142</v>
      </c>
      <c r="BD307" s="362">
        <f t="shared" ca="1" si="113"/>
        <v>0</v>
      </c>
      <c r="BE307" s="362">
        <f t="shared" ca="1" si="113"/>
        <v>0</v>
      </c>
      <c r="BF307" s="362">
        <f t="shared" ca="1" si="113"/>
        <v>0</v>
      </c>
      <c r="BG307" s="362">
        <f t="shared" ca="1" si="113"/>
        <v>0</v>
      </c>
      <c r="BH307" s="362">
        <f t="shared" ca="1" si="113"/>
        <v>0</v>
      </c>
      <c r="BI307" s="362">
        <f t="shared" ca="1" si="113"/>
        <v>0</v>
      </c>
      <c r="BJ307" s="362">
        <f t="shared" ca="1" si="113"/>
        <v>0</v>
      </c>
      <c r="BK307" s="362">
        <f t="shared" ca="1" si="113"/>
        <v>0</v>
      </c>
      <c r="BL307" s="362">
        <f t="shared" ca="1" si="113"/>
        <v>0</v>
      </c>
      <c r="BM307" s="362"/>
    </row>
    <row r="308" spans="27:65">
      <c r="AA308" s="360">
        <f t="shared" si="106"/>
        <v>2027</v>
      </c>
      <c r="AB308" s="362">
        <f ca="1">'GHG Emissions'!N29+'GHG Emissions'!O29</f>
        <v>16718.715220570022</v>
      </c>
      <c r="AC308" s="362"/>
      <c r="AD308" s="362">
        <f t="shared" ca="1" si="107"/>
        <v>15073.723235660607</v>
      </c>
      <c r="AE308" s="362"/>
      <c r="AF308" s="362" t="str">
        <f t="shared" ca="1" si="111"/>
        <v/>
      </c>
      <c r="AG308" s="362" t="str">
        <f t="shared" ca="1" si="111"/>
        <v/>
      </c>
      <c r="AH308" s="362" t="str">
        <f t="shared" ca="1" si="111"/>
        <v/>
      </c>
      <c r="AI308" s="362" t="str">
        <f t="shared" ca="1" si="111"/>
        <v/>
      </c>
      <c r="AJ308" s="362" t="str">
        <f t="shared" ca="1" si="111"/>
        <v/>
      </c>
      <c r="AK308" s="362" t="str">
        <f t="shared" ca="1" si="111"/>
        <v/>
      </c>
      <c r="AL308" s="362" t="str">
        <f t="shared" ca="1" si="111"/>
        <v/>
      </c>
      <c r="AM308" s="362" t="str">
        <f t="shared" ca="1" si="111"/>
        <v/>
      </c>
      <c r="AN308" s="362" t="str">
        <f t="shared" ca="1" si="111"/>
        <v/>
      </c>
      <c r="AO308" s="362" t="str">
        <f t="shared" ca="1" si="111"/>
        <v/>
      </c>
      <c r="AP308" s="362" t="str">
        <f t="shared" ca="1" si="112"/>
        <v/>
      </c>
      <c r="AQ308" s="362" t="str">
        <f t="shared" ca="1" si="112"/>
        <v/>
      </c>
      <c r="AR308" s="362" t="str">
        <f t="shared" ca="1" si="112"/>
        <v/>
      </c>
      <c r="AS308" s="362" t="str">
        <f t="shared" ca="1" si="112"/>
        <v/>
      </c>
      <c r="AT308" s="362" t="str">
        <f t="shared" ca="1" si="112"/>
        <v/>
      </c>
      <c r="AU308" s="362" t="str">
        <f t="shared" ca="1" si="112"/>
        <v/>
      </c>
      <c r="AV308" s="362">
        <f t="shared" ca="1" si="112"/>
        <v>0</v>
      </c>
      <c r="AW308" s="362">
        <f t="shared" ca="1" si="112"/>
        <v>0</v>
      </c>
      <c r="AX308" s="362">
        <f t="shared" ca="1" si="112"/>
        <v>0</v>
      </c>
      <c r="AY308" s="362">
        <f t="shared" ca="1" si="112"/>
        <v>0</v>
      </c>
      <c r="AZ308" s="362">
        <f t="shared" ca="1" si="113"/>
        <v>0</v>
      </c>
      <c r="BA308" s="362">
        <f t="shared" ca="1" si="113"/>
        <v>0</v>
      </c>
      <c r="BB308" s="362">
        <f t="shared" ca="1" si="113"/>
        <v>0</v>
      </c>
      <c r="BC308" s="362">
        <f t="shared" ca="1" si="113"/>
        <v>1644.9919849094142</v>
      </c>
      <c r="BD308" s="362">
        <f t="shared" ca="1" si="113"/>
        <v>0</v>
      </c>
      <c r="BE308" s="362">
        <f t="shared" ca="1" si="113"/>
        <v>0</v>
      </c>
      <c r="BF308" s="362">
        <f t="shared" ca="1" si="113"/>
        <v>0</v>
      </c>
      <c r="BG308" s="362">
        <f t="shared" ca="1" si="113"/>
        <v>0</v>
      </c>
      <c r="BH308" s="362">
        <f t="shared" ca="1" si="113"/>
        <v>0</v>
      </c>
      <c r="BI308" s="362">
        <f t="shared" ca="1" si="113"/>
        <v>0</v>
      </c>
      <c r="BJ308" s="362">
        <f t="shared" ca="1" si="113"/>
        <v>0</v>
      </c>
      <c r="BK308" s="362">
        <f t="shared" ca="1" si="113"/>
        <v>0</v>
      </c>
      <c r="BL308" s="362">
        <f t="shared" ca="1" si="113"/>
        <v>0</v>
      </c>
      <c r="BM308" s="362"/>
    </row>
    <row r="309" spans="27:65">
      <c r="AA309" s="360">
        <f t="shared" si="106"/>
        <v>2028</v>
      </c>
      <c r="AB309" s="362">
        <f ca="1">'GHG Emissions'!N30+'GHG Emissions'!O30</f>
        <v>16734.343883342288</v>
      </c>
      <c r="AC309" s="362"/>
      <c r="AD309" s="362">
        <f t="shared" ca="1" si="107"/>
        <v>15089.351898432873</v>
      </c>
      <c r="AE309" s="362"/>
      <c r="AF309" s="362" t="str">
        <f t="shared" ca="1" si="111"/>
        <v/>
      </c>
      <c r="AG309" s="362" t="str">
        <f t="shared" ca="1" si="111"/>
        <v/>
      </c>
      <c r="AH309" s="362" t="str">
        <f t="shared" ca="1" si="111"/>
        <v/>
      </c>
      <c r="AI309" s="362" t="str">
        <f t="shared" ca="1" si="111"/>
        <v/>
      </c>
      <c r="AJ309" s="362" t="str">
        <f t="shared" ca="1" si="111"/>
        <v/>
      </c>
      <c r="AK309" s="362" t="str">
        <f t="shared" ca="1" si="111"/>
        <v/>
      </c>
      <c r="AL309" s="362" t="str">
        <f t="shared" ca="1" si="111"/>
        <v/>
      </c>
      <c r="AM309" s="362" t="str">
        <f t="shared" ca="1" si="111"/>
        <v/>
      </c>
      <c r="AN309" s="362" t="str">
        <f t="shared" ca="1" si="111"/>
        <v/>
      </c>
      <c r="AO309" s="362" t="str">
        <f t="shared" ca="1" si="111"/>
        <v/>
      </c>
      <c r="AP309" s="362" t="str">
        <f t="shared" ca="1" si="112"/>
        <v/>
      </c>
      <c r="AQ309" s="362" t="str">
        <f t="shared" ca="1" si="112"/>
        <v/>
      </c>
      <c r="AR309" s="362" t="str">
        <f t="shared" ca="1" si="112"/>
        <v/>
      </c>
      <c r="AS309" s="362" t="str">
        <f t="shared" ca="1" si="112"/>
        <v/>
      </c>
      <c r="AT309" s="362" t="str">
        <f t="shared" ca="1" si="112"/>
        <v/>
      </c>
      <c r="AU309" s="362" t="str">
        <f t="shared" ca="1" si="112"/>
        <v/>
      </c>
      <c r="AV309" s="362">
        <f t="shared" ca="1" si="112"/>
        <v>0</v>
      </c>
      <c r="AW309" s="362">
        <f t="shared" ca="1" si="112"/>
        <v>0</v>
      </c>
      <c r="AX309" s="362">
        <f t="shared" ca="1" si="112"/>
        <v>0</v>
      </c>
      <c r="AY309" s="362">
        <f t="shared" ca="1" si="112"/>
        <v>0</v>
      </c>
      <c r="AZ309" s="362">
        <f t="shared" ca="1" si="113"/>
        <v>0</v>
      </c>
      <c r="BA309" s="362">
        <f t="shared" ca="1" si="113"/>
        <v>0</v>
      </c>
      <c r="BB309" s="362">
        <f t="shared" ca="1" si="113"/>
        <v>0</v>
      </c>
      <c r="BC309" s="362">
        <f t="shared" ca="1" si="113"/>
        <v>1644.9919849094142</v>
      </c>
      <c r="BD309" s="362">
        <f t="shared" ca="1" si="113"/>
        <v>0</v>
      </c>
      <c r="BE309" s="362">
        <f t="shared" ca="1" si="113"/>
        <v>0</v>
      </c>
      <c r="BF309" s="362">
        <f t="shared" ca="1" si="113"/>
        <v>0</v>
      </c>
      <c r="BG309" s="362">
        <f t="shared" ca="1" si="113"/>
        <v>0</v>
      </c>
      <c r="BH309" s="362">
        <f t="shared" ca="1" si="113"/>
        <v>0</v>
      </c>
      <c r="BI309" s="362">
        <f t="shared" ca="1" si="113"/>
        <v>0</v>
      </c>
      <c r="BJ309" s="362">
        <f t="shared" ca="1" si="113"/>
        <v>0</v>
      </c>
      <c r="BK309" s="362">
        <f t="shared" ca="1" si="113"/>
        <v>0</v>
      </c>
      <c r="BL309" s="362">
        <f t="shared" ca="1" si="113"/>
        <v>0</v>
      </c>
      <c r="BM309" s="362"/>
    </row>
    <row r="310" spans="27:65">
      <c r="AA310" s="360">
        <f t="shared" si="106"/>
        <v>2029</v>
      </c>
      <c r="AB310" s="362">
        <f ca="1">'GHG Emissions'!N31+'GHG Emissions'!O31</f>
        <v>16749.563642957113</v>
      </c>
      <c r="AC310" s="362"/>
      <c r="AD310" s="362">
        <f t="shared" ca="1" si="107"/>
        <v>15104.571658047698</v>
      </c>
      <c r="AE310" s="362"/>
      <c r="AF310" s="362" t="str">
        <f t="shared" ca="1" si="111"/>
        <v/>
      </c>
      <c r="AG310" s="362" t="str">
        <f t="shared" ca="1" si="111"/>
        <v/>
      </c>
      <c r="AH310" s="362" t="str">
        <f t="shared" ca="1" si="111"/>
        <v/>
      </c>
      <c r="AI310" s="362" t="str">
        <f t="shared" ca="1" si="111"/>
        <v/>
      </c>
      <c r="AJ310" s="362" t="str">
        <f t="shared" ca="1" si="111"/>
        <v/>
      </c>
      <c r="AK310" s="362" t="str">
        <f t="shared" ca="1" si="111"/>
        <v/>
      </c>
      <c r="AL310" s="362" t="str">
        <f t="shared" ca="1" si="111"/>
        <v/>
      </c>
      <c r="AM310" s="362" t="str">
        <f t="shared" ca="1" si="111"/>
        <v/>
      </c>
      <c r="AN310" s="362" t="str">
        <f t="shared" ca="1" si="111"/>
        <v/>
      </c>
      <c r="AO310" s="362" t="str">
        <f t="shared" ca="1" si="111"/>
        <v/>
      </c>
      <c r="AP310" s="362" t="str">
        <f t="shared" ca="1" si="112"/>
        <v/>
      </c>
      <c r="AQ310" s="362" t="str">
        <f t="shared" ca="1" si="112"/>
        <v/>
      </c>
      <c r="AR310" s="362" t="str">
        <f t="shared" ca="1" si="112"/>
        <v/>
      </c>
      <c r="AS310" s="362" t="str">
        <f t="shared" ca="1" si="112"/>
        <v/>
      </c>
      <c r="AT310" s="362" t="str">
        <f t="shared" ca="1" si="112"/>
        <v/>
      </c>
      <c r="AU310" s="362" t="str">
        <f t="shared" ca="1" si="112"/>
        <v/>
      </c>
      <c r="AV310" s="362">
        <f t="shared" ca="1" si="112"/>
        <v>0</v>
      </c>
      <c r="AW310" s="362">
        <f t="shared" ca="1" si="112"/>
        <v>0</v>
      </c>
      <c r="AX310" s="362">
        <f t="shared" ca="1" si="112"/>
        <v>0</v>
      </c>
      <c r="AY310" s="362">
        <f t="shared" ca="1" si="112"/>
        <v>0</v>
      </c>
      <c r="AZ310" s="362">
        <f t="shared" ca="1" si="113"/>
        <v>0</v>
      </c>
      <c r="BA310" s="362">
        <f t="shared" ca="1" si="113"/>
        <v>0</v>
      </c>
      <c r="BB310" s="362">
        <f t="shared" ca="1" si="113"/>
        <v>0</v>
      </c>
      <c r="BC310" s="362">
        <f t="shared" ca="1" si="113"/>
        <v>1644.9919849094142</v>
      </c>
      <c r="BD310" s="362">
        <f t="shared" ca="1" si="113"/>
        <v>0</v>
      </c>
      <c r="BE310" s="362">
        <f t="shared" ca="1" si="113"/>
        <v>0</v>
      </c>
      <c r="BF310" s="362">
        <f t="shared" ca="1" si="113"/>
        <v>0</v>
      </c>
      <c r="BG310" s="362">
        <f t="shared" ca="1" si="113"/>
        <v>0</v>
      </c>
      <c r="BH310" s="362">
        <f t="shared" ca="1" si="113"/>
        <v>0</v>
      </c>
      <c r="BI310" s="362">
        <f t="shared" ca="1" si="113"/>
        <v>0</v>
      </c>
      <c r="BJ310" s="362">
        <f t="shared" ca="1" si="113"/>
        <v>0</v>
      </c>
      <c r="BK310" s="362">
        <f t="shared" ca="1" si="113"/>
        <v>0</v>
      </c>
      <c r="BL310" s="362">
        <f t="shared" ca="1" si="113"/>
        <v>0</v>
      </c>
      <c r="BM310" s="362"/>
    </row>
    <row r="311" spans="27:65">
      <c r="AA311" s="360">
        <f t="shared" si="106"/>
        <v>2030</v>
      </c>
      <c r="AB311" s="362">
        <f ca="1">'GHG Emissions'!N32+'GHG Emissions'!O32</f>
        <v>16764.404814097215</v>
      </c>
      <c r="AC311" s="362"/>
      <c r="AD311" s="362">
        <f t="shared" ca="1" si="107"/>
        <v>15119.412829187801</v>
      </c>
      <c r="AE311" s="362"/>
      <c r="AF311" s="362" t="str">
        <f t="shared" ref="AF311:AO320" ca="1" si="114">IFERROR(-HLOOKUP(AF$50,Scope3CommuteTable,$AA311-$AA$291+2,FALSE),"")</f>
        <v/>
      </c>
      <c r="AG311" s="362" t="str">
        <f t="shared" ca="1" si="114"/>
        <v/>
      </c>
      <c r="AH311" s="362" t="str">
        <f t="shared" ca="1" si="114"/>
        <v/>
      </c>
      <c r="AI311" s="362" t="str">
        <f t="shared" ca="1" si="114"/>
        <v/>
      </c>
      <c r="AJ311" s="362" t="str">
        <f t="shared" ca="1" si="114"/>
        <v/>
      </c>
      <c r="AK311" s="362" t="str">
        <f t="shared" ca="1" si="114"/>
        <v/>
      </c>
      <c r="AL311" s="362" t="str">
        <f t="shared" ca="1" si="114"/>
        <v/>
      </c>
      <c r="AM311" s="362" t="str">
        <f t="shared" ca="1" si="114"/>
        <v/>
      </c>
      <c r="AN311" s="362" t="str">
        <f t="shared" ca="1" si="114"/>
        <v/>
      </c>
      <c r="AO311" s="362" t="str">
        <f t="shared" ca="1" si="114"/>
        <v/>
      </c>
      <c r="AP311" s="362" t="str">
        <f t="shared" ref="AP311:AY320" ca="1" si="115">IFERROR(-HLOOKUP(AP$50,Scope3CommuteTable,$AA311-$AA$291+2,FALSE),"")</f>
        <v/>
      </c>
      <c r="AQ311" s="362" t="str">
        <f t="shared" ca="1" si="115"/>
        <v/>
      </c>
      <c r="AR311" s="362" t="str">
        <f t="shared" ca="1" si="115"/>
        <v/>
      </c>
      <c r="AS311" s="362" t="str">
        <f t="shared" ca="1" si="115"/>
        <v/>
      </c>
      <c r="AT311" s="362" t="str">
        <f t="shared" ca="1" si="115"/>
        <v/>
      </c>
      <c r="AU311" s="362" t="str">
        <f t="shared" ca="1" si="115"/>
        <v/>
      </c>
      <c r="AV311" s="362">
        <f t="shared" ca="1" si="115"/>
        <v>0</v>
      </c>
      <c r="AW311" s="362">
        <f t="shared" ca="1" si="115"/>
        <v>0</v>
      </c>
      <c r="AX311" s="362">
        <f t="shared" ca="1" si="115"/>
        <v>0</v>
      </c>
      <c r="AY311" s="362">
        <f t="shared" ca="1" si="115"/>
        <v>0</v>
      </c>
      <c r="AZ311" s="362">
        <f t="shared" ref="AZ311:BL320" ca="1" si="116">IFERROR(-HLOOKUP(AZ$50,Scope3CommuteTable,$AA311-$AA$291+2,FALSE),"")</f>
        <v>0</v>
      </c>
      <c r="BA311" s="362">
        <f t="shared" ca="1" si="116"/>
        <v>0</v>
      </c>
      <c r="BB311" s="362">
        <f t="shared" ca="1" si="116"/>
        <v>0</v>
      </c>
      <c r="BC311" s="362">
        <f t="shared" ca="1" si="116"/>
        <v>1644.9919849094142</v>
      </c>
      <c r="BD311" s="362">
        <f t="shared" ca="1" si="116"/>
        <v>0</v>
      </c>
      <c r="BE311" s="362">
        <f t="shared" ca="1" si="116"/>
        <v>0</v>
      </c>
      <c r="BF311" s="362">
        <f t="shared" ca="1" si="116"/>
        <v>0</v>
      </c>
      <c r="BG311" s="362">
        <f t="shared" ca="1" si="116"/>
        <v>0</v>
      </c>
      <c r="BH311" s="362">
        <f t="shared" ca="1" si="116"/>
        <v>0</v>
      </c>
      <c r="BI311" s="362">
        <f t="shared" ca="1" si="116"/>
        <v>0</v>
      </c>
      <c r="BJ311" s="362">
        <f t="shared" ca="1" si="116"/>
        <v>0</v>
      </c>
      <c r="BK311" s="362">
        <f t="shared" ca="1" si="116"/>
        <v>0</v>
      </c>
      <c r="BL311" s="362">
        <f t="shared" ca="1" si="116"/>
        <v>0</v>
      </c>
      <c r="BM311" s="362"/>
    </row>
    <row r="312" spans="27:65">
      <c r="AA312" s="360">
        <f t="shared" si="106"/>
        <v>2031</v>
      </c>
      <c r="AB312" s="362">
        <f ca="1">'GHG Emissions'!N33+'GHG Emissions'!O33</f>
        <v>16778.894141289697</v>
      </c>
      <c r="AC312" s="362"/>
      <c r="AD312" s="362">
        <f t="shared" ca="1" si="107"/>
        <v>15133.902156380282</v>
      </c>
      <c r="AE312" s="362"/>
      <c r="AF312" s="362" t="str">
        <f t="shared" ca="1" si="114"/>
        <v/>
      </c>
      <c r="AG312" s="362" t="str">
        <f t="shared" ca="1" si="114"/>
        <v/>
      </c>
      <c r="AH312" s="362" t="str">
        <f t="shared" ca="1" si="114"/>
        <v/>
      </c>
      <c r="AI312" s="362" t="str">
        <f t="shared" ca="1" si="114"/>
        <v/>
      </c>
      <c r="AJ312" s="362" t="str">
        <f t="shared" ca="1" si="114"/>
        <v/>
      </c>
      <c r="AK312" s="362" t="str">
        <f t="shared" ca="1" si="114"/>
        <v/>
      </c>
      <c r="AL312" s="362" t="str">
        <f t="shared" ca="1" si="114"/>
        <v/>
      </c>
      <c r="AM312" s="362" t="str">
        <f t="shared" ca="1" si="114"/>
        <v/>
      </c>
      <c r="AN312" s="362" t="str">
        <f t="shared" ca="1" si="114"/>
        <v/>
      </c>
      <c r="AO312" s="362" t="str">
        <f t="shared" ca="1" si="114"/>
        <v/>
      </c>
      <c r="AP312" s="362" t="str">
        <f t="shared" ca="1" si="115"/>
        <v/>
      </c>
      <c r="AQ312" s="362" t="str">
        <f t="shared" ca="1" si="115"/>
        <v/>
      </c>
      <c r="AR312" s="362" t="str">
        <f t="shared" ca="1" si="115"/>
        <v/>
      </c>
      <c r="AS312" s="362" t="str">
        <f t="shared" ca="1" si="115"/>
        <v/>
      </c>
      <c r="AT312" s="362" t="str">
        <f t="shared" ca="1" si="115"/>
        <v/>
      </c>
      <c r="AU312" s="362" t="str">
        <f t="shared" ca="1" si="115"/>
        <v/>
      </c>
      <c r="AV312" s="362">
        <f t="shared" ca="1" si="115"/>
        <v>0</v>
      </c>
      <c r="AW312" s="362">
        <f t="shared" ca="1" si="115"/>
        <v>0</v>
      </c>
      <c r="AX312" s="362">
        <f t="shared" ca="1" si="115"/>
        <v>0</v>
      </c>
      <c r="AY312" s="362">
        <f t="shared" ca="1" si="115"/>
        <v>0</v>
      </c>
      <c r="AZ312" s="362">
        <f t="shared" ca="1" si="116"/>
        <v>0</v>
      </c>
      <c r="BA312" s="362">
        <f t="shared" ca="1" si="116"/>
        <v>0</v>
      </c>
      <c r="BB312" s="362">
        <f t="shared" ca="1" si="116"/>
        <v>0</v>
      </c>
      <c r="BC312" s="362">
        <f t="shared" ca="1" si="116"/>
        <v>1644.9919849094142</v>
      </c>
      <c r="BD312" s="362">
        <f t="shared" ca="1" si="116"/>
        <v>0</v>
      </c>
      <c r="BE312" s="362">
        <f t="shared" ca="1" si="116"/>
        <v>0</v>
      </c>
      <c r="BF312" s="362">
        <f t="shared" ca="1" si="116"/>
        <v>0</v>
      </c>
      <c r="BG312" s="362">
        <f t="shared" ca="1" si="116"/>
        <v>0</v>
      </c>
      <c r="BH312" s="362">
        <f t="shared" ca="1" si="116"/>
        <v>0</v>
      </c>
      <c r="BI312" s="362">
        <f t="shared" ca="1" si="116"/>
        <v>0</v>
      </c>
      <c r="BJ312" s="362">
        <f t="shared" ca="1" si="116"/>
        <v>0</v>
      </c>
      <c r="BK312" s="362">
        <f t="shared" ca="1" si="116"/>
        <v>0</v>
      </c>
      <c r="BL312" s="362">
        <f t="shared" ca="1" si="116"/>
        <v>0</v>
      </c>
      <c r="BM312" s="362"/>
    </row>
    <row r="313" spans="27:65">
      <c r="AA313" s="360">
        <f t="shared" si="106"/>
        <v>2032</v>
      </c>
      <c r="AB313" s="362">
        <f ca="1">'GHG Emissions'!N34+'GHG Emissions'!O34</f>
        <v>16793.055361202292</v>
      </c>
      <c r="AC313" s="362"/>
      <c r="AD313" s="362">
        <f t="shared" ca="1" si="107"/>
        <v>15148.063376292877</v>
      </c>
      <c r="AE313" s="362"/>
      <c r="AF313" s="362" t="str">
        <f t="shared" ca="1" si="114"/>
        <v/>
      </c>
      <c r="AG313" s="362" t="str">
        <f t="shared" ca="1" si="114"/>
        <v/>
      </c>
      <c r="AH313" s="362" t="str">
        <f t="shared" ca="1" si="114"/>
        <v/>
      </c>
      <c r="AI313" s="362" t="str">
        <f t="shared" ca="1" si="114"/>
        <v/>
      </c>
      <c r="AJ313" s="362" t="str">
        <f t="shared" ca="1" si="114"/>
        <v/>
      </c>
      <c r="AK313" s="362" t="str">
        <f t="shared" ca="1" si="114"/>
        <v/>
      </c>
      <c r="AL313" s="362" t="str">
        <f t="shared" ca="1" si="114"/>
        <v/>
      </c>
      <c r="AM313" s="362" t="str">
        <f t="shared" ca="1" si="114"/>
        <v/>
      </c>
      <c r="AN313" s="362" t="str">
        <f t="shared" ca="1" si="114"/>
        <v/>
      </c>
      <c r="AO313" s="362" t="str">
        <f t="shared" ca="1" si="114"/>
        <v/>
      </c>
      <c r="AP313" s="362" t="str">
        <f t="shared" ca="1" si="115"/>
        <v/>
      </c>
      <c r="AQ313" s="362" t="str">
        <f t="shared" ca="1" si="115"/>
        <v/>
      </c>
      <c r="AR313" s="362" t="str">
        <f t="shared" ca="1" si="115"/>
        <v/>
      </c>
      <c r="AS313" s="362" t="str">
        <f t="shared" ca="1" si="115"/>
        <v/>
      </c>
      <c r="AT313" s="362" t="str">
        <f t="shared" ca="1" si="115"/>
        <v/>
      </c>
      <c r="AU313" s="362" t="str">
        <f t="shared" ca="1" si="115"/>
        <v/>
      </c>
      <c r="AV313" s="362">
        <f t="shared" ca="1" si="115"/>
        <v>0</v>
      </c>
      <c r="AW313" s="362">
        <f t="shared" ca="1" si="115"/>
        <v>0</v>
      </c>
      <c r="AX313" s="362">
        <f t="shared" ca="1" si="115"/>
        <v>0</v>
      </c>
      <c r="AY313" s="362">
        <f t="shared" ca="1" si="115"/>
        <v>0</v>
      </c>
      <c r="AZ313" s="362">
        <f t="shared" ca="1" si="116"/>
        <v>0</v>
      </c>
      <c r="BA313" s="362">
        <f t="shared" ca="1" si="116"/>
        <v>0</v>
      </c>
      <c r="BB313" s="362">
        <f t="shared" ca="1" si="116"/>
        <v>0</v>
      </c>
      <c r="BC313" s="362">
        <f t="shared" ca="1" si="116"/>
        <v>1644.9919849094142</v>
      </c>
      <c r="BD313" s="362">
        <f t="shared" ca="1" si="116"/>
        <v>0</v>
      </c>
      <c r="BE313" s="362">
        <f t="shared" ca="1" si="116"/>
        <v>0</v>
      </c>
      <c r="BF313" s="362">
        <f t="shared" ca="1" si="116"/>
        <v>0</v>
      </c>
      <c r="BG313" s="362">
        <f t="shared" ca="1" si="116"/>
        <v>0</v>
      </c>
      <c r="BH313" s="362">
        <f t="shared" ca="1" si="116"/>
        <v>0</v>
      </c>
      <c r="BI313" s="362">
        <f t="shared" ca="1" si="116"/>
        <v>0</v>
      </c>
      <c r="BJ313" s="362">
        <f t="shared" ca="1" si="116"/>
        <v>0</v>
      </c>
      <c r="BK313" s="362">
        <f t="shared" ca="1" si="116"/>
        <v>0</v>
      </c>
      <c r="BL313" s="362">
        <f t="shared" ca="1" si="116"/>
        <v>0</v>
      </c>
      <c r="BM313" s="362"/>
    </row>
    <row r="314" spans="27:65">
      <c r="AA314" s="360">
        <f t="shared" si="106"/>
        <v>2033</v>
      </c>
      <c r="AB314" s="362">
        <f ca="1">'GHG Emissions'!N35+'GHG Emissions'!O35</f>
        <v>16806.909655953565</v>
      </c>
      <c r="AC314" s="362"/>
      <c r="AD314" s="362">
        <f t="shared" ca="1" si="107"/>
        <v>15161.91767104415</v>
      </c>
      <c r="AE314" s="362"/>
      <c r="AF314" s="362" t="str">
        <f t="shared" ca="1" si="114"/>
        <v/>
      </c>
      <c r="AG314" s="362" t="str">
        <f t="shared" ca="1" si="114"/>
        <v/>
      </c>
      <c r="AH314" s="362" t="str">
        <f t="shared" ca="1" si="114"/>
        <v/>
      </c>
      <c r="AI314" s="362" t="str">
        <f t="shared" ca="1" si="114"/>
        <v/>
      </c>
      <c r="AJ314" s="362" t="str">
        <f t="shared" ca="1" si="114"/>
        <v/>
      </c>
      <c r="AK314" s="362" t="str">
        <f t="shared" ca="1" si="114"/>
        <v/>
      </c>
      <c r="AL314" s="362" t="str">
        <f t="shared" ca="1" si="114"/>
        <v/>
      </c>
      <c r="AM314" s="362" t="str">
        <f t="shared" ca="1" si="114"/>
        <v/>
      </c>
      <c r="AN314" s="362" t="str">
        <f t="shared" ca="1" si="114"/>
        <v/>
      </c>
      <c r="AO314" s="362" t="str">
        <f t="shared" ca="1" si="114"/>
        <v/>
      </c>
      <c r="AP314" s="362" t="str">
        <f t="shared" ca="1" si="115"/>
        <v/>
      </c>
      <c r="AQ314" s="362" t="str">
        <f t="shared" ca="1" si="115"/>
        <v/>
      </c>
      <c r="AR314" s="362" t="str">
        <f t="shared" ca="1" si="115"/>
        <v/>
      </c>
      <c r="AS314" s="362" t="str">
        <f t="shared" ca="1" si="115"/>
        <v/>
      </c>
      <c r="AT314" s="362" t="str">
        <f t="shared" ca="1" si="115"/>
        <v/>
      </c>
      <c r="AU314" s="362" t="str">
        <f t="shared" ca="1" si="115"/>
        <v/>
      </c>
      <c r="AV314" s="362">
        <f t="shared" ca="1" si="115"/>
        <v>0</v>
      </c>
      <c r="AW314" s="362">
        <f t="shared" ca="1" si="115"/>
        <v>0</v>
      </c>
      <c r="AX314" s="362">
        <f t="shared" ca="1" si="115"/>
        <v>0</v>
      </c>
      <c r="AY314" s="362">
        <f t="shared" ca="1" si="115"/>
        <v>0</v>
      </c>
      <c r="AZ314" s="362">
        <f t="shared" ca="1" si="116"/>
        <v>0</v>
      </c>
      <c r="BA314" s="362">
        <f t="shared" ca="1" si="116"/>
        <v>0</v>
      </c>
      <c r="BB314" s="362">
        <f t="shared" ca="1" si="116"/>
        <v>0</v>
      </c>
      <c r="BC314" s="362">
        <f t="shared" ca="1" si="116"/>
        <v>1644.9919849094142</v>
      </c>
      <c r="BD314" s="362">
        <f t="shared" ca="1" si="116"/>
        <v>0</v>
      </c>
      <c r="BE314" s="362">
        <f t="shared" ca="1" si="116"/>
        <v>0</v>
      </c>
      <c r="BF314" s="362">
        <f t="shared" ca="1" si="116"/>
        <v>0</v>
      </c>
      <c r="BG314" s="362">
        <f t="shared" ca="1" si="116"/>
        <v>0</v>
      </c>
      <c r="BH314" s="362">
        <f t="shared" ca="1" si="116"/>
        <v>0</v>
      </c>
      <c r="BI314" s="362">
        <f t="shared" ca="1" si="116"/>
        <v>0</v>
      </c>
      <c r="BJ314" s="362">
        <f t="shared" ca="1" si="116"/>
        <v>0</v>
      </c>
      <c r="BK314" s="362">
        <f t="shared" ca="1" si="116"/>
        <v>0</v>
      </c>
      <c r="BL314" s="362">
        <f t="shared" ca="1" si="116"/>
        <v>0</v>
      </c>
      <c r="BM314" s="362"/>
    </row>
    <row r="315" spans="27:65">
      <c r="AA315" s="360">
        <f t="shared" si="106"/>
        <v>2034</v>
      </c>
      <c r="AB315" s="362">
        <f ca="1">'GHG Emissions'!N36+'GHG Emissions'!O36</f>
        <v>16820.476022194292</v>
      </c>
      <c r="AC315" s="362"/>
      <c r="AD315" s="362">
        <f t="shared" ca="1" si="107"/>
        <v>15175.484037284878</v>
      </c>
      <c r="AE315" s="362"/>
      <c r="AF315" s="362" t="str">
        <f t="shared" ca="1" si="114"/>
        <v/>
      </c>
      <c r="AG315" s="362" t="str">
        <f t="shared" ca="1" si="114"/>
        <v/>
      </c>
      <c r="AH315" s="362" t="str">
        <f t="shared" ca="1" si="114"/>
        <v/>
      </c>
      <c r="AI315" s="362" t="str">
        <f t="shared" ca="1" si="114"/>
        <v/>
      </c>
      <c r="AJ315" s="362" t="str">
        <f t="shared" ca="1" si="114"/>
        <v/>
      </c>
      <c r="AK315" s="362" t="str">
        <f t="shared" ca="1" si="114"/>
        <v/>
      </c>
      <c r="AL315" s="362" t="str">
        <f t="shared" ca="1" si="114"/>
        <v/>
      </c>
      <c r="AM315" s="362" t="str">
        <f t="shared" ca="1" si="114"/>
        <v/>
      </c>
      <c r="AN315" s="362" t="str">
        <f t="shared" ca="1" si="114"/>
        <v/>
      </c>
      <c r="AO315" s="362" t="str">
        <f t="shared" ca="1" si="114"/>
        <v/>
      </c>
      <c r="AP315" s="362" t="str">
        <f t="shared" ca="1" si="115"/>
        <v/>
      </c>
      <c r="AQ315" s="362" t="str">
        <f t="shared" ca="1" si="115"/>
        <v/>
      </c>
      <c r="AR315" s="362" t="str">
        <f t="shared" ca="1" si="115"/>
        <v/>
      </c>
      <c r="AS315" s="362" t="str">
        <f t="shared" ca="1" si="115"/>
        <v/>
      </c>
      <c r="AT315" s="362" t="str">
        <f t="shared" ca="1" si="115"/>
        <v/>
      </c>
      <c r="AU315" s="362" t="str">
        <f t="shared" ca="1" si="115"/>
        <v/>
      </c>
      <c r="AV315" s="362">
        <f t="shared" ca="1" si="115"/>
        <v>0</v>
      </c>
      <c r="AW315" s="362">
        <f t="shared" ca="1" si="115"/>
        <v>0</v>
      </c>
      <c r="AX315" s="362">
        <f t="shared" ca="1" si="115"/>
        <v>0</v>
      </c>
      <c r="AY315" s="362">
        <f t="shared" ca="1" si="115"/>
        <v>0</v>
      </c>
      <c r="AZ315" s="362">
        <f t="shared" ca="1" si="116"/>
        <v>0</v>
      </c>
      <c r="BA315" s="362">
        <f t="shared" ca="1" si="116"/>
        <v>0</v>
      </c>
      <c r="BB315" s="362">
        <f t="shared" ca="1" si="116"/>
        <v>0</v>
      </c>
      <c r="BC315" s="362">
        <f t="shared" ca="1" si="116"/>
        <v>1644.9919849094142</v>
      </c>
      <c r="BD315" s="362">
        <f t="shared" ca="1" si="116"/>
        <v>0</v>
      </c>
      <c r="BE315" s="362">
        <f t="shared" ca="1" si="116"/>
        <v>0</v>
      </c>
      <c r="BF315" s="362">
        <f t="shared" ca="1" si="116"/>
        <v>0</v>
      </c>
      <c r="BG315" s="362">
        <f t="shared" ca="1" si="116"/>
        <v>0</v>
      </c>
      <c r="BH315" s="362">
        <f t="shared" ca="1" si="116"/>
        <v>0</v>
      </c>
      <c r="BI315" s="362">
        <f t="shared" ca="1" si="116"/>
        <v>0</v>
      </c>
      <c r="BJ315" s="362">
        <f t="shared" ca="1" si="116"/>
        <v>0</v>
      </c>
      <c r="BK315" s="362">
        <f t="shared" ca="1" si="116"/>
        <v>0</v>
      </c>
      <c r="BL315" s="362">
        <f t="shared" ca="1" si="116"/>
        <v>0</v>
      </c>
      <c r="BM315" s="362"/>
    </row>
    <row r="316" spans="27:65">
      <c r="AA316" s="360">
        <f t="shared" si="106"/>
        <v>2035</v>
      </c>
      <c r="AB316" s="362">
        <f ca="1">'GHG Emissions'!N37+'GHG Emissions'!O37</f>
        <v>16833.771574333528</v>
      </c>
      <c r="AC316" s="362"/>
      <c r="AD316" s="362">
        <f t="shared" ca="1" si="107"/>
        <v>15188.779589424114</v>
      </c>
      <c r="AE316" s="362"/>
      <c r="AF316" s="362" t="str">
        <f t="shared" ca="1" si="114"/>
        <v/>
      </c>
      <c r="AG316" s="362" t="str">
        <f t="shared" ca="1" si="114"/>
        <v/>
      </c>
      <c r="AH316" s="362" t="str">
        <f t="shared" ca="1" si="114"/>
        <v/>
      </c>
      <c r="AI316" s="362" t="str">
        <f t="shared" ca="1" si="114"/>
        <v/>
      </c>
      <c r="AJ316" s="362" t="str">
        <f t="shared" ca="1" si="114"/>
        <v/>
      </c>
      <c r="AK316" s="362" t="str">
        <f t="shared" ca="1" si="114"/>
        <v/>
      </c>
      <c r="AL316" s="362" t="str">
        <f t="shared" ca="1" si="114"/>
        <v/>
      </c>
      <c r="AM316" s="362" t="str">
        <f t="shared" ca="1" si="114"/>
        <v/>
      </c>
      <c r="AN316" s="362" t="str">
        <f t="shared" ca="1" si="114"/>
        <v/>
      </c>
      <c r="AO316" s="362" t="str">
        <f t="shared" ca="1" si="114"/>
        <v/>
      </c>
      <c r="AP316" s="362" t="str">
        <f t="shared" ca="1" si="115"/>
        <v/>
      </c>
      <c r="AQ316" s="362" t="str">
        <f t="shared" ca="1" si="115"/>
        <v/>
      </c>
      <c r="AR316" s="362" t="str">
        <f t="shared" ca="1" si="115"/>
        <v/>
      </c>
      <c r="AS316" s="362" t="str">
        <f t="shared" ca="1" si="115"/>
        <v/>
      </c>
      <c r="AT316" s="362" t="str">
        <f t="shared" ca="1" si="115"/>
        <v/>
      </c>
      <c r="AU316" s="362" t="str">
        <f t="shared" ca="1" si="115"/>
        <v/>
      </c>
      <c r="AV316" s="362">
        <f t="shared" ca="1" si="115"/>
        <v>0</v>
      </c>
      <c r="AW316" s="362">
        <f t="shared" ca="1" si="115"/>
        <v>0</v>
      </c>
      <c r="AX316" s="362">
        <f t="shared" ca="1" si="115"/>
        <v>0</v>
      </c>
      <c r="AY316" s="362">
        <f t="shared" ca="1" si="115"/>
        <v>0</v>
      </c>
      <c r="AZ316" s="362">
        <f t="shared" ca="1" si="116"/>
        <v>0</v>
      </c>
      <c r="BA316" s="362">
        <f t="shared" ca="1" si="116"/>
        <v>0</v>
      </c>
      <c r="BB316" s="362">
        <f t="shared" ca="1" si="116"/>
        <v>0</v>
      </c>
      <c r="BC316" s="362">
        <f t="shared" ca="1" si="116"/>
        <v>1644.9919849094142</v>
      </c>
      <c r="BD316" s="362">
        <f t="shared" ca="1" si="116"/>
        <v>0</v>
      </c>
      <c r="BE316" s="362">
        <f t="shared" ca="1" si="116"/>
        <v>0</v>
      </c>
      <c r="BF316" s="362">
        <f t="shared" ca="1" si="116"/>
        <v>0</v>
      </c>
      <c r="BG316" s="362">
        <f t="shared" ca="1" si="116"/>
        <v>0</v>
      </c>
      <c r="BH316" s="362">
        <f t="shared" ca="1" si="116"/>
        <v>0</v>
      </c>
      <c r="BI316" s="362">
        <f t="shared" ca="1" si="116"/>
        <v>0</v>
      </c>
      <c r="BJ316" s="362">
        <f t="shared" ca="1" si="116"/>
        <v>0</v>
      </c>
      <c r="BK316" s="362">
        <f t="shared" ca="1" si="116"/>
        <v>0</v>
      </c>
      <c r="BL316" s="362">
        <f t="shared" ca="1" si="116"/>
        <v>0</v>
      </c>
      <c r="BM316" s="362"/>
    </row>
    <row r="317" spans="27:65">
      <c r="AA317" s="360">
        <f t="shared" si="106"/>
        <v>2036</v>
      </c>
      <c r="AB317" s="362">
        <f ca="1">'GHG Emissions'!N38+'GHG Emissions'!O38</f>
        <v>16846.811795725822</v>
      </c>
      <c r="AC317" s="362"/>
      <c r="AD317" s="362">
        <f t="shared" ca="1" si="107"/>
        <v>15201.819810816407</v>
      </c>
      <c r="AE317" s="362"/>
      <c r="AF317" s="362" t="str">
        <f t="shared" ca="1" si="114"/>
        <v/>
      </c>
      <c r="AG317" s="362" t="str">
        <f t="shared" ca="1" si="114"/>
        <v/>
      </c>
      <c r="AH317" s="362" t="str">
        <f t="shared" ca="1" si="114"/>
        <v/>
      </c>
      <c r="AI317" s="362" t="str">
        <f t="shared" ca="1" si="114"/>
        <v/>
      </c>
      <c r="AJ317" s="362" t="str">
        <f t="shared" ca="1" si="114"/>
        <v/>
      </c>
      <c r="AK317" s="362" t="str">
        <f t="shared" ca="1" si="114"/>
        <v/>
      </c>
      <c r="AL317" s="362" t="str">
        <f t="shared" ca="1" si="114"/>
        <v/>
      </c>
      <c r="AM317" s="362" t="str">
        <f t="shared" ca="1" si="114"/>
        <v/>
      </c>
      <c r="AN317" s="362" t="str">
        <f t="shared" ca="1" si="114"/>
        <v/>
      </c>
      <c r="AO317" s="362" t="str">
        <f t="shared" ca="1" si="114"/>
        <v/>
      </c>
      <c r="AP317" s="362" t="str">
        <f t="shared" ca="1" si="115"/>
        <v/>
      </c>
      <c r="AQ317" s="362" t="str">
        <f t="shared" ca="1" si="115"/>
        <v/>
      </c>
      <c r="AR317" s="362" t="str">
        <f t="shared" ca="1" si="115"/>
        <v/>
      </c>
      <c r="AS317" s="362" t="str">
        <f t="shared" ca="1" si="115"/>
        <v/>
      </c>
      <c r="AT317" s="362" t="str">
        <f t="shared" ca="1" si="115"/>
        <v/>
      </c>
      <c r="AU317" s="362" t="str">
        <f t="shared" ca="1" si="115"/>
        <v/>
      </c>
      <c r="AV317" s="362">
        <f t="shared" ca="1" si="115"/>
        <v>0</v>
      </c>
      <c r="AW317" s="362">
        <f t="shared" ca="1" si="115"/>
        <v>0</v>
      </c>
      <c r="AX317" s="362">
        <f t="shared" ca="1" si="115"/>
        <v>0</v>
      </c>
      <c r="AY317" s="362">
        <f t="shared" ca="1" si="115"/>
        <v>0</v>
      </c>
      <c r="AZ317" s="362">
        <f t="shared" ca="1" si="116"/>
        <v>0</v>
      </c>
      <c r="BA317" s="362">
        <f t="shared" ca="1" si="116"/>
        <v>0</v>
      </c>
      <c r="BB317" s="362">
        <f t="shared" ca="1" si="116"/>
        <v>0</v>
      </c>
      <c r="BC317" s="362">
        <f t="shared" ca="1" si="116"/>
        <v>1644.9919849094142</v>
      </c>
      <c r="BD317" s="362">
        <f t="shared" ca="1" si="116"/>
        <v>0</v>
      </c>
      <c r="BE317" s="362">
        <f t="shared" ca="1" si="116"/>
        <v>0</v>
      </c>
      <c r="BF317" s="362">
        <f t="shared" ca="1" si="116"/>
        <v>0</v>
      </c>
      <c r="BG317" s="362">
        <f t="shared" ca="1" si="116"/>
        <v>0</v>
      </c>
      <c r="BH317" s="362">
        <f t="shared" ca="1" si="116"/>
        <v>0</v>
      </c>
      <c r="BI317" s="362">
        <f t="shared" ca="1" si="116"/>
        <v>0</v>
      </c>
      <c r="BJ317" s="362">
        <f t="shared" ca="1" si="116"/>
        <v>0</v>
      </c>
      <c r="BK317" s="362">
        <f t="shared" ca="1" si="116"/>
        <v>0</v>
      </c>
      <c r="BL317" s="362">
        <f t="shared" ca="1" si="116"/>
        <v>0</v>
      </c>
      <c r="BM317" s="362"/>
    </row>
    <row r="318" spans="27:65">
      <c r="AA318" s="360">
        <f t="shared" si="106"/>
        <v>2037</v>
      </c>
      <c r="AB318" s="362">
        <f ca="1">'GHG Emissions'!N39+'GHG Emissions'!O39</f>
        <v>16859.610748335825</v>
      </c>
      <c r="AC318" s="362"/>
      <c r="AD318" s="362">
        <f t="shared" ca="1" si="107"/>
        <v>15214.61876342641</v>
      </c>
      <c r="AE318" s="362"/>
      <c r="AF318" s="362" t="str">
        <f t="shared" ca="1" si="114"/>
        <v/>
      </c>
      <c r="AG318" s="362" t="str">
        <f t="shared" ca="1" si="114"/>
        <v/>
      </c>
      <c r="AH318" s="362" t="str">
        <f t="shared" ca="1" si="114"/>
        <v/>
      </c>
      <c r="AI318" s="362" t="str">
        <f t="shared" ca="1" si="114"/>
        <v/>
      </c>
      <c r="AJ318" s="362" t="str">
        <f t="shared" ca="1" si="114"/>
        <v/>
      </c>
      <c r="AK318" s="362" t="str">
        <f t="shared" ca="1" si="114"/>
        <v/>
      </c>
      <c r="AL318" s="362" t="str">
        <f t="shared" ca="1" si="114"/>
        <v/>
      </c>
      <c r="AM318" s="362" t="str">
        <f t="shared" ca="1" si="114"/>
        <v/>
      </c>
      <c r="AN318" s="362" t="str">
        <f t="shared" ca="1" si="114"/>
        <v/>
      </c>
      <c r="AO318" s="362" t="str">
        <f t="shared" ca="1" si="114"/>
        <v/>
      </c>
      <c r="AP318" s="362" t="str">
        <f t="shared" ca="1" si="115"/>
        <v/>
      </c>
      <c r="AQ318" s="362" t="str">
        <f t="shared" ca="1" si="115"/>
        <v/>
      </c>
      <c r="AR318" s="362" t="str">
        <f t="shared" ca="1" si="115"/>
        <v/>
      </c>
      <c r="AS318" s="362" t="str">
        <f t="shared" ca="1" si="115"/>
        <v/>
      </c>
      <c r="AT318" s="362" t="str">
        <f t="shared" ca="1" si="115"/>
        <v/>
      </c>
      <c r="AU318" s="362" t="str">
        <f t="shared" ca="1" si="115"/>
        <v/>
      </c>
      <c r="AV318" s="362">
        <f t="shared" ca="1" si="115"/>
        <v>0</v>
      </c>
      <c r="AW318" s="362">
        <f t="shared" ca="1" si="115"/>
        <v>0</v>
      </c>
      <c r="AX318" s="362">
        <f t="shared" ca="1" si="115"/>
        <v>0</v>
      </c>
      <c r="AY318" s="362">
        <f t="shared" ca="1" si="115"/>
        <v>0</v>
      </c>
      <c r="AZ318" s="362">
        <f t="shared" ca="1" si="116"/>
        <v>0</v>
      </c>
      <c r="BA318" s="362">
        <f t="shared" ca="1" si="116"/>
        <v>0</v>
      </c>
      <c r="BB318" s="362">
        <f t="shared" ca="1" si="116"/>
        <v>0</v>
      </c>
      <c r="BC318" s="362">
        <f t="shared" ca="1" si="116"/>
        <v>1644.9919849094142</v>
      </c>
      <c r="BD318" s="362">
        <f t="shared" ca="1" si="116"/>
        <v>0</v>
      </c>
      <c r="BE318" s="362">
        <f t="shared" ca="1" si="116"/>
        <v>0</v>
      </c>
      <c r="BF318" s="362">
        <f t="shared" ca="1" si="116"/>
        <v>0</v>
      </c>
      <c r="BG318" s="362">
        <f t="shared" ca="1" si="116"/>
        <v>0</v>
      </c>
      <c r="BH318" s="362">
        <f t="shared" ca="1" si="116"/>
        <v>0</v>
      </c>
      <c r="BI318" s="362">
        <f t="shared" ca="1" si="116"/>
        <v>0</v>
      </c>
      <c r="BJ318" s="362">
        <f t="shared" ca="1" si="116"/>
        <v>0</v>
      </c>
      <c r="BK318" s="362">
        <f t="shared" ca="1" si="116"/>
        <v>0</v>
      </c>
      <c r="BL318" s="362">
        <f t="shared" ca="1" si="116"/>
        <v>0</v>
      </c>
      <c r="BM318" s="362"/>
    </row>
    <row r="319" spans="27:65">
      <c r="AA319" s="360">
        <f t="shared" si="106"/>
        <v>2038</v>
      </c>
      <c r="AB319" s="362">
        <f ca="1">'GHG Emissions'!N40+'GHG Emissions'!O40</f>
        <v>16872.18124897348</v>
      </c>
      <c r="AC319" s="362"/>
      <c r="AD319" s="362">
        <f t="shared" ca="1" si="107"/>
        <v>15227.189264064065</v>
      </c>
      <c r="AE319" s="362"/>
      <c r="AF319" s="362" t="str">
        <f t="shared" ca="1" si="114"/>
        <v/>
      </c>
      <c r="AG319" s="362" t="str">
        <f t="shared" ca="1" si="114"/>
        <v/>
      </c>
      <c r="AH319" s="362" t="str">
        <f t="shared" ca="1" si="114"/>
        <v/>
      </c>
      <c r="AI319" s="362" t="str">
        <f t="shared" ca="1" si="114"/>
        <v/>
      </c>
      <c r="AJ319" s="362" t="str">
        <f t="shared" ca="1" si="114"/>
        <v/>
      </c>
      <c r="AK319" s="362" t="str">
        <f t="shared" ca="1" si="114"/>
        <v/>
      </c>
      <c r="AL319" s="362" t="str">
        <f t="shared" ca="1" si="114"/>
        <v/>
      </c>
      <c r="AM319" s="362" t="str">
        <f t="shared" ca="1" si="114"/>
        <v/>
      </c>
      <c r="AN319" s="362" t="str">
        <f t="shared" ca="1" si="114"/>
        <v/>
      </c>
      <c r="AO319" s="362" t="str">
        <f t="shared" ca="1" si="114"/>
        <v/>
      </c>
      <c r="AP319" s="362" t="str">
        <f t="shared" ca="1" si="115"/>
        <v/>
      </c>
      <c r="AQ319" s="362" t="str">
        <f t="shared" ca="1" si="115"/>
        <v/>
      </c>
      <c r="AR319" s="362" t="str">
        <f t="shared" ca="1" si="115"/>
        <v/>
      </c>
      <c r="AS319" s="362" t="str">
        <f t="shared" ca="1" si="115"/>
        <v/>
      </c>
      <c r="AT319" s="362" t="str">
        <f t="shared" ca="1" si="115"/>
        <v/>
      </c>
      <c r="AU319" s="362" t="str">
        <f t="shared" ca="1" si="115"/>
        <v/>
      </c>
      <c r="AV319" s="362">
        <f t="shared" ca="1" si="115"/>
        <v>0</v>
      </c>
      <c r="AW319" s="362">
        <f t="shared" ca="1" si="115"/>
        <v>0</v>
      </c>
      <c r="AX319" s="362">
        <f t="shared" ca="1" si="115"/>
        <v>0</v>
      </c>
      <c r="AY319" s="362">
        <f t="shared" ca="1" si="115"/>
        <v>0</v>
      </c>
      <c r="AZ319" s="362">
        <f t="shared" ca="1" si="116"/>
        <v>0</v>
      </c>
      <c r="BA319" s="362">
        <f t="shared" ca="1" si="116"/>
        <v>0</v>
      </c>
      <c r="BB319" s="362">
        <f t="shared" ca="1" si="116"/>
        <v>0</v>
      </c>
      <c r="BC319" s="362">
        <f t="shared" ca="1" si="116"/>
        <v>1644.9919849094142</v>
      </c>
      <c r="BD319" s="362">
        <f t="shared" ca="1" si="116"/>
        <v>0</v>
      </c>
      <c r="BE319" s="362">
        <f t="shared" ca="1" si="116"/>
        <v>0</v>
      </c>
      <c r="BF319" s="362">
        <f t="shared" ca="1" si="116"/>
        <v>0</v>
      </c>
      <c r="BG319" s="362">
        <f t="shared" ca="1" si="116"/>
        <v>0</v>
      </c>
      <c r="BH319" s="362">
        <f t="shared" ca="1" si="116"/>
        <v>0</v>
      </c>
      <c r="BI319" s="362">
        <f t="shared" ca="1" si="116"/>
        <v>0</v>
      </c>
      <c r="BJ319" s="362">
        <f t="shared" ca="1" si="116"/>
        <v>0</v>
      </c>
      <c r="BK319" s="362">
        <f t="shared" ca="1" si="116"/>
        <v>0</v>
      </c>
      <c r="BL319" s="362">
        <f t="shared" ca="1" si="116"/>
        <v>0</v>
      </c>
      <c r="BM319" s="362"/>
    </row>
    <row r="320" spans="27:65">
      <c r="AA320" s="360">
        <f t="shared" si="106"/>
        <v>2039</v>
      </c>
      <c r="AB320" s="362">
        <f ca="1">'GHG Emissions'!N41+'GHG Emissions'!O41</f>
        <v>16884.535018392296</v>
      </c>
      <c r="AC320" s="362"/>
      <c r="AD320" s="362">
        <f t="shared" ca="1" si="107"/>
        <v>15239.543033482882</v>
      </c>
      <c r="AE320" s="362"/>
      <c r="AF320" s="362" t="str">
        <f t="shared" ca="1" si="114"/>
        <v/>
      </c>
      <c r="AG320" s="362" t="str">
        <f t="shared" ca="1" si="114"/>
        <v/>
      </c>
      <c r="AH320" s="362" t="str">
        <f t="shared" ca="1" si="114"/>
        <v/>
      </c>
      <c r="AI320" s="362" t="str">
        <f t="shared" ca="1" si="114"/>
        <v/>
      </c>
      <c r="AJ320" s="362" t="str">
        <f t="shared" ca="1" si="114"/>
        <v/>
      </c>
      <c r="AK320" s="362" t="str">
        <f t="shared" ca="1" si="114"/>
        <v/>
      </c>
      <c r="AL320" s="362" t="str">
        <f t="shared" ca="1" si="114"/>
        <v/>
      </c>
      <c r="AM320" s="362" t="str">
        <f t="shared" ca="1" si="114"/>
        <v/>
      </c>
      <c r="AN320" s="362" t="str">
        <f t="shared" ca="1" si="114"/>
        <v/>
      </c>
      <c r="AO320" s="362" t="str">
        <f t="shared" ca="1" si="114"/>
        <v/>
      </c>
      <c r="AP320" s="362" t="str">
        <f t="shared" ca="1" si="115"/>
        <v/>
      </c>
      <c r="AQ320" s="362" t="str">
        <f t="shared" ca="1" si="115"/>
        <v/>
      </c>
      <c r="AR320" s="362" t="str">
        <f t="shared" ca="1" si="115"/>
        <v/>
      </c>
      <c r="AS320" s="362" t="str">
        <f t="shared" ca="1" si="115"/>
        <v/>
      </c>
      <c r="AT320" s="362" t="str">
        <f t="shared" ca="1" si="115"/>
        <v/>
      </c>
      <c r="AU320" s="362" t="str">
        <f t="shared" ca="1" si="115"/>
        <v/>
      </c>
      <c r="AV320" s="362">
        <f t="shared" ca="1" si="115"/>
        <v>0</v>
      </c>
      <c r="AW320" s="362">
        <f t="shared" ca="1" si="115"/>
        <v>0</v>
      </c>
      <c r="AX320" s="362">
        <f t="shared" ca="1" si="115"/>
        <v>0</v>
      </c>
      <c r="AY320" s="362">
        <f t="shared" ca="1" si="115"/>
        <v>0</v>
      </c>
      <c r="AZ320" s="362">
        <f t="shared" ca="1" si="116"/>
        <v>0</v>
      </c>
      <c r="BA320" s="362">
        <f t="shared" ca="1" si="116"/>
        <v>0</v>
      </c>
      <c r="BB320" s="362">
        <f t="shared" ca="1" si="116"/>
        <v>0</v>
      </c>
      <c r="BC320" s="362">
        <f t="shared" ca="1" si="116"/>
        <v>1644.9919849094142</v>
      </c>
      <c r="BD320" s="362">
        <f t="shared" ca="1" si="116"/>
        <v>0</v>
      </c>
      <c r="BE320" s="362">
        <f t="shared" ca="1" si="116"/>
        <v>0</v>
      </c>
      <c r="BF320" s="362">
        <f t="shared" ca="1" si="116"/>
        <v>0</v>
      </c>
      <c r="BG320" s="362">
        <f t="shared" ca="1" si="116"/>
        <v>0</v>
      </c>
      <c r="BH320" s="362">
        <f t="shared" ca="1" si="116"/>
        <v>0</v>
      </c>
      <c r="BI320" s="362">
        <f t="shared" ca="1" si="116"/>
        <v>0</v>
      </c>
      <c r="BJ320" s="362">
        <f t="shared" ca="1" si="116"/>
        <v>0</v>
      </c>
      <c r="BK320" s="362">
        <f t="shared" ca="1" si="116"/>
        <v>0</v>
      </c>
      <c r="BL320" s="362">
        <f t="shared" ca="1" si="116"/>
        <v>0</v>
      </c>
      <c r="BM320" s="362"/>
    </row>
    <row r="321" spans="27:65">
      <c r="AA321" s="360">
        <f t="shared" si="106"/>
        <v>2040</v>
      </c>
      <c r="AB321" s="362">
        <f ca="1">'GHG Emissions'!N42+'GHG Emissions'!O42</f>
        <v>16896.682808189573</v>
      </c>
      <c r="AC321" s="362"/>
      <c r="AD321" s="362">
        <f t="shared" ca="1" si="107"/>
        <v>15251.690823280158</v>
      </c>
      <c r="AE321" s="362"/>
      <c r="AF321" s="362" t="str">
        <f t="shared" ref="AF321:AO331" ca="1" si="117">IFERROR(-HLOOKUP(AF$50,Scope3CommuteTable,$AA321-$AA$291+2,FALSE),"")</f>
        <v/>
      </c>
      <c r="AG321" s="362" t="str">
        <f t="shared" ca="1" si="117"/>
        <v/>
      </c>
      <c r="AH321" s="362" t="str">
        <f t="shared" ca="1" si="117"/>
        <v/>
      </c>
      <c r="AI321" s="362" t="str">
        <f t="shared" ca="1" si="117"/>
        <v/>
      </c>
      <c r="AJ321" s="362" t="str">
        <f t="shared" ca="1" si="117"/>
        <v/>
      </c>
      <c r="AK321" s="362" t="str">
        <f t="shared" ca="1" si="117"/>
        <v/>
      </c>
      <c r="AL321" s="362" t="str">
        <f t="shared" ca="1" si="117"/>
        <v/>
      </c>
      <c r="AM321" s="362" t="str">
        <f t="shared" ca="1" si="117"/>
        <v/>
      </c>
      <c r="AN321" s="362" t="str">
        <f t="shared" ca="1" si="117"/>
        <v/>
      </c>
      <c r="AO321" s="362" t="str">
        <f t="shared" ca="1" si="117"/>
        <v/>
      </c>
      <c r="AP321" s="362" t="str">
        <f t="shared" ref="AP321:AY331" ca="1" si="118">IFERROR(-HLOOKUP(AP$50,Scope3CommuteTable,$AA321-$AA$291+2,FALSE),"")</f>
        <v/>
      </c>
      <c r="AQ321" s="362" t="str">
        <f t="shared" ca="1" si="118"/>
        <v/>
      </c>
      <c r="AR321" s="362" t="str">
        <f t="shared" ca="1" si="118"/>
        <v/>
      </c>
      <c r="AS321" s="362" t="str">
        <f t="shared" ca="1" si="118"/>
        <v/>
      </c>
      <c r="AT321" s="362" t="str">
        <f t="shared" ca="1" si="118"/>
        <v/>
      </c>
      <c r="AU321" s="362" t="str">
        <f t="shared" ca="1" si="118"/>
        <v/>
      </c>
      <c r="AV321" s="362">
        <f t="shared" ca="1" si="118"/>
        <v>0</v>
      </c>
      <c r="AW321" s="362">
        <f t="shared" ca="1" si="118"/>
        <v>0</v>
      </c>
      <c r="AX321" s="362">
        <f t="shared" ca="1" si="118"/>
        <v>0</v>
      </c>
      <c r="AY321" s="362">
        <f t="shared" ca="1" si="118"/>
        <v>0</v>
      </c>
      <c r="AZ321" s="362">
        <f t="shared" ref="AZ321:BL331" ca="1" si="119">IFERROR(-HLOOKUP(AZ$50,Scope3CommuteTable,$AA321-$AA$291+2,FALSE),"")</f>
        <v>0</v>
      </c>
      <c r="BA321" s="362">
        <f t="shared" ca="1" si="119"/>
        <v>0</v>
      </c>
      <c r="BB321" s="362">
        <f t="shared" ca="1" si="119"/>
        <v>0</v>
      </c>
      <c r="BC321" s="362">
        <f t="shared" ca="1" si="119"/>
        <v>1644.9919849094142</v>
      </c>
      <c r="BD321" s="362">
        <f t="shared" ca="1" si="119"/>
        <v>0</v>
      </c>
      <c r="BE321" s="362">
        <f t="shared" ca="1" si="119"/>
        <v>0</v>
      </c>
      <c r="BF321" s="362">
        <f t="shared" ca="1" si="119"/>
        <v>0</v>
      </c>
      <c r="BG321" s="362">
        <f t="shared" ca="1" si="119"/>
        <v>0</v>
      </c>
      <c r="BH321" s="362">
        <f t="shared" ca="1" si="119"/>
        <v>0</v>
      </c>
      <c r="BI321" s="362">
        <f t="shared" ca="1" si="119"/>
        <v>0</v>
      </c>
      <c r="BJ321" s="362">
        <f t="shared" ca="1" si="119"/>
        <v>0</v>
      </c>
      <c r="BK321" s="362">
        <f t="shared" ca="1" si="119"/>
        <v>0</v>
      </c>
      <c r="BL321" s="362">
        <f t="shared" ca="1" si="119"/>
        <v>0</v>
      </c>
      <c r="BM321" s="362"/>
    </row>
    <row r="322" spans="27:65">
      <c r="AA322" s="360">
        <f t="shared" si="106"/>
        <v>2041</v>
      </c>
      <c r="AB322" s="362">
        <f ca="1">'GHG Emissions'!N43+'GHG Emissions'!O43</f>
        <v>16908.634509419026</v>
      </c>
      <c r="AC322" s="362"/>
      <c r="AD322" s="362">
        <f t="shared" ca="1" si="107"/>
        <v>15263.642524509611</v>
      </c>
      <c r="AE322" s="362"/>
      <c r="AF322" s="362" t="str">
        <f t="shared" ca="1" si="117"/>
        <v/>
      </c>
      <c r="AG322" s="362" t="str">
        <f t="shared" ca="1" si="117"/>
        <v/>
      </c>
      <c r="AH322" s="362" t="str">
        <f t="shared" ca="1" si="117"/>
        <v/>
      </c>
      <c r="AI322" s="362" t="str">
        <f t="shared" ca="1" si="117"/>
        <v/>
      </c>
      <c r="AJ322" s="362" t="str">
        <f t="shared" ca="1" si="117"/>
        <v/>
      </c>
      <c r="AK322" s="362" t="str">
        <f t="shared" ca="1" si="117"/>
        <v/>
      </c>
      <c r="AL322" s="362" t="str">
        <f t="shared" ca="1" si="117"/>
        <v/>
      </c>
      <c r="AM322" s="362" t="str">
        <f t="shared" ca="1" si="117"/>
        <v/>
      </c>
      <c r="AN322" s="362" t="str">
        <f t="shared" ca="1" si="117"/>
        <v/>
      </c>
      <c r="AO322" s="362" t="str">
        <f t="shared" ca="1" si="117"/>
        <v/>
      </c>
      <c r="AP322" s="362" t="str">
        <f t="shared" ca="1" si="118"/>
        <v/>
      </c>
      <c r="AQ322" s="362" t="str">
        <f t="shared" ca="1" si="118"/>
        <v/>
      </c>
      <c r="AR322" s="362" t="str">
        <f t="shared" ca="1" si="118"/>
        <v/>
      </c>
      <c r="AS322" s="362" t="str">
        <f t="shared" ca="1" si="118"/>
        <v/>
      </c>
      <c r="AT322" s="362" t="str">
        <f t="shared" ca="1" si="118"/>
        <v/>
      </c>
      <c r="AU322" s="362" t="str">
        <f t="shared" ca="1" si="118"/>
        <v/>
      </c>
      <c r="AV322" s="362">
        <f t="shared" ca="1" si="118"/>
        <v>0</v>
      </c>
      <c r="AW322" s="362">
        <f t="shared" ca="1" si="118"/>
        <v>0</v>
      </c>
      <c r="AX322" s="362">
        <f t="shared" ca="1" si="118"/>
        <v>0</v>
      </c>
      <c r="AY322" s="362">
        <f t="shared" ca="1" si="118"/>
        <v>0</v>
      </c>
      <c r="AZ322" s="362">
        <f t="shared" ca="1" si="119"/>
        <v>0</v>
      </c>
      <c r="BA322" s="362">
        <f t="shared" ca="1" si="119"/>
        <v>0</v>
      </c>
      <c r="BB322" s="362">
        <f t="shared" ca="1" si="119"/>
        <v>0</v>
      </c>
      <c r="BC322" s="362">
        <f t="shared" ca="1" si="119"/>
        <v>1644.9919849094142</v>
      </c>
      <c r="BD322" s="362">
        <f t="shared" ca="1" si="119"/>
        <v>0</v>
      </c>
      <c r="BE322" s="362">
        <f t="shared" ca="1" si="119"/>
        <v>0</v>
      </c>
      <c r="BF322" s="362">
        <f t="shared" ca="1" si="119"/>
        <v>0</v>
      </c>
      <c r="BG322" s="362">
        <f t="shared" ca="1" si="119"/>
        <v>0</v>
      </c>
      <c r="BH322" s="362">
        <f t="shared" ca="1" si="119"/>
        <v>0</v>
      </c>
      <c r="BI322" s="362">
        <f t="shared" ca="1" si="119"/>
        <v>0</v>
      </c>
      <c r="BJ322" s="362">
        <f t="shared" ca="1" si="119"/>
        <v>0</v>
      </c>
      <c r="BK322" s="362">
        <f t="shared" ca="1" si="119"/>
        <v>0</v>
      </c>
      <c r="BL322" s="362">
        <f t="shared" ca="1" si="119"/>
        <v>0</v>
      </c>
      <c r="BM322" s="362"/>
    </row>
    <row r="323" spans="27:65">
      <c r="AA323" s="360">
        <f t="shared" si="106"/>
        <v>2042</v>
      </c>
      <c r="AB323" s="362">
        <f ca="1">'GHG Emissions'!N44+'GHG Emissions'!O44</f>
        <v>16920.399246037268</v>
      </c>
      <c r="AC323" s="362"/>
      <c r="AD323" s="362">
        <f t="shared" ca="1" si="107"/>
        <v>15275.407261127853</v>
      </c>
      <c r="AE323" s="362"/>
      <c r="AF323" s="362" t="str">
        <f t="shared" ca="1" si="117"/>
        <v/>
      </c>
      <c r="AG323" s="362" t="str">
        <f t="shared" ca="1" si="117"/>
        <v/>
      </c>
      <c r="AH323" s="362" t="str">
        <f t="shared" ca="1" si="117"/>
        <v/>
      </c>
      <c r="AI323" s="362" t="str">
        <f t="shared" ca="1" si="117"/>
        <v/>
      </c>
      <c r="AJ323" s="362" t="str">
        <f t="shared" ca="1" si="117"/>
        <v/>
      </c>
      <c r="AK323" s="362" t="str">
        <f t="shared" ca="1" si="117"/>
        <v/>
      </c>
      <c r="AL323" s="362" t="str">
        <f t="shared" ca="1" si="117"/>
        <v/>
      </c>
      <c r="AM323" s="362" t="str">
        <f t="shared" ca="1" si="117"/>
        <v/>
      </c>
      <c r="AN323" s="362" t="str">
        <f t="shared" ca="1" si="117"/>
        <v/>
      </c>
      <c r="AO323" s="362" t="str">
        <f t="shared" ca="1" si="117"/>
        <v/>
      </c>
      <c r="AP323" s="362" t="str">
        <f t="shared" ca="1" si="118"/>
        <v/>
      </c>
      <c r="AQ323" s="362" t="str">
        <f t="shared" ca="1" si="118"/>
        <v/>
      </c>
      <c r="AR323" s="362" t="str">
        <f t="shared" ca="1" si="118"/>
        <v/>
      </c>
      <c r="AS323" s="362" t="str">
        <f t="shared" ca="1" si="118"/>
        <v/>
      </c>
      <c r="AT323" s="362" t="str">
        <f t="shared" ca="1" si="118"/>
        <v/>
      </c>
      <c r="AU323" s="362" t="str">
        <f t="shared" ca="1" si="118"/>
        <v/>
      </c>
      <c r="AV323" s="362">
        <f t="shared" ca="1" si="118"/>
        <v>0</v>
      </c>
      <c r="AW323" s="362">
        <f t="shared" ca="1" si="118"/>
        <v>0</v>
      </c>
      <c r="AX323" s="362">
        <f t="shared" ca="1" si="118"/>
        <v>0</v>
      </c>
      <c r="AY323" s="362">
        <f t="shared" ca="1" si="118"/>
        <v>0</v>
      </c>
      <c r="AZ323" s="362">
        <f t="shared" ca="1" si="119"/>
        <v>0</v>
      </c>
      <c r="BA323" s="362">
        <f t="shared" ca="1" si="119"/>
        <v>0</v>
      </c>
      <c r="BB323" s="362">
        <f t="shared" ca="1" si="119"/>
        <v>0</v>
      </c>
      <c r="BC323" s="362">
        <f t="shared" ca="1" si="119"/>
        <v>1644.9919849094142</v>
      </c>
      <c r="BD323" s="362">
        <f t="shared" ca="1" si="119"/>
        <v>0</v>
      </c>
      <c r="BE323" s="362">
        <f t="shared" ca="1" si="119"/>
        <v>0</v>
      </c>
      <c r="BF323" s="362">
        <f t="shared" ca="1" si="119"/>
        <v>0</v>
      </c>
      <c r="BG323" s="362">
        <f t="shared" ca="1" si="119"/>
        <v>0</v>
      </c>
      <c r="BH323" s="362">
        <f t="shared" ca="1" si="119"/>
        <v>0</v>
      </c>
      <c r="BI323" s="362">
        <f t="shared" ca="1" si="119"/>
        <v>0</v>
      </c>
      <c r="BJ323" s="362">
        <f t="shared" ca="1" si="119"/>
        <v>0</v>
      </c>
      <c r="BK323" s="362">
        <f t="shared" ca="1" si="119"/>
        <v>0</v>
      </c>
      <c r="BL323" s="362">
        <f t="shared" ca="1" si="119"/>
        <v>0</v>
      </c>
      <c r="BM323" s="362"/>
    </row>
    <row r="324" spans="27:65">
      <c r="AA324" s="360">
        <f t="shared" si="106"/>
        <v>2043</v>
      </c>
      <c r="AB324" s="362">
        <f ca="1">'GHG Emissions'!N45+'GHG Emissions'!O45</f>
        <v>16931.985455694947</v>
      </c>
      <c r="AC324" s="362"/>
      <c r="AD324" s="362">
        <f t="shared" ca="1" si="107"/>
        <v>15286.993470785532</v>
      </c>
      <c r="AE324" s="362"/>
      <c r="AF324" s="362" t="str">
        <f t="shared" ca="1" si="117"/>
        <v/>
      </c>
      <c r="AG324" s="362" t="str">
        <f t="shared" ca="1" si="117"/>
        <v/>
      </c>
      <c r="AH324" s="362" t="str">
        <f t="shared" ca="1" si="117"/>
        <v/>
      </c>
      <c r="AI324" s="362" t="str">
        <f t="shared" ca="1" si="117"/>
        <v/>
      </c>
      <c r="AJ324" s="362" t="str">
        <f t="shared" ca="1" si="117"/>
        <v/>
      </c>
      <c r="AK324" s="362" t="str">
        <f t="shared" ca="1" si="117"/>
        <v/>
      </c>
      <c r="AL324" s="362" t="str">
        <f t="shared" ca="1" si="117"/>
        <v/>
      </c>
      <c r="AM324" s="362" t="str">
        <f t="shared" ca="1" si="117"/>
        <v/>
      </c>
      <c r="AN324" s="362" t="str">
        <f t="shared" ca="1" si="117"/>
        <v/>
      </c>
      <c r="AO324" s="362" t="str">
        <f t="shared" ca="1" si="117"/>
        <v/>
      </c>
      <c r="AP324" s="362" t="str">
        <f t="shared" ca="1" si="118"/>
        <v/>
      </c>
      <c r="AQ324" s="362" t="str">
        <f t="shared" ca="1" si="118"/>
        <v/>
      </c>
      <c r="AR324" s="362" t="str">
        <f t="shared" ca="1" si="118"/>
        <v/>
      </c>
      <c r="AS324" s="362" t="str">
        <f t="shared" ca="1" si="118"/>
        <v/>
      </c>
      <c r="AT324" s="362" t="str">
        <f t="shared" ca="1" si="118"/>
        <v/>
      </c>
      <c r="AU324" s="362" t="str">
        <f t="shared" ca="1" si="118"/>
        <v/>
      </c>
      <c r="AV324" s="362">
        <f t="shared" ca="1" si="118"/>
        <v>0</v>
      </c>
      <c r="AW324" s="362">
        <f t="shared" ca="1" si="118"/>
        <v>0</v>
      </c>
      <c r="AX324" s="362">
        <f t="shared" ca="1" si="118"/>
        <v>0</v>
      </c>
      <c r="AY324" s="362">
        <f t="shared" ca="1" si="118"/>
        <v>0</v>
      </c>
      <c r="AZ324" s="362">
        <f t="shared" ca="1" si="119"/>
        <v>0</v>
      </c>
      <c r="BA324" s="362">
        <f t="shared" ca="1" si="119"/>
        <v>0</v>
      </c>
      <c r="BB324" s="362">
        <f t="shared" ca="1" si="119"/>
        <v>0</v>
      </c>
      <c r="BC324" s="362">
        <f t="shared" ca="1" si="119"/>
        <v>1644.9919849094142</v>
      </c>
      <c r="BD324" s="362">
        <f t="shared" ca="1" si="119"/>
        <v>0</v>
      </c>
      <c r="BE324" s="362">
        <f t="shared" ca="1" si="119"/>
        <v>0</v>
      </c>
      <c r="BF324" s="362">
        <f t="shared" ca="1" si="119"/>
        <v>0</v>
      </c>
      <c r="BG324" s="362">
        <f t="shared" ca="1" si="119"/>
        <v>0</v>
      </c>
      <c r="BH324" s="362">
        <f t="shared" ca="1" si="119"/>
        <v>0</v>
      </c>
      <c r="BI324" s="362">
        <f t="shared" ca="1" si="119"/>
        <v>0</v>
      </c>
      <c r="BJ324" s="362">
        <f t="shared" ca="1" si="119"/>
        <v>0</v>
      </c>
      <c r="BK324" s="362">
        <f t="shared" ca="1" si="119"/>
        <v>0</v>
      </c>
      <c r="BL324" s="362">
        <f t="shared" ca="1" si="119"/>
        <v>0</v>
      </c>
      <c r="BM324" s="362"/>
    </row>
    <row r="325" spans="27:65">
      <c r="AA325" s="360">
        <f t="shared" si="106"/>
        <v>2044</v>
      </c>
      <c r="AB325" s="362">
        <f ca="1">'GHG Emissions'!N46+'GHG Emissions'!O46</f>
        <v>16943.400959906194</v>
      </c>
      <c r="AC325" s="362"/>
      <c r="AD325" s="362">
        <f t="shared" ca="1" si="107"/>
        <v>15298.408974996779</v>
      </c>
      <c r="AE325" s="362"/>
      <c r="AF325" s="362" t="str">
        <f t="shared" ca="1" si="117"/>
        <v/>
      </c>
      <c r="AG325" s="362" t="str">
        <f t="shared" ca="1" si="117"/>
        <v/>
      </c>
      <c r="AH325" s="362" t="str">
        <f t="shared" ca="1" si="117"/>
        <v/>
      </c>
      <c r="AI325" s="362" t="str">
        <f t="shared" ca="1" si="117"/>
        <v/>
      </c>
      <c r="AJ325" s="362" t="str">
        <f t="shared" ca="1" si="117"/>
        <v/>
      </c>
      <c r="AK325" s="362" t="str">
        <f t="shared" ca="1" si="117"/>
        <v/>
      </c>
      <c r="AL325" s="362" t="str">
        <f t="shared" ca="1" si="117"/>
        <v/>
      </c>
      <c r="AM325" s="362" t="str">
        <f t="shared" ca="1" si="117"/>
        <v/>
      </c>
      <c r="AN325" s="362" t="str">
        <f t="shared" ca="1" si="117"/>
        <v/>
      </c>
      <c r="AO325" s="362" t="str">
        <f t="shared" ca="1" si="117"/>
        <v/>
      </c>
      <c r="AP325" s="362" t="str">
        <f t="shared" ca="1" si="118"/>
        <v/>
      </c>
      <c r="AQ325" s="362" t="str">
        <f t="shared" ca="1" si="118"/>
        <v/>
      </c>
      <c r="AR325" s="362" t="str">
        <f t="shared" ca="1" si="118"/>
        <v/>
      </c>
      <c r="AS325" s="362" t="str">
        <f t="shared" ca="1" si="118"/>
        <v/>
      </c>
      <c r="AT325" s="362" t="str">
        <f t="shared" ca="1" si="118"/>
        <v/>
      </c>
      <c r="AU325" s="362" t="str">
        <f t="shared" ca="1" si="118"/>
        <v/>
      </c>
      <c r="AV325" s="362">
        <f t="shared" ca="1" si="118"/>
        <v>0</v>
      </c>
      <c r="AW325" s="362">
        <f t="shared" ca="1" si="118"/>
        <v>0</v>
      </c>
      <c r="AX325" s="362">
        <f t="shared" ca="1" si="118"/>
        <v>0</v>
      </c>
      <c r="AY325" s="362">
        <f t="shared" ca="1" si="118"/>
        <v>0</v>
      </c>
      <c r="AZ325" s="362">
        <f t="shared" ca="1" si="119"/>
        <v>0</v>
      </c>
      <c r="BA325" s="362">
        <f t="shared" ca="1" si="119"/>
        <v>0</v>
      </c>
      <c r="BB325" s="362">
        <f t="shared" ca="1" si="119"/>
        <v>0</v>
      </c>
      <c r="BC325" s="362">
        <f t="shared" ca="1" si="119"/>
        <v>1644.9919849094142</v>
      </c>
      <c r="BD325" s="362">
        <f t="shared" ca="1" si="119"/>
        <v>0</v>
      </c>
      <c r="BE325" s="362">
        <f t="shared" ca="1" si="119"/>
        <v>0</v>
      </c>
      <c r="BF325" s="362">
        <f t="shared" ca="1" si="119"/>
        <v>0</v>
      </c>
      <c r="BG325" s="362">
        <f t="shared" ca="1" si="119"/>
        <v>0</v>
      </c>
      <c r="BH325" s="362">
        <f t="shared" ca="1" si="119"/>
        <v>0</v>
      </c>
      <c r="BI325" s="362">
        <f t="shared" ca="1" si="119"/>
        <v>0</v>
      </c>
      <c r="BJ325" s="362">
        <f t="shared" ca="1" si="119"/>
        <v>0</v>
      </c>
      <c r="BK325" s="362">
        <f t="shared" ca="1" si="119"/>
        <v>0</v>
      </c>
      <c r="BL325" s="362">
        <f t="shared" ca="1" si="119"/>
        <v>0</v>
      </c>
      <c r="BM325" s="362"/>
    </row>
    <row r="326" spans="27:65">
      <c r="AA326" s="360">
        <f t="shared" si="106"/>
        <v>2045</v>
      </c>
      <c r="AB326" s="362">
        <f ca="1">'GHG Emissions'!N47+'GHG Emissions'!O47</f>
        <v>16954.653025254975</v>
      </c>
      <c r="AC326" s="362"/>
      <c r="AD326" s="362">
        <f t="shared" ca="1" si="107"/>
        <v>15309.66104034556</v>
      </c>
      <c r="AE326" s="362"/>
      <c r="AF326" s="362" t="str">
        <f t="shared" ca="1" si="117"/>
        <v/>
      </c>
      <c r="AG326" s="362" t="str">
        <f t="shared" ca="1" si="117"/>
        <v/>
      </c>
      <c r="AH326" s="362" t="str">
        <f t="shared" ca="1" si="117"/>
        <v/>
      </c>
      <c r="AI326" s="362" t="str">
        <f t="shared" ca="1" si="117"/>
        <v/>
      </c>
      <c r="AJ326" s="362" t="str">
        <f t="shared" ca="1" si="117"/>
        <v/>
      </c>
      <c r="AK326" s="362" t="str">
        <f t="shared" ca="1" si="117"/>
        <v/>
      </c>
      <c r="AL326" s="362" t="str">
        <f t="shared" ca="1" si="117"/>
        <v/>
      </c>
      <c r="AM326" s="362" t="str">
        <f t="shared" ca="1" si="117"/>
        <v/>
      </c>
      <c r="AN326" s="362" t="str">
        <f t="shared" ca="1" si="117"/>
        <v/>
      </c>
      <c r="AO326" s="362" t="str">
        <f t="shared" ca="1" si="117"/>
        <v/>
      </c>
      <c r="AP326" s="362" t="str">
        <f t="shared" ca="1" si="118"/>
        <v/>
      </c>
      <c r="AQ326" s="362" t="str">
        <f t="shared" ca="1" si="118"/>
        <v/>
      </c>
      <c r="AR326" s="362" t="str">
        <f t="shared" ca="1" si="118"/>
        <v/>
      </c>
      <c r="AS326" s="362" t="str">
        <f t="shared" ca="1" si="118"/>
        <v/>
      </c>
      <c r="AT326" s="362" t="str">
        <f t="shared" ca="1" si="118"/>
        <v/>
      </c>
      <c r="AU326" s="362" t="str">
        <f t="shared" ca="1" si="118"/>
        <v/>
      </c>
      <c r="AV326" s="362">
        <f t="shared" ca="1" si="118"/>
        <v>0</v>
      </c>
      <c r="AW326" s="362">
        <f t="shared" ca="1" si="118"/>
        <v>0</v>
      </c>
      <c r="AX326" s="362">
        <f t="shared" ca="1" si="118"/>
        <v>0</v>
      </c>
      <c r="AY326" s="362">
        <f t="shared" ca="1" si="118"/>
        <v>0</v>
      </c>
      <c r="AZ326" s="362">
        <f t="shared" ca="1" si="119"/>
        <v>0</v>
      </c>
      <c r="BA326" s="362">
        <f t="shared" ca="1" si="119"/>
        <v>0</v>
      </c>
      <c r="BB326" s="362">
        <f t="shared" ca="1" si="119"/>
        <v>0</v>
      </c>
      <c r="BC326" s="362">
        <f t="shared" ca="1" si="119"/>
        <v>1644.9919849094142</v>
      </c>
      <c r="BD326" s="362">
        <f t="shared" ca="1" si="119"/>
        <v>0</v>
      </c>
      <c r="BE326" s="362">
        <f t="shared" ca="1" si="119"/>
        <v>0</v>
      </c>
      <c r="BF326" s="362">
        <f t="shared" ca="1" si="119"/>
        <v>0</v>
      </c>
      <c r="BG326" s="362">
        <f t="shared" ca="1" si="119"/>
        <v>0</v>
      </c>
      <c r="BH326" s="362">
        <f t="shared" ca="1" si="119"/>
        <v>0</v>
      </c>
      <c r="BI326" s="362">
        <f t="shared" ca="1" si="119"/>
        <v>0</v>
      </c>
      <c r="BJ326" s="362">
        <f t="shared" ca="1" si="119"/>
        <v>0</v>
      </c>
      <c r="BK326" s="362">
        <f t="shared" ca="1" si="119"/>
        <v>0</v>
      </c>
      <c r="BL326" s="362">
        <f t="shared" ca="1" si="119"/>
        <v>0</v>
      </c>
      <c r="BM326" s="362"/>
    </row>
    <row r="327" spans="27:65">
      <c r="AA327" s="360">
        <f t="shared" si="106"/>
        <v>2046</v>
      </c>
      <c r="AB327" s="362">
        <f ca="1">'GHG Emissions'!N48+'GHG Emissions'!O48</f>
        <v>16965.748416999118</v>
      </c>
      <c r="AC327" s="362"/>
      <c r="AD327" s="362">
        <f t="shared" ca="1" si="107"/>
        <v>15320.756432089704</v>
      </c>
      <c r="AE327" s="362"/>
      <c r="AF327" s="362" t="str">
        <f t="shared" ca="1" si="117"/>
        <v/>
      </c>
      <c r="AG327" s="362" t="str">
        <f t="shared" ca="1" si="117"/>
        <v/>
      </c>
      <c r="AH327" s="362" t="str">
        <f t="shared" ca="1" si="117"/>
        <v/>
      </c>
      <c r="AI327" s="362" t="str">
        <f t="shared" ca="1" si="117"/>
        <v/>
      </c>
      <c r="AJ327" s="362" t="str">
        <f t="shared" ca="1" si="117"/>
        <v/>
      </c>
      <c r="AK327" s="362" t="str">
        <f t="shared" ca="1" si="117"/>
        <v/>
      </c>
      <c r="AL327" s="362" t="str">
        <f t="shared" ca="1" si="117"/>
        <v/>
      </c>
      <c r="AM327" s="362" t="str">
        <f t="shared" ca="1" si="117"/>
        <v/>
      </c>
      <c r="AN327" s="362" t="str">
        <f t="shared" ca="1" si="117"/>
        <v/>
      </c>
      <c r="AO327" s="362" t="str">
        <f t="shared" ca="1" si="117"/>
        <v/>
      </c>
      <c r="AP327" s="362" t="str">
        <f t="shared" ca="1" si="118"/>
        <v/>
      </c>
      <c r="AQ327" s="362" t="str">
        <f t="shared" ca="1" si="118"/>
        <v/>
      </c>
      <c r="AR327" s="362" t="str">
        <f t="shared" ca="1" si="118"/>
        <v/>
      </c>
      <c r="AS327" s="362" t="str">
        <f t="shared" ca="1" si="118"/>
        <v/>
      </c>
      <c r="AT327" s="362" t="str">
        <f t="shared" ca="1" si="118"/>
        <v/>
      </c>
      <c r="AU327" s="362" t="str">
        <f t="shared" ca="1" si="118"/>
        <v/>
      </c>
      <c r="AV327" s="362">
        <f t="shared" ca="1" si="118"/>
        <v>0</v>
      </c>
      <c r="AW327" s="362">
        <f t="shared" ca="1" si="118"/>
        <v>0</v>
      </c>
      <c r="AX327" s="362">
        <f t="shared" ca="1" si="118"/>
        <v>0</v>
      </c>
      <c r="AY327" s="362">
        <f t="shared" ca="1" si="118"/>
        <v>0</v>
      </c>
      <c r="AZ327" s="362">
        <f t="shared" ca="1" si="119"/>
        <v>0</v>
      </c>
      <c r="BA327" s="362">
        <f t="shared" ca="1" si="119"/>
        <v>0</v>
      </c>
      <c r="BB327" s="362">
        <f t="shared" ca="1" si="119"/>
        <v>0</v>
      </c>
      <c r="BC327" s="362">
        <f t="shared" ca="1" si="119"/>
        <v>1644.9919849094142</v>
      </c>
      <c r="BD327" s="362">
        <f t="shared" ca="1" si="119"/>
        <v>0</v>
      </c>
      <c r="BE327" s="362">
        <f t="shared" ca="1" si="119"/>
        <v>0</v>
      </c>
      <c r="BF327" s="362">
        <f t="shared" ca="1" si="119"/>
        <v>0</v>
      </c>
      <c r="BG327" s="362">
        <f t="shared" ca="1" si="119"/>
        <v>0</v>
      </c>
      <c r="BH327" s="362">
        <f t="shared" ca="1" si="119"/>
        <v>0</v>
      </c>
      <c r="BI327" s="362">
        <f t="shared" ca="1" si="119"/>
        <v>0</v>
      </c>
      <c r="BJ327" s="362">
        <f t="shared" ca="1" si="119"/>
        <v>0</v>
      </c>
      <c r="BK327" s="362">
        <f t="shared" ca="1" si="119"/>
        <v>0</v>
      </c>
      <c r="BL327" s="362">
        <f t="shared" ca="1" si="119"/>
        <v>0</v>
      </c>
      <c r="BM327" s="362"/>
    </row>
    <row r="328" spans="27:65">
      <c r="AA328" s="360">
        <f t="shared" si="106"/>
        <v>2047</v>
      </c>
      <c r="AB328" s="362">
        <f ca="1">'GHG Emissions'!N49+'GHG Emissions'!O49</f>
        <v>16976.693446195241</v>
      </c>
      <c r="AC328" s="362"/>
      <c r="AD328" s="362">
        <f t="shared" ca="1" si="107"/>
        <v>15331.701461285826</v>
      </c>
      <c r="AE328" s="362"/>
      <c r="AF328" s="362" t="str">
        <f t="shared" ca="1" si="117"/>
        <v/>
      </c>
      <c r="AG328" s="362" t="str">
        <f t="shared" ca="1" si="117"/>
        <v/>
      </c>
      <c r="AH328" s="362" t="str">
        <f t="shared" ca="1" si="117"/>
        <v/>
      </c>
      <c r="AI328" s="362" t="str">
        <f t="shared" ca="1" si="117"/>
        <v/>
      </c>
      <c r="AJ328" s="362" t="str">
        <f t="shared" ca="1" si="117"/>
        <v/>
      </c>
      <c r="AK328" s="362" t="str">
        <f t="shared" ca="1" si="117"/>
        <v/>
      </c>
      <c r="AL328" s="362" t="str">
        <f t="shared" ca="1" si="117"/>
        <v/>
      </c>
      <c r="AM328" s="362" t="str">
        <f t="shared" ca="1" si="117"/>
        <v/>
      </c>
      <c r="AN328" s="362" t="str">
        <f t="shared" ca="1" si="117"/>
        <v/>
      </c>
      <c r="AO328" s="362" t="str">
        <f t="shared" ca="1" si="117"/>
        <v/>
      </c>
      <c r="AP328" s="362" t="str">
        <f t="shared" ca="1" si="118"/>
        <v/>
      </c>
      <c r="AQ328" s="362" t="str">
        <f t="shared" ca="1" si="118"/>
        <v/>
      </c>
      <c r="AR328" s="362" t="str">
        <f t="shared" ca="1" si="118"/>
        <v/>
      </c>
      <c r="AS328" s="362" t="str">
        <f t="shared" ca="1" si="118"/>
        <v/>
      </c>
      <c r="AT328" s="362" t="str">
        <f t="shared" ca="1" si="118"/>
        <v/>
      </c>
      <c r="AU328" s="362" t="str">
        <f t="shared" ca="1" si="118"/>
        <v/>
      </c>
      <c r="AV328" s="362">
        <f t="shared" ca="1" si="118"/>
        <v>0</v>
      </c>
      <c r="AW328" s="362">
        <f t="shared" ca="1" si="118"/>
        <v>0</v>
      </c>
      <c r="AX328" s="362">
        <f t="shared" ca="1" si="118"/>
        <v>0</v>
      </c>
      <c r="AY328" s="362">
        <f t="shared" ca="1" si="118"/>
        <v>0</v>
      </c>
      <c r="AZ328" s="362">
        <f t="shared" ca="1" si="119"/>
        <v>0</v>
      </c>
      <c r="BA328" s="362">
        <f t="shared" ca="1" si="119"/>
        <v>0</v>
      </c>
      <c r="BB328" s="362">
        <f t="shared" ca="1" si="119"/>
        <v>0</v>
      </c>
      <c r="BC328" s="362">
        <f t="shared" ca="1" si="119"/>
        <v>1644.9919849094142</v>
      </c>
      <c r="BD328" s="362">
        <f t="shared" ca="1" si="119"/>
        <v>0</v>
      </c>
      <c r="BE328" s="362">
        <f t="shared" ca="1" si="119"/>
        <v>0</v>
      </c>
      <c r="BF328" s="362">
        <f t="shared" ca="1" si="119"/>
        <v>0</v>
      </c>
      <c r="BG328" s="362">
        <f t="shared" ca="1" si="119"/>
        <v>0</v>
      </c>
      <c r="BH328" s="362">
        <f t="shared" ca="1" si="119"/>
        <v>0</v>
      </c>
      <c r="BI328" s="362">
        <f t="shared" ca="1" si="119"/>
        <v>0</v>
      </c>
      <c r="BJ328" s="362">
        <f t="shared" ca="1" si="119"/>
        <v>0</v>
      </c>
      <c r="BK328" s="362">
        <f t="shared" ca="1" si="119"/>
        <v>0</v>
      </c>
      <c r="BL328" s="362">
        <f t="shared" ca="1" si="119"/>
        <v>0</v>
      </c>
      <c r="BM328" s="362"/>
    </row>
    <row r="329" spans="27:65">
      <c r="AA329" s="360">
        <f t="shared" si="106"/>
        <v>2048</v>
      </c>
      <c r="AB329" s="362">
        <f ca="1">'GHG Emissions'!N50+'GHG Emissions'!O50</f>
        <v>16987.494011276754</v>
      </c>
      <c r="AC329" s="362"/>
      <c r="AD329" s="362">
        <f t="shared" ca="1" si="107"/>
        <v>15342.50202636734</v>
      </c>
      <c r="AE329" s="362"/>
      <c r="AF329" s="362" t="str">
        <f t="shared" ca="1" si="117"/>
        <v/>
      </c>
      <c r="AG329" s="362" t="str">
        <f t="shared" ca="1" si="117"/>
        <v/>
      </c>
      <c r="AH329" s="362" t="str">
        <f t="shared" ca="1" si="117"/>
        <v/>
      </c>
      <c r="AI329" s="362" t="str">
        <f t="shared" ca="1" si="117"/>
        <v/>
      </c>
      <c r="AJ329" s="362" t="str">
        <f t="shared" ca="1" si="117"/>
        <v/>
      </c>
      <c r="AK329" s="362" t="str">
        <f t="shared" ca="1" si="117"/>
        <v/>
      </c>
      <c r="AL329" s="362" t="str">
        <f t="shared" ca="1" si="117"/>
        <v/>
      </c>
      <c r="AM329" s="362" t="str">
        <f t="shared" ca="1" si="117"/>
        <v/>
      </c>
      <c r="AN329" s="362" t="str">
        <f t="shared" ca="1" si="117"/>
        <v/>
      </c>
      <c r="AO329" s="362" t="str">
        <f t="shared" ca="1" si="117"/>
        <v/>
      </c>
      <c r="AP329" s="362" t="str">
        <f t="shared" ca="1" si="118"/>
        <v/>
      </c>
      <c r="AQ329" s="362" t="str">
        <f t="shared" ca="1" si="118"/>
        <v/>
      </c>
      <c r="AR329" s="362" t="str">
        <f t="shared" ca="1" si="118"/>
        <v/>
      </c>
      <c r="AS329" s="362" t="str">
        <f t="shared" ca="1" si="118"/>
        <v/>
      </c>
      <c r="AT329" s="362" t="str">
        <f t="shared" ca="1" si="118"/>
        <v/>
      </c>
      <c r="AU329" s="362" t="str">
        <f t="shared" ca="1" si="118"/>
        <v/>
      </c>
      <c r="AV329" s="362">
        <f t="shared" ca="1" si="118"/>
        <v>0</v>
      </c>
      <c r="AW329" s="362">
        <f t="shared" ca="1" si="118"/>
        <v>0</v>
      </c>
      <c r="AX329" s="362">
        <f t="shared" ca="1" si="118"/>
        <v>0</v>
      </c>
      <c r="AY329" s="362">
        <f t="shared" ca="1" si="118"/>
        <v>0</v>
      </c>
      <c r="AZ329" s="362">
        <f t="shared" ca="1" si="119"/>
        <v>0</v>
      </c>
      <c r="BA329" s="362">
        <f t="shared" ca="1" si="119"/>
        <v>0</v>
      </c>
      <c r="BB329" s="362">
        <f t="shared" ca="1" si="119"/>
        <v>0</v>
      </c>
      <c r="BC329" s="362">
        <f t="shared" ca="1" si="119"/>
        <v>1644.9919849094142</v>
      </c>
      <c r="BD329" s="362">
        <f t="shared" ca="1" si="119"/>
        <v>0</v>
      </c>
      <c r="BE329" s="362">
        <f t="shared" ca="1" si="119"/>
        <v>0</v>
      </c>
      <c r="BF329" s="362">
        <f t="shared" ca="1" si="119"/>
        <v>0</v>
      </c>
      <c r="BG329" s="362">
        <f t="shared" ca="1" si="119"/>
        <v>0</v>
      </c>
      <c r="BH329" s="362">
        <f t="shared" ca="1" si="119"/>
        <v>0</v>
      </c>
      <c r="BI329" s="362">
        <f t="shared" ca="1" si="119"/>
        <v>0</v>
      </c>
      <c r="BJ329" s="362">
        <f t="shared" ca="1" si="119"/>
        <v>0</v>
      </c>
      <c r="BK329" s="362">
        <f t="shared" ca="1" si="119"/>
        <v>0</v>
      </c>
      <c r="BL329" s="362">
        <f t="shared" ca="1" si="119"/>
        <v>0</v>
      </c>
      <c r="BM329" s="362"/>
    </row>
    <row r="330" spans="27:65">
      <c r="AA330" s="360">
        <f t="shared" si="106"/>
        <v>2049</v>
      </c>
      <c r="AB330" s="362">
        <f ca="1">'GHG Emissions'!N51+'GHG Emissions'!O51</f>
        <v>16998.155634862684</v>
      </c>
      <c r="AC330" s="362"/>
      <c r="AD330" s="362">
        <f t="shared" ca="1" si="107"/>
        <v>15353.163649953269</v>
      </c>
      <c r="AE330" s="362"/>
      <c r="AF330" s="362" t="str">
        <f t="shared" ca="1" si="117"/>
        <v/>
      </c>
      <c r="AG330" s="362" t="str">
        <f t="shared" ca="1" si="117"/>
        <v/>
      </c>
      <c r="AH330" s="362" t="str">
        <f t="shared" ca="1" si="117"/>
        <v/>
      </c>
      <c r="AI330" s="362" t="str">
        <f t="shared" ca="1" si="117"/>
        <v/>
      </c>
      <c r="AJ330" s="362" t="str">
        <f t="shared" ca="1" si="117"/>
        <v/>
      </c>
      <c r="AK330" s="362" t="str">
        <f t="shared" ca="1" si="117"/>
        <v/>
      </c>
      <c r="AL330" s="362" t="str">
        <f t="shared" ca="1" si="117"/>
        <v/>
      </c>
      <c r="AM330" s="362" t="str">
        <f t="shared" ca="1" si="117"/>
        <v/>
      </c>
      <c r="AN330" s="362" t="str">
        <f t="shared" ca="1" si="117"/>
        <v/>
      </c>
      <c r="AO330" s="362" t="str">
        <f t="shared" ca="1" si="117"/>
        <v/>
      </c>
      <c r="AP330" s="362" t="str">
        <f t="shared" ca="1" si="118"/>
        <v/>
      </c>
      <c r="AQ330" s="362" t="str">
        <f t="shared" ca="1" si="118"/>
        <v/>
      </c>
      <c r="AR330" s="362" t="str">
        <f t="shared" ca="1" si="118"/>
        <v/>
      </c>
      <c r="AS330" s="362" t="str">
        <f t="shared" ca="1" si="118"/>
        <v/>
      </c>
      <c r="AT330" s="362" t="str">
        <f t="shared" ca="1" si="118"/>
        <v/>
      </c>
      <c r="AU330" s="362" t="str">
        <f t="shared" ca="1" si="118"/>
        <v/>
      </c>
      <c r="AV330" s="362">
        <f t="shared" ca="1" si="118"/>
        <v>0</v>
      </c>
      <c r="AW330" s="362">
        <f t="shared" ca="1" si="118"/>
        <v>0</v>
      </c>
      <c r="AX330" s="362">
        <f t="shared" ca="1" si="118"/>
        <v>0</v>
      </c>
      <c r="AY330" s="362">
        <f t="shared" ca="1" si="118"/>
        <v>0</v>
      </c>
      <c r="AZ330" s="362">
        <f t="shared" ca="1" si="119"/>
        <v>0</v>
      </c>
      <c r="BA330" s="362">
        <f t="shared" ca="1" si="119"/>
        <v>0</v>
      </c>
      <c r="BB330" s="362">
        <f t="shared" ca="1" si="119"/>
        <v>0</v>
      </c>
      <c r="BC330" s="362">
        <f t="shared" ca="1" si="119"/>
        <v>1644.9919849094142</v>
      </c>
      <c r="BD330" s="362">
        <f t="shared" ca="1" si="119"/>
        <v>0</v>
      </c>
      <c r="BE330" s="362">
        <f t="shared" ca="1" si="119"/>
        <v>0</v>
      </c>
      <c r="BF330" s="362">
        <f t="shared" ca="1" si="119"/>
        <v>0</v>
      </c>
      <c r="BG330" s="362">
        <f t="shared" ca="1" si="119"/>
        <v>0</v>
      </c>
      <c r="BH330" s="362">
        <f t="shared" ca="1" si="119"/>
        <v>0</v>
      </c>
      <c r="BI330" s="362">
        <f t="shared" ca="1" si="119"/>
        <v>0</v>
      </c>
      <c r="BJ330" s="362">
        <f t="shared" ca="1" si="119"/>
        <v>0</v>
      </c>
      <c r="BK330" s="362">
        <f t="shared" ca="1" si="119"/>
        <v>0</v>
      </c>
      <c r="BL330" s="362">
        <f t="shared" ca="1" si="119"/>
        <v>0</v>
      </c>
      <c r="BM330" s="362"/>
    </row>
    <row r="331" spans="27:65">
      <c r="AA331" s="360">
        <f t="shared" si="106"/>
        <v>2050</v>
      </c>
      <c r="AB331" s="362">
        <f ca="1">'GHG Emissions'!N52+'GHG Emissions'!O52</f>
        <v>17008.683496449346</v>
      </c>
      <c r="AC331" s="362"/>
      <c r="AD331" s="362">
        <f t="shared" ca="1" si="107"/>
        <v>15363.691511539932</v>
      </c>
      <c r="AE331" s="362"/>
      <c r="AF331" s="362" t="str">
        <f t="shared" ca="1" si="117"/>
        <v/>
      </c>
      <c r="AG331" s="362" t="str">
        <f t="shared" ca="1" si="117"/>
        <v/>
      </c>
      <c r="AH331" s="362" t="str">
        <f t="shared" ca="1" si="117"/>
        <v/>
      </c>
      <c r="AI331" s="362" t="str">
        <f t="shared" ca="1" si="117"/>
        <v/>
      </c>
      <c r="AJ331" s="362" t="str">
        <f t="shared" ca="1" si="117"/>
        <v/>
      </c>
      <c r="AK331" s="362" t="str">
        <f t="shared" ca="1" si="117"/>
        <v/>
      </c>
      <c r="AL331" s="362" t="str">
        <f t="shared" ca="1" si="117"/>
        <v/>
      </c>
      <c r="AM331" s="362" t="str">
        <f t="shared" ca="1" si="117"/>
        <v/>
      </c>
      <c r="AN331" s="362" t="str">
        <f t="shared" ca="1" si="117"/>
        <v/>
      </c>
      <c r="AO331" s="362" t="str">
        <f t="shared" ca="1" si="117"/>
        <v/>
      </c>
      <c r="AP331" s="362" t="str">
        <f t="shared" ca="1" si="118"/>
        <v/>
      </c>
      <c r="AQ331" s="362" t="str">
        <f t="shared" ca="1" si="118"/>
        <v/>
      </c>
      <c r="AR331" s="362" t="str">
        <f t="shared" ca="1" si="118"/>
        <v/>
      </c>
      <c r="AS331" s="362" t="str">
        <f t="shared" ca="1" si="118"/>
        <v/>
      </c>
      <c r="AT331" s="362" t="str">
        <f t="shared" ca="1" si="118"/>
        <v/>
      </c>
      <c r="AU331" s="362" t="str">
        <f t="shared" ca="1" si="118"/>
        <v/>
      </c>
      <c r="AV331" s="362">
        <f t="shared" ca="1" si="118"/>
        <v>0</v>
      </c>
      <c r="AW331" s="362">
        <f t="shared" ca="1" si="118"/>
        <v>0</v>
      </c>
      <c r="AX331" s="362">
        <f t="shared" ca="1" si="118"/>
        <v>0</v>
      </c>
      <c r="AY331" s="362">
        <f t="shared" ca="1" si="118"/>
        <v>0</v>
      </c>
      <c r="AZ331" s="362">
        <f t="shared" ca="1" si="119"/>
        <v>0</v>
      </c>
      <c r="BA331" s="362">
        <f t="shared" ca="1" si="119"/>
        <v>0</v>
      </c>
      <c r="BB331" s="362">
        <f t="shared" ca="1" si="119"/>
        <v>0</v>
      </c>
      <c r="BC331" s="362">
        <f t="shared" ca="1" si="119"/>
        <v>1644.9919849094142</v>
      </c>
      <c r="BD331" s="362">
        <f t="shared" ca="1" si="119"/>
        <v>0</v>
      </c>
      <c r="BE331" s="362">
        <f t="shared" ca="1" si="119"/>
        <v>0</v>
      </c>
      <c r="BF331" s="362">
        <f t="shared" ca="1" si="119"/>
        <v>0</v>
      </c>
      <c r="BG331" s="362">
        <f t="shared" ca="1" si="119"/>
        <v>0</v>
      </c>
      <c r="BH331" s="362">
        <f t="shared" ca="1" si="119"/>
        <v>0</v>
      </c>
      <c r="BI331" s="362">
        <f t="shared" ca="1" si="119"/>
        <v>0</v>
      </c>
      <c r="BJ331" s="362">
        <f t="shared" ca="1" si="119"/>
        <v>0</v>
      </c>
      <c r="BK331" s="362">
        <f t="shared" ca="1" si="119"/>
        <v>0</v>
      </c>
      <c r="BL331" s="362">
        <f t="shared" ca="1" si="119"/>
        <v>0</v>
      </c>
      <c r="BM331" s="362"/>
    </row>
    <row r="332" spans="27:65" ht="60">
      <c r="AA332" s="323" t="s">
        <v>377</v>
      </c>
      <c r="AB332" s="323" t="s">
        <v>374</v>
      </c>
      <c r="AC332" s="323"/>
      <c r="AD332" s="323" t="s">
        <v>312</v>
      </c>
      <c r="AE332" s="323"/>
      <c r="AF332" s="345">
        <f t="shared" ref="AF332:BL332" si="120">AF$3</f>
        <v>0</v>
      </c>
      <c r="AG332" s="345">
        <f t="shared" si="120"/>
        <v>0</v>
      </c>
      <c r="AH332" s="345">
        <f t="shared" si="120"/>
        <v>0</v>
      </c>
      <c r="AI332" s="345">
        <f t="shared" si="120"/>
        <v>0</v>
      </c>
      <c r="AJ332" s="345">
        <f t="shared" si="120"/>
        <v>0</v>
      </c>
      <c r="AK332" s="345">
        <f t="shared" si="120"/>
        <v>0</v>
      </c>
      <c r="AL332" s="345">
        <f t="shared" si="120"/>
        <v>0</v>
      </c>
      <c r="AM332" s="345">
        <f t="shared" si="120"/>
        <v>0</v>
      </c>
      <c r="AN332" s="345">
        <f t="shared" si="120"/>
        <v>0</v>
      </c>
      <c r="AO332" s="345">
        <f t="shared" si="120"/>
        <v>0</v>
      </c>
      <c r="AP332" s="345">
        <f t="shared" si="120"/>
        <v>0</v>
      </c>
      <c r="AQ332" s="345">
        <f t="shared" si="120"/>
        <v>0</v>
      </c>
      <c r="AR332" s="345">
        <f t="shared" si="120"/>
        <v>0</v>
      </c>
      <c r="AS332" s="345">
        <f t="shared" si="120"/>
        <v>0</v>
      </c>
      <c r="AT332" s="345">
        <f t="shared" si="120"/>
        <v>0</v>
      </c>
      <c r="AU332" s="345">
        <f t="shared" si="120"/>
        <v>0</v>
      </c>
      <c r="AV332" s="345" t="str">
        <f t="shared" si="120"/>
        <v>Rooftop Solar PV</v>
      </c>
      <c r="AW332" s="345" t="str">
        <f t="shared" si="120"/>
        <v>Geo Exchange</v>
      </c>
      <c r="AX332" s="345" t="str">
        <f t="shared" si="120"/>
        <v>Solar DHW</v>
      </c>
      <c r="AY332" s="345" t="str">
        <f t="shared" si="120"/>
        <v>On-site Wind</v>
      </c>
      <c r="AZ332" s="345" t="str">
        <f t="shared" si="120"/>
        <v>Coal to Natural Gas Conversion @ Steam Plant</v>
      </c>
      <c r="BA332" s="345" t="str">
        <f t="shared" si="120"/>
        <v>Steam Line Improvements</v>
      </c>
      <c r="BB332" s="345" t="str">
        <f t="shared" si="120"/>
        <v>Waste Reduction</v>
      </c>
      <c r="BC332" s="345" t="str">
        <f t="shared" si="120"/>
        <v>Reduced Automobile Reliance Strategies</v>
      </c>
      <c r="BD332" s="345" t="str">
        <f t="shared" si="120"/>
        <v>Reduced Air Travel</v>
      </c>
      <c r="BE332" s="345" t="str">
        <f t="shared" si="120"/>
        <v>Green IT</v>
      </c>
      <c r="BF332" s="345" t="str">
        <f t="shared" si="120"/>
        <v>Long-term Energy Conservation Measures</v>
      </c>
      <c r="BG332" s="345" t="str">
        <f t="shared" si="120"/>
        <v>Mid-term Energy Conservation Measures</v>
      </c>
      <c r="BH332" s="345" t="str">
        <f t="shared" si="120"/>
        <v>Short-term Energy Conservation Measures</v>
      </c>
      <c r="BI332" s="345" t="str">
        <f t="shared" si="120"/>
        <v>Central Chiller Expansion</v>
      </c>
      <c r="BJ332" s="345" t="str">
        <f t="shared" si="120"/>
        <v>Space Planning &amp; Management</v>
      </c>
      <c r="BK332" s="345" t="str">
        <f t="shared" si="120"/>
        <v>Building Design &amp; Construction Standards</v>
      </c>
      <c r="BL332" s="345" t="str">
        <f t="shared" si="120"/>
        <v>Behavior Change</v>
      </c>
      <c r="BM332" s="345" t="str">
        <f>BM$3</f>
        <v/>
      </c>
    </row>
    <row r="333" spans="27:65">
      <c r="AA333" s="318">
        <v>2005</v>
      </c>
      <c r="AB333" s="318"/>
      <c r="AC333" s="318"/>
      <c r="AD333" s="318"/>
      <c r="AE333" s="318"/>
      <c r="AF333" s="318"/>
      <c r="AG333" s="318"/>
      <c r="AH333" s="318"/>
      <c r="AI333" s="318"/>
      <c r="AJ333" s="318"/>
      <c r="AK333" s="318"/>
      <c r="AL333" s="318"/>
      <c r="AM333" s="318"/>
      <c r="AN333" s="318"/>
      <c r="AO333" s="318"/>
      <c r="AP333" s="318"/>
      <c r="AQ333" s="318"/>
      <c r="AR333" s="318"/>
      <c r="AS333" s="318"/>
      <c r="AT333" s="318"/>
      <c r="AU333" s="318"/>
      <c r="AV333" s="318"/>
      <c r="AW333" s="318"/>
      <c r="AX333" s="318"/>
      <c r="AY333" s="318"/>
      <c r="AZ333" s="318"/>
      <c r="BA333" s="318"/>
      <c r="BB333" s="318"/>
      <c r="BC333" s="318"/>
      <c r="BD333" s="318"/>
      <c r="BE333" s="318"/>
      <c r="BF333" s="318"/>
      <c r="BG333" s="318"/>
      <c r="BH333" s="318"/>
      <c r="BI333" s="318"/>
      <c r="BJ333" s="318"/>
      <c r="BK333" s="318"/>
      <c r="BL333" s="318"/>
      <c r="BM333" s="318"/>
    </row>
    <row r="334" spans="27:65">
      <c r="AA334" s="318">
        <f>AA333+1</f>
        <v>2006</v>
      </c>
      <c r="AB334" s="318"/>
      <c r="AC334" s="318"/>
      <c r="AD334" s="1745" t="s">
        <v>318</v>
      </c>
      <c r="AE334" s="318"/>
      <c r="AF334" s="318"/>
      <c r="AG334" s="318"/>
      <c r="AH334" s="318"/>
      <c r="AI334" s="318"/>
      <c r="AJ334" s="318"/>
      <c r="AK334" s="318"/>
      <c r="AL334" s="318"/>
      <c r="AM334" s="318"/>
      <c r="AN334" s="318"/>
      <c r="AO334" s="318"/>
      <c r="AP334" s="318"/>
      <c r="AQ334" s="318"/>
      <c r="AR334" s="318"/>
      <c r="AS334" s="318"/>
      <c r="AT334" s="318"/>
      <c r="AU334" s="318"/>
      <c r="AV334" s="318"/>
      <c r="AW334" s="318"/>
      <c r="AX334" s="318"/>
      <c r="AY334" s="318"/>
      <c r="AZ334" s="318"/>
      <c r="BA334" s="318"/>
      <c r="BB334" s="318"/>
      <c r="BC334" s="318"/>
      <c r="BD334" s="318"/>
      <c r="BE334" s="318"/>
      <c r="BF334" s="318"/>
      <c r="BG334" s="318"/>
      <c r="BH334" s="318"/>
      <c r="BI334" s="318"/>
      <c r="BJ334" s="318"/>
      <c r="BK334" s="318"/>
      <c r="BL334" s="318"/>
      <c r="BM334" s="318"/>
    </row>
    <row r="335" spans="27:65">
      <c r="AA335" s="318">
        <f t="shared" ref="AA335:AA378" si="121">AA334+1</f>
        <v>2007</v>
      </c>
      <c r="AB335" s="318"/>
      <c r="AC335" s="318"/>
      <c r="AD335" s="1745"/>
      <c r="AE335" s="318"/>
      <c r="AF335" s="318"/>
      <c r="AG335" s="318"/>
      <c r="AH335" s="318"/>
      <c r="AI335" s="318"/>
      <c r="AJ335" s="318"/>
      <c r="AK335" s="318"/>
      <c r="AL335" s="318"/>
      <c r="AM335" s="318"/>
      <c r="AN335" s="318"/>
      <c r="AO335" s="318"/>
      <c r="AP335" s="318"/>
      <c r="AQ335" s="318"/>
      <c r="AR335" s="318"/>
      <c r="AS335" s="318"/>
      <c r="AT335" s="318"/>
      <c r="AU335" s="318"/>
      <c r="AV335" s="318"/>
      <c r="AW335" s="318"/>
      <c r="AX335" s="318"/>
      <c r="AY335" s="318"/>
      <c r="AZ335" s="318"/>
      <c r="BA335" s="318"/>
      <c r="BB335" s="318"/>
      <c r="BC335" s="318"/>
      <c r="BD335" s="318"/>
      <c r="BE335" s="318"/>
      <c r="BF335" s="318"/>
      <c r="BG335" s="318"/>
      <c r="BH335" s="318"/>
      <c r="BI335" s="318"/>
      <c r="BJ335" s="318"/>
      <c r="BK335" s="318"/>
      <c r="BL335" s="318"/>
      <c r="BM335" s="318"/>
    </row>
    <row r="336" spans="27:65">
      <c r="AA336" s="318">
        <f t="shared" si="121"/>
        <v>2008</v>
      </c>
      <c r="AB336" s="338"/>
      <c r="AC336" s="338"/>
      <c r="AD336" s="1745"/>
      <c r="AE336" s="318"/>
      <c r="AF336" s="318"/>
      <c r="AG336" s="318"/>
      <c r="AH336" s="318"/>
      <c r="AI336" s="318"/>
      <c r="AJ336" s="318"/>
      <c r="AK336" s="318"/>
      <c r="AL336" s="318"/>
      <c r="AM336" s="318"/>
      <c r="AN336" s="318"/>
      <c r="AO336" s="318"/>
      <c r="AP336" s="318"/>
      <c r="AQ336" s="318"/>
      <c r="AR336" s="318"/>
      <c r="AS336" s="318"/>
      <c r="AT336" s="318"/>
      <c r="AU336" s="318"/>
      <c r="AV336" s="318"/>
      <c r="AW336" s="318"/>
      <c r="AX336" s="318"/>
      <c r="AY336" s="318"/>
      <c r="AZ336" s="318"/>
      <c r="BA336" s="318"/>
      <c r="BB336" s="318"/>
      <c r="BC336" s="318"/>
      <c r="BD336" s="318"/>
      <c r="BE336" s="318"/>
      <c r="BF336" s="318"/>
      <c r="BG336" s="318"/>
      <c r="BH336" s="318"/>
      <c r="BI336" s="318"/>
      <c r="BJ336" s="318"/>
      <c r="BK336" s="318"/>
      <c r="BL336" s="318"/>
      <c r="BM336" s="318"/>
    </row>
    <row r="337" spans="27:65">
      <c r="AA337" s="318">
        <f t="shared" si="121"/>
        <v>2009</v>
      </c>
      <c r="AB337" s="338"/>
      <c r="AC337" s="338"/>
      <c r="AD337" s="338"/>
      <c r="AE337" s="318"/>
      <c r="AF337" s="318"/>
      <c r="AG337" s="318"/>
      <c r="AH337" s="318"/>
      <c r="AI337" s="318"/>
      <c r="AJ337" s="318"/>
      <c r="AK337" s="318"/>
      <c r="AL337" s="318"/>
      <c r="AM337" s="318"/>
      <c r="AN337" s="318"/>
      <c r="AO337" s="318"/>
      <c r="AP337" s="318"/>
      <c r="AQ337" s="318"/>
      <c r="AR337" s="318"/>
      <c r="AS337" s="318"/>
      <c r="AT337" s="318"/>
      <c r="AU337" s="318"/>
      <c r="AV337" s="318"/>
      <c r="AW337" s="318"/>
      <c r="AX337" s="318"/>
      <c r="AY337" s="318"/>
      <c r="AZ337" s="318"/>
      <c r="BA337" s="318"/>
      <c r="BB337" s="318"/>
      <c r="BC337" s="318"/>
      <c r="BD337" s="318"/>
      <c r="BE337" s="318"/>
      <c r="BF337" s="318"/>
      <c r="BG337" s="318"/>
      <c r="BH337" s="318"/>
      <c r="BI337" s="318"/>
      <c r="BJ337" s="318"/>
      <c r="BK337" s="318"/>
      <c r="BL337" s="318"/>
      <c r="BM337" s="318"/>
    </row>
    <row r="338" spans="27:65">
      <c r="AA338" s="360">
        <f>AA337+1</f>
        <v>2010</v>
      </c>
      <c r="AB338" s="362">
        <f ca="1">'GHG Emissions'!U12-AB291</f>
        <v>45441.480365382726</v>
      </c>
      <c r="AC338" s="362"/>
      <c r="AD338" s="362">
        <f t="shared" ref="AD338:AD378" ca="1" si="122">AB338-SUM(AE338:BM338)</f>
        <v>45441.480365382726</v>
      </c>
      <c r="AE338" s="362"/>
      <c r="AF338" s="362" t="str">
        <f t="shared" ref="AF338:AO347" ca="1" si="123">IFERROR(-HLOOKUP(AF$50,Scope3CommuteTable,$AA338-$AA$291+2,FALSE),"")</f>
        <v/>
      </c>
      <c r="AG338" s="362" t="str">
        <f t="shared" ca="1" si="123"/>
        <v/>
      </c>
      <c r="AH338" s="362" t="str">
        <f t="shared" ca="1" si="123"/>
        <v/>
      </c>
      <c r="AI338" s="362" t="str">
        <f t="shared" ca="1" si="123"/>
        <v/>
      </c>
      <c r="AJ338" s="362" t="str">
        <f t="shared" ca="1" si="123"/>
        <v/>
      </c>
      <c r="AK338" s="362" t="str">
        <f t="shared" ca="1" si="123"/>
        <v/>
      </c>
      <c r="AL338" s="362" t="str">
        <f t="shared" ca="1" si="123"/>
        <v/>
      </c>
      <c r="AM338" s="362" t="str">
        <f t="shared" ca="1" si="123"/>
        <v/>
      </c>
      <c r="AN338" s="362" t="str">
        <f t="shared" ca="1" si="123"/>
        <v/>
      </c>
      <c r="AO338" s="362" t="str">
        <f t="shared" ca="1" si="123"/>
        <v/>
      </c>
      <c r="AP338" s="362" t="str">
        <f t="shared" ref="AP338:AY347" ca="1" si="124">IFERROR(-HLOOKUP(AP$50,Scope3CommuteTable,$AA338-$AA$291+2,FALSE),"")</f>
        <v/>
      </c>
      <c r="AQ338" s="362" t="str">
        <f t="shared" ca="1" si="124"/>
        <v/>
      </c>
      <c r="AR338" s="362" t="str">
        <f t="shared" ca="1" si="124"/>
        <v/>
      </c>
      <c r="AS338" s="362" t="str">
        <f t="shared" ca="1" si="124"/>
        <v/>
      </c>
      <c r="AT338" s="362" t="str">
        <f t="shared" ca="1" si="124"/>
        <v/>
      </c>
      <c r="AU338" s="362" t="str">
        <f t="shared" ca="1" si="124"/>
        <v/>
      </c>
      <c r="AV338" s="362">
        <f t="shared" ca="1" si="124"/>
        <v>0</v>
      </c>
      <c r="AW338" s="362">
        <f t="shared" ca="1" si="124"/>
        <v>0</v>
      </c>
      <c r="AX338" s="362">
        <f t="shared" ca="1" si="124"/>
        <v>0</v>
      </c>
      <c r="AY338" s="362">
        <f t="shared" ca="1" si="124"/>
        <v>0</v>
      </c>
      <c r="AZ338" s="362">
        <f t="shared" ref="AZ338:BL347" ca="1" si="125">IFERROR(-HLOOKUP(AZ$50,Scope3CommuteTable,$AA338-$AA$291+2,FALSE),"")</f>
        <v>0</v>
      </c>
      <c r="BA338" s="362">
        <f t="shared" ca="1" si="125"/>
        <v>0</v>
      </c>
      <c r="BB338" s="362">
        <f t="shared" ca="1" si="125"/>
        <v>0</v>
      </c>
      <c r="BC338" s="362">
        <f t="shared" ca="1" si="125"/>
        <v>0</v>
      </c>
      <c r="BD338" s="362">
        <f t="shared" ca="1" si="125"/>
        <v>0</v>
      </c>
      <c r="BE338" s="362">
        <f t="shared" ca="1" si="125"/>
        <v>0</v>
      </c>
      <c r="BF338" s="362">
        <f t="shared" ca="1" si="125"/>
        <v>0</v>
      </c>
      <c r="BG338" s="362">
        <f t="shared" ca="1" si="125"/>
        <v>0</v>
      </c>
      <c r="BH338" s="362">
        <f t="shared" ca="1" si="125"/>
        <v>0</v>
      </c>
      <c r="BI338" s="362">
        <f t="shared" ca="1" si="125"/>
        <v>0</v>
      </c>
      <c r="BJ338" s="362">
        <f t="shared" ca="1" si="125"/>
        <v>0</v>
      </c>
      <c r="BK338" s="362">
        <f t="shared" ca="1" si="125"/>
        <v>0</v>
      </c>
      <c r="BL338" s="362">
        <f t="shared" ca="1" si="125"/>
        <v>0</v>
      </c>
      <c r="BM338" s="362"/>
    </row>
    <row r="339" spans="27:65">
      <c r="AA339" s="360">
        <f t="shared" si="121"/>
        <v>2011</v>
      </c>
      <c r="AB339" s="362">
        <f ca="1">'GHG Emissions'!U13-AB292</f>
        <v>45712.571212049814</v>
      </c>
      <c r="AC339" s="362"/>
      <c r="AD339" s="362">
        <f t="shared" ca="1" si="122"/>
        <v>45712.571212049814</v>
      </c>
      <c r="AE339" s="362"/>
      <c r="AF339" s="362" t="str">
        <f t="shared" ca="1" si="123"/>
        <v/>
      </c>
      <c r="AG339" s="362" t="str">
        <f t="shared" ca="1" si="123"/>
        <v/>
      </c>
      <c r="AH339" s="362" t="str">
        <f t="shared" ca="1" si="123"/>
        <v/>
      </c>
      <c r="AI339" s="362" t="str">
        <f t="shared" ca="1" si="123"/>
        <v/>
      </c>
      <c r="AJ339" s="362" t="str">
        <f t="shared" ca="1" si="123"/>
        <v/>
      </c>
      <c r="AK339" s="362" t="str">
        <f t="shared" ca="1" si="123"/>
        <v/>
      </c>
      <c r="AL339" s="362" t="str">
        <f t="shared" ca="1" si="123"/>
        <v/>
      </c>
      <c r="AM339" s="362" t="str">
        <f t="shared" ca="1" si="123"/>
        <v/>
      </c>
      <c r="AN339" s="362" t="str">
        <f t="shared" ca="1" si="123"/>
        <v/>
      </c>
      <c r="AO339" s="362" t="str">
        <f t="shared" ca="1" si="123"/>
        <v/>
      </c>
      <c r="AP339" s="362" t="str">
        <f t="shared" ca="1" si="124"/>
        <v/>
      </c>
      <c r="AQ339" s="362" t="str">
        <f t="shared" ca="1" si="124"/>
        <v/>
      </c>
      <c r="AR339" s="362" t="str">
        <f t="shared" ca="1" si="124"/>
        <v/>
      </c>
      <c r="AS339" s="362" t="str">
        <f t="shared" ca="1" si="124"/>
        <v/>
      </c>
      <c r="AT339" s="362" t="str">
        <f t="shared" ca="1" si="124"/>
        <v/>
      </c>
      <c r="AU339" s="362" t="str">
        <f t="shared" ca="1" si="124"/>
        <v/>
      </c>
      <c r="AV339" s="362">
        <f t="shared" ca="1" si="124"/>
        <v>0</v>
      </c>
      <c r="AW339" s="362">
        <f t="shared" ca="1" si="124"/>
        <v>0</v>
      </c>
      <c r="AX339" s="362">
        <f t="shared" ca="1" si="124"/>
        <v>0</v>
      </c>
      <c r="AY339" s="362">
        <f t="shared" ca="1" si="124"/>
        <v>0</v>
      </c>
      <c r="AZ339" s="362">
        <f t="shared" ca="1" si="125"/>
        <v>0</v>
      </c>
      <c r="BA339" s="362">
        <f t="shared" ca="1" si="125"/>
        <v>0</v>
      </c>
      <c r="BB339" s="362">
        <f t="shared" ca="1" si="125"/>
        <v>0</v>
      </c>
      <c r="BC339" s="362">
        <f t="shared" ca="1" si="125"/>
        <v>0</v>
      </c>
      <c r="BD339" s="362">
        <f t="shared" ca="1" si="125"/>
        <v>0</v>
      </c>
      <c r="BE339" s="362">
        <f t="shared" ca="1" si="125"/>
        <v>0</v>
      </c>
      <c r="BF339" s="362">
        <f t="shared" ca="1" si="125"/>
        <v>0</v>
      </c>
      <c r="BG339" s="362">
        <f t="shared" ca="1" si="125"/>
        <v>0</v>
      </c>
      <c r="BH339" s="362">
        <f t="shared" ca="1" si="125"/>
        <v>0</v>
      </c>
      <c r="BI339" s="362">
        <f t="shared" ca="1" si="125"/>
        <v>0</v>
      </c>
      <c r="BJ339" s="362">
        <f t="shared" ca="1" si="125"/>
        <v>0</v>
      </c>
      <c r="BK339" s="362">
        <f t="shared" ca="1" si="125"/>
        <v>0</v>
      </c>
      <c r="BL339" s="362">
        <f t="shared" ca="1" si="125"/>
        <v>0</v>
      </c>
      <c r="BM339" s="362"/>
    </row>
    <row r="340" spans="27:65">
      <c r="AA340" s="360">
        <f t="shared" si="121"/>
        <v>2012</v>
      </c>
      <c r="AB340" s="362">
        <f ca="1">'GHG Emissions'!U14-AB293</f>
        <v>46192.421723495987</v>
      </c>
      <c r="AC340" s="362"/>
      <c r="AD340" s="362">
        <f t="shared" ca="1" si="122"/>
        <v>46029.605289521925</v>
      </c>
      <c r="AE340" s="362"/>
      <c r="AF340" s="362" t="str">
        <f t="shared" ca="1" si="123"/>
        <v/>
      </c>
      <c r="AG340" s="362" t="str">
        <f t="shared" ca="1" si="123"/>
        <v/>
      </c>
      <c r="AH340" s="362" t="str">
        <f t="shared" ca="1" si="123"/>
        <v/>
      </c>
      <c r="AI340" s="362" t="str">
        <f t="shared" ca="1" si="123"/>
        <v/>
      </c>
      <c r="AJ340" s="362" t="str">
        <f t="shared" ca="1" si="123"/>
        <v/>
      </c>
      <c r="AK340" s="362" t="str">
        <f t="shared" ca="1" si="123"/>
        <v/>
      </c>
      <c r="AL340" s="362" t="str">
        <f t="shared" ca="1" si="123"/>
        <v/>
      </c>
      <c r="AM340" s="362" t="str">
        <f t="shared" ca="1" si="123"/>
        <v/>
      </c>
      <c r="AN340" s="362" t="str">
        <f t="shared" ca="1" si="123"/>
        <v/>
      </c>
      <c r="AO340" s="362" t="str">
        <f t="shared" ca="1" si="123"/>
        <v/>
      </c>
      <c r="AP340" s="362" t="str">
        <f t="shared" ca="1" si="124"/>
        <v/>
      </c>
      <c r="AQ340" s="362" t="str">
        <f t="shared" ca="1" si="124"/>
        <v/>
      </c>
      <c r="AR340" s="362" t="str">
        <f t="shared" ca="1" si="124"/>
        <v/>
      </c>
      <c r="AS340" s="362" t="str">
        <f t="shared" ca="1" si="124"/>
        <v/>
      </c>
      <c r="AT340" s="362" t="str">
        <f t="shared" ca="1" si="124"/>
        <v/>
      </c>
      <c r="AU340" s="362" t="str">
        <f t="shared" ca="1" si="124"/>
        <v/>
      </c>
      <c r="AV340" s="362">
        <f t="shared" ca="1" si="124"/>
        <v>0</v>
      </c>
      <c r="AW340" s="362">
        <f t="shared" ca="1" si="124"/>
        <v>0</v>
      </c>
      <c r="AX340" s="362">
        <f t="shared" ca="1" si="124"/>
        <v>0</v>
      </c>
      <c r="AY340" s="362">
        <f t="shared" ca="1" si="124"/>
        <v>0</v>
      </c>
      <c r="AZ340" s="362">
        <f t="shared" ca="1" si="125"/>
        <v>0</v>
      </c>
      <c r="BA340" s="362">
        <f t="shared" ca="1" si="125"/>
        <v>0</v>
      </c>
      <c r="BB340" s="362">
        <f t="shared" ca="1" si="125"/>
        <v>0</v>
      </c>
      <c r="BC340" s="362">
        <f t="shared" ca="1" si="125"/>
        <v>162.81643397406458</v>
      </c>
      <c r="BD340" s="362">
        <f t="shared" ca="1" si="125"/>
        <v>0</v>
      </c>
      <c r="BE340" s="362">
        <f t="shared" ca="1" si="125"/>
        <v>0</v>
      </c>
      <c r="BF340" s="362">
        <f t="shared" ca="1" si="125"/>
        <v>0</v>
      </c>
      <c r="BG340" s="362">
        <f t="shared" ca="1" si="125"/>
        <v>0</v>
      </c>
      <c r="BH340" s="362">
        <f t="shared" ca="1" si="125"/>
        <v>0</v>
      </c>
      <c r="BI340" s="362">
        <f t="shared" ca="1" si="125"/>
        <v>0</v>
      </c>
      <c r="BJ340" s="362">
        <f t="shared" ca="1" si="125"/>
        <v>0</v>
      </c>
      <c r="BK340" s="362">
        <f t="shared" ca="1" si="125"/>
        <v>0</v>
      </c>
      <c r="BL340" s="362">
        <f t="shared" ca="1" si="125"/>
        <v>0</v>
      </c>
      <c r="BM340" s="362"/>
    </row>
    <row r="341" spans="27:65">
      <c r="AA341" s="360">
        <f t="shared" si="121"/>
        <v>2013</v>
      </c>
      <c r="AB341" s="362">
        <f ca="1">'GHG Emissions'!U15-AB294</f>
        <v>46491.853614800661</v>
      </c>
      <c r="AC341" s="362"/>
      <c r="AD341" s="362">
        <f t="shared" ca="1" si="122"/>
        <v>46165.661177061251</v>
      </c>
      <c r="AE341" s="362"/>
      <c r="AF341" s="362" t="str">
        <f t="shared" ca="1" si="123"/>
        <v/>
      </c>
      <c r="AG341" s="362" t="str">
        <f t="shared" ca="1" si="123"/>
        <v/>
      </c>
      <c r="AH341" s="362" t="str">
        <f t="shared" ca="1" si="123"/>
        <v/>
      </c>
      <c r="AI341" s="362" t="str">
        <f t="shared" ca="1" si="123"/>
        <v/>
      </c>
      <c r="AJ341" s="362" t="str">
        <f t="shared" ca="1" si="123"/>
        <v/>
      </c>
      <c r="AK341" s="362" t="str">
        <f t="shared" ca="1" si="123"/>
        <v/>
      </c>
      <c r="AL341" s="362" t="str">
        <f t="shared" ca="1" si="123"/>
        <v/>
      </c>
      <c r="AM341" s="362" t="str">
        <f t="shared" ca="1" si="123"/>
        <v/>
      </c>
      <c r="AN341" s="362" t="str">
        <f t="shared" ca="1" si="123"/>
        <v/>
      </c>
      <c r="AO341" s="362" t="str">
        <f t="shared" ca="1" si="123"/>
        <v/>
      </c>
      <c r="AP341" s="362" t="str">
        <f t="shared" ca="1" si="124"/>
        <v/>
      </c>
      <c r="AQ341" s="362" t="str">
        <f t="shared" ca="1" si="124"/>
        <v/>
      </c>
      <c r="AR341" s="362" t="str">
        <f t="shared" ca="1" si="124"/>
        <v/>
      </c>
      <c r="AS341" s="362" t="str">
        <f t="shared" ca="1" si="124"/>
        <v/>
      </c>
      <c r="AT341" s="362" t="str">
        <f t="shared" ca="1" si="124"/>
        <v/>
      </c>
      <c r="AU341" s="362" t="str">
        <f t="shared" ca="1" si="124"/>
        <v/>
      </c>
      <c r="AV341" s="362">
        <f t="shared" ca="1" si="124"/>
        <v>0</v>
      </c>
      <c r="AW341" s="362">
        <f t="shared" ca="1" si="124"/>
        <v>0</v>
      </c>
      <c r="AX341" s="362">
        <f t="shared" ca="1" si="124"/>
        <v>0</v>
      </c>
      <c r="AY341" s="362">
        <f t="shared" ca="1" si="124"/>
        <v>0</v>
      </c>
      <c r="AZ341" s="362">
        <f t="shared" ca="1" si="125"/>
        <v>0</v>
      </c>
      <c r="BA341" s="362">
        <f t="shared" ca="1" si="125"/>
        <v>0</v>
      </c>
      <c r="BB341" s="362">
        <f t="shared" ca="1" si="125"/>
        <v>0</v>
      </c>
      <c r="BC341" s="362">
        <f t="shared" ca="1" si="125"/>
        <v>326.1924377394069</v>
      </c>
      <c r="BD341" s="362">
        <f t="shared" ca="1" si="125"/>
        <v>0</v>
      </c>
      <c r="BE341" s="362">
        <f t="shared" ca="1" si="125"/>
        <v>0</v>
      </c>
      <c r="BF341" s="362">
        <f t="shared" ca="1" si="125"/>
        <v>0</v>
      </c>
      <c r="BG341" s="362">
        <f t="shared" ca="1" si="125"/>
        <v>0</v>
      </c>
      <c r="BH341" s="362">
        <f t="shared" ca="1" si="125"/>
        <v>0</v>
      </c>
      <c r="BI341" s="362">
        <f t="shared" ca="1" si="125"/>
        <v>0</v>
      </c>
      <c r="BJ341" s="362">
        <f t="shared" ca="1" si="125"/>
        <v>0</v>
      </c>
      <c r="BK341" s="362">
        <f t="shared" ca="1" si="125"/>
        <v>0</v>
      </c>
      <c r="BL341" s="362">
        <f t="shared" ca="1" si="125"/>
        <v>0</v>
      </c>
      <c r="BM341" s="362"/>
    </row>
    <row r="342" spans="27:65">
      <c r="AA342" s="360">
        <f t="shared" si="121"/>
        <v>2014</v>
      </c>
      <c r="AB342" s="362">
        <f ca="1">'GHG Emissions'!U16-AB295</f>
        <v>46720.489110203751</v>
      </c>
      <c r="AC342" s="362"/>
      <c r="AD342" s="362">
        <f t="shared" ca="1" si="122"/>
        <v>46230.491546234407</v>
      </c>
      <c r="AE342" s="362"/>
      <c r="AF342" s="362" t="str">
        <f t="shared" ca="1" si="123"/>
        <v/>
      </c>
      <c r="AG342" s="362" t="str">
        <f t="shared" ca="1" si="123"/>
        <v/>
      </c>
      <c r="AH342" s="362" t="str">
        <f t="shared" ca="1" si="123"/>
        <v/>
      </c>
      <c r="AI342" s="362" t="str">
        <f t="shared" ca="1" si="123"/>
        <v/>
      </c>
      <c r="AJ342" s="362" t="str">
        <f t="shared" ca="1" si="123"/>
        <v/>
      </c>
      <c r="AK342" s="362" t="str">
        <f t="shared" ca="1" si="123"/>
        <v/>
      </c>
      <c r="AL342" s="362" t="str">
        <f t="shared" ca="1" si="123"/>
        <v/>
      </c>
      <c r="AM342" s="362" t="str">
        <f t="shared" ca="1" si="123"/>
        <v/>
      </c>
      <c r="AN342" s="362" t="str">
        <f t="shared" ca="1" si="123"/>
        <v/>
      </c>
      <c r="AO342" s="362" t="str">
        <f t="shared" ca="1" si="123"/>
        <v/>
      </c>
      <c r="AP342" s="362" t="str">
        <f t="shared" ca="1" si="124"/>
        <v/>
      </c>
      <c r="AQ342" s="362" t="str">
        <f t="shared" ca="1" si="124"/>
        <v/>
      </c>
      <c r="AR342" s="362" t="str">
        <f t="shared" ca="1" si="124"/>
        <v/>
      </c>
      <c r="AS342" s="362" t="str">
        <f t="shared" ca="1" si="124"/>
        <v/>
      </c>
      <c r="AT342" s="362" t="str">
        <f t="shared" ca="1" si="124"/>
        <v/>
      </c>
      <c r="AU342" s="362" t="str">
        <f t="shared" ca="1" si="124"/>
        <v/>
      </c>
      <c r="AV342" s="362">
        <f t="shared" ca="1" si="124"/>
        <v>0</v>
      </c>
      <c r="AW342" s="362">
        <f t="shared" ca="1" si="124"/>
        <v>0</v>
      </c>
      <c r="AX342" s="362">
        <f t="shared" ca="1" si="124"/>
        <v>0</v>
      </c>
      <c r="AY342" s="362">
        <f t="shared" ca="1" si="124"/>
        <v>0</v>
      </c>
      <c r="AZ342" s="362">
        <f t="shared" ca="1" si="125"/>
        <v>0</v>
      </c>
      <c r="BA342" s="362">
        <f t="shared" ca="1" si="125"/>
        <v>0</v>
      </c>
      <c r="BB342" s="362">
        <f t="shared" ca="1" si="125"/>
        <v>0</v>
      </c>
      <c r="BC342" s="362">
        <f t="shared" ca="1" si="125"/>
        <v>489.99756396934276</v>
      </c>
      <c r="BD342" s="362">
        <f t="shared" ca="1" si="125"/>
        <v>0</v>
      </c>
      <c r="BE342" s="362">
        <f t="shared" ca="1" si="125"/>
        <v>0</v>
      </c>
      <c r="BF342" s="362">
        <f t="shared" ca="1" si="125"/>
        <v>0</v>
      </c>
      <c r="BG342" s="362">
        <f t="shared" ca="1" si="125"/>
        <v>0</v>
      </c>
      <c r="BH342" s="362">
        <f t="shared" ca="1" si="125"/>
        <v>0</v>
      </c>
      <c r="BI342" s="362">
        <f t="shared" ca="1" si="125"/>
        <v>0</v>
      </c>
      <c r="BJ342" s="362">
        <f t="shared" ca="1" si="125"/>
        <v>0</v>
      </c>
      <c r="BK342" s="362">
        <f t="shared" ca="1" si="125"/>
        <v>0</v>
      </c>
      <c r="BL342" s="362">
        <f t="shared" ca="1" si="125"/>
        <v>0</v>
      </c>
      <c r="BM342" s="362"/>
    </row>
    <row r="343" spans="27:65">
      <c r="AA343" s="360">
        <f t="shared" si="121"/>
        <v>2015</v>
      </c>
      <c r="AB343" s="362">
        <f ca="1">'GHG Emissions'!U17-AB296</f>
        <v>47112.256983708503</v>
      </c>
      <c r="AC343" s="362"/>
      <c r="AD343" s="362">
        <f t="shared" ca="1" si="122"/>
        <v>46458.092695257648</v>
      </c>
      <c r="AE343" s="362"/>
      <c r="AF343" s="362" t="str">
        <f t="shared" ca="1" si="123"/>
        <v/>
      </c>
      <c r="AG343" s="362" t="str">
        <f t="shared" ca="1" si="123"/>
        <v/>
      </c>
      <c r="AH343" s="362" t="str">
        <f t="shared" ca="1" si="123"/>
        <v/>
      </c>
      <c r="AI343" s="362" t="str">
        <f t="shared" ca="1" si="123"/>
        <v/>
      </c>
      <c r="AJ343" s="362" t="str">
        <f t="shared" ca="1" si="123"/>
        <v/>
      </c>
      <c r="AK343" s="362" t="str">
        <f t="shared" ca="1" si="123"/>
        <v/>
      </c>
      <c r="AL343" s="362" t="str">
        <f t="shared" ca="1" si="123"/>
        <v/>
      </c>
      <c r="AM343" s="362" t="str">
        <f t="shared" ca="1" si="123"/>
        <v/>
      </c>
      <c r="AN343" s="362" t="str">
        <f t="shared" ca="1" si="123"/>
        <v/>
      </c>
      <c r="AO343" s="362" t="str">
        <f t="shared" ca="1" si="123"/>
        <v/>
      </c>
      <c r="AP343" s="362" t="str">
        <f t="shared" ca="1" si="124"/>
        <v/>
      </c>
      <c r="AQ343" s="362" t="str">
        <f t="shared" ca="1" si="124"/>
        <v/>
      </c>
      <c r="AR343" s="362" t="str">
        <f t="shared" ca="1" si="124"/>
        <v/>
      </c>
      <c r="AS343" s="362" t="str">
        <f t="shared" ca="1" si="124"/>
        <v/>
      </c>
      <c r="AT343" s="362" t="str">
        <f t="shared" ca="1" si="124"/>
        <v/>
      </c>
      <c r="AU343" s="362" t="str">
        <f t="shared" ca="1" si="124"/>
        <v/>
      </c>
      <c r="AV343" s="362">
        <f t="shared" ca="1" si="124"/>
        <v>0</v>
      </c>
      <c r="AW343" s="362">
        <f t="shared" ca="1" si="124"/>
        <v>0</v>
      </c>
      <c r="AX343" s="362">
        <f t="shared" ca="1" si="124"/>
        <v>0</v>
      </c>
      <c r="AY343" s="362">
        <f t="shared" ca="1" si="124"/>
        <v>0</v>
      </c>
      <c r="AZ343" s="362">
        <f t="shared" ca="1" si="125"/>
        <v>0</v>
      </c>
      <c r="BA343" s="362">
        <f t="shared" ca="1" si="125"/>
        <v>0</v>
      </c>
      <c r="BB343" s="362">
        <f t="shared" ca="1" si="125"/>
        <v>0</v>
      </c>
      <c r="BC343" s="362">
        <f t="shared" ca="1" si="125"/>
        <v>654.16428845085125</v>
      </c>
      <c r="BD343" s="362">
        <f t="shared" ca="1" si="125"/>
        <v>0</v>
      </c>
      <c r="BE343" s="362">
        <f t="shared" ca="1" si="125"/>
        <v>0</v>
      </c>
      <c r="BF343" s="362">
        <f t="shared" ca="1" si="125"/>
        <v>0</v>
      </c>
      <c r="BG343" s="362">
        <f t="shared" ca="1" si="125"/>
        <v>0</v>
      </c>
      <c r="BH343" s="362">
        <f t="shared" ca="1" si="125"/>
        <v>0</v>
      </c>
      <c r="BI343" s="362">
        <f t="shared" ca="1" si="125"/>
        <v>0</v>
      </c>
      <c r="BJ343" s="362">
        <f t="shared" ca="1" si="125"/>
        <v>0</v>
      </c>
      <c r="BK343" s="362">
        <f t="shared" ca="1" si="125"/>
        <v>0</v>
      </c>
      <c r="BL343" s="362">
        <f t="shared" ca="1" si="125"/>
        <v>0</v>
      </c>
      <c r="BM343" s="362"/>
    </row>
    <row r="344" spans="27:65">
      <c r="AA344" s="360">
        <f t="shared" si="121"/>
        <v>2016</v>
      </c>
      <c r="AB344" s="362">
        <f ca="1">'GHG Emissions'!U18-AB297</f>
        <v>47331.405883711937</v>
      </c>
      <c r="AC344" s="362"/>
      <c r="AD344" s="362">
        <f t="shared" ca="1" si="122"/>
        <v>46512.756424039675</v>
      </c>
      <c r="AE344" s="362"/>
      <c r="AF344" s="362" t="str">
        <f t="shared" ca="1" si="123"/>
        <v/>
      </c>
      <c r="AG344" s="362" t="str">
        <f t="shared" ca="1" si="123"/>
        <v/>
      </c>
      <c r="AH344" s="362" t="str">
        <f t="shared" ca="1" si="123"/>
        <v/>
      </c>
      <c r="AI344" s="362" t="str">
        <f t="shared" ca="1" si="123"/>
        <v/>
      </c>
      <c r="AJ344" s="362" t="str">
        <f t="shared" ca="1" si="123"/>
        <v/>
      </c>
      <c r="AK344" s="362" t="str">
        <f t="shared" ca="1" si="123"/>
        <v/>
      </c>
      <c r="AL344" s="362" t="str">
        <f t="shared" ca="1" si="123"/>
        <v/>
      </c>
      <c r="AM344" s="362" t="str">
        <f t="shared" ca="1" si="123"/>
        <v/>
      </c>
      <c r="AN344" s="362" t="str">
        <f t="shared" ca="1" si="123"/>
        <v/>
      </c>
      <c r="AO344" s="362" t="str">
        <f t="shared" ca="1" si="123"/>
        <v/>
      </c>
      <c r="AP344" s="362" t="str">
        <f t="shared" ca="1" si="124"/>
        <v/>
      </c>
      <c r="AQ344" s="362" t="str">
        <f t="shared" ca="1" si="124"/>
        <v/>
      </c>
      <c r="AR344" s="362" t="str">
        <f t="shared" ca="1" si="124"/>
        <v/>
      </c>
      <c r="AS344" s="362" t="str">
        <f t="shared" ca="1" si="124"/>
        <v/>
      </c>
      <c r="AT344" s="362" t="str">
        <f t="shared" ca="1" si="124"/>
        <v/>
      </c>
      <c r="AU344" s="362" t="str">
        <f t="shared" ca="1" si="124"/>
        <v/>
      </c>
      <c r="AV344" s="362">
        <f t="shared" ca="1" si="124"/>
        <v>0</v>
      </c>
      <c r="AW344" s="362">
        <f t="shared" ca="1" si="124"/>
        <v>0</v>
      </c>
      <c r="AX344" s="362">
        <f t="shared" ca="1" si="124"/>
        <v>0</v>
      </c>
      <c r="AY344" s="362">
        <f t="shared" ca="1" si="124"/>
        <v>0</v>
      </c>
      <c r="AZ344" s="362">
        <f t="shared" ca="1" si="125"/>
        <v>0</v>
      </c>
      <c r="BA344" s="362">
        <f t="shared" ca="1" si="125"/>
        <v>0</v>
      </c>
      <c r="BB344" s="362">
        <f t="shared" ca="1" si="125"/>
        <v>0</v>
      </c>
      <c r="BC344" s="362">
        <f t="shared" ca="1" si="125"/>
        <v>818.64945967225867</v>
      </c>
      <c r="BD344" s="362">
        <f t="shared" ca="1" si="125"/>
        <v>0</v>
      </c>
      <c r="BE344" s="362">
        <f t="shared" ca="1" si="125"/>
        <v>0</v>
      </c>
      <c r="BF344" s="362">
        <f t="shared" ca="1" si="125"/>
        <v>0</v>
      </c>
      <c r="BG344" s="362">
        <f t="shared" ca="1" si="125"/>
        <v>0</v>
      </c>
      <c r="BH344" s="362">
        <f t="shared" ca="1" si="125"/>
        <v>0</v>
      </c>
      <c r="BI344" s="362">
        <f t="shared" ca="1" si="125"/>
        <v>0</v>
      </c>
      <c r="BJ344" s="362">
        <f t="shared" ca="1" si="125"/>
        <v>0</v>
      </c>
      <c r="BK344" s="362">
        <f t="shared" ca="1" si="125"/>
        <v>0</v>
      </c>
      <c r="BL344" s="362">
        <f t="shared" ca="1" si="125"/>
        <v>0</v>
      </c>
      <c r="BM344" s="362"/>
    </row>
    <row r="345" spans="27:65">
      <c r="AA345" s="360">
        <f t="shared" si="121"/>
        <v>2017</v>
      </c>
      <c r="AB345" s="362">
        <f ca="1">'GHG Emissions'!U19-AB298</f>
        <v>47547.317049902718</v>
      </c>
      <c r="AC345" s="362"/>
      <c r="AD345" s="362">
        <f t="shared" ca="1" si="122"/>
        <v>46563.894623993889</v>
      </c>
      <c r="AE345" s="362"/>
      <c r="AF345" s="362" t="str">
        <f t="shared" ca="1" si="123"/>
        <v/>
      </c>
      <c r="AG345" s="362" t="str">
        <f t="shared" ca="1" si="123"/>
        <v/>
      </c>
      <c r="AH345" s="362" t="str">
        <f t="shared" ca="1" si="123"/>
        <v/>
      </c>
      <c r="AI345" s="362" t="str">
        <f t="shared" ca="1" si="123"/>
        <v/>
      </c>
      <c r="AJ345" s="362" t="str">
        <f t="shared" ca="1" si="123"/>
        <v/>
      </c>
      <c r="AK345" s="362" t="str">
        <f t="shared" ca="1" si="123"/>
        <v/>
      </c>
      <c r="AL345" s="362" t="str">
        <f t="shared" ca="1" si="123"/>
        <v/>
      </c>
      <c r="AM345" s="362" t="str">
        <f t="shared" ca="1" si="123"/>
        <v/>
      </c>
      <c r="AN345" s="362" t="str">
        <f t="shared" ca="1" si="123"/>
        <v/>
      </c>
      <c r="AO345" s="362" t="str">
        <f t="shared" ca="1" si="123"/>
        <v/>
      </c>
      <c r="AP345" s="362" t="str">
        <f t="shared" ca="1" si="124"/>
        <v/>
      </c>
      <c r="AQ345" s="362" t="str">
        <f t="shared" ca="1" si="124"/>
        <v/>
      </c>
      <c r="AR345" s="362" t="str">
        <f t="shared" ca="1" si="124"/>
        <v/>
      </c>
      <c r="AS345" s="362" t="str">
        <f t="shared" ca="1" si="124"/>
        <v/>
      </c>
      <c r="AT345" s="362" t="str">
        <f t="shared" ca="1" si="124"/>
        <v/>
      </c>
      <c r="AU345" s="362" t="str">
        <f t="shared" ca="1" si="124"/>
        <v/>
      </c>
      <c r="AV345" s="362">
        <f t="shared" ca="1" si="124"/>
        <v>0</v>
      </c>
      <c r="AW345" s="362">
        <f t="shared" ca="1" si="124"/>
        <v>0</v>
      </c>
      <c r="AX345" s="362">
        <f t="shared" ca="1" si="124"/>
        <v>0</v>
      </c>
      <c r="AY345" s="362">
        <f t="shared" ca="1" si="124"/>
        <v>0</v>
      </c>
      <c r="AZ345" s="362">
        <f t="shared" ca="1" si="125"/>
        <v>0</v>
      </c>
      <c r="BA345" s="362">
        <f t="shared" ca="1" si="125"/>
        <v>0</v>
      </c>
      <c r="BB345" s="362">
        <f t="shared" ca="1" si="125"/>
        <v>0</v>
      </c>
      <c r="BC345" s="362">
        <f t="shared" ca="1" si="125"/>
        <v>983.42242590882825</v>
      </c>
      <c r="BD345" s="362">
        <f t="shared" ca="1" si="125"/>
        <v>0</v>
      </c>
      <c r="BE345" s="362">
        <f t="shared" ca="1" si="125"/>
        <v>0</v>
      </c>
      <c r="BF345" s="362">
        <f t="shared" ca="1" si="125"/>
        <v>0</v>
      </c>
      <c r="BG345" s="362">
        <f t="shared" ca="1" si="125"/>
        <v>0</v>
      </c>
      <c r="BH345" s="362">
        <f t="shared" ca="1" si="125"/>
        <v>0</v>
      </c>
      <c r="BI345" s="362">
        <f t="shared" ca="1" si="125"/>
        <v>0</v>
      </c>
      <c r="BJ345" s="362">
        <f t="shared" ca="1" si="125"/>
        <v>0</v>
      </c>
      <c r="BK345" s="362">
        <f t="shared" ca="1" si="125"/>
        <v>0</v>
      </c>
      <c r="BL345" s="362">
        <f t="shared" ca="1" si="125"/>
        <v>0</v>
      </c>
      <c r="BM345" s="362"/>
    </row>
    <row r="346" spans="27:65">
      <c r="AA346" s="360">
        <f t="shared" si="121"/>
        <v>2018</v>
      </c>
      <c r="AB346" s="362">
        <f ca="1">'GHG Emissions'!U20-AB299</f>
        <v>47760.582182786813</v>
      </c>
      <c r="AC346" s="362"/>
      <c r="AD346" s="362">
        <f t="shared" ca="1" si="122"/>
        <v>46612.122221914789</v>
      </c>
      <c r="AE346" s="362"/>
      <c r="AF346" s="362" t="str">
        <f t="shared" ca="1" si="123"/>
        <v/>
      </c>
      <c r="AG346" s="362" t="str">
        <f t="shared" ca="1" si="123"/>
        <v/>
      </c>
      <c r="AH346" s="362" t="str">
        <f t="shared" ca="1" si="123"/>
        <v/>
      </c>
      <c r="AI346" s="362" t="str">
        <f t="shared" ca="1" si="123"/>
        <v/>
      </c>
      <c r="AJ346" s="362" t="str">
        <f t="shared" ca="1" si="123"/>
        <v/>
      </c>
      <c r="AK346" s="362" t="str">
        <f t="shared" ca="1" si="123"/>
        <v/>
      </c>
      <c r="AL346" s="362" t="str">
        <f t="shared" ca="1" si="123"/>
        <v/>
      </c>
      <c r="AM346" s="362" t="str">
        <f t="shared" ca="1" si="123"/>
        <v/>
      </c>
      <c r="AN346" s="362" t="str">
        <f t="shared" ca="1" si="123"/>
        <v/>
      </c>
      <c r="AO346" s="362" t="str">
        <f t="shared" ca="1" si="123"/>
        <v/>
      </c>
      <c r="AP346" s="362" t="str">
        <f t="shared" ca="1" si="124"/>
        <v/>
      </c>
      <c r="AQ346" s="362" t="str">
        <f t="shared" ca="1" si="124"/>
        <v/>
      </c>
      <c r="AR346" s="362" t="str">
        <f t="shared" ca="1" si="124"/>
        <v/>
      </c>
      <c r="AS346" s="362" t="str">
        <f t="shared" ca="1" si="124"/>
        <v/>
      </c>
      <c r="AT346" s="362" t="str">
        <f t="shared" ca="1" si="124"/>
        <v/>
      </c>
      <c r="AU346" s="362" t="str">
        <f t="shared" ca="1" si="124"/>
        <v/>
      </c>
      <c r="AV346" s="362">
        <f t="shared" ca="1" si="124"/>
        <v>0</v>
      </c>
      <c r="AW346" s="362">
        <f t="shared" ca="1" si="124"/>
        <v>0</v>
      </c>
      <c r="AX346" s="362">
        <f t="shared" ca="1" si="124"/>
        <v>0</v>
      </c>
      <c r="AY346" s="362">
        <f t="shared" ca="1" si="124"/>
        <v>0</v>
      </c>
      <c r="AZ346" s="362">
        <f t="shared" ca="1" si="125"/>
        <v>0</v>
      </c>
      <c r="BA346" s="362">
        <f t="shared" ca="1" si="125"/>
        <v>0</v>
      </c>
      <c r="BB346" s="362">
        <f t="shared" ca="1" si="125"/>
        <v>0</v>
      </c>
      <c r="BC346" s="362">
        <f t="shared" ca="1" si="125"/>
        <v>1148.4599608720218</v>
      </c>
      <c r="BD346" s="362">
        <f t="shared" ca="1" si="125"/>
        <v>0</v>
      </c>
      <c r="BE346" s="362">
        <f t="shared" ca="1" si="125"/>
        <v>0</v>
      </c>
      <c r="BF346" s="362">
        <f t="shared" ca="1" si="125"/>
        <v>0</v>
      </c>
      <c r="BG346" s="362">
        <f t="shared" ca="1" si="125"/>
        <v>0</v>
      </c>
      <c r="BH346" s="362">
        <f t="shared" ca="1" si="125"/>
        <v>0</v>
      </c>
      <c r="BI346" s="362">
        <f t="shared" ca="1" si="125"/>
        <v>0</v>
      </c>
      <c r="BJ346" s="362">
        <f t="shared" ca="1" si="125"/>
        <v>0</v>
      </c>
      <c r="BK346" s="362">
        <f t="shared" ca="1" si="125"/>
        <v>0</v>
      </c>
      <c r="BL346" s="362">
        <f t="shared" ca="1" si="125"/>
        <v>0</v>
      </c>
      <c r="BM346" s="362"/>
    </row>
    <row r="347" spans="27:65">
      <c r="AA347" s="360">
        <f t="shared" si="121"/>
        <v>2019</v>
      </c>
      <c r="AB347" s="362">
        <f ca="1">'GHG Emissions'!U21-AB300</f>
        <v>47971.632095901019</v>
      </c>
      <c r="AC347" s="362"/>
      <c r="AD347" s="362">
        <f t="shared" ca="1" si="122"/>
        <v>46657.888419552095</v>
      </c>
      <c r="AE347" s="362"/>
      <c r="AF347" s="362" t="str">
        <f t="shared" ca="1" si="123"/>
        <v/>
      </c>
      <c r="AG347" s="362" t="str">
        <f t="shared" ca="1" si="123"/>
        <v/>
      </c>
      <c r="AH347" s="362" t="str">
        <f t="shared" ca="1" si="123"/>
        <v/>
      </c>
      <c r="AI347" s="362" t="str">
        <f t="shared" ca="1" si="123"/>
        <v/>
      </c>
      <c r="AJ347" s="362" t="str">
        <f t="shared" ca="1" si="123"/>
        <v/>
      </c>
      <c r="AK347" s="362" t="str">
        <f t="shared" ca="1" si="123"/>
        <v/>
      </c>
      <c r="AL347" s="362" t="str">
        <f t="shared" ca="1" si="123"/>
        <v/>
      </c>
      <c r="AM347" s="362" t="str">
        <f t="shared" ca="1" si="123"/>
        <v/>
      </c>
      <c r="AN347" s="362" t="str">
        <f t="shared" ca="1" si="123"/>
        <v/>
      </c>
      <c r="AO347" s="362" t="str">
        <f t="shared" ca="1" si="123"/>
        <v/>
      </c>
      <c r="AP347" s="362" t="str">
        <f t="shared" ca="1" si="124"/>
        <v/>
      </c>
      <c r="AQ347" s="362" t="str">
        <f t="shared" ca="1" si="124"/>
        <v/>
      </c>
      <c r="AR347" s="362" t="str">
        <f t="shared" ca="1" si="124"/>
        <v/>
      </c>
      <c r="AS347" s="362" t="str">
        <f t="shared" ca="1" si="124"/>
        <v/>
      </c>
      <c r="AT347" s="362" t="str">
        <f t="shared" ca="1" si="124"/>
        <v/>
      </c>
      <c r="AU347" s="362" t="str">
        <f t="shared" ca="1" si="124"/>
        <v/>
      </c>
      <c r="AV347" s="362">
        <f t="shared" ca="1" si="124"/>
        <v>0</v>
      </c>
      <c r="AW347" s="362">
        <f t="shared" ca="1" si="124"/>
        <v>0</v>
      </c>
      <c r="AX347" s="362">
        <f t="shared" ca="1" si="124"/>
        <v>0</v>
      </c>
      <c r="AY347" s="362">
        <f t="shared" ca="1" si="124"/>
        <v>0</v>
      </c>
      <c r="AZ347" s="362">
        <f t="shared" ca="1" si="125"/>
        <v>0</v>
      </c>
      <c r="BA347" s="362">
        <f t="shared" ca="1" si="125"/>
        <v>0</v>
      </c>
      <c r="BB347" s="362">
        <f t="shared" ca="1" si="125"/>
        <v>0</v>
      </c>
      <c r="BC347" s="362">
        <f t="shared" ca="1" si="125"/>
        <v>1313.7436763489204</v>
      </c>
      <c r="BD347" s="362">
        <f t="shared" ca="1" si="125"/>
        <v>0</v>
      </c>
      <c r="BE347" s="362">
        <f t="shared" ca="1" si="125"/>
        <v>0</v>
      </c>
      <c r="BF347" s="362">
        <f t="shared" ca="1" si="125"/>
        <v>0</v>
      </c>
      <c r="BG347" s="362">
        <f t="shared" ca="1" si="125"/>
        <v>0</v>
      </c>
      <c r="BH347" s="362">
        <f t="shared" ca="1" si="125"/>
        <v>0</v>
      </c>
      <c r="BI347" s="362">
        <f t="shared" ca="1" si="125"/>
        <v>0</v>
      </c>
      <c r="BJ347" s="362">
        <f t="shared" ca="1" si="125"/>
        <v>0</v>
      </c>
      <c r="BK347" s="362">
        <f t="shared" ca="1" si="125"/>
        <v>0</v>
      </c>
      <c r="BL347" s="362">
        <f t="shared" ca="1" si="125"/>
        <v>0</v>
      </c>
      <c r="BM347" s="362"/>
    </row>
    <row r="348" spans="27:65">
      <c r="AA348" s="360">
        <f t="shared" si="121"/>
        <v>2020</v>
      </c>
      <c r="AB348" s="362">
        <f ca="1">'GHG Emissions'!U22-AB301</f>
        <v>48180.792018666572</v>
      </c>
      <c r="AC348" s="362"/>
      <c r="AD348" s="362">
        <f t="shared" ca="1" si="122"/>
        <v>46701.533474005897</v>
      </c>
      <c r="AE348" s="362"/>
      <c r="AF348" s="362" t="str">
        <f t="shared" ref="AF348:AO357" ca="1" si="126">IFERROR(-HLOOKUP(AF$50,Scope3CommuteTable,$AA348-$AA$291+2,FALSE),"")</f>
        <v/>
      </c>
      <c r="AG348" s="362" t="str">
        <f t="shared" ca="1" si="126"/>
        <v/>
      </c>
      <c r="AH348" s="362" t="str">
        <f t="shared" ca="1" si="126"/>
        <v/>
      </c>
      <c r="AI348" s="362" t="str">
        <f t="shared" ca="1" si="126"/>
        <v/>
      </c>
      <c r="AJ348" s="362" t="str">
        <f t="shared" ca="1" si="126"/>
        <v/>
      </c>
      <c r="AK348" s="362" t="str">
        <f t="shared" ca="1" si="126"/>
        <v/>
      </c>
      <c r="AL348" s="362" t="str">
        <f t="shared" ca="1" si="126"/>
        <v/>
      </c>
      <c r="AM348" s="362" t="str">
        <f t="shared" ca="1" si="126"/>
        <v/>
      </c>
      <c r="AN348" s="362" t="str">
        <f t="shared" ca="1" si="126"/>
        <v/>
      </c>
      <c r="AO348" s="362" t="str">
        <f t="shared" ca="1" si="126"/>
        <v/>
      </c>
      <c r="AP348" s="362" t="str">
        <f t="shared" ref="AP348:AY357" ca="1" si="127">IFERROR(-HLOOKUP(AP$50,Scope3CommuteTable,$AA348-$AA$291+2,FALSE),"")</f>
        <v/>
      </c>
      <c r="AQ348" s="362" t="str">
        <f t="shared" ca="1" si="127"/>
        <v/>
      </c>
      <c r="AR348" s="362" t="str">
        <f t="shared" ca="1" si="127"/>
        <v/>
      </c>
      <c r="AS348" s="362" t="str">
        <f t="shared" ca="1" si="127"/>
        <v/>
      </c>
      <c r="AT348" s="362" t="str">
        <f t="shared" ca="1" si="127"/>
        <v/>
      </c>
      <c r="AU348" s="362" t="str">
        <f t="shared" ca="1" si="127"/>
        <v/>
      </c>
      <c r="AV348" s="362">
        <f t="shared" ca="1" si="127"/>
        <v>0</v>
      </c>
      <c r="AW348" s="362">
        <f t="shared" ca="1" si="127"/>
        <v>0</v>
      </c>
      <c r="AX348" s="362">
        <f t="shared" ca="1" si="127"/>
        <v>0</v>
      </c>
      <c r="AY348" s="362">
        <f t="shared" ca="1" si="127"/>
        <v>0</v>
      </c>
      <c r="AZ348" s="362">
        <f t="shared" ref="AZ348:BL357" ca="1" si="128">IFERROR(-HLOOKUP(AZ$50,Scope3CommuteTable,$AA348-$AA$291+2,FALSE),"")</f>
        <v>0</v>
      </c>
      <c r="BA348" s="362">
        <f t="shared" ca="1" si="128"/>
        <v>0</v>
      </c>
      <c r="BB348" s="362">
        <f t="shared" ca="1" si="128"/>
        <v>0</v>
      </c>
      <c r="BC348" s="362">
        <f t="shared" ca="1" si="128"/>
        <v>1479.258544660677</v>
      </c>
      <c r="BD348" s="362">
        <f t="shared" ca="1" si="128"/>
        <v>0</v>
      </c>
      <c r="BE348" s="362">
        <f t="shared" ca="1" si="128"/>
        <v>0</v>
      </c>
      <c r="BF348" s="362">
        <f t="shared" ca="1" si="128"/>
        <v>0</v>
      </c>
      <c r="BG348" s="362">
        <f t="shared" ca="1" si="128"/>
        <v>0</v>
      </c>
      <c r="BH348" s="362">
        <f t="shared" ca="1" si="128"/>
        <v>0</v>
      </c>
      <c r="BI348" s="362">
        <f t="shared" ca="1" si="128"/>
        <v>0</v>
      </c>
      <c r="BJ348" s="362">
        <f t="shared" ca="1" si="128"/>
        <v>0</v>
      </c>
      <c r="BK348" s="362">
        <f t="shared" ca="1" si="128"/>
        <v>0</v>
      </c>
      <c r="BL348" s="362">
        <f t="shared" ca="1" si="128"/>
        <v>0</v>
      </c>
      <c r="BM348" s="362"/>
    </row>
    <row r="349" spans="27:65">
      <c r="AA349" s="360">
        <f t="shared" si="121"/>
        <v>2021</v>
      </c>
      <c r="AB349" s="362">
        <f ca="1">'GHG Emissions'!U23-AB302</f>
        <v>48388.314621992206</v>
      </c>
      <c r="AC349" s="362"/>
      <c r="AD349" s="362">
        <f t="shared" ca="1" si="122"/>
        <v>46743.322637082791</v>
      </c>
      <c r="AE349" s="362"/>
      <c r="AF349" s="362" t="str">
        <f t="shared" ca="1" si="126"/>
        <v/>
      </c>
      <c r="AG349" s="362" t="str">
        <f t="shared" ca="1" si="126"/>
        <v/>
      </c>
      <c r="AH349" s="362" t="str">
        <f t="shared" ca="1" si="126"/>
        <v/>
      </c>
      <c r="AI349" s="362" t="str">
        <f t="shared" ca="1" si="126"/>
        <v/>
      </c>
      <c r="AJ349" s="362" t="str">
        <f t="shared" ca="1" si="126"/>
        <v/>
      </c>
      <c r="AK349" s="362" t="str">
        <f t="shared" ca="1" si="126"/>
        <v/>
      </c>
      <c r="AL349" s="362" t="str">
        <f t="shared" ca="1" si="126"/>
        <v/>
      </c>
      <c r="AM349" s="362" t="str">
        <f t="shared" ca="1" si="126"/>
        <v/>
      </c>
      <c r="AN349" s="362" t="str">
        <f t="shared" ca="1" si="126"/>
        <v/>
      </c>
      <c r="AO349" s="362" t="str">
        <f t="shared" ca="1" si="126"/>
        <v/>
      </c>
      <c r="AP349" s="362" t="str">
        <f t="shared" ca="1" si="127"/>
        <v/>
      </c>
      <c r="AQ349" s="362" t="str">
        <f t="shared" ca="1" si="127"/>
        <v/>
      </c>
      <c r="AR349" s="362" t="str">
        <f t="shared" ca="1" si="127"/>
        <v/>
      </c>
      <c r="AS349" s="362" t="str">
        <f t="shared" ca="1" si="127"/>
        <v/>
      </c>
      <c r="AT349" s="362" t="str">
        <f t="shared" ca="1" si="127"/>
        <v/>
      </c>
      <c r="AU349" s="362" t="str">
        <f t="shared" ca="1" si="127"/>
        <v/>
      </c>
      <c r="AV349" s="362">
        <f t="shared" ca="1" si="127"/>
        <v>0</v>
      </c>
      <c r="AW349" s="362">
        <f t="shared" ca="1" si="127"/>
        <v>0</v>
      </c>
      <c r="AX349" s="362">
        <f t="shared" ca="1" si="127"/>
        <v>0</v>
      </c>
      <c r="AY349" s="362">
        <f t="shared" ca="1" si="127"/>
        <v>0</v>
      </c>
      <c r="AZ349" s="362">
        <f t="shared" ca="1" si="128"/>
        <v>0</v>
      </c>
      <c r="BA349" s="362">
        <f t="shared" ca="1" si="128"/>
        <v>0</v>
      </c>
      <c r="BB349" s="362">
        <f t="shared" ca="1" si="128"/>
        <v>0</v>
      </c>
      <c r="BC349" s="362">
        <f t="shared" ca="1" si="128"/>
        <v>1644.9919849094142</v>
      </c>
      <c r="BD349" s="362">
        <f t="shared" ca="1" si="128"/>
        <v>0</v>
      </c>
      <c r="BE349" s="362">
        <f t="shared" ca="1" si="128"/>
        <v>0</v>
      </c>
      <c r="BF349" s="362">
        <f t="shared" ca="1" si="128"/>
        <v>0</v>
      </c>
      <c r="BG349" s="362">
        <f t="shared" ca="1" si="128"/>
        <v>0</v>
      </c>
      <c r="BH349" s="362">
        <f t="shared" ca="1" si="128"/>
        <v>0</v>
      </c>
      <c r="BI349" s="362">
        <f t="shared" ca="1" si="128"/>
        <v>0</v>
      </c>
      <c r="BJ349" s="362">
        <f t="shared" ca="1" si="128"/>
        <v>0</v>
      </c>
      <c r="BK349" s="362">
        <f t="shared" ca="1" si="128"/>
        <v>0</v>
      </c>
      <c r="BL349" s="362">
        <f t="shared" ca="1" si="128"/>
        <v>0</v>
      </c>
      <c r="BM349" s="362"/>
    </row>
    <row r="350" spans="27:65">
      <c r="AA350" s="360">
        <f t="shared" si="121"/>
        <v>2022</v>
      </c>
      <c r="AB350" s="362">
        <f ca="1">'GHG Emissions'!U24-AB303</f>
        <v>48594.400841787545</v>
      </c>
      <c r="AC350" s="362"/>
      <c r="AD350" s="362">
        <f t="shared" ca="1" si="122"/>
        <v>46949.40885687813</v>
      </c>
      <c r="AE350" s="362"/>
      <c r="AF350" s="362" t="str">
        <f t="shared" ca="1" si="126"/>
        <v/>
      </c>
      <c r="AG350" s="362" t="str">
        <f t="shared" ca="1" si="126"/>
        <v/>
      </c>
      <c r="AH350" s="362" t="str">
        <f t="shared" ca="1" si="126"/>
        <v/>
      </c>
      <c r="AI350" s="362" t="str">
        <f t="shared" ca="1" si="126"/>
        <v/>
      </c>
      <c r="AJ350" s="362" t="str">
        <f t="shared" ca="1" si="126"/>
        <v/>
      </c>
      <c r="AK350" s="362" t="str">
        <f t="shared" ca="1" si="126"/>
        <v/>
      </c>
      <c r="AL350" s="362" t="str">
        <f t="shared" ca="1" si="126"/>
        <v/>
      </c>
      <c r="AM350" s="362" t="str">
        <f t="shared" ca="1" si="126"/>
        <v/>
      </c>
      <c r="AN350" s="362" t="str">
        <f t="shared" ca="1" si="126"/>
        <v/>
      </c>
      <c r="AO350" s="362" t="str">
        <f t="shared" ca="1" si="126"/>
        <v/>
      </c>
      <c r="AP350" s="362" t="str">
        <f t="shared" ca="1" si="127"/>
        <v/>
      </c>
      <c r="AQ350" s="362" t="str">
        <f t="shared" ca="1" si="127"/>
        <v/>
      </c>
      <c r="AR350" s="362" t="str">
        <f t="shared" ca="1" si="127"/>
        <v/>
      </c>
      <c r="AS350" s="362" t="str">
        <f t="shared" ca="1" si="127"/>
        <v/>
      </c>
      <c r="AT350" s="362" t="str">
        <f t="shared" ca="1" si="127"/>
        <v/>
      </c>
      <c r="AU350" s="362" t="str">
        <f t="shared" ca="1" si="127"/>
        <v/>
      </c>
      <c r="AV350" s="362">
        <f t="shared" ca="1" si="127"/>
        <v>0</v>
      </c>
      <c r="AW350" s="362">
        <f t="shared" ca="1" si="127"/>
        <v>0</v>
      </c>
      <c r="AX350" s="362">
        <f t="shared" ca="1" si="127"/>
        <v>0</v>
      </c>
      <c r="AY350" s="362">
        <f t="shared" ca="1" si="127"/>
        <v>0</v>
      </c>
      <c r="AZ350" s="362">
        <f t="shared" ca="1" si="128"/>
        <v>0</v>
      </c>
      <c r="BA350" s="362">
        <f t="shared" ca="1" si="128"/>
        <v>0</v>
      </c>
      <c r="BB350" s="362">
        <f t="shared" ca="1" si="128"/>
        <v>0</v>
      </c>
      <c r="BC350" s="362">
        <f t="shared" ca="1" si="128"/>
        <v>1644.9919849094142</v>
      </c>
      <c r="BD350" s="362">
        <f t="shared" ca="1" si="128"/>
        <v>0</v>
      </c>
      <c r="BE350" s="362">
        <f t="shared" ca="1" si="128"/>
        <v>0</v>
      </c>
      <c r="BF350" s="362">
        <f t="shared" ca="1" si="128"/>
        <v>0</v>
      </c>
      <c r="BG350" s="362">
        <f t="shared" ca="1" si="128"/>
        <v>0</v>
      </c>
      <c r="BH350" s="362">
        <f t="shared" ca="1" si="128"/>
        <v>0</v>
      </c>
      <c r="BI350" s="362">
        <f t="shared" ca="1" si="128"/>
        <v>0</v>
      </c>
      <c r="BJ350" s="362">
        <f t="shared" ca="1" si="128"/>
        <v>0</v>
      </c>
      <c r="BK350" s="362">
        <f t="shared" ca="1" si="128"/>
        <v>0</v>
      </c>
      <c r="BL350" s="362">
        <f t="shared" ca="1" si="128"/>
        <v>0</v>
      </c>
      <c r="BM350" s="362"/>
    </row>
    <row r="351" spans="27:65">
      <c r="AA351" s="360">
        <f t="shared" si="121"/>
        <v>2023</v>
      </c>
      <c r="AB351" s="362">
        <f ca="1">'GHG Emissions'!U25-AB304</f>
        <v>48799.213596115602</v>
      </c>
      <c r="AC351" s="362"/>
      <c r="AD351" s="362">
        <f t="shared" ca="1" si="122"/>
        <v>47154.221611206187</v>
      </c>
      <c r="AE351" s="362"/>
      <c r="AF351" s="362" t="str">
        <f t="shared" ca="1" si="126"/>
        <v/>
      </c>
      <c r="AG351" s="362" t="str">
        <f t="shared" ca="1" si="126"/>
        <v/>
      </c>
      <c r="AH351" s="362" t="str">
        <f t="shared" ca="1" si="126"/>
        <v/>
      </c>
      <c r="AI351" s="362" t="str">
        <f t="shared" ca="1" si="126"/>
        <v/>
      </c>
      <c r="AJ351" s="362" t="str">
        <f t="shared" ca="1" si="126"/>
        <v/>
      </c>
      <c r="AK351" s="362" t="str">
        <f t="shared" ca="1" si="126"/>
        <v/>
      </c>
      <c r="AL351" s="362" t="str">
        <f t="shared" ca="1" si="126"/>
        <v/>
      </c>
      <c r="AM351" s="362" t="str">
        <f t="shared" ca="1" si="126"/>
        <v/>
      </c>
      <c r="AN351" s="362" t="str">
        <f t="shared" ca="1" si="126"/>
        <v/>
      </c>
      <c r="AO351" s="362" t="str">
        <f t="shared" ca="1" si="126"/>
        <v/>
      </c>
      <c r="AP351" s="362" t="str">
        <f t="shared" ca="1" si="127"/>
        <v/>
      </c>
      <c r="AQ351" s="362" t="str">
        <f t="shared" ca="1" si="127"/>
        <v/>
      </c>
      <c r="AR351" s="362" t="str">
        <f t="shared" ca="1" si="127"/>
        <v/>
      </c>
      <c r="AS351" s="362" t="str">
        <f t="shared" ca="1" si="127"/>
        <v/>
      </c>
      <c r="AT351" s="362" t="str">
        <f t="shared" ca="1" si="127"/>
        <v/>
      </c>
      <c r="AU351" s="362" t="str">
        <f t="shared" ca="1" si="127"/>
        <v/>
      </c>
      <c r="AV351" s="362">
        <f t="shared" ca="1" si="127"/>
        <v>0</v>
      </c>
      <c r="AW351" s="362">
        <f t="shared" ca="1" si="127"/>
        <v>0</v>
      </c>
      <c r="AX351" s="362">
        <f t="shared" ca="1" si="127"/>
        <v>0</v>
      </c>
      <c r="AY351" s="362">
        <f t="shared" ca="1" si="127"/>
        <v>0</v>
      </c>
      <c r="AZ351" s="362">
        <f t="shared" ca="1" si="128"/>
        <v>0</v>
      </c>
      <c r="BA351" s="362">
        <f t="shared" ca="1" si="128"/>
        <v>0</v>
      </c>
      <c r="BB351" s="362">
        <f t="shared" ca="1" si="128"/>
        <v>0</v>
      </c>
      <c r="BC351" s="362">
        <f t="shared" ca="1" si="128"/>
        <v>1644.9919849094142</v>
      </c>
      <c r="BD351" s="362">
        <f t="shared" ca="1" si="128"/>
        <v>0</v>
      </c>
      <c r="BE351" s="362">
        <f t="shared" ca="1" si="128"/>
        <v>0</v>
      </c>
      <c r="BF351" s="362">
        <f t="shared" ca="1" si="128"/>
        <v>0</v>
      </c>
      <c r="BG351" s="362">
        <f t="shared" ca="1" si="128"/>
        <v>0</v>
      </c>
      <c r="BH351" s="362">
        <f t="shared" ca="1" si="128"/>
        <v>0</v>
      </c>
      <c r="BI351" s="362">
        <f t="shared" ca="1" si="128"/>
        <v>0</v>
      </c>
      <c r="BJ351" s="362">
        <f t="shared" ca="1" si="128"/>
        <v>0</v>
      </c>
      <c r="BK351" s="362">
        <f t="shared" ca="1" si="128"/>
        <v>0</v>
      </c>
      <c r="BL351" s="362">
        <f t="shared" ca="1" si="128"/>
        <v>0</v>
      </c>
      <c r="BM351" s="362"/>
    </row>
    <row r="352" spans="27:65">
      <c r="AA352" s="360">
        <f t="shared" si="121"/>
        <v>2024</v>
      </c>
      <c r="AB352" s="362">
        <f ca="1">'GHG Emissions'!U26-AB305</f>
        <v>49002.887152819676</v>
      </c>
      <c r="AC352" s="362"/>
      <c r="AD352" s="362">
        <f t="shared" ca="1" si="122"/>
        <v>47357.895167910261</v>
      </c>
      <c r="AE352" s="362"/>
      <c r="AF352" s="362" t="str">
        <f t="shared" ca="1" si="126"/>
        <v/>
      </c>
      <c r="AG352" s="362" t="str">
        <f t="shared" ca="1" si="126"/>
        <v/>
      </c>
      <c r="AH352" s="362" t="str">
        <f t="shared" ca="1" si="126"/>
        <v/>
      </c>
      <c r="AI352" s="362" t="str">
        <f t="shared" ca="1" si="126"/>
        <v/>
      </c>
      <c r="AJ352" s="362" t="str">
        <f t="shared" ca="1" si="126"/>
        <v/>
      </c>
      <c r="AK352" s="362" t="str">
        <f t="shared" ca="1" si="126"/>
        <v/>
      </c>
      <c r="AL352" s="362" t="str">
        <f t="shared" ca="1" si="126"/>
        <v/>
      </c>
      <c r="AM352" s="362" t="str">
        <f t="shared" ca="1" si="126"/>
        <v/>
      </c>
      <c r="AN352" s="362" t="str">
        <f t="shared" ca="1" si="126"/>
        <v/>
      </c>
      <c r="AO352" s="362" t="str">
        <f t="shared" ca="1" si="126"/>
        <v/>
      </c>
      <c r="AP352" s="362" t="str">
        <f t="shared" ca="1" si="127"/>
        <v/>
      </c>
      <c r="AQ352" s="362" t="str">
        <f t="shared" ca="1" si="127"/>
        <v/>
      </c>
      <c r="AR352" s="362" t="str">
        <f t="shared" ca="1" si="127"/>
        <v/>
      </c>
      <c r="AS352" s="362" t="str">
        <f t="shared" ca="1" si="127"/>
        <v/>
      </c>
      <c r="AT352" s="362" t="str">
        <f t="shared" ca="1" si="127"/>
        <v/>
      </c>
      <c r="AU352" s="362" t="str">
        <f t="shared" ca="1" si="127"/>
        <v/>
      </c>
      <c r="AV352" s="362">
        <f t="shared" ca="1" si="127"/>
        <v>0</v>
      </c>
      <c r="AW352" s="362">
        <f t="shared" ca="1" si="127"/>
        <v>0</v>
      </c>
      <c r="AX352" s="362">
        <f t="shared" ca="1" si="127"/>
        <v>0</v>
      </c>
      <c r="AY352" s="362">
        <f t="shared" ca="1" si="127"/>
        <v>0</v>
      </c>
      <c r="AZ352" s="362">
        <f t="shared" ca="1" si="128"/>
        <v>0</v>
      </c>
      <c r="BA352" s="362">
        <f t="shared" ca="1" si="128"/>
        <v>0</v>
      </c>
      <c r="BB352" s="362">
        <f t="shared" ca="1" si="128"/>
        <v>0</v>
      </c>
      <c r="BC352" s="362">
        <f t="shared" ca="1" si="128"/>
        <v>1644.9919849094142</v>
      </c>
      <c r="BD352" s="362">
        <f t="shared" ca="1" si="128"/>
        <v>0</v>
      </c>
      <c r="BE352" s="362">
        <f t="shared" ca="1" si="128"/>
        <v>0</v>
      </c>
      <c r="BF352" s="362">
        <f t="shared" ca="1" si="128"/>
        <v>0</v>
      </c>
      <c r="BG352" s="362">
        <f t="shared" ca="1" si="128"/>
        <v>0</v>
      </c>
      <c r="BH352" s="362">
        <f t="shared" ca="1" si="128"/>
        <v>0</v>
      </c>
      <c r="BI352" s="362">
        <f t="shared" ca="1" si="128"/>
        <v>0</v>
      </c>
      <c r="BJ352" s="362">
        <f t="shared" ca="1" si="128"/>
        <v>0</v>
      </c>
      <c r="BK352" s="362">
        <f t="shared" ca="1" si="128"/>
        <v>0</v>
      </c>
      <c r="BL352" s="362">
        <f t="shared" ca="1" si="128"/>
        <v>0</v>
      </c>
      <c r="BM352" s="362"/>
    </row>
    <row r="353" spans="27:65">
      <c r="AA353" s="360">
        <f t="shared" si="121"/>
        <v>2025</v>
      </c>
      <c r="AB353" s="362">
        <f ca="1">'GHG Emissions'!U27-AB306</f>
        <v>49205.533723169778</v>
      </c>
      <c r="AC353" s="362"/>
      <c r="AD353" s="362">
        <f t="shared" ca="1" si="122"/>
        <v>47560.541738260363</v>
      </c>
      <c r="AE353" s="362"/>
      <c r="AF353" s="362" t="str">
        <f t="shared" ca="1" si="126"/>
        <v/>
      </c>
      <c r="AG353" s="362" t="str">
        <f t="shared" ca="1" si="126"/>
        <v/>
      </c>
      <c r="AH353" s="362" t="str">
        <f t="shared" ca="1" si="126"/>
        <v/>
      </c>
      <c r="AI353" s="362" t="str">
        <f t="shared" ca="1" si="126"/>
        <v/>
      </c>
      <c r="AJ353" s="362" t="str">
        <f t="shared" ca="1" si="126"/>
        <v/>
      </c>
      <c r="AK353" s="362" t="str">
        <f t="shared" ca="1" si="126"/>
        <v/>
      </c>
      <c r="AL353" s="362" t="str">
        <f t="shared" ca="1" si="126"/>
        <v/>
      </c>
      <c r="AM353" s="362" t="str">
        <f t="shared" ca="1" si="126"/>
        <v/>
      </c>
      <c r="AN353" s="362" t="str">
        <f t="shared" ca="1" si="126"/>
        <v/>
      </c>
      <c r="AO353" s="362" t="str">
        <f t="shared" ca="1" si="126"/>
        <v/>
      </c>
      <c r="AP353" s="362" t="str">
        <f t="shared" ca="1" si="127"/>
        <v/>
      </c>
      <c r="AQ353" s="362" t="str">
        <f t="shared" ca="1" si="127"/>
        <v/>
      </c>
      <c r="AR353" s="362" t="str">
        <f t="shared" ca="1" si="127"/>
        <v/>
      </c>
      <c r="AS353" s="362" t="str">
        <f t="shared" ca="1" si="127"/>
        <v/>
      </c>
      <c r="AT353" s="362" t="str">
        <f t="shared" ca="1" si="127"/>
        <v/>
      </c>
      <c r="AU353" s="362" t="str">
        <f t="shared" ca="1" si="127"/>
        <v/>
      </c>
      <c r="AV353" s="362">
        <f t="shared" ca="1" si="127"/>
        <v>0</v>
      </c>
      <c r="AW353" s="362">
        <f t="shared" ca="1" si="127"/>
        <v>0</v>
      </c>
      <c r="AX353" s="362">
        <f t="shared" ca="1" si="127"/>
        <v>0</v>
      </c>
      <c r="AY353" s="362">
        <f t="shared" ca="1" si="127"/>
        <v>0</v>
      </c>
      <c r="AZ353" s="362">
        <f t="shared" ca="1" si="128"/>
        <v>0</v>
      </c>
      <c r="BA353" s="362">
        <f t="shared" ca="1" si="128"/>
        <v>0</v>
      </c>
      <c r="BB353" s="362">
        <f t="shared" ca="1" si="128"/>
        <v>0</v>
      </c>
      <c r="BC353" s="362">
        <f t="shared" ca="1" si="128"/>
        <v>1644.9919849094142</v>
      </c>
      <c r="BD353" s="362">
        <f t="shared" ca="1" si="128"/>
        <v>0</v>
      </c>
      <c r="BE353" s="362">
        <f t="shared" ca="1" si="128"/>
        <v>0</v>
      </c>
      <c r="BF353" s="362">
        <f t="shared" ca="1" si="128"/>
        <v>0</v>
      </c>
      <c r="BG353" s="362">
        <f t="shared" ca="1" si="128"/>
        <v>0</v>
      </c>
      <c r="BH353" s="362">
        <f t="shared" ca="1" si="128"/>
        <v>0</v>
      </c>
      <c r="BI353" s="362">
        <f t="shared" ca="1" si="128"/>
        <v>0</v>
      </c>
      <c r="BJ353" s="362">
        <f t="shared" ca="1" si="128"/>
        <v>0</v>
      </c>
      <c r="BK353" s="362">
        <f t="shared" ca="1" si="128"/>
        <v>0</v>
      </c>
      <c r="BL353" s="362">
        <f t="shared" ca="1" si="128"/>
        <v>0</v>
      </c>
      <c r="BM353" s="362"/>
    </row>
    <row r="354" spans="27:65">
      <c r="AA354" s="360">
        <f t="shared" si="121"/>
        <v>2026</v>
      </c>
      <c r="AB354" s="362">
        <f ca="1">'GHG Emissions'!U28-AB307</f>
        <v>49407.248223970746</v>
      </c>
      <c r="AC354" s="362"/>
      <c r="AD354" s="362">
        <f t="shared" ca="1" si="122"/>
        <v>47762.256239061331</v>
      </c>
      <c r="AE354" s="362"/>
      <c r="AF354" s="362" t="str">
        <f t="shared" ca="1" si="126"/>
        <v/>
      </c>
      <c r="AG354" s="362" t="str">
        <f t="shared" ca="1" si="126"/>
        <v/>
      </c>
      <c r="AH354" s="362" t="str">
        <f t="shared" ca="1" si="126"/>
        <v/>
      </c>
      <c r="AI354" s="362" t="str">
        <f t="shared" ca="1" si="126"/>
        <v/>
      </c>
      <c r="AJ354" s="362" t="str">
        <f t="shared" ca="1" si="126"/>
        <v/>
      </c>
      <c r="AK354" s="362" t="str">
        <f t="shared" ca="1" si="126"/>
        <v/>
      </c>
      <c r="AL354" s="362" t="str">
        <f t="shared" ca="1" si="126"/>
        <v/>
      </c>
      <c r="AM354" s="362" t="str">
        <f t="shared" ca="1" si="126"/>
        <v/>
      </c>
      <c r="AN354" s="362" t="str">
        <f t="shared" ca="1" si="126"/>
        <v/>
      </c>
      <c r="AO354" s="362" t="str">
        <f t="shared" ca="1" si="126"/>
        <v/>
      </c>
      <c r="AP354" s="362" t="str">
        <f t="shared" ca="1" si="127"/>
        <v/>
      </c>
      <c r="AQ354" s="362" t="str">
        <f t="shared" ca="1" si="127"/>
        <v/>
      </c>
      <c r="AR354" s="362" t="str">
        <f t="shared" ca="1" si="127"/>
        <v/>
      </c>
      <c r="AS354" s="362" t="str">
        <f t="shared" ca="1" si="127"/>
        <v/>
      </c>
      <c r="AT354" s="362" t="str">
        <f t="shared" ca="1" si="127"/>
        <v/>
      </c>
      <c r="AU354" s="362" t="str">
        <f t="shared" ca="1" si="127"/>
        <v/>
      </c>
      <c r="AV354" s="362">
        <f t="shared" ca="1" si="127"/>
        <v>0</v>
      </c>
      <c r="AW354" s="362">
        <f t="shared" ca="1" si="127"/>
        <v>0</v>
      </c>
      <c r="AX354" s="362">
        <f t="shared" ca="1" si="127"/>
        <v>0</v>
      </c>
      <c r="AY354" s="362">
        <f t="shared" ca="1" si="127"/>
        <v>0</v>
      </c>
      <c r="AZ354" s="362">
        <f t="shared" ca="1" si="128"/>
        <v>0</v>
      </c>
      <c r="BA354" s="362">
        <f t="shared" ca="1" si="128"/>
        <v>0</v>
      </c>
      <c r="BB354" s="362">
        <f t="shared" ca="1" si="128"/>
        <v>0</v>
      </c>
      <c r="BC354" s="362">
        <f t="shared" ca="1" si="128"/>
        <v>1644.9919849094142</v>
      </c>
      <c r="BD354" s="362">
        <f t="shared" ca="1" si="128"/>
        <v>0</v>
      </c>
      <c r="BE354" s="362">
        <f t="shared" ca="1" si="128"/>
        <v>0</v>
      </c>
      <c r="BF354" s="362">
        <f t="shared" ca="1" si="128"/>
        <v>0</v>
      </c>
      <c r="BG354" s="362">
        <f t="shared" ca="1" si="128"/>
        <v>0</v>
      </c>
      <c r="BH354" s="362">
        <f t="shared" ca="1" si="128"/>
        <v>0</v>
      </c>
      <c r="BI354" s="362">
        <f t="shared" ca="1" si="128"/>
        <v>0</v>
      </c>
      <c r="BJ354" s="362">
        <f t="shared" ca="1" si="128"/>
        <v>0</v>
      </c>
      <c r="BK354" s="362">
        <f t="shared" ca="1" si="128"/>
        <v>0</v>
      </c>
      <c r="BL354" s="362">
        <f t="shared" ca="1" si="128"/>
        <v>0</v>
      </c>
      <c r="BM354" s="362"/>
    </row>
    <row r="355" spans="27:65">
      <c r="AA355" s="360">
        <f t="shared" si="121"/>
        <v>2027</v>
      </c>
      <c r="AB355" s="362">
        <f ca="1">'GHG Emissions'!U29-AB308</f>
        <v>49608.111794035111</v>
      </c>
      <c r="AC355" s="362"/>
      <c r="AD355" s="362">
        <f t="shared" ca="1" si="122"/>
        <v>47963.119809125696</v>
      </c>
      <c r="AE355" s="362"/>
      <c r="AF355" s="362" t="str">
        <f t="shared" ca="1" si="126"/>
        <v/>
      </c>
      <c r="AG355" s="362" t="str">
        <f t="shared" ca="1" si="126"/>
        <v/>
      </c>
      <c r="AH355" s="362" t="str">
        <f t="shared" ca="1" si="126"/>
        <v/>
      </c>
      <c r="AI355" s="362" t="str">
        <f t="shared" ca="1" si="126"/>
        <v/>
      </c>
      <c r="AJ355" s="362" t="str">
        <f t="shared" ca="1" si="126"/>
        <v/>
      </c>
      <c r="AK355" s="362" t="str">
        <f t="shared" ca="1" si="126"/>
        <v/>
      </c>
      <c r="AL355" s="362" t="str">
        <f t="shared" ca="1" si="126"/>
        <v/>
      </c>
      <c r="AM355" s="362" t="str">
        <f t="shared" ca="1" si="126"/>
        <v/>
      </c>
      <c r="AN355" s="362" t="str">
        <f t="shared" ca="1" si="126"/>
        <v/>
      </c>
      <c r="AO355" s="362" t="str">
        <f t="shared" ca="1" si="126"/>
        <v/>
      </c>
      <c r="AP355" s="362" t="str">
        <f t="shared" ca="1" si="127"/>
        <v/>
      </c>
      <c r="AQ355" s="362" t="str">
        <f t="shared" ca="1" si="127"/>
        <v/>
      </c>
      <c r="AR355" s="362" t="str">
        <f t="shared" ca="1" si="127"/>
        <v/>
      </c>
      <c r="AS355" s="362" t="str">
        <f t="shared" ca="1" si="127"/>
        <v/>
      </c>
      <c r="AT355" s="362" t="str">
        <f t="shared" ca="1" si="127"/>
        <v/>
      </c>
      <c r="AU355" s="362" t="str">
        <f t="shared" ca="1" si="127"/>
        <v/>
      </c>
      <c r="AV355" s="362">
        <f t="shared" ca="1" si="127"/>
        <v>0</v>
      </c>
      <c r="AW355" s="362">
        <f t="shared" ca="1" si="127"/>
        <v>0</v>
      </c>
      <c r="AX355" s="362">
        <f t="shared" ca="1" si="127"/>
        <v>0</v>
      </c>
      <c r="AY355" s="362">
        <f t="shared" ca="1" si="127"/>
        <v>0</v>
      </c>
      <c r="AZ355" s="362">
        <f t="shared" ca="1" si="128"/>
        <v>0</v>
      </c>
      <c r="BA355" s="362">
        <f t="shared" ca="1" si="128"/>
        <v>0</v>
      </c>
      <c r="BB355" s="362">
        <f t="shared" ca="1" si="128"/>
        <v>0</v>
      </c>
      <c r="BC355" s="362">
        <f t="shared" ca="1" si="128"/>
        <v>1644.9919849094142</v>
      </c>
      <c r="BD355" s="362">
        <f t="shared" ca="1" si="128"/>
        <v>0</v>
      </c>
      <c r="BE355" s="362">
        <f t="shared" ca="1" si="128"/>
        <v>0</v>
      </c>
      <c r="BF355" s="362">
        <f t="shared" ca="1" si="128"/>
        <v>0</v>
      </c>
      <c r="BG355" s="362">
        <f t="shared" ca="1" si="128"/>
        <v>0</v>
      </c>
      <c r="BH355" s="362">
        <f t="shared" ca="1" si="128"/>
        <v>0</v>
      </c>
      <c r="BI355" s="362">
        <f t="shared" ca="1" si="128"/>
        <v>0</v>
      </c>
      <c r="BJ355" s="362">
        <f t="shared" ca="1" si="128"/>
        <v>0</v>
      </c>
      <c r="BK355" s="362">
        <f t="shared" ca="1" si="128"/>
        <v>0</v>
      </c>
      <c r="BL355" s="362">
        <f t="shared" ca="1" si="128"/>
        <v>0</v>
      </c>
      <c r="BM355" s="362"/>
    </row>
    <row r="356" spans="27:65">
      <c r="AA356" s="360">
        <f t="shared" si="121"/>
        <v>2028</v>
      </c>
      <c r="AB356" s="362">
        <f ca="1">'GHG Emissions'!U30-AB309</f>
        <v>49808.194441514177</v>
      </c>
      <c r="AC356" s="362"/>
      <c r="AD356" s="362">
        <f t="shared" ca="1" si="122"/>
        <v>48163.202456604762</v>
      </c>
      <c r="AE356" s="362"/>
      <c r="AF356" s="362" t="str">
        <f t="shared" ca="1" si="126"/>
        <v/>
      </c>
      <c r="AG356" s="362" t="str">
        <f t="shared" ca="1" si="126"/>
        <v/>
      </c>
      <c r="AH356" s="362" t="str">
        <f t="shared" ca="1" si="126"/>
        <v/>
      </c>
      <c r="AI356" s="362" t="str">
        <f t="shared" ca="1" si="126"/>
        <v/>
      </c>
      <c r="AJ356" s="362" t="str">
        <f t="shared" ca="1" si="126"/>
        <v/>
      </c>
      <c r="AK356" s="362" t="str">
        <f t="shared" ca="1" si="126"/>
        <v/>
      </c>
      <c r="AL356" s="362" t="str">
        <f t="shared" ca="1" si="126"/>
        <v/>
      </c>
      <c r="AM356" s="362" t="str">
        <f t="shared" ca="1" si="126"/>
        <v/>
      </c>
      <c r="AN356" s="362" t="str">
        <f t="shared" ca="1" si="126"/>
        <v/>
      </c>
      <c r="AO356" s="362" t="str">
        <f t="shared" ca="1" si="126"/>
        <v/>
      </c>
      <c r="AP356" s="362" t="str">
        <f t="shared" ca="1" si="127"/>
        <v/>
      </c>
      <c r="AQ356" s="362" t="str">
        <f t="shared" ca="1" si="127"/>
        <v/>
      </c>
      <c r="AR356" s="362" t="str">
        <f t="shared" ca="1" si="127"/>
        <v/>
      </c>
      <c r="AS356" s="362" t="str">
        <f t="shared" ca="1" si="127"/>
        <v/>
      </c>
      <c r="AT356" s="362" t="str">
        <f t="shared" ca="1" si="127"/>
        <v/>
      </c>
      <c r="AU356" s="362" t="str">
        <f t="shared" ca="1" si="127"/>
        <v/>
      </c>
      <c r="AV356" s="362">
        <f t="shared" ca="1" si="127"/>
        <v>0</v>
      </c>
      <c r="AW356" s="362">
        <f t="shared" ca="1" si="127"/>
        <v>0</v>
      </c>
      <c r="AX356" s="362">
        <f t="shared" ca="1" si="127"/>
        <v>0</v>
      </c>
      <c r="AY356" s="362">
        <f t="shared" ca="1" si="127"/>
        <v>0</v>
      </c>
      <c r="AZ356" s="362">
        <f t="shared" ca="1" si="128"/>
        <v>0</v>
      </c>
      <c r="BA356" s="362">
        <f t="shared" ca="1" si="128"/>
        <v>0</v>
      </c>
      <c r="BB356" s="362">
        <f t="shared" ca="1" si="128"/>
        <v>0</v>
      </c>
      <c r="BC356" s="362">
        <f t="shared" ca="1" si="128"/>
        <v>1644.9919849094142</v>
      </c>
      <c r="BD356" s="362">
        <f t="shared" ca="1" si="128"/>
        <v>0</v>
      </c>
      <c r="BE356" s="362">
        <f t="shared" ca="1" si="128"/>
        <v>0</v>
      </c>
      <c r="BF356" s="362">
        <f t="shared" ca="1" si="128"/>
        <v>0</v>
      </c>
      <c r="BG356" s="362">
        <f t="shared" ca="1" si="128"/>
        <v>0</v>
      </c>
      <c r="BH356" s="362">
        <f t="shared" ca="1" si="128"/>
        <v>0</v>
      </c>
      <c r="BI356" s="362">
        <f t="shared" ca="1" si="128"/>
        <v>0</v>
      </c>
      <c r="BJ356" s="362">
        <f t="shared" ca="1" si="128"/>
        <v>0</v>
      </c>
      <c r="BK356" s="362">
        <f t="shared" ca="1" si="128"/>
        <v>0</v>
      </c>
      <c r="BL356" s="362">
        <f t="shared" ca="1" si="128"/>
        <v>0</v>
      </c>
      <c r="BM356" s="362"/>
    </row>
    <row r="357" spans="27:65">
      <c r="AA357" s="360">
        <f t="shared" si="121"/>
        <v>2029</v>
      </c>
      <c r="AB357" s="362">
        <f ca="1">'GHG Emissions'!U31-AB310</f>
        <v>50007.557071058283</v>
      </c>
      <c r="AC357" s="362"/>
      <c r="AD357" s="362">
        <f t="shared" ca="1" si="122"/>
        <v>48362.565086148868</v>
      </c>
      <c r="AE357" s="362"/>
      <c r="AF357" s="362" t="str">
        <f t="shared" ca="1" si="126"/>
        <v/>
      </c>
      <c r="AG357" s="362" t="str">
        <f t="shared" ca="1" si="126"/>
        <v/>
      </c>
      <c r="AH357" s="362" t="str">
        <f t="shared" ca="1" si="126"/>
        <v/>
      </c>
      <c r="AI357" s="362" t="str">
        <f t="shared" ca="1" si="126"/>
        <v/>
      </c>
      <c r="AJ357" s="362" t="str">
        <f t="shared" ca="1" si="126"/>
        <v/>
      </c>
      <c r="AK357" s="362" t="str">
        <f t="shared" ca="1" si="126"/>
        <v/>
      </c>
      <c r="AL357" s="362" t="str">
        <f t="shared" ca="1" si="126"/>
        <v/>
      </c>
      <c r="AM357" s="362" t="str">
        <f t="shared" ca="1" si="126"/>
        <v/>
      </c>
      <c r="AN357" s="362" t="str">
        <f t="shared" ca="1" si="126"/>
        <v/>
      </c>
      <c r="AO357" s="362" t="str">
        <f t="shared" ca="1" si="126"/>
        <v/>
      </c>
      <c r="AP357" s="362" t="str">
        <f t="shared" ca="1" si="127"/>
        <v/>
      </c>
      <c r="AQ357" s="362" t="str">
        <f t="shared" ca="1" si="127"/>
        <v/>
      </c>
      <c r="AR357" s="362" t="str">
        <f t="shared" ca="1" si="127"/>
        <v/>
      </c>
      <c r="AS357" s="362" t="str">
        <f t="shared" ca="1" si="127"/>
        <v/>
      </c>
      <c r="AT357" s="362" t="str">
        <f t="shared" ca="1" si="127"/>
        <v/>
      </c>
      <c r="AU357" s="362" t="str">
        <f t="shared" ca="1" si="127"/>
        <v/>
      </c>
      <c r="AV357" s="362">
        <f t="shared" ca="1" si="127"/>
        <v>0</v>
      </c>
      <c r="AW357" s="362">
        <f t="shared" ca="1" si="127"/>
        <v>0</v>
      </c>
      <c r="AX357" s="362">
        <f t="shared" ca="1" si="127"/>
        <v>0</v>
      </c>
      <c r="AY357" s="362">
        <f t="shared" ca="1" si="127"/>
        <v>0</v>
      </c>
      <c r="AZ357" s="362">
        <f t="shared" ca="1" si="128"/>
        <v>0</v>
      </c>
      <c r="BA357" s="362">
        <f t="shared" ca="1" si="128"/>
        <v>0</v>
      </c>
      <c r="BB357" s="362">
        <f t="shared" ca="1" si="128"/>
        <v>0</v>
      </c>
      <c r="BC357" s="362">
        <f t="shared" ca="1" si="128"/>
        <v>1644.9919849094142</v>
      </c>
      <c r="BD357" s="362">
        <f t="shared" ca="1" si="128"/>
        <v>0</v>
      </c>
      <c r="BE357" s="362">
        <f t="shared" ca="1" si="128"/>
        <v>0</v>
      </c>
      <c r="BF357" s="362">
        <f t="shared" ca="1" si="128"/>
        <v>0</v>
      </c>
      <c r="BG357" s="362">
        <f t="shared" ca="1" si="128"/>
        <v>0</v>
      </c>
      <c r="BH357" s="362">
        <f t="shared" ca="1" si="128"/>
        <v>0</v>
      </c>
      <c r="BI357" s="362">
        <f t="shared" ca="1" si="128"/>
        <v>0</v>
      </c>
      <c r="BJ357" s="362">
        <f t="shared" ca="1" si="128"/>
        <v>0</v>
      </c>
      <c r="BK357" s="362">
        <f t="shared" ca="1" si="128"/>
        <v>0</v>
      </c>
      <c r="BL357" s="362">
        <f t="shared" ca="1" si="128"/>
        <v>0</v>
      </c>
      <c r="BM357" s="362"/>
    </row>
    <row r="358" spans="27:65">
      <c r="AA358" s="360">
        <f t="shared" si="121"/>
        <v>2030</v>
      </c>
      <c r="AB358" s="362">
        <f ca="1">'GHG Emissions'!U32-AB311</f>
        <v>50206.253059639552</v>
      </c>
      <c r="AC358" s="362"/>
      <c r="AD358" s="362">
        <f t="shared" ca="1" si="122"/>
        <v>48561.261074730137</v>
      </c>
      <c r="AE358" s="362"/>
      <c r="AF358" s="362" t="str">
        <f t="shared" ref="AF358:AO367" ca="1" si="129">IFERROR(-HLOOKUP(AF$50,Scope3CommuteTable,$AA358-$AA$291+2,FALSE),"")</f>
        <v/>
      </c>
      <c r="AG358" s="362" t="str">
        <f t="shared" ca="1" si="129"/>
        <v/>
      </c>
      <c r="AH358" s="362" t="str">
        <f t="shared" ca="1" si="129"/>
        <v/>
      </c>
      <c r="AI358" s="362" t="str">
        <f t="shared" ca="1" si="129"/>
        <v/>
      </c>
      <c r="AJ358" s="362" t="str">
        <f t="shared" ca="1" si="129"/>
        <v/>
      </c>
      <c r="AK358" s="362" t="str">
        <f t="shared" ca="1" si="129"/>
        <v/>
      </c>
      <c r="AL358" s="362" t="str">
        <f t="shared" ca="1" si="129"/>
        <v/>
      </c>
      <c r="AM358" s="362" t="str">
        <f t="shared" ca="1" si="129"/>
        <v/>
      </c>
      <c r="AN358" s="362" t="str">
        <f t="shared" ca="1" si="129"/>
        <v/>
      </c>
      <c r="AO358" s="362" t="str">
        <f t="shared" ca="1" si="129"/>
        <v/>
      </c>
      <c r="AP358" s="362" t="str">
        <f t="shared" ref="AP358:AY367" ca="1" si="130">IFERROR(-HLOOKUP(AP$50,Scope3CommuteTable,$AA358-$AA$291+2,FALSE),"")</f>
        <v/>
      </c>
      <c r="AQ358" s="362" t="str">
        <f t="shared" ca="1" si="130"/>
        <v/>
      </c>
      <c r="AR358" s="362" t="str">
        <f t="shared" ca="1" si="130"/>
        <v/>
      </c>
      <c r="AS358" s="362" t="str">
        <f t="shared" ca="1" si="130"/>
        <v/>
      </c>
      <c r="AT358" s="362" t="str">
        <f t="shared" ca="1" si="130"/>
        <v/>
      </c>
      <c r="AU358" s="362" t="str">
        <f t="shared" ca="1" si="130"/>
        <v/>
      </c>
      <c r="AV358" s="362">
        <f t="shared" ca="1" si="130"/>
        <v>0</v>
      </c>
      <c r="AW358" s="362">
        <f t="shared" ca="1" si="130"/>
        <v>0</v>
      </c>
      <c r="AX358" s="362">
        <f t="shared" ca="1" si="130"/>
        <v>0</v>
      </c>
      <c r="AY358" s="362">
        <f t="shared" ca="1" si="130"/>
        <v>0</v>
      </c>
      <c r="AZ358" s="362">
        <f t="shared" ref="AZ358:BL367" ca="1" si="131">IFERROR(-HLOOKUP(AZ$50,Scope3CommuteTable,$AA358-$AA$291+2,FALSE),"")</f>
        <v>0</v>
      </c>
      <c r="BA358" s="362">
        <f t="shared" ca="1" si="131"/>
        <v>0</v>
      </c>
      <c r="BB358" s="362">
        <f t="shared" ca="1" si="131"/>
        <v>0</v>
      </c>
      <c r="BC358" s="362">
        <f t="shared" ca="1" si="131"/>
        <v>1644.9919849094142</v>
      </c>
      <c r="BD358" s="362">
        <f t="shared" ca="1" si="131"/>
        <v>0</v>
      </c>
      <c r="BE358" s="362">
        <f t="shared" ca="1" si="131"/>
        <v>0</v>
      </c>
      <c r="BF358" s="362">
        <f t="shared" ca="1" si="131"/>
        <v>0</v>
      </c>
      <c r="BG358" s="362">
        <f t="shared" ca="1" si="131"/>
        <v>0</v>
      </c>
      <c r="BH358" s="362">
        <f t="shared" ca="1" si="131"/>
        <v>0</v>
      </c>
      <c r="BI358" s="362">
        <f t="shared" ca="1" si="131"/>
        <v>0</v>
      </c>
      <c r="BJ358" s="362">
        <f t="shared" ca="1" si="131"/>
        <v>0</v>
      </c>
      <c r="BK358" s="362">
        <f t="shared" ca="1" si="131"/>
        <v>0</v>
      </c>
      <c r="BL358" s="362">
        <f t="shared" ca="1" si="131"/>
        <v>0</v>
      </c>
      <c r="BM358" s="362"/>
    </row>
    <row r="359" spans="27:65">
      <c r="AA359" s="360">
        <f t="shared" si="121"/>
        <v>2031</v>
      </c>
      <c r="AB359" s="362">
        <f ca="1">'GHG Emissions'!U33-AB312</f>
        <v>50404.329498097606</v>
      </c>
      <c r="AC359" s="362"/>
      <c r="AD359" s="362">
        <f t="shared" ca="1" si="122"/>
        <v>48759.337513188191</v>
      </c>
      <c r="AE359" s="362"/>
      <c r="AF359" s="362" t="str">
        <f t="shared" ca="1" si="129"/>
        <v/>
      </c>
      <c r="AG359" s="362" t="str">
        <f t="shared" ca="1" si="129"/>
        <v/>
      </c>
      <c r="AH359" s="362" t="str">
        <f t="shared" ca="1" si="129"/>
        <v/>
      </c>
      <c r="AI359" s="362" t="str">
        <f t="shared" ca="1" si="129"/>
        <v/>
      </c>
      <c r="AJ359" s="362" t="str">
        <f t="shared" ca="1" si="129"/>
        <v/>
      </c>
      <c r="AK359" s="362" t="str">
        <f t="shared" ca="1" si="129"/>
        <v/>
      </c>
      <c r="AL359" s="362" t="str">
        <f t="shared" ca="1" si="129"/>
        <v/>
      </c>
      <c r="AM359" s="362" t="str">
        <f t="shared" ca="1" si="129"/>
        <v/>
      </c>
      <c r="AN359" s="362" t="str">
        <f t="shared" ca="1" si="129"/>
        <v/>
      </c>
      <c r="AO359" s="362" t="str">
        <f t="shared" ca="1" si="129"/>
        <v/>
      </c>
      <c r="AP359" s="362" t="str">
        <f t="shared" ca="1" si="130"/>
        <v/>
      </c>
      <c r="AQ359" s="362" t="str">
        <f t="shared" ca="1" si="130"/>
        <v/>
      </c>
      <c r="AR359" s="362" t="str">
        <f t="shared" ca="1" si="130"/>
        <v/>
      </c>
      <c r="AS359" s="362" t="str">
        <f t="shared" ca="1" si="130"/>
        <v/>
      </c>
      <c r="AT359" s="362" t="str">
        <f t="shared" ca="1" si="130"/>
        <v/>
      </c>
      <c r="AU359" s="362" t="str">
        <f t="shared" ca="1" si="130"/>
        <v/>
      </c>
      <c r="AV359" s="362">
        <f t="shared" ca="1" si="130"/>
        <v>0</v>
      </c>
      <c r="AW359" s="362">
        <f t="shared" ca="1" si="130"/>
        <v>0</v>
      </c>
      <c r="AX359" s="362">
        <f t="shared" ca="1" si="130"/>
        <v>0</v>
      </c>
      <c r="AY359" s="362">
        <f t="shared" ca="1" si="130"/>
        <v>0</v>
      </c>
      <c r="AZ359" s="362">
        <f t="shared" ca="1" si="131"/>
        <v>0</v>
      </c>
      <c r="BA359" s="362">
        <f t="shared" ca="1" si="131"/>
        <v>0</v>
      </c>
      <c r="BB359" s="362">
        <f t="shared" ca="1" si="131"/>
        <v>0</v>
      </c>
      <c r="BC359" s="362">
        <f t="shared" ca="1" si="131"/>
        <v>1644.9919849094142</v>
      </c>
      <c r="BD359" s="362">
        <f t="shared" ca="1" si="131"/>
        <v>0</v>
      </c>
      <c r="BE359" s="362">
        <f t="shared" ca="1" si="131"/>
        <v>0</v>
      </c>
      <c r="BF359" s="362">
        <f t="shared" ca="1" si="131"/>
        <v>0</v>
      </c>
      <c r="BG359" s="362">
        <f t="shared" ca="1" si="131"/>
        <v>0</v>
      </c>
      <c r="BH359" s="362">
        <f t="shared" ca="1" si="131"/>
        <v>0</v>
      </c>
      <c r="BI359" s="362">
        <f t="shared" ca="1" si="131"/>
        <v>0</v>
      </c>
      <c r="BJ359" s="362">
        <f t="shared" ca="1" si="131"/>
        <v>0</v>
      </c>
      <c r="BK359" s="362">
        <f t="shared" ca="1" si="131"/>
        <v>0</v>
      </c>
      <c r="BL359" s="362">
        <f t="shared" ca="1" si="131"/>
        <v>0</v>
      </c>
      <c r="BM359" s="362"/>
    </row>
    <row r="360" spans="27:65">
      <c r="AA360" s="360">
        <f t="shared" si="121"/>
        <v>2032</v>
      </c>
      <c r="AB360" s="362">
        <f ca="1">'GHG Emissions'!U34-AB313</f>
        <v>50601.828181195277</v>
      </c>
      <c r="AC360" s="362"/>
      <c r="AD360" s="362">
        <f t="shared" ca="1" si="122"/>
        <v>48956.836196285862</v>
      </c>
      <c r="AE360" s="362"/>
      <c r="AF360" s="362" t="str">
        <f t="shared" ca="1" si="129"/>
        <v/>
      </c>
      <c r="AG360" s="362" t="str">
        <f t="shared" ca="1" si="129"/>
        <v/>
      </c>
      <c r="AH360" s="362" t="str">
        <f t="shared" ca="1" si="129"/>
        <v/>
      </c>
      <c r="AI360" s="362" t="str">
        <f t="shared" ca="1" si="129"/>
        <v/>
      </c>
      <c r="AJ360" s="362" t="str">
        <f t="shared" ca="1" si="129"/>
        <v/>
      </c>
      <c r="AK360" s="362" t="str">
        <f t="shared" ca="1" si="129"/>
        <v/>
      </c>
      <c r="AL360" s="362" t="str">
        <f t="shared" ca="1" si="129"/>
        <v/>
      </c>
      <c r="AM360" s="362" t="str">
        <f t="shared" ca="1" si="129"/>
        <v/>
      </c>
      <c r="AN360" s="362" t="str">
        <f t="shared" ca="1" si="129"/>
        <v/>
      </c>
      <c r="AO360" s="362" t="str">
        <f t="shared" ca="1" si="129"/>
        <v/>
      </c>
      <c r="AP360" s="362" t="str">
        <f t="shared" ca="1" si="130"/>
        <v/>
      </c>
      <c r="AQ360" s="362" t="str">
        <f t="shared" ca="1" si="130"/>
        <v/>
      </c>
      <c r="AR360" s="362" t="str">
        <f t="shared" ca="1" si="130"/>
        <v/>
      </c>
      <c r="AS360" s="362" t="str">
        <f t="shared" ca="1" si="130"/>
        <v/>
      </c>
      <c r="AT360" s="362" t="str">
        <f t="shared" ca="1" si="130"/>
        <v/>
      </c>
      <c r="AU360" s="362" t="str">
        <f t="shared" ca="1" si="130"/>
        <v/>
      </c>
      <c r="AV360" s="362">
        <f t="shared" ca="1" si="130"/>
        <v>0</v>
      </c>
      <c r="AW360" s="362">
        <f t="shared" ca="1" si="130"/>
        <v>0</v>
      </c>
      <c r="AX360" s="362">
        <f t="shared" ca="1" si="130"/>
        <v>0</v>
      </c>
      <c r="AY360" s="362">
        <f t="shared" ca="1" si="130"/>
        <v>0</v>
      </c>
      <c r="AZ360" s="362">
        <f t="shared" ca="1" si="131"/>
        <v>0</v>
      </c>
      <c r="BA360" s="362">
        <f t="shared" ca="1" si="131"/>
        <v>0</v>
      </c>
      <c r="BB360" s="362">
        <f t="shared" ca="1" si="131"/>
        <v>0</v>
      </c>
      <c r="BC360" s="362">
        <f t="shared" ca="1" si="131"/>
        <v>1644.9919849094142</v>
      </c>
      <c r="BD360" s="362">
        <f t="shared" ca="1" si="131"/>
        <v>0</v>
      </c>
      <c r="BE360" s="362">
        <f t="shared" ca="1" si="131"/>
        <v>0</v>
      </c>
      <c r="BF360" s="362">
        <f t="shared" ca="1" si="131"/>
        <v>0</v>
      </c>
      <c r="BG360" s="362">
        <f t="shared" ca="1" si="131"/>
        <v>0</v>
      </c>
      <c r="BH360" s="362">
        <f t="shared" ca="1" si="131"/>
        <v>0</v>
      </c>
      <c r="BI360" s="362">
        <f t="shared" ca="1" si="131"/>
        <v>0</v>
      </c>
      <c r="BJ360" s="362">
        <f t="shared" ca="1" si="131"/>
        <v>0</v>
      </c>
      <c r="BK360" s="362">
        <f t="shared" ca="1" si="131"/>
        <v>0</v>
      </c>
      <c r="BL360" s="362">
        <f t="shared" ca="1" si="131"/>
        <v>0</v>
      </c>
      <c r="BM360" s="362"/>
    </row>
    <row r="361" spans="27:65">
      <c r="AA361" s="360">
        <f t="shared" si="121"/>
        <v>2033</v>
      </c>
      <c r="AB361" s="362">
        <f ca="1">'GHG Emissions'!U35-AB314</f>
        <v>50798.786405779072</v>
      </c>
      <c r="AC361" s="362"/>
      <c r="AD361" s="362">
        <f t="shared" ca="1" si="122"/>
        <v>49153.794420869657</v>
      </c>
      <c r="AE361" s="362"/>
      <c r="AF361" s="362" t="str">
        <f t="shared" ca="1" si="129"/>
        <v/>
      </c>
      <c r="AG361" s="362" t="str">
        <f t="shared" ca="1" si="129"/>
        <v/>
      </c>
      <c r="AH361" s="362" t="str">
        <f t="shared" ca="1" si="129"/>
        <v/>
      </c>
      <c r="AI361" s="362" t="str">
        <f t="shared" ca="1" si="129"/>
        <v/>
      </c>
      <c r="AJ361" s="362" t="str">
        <f t="shared" ca="1" si="129"/>
        <v/>
      </c>
      <c r="AK361" s="362" t="str">
        <f t="shared" ca="1" si="129"/>
        <v/>
      </c>
      <c r="AL361" s="362" t="str">
        <f t="shared" ca="1" si="129"/>
        <v/>
      </c>
      <c r="AM361" s="362" t="str">
        <f t="shared" ca="1" si="129"/>
        <v/>
      </c>
      <c r="AN361" s="362" t="str">
        <f t="shared" ca="1" si="129"/>
        <v/>
      </c>
      <c r="AO361" s="362" t="str">
        <f t="shared" ca="1" si="129"/>
        <v/>
      </c>
      <c r="AP361" s="362" t="str">
        <f t="shared" ca="1" si="130"/>
        <v/>
      </c>
      <c r="AQ361" s="362" t="str">
        <f t="shared" ca="1" si="130"/>
        <v/>
      </c>
      <c r="AR361" s="362" t="str">
        <f t="shared" ca="1" si="130"/>
        <v/>
      </c>
      <c r="AS361" s="362" t="str">
        <f t="shared" ca="1" si="130"/>
        <v/>
      </c>
      <c r="AT361" s="362" t="str">
        <f t="shared" ca="1" si="130"/>
        <v/>
      </c>
      <c r="AU361" s="362" t="str">
        <f t="shared" ca="1" si="130"/>
        <v/>
      </c>
      <c r="AV361" s="362">
        <f t="shared" ca="1" si="130"/>
        <v>0</v>
      </c>
      <c r="AW361" s="362">
        <f t="shared" ca="1" si="130"/>
        <v>0</v>
      </c>
      <c r="AX361" s="362">
        <f t="shared" ca="1" si="130"/>
        <v>0</v>
      </c>
      <c r="AY361" s="362">
        <f t="shared" ca="1" si="130"/>
        <v>0</v>
      </c>
      <c r="AZ361" s="362">
        <f t="shared" ca="1" si="131"/>
        <v>0</v>
      </c>
      <c r="BA361" s="362">
        <f t="shared" ca="1" si="131"/>
        <v>0</v>
      </c>
      <c r="BB361" s="362">
        <f t="shared" ca="1" si="131"/>
        <v>0</v>
      </c>
      <c r="BC361" s="362">
        <f t="shared" ca="1" si="131"/>
        <v>1644.9919849094142</v>
      </c>
      <c r="BD361" s="362">
        <f t="shared" ca="1" si="131"/>
        <v>0</v>
      </c>
      <c r="BE361" s="362">
        <f t="shared" ca="1" si="131"/>
        <v>0</v>
      </c>
      <c r="BF361" s="362">
        <f t="shared" ca="1" si="131"/>
        <v>0</v>
      </c>
      <c r="BG361" s="362">
        <f t="shared" ca="1" si="131"/>
        <v>0</v>
      </c>
      <c r="BH361" s="362">
        <f t="shared" ca="1" si="131"/>
        <v>0</v>
      </c>
      <c r="BI361" s="362">
        <f t="shared" ca="1" si="131"/>
        <v>0</v>
      </c>
      <c r="BJ361" s="362">
        <f t="shared" ca="1" si="131"/>
        <v>0</v>
      </c>
      <c r="BK361" s="362">
        <f t="shared" ca="1" si="131"/>
        <v>0</v>
      </c>
      <c r="BL361" s="362">
        <f t="shared" ca="1" si="131"/>
        <v>0</v>
      </c>
      <c r="BM361" s="362"/>
    </row>
    <row r="362" spans="27:65">
      <c r="AA362" s="360">
        <f t="shared" si="121"/>
        <v>2034</v>
      </c>
      <c r="AB362" s="362">
        <f ca="1">'GHG Emissions'!U36-AB315</f>
        <v>50995.237620635096</v>
      </c>
      <c r="AC362" s="362"/>
      <c r="AD362" s="362">
        <f t="shared" ca="1" si="122"/>
        <v>49350.245635725681</v>
      </c>
      <c r="AE362" s="362"/>
      <c r="AF362" s="362" t="str">
        <f t="shared" ca="1" si="129"/>
        <v/>
      </c>
      <c r="AG362" s="362" t="str">
        <f t="shared" ca="1" si="129"/>
        <v/>
      </c>
      <c r="AH362" s="362" t="str">
        <f t="shared" ca="1" si="129"/>
        <v/>
      </c>
      <c r="AI362" s="362" t="str">
        <f t="shared" ca="1" si="129"/>
        <v/>
      </c>
      <c r="AJ362" s="362" t="str">
        <f t="shared" ca="1" si="129"/>
        <v/>
      </c>
      <c r="AK362" s="362" t="str">
        <f t="shared" ca="1" si="129"/>
        <v/>
      </c>
      <c r="AL362" s="362" t="str">
        <f t="shared" ca="1" si="129"/>
        <v/>
      </c>
      <c r="AM362" s="362" t="str">
        <f t="shared" ca="1" si="129"/>
        <v/>
      </c>
      <c r="AN362" s="362" t="str">
        <f t="shared" ca="1" si="129"/>
        <v/>
      </c>
      <c r="AO362" s="362" t="str">
        <f t="shared" ca="1" si="129"/>
        <v/>
      </c>
      <c r="AP362" s="362" t="str">
        <f t="shared" ca="1" si="130"/>
        <v/>
      </c>
      <c r="AQ362" s="362" t="str">
        <f t="shared" ca="1" si="130"/>
        <v/>
      </c>
      <c r="AR362" s="362" t="str">
        <f t="shared" ca="1" si="130"/>
        <v/>
      </c>
      <c r="AS362" s="362" t="str">
        <f t="shared" ca="1" si="130"/>
        <v/>
      </c>
      <c r="AT362" s="362" t="str">
        <f t="shared" ca="1" si="130"/>
        <v/>
      </c>
      <c r="AU362" s="362" t="str">
        <f t="shared" ca="1" si="130"/>
        <v/>
      </c>
      <c r="AV362" s="362">
        <f t="shared" ca="1" si="130"/>
        <v>0</v>
      </c>
      <c r="AW362" s="362">
        <f t="shared" ca="1" si="130"/>
        <v>0</v>
      </c>
      <c r="AX362" s="362">
        <f t="shared" ca="1" si="130"/>
        <v>0</v>
      </c>
      <c r="AY362" s="362">
        <f t="shared" ca="1" si="130"/>
        <v>0</v>
      </c>
      <c r="AZ362" s="362">
        <f t="shared" ca="1" si="131"/>
        <v>0</v>
      </c>
      <c r="BA362" s="362">
        <f t="shared" ca="1" si="131"/>
        <v>0</v>
      </c>
      <c r="BB362" s="362">
        <f t="shared" ca="1" si="131"/>
        <v>0</v>
      </c>
      <c r="BC362" s="362">
        <f t="shared" ca="1" si="131"/>
        <v>1644.9919849094142</v>
      </c>
      <c r="BD362" s="362">
        <f t="shared" ca="1" si="131"/>
        <v>0</v>
      </c>
      <c r="BE362" s="362">
        <f t="shared" ca="1" si="131"/>
        <v>0</v>
      </c>
      <c r="BF362" s="362">
        <f t="shared" ca="1" si="131"/>
        <v>0</v>
      </c>
      <c r="BG362" s="362">
        <f t="shared" ca="1" si="131"/>
        <v>0</v>
      </c>
      <c r="BH362" s="362">
        <f t="shared" ca="1" si="131"/>
        <v>0</v>
      </c>
      <c r="BI362" s="362">
        <f t="shared" ca="1" si="131"/>
        <v>0</v>
      </c>
      <c r="BJ362" s="362">
        <f t="shared" ca="1" si="131"/>
        <v>0</v>
      </c>
      <c r="BK362" s="362">
        <f t="shared" ca="1" si="131"/>
        <v>0</v>
      </c>
      <c r="BL362" s="362">
        <f t="shared" ca="1" si="131"/>
        <v>0</v>
      </c>
      <c r="BM362" s="362"/>
    </row>
    <row r="363" spans="27:65">
      <c r="AA363" s="360">
        <f t="shared" si="121"/>
        <v>2035</v>
      </c>
      <c r="AB363" s="362">
        <f ca="1">'GHG Emissions'!U37-AB316</f>
        <v>51191.211960391214</v>
      </c>
      <c r="AC363" s="362"/>
      <c r="AD363" s="362">
        <f t="shared" ca="1" si="122"/>
        <v>49546.219975481799</v>
      </c>
      <c r="AE363" s="362"/>
      <c r="AF363" s="362" t="str">
        <f t="shared" ca="1" si="129"/>
        <v/>
      </c>
      <c r="AG363" s="362" t="str">
        <f t="shared" ca="1" si="129"/>
        <v/>
      </c>
      <c r="AH363" s="362" t="str">
        <f t="shared" ca="1" si="129"/>
        <v/>
      </c>
      <c r="AI363" s="362" t="str">
        <f t="shared" ca="1" si="129"/>
        <v/>
      </c>
      <c r="AJ363" s="362" t="str">
        <f t="shared" ca="1" si="129"/>
        <v/>
      </c>
      <c r="AK363" s="362" t="str">
        <f t="shared" ca="1" si="129"/>
        <v/>
      </c>
      <c r="AL363" s="362" t="str">
        <f t="shared" ca="1" si="129"/>
        <v/>
      </c>
      <c r="AM363" s="362" t="str">
        <f t="shared" ca="1" si="129"/>
        <v/>
      </c>
      <c r="AN363" s="362" t="str">
        <f t="shared" ca="1" si="129"/>
        <v/>
      </c>
      <c r="AO363" s="362" t="str">
        <f t="shared" ca="1" si="129"/>
        <v/>
      </c>
      <c r="AP363" s="362" t="str">
        <f t="shared" ca="1" si="130"/>
        <v/>
      </c>
      <c r="AQ363" s="362" t="str">
        <f t="shared" ca="1" si="130"/>
        <v/>
      </c>
      <c r="AR363" s="362" t="str">
        <f t="shared" ca="1" si="130"/>
        <v/>
      </c>
      <c r="AS363" s="362" t="str">
        <f t="shared" ca="1" si="130"/>
        <v/>
      </c>
      <c r="AT363" s="362" t="str">
        <f t="shared" ca="1" si="130"/>
        <v/>
      </c>
      <c r="AU363" s="362" t="str">
        <f t="shared" ca="1" si="130"/>
        <v/>
      </c>
      <c r="AV363" s="362">
        <f t="shared" ca="1" si="130"/>
        <v>0</v>
      </c>
      <c r="AW363" s="362">
        <f t="shared" ca="1" si="130"/>
        <v>0</v>
      </c>
      <c r="AX363" s="362">
        <f t="shared" ca="1" si="130"/>
        <v>0</v>
      </c>
      <c r="AY363" s="362">
        <f t="shared" ca="1" si="130"/>
        <v>0</v>
      </c>
      <c r="AZ363" s="362">
        <f t="shared" ca="1" si="131"/>
        <v>0</v>
      </c>
      <c r="BA363" s="362">
        <f t="shared" ca="1" si="131"/>
        <v>0</v>
      </c>
      <c r="BB363" s="362">
        <f t="shared" ca="1" si="131"/>
        <v>0</v>
      </c>
      <c r="BC363" s="362">
        <f t="shared" ca="1" si="131"/>
        <v>1644.9919849094142</v>
      </c>
      <c r="BD363" s="362">
        <f t="shared" ca="1" si="131"/>
        <v>0</v>
      </c>
      <c r="BE363" s="362">
        <f t="shared" ca="1" si="131"/>
        <v>0</v>
      </c>
      <c r="BF363" s="362">
        <f t="shared" ca="1" si="131"/>
        <v>0</v>
      </c>
      <c r="BG363" s="362">
        <f t="shared" ca="1" si="131"/>
        <v>0</v>
      </c>
      <c r="BH363" s="362">
        <f t="shared" ca="1" si="131"/>
        <v>0</v>
      </c>
      <c r="BI363" s="362">
        <f t="shared" ca="1" si="131"/>
        <v>0</v>
      </c>
      <c r="BJ363" s="362">
        <f t="shared" ca="1" si="131"/>
        <v>0</v>
      </c>
      <c r="BK363" s="362">
        <f t="shared" ca="1" si="131"/>
        <v>0</v>
      </c>
      <c r="BL363" s="362">
        <f t="shared" ca="1" si="131"/>
        <v>0</v>
      </c>
      <c r="BM363" s="362"/>
    </row>
    <row r="364" spans="27:65">
      <c r="AA364" s="360">
        <f t="shared" si="121"/>
        <v>2036</v>
      </c>
      <c r="AB364" s="362">
        <f ca="1">'GHG Emissions'!U38-AB317</f>
        <v>51386.736687792902</v>
      </c>
      <c r="AC364" s="362"/>
      <c r="AD364" s="362">
        <f t="shared" ca="1" si="122"/>
        <v>49741.744702883487</v>
      </c>
      <c r="AE364" s="362"/>
      <c r="AF364" s="362" t="str">
        <f t="shared" ca="1" si="129"/>
        <v/>
      </c>
      <c r="AG364" s="362" t="str">
        <f t="shared" ca="1" si="129"/>
        <v/>
      </c>
      <c r="AH364" s="362" t="str">
        <f t="shared" ca="1" si="129"/>
        <v/>
      </c>
      <c r="AI364" s="362" t="str">
        <f t="shared" ca="1" si="129"/>
        <v/>
      </c>
      <c r="AJ364" s="362" t="str">
        <f t="shared" ca="1" si="129"/>
        <v/>
      </c>
      <c r="AK364" s="362" t="str">
        <f t="shared" ca="1" si="129"/>
        <v/>
      </c>
      <c r="AL364" s="362" t="str">
        <f t="shared" ca="1" si="129"/>
        <v/>
      </c>
      <c r="AM364" s="362" t="str">
        <f t="shared" ca="1" si="129"/>
        <v/>
      </c>
      <c r="AN364" s="362" t="str">
        <f t="shared" ca="1" si="129"/>
        <v/>
      </c>
      <c r="AO364" s="362" t="str">
        <f t="shared" ca="1" si="129"/>
        <v/>
      </c>
      <c r="AP364" s="362" t="str">
        <f t="shared" ca="1" si="130"/>
        <v/>
      </c>
      <c r="AQ364" s="362" t="str">
        <f t="shared" ca="1" si="130"/>
        <v/>
      </c>
      <c r="AR364" s="362" t="str">
        <f t="shared" ca="1" si="130"/>
        <v/>
      </c>
      <c r="AS364" s="362" t="str">
        <f t="shared" ca="1" si="130"/>
        <v/>
      </c>
      <c r="AT364" s="362" t="str">
        <f t="shared" ca="1" si="130"/>
        <v/>
      </c>
      <c r="AU364" s="362" t="str">
        <f t="shared" ca="1" si="130"/>
        <v/>
      </c>
      <c r="AV364" s="362">
        <f t="shared" ca="1" si="130"/>
        <v>0</v>
      </c>
      <c r="AW364" s="362">
        <f t="shared" ca="1" si="130"/>
        <v>0</v>
      </c>
      <c r="AX364" s="362">
        <f t="shared" ca="1" si="130"/>
        <v>0</v>
      </c>
      <c r="AY364" s="362">
        <f t="shared" ca="1" si="130"/>
        <v>0</v>
      </c>
      <c r="AZ364" s="362">
        <f t="shared" ca="1" si="131"/>
        <v>0</v>
      </c>
      <c r="BA364" s="362">
        <f t="shared" ca="1" si="131"/>
        <v>0</v>
      </c>
      <c r="BB364" s="362">
        <f t="shared" ca="1" si="131"/>
        <v>0</v>
      </c>
      <c r="BC364" s="362">
        <f t="shared" ca="1" si="131"/>
        <v>1644.9919849094142</v>
      </c>
      <c r="BD364" s="362">
        <f t="shared" ca="1" si="131"/>
        <v>0</v>
      </c>
      <c r="BE364" s="362">
        <f t="shared" ca="1" si="131"/>
        <v>0</v>
      </c>
      <c r="BF364" s="362">
        <f t="shared" ca="1" si="131"/>
        <v>0</v>
      </c>
      <c r="BG364" s="362">
        <f t="shared" ca="1" si="131"/>
        <v>0</v>
      </c>
      <c r="BH364" s="362">
        <f t="shared" ca="1" si="131"/>
        <v>0</v>
      </c>
      <c r="BI364" s="362">
        <f t="shared" ca="1" si="131"/>
        <v>0</v>
      </c>
      <c r="BJ364" s="362">
        <f t="shared" ca="1" si="131"/>
        <v>0</v>
      </c>
      <c r="BK364" s="362">
        <f t="shared" ca="1" si="131"/>
        <v>0</v>
      </c>
      <c r="BL364" s="362">
        <f t="shared" ca="1" si="131"/>
        <v>0</v>
      </c>
      <c r="BM364" s="362"/>
    </row>
    <row r="365" spans="27:65">
      <c r="AA365" s="360">
        <f t="shared" si="121"/>
        <v>2037</v>
      </c>
      <c r="AB365" s="362">
        <f ca="1">'GHG Emissions'!U39-AB318</f>
        <v>51581.836562868324</v>
      </c>
      <c r="AC365" s="362"/>
      <c r="AD365" s="362">
        <f t="shared" ca="1" si="122"/>
        <v>49936.844577958909</v>
      </c>
      <c r="AE365" s="362"/>
      <c r="AF365" s="362" t="str">
        <f t="shared" ca="1" si="129"/>
        <v/>
      </c>
      <c r="AG365" s="362" t="str">
        <f t="shared" ca="1" si="129"/>
        <v/>
      </c>
      <c r="AH365" s="362" t="str">
        <f t="shared" ca="1" si="129"/>
        <v/>
      </c>
      <c r="AI365" s="362" t="str">
        <f t="shared" ca="1" si="129"/>
        <v/>
      </c>
      <c r="AJ365" s="362" t="str">
        <f t="shared" ca="1" si="129"/>
        <v/>
      </c>
      <c r="AK365" s="362" t="str">
        <f t="shared" ca="1" si="129"/>
        <v/>
      </c>
      <c r="AL365" s="362" t="str">
        <f t="shared" ca="1" si="129"/>
        <v/>
      </c>
      <c r="AM365" s="362" t="str">
        <f t="shared" ca="1" si="129"/>
        <v/>
      </c>
      <c r="AN365" s="362" t="str">
        <f t="shared" ca="1" si="129"/>
        <v/>
      </c>
      <c r="AO365" s="362" t="str">
        <f t="shared" ca="1" si="129"/>
        <v/>
      </c>
      <c r="AP365" s="362" t="str">
        <f t="shared" ca="1" si="130"/>
        <v/>
      </c>
      <c r="AQ365" s="362" t="str">
        <f t="shared" ca="1" si="130"/>
        <v/>
      </c>
      <c r="AR365" s="362" t="str">
        <f t="shared" ca="1" si="130"/>
        <v/>
      </c>
      <c r="AS365" s="362" t="str">
        <f t="shared" ca="1" si="130"/>
        <v/>
      </c>
      <c r="AT365" s="362" t="str">
        <f t="shared" ca="1" si="130"/>
        <v/>
      </c>
      <c r="AU365" s="362" t="str">
        <f t="shared" ca="1" si="130"/>
        <v/>
      </c>
      <c r="AV365" s="362">
        <f t="shared" ca="1" si="130"/>
        <v>0</v>
      </c>
      <c r="AW365" s="362">
        <f t="shared" ca="1" si="130"/>
        <v>0</v>
      </c>
      <c r="AX365" s="362">
        <f t="shared" ca="1" si="130"/>
        <v>0</v>
      </c>
      <c r="AY365" s="362">
        <f t="shared" ca="1" si="130"/>
        <v>0</v>
      </c>
      <c r="AZ365" s="362">
        <f t="shared" ca="1" si="131"/>
        <v>0</v>
      </c>
      <c r="BA365" s="362">
        <f t="shared" ca="1" si="131"/>
        <v>0</v>
      </c>
      <c r="BB365" s="362">
        <f t="shared" ca="1" si="131"/>
        <v>0</v>
      </c>
      <c r="BC365" s="362">
        <f t="shared" ca="1" si="131"/>
        <v>1644.9919849094142</v>
      </c>
      <c r="BD365" s="362">
        <f t="shared" ca="1" si="131"/>
        <v>0</v>
      </c>
      <c r="BE365" s="362">
        <f t="shared" ca="1" si="131"/>
        <v>0</v>
      </c>
      <c r="BF365" s="362">
        <f t="shared" ca="1" si="131"/>
        <v>0</v>
      </c>
      <c r="BG365" s="362">
        <f t="shared" ca="1" si="131"/>
        <v>0</v>
      </c>
      <c r="BH365" s="362">
        <f t="shared" ca="1" si="131"/>
        <v>0</v>
      </c>
      <c r="BI365" s="362">
        <f t="shared" ca="1" si="131"/>
        <v>0</v>
      </c>
      <c r="BJ365" s="362">
        <f t="shared" ca="1" si="131"/>
        <v>0</v>
      </c>
      <c r="BK365" s="362">
        <f t="shared" ca="1" si="131"/>
        <v>0</v>
      </c>
      <c r="BL365" s="362">
        <f t="shared" ca="1" si="131"/>
        <v>0</v>
      </c>
      <c r="BM365" s="362"/>
    </row>
    <row r="366" spans="27:65">
      <c r="AA366" s="360">
        <f t="shared" si="121"/>
        <v>2038</v>
      </c>
      <c r="AB366" s="362">
        <f ca="1">'GHG Emissions'!U40-AB319</f>
        <v>51776.534153233348</v>
      </c>
      <c r="AC366" s="362"/>
      <c r="AD366" s="362">
        <f t="shared" ca="1" si="122"/>
        <v>50131.542168323933</v>
      </c>
      <c r="AE366" s="362"/>
      <c r="AF366" s="362" t="str">
        <f t="shared" ca="1" si="129"/>
        <v/>
      </c>
      <c r="AG366" s="362" t="str">
        <f t="shared" ca="1" si="129"/>
        <v/>
      </c>
      <c r="AH366" s="362" t="str">
        <f t="shared" ca="1" si="129"/>
        <v/>
      </c>
      <c r="AI366" s="362" t="str">
        <f t="shared" ca="1" si="129"/>
        <v/>
      </c>
      <c r="AJ366" s="362" t="str">
        <f t="shared" ca="1" si="129"/>
        <v/>
      </c>
      <c r="AK366" s="362" t="str">
        <f t="shared" ca="1" si="129"/>
        <v/>
      </c>
      <c r="AL366" s="362" t="str">
        <f t="shared" ca="1" si="129"/>
        <v/>
      </c>
      <c r="AM366" s="362" t="str">
        <f t="shared" ca="1" si="129"/>
        <v/>
      </c>
      <c r="AN366" s="362" t="str">
        <f t="shared" ca="1" si="129"/>
        <v/>
      </c>
      <c r="AO366" s="362" t="str">
        <f t="shared" ca="1" si="129"/>
        <v/>
      </c>
      <c r="AP366" s="362" t="str">
        <f t="shared" ca="1" si="130"/>
        <v/>
      </c>
      <c r="AQ366" s="362" t="str">
        <f t="shared" ca="1" si="130"/>
        <v/>
      </c>
      <c r="AR366" s="362" t="str">
        <f t="shared" ca="1" si="130"/>
        <v/>
      </c>
      <c r="AS366" s="362" t="str">
        <f t="shared" ca="1" si="130"/>
        <v/>
      </c>
      <c r="AT366" s="362" t="str">
        <f t="shared" ca="1" si="130"/>
        <v/>
      </c>
      <c r="AU366" s="362" t="str">
        <f t="shared" ca="1" si="130"/>
        <v/>
      </c>
      <c r="AV366" s="362">
        <f t="shared" ca="1" si="130"/>
        <v>0</v>
      </c>
      <c r="AW366" s="362">
        <f t="shared" ca="1" si="130"/>
        <v>0</v>
      </c>
      <c r="AX366" s="362">
        <f t="shared" ca="1" si="130"/>
        <v>0</v>
      </c>
      <c r="AY366" s="362">
        <f t="shared" ca="1" si="130"/>
        <v>0</v>
      </c>
      <c r="AZ366" s="362">
        <f t="shared" ca="1" si="131"/>
        <v>0</v>
      </c>
      <c r="BA366" s="362">
        <f t="shared" ca="1" si="131"/>
        <v>0</v>
      </c>
      <c r="BB366" s="362">
        <f t="shared" ca="1" si="131"/>
        <v>0</v>
      </c>
      <c r="BC366" s="362">
        <f t="shared" ca="1" si="131"/>
        <v>1644.9919849094142</v>
      </c>
      <c r="BD366" s="362">
        <f t="shared" ca="1" si="131"/>
        <v>0</v>
      </c>
      <c r="BE366" s="362">
        <f t="shared" ca="1" si="131"/>
        <v>0</v>
      </c>
      <c r="BF366" s="362">
        <f t="shared" ca="1" si="131"/>
        <v>0</v>
      </c>
      <c r="BG366" s="362">
        <f t="shared" ca="1" si="131"/>
        <v>0</v>
      </c>
      <c r="BH366" s="362">
        <f t="shared" ca="1" si="131"/>
        <v>0</v>
      </c>
      <c r="BI366" s="362">
        <f t="shared" ca="1" si="131"/>
        <v>0</v>
      </c>
      <c r="BJ366" s="362">
        <f t="shared" ca="1" si="131"/>
        <v>0</v>
      </c>
      <c r="BK366" s="362">
        <f t="shared" ca="1" si="131"/>
        <v>0</v>
      </c>
      <c r="BL366" s="362">
        <f t="shared" ca="1" si="131"/>
        <v>0</v>
      </c>
      <c r="BM366" s="362"/>
    </row>
    <row r="367" spans="27:65">
      <c r="AA367" s="360">
        <f t="shared" si="121"/>
        <v>2039</v>
      </c>
      <c r="AB367" s="362">
        <f ca="1">'GHG Emissions'!U41-AB320</f>
        <v>51970.850096615366</v>
      </c>
      <c r="AC367" s="362"/>
      <c r="AD367" s="362">
        <f t="shared" ca="1" si="122"/>
        <v>50325.858111705951</v>
      </c>
      <c r="AE367" s="362"/>
      <c r="AF367" s="362" t="str">
        <f t="shared" ca="1" si="129"/>
        <v/>
      </c>
      <c r="AG367" s="362" t="str">
        <f t="shared" ca="1" si="129"/>
        <v/>
      </c>
      <c r="AH367" s="362" t="str">
        <f t="shared" ca="1" si="129"/>
        <v/>
      </c>
      <c r="AI367" s="362" t="str">
        <f t="shared" ca="1" si="129"/>
        <v/>
      </c>
      <c r="AJ367" s="362" t="str">
        <f t="shared" ca="1" si="129"/>
        <v/>
      </c>
      <c r="AK367" s="362" t="str">
        <f t="shared" ca="1" si="129"/>
        <v/>
      </c>
      <c r="AL367" s="362" t="str">
        <f t="shared" ca="1" si="129"/>
        <v/>
      </c>
      <c r="AM367" s="362" t="str">
        <f t="shared" ca="1" si="129"/>
        <v/>
      </c>
      <c r="AN367" s="362" t="str">
        <f t="shared" ca="1" si="129"/>
        <v/>
      </c>
      <c r="AO367" s="362" t="str">
        <f t="shared" ca="1" si="129"/>
        <v/>
      </c>
      <c r="AP367" s="362" t="str">
        <f t="shared" ca="1" si="130"/>
        <v/>
      </c>
      <c r="AQ367" s="362" t="str">
        <f t="shared" ca="1" si="130"/>
        <v/>
      </c>
      <c r="AR367" s="362" t="str">
        <f t="shared" ca="1" si="130"/>
        <v/>
      </c>
      <c r="AS367" s="362" t="str">
        <f t="shared" ca="1" si="130"/>
        <v/>
      </c>
      <c r="AT367" s="362" t="str">
        <f t="shared" ca="1" si="130"/>
        <v/>
      </c>
      <c r="AU367" s="362" t="str">
        <f t="shared" ca="1" si="130"/>
        <v/>
      </c>
      <c r="AV367" s="362">
        <f t="shared" ca="1" si="130"/>
        <v>0</v>
      </c>
      <c r="AW367" s="362">
        <f t="shared" ca="1" si="130"/>
        <v>0</v>
      </c>
      <c r="AX367" s="362">
        <f t="shared" ca="1" si="130"/>
        <v>0</v>
      </c>
      <c r="AY367" s="362">
        <f t="shared" ca="1" si="130"/>
        <v>0</v>
      </c>
      <c r="AZ367" s="362">
        <f t="shared" ca="1" si="131"/>
        <v>0</v>
      </c>
      <c r="BA367" s="362">
        <f t="shared" ca="1" si="131"/>
        <v>0</v>
      </c>
      <c r="BB367" s="362">
        <f t="shared" ca="1" si="131"/>
        <v>0</v>
      </c>
      <c r="BC367" s="362">
        <f t="shared" ca="1" si="131"/>
        <v>1644.9919849094142</v>
      </c>
      <c r="BD367" s="362">
        <f t="shared" ca="1" si="131"/>
        <v>0</v>
      </c>
      <c r="BE367" s="362">
        <f t="shared" ca="1" si="131"/>
        <v>0</v>
      </c>
      <c r="BF367" s="362">
        <f t="shared" ca="1" si="131"/>
        <v>0</v>
      </c>
      <c r="BG367" s="362">
        <f t="shared" ca="1" si="131"/>
        <v>0</v>
      </c>
      <c r="BH367" s="362">
        <f t="shared" ca="1" si="131"/>
        <v>0</v>
      </c>
      <c r="BI367" s="362">
        <f t="shared" ca="1" si="131"/>
        <v>0</v>
      </c>
      <c r="BJ367" s="362">
        <f t="shared" ca="1" si="131"/>
        <v>0</v>
      </c>
      <c r="BK367" s="362">
        <f t="shared" ca="1" si="131"/>
        <v>0</v>
      </c>
      <c r="BL367" s="362">
        <f t="shared" ca="1" si="131"/>
        <v>0</v>
      </c>
      <c r="BM367" s="362"/>
    </row>
    <row r="368" spans="27:65">
      <c r="AA368" s="360">
        <f t="shared" si="121"/>
        <v>2040</v>
      </c>
      <c r="AB368" s="362">
        <f ca="1">'GHG Emissions'!U42-AB321</f>
        <v>52164.803324292407</v>
      </c>
      <c r="AC368" s="362"/>
      <c r="AD368" s="362">
        <f t="shared" ca="1" si="122"/>
        <v>50519.811339382992</v>
      </c>
      <c r="AE368" s="362"/>
      <c r="AF368" s="362" t="str">
        <f t="shared" ref="AF368:AO378" ca="1" si="132">IFERROR(-HLOOKUP(AF$50,Scope3CommuteTable,$AA368-$AA$291+2,FALSE),"")</f>
        <v/>
      </c>
      <c r="AG368" s="362" t="str">
        <f t="shared" ca="1" si="132"/>
        <v/>
      </c>
      <c r="AH368" s="362" t="str">
        <f t="shared" ca="1" si="132"/>
        <v/>
      </c>
      <c r="AI368" s="362" t="str">
        <f t="shared" ca="1" si="132"/>
        <v/>
      </c>
      <c r="AJ368" s="362" t="str">
        <f t="shared" ca="1" si="132"/>
        <v/>
      </c>
      <c r="AK368" s="362" t="str">
        <f t="shared" ca="1" si="132"/>
        <v/>
      </c>
      <c r="AL368" s="362" t="str">
        <f t="shared" ca="1" si="132"/>
        <v/>
      </c>
      <c r="AM368" s="362" t="str">
        <f t="shared" ca="1" si="132"/>
        <v/>
      </c>
      <c r="AN368" s="362" t="str">
        <f t="shared" ca="1" si="132"/>
        <v/>
      </c>
      <c r="AO368" s="362" t="str">
        <f t="shared" ca="1" si="132"/>
        <v/>
      </c>
      <c r="AP368" s="362" t="str">
        <f t="shared" ref="AP368:AY378" ca="1" si="133">IFERROR(-HLOOKUP(AP$50,Scope3CommuteTable,$AA368-$AA$291+2,FALSE),"")</f>
        <v/>
      </c>
      <c r="AQ368" s="362" t="str">
        <f t="shared" ca="1" si="133"/>
        <v/>
      </c>
      <c r="AR368" s="362" t="str">
        <f t="shared" ca="1" si="133"/>
        <v/>
      </c>
      <c r="AS368" s="362" t="str">
        <f t="shared" ca="1" si="133"/>
        <v/>
      </c>
      <c r="AT368" s="362" t="str">
        <f t="shared" ca="1" si="133"/>
        <v/>
      </c>
      <c r="AU368" s="362" t="str">
        <f t="shared" ca="1" si="133"/>
        <v/>
      </c>
      <c r="AV368" s="362">
        <f t="shared" ca="1" si="133"/>
        <v>0</v>
      </c>
      <c r="AW368" s="362">
        <f t="shared" ca="1" si="133"/>
        <v>0</v>
      </c>
      <c r="AX368" s="362">
        <f t="shared" ca="1" si="133"/>
        <v>0</v>
      </c>
      <c r="AY368" s="362">
        <f t="shared" ca="1" si="133"/>
        <v>0</v>
      </c>
      <c r="AZ368" s="362">
        <f t="shared" ref="AZ368:BL378" ca="1" si="134">IFERROR(-HLOOKUP(AZ$50,Scope3CommuteTable,$AA368-$AA$291+2,FALSE),"")</f>
        <v>0</v>
      </c>
      <c r="BA368" s="362">
        <f t="shared" ca="1" si="134"/>
        <v>0</v>
      </c>
      <c r="BB368" s="362">
        <f t="shared" ca="1" si="134"/>
        <v>0</v>
      </c>
      <c r="BC368" s="362">
        <f t="shared" ca="1" si="134"/>
        <v>1644.9919849094142</v>
      </c>
      <c r="BD368" s="362">
        <f t="shared" ca="1" si="134"/>
        <v>0</v>
      </c>
      <c r="BE368" s="362">
        <f t="shared" ca="1" si="134"/>
        <v>0</v>
      </c>
      <c r="BF368" s="362">
        <f t="shared" ca="1" si="134"/>
        <v>0</v>
      </c>
      <c r="BG368" s="362">
        <f t="shared" ca="1" si="134"/>
        <v>0</v>
      </c>
      <c r="BH368" s="362">
        <f t="shared" ca="1" si="134"/>
        <v>0</v>
      </c>
      <c r="BI368" s="362">
        <f t="shared" ca="1" si="134"/>
        <v>0</v>
      </c>
      <c r="BJ368" s="362">
        <f t="shared" ca="1" si="134"/>
        <v>0</v>
      </c>
      <c r="BK368" s="362">
        <f t="shared" ca="1" si="134"/>
        <v>0</v>
      </c>
      <c r="BL368" s="362">
        <f t="shared" ca="1" si="134"/>
        <v>0</v>
      </c>
      <c r="BM368" s="362"/>
    </row>
    <row r="369" spans="22:76">
      <c r="AA369" s="360">
        <f t="shared" si="121"/>
        <v>2041</v>
      </c>
      <c r="AB369" s="362">
        <f ca="1">'GHG Emissions'!U43-AB322</f>
        <v>52358.411252332233</v>
      </c>
      <c r="AC369" s="362"/>
      <c r="AD369" s="362">
        <f t="shared" ca="1" si="122"/>
        <v>50713.419267422818</v>
      </c>
      <c r="AE369" s="362"/>
      <c r="AF369" s="362" t="str">
        <f t="shared" ca="1" si="132"/>
        <v/>
      </c>
      <c r="AG369" s="362" t="str">
        <f t="shared" ca="1" si="132"/>
        <v/>
      </c>
      <c r="AH369" s="362" t="str">
        <f t="shared" ca="1" si="132"/>
        <v/>
      </c>
      <c r="AI369" s="362" t="str">
        <f t="shared" ca="1" si="132"/>
        <v/>
      </c>
      <c r="AJ369" s="362" t="str">
        <f t="shared" ca="1" si="132"/>
        <v/>
      </c>
      <c r="AK369" s="362" t="str">
        <f t="shared" ca="1" si="132"/>
        <v/>
      </c>
      <c r="AL369" s="362" t="str">
        <f t="shared" ca="1" si="132"/>
        <v/>
      </c>
      <c r="AM369" s="362" t="str">
        <f t="shared" ca="1" si="132"/>
        <v/>
      </c>
      <c r="AN369" s="362" t="str">
        <f t="shared" ca="1" si="132"/>
        <v/>
      </c>
      <c r="AO369" s="362" t="str">
        <f t="shared" ca="1" si="132"/>
        <v/>
      </c>
      <c r="AP369" s="362" t="str">
        <f t="shared" ca="1" si="133"/>
        <v/>
      </c>
      <c r="AQ369" s="362" t="str">
        <f t="shared" ca="1" si="133"/>
        <v/>
      </c>
      <c r="AR369" s="362" t="str">
        <f t="shared" ca="1" si="133"/>
        <v/>
      </c>
      <c r="AS369" s="362" t="str">
        <f t="shared" ca="1" si="133"/>
        <v/>
      </c>
      <c r="AT369" s="362" t="str">
        <f t="shared" ca="1" si="133"/>
        <v/>
      </c>
      <c r="AU369" s="362" t="str">
        <f t="shared" ca="1" si="133"/>
        <v/>
      </c>
      <c r="AV369" s="362">
        <f t="shared" ca="1" si="133"/>
        <v>0</v>
      </c>
      <c r="AW369" s="362">
        <f t="shared" ca="1" si="133"/>
        <v>0</v>
      </c>
      <c r="AX369" s="362">
        <f t="shared" ca="1" si="133"/>
        <v>0</v>
      </c>
      <c r="AY369" s="362">
        <f t="shared" ca="1" si="133"/>
        <v>0</v>
      </c>
      <c r="AZ369" s="362">
        <f t="shared" ca="1" si="134"/>
        <v>0</v>
      </c>
      <c r="BA369" s="362">
        <f t="shared" ca="1" si="134"/>
        <v>0</v>
      </c>
      <c r="BB369" s="362">
        <f t="shared" ca="1" si="134"/>
        <v>0</v>
      </c>
      <c r="BC369" s="362">
        <f t="shared" ca="1" si="134"/>
        <v>1644.9919849094142</v>
      </c>
      <c r="BD369" s="362">
        <f t="shared" ca="1" si="134"/>
        <v>0</v>
      </c>
      <c r="BE369" s="362">
        <f t="shared" ca="1" si="134"/>
        <v>0</v>
      </c>
      <c r="BF369" s="362">
        <f t="shared" ca="1" si="134"/>
        <v>0</v>
      </c>
      <c r="BG369" s="362">
        <f t="shared" ca="1" si="134"/>
        <v>0</v>
      </c>
      <c r="BH369" s="362">
        <f t="shared" ca="1" si="134"/>
        <v>0</v>
      </c>
      <c r="BI369" s="362">
        <f t="shared" ca="1" si="134"/>
        <v>0</v>
      </c>
      <c r="BJ369" s="362">
        <f t="shared" ca="1" si="134"/>
        <v>0</v>
      </c>
      <c r="BK369" s="362">
        <f t="shared" ca="1" si="134"/>
        <v>0</v>
      </c>
      <c r="BL369" s="362">
        <f t="shared" ca="1" si="134"/>
        <v>0</v>
      </c>
      <c r="BM369" s="362"/>
    </row>
    <row r="370" spans="22:76">
      <c r="AA370" s="360">
        <f t="shared" si="121"/>
        <v>2042</v>
      </c>
      <c r="AB370" s="362">
        <f ca="1">'GHG Emissions'!U44-AB323</f>
        <v>52551.689946128128</v>
      </c>
      <c r="AC370" s="362"/>
      <c r="AD370" s="362">
        <f t="shared" ca="1" si="122"/>
        <v>50906.697961218713</v>
      </c>
      <c r="AE370" s="362"/>
      <c r="AF370" s="362" t="str">
        <f t="shared" ca="1" si="132"/>
        <v/>
      </c>
      <c r="AG370" s="362" t="str">
        <f t="shared" ca="1" si="132"/>
        <v/>
      </c>
      <c r="AH370" s="362" t="str">
        <f t="shared" ca="1" si="132"/>
        <v/>
      </c>
      <c r="AI370" s="362" t="str">
        <f t="shared" ca="1" si="132"/>
        <v/>
      </c>
      <c r="AJ370" s="362" t="str">
        <f t="shared" ca="1" si="132"/>
        <v/>
      </c>
      <c r="AK370" s="362" t="str">
        <f t="shared" ca="1" si="132"/>
        <v/>
      </c>
      <c r="AL370" s="362" t="str">
        <f t="shared" ca="1" si="132"/>
        <v/>
      </c>
      <c r="AM370" s="362" t="str">
        <f t="shared" ca="1" si="132"/>
        <v/>
      </c>
      <c r="AN370" s="362" t="str">
        <f t="shared" ca="1" si="132"/>
        <v/>
      </c>
      <c r="AO370" s="362" t="str">
        <f t="shared" ca="1" si="132"/>
        <v/>
      </c>
      <c r="AP370" s="362" t="str">
        <f t="shared" ca="1" si="133"/>
        <v/>
      </c>
      <c r="AQ370" s="362" t="str">
        <f t="shared" ca="1" si="133"/>
        <v/>
      </c>
      <c r="AR370" s="362" t="str">
        <f t="shared" ca="1" si="133"/>
        <v/>
      </c>
      <c r="AS370" s="362" t="str">
        <f t="shared" ca="1" si="133"/>
        <v/>
      </c>
      <c r="AT370" s="362" t="str">
        <f t="shared" ca="1" si="133"/>
        <v/>
      </c>
      <c r="AU370" s="362" t="str">
        <f t="shared" ca="1" si="133"/>
        <v/>
      </c>
      <c r="AV370" s="362">
        <f t="shared" ca="1" si="133"/>
        <v>0</v>
      </c>
      <c r="AW370" s="362">
        <f t="shared" ca="1" si="133"/>
        <v>0</v>
      </c>
      <c r="AX370" s="362">
        <f t="shared" ca="1" si="133"/>
        <v>0</v>
      </c>
      <c r="AY370" s="362">
        <f t="shared" ca="1" si="133"/>
        <v>0</v>
      </c>
      <c r="AZ370" s="362">
        <f t="shared" ca="1" si="134"/>
        <v>0</v>
      </c>
      <c r="BA370" s="362">
        <f t="shared" ca="1" si="134"/>
        <v>0</v>
      </c>
      <c r="BB370" s="362">
        <f t="shared" ca="1" si="134"/>
        <v>0</v>
      </c>
      <c r="BC370" s="362">
        <f t="shared" ca="1" si="134"/>
        <v>1644.9919849094142</v>
      </c>
      <c r="BD370" s="362">
        <f t="shared" ca="1" si="134"/>
        <v>0</v>
      </c>
      <c r="BE370" s="362">
        <f t="shared" ca="1" si="134"/>
        <v>0</v>
      </c>
      <c r="BF370" s="362">
        <f t="shared" ca="1" si="134"/>
        <v>0</v>
      </c>
      <c r="BG370" s="362">
        <f t="shared" ca="1" si="134"/>
        <v>0</v>
      </c>
      <c r="BH370" s="362">
        <f t="shared" ca="1" si="134"/>
        <v>0</v>
      </c>
      <c r="BI370" s="362">
        <f t="shared" ca="1" si="134"/>
        <v>0</v>
      </c>
      <c r="BJ370" s="362">
        <f t="shared" ca="1" si="134"/>
        <v>0</v>
      </c>
      <c r="BK370" s="362">
        <f t="shared" ca="1" si="134"/>
        <v>0</v>
      </c>
      <c r="BL370" s="362">
        <f t="shared" ca="1" si="134"/>
        <v>0</v>
      </c>
      <c r="BM370" s="362"/>
    </row>
    <row r="371" spans="22:76">
      <c r="AA371" s="360">
        <f t="shared" si="121"/>
        <v>2043</v>
      </c>
      <c r="AB371" s="362">
        <f ca="1">'GHG Emissions'!U45-AB324</f>
        <v>52744.654262651675</v>
      </c>
      <c r="AC371" s="362"/>
      <c r="AD371" s="362">
        <f t="shared" ca="1" si="122"/>
        <v>51099.66227774226</v>
      </c>
      <c r="AE371" s="362"/>
      <c r="AF371" s="362" t="str">
        <f t="shared" ca="1" si="132"/>
        <v/>
      </c>
      <c r="AG371" s="362" t="str">
        <f t="shared" ca="1" si="132"/>
        <v/>
      </c>
      <c r="AH371" s="362" t="str">
        <f t="shared" ca="1" si="132"/>
        <v/>
      </c>
      <c r="AI371" s="362" t="str">
        <f t="shared" ca="1" si="132"/>
        <v/>
      </c>
      <c r="AJ371" s="362" t="str">
        <f t="shared" ca="1" si="132"/>
        <v/>
      </c>
      <c r="AK371" s="362" t="str">
        <f t="shared" ca="1" si="132"/>
        <v/>
      </c>
      <c r="AL371" s="362" t="str">
        <f t="shared" ca="1" si="132"/>
        <v/>
      </c>
      <c r="AM371" s="362" t="str">
        <f t="shared" ca="1" si="132"/>
        <v/>
      </c>
      <c r="AN371" s="362" t="str">
        <f t="shared" ca="1" si="132"/>
        <v/>
      </c>
      <c r="AO371" s="362" t="str">
        <f t="shared" ca="1" si="132"/>
        <v/>
      </c>
      <c r="AP371" s="362" t="str">
        <f t="shared" ca="1" si="133"/>
        <v/>
      </c>
      <c r="AQ371" s="362" t="str">
        <f t="shared" ca="1" si="133"/>
        <v/>
      </c>
      <c r="AR371" s="362" t="str">
        <f t="shared" ca="1" si="133"/>
        <v/>
      </c>
      <c r="AS371" s="362" t="str">
        <f t="shared" ca="1" si="133"/>
        <v/>
      </c>
      <c r="AT371" s="362" t="str">
        <f t="shared" ca="1" si="133"/>
        <v/>
      </c>
      <c r="AU371" s="362" t="str">
        <f t="shared" ca="1" si="133"/>
        <v/>
      </c>
      <c r="AV371" s="362">
        <f t="shared" ca="1" si="133"/>
        <v>0</v>
      </c>
      <c r="AW371" s="362">
        <f t="shared" ca="1" si="133"/>
        <v>0</v>
      </c>
      <c r="AX371" s="362">
        <f t="shared" ca="1" si="133"/>
        <v>0</v>
      </c>
      <c r="AY371" s="362">
        <f t="shared" ca="1" si="133"/>
        <v>0</v>
      </c>
      <c r="AZ371" s="362">
        <f t="shared" ca="1" si="134"/>
        <v>0</v>
      </c>
      <c r="BA371" s="362">
        <f t="shared" ca="1" si="134"/>
        <v>0</v>
      </c>
      <c r="BB371" s="362">
        <f t="shared" ca="1" si="134"/>
        <v>0</v>
      </c>
      <c r="BC371" s="362">
        <f t="shared" ca="1" si="134"/>
        <v>1644.9919849094142</v>
      </c>
      <c r="BD371" s="362">
        <f t="shared" ca="1" si="134"/>
        <v>0</v>
      </c>
      <c r="BE371" s="362">
        <f t="shared" ca="1" si="134"/>
        <v>0</v>
      </c>
      <c r="BF371" s="362">
        <f t="shared" ca="1" si="134"/>
        <v>0</v>
      </c>
      <c r="BG371" s="362">
        <f t="shared" ca="1" si="134"/>
        <v>0</v>
      </c>
      <c r="BH371" s="362">
        <f t="shared" ca="1" si="134"/>
        <v>0</v>
      </c>
      <c r="BI371" s="362">
        <f t="shared" ca="1" si="134"/>
        <v>0</v>
      </c>
      <c r="BJ371" s="362">
        <f t="shared" ca="1" si="134"/>
        <v>0</v>
      </c>
      <c r="BK371" s="362">
        <f t="shared" ca="1" si="134"/>
        <v>0</v>
      </c>
      <c r="BL371" s="362">
        <f t="shared" ca="1" si="134"/>
        <v>0</v>
      </c>
      <c r="BM371" s="362"/>
    </row>
    <row r="372" spans="22:76">
      <c r="AA372" s="360">
        <f t="shared" si="121"/>
        <v>2044</v>
      </c>
      <c r="AB372" s="362">
        <f ca="1">'GHG Emissions'!U46-AB325</f>
        <v>52937.317974003556</v>
      </c>
      <c r="AC372" s="362"/>
      <c r="AD372" s="362">
        <f t="shared" ca="1" si="122"/>
        <v>51292.325989094141</v>
      </c>
      <c r="AE372" s="362"/>
      <c r="AF372" s="362" t="str">
        <f t="shared" ca="1" si="132"/>
        <v/>
      </c>
      <c r="AG372" s="362" t="str">
        <f t="shared" ca="1" si="132"/>
        <v/>
      </c>
      <c r="AH372" s="362" t="str">
        <f t="shared" ca="1" si="132"/>
        <v/>
      </c>
      <c r="AI372" s="362" t="str">
        <f t="shared" ca="1" si="132"/>
        <v/>
      </c>
      <c r="AJ372" s="362" t="str">
        <f t="shared" ca="1" si="132"/>
        <v/>
      </c>
      <c r="AK372" s="362" t="str">
        <f t="shared" ca="1" si="132"/>
        <v/>
      </c>
      <c r="AL372" s="362" t="str">
        <f t="shared" ca="1" si="132"/>
        <v/>
      </c>
      <c r="AM372" s="362" t="str">
        <f t="shared" ca="1" si="132"/>
        <v/>
      </c>
      <c r="AN372" s="362" t="str">
        <f t="shared" ca="1" si="132"/>
        <v/>
      </c>
      <c r="AO372" s="362" t="str">
        <f t="shared" ca="1" si="132"/>
        <v/>
      </c>
      <c r="AP372" s="362" t="str">
        <f t="shared" ca="1" si="133"/>
        <v/>
      </c>
      <c r="AQ372" s="362" t="str">
        <f t="shared" ca="1" si="133"/>
        <v/>
      </c>
      <c r="AR372" s="362" t="str">
        <f t="shared" ca="1" si="133"/>
        <v/>
      </c>
      <c r="AS372" s="362" t="str">
        <f t="shared" ca="1" si="133"/>
        <v/>
      </c>
      <c r="AT372" s="362" t="str">
        <f t="shared" ca="1" si="133"/>
        <v/>
      </c>
      <c r="AU372" s="362" t="str">
        <f t="shared" ca="1" si="133"/>
        <v/>
      </c>
      <c r="AV372" s="362">
        <f t="shared" ca="1" si="133"/>
        <v>0</v>
      </c>
      <c r="AW372" s="362">
        <f t="shared" ca="1" si="133"/>
        <v>0</v>
      </c>
      <c r="AX372" s="362">
        <f t="shared" ca="1" si="133"/>
        <v>0</v>
      </c>
      <c r="AY372" s="362">
        <f t="shared" ca="1" si="133"/>
        <v>0</v>
      </c>
      <c r="AZ372" s="362">
        <f t="shared" ca="1" si="134"/>
        <v>0</v>
      </c>
      <c r="BA372" s="362">
        <f t="shared" ca="1" si="134"/>
        <v>0</v>
      </c>
      <c r="BB372" s="362">
        <f t="shared" ca="1" si="134"/>
        <v>0</v>
      </c>
      <c r="BC372" s="362">
        <f t="shared" ca="1" si="134"/>
        <v>1644.9919849094142</v>
      </c>
      <c r="BD372" s="362">
        <f t="shared" ca="1" si="134"/>
        <v>0</v>
      </c>
      <c r="BE372" s="362">
        <f t="shared" ca="1" si="134"/>
        <v>0</v>
      </c>
      <c r="BF372" s="362">
        <f t="shared" ca="1" si="134"/>
        <v>0</v>
      </c>
      <c r="BG372" s="362">
        <f t="shared" ca="1" si="134"/>
        <v>0</v>
      </c>
      <c r="BH372" s="362">
        <f t="shared" ca="1" si="134"/>
        <v>0</v>
      </c>
      <c r="BI372" s="362">
        <f t="shared" ca="1" si="134"/>
        <v>0</v>
      </c>
      <c r="BJ372" s="362">
        <f t="shared" ca="1" si="134"/>
        <v>0</v>
      </c>
      <c r="BK372" s="362">
        <f t="shared" ca="1" si="134"/>
        <v>0</v>
      </c>
      <c r="BL372" s="362">
        <f t="shared" ca="1" si="134"/>
        <v>0</v>
      </c>
      <c r="BM372" s="362"/>
    </row>
    <row r="373" spans="22:76">
      <c r="AA373" s="360">
        <f t="shared" si="121"/>
        <v>2045</v>
      </c>
      <c r="AB373" s="362">
        <f ca="1">'GHG Emissions'!U47-AB326</f>
        <v>53129.693875182755</v>
      </c>
      <c r="AC373" s="362"/>
      <c r="AD373" s="362">
        <f t="shared" ca="1" si="122"/>
        <v>51484.70189027334</v>
      </c>
      <c r="AE373" s="362"/>
      <c r="AF373" s="362" t="str">
        <f t="shared" ca="1" si="132"/>
        <v/>
      </c>
      <c r="AG373" s="362" t="str">
        <f t="shared" ca="1" si="132"/>
        <v/>
      </c>
      <c r="AH373" s="362" t="str">
        <f t="shared" ca="1" si="132"/>
        <v/>
      </c>
      <c r="AI373" s="362" t="str">
        <f t="shared" ca="1" si="132"/>
        <v/>
      </c>
      <c r="AJ373" s="362" t="str">
        <f t="shared" ca="1" si="132"/>
        <v/>
      </c>
      <c r="AK373" s="362" t="str">
        <f t="shared" ca="1" si="132"/>
        <v/>
      </c>
      <c r="AL373" s="362" t="str">
        <f t="shared" ca="1" si="132"/>
        <v/>
      </c>
      <c r="AM373" s="362" t="str">
        <f t="shared" ca="1" si="132"/>
        <v/>
      </c>
      <c r="AN373" s="362" t="str">
        <f t="shared" ca="1" si="132"/>
        <v/>
      </c>
      <c r="AO373" s="362" t="str">
        <f t="shared" ca="1" si="132"/>
        <v/>
      </c>
      <c r="AP373" s="362" t="str">
        <f t="shared" ca="1" si="133"/>
        <v/>
      </c>
      <c r="AQ373" s="362" t="str">
        <f t="shared" ca="1" si="133"/>
        <v/>
      </c>
      <c r="AR373" s="362" t="str">
        <f t="shared" ca="1" si="133"/>
        <v/>
      </c>
      <c r="AS373" s="362" t="str">
        <f t="shared" ca="1" si="133"/>
        <v/>
      </c>
      <c r="AT373" s="362" t="str">
        <f t="shared" ca="1" si="133"/>
        <v/>
      </c>
      <c r="AU373" s="362" t="str">
        <f t="shared" ca="1" si="133"/>
        <v/>
      </c>
      <c r="AV373" s="362">
        <f t="shared" ca="1" si="133"/>
        <v>0</v>
      </c>
      <c r="AW373" s="362">
        <f t="shared" ca="1" si="133"/>
        <v>0</v>
      </c>
      <c r="AX373" s="362">
        <f t="shared" ca="1" si="133"/>
        <v>0</v>
      </c>
      <c r="AY373" s="362">
        <f t="shared" ca="1" si="133"/>
        <v>0</v>
      </c>
      <c r="AZ373" s="362">
        <f t="shared" ca="1" si="134"/>
        <v>0</v>
      </c>
      <c r="BA373" s="362">
        <f t="shared" ca="1" si="134"/>
        <v>0</v>
      </c>
      <c r="BB373" s="362">
        <f t="shared" ca="1" si="134"/>
        <v>0</v>
      </c>
      <c r="BC373" s="362">
        <f t="shared" ca="1" si="134"/>
        <v>1644.9919849094142</v>
      </c>
      <c r="BD373" s="362">
        <f t="shared" ca="1" si="134"/>
        <v>0</v>
      </c>
      <c r="BE373" s="362">
        <f t="shared" ca="1" si="134"/>
        <v>0</v>
      </c>
      <c r="BF373" s="362">
        <f t="shared" ca="1" si="134"/>
        <v>0</v>
      </c>
      <c r="BG373" s="362">
        <f t="shared" ca="1" si="134"/>
        <v>0</v>
      </c>
      <c r="BH373" s="362">
        <f t="shared" ca="1" si="134"/>
        <v>0</v>
      </c>
      <c r="BI373" s="362">
        <f t="shared" ca="1" si="134"/>
        <v>0</v>
      </c>
      <c r="BJ373" s="362">
        <f t="shared" ca="1" si="134"/>
        <v>0</v>
      </c>
      <c r="BK373" s="362">
        <f t="shared" ca="1" si="134"/>
        <v>0</v>
      </c>
      <c r="BL373" s="362">
        <f t="shared" ca="1" si="134"/>
        <v>0</v>
      </c>
      <c r="BM373" s="362"/>
    </row>
    <row r="374" spans="22:76">
      <c r="AA374" s="360">
        <f t="shared" si="121"/>
        <v>2046</v>
      </c>
      <c r="AB374" s="362">
        <f ca="1">'GHG Emissions'!U48-AB327</f>
        <v>53321.793878469907</v>
      </c>
      <c r="AC374" s="362"/>
      <c r="AD374" s="362">
        <f t="shared" ca="1" si="122"/>
        <v>51676.801893560492</v>
      </c>
      <c r="AE374" s="362"/>
      <c r="AF374" s="362" t="str">
        <f t="shared" ca="1" si="132"/>
        <v/>
      </c>
      <c r="AG374" s="362" t="str">
        <f t="shared" ca="1" si="132"/>
        <v/>
      </c>
      <c r="AH374" s="362" t="str">
        <f t="shared" ca="1" si="132"/>
        <v/>
      </c>
      <c r="AI374" s="362" t="str">
        <f t="shared" ca="1" si="132"/>
        <v/>
      </c>
      <c r="AJ374" s="362" t="str">
        <f t="shared" ca="1" si="132"/>
        <v/>
      </c>
      <c r="AK374" s="362" t="str">
        <f t="shared" ca="1" si="132"/>
        <v/>
      </c>
      <c r="AL374" s="362" t="str">
        <f t="shared" ca="1" si="132"/>
        <v/>
      </c>
      <c r="AM374" s="362" t="str">
        <f t="shared" ca="1" si="132"/>
        <v/>
      </c>
      <c r="AN374" s="362" t="str">
        <f t="shared" ca="1" si="132"/>
        <v/>
      </c>
      <c r="AO374" s="362" t="str">
        <f t="shared" ca="1" si="132"/>
        <v/>
      </c>
      <c r="AP374" s="362" t="str">
        <f t="shared" ca="1" si="133"/>
        <v/>
      </c>
      <c r="AQ374" s="362" t="str">
        <f t="shared" ca="1" si="133"/>
        <v/>
      </c>
      <c r="AR374" s="362" t="str">
        <f t="shared" ca="1" si="133"/>
        <v/>
      </c>
      <c r="AS374" s="362" t="str">
        <f t="shared" ca="1" si="133"/>
        <v/>
      </c>
      <c r="AT374" s="362" t="str">
        <f t="shared" ca="1" si="133"/>
        <v/>
      </c>
      <c r="AU374" s="362" t="str">
        <f t="shared" ca="1" si="133"/>
        <v/>
      </c>
      <c r="AV374" s="362">
        <f t="shared" ca="1" si="133"/>
        <v>0</v>
      </c>
      <c r="AW374" s="362">
        <f t="shared" ca="1" si="133"/>
        <v>0</v>
      </c>
      <c r="AX374" s="362">
        <f t="shared" ca="1" si="133"/>
        <v>0</v>
      </c>
      <c r="AY374" s="362">
        <f t="shared" ca="1" si="133"/>
        <v>0</v>
      </c>
      <c r="AZ374" s="362">
        <f t="shared" ca="1" si="134"/>
        <v>0</v>
      </c>
      <c r="BA374" s="362">
        <f t="shared" ca="1" si="134"/>
        <v>0</v>
      </c>
      <c r="BB374" s="362">
        <f t="shared" ca="1" si="134"/>
        <v>0</v>
      </c>
      <c r="BC374" s="362">
        <f t="shared" ca="1" si="134"/>
        <v>1644.9919849094142</v>
      </c>
      <c r="BD374" s="362">
        <f t="shared" ca="1" si="134"/>
        <v>0</v>
      </c>
      <c r="BE374" s="362">
        <f t="shared" ca="1" si="134"/>
        <v>0</v>
      </c>
      <c r="BF374" s="362">
        <f t="shared" ca="1" si="134"/>
        <v>0</v>
      </c>
      <c r="BG374" s="362">
        <f t="shared" ca="1" si="134"/>
        <v>0</v>
      </c>
      <c r="BH374" s="362">
        <f t="shared" ca="1" si="134"/>
        <v>0</v>
      </c>
      <c r="BI374" s="362">
        <f t="shared" ca="1" si="134"/>
        <v>0</v>
      </c>
      <c r="BJ374" s="362">
        <f t="shared" ca="1" si="134"/>
        <v>0</v>
      </c>
      <c r="BK374" s="362">
        <f t="shared" ca="1" si="134"/>
        <v>0</v>
      </c>
      <c r="BL374" s="362">
        <f t="shared" ca="1" si="134"/>
        <v>0</v>
      </c>
      <c r="BM374" s="362"/>
    </row>
    <row r="375" spans="22:76">
      <c r="AA375" s="360">
        <f t="shared" si="121"/>
        <v>2047</v>
      </c>
      <c r="AB375" s="362">
        <f ca="1">'GHG Emissions'!U49-AB328</f>
        <v>53513.629096402517</v>
      </c>
      <c r="AC375" s="362"/>
      <c r="AD375" s="362">
        <f t="shared" ca="1" si="122"/>
        <v>51868.637111493103</v>
      </c>
      <c r="AE375" s="362"/>
      <c r="AF375" s="362" t="str">
        <f t="shared" ca="1" si="132"/>
        <v/>
      </c>
      <c r="AG375" s="362" t="str">
        <f t="shared" ca="1" si="132"/>
        <v/>
      </c>
      <c r="AH375" s="362" t="str">
        <f t="shared" ca="1" si="132"/>
        <v/>
      </c>
      <c r="AI375" s="362" t="str">
        <f t="shared" ca="1" si="132"/>
        <v/>
      </c>
      <c r="AJ375" s="362" t="str">
        <f t="shared" ca="1" si="132"/>
        <v/>
      </c>
      <c r="AK375" s="362" t="str">
        <f t="shared" ca="1" si="132"/>
        <v/>
      </c>
      <c r="AL375" s="362" t="str">
        <f t="shared" ca="1" si="132"/>
        <v/>
      </c>
      <c r="AM375" s="362" t="str">
        <f t="shared" ca="1" si="132"/>
        <v/>
      </c>
      <c r="AN375" s="362" t="str">
        <f t="shared" ca="1" si="132"/>
        <v/>
      </c>
      <c r="AO375" s="362" t="str">
        <f t="shared" ca="1" si="132"/>
        <v/>
      </c>
      <c r="AP375" s="362" t="str">
        <f t="shared" ca="1" si="133"/>
        <v/>
      </c>
      <c r="AQ375" s="362" t="str">
        <f t="shared" ca="1" si="133"/>
        <v/>
      </c>
      <c r="AR375" s="362" t="str">
        <f t="shared" ca="1" si="133"/>
        <v/>
      </c>
      <c r="AS375" s="362" t="str">
        <f t="shared" ca="1" si="133"/>
        <v/>
      </c>
      <c r="AT375" s="362" t="str">
        <f t="shared" ca="1" si="133"/>
        <v/>
      </c>
      <c r="AU375" s="362" t="str">
        <f t="shared" ca="1" si="133"/>
        <v/>
      </c>
      <c r="AV375" s="362">
        <f t="shared" ca="1" si="133"/>
        <v>0</v>
      </c>
      <c r="AW375" s="362">
        <f t="shared" ca="1" si="133"/>
        <v>0</v>
      </c>
      <c r="AX375" s="362">
        <f t="shared" ca="1" si="133"/>
        <v>0</v>
      </c>
      <c r="AY375" s="362">
        <f t="shared" ca="1" si="133"/>
        <v>0</v>
      </c>
      <c r="AZ375" s="362">
        <f t="shared" ca="1" si="134"/>
        <v>0</v>
      </c>
      <c r="BA375" s="362">
        <f t="shared" ca="1" si="134"/>
        <v>0</v>
      </c>
      <c r="BB375" s="362">
        <f t="shared" ca="1" si="134"/>
        <v>0</v>
      </c>
      <c r="BC375" s="362">
        <f t="shared" ca="1" si="134"/>
        <v>1644.9919849094142</v>
      </c>
      <c r="BD375" s="362">
        <f t="shared" ca="1" si="134"/>
        <v>0</v>
      </c>
      <c r="BE375" s="362">
        <f t="shared" ca="1" si="134"/>
        <v>0</v>
      </c>
      <c r="BF375" s="362">
        <f t="shared" ca="1" si="134"/>
        <v>0</v>
      </c>
      <c r="BG375" s="362">
        <f t="shared" ca="1" si="134"/>
        <v>0</v>
      </c>
      <c r="BH375" s="362">
        <f t="shared" ca="1" si="134"/>
        <v>0</v>
      </c>
      <c r="BI375" s="362">
        <f t="shared" ca="1" si="134"/>
        <v>0</v>
      </c>
      <c r="BJ375" s="362">
        <f t="shared" ca="1" si="134"/>
        <v>0</v>
      </c>
      <c r="BK375" s="362">
        <f t="shared" ca="1" si="134"/>
        <v>0</v>
      </c>
      <c r="BL375" s="362">
        <f t="shared" ca="1" si="134"/>
        <v>0</v>
      </c>
      <c r="BM375" s="362"/>
    </row>
    <row r="376" spans="22:76">
      <c r="AA376" s="360">
        <f t="shared" si="121"/>
        <v>2048</v>
      </c>
      <c r="AB376" s="362">
        <f ca="1">'GHG Emissions'!U50-AB329</f>
        <v>53705.20991498373</v>
      </c>
      <c r="AC376" s="362"/>
      <c r="AD376" s="362">
        <f t="shared" ca="1" si="122"/>
        <v>52060.217930074316</v>
      </c>
      <c r="AE376" s="362"/>
      <c r="AF376" s="362" t="str">
        <f t="shared" ca="1" si="132"/>
        <v/>
      </c>
      <c r="AG376" s="362" t="str">
        <f t="shared" ca="1" si="132"/>
        <v/>
      </c>
      <c r="AH376" s="362" t="str">
        <f t="shared" ca="1" si="132"/>
        <v/>
      </c>
      <c r="AI376" s="362" t="str">
        <f t="shared" ca="1" si="132"/>
        <v/>
      </c>
      <c r="AJ376" s="362" t="str">
        <f t="shared" ca="1" si="132"/>
        <v/>
      </c>
      <c r="AK376" s="362" t="str">
        <f t="shared" ca="1" si="132"/>
        <v/>
      </c>
      <c r="AL376" s="362" t="str">
        <f t="shared" ca="1" si="132"/>
        <v/>
      </c>
      <c r="AM376" s="362" t="str">
        <f t="shared" ca="1" si="132"/>
        <v/>
      </c>
      <c r="AN376" s="362" t="str">
        <f t="shared" ca="1" si="132"/>
        <v/>
      </c>
      <c r="AO376" s="362" t="str">
        <f t="shared" ca="1" si="132"/>
        <v/>
      </c>
      <c r="AP376" s="362" t="str">
        <f t="shared" ca="1" si="133"/>
        <v/>
      </c>
      <c r="AQ376" s="362" t="str">
        <f t="shared" ca="1" si="133"/>
        <v/>
      </c>
      <c r="AR376" s="362" t="str">
        <f t="shared" ca="1" si="133"/>
        <v/>
      </c>
      <c r="AS376" s="362" t="str">
        <f t="shared" ca="1" si="133"/>
        <v/>
      </c>
      <c r="AT376" s="362" t="str">
        <f t="shared" ca="1" si="133"/>
        <v/>
      </c>
      <c r="AU376" s="362" t="str">
        <f t="shared" ca="1" si="133"/>
        <v/>
      </c>
      <c r="AV376" s="362">
        <f t="shared" ca="1" si="133"/>
        <v>0</v>
      </c>
      <c r="AW376" s="362">
        <f t="shared" ca="1" si="133"/>
        <v>0</v>
      </c>
      <c r="AX376" s="362">
        <f t="shared" ca="1" si="133"/>
        <v>0</v>
      </c>
      <c r="AY376" s="362">
        <f t="shared" ca="1" si="133"/>
        <v>0</v>
      </c>
      <c r="AZ376" s="362">
        <f t="shared" ca="1" si="134"/>
        <v>0</v>
      </c>
      <c r="BA376" s="362">
        <f t="shared" ca="1" si="134"/>
        <v>0</v>
      </c>
      <c r="BB376" s="362">
        <f t="shared" ca="1" si="134"/>
        <v>0</v>
      </c>
      <c r="BC376" s="362">
        <f t="shared" ca="1" si="134"/>
        <v>1644.9919849094142</v>
      </c>
      <c r="BD376" s="362">
        <f t="shared" ca="1" si="134"/>
        <v>0</v>
      </c>
      <c r="BE376" s="362">
        <f t="shared" ca="1" si="134"/>
        <v>0</v>
      </c>
      <c r="BF376" s="362">
        <f t="shared" ca="1" si="134"/>
        <v>0</v>
      </c>
      <c r="BG376" s="362">
        <f t="shared" ca="1" si="134"/>
        <v>0</v>
      </c>
      <c r="BH376" s="362">
        <f t="shared" ca="1" si="134"/>
        <v>0</v>
      </c>
      <c r="BI376" s="362">
        <f t="shared" ca="1" si="134"/>
        <v>0</v>
      </c>
      <c r="BJ376" s="362">
        <f t="shared" ca="1" si="134"/>
        <v>0</v>
      </c>
      <c r="BK376" s="362">
        <f t="shared" ca="1" si="134"/>
        <v>0</v>
      </c>
      <c r="BL376" s="362">
        <f t="shared" ca="1" si="134"/>
        <v>0</v>
      </c>
      <c r="BM376" s="362"/>
    </row>
    <row r="377" spans="22:76">
      <c r="AA377" s="360">
        <f t="shared" si="121"/>
        <v>2049</v>
      </c>
      <c r="AB377" s="362">
        <f ca="1">'GHG Emissions'!U51-AB330</f>
        <v>53896.546058493557</v>
      </c>
      <c r="AC377" s="362"/>
      <c r="AD377" s="362">
        <f t="shared" ca="1" si="122"/>
        <v>52251.554073584142</v>
      </c>
      <c r="AE377" s="362"/>
      <c r="AF377" s="362" t="str">
        <f t="shared" ca="1" si="132"/>
        <v/>
      </c>
      <c r="AG377" s="362" t="str">
        <f t="shared" ca="1" si="132"/>
        <v/>
      </c>
      <c r="AH377" s="362" t="str">
        <f t="shared" ca="1" si="132"/>
        <v/>
      </c>
      <c r="AI377" s="362" t="str">
        <f t="shared" ca="1" si="132"/>
        <v/>
      </c>
      <c r="AJ377" s="362" t="str">
        <f t="shared" ca="1" si="132"/>
        <v/>
      </c>
      <c r="AK377" s="362" t="str">
        <f t="shared" ca="1" si="132"/>
        <v/>
      </c>
      <c r="AL377" s="362" t="str">
        <f t="shared" ca="1" si="132"/>
        <v/>
      </c>
      <c r="AM377" s="362" t="str">
        <f t="shared" ca="1" si="132"/>
        <v/>
      </c>
      <c r="AN377" s="362" t="str">
        <f t="shared" ca="1" si="132"/>
        <v/>
      </c>
      <c r="AO377" s="362" t="str">
        <f t="shared" ca="1" si="132"/>
        <v/>
      </c>
      <c r="AP377" s="362" t="str">
        <f t="shared" ca="1" si="133"/>
        <v/>
      </c>
      <c r="AQ377" s="362" t="str">
        <f t="shared" ca="1" si="133"/>
        <v/>
      </c>
      <c r="AR377" s="362" t="str">
        <f t="shared" ca="1" si="133"/>
        <v/>
      </c>
      <c r="AS377" s="362" t="str">
        <f t="shared" ca="1" si="133"/>
        <v/>
      </c>
      <c r="AT377" s="362" t="str">
        <f t="shared" ca="1" si="133"/>
        <v/>
      </c>
      <c r="AU377" s="362" t="str">
        <f t="shared" ca="1" si="133"/>
        <v/>
      </c>
      <c r="AV377" s="362">
        <f t="shared" ca="1" si="133"/>
        <v>0</v>
      </c>
      <c r="AW377" s="362">
        <f t="shared" ca="1" si="133"/>
        <v>0</v>
      </c>
      <c r="AX377" s="362">
        <f t="shared" ca="1" si="133"/>
        <v>0</v>
      </c>
      <c r="AY377" s="362">
        <f t="shared" ca="1" si="133"/>
        <v>0</v>
      </c>
      <c r="AZ377" s="362">
        <f t="shared" ca="1" si="134"/>
        <v>0</v>
      </c>
      <c r="BA377" s="362">
        <f t="shared" ca="1" si="134"/>
        <v>0</v>
      </c>
      <c r="BB377" s="362">
        <f t="shared" ca="1" si="134"/>
        <v>0</v>
      </c>
      <c r="BC377" s="362">
        <f t="shared" ca="1" si="134"/>
        <v>1644.9919849094142</v>
      </c>
      <c r="BD377" s="362">
        <f t="shared" ca="1" si="134"/>
        <v>0</v>
      </c>
      <c r="BE377" s="362">
        <f t="shared" ca="1" si="134"/>
        <v>0</v>
      </c>
      <c r="BF377" s="362">
        <f t="shared" ca="1" si="134"/>
        <v>0</v>
      </c>
      <c r="BG377" s="362">
        <f t="shared" ca="1" si="134"/>
        <v>0</v>
      </c>
      <c r="BH377" s="362">
        <f t="shared" ca="1" si="134"/>
        <v>0</v>
      </c>
      <c r="BI377" s="362">
        <f t="shared" ca="1" si="134"/>
        <v>0</v>
      </c>
      <c r="BJ377" s="362">
        <f t="shared" ca="1" si="134"/>
        <v>0</v>
      </c>
      <c r="BK377" s="362">
        <f t="shared" ca="1" si="134"/>
        <v>0</v>
      </c>
      <c r="BL377" s="362">
        <f t="shared" ca="1" si="134"/>
        <v>0</v>
      </c>
      <c r="BM377" s="362"/>
    </row>
    <row r="378" spans="22:76">
      <c r="AA378" s="360">
        <f t="shared" si="121"/>
        <v>2050</v>
      </c>
      <c r="AB378" s="362">
        <f ca="1">'GHG Emissions'!U52-AB331</f>
        <v>54087.646647050948</v>
      </c>
      <c r="AC378" s="362"/>
      <c r="AD378" s="362">
        <f t="shared" ca="1" si="122"/>
        <v>52442.654662141533</v>
      </c>
      <c r="AE378" s="362"/>
      <c r="AF378" s="362" t="str">
        <f t="shared" ca="1" si="132"/>
        <v/>
      </c>
      <c r="AG378" s="362" t="str">
        <f t="shared" ca="1" si="132"/>
        <v/>
      </c>
      <c r="AH378" s="362" t="str">
        <f t="shared" ca="1" si="132"/>
        <v/>
      </c>
      <c r="AI378" s="362" t="str">
        <f t="shared" ca="1" si="132"/>
        <v/>
      </c>
      <c r="AJ378" s="362" t="str">
        <f t="shared" ca="1" si="132"/>
        <v/>
      </c>
      <c r="AK378" s="362" t="str">
        <f t="shared" ca="1" si="132"/>
        <v/>
      </c>
      <c r="AL378" s="362" t="str">
        <f t="shared" ca="1" si="132"/>
        <v/>
      </c>
      <c r="AM378" s="362" t="str">
        <f t="shared" ca="1" si="132"/>
        <v/>
      </c>
      <c r="AN378" s="362" t="str">
        <f t="shared" ca="1" si="132"/>
        <v/>
      </c>
      <c r="AO378" s="362" t="str">
        <f t="shared" ca="1" si="132"/>
        <v/>
      </c>
      <c r="AP378" s="362" t="str">
        <f t="shared" ca="1" si="133"/>
        <v/>
      </c>
      <c r="AQ378" s="362" t="str">
        <f t="shared" ca="1" si="133"/>
        <v/>
      </c>
      <c r="AR378" s="362" t="str">
        <f t="shared" ca="1" si="133"/>
        <v/>
      </c>
      <c r="AS378" s="362" t="str">
        <f t="shared" ca="1" si="133"/>
        <v/>
      </c>
      <c r="AT378" s="362" t="str">
        <f t="shared" ca="1" si="133"/>
        <v/>
      </c>
      <c r="AU378" s="362" t="str">
        <f t="shared" ca="1" si="133"/>
        <v/>
      </c>
      <c r="AV378" s="362">
        <f t="shared" ca="1" si="133"/>
        <v>0</v>
      </c>
      <c r="AW378" s="362">
        <f t="shared" ca="1" si="133"/>
        <v>0</v>
      </c>
      <c r="AX378" s="362">
        <f t="shared" ca="1" si="133"/>
        <v>0</v>
      </c>
      <c r="AY378" s="362">
        <f t="shared" ca="1" si="133"/>
        <v>0</v>
      </c>
      <c r="AZ378" s="362">
        <f t="shared" ca="1" si="134"/>
        <v>0</v>
      </c>
      <c r="BA378" s="362">
        <f t="shared" ca="1" si="134"/>
        <v>0</v>
      </c>
      <c r="BB378" s="362">
        <f t="shared" ca="1" si="134"/>
        <v>0</v>
      </c>
      <c r="BC378" s="362">
        <f t="shared" ca="1" si="134"/>
        <v>1644.9919849094142</v>
      </c>
      <c r="BD378" s="362">
        <f t="shared" ca="1" si="134"/>
        <v>0</v>
      </c>
      <c r="BE378" s="362">
        <f t="shared" ca="1" si="134"/>
        <v>0</v>
      </c>
      <c r="BF378" s="362">
        <f t="shared" ca="1" si="134"/>
        <v>0</v>
      </c>
      <c r="BG378" s="362">
        <f t="shared" ca="1" si="134"/>
        <v>0</v>
      </c>
      <c r="BH378" s="362">
        <f t="shared" ca="1" si="134"/>
        <v>0</v>
      </c>
      <c r="BI378" s="362">
        <f t="shared" ca="1" si="134"/>
        <v>0</v>
      </c>
      <c r="BJ378" s="362">
        <f t="shared" ca="1" si="134"/>
        <v>0</v>
      </c>
      <c r="BK378" s="362">
        <f t="shared" ca="1" si="134"/>
        <v>0</v>
      </c>
      <c r="BL378" s="362">
        <f t="shared" ca="1" si="134"/>
        <v>0</v>
      </c>
      <c r="BM378" s="362"/>
    </row>
    <row r="379" spans="22:76" ht="75">
      <c r="AA379" s="323" t="s">
        <v>378</v>
      </c>
      <c r="AB379" s="323" t="str">
        <f>FuelSavingsAbatement</f>
        <v>FuelSavings</v>
      </c>
      <c r="AC379" s="323" t="str">
        <f>OPEX</f>
        <v>OPEX</v>
      </c>
      <c r="AD379" s="323" t="str">
        <f>GHGComplianceSavings</f>
        <v>GHG Compliance Savings</v>
      </c>
      <c r="AE379" s="323" t="s">
        <v>379</v>
      </c>
      <c r="AF379" s="323" t="s">
        <v>354</v>
      </c>
      <c r="AG379" s="323" t="s">
        <v>388</v>
      </c>
      <c r="AH379" s="323" t="s">
        <v>389</v>
      </c>
      <c r="AI379" s="345" t="str">
        <f>CAPEX</f>
        <v>CAPEX</v>
      </c>
      <c r="AJ379" s="345">
        <v>2010</v>
      </c>
      <c r="AK379" s="345">
        <v>2011</v>
      </c>
      <c r="AL379" s="345">
        <v>2012</v>
      </c>
      <c r="AM379" s="345">
        <v>2013</v>
      </c>
      <c r="AN379" s="345">
        <v>2014</v>
      </c>
      <c r="AO379" s="345">
        <v>2015</v>
      </c>
      <c r="AP379" s="345">
        <v>2016</v>
      </c>
      <c r="AQ379" s="345">
        <v>2017</v>
      </c>
      <c r="AR379" s="345">
        <v>2018</v>
      </c>
      <c r="AS379" s="345">
        <v>2019</v>
      </c>
      <c r="AT379" s="345">
        <v>2020</v>
      </c>
      <c r="AU379" s="345">
        <v>2021</v>
      </c>
      <c r="AV379" s="345">
        <v>2022</v>
      </c>
      <c r="AW379" s="345">
        <v>2023</v>
      </c>
      <c r="AX379" s="345">
        <v>2024</v>
      </c>
      <c r="AY379" s="345">
        <v>2025</v>
      </c>
      <c r="AZ379" s="345">
        <v>2026</v>
      </c>
      <c r="BA379" s="345">
        <v>2027</v>
      </c>
      <c r="BB379" s="345">
        <v>2028</v>
      </c>
      <c r="BC379" s="345">
        <v>2029</v>
      </c>
      <c r="BD379" s="345">
        <v>2030</v>
      </c>
      <c r="BE379" s="345">
        <v>2031</v>
      </c>
      <c r="BF379" s="345">
        <v>2032</v>
      </c>
      <c r="BG379" s="345">
        <v>2033</v>
      </c>
      <c r="BH379" s="345">
        <v>2034</v>
      </c>
      <c r="BI379" s="345">
        <v>2035</v>
      </c>
      <c r="BJ379" s="345">
        <v>2036</v>
      </c>
      <c r="BK379" s="345">
        <v>2037</v>
      </c>
      <c r="BL379" s="345">
        <v>2038</v>
      </c>
      <c r="BM379" s="345">
        <v>2039</v>
      </c>
      <c r="BN379" s="345">
        <v>2040</v>
      </c>
      <c r="BO379" s="345">
        <v>2041</v>
      </c>
      <c r="BP379" s="345">
        <v>2042</v>
      </c>
      <c r="BQ379" s="345">
        <v>2043</v>
      </c>
      <c r="BR379" s="345">
        <v>2044</v>
      </c>
      <c r="BS379" s="345">
        <v>2045</v>
      </c>
      <c r="BT379" s="345">
        <v>2046</v>
      </c>
      <c r="BU379" s="345">
        <v>2047</v>
      </c>
      <c r="BV379" s="345">
        <v>2048</v>
      </c>
      <c r="BW379" s="345">
        <v>2049</v>
      </c>
      <c r="BX379" s="345">
        <v>2050</v>
      </c>
    </row>
    <row r="380" spans="22:76">
      <c r="V380" s="9"/>
      <c r="W380" s="1268"/>
      <c r="X380" s="8">
        <v>0</v>
      </c>
      <c r="Y380" s="10" t="s">
        <v>380</v>
      </c>
      <c r="AA380" s="360">
        <f>AA338</f>
        <v>2010</v>
      </c>
      <c r="AB380" s="367">
        <f ca="1">SUMPRODUCT(FuelSavings!B5:W5,FuelSavings!$B$47:$W$47)/1000000</f>
        <v>0.23705205335287288</v>
      </c>
      <c r="AC380" s="367">
        <f ca="1">SUMPRODUCT(OPEX!B5:W5,OPEX!$B$47:$W$47)/1000000</f>
        <v>0</v>
      </c>
      <c r="AD380" s="367">
        <f ca="1">SUMPRODUCT(GHGComplianceSavings!B5:W5,GHGComplianceSavings!$B$47:$W$47)/1000000</f>
        <v>0</v>
      </c>
      <c r="AE380" s="367">
        <f t="shared" ref="AE380:AE420" ca="1" si="135">SUM(OFFSET($AJ$380,0,$AA380-$AJ$379,COUNT($AA$380:$AA$420),1))/1000000</f>
        <v>-8.0242587190691318E-3</v>
      </c>
      <c r="AF380" s="367">
        <f ca="1">SUMPRODUCT(AvoidedCAPEX!B5:W5,AvoidedCAPEX!$B$47:$W$47)/1000000</f>
        <v>0</v>
      </c>
      <c r="AG380" s="367">
        <f ca="1">SUM(AB380:AC380,AE380:AF380)</f>
        <v>0.22902779463380374</v>
      </c>
      <c r="AH380" s="367">
        <f ca="1">SUM(AB380:AF380)</f>
        <v>0.22902779463380374</v>
      </c>
      <c r="AI380" s="365">
        <f ca="1">SUMPRODUCT(CAPEX!B5:W5,CAPEX!$B$47:$W$47)</f>
        <v>-100000</v>
      </c>
      <c r="AJ380" s="365">
        <f t="shared" ref="AJ380:AS389" ca="1" si="136">IF(AND(AJ$379&gt;=$AA380,AJ$379&lt;$AA380+$Y$381),-PMT($Y$383,$Y$381,$AI380),"")</f>
        <v>-8024.2587190691311</v>
      </c>
      <c r="AK380" s="365">
        <f t="shared" ca="1" si="136"/>
        <v>-8024.2587190691311</v>
      </c>
      <c r="AL380" s="365">
        <f t="shared" ca="1" si="136"/>
        <v>-8024.2587190691311</v>
      </c>
      <c r="AM380" s="365">
        <f t="shared" ca="1" si="136"/>
        <v>-8024.2587190691311</v>
      </c>
      <c r="AN380" s="365">
        <f t="shared" ca="1" si="136"/>
        <v>-8024.2587190691311</v>
      </c>
      <c r="AO380" s="365">
        <f t="shared" ca="1" si="136"/>
        <v>-8024.2587190691311</v>
      </c>
      <c r="AP380" s="365">
        <f t="shared" ca="1" si="136"/>
        <v>-8024.2587190691311</v>
      </c>
      <c r="AQ380" s="365">
        <f t="shared" ca="1" si="136"/>
        <v>-8024.2587190691311</v>
      </c>
      <c r="AR380" s="365">
        <f t="shared" ca="1" si="136"/>
        <v>-8024.2587190691311</v>
      </c>
      <c r="AS380" s="365">
        <f t="shared" ca="1" si="136"/>
        <v>-8024.2587190691311</v>
      </c>
      <c r="AT380" s="365">
        <f t="shared" ref="AT380:BC389" ca="1" si="137">IF(AND(AT$379&gt;=$AA380,AT$379&lt;$AA380+$Y$381),-PMT($Y$383,$Y$381,$AI380),"")</f>
        <v>-8024.2587190691311</v>
      </c>
      <c r="AU380" s="365">
        <f t="shared" ca="1" si="137"/>
        <v>-8024.2587190691311</v>
      </c>
      <c r="AV380" s="365">
        <f t="shared" ca="1" si="137"/>
        <v>-8024.2587190691311</v>
      </c>
      <c r="AW380" s="365">
        <f t="shared" ca="1" si="137"/>
        <v>-8024.2587190691311</v>
      </c>
      <c r="AX380" s="365">
        <f t="shared" ca="1" si="137"/>
        <v>-8024.2587190691311</v>
      </c>
      <c r="AY380" s="365">
        <f t="shared" ca="1" si="137"/>
        <v>-8024.2587190691311</v>
      </c>
      <c r="AZ380" s="365">
        <f t="shared" ca="1" si="137"/>
        <v>-8024.2587190691311</v>
      </c>
      <c r="BA380" s="365">
        <f t="shared" ca="1" si="137"/>
        <v>-8024.2587190691311</v>
      </c>
      <c r="BB380" s="365">
        <f t="shared" ca="1" si="137"/>
        <v>-8024.2587190691311</v>
      </c>
      <c r="BC380" s="365">
        <f t="shared" ca="1" si="137"/>
        <v>-8024.2587190691311</v>
      </c>
      <c r="BD380" s="365" t="str">
        <f t="shared" ref="BD380:BM389" si="138">IF(AND(BD$379&gt;=$AA380,BD$379&lt;$AA380+$Y$381),-PMT($Y$383,$Y$381,$AI380),"")</f>
        <v/>
      </c>
      <c r="BE380" s="365" t="str">
        <f t="shared" si="138"/>
        <v/>
      </c>
      <c r="BF380" s="365" t="str">
        <f t="shared" si="138"/>
        <v/>
      </c>
      <c r="BG380" s="365" t="str">
        <f t="shared" si="138"/>
        <v/>
      </c>
      <c r="BH380" s="365" t="str">
        <f t="shared" si="138"/>
        <v/>
      </c>
      <c r="BI380" s="365" t="str">
        <f t="shared" si="138"/>
        <v/>
      </c>
      <c r="BJ380" s="365" t="str">
        <f t="shared" si="138"/>
        <v/>
      </c>
      <c r="BK380" s="365" t="str">
        <f t="shared" si="138"/>
        <v/>
      </c>
      <c r="BL380" s="365" t="str">
        <f t="shared" si="138"/>
        <v/>
      </c>
      <c r="BM380" s="365" t="str">
        <f t="shared" si="138"/>
        <v/>
      </c>
      <c r="BN380" s="365" t="str">
        <f t="shared" ref="BN380:BX389" si="139">IF(AND(BN$379&gt;=$AA380,BN$379&lt;$AA380+$Y$381),-PMT($Y$383,$Y$381,$AI380),"")</f>
        <v/>
      </c>
      <c r="BO380" s="365" t="str">
        <f t="shared" si="139"/>
        <v/>
      </c>
      <c r="BP380" s="365" t="str">
        <f t="shared" si="139"/>
        <v/>
      </c>
      <c r="BQ380" s="365" t="str">
        <f t="shared" si="139"/>
        <v/>
      </c>
      <c r="BR380" s="365" t="str">
        <f t="shared" si="139"/>
        <v/>
      </c>
      <c r="BS380" s="365" t="str">
        <f t="shared" si="139"/>
        <v/>
      </c>
      <c r="BT380" s="365" t="str">
        <f t="shared" si="139"/>
        <v/>
      </c>
      <c r="BU380" s="365" t="str">
        <f t="shared" si="139"/>
        <v/>
      </c>
      <c r="BV380" s="365" t="str">
        <f t="shared" si="139"/>
        <v/>
      </c>
      <c r="BW380" s="365" t="str">
        <f t="shared" si="139"/>
        <v/>
      </c>
      <c r="BX380" s="365" t="str">
        <f t="shared" si="139"/>
        <v/>
      </c>
    </row>
    <row r="381" spans="22:76">
      <c r="V381" s="9"/>
      <c r="W381" s="1268"/>
      <c r="X381" s="8">
        <v>1</v>
      </c>
      <c r="Y381" s="10">
        <v>20</v>
      </c>
      <c r="AA381" s="360">
        <f t="shared" ref="AA381:AA420" si="140">AA380+1</f>
        <v>2011</v>
      </c>
      <c r="AB381" s="367">
        <f ca="1">SUMPRODUCT(FuelSavings!B6:W6,FuelSavings!$B$47:$W$47)/1000000</f>
        <v>0.88301672922954266</v>
      </c>
      <c r="AC381" s="367">
        <f ca="1">SUMPRODUCT(OPEX!B6:W6,OPEX!$B$47:$W$47)/1000000</f>
        <v>0.13296412108404104</v>
      </c>
      <c r="AD381" s="367">
        <f ca="1">SUMPRODUCT(GHGComplianceSavings!B6:W6,GHGComplianceSavings!$B$47:$W$47)/1000000</f>
        <v>0</v>
      </c>
      <c r="AE381" s="367">
        <f t="shared" ca="1" si="135"/>
        <v>-0.17583435418652033</v>
      </c>
      <c r="AF381" s="367">
        <f ca="1">SUMPRODUCT(AvoidedCAPEX!B6:W6,AvoidedCAPEX!$B$47:$W$47)/1000000</f>
        <v>25.224484237428442</v>
      </c>
      <c r="AG381" s="367">
        <f t="shared" ref="AG381:AG420" ca="1" si="141">SUM(AB381:AC381,AE381:AF381)</f>
        <v>26.064630733555504</v>
      </c>
      <c r="AH381" s="367">
        <f t="shared" ref="AH381:AH420" ca="1" si="142">SUM(AB381:AF381)</f>
        <v>26.064630733555504</v>
      </c>
      <c r="AI381" s="365">
        <f ca="1">SUMPRODUCT(CAPEX!B6:W6,CAPEX!$B$47:$W$47)</f>
        <v>-2091284.7073170929</v>
      </c>
      <c r="AJ381" s="365" t="str">
        <f t="shared" si="136"/>
        <v/>
      </c>
      <c r="AK381" s="365">
        <f t="shared" ca="1" si="136"/>
        <v>-167810.0954674512</v>
      </c>
      <c r="AL381" s="365">
        <f t="shared" ca="1" si="136"/>
        <v>-167810.0954674512</v>
      </c>
      <c r="AM381" s="365">
        <f t="shared" ca="1" si="136"/>
        <v>-167810.0954674512</v>
      </c>
      <c r="AN381" s="365">
        <f t="shared" ca="1" si="136"/>
        <v>-167810.0954674512</v>
      </c>
      <c r="AO381" s="365">
        <f t="shared" ca="1" si="136"/>
        <v>-167810.0954674512</v>
      </c>
      <c r="AP381" s="365">
        <f t="shared" ca="1" si="136"/>
        <v>-167810.0954674512</v>
      </c>
      <c r="AQ381" s="365">
        <f t="shared" ca="1" si="136"/>
        <v>-167810.0954674512</v>
      </c>
      <c r="AR381" s="365">
        <f t="shared" ca="1" si="136"/>
        <v>-167810.0954674512</v>
      </c>
      <c r="AS381" s="365">
        <f t="shared" ca="1" si="136"/>
        <v>-167810.0954674512</v>
      </c>
      <c r="AT381" s="365">
        <f t="shared" ca="1" si="137"/>
        <v>-167810.0954674512</v>
      </c>
      <c r="AU381" s="365">
        <f t="shared" ca="1" si="137"/>
        <v>-167810.0954674512</v>
      </c>
      <c r="AV381" s="365">
        <f t="shared" ca="1" si="137"/>
        <v>-167810.0954674512</v>
      </c>
      <c r="AW381" s="365">
        <f t="shared" ca="1" si="137"/>
        <v>-167810.0954674512</v>
      </c>
      <c r="AX381" s="365">
        <f t="shared" ca="1" si="137"/>
        <v>-167810.0954674512</v>
      </c>
      <c r="AY381" s="365">
        <f t="shared" ca="1" si="137"/>
        <v>-167810.0954674512</v>
      </c>
      <c r="AZ381" s="365">
        <f t="shared" ca="1" si="137"/>
        <v>-167810.0954674512</v>
      </c>
      <c r="BA381" s="365">
        <f t="shared" ca="1" si="137"/>
        <v>-167810.0954674512</v>
      </c>
      <c r="BB381" s="365">
        <f t="shared" ca="1" si="137"/>
        <v>-167810.0954674512</v>
      </c>
      <c r="BC381" s="365">
        <f t="shared" ca="1" si="137"/>
        <v>-167810.0954674512</v>
      </c>
      <c r="BD381" s="365">
        <f t="shared" ca="1" si="138"/>
        <v>-167810.0954674512</v>
      </c>
      <c r="BE381" s="365" t="str">
        <f t="shared" si="138"/>
        <v/>
      </c>
      <c r="BF381" s="365" t="str">
        <f t="shared" si="138"/>
        <v/>
      </c>
      <c r="BG381" s="365" t="str">
        <f t="shared" si="138"/>
        <v/>
      </c>
      <c r="BH381" s="365" t="str">
        <f t="shared" si="138"/>
        <v/>
      </c>
      <c r="BI381" s="365" t="str">
        <f t="shared" si="138"/>
        <v/>
      </c>
      <c r="BJ381" s="365" t="str">
        <f t="shared" si="138"/>
        <v/>
      </c>
      <c r="BK381" s="365" t="str">
        <f t="shared" si="138"/>
        <v/>
      </c>
      <c r="BL381" s="365" t="str">
        <f t="shared" si="138"/>
        <v/>
      </c>
      <c r="BM381" s="365" t="str">
        <f t="shared" si="138"/>
        <v/>
      </c>
      <c r="BN381" s="365" t="str">
        <f t="shared" si="139"/>
        <v/>
      </c>
      <c r="BO381" s="365" t="str">
        <f t="shared" si="139"/>
        <v/>
      </c>
      <c r="BP381" s="365" t="str">
        <f t="shared" si="139"/>
        <v/>
      </c>
      <c r="BQ381" s="365" t="str">
        <f t="shared" si="139"/>
        <v/>
      </c>
      <c r="BR381" s="365" t="str">
        <f t="shared" si="139"/>
        <v/>
      </c>
      <c r="BS381" s="365" t="str">
        <f t="shared" si="139"/>
        <v/>
      </c>
      <c r="BT381" s="365" t="str">
        <f t="shared" si="139"/>
        <v/>
      </c>
      <c r="BU381" s="365" t="str">
        <f t="shared" si="139"/>
        <v/>
      </c>
      <c r="BV381" s="365" t="str">
        <f t="shared" si="139"/>
        <v/>
      </c>
      <c r="BW381" s="365" t="str">
        <f t="shared" si="139"/>
        <v/>
      </c>
      <c r="BX381" s="365" t="str">
        <f t="shared" si="139"/>
        <v/>
      </c>
    </row>
    <row r="382" spans="22:76">
      <c r="V382" s="9"/>
      <c r="W382" s="1268"/>
      <c r="X382" s="8">
        <v>3</v>
      </c>
      <c r="Y382" s="10" t="s">
        <v>381</v>
      </c>
      <c r="AA382" s="360">
        <f t="shared" si="140"/>
        <v>2012</v>
      </c>
      <c r="AB382" s="367">
        <f ca="1">SUMPRODUCT(FuelSavings!B7:W7,FuelSavings!$B$47:$W$47)/1000000</f>
        <v>2.8399370249352978</v>
      </c>
      <c r="AC382" s="367">
        <f ca="1">SUMPRODUCT(OPEX!B7:W7,OPEX!$B$47:$W$47)/1000000</f>
        <v>0.63171202030252027</v>
      </c>
      <c r="AD382" s="367">
        <f ca="1">SUMPRODUCT(GHGComplianceSavings!B7:W7,GHGComplianceSavings!$B$47:$W$47)/1000000</f>
        <v>0</v>
      </c>
      <c r="AE382" s="367">
        <f t="shared" ca="1" si="135"/>
        <v>-0.46685159277946275</v>
      </c>
      <c r="AF382" s="367">
        <f ca="1">SUMPRODUCT(AvoidedCAPEX!B7:W7,AvoidedCAPEX!$B$47:$W$47)/1000000</f>
        <v>25.224484237428761</v>
      </c>
      <c r="AG382" s="367">
        <f t="shared" ca="1" si="141"/>
        <v>28.229281689887117</v>
      </c>
      <c r="AH382" s="367">
        <f t="shared" ca="1" si="142"/>
        <v>28.229281689887117</v>
      </c>
      <c r="AI382" s="365">
        <f ca="1">SUMPRODUCT(CAPEX!B7:W7,CAPEX!$B$47:$W$47)</f>
        <v>-3626718.0406503938</v>
      </c>
      <c r="AJ382" s="365" t="str">
        <f t="shared" si="136"/>
        <v/>
      </c>
      <c r="AK382" s="365" t="str">
        <f t="shared" si="136"/>
        <v/>
      </c>
      <c r="AL382" s="365">
        <f t="shared" ca="1" si="136"/>
        <v>-291017.23859294242</v>
      </c>
      <c r="AM382" s="365">
        <f t="shared" ca="1" si="136"/>
        <v>-291017.23859294242</v>
      </c>
      <c r="AN382" s="365">
        <f t="shared" ca="1" si="136"/>
        <v>-291017.23859294242</v>
      </c>
      <c r="AO382" s="365">
        <f t="shared" ca="1" si="136"/>
        <v>-291017.23859294242</v>
      </c>
      <c r="AP382" s="365">
        <f t="shared" ca="1" si="136"/>
        <v>-291017.23859294242</v>
      </c>
      <c r="AQ382" s="365">
        <f t="shared" ca="1" si="136"/>
        <v>-291017.23859294242</v>
      </c>
      <c r="AR382" s="365">
        <f t="shared" ca="1" si="136"/>
        <v>-291017.23859294242</v>
      </c>
      <c r="AS382" s="365">
        <f t="shared" ca="1" si="136"/>
        <v>-291017.23859294242</v>
      </c>
      <c r="AT382" s="365">
        <f t="shared" ca="1" si="137"/>
        <v>-291017.23859294242</v>
      </c>
      <c r="AU382" s="365">
        <f t="shared" ca="1" si="137"/>
        <v>-291017.23859294242</v>
      </c>
      <c r="AV382" s="365">
        <f t="shared" ca="1" si="137"/>
        <v>-291017.23859294242</v>
      </c>
      <c r="AW382" s="365">
        <f t="shared" ca="1" si="137"/>
        <v>-291017.23859294242</v>
      </c>
      <c r="AX382" s="365">
        <f t="shared" ca="1" si="137"/>
        <v>-291017.23859294242</v>
      </c>
      <c r="AY382" s="365">
        <f t="shared" ca="1" si="137"/>
        <v>-291017.23859294242</v>
      </c>
      <c r="AZ382" s="365">
        <f t="shared" ca="1" si="137"/>
        <v>-291017.23859294242</v>
      </c>
      <c r="BA382" s="365">
        <f t="shared" ca="1" si="137"/>
        <v>-291017.23859294242</v>
      </c>
      <c r="BB382" s="365">
        <f t="shared" ca="1" si="137"/>
        <v>-291017.23859294242</v>
      </c>
      <c r="BC382" s="365">
        <f t="shared" ca="1" si="137"/>
        <v>-291017.23859294242</v>
      </c>
      <c r="BD382" s="365">
        <f t="shared" ca="1" si="138"/>
        <v>-291017.23859294242</v>
      </c>
      <c r="BE382" s="365">
        <f t="shared" ca="1" si="138"/>
        <v>-291017.23859294242</v>
      </c>
      <c r="BF382" s="365" t="str">
        <f t="shared" si="138"/>
        <v/>
      </c>
      <c r="BG382" s="365" t="str">
        <f t="shared" si="138"/>
        <v/>
      </c>
      <c r="BH382" s="365" t="str">
        <f t="shared" si="138"/>
        <v/>
      </c>
      <c r="BI382" s="365" t="str">
        <f t="shared" si="138"/>
        <v/>
      </c>
      <c r="BJ382" s="365" t="str">
        <f t="shared" si="138"/>
        <v/>
      </c>
      <c r="BK382" s="365" t="str">
        <f t="shared" si="138"/>
        <v/>
      </c>
      <c r="BL382" s="365" t="str">
        <f t="shared" si="138"/>
        <v/>
      </c>
      <c r="BM382" s="365" t="str">
        <f t="shared" si="138"/>
        <v/>
      </c>
      <c r="BN382" s="365" t="str">
        <f t="shared" si="139"/>
        <v/>
      </c>
      <c r="BO382" s="365" t="str">
        <f t="shared" si="139"/>
        <v/>
      </c>
      <c r="BP382" s="365" t="str">
        <f t="shared" si="139"/>
        <v/>
      </c>
      <c r="BQ382" s="365" t="str">
        <f t="shared" si="139"/>
        <v/>
      </c>
      <c r="BR382" s="365" t="str">
        <f t="shared" si="139"/>
        <v/>
      </c>
      <c r="BS382" s="365" t="str">
        <f t="shared" si="139"/>
        <v/>
      </c>
      <c r="BT382" s="365" t="str">
        <f t="shared" si="139"/>
        <v/>
      </c>
      <c r="BU382" s="365" t="str">
        <f t="shared" si="139"/>
        <v/>
      </c>
      <c r="BV382" s="365" t="str">
        <f t="shared" si="139"/>
        <v/>
      </c>
      <c r="BW382" s="365" t="str">
        <f t="shared" si="139"/>
        <v/>
      </c>
      <c r="BX382" s="365" t="str">
        <f t="shared" si="139"/>
        <v/>
      </c>
    </row>
    <row r="383" spans="22:76">
      <c r="V383" s="9"/>
      <c r="W383" s="1268"/>
      <c r="X383" s="8">
        <v>4</v>
      </c>
      <c r="Y383" s="366">
        <v>0.05</v>
      </c>
      <c r="AA383" s="360">
        <f t="shared" si="140"/>
        <v>2013</v>
      </c>
      <c r="AB383" s="367">
        <f ca="1">SUMPRODUCT(FuelSavings!B8:W8,FuelSavings!$B$47:$W$47)/1000000</f>
        <v>3.8657950970597179</v>
      </c>
      <c r="AC383" s="367">
        <f ca="1">SUMPRODUCT(OPEX!B8:W8,OPEX!$B$47:$W$47)/1000000</f>
        <v>0.81221972816342891</v>
      </c>
      <c r="AD383" s="367">
        <f ca="1">SUMPRODUCT(GHGComplianceSavings!B8:W8,GHGComplianceSavings!$B$47:$W$47)/1000000</f>
        <v>0</v>
      </c>
      <c r="AE383" s="367">
        <f t="shared" ca="1" si="135"/>
        <v>-0.65512103430265922</v>
      </c>
      <c r="AF383" s="367">
        <f ca="1">SUMPRODUCT(AvoidedCAPEX!B8:W8,AvoidedCAPEX!$B$47:$W$47)/1000000</f>
        <v>25.224484237428442</v>
      </c>
      <c r="AG383" s="367">
        <f t="shared" ca="1" si="141"/>
        <v>29.24737802834893</v>
      </c>
      <c r="AH383" s="367">
        <f t="shared" ca="1" si="142"/>
        <v>29.24737802834893</v>
      </c>
      <c r="AI383" s="365">
        <f ca="1">SUMPRODUCT(CAPEX!B8:W8,CAPEX!$B$47:$W$47)</f>
        <v>-2346253.3813346061</v>
      </c>
      <c r="AJ383" s="365" t="str">
        <f t="shared" si="136"/>
        <v/>
      </c>
      <c r="AK383" s="365" t="str">
        <f t="shared" si="136"/>
        <v/>
      </c>
      <c r="AL383" s="365" t="str">
        <f t="shared" si="136"/>
        <v/>
      </c>
      <c r="AM383" s="365">
        <f t="shared" ca="1" si="136"/>
        <v>-188269.44152319647</v>
      </c>
      <c r="AN383" s="365">
        <f t="shared" ca="1" si="136"/>
        <v>-188269.44152319647</v>
      </c>
      <c r="AO383" s="365">
        <f t="shared" ca="1" si="136"/>
        <v>-188269.44152319647</v>
      </c>
      <c r="AP383" s="365">
        <f t="shared" ca="1" si="136"/>
        <v>-188269.44152319647</v>
      </c>
      <c r="AQ383" s="365">
        <f t="shared" ca="1" si="136"/>
        <v>-188269.44152319647</v>
      </c>
      <c r="AR383" s="365">
        <f t="shared" ca="1" si="136"/>
        <v>-188269.44152319647</v>
      </c>
      <c r="AS383" s="365">
        <f t="shared" ca="1" si="136"/>
        <v>-188269.44152319647</v>
      </c>
      <c r="AT383" s="365">
        <f t="shared" ca="1" si="137"/>
        <v>-188269.44152319647</v>
      </c>
      <c r="AU383" s="365">
        <f t="shared" ca="1" si="137"/>
        <v>-188269.44152319647</v>
      </c>
      <c r="AV383" s="365">
        <f t="shared" ca="1" si="137"/>
        <v>-188269.44152319647</v>
      </c>
      <c r="AW383" s="365">
        <f t="shared" ca="1" si="137"/>
        <v>-188269.44152319647</v>
      </c>
      <c r="AX383" s="365">
        <f t="shared" ca="1" si="137"/>
        <v>-188269.44152319647</v>
      </c>
      <c r="AY383" s="365">
        <f t="shared" ca="1" si="137"/>
        <v>-188269.44152319647</v>
      </c>
      <c r="AZ383" s="365">
        <f t="shared" ca="1" si="137"/>
        <v>-188269.44152319647</v>
      </c>
      <c r="BA383" s="365">
        <f t="shared" ca="1" si="137"/>
        <v>-188269.44152319647</v>
      </c>
      <c r="BB383" s="365">
        <f t="shared" ca="1" si="137"/>
        <v>-188269.44152319647</v>
      </c>
      <c r="BC383" s="365">
        <f t="shared" ca="1" si="137"/>
        <v>-188269.44152319647</v>
      </c>
      <c r="BD383" s="365">
        <f t="shared" ca="1" si="138"/>
        <v>-188269.44152319647</v>
      </c>
      <c r="BE383" s="365">
        <f t="shared" ca="1" si="138"/>
        <v>-188269.44152319647</v>
      </c>
      <c r="BF383" s="365">
        <f t="shared" ca="1" si="138"/>
        <v>-188269.44152319647</v>
      </c>
      <c r="BG383" s="365" t="str">
        <f t="shared" si="138"/>
        <v/>
      </c>
      <c r="BH383" s="365" t="str">
        <f t="shared" si="138"/>
        <v/>
      </c>
      <c r="BI383" s="365" t="str">
        <f t="shared" si="138"/>
        <v/>
      </c>
      <c r="BJ383" s="365" t="str">
        <f t="shared" si="138"/>
        <v/>
      </c>
      <c r="BK383" s="365" t="str">
        <f t="shared" si="138"/>
        <v/>
      </c>
      <c r="BL383" s="365" t="str">
        <f t="shared" si="138"/>
        <v/>
      </c>
      <c r="BM383" s="365" t="str">
        <f t="shared" si="138"/>
        <v/>
      </c>
      <c r="BN383" s="365" t="str">
        <f t="shared" si="139"/>
        <v/>
      </c>
      <c r="BO383" s="365" t="str">
        <f t="shared" si="139"/>
        <v/>
      </c>
      <c r="BP383" s="365" t="str">
        <f t="shared" si="139"/>
        <v/>
      </c>
      <c r="BQ383" s="365" t="str">
        <f t="shared" si="139"/>
        <v/>
      </c>
      <c r="BR383" s="365" t="str">
        <f t="shared" si="139"/>
        <v/>
      </c>
      <c r="BS383" s="365" t="str">
        <f t="shared" si="139"/>
        <v/>
      </c>
      <c r="BT383" s="365" t="str">
        <f t="shared" si="139"/>
        <v/>
      </c>
      <c r="BU383" s="365" t="str">
        <f t="shared" si="139"/>
        <v/>
      </c>
      <c r="BV383" s="365" t="str">
        <f t="shared" si="139"/>
        <v/>
      </c>
      <c r="BW383" s="365" t="str">
        <f t="shared" si="139"/>
        <v/>
      </c>
      <c r="BX383" s="365" t="str">
        <f t="shared" si="139"/>
        <v/>
      </c>
    </row>
    <row r="384" spans="22:76">
      <c r="V384" s="9"/>
      <c r="W384" s="1268"/>
      <c r="X384" s="8">
        <v>5</v>
      </c>
      <c r="AA384" s="360">
        <f t="shared" si="140"/>
        <v>2014</v>
      </c>
      <c r="AB384" s="367">
        <f ca="1">SUMPRODUCT(FuelSavings!B9:W9,FuelSavings!$B$47:$W$47)/1000000</f>
        <v>5.0890428612498866</v>
      </c>
      <c r="AC384" s="367">
        <f ca="1">SUMPRODUCT(OPEX!B9:W9,OPEX!$B$47:$W$47)/1000000</f>
        <v>1.0076797142660756</v>
      </c>
      <c r="AD384" s="367">
        <f ca="1">SUMPRODUCT(GHGComplianceSavings!B9:W9,GHGComplianceSavings!$B$47:$W$47)/1000000</f>
        <v>0</v>
      </c>
      <c r="AE384" s="367">
        <f t="shared" ca="1" si="135"/>
        <v>-1.1321405900036254</v>
      </c>
      <c r="AF384" s="367">
        <f ca="1">SUMPRODUCT(AvoidedCAPEX!B9:W9,AvoidedCAPEX!$B$47:$W$47)/1000000</f>
        <v>25.774484237428762</v>
      </c>
      <c r="AG384" s="367">
        <f t="shared" ca="1" si="141"/>
        <v>30.739066222941098</v>
      </c>
      <c r="AH384" s="367">
        <f t="shared" ca="1" si="142"/>
        <v>30.739066222941098</v>
      </c>
      <c r="AI384" s="365">
        <f ca="1">SUMPRODUCT(CAPEX!B9:W9,CAPEX!$B$47:$W$47)</f>
        <v>-5944718.0406504106</v>
      </c>
      <c r="AJ384" s="365" t="str">
        <f t="shared" si="136"/>
        <v/>
      </c>
      <c r="AK384" s="365" t="str">
        <f t="shared" si="136"/>
        <v/>
      </c>
      <c r="AL384" s="365" t="str">
        <f t="shared" si="136"/>
        <v/>
      </c>
      <c r="AM384" s="365" t="str">
        <f t="shared" si="136"/>
        <v/>
      </c>
      <c r="AN384" s="365">
        <f t="shared" ca="1" si="136"/>
        <v>-477019.55570096627</v>
      </c>
      <c r="AO384" s="365">
        <f t="shared" ca="1" si="136"/>
        <v>-477019.55570096627</v>
      </c>
      <c r="AP384" s="365">
        <f t="shared" ca="1" si="136"/>
        <v>-477019.55570096627</v>
      </c>
      <c r="AQ384" s="365">
        <f t="shared" ca="1" si="136"/>
        <v>-477019.55570096627</v>
      </c>
      <c r="AR384" s="365">
        <f t="shared" ca="1" si="136"/>
        <v>-477019.55570096627</v>
      </c>
      <c r="AS384" s="365">
        <f t="shared" ca="1" si="136"/>
        <v>-477019.55570096627</v>
      </c>
      <c r="AT384" s="365">
        <f t="shared" ca="1" si="137"/>
        <v>-477019.55570096627</v>
      </c>
      <c r="AU384" s="365">
        <f t="shared" ca="1" si="137"/>
        <v>-477019.55570096627</v>
      </c>
      <c r="AV384" s="365">
        <f t="shared" ca="1" si="137"/>
        <v>-477019.55570096627</v>
      </c>
      <c r="AW384" s="365">
        <f t="shared" ca="1" si="137"/>
        <v>-477019.55570096627</v>
      </c>
      <c r="AX384" s="365">
        <f t="shared" ca="1" si="137"/>
        <v>-477019.55570096627</v>
      </c>
      <c r="AY384" s="365">
        <f t="shared" ca="1" si="137"/>
        <v>-477019.55570096627</v>
      </c>
      <c r="AZ384" s="365">
        <f t="shared" ca="1" si="137"/>
        <v>-477019.55570096627</v>
      </c>
      <c r="BA384" s="365">
        <f t="shared" ca="1" si="137"/>
        <v>-477019.55570096627</v>
      </c>
      <c r="BB384" s="365">
        <f t="shared" ca="1" si="137"/>
        <v>-477019.55570096627</v>
      </c>
      <c r="BC384" s="365">
        <f t="shared" ca="1" si="137"/>
        <v>-477019.55570096627</v>
      </c>
      <c r="BD384" s="365">
        <f t="shared" ca="1" si="138"/>
        <v>-477019.55570096627</v>
      </c>
      <c r="BE384" s="365">
        <f t="shared" ca="1" si="138"/>
        <v>-477019.55570096627</v>
      </c>
      <c r="BF384" s="365">
        <f t="shared" ca="1" si="138"/>
        <v>-477019.55570096627</v>
      </c>
      <c r="BG384" s="365">
        <f t="shared" ca="1" si="138"/>
        <v>-477019.55570096627</v>
      </c>
      <c r="BH384" s="365" t="str">
        <f t="shared" si="138"/>
        <v/>
      </c>
      <c r="BI384" s="365" t="str">
        <f t="shared" si="138"/>
        <v/>
      </c>
      <c r="BJ384" s="365" t="str">
        <f t="shared" si="138"/>
        <v/>
      </c>
      <c r="BK384" s="365" t="str">
        <f t="shared" si="138"/>
        <v/>
      </c>
      <c r="BL384" s="365" t="str">
        <f t="shared" si="138"/>
        <v/>
      </c>
      <c r="BM384" s="365" t="str">
        <f t="shared" si="138"/>
        <v/>
      </c>
      <c r="BN384" s="365" t="str">
        <f t="shared" si="139"/>
        <v/>
      </c>
      <c r="BO384" s="365" t="str">
        <f t="shared" si="139"/>
        <v/>
      </c>
      <c r="BP384" s="365" t="str">
        <f t="shared" si="139"/>
        <v/>
      </c>
      <c r="BQ384" s="365" t="str">
        <f t="shared" si="139"/>
        <v/>
      </c>
      <c r="BR384" s="365" t="str">
        <f t="shared" si="139"/>
        <v/>
      </c>
      <c r="BS384" s="365" t="str">
        <f t="shared" si="139"/>
        <v/>
      </c>
      <c r="BT384" s="365" t="str">
        <f t="shared" si="139"/>
        <v/>
      </c>
      <c r="BU384" s="365" t="str">
        <f t="shared" si="139"/>
        <v/>
      </c>
      <c r="BV384" s="365" t="str">
        <f t="shared" si="139"/>
        <v/>
      </c>
      <c r="BW384" s="365" t="str">
        <f t="shared" si="139"/>
        <v/>
      </c>
      <c r="BX384" s="365" t="str">
        <f t="shared" si="139"/>
        <v/>
      </c>
    </row>
    <row r="385" spans="22:76">
      <c r="V385" s="9"/>
      <c r="W385" s="1268"/>
      <c r="X385" s="8">
        <v>2</v>
      </c>
      <c r="Y385" s="10" t="s">
        <v>390</v>
      </c>
      <c r="AA385" s="360">
        <f t="shared" si="140"/>
        <v>2015</v>
      </c>
      <c r="AB385" s="367">
        <f ca="1">SUMPRODUCT(FuelSavings!B10:W10,FuelSavings!$B$47:$W$47)/1000000</f>
        <v>5.7842099928214887</v>
      </c>
      <c r="AC385" s="367">
        <f ca="1">SUMPRODUCT(OPEX!B10:W10,OPEX!$B$47:$W$47)/1000000</f>
        <v>1.1951092035353554</v>
      </c>
      <c r="AD385" s="367">
        <f ca="1">SUMPRODUCT(GHGComplianceSavings!B10:W10,GHGComplianceSavings!$B$47:$W$47)/1000000</f>
        <v>0.68087126242280516</v>
      </c>
      <c r="AE385" s="367">
        <f t="shared" ca="1" si="135"/>
        <v>-1.3515651660993322</v>
      </c>
      <c r="AF385" s="367">
        <f ca="1">SUMPRODUCT(AvoidedCAPEX!B10:W10,AvoidedCAPEX!$B$47:$W$47)/1000000</f>
        <v>25.774484237428762</v>
      </c>
      <c r="AG385" s="367">
        <f t="shared" ca="1" si="141"/>
        <v>31.402238267686272</v>
      </c>
      <c r="AH385" s="367">
        <f t="shared" ca="1" si="142"/>
        <v>32.083109530109077</v>
      </c>
      <c r="AI385" s="365">
        <f ca="1">SUMPRODUCT(CAPEX!B10:W10,CAPEX!$B$47:$W$47)</f>
        <v>-2734515.2216273686</v>
      </c>
      <c r="AJ385" s="365" t="str">
        <f t="shared" si="136"/>
        <v/>
      </c>
      <c r="AK385" s="365" t="str">
        <f t="shared" si="136"/>
        <v/>
      </c>
      <c r="AL385" s="365" t="str">
        <f t="shared" si="136"/>
        <v/>
      </c>
      <c r="AM385" s="365" t="str">
        <f t="shared" si="136"/>
        <v/>
      </c>
      <c r="AN385" s="365" t="str">
        <f t="shared" si="136"/>
        <v/>
      </c>
      <c r="AO385" s="365">
        <f t="shared" ca="1" si="136"/>
        <v>-219424.57609570673</v>
      </c>
      <c r="AP385" s="365">
        <f t="shared" ca="1" si="136"/>
        <v>-219424.57609570673</v>
      </c>
      <c r="AQ385" s="365">
        <f t="shared" ca="1" si="136"/>
        <v>-219424.57609570673</v>
      </c>
      <c r="AR385" s="365">
        <f t="shared" ca="1" si="136"/>
        <v>-219424.57609570673</v>
      </c>
      <c r="AS385" s="365">
        <f t="shared" ca="1" si="136"/>
        <v>-219424.57609570673</v>
      </c>
      <c r="AT385" s="365">
        <f t="shared" ca="1" si="137"/>
        <v>-219424.57609570673</v>
      </c>
      <c r="AU385" s="365">
        <f t="shared" ca="1" si="137"/>
        <v>-219424.57609570673</v>
      </c>
      <c r="AV385" s="365">
        <f t="shared" ca="1" si="137"/>
        <v>-219424.57609570673</v>
      </c>
      <c r="AW385" s="365">
        <f t="shared" ca="1" si="137"/>
        <v>-219424.57609570673</v>
      </c>
      <c r="AX385" s="365">
        <f t="shared" ca="1" si="137"/>
        <v>-219424.57609570673</v>
      </c>
      <c r="AY385" s="365">
        <f t="shared" ca="1" si="137"/>
        <v>-219424.57609570673</v>
      </c>
      <c r="AZ385" s="365">
        <f t="shared" ca="1" si="137"/>
        <v>-219424.57609570673</v>
      </c>
      <c r="BA385" s="365">
        <f t="shared" ca="1" si="137"/>
        <v>-219424.57609570673</v>
      </c>
      <c r="BB385" s="365">
        <f t="shared" ca="1" si="137"/>
        <v>-219424.57609570673</v>
      </c>
      <c r="BC385" s="365">
        <f t="shared" ca="1" si="137"/>
        <v>-219424.57609570673</v>
      </c>
      <c r="BD385" s="365">
        <f t="shared" ca="1" si="138"/>
        <v>-219424.57609570673</v>
      </c>
      <c r="BE385" s="365">
        <f t="shared" ca="1" si="138"/>
        <v>-219424.57609570673</v>
      </c>
      <c r="BF385" s="365">
        <f t="shared" ca="1" si="138"/>
        <v>-219424.57609570673</v>
      </c>
      <c r="BG385" s="365">
        <f t="shared" ca="1" si="138"/>
        <v>-219424.57609570673</v>
      </c>
      <c r="BH385" s="365">
        <f t="shared" ca="1" si="138"/>
        <v>-219424.57609570673</v>
      </c>
      <c r="BI385" s="365" t="str">
        <f t="shared" si="138"/>
        <v/>
      </c>
      <c r="BJ385" s="365" t="str">
        <f t="shared" si="138"/>
        <v/>
      </c>
      <c r="BK385" s="365" t="str">
        <f t="shared" si="138"/>
        <v/>
      </c>
      <c r="BL385" s="365" t="str">
        <f t="shared" si="138"/>
        <v/>
      </c>
      <c r="BM385" s="365" t="str">
        <f t="shared" si="138"/>
        <v/>
      </c>
      <c r="BN385" s="365" t="str">
        <f t="shared" si="139"/>
        <v/>
      </c>
      <c r="BO385" s="365" t="str">
        <f t="shared" si="139"/>
        <v/>
      </c>
      <c r="BP385" s="365" t="str">
        <f t="shared" si="139"/>
        <v/>
      </c>
      <c r="BQ385" s="365" t="str">
        <f t="shared" si="139"/>
        <v/>
      </c>
      <c r="BR385" s="365" t="str">
        <f t="shared" si="139"/>
        <v/>
      </c>
      <c r="BS385" s="365" t="str">
        <f t="shared" si="139"/>
        <v/>
      </c>
      <c r="BT385" s="365" t="str">
        <f t="shared" si="139"/>
        <v/>
      </c>
      <c r="BU385" s="365" t="str">
        <f t="shared" si="139"/>
        <v/>
      </c>
      <c r="BV385" s="365" t="str">
        <f t="shared" si="139"/>
        <v/>
      </c>
      <c r="BW385" s="365" t="str">
        <f t="shared" si="139"/>
        <v/>
      </c>
      <c r="BX385" s="365" t="str">
        <f t="shared" si="139"/>
        <v/>
      </c>
    </row>
    <row r="386" spans="22:76">
      <c r="V386" s="9"/>
      <c r="W386" s="1268"/>
      <c r="X386" s="8">
        <v>6</v>
      </c>
      <c r="Y386" s="15">
        <f ca="1">'VSG (3)'!D16</f>
        <v>541.70889245092985</v>
      </c>
      <c r="AA386" s="360">
        <f t="shared" si="140"/>
        <v>2016</v>
      </c>
      <c r="AB386" s="367">
        <f ca="1">SUMPRODUCT(FuelSavings!B11:W11,FuelSavings!$B$47:$W$47)/1000000</f>
        <v>5.843798377420657</v>
      </c>
      <c r="AC386" s="367">
        <f ca="1">SUMPRODUCT(OPEX!B11:W11,OPEX!$B$47:$W$47)/1000000</f>
        <v>1.460013692599164</v>
      </c>
      <c r="AD386" s="367">
        <f ca="1">SUMPRODUCT(GHGComplianceSavings!B11:W11,GHGComplianceSavings!$B$47:$W$47)/1000000</f>
        <v>0.84825883682396741</v>
      </c>
      <c r="AE386" s="367">
        <f t="shared" ca="1" si="135"/>
        <v>-1.4473327746946651</v>
      </c>
      <c r="AF386" s="367">
        <f ca="1">SUMPRODUCT(AvoidedCAPEX!B11:W11,AvoidedCAPEX!$B$47:$W$47)/1000000</f>
        <v>25.774484237428442</v>
      </c>
      <c r="AG386" s="367">
        <f t="shared" ca="1" si="141"/>
        <v>31.630963532753597</v>
      </c>
      <c r="AH386" s="367">
        <f t="shared" ca="1" si="142"/>
        <v>32.479222369577563</v>
      </c>
      <c r="AI386" s="365">
        <f ca="1">SUMPRODUCT(CAPEX!B11:W11,CAPEX!$B$47:$W$47)</f>
        <v>-1193476.0823170771</v>
      </c>
      <c r="AJ386" s="365" t="str">
        <f t="shared" si="136"/>
        <v/>
      </c>
      <c r="AK386" s="365" t="str">
        <f t="shared" si="136"/>
        <v/>
      </c>
      <c r="AL386" s="365" t="str">
        <f t="shared" si="136"/>
        <v/>
      </c>
      <c r="AM386" s="365" t="str">
        <f t="shared" si="136"/>
        <v/>
      </c>
      <c r="AN386" s="365" t="str">
        <f t="shared" si="136"/>
        <v/>
      </c>
      <c r="AO386" s="365" t="str">
        <f t="shared" si="136"/>
        <v/>
      </c>
      <c r="AP386" s="365">
        <f t="shared" ca="1" si="136"/>
        <v>-95767.608595332757</v>
      </c>
      <c r="AQ386" s="365">
        <f t="shared" ca="1" si="136"/>
        <v>-95767.608595332757</v>
      </c>
      <c r="AR386" s="365">
        <f t="shared" ca="1" si="136"/>
        <v>-95767.608595332757</v>
      </c>
      <c r="AS386" s="365">
        <f t="shared" ca="1" si="136"/>
        <v>-95767.608595332757</v>
      </c>
      <c r="AT386" s="365">
        <f t="shared" ca="1" si="137"/>
        <v>-95767.608595332757</v>
      </c>
      <c r="AU386" s="365">
        <f t="shared" ca="1" si="137"/>
        <v>-95767.608595332757</v>
      </c>
      <c r="AV386" s="365">
        <f t="shared" ca="1" si="137"/>
        <v>-95767.608595332757</v>
      </c>
      <c r="AW386" s="365">
        <f t="shared" ca="1" si="137"/>
        <v>-95767.608595332757</v>
      </c>
      <c r="AX386" s="365">
        <f t="shared" ca="1" si="137"/>
        <v>-95767.608595332757</v>
      </c>
      <c r="AY386" s="365">
        <f t="shared" ca="1" si="137"/>
        <v>-95767.608595332757</v>
      </c>
      <c r="AZ386" s="365">
        <f t="shared" ca="1" si="137"/>
        <v>-95767.608595332757</v>
      </c>
      <c r="BA386" s="365">
        <f t="shared" ca="1" si="137"/>
        <v>-95767.608595332757</v>
      </c>
      <c r="BB386" s="365">
        <f t="shared" ca="1" si="137"/>
        <v>-95767.608595332757</v>
      </c>
      <c r="BC386" s="365">
        <f t="shared" ca="1" si="137"/>
        <v>-95767.608595332757</v>
      </c>
      <c r="BD386" s="365">
        <f t="shared" ca="1" si="138"/>
        <v>-95767.608595332757</v>
      </c>
      <c r="BE386" s="365">
        <f t="shared" ca="1" si="138"/>
        <v>-95767.608595332757</v>
      </c>
      <c r="BF386" s="365">
        <f t="shared" ca="1" si="138"/>
        <v>-95767.608595332757</v>
      </c>
      <c r="BG386" s="365">
        <f t="shared" ca="1" si="138"/>
        <v>-95767.608595332757</v>
      </c>
      <c r="BH386" s="365">
        <f t="shared" ca="1" si="138"/>
        <v>-95767.608595332757</v>
      </c>
      <c r="BI386" s="365">
        <f t="shared" ca="1" si="138"/>
        <v>-95767.608595332757</v>
      </c>
      <c r="BJ386" s="365" t="str">
        <f t="shared" si="138"/>
        <v/>
      </c>
      <c r="BK386" s="365" t="str">
        <f t="shared" si="138"/>
        <v/>
      </c>
      <c r="BL386" s="365" t="str">
        <f t="shared" si="138"/>
        <v/>
      </c>
      <c r="BM386" s="365" t="str">
        <f t="shared" si="138"/>
        <v/>
      </c>
      <c r="BN386" s="365" t="str">
        <f t="shared" si="139"/>
        <v/>
      </c>
      <c r="BO386" s="365" t="str">
        <f t="shared" si="139"/>
        <v/>
      </c>
      <c r="BP386" s="365" t="str">
        <f t="shared" si="139"/>
        <v/>
      </c>
      <c r="BQ386" s="365" t="str">
        <f t="shared" si="139"/>
        <v/>
      </c>
      <c r="BR386" s="365" t="str">
        <f t="shared" si="139"/>
        <v/>
      </c>
      <c r="BS386" s="365" t="str">
        <f t="shared" si="139"/>
        <v/>
      </c>
      <c r="BT386" s="365" t="str">
        <f t="shared" si="139"/>
        <v/>
      </c>
      <c r="BU386" s="365" t="str">
        <f t="shared" si="139"/>
        <v/>
      </c>
      <c r="BV386" s="365" t="str">
        <f t="shared" si="139"/>
        <v/>
      </c>
      <c r="BW386" s="365" t="str">
        <f t="shared" si="139"/>
        <v/>
      </c>
      <c r="BX386" s="365" t="str">
        <f t="shared" si="139"/>
        <v/>
      </c>
    </row>
    <row r="387" spans="22:76">
      <c r="V387" s="9"/>
      <c r="W387" s="1268"/>
      <c r="Y387" s="10" t="str">
        <f ca="1">Y385&amp;": $"&amp;ROUND(Y386,0)&amp;" MM"</f>
        <v>Portfolio NPV w/o GHG Compliance Savings: $542 MM</v>
      </c>
      <c r="AA387" s="360">
        <f t="shared" si="140"/>
        <v>2017</v>
      </c>
      <c r="AB387" s="367">
        <f ca="1">SUMPRODUCT(FuelSavings!B12:W12,FuelSavings!$B$47:$W$47)/1000000</f>
        <v>6.383670147390796</v>
      </c>
      <c r="AC387" s="367">
        <f ca="1">SUMPRODUCT(OPEX!B12:W12,OPEX!$B$47:$W$47)/1000000</f>
        <v>1.612498973617505</v>
      </c>
      <c r="AD387" s="367">
        <f ca="1">SUMPRODUCT(GHGComplianceSavings!B12:W12,GHGComplianceSavings!$B$47:$W$47)/1000000</f>
        <v>1.0255459197491434</v>
      </c>
      <c r="AE387" s="367">
        <f t="shared" ca="1" si="135"/>
        <v>-1.5431003832899979</v>
      </c>
      <c r="AF387" s="367">
        <f ca="1">SUMPRODUCT(AvoidedCAPEX!B12:W12,AvoidedCAPEX!$B$47:$W$47)/1000000</f>
        <v>25.774484237428762</v>
      </c>
      <c r="AG387" s="367">
        <f t="shared" ca="1" si="141"/>
        <v>32.227552975147063</v>
      </c>
      <c r="AH387" s="367">
        <f t="shared" ca="1" si="142"/>
        <v>33.253098894896212</v>
      </c>
      <c r="AI387" s="365">
        <f ca="1">SUMPRODUCT(CAPEX!B12:W12,CAPEX!$B$47:$W$47)</f>
        <v>-1193476.0823170771</v>
      </c>
      <c r="AJ387" s="365" t="str">
        <f t="shared" si="136"/>
        <v/>
      </c>
      <c r="AK387" s="365" t="str">
        <f t="shared" si="136"/>
        <v/>
      </c>
      <c r="AL387" s="365" t="str">
        <f t="shared" si="136"/>
        <v/>
      </c>
      <c r="AM387" s="365" t="str">
        <f t="shared" si="136"/>
        <v/>
      </c>
      <c r="AN387" s="365" t="str">
        <f t="shared" si="136"/>
        <v/>
      </c>
      <c r="AO387" s="365" t="str">
        <f t="shared" si="136"/>
        <v/>
      </c>
      <c r="AP387" s="365" t="str">
        <f t="shared" si="136"/>
        <v/>
      </c>
      <c r="AQ387" s="365">
        <f t="shared" ca="1" si="136"/>
        <v>-95767.608595332757</v>
      </c>
      <c r="AR387" s="365">
        <f t="shared" ca="1" si="136"/>
        <v>-95767.608595332757</v>
      </c>
      <c r="AS387" s="365">
        <f t="shared" ca="1" si="136"/>
        <v>-95767.608595332757</v>
      </c>
      <c r="AT387" s="365">
        <f t="shared" ca="1" si="137"/>
        <v>-95767.608595332757</v>
      </c>
      <c r="AU387" s="365">
        <f t="shared" ca="1" si="137"/>
        <v>-95767.608595332757</v>
      </c>
      <c r="AV387" s="365">
        <f t="shared" ca="1" si="137"/>
        <v>-95767.608595332757</v>
      </c>
      <c r="AW387" s="365">
        <f t="shared" ca="1" si="137"/>
        <v>-95767.608595332757</v>
      </c>
      <c r="AX387" s="365">
        <f t="shared" ca="1" si="137"/>
        <v>-95767.608595332757</v>
      </c>
      <c r="AY387" s="365">
        <f t="shared" ca="1" si="137"/>
        <v>-95767.608595332757</v>
      </c>
      <c r="AZ387" s="365">
        <f t="shared" ca="1" si="137"/>
        <v>-95767.608595332757</v>
      </c>
      <c r="BA387" s="365">
        <f t="shared" ca="1" si="137"/>
        <v>-95767.608595332757</v>
      </c>
      <c r="BB387" s="365">
        <f t="shared" ca="1" si="137"/>
        <v>-95767.608595332757</v>
      </c>
      <c r="BC387" s="365">
        <f t="shared" ca="1" si="137"/>
        <v>-95767.608595332757</v>
      </c>
      <c r="BD387" s="365">
        <f t="shared" ca="1" si="138"/>
        <v>-95767.608595332757</v>
      </c>
      <c r="BE387" s="365">
        <f t="shared" ca="1" si="138"/>
        <v>-95767.608595332757</v>
      </c>
      <c r="BF387" s="365">
        <f t="shared" ca="1" si="138"/>
        <v>-95767.608595332757</v>
      </c>
      <c r="BG387" s="365">
        <f t="shared" ca="1" si="138"/>
        <v>-95767.608595332757</v>
      </c>
      <c r="BH387" s="365">
        <f t="shared" ca="1" si="138"/>
        <v>-95767.608595332757</v>
      </c>
      <c r="BI387" s="365">
        <f t="shared" ca="1" si="138"/>
        <v>-95767.608595332757</v>
      </c>
      <c r="BJ387" s="365">
        <f t="shared" ca="1" si="138"/>
        <v>-95767.608595332757</v>
      </c>
      <c r="BK387" s="365" t="str">
        <f t="shared" si="138"/>
        <v/>
      </c>
      <c r="BL387" s="365" t="str">
        <f t="shared" si="138"/>
        <v/>
      </c>
      <c r="BM387" s="365" t="str">
        <f t="shared" si="138"/>
        <v/>
      </c>
      <c r="BN387" s="365" t="str">
        <f t="shared" si="139"/>
        <v/>
      </c>
      <c r="BO387" s="365" t="str">
        <f t="shared" si="139"/>
        <v/>
      </c>
      <c r="BP387" s="365" t="str">
        <f t="shared" si="139"/>
        <v/>
      </c>
      <c r="BQ387" s="365" t="str">
        <f t="shared" si="139"/>
        <v/>
      </c>
      <c r="BR387" s="365" t="str">
        <f t="shared" si="139"/>
        <v/>
      </c>
      <c r="BS387" s="365" t="str">
        <f t="shared" si="139"/>
        <v/>
      </c>
      <c r="BT387" s="365" t="str">
        <f t="shared" si="139"/>
        <v/>
      </c>
      <c r="BU387" s="365" t="str">
        <f t="shared" si="139"/>
        <v/>
      </c>
      <c r="BV387" s="365" t="str">
        <f t="shared" si="139"/>
        <v/>
      </c>
      <c r="BW387" s="365" t="str">
        <f t="shared" si="139"/>
        <v/>
      </c>
      <c r="BX387" s="365" t="str">
        <f t="shared" si="139"/>
        <v/>
      </c>
    </row>
    <row r="388" spans="22:76">
      <c r="AA388" s="360">
        <f t="shared" si="140"/>
        <v>2018</v>
      </c>
      <c r="AB388" s="367">
        <f ca="1">SUMPRODUCT(FuelSavings!B13:W13,FuelSavings!$B$47:$W$47)/1000000</f>
        <v>6.8400402090856911</v>
      </c>
      <c r="AC388" s="367">
        <f ca="1">SUMPRODUCT(OPEX!B13:W13,OPEX!$B$47:$W$47)/1000000</f>
        <v>1.8149647609075581</v>
      </c>
      <c r="AD388" s="367">
        <f ca="1">SUMPRODUCT(GHGComplianceSavings!B13:W13,GHGComplianceSavings!$B$47:$W$47)/1000000</f>
        <v>1.2229809569596186</v>
      </c>
      <c r="AE388" s="367">
        <f t="shared" ca="1" si="135"/>
        <v>-1.6388679918853308</v>
      </c>
      <c r="AF388" s="367">
        <f ca="1">SUMPRODUCT(AvoidedCAPEX!B13:W13,AvoidedCAPEX!$B$47:$W$47)/1000000</f>
        <v>25.774484237428442</v>
      </c>
      <c r="AG388" s="367">
        <f t="shared" ca="1" si="141"/>
        <v>32.790621215536362</v>
      </c>
      <c r="AH388" s="367">
        <f t="shared" ca="1" si="142"/>
        <v>34.013602172495979</v>
      </c>
      <c r="AI388" s="365">
        <f ca="1">SUMPRODUCT(CAPEX!B13:W13,CAPEX!$B$47:$W$47)</f>
        <v>-1193476.0823170771</v>
      </c>
      <c r="AJ388" s="365" t="str">
        <f t="shared" si="136"/>
        <v/>
      </c>
      <c r="AK388" s="365" t="str">
        <f t="shared" si="136"/>
        <v/>
      </c>
      <c r="AL388" s="365" t="str">
        <f t="shared" si="136"/>
        <v/>
      </c>
      <c r="AM388" s="365" t="str">
        <f t="shared" si="136"/>
        <v/>
      </c>
      <c r="AN388" s="365" t="str">
        <f t="shared" si="136"/>
        <v/>
      </c>
      <c r="AO388" s="365" t="str">
        <f t="shared" si="136"/>
        <v/>
      </c>
      <c r="AP388" s="365" t="str">
        <f t="shared" si="136"/>
        <v/>
      </c>
      <c r="AQ388" s="365" t="str">
        <f t="shared" si="136"/>
        <v/>
      </c>
      <c r="AR388" s="365">
        <f t="shared" ca="1" si="136"/>
        <v>-95767.608595332757</v>
      </c>
      <c r="AS388" s="365">
        <f t="shared" ca="1" si="136"/>
        <v>-95767.608595332757</v>
      </c>
      <c r="AT388" s="365">
        <f t="shared" ca="1" si="137"/>
        <v>-95767.608595332757</v>
      </c>
      <c r="AU388" s="365">
        <f t="shared" ca="1" si="137"/>
        <v>-95767.608595332757</v>
      </c>
      <c r="AV388" s="365">
        <f t="shared" ca="1" si="137"/>
        <v>-95767.608595332757</v>
      </c>
      <c r="AW388" s="365">
        <f t="shared" ca="1" si="137"/>
        <v>-95767.608595332757</v>
      </c>
      <c r="AX388" s="365">
        <f t="shared" ca="1" si="137"/>
        <v>-95767.608595332757</v>
      </c>
      <c r="AY388" s="365">
        <f t="shared" ca="1" si="137"/>
        <v>-95767.608595332757</v>
      </c>
      <c r="AZ388" s="365">
        <f t="shared" ca="1" si="137"/>
        <v>-95767.608595332757</v>
      </c>
      <c r="BA388" s="365">
        <f t="shared" ca="1" si="137"/>
        <v>-95767.608595332757</v>
      </c>
      <c r="BB388" s="365">
        <f t="shared" ca="1" si="137"/>
        <v>-95767.608595332757</v>
      </c>
      <c r="BC388" s="365">
        <f t="shared" ca="1" si="137"/>
        <v>-95767.608595332757</v>
      </c>
      <c r="BD388" s="365">
        <f t="shared" ca="1" si="138"/>
        <v>-95767.608595332757</v>
      </c>
      <c r="BE388" s="365">
        <f t="shared" ca="1" si="138"/>
        <v>-95767.608595332757</v>
      </c>
      <c r="BF388" s="365">
        <f t="shared" ca="1" si="138"/>
        <v>-95767.608595332757</v>
      </c>
      <c r="BG388" s="365">
        <f t="shared" ca="1" si="138"/>
        <v>-95767.608595332757</v>
      </c>
      <c r="BH388" s="365">
        <f t="shared" ca="1" si="138"/>
        <v>-95767.608595332757</v>
      </c>
      <c r="BI388" s="365">
        <f t="shared" ca="1" si="138"/>
        <v>-95767.608595332757</v>
      </c>
      <c r="BJ388" s="365">
        <f t="shared" ca="1" si="138"/>
        <v>-95767.608595332757</v>
      </c>
      <c r="BK388" s="365">
        <f t="shared" ca="1" si="138"/>
        <v>-95767.608595332757</v>
      </c>
      <c r="BL388" s="365" t="str">
        <f t="shared" si="138"/>
        <v/>
      </c>
      <c r="BM388" s="365" t="str">
        <f t="shared" si="138"/>
        <v/>
      </c>
      <c r="BN388" s="365" t="str">
        <f t="shared" si="139"/>
        <v/>
      </c>
      <c r="BO388" s="365" t="str">
        <f t="shared" si="139"/>
        <v/>
      </c>
      <c r="BP388" s="365" t="str">
        <f t="shared" si="139"/>
        <v/>
      </c>
      <c r="BQ388" s="365" t="str">
        <f t="shared" si="139"/>
        <v/>
      </c>
      <c r="BR388" s="365" t="str">
        <f t="shared" si="139"/>
        <v/>
      </c>
      <c r="BS388" s="365" t="str">
        <f t="shared" si="139"/>
        <v/>
      </c>
      <c r="BT388" s="365" t="str">
        <f t="shared" si="139"/>
        <v/>
      </c>
      <c r="BU388" s="365" t="str">
        <f t="shared" si="139"/>
        <v/>
      </c>
      <c r="BV388" s="365" t="str">
        <f t="shared" si="139"/>
        <v/>
      </c>
      <c r="BW388" s="365" t="str">
        <f t="shared" si="139"/>
        <v/>
      </c>
      <c r="BX388" s="365" t="str">
        <f t="shared" si="139"/>
        <v/>
      </c>
    </row>
    <row r="389" spans="22:76">
      <c r="Y389" s="10" t="s">
        <v>391</v>
      </c>
      <c r="AA389" s="360">
        <f t="shared" si="140"/>
        <v>2019</v>
      </c>
      <c r="AB389" s="367">
        <f ca="1">SUMPRODUCT(FuelSavings!B14:W14,FuelSavings!$B$47:$W$47)/1000000</f>
        <v>7.3895362248694321</v>
      </c>
      <c r="AC389" s="367">
        <f ca="1">SUMPRODUCT(OPEX!B14:W14,OPEX!$B$47:$W$47)/1000000</f>
        <v>2.0174146169761791</v>
      </c>
      <c r="AD389" s="367">
        <f ca="1">SUMPRODUCT(GHGComplianceSavings!B14:W14,GHGComplianceSavings!$B$47:$W$47)/1000000</f>
        <v>1.4413093589616914</v>
      </c>
      <c r="AE389" s="367">
        <f t="shared" ca="1" si="135"/>
        <v>-1.7346356004806636</v>
      </c>
      <c r="AF389" s="367">
        <f ca="1">SUMPRODUCT(AvoidedCAPEX!B14:W14,AvoidedCAPEX!$B$47:$W$47)/1000000</f>
        <v>25.774484237428762</v>
      </c>
      <c r="AG389" s="367">
        <f t="shared" ca="1" si="141"/>
        <v>33.446799478793707</v>
      </c>
      <c r="AH389" s="367">
        <f t="shared" ca="1" si="142"/>
        <v>34.888108837755397</v>
      </c>
      <c r="AI389" s="365">
        <f ca="1">SUMPRODUCT(CAPEX!B14:W14,CAPEX!$B$47:$W$47)</f>
        <v>-1193476.0823170771</v>
      </c>
      <c r="AJ389" s="365" t="str">
        <f t="shared" si="136"/>
        <v/>
      </c>
      <c r="AK389" s="365" t="str">
        <f t="shared" si="136"/>
        <v/>
      </c>
      <c r="AL389" s="365" t="str">
        <f t="shared" si="136"/>
        <v/>
      </c>
      <c r="AM389" s="365" t="str">
        <f t="shared" si="136"/>
        <v/>
      </c>
      <c r="AN389" s="365" t="str">
        <f t="shared" si="136"/>
        <v/>
      </c>
      <c r="AO389" s="365" t="str">
        <f t="shared" si="136"/>
        <v/>
      </c>
      <c r="AP389" s="365" t="str">
        <f t="shared" si="136"/>
        <v/>
      </c>
      <c r="AQ389" s="365" t="str">
        <f t="shared" si="136"/>
        <v/>
      </c>
      <c r="AR389" s="365" t="str">
        <f t="shared" si="136"/>
        <v/>
      </c>
      <c r="AS389" s="365">
        <f t="shared" ca="1" si="136"/>
        <v>-95767.608595332757</v>
      </c>
      <c r="AT389" s="365">
        <f t="shared" ca="1" si="137"/>
        <v>-95767.608595332757</v>
      </c>
      <c r="AU389" s="365">
        <f t="shared" ca="1" si="137"/>
        <v>-95767.608595332757</v>
      </c>
      <c r="AV389" s="365">
        <f t="shared" ca="1" si="137"/>
        <v>-95767.608595332757</v>
      </c>
      <c r="AW389" s="365">
        <f t="shared" ca="1" si="137"/>
        <v>-95767.608595332757</v>
      </c>
      <c r="AX389" s="365">
        <f t="shared" ca="1" si="137"/>
        <v>-95767.608595332757</v>
      </c>
      <c r="AY389" s="365">
        <f t="shared" ca="1" si="137"/>
        <v>-95767.608595332757</v>
      </c>
      <c r="AZ389" s="365">
        <f t="shared" ca="1" si="137"/>
        <v>-95767.608595332757</v>
      </c>
      <c r="BA389" s="365">
        <f t="shared" ca="1" si="137"/>
        <v>-95767.608595332757</v>
      </c>
      <c r="BB389" s="365">
        <f t="shared" ca="1" si="137"/>
        <v>-95767.608595332757</v>
      </c>
      <c r="BC389" s="365">
        <f t="shared" ca="1" si="137"/>
        <v>-95767.608595332757</v>
      </c>
      <c r="BD389" s="365">
        <f t="shared" ca="1" si="138"/>
        <v>-95767.608595332757</v>
      </c>
      <c r="BE389" s="365">
        <f t="shared" ca="1" si="138"/>
        <v>-95767.608595332757</v>
      </c>
      <c r="BF389" s="365">
        <f t="shared" ca="1" si="138"/>
        <v>-95767.608595332757</v>
      </c>
      <c r="BG389" s="365">
        <f t="shared" ca="1" si="138"/>
        <v>-95767.608595332757</v>
      </c>
      <c r="BH389" s="365">
        <f t="shared" ca="1" si="138"/>
        <v>-95767.608595332757</v>
      </c>
      <c r="BI389" s="365">
        <f t="shared" ca="1" si="138"/>
        <v>-95767.608595332757</v>
      </c>
      <c r="BJ389" s="365">
        <f t="shared" ca="1" si="138"/>
        <v>-95767.608595332757</v>
      </c>
      <c r="BK389" s="365">
        <f t="shared" ca="1" si="138"/>
        <v>-95767.608595332757</v>
      </c>
      <c r="BL389" s="365">
        <f t="shared" ca="1" si="138"/>
        <v>-95767.608595332757</v>
      </c>
      <c r="BM389" s="365" t="str">
        <f t="shared" si="138"/>
        <v/>
      </c>
      <c r="BN389" s="365" t="str">
        <f t="shared" si="139"/>
        <v/>
      </c>
      <c r="BO389" s="365" t="str">
        <f t="shared" si="139"/>
        <v/>
      </c>
      <c r="BP389" s="365" t="str">
        <f t="shared" si="139"/>
        <v/>
      </c>
      <c r="BQ389" s="365" t="str">
        <f t="shared" si="139"/>
        <v/>
      </c>
      <c r="BR389" s="365" t="str">
        <f t="shared" si="139"/>
        <v/>
      </c>
      <c r="BS389" s="365" t="str">
        <f t="shared" si="139"/>
        <v/>
      </c>
      <c r="BT389" s="365" t="str">
        <f t="shared" si="139"/>
        <v/>
      </c>
      <c r="BU389" s="365" t="str">
        <f t="shared" si="139"/>
        <v/>
      </c>
      <c r="BV389" s="365" t="str">
        <f t="shared" si="139"/>
        <v/>
      </c>
      <c r="BW389" s="365" t="str">
        <f t="shared" si="139"/>
        <v/>
      </c>
      <c r="BX389" s="365" t="str">
        <f t="shared" si="139"/>
        <v/>
      </c>
    </row>
    <row r="390" spans="22:76">
      <c r="Y390" s="15">
        <f ca="1">'VSG (3)'!D18</f>
        <v>604.61174930926472</v>
      </c>
      <c r="AA390" s="360">
        <f t="shared" si="140"/>
        <v>2020</v>
      </c>
      <c r="AB390" s="367">
        <f ca="1">SUMPRODUCT(FuelSavings!B15:W15,FuelSavings!$B$47:$W$47)/1000000</f>
        <v>7.9438919293682249</v>
      </c>
      <c r="AC390" s="367">
        <f ca="1">SUMPRODUCT(OPEX!B15:W15,OPEX!$B$47:$W$47)/1000000</f>
        <v>2.2198511356629176</v>
      </c>
      <c r="AD390" s="367">
        <f ca="1">SUMPRODUCT(GHGComplianceSavings!B15:W15,GHGComplianceSavings!$B$47:$W$47)/1000000</f>
        <v>1.6812396061215906</v>
      </c>
      <c r="AE390" s="367">
        <f t="shared" ca="1" si="135"/>
        <v>-1.8304032090759965</v>
      </c>
      <c r="AF390" s="367">
        <f ca="1">SUMPRODUCT(AvoidedCAPEX!B15:W15,AvoidedCAPEX!$B$47:$W$47)/1000000</f>
        <v>25.774484237428442</v>
      </c>
      <c r="AG390" s="367">
        <f t="shared" ca="1" si="141"/>
        <v>34.107824093383584</v>
      </c>
      <c r="AH390" s="367">
        <f t="shared" ca="1" si="142"/>
        <v>35.789063699505178</v>
      </c>
      <c r="AI390" s="365">
        <f ca="1">SUMPRODUCT(CAPEX!B15:W15,CAPEX!$B$47:$W$47)</f>
        <v>-1193476.0823170771</v>
      </c>
      <c r="AJ390" s="365" t="str">
        <f t="shared" ref="AJ390:AS399" si="143">IF(AND(AJ$379&gt;=$AA390,AJ$379&lt;$AA390+$Y$381),-PMT($Y$383,$Y$381,$AI390),"")</f>
        <v/>
      </c>
      <c r="AK390" s="365" t="str">
        <f t="shared" si="143"/>
        <v/>
      </c>
      <c r="AL390" s="365" t="str">
        <f t="shared" si="143"/>
        <v/>
      </c>
      <c r="AM390" s="365" t="str">
        <f t="shared" si="143"/>
        <v/>
      </c>
      <c r="AN390" s="365" t="str">
        <f t="shared" si="143"/>
        <v/>
      </c>
      <c r="AO390" s="365" t="str">
        <f t="shared" si="143"/>
        <v/>
      </c>
      <c r="AP390" s="365" t="str">
        <f t="shared" si="143"/>
        <v/>
      </c>
      <c r="AQ390" s="365" t="str">
        <f t="shared" si="143"/>
        <v/>
      </c>
      <c r="AR390" s="365" t="str">
        <f t="shared" si="143"/>
        <v/>
      </c>
      <c r="AS390" s="365" t="str">
        <f t="shared" si="143"/>
        <v/>
      </c>
      <c r="AT390" s="365">
        <f t="shared" ref="AT390:BC399" ca="1" si="144">IF(AND(AT$379&gt;=$AA390,AT$379&lt;$AA390+$Y$381),-PMT($Y$383,$Y$381,$AI390),"")</f>
        <v>-95767.608595332757</v>
      </c>
      <c r="AU390" s="365">
        <f t="shared" ca="1" si="144"/>
        <v>-95767.608595332757</v>
      </c>
      <c r="AV390" s="365">
        <f t="shared" ca="1" si="144"/>
        <v>-95767.608595332757</v>
      </c>
      <c r="AW390" s="365">
        <f t="shared" ca="1" si="144"/>
        <v>-95767.608595332757</v>
      </c>
      <c r="AX390" s="365">
        <f t="shared" ca="1" si="144"/>
        <v>-95767.608595332757</v>
      </c>
      <c r="AY390" s="365">
        <f t="shared" ca="1" si="144"/>
        <v>-95767.608595332757</v>
      </c>
      <c r="AZ390" s="365">
        <f t="shared" ca="1" si="144"/>
        <v>-95767.608595332757</v>
      </c>
      <c r="BA390" s="365">
        <f t="shared" ca="1" si="144"/>
        <v>-95767.608595332757</v>
      </c>
      <c r="BB390" s="365">
        <f t="shared" ca="1" si="144"/>
        <v>-95767.608595332757</v>
      </c>
      <c r="BC390" s="365">
        <f t="shared" ca="1" si="144"/>
        <v>-95767.608595332757</v>
      </c>
      <c r="BD390" s="365">
        <f t="shared" ref="BD390:BM399" ca="1" si="145">IF(AND(BD$379&gt;=$AA390,BD$379&lt;$AA390+$Y$381),-PMT($Y$383,$Y$381,$AI390),"")</f>
        <v>-95767.608595332757</v>
      </c>
      <c r="BE390" s="365">
        <f t="shared" ca="1" si="145"/>
        <v>-95767.608595332757</v>
      </c>
      <c r="BF390" s="365">
        <f t="shared" ca="1" si="145"/>
        <v>-95767.608595332757</v>
      </c>
      <c r="BG390" s="365">
        <f t="shared" ca="1" si="145"/>
        <v>-95767.608595332757</v>
      </c>
      <c r="BH390" s="365">
        <f t="shared" ca="1" si="145"/>
        <v>-95767.608595332757</v>
      </c>
      <c r="BI390" s="365">
        <f t="shared" ca="1" si="145"/>
        <v>-95767.608595332757</v>
      </c>
      <c r="BJ390" s="365">
        <f t="shared" ca="1" si="145"/>
        <v>-95767.608595332757</v>
      </c>
      <c r="BK390" s="365">
        <f t="shared" ca="1" si="145"/>
        <v>-95767.608595332757</v>
      </c>
      <c r="BL390" s="365">
        <f t="shared" ca="1" si="145"/>
        <v>-95767.608595332757</v>
      </c>
      <c r="BM390" s="365">
        <f t="shared" ca="1" si="145"/>
        <v>-95767.608595332757</v>
      </c>
      <c r="BN390" s="365" t="str">
        <f t="shared" ref="BN390:BX399" si="146">IF(AND(BN$379&gt;=$AA390,BN$379&lt;$AA390+$Y$381),-PMT($Y$383,$Y$381,$AI390),"")</f>
        <v/>
      </c>
      <c r="BO390" s="365" t="str">
        <f t="shared" si="146"/>
        <v/>
      </c>
      <c r="BP390" s="365" t="str">
        <f t="shared" si="146"/>
        <v/>
      </c>
      <c r="BQ390" s="365" t="str">
        <f t="shared" si="146"/>
        <v/>
      </c>
      <c r="BR390" s="365" t="str">
        <f t="shared" si="146"/>
        <v/>
      </c>
      <c r="BS390" s="365" t="str">
        <f t="shared" si="146"/>
        <v/>
      </c>
      <c r="BT390" s="365" t="str">
        <f t="shared" si="146"/>
        <v/>
      </c>
      <c r="BU390" s="365" t="str">
        <f t="shared" si="146"/>
        <v/>
      </c>
      <c r="BV390" s="365" t="str">
        <f t="shared" si="146"/>
        <v/>
      </c>
      <c r="BW390" s="365" t="str">
        <f t="shared" si="146"/>
        <v/>
      </c>
      <c r="BX390" s="365" t="str">
        <f t="shared" si="146"/>
        <v/>
      </c>
    </row>
    <row r="391" spans="22:76">
      <c r="Y391" s="10" t="str">
        <f ca="1">Y389&amp;": $"&amp;ROUND(Y390,0)&amp;" MM"</f>
        <v>Portfolio NPV w/ GHG Compliance Savings: $605 MM</v>
      </c>
      <c r="AA391" s="360">
        <f t="shared" si="140"/>
        <v>2021</v>
      </c>
      <c r="AB391" s="367">
        <f ca="1">SUMPRODUCT(FuelSavings!B16:W16,FuelSavings!$B$47:$W$47)/1000000</f>
        <v>8.5031395250208774</v>
      </c>
      <c r="AC391" s="367">
        <f ca="1">SUMPRODUCT(OPEX!B16:W16,OPEX!$B$47:$W$47)/1000000</f>
        <v>2.422276275107123</v>
      </c>
      <c r="AD391" s="367">
        <f ca="1">SUMPRODUCT(GHGComplianceSavings!B16:W16,GHGComplianceSavings!$B$47:$W$47)/1000000</f>
        <v>1.9641530637966476</v>
      </c>
      <c r="AE391" s="367">
        <f t="shared" ca="1" si="135"/>
        <v>-1.9261708176713279</v>
      </c>
      <c r="AF391" s="367">
        <f ca="1">SUMPRODUCT(AvoidedCAPEX!B16:W16,AvoidedCAPEX!$B$47:$W$47)/1000000</f>
        <v>25.774484237428762</v>
      </c>
      <c r="AG391" s="367">
        <f t="shared" ca="1" si="141"/>
        <v>34.773729219885439</v>
      </c>
      <c r="AH391" s="367">
        <f t="shared" ca="1" si="142"/>
        <v>36.737882283682083</v>
      </c>
      <c r="AI391" s="365">
        <f ca="1">SUMPRODUCT(CAPEX!B16:W16,CAPEX!$B$47:$W$47)</f>
        <v>-1193476.0823170613</v>
      </c>
      <c r="AJ391" s="365" t="str">
        <f t="shared" si="143"/>
        <v/>
      </c>
      <c r="AK391" s="365" t="str">
        <f t="shared" si="143"/>
        <v/>
      </c>
      <c r="AL391" s="365" t="str">
        <f t="shared" si="143"/>
        <v/>
      </c>
      <c r="AM391" s="365" t="str">
        <f t="shared" si="143"/>
        <v/>
      </c>
      <c r="AN391" s="365" t="str">
        <f t="shared" si="143"/>
        <v/>
      </c>
      <c r="AO391" s="365" t="str">
        <f t="shared" si="143"/>
        <v/>
      </c>
      <c r="AP391" s="365" t="str">
        <f t="shared" si="143"/>
        <v/>
      </c>
      <c r="AQ391" s="365" t="str">
        <f t="shared" si="143"/>
        <v/>
      </c>
      <c r="AR391" s="365" t="str">
        <f t="shared" si="143"/>
        <v/>
      </c>
      <c r="AS391" s="365" t="str">
        <f t="shared" si="143"/>
        <v/>
      </c>
      <c r="AT391" s="365" t="str">
        <f t="shared" si="144"/>
        <v/>
      </c>
      <c r="AU391" s="365">
        <f t="shared" ca="1" si="144"/>
        <v>-95767.608595331476</v>
      </c>
      <c r="AV391" s="365">
        <f t="shared" ca="1" si="144"/>
        <v>-95767.608595331476</v>
      </c>
      <c r="AW391" s="365">
        <f t="shared" ca="1" si="144"/>
        <v>-95767.608595331476</v>
      </c>
      <c r="AX391" s="365">
        <f t="shared" ca="1" si="144"/>
        <v>-95767.608595331476</v>
      </c>
      <c r="AY391" s="365">
        <f t="shared" ca="1" si="144"/>
        <v>-95767.608595331476</v>
      </c>
      <c r="AZ391" s="365">
        <f t="shared" ca="1" si="144"/>
        <v>-95767.608595331476</v>
      </c>
      <c r="BA391" s="365">
        <f t="shared" ca="1" si="144"/>
        <v>-95767.608595331476</v>
      </c>
      <c r="BB391" s="365">
        <f t="shared" ca="1" si="144"/>
        <v>-95767.608595331476</v>
      </c>
      <c r="BC391" s="365">
        <f t="shared" ca="1" si="144"/>
        <v>-95767.608595331476</v>
      </c>
      <c r="BD391" s="365">
        <f t="shared" ca="1" si="145"/>
        <v>-95767.608595331476</v>
      </c>
      <c r="BE391" s="365">
        <f t="shared" ca="1" si="145"/>
        <v>-95767.608595331476</v>
      </c>
      <c r="BF391" s="365">
        <f t="shared" ca="1" si="145"/>
        <v>-95767.608595331476</v>
      </c>
      <c r="BG391" s="365">
        <f t="shared" ca="1" si="145"/>
        <v>-95767.608595331476</v>
      </c>
      <c r="BH391" s="365">
        <f t="shared" ca="1" si="145"/>
        <v>-95767.608595331476</v>
      </c>
      <c r="BI391" s="365">
        <f t="shared" ca="1" si="145"/>
        <v>-95767.608595331476</v>
      </c>
      <c r="BJ391" s="365">
        <f t="shared" ca="1" si="145"/>
        <v>-95767.608595331476</v>
      </c>
      <c r="BK391" s="365">
        <f t="shared" ca="1" si="145"/>
        <v>-95767.608595331476</v>
      </c>
      <c r="BL391" s="365">
        <f t="shared" ca="1" si="145"/>
        <v>-95767.608595331476</v>
      </c>
      <c r="BM391" s="365">
        <f t="shared" ca="1" si="145"/>
        <v>-95767.608595331476</v>
      </c>
      <c r="BN391" s="365">
        <f t="shared" ca="1" si="146"/>
        <v>-95767.608595331476</v>
      </c>
      <c r="BO391" s="365" t="str">
        <f t="shared" si="146"/>
        <v/>
      </c>
      <c r="BP391" s="365" t="str">
        <f t="shared" si="146"/>
        <v/>
      </c>
      <c r="BQ391" s="365" t="str">
        <f t="shared" si="146"/>
        <v/>
      </c>
      <c r="BR391" s="365" t="str">
        <f t="shared" si="146"/>
        <v/>
      </c>
      <c r="BS391" s="365" t="str">
        <f t="shared" si="146"/>
        <v/>
      </c>
      <c r="BT391" s="365" t="str">
        <f t="shared" si="146"/>
        <v/>
      </c>
      <c r="BU391" s="365" t="str">
        <f t="shared" si="146"/>
        <v/>
      </c>
      <c r="BV391" s="365" t="str">
        <f t="shared" si="146"/>
        <v/>
      </c>
      <c r="BW391" s="365" t="str">
        <f t="shared" si="146"/>
        <v/>
      </c>
      <c r="BX391" s="365" t="str">
        <f t="shared" si="146"/>
        <v/>
      </c>
    </row>
    <row r="392" spans="22:76">
      <c r="AA392" s="360">
        <f t="shared" si="140"/>
        <v>2022</v>
      </c>
      <c r="AB392" s="367">
        <f ca="1">SUMPRODUCT(FuelSavings!B17:W17,FuelSavings!$B$47:$W$47)/1000000</f>
        <v>9.0673115761306171</v>
      </c>
      <c r="AC392" s="367">
        <f ca="1">SUMPRODUCT(OPEX!B17:W17,OPEX!$B$47:$W$47)/1000000</f>
        <v>2.6271665565882829</v>
      </c>
      <c r="AD392" s="367">
        <f ca="1">SUMPRODUCT(GHGComplianceSavings!B17:W17,GHGComplianceSavings!$B$47:$W$47)/1000000</f>
        <v>2.273897354200253</v>
      </c>
      <c r="AE392" s="367">
        <f t="shared" ca="1" si="135"/>
        <v>-2.0219384262666593</v>
      </c>
      <c r="AF392" s="367">
        <f ca="1">SUMPRODUCT(AvoidedCAPEX!B17:W17,AvoidedCAPEX!$B$47:$W$47)/1000000</f>
        <v>25.774484237428762</v>
      </c>
      <c r="AG392" s="367">
        <f t="shared" ca="1" si="141"/>
        <v>35.447023943881</v>
      </c>
      <c r="AH392" s="367">
        <f t="shared" ca="1" si="142"/>
        <v>37.720921298081251</v>
      </c>
      <c r="AI392" s="365">
        <f ca="1">SUMPRODUCT(CAPEX!B17:W17,CAPEX!$B$47:$W$47)</f>
        <v>-1193476.0823170613</v>
      </c>
      <c r="AJ392" s="365" t="str">
        <f t="shared" si="143"/>
        <v/>
      </c>
      <c r="AK392" s="365" t="str">
        <f t="shared" si="143"/>
        <v/>
      </c>
      <c r="AL392" s="365" t="str">
        <f t="shared" si="143"/>
        <v/>
      </c>
      <c r="AM392" s="365" t="str">
        <f t="shared" si="143"/>
        <v/>
      </c>
      <c r="AN392" s="365" t="str">
        <f t="shared" si="143"/>
        <v/>
      </c>
      <c r="AO392" s="365" t="str">
        <f t="shared" si="143"/>
        <v/>
      </c>
      <c r="AP392" s="365" t="str">
        <f t="shared" si="143"/>
        <v/>
      </c>
      <c r="AQ392" s="365" t="str">
        <f t="shared" si="143"/>
        <v/>
      </c>
      <c r="AR392" s="365" t="str">
        <f t="shared" si="143"/>
        <v/>
      </c>
      <c r="AS392" s="365" t="str">
        <f t="shared" si="143"/>
        <v/>
      </c>
      <c r="AT392" s="365" t="str">
        <f t="shared" si="144"/>
        <v/>
      </c>
      <c r="AU392" s="365" t="str">
        <f t="shared" si="144"/>
        <v/>
      </c>
      <c r="AV392" s="365">
        <f t="shared" ca="1" si="144"/>
        <v>-95767.608595331476</v>
      </c>
      <c r="AW392" s="365">
        <f t="shared" ca="1" si="144"/>
        <v>-95767.608595331476</v>
      </c>
      <c r="AX392" s="365">
        <f t="shared" ca="1" si="144"/>
        <v>-95767.608595331476</v>
      </c>
      <c r="AY392" s="365">
        <f t="shared" ca="1" si="144"/>
        <v>-95767.608595331476</v>
      </c>
      <c r="AZ392" s="365">
        <f t="shared" ca="1" si="144"/>
        <v>-95767.608595331476</v>
      </c>
      <c r="BA392" s="365">
        <f t="shared" ca="1" si="144"/>
        <v>-95767.608595331476</v>
      </c>
      <c r="BB392" s="365">
        <f t="shared" ca="1" si="144"/>
        <v>-95767.608595331476</v>
      </c>
      <c r="BC392" s="365">
        <f t="shared" ca="1" si="144"/>
        <v>-95767.608595331476</v>
      </c>
      <c r="BD392" s="365">
        <f t="shared" ca="1" si="145"/>
        <v>-95767.608595331476</v>
      </c>
      <c r="BE392" s="365">
        <f t="shared" ca="1" si="145"/>
        <v>-95767.608595331476</v>
      </c>
      <c r="BF392" s="365">
        <f t="shared" ca="1" si="145"/>
        <v>-95767.608595331476</v>
      </c>
      <c r="BG392" s="365">
        <f t="shared" ca="1" si="145"/>
        <v>-95767.608595331476</v>
      </c>
      <c r="BH392" s="365">
        <f t="shared" ca="1" si="145"/>
        <v>-95767.608595331476</v>
      </c>
      <c r="BI392" s="365">
        <f t="shared" ca="1" si="145"/>
        <v>-95767.608595331476</v>
      </c>
      <c r="BJ392" s="365">
        <f t="shared" ca="1" si="145"/>
        <v>-95767.608595331476</v>
      </c>
      <c r="BK392" s="365">
        <f t="shared" ca="1" si="145"/>
        <v>-95767.608595331476</v>
      </c>
      <c r="BL392" s="365">
        <f t="shared" ca="1" si="145"/>
        <v>-95767.608595331476</v>
      </c>
      <c r="BM392" s="365">
        <f t="shared" ca="1" si="145"/>
        <v>-95767.608595331476</v>
      </c>
      <c r="BN392" s="365">
        <f t="shared" ca="1" si="146"/>
        <v>-95767.608595331476</v>
      </c>
      <c r="BO392" s="365">
        <f t="shared" ca="1" si="146"/>
        <v>-95767.608595331476</v>
      </c>
      <c r="BP392" s="365" t="str">
        <f t="shared" si="146"/>
        <v/>
      </c>
      <c r="BQ392" s="365" t="str">
        <f t="shared" si="146"/>
        <v/>
      </c>
      <c r="BR392" s="365" t="str">
        <f t="shared" si="146"/>
        <v/>
      </c>
      <c r="BS392" s="365" t="str">
        <f t="shared" si="146"/>
        <v/>
      </c>
      <c r="BT392" s="365" t="str">
        <f t="shared" si="146"/>
        <v/>
      </c>
      <c r="BU392" s="365" t="str">
        <f t="shared" si="146"/>
        <v/>
      </c>
      <c r="BV392" s="365" t="str">
        <f t="shared" si="146"/>
        <v/>
      </c>
      <c r="BW392" s="365" t="str">
        <f t="shared" si="146"/>
        <v/>
      </c>
      <c r="BX392" s="365" t="str">
        <f t="shared" si="146"/>
        <v/>
      </c>
    </row>
    <row r="393" spans="22:76">
      <c r="AA393" s="360">
        <f t="shared" si="140"/>
        <v>2023</v>
      </c>
      <c r="AB393" s="367">
        <f ca="1">SUMPRODUCT(FuelSavings!B18:W18,FuelSavings!$B$47:$W$47)/1000000</f>
        <v>9.6364410037512123</v>
      </c>
      <c r="AC393" s="367">
        <f ca="1">SUMPRODUCT(OPEX!B18:W18,OPEX!$B$47:$W$47)/1000000</f>
        <v>2.8320481899001111</v>
      </c>
      <c r="AD393" s="367">
        <f ca="1">SUMPRODUCT(GHGComplianceSavings!B18:W18,GHGComplianceSavings!$B$47:$W$47)/1000000</f>
        <v>2.6112192079983725</v>
      </c>
      <c r="AE393" s="367">
        <f t="shared" ca="1" si="135"/>
        <v>-2.1177060348619934</v>
      </c>
      <c r="AF393" s="367">
        <f ca="1">SUMPRODUCT(AvoidedCAPEX!B18:W18,AvoidedCAPEX!$B$47:$W$47)/1000000</f>
        <v>25.774484237428442</v>
      </c>
      <c r="AG393" s="367">
        <f t="shared" ca="1" si="141"/>
        <v>36.125267396217772</v>
      </c>
      <c r="AH393" s="367">
        <f t="shared" ca="1" si="142"/>
        <v>38.73648660421614</v>
      </c>
      <c r="AI393" s="365">
        <f ca="1">SUMPRODUCT(CAPEX!B18:W18,CAPEX!$B$47:$W$47)</f>
        <v>-1193476.0823170929</v>
      </c>
      <c r="AJ393" s="365" t="str">
        <f t="shared" si="143"/>
        <v/>
      </c>
      <c r="AK393" s="365" t="str">
        <f t="shared" si="143"/>
        <v/>
      </c>
      <c r="AL393" s="365" t="str">
        <f t="shared" si="143"/>
        <v/>
      </c>
      <c r="AM393" s="365" t="str">
        <f t="shared" si="143"/>
        <v/>
      </c>
      <c r="AN393" s="365" t="str">
        <f t="shared" si="143"/>
        <v/>
      </c>
      <c r="AO393" s="365" t="str">
        <f t="shared" si="143"/>
        <v/>
      </c>
      <c r="AP393" s="365" t="str">
        <f t="shared" si="143"/>
        <v/>
      </c>
      <c r="AQ393" s="365" t="str">
        <f t="shared" si="143"/>
        <v/>
      </c>
      <c r="AR393" s="365" t="str">
        <f t="shared" si="143"/>
        <v/>
      </c>
      <c r="AS393" s="365" t="str">
        <f t="shared" si="143"/>
        <v/>
      </c>
      <c r="AT393" s="365" t="str">
        <f t="shared" si="144"/>
        <v/>
      </c>
      <c r="AU393" s="365" t="str">
        <f t="shared" si="144"/>
        <v/>
      </c>
      <c r="AV393" s="365" t="str">
        <f t="shared" si="144"/>
        <v/>
      </c>
      <c r="AW393" s="365">
        <f t="shared" ca="1" si="144"/>
        <v>-95767.608595334023</v>
      </c>
      <c r="AX393" s="365">
        <f t="shared" ca="1" si="144"/>
        <v>-95767.608595334023</v>
      </c>
      <c r="AY393" s="365">
        <f t="shared" ca="1" si="144"/>
        <v>-95767.608595334023</v>
      </c>
      <c r="AZ393" s="365">
        <f t="shared" ca="1" si="144"/>
        <v>-95767.608595334023</v>
      </c>
      <c r="BA393" s="365">
        <f t="shared" ca="1" si="144"/>
        <v>-95767.608595334023</v>
      </c>
      <c r="BB393" s="365">
        <f t="shared" ca="1" si="144"/>
        <v>-95767.608595334023</v>
      </c>
      <c r="BC393" s="365">
        <f t="shared" ca="1" si="144"/>
        <v>-95767.608595334023</v>
      </c>
      <c r="BD393" s="365">
        <f t="shared" ca="1" si="145"/>
        <v>-95767.608595334023</v>
      </c>
      <c r="BE393" s="365">
        <f t="shared" ca="1" si="145"/>
        <v>-95767.608595334023</v>
      </c>
      <c r="BF393" s="365">
        <f t="shared" ca="1" si="145"/>
        <v>-95767.608595334023</v>
      </c>
      <c r="BG393" s="365">
        <f t="shared" ca="1" si="145"/>
        <v>-95767.608595334023</v>
      </c>
      <c r="BH393" s="365">
        <f t="shared" ca="1" si="145"/>
        <v>-95767.608595334023</v>
      </c>
      <c r="BI393" s="365">
        <f t="shared" ca="1" si="145"/>
        <v>-95767.608595334023</v>
      </c>
      <c r="BJ393" s="365">
        <f t="shared" ca="1" si="145"/>
        <v>-95767.608595334023</v>
      </c>
      <c r="BK393" s="365">
        <f t="shared" ca="1" si="145"/>
        <v>-95767.608595334023</v>
      </c>
      <c r="BL393" s="365">
        <f t="shared" ca="1" si="145"/>
        <v>-95767.608595334023</v>
      </c>
      <c r="BM393" s="365">
        <f t="shared" ca="1" si="145"/>
        <v>-95767.608595334023</v>
      </c>
      <c r="BN393" s="365">
        <f t="shared" ca="1" si="146"/>
        <v>-95767.608595334023</v>
      </c>
      <c r="BO393" s="365">
        <f t="shared" ca="1" si="146"/>
        <v>-95767.608595334023</v>
      </c>
      <c r="BP393" s="365">
        <f t="shared" ca="1" si="146"/>
        <v>-95767.608595334023</v>
      </c>
      <c r="BQ393" s="365" t="str">
        <f t="shared" si="146"/>
        <v/>
      </c>
      <c r="BR393" s="365" t="str">
        <f t="shared" si="146"/>
        <v/>
      </c>
      <c r="BS393" s="365" t="str">
        <f t="shared" si="146"/>
        <v/>
      </c>
      <c r="BT393" s="365" t="str">
        <f t="shared" si="146"/>
        <v/>
      </c>
      <c r="BU393" s="365" t="str">
        <f t="shared" si="146"/>
        <v/>
      </c>
      <c r="BV393" s="365" t="str">
        <f t="shared" si="146"/>
        <v/>
      </c>
      <c r="BW393" s="365" t="str">
        <f t="shared" si="146"/>
        <v/>
      </c>
      <c r="BX393" s="365" t="str">
        <f t="shared" si="146"/>
        <v/>
      </c>
    </row>
    <row r="394" spans="22:76">
      <c r="AA394" s="360">
        <f t="shared" si="140"/>
        <v>2024</v>
      </c>
      <c r="AB394" s="367">
        <f ca="1">SUMPRODUCT(FuelSavings!B19:W19,FuelSavings!$B$47:$W$47)/1000000</f>
        <v>10.134903297633398</v>
      </c>
      <c r="AC394" s="367">
        <f ca="1">SUMPRODUCT(OPEX!B19:W19,OPEX!$B$47:$W$47)/1000000</f>
        <v>3.0369221559387083</v>
      </c>
      <c r="AD394" s="367">
        <f ca="1">SUMPRODUCT(GHGComplianceSavings!B19:W19,GHGComplianceSavings!$B$47:$W$47)/1000000</f>
        <v>2.9589630946188707</v>
      </c>
      <c r="AE394" s="367">
        <f t="shared" ca="1" si="135"/>
        <v>-2.2197821250861125</v>
      </c>
      <c r="AF394" s="367">
        <f ca="1">SUMPRODUCT(AvoidedCAPEX!B19:W19,AvoidedCAPEX!$B$47:$W$47)/1000000</f>
        <v>25.774484237428762</v>
      </c>
      <c r="AG394" s="367">
        <f t="shared" ca="1" si="141"/>
        <v>36.726527565914758</v>
      </c>
      <c r="AH394" s="367">
        <f t="shared" ca="1" si="142"/>
        <v>39.685490660533631</v>
      </c>
      <c r="AI394" s="365">
        <f ca="1">SUMPRODUCT(CAPEX!B19:W19,CAPEX!$B$47:$W$47)</f>
        <v>-1272093.7073170613</v>
      </c>
      <c r="AJ394" s="365" t="str">
        <f t="shared" si="143"/>
        <v/>
      </c>
      <c r="AK394" s="365" t="str">
        <f t="shared" si="143"/>
        <v/>
      </c>
      <c r="AL394" s="365" t="str">
        <f t="shared" si="143"/>
        <v/>
      </c>
      <c r="AM394" s="365" t="str">
        <f t="shared" si="143"/>
        <v/>
      </c>
      <c r="AN394" s="365" t="str">
        <f t="shared" si="143"/>
        <v/>
      </c>
      <c r="AO394" s="365" t="str">
        <f t="shared" si="143"/>
        <v/>
      </c>
      <c r="AP394" s="365" t="str">
        <f t="shared" si="143"/>
        <v/>
      </c>
      <c r="AQ394" s="365" t="str">
        <f t="shared" si="143"/>
        <v/>
      </c>
      <c r="AR394" s="365" t="str">
        <f t="shared" si="143"/>
        <v/>
      </c>
      <c r="AS394" s="365" t="str">
        <f t="shared" si="143"/>
        <v/>
      </c>
      <c r="AT394" s="365" t="str">
        <f t="shared" si="144"/>
        <v/>
      </c>
      <c r="AU394" s="365" t="str">
        <f t="shared" si="144"/>
        <v/>
      </c>
      <c r="AV394" s="365" t="str">
        <f t="shared" si="144"/>
        <v/>
      </c>
      <c r="AW394" s="365" t="str">
        <f t="shared" si="144"/>
        <v/>
      </c>
      <c r="AX394" s="365">
        <f t="shared" ca="1" si="144"/>
        <v>-102076.09022411905</v>
      </c>
      <c r="AY394" s="365">
        <f t="shared" ca="1" si="144"/>
        <v>-102076.09022411905</v>
      </c>
      <c r="AZ394" s="365">
        <f t="shared" ca="1" si="144"/>
        <v>-102076.09022411905</v>
      </c>
      <c r="BA394" s="365">
        <f t="shared" ca="1" si="144"/>
        <v>-102076.09022411905</v>
      </c>
      <c r="BB394" s="365">
        <f t="shared" ca="1" si="144"/>
        <v>-102076.09022411905</v>
      </c>
      <c r="BC394" s="365">
        <f t="shared" ca="1" si="144"/>
        <v>-102076.09022411905</v>
      </c>
      <c r="BD394" s="365">
        <f t="shared" ca="1" si="145"/>
        <v>-102076.09022411905</v>
      </c>
      <c r="BE394" s="365">
        <f t="shared" ca="1" si="145"/>
        <v>-102076.09022411905</v>
      </c>
      <c r="BF394" s="365">
        <f t="shared" ca="1" si="145"/>
        <v>-102076.09022411905</v>
      </c>
      <c r="BG394" s="365">
        <f t="shared" ca="1" si="145"/>
        <v>-102076.09022411905</v>
      </c>
      <c r="BH394" s="365">
        <f t="shared" ca="1" si="145"/>
        <v>-102076.09022411905</v>
      </c>
      <c r="BI394" s="365">
        <f t="shared" ca="1" si="145"/>
        <v>-102076.09022411905</v>
      </c>
      <c r="BJ394" s="365">
        <f t="shared" ca="1" si="145"/>
        <v>-102076.09022411905</v>
      </c>
      <c r="BK394" s="365">
        <f t="shared" ca="1" si="145"/>
        <v>-102076.09022411905</v>
      </c>
      <c r="BL394" s="365">
        <f t="shared" ca="1" si="145"/>
        <v>-102076.09022411905</v>
      </c>
      <c r="BM394" s="365">
        <f t="shared" ca="1" si="145"/>
        <v>-102076.09022411905</v>
      </c>
      <c r="BN394" s="365">
        <f t="shared" ca="1" si="146"/>
        <v>-102076.09022411905</v>
      </c>
      <c r="BO394" s="365">
        <f t="shared" ca="1" si="146"/>
        <v>-102076.09022411905</v>
      </c>
      <c r="BP394" s="365">
        <f t="shared" ca="1" si="146"/>
        <v>-102076.09022411905</v>
      </c>
      <c r="BQ394" s="365">
        <f t="shared" ca="1" si="146"/>
        <v>-102076.09022411905</v>
      </c>
      <c r="BR394" s="365" t="str">
        <f t="shared" si="146"/>
        <v/>
      </c>
      <c r="BS394" s="365" t="str">
        <f t="shared" si="146"/>
        <v/>
      </c>
      <c r="BT394" s="365" t="str">
        <f t="shared" si="146"/>
        <v/>
      </c>
      <c r="BU394" s="365" t="str">
        <f t="shared" si="146"/>
        <v/>
      </c>
      <c r="BV394" s="365" t="str">
        <f t="shared" si="146"/>
        <v/>
      </c>
      <c r="BW394" s="365" t="str">
        <f t="shared" si="146"/>
        <v/>
      </c>
      <c r="BX394" s="365" t="str">
        <f t="shared" si="146"/>
        <v/>
      </c>
    </row>
    <row r="395" spans="22:76">
      <c r="AA395" s="360">
        <f t="shared" si="140"/>
        <v>2025</v>
      </c>
      <c r="AB395" s="367">
        <f ca="1">SUMPRODUCT(FuelSavings!B20:W20,FuelSavings!$B$47:$W$47)/1000000</f>
        <v>10.63747248746648</v>
      </c>
      <c r="AC395" s="367">
        <f ca="1">SUMPRODUCT(OPEX!B20:W20,OPEX!$B$47:$W$47)/1000000</f>
        <v>3.2417892631030947</v>
      </c>
      <c r="AD395" s="367">
        <f ca="1">SUMPRODUCT(GHGComplianceSavings!B20:W20,GHGComplianceSavings!$B$47:$W$47)/1000000</f>
        <v>3.3324692868474712</v>
      </c>
      <c r="AE395" s="367">
        <f t="shared" ca="1" si="135"/>
        <v>-2.3218582153102325</v>
      </c>
      <c r="AF395" s="367">
        <f ca="1">SUMPRODUCT(AvoidedCAPEX!B20:W20,AvoidedCAPEX!$B$47:$W$47)/1000000</f>
        <v>25.774484237428762</v>
      </c>
      <c r="AG395" s="367">
        <f t="shared" ca="1" si="141"/>
        <v>37.331887772688106</v>
      </c>
      <c r="AH395" s="367">
        <f t="shared" ca="1" si="142"/>
        <v>40.664357059535575</v>
      </c>
      <c r="AI395" s="365">
        <f ca="1">SUMPRODUCT(CAPEX!B20:W20,CAPEX!$B$47:$W$47)</f>
        <v>-1272093.7073170771</v>
      </c>
      <c r="AJ395" s="365" t="str">
        <f t="shared" si="143"/>
        <v/>
      </c>
      <c r="AK395" s="365" t="str">
        <f t="shared" si="143"/>
        <v/>
      </c>
      <c r="AL395" s="365" t="str">
        <f t="shared" si="143"/>
        <v/>
      </c>
      <c r="AM395" s="365" t="str">
        <f t="shared" si="143"/>
        <v/>
      </c>
      <c r="AN395" s="365" t="str">
        <f t="shared" si="143"/>
        <v/>
      </c>
      <c r="AO395" s="365" t="str">
        <f t="shared" si="143"/>
        <v/>
      </c>
      <c r="AP395" s="365" t="str">
        <f t="shared" si="143"/>
        <v/>
      </c>
      <c r="AQ395" s="365" t="str">
        <f t="shared" si="143"/>
        <v/>
      </c>
      <c r="AR395" s="365" t="str">
        <f t="shared" si="143"/>
        <v/>
      </c>
      <c r="AS395" s="365" t="str">
        <f t="shared" si="143"/>
        <v/>
      </c>
      <c r="AT395" s="365" t="str">
        <f t="shared" si="144"/>
        <v/>
      </c>
      <c r="AU395" s="365" t="str">
        <f t="shared" si="144"/>
        <v/>
      </c>
      <c r="AV395" s="365" t="str">
        <f t="shared" si="144"/>
        <v/>
      </c>
      <c r="AW395" s="365" t="str">
        <f t="shared" si="144"/>
        <v/>
      </c>
      <c r="AX395" s="365" t="str">
        <f t="shared" si="144"/>
        <v/>
      </c>
      <c r="AY395" s="365">
        <f t="shared" ca="1" si="144"/>
        <v>-102076.09022412031</v>
      </c>
      <c r="AZ395" s="365">
        <f t="shared" ca="1" si="144"/>
        <v>-102076.09022412031</v>
      </c>
      <c r="BA395" s="365">
        <f t="shared" ca="1" si="144"/>
        <v>-102076.09022412031</v>
      </c>
      <c r="BB395" s="365">
        <f t="shared" ca="1" si="144"/>
        <v>-102076.09022412031</v>
      </c>
      <c r="BC395" s="365">
        <f t="shared" ca="1" si="144"/>
        <v>-102076.09022412031</v>
      </c>
      <c r="BD395" s="365">
        <f t="shared" ca="1" si="145"/>
        <v>-102076.09022412031</v>
      </c>
      <c r="BE395" s="365">
        <f t="shared" ca="1" si="145"/>
        <v>-102076.09022412031</v>
      </c>
      <c r="BF395" s="365">
        <f t="shared" ca="1" si="145"/>
        <v>-102076.09022412031</v>
      </c>
      <c r="BG395" s="365">
        <f t="shared" ca="1" si="145"/>
        <v>-102076.09022412031</v>
      </c>
      <c r="BH395" s="365">
        <f t="shared" ca="1" si="145"/>
        <v>-102076.09022412031</v>
      </c>
      <c r="BI395" s="365">
        <f t="shared" ca="1" si="145"/>
        <v>-102076.09022412031</v>
      </c>
      <c r="BJ395" s="365">
        <f t="shared" ca="1" si="145"/>
        <v>-102076.09022412031</v>
      </c>
      <c r="BK395" s="365">
        <f t="shared" ca="1" si="145"/>
        <v>-102076.09022412031</v>
      </c>
      <c r="BL395" s="365">
        <f t="shared" ca="1" si="145"/>
        <v>-102076.09022412031</v>
      </c>
      <c r="BM395" s="365">
        <f t="shared" ca="1" si="145"/>
        <v>-102076.09022412031</v>
      </c>
      <c r="BN395" s="365">
        <f t="shared" ca="1" si="146"/>
        <v>-102076.09022412031</v>
      </c>
      <c r="BO395" s="365">
        <f t="shared" ca="1" si="146"/>
        <v>-102076.09022412031</v>
      </c>
      <c r="BP395" s="365">
        <f t="shared" ca="1" si="146"/>
        <v>-102076.09022412031</v>
      </c>
      <c r="BQ395" s="365">
        <f t="shared" ca="1" si="146"/>
        <v>-102076.09022412031</v>
      </c>
      <c r="BR395" s="365">
        <f t="shared" ca="1" si="146"/>
        <v>-102076.09022412031</v>
      </c>
      <c r="BS395" s="365" t="str">
        <f t="shared" si="146"/>
        <v/>
      </c>
      <c r="BT395" s="365" t="str">
        <f t="shared" si="146"/>
        <v/>
      </c>
      <c r="BU395" s="365" t="str">
        <f t="shared" si="146"/>
        <v/>
      </c>
      <c r="BV395" s="365" t="str">
        <f t="shared" si="146"/>
        <v/>
      </c>
      <c r="BW395" s="365" t="str">
        <f t="shared" si="146"/>
        <v/>
      </c>
      <c r="BX395" s="365" t="str">
        <f t="shared" si="146"/>
        <v/>
      </c>
    </row>
    <row r="396" spans="22:76">
      <c r="AA396" s="360">
        <f t="shared" si="140"/>
        <v>2026</v>
      </c>
      <c r="AB396" s="367">
        <f ca="1">SUMPRODUCT(FuelSavings!B21:W21,FuelSavings!$B$47:$W$47)/1000000</f>
        <v>11.144175657517698</v>
      </c>
      <c r="AC396" s="367">
        <f ca="1">SUMPRODUCT(OPEX!B21:W21,OPEX!$B$47:$W$47)/1000000</f>
        <v>3.4466501869942103</v>
      </c>
      <c r="AD396" s="367">
        <f ca="1">SUMPRODUCT(GHGComplianceSavings!B21:W21,GHGComplianceSavings!$B$47:$W$47)/1000000</f>
        <v>3.7606519033597321</v>
      </c>
      <c r="AE396" s="367">
        <f t="shared" ca="1" si="135"/>
        <v>-2.423934305534353</v>
      </c>
      <c r="AF396" s="367">
        <f ca="1">SUMPRODUCT(AvoidedCAPEX!B21:W21,AvoidedCAPEX!$B$47:$W$47)/1000000</f>
        <v>25.774484237428442</v>
      </c>
      <c r="AG396" s="367">
        <f t="shared" ca="1" si="141"/>
        <v>37.941375776405998</v>
      </c>
      <c r="AH396" s="367">
        <f t="shared" ca="1" si="142"/>
        <v>41.702027679765735</v>
      </c>
      <c r="AI396" s="365">
        <f ca="1">SUMPRODUCT(CAPEX!B21:W21,CAPEX!$B$47:$W$47)</f>
        <v>-1272093.7073170771</v>
      </c>
      <c r="AJ396" s="365" t="str">
        <f t="shared" si="143"/>
        <v/>
      </c>
      <c r="AK396" s="365" t="str">
        <f t="shared" si="143"/>
        <v/>
      </c>
      <c r="AL396" s="365" t="str">
        <f t="shared" si="143"/>
        <v/>
      </c>
      <c r="AM396" s="365" t="str">
        <f t="shared" si="143"/>
        <v/>
      </c>
      <c r="AN396" s="365" t="str">
        <f t="shared" si="143"/>
        <v/>
      </c>
      <c r="AO396" s="365" t="str">
        <f t="shared" si="143"/>
        <v/>
      </c>
      <c r="AP396" s="365" t="str">
        <f t="shared" si="143"/>
        <v/>
      </c>
      <c r="AQ396" s="365" t="str">
        <f t="shared" si="143"/>
        <v/>
      </c>
      <c r="AR396" s="365" t="str">
        <f t="shared" si="143"/>
        <v/>
      </c>
      <c r="AS396" s="365" t="str">
        <f t="shared" si="143"/>
        <v/>
      </c>
      <c r="AT396" s="365" t="str">
        <f t="shared" si="144"/>
        <v/>
      </c>
      <c r="AU396" s="365" t="str">
        <f t="shared" si="144"/>
        <v/>
      </c>
      <c r="AV396" s="365" t="str">
        <f t="shared" si="144"/>
        <v/>
      </c>
      <c r="AW396" s="365" t="str">
        <f t="shared" si="144"/>
        <v/>
      </c>
      <c r="AX396" s="365" t="str">
        <f t="shared" si="144"/>
        <v/>
      </c>
      <c r="AY396" s="365" t="str">
        <f t="shared" si="144"/>
        <v/>
      </c>
      <c r="AZ396" s="365">
        <f t="shared" ca="1" si="144"/>
        <v>-102076.09022412031</v>
      </c>
      <c r="BA396" s="365">
        <f t="shared" ca="1" si="144"/>
        <v>-102076.09022412031</v>
      </c>
      <c r="BB396" s="365">
        <f t="shared" ca="1" si="144"/>
        <v>-102076.09022412031</v>
      </c>
      <c r="BC396" s="365">
        <f t="shared" ca="1" si="144"/>
        <v>-102076.09022412031</v>
      </c>
      <c r="BD396" s="365">
        <f t="shared" ca="1" si="145"/>
        <v>-102076.09022412031</v>
      </c>
      <c r="BE396" s="365">
        <f t="shared" ca="1" si="145"/>
        <v>-102076.09022412031</v>
      </c>
      <c r="BF396" s="365">
        <f t="shared" ca="1" si="145"/>
        <v>-102076.09022412031</v>
      </c>
      <c r="BG396" s="365">
        <f t="shared" ca="1" si="145"/>
        <v>-102076.09022412031</v>
      </c>
      <c r="BH396" s="365">
        <f t="shared" ca="1" si="145"/>
        <v>-102076.09022412031</v>
      </c>
      <c r="BI396" s="365">
        <f t="shared" ca="1" si="145"/>
        <v>-102076.09022412031</v>
      </c>
      <c r="BJ396" s="365">
        <f t="shared" ca="1" si="145"/>
        <v>-102076.09022412031</v>
      </c>
      <c r="BK396" s="365">
        <f t="shared" ca="1" si="145"/>
        <v>-102076.09022412031</v>
      </c>
      <c r="BL396" s="365">
        <f t="shared" ca="1" si="145"/>
        <v>-102076.09022412031</v>
      </c>
      <c r="BM396" s="365">
        <f t="shared" ca="1" si="145"/>
        <v>-102076.09022412031</v>
      </c>
      <c r="BN396" s="365">
        <f t="shared" ca="1" si="146"/>
        <v>-102076.09022412031</v>
      </c>
      <c r="BO396" s="365">
        <f t="shared" ca="1" si="146"/>
        <v>-102076.09022412031</v>
      </c>
      <c r="BP396" s="365">
        <f t="shared" ca="1" si="146"/>
        <v>-102076.09022412031</v>
      </c>
      <c r="BQ396" s="365">
        <f t="shared" ca="1" si="146"/>
        <v>-102076.09022412031</v>
      </c>
      <c r="BR396" s="365">
        <f t="shared" ca="1" si="146"/>
        <v>-102076.09022412031</v>
      </c>
      <c r="BS396" s="365">
        <f t="shared" ca="1" si="146"/>
        <v>-102076.09022412031</v>
      </c>
      <c r="BT396" s="365" t="str">
        <f t="shared" si="146"/>
        <v/>
      </c>
      <c r="BU396" s="365" t="str">
        <f t="shared" si="146"/>
        <v/>
      </c>
      <c r="BV396" s="365" t="str">
        <f t="shared" si="146"/>
        <v/>
      </c>
      <c r="BW396" s="365" t="str">
        <f t="shared" si="146"/>
        <v/>
      </c>
      <c r="BX396" s="365" t="str">
        <f t="shared" si="146"/>
        <v/>
      </c>
    </row>
    <row r="397" spans="22:76">
      <c r="AA397" s="360">
        <f t="shared" si="140"/>
        <v>2027</v>
      </c>
      <c r="AB397" s="367">
        <f ca="1">SUMPRODUCT(FuelSavings!B22:W22,FuelSavings!$B$47:$W$47)/1000000</f>
        <v>11.655040186302475</v>
      </c>
      <c r="AC397" s="367">
        <f ca="1">SUMPRODUCT(OPEX!B22:W22,OPEX!$B$47:$W$47)/1000000</f>
        <v>3.6515054990865874</v>
      </c>
      <c r="AD397" s="367">
        <f ca="1">SUMPRODUCT(GHGComplianceSavings!B22:W22,GHGComplianceSavings!$B$47:$W$47)/1000000</f>
        <v>4.2196458027996977</v>
      </c>
      <c r="AE397" s="367">
        <f t="shared" ca="1" si="135"/>
        <v>-2.5260103957584721</v>
      </c>
      <c r="AF397" s="367">
        <f ca="1">SUMPRODUCT(AvoidedCAPEX!B22:W22,AvoidedCAPEX!$B$47:$W$47)/1000000</f>
        <v>25.774484237428762</v>
      </c>
      <c r="AG397" s="367">
        <f t="shared" ca="1" si="141"/>
        <v>38.555019527059351</v>
      </c>
      <c r="AH397" s="367">
        <f t="shared" ca="1" si="142"/>
        <v>42.774665329859047</v>
      </c>
      <c r="AI397" s="365">
        <f ca="1">SUMPRODUCT(CAPEX!B22:W22,CAPEX!$B$47:$W$47)</f>
        <v>-1272093.7073170613</v>
      </c>
      <c r="AJ397" s="365" t="str">
        <f t="shared" si="143"/>
        <v/>
      </c>
      <c r="AK397" s="365" t="str">
        <f t="shared" si="143"/>
        <v/>
      </c>
      <c r="AL397" s="365" t="str">
        <f t="shared" si="143"/>
        <v/>
      </c>
      <c r="AM397" s="365" t="str">
        <f t="shared" si="143"/>
        <v/>
      </c>
      <c r="AN397" s="365" t="str">
        <f t="shared" si="143"/>
        <v/>
      </c>
      <c r="AO397" s="365" t="str">
        <f t="shared" si="143"/>
        <v/>
      </c>
      <c r="AP397" s="365" t="str">
        <f t="shared" si="143"/>
        <v/>
      </c>
      <c r="AQ397" s="365" t="str">
        <f t="shared" si="143"/>
        <v/>
      </c>
      <c r="AR397" s="365" t="str">
        <f t="shared" si="143"/>
        <v/>
      </c>
      <c r="AS397" s="365" t="str">
        <f t="shared" si="143"/>
        <v/>
      </c>
      <c r="AT397" s="365" t="str">
        <f t="shared" si="144"/>
        <v/>
      </c>
      <c r="AU397" s="365" t="str">
        <f t="shared" si="144"/>
        <v/>
      </c>
      <c r="AV397" s="365" t="str">
        <f t="shared" si="144"/>
        <v/>
      </c>
      <c r="AW397" s="365" t="str">
        <f t="shared" si="144"/>
        <v/>
      </c>
      <c r="AX397" s="365" t="str">
        <f t="shared" si="144"/>
        <v/>
      </c>
      <c r="AY397" s="365" t="str">
        <f t="shared" si="144"/>
        <v/>
      </c>
      <c r="AZ397" s="365" t="str">
        <f t="shared" si="144"/>
        <v/>
      </c>
      <c r="BA397" s="365">
        <f t="shared" ca="1" si="144"/>
        <v>-102076.09022411905</v>
      </c>
      <c r="BB397" s="365">
        <f t="shared" ca="1" si="144"/>
        <v>-102076.09022411905</v>
      </c>
      <c r="BC397" s="365">
        <f t="shared" ca="1" si="144"/>
        <v>-102076.09022411905</v>
      </c>
      <c r="BD397" s="365">
        <f t="shared" ca="1" si="145"/>
        <v>-102076.09022411905</v>
      </c>
      <c r="BE397" s="365">
        <f t="shared" ca="1" si="145"/>
        <v>-102076.09022411905</v>
      </c>
      <c r="BF397" s="365">
        <f t="shared" ca="1" si="145"/>
        <v>-102076.09022411905</v>
      </c>
      <c r="BG397" s="365">
        <f t="shared" ca="1" si="145"/>
        <v>-102076.09022411905</v>
      </c>
      <c r="BH397" s="365">
        <f t="shared" ca="1" si="145"/>
        <v>-102076.09022411905</v>
      </c>
      <c r="BI397" s="365">
        <f t="shared" ca="1" si="145"/>
        <v>-102076.09022411905</v>
      </c>
      <c r="BJ397" s="365">
        <f t="shared" ca="1" si="145"/>
        <v>-102076.09022411905</v>
      </c>
      <c r="BK397" s="365">
        <f t="shared" ca="1" si="145"/>
        <v>-102076.09022411905</v>
      </c>
      <c r="BL397" s="365">
        <f t="shared" ca="1" si="145"/>
        <v>-102076.09022411905</v>
      </c>
      <c r="BM397" s="365">
        <f t="shared" ca="1" si="145"/>
        <v>-102076.09022411905</v>
      </c>
      <c r="BN397" s="365">
        <f t="shared" ca="1" si="146"/>
        <v>-102076.09022411905</v>
      </c>
      <c r="BO397" s="365">
        <f t="shared" ca="1" si="146"/>
        <v>-102076.09022411905</v>
      </c>
      <c r="BP397" s="365">
        <f t="shared" ca="1" si="146"/>
        <v>-102076.09022411905</v>
      </c>
      <c r="BQ397" s="365">
        <f t="shared" ca="1" si="146"/>
        <v>-102076.09022411905</v>
      </c>
      <c r="BR397" s="365">
        <f t="shared" ca="1" si="146"/>
        <v>-102076.09022411905</v>
      </c>
      <c r="BS397" s="365">
        <f t="shared" ca="1" si="146"/>
        <v>-102076.09022411905</v>
      </c>
      <c r="BT397" s="365">
        <f t="shared" ca="1" si="146"/>
        <v>-102076.09022411905</v>
      </c>
      <c r="BU397" s="365" t="str">
        <f t="shared" si="146"/>
        <v/>
      </c>
      <c r="BV397" s="365" t="str">
        <f t="shared" si="146"/>
        <v/>
      </c>
      <c r="BW397" s="365" t="str">
        <f t="shared" si="146"/>
        <v/>
      </c>
      <c r="BX397" s="365" t="str">
        <f t="shared" si="146"/>
        <v/>
      </c>
    </row>
    <row r="398" spans="22:76">
      <c r="AA398" s="360">
        <f t="shared" si="140"/>
        <v>2028</v>
      </c>
      <c r="AB398" s="367">
        <f ca="1">SUMPRODUCT(FuelSavings!B23:W23,FuelSavings!$B$47:$W$47)/1000000</f>
        <v>12.170093742970089</v>
      </c>
      <c r="AC398" s="367">
        <f ca="1">SUMPRODUCT(OPEX!B23:W23,OPEX!$B$47:$W$47)/1000000</f>
        <v>3.8563556879002956</v>
      </c>
      <c r="AD398" s="367">
        <f ca="1">SUMPRODUCT(GHGComplianceSavings!B23:W23,GHGComplianceSavings!$B$47:$W$47)/1000000</f>
        <v>4.7099141146960424</v>
      </c>
      <c r="AE398" s="367">
        <f t="shared" ca="1" si="135"/>
        <v>-2.6280864859825921</v>
      </c>
      <c r="AF398" s="367">
        <f ca="1">SUMPRODUCT(AvoidedCAPEX!B23:W23,AvoidedCAPEX!$B$47:$W$47)/1000000</f>
        <v>25.774484237428442</v>
      </c>
      <c r="AG398" s="367">
        <f t="shared" ca="1" si="141"/>
        <v>39.172847182316232</v>
      </c>
      <c r="AH398" s="367">
        <f t="shared" ca="1" si="142"/>
        <v>43.88276129701228</v>
      </c>
      <c r="AI398" s="365">
        <f ca="1">SUMPRODUCT(CAPEX!B23:W23,CAPEX!$B$47:$W$47)</f>
        <v>-1272093.7073170771</v>
      </c>
      <c r="AJ398" s="365" t="str">
        <f t="shared" si="143"/>
        <v/>
      </c>
      <c r="AK398" s="365" t="str">
        <f t="shared" si="143"/>
        <v/>
      </c>
      <c r="AL398" s="365" t="str">
        <f t="shared" si="143"/>
        <v/>
      </c>
      <c r="AM398" s="365" t="str">
        <f t="shared" si="143"/>
        <v/>
      </c>
      <c r="AN398" s="365" t="str">
        <f t="shared" si="143"/>
        <v/>
      </c>
      <c r="AO398" s="365" t="str">
        <f t="shared" si="143"/>
        <v/>
      </c>
      <c r="AP398" s="365" t="str">
        <f t="shared" si="143"/>
        <v/>
      </c>
      <c r="AQ398" s="365" t="str">
        <f t="shared" si="143"/>
        <v/>
      </c>
      <c r="AR398" s="365" t="str">
        <f t="shared" si="143"/>
        <v/>
      </c>
      <c r="AS398" s="365" t="str">
        <f t="shared" si="143"/>
        <v/>
      </c>
      <c r="AT398" s="365" t="str">
        <f t="shared" si="144"/>
        <v/>
      </c>
      <c r="AU398" s="365" t="str">
        <f t="shared" si="144"/>
        <v/>
      </c>
      <c r="AV398" s="365" t="str">
        <f t="shared" si="144"/>
        <v/>
      </c>
      <c r="AW398" s="365" t="str">
        <f t="shared" si="144"/>
        <v/>
      </c>
      <c r="AX398" s="365" t="str">
        <f t="shared" si="144"/>
        <v/>
      </c>
      <c r="AY398" s="365" t="str">
        <f t="shared" si="144"/>
        <v/>
      </c>
      <c r="AZ398" s="365" t="str">
        <f t="shared" si="144"/>
        <v/>
      </c>
      <c r="BA398" s="365" t="str">
        <f t="shared" si="144"/>
        <v/>
      </c>
      <c r="BB398" s="365">
        <f t="shared" ca="1" si="144"/>
        <v>-102076.09022412031</v>
      </c>
      <c r="BC398" s="365">
        <f t="shared" ca="1" si="144"/>
        <v>-102076.09022412031</v>
      </c>
      <c r="BD398" s="365">
        <f t="shared" ca="1" si="145"/>
        <v>-102076.09022412031</v>
      </c>
      <c r="BE398" s="365">
        <f t="shared" ca="1" si="145"/>
        <v>-102076.09022412031</v>
      </c>
      <c r="BF398" s="365">
        <f t="shared" ca="1" si="145"/>
        <v>-102076.09022412031</v>
      </c>
      <c r="BG398" s="365">
        <f t="shared" ca="1" si="145"/>
        <v>-102076.09022412031</v>
      </c>
      <c r="BH398" s="365">
        <f t="shared" ca="1" si="145"/>
        <v>-102076.09022412031</v>
      </c>
      <c r="BI398" s="365">
        <f t="shared" ca="1" si="145"/>
        <v>-102076.09022412031</v>
      </c>
      <c r="BJ398" s="365">
        <f t="shared" ca="1" si="145"/>
        <v>-102076.09022412031</v>
      </c>
      <c r="BK398" s="365">
        <f t="shared" ca="1" si="145"/>
        <v>-102076.09022412031</v>
      </c>
      <c r="BL398" s="365">
        <f t="shared" ca="1" si="145"/>
        <v>-102076.09022412031</v>
      </c>
      <c r="BM398" s="365">
        <f t="shared" ca="1" si="145"/>
        <v>-102076.09022412031</v>
      </c>
      <c r="BN398" s="365">
        <f t="shared" ca="1" si="146"/>
        <v>-102076.09022412031</v>
      </c>
      <c r="BO398" s="365">
        <f t="shared" ca="1" si="146"/>
        <v>-102076.09022412031</v>
      </c>
      <c r="BP398" s="365">
        <f t="shared" ca="1" si="146"/>
        <v>-102076.09022412031</v>
      </c>
      <c r="BQ398" s="365">
        <f t="shared" ca="1" si="146"/>
        <v>-102076.09022412031</v>
      </c>
      <c r="BR398" s="365">
        <f t="shared" ca="1" si="146"/>
        <v>-102076.09022412031</v>
      </c>
      <c r="BS398" s="365">
        <f t="shared" ca="1" si="146"/>
        <v>-102076.09022412031</v>
      </c>
      <c r="BT398" s="365">
        <f t="shared" ca="1" si="146"/>
        <v>-102076.09022412031</v>
      </c>
      <c r="BU398" s="365">
        <f t="shared" ca="1" si="146"/>
        <v>-102076.09022412031</v>
      </c>
      <c r="BV398" s="365" t="str">
        <f t="shared" si="146"/>
        <v/>
      </c>
      <c r="BW398" s="365" t="str">
        <f t="shared" si="146"/>
        <v/>
      </c>
      <c r="BX398" s="365" t="str">
        <f t="shared" si="146"/>
        <v/>
      </c>
    </row>
    <row r="399" spans="22:76">
      <c r="AA399" s="360">
        <f t="shared" si="140"/>
        <v>2029</v>
      </c>
      <c r="AB399" s="367">
        <f ca="1">SUMPRODUCT(FuelSavings!B24:W24,FuelSavings!$B$47:$W$47)/1000000</f>
        <v>12.689364283976673</v>
      </c>
      <c r="AC399" s="367">
        <f ca="1">SUMPRODUCT(OPEX!B24:W24,OPEX!$B$47:$W$47)/1000000</f>
        <v>4.0612011749399963</v>
      </c>
      <c r="AD399" s="367">
        <f ca="1">SUMPRODUCT(GHGComplianceSavings!B24:W24,GHGComplianceSavings!$B$47:$W$47)/1000000</f>
        <v>5.2318605817050585</v>
      </c>
      <c r="AE399" s="367">
        <f t="shared" ca="1" si="135"/>
        <v>-2.7301625762067139</v>
      </c>
      <c r="AF399" s="367">
        <f ca="1">SUMPRODUCT(AvoidedCAPEX!B24:W24,AvoidedCAPEX!$B$47:$W$47)/1000000</f>
        <v>25.774484237428762</v>
      </c>
      <c r="AG399" s="367">
        <f t="shared" ca="1" si="141"/>
        <v>39.794887120138718</v>
      </c>
      <c r="AH399" s="367">
        <f t="shared" ca="1" si="142"/>
        <v>45.026747701843775</v>
      </c>
      <c r="AI399" s="365">
        <f ca="1">SUMPRODUCT(CAPEX!B24:W24,CAPEX!$B$47:$W$47)</f>
        <v>-1272093.7073170929</v>
      </c>
      <c r="AJ399" s="365" t="str">
        <f t="shared" si="143"/>
        <v/>
      </c>
      <c r="AK399" s="365" t="str">
        <f t="shared" si="143"/>
        <v/>
      </c>
      <c r="AL399" s="365" t="str">
        <f t="shared" si="143"/>
        <v/>
      </c>
      <c r="AM399" s="365" t="str">
        <f t="shared" si="143"/>
        <v/>
      </c>
      <c r="AN399" s="365" t="str">
        <f t="shared" si="143"/>
        <v/>
      </c>
      <c r="AO399" s="365" t="str">
        <f t="shared" si="143"/>
        <v/>
      </c>
      <c r="AP399" s="365" t="str">
        <f t="shared" si="143"/>
        <v/>
      </c>
      <c r="AQ399" s="365" t="str">
        <f t="shared" si="143"/>
        <v/>
      </c>
      <c r="AR399" s="365" t="str">
        <f t="shared" si="143"/>
        <v/>
      </c>
      <c r="AS399" s="365" t="str">
        <f t="shared" si="143"/>
        <v/>
      </c>
      <c r="AT399" s="365" t="str">
        <f t="shared" si="144"/>
        <v/>
      </c>
      <c r="AU399" s="365" t="str">
        <f t="shared" si="144"/>
        <v/>
      </c>
      <c r="AV399" s="365" t="str">
        <f t="shared" si="144"/>
        <v/>
      </c>
      <c r="AW399" s="365" t="str">
        <f t="shared" si="144"/>
        <v/>
      </c>
      <c r="AX399" s="365" t="str">
        <f t="shared" si="144"/>
        <v/>
      </c>
      <c r="AY399" s="365" t="str">
        <f t="shared" si="144"/>
        <v/>
      </c>
      <c r="AZ399" s="365" t="str">
        <f t="shared" si="144"/>
        <v/>
      </c>
      <c r="BA399" s="365" t="str">
        <f t="shared" si="144"/>
        <v/>
      </c>
      <c r="BB399" s="365" t="str">
        <f t="shared" si="144"/>
        <v/>
      </c>
      <c r="BC399" s="365">
        <f t="shared" ca="1" si="144"/>
        <v>-102076.0902241216</v>
      </c>
      <c r="BD399" s="365">
        <f t="shared" ca="1" si="145"/>
        <v>-102076.0902241216</v>
      </c>
      <c r="BE399" s="365">
        <f t="shared" ca="1" si="145"/>
        <v>-102076.0902241216</v>
      </c>
      <c r="BF399" s="365">
        <f t="shared" ca="1" si="145"/>
        <v>-102076.0902241216</v>
      </c>
      <c r="BG399" s="365">
        <f t="shared" ca="1" si="145"/>
        <v>-102076.0902241216</v>
      </c>
      <c r="BH399" s="365">
        <f t="shared" ca="1" si="145"/>
        <v>-102076.0902241216</v>
      </c>
      <c r="BI399" s="365">
        <f t="shared" ca="1" si="145"/>
        <v>-102076.0902241216</v>
      </c>
      <c r="BJ399" s="365">
        <f t="shared" ca="1" si="145"/>
        <v>-102076.0902241216</v>
      </c>
      <c r="BK399" s="365">
        <f t="shared" ca="1" si="145"/>
        <v>-102076.0902241216</v>
      </c>
      <c r="BL399" s="365">
        <f t="shared" ca="1" si="145"/>
        <v>-102076.0902241216</v>
      </c>
      <c r="BM399" s="365">
        <f t="shared" ca="1" si="145"/>
        <v>-102076.0902241216</v>
      </c>
      <c r="BN399" s="365">
        <f t="shared" ca="1" si="146"/>
        <v>-102076.0902241216</v>
      </c>
      <c r="BO399" s="365">
        <f t="shared" ca="1" si="146"/>
        <v>-102076.0902241216</v>
      </c>
      <c r="BP399" s="365">
        <f t="shared" ca="1" si="146"/>
        <v>-102076.0902241216</v>
      </c>
      <c r="BQ399" s="365">
        <f t="shared" ca="1" si="146"/>
        <v>-102076.0902241216</v>
      </c>
      <c r="BR399" s="365">
        <f t="shared" ca="1" si="146"/>
        <v>-102076.0902241216</v>
      </c>
      <c r="BS399" s="365">
        <f t="shared" ca="1" si="146"/>
        <v>-102076.0902241216</v>
      </c>
      <c r="BT399" s="365">
        <f t="shared" ca="1" si="146"/>
        <v>-102076.0902241216</v>
      </c>
      <c r="BU399" s="365">
        <f t="shared" ca="1" si="146"/>
        <v>-102076.0902241216</v>
      </c>
      <c r="BV399" s="365">
        <f t="shared" ca="1" si="146"/>
        <v>-102076.0902241216</v>
      </c>
      <c r="BW399" s="365" t="str">
        <f t="shared" si="146"/>
        <v/>
      </c>
      <c r="BX399" s="365" t="str">
        <f t="shared" si="146"/>
        <v/>
      </c>
    </row>
    <row r="400" spans="22:76">
      <c r="AA400" s="360">
        <f t="shared" si="140"/>
        <v>2030</v>
      </c>
      <c r="AB400" s="367">
        <f ca="1">SUMPRODUCT(FuelSavings!B25:W25,FuelSavings!$B$47:$W$47)/1000000</f>
        <v>13.21288005002682</v>
      </c>
      <c r="AC400" s="367">
        <f ca="1">SUMPRODUCT(OPEX!B25:W25,OPEX!$B$47:$W$47)/1000000</f>
        <v>4.2660423269000383</v>
      </c>
      <c r="AD400" s="367">
        <f ca="1">SUMPRODUCT(GHGComplianceSavings!B25:W25,GHGComplianceSavings!$B$47:$W$47)/1000000</f>
        <v>5.785829881977917</v>
      </c>
      <c r="AE400" s="367">
        <f t="shared" ca="1" si="135"/>
        <v>-2.8242144077117652</v>
      </c>
      <c r="AF400" s="367">
        <f ca="1">SUMPRODUCT(AvoidedCAPEX!B25:W25,AvoidedCAPEX!$B$47:$W$47)/1000000</f>
        <v>25.774484237428442</v>
      </c>
      <c r="AG400" s="367">
        <f t="shared" ca="1" si="141"/>
        <v>40.429192206643535</v>
      </c>
      <c r="AH400" s="367">
        <f t="shared" ca="1" si="142"/>
        <v>46.215022088621453</v>
      </c>
      <c r="AI400" s="365">
        <f ca="1">SUMPRODUCT(CAPEX!B25:W25,CAPEX!$B$47:$W$47)</f>
        <v>-1272093.7073170771</v>
      </c>
      <c r="AJ400" s="365" t="str">
        <f t="shared" ref="AJ400:AS409" si="147">IF(AND(AJ$379&gt;=$AA400,AJ$379&lt;$AA400+$Y$381),-PMT($Y$383,$Y$381,$AI400),"")</f>
        <v/>
      </c>
      <c r="AK400" s="365" t="str">
        <f t="shared" si="147"/>
        <v/>
      </c>
      <c r="AL400" s="365" t="str">
        <f t="shared" si="147"/>
        <v/>
      </c>
      <c r="AM400" s="365" t="str">
        <f t="shared" si="147"/>
        <v/>
      </c>
      <c r="AN400" s="365" t="str">
        <f t="shared" si="147"/>
        <v/>
      </c>
      <c r="AO400" s="365" t="str">
        <f t="shared" si="147"/>
        <v/>
      </c>
      <c r="AP400" s="365" t="str">
        <f t="shared" si="147"/>
        <v/>
      </c>
      <c r="AQ400" s="365" t="str">
        <f t="shared" si="147"/>
        <v/>
      </c>
      <c r="AR400" s="365" t="str">
        <f t="shared" si="147"/>
        <v/>
      </c>
      <c r="AS400" s="365" t="str">
        <f t="shared" si="147"/>
        <v/>
      </c>
      <c r="AT400" s="365" t="str">
        <f t="shared" ref="AT400:BC409" si="148">IF(AND(AT$379&gt;=$AA400,AT$379&lt;$AA400+$Y$381),-PMT($Y$383,$Y$381,$AI400),"")</f>
        <v/>
      </c>
      <c r="AU400" s="365" t="str">
        <f t="shared" si="148"/>
        <v/>
      </c>
      <c r="AV400" s="365" t="str">
        <f t="shared" si="148"/>
        <v/>
      </c>
      <c r="AW400" s="365" t="str">
        <f t="shared" si="148"/>
        <v/>
      </c>
      <c r="AX400" s="365" t="str">
        <f t="shared" si="148"/>
        <v/>
      </c>
      <c r="AY400" s="365" t="str">
        <f t="shared" si="148"/>
        <v/>
      </c>
      <c r="AZ400" s="365" t="str">
        <f t="shared" si="148"/>
        <v/>
      </c>
      <c r="BA400" s="365" t="str">
        <f t="shared" si="148"/>
        <v/>
      </c>
      <c r="BB400" s="365" t="str">
        <f t="shared" si="148"/>
        <v/>
      </c>
      <c r="BC400" s="365" t="str">
        <f t="shared" si="148"/>
        <v/>
      </c>
      <c r="BD400" s="365">
        <f t="shared" ref="BD400:BM409" ca="1" si="149">IF(AND(BD$379&gt;=$AA400,BD$379&lt;$AA400+$Y$381),-PMT($Y$383,$Y$381,$AI400),"")</f>
        <v>-102076.09022412031</v>
      </c>
      <c r="BE400" s="365">
        <f t="shared" ca="1" si="149"/>
        <v>-102076.09022412031</v>
      </c>
      <c r="BF400" s="365">
        <f t="shared" ca="1" si="149"/>
        <v>-102076.09022412031</v>
      </c>
      <c r="BG400" s="365">
        <f t="shared" ca="1" si="149"/>
        <v>-102076.09022412031</v>
      </c>
      <c r="BH400" s="365">
        <f t="shared" ca="1" si="149"/>
        <v>-102076.09022412031</v>
      </c>
      <c r="BI400" s="365">
        <f t="shared" ca="1" si="149"/>
        <v>-102076.09022412031</v>
      </c>
      <c r="BJ400" s="365">
        <f t="shared" ca="1" si="149"/>
        <v>-102076.09022412031</v>
      </c>
      <c r="BK400" s="365">
        <f t="shared" ca="1" si="149"/>
        <v>-102076.09022412031</v>
      </c>
      <c r="BL400" s="365">
        <f t="shared" ca="1" si="149"/>
        <v>-102076.09022412031</v>
      </c>
      <c r="BM400" s="365">
        <f t="shared" ca="1" si="149"/>
        <v>-102076.09022412031</v>
      </c>
      <c r="BN400" s="365">
        <f t="shared" ref="BN400:BX409" ca="1" si="150">IF(AND(BN$379&gt;=$AA400,BN$379&lt;$AA400+$Y$381),-PMT($Y$383,$Y$381,$AI400),"")</f>
        <v>-102076.09022412031</v>
      </c>
      <c r="BO400" s="365">
        <f t="shared" ca="1" si="150"/>
        <v>-102076.09022412031</v>
      </c>
      <c r="BP400" s="365">
        <f t="shared" ca="1" si="150"/>
        <v>-102076.09022412031</v>
      </c>
      <c r="BQ400" s="365">
        <f t="shared" ca="1" si="150"/>
        <v>-102076.09022412031</v>
      </c>
      <c r="BR400" s="365">
        <f t="shared" ca="1" si="150"/>
        <v>-102076.09022412031</v>
      </c>
      <c r="BS400" s="365">
        <f t="shared" ca="1" si="150"/>
        <v>-102076.09022412031</v>
      </c>
      <c r="BT400" s="365">
        <f t="shared" ca="1" si="150"/>
        <v>-102076.09022412031</v>
      </c>
      <c r="BU400" s="365">
        <f t="shared" ca="1" si="150"/>
        <v>-102076.09022412031</v>
      </c>
      <c r="BV400" s="365">
        <f t="shared" ca="1" si="150"/>
        <v>-102076.09022412031</v>
      </c>
      <c r="BW400" s="365">
        <f t="shared" ca="1" si="150"/>
        <v>-102076.09022412031</v>
      </c>
      <c r="BX400" s="365" t="str">
        <f t="shared" si="150"/>
        <v/>
      </c>
    </row>
    <row r="401" spans="27:76">
      <c r="AA401" s="360">
        <f t="shared" si="140"/>
        <v>2031</v>
      </c>
      <c r="AB401" s="367">
        <f ca="1">SUMPRODUCT(FuelSavings!B26:W26,FuelSavings!$B$47:$W$47)/1000000</f>
        <v>13.720475930521419</v>
      </c>
      <c r="AC401" s="367">
        <f ca="1">SUMPRODUCT(OPEX!B26:W26,OPEX!$B$47:$W$47)/1000000</f>
        <v>4.4708794651521799</v>
      </c>
      <c r="AD401" s="367">
        <f ca="1">SUMPRODUCT(GHGComplianceSavings!B26:W26,GHGComplianceSavings!$B$47:$W$47)/1000000</f>
        <v>6.4198299952247408</v>
      </c>
      <c r="AE401" s="367">
        <f t="shared" ca="1" si="135"/>
        <v>-2.7584804024684328</v>
      </c>
      <c r="AF401" s="367">
        <f ca="1">SUMPRODUCT(AvoidedCAPEX!B26:W26,AvoidedCAPEX!$B$47:$W$47)/1000000</f>
        <v>25.774484237428762</v>
      </c>
      <c r="AG401" s="367">
        <f t="shared" ca="1" si="141"/>
        <v>41.207359230633926</v>
      </c>
      <c r="AH401" s="367">
        <f t="shared" ca="1" si="142"/>
        <v>47.627189225858672</v>
      </c>
      <c r="AI401" s="365">
        <f ca="1">SUMPRODUCT(CAPEX!B26:W26,CAPEX!$B$47:$W$47)</f>
        <v>-1272093.7073170613</v>
      </c>
      <c r="AJ401" s="365" t="str">
        <f t="shared" si="147"/>
        <v/>
      </c>
      <c r="AK401" s="365" t="str">
        <f t="shared" si="147"/>
        <v/>
      </c>
      <c r="AL401" s="365" t="str">
        <f t="shared" si="147"/>
        <v/>
      </c>
      <c r="AM401" s="365" t="str">
        <f t="shared" si="147"/>
        <v/>
      </c>
      <c r="AN401" s="365" t="str">
        <f t="shared" si="147"/>
        <v/>
      </c>
      <c r="AO401" s="365" t="str">
        <f t="shared" si="147"/>
        <v/>
      </c>
      <c r="AP401" s="365" t="str">
        <f t="shared" si="147"/>
        <v/>
      </c>
      <c r="AQ401" s="365" t="str">
        <f t="shared" si="147"/>
        <v/>
      </c>
      <c r="AR401" s="365" t="str">
        <f t="shared" si="147"/>
        <v/>
      </c>
      <c r="AS401" s="365" t="str">
        <f t="shared" si="147"/>
        <v/>
      </c>
      <c r="AT401" s="365" t="str">
        <f t="shared" si="148"/>
        <v/>
      </c>
      <c r="AU401" s="365" t="str">
        <f t="shared" si="148"/>
        <v/>
      </c>
      <c r="AV401" s="365" t="str">
        <f t="shared" si="148"/>
        <v/>
      </c>
      <c r="AW401" s="365" t="str">
        <f t="shared" si="148"/>
        <v/>
      </c>
      <c r="AX401" s="365" t="str">
        <f t="shared" si="148"/>
        <v/>
      </c>
      <c r="AY401" s="365" t="str">
        <f t="shared" si="148"/>
        <v/>
      </c>
      <c r="AZ401" s="365" t="str">
        <f t="shared" si="148"/>
        <v/>
      </c>
      <c r="BA401" s="365" t="str">
        <f t="shared" si="148"/>
        <v/>
      </c>
      <c r="BB401" s="365" t="str">
        <f t="shared" si="148"/>
        <v/>
      </c>
      <c r="BC401" s="365" t="str">
        <f t="shared" si="148"/>
        <v/>
      </c>
      <c r="BD401" s="365" t="str">
        <f t="shared" si="149"/>
        <v/>
      </c>
      <c r="BE401" s="365">
        <f t="shared" ca="1" si="149"/>
        <v>-102076.09022411905</v>
      </c>
      <c r="BF401" s="365">
        <f t="shared" ca="1" si="149"/>
        <v>-102076.09022411905</v>
      </c>
      <c r="BG401" s="365">
        <f t="shared" ca="1" si="149"/>
        <v>-102076.09022411905</v>
      </c>
      <c r="BH401" s="365">
        <f t="shared" ca="1" si="149"/>
        <v>-102076.09022411905</v>
      </c>
      <c r="BI401" s="365">
        <f t="shared" ca="1" si="149"/>
        <v>-102076.09022411905</v>
      </c>
      <c r="BJ401" s="365">
        <f t="shared" ca="1" si="149"/>
        <v>-102076.09022411905</v>
      </c>
      <c r="BK401" s="365">
        <f t="shared" ca="1" si="149"/>
        <v>-102076.09022411905</v>
      </c>
      <c r="BL401" s="365">
        <f t="shared" ca="1" si="149"/>
        <v>-102076.09022411905</v>
      </c>
      <c r="BM401" s="365">
        <f t="shared" ca="1" si="149"/>
        <v>-102076.09022411905</v>
      </c>
      <c r="BN401" s="365">
        <f t="shared" ca="1" si="150"/>
        <v>-102076.09022411905</v>
      </c>
      <c r="BO401" s="365">
        <f t="shared" ca="1" si="150"/>
        <v>-102076.09022411905</v>
      </c>
      <c r="BP401" s="365">
        <f t="shared" ca="1" si="150"/>
        <v>-102076.09022411905</v>
      </c>
      <c r="BQ401" s="365">
        <f t="shared" ca="1" si="150"/>
        <v>-102076.09022411905</v>
      </c>
      <c r="BR401" s="365">
        <f t="shared" ca="1" si="150"/>
        <v>-102076.09022411905</v>
      </c>
      <c r="BS401" s="365">
        <f t="shared" ca="1" si="150"/>
        <v>-102076.09022411905</v>
      </c>
      <c r="BT401" s="365">
        <f t="shared" ca="1" si="150"/>
        <v>-102076.09022411905</v>
      </c>
      <c r="BU401" s="365">
        <f t="shared" ca="1" si="150"/>
        <v>-102076.09022411905</v>
      </c>
      <c r="BV401" s="365">
        <f t="shared" ca="1" si="150"/>
        <v>-102076.09022411905</v>
      </c>
      <c r="BW401" s="365">
        <f t="shared" ca="1" si="150"/>
        <v>-102076.09022411905</v>
      </c>
      <c r="BX401" s="365">
        <f t="shared" ca="1" si="150"/>
        <v>-102076.09022411905</v>
      </c>
    </row>
    <row r="402" spans="27:76">
      <c r="AA402" s="360">
        <f t="shared" si="140"/>
        <v>2032</v>
      </c>
      <c r="AB402" s="367">
        <f ca="1">SUMPRODUCT(FuelSavings!B27:W27,FuelSavings!$B$47:$W$47)/1000000</f>
        <v>14.379409505301417</v>
      </c>
      <c r="AC402" s="367">
        <f ca="1">SUMPRODUCT(OPEX!B27:W27,OPEX!$B$47:$W$47)/1000000</f>
        <v>4.6757128732206619</v>
      </c>
      <c r="AD402" s="367">
        <f ca="1">SUMPRODUCT(GHGComplianceSavings!B27:W27,GHGComplianceSavings!$B$47:$W$47)/1000000</f>
        <v>7.0917248448730081</v>
      </c>
      <c r="AE402" s="367">
        <f t="shared" ca="1" si="135"/>
        <v>-2.5695392540996091</v>
      </c>
      <c r="AF402" s="367">
        <f ca="1">SUMPRODUCT(AvoidedCAPEX!B27:W27,AvoidedCAPEX!$B$47:$W$47)/1000000</f>
        <v>25.774484237428762</v>
      </c>
      <c r="AG402" s="367">
        <f t="shared" ca="1" si="141"/>
        <v>42.260067361851227</v>
      </c>
      <c r="AH402" s="367">
        <f t="shared" ca="1" si="142"/>
        <v>49.351792206724241</v>
      </c>
      <c r="AI402" s="365">
        <f ca="1">SUMPRODUCT(CAPEX!B27:W27,CAPEX!$B$47:$W$47)</f>
        <v>-1272093.7073170613</v>
      </c>
      <c r="AJ402" s="365" t="str">
        <f t="shared" si="147"/>
        <v/>
      </c>
      <c r="AK402" s="365" t="str">
        <f t="shared" si="147"/>
        <v/>
      </c>
      <c r="AL402" s="365" t="str">
        <f t="shared" si="147"/>
        <v/>
      </c>
      <c r="AM402" s="365" t="str">
        <f t="shared" si="147"/>
        <v/>
      </c>
      <c r="AN402" s="365" t="str">
        <f t="shared" si="147"/>
        <v/>
      </c>
      <c r="AO402" s="365" t="str">
        <f t="shared" si="147"/>
        <v/>
      </c>
      <c r="AP402" s="365" t="str">
        <f t="shared" si="147"/>
        <v/>
      </c>
      <c r="AQ402" s="365" t="str">
        <f t="shared" si="147"/>
        <v/>
      </c>
      <c r="AR402" s="365" t="str">
        <f t="shared" si="147"/>
        <v/>
      </c>
      <c r="AS402" s="365" t="str">
        <f t="shared" si="147"/>
        <v/>
      </c>
      <c r="AT402" s="365" t="str">
        <f t="shared" si="148"/>
        <v/>
      </c>
      <c r="AU402" s="365" t="str">
        <f t="shared" si="148"/>
        <v/>
      </c>
      <c r="AV402" s="365" t="str">
        <f t="shared" si="148"/>
        <v/>
      </c>
      <c r="AW402" s="365" t="str">
        <f t="shared" si="148"/>
        <v/>
      </c>
      <c r="AX402" s="365" t="str">
        <f t="shared" si="148"/>
        <v/>
      </c>
      <c r="AY402" s="365" t="str">
        <f t="shared" si="148"/>
        <v/>
      </c>
      <c r="AZ402" s="365" t="str">
        <f t="shared" si="148"/>
        <v/>
      </c>
      <c r="BA402" s="365" t="str">
        <f t="shared" si="148"/>
        <v/>
      </c>
      <c r="BB402" s="365" t="str">
        <f t="shared" si="148"/>
        <v/>
      </c>
      <c r="BC402" s="365" t="str">
        <f t="shared" si="148"/>
        <v/>
      </c>
      <c r="BD402" s="365" t="str">
        <f t="shared" si="149"/>
        <v/>
      </c>
      <c r="BE402" s="365" t="str">
        <f t="shared" si="149"/>
        <v/>
      </c>
      <c r="BF402" s="365">
        <f t="shared" ca="1" si="149"/>
        <v>-102076.09022411905</v>
      </c>
      <c r="BG402" s="365">
        <f t="shared" ca="1" si="149"/>
        <v>-102076.09022411905</v>
      </c>
      <c r="BH402" s="365">
        <f t="shared" ca="1" si="149"/>
        <v>-102076.09022411905</v>
      </c>
      <c r="BI402" s="365">
        <f t="shared" ca="1" si="149"/>
        <v>-102076.09022411905</v>
      </c>
      <c r="BJ402" s="365">
        <f t="shared" ca="1" si="149"/>
        <v>-102076.09022411905</v>
      </c>
      <c r="BK402" s="365">
        <f t="shared" ca="1" si="149"/>
        <v>-102076.09022411905</v>
      </c>
      <c r="BL402" s="365">
        <f t="shared" ca="1" si="149"/>
        <v>-102076.09022411905</v>
      </c>
      <c r="BM402" s="365">
        <f t="shared" ca="1" si="149"/>
        <v>-102076.09022411905</v>
      </c>
      <c r="BN402" s="365">
        <f t="shared" ca="1" si="150"/>
        <v>-102076.09022411905</v>
      </c>
      <c r="BO402" s="365">
        <f t="shared" ca="1" si="150"/>
        <v>-102076.09022411905</v>
      </c>
      <c r="BP402" s="365">
        <f t="shared" ca="1" si="150"/>
        <v>-102076.09022411905</v>
      </c>
      <c r="BQ402" s="365">
        <f t="shared" ca="1" si="150"/>
        <v>-102076.09022411905</v>
      </c>
      <c r="BR402" s="365">
        <f t="shared" ca="1" si="150"/>
        <v>-102076.09022411905</v>
      </c>
      <c r="BS402" s="365">
        <f t="shared" ca="1" si="150"/>
        <v>-102076.09022411905</v>
      </c>
      <c r="BT402" s="365">
        <f t="shared" ca="1" si="150"/>
        <v>-102076.09022411905</v>
      </c>
      <c r="BU402" s="365">
        <f t="shared" ca="1" si="150"/>
        <v>-102076.09022411905</v>
      </c>
      <c r="BV402" s="365">
        <f t="shared" ca="1" si="150"/>
        <v>-102076.09022411905</v>
      </c>
      <c r="BW402" s="365">
        <f t="shared" ca="1" si="150"/>
        <v>-102076.09022411905</v>
      </c>
      <c r="BX402" s="365">
        <f t="shared" ca="1" si="150"/>
        <v>-102076.09022411905</v>
      </c>
    </row>
    <row r="403" spans="27:76">
      <c r="AA403" s="360">
        <f t="shared" si="140"/>
        <v>2033</v>
      </c>
      <c r="AB403" s="367">
        <f ca="1">SUMPRODUCT(FuelSavings!B28:W28,FuelSavings!$B$47:$W$47)/1000000</f>
        <v>14.895234172563233</v>
      </c>
      <c r="AC403" s="367">
        <f ca="1">SUMPRODUCT(OPEX!B28:W28,OPEX!$B$47:$W$47)/1000000</f>
        <v>4.8805428027431379</v>
      </c>
      <c r="AD403" s="367">
        <f ca="1">SUMPRODUCT(GHGComplianceSavings!B28:W28,GHGComplianceSavings!$B$47:$W$47)/1000000</f>
        <v>7.7379208838469795</v>
      </c>
      <c r="AE403" s="367">
        <f t="shared" ca="1" si="135"/>
        <v>-2.4833459028005329</v>
      </c>
      <c r="AF403" s="367">
        <f ca="1">SUMPRODUCT(AvoidedCAPEX!B28:W28,AvoidedCAPEX!$B$47:$W$47)/1000000</f>
        <v>25.774484237428442</v>
      </c>
      <c r="AG403" s="367">
        <f t="shared" ca="1" si="141"/>
        <v>43.066915309934281</v>
      </c>
      <c r="AH403" s="367">
        <f t="shared" ca="1" si="142"/>
        <v>50.804836193781256</v>
      </c>
      <c r="AI403" s="365">
        <f ca="1">SUMPRODUCT(CAPEX!B28:W28,CAPEX!$B$47:$W$47)</f>
        <v>-1272093.7073170771</v>
      </c>
      <c r="AJ403" s="365" t="str">
        <f t="shared" si="147"/>
        <v/>
      </c>
      <c r="AK403" s="365" t="str">
        <f t="shared" si="147"/>
        <v/>
      </c>
      <c r="AL403" s="365" t="str">
        <f t="shared" si="147"/>
        <v/>
      </c>
      <c r="AM403" s="365" t="str">
        <f t="shared" si="147"/>
        <v/>
      </c>
      <c r="AN403" s="365" t="str">
        <f t="shared" si="147"/>
        <v/>
      </c>
      <c r="AO403" s="365" t="str">
        <f t="shared" si="147"/>
        <v/>
      </c>
      <c r="AP403" s="365" t="str">
        <f t="shared" si="147"/>
        <v/>
      </c>
      <c r="AQ403" s="365" t="str">
        <f t="shared" si="147"/>
        <v/>
      </c>
      <c r="AR403" s="365" t="str">
        <f t="shared" si="147"/>
        <v/>
      </c>
      <c r="AS403" s="365" t="str">
        <f t="shared" si="147"/>
        <v/>
      </c>
      <c r="AT403" s="365" t="str">
        <f t="shared" si="148"/>
        <v/>
      </c>
      <c r="AU403" s="365" t="str">
        <f t="shared" si="148"/>
        <v/>
      </c>
      <c r="AV403" s="365" t="str">
        <f t="shared" si="148"/>
        <v/>
      </c>
      <c r="AW403" s="365" t="str">
        <f t="shared" si="148"/>
        <v/>
      </c>
      <c r="AX403" s="365" t="str">
        <f t="shared" si="148"/>
        <v/>
      </c>
      <c r="AY403" s="365" t="str">
        <f t="shared" si="148"/>
        <v/>
      </c>
      <c r="AZ403" s="365" t="str">
        <f t="shared" si="148"/>
        <v/>
      </c>
      <c r="BA403" s="365" t="str">
        <f t="shared" si="148"/>
        <v/>
      </c>
      <c r="BB403" s="365" t="str">
        <f t="shared" si="148"/>
        <v/>
      </c>
      <c r="BC403" s="365" t="str">
        <f t="shared" si="148"/>
        <v/>
      </c>
      <c r="BD403" s="365" t="str">
        <f t="shared" si="149"/>
        <v/>
      </c>
      <c r="BE403" s="365" t="str">
        <f t="shared" si="149"/>
        <v/>
      </c>
      <c r="BF403" s="365" t="str">
        <f t="shared" si="149"/>
        <v/>
      </c>
      <c r="BG403" s="365">
        <f t="shared" ca="1" si="149"/>
        <v>-102076.09022412031</v>
      </c>
      <c r="BH403" s="365">
        <f t="shared" ca="1" si="149"/>
        <v>-102076.09022412031</v>
      </c>
      <c r="BI403" s="365">
        <f t="shared" ca="1" si="149"/>
        <v>-102076.09022412031</v>
      </c>
      <c r="BJ403" s="365">
        <f t="shared" ca="1" si="149"/>
        <v>-102076.09022412031</v>
      </c>
      <c r="BK403" s="365">
        <f t="shared" ca="1" si="149"/>
        <v>-102076.09022412031</v>
      </c>
      <c r="BL403" s="365">
        <f t="shared" ca="1" si="149"/>
        <v>-102076.09022412031</v>
      </c>
      <c r="BM403" s="365">
        <f t="shared" ca="1" si="149"/>
        <v>-102076.09022412031</v>
      </c>
      <c r="BN403" s="365">
        <f t="shared" ca="1" si="150"/>
        <v>-102076.09022412031</v>
      </c>
      <c r="BO403" s="365">
        <f t="shared" ca="1" si="150"/>
        <v>-102076.09022412031</v>
      </c>
      <c r="BP403" s="365">
        <f t="shared" ca="1" si="150"/>
        <v>-102076.09022412031</v>
      </c>
      <c r="BQ403" s="365">
        <f t="shared" ca="1" si="150"/>
        <v>-102076.09022412031</v>
      </c>
      <c r="BR403" s="365">
        <f t="shared" ca="1" si="150"/>
        <v>-102076.09022412031</v>
      </c>
      <c r="BS403" s="365">
        <f t="shared" ca="1" si="150"/>
        <v>-102076.09022412031</v>
      </c>
      <c r="BT403" s="365">
        <f t="shared" ca="1" si="150"/>
        <v>-102076.09022412031</v>
      </c>
      <c r="BU403" s="365">
        <f t="shared" ca="1" si="150"/>
        <v>-102076.09022412031</v>
      </c>
      <c r="BV403" s="365">
        <f t="shared" ca="1" si="150"/>
        <v>-102076.09022412031</v>
      </c>
      <c r="BW403" s="365">
        <f t="shared" ca="1" si="150"/>
        <v>-102076.09022412031</v>
      </c>
      <c r="BX403" s="365">
        <f t="shared" ca="1" si="150"/>
        <v>-102076.09022412031</v>
      </c>
    </row>
    <row r="404" spans="27:76">
      <c r="AA404" s="360">
        <f t="shared" si="140"/>
        <v>2034</v>
      </c>
      <c r="AB404" s="367">
        <f ca="1">SUMPRODUCT(FuelSavings!B29:W29,FuelSavings!$B$47:$W$47)/1000000</f>
        <v>15.485945857706694</v>
      </c>
      <c r="AC404" s="367">
        <f ca="1">SUMPRODUCT(OPEX!B29:W29,OPEX!$B$47:$W$47)/1000000</f>
        <v>5.0853694782762444</v>
      </c>
      <c r="AD404" s="367">
        <f ca="1">SUMPRODUCT(GHGComplianceSavings!B29:W29,GHGComplianceSavings!$B$47:$W$47)/1000000</f>
        <v>8.2931396148468046</v>
      </c>
      <c r="AE404" s="367">
        <f t="shared" ca="1" si="135"/>
        <v>-2.0416516782580634</v>
      </c>
      <c r="AF404" s="367">
        <f ca="1">SUMPRODUCT(AvoidedCAPEX!B29:W29,AvoidedCAPEX!$B$47:$W$47)/1000000</f>
        <v>25.224484237428761</v>
      </c>
      <c r="AG404" s="367">
        <f t="shared" ca="1" si="141"/>
        <v>43.754147895153636</v>
      </c>
      <c r="AH404" s="367">
        <f t="shared" ca="1" si="142"/>
        <v>52.047287510000444</v>
      </c>
      <c r="AI404" s="365">
        <f ca="1">SUMPRODUCT(CAPEX!B29:W29,CAPEX!$B$47:$W$47)</f>
        <v>-440231.70731706114</v>
      </c>
      <c r="AJ404" s="365" t="str">
        <f t="shared" si="147"/>
        <v/>
      </c>
      <c r="AK404" s="365" t="str">
        <f t="shared" si="147"/>
        <v/>
      </c>
      <c r="AL404" s="365" t="str">
        <f t="shared" si="147"/>
        <v/>
      </c>
      <c r="AM404" s="365" t="str">
        <f t="shared" si="147"/>
        <v/>
      </c>
      <c r="AN404" s="365" t="str">
        <f t="shared" si="147"/>
        <v/>
      </c>
      <c r="AO404" s="365" t="str">
        <f t="shared" si="147"/>
        <v/>
      </c>
      <c r="AP404" s="365" t="str">
        <f t="shared" si="147"/>
        <v/>
      </c>
      <c r="AQ404" s="365" t="str">
        <f t="shared" si="147"/>
        <v/>
      </c>
      <c r="AR404" s="365" t="str">
        <f t="shared" si="147"/>
        <v/>
      </c>
      <c r="AS404" s="365" t="str">
        <f t="shared" si="147"/>
        <v/>
      </c>
      <c r="AT404" s="365" t="str">
        <f t="shared" si="148"/>
        <v/>
      </c>
      <c r="AU404" s="365" t="str">
        <f t="shared" si="148"/>
        <v/>
      </c>
      <c r="AV404" s="365" t="str">
        <f t="shared" si="148"/>
        <v/>
      </c>
      <c r="AW404" s="365" t="str">
        <f t="shared" si="148"/>
        <v/>
      </c>
      <c r="AX404" s="365" t="str">
        <f t="shared" si="148"/>
        <v/>
      </c>
      <c r="AY404" s="365" t="str">
        <f t="shared" si="148"/>
        <v/>
      </c>
      <c r="AZ404" s="365" t="str">
        <f t="shared" si="148"/>
        <v/>
      </c>
      <c r="BA404" s="365" t="str">
        <f t="shared" si="148"/>
        <v/>
      </c>
      <c r="BB404" s="365" t="str">
        <f t="shared" si="148"/>
        <v/>
      </c>
      <c r="BC404" s="365" t="str">
        <f t="shared" si="148"/>
        <v/>
      </c>
      <c r="BD404" s="365" t="str">
        <f t="shared" si="149"/>
        <v/>
      </c>
      <c r="BE404" s="365" t="str">
        <f t="shared" si="149"/>
        <v/>
      </c>
      <c r="BF404" s="365" t="str">
        <f t="shared" si="149"/>
        <v/>
      </c>
      <c r="BG404" s="365" t="str">
        <f t="shared" si="149"/>
        <v/>
      </c>
      <c r="BH404" s="365">
        <f t="shared" ca="1" si="149"/>
        <v>-35325.331158496185</v>
      </c>
      <c r="BI404" s="365">
        <f t="shared" ca="1" si="149"/>
        <v>-35325.331158496185</v>
      </c>
      <c r="BJ404" s="365">
        <f t="shared" ca="1" si="149"/>
        <v>-35325.331158496185</v>
      </c>
      <c r="BK404" s="365">
        <f t="shared" ca="1" si="149"/>
        <v>-35325.331158496185</v>
      </c>
      <c r="BL404" s="365">
        <f t="shared" ca="1" si="149"/>
        <v>-35325.331158496185</v>
      </c>
      <c r="BM404" s="365">
        <f t="shared" ca="1" si="149"/>
        <v>-35325.331158496185</v>
      </c>
      <c r="BN404" s="365">
        <f t="shared" ca="1" si="150"/>
        <v>-35325.331158496185</v>
      </c>
      <c r="BO404" s="365">
        <f t="shared" ca="1" si="150"/>
        <v>-35325.331158496185</v>
      </c>
      <c r="BP404" s="365">
        <f t="shared" ca="1" si="150"/>
        <v>-35325.331158496185</v>
      </c>
      <c r="BQ404" s="365">
        <f t="shared" ca="1" si="150"/>
        <v>-35325.331158496185</v>
      </c>
      <c r="BR404" s="365">
        <f t="shared" ca="1" si="150"/>
        <v>-35325.331158496185</v>
      </c>
      <c r="BS404" s="365">
        <f t="shared" ca="1" si="150"/>
        <v>-35325.331158496185</v>
      </c>
      <c r="BT404" s="365">
        <f t="shared" ca="1" si="150"/>
        <v>-35325.331158496185</v>
      </c>
      <c r="BU404" s="365">
        <f t="shared" ca="1" si="150"/>
        <v>-35325.331158496185</v>
      </c>
      <c r="BV404" s="365">
        <f t="shared" ca="1" si="150"/>
        <v>-35325.331158496185</v>
      </c>
      <c r="BW404" s="365">
        <f t="shared" ca="1" si="150"/>
        <v>-35325.331158496185</v>
      </c>
      <c r="BX404" s="365">
        <f t="shared" ca="1" si="150"/>
        <v>-35325.331158496185</v>
      </c>
    </row>
    <row r="405" spans="27:76">
      <c r="AA405" s="360">
        <f t="shared" si="140"/>
        <v>2035</v>
      </c>
      <c r="AB405" s="367">
        <f ca="1">SUMPRODUCT(FuelSavings!B30:W30,FuelSavings!$B$47:$W$47)/1000000</f>
        <v>15.879364349837246</v>
      </c>
      <c r="AC405" s="367">
        <f ca="1">SUMPRODUCT(OPEX!B30:W30,OPEX!$B$47:$W$47)/1000000</f>
        <v>5.2901931012082288</v>
      </c>
      <c r="AD405" s="367">
        <f ca="1">SUMPRODUCT(GHGComplianceSavings!B30:W30,GHGComplianceSavings!$B$47:$W$47)/1000000</f>
        <v>8.8722259238483794</v>
      </c>
      <c r="AE405" s="367">
        <f t="shared" ca="1" si="135"/>
        <v>-1.8575524333208526</v>
      </c>
      <c r="AF405" s="367">
        <f ca="1">SUMPRODUCT(AvoidedCAPEX!B30:W30,AvoidedCAPEX!$B$47:$W$47)/1000000</f>
        <v>25.224484237428761</v>
      </c>
      <c r="AG405" s="367">
        <f t="shared" ca="1" si="141"/>
        <v>44.536489255153384</v>
      </c>
      <c r="AH405" s="367">
        <f t="shared" ca="1" si="142"/>
        <v>53.40871517900176</v>
      </c>
      <c r="AI405" s="365">
        <f ca="1">SUMPRODUCT(CAPEX!B30:W30,CAPEX!$B$47:$W$47)</f>
        <v>-440231.70731706114</v>
      </c>
      <c r="AJ405" s="365" t="str">
        <f t="shared" si="147"/>
        <v/>
      </c>
      <c r="AK405" s="365" t="str">
        <f t="shared" si="147"/>
        <v/>
      </c>
      <c r="AL405" s="365" t="str">
        <f t="shared" si="147"/>
        <v/>
      </c>
      <c r="AM405" s="365" t="str">
        <f t="shared" si="147"/>
        <v/>
      </c>
      <c r="AN405" s="365" t="str">
        <f t="shared" si="147"/>
        <v/>
      </c>
      <c r="AO405" s="365" t="str">
        <f t="shared" si="147"/>
        <v/>
      </c>
      <c r="AP405" s="365" t="str">
        <f t="shared" si="147"/>
        <v/>
      </c>
      <c r="AQ405" s="365" t="str">
        <f t="shared" si="147"/>
        <v/>
      </c>
      <c r="AR405" s="365" t="str">
        <f t="shared" si="147"/>
        <v/>
      </c>
      <c r="AS405" s="365" t="str">
        <f t="shared" si="147"/>
        <v/>
      </c>
      <c r="AT405" s="365" t="str">
        <f t="shared" si="148"/>
        <v/>
      </c>
      <c r="AU405" s="365" t="str">
        <f t="shared" si="148"/>
        <v/>
      </c>
      <c r="AV405" s="365" t="str">
        <f t="shared" si="148"/>
        <v/>
      </c>
      <c r="AW405" s="365" t="str">
        <f t="shared" si="148"/>
        <v/>
      </c>
      <c r="AX405" s="365" t="str">
        <f t="shared" si="148"/>
        <v/>
      </c>
      <c r="AY405" s="365" t="str">
        <f t="shared" si="148"/>
        <v/>
      </c>
      <c r="AZ405" s="365" t="str">
        <f t="shared" si="148"/>
        <v/>
      </c>
      <c r="BA405" s="365" t="str">
        <f t="shared" si="148"/>
        <v/>
      </c>
      <c r="BB405" s="365" t="str">
        <f t="shared" si="148"/>
        <v/>
      </c>
      <c r="BC405" s="365" t="str">
        <f t="shared" si="148"/>
        <v/>
      </c>
      <c r="BD405" s="365" t="str">
        <f t="shared" si="149"/>
        <v/>
      </c>
      <c r="BE405" s="365" t="str">
        <f t="shared" si="149"/>
        <v/>
      </c>
      <c r="BF405" s="365" t="str">
        <f t="shared" si="149"/>
        <v/>
      </c>
      <c r="BG405" s="365" t="str">
        <f t="shared" si="149"/>
        <v/>
      </c>
      <c r="BH405" s="365" t="str">
        <f t="shared" si="149"/>
        <v/>
      </c>
      <c r="BI405" s="365">
        <f t="shared" ca="1" si="149"/>
        <v>-35325.331158496185</v>
      </c>
      <c r="BJ405" s="365">
        <f t="shared" ca="1" si="149"/>
        <v>-35325.331158496185</v>
      </c>
      <c r="BK405" s="365">
        <f t="shared" ca="1" si="149"/>
        <v>-35325.331158496185</v>
      </c>
      <c r="BL405" s="365">
        <f t="shared" ca="1" si="149"/>
        <v>-35325.331158496185</v>
      </c>
      <c r="BM405" s="365">
        <f t="shared" ca="1" si="149"/>
        <v>-35325.331158496185</v>
      </c>
      <c r="BN405" s="365">
        <f t="shared" ca="1" si="150"/>
        <v>-35325.331158496185</v>
      </c>
      <c r="BO405" s="365">
        <f t="shared" ca="1" si="150"/>
        <v>-35325.331158496185</v>
      </c>
      <c r="BP405" s="365">
        <f t="shared" ca="1" si="150"/>
        <v>-35325.331158496185</v>
      </c>
      <c r="BQ405" s="365">
        <f t="shared" ca="1" si="150"/>
        <v>-35325.331158496185</v>
      </c>
      <c r="BR405" s="365">
        <f t="shared" ca="1" si="150"/>
        <v>-35325.331158496185</v>
      </c>
      <c r="BS405" s="365">
        <f t="shared" ca="1" si="150"/>
        <v>-35325.331158496185</v>
      </c>
      <c r="BT405" s="365">
        <f t="shared" ca="1" si="150"/>
        <v>-35325.331158496185</v>
      </c>
      <c r="BU405" s="365">
        <f t="shared" ca="1" si="150"/>
        <v>-35325.331158496185</v>
      </c>
      <c r="BV405" s="365">
        <f t="shared" ca="1" si="150"/>
        <v>-35325.331158496185</v>
      </c>
      <c r="BW405" s="365">
        <f t="shared" ca="1" si="150"/>
        <v>-35325.331158496185</v>
      </c>
      <c r="BX405" s="365">
        <f t="shared" ca="1" si="150"/>
        <v>-35325.331158496185</v>
      </c>
    </row>
    <row r="406" spans="27:76">
      <c r="AA406" s="360">
        <f t="shared" si="140"/>
        <v>2036</v>
      </c>
      <c r="AB406" s="367">
        <f ca="1">SUMPRODUCT(FuelSavings!B31:W31,FuelSavings!$B$47:$W$47)/1000000</f>
        <v>16.937471937146555</v>
      </c>
      <c r="AC406" s="367">
        <f ca="1">SUMPRODUCT(OPEX!B31:W31,OPEX!$B$47:$W$47)/1000000</f>
        <v>5.4950138529734733</v>
      </c>
      <c r="AD406" s="367">
        <f ca="1">SUMPRODUCT(GHGComplianceSavings!B31:W31,GHGComplianceSavings!$B$47:$W$47)/1000000</f>
        <v>9.540194976912959</v>
      </c>
      <c r="AE406" s="367">
        <f t="shared" ca="1" si="135"/>
        <v>-1.850182603051943</v>
      </c>
      <c r="AF406" s="367">
        <f ca="1">SUMPRODUCT(AvoidedCAPEX!B31:W31,AvoidedCAPEX!$B$47:$W$47)/1000000</f>
        <v>25.224484237428442</v>
      </c>
      <c r="AG406" s="367">
        <f t="shared" ca="1" si="141"/>
        <v>45.80678742449652</v>
      </c>
      <c r="AH406" s="367">
        <f t="shared" ca="1" si="142"/>
        <v>55.346982401409477</v>
      </c>
      <c r="AI406" s="365">
        <f ca="1">SUMPRODUCT(CAPEX!B31:W31,CAPEX!$B$47:$W$47)</f>
        <v>-1101631.7073171088</v>
      </c>
      <c r="AJ406" s="365" t="str">
        <f t="shared" si="147"/>
        <v/>
      </c>
      <c r="AK406" s="365" t="str">
        <f t="shared" si="147"/>
        <v/>
      </c>
      <c r="AL406" s="365" t="str">
        <f t="shared" si="147"/>
        <v/>
      </c>
      <c r="AM406" s="365" t="str">
        <f t="shared" si="147"/>
        <v/>
      </c>
      <c r="AN406" s="365" t="str">
        <f t="shared" si="147"/>
        <v/>
      </c>
      <c r="AO406" s="365" t="str">
        <f t="shared" si="147"/>
        <v/>
      </c>
      <c r="AP406" s="365" t="str">
        <f t="shared" si="147"/>
        <v/>
      </c>
      <c r="AQ406" s="365" t="str">
        <f t="shared" si="147"/>
        <v/>
      </c>
      <c r="AR406" s="365" t="str">
        <f t="shared" si="147"/>
        <v/>
      </c>
      <c r="AS406" s="365" t="str">
        <f t="shared" si="147"/>
        <v/>
      </c>
      <c r="AT406" s="365" t="str">
        <f t="shared" si="148"/>
        <v/>
      </c>
      <c r="AU406" s="365" t="str">
        <f t="shared" si="148"/>
        <v/>
      </c>
      <c r="AV406" s="365" t="str">
        <f t="shared" si="148"/>
        <v/>
      </c>
      <c r="AW406" s="365" t="str">
        <f t="shared" si="148"/>
        <v/>
      </c>
      <c r="AX406" s="365" t="str">
        <f t="shared" si="148"/>
        <v/>
      </c>
      <c r="AY406" s="365" t="str">
        <f t="shared" si="148"/>
        <v/>
      </c>
      <c r="AZ406" s="365" t="str">
        <f t="shared" si="148"/>
        <v/>
      </c>
      <c r="BA406" s="365" t="str">
        <f t="shared" si="148"/>
        <v/>
      </c>
      <c r="BB406" s="365" t="str">
        <f t="shared" si="148"/>
        <v/>
      </c>
      <c r="BC406" s="365" t="str">
        <f t="shared" si="148"/>
        <v/>
      </c>
      <c r="BD406" s="365" t="str">
        <f t="shared" si="149"/>
        <v/>
      </c>
      <c r="BE406" s="365" t="str">
        <f t="shared" si="149"/>
        <v/>
      </c>
      <c r="BF406" s="365" t="str">
        <f t="shared" si="149"/>
        <v/>
      </c>
      <c r="BG406" s="365" t="str">
        <f t="shared" si="149"/>
        <v/>
      </c>
      <c r="BH406" s="365" t="str">
        <f t="shared" si="149"/>
        <v/>
      </c>
      <c r="BI406" s="365" t="str">
        <f t="shared" si="149"/>
        <v/>
      </c>
      <c r="BJ406" s="365">
        <f t="shared" ca="1" si="149"/>
        <v>-88397.778326423242</v>
      </c>
      <c r="BK406" s="365">
        <f t="shared" ca="1" si="149"/>
        <v>-88397.778326423242</v>
      </c>
      <c r="BL406" s="365">
        <f t="shared" ca="1" si="149"/>
        <v>-88397.778326423242</v>
      </c>
      <c r="BM406" s="365">
        <f t="shared" ca="1" si="149"/>
        <v>-88397.778326423242</v>
      </c>
      <c r="BN406" s="365">
        <f t="shared" ca="1" si="150"/>
        <v>-88397.778326423242</v>
      </c>
      <c r="BO406" s="365">
        <f t="shared" ca="1" si="150"/>
        <v>-88397.778326423242</v>
      </c>
      <c r="BP406" s="365">
        <f t="shared" ca="1" si="150"/>
        <v>-88397.778326423242</v>
      </c>
      <c r="BQ406" s="365">
        <f t="shared" ca="1" si="150"/>
        <v>-88397.778326423242</v>
      </c>
      <c r="BR406" s="365">
        <f t="shared" ca="1" si="150"/>
        <v>-88397.778326423242</v>
      </c>
      <c r="BS406" s="365">
        <f t="shared" ca="1" si="150"/>
        <v>-88397.778326423242</v>
      </c>
      <c r="BT406" s="365">
        <f t="shared" ca="1" si="150"/>
        <v>-88397.778326423242</v>
      </c>
      <c r="BU406" s="365">
        <f t="shared" ca="1" si="150"/>
        <v>-88397.778326423242</v>
      </c>
      <c r="BV406" s="365">
        <f t="shared" ca="1" si="150"/>
        <v>-88397.778326423242</v>
      </c>
      <c r="BW406" s="365">
        <f t="shared" ca="1" si="150"/>
        <v>-88397.778326423242</v>
      </c>
      <c r="BX406" s="365">
        <f t="shared" ca="1" si="150"/>
        <v>-88397.778326423242</v>
      </c>
    </row>
    <row r="407" spans="27:76">
      <c r="AA407" s="360">
        <f t="shared" si="140"/>
        <v>2037</v>
      </c>
      <c r="AB407" s="367">
        <f ca="1">SUMPRODUCT(FuelSavings!B32:W32,FuelSavings!$B$47:$W$47)/1000000</f>
        <v>17.337382825577286</v>
      </c>
      <c r="AC407" s="367">
        <f ca="1">SUMPRODUCT(OPEX!B32:W32,OPEX!$B$47:$W$47)/1000000</f>
        <v>5.6998318977153559</v>
      </c>
      <c r="AD407" s="367">
        <f ca="1">SUMPRODUCT(GHGComplianceSavings!B32:W32,GHGComplianceSavings!$B$47:$W$47)/1000000</f>
        <v>10.224276728621509</v>
      </c>
      <c r="AE407" s="367">
        <f t="shared" ca="1" si="135"/>
        <v>-1.7897403256151079</v>
      </c>
      <c r="AF407" s="367">
        <f ca="1">SUMPRODUCT(AvoidedCAPEX!B32:W32,AvoidedCAPEX!$B$47:$W$47)/1000000</f>
        <v>25.224484237428442</v>
      </c>
      <c r="AG407" s="367">
        <f t="shared" ca="1" si="141"/>
        <v>46.471958635105977</v>
      </c>
      <c r="AH407" s="367">
        <f t="shared" ca="1" si="142"/>
        <v>56.696235363727489</v>
      </c>
      <c r="AI407" s="365">
        <f ca="1">SUMPRODUCT(CAPEX!B32:W32,CAPEX!$B$47:$W$47)</f>
        <v>-440231.70731707709</v>
      </c>
      <c r="AJ407" s="365" t="str">
        <f t="shared" si="147"/>
        <v/>
      </c>
      <c r="AK407" s="365" t="str">
        <f t="shared" si="147"/>
        <v/>
      </c>
      <c r="AL407" s="365" t="str">
        <f t="shared" si="147"/>
        <v/>
      </c>
      <c r="AM407" s="365" t="str">
        <f t="shared" si="147"/>
        <v/>
      </c>
      <c r="AN407" s="365" t="str">
        <f t="shared" si="147"/>
        <v/>
      </c>
      <c r="AO407" s="365" t="str">
        <f t="shared" si="147"/>
        <v/>
      </c>
      <c r="AP407" s="365" t="str">
        <f t="shared" si="147"/>
        <v/>
      </c>
      <c r="AQ407" s="365" t="str">
        <f t="shared" si="147"/>
        <v/>
      </c>
      <c r="AR407" s="365" t="str">
        <f t="shared" si="147"/>
        <v/>
      </c>
      <c r="AS407" s="365" t="str">
        <f t="shared" si="147"/>
        <v/>
      </c>
      <c r="AT407" s="365" t="str">
        <f t="shared" si="148"/>
        <v/>
      </c>
      <c r="AU407" s="365" t="str">
        <f t="shared" si="148"/>
        <v/>
      </c>
      <c r="AV407" s="365" t="str">
        <f t="shared" si="148"/>
        <v/>
      </c>
      <c r="AW407" s="365" t="str">
        <f t="shared" si="148"/>
        <v/>
      </c>
      <c r="AX407" s="365" t="str">
        <f t="shared" si="148"/>
        <v/>
      </c>
      <c r="AY407" s="365" t="str">
        <f t="shared" si="148"/>
        <v/>
      </c>
      <c r="AZ407" s="365" t="str">
        <f t="shared" si="148"/>
        <v/>
      </c>
      <c r="BA407" s="365" t="str">
        <f t="shared" si="148"/>
        <v/>
      </c>
      <c r="BB407" s="365" t="str">
        <f t="shared" si="148"/>
        <v/>
      </c>
      <c r="BC407" s="365" t="str">
        <f t="shared" si="148"/>
        <v/>
      </c>
      <c r="BD407" s="365" t="str">
        <f t="shared" si="149"/>
        <v/>
      </c>
      <c r="BE407" s="365" t="str">
        <f t="shared" si="149"/>
        <v/>
      </c>
      <c r="BF407" s="365" t="str">
        <f t="shared" si="149"/>
        <v/>
      </c>
      <c r="BG407" s="365" t="str">
        <f t="shared" si="149"/>
        <v/>
      </c>
      <c r="BH407" s="365" t="str">
        <f t="shared" si="149"/>
        <v/>
      </c>
      <c r="BI407" s="365" t="str">
        <f t="shared" si="149"/>
        <v/>
      </c>
      <c r="BJ407" s="365" t="str">
        <f t="shared" si="149"/>
        <v/>
      </c>
      <c r="BK407" s="365">
        <f t="shared" ca="1" si="149"/>
        <v>-35325.331158497465</v>
      </c>
      <c r="BL407" s="365">
        <f t="shared" ca="1" si="149"/>
        <v>-35325.331158497465</v>
      </c>
      <c r="BM407" s="365">
        <f t="shared" ca="1" si="149"/>
        <v>-35325.331158497465</v>
      </c>
      <c r="BN407" s="365">
        <f t="shared" ca="1" si="150"/>
        <v>-35325.331158497465</v>
      </c>
      <c r="BO407" s="365">
        <f t="shared" ca="1" si="150"/>
        <v>-35325.331158497465</v>
      </c>
      <c r="BP407" s="365">
        <f t="shared" ca="1" si="150"/>
        <v>-35325.331158497465</v>
      </c>
      <c r="BQ407" s="365">
        <f t="shared" ca="1" si="150"/>
        <v>-35325.331158497465</v>
      </c>
      <c r="BR407" s="365">
        <f t="shared" ca="1" si="150"/>
        <v>-35325.331158497465</v>
      </c>
      <c r="BS407" s="365">
        <f t="shared" ca="1" si="150"/>
        <v>-35325.331158497465</v>
      </c>
      <c r="BT407" s="365">
        <f t="shared" ca="1" si="150"/>
        <v>-35325.331158497465</v>
      </c>
      <c r="BU407" s="365">
        <f t="shared" ca="1" si="150"/>
        <v>-35325.331158497465</v>
      </c>
      <c r="BV407" s="365">
        <f t="shared" ca="1" si="150"/>
        <v>-35325.331158497465</v>
      </c>
      <c r="BW407" s="365">
        <f t="shared" ca="1" si="150"/>
        <v>-35325.331158497465</v>
      </c>
      <c r="BX407" s="365">
        <f t="shared" ca="1" si="150"/>
        <v>-35325.331158497465</v>
      </c>
    </row>
    <row r="408" spans="27:76">
      <c r="AA408" s="360">
        <f t="shared" si="140"/>
        <v>2038</v>
      </c>
      <c r="AB408" s="367">
        <f ca="1">SUMPRODUCT(FuelSavings!B33:W33,FuelSavings!$B$47:$W$47)/1000000</f>
        <v>17.828870153277641</v>
      </c>
      <c r="AC408" s="367">
        <f ca="1">SUMPRODUCT(OPEX!B33:W33,OPEX!$B$47:$W$47)/1000000</f>
        <v>5.904647384508908</v>
      </c>
      <c r="AD408" s="367">
        <f ca="1">SUMPRODUCT(GHGComplianceSavings!B33:W33,GHGComplianceSavings!$B$47:$W$47)/1000000</f>
        <v>10.922979279577195</v>
      </c>
      <c r="AE408" s="367">
        <f t="shared" ca="1" si="135"/>
        <v>-1.7292980481782712</v>
      </c>
      <c r="AF408" s="367">
        <f ca="1">SUMPRODUCT(AvoidedCAPEX!B33:W33,AvoidedCAPEX!$B$47:$W$47)/1000000</f>
        <v>25.224484237428761</v>
      </c>
      <c r="AG408" s="367">
        <f t="shared" ca="1" si="141"/>
        <v>47.228703727037043</v>
      </c>
      <c r="AH408" s="367">
        <f t="shared" ca="1" si="142"/>
        <v>58.151683006614235</v>
      </c>
      <c r="AI408" s="365">
        <f ca="1">SUMPRODUCT(CAPEX!B33:W33,CAPEX!$B$47:$W$47)</f>
        <v>-440231.70731706114</v>
      </c>
      <c r="AJ408" s="365" t="str">
        <f t="shared" si="147"/>
        <v/>
      </c>
      <c r="AK408" s="365" t="str">
        <f t="shared" si="147"/>
        <v/>
      </c>
      <c r="AL408" s="365" t="str">
        <f t="shared" si="147"/>
        <v/>
      </c>
      <c r="AM408" s="365" t="str">
        <f t="shared" si="147"/>
        <v/>
      </c>
      <c r="AN408" s="365" t="str">
        <f t="shared" si="147"/>
        <v/>
      </c>
      <c r="AO408" s="365" t="str">
        <f t="shared" si="147"/>
        <v/>
      </c>
      <c r="AP408" s="365" t="str">
        <f t="shared" si="147"/>
        <v/>
      </c>
      <c r="AQ408" s="365" t="str">
        <f t="shared" si="147"/>
        <v/>
      </c>
      <c r="AR408" s="365" t="str">
        <f t="shared" si="147"/>
        <v/>
      </c>
      <c r="AS408" s="365" t="str">
        <f t="shared" si="147"/>
        <v/>
      </c>
      <c r="AT408" s="365" t="str">
        <f t="shared" si="148"/>
        <v/>
      </c>
      <c r="AU408" s="365" t="str">
        <f t="shared" si="148"/>
        <v/>
      </c>
      <c r="AV408" s="365" t="str">
        <f t="shared" si="148"/>
        <v/>
      </c>
      <c r="AW408" s="365" t="str">
        <f t="shared" si="148"/>
        <v/>
      </c>
      <c r="AX408" s="365" t="str">
        <f t="shared" si="148"/>
        <v/>
      </c>
      <c r="AY408" s="365" t="str">
        <f t="shared" si="148"/>
        <v/>
      </c>
      <c r="AZ408" s="365" t="str">
        <f t="shared" si="148"/>
        <v/>
      </c>
      <c r="BA408" s="365" t="str">
        <f t="shared" si="148"/>
        <v/>
      </c>
      <c r="BB408" s="365" t="str">
        <f t="shared" si="148"/>
        <v/>
      </c>
      <c r="BC408" s="365" t="str">
        <f t="shared" si="148"/>
        <v/>
      </c>
      <c r="BD408" s="365" t="str">
        <f t="shared" si="149"/>
        <v/>
      </c>
      <c r="BE408" s="365" t="str">
        <f t="shared" si="149"/>
        <v/>
      </c>
      <c r="BF408" s="365" t="str">
        <f t="shared" si="149"/>
        <v/>
      </c>
      <c r="BG408" s="365" t="str">
        <f t="shared" si="149"/>
        <v/>
      </c>
      <c r="BH408" s="365" t="str">
        <f t="shared" si="149"/>
        <v/>
      </c>
      <c r="BI408" s="365" t="str">
        <f t="shared" si="149"/>
        <v/>
      </c>
      <c r="BJ408" s="365" t="str">
        <f t="shared" si="149"/>
        <v/>
      </c>
      <c r="BK408" s="365" t="str">
        <f t="shared" si="149"/>
        <v/>
      </c>
      <c r="BL408" s="365">
        <f t="shared" ca="1" si="149"/>
        <v>-35325.331158496185</v>
      </c>
      <c r="BM408" s="365">
        <f t="shared" ca="1" si="149"/>
        <v>-35325.331158496185</v>
      </c>
      <c r="BN408" s="365">
        <f t="shared" ca="1" si="150"/>
        <v>-35325.331158496185</v>
      </c>
      <c r="BO408" s="365">
        <f t="shared" ca="1" si="150"/>
        <v>-35325.331158496185</v>
      </c>
      <c r="BP408" s="365">
        <f t="shared" ca="1" si="150"/>
        <v>-35325.331158496185</v>
      </c>
      <c r="BQ408" s="365">
        <f t="shared" ca="1" si="150"/>
        <v>-35325.331158496185</v>
      </c>
      <c r="BR408" s="365">
        <f t="shared" ca="1" si="150"/>
        <v>-35325.331158496185</v>
      </c>
      <c r="BS408" s="365">
        <f t="shared" ca="1" si="150"/>
        <v>-35325.331158496185</v>
      </c>
      <c r="BT408" s="365">
        <f t="shared" ca="1" si="150"/>
        <v>-35325.331158496185</v>
      </c>
      <c r="BU408" s="365">
        <f t="shared" ca="1" si="150"/>
        <v>-35325.331158496185</v>
      </c>
      <c r="BV408" s="365">
        <f t="shared" ca="1" si="150"/>
        <v>-35325.331158496185</v>
      </c>
      <c r="BW408" s="365">
        <f t="shared" ca="1" si="150"/>
        <v>-35325.331158496185</v>
      </c>
      <c r="BX408" s="365">
        <f t="shared" ca="1" si="150"/>
        <v>-35325.331158496185</v>
      </c>
    </row>
    <row r="409" spans="27:76">
      <c r="AA409" s="360">
        <f t="shared" si="140"/>
        <v>2039</v>
      </c>
      <c r="AB409" s="367">
        <f ca="1">SUMPRODUCT(FuelSavings!B34:W34,FuelSavings!$B$47:$W$47)/1000000</f>
        <v>18.235359422939446</v>
      </c>
      <c r="AC409" s="367">
        <f ca="1">SUMPRODUCT(OPEX!B34:W34,OPEX!$B$47:$W$47)/1000000</f>
        <v>6.1094604492290934</v>
      </c>
      <c r="AD409" s="367">
        <f ca="1">SUMPRODUCT(GHGComplianceSavings!B34:W34,GHGComplianceSavings!$B$47:$W$47)/1000000</f>
        <v>11.63497325477409</v>
      </c>
      <c r="AE409" s="367">
        <f t="shared" ca="1" si="135"/>
        <v>-1.6688557707414344</v>
      </c>
      <c r="AF409" s="367">
        <f ca="1">SUMPRODUCT(AvoidedCAPEX!B34:W34,AvoidedCAPEX!$B$47:$W$47)/1000000</f>
        <v>25.224484237428761</v>
      </c>
      <c r="AG409" s="367">
        <f t="shared" ca="1" si="141"/>
        <v>47.900448338855867</v>
      </c>
      <c r="AH409" s="367">
        <f t="shared" ca="1" si="142"/>
        <v>59.535421593629955</v>
      </c>
      <c r="AI409" s="365">
        <f ca="1">SUMPRODUCT(CAPEX!B34:W34,CAPEX!$B$47:$W$47)</f>
        <v>-440231.70731706114</v>
      </c>
      <c r="AJ409" s="365" t="str">
        <f t="shared" si="147"/>
        <v/>
      </c>
      <c r="AK409" s="365" t="str">
        <f t="shared" si="147"/>
        <v/>
      </c>
      <c r="AL409" s="365" t="str">
        <f t="shared" si="147"/>
        <v/>
      </c>
      <c r="AM409" s="365" t="str">
        <f t="shared" si="147"/>
        <v/>
      </c>
      <c r="AN409" s="365" t="str">
        <f t="shared" si="147"/>
        <v/>
      </c>
      <c r="AO409" s="365" t="str">
        <f t="shared" si="147"/>
        <v/>
      </c>
      <c r="AP409" s="365" t="str">
        <f t="shared" si="147"/>
        <v/>
      </c>
      <c r="AQ409" s="365" t="str">
        <f t="shared" si="147"/>
        <v/>
      </c>
      <c r="AR409" s="365" t="str">
        <f t="shared" si="147"/>
        <v/>
      </c>
      <c r="AS409" s="365" t="str">
        <f t="shared" si="147"/>
        <v/>
      </c>
      <c r="AT409" s="365" t="str">
        <f t="shared" si="148"/>
        <v/>
      </c>
      <c r="AU409" s="365" t="str">
        <f t="shared" si="148"/>
        <v/>
      </c>
      <c r="AV409" s="365" t="str">
        <f t="shared" si="148"/>
        <v/>
      </c>
      <c r="AW409" s="365" t="str">
        <f t="shared" si="148"/>
        <v/>
      </c>
      <c r="AX409" s="365" t="str">
        <f t="shared" si="148"/>
        <v/>
      </c>
      <c r="AY409" s="365" t="str">
        <f t="shared" si="148"/>
        <v/>
      </c>
      <c r="AZ409" s="365" t="str">
        <f t="shared" si="148"/>
        <v/>
      </c>
      <c r="BA409" s="365" t="str">
        <f t="shared" si="148"/>
        <v/>
      </c>
      <c r="BB409" s="365" t="str">
        <f t="shared" si="148"/>
        <v/>
      </c>
      <c r="BC409" s="365" t="str">
        <f t="shared" si="148"/>
        <v/>
      </c>
      <c r="BD409" s="365" t="str">
        <f t="shared" si="149"/>
        <v/>
      </c>
      <c r="BE409" s="365" t="str">
        <f t="shared" si="149"/>
        <v/>
      </c>
      <c r="BF409" s="365" t="str">
        <f t="shared" si="149"/>
        <v/>
      </c>
      <c r="BG409" s="365" t="str">
        <f t="shared" si="149"/>
        <v/>
      </c>
      <c r="BH409" s="365" t="str">
        <f t="shared" si="149"/>
        <v/>
      </c>
      <c r="BI409" s="365" t="str">
        <f t="shared" si="149"/>
        <v/>
      </c>
      <c r="BJ409" s="365" t="str">
        <f t="shared" si="149"/>
        <v/>
      </c>
      <c r="BK409" s="365" t="str">
        <f t="shared" si="149"/>
        <v/>
      </c>
      <c r="BL409" s="365" t="str">
        <f t="shared" si="149"/>
        <v/>
      </c>
      <c r="BM409" s="365">
        <f t="shared" ca="1" si="149"/>
        <v>-35325.331158496185</v>
      </c>
      <c r="BN409" s="365">
        <f t="shared" ca="1" si="150"/>
        <v>-35325.331158496185</v>
      </c>
      <c r="BO409" s="365">
        <f t="shared" ca="1" si="150"/>
        <v>-35325.331158496185</v>
      </c>
      <c r="BP409" s="365">
        <f t="shared" ca="1" si="150"/>
        <v>-35325.331158496185</v>
      </c>
      <c r="BQ409" s="365">
        <f t="shared" ca="1" si="150"/>
        <v>-35325.331158496185</v>
      </c>
      <c r="BR409" s="365">
        <f t="shared" ca="1" si="150"/>
        <v>-35325.331158496185</v>
      </c>
      <c r="BS409" s="365">
        <f t="shared" ca="1" si="150"/>
        <v>-35325.331158496185</v>
      </c>
      <c r="BT409" s="365">
        <f t="shared" ca="1" si="150"/>
        <v>-35325.331158496185</v>
      </c>
      <c r="BU409" s="365">
        <f t="shared" ca="1" si="150"/>
        <v>-35325.331158496185</v>
      </c>
      <c r="BV409" s="365">
        <f t="shared" ca="1" si="150"/>
        <v>-35325.331158496185</v>
      </c>
      <c r="BW409" s="365">
        <f t="shared" ca="1" si="150"/>
        <v>-35325.331158496185</v>
      </c>
      <c r="BX409" s="365">
        <f t="shared" ca="1" si="150"/>
        <v>-35325.331158496185</v>
      </c>
    </row>
    <row r="410" spans="27:76">
      <c r="AA410" s="360">
        <f t="shared" si="140"/>
        <v>2040</v>
      </c>
      <c r="AB410" s="367">
        <f ca="1">SUMPRODUCT(FuelSavings!B35:W35,FuelSavings!$B$47:$W$47)/1000000</f>
        <v>18.645170643759606</v>
      </c>
      <c r="AC410" s="367">
        <f ca="1">SUMPRODUCT(OPEX!B35:W35,OPEX!$B$47:$W$47)/1000000</f>
        <v>6.314271216131413</v>
      </c>
      <c r="AD410" s="367">
        <f ca="1">SUMPRODUCT(GHGComplianceSavings!B35:W35,GHGComplianceSavings!$B$47:$W$47)/1000000</f>
        <v>12.39076785434187</v>
      </c>
      <c r="AE410" s="367">
        <f t="shared" ca="1" si="135"/>
        <v>-1.608413493304599</v>
      </c>
      <c r="AF410" s="367">
        <f ca="1">SUMPRODUCT(AvoidedCAPEX!B35:W35,AvoidedCAPEX!$B$47:$W$47)/1000000</f>
        <v>25.224484237428442</v>
      </c>
      <c r="AG410" s="367">
        <f t="shared" ca="1" si="141"/>
        <v>48.575512604014861</v>
      </c>
      <c r="AH410" s="367">
        <f t="shared" ca="1" si="142"/>
        <v>60.966280458356735</v>
      </c>
      <c r="AI410" s="365">
        <f ca="1">SUMPRODUCT(CAPEX!B35:W35,CAPEX!$B$47:$W$47)</f>
        <v>-440231.70731707709</v>
      </c>
      <c r="AJ410" s="365" t="str">
        <f t="shared" ref="AJ410:AS420" si="151">IF(AND(AJ$379&gt;=$AA410,AJ$379&lt;$AA410+$Y$381),-PMT($Y$383,$Y$381,$AI410),"")</f>
        <v/>
      </c>
      <c r="AK410" s="365" t="str">
        <f t="shared" si="151"/>
        <v/>
      </c>
      <c r="AL410" s="365" t="str">
        <f t="shared" si="151"/>
        <v/>
      </c>
      <c r="AM410" s="365" t="str">
        <f t="shared" si="151"/>
        <v/>
      </c>
      <c r="AN410" s="365" t="str">
        <f t="shared" si="151"/>
        <v/>
      </c>
      <c r="AO410" s="365" t="str">
        <f t="shared" si="151"/>
        <v/>
      </c>
      <c r="AP410" s="365" t="str">
        <f t="shared" si="151"/>
        <v/>
      </c>
      <c r="AQ410" s="365" t="str">
        <f t="shared" si="151"/>
        <v/>
      </c>
      <c r="AR410" s="365" t="str">
        <f t="shared" si="151"/>
        <v/>
      </c>
      <c r="AS410" s="365" t="str">
        <f t="shared" si="151"/>
        <v/>
      </c>
      <c r="AT410" s="365" t="str">
        <f t="shared" ref="AT410:BC420" si="152">IF(AND(AT$379&gt;=$AA410,AT$379&lt;$AA410+$Y$381),-PMT($Y$383,$Y$381,$AI410),"")</f>
        <v/>
      </c>
      <c r="AU410" s="365" t="str">
        <f t="shared" si="152"/>
        <v/>
      </c>
      <c r="AV410" s="365" t="str">
        <f t="shared" si="152"/>
        <v/>
      </c>
      <c r="AW410" s="365" t="str">
        <f t="shared" si="152"/>
        <v/>
      </c>
      <c r="AX410" s="365" t="str">
        <f t="shared" si="152"/>
        <v/>
      </c>
      <c r="AY410" s="365" t="str">
        <f t="shared" si="152"/>
        <v/>
      </c>
      <c r="AZ410" s="365" t="str">
        <f t="shared" si="152"/>
        <v/>
      </c>
      <c r="BA410" s="365" t="str">
        <f t="shared" si="152"/>
        <v/>
      </c>
      <c r="BB410" s="365" t="str">
        <f t="shared" si="152"/>
        <v/>
      </c>
      <c r="BC410" s="365" t="str">
        <f t="shared" si="152"/>
        <v/>
      </c>
      <c r="BD410" s="365" t="str">
        <f t="shared" ref="BD410:BM420" si="153">IF(AND(BD$379&gt;=$AA410,BD$379&lt;$AA410+$Y$381),-PMT($Y$383,$Y$381,$AI410),"")</f>
        <v/>
      </c>
      <c r="BE410" s="365" t="str">
        <f t="shared" si="153"/>
        <v/>
      </c>
      <c r="BF410" s="365" t="str">
        <f t="shared" si="153"/>
        <v/>
      </c>
      <c r="BG410" s="365" t="str">
        <f t="shared" si="153"/>
        <v/>
      </c>
      <c r="BH410" s="365" t="str">
        <f t="shared" si="153"/>
        <v/>
      </c>
      <c r="BI410" s="365" t="str">
        <f t="shared" si="153"/>
        <v/>
      </c>
      <c r="BJ410" s="365" t="str">
        <f t="shared" si="153"/>
        <v/>
      </c>
      <c r="BK410" s="365" t="str">
        <f t="shared" si="153"/>
        <v/>
      </c>
      <c r="BL410" s="365" t="str">
        <f t="shared" si="153"/>
        <v/>
      </c>
      <c r="BM410" s="365" t="str">
        <f t="shared" si="153"/>
        <v/>
      </c>
      <c r="BN410" s="365">
        <f t="shared" ref="BN410:BX420" ca="1" si="154">IF(AND(BN$379&gt;=$AA410,BN$379&lt;$AA410+$Y$381),-PMT($Y$383,$Y$381,$AI410),"")</f>
        <v>-35325.331158497465</v>
      </c>
      <c r="BO410" s="365">
        <f t="shared" ca="1" si="154"/>
        <v>-35325.331158497465</v>
      </c>
      <c r="BP410" s="365">
        <f t="shared" ca="1" si="154"/>
        <v>-35325.331158497465</v>
      </c>
      <c r="BQ410" s="365">
        <f t="shared" ca="1" si="154"/>
        <v>-35325.331158497465</v>
      </c>
      <c r="BR410" s="365">
        <f t="shared" ca="1" si="154"/>
        <v>-35325.331158497465</v>
      </c>
      <c r="BS410" s="365">
        <f t="shared" ca="1" si="154"/>
        <v>-35325.331158497465</v>
      </c>
      <c r="BT410" s="365">
        <f t="shared" ca="1" si="154"/>
        <v>-35325.331158497465</v>
      </c>
      <c r="BU410" s="365">
        <f t="shared" ca="1" si="154"/>
        <v>-35325.331158497465</v>
      </c>
      <c r="BV410" s="365">
        <f t="shared" ca="1" si="154"/>
        <v>-35325.331158497465</v>
      </c>
      <c r="BW410" s="365">
        <f t="shared" ca="1" si="154"/>
        <v>-35325.331158497465</v>
      </c>
      <c r="BX410" s="365">
        <f t="shared" ca="1" si="154"/>
        <v>-35325.331158497465</v>
      </c>
    </row>
    <row r="411" spans="27:76">
      <c r="AA411" s="360">
        <f t="shared" si="140"/>
        <v>2041</v>
      </c>
      <c r="AB411" s="367">
        <f ca="1">SUMPRODUCT(FuelSavings!B36:W36,FuelSavings!$B$47:$W$47)/1000000</f>
        <v>19.058325928482873</v>
      </c>
      <c r="AC411" s="367">
        <f ca="1">SUMPRODUCT(OPEX!B36:W36,OPEX!$B$47:$W$47)/1000000</f>
        <v>6.5190797991971996</v>
      </c>
      <c r="AD411" s="367">
        <f ca="1">SUMPRODUCT(GHGComplianceSavings!B36:W36,GHGComplianceSavings!$B$47:$W$47)/1000000</f>
        <v>13.147781312267746</v>
      </c>
      <c r="AE411" s="367">
        <f t="shared" ca="1" si="135"/>
        <v>-1.5479712158677661</v>
      </c>
      <c r="AF411" s="367">
        <f ca="1">SUMPRODUCT(AvoidedCAPEX!B36:W36,AvoidedCAPEX!$B$47:$W$47)/1000000</f>
        <v>25.224484237428761</v>
      </c>
      <c r="AG411" s="367">
        <f t="shared" ca="1" si="141"/>
        <v>49.253918749241066</v>
      </c>
      <c r="AH411" s="367">
        <f t="shared" ca="1" si="142"/>
        <v>62.401700061508812</v>
      </c>
      <c r="AI411" s="365">
        <f ca="1">SUMPRODUCT(CAPEX!B36:W36,CAPEX!$B$47:$W$47)</f>
        <v>-440231.70731709298</v>
      </c>
      <c r="AJ411" s="365" t="str">
        <f t="shared" si="151"/>
        <v/>
      </c>
      <c r="AK411" s="365" t="str">
        <f t="shared" si="151"/>
        <v/>
      </c>
      <c r="AL411" s="365" t="str">
        <f t="shared" si="151"/>
        <v/>
      </c>
      <c r="AM411" s="365" t="str">
        <f t="shared" si="151"/>
        <v/>
      </c>
      <c r="AN411" s="365" t="str">
        <f t="shared" si="151"/>
        <v/>
      </c>
      <c r="AO411" s="365" t="str">
        <f t="shared" si="151"/>
        <v/>
      </c>
      <c r="AP411" s="365" t="str">
        <f t="shared" si="151"/>
        <v/>
      </c>
      <c r="AQ411" s="365" t="str">
        <f t="shared" si="151"/>
        <v/>
      </c>
      <c r="AR411" s="365" t="str">
        <f t="shared" si="151"/>
        <v/>
      </c>
      <c r="AS411" s="365" t="str">
        <f t="shared" si="151"/>
        <v/>
      </c>
      <c r="AT411" s="365" t="str">
        <f t="shared" si="152"/>
        <v/>
      </c>
      <c r="AU411" s="365" t="str">
        <f t="shared" si="152"/>
        <v/>
      </c>
      <c r="AV411" s="365" t="str">
        <f t="shared" si="152"/>
        <v/>
      </c>
      <c r="AW411" s="365" t="str">
        <f t="shared" si="152"/>
        <v/>
      </c>
      <c r="AX411" s="365" t="str">
        <f t="shared" si="152"/>
        <v/>
      </c>
      <c r="AY411" s="365" t="str">
        <f t="shared" si="152"/>
        <v/>
      </c>
      <c r="AZ411" s="365" t="str">
        <f t="shared" si="152"/>
        <v/>
      </c>
      <c r="BA411" s="365" t="str">
        <f t="shared" si="152"/>
        <v/>
      </c>
      <c r="BB411" s="365" t="str">
        <f t="shared" si="152"/>
        <v/>
      </c>
      <c r="BC411" s="365" t="str">
        <f t="shared" si="152"/>
        <v/>
      </c>
      <c r="BD411" s="365" t="str">
        <f t="shared" si="153"/>
        <v/>
      </c>
      <c r="BE411" s="365" t="str">
        <f t="shared" si="153"/>
        <v/>
      </c>
      <c r="BF411" s="365" t="str">
        <f t="shared" si="153"/>
        <v/>
      </c>
      <c r="BG411" s="365" t="str">
        <f t="shared" si="153"/>
        <v/>
      </c>
      <c r="BH411" s="365" t="str">
        <f t="shared" si="153"/>
        <v/>
      </c>
      <c r="BI411" s="365" t="str">
        <f t="shared" si="153"/>
        <v/>
      </c>
      <c r="BJ411" s="365" t="str">
        <f t="shared" si="153"/>
        <v/>
      </c>
      <c r="BK411" s="365" t="str">
        <f t="shared" si="153"/>
        <v/>
      </c>
      <c r="BL411" s="365" t="str">
        <f t="shared" si="153"/>
        <v/>
      </c>
      <c r="BM411" s="365" t="str">
        <f t="shared" si="153"/>
        <v/>
      </c>
      <c r="BN411" s="365" t="str">
        <f t="shared" si="154"/>
        <v/>
      </c>
      <c r="BO411" s="365">
        <f t="shared" ca="1" si="154"/>
        <v>-35325.331158498739</v>
      </c>
      <c r="BP411" s="365">
        <f t="shared" ca="1" si="154"/>
        <v>-35325.331158498739</v>
      </c>
      <c r="BQ411" s="365">
        <f t="shared" ca="1" si="154"/>
        <v>-35325.331158498739</v>
      </c>
      <c r="BR411" s="365">
        <f t="shared" ca="1" si="154"/>
        <v>-35325.331158498739</v>
      </c>
      <c r="BS411" s="365">
        <f t="shared" ca="1" si="154"/>
        <v>-35325.331158498739</v>
      </c>
      <c r="BT411" s="365">
        <f t="shared" ca="1" si="154"/>
        <v>-35325.331158498739</v>
      </c>
      <c r="BU411" s="365">
        <f t="shared" ca="1" si="154"/>
        <v>-35325.331158498739</v>
      </c>
      <c r="BV411" s="365">
        <f t="shared" ca="1" si="154"/>
        <v>-35325.331158498739</v>
      </c>
      <c r="BW411" s="365">
        <f t="shared" ca="1" si="154"/>
        <v>-35325.331158498739</v>
      </c>
      <c r="BX411" s="365">
        <f t="shared" ca="1" si="154"/>
        <v>-35325.331158498739</v>
      </c>
    </row>
    <row r="412" spans="27:76">
      <c r="AA412" s="360">
        <f t="shared" si="140"/>
        <v>2042</v>
      </c>
      <c r="AB412" s="367">
        <f ca="1">SUMPRODUCT(FuelSavings!B37:W37,FuelSavings!$B$47:$W$47)/1000000</f>
        <v>19.474847592541312</v>
      </c>
      <c r="AC412" s="367">
        <f ca="1">SUMPRODUCT(OPEX!B37:W37,OPEX!$B$47:$W$47)/1000000</f>
        <v>6.7238863032850027</v>
      </c>
      <c r="AD412" s="367">
        <f ca="1">SUMPRODUCT(GHGComplianceSavings!B37:W37,GHGComplianceSavings!$B$47:$W$47)/1000000</f>
        <v>13.901403222424548</v>
      </c>
      <c r="AE412" s="367">
        <f t="shared" ca="1" si="135"/>
        <v>-1.4875289384309309</v>
      </c>
      <c r="AF412" s="367">
        <f ca="1">SUMPRODUCT(AvoidedCAPEX!B37:W37,AvoidedCAPEX!$B$47:$W$47)/1000000</f>
        <v>25.224484237428761</v>
      </c>
      <c r="AG412" s="367">
        <f t="shared" ca="1" si="141"/>
        <v>49.93568919482415</v>
      </c>
      <c r="AH412" s="367">
        <f t="shared" ca="1" si="142"/>
        <v>63.837092417248691</v>
      </c>
      <c r="AI412" s="365">
        <f ca="1">SUMPRODUCT(CAPEX!B37:W37,CAPEX!$B$47:$W$47)</f>
        <v>-440231.70731706114</v>
      </c>
      <c r="AJ412" s="365" t="str">
        <f t="shared" si="151"/>
        <v/>
      </c>
      <c r="AK412" s="365" t="str">
        <f t="shared" si="151"/>
        <v/>
      </c>
      <c r="AL412" s="365" t="str">
        <f t="shared" si="151"/>
        <v/>
      </c>
      <c r="AM412" s="365" t="str">
        <f t="shared" si="151"/>
        <v/>
      </c>
      <c r="AN412" s="365" t="str">
        <f t="shared" si="151"/>
        <v/>
      </c>
      <c r="AO412" s="365" t="str">
        <f t="shared" si="151"/>
        <v/>
      </c>
      <c r="AP412" s="365" t="str">
        <f t="shared" si="151"/>
        <v/>
      </c>
      <c r="AQ412" s="365" t="str">
        <f t="shared" si="151"/>
        <v/>
      </c>
      <c r="AR412" s="365" t="str">
        <f t="shared" si="151"/>
        <v/>
      </c>
      <c r="AS412" s="365" t="str">
        <f t="shared" si="151"/>
        <v/>
      </c>
      <c r="AT412" s="365" t="str">
        <f t="shared" si="152"/>
        <v/>
      </c>
      <c r="AU412" s="365" t="str">
        <f t="shared" si="152"/>
        <v/>
      </c>
      <c r="AV412" s="365" t="str">
        <f t="shared" si="152"/>
        <v/>
      </c>
      <c r="AW412" s="365" t="str">
        <f t="shared" si="152"/>
        <v/>
      </c>
      <c r="AX412" s="365" t="str">
        <f t="shared" si="152"/>
        <v/>
      </c>
      <c r="AY412" s="365" t="str">
        <f t="shared" si="152"/>
        <v/>
      </c>
      <c r="AZ412" s="365" t="str">
        <f t="shared" si="152"/>
        <v/>
      </c>
      <c r="BA412" s="365" t="str">
        <f t="shared" si="152"/>
        <v/>
      </c>
      <c r="BB412" s="365" t="str">
        <f t="shared" si="152"/>
        <v/>
      </c>
      <c r="BC412" s="365" t="str">
        <f t="shared" si="152"/>
        <v/>
      </c>
      <c r="BD412" s="365" t="str">
        <f t="shared" si="153"/>
        <v/>
      </c>
      <c r="BE412" s="365" t="str">
        <f t="shared" si="153"/>
        <v/>
      </c>
      <c r="BF412" s="365" t="str">
        <f t="shared" si="153"/>
        <v/>
      </c>
      <c r="BG412" s="365" t="str">
        <f t="shared" si="153"/>
        <v/>
      </c>
      <c r="BH412" s="365" t="str">
        <f t="shared" si="153"/>
        <v/>
      </c>
      <c r="BI412" s="365" t="str">
        <f t="shared" si="153"/>
        <v/>
      </c>
      <c r="BJ412" s="365" t="str">
        <f t="shared" si="153"/>
        <v/>
      </c>
      <c r="BK412" s="365" t="str">
        <f t="shared" si="153"/>
        <v/>
      </c>
      <c r="BL412" s="365" t="str">
        <f t="shared" si="153"/>
        <v/>
      </c>
      <c r="BM412" s="365" t="str">
        <f t="shared" si="153"/>
        <v/>
      </c>
      <c r="BN412" s="365" t="str">
        <f t="shared" si="154"/>
        <v/>
      </c>
      <c r="BO412" s="365" t="str">
        <f t="shared" si="154"/>
        <v/>
      </c>
      <c r="BP412" s="365">
        <f t="shared" ca="1" si="154"/>
        <v>-35325.331158496185</v>
      </c>
      <c r="BQ412" s="365">
        <f t="shared" ca="1" si="154"/>
        <v>-35325.331158496185</v>
      </c>
      <c r="BR412" s="365">
        <f t="shared" ca="1" si="154"/>
        <v>-35325.331158496185</v>
      </c>
      <c r="BS412" s="365">
        <f t="shared" ca="1" si="154"/>
        <v>-35325.331158496185</v>
      </c>
      <c r="BT412" s="365">
        <f t="shared" ca="1" si="154"/>
        <v>-35325.331158496185</v>
      </c>
      <c r="BU412" s="365">
        <f t="shared" ca="1" si="154"/>
        <v>-35325.331158496185</v>
      </c>
      <c r="BV412" s="365">
        <f t="shared" ca="1" si="154"/>
        <v>-35325.331158496185</v>
      </c>
      <c r="BW412" s="365">
        <f t="shared" ca="1" si="154"/>
        <v>-35325.331158496185</v>
      </c>
      <c r="BX412" s="365">
        <f t="shared" ca="1" si="154"/>
        <v>-35325.331158496185</v>
      </c>
    </row>
    <row r="413" spans="27:76">
      <c r="AA413" s="360">
        <f t="shared" si="140"/>
        <v>2043</v>
      </c>
      <c r="AB413" s="367">
        <f ca="1">SUMPRODUCT(FuelSavings!B38:W38,FuelSavings!$B$47:$W$47)/1000000</f>
        <v>19.89475815291744</v>
      </c>
      <c r="AC413" s="367">
        <f ca="1">SUMPRODUCT(OPEX!B38:W38,OPEX!$B$47:$W$47)/1000000</f>
        <v>6.9286908251212482</v>
      </c>
      <c r="AD413" s="367">
        <f ca="1">SUMPRODUCT(GHGComplianceSavings!B38:W38,GHGComplianceSavings!$B$47:$W$47)/1000000</f>
        <v>14.740371420895551</v>
      </c>
      <c r="AE413" s="367">
        <f t="shared" ca="1" si="135"/>
        <v>-1.4270866609940944</v>
      </c>
      <c r="AF413" s="367">
        <f ca="1">SUMPRODUCT(AvoidedCAPEX!B38:W38,AvoidedCAPEX!$B$47:$W$47)/1000000</f>
        <v>25.224484237428442</v>
      </c>
      <c r="AG413" s="367">
        <f t="shared" ca="1" si="141"/>
        <v>50.620846554473033</v>
      </c>
      <c r="AH413" s="367">
        <f t="shared" ca="1" si="142"/>
        <v>65.361217975368589</v>
      </c>
      <c r="AI413" s="365">
        <f ca="1">SUMPRODUCT(CAPEX!B38:W38,CAPEX!$B$47:$W$47)</f>
        <v>-440231.70731707709</v>
      </c>
      <c r="AJ413" s="365" t="str">
        <f t="shared" si="151"/>
        <v/>
      </c>
      <c r="AK413" s="365" t="str">
        <f t="shared" si="151"/>
        <v/>
      </c>
      <c r="AL413" s="365" t="str">
        <f t="shared" si="151"/>
        <v/>
      </c>
      <c r="AM413" s="365" t="str">
        <f t="shared" si="151"/>
        <v/>
      </c>
      <c r="AN413" s="365" t="str">
        <f t="shared" si="151"/>
        <v/>
      </c>
      <c r="AO413" s="365" t="str">
        <f t="shared" si="151"/>
        <v/>
      </c>
      <c r="AP413" s="365" t="str">
        <f t="shared" si="151"/>
        <v/>
      </c>
      <c r="AQ413" s="365" t="str">
        <f t="shared" si="151"/>
        <v/>
      </c>
      <c r="AR413" s="365" t="str">
        <f t="shared" si="151"/>
        <v/>
      </c>
      <c r="AS413" s="365" t="str">
        <f t="shared" si="151"/>
        <v/>
      </c>
      <c r="AT413" s="365" t="str">
        <f t="shared" si="152"/>
        <v/>
      </c>
      <c r="AU413" s="365" t="str">
        <f t="shared" si="152"/>
        <v/>
      </c>
      <c r="AV413" s="365" t="str">
        <f t="shared" si="152"/>
        <v/>
      </c>
      <c r="AW413" s="365" t="str">
        <f t="shared" si="152"/>
        <v/>
      </c>
      <c r="AX413" s="365" t="str">
        <f t="shared" si="152"/>
        <v/>
      </c>
      <c r="AY413" s="365" t="str">
        <f t="shared" si="152"/>
        <v/>
      </c>
      <c r="AZ413" s="365" t="str">
        <f t="shared" si="152"/>
        <v/>
      </c>
      <c r="BA413" s="365" t="str">
        <f t="shared" si="152"/>
        <v/>
      </c>
      <c r="BB413" s="365" t="str">
        <f t="shared" si="152"/>
        <v/>
      </c>
      <c r="BC413" s="365" t="str">
        <f t="shared" si="152"/>
        <v/>
      </c>
      <c r="BD413" s="365" t="str">
        <f t="shared" si="153"/>
        <v/>
      </c>
      <c r="BE413" s="365" t="str">
        <f t="shared" si="153"/>
        <v/>
      </c>
      <c r="BF413" s="365" t="str">
        <f t="shared" si="153"/>
        <v/>
      </c>
      <c r="BG413" s="365" t="str">
        <f t="shared" si="153"/>
        <v/>
      </c>
      <c r="BH413" s="365" t="str">
        <f t="shared" si="153"/>
        <v/>
      </c>
      <c r="BI413" s="365" t="str">
        <f t="shared" si="153"/>
        <v/>
      </c>
      <c r="BJ413" s="365" t="str">
        <f t="shared" si="153"/>
        <v/>
      </c>
      <c r="BK413" s="365" t="str">
        <f t="shared" si="153"/>
        <v/>
      </c>
      <c r="BL413" s="365" t="str">
        <f t="shared" si="153"/>
        <v/>
      </c>
      <c r="BM413" s="365" t="str">
        <f t="shared" si="153"/>
        <v/>
      </c>
      <c r="BN413" s="365" t="str">
        <f t="shared" si="154"/>
        <v/>
      </c>
      <c r="BO413" s="365" t="str">
        <f t="shared" si="154"/>
        <v/>
      </c>
      <c r="BP413" s="365" t="str">
        <f t="shared" si="154"/>
        <v/>
      </c>
      <c r="BQ413" s="365">
        <f t="shared" ca="1" si="154"/>
        <v>-35325.331158497465</v>
      </c>
      <c r="BR413" s="365">
        <f t="shared" ca="1" si="154"/>
        <v>-35325.331158497465</v>
      </c>
      <c r="BS413" s="365">
        <f t="shared" ca="1" si="154"/>
        <v>-35325.331158497465</v>
      </c>
      <c r="BT413" s="365">
        <f t="shared" ca="1" si="154"/>
        <v>-35325.331158497465</v>
      </c>
      <c r="BU413" s="365">
        <f t="shared" ca="1" si="154"/>
        <v>-35325.331158497465</v>
      </c>
      <c r="BV413" s="365">
        <f t="shared" ca="1" si="154"/>
        <v>-35325.331158497465</v>
      </c>
      <c r="BW413" s="365">
        <f t="shared" ca="1" si="154"/>
        <v>-35325.331158497465</v>
      </c>
      <c r="BX413" s="365">
        <f t="shared" ca="1" si="154"/>
        <v>-35325.331158497465</v>
      </c>
    </row>
    <row r="414" spans="27:76">
      <c r="AA414" s="360">
        <f t="shared" si="140"/>
        <v>2044</v>
      </c>
      <c r="AB414" s="367">
        <f ca="1">SUMPRODUCT(FuelSavings!B39:W39,FuelSavings!$B$47:$W$47)/1000000</f>
        <v>20.318080327118576</v>
      </c>
      <c r="AC414" s="367">
        <f ca="1">SUMPRODUCT(OPEX!B39:W39,OPEX!$B$47:$W$47)/1000000</f>
        <v>7.1334934541567012</v>
      </c>
      <c r="AD414" s="367">
        <f ca="1">SUMPRODUCT(GHGComplianceSavings!B39:W39,GHGComplianceSavings!$B$47:$W$47)/1000000</f>
        <v>15.682003666711037</v>
      </c>
      <c r="AE414" s="367">
        <f t="shared" ca="1" si="135"/>
        <v>-1.3603359019284715</v>
      </c>
      <c r="AF414" s="367">
        <f ca="1">SUMPRODUCT(AvoidedCAPEX!B39:W39,AvoidedCAPEX!$B$47:$W$47)/1000000</f>
        <v>25.224484237428761</v>
      </c>
      <c r="AG414" s="367">
        <f t="shared" ca="1" si="141"/>
        <v>51.315722116775568</v>
      </c>
      <c r="AH414" s="367">
        <f t="shared" ca="1" si="142"/>
        <v>66.997725783486601</v>
      </c>
      <c r="AI414" s="365">
        <f ca="1">SUMPRODUCT(CAPEX!B39:W39,CAPEX!$B$47:$W$47)</f>
        <v>-440231.70731706114</v>
      </c>
      <c r="AJ414" s="365" t="str">
        <f t="shared" si="151"/>
        <v/>
      </c>
      <c r="AK414" s="365" t="str">
        <f t="shared" si="151"/>
        <v/>
      </c>
      <c r="AL414" s="365" t="str">
        <f t="shared" si="151"/>
        <v/>
      </c>
      <c r="AM414" s="365" t="str">
        <f t="shared" si="151"/>
        <v/>
      </c>
      <c r="AN414" s="365" t="str">
        <f t="shared" si="151"/>
        <v/>
      </c>
      <c r="AO414" s="365" t="str">
        <f t="shared" si="151"/>
        <v/>
      </c>
      <c r="AP414" s="365" t="str">
        <f t="shared" si="151"/>
        <v/>
      </c>
      <c r="AQ414" s="365" t="str">
        <f t="shared" si="151"/>
        <v/>
      </c>
      <c r="AR414" s="365" t="str">
        <f t="shared" si="151"/>
        <v/>
      </c>
      <c r="AS414" s="365" t="str">
        <f t="shared" si="151"/>
        <v/>
      </c>
      <c r="AT414" s="365" t="str">
        <f t="shared" si="152"/>
        <v/>
      </c>
      <c r="AU414" s="365" t="str">
        <f t="shared" si="152"/>
        <v/>
      </c>
      <c r="AV414" s="365" t="str">
        <f t="shared" si="152"/>
        <v/>
      </c>
      <c r="AW414" s="365" t="str">
        <f t="shared" si="152"/>
        <v/>
      </c>
      <c r="AX414" s="365" t="str">
        <f t="shared" si="152"/>
        <v/>
      </c>
      <c r="AY414" s="365" t="str">
        <f t="shared" si="152"/>
        <v/>
      </c>
      <c r="AZ414" s="365" t="str">
        <f t="shared" si="152"/>
        <v/>
      </c>
      <c r="BA414" s="365" t="str">
        <f t="shared" si="152"/>
        <v/>
      </c>
      <c r="BB414" s="365" t="str">
        <f t="shared" si="152"/>
        <v/>
      </c>
      <c r="BC414" s="365" t="str">
        <f t="shared" si="152"/>
        <v/>
      </c>
      <c r="BD414" s="365" t="str">
        <f t="shared" si="153"/>
        <v/>
      </c>
      <c r="BE414" s="365" t="str">
        <f t="shared" si="153"/>
        <v/>
      </c>
      <c r="BF414" s="365" t="str">
        <f t="shared" si="153"/>
        <v/>
      </c>
      <c r="BG414" s="365" t="str">
        <f t="shared" si="153"/>
        <v/>
      </c>
      <c r="BH414" s="365" t="str">
        <f t="shared" si="153"/>
        <v/>
      </c>
      <c r="BI414" s="365" t="str">
        <f t="shared" si="153"/>
        <v/>
      </c>
      <c r="BJ414" s="365" t="str">
        <f t="shared" si="153"/>
        <v/>
      </c>
      <c r="BK414" s="365" t="str">
        <f t="shared" si="153"/>
        <v/>
      </c>
      <c r="BL414" s="365" t="str">
        <f t="shared" si="153"/>
        <v/>
      </c>
      <c r="BM414" s="365" t="str">
        <f t="shared" si="153"/>
        <v/>
      </c>
      <c r="BN414" s="365" t="str">
        <f t="shared" si="154"/>
        <v/>
      </c>
      <c r="BO414" s="365" t="str">
        <f t="shared" si="154"/>
        <v/>
      </c>
      <c r="BP414" s="365" t="str">
        <f t="shared" si="154"/>
        <v/>
      </c>
      <c r="BQ414" s="365" t="str">
        <f t="shared" si="154"/>
        <v/>
      </c>
      <c r="BR414" s="365">
        <f t="shared" ca="1" si="154"/>
        <v>-35325.331158496185</v>
      </c>
      <c r="BS414" s="365">
        <f t="shared" ca="1" si="154"/>
        <v>-35325.331158496185</v>
      </c>
      <c r="BT414" s="365">
        <f t="shared" ca="1" si="154"/>
        <v>-35325.331158496185</v>
      </c>
      <c r="BU414" s="365">
        <f t="shared" ca="1" si="154"/>
        <v>-35325.331158496185</v>
      </c>
      <c r="BV414" s="365">
        <f t="shared" ca="1" si="154"/>
        <v>-35325.331158496185</v>
      </c>
      <c r="BW414" s="365">
        <f t="shared" ca="1" si="154"/>
        <v>-35325.331158496185</v>
      </c>
      <c r="BX414" s="365">
        <f t="shared" ca="1" si="154"/>
        <v>-35325.331158496185</v>
      </c>
    </row>
    <row r="415" spans="27:76">
      <c r="AA415" s="360">
        <f t="shared" si="140"/>
        <v>2045</v>
      </c>
      <c r="AB415" s="367">
        <f ca="1">SUMPRODUCT(FuelSavings!B40:W40,FuelSavings!$B$47:$W$47)/1000000</f>
        <v>20.744837032256363</v>
      </c>
      <c r="AC415" s="367">
        <f ca="1">SUMPRODUCT(OPEX!B40:W40,OPEX!$B$47:$W$47)/1000000</f>
        <v>7.3382942733103453</v>
      </c>
      <c r="AD415" s="367">
        <f ca="1">SUMPRODUCT(GHGComplianceSavings!B40:W40,GHGComplianceSavings!$B$47:$W$47)/1000000</f>
        <v>16.75067995406781</v>
      </c>
      <c r="AE415" s="367">
        <f t="shared" ca="1" si="135"/>
        <v>-1.2935851428628475</v>
      </c>
      <c r="AF415" s="367">
        <f ca="1">SUMPRODUCT(AvoidedCAPEX!B40:W40,AvoidedCAPEX!$B$47:$W$47)/1000000</f>
        <v>25.224484237428761</v>
      </c>
      <c r="AG415" s="367">
        <f t="shared" ca="1" si="141"/>
        <v>52.014030400132626</v>
      </c>
      <c r="AH415" s="367">
        <f t="shared" ca="1" si="142"/>
        <v>68.764710354200432</v>
      </c>
      <c r="AI415" s="365">
        <f ca="1">SUMPRODUCT(CAPEX!B40:W40,CAPEX!$B$47:$W$47)</f>
        <v>-440231.70731706114</v>
      </c>
      <c r="AJ415" s="365" t="str">
        <f t="shared" si="151"/>
        <v/>
      </c>
      <c r="AK415" s="365" t="str">
        <f t="shared" si="151"/>
        <v/>
      </c>
      <c r="AL415" s="365" t="str">
        <f t="shared" si="151"/>
        <v/>
      </c>
      <c r="AM415" s="365" t="str">
        <f t="shared" si="151"/>
        <v/>
      </c>
      <c r="AN415" s="365" t="str">
        <f t="shared" si="151"/>
        <v/>
      </c>
      <c r="AO415" s="365" t="str">
        <f t="shared" si="151"/>
        <v/>
      </c>
      <c r="AP415" s="365" t="str">
        <f t="shared" si="151"/>
        <v/>
      </c>
      <c r="AQ415" s="365" t="str">
        <f t="shared" si="151"/>
        <v/>
      </c>
      <c r="AR415" s="365" t="str">
        <f t="shared" si="151"/>
        <v/>
      </c>
      <c r="AS415" s="365" t="str">
        <f t="shared" si="151"/>
        <v/>
      </c>
      <c r="AT415" s="365" t="str">
        <f t="shared" si="152"/>
        <v/>
      </c>
      <c r="AU415" s="365" t="str">
        <f t="shared" si="152"/>
        <v/>
      </c>
      <c r="AV415" s="365" t="str">
        <f t="shared" si="152"/>
        <v/>
      </c>
      <c r="AW415" s="365" t="str">
        <f t="shared" si="152"/>
        <v/>
      </c>
      <c r="AX415" s="365" t="str">
        <f t="shared" si="152"/>
        <v/>
      </c>
      <c r="AY415" s="365" t="str">
        <f t="shared" si="152"/>
        <v/>
      </c>
      <c r="AZ415" s="365" t="str">
        <f t="shared" si="152"/>
        <v/>
      </c>
      <c r="BA415" s="365" t="str">
        <f t="shared" si="152"/>
        <v/>
      </c>
      <c r="BB415" s="365" t="str">
        <f t="shared" si="152"/>
        <v/>
      </c>
      <c r="BC415" s="365" t="str">
        <f t="shared" si="152"/>
        <v/>
      </c>
      <c r="BD415" s="365" t="str">
        <f t="shared" si="153"/>
        <v/>
      </c>
      <c r="BE415" s="365" t="str">
        <f t="shared" si="153"/>
        <v/>
      </c>
      <c r="BF415" s="365" t="str">
        <f t="shared" si="153"/>
        <v/>
      </c>
      <c r="BG415" s="365" t="str">
        <f t="shared" si="153"/>
        <v/>
      </c>
      <c r="BH415" s="365" t="str">
        <f t="shared" si="153"/>
        <v/>
      </c>
      <c r="BI415" s="365" t="str">
        <f t="shared" si="153"/>
        <v/>
      </c>
      <c r="BJ415" s="365" t="str">
        <f t="shared" si="153"/>
        <v/>
      </c>
      <c r="BK415" s="365" t="str">
        <f t="shared" si="153"/>
        <v/>
      </c>
      <c r="BL415" s="365" t="str">
        <f t="shared" si="153"/>
        <v/>
      </c>
      <c r="BM415" s="365" t="str">
        <f t="shared" si="153"/>
        <v/>
      </c>
      <c r="BN415" s="365" t="str">
        <f t="shared" si="154"/>
        <v/>
      </c>
      <c r="BO415" s="365" t="str">
        <f t="shared" si="154"/>
        <v/>
      </c>
      <c r="BP415" s="365" t="str">
        <f t="shared" si="154"/>
        <v/>
      </c>
      <c r="BQ415" s="365" t="str">
        <f t="shared" si="154"/>
        <v/>
      </c>
      <c r="BR415" s="365" t="str">
        <f t="shared" si="154"/>
        <v/>
      </c>
      <c r="BS415" s="365">
        <f t="shared" ca="1" si="154"/>
        <v>-35325.331158496185</v>
      </c>
      <c r="BT415" s="365">
        <f t="shared" ca="1" si="154"/>
        <v>-35325.331158496185</v>
      </c>
      <c r="BU415" s="365">
        <f t="shared" ca="1" si="154"/>
        <v>-35325.331158496185</v>
      </c>
      <c r="BV415" s="365">
        <f t="shared" ca="1" si="154"/>
        <v>-35325.331158496185</v>
      </c>
      <c r="BW415" s="365">
        <f t="shared" ca="1" si="154"/>
        <v>-35325.331158496185</v>
      </c>
      <c r="BX415" s="365">
        <f t="shared" ca="1" si="154"/>
        <v>-35325.331158496185</v>
      </c>
    </row>
    <row r="416" spans="27:76">
      <c r="AA416" s="360">
        <f t="shared" si="140"/>
        <v>2046</v>
      </c>
      <c r="AB416" s="367">
        <f ca="1">SUMPRODUCT(FuelSavings!B41:W41,FuelSavings!$B$47:$W$47)/1000000</f>
        <v>21.175051384225743</v>
      </c>
      <c r="AC416" s="367">
        <f ca="1">SUMPRODUCT(OPEX!B41:W41,OPEX!$B$47:$W$47)/1000000</f>
        <v>7.5430933596182266</v>
      </c>
      <c r="AD416" s="367">
        <f ca="1">SUMPRODUCT(GHGComplianceSavings!B41:W41,GHGComplianceSavings!$B$47:$W$47)/1000000</f>
        <v>17.900929718486942</v>
      </c>
      <c r="AE416" s="367">
        <f t="shared" ca="1" si="135"/>
        <v>-1.2268343837972249</v>
      </c>
      <c r="AF416" s="367">
        <f ca="1">SUMPRODUCT(AvoidedCAPEX!B41:W41,AvoidedCAPEX!$B$47:$W$47)/1000000</f>
        <v>25.224484237428442</v>
      </c>
      <c r="AG416" s="367">
        <f t="shared" ca="1" si="141"/>
        <v>52.715794597475181</v>
      </c>
      <c r="AH416" s="367">
        <f t="shared" ca="1" si="142"/>
        <v>70.616724315962131</v>
      </c>
      <c r="AI416" s="365">
        <f ca="1">SUMPRODUCT(CAPEX!B41:W41,CAPEX!$B$47:$W$47)</f>
        <v>-440231.70731707709</v>
      </c>
      <c r="AJ416" s="365" t="str">
        <f t="shared" si="151"/>
        <v/>
      </c>
      <c r="AK416" s="365" t="str">
        <f t="shared" si="151"/>
        <v/>
      </c>
      <c r="AL416" s="365" t="str">
        <f t="shared" si="151"/>
        <v/>
      </c>
      <c r="AM416" s="365" t="str">
        <f t="shared" si="151"/>
        <v/>
      </c>
      <c r="AN416" s="365" t="str">
        <f t="shared" si="151"/>
        <v/>
      </c>
      <c r="AO416" s="365" t="str">
        <f t="shared" si="151"/>
        <v/>
      </c>
      <c r="AP416" s="365" t="str">
        <f t="shared" si="151"/>
        <v/>
      </c>
      <c r="AQ416" s="365" t="str">
        <f t="shared" si="151"/>
        <v/>
      </c>
      <c r="AR416" s="365" t="str">
        <f t="shared" si="151"/>
        <v/>
      </c>
      <c r="AS416" s="365" t="str">
        <f t="shared" si="151"/>
        <v/>
      </c>
      <c r="AT416" s="365" t="str">
        <f t="shared" si="152"/>
        <v/>
      </c>
      <c r="AU416" s="365" t="str">
        <f t="shared" si="152"/>
        <v/>
      </c>
      <c r="AV416" s="365" t="str">
        <f t="shared" si="152"/>
        <v/>
      </c>
      <c r="AW416" s="365" t="str">
        <f t="shared" si="152"/>
        <v/>
      </c>
      <c r="AX416" s="365" t="str">
        <f t="shared" si="152"/>
        <v/>
      </c>
      <c r="AY416" s="365" t="str">
        <f t="shared" si="152"/>
        <v/>
      </c>
      <c r="AZ416" s="365" t="str">
        <f t="shared" si="152"/>
        <v/>
      </c>
      <c r="BA416" s="365" t="str">
        <f t="shared" si="152"/>
        <v/>
      </c>
      <c r="BB416" s="365" t="str">
        <f t="shared" si="152"/>
        <v/>
      </c>
      <c r="BC416" s="365" t="str">
        <f t="shared" si="152"/>
        <v/>
      </c>
      <c r="BD416" s="365" t="str">
        <f t="shared" si="153"/>
        <v/>
      </c>
      <c r="BE416" s="365" t="str">
        <f t="shared" si="153"/>
        <v/>
      </c>
      <c r="BF416" s="365" t="str">
        <f t="shared" si="153"/>
        <v/>
      </c>
      <c r="BG416" s="365" t="str">
        <f t="shared" si="153"/>
        <v/>
      </c>
      <c r="BH416" s="365" t="str">
        <f t="shared" si="153"/>
        <v/>
      </c>
      <c r="BI416" s="365" t="str">
        <f t="shared" si="153"/>
        <v/>
      </c>
      <c r="BJ416" s="365" t="str">
        <f t="shared" si="153"/>
        <v/>
      </c>
      <c r="BK416" s="365" t="str">
        <f t="shared" si="153"/>
        <v/>
      </c>
      <c r="BL416" s="365" t="str">
        <f t="shared" si="153"/>
        <v/>
      </c>
      <c r="BM416" s="365" t="str">
        <f t="shared" si="153"/>
        <v/>
      </c>
      <c r="BN416" s="365" t="str">
        <f t="shared" si="154"/>
        <v/>
      </c>
      <c r="BO416" s="365" t="str">
        <f t="shared" si="154"/>
        <v/>
      </c>
      <c r="BP416" s="365" t="str">
        <f t="shared" si="154"/>
        <v/>
      </c>
      <c r="BQ416" s="365" t="str">
        <f t="shared" si="154"/>
        <v/>
      </c>
      <c r="BR416" s="365" t="str">
        <f t="shared" si="154"/>
        <v/>
      </c>
      <c r="BS416" s="365" t="str">
        <f t="shared" si="154"/>
        <v/>
      </c>
      <c r="BT416" s="365">
        <f t="shared" ca="1" si="154"/>
        <v>-35325.331158497465</v>
      </c>
      <c r="BU416" s="365">
        <f t="shared" ca="1" si="154"/>
        <v>-35325.331158497465</v>
      </c>
      <c r="BV416" s="365">
        <f t="shared" ca="1" si="154"/>
        <v>-35325.331158497465</v>
      </c>
      <c r="BW416" s="365">
        <f t="shared" ca="1" si="154"/>
        <v>-35325.331158497465</v>
      </c>
      <c r="BX416" s="365">
        <f t="shared" ca="1" si="154"/>
        <v>-35325.331158497465</v>
      </c>
    </row>
    <row r="417" spans="27:76">
      <c r="AA417" s="360">
        <f t="shared" si="140"/>
        <v>2047</v>
      </c>
      <c r="AB417" s="367">
        <f ca="1">SUMPRODUCT(FuelSavings!B42:W42,FuelSavings!$B$47:$W$47)/1000000</f>
        <v>21.608746696977938</v>
      </c>
      <c r="AC417" s="367">
        <f ca="1">SUMPRODUCT(OPEX!B42:W42,OPEX!$B$47:$W$47)/1000000</f>
        <v>7.7478907848017391</v>
      </c>
      <c r="AD417" s="367">
        <f ca="1">SUMPRODUCT(GHGComplianceSavings!B42:W42,GHGComplianceSavings!$B$47:$W$47)/1000000</f>
        <v>19.142443935754333</v>
      </c>
      <c r="AE417" s="367">
        <f t="shared" ca="1" si="135"/>
        <v>-1.1600836247316033</v>
      </c>
      <c r="AF417" s="367">
        <f ca="1">SUMPRODUCT(AvoidedCAPEX!B42:W42,AvoidedCAPEX!$B$47:$W$47)/1000000</f>
        <v>25.224484237428442</v>
      </c>
      <c r="AG417" s="367">
        <f t="shared" ca="1" si="141"/>
        <v>53.421038094476515</v>
      </c>
      <c r="AH417" s="367">
        <f t="shared" ca="1" si="142"/>
        <v>72.563482030230858</v>
      </c>
      <c r="AI417" s="365">
        <f ca="1">SUMPRODUCT(CAPEX!B42:W42,CAPEX!$B$47:$W$47)</f>
        <v>-440231.70731707709</v>
      </c>
      <c r="AJ417" s="365" t="str">
        <f t="shared" si="151"/>
        <v/>
      </c>
      <c r="AK417" s="365" t="str">
        <f t="shared" si="151"/>
        <v/>
      </c>
      <c r="AL417" s="365" t="str">
        <f t="shared" si="151"/>
        <v/>
      </c>
      <c r="AM417" s="365" t="str">
        <f t="shared" si="151"/>
        <v/>
      </c>
      <c r="AN417" s="365" t="str">
        <f t="shared" si="151"/>
        <v/>
      </c>
      <c r="AO417" s="365" t="str">
        <f t="shared" si="151"/>
        <v/>
      </c>
      <c r="AP417" s="365" t="str">
        <f t="shared" si="151"/>
        <v/>
      </c>
      <c r="AQ417" s="365" t="str">
        <f t="shared" si="151"/>
        <v/>
      </c>
      <c r="AR417" s="365" t="str">
        <f t="shared" si="151"/>
        <v/>
      </c>
      <c r="AS417" s="365" t="str">
        <f t="shared" si="151"/>
        <v/>
      </c>
      <c r="AT417" s="365" t="str">
        <f t="shared" si="152"/>
        <v/>
      </c>
      <c r="AU417" s="365" t="str">
        <f t="shared" si="152"/>
        <v/>
      </c>
      <c r="AV417" s="365" t="str">
        <f t="shared" si="152"/>
        <v/>
      </c>
      <c r="AW417" s="365" t="str">
        <f t="shared" si="152"/>
        <v/>
      </c>
      <c r="AX417" s="365" t="str">
        <f t="shared" si="152"/>
        <v/>
      </c>
      <c r="AY417" s="365" t="str">
        <f t="shared" si="152"/>
        <v/>
      </c>
      <c r="AZ417" s="365" t="str">
        <f t="shared" si="152"/>
        <v/>
      </c>
      <c r="BA417" s="365" t="str">
        <f t="shared" si="152"/>
        <v/>
      </c>
      <c r="BB417" s="365" t="str">
        <f t="shared" si="152"/>
        <v/>
      </c>
      <c r="BC417" s="365" t="str">
        <f t="shared" si="152"/>
        <v/>
      </c>
      <c r="BD417" s="365" t="str">
        <f t="shared" si="153"/>
        <v/>
      </c>
      <c r="BE417" s="365" t="str">
        <f t="shared" si="153"/>
        <v/>
      </c>
      <c r="BF417" s="365" t="str">
        <f t="shared" si="153"/>
        <v/>
      </c>
      <c r="BG417" s="365" t="str">
        <f t="shared" si="153"/>
        <v/>
      </c>
      <c r="BH417" s="365" t="str">
        <f t="shared" si="153"/>
        <v/>
      </c>
      <c r="BI417" s="365" t="str">
        <f t="shared" si="153"/>
        <v/>
      </c>
      <c r="BJ417" s="365" t="str">
        <f t="shared" si="153"/>
        <v/>
      </c>
      <c r="BK417" s="365" t="str">
        <f t="shared" si="153"/>
        <v/>
      </c>
      <c r="BL417" s="365" t="str">
        <f t="shared" si="153"/>
        <v/>
      </c>
      <c r="BM417" s="365" t="str">
        <f t="shared" si="153"/>
        <v/>
      </c>
      <c r="BN417" s="365" t="str">
        <f t="shared" si="154"/>
        <v/>
      </c>
      <c r="BO417" s="365" t="str">
        <f t="shared" si="154"/>
        <v/>
      </c>
      <c r="BP417" s="365" t="str">
        <f t="shared" si="154"/>
        <v/>
      </c>
      <c r="BQ417" s="365" t="str">
        <f t="shared" si="154"/>
        <v/>
      </c>
      <c r="BR417" s="365" t="str">
        <f t="shared" si="154"/>
        <v/>
      </c>
      <c r="BS417" s="365" t="str">
        <f t="shared" si="154"/>
        <v/>
      </c>
      <c r="BT417" s="365" t="str">
        <f t="shared" si="154"/>
        <v/>
      </c>
      <c r="BU417" s="365">
        <f t="shared" ca="1" si="154"/>
        <v>-35325.331158497465</v>
      </c>
      <c r="BV417" s="365">
        <f t="shared" ca="1" si="154"/>
        <v>-35325.331158497465</v>
      </c>
      <c r="BW417" s="365">
        <f t="shared" ca="1" si="154"/>
        <v>-35325.331158497465</v>
      </c>
      <c r="BX417" s="365">
        <f t="shared" ca="1" si="154"/>
        <v>-35325.331158497465</v>
      </c>
    </row>
    <row r="418" spans="27:76">
      <c r="AA418" s="360">
        <f t="shared" si="140"/>
        <v>2048</v>
      </c>
      <c r="AB418" s="367">
        <f ca="1">SUMPRODUCT(FuelSavings!B43:W43,FuelSavings!$B$47:$W$47)/1000000</f>
        <v>22.045946481882417</v>
      </c>
      <c r="AC418" s="367">
        <f ca="1">SUMPRODUCT(OPEX!B43:W43,OPEX!$B$47:$W$47)/1000000</f>
        <v>7.9526866157671812</v>
      </c>
      <c r="AD418" s="367">
        <f ca="1">SUMPRODUCT(GHGComplianceSavings!B43:W43,GHGComplianceSavings!$B$47:$W$47)/1000000</f>
        <v>20.485951402818273</v>
      </c>
      <c r="AE418" s="367">
        <f t="shared" ca="1" si="135"/>
        <v>-1.093332865665982</v>
      </c>
      <c r="AF418" s="367">
        <f ca="1">SUMPRODUCT(AvoidedCAPEX!B43:W43,AvoidedCAPEX!$B$47:$W$47)/1000000</f>
        <v>25.224484237428761</v>
      </c>
      <c r="AG418" s="367">
        <f t="shared" ca="1" si="141"/>
        <v>54.129784469412378</v>
      </c>
      <c r="AH418" s="367">
        <f t="shared" ca="1" si="142"/>
        <v>74.615735872230658</v>
      </c>
      <c r="AI418" s="365">
        <f ca="1">SUMPRODUCT(CAPEX!B43:W43,CAPEX!$B$47:$W$47)</f>
        <v>-440231.70731709298</v>
      </c>
      <c r="AJ418" s="365" t="str">
        <f t="shared" si="151"/>
        <v/>
      </c>
      <c r="AK418" s="365" t="str">
        <f t="shared" si="151"/>
        <v/>
      </c>
      <c r="AL418" s="365" t="str">
        <f t="shared" si="151"/>
        <v/>
      </c>
      <c r="AM418" s="365" t="str">
        <f t="shared" si="151"/>
        <v/>
      </c>
      <c r="AN418" s="365" t="str">
        <f t="shared" si="151"/>
        <v/>
      </c>
      <c r="AO418" s="365" t="str">
        <f t="shared" si="151"/>
        <v/>
      </c>
      <c r="AP418" s="365" t="str">
        <f t="shared" si="151"/>
        <v/>
      </c>
      <c r="AQ418" s="365" t="str">
        <f t="shared" si="151"/>
        <v/>
      </c>
      <c r="AR418" s="365" t="str">
        <f t="shared" si="151"/>
        <v/>
      </c>
      <c r="AS418" s="365" t="str">
        <f t="shared" si="151"/>
        <v/>
      </c>
      <c r="AT418" s="365" t="str">
        <f t="shared" si="152"/>
        <v/>
      </c>
      <c r="AU418" s="365" t="str">
        <f t="shared" si="152"/>
        <v/>
      </c>
      <c r="AV418" s="365" t="str">
        <f t="shared" si="152"/>
        <v/>
      </c>
      <c r="AW418" s="365" t="str">
        <f t="shared" si="152"/>
        <v/>
      </c>
      <c r="AX418" s="365" t="str">
        <f t="shared" si="152"/>
        <v/>
      </c>
      <c r="AY418" s="365" t="str">
        <f t="shared" si="152"/>
        <v/>
      </c>
      <c r="AZ418" s="365" t="str">
        <f t="shared" si="152"/>
        <v/>
      </c>
      <c r="BA418" s="365" t="str">
        <f t="shared" si="152"/>
        <v/>
      </c>
      <c r="BB418" s="365" t="str">
        <f t="shared" si="152"/>
        <v/>
      </c>
      <c r="BC418" s="365" t="str">
        <f t="shared" si="152"/>
        <v/>
      </c>
      <c r="BD418" s="365" t="str">
        <f t="shared" si="153"/>
        <v/>
      </c>
      <c r="BE418" s="365" t="str">
        <f t="shared" si="153"/>
        <v/>
      </c>
      <c r="BF418" s="365" t="str">
        <f t="shared" si="153"/>
        <v/>
      </c>
      <c r="BG418" s="365" t="str">
        <f t="shared" si="153"/>
        <v/>
      </c>
      <c r="BH418" s="365" t="str">
        <f t="shared" si="153"/>
        <v/>
      </c>
      <c r="BI418" s="365" t="str">
        <f t="shared" si="153"/>
        <v/>
      </c>
      <c r="BJ418" s="365" t="str">
        <f t="shared" si="153"/>
        <v/>
      </c>
      <c r="BK418" s="365" t="str">
        <f t="shared" si="153"/>
        <v/>
      </c>
      <c r="BL418" s="365" t="str">
        <f t="shared" si="153"/>
        <v/>
      </c>
      <c r="BM418" s="365" t="str">
        <f t="shared" si="153"/>
        <v/>
      </c>
      <c r="BN418" s="365" t="str">
        <f t="shared" si="154"/>
        <v/>
      </c>
      <c r="BO418" s="365" t="str">
        <f t="shared" si="154"/>
        <v/>
      </c>
      <c r="BP418" s="365" t="str">
        <f t="shared" si="154"/>
        <v/>
      </c>
      <c r="BQ418" s="365" t="str">
        <f t="shared" si="154"/>
        <v/>
      </c>
      <c r="BR418" s="365" t="str">
        <f t="shared" si="154"/>
        <v/>
      </c>
      <c r="BS418" s="365" t="str">
        <f t="shared" si="154"/>
        <v/>
      </c>
      <c r="BT418" s="365" t="str">
        <f t="shared" si="154"/>
        <v/>
      </c>
      <c r="BU418" s="365" t="str">
        <f t="shared" si="154"/>
        <v/>
      </c>
      <c r="BV418" s="365">
        <f t="shared" ca="1" si="154"/>
        <v>-35325.331158498739</v>
      </c>
      <c r="BW418" s="365">
        <f t="shared" ca="1" si="154"/>
        <v>-35325.331158498739</v>
      </c>
      <c r="BX418" s="365">
        <f t="shared" ca="1" si="154"/>
        <v>-35325.331158498739</v>
      </c>
    </row>
    <row r="419" spans="27:76">
      <c r="AA419" s="360">
        <f t="shared" si="140"/>
        <v>2049</v>
      </c>
      <c r="AB419" s="367">
        <f ca="1">SUMPRODUCT(FuelSavings!B44:W44,FuelSavings!$B$47:$W$47)/1000000</f>
        <v>22.486674447173197</v>
      </c>
      <c r="AC419" s="367">
        <f ca="1">SUMPRODUCT(OPEX!B44:W44,OPEX!$B$47:$W$47)/1000000</f>
        <v>8.1574809150465377</v>
      </c>
      <c r="AD419" s="367">
        <f ca="1">SUMPRODUCT(GHGComplianceSavings!B44:W44,GHGComplianceSavings!$B$47:$W$47)/1000000</f>
        <v>21.943199659029872</v>
      </c>
      <c r="AE419" s="367">
        <f t="shared" ca="1" si="135"/>
        <v>-1.0265821066003566</v>
      </c>
      <c r="AF419" s="367">
        <f ca="1">SUMPRODUCT(AvoidedCAPEX!B44:W44,AvoidedCAPEX!$B$47:$W$47)/1000000</f>
        <v>25.224484237428761</v>
      </c>
      <c r="AG419" s="367">
        <f t="shared" ca="1" si="141"/>
        <v>54.842057493048138</v>
      </c>
      <c r="AH419" s="367">
        <f t="shared" ca="1" si="142"/>
        <v>76.785257152078003</v>
      </c>
      <c r="AI419" s="365">
        <f ca="1">SUMPRODUCT(CAPEX!B44:W44,CAPEX!$B$47:$W$47)</f>
        <v>-440231.70731706114</v>
      </c>
      <c r="AJ419" s="365" t="str">
        <f t="shared" si="151"/>
        <v/>
      </c>
      <c r="AK419" s="365" t="str">
        <f t="shared" si="151"/>
        <v/>
      </c>
      <c r="AL419" s="365" t="str">
        <f t="shared" si="151"/>
        <v/>
      </c>
      <c r="AM419" s="365" t="str">
        <f t="shared" si="151"/>
        <v/>
      </c>
      <c r="AN419" s="365" t="str">
        <f t="shared" si="151"/>
        <v/>
      </c>
      <c r="AO419" s="365" t="str">
        <f t="shared" si="151"/>
        <v/>
      </c>
      <c r="AP419" s="365" t="str">
        <f t="shared" si="151"/>
        <v/>
      </c>
      <c r="AQ419" s="365" t="str">
        <f t="shared" si="151"/>
        <v/>
      </c>
      <c r="AR419" s="365" t="str">
        <f t="shared" si="151"/>
        <v/>
      </c>
      <c r="AS419" s="365" t="str">
        <f t="shared" si="151"/>
        <v/>
      </c>
      <c r="AT419" s="365" t="str">
        <f t="shared" si="152"/>
        <v/>
      </c>
      <c r="AU419" s="365" t="str">
        <f t="shared" si="152"/>
        <v/>
      </c>
      <c r="AV419" s="365" t="str">
        <f t="shared" si="152"/>
        <v/>
      </c>
      <c r="AW419" s="365" t="str">
        <f t="shared" si="152"/>
        <v/>
      </c>
      <c r="AX419" s="365" t="str">
        <f t="shared" si="152"/>
        <v/>
      </c>
      <c r="AY419" s="365" t="str">
        <f t="shared" si="152"/>
        <v/>
      </c>
      <c r="AZ419" s="365" t="str">
        <f t="shared" si="152"/>
        <v/>
      </c>
      <c r="BA419" s="365" t="str">
        <f t="shared" si="152"/>
        <v/>
      </c>
      <c r="BB419" s="365" t="str">
        <f t="shared" si="152"/>
        <v/>
      </c>
      <c r="BC419" s="365" t="str">
        <f t="shared" si="152"/>
        <v/>
      </c>
      <c r="BD419" s="365" t="str">
        <f t="shared" si="153"/>
        <v/>
      </c>
      <c r="BE419" s="365" t="str">
        <f t="shared" si="153"/>
        <v/>
      </c>
      <c r="BF419" s="365" t="str">
        <f t="shared" si="153"/>
        <v/>
      </c>
      <c r="BG419" s="365" t="str">
        <f t="shared" si="153"/>
        <v/>
      </c>
      <c r="BH419" s="365" t="str">
        <f t="shared" si="153"/>
        <v/>
      </c>
      <c r="BI419" s="365" t="str">
        <f t="shared" si="153"/>
        <v/>
      </c>
      <c r="BJ419" s="365" t="str">
        <f t="shared" si="153"/>
        <v/>
      </c>
      <c r="BK419" s="365" t="str">
        <f t="shared" si="153"/>
        <v/>
      </c>
      <c r="BL419" s="365" t="str">
        <f t="shared" si="153"/>
        <v/>
      </c>
      <c r="BM419" s="365" t="str">
        <f t="shared" si="153"/>
        <v/>
      </c>
      <c r="BN419" s="365" t="str">
        <f t="shared" si="154"/>
        <v/>
      </c>
      <c r="BO419" s="365" t="str">
        <f t="shared" si="154"/>
        <v/>
      </c>
      <c r="BP419" s="365" t="str">
        <f t="shared" si="154"/>
        <v/>
      </c>
      <c r="BQ419" s="365" t="str">
        <f t="shared" si="154"/>
        <v/>
      </c>
      <c r="BR419" s="365" t="str">
        <f t="shared" si="154"/>
        <v/>
      </c>
      <c r="BS419" s="365" t="str">
        <f t="shared" si="154"/>
        <v/>
      </c>
      <c r="BT419" s="365" t="str">
        <f t="shared" si="154"/>
        <v/>
      </c>
      <c r="BU419" s="365" t="str">
        <f t="shared" si="154"/>
        <v/>
      </c>
      <c r="BV419" s="365" t="str">
        <f t="shared" si="154"/>
        <v/>
      </c>
      <c r="BW419" s="365">
        <f t="shared" ca="1" si="154"/>
        <v>-35325.331158496185</v>
      </c>
      <c r="BX419" s="365">
        <f t="shared" ca="1" si="154"/>
        <v>-35325.331158496185</v>
      </c>
    </row>
    <row r="420" spans="27:76">
      <c r="AA420" s="360">
        <f t="shared" si="140"/>
        <v>2050</v>
      </c>
      <c r="AB420" s="367">
        <f ca="1">SUMPRODUCT(FuelSavings!B45:W45,FuelSavings!$B$47:$W$47)/1000000</f>
        <v>22.930954497475188</v>
      </c>
      <c r="AC420" s="367">
        <f ca="1">SUMPRODUCT(OPEX!B45:W45,OPEX!$B$47:$W$47)/1000000</f>
        <v>8.3622737411876908</v>
      </c>
      <c r="AD420" s="367">
        <f ca="1">SUMPRODUCT(GHGComplianceSavings!B45:W45,GHGComplianceSavings!$B$47:$W$47)/1000000</f>
        <v>23.526931166744671</v>
      </c>
      <c r="AE420" s="367">
        <f t="shared" ca="1" si="135"/>
        <v>-0.95983134753473376</v>
      </c>
      <c r="AF420" s="367">
        <f ca="1">SUMPRODUCT(AvoidedCAPEX!B45:W45,AvoidedCAPEX!$B$47:$W$47)/1000000</f>
        <v>25.224484237428442</v>
      </c>
      <c r="AG420" s="367">
        <f t="shared" ca="1" si="141"/>
        <v>55.557881128556588</v>
      </c>
      <c r="AH420" s="367">
        <f t="shared" ca="1" si="142"/>
        <v>79.084812295301262</v>
      </c>
      <c r="AI420" s="365">
        <f ca="1">SUMPRODUCT(CAPEX!B45:W45,CAPEX!$B$47:$W$47)</f>
        <v>-440231.70731707709</v>
      </c>
      <c r="AJ420" s="365" t="str">
        <f t="shared" si="151"/>
        <v/>
      </c>
      <c r="AK420" s="365" t="str">
        <f t="shared" si="151"/>
        <v/>
      </c>
      <c r="AL420" s="365" t="str">
        <f t="shared" si="151"/>
        <v/>
      </c>
      <c r="AM420" s="365" t="str">
        <f t="shared" si="151"/>
        <v/>
      </c>
      <c r="AN420" s="365" t="str">
        <f t="shared" si="151"/>
        <v/>
      </c>
      <c r="AO420" s="365" t="str">
        <f t="shared" si="151"/>
        <v/>
      </c>
      <c r="AP420" s="365" t="str">
        <f t="shared" si="151"/>
        <v/>
      </c>
      <c r="AQ420" s="365" t="str">
        <f t="shared" si="151"/>
        <v/>
      </c>
      <c r="AR420" s="365" t="str">
        <f t="shared" si="151"/>
        <v/>
      </c>
      <c r="AS420" s="365" t="str">
        <f t="shared" si="151"/>
        <v/>
      </c>
      <c r="AT420" s="365" t="str">
        <f t="shared" si="152"/>
        <v/>
      </c>
      <c r="AU420" s="365" t="str">
        <f t="shared" si="152"/>
        <v/>
      </c>
      <c r="AV420" s="365" t="str">
        <f t="shared" si="152"/>
        <v/>
      </c>
      <c r="AW420" s="365" t="str">
        <f t="shared" si="152"/>
        <v/>
      </c>
      <c r="AX420" s="365" t="str">
        <f t="shared" si="152"/>
        <v/>
      </c>
      <c r="AY420" s="365" t="str">
        <f t="shared" si="152"/>
        <v/>
      </c>
      <c r="AZ420" s="365" t="str">
        <f t="shared" si="152"/>
        <v/>
      </c>
      <c r="BA420" s="365" t="str">
        <f t="shared" si="152"/>
        <v/>
      </c>
      <c r="BB420" s="365" t="str">
        <f t="shared" si="152"/>
        <v/>
      </c>
      <c r="BC420" s="365" t="str">
        <f t="shared" si="152"/>
        <v/>
      </c>
      <c r="BD420" s="365" t="str">
        <f t="shared" si="153"/>
        <v/>
      </c>
      <c r="BE420" s="365" t="str">
        <f t="shared" si="153"/>
        <v/>
      </c>
      <c r="BF420" s="365" t="str">
        <f t="shared" si="153"/>
        <v/>
      </c>
      <c r="BG420" s="365" t="str">
        <f t="shared" si="153"/>
        <v/>
      </c>
      <c r="BH420" s="365" t="str">
        <f t="shared" si="153"/>
        <v/>
      </c>
      <c r="BI420" s="365" t="str">
        <f t="shared" si="153"/>
        <v/>
      </c>
      <c r="BJ420" s="365" t="str">
        <f t="shared" si="153"/>
        <v/>
      </c>
      <c r="BK420" s="365" t="str">
        <f t="shared" si="153"/>
        <v/>
      </c>
      <c r="BL420" s="365" t="str">
        <f t="shared" si="153"/>
        <v/>
      </c>
      <c r="BM420" s="365" t="str">
        <f t="shared" si="153"/>
        <v/>
      </c>
      <c r="BN420" s="365" t="str">
        <f t="shared" si="154"/>
        <v/>
      </c>
      <c r="BO420" s="365" t="str">
        <f t="shared" si="154"/>
        <v/>
      </c>
      <c r="BP420" s="365" t="str">
        <f t="shared" si="154"/>
        <v/>
      </c>
      <c r="BQ420" s="365" t="str">
        <f t="shared" si="154"/>
        <v/>
      </c>
      <c r="BR420" s="365" t="str">
        <f t="shared" si="154"/>
        <v/>
      </c>
      <c r="BS420" s="365" t="str">
        <f t="shared" si="154"/>
        <v/>
      </c>
      <c r="BT420" s="365" t="str">
        <f t="shared" si="154"/>
        <v/>
      </c>
      <c r="BU420" s="365" t="str">
        <f t="shared" si="154"/>
        <v/>
      </c>
      <c r="BV420" s="365" t="str">
        <f t="shared" si="154"/>
        <v/>
      </c>
      <c r="BW420" s="365" t="str">
        <f t="shared" si="154"/>
        <v/>
      </c>
      <c r="BX420" s="365">
        <f t="shared" ca="1" si="154"/>
        <v>-35325.331158497465</v>
      </c>
    </row>
  </sheetData>
  <mergeCells count="8">
    <mergeCell ref="AD334:AD336"/>
    <mergeCell ref="AD5:AD7"/>
    <mergeCell ref="AD52:AD54"/>
    <mergeCell ref="AD99:AD101"/>
    <mergeCell ref="AD193:AD195"/>
    <mergeCell ref="AD240:AD242"/>
    <mergeCell ref="AD287:AD289"/>
    <mergeCell ref="AD146:AD148"/>
  </mergeCells>
  <dataValidations count="2">
    <dataValidation type="list" allowBlank="1" showInputMessage="1" showErrorMessage="1" sqref="A3:A35">
      <formula1>ListofOptions</formula1>
    </dataValidation>
    <dataValidation type="list" allowBlank="1" showInputMessage="1" showErrorMessage="1" sqref="B1">
      <formula1>"Yes,No"</formula1>
    </dataValidation>
  </dataValidations>
  <pageMargins left="0.7" right="0.7" top="0.75" bottom="0.75" header="0.3" footer="0.3"/>
  <drawing r:id="rId1"/>
  <legacyDrawing r:id="rId2"/>
</worksheet>
</file>

<file path=xl/worksheets/sheet77.xml><?xml version="1.0" encoding="utf-8"?>
<worksheet xmlns="http://schemas.openxmlformats.org/spreadsheetml/2006/main" xmlns:r="http://schemas.openxmlformats.org/officeDocument/2006/relationships">
  <sheetPr codeName="Sheet57"/>
  <dimension ref="A1:AQ19"/>
  <sheetViews>
    <sheetView zoomScale="130" zoomScaleNormal="130" workbookViewId="0"/>
  </sheetViews>
  <sheetFormatPr defaultRowHeight="15"/>
  <cols>
    <col min="1" max="1" width="31.140625" bestFit="1" customWidth="1"/>
    <col min="2" max="2" width="15.7109375" style="967" bestFit="1" customWidth="1"/>
    <col min="3" max="3" width="11.85546875" style="967" bestFit="1" customWidth="1"/>
    <col min="4" max="43" width="10.5703125" style="967" bestFit="1" customWidth="1"/>
  </cols>
  <sheetData>
    <row r="1" spans="1:43" ht="31.5" customHeight="1"/>
    <row r="2" spans="1:43">
      <c r="B2" s="967" t="s">
        <v>2952</v>
      </c>
      <c r="C2" s="817">
        <v>2010</v>
      </c>
      <c r="D2" s="817">
        <f>C2+1</f>
        <v>2011</v>
      </c>
      <c r="E2" s="817">
        <f t="shared" ref="E2:R2" si="0">D2+1</f>
        <v>2012</v>
      </c>
      <c r="F2" s="817">
        <f t="shared" si="0"/>
        <v>2013</v>
      </c>
      <c r="G2" s="817">
        <f t="shared" si="0"/>
        <v>2014</v>
      </c>
      <c r="H2" s="817">
        <f t="shared" si="0"/>
        <v>2015</v>
      </c>
      <c r="I2" s="817">
        <f t="shared" si="0"/>
        <v>2016</v>
      </c>
      <c r="J2" s="817">
        <f t="shared" si="0"/>
        <v>2017</v>
      </c>
      <c r="K2" s="817">
        <f t="shared" si="0"/>
        <v>2018</v>
      </c>
      <c r="L2" s="817">
        <f t="shared" si="0"/>
        <v>2019</v>
      </c>
      <c r="M2" s="817">
        <f t="shared" si="0"/>
        <v>2020</v>
      </c>
      <c r="N2" s="817">
        <f t="shared" si="0"/>
        <v>2021</v>
      </c>
      <c r="O2" s="817">
        <f t="shared" si="0"/>
        <v>2022</v>
      </c>
      <c r="P2" s="817">
        <f t="shared" si="0"/>
        <v>2023</v>
      </c>
      <c r="Q2" s="817">
        <f t="shared" si="0"/>
        <v>2024</v>
      </c>
      <c r="R2" s="817">
        <f t="shared" si="0"/>
        <v>2025</v>
      </c>
      <c r="S2" s="817">
        <f t="shared" ref="S2:AQ2" si="1">R2+1</f>
        <v>2026</v>
      </c>
      <c r="T2" s="817">
        <f t="shared" si="1"/>
        <v>2027</v>
      </c>
      <c r="U2" s="817">
        <f t="shared" si="1"/>
        <v>2028</v>
      </c>
      <c r="V2" s="817">
        <f t="shared" si="1"/>
        <v>2029</v>
      </c>
      <c r="W2" s="817">
        <f t="shared" si="1"/>
        <v>2030</v>
      </c>
      <c r="X2" s="817">
        <f t="shared" si="1"/>
        <v>2031</v>
      </c>
      <c r="Y2" s="817">
        <f t="shared" si="1"/>
        <v>2032</v>
      </c>
      <c r="Z2" s="817">
        <f t="shared" si="1"/>
        <v>2033</v>
      </c>
      <c r="AA2" s="817">
        <f t="shared" si="1"/>
        <v>2034</v>
      </c>
      <c r="AB2" s="817">
        <f t="shared" si="1"/>
        <v>2035</v>
      </c>
      <c r="AC2" s="817">
        <f t="shared" si="1"/>
        <v>2036</v>
      </c>
      <c r="AD2" s="817">
        <f t="shared" si="1"/>
        <v>2037</v>
      </c>
      <c r="AE2" s="817">
        <f t="shared" si="1"/>
        <v>2038</v>
      </c>
      <c r="AF2" s="817">
        <f t="shared" si="1"/>
        <v>2039</v>
      </c>
      <c r="AG2" s="817">
        <f t="shared" si="1"/>
        <v>2040</v>
      </c>
      <c r="AH2" s="817">
        <f t="shared" si="1"/>
        <v>2041</v>
      </c>
      <c r="AI2" s="817">
        <f t="shared" si="1"/>
        <v>2042</v>
      </c>
      <c r="AJ2" s="817">
        <f t="shared" si="1"/>
        <v>2043</v>
      </c>
      <c r="AK2" s="817">
        <f t="shared" si="1"/>
        <v>2044</v>
      </c>
      <c r="AL2" s="817">
        <f t="shared" si="1"/>
        <v>2045</v>
      </c>
      <c r="AM2" s="817">
        <f t="shared" si="1"/>
        <v>2046</v>
      </c>
      <c r="AN2" s="817">
        <f t="shared" si="1"/>
        <v>2047</v>
      </c>
      <c r="AO2" s="817">
        <f t="shared" si="1"/>
        <v>2048</v>
      </c>
      <c r="AP2" s="817">
        <f t="shared" si="1"/>
        <v>2049</v>
      </c>
      <c r="AQ2" s="817">
        <f t="shared" si="1"/>
        <v>2050</v>
      </c>
    </row>
    <row r="3" spans="1:43">
      <c r="A3" s="816" t="s">
        <v>1524</v>
      </c>
      <c r="B3" s="1389" t="s">
        <v>347</v>
      </c>
      <c r="C3" s="1236"/>
      <c r="D3" s="1236"/>
      <c r="E3" s="1236">
        <v>-600000</v>
      </c>
      <c r="F3" s="1236"/>
      <c r="G3" s="1236"/>
      <c r="H3" s="1236"/>
      <c r="I3" s="1236"/>
      <c r="J3" s="1236"/>
      <c r="K3" s="1236"/>
      <c r="L3" s="1236"/>
      <c r="M3" s="1236"/>
      <c r="N3" s="1236"/>
      <c r="O3" s="1236"/>
      <c r="P3" s="1236"/>
      <c r="Q3" s="1236"/>
      <c r="R3" s="1236"/>
      <c r="S3" s="1236"/>
      <c r="T3" s="1236"/>
      <c r="U3" s="1236"/>
      <c r="V3" s="1236"/>
      <c r="W3" s="1236"/>
      <c r="X3" s="1236"/>
      <c r="Y3" s="1236"/>
      <c r="Z3" s="1236"/>
      <c r="AA3" s="1236"/>
      <c r="AB3" s="1236"/>
      <c r="AC3" s="1236"/>
      <c r="AD3" s="1236"/>
      <c r="AE3" s="1236"/>
      <c r="AF3" s="1236"/>
      <c r="AG3" s="1236"/>
      <c r="AH3" s="1236"/>
      <c r="AI3" s="1236"/>
      <c r="AJ3" s="1236"/>
      <c r="AK3" s="1236"/>
      <c r="AL3" s="1236"/>
      <c r="AM3" s="1236"/>
      <c r="AN3" s="1236"/>
      <c r="AO3" s="1236"/>
      <c r="AP3" s="1236"/>
      <c r="AQ3" s="1236"/>
    </row>
    <row r="4" spans="1:43">
      <c r="A4" s="816" t="s">
        <v>1490</v>
      </c>
      <c r="B4" s="1389" t="s">
        <v>347</v>
      </c>
      <c r="C4" s="1236"/>
      <c r="D4" s="1236">
        <v>-200000</v>
      </c>
      <c r="E4" s="1236">
        <v>-315000</v>
      </c>
      <c r="F4" s="1236">
        <f>E4</f>
        <v>-315000</v>
      </c>
      <c r="G4" s="1236">
        <f t="shared" ref="G4:R4" si="2">F4</f>
        <v>-315000</v>
      </c>
      <c r="H4" s="1236">
        <f t="shared" si="2"/>
        <v>-315000</v>
      </c>
      <c r="I4" s="1236">
        <f t="shared" si="2"/>
        <v>-315000</v>
      </c>
      <c r="J4" s="1236">
        <f t="shared" si="2"/>
        <v>-315000</v>
      </c>
      <c r="K4" s="1236">
        <f t="shared" si="2"/>
        <v>-315000</v>
      </c>
      <c r="L4" s="1236">
        <f t="shared" si="2"/>
        <v>-315000</v>
      </c>
      <c r="M4" s="1236">
        <f t="shared" si="2"/>
        <v>-315000</v>
      </c>
      <c r="N4" s="1236">
        <f t="shared" si="2"/>
        <v>-315000</v>
      </c>
      <c r="O4" s="1236">
        <f t="shared" si="2"/>
        <v>-315000</v>
      </c>
      <c r="P4" s="1236">
        <f t="shared" si="2"/>
        <v>-315000</v>
      </c>
      <c r="Q4" s="1236">
        <f t="shared" si="2"/>
        <v>-315000</v>
      </c>
      <c r="R4" s="1236">
        <f t="shared" si="2"/>
        <v>-315000</v>
      </c>
      <c r="S4" s="1236">
        <f t="shared" ref="S4:AQ4" si="3">R4</f>
        <v>-315000</v>
      </c>
      <c r="T4" s="1236">
        <f t="shared" si="3"/>
        <v>-315000</v>
      </c>
      <c r="U4" s="1236">
        <f t="shared" si="3"/>
        <v>-315000</v>
      </c>
      <c r="V4" s="1236">
        <f t="shared" si="3"/>
        <v>-315000</v>
      </c>
      <c r="W4" s="1236">
        <f t="shared" si="3"/>
        <v>-315000</v>
      </c>
      <c r="X4" s="1236">
        <f t="shared" si="3"/>
        <v>-315000</v>
      </c>
      <c r="Y4" s="1236">
        <f t="shared" si="3"/>
        <v>-315000</v>
      </c>
      <c r="Z4" s="1236">
        <f t="shared" si="3"/>
        <v>-315000</v>
      </c>
      <c r="AA4" s="1236">
        <f t="shared" si="3"/>
        <v>-315000</v>
      </c>
      <c r="AB4" s="1236">
        <f t="shared" si="3"/>
        <v>-315000</v>
      </c>
      <c r="AC4" s="1236">
        <f t="shared" si="3"/>
        <v>-315000</v>
      </c>
      <c r="AD4" s="1236">
        <f t="shared" si="3"/>
        <v>-315000</v>
      </c>
      <c r="AE4" s="1236">
        <f t="shared" si="3"/>
        <v>-315000</v>
      </c>
      <c r="AF4" s="1236">
        <f t="shared" si="3"/>
        <v>-315000</v>
      </c>
      <c r="AG4" s="1236">
        <f t="shared" si="3"/>
        <v>-315000</v>
      </c>
      <c r="AH4" s="1236">
        <f t="shared" si="3"/>
        <v>-315000</v>
      </c>
      <c r="AI4" s="1236">
        <f t="shared" si="3"/>
        <v>-315000</v>
      </c>
      <c r="AJ4" s="1236">
        <f t="shared" si="3"/>
        <v>-315000</v>
      </c>
      <c r="AK4" s="1236">
        <f t="shared" si="3"/>
        <v>-315000</v>
      </c>
      <c r="AL4" s="1236">
        <f t="shared" si="3"/>
        <v>-315000</v>
      </c>
      <c r="AM4" s="1236">
        <f t="shared" si="3"/>
        <v>-315000</v>
      </c>
      <c r="AN4" s="1236">
        <f t="shared" si="3"/>
        <v>-315000</v>
      </c>
      <c r="AO4" s="1236">
        <f t="shared" si="3"/>
        <v>-315000</v>
      </c>
      <c r="AP4" s="1236">
        <f t="shared" si="3"/>
        <v>-315000</v>
      </c>
      <c r="AQ4" s="1236">
        <f t="shared" si="3"/>
        <v>-315000</v>
      </c>
    </row>
    <row r="5" spans="1:43">
      <c r="A5" s="816"/>
      <c r="B5" s="1389"/>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c r="AE5" s="1236"/>
      <c r="AF5" s="1236"/>
      <c r="AG5" s="1236"/>
      <c r="AH5" s="1236"/>
      <c r="AI5" s="1236"/>
      <c r="AJ5" s="1236"/>
      <c r="AK5" s="1236"/>
      <c r="AL5" s="1236"/>
      <c r="AM5" s="1236"/>
      <c r="AN5" s="1236"/>
      <c r="AO5" s="1236"/>
      <c r="AP5" s="1236"/>
      <c r="AQ5" s="1236"/>
    </row>
    <row r="6" spans="1:43">
      <c r="A6" s="816"/>
      <c r="B6" s="1389"/>
      <c r="C6" s="1236"/>
      <c r="D6" s="1236"/>
      <c r="E6" s="1236"/>
      <c r="F6" s="1236"/>
      <c r="G6" s="1236"/>
      <c r="H6" s="1236"/>
      <c r="I6" s="1236"/>
      <c r="J6" s="1236"/>
      <c r="K6" s="1236"/>
      <c r="L6" s="1236"/>
      <c r="M6" s="1236"/>
      <c r="N6" s="1236"/>
      <c r="O6" s="1236"/>
      <c r="P6" s="1236"/>
      <c r="Q6" s="1236"/>
      <c r="R6" s="1236"/>
      <c r="S6" s="1236"/>
      <c r="T6" s="1236"/>
      <c r="U6" s="1236"/>
      <c r="V6" s="1236"/>
      <c r="W6" s="1236"/>
      <c r="X6" s="1236"/>
      <c r="Y6" s="1236"/>
      <c r="Z6" s="1236"/>
      <c r="AA6" s="1236"/>
      <c r="AB6" s="1236"/>
      <c r="AC6" s="1236"/>
      <c r="AD6" s="1236"/>
      <c r="AE6" s="1236"/>
      <c r="AF6" s="1236"/>
      <c r="AG6" s="1236"/>
      <c r="AH6" s="1236"/>
      <c r="AI6" s="1236"/>
      <c r="AJ6" s="1236"/>
      <c r="AK6" s="1236"/>
      <c r="AL6" s="1236"/>
      <c r="AM6" s="1236"/>
      <c r="AN6" s="1236"/>
      <c r="AO6" s="1236"/>
      <c r="AP6" s="1236"/>
      <c r="AQ6" s="1236"/>
    </row>
    <row r="7" spans="1:43">
      <c r="A7" s="816"/>
      <c r="B7" s="1389"/>
      <c r="C7" s="1236"/>
      <c r="D7" s="1236"/>
      <c r="E7" s="1236"/>
      <c r="F7" s="1236"/>
      <c r="G7" s="1236"/>
      <c r="H7" s="1236"/>
      <c r="I7" s="1236"/>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6"/>
      <c r="AG7" s="1236"/>
      <c r="AH7" s="1236"/>
      <c r="AI7" s="1236"/>
      <c r="AJ7" s="1236"/>
      <c r="AK7" s="1236"/>
      <c r="AL7" s="1236"/>
      <c r="AM7" s="1236"/>
      <c r="AN7" s="1236"/>
      <c r="AO7" s="1236"/>
      <c r="AP7" s="1236"/>
      <c r="AQ7" s="1236"/>
    </row>
    <row r="8" spans="1:43">
      <c r="A8" s="816"/>
      <c r="B8" s="1389"/>
      <c r="C8" s="1236"/>
      <c r="D8" s="1236"/>
      <c r="E8" s="1236"/>
      <c r="F8" s="1236"/>
      <c r="G8" s="1236"/>
      <c r="H8" s="1236"/>
      <c r="I8" s="1236"/>
      <c r="J8" s="1236"/>
      <c r="K8" s="1236"/>
      <c r="L8" s="1236"/>
      <c r="M8" s="1236"/>
      <c r="N8" s="1236"/>
      <c r="O8" s="1236"/>
      <c r="P8" s="1236"/>
      <c r="Q8" s="1236"/>
      <c r="R8" s="1236"/>
      <c r="S8" s="1236"/>
      <c r="T8" s="1236"/>
      <c r="U8" s="1236"/>
      <c r="V8" s="1236"/>
      <c r="W8" s="1236"/>
      <c r="X8" s="1236"/>
      <c r="Y8" s="1236"/>
      <c r="Z8" s="1236"/>
      <c r="AA8" s="1236"/>
      <c r="AB8" s="1236"/>
      <c r="AC8" s="1236"/>
      <c r="AD8" s="1236"/>
      <c r="AE8" s="1236"/>
      <c r="AF8" s="1236"/>
      <c r="AG8" s="1236"/>
      <c r="AH8" s="1236"/>
      <c r="AI8" s="1236"/>
      <c r="AJ8" s="1236"/>
      <c r="AK8" s="1236"/>
      <c r="AL8" s="1236"/>
      <c r="AM8" s="1236"/>
      <c r="AN8" s="1236"/>
      <c r="AO8" s="1236"/>
      <c r="AP8" s="1236"/>
      <c r="AQ8" s="1236"/>
    </row>
    <row r="9" spans="1:43">
      <c r="A9" s="816"/>
      <c r="B9" s="1389"/>
      <c r="C9" s="1236"/>
      <c r="D9" s="1236"/>
      <c r="E9" s="1236"/>
      <c r="F9" s="1236"/>
      <c r="G9" s="1236"/>
      <c r="H9" s="1236"/>
      <c r="I9" s="1236"/>
      <c r="J9" s="1236"/>
      <c r="K9" s="1236"/>
      <c r="L9" s="1236"/>
      <c r="M9" s="1236"/>
      <c r="N9" s="1236"/>
      <c r="O9" s="1236"/>
      <c r="P9" s="1236"/>
      <c r="Q9" s="1236"/>
      <c r="R9" s="1236"/>
      <c r="S9" s="1236"/>
      <c r="T9" s="1236"/>
      <c r="U9" s="1236"/>
      <c r="V9" s="1236"/>
      <c r="W9" s="1236"/>
      <c r="X9" s="1236"/>
      <c r="Y9" s="1236"/>
      <c r="Z9" s="1236"/>
      <c r="AA9" s="1236"/>
      <c r="AB9" s="1236"/>
      <c r="AC9" s="1236"/>
      <c r="AD9" s="1236"/>
      <c r="AE9" s="1236"/>
      <c r="AF9" s="1236"/>
      <c r="AG9" s="1236"/>
      <c r="AH9" s="1236"/>
      <c r="AI9" s="1236"/>
      <c r="AJ9" s="1236"/>
      <c r="AK9" s="1236"/>
      <c r="AL9" s="1236"/>
      <c r="AM9" s="1236"/>
      <c r="AN9" s="1236"/>
      <c r="AO9" s="1236"/>
      <c r="AP9" s="1236"/>
      <c r="AQ9" s="1236"/>
    </row>
    <row r="10" spans="1:43">
      <c r="A10" s="816"/>
      <c r="B10" s="1389"/>
      <c r="C10" s="1236"/>
      <c r="D10" s="1236"/>
      <c r="E10" s="1236"/>
      <c r="F10" s="1236"/>
      <c r="G10" s="1236"/>
      <c r="H10" s="1236"/>
      <c r="I10" s="1236"/>
      <c r="J10" s="1236"/>
      <c r="K10" s="1236"/>
      <c r="L10" s="1236"/>
      <c r="M10" s="1236"/>
      <c r="N10" s="1236"/>
      <c r="O10" s="1236"/>
      <c r="P10" s="1236"/>
      <c r="Q10" s="1236"/>
      <c r="R10" s="1236"/>
      <c r="S10" s="1236"/>
      <c r="T10" s="1236"/>
      <c r="U10" s="1236"/>
      <c r="V10" s="1236"/>
      <c r="W10" s="1236"/>
      <c r="X10" s="1236"/>
      <c r="Y10" s="1236"/>
      <c r="Z10" s="1236"/>
      <c r="AA10" s="1236"/>
      <c r="AB10" s="1236"/>
      <c r="AC10" s="1236"/>
      <c r="AD10" s="1236"/>
      <c r="AE10" s="1236"/>
      <c r="AF10" s="1236"/>
      <c r="AG10" s="1236"/>
      <c r="AH10" s="1236"/>
      <c r="AI10" s="1236"/>
      <c r="AJ10" s="1236"/>
      <c r="AK10" s="1236"/>
      <c r="AL10" s="1236"/>
      <c r="AM10" s="1236"/>
      <c r="AN10" s="1236"/>
      <c r="AO10" s="1236"/>
      <c r="AP10" s="1236"/>
      <c r="AQ10" s="1236"/>
    </row>
    <row r="11" spans="1:43">
      <c r="A11" s="816"/>
      <c r="B11" s="1389"/>
      <c r="C11" s="1236"/>
      <c r="D11" s="1236"/>
      <c r="E11" s="1236"/>
      <c r="F11" s="1236"/>
      <c r="G11" s="1236"/>
      <c r="H11" s="1236"/>
      <c r="I11" s="1236"/>
      <c r="J11" s="1236"/>
      <c r="K11" s="1236"/>
      <c r="L11" s="1236"/>
      <c r="M11" s="1236"/>
      <c r="N11" s="1236"/>
      <c r="O11" s="1236"/>
      <c r="P11" s="1236"/>
      <c r="Q11" s="1236"/>
      <c r="R11" s="1236"/>
      <c r="S11" s="1236"/>
      <c r="T11" s="1236"/>
      <c r="U11" s="1236"/>
      <c r="V11" s="1236"/>
      <c r="W11" s="1236"/>
      <c r="X11" s="1236"/>
      <c r="Y11" s="1236"/>
      <c r="Z11" s="1236"/>
      <c r="AA11" s="1236"/>
      <c r="AB11" s="1236"/>
      <c r="AC11" s="1236"/>
      <c r="AD11" s="1236"/>
      <c r="AE11" s="1236"/>
      <c r="AF11" s="1236"/>
      <c r="AG11" s="1236"/>
      <c r="AH11" s="1236"/>
      <c r="AI11" s="1236"/>
      <c r="AJ11" s="1236"/>
      <c r="AK11" s="1236"/>
      <c r="AL11" s="1236"/>
      <c r="AM11" s="1236"/>
      <c r="AN11" s="1236"/>
      <c r="AO11" s="1236"/>
      <c r="AP11" s="1236"/>
      <c r="AQ11" s="1236"/>
    </row>
    <row r="12" spans="1:43">
      <c r="A12" s="816"/>
      <c r="B12" s="1389"/>
      <c r="C12" s="1236"/>
      <c r="D12" s="1236"/>
      <c r="E12" s="1236"/>
      <c r="F12" s="1236"/>
      <c r="G12" s="1236"/>
      <c r="H12" s="1236"/>
      <c r="I12" s="1236"/>
      <c r="J12" s="1236"/>
      <c r="K12" s="1236"/>
      <c r="L12" s="1236"/>
      <c r="M12" s="1236"/>
      <c r="N12" s="1236"/>
      <c r="O12" s="1236"/>
      <c r="P12" s="1236"/>
      <c r="Q12" s="1236"/>
      <c r="R12" s="1236"/>
      <c r="S12" s="1236"/>
      <c r="T12" s="1236"/>
      <c r="U12" s="1236"/>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row>
    <row r="13" spans="1:43">
      <c r="A13" s="816"/>
      <c r="B13" s="1389"/>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row>
    <row r="14" spans="1:43">
      <c r="A14" s="816"/>
      <c r="B14" s="1389"/>
      <c r="C14" s="1236"/>
      <c r="D14" s="1236"/>
      <c r="E14" s="1236"/>
      <c r="F14" s="1236"/>
      <c r="G14" s="1236"/>
      <c r="H14" s="1236"/>
      <c r="I14" s="1236"/>
      <c r="J14" s="1236"/>
      <c r="K14" s="1236"/>
      <c r="L14" s="1236"/>
      <c r="M14" s="1236"/>
      <c r="N14" s="1236"/>
      <c r="O14" s="1236"/>
      <c r="P14" s="1236"/>
      <c r="Q14" s="1236"/>
      <c r="R14" s="1236"/>
      <c r="S14" s="1236"/>
      <c r="T14" s="1236"/>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row>
    <row r="15" spans="1:43">
      <c r="A15" s="816"/>
      <c r="B15" s="1389"/>
      <c r="C15" s="817"/>
      <c r="D15" s="817"/>
      <c r="E15" s="817"/>
      <c r="F15" s="817"/>
      <c r="G15" s="817"/>
      <c r="H15" s="817"/>
      <c r="I15" s="817"/>
      <c r="J15" s="817"/>
      <c r="K15" s="817"/>
      <c r="L15" s="817"/>
      <c r="M15" s="817"/>
      <c r="N15" s="817"/>
      <c r="O15" s="817"/>
      <c r="P15" s="817"/>
      <c r="Q15" s="817"/>
      <c r="R15" s="817"/>
      <c r="S15" s="817"/>
      <c r="T15" s="817"/>
      <c r="U15" s="817"/>
      <c r="V15" s="817"/>
      <c r="W15" s="817"/>
      <c r="X15" s="817"/>
      <c r="Y15" s="817"/>
      <c r="Z15" s="817"/>
      <c r="AA15" s="817"/>
      <c r="AB15" s="817"/>
      <c r="AC15" s="817"/>
      <c r="AD15" s="817"/>
      <c r="AE15" s="817"/>
      <c r="AF15" s="817"/>
      <c r="AG15" s="817"/>
      <c r="AH15" s="817"/>
      <c r="AI15" s="817"/>
      <c r="AJ15" s="817"/>
      <c r="AK15" s="817"/>
      <c r="AL15" s="817"/>
      <c r="AM15" s="817"/>
      <c r="AN15" s="817"/>
      <c r="AO15" s="817"/>
      <c r="AP15" s="817"/>
      <c r="AQ15" s="817"/>
    </row>
    <row r="16" spans="1:43">
      <c r="A16" s="816"/>
      <c r="B16" s="1389"/>
      <c r="C16" s="817"/>
      <c r="D16" s="817"/>
      <c r="E16" s="817"/>
      <c r="F16" s="817"/>
      <c r="G16" s="817"/>
      <c r="H16" s="817"/>
      <c r="I16" s="817"/>
      <c r="J16" s="817"/>
      <c r="K16" s="817"/>
      <c r="L16" s="817"/>
      <c r="M16" s="817"/>
      <c r="N16" s="817"/>
      <c r="O16" s="817"/>
      <c r="P16" s="817"/>
      <c r="Q16" s="817"/>
      <c r="R16" s="817"/>
      <c r="S16" s="817"/>
      <c r="T16" s="817"/>
      <c r="U16" s="817"/>
      <c r="V16" s="817"/>
      <c r="W16" s="817"/>
      <c r="X16" s="817"/>
      <c r="Y16" s="817"/>
      <c r="Z16" s="817"/>
      <c r="AA16" s="817"/>
      <c r="AB16" s="817"/>
      <c r="AC16" s="817"/>
      <c r="AD16" s="817"/>
      <c r="AE16" s="817"/>
      <c r="AF16" s="817"/>
      <c r="AG16" s="817"/>
      <c r="AH16" s="817"/>
      <c r="AI16" s="817"/>
      <c r="AJ16" s="817"/>
      <c r="AK16" s="817"/>
      <c r="AL16" s="817"/>
      <c r="AM16" s="817"/>
      <c r="AN16" s="817"/>
      <c r="AO16" s="817"/>
      <c r="AP16" s="817"/>
      <c r="AQ16" s="817"/>
    </row>
    <row r="17" spans="1:43">
      <c r="A17" s="816"/>
      <c r="B17" s="1389"/>
      <c r="C17" s="817"/>
      <c r="D17" s="817"/>
      <c r="E17" s="817"/>
      <c r="F17" s="817"/>
      <c r="G17" s="817"/>
      <c r="H17" s="817"/>
      <c r="I17" s="817"/>
      <c r="J17" s="817"/>
      <c r="K17" s="817"/>
      <c r="L17" s="817"/>
      <c r="M17" s="817"/>
      <c r="N17" s="817"/>
      <c r="O17" s="817"/>
      <c r="P17" s="817"/>
      <c r="Q17" s="817"/>
      <c r="R17" s="817"/>
      <c r="S17" s="817"/>
      <c r="T17" s="817"/>
      <c r="U17" s="817"/>
      <c r="V17" s="817"/>
      <c r="W17" s="817"/>
      <c r="X17" s="817"/>
      <c r="Y17" s="817"/>
      <c r="Z17" s="817"/>
      <c r="AA17" s="817"/>
      <c r="AB17" s="817"/>
      <c r="AC17" s="817"/>
      <c r="AD17" s="817"/>
      <c r="AE17" s="817"/>
      <c r="AF17" s="817"/>
      <c r="AG17" s="817"/>
      <c r="AH17" s="817"/>
      <c r="AI17" s="817"/>
      <c r="AJ17" s="817"/>
      <c r="AK17" s="817"/>
      <c r="AL17" s="817"/>
      <c r="AM17" s="817"/>
      <c r="AN17" s="817"/>
      <c r="AO17" s="817"/>
      <c r="AP17" s="817"/>
      <c r="AQ17" s="817"/>
    </row>
    <row r="18" spans="1:43">
      <c r="A18" s="816"/>
      <c r="B18" s="1389"/>
      <c r="C18" s="817"/>
      <c r="D18" s="817"/>
      <c r="E18" s="817"/>
      <c r="F18" s="817"/>
      <c r="G18" s="817"/>
      <c r="H18" s="817"/>
      <c r="I18" s="817"/>
      <c r="J18" s="817"/>
      <c r="K18" s="817"/>
      <c r="L18" s="817"/>
      <c r="M18" s="817"/>
      <c r="N18" s="817"/>
      <c r="O18" s="817"/>
      <c r="P18" s="817"/>
      <c r="Q18" s="817"/>
      <c r="R18" s="817"/>
      <c r="S18" s="817"/>
      <c r="T18" s="817"/>
      <c r="U18" s="817"/>
      <c r="V18" s="817"/>
      <c r="W18" s="817"/>
      <c r="X18" s="817"/>
      <c r="Y18" s="817"/>
      <c r="Z18" s="817"/>
      <c r="AA18" s="817"/>
      <c r="AB18" s="817"/>
      <c r="AC18" s="817"/>
      <c r="AD18" s="817"/>
      <c r="AE18" s="817"/>
      <c r="AF18" s="817"/>
      <c r="AG18" s="817"/>
      <c r="AH18" s="817"/>
      <c r="AI18" s="817"/>
      <c r="AJ18" s="817"/>
      <c r="AK18" s="817"/>
      <c r="AL18" s="817"/>
      <c r="AM18" s="817"/>
      <c r="AN18" s="817"/>
      <c r="AO18" s="817"/>
      <c r="AP18" s="817"/>
      <c r="AQ18" s="817"/>
    </row>
    <row r="19" spans="1:43">
      <c r="A19" s="816"/>
      <c r="B19" s="1389"/>
      <c r="C19" s="817"/>
      <c r="D19" s="817"/>
      <c r="E19" s="817"/>
      <c r="F19" s="817"/>
      <c r="G19" s="817"/>
      <c r="H19" s="817"/>
      <c r="I19" s="817"/>
      <c r="J19" s="817"/>
      <c r="K19" s="817"/>
      <c r="L19" s="817"/>
      <c r="M19" s="817"/>
      <c r="N19" s="817"/>
      <c r="O19" s="817"/>
      <c r="P19" s="817"/>
      <c r="Q19" s="817"/>
      <c r="R19" s="817"/>
      <c r="S19" s="817"/>
      <c r="T19" s="817"/>
      <c r="U19" s="817"/>
      <c r="V19" s="817"/>
      <c r="W19" s="817"/>
      <c r="X19" s="817"/>
      <c r="Y19" s="817"/>
      <c r="Z19" s="817"/>
      <c r="AA19" s="817"/>
      <c r="AB19" s="817"/>
      <c r="AC19" s="817"/>
      <c r="AD19" s="817"/>
      <c r="AE19" s="817"/>
      <c r="AF19" s="817"/>
      <c r="AG19" s="817"/>
      <c r="AH19" s="817"/>
      <c r="AI19" s="817"/>
      <c r="AJ19" s="817"/>
      <c r="AK19" s="817"/>
      <c r="AL19" s="817"/>
      <c r="AM19" s="817"/>
      <c r="AN19" s="817"/>
      <c r="AO19" s="817"/>
      <c r="AP19" s="817"/>
      <c r="AQ19" s="817"/>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sheetPr codeName="Sheet60"/>
  <dimension ref="A4:Q6"/>
  <sheetViews>
    <sheetView workbookViewId="0">
      <selection activeCell="A4" sqref="A4:Q6"/>
    </sheetView>
  </sheetViews>
  <sheetFormatPr defaultRowHeight="15"/>
  <sheetData>
    <row r="4" spans="1:17">
      <c r="A4" t="s">
        <v>956</v>
      </c>
      <c r="B4" t="s">
        <v>954</v>
      </c>
      <c r="C4" t="s">
        <v>788</v>
      </c>
      <c r="D4" t="s">
        <v>789</v>
      </c>
      <c r="E4" t="s">
        <v>790</v>
      </c>
      <c r="F4" t="s">
        <v>835</v>
      </c>
      <c r="G4" t="s">
        <v>952</v>
      </c>
      <c r="H4" t="s">
        <v>837</v>
      </c>
      <c r="I4" t="s">
        <v>1365</v>
      </c>
      <c r="J4" t="s">
        <v>964</v>
      </c>
      <c r="K4" t="s">
        <v>1503</v>
      </c>
      <c r="L4" t="s">
        <v>962</v>
      </c>
      <c r="M4" t="s">
        <v>967</v>
      </c>
      <c r="N4" t="s">
        <v>968</v>
      </c>
      <c r="O4" t="s">
        <v>829</v>
      </c>
      <c r="P4" t="s">
        <v>850</v>
      </c>
      <c r="Q4" t="s">
        <v>958</v>
      </c>
    </row>
    <row r="5" spans="1:17">
      <c r="A5" t="s">
        <v>1197</v>
      </c>
      <c r="B5" t="s">
        <v>1197</v>
      </c>
      <c r="C5" t="s">
        <v>1197</v>
      </c>
      <c r="D5" t="s">
        <v>1197</v>
      </c>
      <c r="E5" t="s">
        <v>1197</v>
      </c>
      <c r="F5" t="s">
        <v>1197</v>
      </c>
      <c r="G5" t="s">
        <v>1197</v>
      </c>
      <c r="H5" t="s">
        <v>1197</v>
      </c>
      <c r="I5" t="s">
        <v>1197</v>
      </c>
      <c r="J5" t="s">
        <v>1197</v>
      </c>
      <c r="K5" t="s">
        <v>1197</v>
      </c>
      <c r="L5" t="s">
        <v>1197</v>
      </c>
      <c r="M5" t="s">
        <v>1197</v>
      </c>
      <c r="N5" t="s">
        <v>1197</v>
      </c>
      <c r="O5" t="s">
        <v>1197</v>
      </c>
      <c r="P5" t="s">
        <v>1197</v>
      </c>
      <c r="Q5" t="s">
        <v>1197</v>
      </c>
    </row>
    <row r="6" spans="1:17">
      <c r="A6" s="312">
        <v>26877901.758947335</v>
      </c>
      <c r="B6" s="312">
        <v>12739953.099141294</v>
      </c>
      <c r="C6" s="312">
        <v>7941603.621026027</v>
      </c>
      <c r="D6" s="312">
        <v>6781203.7732661581</v>
      </c>
      <c r="E6" s="312">
        <v>1176257.0944922788</v>
      </c>
      <c r="F6" s="312">
        <v>5296674.7378902761</v>
      </c>
      <c r="G6" s="312">
        <v>9910631.3744825535</v>
      </c>
      <c r="H6" s="312">
        <v>0</v>
      </c>
      <c r="I6" s="312">
        <v>236953.76386988963</v>
      </c>
      <c r="J6" s="312">
        <v>747925.0966664661</v>
      </c>
      <c r="K6" s="312">
        <v>8247322.8045139993</v>
      </c>
      <c r="L6" s="312">
        <v>21754307.609112911</v>
      </c>
      <c r="M6" s="312">
        <v>0</v>
      </c>
      <c r="N6" s="312">
        <v>0</v>
      </c>
      <c r="O6" s="312">
        <v>-811465.57173053804</v>
      </c>
      <c r="P6" s="312">
        <v>0</v>
      </c>
      <c r="Q6" s="312">
        <v>103960345.70303312</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Sheet66">
    <pageSetUpPr fitToPage="1"/>
  </sheetPr>
  <dimension ref="A1:BE70"/>
  <sheetViews>
    <sheetView workbookViewId="0"/>
  </sheetViews>
  <sheetFormatPr defaultColWidth="46.7109375" defaultRowHeight="15"/>
  <cols>
    <col min="1" max="1" width="46.5703125" bestFit="1" customWidth="1"/>
    <col min="2" max="2" width="6" bestFit="1" customWidth="1"/>
    <col min="3" max="3" width="12.85546875" bestFit="1" customWidth="1"/>
    <col min="4" max="4" width="10" bestFit="1" customWidth="1"/>
    <col min="5" max="8" width="11.85546875" bestFit="1" customWidth="1"/>
    <col min="9" max="43" width="11.85546875" hidden="1" customWidth="1"/>
    <col min="44" max="44" width="1.7109375" customWidth="1"/>
    <col min="45" max="45" width="12.85546875" bestFit="1" customWidth="1"/>
    <col min="46" max="46" width="1.7109375" customWidth="1"/>
    <col min="47" max="47" width="12.85546875" bestFit="1" customWidth="1"/>
    <col min="48" max="48" width="1.7109375" customWidth="1"/>
    <col min="49" max="49" width="12.85546875" bestFit="1" customWidth="1"/>
    <col min="50" max="50" width="1.7109375" customWidth="1"/>
    <col min="51" max="51" width="12.85546875" bestFit="1" customWidth="1"/>
    <col min="52" max="52" width="1.7109375" customWidth="1"/>
    <col min="53" max="53" width="12.85546875" bestFit="1" customWidth="1"/>
    <col min="54" max="54" width="1.7109375" customWidth="1"/>
    <col min="55" max="55" width="12.85546875" bestFit="1" customWidth="1"/>
    <col min="56" max="56" width="1.7109375" customWidth="1"/>
    <col min="57" max="57" width="12.85546875" bestFit="1" customWidth="1"/>
  </cols>
  <sheetData>
    <row r="1" spans="1:57" ht="28.5" customHeight="1"/>
    <row r="2" spans="1:57" s="10" customFormat="1">
      <c r="A2" s="16" t="s">
        <v>2938</v>
      </c>
      <c r="B2" s="1270" t="str">
        <f>PortOPEXwFuel!B2</f>
        <v>Units</v>
      </c>
      <c r="C2" s="1475" t="str">
        <f>PortOPEXwFuel!C2</f>
        <v>PV (2011$)</v>
      </c>
      <c r="D2" s="1270">
        <f>PortOPEXwFuel!D2</f>
        <v>2011</v>
      </c>
      <c r="E2" s="1270">
        <f>PortOPEXwFuel!E2</f>
        <v>2012</v>
      </c>
      <c r="F2" s="1270">
        <f>PortOPEXwFuel!F2</f>
        <v>2013</v>
      </c>
      <c r="G2" s="1270">
        <f>PortOPEXwFuel!G2</f>
        <v>2014</v>
      </c>
      <c r="H2" s="1270">
        <f>PortOPEXwFuel!H2</f>
        <v>2015</v>
      </c>
      <c r="I2" s="1270">
        <f>PortOPEXwFuel!I2</f>
        <v>2016</v>
      </c>
      <c r="J2" s="1270">
        <f>PortOPEXwFuel!J2</f>
        <v>2017</v>
      </c>
      <c r="K2" s="1270">
        <f>PortOPEXwFuel!K2</f>
        <v>2018</v>
      </c>
      <c r="L2" s="1270">
        <f>PortOPEXwFuel!L2</f>
        <v>2019</v>
      </c>
      <c r="M2" s="1270">
        <f>PortOPEXwFuel!M2</f>
        <v>2020</v>
      </c>
      <c r="N2" s="1270">
        <f>PortOPEXwFuel!N2</f>
        <v>2021</v>
      </c>
      <c r="O2" s="1270">
        <f>PortOPEXwFuel!O2</f>
        <v>2022</v>
      </c>
      <c r="P2" s="1270">
        <f>PortOPEXwFuel!P2</f>
        <v>2023</v>
      </c>
      <c r="Q2" s="1270">
        <f>PortOPEXwFuel!Q2</f>
        <v>2024</v>
      </c>
      <c r="R2" s="1270">
        <f>PortOPEXwFuel!R2</f>
        <v>2025</v>
      </c>
      <c r="S2" s="1270">
        <f>PortOPEXwFuel!S2</f>
        <v>2026</v>
      </c>
      <c r="T2" s="1270">
        <f>PortOPEXwFuel!T2</f>
        <v>2027</v>
      </c>
      <c r="U2" s="1270">
        <f>PortOPEXwFuel!U2</f>
        <v>2028</v>
      </c>
      <c r="V2" s="1270">
        <f>PortOPEXwFuel!V2</f>
        <v>2029</v>
      </c>
      <c r="W2" s="1270">
        <f>PortOPEXwFuel!W2</f>
        <v>2030</v>
      </c>
      <c r="X2" s="1270">
        <f>PortOPEXwFuel!X2</f>
        <v>2031</v>
      </c>
      <c r="Y2" s="1270">
        <f>PortOPEXwFuel!Y2</f>
        <v>2032</v>
      </c>
      <c r="Z2" s="1270">
        <f>PortOPEXwFuel!Z2</f>
        <v>2033</v>
      </c>
      <c r="AA2" s="1270">
        <f>PortOPEXwFuel!AA2</f>
        <v>2034</v>
      </c>
      <c r="AB2" s="1270">
        <f>PortOPEXwFuel!AB2</f>
        <v>2035</v>
      </c>
      <c r="AC2" s="1270">
        <f>PortOPEXwFuel!AC2</f>
        <v>2036</v>
      </c>
      <c r="AD2" s="1270">
        <f>PortOPEXwFuel!AD2</f>
        <v>2037</v>
      </c>
      <c r="AE2" s="1270">
        <f>PortOPEXwFuel!AE2</f>
        <v>2038</v>
      </c>
      <c r="AF2" s="1270">
        <f>PortOPEXwFuel!AF2</f>
        <v>2039</v>
      </c>
      <c r="AG2" s="1270">
        <f>PortOPEXwFuel!AG2</f>
        <v>2040</v>
      </c>
      <c r="AH2" s="1270">
        <f>PortOPEXwFuel!AH2</f>
        <v>2041</v>
      </c>
      <c r="AI2" s="1270">
        <f>PortOPEXwFuel!AI2</f>
        <v>2042</v>
      </c>
      <c r="AJ2" s="1270">
        <f>PortOPEXwFuel!AJ2</f>
        <v>2043</v>
      </c>
      <c r="AK2" s="1270">
        <f>PortOPEXwFuel!AK2</f>
        <v>2044</v>
      </c>
      <c r="AL2" s="1270">
        <f>PortOPEXwFuel!AL2</f>
        <v>2045</v>
      </c>
      <c r="AM2" s="1270">
        <f>PortOPEXwFuel!AM2</f>
        <v>2046</v>
      </c>
      <c r="AN2" s="1270">
        <f>PortOPEXwFuel!AN2</f>
        <v>2047</v>
      </c>
      <c r="AO2" s="1270">
        <f>PortOPEXwFuel!AO2</f>
        <v>2048</v>
      </c>
      <c r="AP2" s="1270">
        <f>PortOPEXwFuel!AP2</f>
        <v>2049</v>
      </c>
      <c r="AQ2" s="1270">
        <f>PortOPEXwFuel!AQ2</f>
        <v>2050</v>
      </c>
      <c r="AR2" s="54"/>
      <c r="AS2" s="1270" t="str">
        <f>PortOPEXwFuel!AS2</f>
        <v>2016-2020</v>
      </c>
      <c r="AT2" s="54"/>
      <c r="AU2" s="1270" t="str">
        <f>PortOPEXwFuel!AU2</f>
        <v>2021-2025</v>
      </c>
      <c r="AV2" s="54"/>
      <c r="AW2" s="1270" t="str">
        <f>PortOPEXwFuel!AW2</f>
        <v>2026-2030</v>
      </c>
      <c r="AX2" s="54"/>
      <c r="AY2" s="1270" t="str">
        <f>PortOPEXwFuel!AY2</f>
        <v>2031-2035</v>
      </c>
      <c r="AZ2" s="54"/>
      <c r="BA2" s="1270" t="str">
        <f>PortOPEXwFuel!BA2</f>
        <v>2036-2040</v>
      </c>
      <c r="BB2" s="54"/>
      <c r="BC2" s="1270" t="str">
        <f>PortOPEXwFuel!BC2</f>
        <v>2041-2045</v>
      </c>
      <c r="BD2" s="54"/>
      <c r="BE2" s="1270" t="str">
        <f>PortOPEXwFuel!BE2</f>
        <v>2046-2050</v>
      </c>
    </row>
    <row r="3" spans="1:57" s="10" customFormat="1">
      <c r="A3" s="1465" t="str">
        <f ca="1">PortfolioCFStatement!D409</f>
        <v>Behavior Change</v>
      </c>
      <c r="B3" s="1466" t="str">
        <f>PortfolioCFStatement!E409</f>
        <v>2010$</v>
      </c>
      <c r="C3" s="1476">
        <f ca="1">PortfolioCFStatement!F409</f>
        <v>0</v>
      </c>
      <c r="D3" s="1467">
        <f ca="1">PortfolioCFStatement!G409</f>
        <v>0</v>
      </c>
      <c r="E3" s="1467">
        <f ca="1">PortfolioCFStatement!H409</f>
        <v>0</v>
      </c>
      <c r="F3" s="1467">
        <f ca="1">PortfolioCFStatement!I409</f>
        <v>0</v>
      </c>
      <c r="G3" s="1467">
        <f ca="1">PortfolioCFStatement!J409</f>
        <v>0</v>
      </c>
      <c r="H3" s="1467">
        <f ca="1">PortfolioCFStatement!K409</f>
        <v>0</v>
      </c>
      <c r="I3" s="1467">
        <f ca="1">PortfolioCFStatement!L409</f>
        <v>0</v>
      </c>
      <c r="J3" s="1467">
        <f ca="1">PortfolioCFStatement!M409</f>
        <v>0</v>
      </c>
      <c r="K3" s="1467">
        <f ca="1">PortfolioCFStatement!N409</f>
        <v>0</v>
      </c>
      <c r="L3" s="1467">
        <f ca="1">PortfolioCFStatement!O409</f>
        <v>0</v>
      </c>
      <c r="M3" s="1467">
        <f ca="1">PortfolioCFStatement!P409</f>
        <v>0</v>
      </c>
      <c r="N3" s="1467">
        <f ca="1">PortfolioCFStatement!Q409</f>
        <v>0</v>
      </c>
      <c r="O3" s="1467">
        <f ca="1">PortfolioCFStatement!R409</f>
        <v>0</v>
      </c>
      <c r="P3" s="1467">
        <f ca="1">PortfolioCFStatement!S409</f>
        <v>0</v>
      </c>
      <c r="Q3" s="1467">
        <f ca="1">PortfolioCFStatement!T409</f>
        <v>0</v>
      </c>
      <c r="R3" s="1467">
        <f ca="1">PortfolioCFStatement!U409</f>
        <v>0</v>
      </c>
      <c r="S3" s="1467">
        <f ca="1">PortfolioCFStatement!V409</f>
        <v>0</v>
      </c>
      <c r="T3" s="1467">
        <f ca="1">PortfolioCFStatement!W409</f>
        <v>0</v>
      </c>
      <c r="U3" s="1467">
        <f ca="1">PortfolioCFStatement!X409</f>
        <v>0</v>
      </c>
      <c r="V3" s="1467">
        <f ca="1">PortfolioCFStatement!Y409</f>
        <v>0</v>
      </c>
      <c r="W3" s="1467">
        <f ca="1">PortfolioCFStatement!Z409</f>
        <v>0</v>
      </c>
      <c r="X3" s="1467">
        <f ca="1">PortfolioCFStatement!AA409</f>
        <v>0</v>
      </c>
      <c r="Y3" s="1467">
        <f ca="1">PortfolioCFStatement!AB409</f>
        <v>0</v>
      </c>
      <c r="Z3" s="1467">
        <f ca="1">PortfolioCFStatement!AC409</f>
        <v>0</v>
      </c>
      <c r="AA3" s="1467">
        <f ca="1">PortfolioCFStatement!AD409</f>
        <v>0</v>
      </c>
      <c r="AB3" s="1467">
        <f ca="1">PortfolioCFStatement!AE409</f>
        <v>0</v>
      </c>
      <c r="AC3" s="1467">
        <f ca="1">PortfolioCFStatement!AF409</f>
        <v>0</v>
      </c>
      <c r="AD3" s="1467">
        <f ca="1">PortfolioCFStatement!AG409</f>
        <v>0</v>
      </c>
      <c r="AE3" s="1467">
        <f ca="1">PortfolioCFStatement!AH409</f>
        <v>0</v>
      </c>
      <c r="AF3" s="1467">
        <f ca="1">PortfolioCFStatement!AI409</f>
        <v>0</v>
      </c>
      <c r="AG3" s="1467">
        <f ca="1">PortfolioCFStatement!AJ409</f>
        <v>0</v>
      </c>
      <c r="AH3" s="1467">
        <f ca="1">PortfolioCFStatement!AK409</f>
        <v>0</v>
      </c>
      <c r="AI3" s="1467">
        <f ca="1">PortfolioCFStatement!AL409</f>
        <v>0</v>
      </c>
      <c r="AJ3" s="1467">
        <f ca="1">PortfolioCFStatement!AM409</f>
        <v>0</v>
      </c>
      <c r="AK3" s="1467">
        <f ca="1">PortfolioCFStatement!AN409</f>
        <v>0</v>
      </c>
      <c r="AL3" s="1467">
        <f ca="1">PortfolioCFStatement!AO409</f>
        <v>0</v>
      </c>
      <c r="AM3" s="1467">
        <f ca="1">PortfolioCFStatement!AP409</f>
        <v>0</v>
      </c>
      <c r="AN3" s="1467">
        <f ca="1">PortfolioCFStatement!AQ409</f>
        <v>0</v>
      </c>
      <c r="AO3" s="1467">
        <f ca="1">PortfolioCFStatement!AR409</f>
        <v>0</v>
      </c>
      <c r="AP3" s="1467">
        <f ca="1">PortfolioCFStatement!AS409</f>
        <v>0</v>
      </c>
      <c r="AQ3" s="1467">
        <f ca="1">PortfolioCFStatement!AT409</f>
        <v>0</v>
      </c>
      <c r="AR3" s="1468"/>
      <c r="AS3" s="1467">
        <f t="shared" ref="AS3:AS53" ca="1" si="0">SUM(I3:M3)</f>
        <v>0</v>
      </c>
      <c r="AT3" s="1468"/>
      <c r="AU3" s="1467">
        <f t="shared" ref="AU3:AU53" ca="1" si="1">SUM(N3:R3)</f>
        <v>0</v>
      </c>
      <c r="AV3" s="1468"/>
      <c r="AW3" s="1467">
        <f t="shared" ref="AW3:AW53" ca="1" si="2">SUM(S3:W3)</f>
        <v>0</v>
      </c>
      <c r="AX3" s="1468"/>
      <c r="AY3" s="1467">
        <f t="shared" ref="AY3:AY53" ca="1" si="3">SUM(X3:AB3)</f>
        <v>0</v>
      </c>
      <c r="AZ3" s="1468"/>
      <c r="BA3" s="1467">
        <f t="shared" ref="BA3:BA53" ca="1" si="4">SUM(AC3:AG3)</f>
        <v>0</v>
      </c>
      <c r="BB3" s="1468"/>
      <c r="BC3" s="1467">
        <f t="shared" ref="BC3:BC53" ca="1" si="5">SUM(AH3:AL3)</f>
        <v>0</v>
      </c>
      <c r="BD3" s="1468"/>
      <c r="BE3" s="1467">
        <f t="shared" ref="BE3:BE53" ca="1" si="6">SUM(AM3:AQ3)</f>
        <v>0</v>
      </c>
    </row>
    <row r="4" spans="1:57" s="10" customFormat="1">
      <c r="A4" s="1465" t="str">
        <f ca="1">PortfolioCFStatement!D410</f>
        <v>Building Design &amp; Construction Standards</v>
      </c>
      <c r="B4" s="1466" t="str">
        <f>PortfolioCFStatement!E410</f>
        <v>2010$</v>
      </c>
      <c r="C4" s="1476">
        <f ca="1">PortfolioCFStatement!F410</f>
        <v>0</v>
      </c>
      <c r="D4" s="1467">
        <f ca="1">PortfolioCFStatement!G410</f>
        <v>0</v>
      </c>
      <c r="E4" s="1467">
        <f ca="1">PortfolioCFStatement!H410</f>
        <v>0</v>
      </c>
      <c r="F4" s="1467">
        <f ca="1">PortfolioCFStatement!I410</f>
        <v>0</v>
      </c>
      <c r="G4" s="1467">
        <f ca="1">PortfolioCFStatement!J410</f>
        <v>0</v>
      </c>
      <c r="H4" s="1467">
        <f ca="1">PortfolioCFStatement!K410</f>
        <v>0</v>
      </c>
      <c r="I4" s="1467">
        <f ca="1">PortfolioCFStatement!L410</f>
        <v>0</v>
      </c>
      <c r="J4" s="1467">
        <f ca="1">PortfolioCFStatement!M410</f>
        <v>0</v>
      </c>
      <c r="K4" s="1467">
        <f ca="1">PortfolioCFStatement!N410</f>
        <v>0</v>
      </c>
      <c r="L4" s="1467">
        <f ca="1">PortfolioCFStatement!O410</f>
        <v>0</v>
      </c>
      <c r="M4" s="1467">
        <f ca="1">PortfolioCFStatement!P410</f>
        <v>0</v>
      </c>
      <c r="N4" s="1467">
        <f ca="1">PortfolioCFStatement!Q410</f>
        <v>0</v>
      </c>
      <c r="O4" s="1467">
        <f ca="1">PortfolioCFStatement!R410</f>
        <v>0</v>
      </c>
      <c r="P4" s="1467">
        <f ca="1">PortfolioCFStatement!S410</f>
        <v>0</v>
      </c>
      <c r="Q4" s="1467">
        <f ca="1">PortfolioCFStatement!T410</f>
        <v>0</v>
      </c>
      <c r="R4" s="1467">
        <f ca="1">PortfolioCFStatement!U410</f>
        <v>0</v>
      </c>
      <c r="S4" s="1467">
        <f ca="1">PortfolioCFStatement!V410</f>
        <v>0</v>
      </c>
      <c r="T4" s="1467">
        <f ca="1">PortfolioCFStatement!W410</f>
        <v>0</v>
      </c>
      <c r="U4" s="1467">
        <f ca="1">PortfolioCFStatement!X410</f>
        <v>0</v>
      </c>
      <c r="V4" s="1467">
        <f ca="1">PortfolioCFStatement!Y410</f>
        <v>0</v>
      </c>
      <c r="W4" s="1467">
        <f ca="1">PortfolioCFStatement!Z410</f>
        <v>0</v>
      </c>
      <c r="X4" s="1467">
        <f ca="1">PortfolioCFStatement!AA410</f>
        <v>0</v>
      </c>
      <c r="Y4" s="1467">
        <f ca="1">PortfolioCFStatement!AB410</f>
        <v>0</v>
      </c>
      <c r="Z4" s="1467">
        <f ca="1">PortfolioCFStatement!AC410</f>
        <v>0</v>
      </c>
      <c r="AA4" s="1467">
        <f ca="1">PortfolioCFStatement!AD410</f>
        <v>0</v>
      </c>
      <c r="AB4" s="1467">
        <f ca="1">PortfolioCFStatement!AE410</f>
        <v>0</v>
      </c>
      <c r="AC4" s="1467">
        <f ca="1">PortfolioCFStatement!AF410</f>
        <v>0</v>
      </c>
      <c r="AD4" s="1467">
        <f ca="1">PortfolioCFStatement!AG410</f>
        <v>0</v>
      </c>
      <c r="AE4" s="1467">
        <f ca="1">PortfolioCFStatement!AH410</f>
        <v>0</v>
      </c>
      <c r="AF4" s="1467">
        <f ca="1">PortfolioCFStatement!AI410</f>
        <v>0</v>
      </c>
      <c r="AG4" s="1467">
        <f ca="1">PortfolioCFStatement!AJ410</f>
        <v>0</v>
      </c>
      <c r="AH4" s="1467">
        <f ca="1">PortfolioCFStatement!AK410</f>
        <v>0</v>
      </c>
      <c r="AI4" s="1467">
        <f ca="1">PortfolioCFStatement!AL410</f>
        <v>0</v>
      </c>
      <c r="AJ4" s="1467">
        <f ca="1">PortfolioCFStatement!AM410</f>
        <v>0</v>
      </c>
      <c r="AK4" s="1467">
        <f ca="1">PortfolioCFStatement!AN410</f>
        <v>0</v>
      </c>
      <c r="AL4" s="1467">
        <f ca="1">PortfolioCFStatement!AO410</f>
        <v>0</v>
      </c>
      <c r="AM4" s="1467">
        <f ca="1">PortfolioCFStatement!AP410</f>
        <v>0</v>
      </c>
      <c r="AN4" s="1467">
        <f ca="1">PortfolioCFStatement!AQ410</f>
        <v>0</v>
      </c>
      <c r="AO4" s="1467">
        <f ca="1">PortfolioCFStatement!AR410</f>
        <v>0</v>
      </c>
      <c r="AP4" s="1467">
        <f ca="1">PortfolioCFStatement!AS410</f>
        <v>0</v>
      </c>
      <c r="AQ4" s="1467">
        <f ca="1">PortfolioCFStatement!AT410</f>
        <v>0</v>
      </c>
      <c r="AR4" s="1468"/>
      <c r="AS4" s="1467">
        <f t="shared" ca="1" si="0"/>
        <v>0</v>
      </c>
      <c r="AT4" s="1468"/>
      <c r="AU4" s="1467">
        <f t="shared" ca="1" si="1"/>
        <v>0</v>
      </c>
      <c r="AV4" s="1468"/>
      <c r="AW4" s="1467">
        <f t="shared" ca="1" si="2"/>
        <v>0</v>
      </c>
      <c r="AX4" s="1468"/>
      <c r="AY4" s="1467">
        <f t="shared" ca="1" si="3"/>
        <v>0</v>
      </c>
      <c r="AZ4" s="1468"/>
      <c r="BA4" s="1467">
        <f t="shared" ca="1" si="4"/>
        <v>0</v>
      </c>
      <c r="BB4" s="1468"/>
      <c r="BC4" s="1467">
        <f t="shared" ca="1" si="5"/>
        <v>0</v>
      </c>
      <c r="BD4" s="1468"/>
      <c r="BE4" s="1467">
        <f t="shared" ca="1" si="6"/>
        <v>0</v>
      </c>
    </row>
    <row r="5" spans="1:57" s="10" customFormat="1">
      <c r="A5" s="1465" t="str">
        <f ca="1">PortfolioCFStatement!D411</f>
        <v>Space Planning &amp; Management</v>
      </c>
      <c r="B5" s="1466" t="str">
        <f>PortfolioCFStatement!E411</f>
        <v>2010$</v>
      </c>
      <c r="C5" s="1476">
        <f ca="1">PortfolioCFStatement!F411</f>
        <v>374648367.13320363</v>
      </c>
      <c r="D5" s="1467">
        <f ca="1">PortfolioCFStatement!G411</f>
        <v>0</v>
      </c>
      <c r="E5" s="1467">
        <f ca="1">PortfolioCFStatement!H411</f>
        <v>25224484.237428442</v>
      </c>
      <c r="F5" s="1467">
        <f ca="1">PortfolioCFStatement!I411</f>
        <v>25224484.237428762</v>
      </c>
      <c r="G5" s="1467">
        <f ca="1">PortfolioCFStatement!J411</f>
        <v>25224484.237428442</v>
      </c>
      <c r="H5" s="1467">
        <f ca="1">PortfolioCFStatement!K411</f>
        <v>25224484.237428762</v>
      </c>
      <c r="I5" s="1467">
        <f ca="1">PortfolioCFStatement!L411</f>
        <v>25224484.237428762</v>
      </c>
      <c r="J5" s="1467">
        <f ca="1">PortfolioCFStatement!M411</f>
        <v>25224484.237428442</v>
      </c>
      <c r="K5" s="1467">
        <f ca="1">PortfolioCFStatement!N411</f>
        <v>25224484.237428762</v>
      </c>
      <c r="L5" s="1467">
        <f ca="1">PortfolioCFStatement!O411</f>
        <v>25224484.237428442</v>
      </c>
      <c r="M5" s="1467">
        <f ca="1">PortfolioCFStatement!P411</f>
        <v>25224484.237428762</v>
      </c>
      <c r="N5" s="1467">
        <f ca="1">PortfolioCFStatement!Q411</f>
        <v>25224484.237428442</v>
      </c>
      <c r="O5" s="1467">
        <f ca="1">PortfolioCFStatement!R411</f>
        <v>25224484.237428762</v>
      </c>
      <c r="P5" s="1467">
        <f ca="1">PortfolioCFStatement!S411</f>
        <v>25224484.237428762</v>
      </c>
      <c r="Q5" s="1467">
        <f ca="1">PortfolioCFStatement!T411</f>
        <v>25224484.237428442</v>
      </c>
      <c r="R5" s="1467">
        <f ca="1">PortfolioCFStatement!U411</f>
        <v>25224484.237428762</v>
      </c>
      <c r="S5" s="1467">
        <f ca="1">PortfolioCFStatement!V411</f>
        <v>25224484.237428762</v>
      </c>
      <c r="T5" s="1467">
        <f ca="1">PortfolioCFStatement!W411</f>
        <v>25224484.237428442</v>
      </c>
      <c r="U5" s="1467">
        <f ca="1">PortfolioCFStatement!X411</f>
        <v>25224484.237428762</v>
      </c>
      <c r="V5" s="1467">
        <f ca="1">PortfolioCFStatement!Y411</f>
        <v>25224484.237428442</v>
      </c>
      <c r="W5" s="1467">
        <f ca="1">PortfolioCFStatement!Z411</f>
        <v>25224484.237428762</v>
      </c>
      <c r="X5" s="1467">
        <f ca="1">PortfolioCFStatement!AA411</f>
        <v>25224484.237428442</v>
      </c>
      <c r="Y5" s="1467">
        <f ca="1">PortfolioCFStatement!AB411</f>
        <v>25224484.237428762</v>
      </c>
      <c r="Z5" s="1467">
        <f ca="1">PortfolioCFStatement!AC411</f>
        <v>25224484.237428762</v>
      </c>
      <c r="AA5" s="1467">
        <f ca="1">PortfolioCFStatement!AD411</f>
        <v>25224484.237428442</v>
      </c>
      <c r="AB5" s="1467">
        <f ca="1">PortfolioCFStatement!AE411</f>
        <v>25224484.237428762</v>
      </c>
      <c r="AC5" s="1467">
        <f ca="1">PortfolioCFStatement!AF411</f>
        <v>25224484.237428762</v>
      </c>
      <c r="AD5" s="1467">
        <f ca="1">PortfolioCFStatement!AG411</f>
        <v>25224484.237428442</v>
      </c>
      <c r="AE5" s="1467">
        <f ca="1">PortfolioCFStatement!AH411</f>
        <v>25224484.237428442</v>
      </c>
      <c r="AF5" s="1467">
        <f ca="1">PortfolioCFStatement!AI411</f>
        <v>25224484.237428762</v>
      </c>
      <c r="AG5" s="1467">
        <f ca="1">PortfolioCFStatement!AJ411</f>
        <v>25224484.237428762</v>
      </c>
      <c r="AH5" s="1467">
        <f ca="1">PortfolioCFStatement!AK411</f>
        <v>25224484.237428442</v>
      </c>
      <c r="AI5" s="1467">
        <f ca="1">PortfolioCFStatement!AL411</f>
        <v>25224484.237428762</v>
      </c>
      <c r="AJ5" s="1467">
        <f ca="1">PortfolioCFStatement!AM411</f>
        <v>25224484.237428762</v>
      </c>
      <c r="AK5" s="1467">
        <f ca="1">PortfolioCFStatement!AN411</f>
        <v>25224484.237428442</v>
      </c>
      <c r="AL5" s="1467">
        <f ca="1">PortfolioCFStatement!AO411</f>
        <v>25224484.237428762</v>
      </c>
      <c r="AM5" s="1467">
        <f ca="1">PortfolioCFStatement!AP411</f>
        <v>25224484.237428762</v>
      </c>
      <c r="AN5" s="1467">
        <f ca="1">PortfolioCFStatement!AQ411</f>
        <v>25224484.237428442</v>
      </c>
      <c r="AO5" s="1467">
        <f ca="1">PortfolioCFStatement!AR411</f>
        <v>25224484.237428442</v>
      </c>
      <c r="AP5" s="1467">
        <f ca="1">PortfolioCFStatement!AS411</f>
        <v>25224484.237428762</v>
      </c>
      <c r="AQ5" s="1467">
        <f ca="1">PortfolioCFStatement!AT411</f>
        <v>25224484.237428762</v>
      </c>
      <c r="AR5" s="1468"/>
      <c r="AS5" s="1467">
        <f t="shared" ca="1" si="0"/>
        <v>126122421.18714318</v>
      </c>
      <c r="AT5" s="1468"/>
      <c r="AU5" s="1467">
        <f t="shared" ca="1" si="1"/>
        <v>126122421.18714318</v>
      </c>
      <c r="AV5" s="1468"/>
      <c r="AW5" s="1467">
        <f t="shared" ca="1" si="2"/>
        <v>126122421.18714318</v>
      </c>
      <c r="AX5" s="1468"/>
      <c r="AY5" s="1467">
        <f t="shared" ca="1" si="3"/>
        <v>126122421.18714318</v>
      </c>
      <c r="AZ5" s="1468"/>
      <c r="BA5" s="1467">
        <f t="shared" ca="1" si="4"/>
        <v>126122421.18714315</v>
      </c>
      <c r="BB5" s="1468"/>
      <c r="BC5" s="1467">
        <f t="shared" ca="1" si="5"/>
        <v>126122421.18714318</v>
      </c>
      <c r="BD5" s="1468"/>
      <c r="BE5" s="1467">
        <f t="shared" ca="1" si="6"/>
        <v>126122421.18714315</v>
      </c>
    </row>
    <row r="6" spans="1:57" s="10" customFormat="1">
      <c r="A6" s="1465" t="str">
        <f ca="1">PortfolioCFStatement!D412</f>
        <v>Central Chiller Expansion</v>
      </c>
      <c r="B6" s="1466" t="str">
        <f>PortfolioCFStatement!E412</f>
        <v>2010$</v>
      </c>
      <c r="C6" s="1476">
        <f ca="1">PortfolioCFStatement!F412</f>
        <v>5230250.9951090943</v>
      </c>
      <c r="D6" s="1467">
        <f ca="1">PortfolioCFStatement!G412</f>
        <v>0</v>
      </c>
      <c r="E6" s="1467">
        <f ca="1">PortfolioCFStatement!H412</f>
        <v>0</v>
      </c>
      <c r="F6" s="1467">
        <f ca="1">PortfolioCFStatement!I412</f>
        <v>0</v>
      </c>
      <c r="G6" s="1467">
        <f ca="1">PortfolioCFStatement!J412</f>
        <v>0</v>
      </c>
      <c r="H6" s="1467">
        <f ca="1">PortfolioCFStatement!K412</f>
        <v>550000</v>
      </c>
      <c r="I6" s="1467">
        <f ca="1">PortfolioCFStatement!L412</f>
        <v>550000</v>
      </c>
      <c r="J6" s="1467">
        <f ca="1">PortfolioCFStatement!M412</f>
        <v>550000</v>
      </c>
      <c r="K6" s="1467">
        <f ca="1">PortfolioCFStatement!N412</f>
        <v>550000</v>
      </c>
      <c r="L6" s="1467">
        <f ca="1">PortfolioCFStatement!O412</f>
        <v>550000</v>
      </c>
      <c r="M6" s="1467">
        <f ca="1">PortfolioCFStatement!P412</f>
        <v>550000</v>
      </c>
      <c r="N6" s="1467">
        <f ca="1">PortfolioCFStatement!Q412</f>
        <v>550000</v>
      </c>
      <c r="O6" s="1467">
        <f ca="1">PortfolioCFStatement!R412</f>
        <v>550000</v>
      </c>
      <c r="P6" s="1467">
        <f ca="1">PortfolioCFStatement!S412</f>
        <v>550000</v>
      </c>
      <c r="Q6" s="1467">
        <f ca="1">PortfolioCFStatement!T412</f>
        <v>550000</v>
      </c>
      <c r="R6" s="1467">
        <f ca="1">PortfolioCFStatement!U412</f>
        <v>550000</v>
      </c>
      <c r="S6" s="1467">
        <f ca="1">PortfolioCFStatement!V412</f>
        <v>550000</v>
      </c>
      <c r="T6" s="1467">
        <f ca="1">PortfolioCFStatement!W412</f>
        <v>550000</v>
      </c>
      <c r="U6" s="1467">
        <f ca="1">PortfolioCFStatement!X412</f>
        <v>550000</v>
      </c>
      <c r="V6" s="1467">
        <f ca="1">PortfolioCFStatement!Y412</f>
        <v>550000</v>
      </c>
      <c r="W6" s="1467">
        <f ca="1">PortfolioCFStatement!Z412</f>
        <v>550000</v>
      </c>
      <c r="X6" s="1467">
        <f ca="1">PortfolioCFStatement!AA412</f>
        <v>550000</v>
      </c>
      <c r="Y6" s="1467">
        <f ca="1">PortfolioCFStatement!AB412</f>
        <v>550000</v>
      </c>
      <c r="Z6" s="1467">
        <f ca="1">PortfolioCFStatement!AC412</f>
        <v>550000</v>
      </c>
      <c r="AA6" s="1467">
        <f ca="1">PortfolioCFStatement!AD412</f>
        <v>550000</v>
      </c>
      <c r="AB6" s="1467">
        <f ca="1">PortfolioCFStatement!AE412</f>
        <v>0</v>
      </c>
      <c r="AC6" s="1467">
        <f ca="1">PortfolioCFStatement!AF412</f>
        <v>0</v>
      </c>
      <c r="AD6" s="1467">
        <f ca="1">PortfolioCFStatement!AG412</f>
        <v>0</v>
      </c>
      <c r="AE6" s="1467">
        <f ca="1">PortfolioCFStatement!AH412</f>
        <v>0</v>
      </c>
      <c r="AF6" s="1467">
        <f ca="1">PortfolioCFStatement!AI412</f>
        <v>0</v>
      </c>
      <c r="AG6" s="1467">
        <f ca="1">PortfolioCFStatement!AJ412</f>
        <v>0</v>
      </c>
      <c r="AH6" s="1467">
        <f ca="1">PortfolioCFStatement!AK412</f>
        <v>0</v>
      </c>
      <c r="AI6" s="1467">
        <f ca="1">PortfolioCFStatement!AL412</f>
        <v>0</v>
      </c>
      <c r="AJ6" s="1467">
        <f ca="1">PortfolioCFStatement!AM412</f>
        <v>0</v>
      </c>
      <c r="AK6" s="1467">
        <f ca="1">PortfolioCFStatement!AN412</f>
        <v>0</v>
      </c>
      <c r="AL6" s="1467">
        <f ca="1">PortfolioCFStatement!AO412</f>
        <v>0</v>
      </c>
      <c r="AM6" s="1467">
        <f ca="1">PortfolioCFStatement!AP412</f>
        <v>0</v>
      </c>
      <c r="AN6" s="1467">
        <f ca="1">PortfolioCFStatement!AQ412</f>
        <v>0</v>
      </c>
      <c r="AO6" s="1467">
        <f ca="1">PortfolioCFStatement!AR412</f>
        <v>0</v>
      </c>
      <c r="AP6" s="1467">
        <f ca="1">PortfolioCFStatement!AS412</f>
        <v>0</v>
      </c>
      <c r="AQ6" s="1467">
        <f ca="1">PortfolioCFStatement!AT412</f>
        <v>0</v>
      </c>
      <c r="AR6" s="1468"/>
      <c r="AS6" s="1467">
        <f t="shared" ca="1" si="0"/>
        <v>2750000</v>
      </c>
      <c r="AT6" s="1468"/>
      <c r="AU6" s="1467">
        <f t="shared" ca="1" si="1"/>
        <v>2750000</v>
      </c>
      <c r="AV6" s="1468"/>
      <c r="AW6" s="1467">
        <f t="shared" ca="1" si="2"/>
        <v>2750000</v>
      </c>
      <c r="AX6" s="1468"/>
      <c r="AY6" s="1467">
        <f t="shared" ca="1" si="3"/>
        <v>2200000</v>
      </c>
      <c r="AZ6" s="1468"/>
      <c r="BA6" s="1467">
        <f t="shared" ca="1" si="4"/>
        <v>0</v>
      </c>
      <c r="BB6" s="1468"/>
      <c r="BC6" s="1467">
        <f t="shared" ca="1" si="5"/>
        <v>0</v>
      </c>
      <c r="BD6" s="1468"/>
      <c r="BE6" s="1467">
        <f t="shared" ca="1" si="6"/>
        <v>0</v>
      </c>
    </row>
    <row r="7" spans="1:57" s="10" customFormat="1">
      <c r="A7" s="1465" t="str">
        <f ca="1">PortfolioCFStatement!D413</f>
        <v>Short-term Energy Conservation Measures</v>
      </c>
      <c r="B7" s="1466" t="str">
        <f>PortfolioCFStatement!E413</f>
        <v>2010$</v>
      </c>
      <c r="C7" s="1476">
        <f ca="1">PortfolioCFStatement!F413</f>
        <v>0</v>
      </c>
      <c r="D7" s="1467">
        <f ca="1">PortfolioCFStatement!G413</f>
        <v>0</v>
      </c>
      <c r="E7" s="1467">
        <f ca="1">PortfolioCFStatement!H413</f>
        <v>0</v>
      </c>
      <c r="F7" s="1467">
        <f ca="1">PortfolioCFStatement!I413</f>
        <v>0</v>
      </c>
      <c r="G7" s="1467">
        <f ca="1">PortfolioCFStatement!J413</f>
        <v>0</v>
      </c>
      <c r="H7" s="1467">
        <f ca="1">PortfolioCFStatement!K413</f>
        <v>0</v>
      </c>
      <c r="I7" s="1467">
        <f ca="1">PortfolioCFStatement!L413</f>
        <v>0</v>
      </c>
      <c r="J7" s="1467">
        <f ca="1">PortfolioCFStatement!M413</f>
        <v>0</v>
      </c>
      <c r="K7" s="1467">
        <f ca="1">PortfolioCFStatement!N413</f>
        <v>0</v>
      </c>
      <c r="L7" s="1467">
        <f ca="1">PortfolioCFStatement!O413</f>
        <v>0</v>
      </c>
      <c r="M7" s="1467">
        <f ca="1">PortfolioCFStatement!P413</f>
        <v>0</v>
      </c>
      <c r="N7" s="1467">
        <f ca="1">PortfolioCFStatement!Q413</f>
        <v>0</v>
      </c>
      <c r="O7" s="1467">
        <f ca="1">PortfolioCFStatement!R413</f>
        <v>0</v>
      </c>
      <c r="P7" s="1467">
        <f ca="1">PortfolioCFStatement!S413</f>
        <v>0</v>
      </c>
      <c r="Q7" s="1467">
        <f ca="1">PortfolioCFStatement!T413</f>
        <v>0</v>
      </c>
      <c r="R7" s="1467">
        <f ca="1">PortfolioCFStatement!U413</f>
        <v>0</v>
      </c>
      <c r="S7" s="1467">
        <f ca="1">PortfolioCFStatement!V413</f>
        <v>0</v>
      </c>
      <c r="T7" s="1467">
        <f ca="1">PortfolioCFStatement!W413</f>
        <v>0</v>
      </c>
      <c r="U7" s="1467">
        <f ca="1">PortfolioCFStatement!X413</f>
        <v>0</v>
      </c>
      <c r="V7" s="1467">
        <f ca="1">PortfolioCFStatement!Y413</f>
        <v>0</v>
      </c>
      <c r="W7" s="1467">
        <f ca="1">PortfolioCFStatement!Z413</f>
        <v>0</v>
      </c>
      <c r="X7" s="1467">
        <f ca="1">PortfolioCFStatement!AA413</f>
        <v>0</v>
      </c>
      <c r="Y7" s="1467">
        <f ca="1">PortfolioCFStatement!AB413</f>
        <v>0</v>
      </c>
      <c r="Z7" s="1467">
        <f ca="1">PortfolioCFStatement!AC413</f>
        <v>0</v>
      </c>
      <c r="AA7" s="1467">
        <f ca="1">PortfolioCFStatement!AD413</f>
        <v>0</v>
      </c>
      <c r="AB7" s="1467">
        <f ca="1">PortfolioCFStatement!AE413</f>
        <v>0</v>
      </c>
      <c r="AC7" s="1467">
        <f ca="1">PortfolioCFStatement!AF413</f>
        <v>0</v>
      </c>
      <c r="AD7" s="1467">
        <f ca="1">PortfolioCFStatement!AG413</f>
        <v>0</v>
      </c>
      <c r="AE7" s="1467">
        <f ca="1">PortfolioCFStatement!AH413</f>
        <v>0</v>
      </c>
      <c r="AF7" s="1467">
        <f ca="1">PortfolioCFStatement!AI413</f>
        <v>0</v>
      </c>
      <c r="AG7" s="1467">
        <f ca="1">PortfolioCFStatement!AJ413</f>
        <v>0</v>
      </c>
      <c r="AH7" s="1467">
        <f ca="1">PortfolioCFStatement!AK413</f>
        <v>0</v>
      </c>
      <c r="AI7" s="1467">
        <f ca="1">PortfolioCFStatement!AL413</f>
        <v>0</v>
      </c>
      <c r="AJ7" s="1467">
        <f ca="1">PortfolioCFStatement!AM413</f>
        <v>0</v>
      </c>
      <c r="AK7" s="1467">
        <f ca="1">PortfolioCFStatement!AN413</f>
        <v>0</v>
      </c>
      <c r="AL7" s="1467">
        <f ca="1">PortfolioCFStatement!AO413</f>
        <v>0</v>
      </c>
      <c r="AM7" s="1467">
        <f ca="1">PortfolioCFStatement!AP413</f>
        <v>0</v>
      </c>
      <c r="AN7" s="1467">
        <f ca="1">PortfolioCFStatement!AQ413</f>
        <v>0</v>
      </c>
      <c r="AO7" s="1467">
        <f ca="1">PortfolioCFStatement!AR413</f>
        <v>0</v>
      </c>
      <c r="AP7" s="1467">
        <f ca="1">PortfolioCFStatement!AS413</f>
        <v>0</v>
      </c>
      <c r="AQ7" s="1467">
        <f ca="1">PortfolioCFStatement!AT413</f>
        <v>0</v>
      </c>
      <c r="AR7" s="1468"/>
      <c r="AS7" s="1467">
        <f t="shared" ca="1" si="0"/>
        <v>0</v>
      </c>
      <c r="AT7" s="1468"/>
      <c r="AU7" s="1467">
        <f t="shared" ca="1" si="1"/>
        <v>0</v>
      </c>
      <c r="AV7" s="1468"/>
      <c r="AW7" s="1467">
        <f t="shared" ca="1" si="2"/>
        <v>0</v>
      </c>
      <c r="AX7" s="1468"/>
      <c r="AY7" s="1467">
        <f t="shared" ca="1" si="3"/>
        <v>0</v>
      </c>
      <c r="AZ7" s="1468"/>
      <c r="BA7" s="1467">
        <f t="shared" ca="1" si="4"/>
        <v>0</v>
      </c>
      <c r="BB7" s="1468"/>
      <c r="BC7" s="1467">
        <f t="shared" ca="1" si="5"/>
        <v>0</v>
      </c>
      <c r="BD7" s="1468"/>
      <c r="BE7" s="1467">
        <f t="shared" ca="1" si="6"/>
        <v>0</v>
      </c>
    </row>
    <row r="8" spans="1:57" s="10" customFormat="1">
      <c r="A8" s="1465" t="str">
        <f ca="1">PortfolioCFStatement!D414</f>
        <v>Mid-term Energy Conservation Measures</v>
      </c>
      <c r="B8" s="1466" t="str">
        <f>PortfolioCFStatement!E414</f>
        <v>2010$</v>
      </c>
      <c r="C8" s="1476">
        <f ca="1">PortfolioCFStatement!F414</f>
        <v>0</v>
      </c>
      <c r="D8" s="1467">
        <f ca="1">PortfolioCFStatement!G414</f>
        <v>0</v>
      </c>
      <c r="E8" s="1467">
        <f ca="1">PortfolioCFStatement!H414</f>
        <v>0</v>
      </c>
      <c r="F8" s="1467">
        <f ca="1">PortfolioCFStatement!I414</f>
        <v>0</v>
      </c>
      <c r="G8" s="1467">
        <f ca="1">PortfolioCFStatement!J414</f>
        <v>0</v>
      </c>
      <c r="H8" s="1467">
        <f ca="1">PortfolioCFStatement!K414</f>
        <v>0</v>
      </c>
      <c r="I8" s="1467">
        <f ca="1">PortfolioCFStatement!L414</f>
        <v>0</v>
      </c>
      <c r="J8" s="1467">
        <f ca="1">PortfolioCFStatement!M414</f>
        <v>0</v>
      </c>
      <c r="K8" s="1467">
        <f ca="1">PortfolioCFStatement!N414</f>
        <v>0</v>
      </c>
      <c r="L8" s="1467">
        <f ca="1">PortfolioCFStatement!O414</f>
        <v>0</v>
      </c>
      <c r="M8" s="1467">
        <f ca="1">PortfolioCFStatement!P414</f>
        <v>0</v>
      </c>
      <c r="N8" s="1467">
        <f ca="1">PortfolioCFStatement!Q414</f>
        <v>0</v>
      </c>
      <c r="O8" s="1467">
        <f ca="1">PortfolioCFStatement!R414</f>
        <v>0</v>
      </c>
      <c r="P8" s="1467">
        <f ca="1">PortfolioCFStatement!S414</f>
        <v>0</v>
      </c>
      <c r="Q8" s="1467">
        <f ca="1">PortfolioCFStatement!T414</f>
        <v>0</v>
      </c>
      <c r="R8" s="1467">
        <f ca="1">PortfolioCFStatement!U414</f>
        <v>0</v>
      </c>
      <c r="S8" s="1467">
        <f ca="1">PortfolioCFStatement!V414</f>
        <v>0</v>
      </c>
      <c r="T8" s="1467">
        <f ca="1">PortfolioCFStatement!W414</f>
        <v>0</v>
      </c>
      <c r="U8" s="1467">
        <f ca="1">PortfolioCFStatement!X414</f>
        <v>0</v>
      </c>
      <c r="V8" s="1467">
        <f ca="1">PortfolioCFStatement!Y414</f>
        <v>0</v>
      </c>
      <c r="W8" s="1467">
        <f ca="1">PortfolioCFStatement!Z414</f>
        <v>0</v>
      </c>
      <c r="X8" s="1467">
        <f ca="1">PortfolioCFStatement!AA414</f>
        <v>0</v>
      </c>
      <c r="Y8" s="1467">
        <f ca="1">PortfolioCFStatement!AB414</f>
        <v>0</v>
      </c>
      <c r="Z8" s="1467">
        <f ca="1">PortfolioCFStatement!AC414</f>
        <v>0</v>
      </c>
      <c r="AA8" s="1467">
        <f ca="1">PortfolioCFStatement!AD414</f>
        <v>0</v>
      </c>
      <c r="AB8" s="1467">
        <f ca="1">PortfolioCFStatement!AE414</f>
        <v>0</v>
      </c>
      <c r="AC8" s="1467">
        <f ca="1">PortfolioCFStatement!AF414</f>
        <v>0</v>
      </c>
      <c r="AD8" s="1467">
        <f ca="1">PortfolioCFStatement!AG414</f>
        <v>0</v>
      </c>
      <c r="AE8" s="1467">
        <f ca="1">PortfolioCFStatement!AH414</f>
        <v>0</v>
      </c>
      <c r="AF8" s="1467">
        <f ca="1">PortfolioCFStatement!AI414</f>
        <v>0</v>
      </c>
      <c r="AG8" s="1467">
        <f ca="1">PortfolioCFStatement!AJ414</f>
        <v>0</v>
      </c>
      <c r="AH8" s="1467">
        <f ca="1">PortfolioCFStatement!AK414</f>
        <v>0</v>
      </c>
      <c r="AI8" s="1467">
        <f ca="1">PortfolioCFStatement!AL414</f>
        <v>0</v>
      </c>
      <c r="AJ8" s="1467">
        <f ca="1">PortfolioCFStatement!AM414</f>
        <v>0</v>
      </c>
      <c r="AK8" s="1467">
        <f ca="1">PortfolioCFStatement!AN414</f>
        <v>0</v>
      </c>
      <c r="AL8" s="1467">
        <f ca="1">PortfolioCFStatement!AO414</f>
        <v>0</v>
      </c>
      <c r="AM8" s="1467">
        <f ca="1">PortfolioCFStatement!AP414</f>
        <v>0</v>
      </c>
      <c r="AN8" s="1467">
        <f ca="1">PortfolioCFStatement!AQ414</f>
        <v>0</v>
      </c>
      <c r="AO8" s="1467">
        <f ca="1">PortfolioCFStatement!AR414</f>
        <v>0</v>
      </c>
      <c r="AP8" s="1467">
        <f ca="1">PortfolioCFStatement!AS414</f>
        <v>0</v>
      </c>
      <c r="AQ8" s="1467">
        <f ca="1">PortfolioCFStatement!AT414</f>
        <v>0</v>
      </c>
      <c r="AR8" s="1468"/>
      <c r="AS8" s="1467">
        <f t="shared" ca="1" si="0"/>
        <v>0</v>
      </c>
      <c r="AT8" s="1468"/>
      <c r="AU8" s="1467">
        <f t="shared" ca="1" si="1"/>
        <v>0</v>
      </c>
      <c r="AV8" s="1468"/>
      <c r="AW8" s="1467">
        <f t="shared" ca="1" si="2"/>
        <v>0</v>
      </c>
      <c r="AX8" s="1468"/>
      <c r="AY8" s="1467">
        <f t="shared" ca="1" si="3"/>
        <v>0</v>
      </c>
      <c r="AZ8" s="1468"/>
      <c r="BA8" s="1467">
        <f t="shared" ca="1" si="4"/>
        <v>0</v>
      </c>
      <c r="BB8" s="1468"/>
      <c r="BC8" s="1467">
        <f t="shared" ca="1" si="5"/>
        <v>0</v>
      </c>
      <c r="BD8" s="1468"/>
      <c r="BE8" s="1467">
        <f t="shared" ca="1" si="6"/>
        <v>0</v>
      </c>
    </row>
    <row r="9" spans="1:57" s="10" customFormat="1">
      <c r="A9" s="1465" t="str">
        <f ca="1">PortfolioCFStatement!D415</f>
        <v>Long-term Energy Conservation Measures</v>
      </c>
      <c r="B9" s="1466" t="str">
        <f>PortfolioCFStatement!E415</f>
        <v>2010$</v>
      </c>
      <c r="C9" s="1476">
        <f ca="1">PortfolioCFStatement!F415</f>
        <v>0</v>
      </c>
      <c r="D9" s="1467">
        <f ca="1">PortfolioCFStatement!G415</f>
        <v>0</v>
      </c>
      <c r="E9" s="1467">
        <f ca="1">PortfolioCFStatement!H415</f>
        <v>0</v>
      </c>
      <c r="F9" s="1467">
        <f ca="1">PortfolioCFStatement!I415</f>
        <v>0</v>
      </c>
      <c r="G9" s="1467">
        <f ca="1">PortfolioCFStatement!J415</f>
        <v>0</v>
      </c>
      <c r="H9" s="1467">
        <f ca="1">PortfolioCFStatement!K415</f>
        <v>0</v>
      </c>
      <c r="I9" s="1467">
        <f ca="1">PortfolioCFStatement!L415</f>
        <v>0</v>
      </c>
      <c r="J9" s="1467">
        <f ca="1">PortfolioCFStatement!M415</f>
        <v>0</v>
      </c>
      <c r="K9" s="1467">
        <f ca="1">PortfolioCFStatement!N415</f>
        <v>0</v>
      </c>
      <c r="L9" s="1467">
        <f ca="1">PortfolioCFStatement!O415</f>
        <v>0</v>
      </c>
      <c r="M9" s="1467">
        <f ca="1">PortfolioCFStatement!P415</f>
        <v>0</v>
      </c>
      <c r="N9" s="1467">
        <f ca="1">PortfolioCFStatement!Q415</f>
        <v>0</v>
      </c>
      <c r="O9" s="1467">
        <f ca="1">PortfolioCFStatement!R415</f>
        <v>0</v>
      </c>
      <c r="P9" s="1467">
        <f ca="1">PortfolioCFStatement!S415</f>
        <v>0</v>
      </c>
      <c r="Q9" s="1467">
        <f ca="1">PortfolioCFStatement!T415</f>
        <v>0</v>
      </c>
      <c r="R9" s="1467">
        <f ca="1">PortfolioCFStatement!U415</f>
        <v>0</v>
      </c>
      <c r="S9" s="1467">
        <f ca="1">PortfolioCFStatement!V415</f>
        <v>0</v>
      </c>
      <c r="T9" s="1467">
        <f ca="1">PortfolioCFStatement!W415</f>
        <v>0</v>
      </c>
      <c r="U9" s="1467">
        <f ca="1">PortfolioCFStatement!X415</f>
        <v>0</v>
      </c>
      <c r="V9" s="1467">
        <f ca="1">PortfolioCFStatement!Y415</f>
        <v>0</v>
      </c>
      <c r="W9" s="1467">
        <f ca="1">PortfolioCFStatement!Z415</f>
        <v>0</v>
      </c>
      <c r="X9" s="1467">
        <f ca="1">PortfolioCFStatement!AA415</f>
        <v>0</v>
      </c>
      <c r="Y9" s="1467">
        <f ca="1">PortfolioCFStatement!AB415</f>
        <v>0</v>
      </c>
      <c r="Z9" s="1467">
        <f ca="1">PortfolioCFStatement!AC415</f>
        <v>0</v>
      </c>
      <c r="AA9" s="1467">
        <f ca="1">PortfolioCFStatement!AD415</f>
        <v>0</v>
      </c>
      <c r="AB9" s="1467">
        <f ca="1">PortfolioCFStatement!AE415</f>
        <v>0</v>
      </c>
      <c r="AC9" s="1467">
        <f ca="1">PortfolioCFStatement!AF415</f>
        <v>0</v>
      </c>
      <c r="AD9" s="1467">
        <f ca="1">PortfolioCFStatement!AG415</f>
        <v>0</v>
      </c>
      <c r="AE9" s="1467">
        <f ca="1">PortfolioCFStatement!AH415</f>
        <v>0</v>
      </c>
      <c r="AF9" s="1467">
        <f ca="1">PortfolioCFStatement!AI415</f>
        <v>0</v>
      </c>
      <c r="AG9" s="1467">
        <f ca="1">PortfolioCFStatement!AJ415</f>
        <v>0</v>
      </c>
      <c r="AH9" s="1467">
        <f ca="1">PortfolioCFStatement!AK415</f>
        <v>0</v>
      </c>
      <c r="AI9" s="1467">
        <f ca="1">PortfolioCFStatement!AL415</f>
        <v>0</v>
      </c>
      <c r="AJ9" s="1467">
        <f ca="1">PortfolioCFStatement!AM415</f>
        <v>0</v>
      </c>
      <c r="AK9" s="1467">
        <f ca="1">PortfolioCFStatement!AN415</f>
        <v>0</v>
      </c>
      <c r="AL9" s="1467">
        <f ca="1">PortfolioCFStatement!AO415</f>
        <v>0</v>
      </c>
      <c r="AM9" s="1467">
        <f ca="1">PortfolioCFStatement!AP415</f>
        <v>0</v>
      </c>
      <c r="AN9" s="1467">
        <f ca="1">PortfolioCFStatement!AQ415</f>
        <v>0</v>
      </c>
      <c r="AO9" s="1467">
        <f ca="1">PortfolioCFStatement!AR415</f>
        <v>0</v>
      </c>
      <c r="AP9" s="1467">
        <f ca="1">PortfolioCFStatement!AS415</f>
        <v>0</v>
      </c>
      <c r="AQ9" s="1467">
        <f ca="1">PortfolioCFStatement!AT415</f>
        <v>0</v>
      </c>
      <c r="AR9" s="1468"/>
      <c r="AS9" s="1467">
        <f t="shared" ca="1" si="0"/>
        <v>0</v>
      </c>
      <c r="AT9" s="1468"/>
      <c r="AU9" s="1467">
        <f t="shared" ca="1" si="1"/>
        <v>0</v>
      </c>
      <c r="AV9" s="1468"/>
      <c r="AW9" s="1467">
        <f t="shared" ca="1" si="2"/>
        <v>0</v>
      </c>
      <c r="AX9" s="1468"/>
      <c r="AY9" s="1467">
        <f t="shared" ca="1" si="3"/>
        <v>0</v>
      </c>
      <c r="AZ9" s="1468"/>
      <c r="BA9" s="1467">
        <f t="shared" ca="1" si="4"/>
        <v>0</v>
      </c>
      <c r="BB9" s="1468"/>
      <c r="BC9" s="1467">
        <f t="shared" ca="1" si="5"/>
        <v>0</v>
      </c>
      <c r="BD9" s="1468"/>
      <c r="BE9" s="1467">
        <f t="shared" ca="1" si="6"/>
        <v>0</v>
      </c>
    </row>
    <row r="10" spans="1:57" s="10" customFormat="1">
      <c r="A10" s="1465" t="str">
        <f ca="1">PortfolioCFStatement!D416</f>
        <v>Green IT</v>
      </c>
      <c r="B10" s="1466" t="str">
        <f>PortfolioCFStatement!E416</f>
        <v>2010$</v>
      </c>
      <c r="C10" s="1476">
        <f ca="1">PortfolioCFStatement!F416</f>
        <v>0</v>
      </c>
      <c r="D10" s="1467">
        <f ca="1">PortfolioCFStatement!G416</f>
        <v>0</v>
      </c>
      <c r="E10" s="1467">
        <f ca="1">PortfolioCFStatement!H416</f>
        <v>0</v>
      </c>
      <c r="F10" s="1467">
        <f ca="1">PortfolioCFStatement!I416</f>
        <v>0</v>
      </c>
      <c r="G10" s="1467">
        <f ca="1">PortfolioCFStatement!J416</f>
        <v>0</v>
      </c>
      <c r="H10" s="1467">
        <f ca="1">PortfolioCFStatement!K416</f>
        <v>0</v>
      </c>
      <c r="I10" s="1467">
        <f ca="1">PortfolioCFStatement!L416</f>
        <v>0</v>
      </c>
      <c r="J10" s="1467">
        <f ca="1">PortfolioCFStatement!M416</f>
        <v>0</v>
      </c>
      <c r="K10" s="1467">
        <f ca="1">PortfolioCFStatement!N416</f>
        <v>0</v>
      </c>
      <c r="L10" s="1467">
        <f ca="1">PortfolioCFStatement!O416</f>
        <v>0</v>
      </c>
      <c r="M10" s="1467">
        <f ca="1">PortfolioCFStatement!P416</f>
        <v>0</v>
      </c>
      <c r="N10" s="1467">
        <f ca="1">PortfolioCFStatement!Q416</f>
        <v>0</v>
      </c>
      <c r="O10" s="1467">
        <f ca="1">PortfolioCFStatement!R416</f>
        <v>0</v>
      </c>
      <c r="P10" s="1467">
        <f ca="1">PortfolioCFStatement!S416</f>
        <v>0</v>
      </c>
      <c r="Q10" s="1467">
        <f ca="1">PortfolioCFStatement!T416</f>
        <v>0</v>
      </c>
      <c r="R10" s="1467">
        <f ca="1">PortfolioCFStatement!U416</f>
        <v>0</v>
      </c>
      <c r="S10" s="1467">
        <f ca="1">PortfolioCFStatement!V416</f>
        <v>0</v>
      </c>
      <c r="T10" s="1467">
        <f ca="1">PortfolioCFStatement!W416</f>
        <v>0</v>
      </c>
      <c r="U10" s="1467">
        <f ca="1">PortfolioCFStatement!X416</f>
        <v>0</v>
      </c>
      <c r="V10" s="1467">
        <f ca="1">PortfolioCFStatement!Y416</f>
        <v>0</v>
      </c>
      <c r="W10" s="1467">
        <f ca="1">PortfolioCFStatement!Z416</f>
        <v>0</v>
      </c>
      <c r="X10" s="1467">
        <f ca="1">PortfolioCFStatement!AA416</f>
        <v>0</v>
      </c>
      <c r="Y10" s="1467">
        <f ca="1">PortfolioCFStatement!AB416</f>
        <v>0</v>
      </c>
      <c r="Z10" s="1467">
        <f ca="1">PortfolioCFStatement!AC416</f>
        <v>0</v>
      </c>
      <c r="AA10" s="1467">
        <f ca="1">PortfolioCFStatement!AD416</f>
        <v>0</v>
      </c>
      <c r="AB10" s="1467">
        <f ca="1">PortfolioCFStatement!AE416</f>
        <v>0</v>
      </c>
      <c r="AC10" s="1467">
        <f ca="1">PortfolioCFStatement!AF416</f>
        <v>0</v>
      </c>
      <c r="AD10" s="1467">
        <f ca="1">PortfolioCFStatement!AG416</f>
        <v>0</v>
      </c>
      <c r="AE10" s="1467">
        <f ca="1">PortfolioCFStatement!AH416</f>
        <v>0</v>
      </c>
      <c r="AF10" s="1467">
        <f ca="1">PortfolioCFStatement!AI416</f>
        <v>0</v>
      </c>
      <c r="AG10" s="1467">
        <f ca="1">PortfolioCFStatement!AJ416</f>
        <v>0</v>
      </c>
      <c r="AH10" s="1467">
        <f ca="1">PortfolioCFStatement!AK416</f>
        <v>0</v>
      </c>
      <c r="AI10" s="1467">
        <f ca="1">PortfolioCFStatement!AL416</f>
        <v>0</v>
      </c>
      <c r="AJ10" s="1467">
        <f ca="1">PortfolioCFStatement!AM416</f>
        <v>0</v>
      </c>
      <c r="AK10" s="1467">
        <f ca="1">PortfolioCFStatement!AN416</f>
        <v>0</v>
      </c>
      <c r="AL10" s="1467">
        <f ca="1">PortfolioCFStatement!AO416</f>
        <v>0</v>
      </c>
      <c r="AM10" s="1467">
        <f ca="1">PortfolioCFStatement!AP416</f>
        <v>0</v>
      </c>
      <c r="AN10" s="1467">
        <f ca="1">PortfolioCFStatement!AQ416</f>
        <v>0</v>
      </c>
      <c r="AO10" s="1467">
        <f ca="1">PortfolioCFStatement!AR416</f>
        <v>0</v>
      </c>
      <c r="AP10" s="1467">
        <f ca="1">PortfolioCFStatement!AS416</f>
        <v>0</v>
      </c>
      <c r="AQ10" s="1467">
        <f ca="1">PortfolioCFStatement!AT416</f>
        <v>0</v>
      </c>
      <c r="AR10" s="1468"/>
      <c r="AS10" s="1467">
        <f t="shared" ca="1" si="0"/>
        <v>0</v>
      </c>
      <c r="AT10" s="1468"/>
      <c r="AU10" s="1467">
        <f t="shared" ca="1" si="1"/>
        <v>0</v>
      </c>
      <c r="AV10" s="1468"/>
      <c r="AW10" s="1467">
        <f t="shared" ca="1" si="2"/>
        <v>0</v>
      </c>
      <c r="AX10" s="1468"/>
      <c r="AY10" s="1467">
        <f t="shared" ca="1" si="3"/>
        <v>0</v>
      </c>
      <c r="AZ10" s="1468"/>
      <c r="BA10" s="1467">
        <f t="shared" ca="1" si="4"/>
        <v>0</v>
      </c>
      <c r="BB10" s="1468"/>
      <c r="BC10" s="1467">
        <f t="shared" ca="1" si="5"/>
        <v>0</v>
      </c>
      <c r="BD10" s="1468"/>
      <c r="BE10" s="1467">
        <f t="shared" ca="1" si="6"/>
        <v>0</v>
      </c>
    </row>
    <row r="11" spans="1:57" s="10" customFormat="1">
      <c r="A11" s="1465" t="str">
        <f ca="1">PortfolioCFStatement!D417</f>
        <v>Reduced Air Travel</v>
      </c>
      <c r="B11" s="1466" t="str">
        <f>PortfolioCFStatement!E417</f>
        <v>2010$</v>
      </c>
      <c r="C11" s="1476">
        <f ca="1">PortfolioCFStatement!F417</f>
        <v>0</v>
      </c>
      <c r="D11" s="1467">
        <f ca="1">PortfolioCFStatement!G417</f>
        <v>0</v>
      </c>
      <c r="E11" s="1467">
        <f ca="1">PortfolioCFStatement!H417</f>
        <v>0</v>
      </c>
      <c r="F11" s="1467">
        <f ca="1">PortfolioCFStatement!I417</f>
        <v>0</v>
      </c>
      <c r="G11" s="1467">
        <f ca="1">PortfolioCFStatement!J417</f>
        <v>0</v>
      </c>
      <c r="H11" s="1467">
        <f ca="1">PortfolioCFStatement!K417</f>
        <v>0</v>
      </c>
      <c r="I11" s="1467">
        <f ca="1">PortfolioCFStatement!L417</f>
        <v>0</v>
      </c>
      <c r="J11" s="1467">
        <f ca="1">PortfolioCFStatement!M417</f>
        <v>0</v>
      </c>
      <c r="K11" s="1467">
        <f ca="1">PortfolioCFStatement!N417</f>
        <v>0</v>
      </c>
      <c r="L11" s="1467">
        <f ca="1">PortfolioCFStatement!O417</f>
        <v>0</v>
      </c>
      <c r="M11" s="1467">
        <f ca="1">PortfolioCFStatement!P417</f>
        <v>0</v>
      </c>
      <c r="N11" s="1467">
        <f ca="1">PortfolioCFStatement!Q417</f>
        <v>0</v>
      </c>
      <c r="O11" s="1467">
        <f ca="1">PortfolioCFStatement!R417</f>
        <v>0</v>
      </c>
      <c r="P11" s="1467">
        <f ca="1">PortfolioCFStatement!S417</f>
        <v>0</v>
      </c>
      <c r="Q11" s="1467">
        <f ca="1">PortfolioCFStatement!T417</f>
        <v>0</v>
      </c>
      <c r="R11" s="1467">
        <f ca="1">PortfolioCFStatement!U417</f>
        <v>0</v>
      </c>
      <c r="S11" s="1467">
        <f ca="1">PortfolioCFStatement!V417</f>
        <v>0</v>
      </c>
      <c r="T11" s="1467">
        <f ca="1">PortfolioCFStatement!W417</f>
        <v>0</v>
      </c>
      <c r="U11" s="1467">
        <f ca="1">PortfolioCFStatement!X417</f>
        <v>0</v>
      </c>
      <c r="V11" s="1467">
        <f ca="1">PortfolioCFStatement!Y417</f>
        <v>0</v>
      </c>
      <c r="W11" s="1467">
        <f ca="1">PortfolioCFStatement!Z417</f>
        <v>0</v>
      </c>
      <c r="X11" s="1467">
        <f ca="1">PortfolioCFStatement!AA417</f>
        <v>0</v>
      </c>
      <c r="Y11" s="1467">
        <f ca="1">PortfolioCFStatement!AB417</f>
        <v>0</v>
      </c>
      <c r="Z11" s="1467">
        <f ca="1">PortfolioCFStatement!AC417</f>
        <v>0</v>
      </c>
      <c r="AA11" s="1467">
        <f ca="1">PortfolioCFStatement!AD417</f>
        <v>0</v>
      </c>
      <c r="AB11" s="1467">
        <f ca="1">PortfolioCFStatement!AE417</f>
        <v>0</v>
      </c>
      <c r="AC11" s="1467">
        <f ca="1">PortfolioCFStatement!AF417</f>
        <v>0</v>
      </c>
      <c r="AD11" s="1467">
        <f ca="1">PortfolioCFStatement!AG417</f>
        <v>0</v>
      </c>
      <c r="AE11" s="1467">
        <f ca="1">PortfolioCFStatement!AH417</f>
        <v>0</v>
      </c>
      <c r="AF11" s="1467">
        <f ca="1">PortfolioCFStatement!AI417</f>
        <v>0</v>
      </c>
      <c r="AG11" s="1467">
        <f ca="1">PortfolioCFStatement!AJ417</f>
        <v>0</v>
      </c>
      <c r="AH11" s="1467">
        <f ca="1">PortfolioCFStatement!AK417</f>
        <v>0</v>
      </c>
      <c r="AI11" s="1467">
        <f ca="1">PortfolioCFStatement!AL417</f>
        <v>0</v>
      </c>
      <c r="AJ11" s="1467">
        <f ca="1">PortfolioCFStatement!AM417</f>
        <v>0</v>
      </c>
      <c r="AK11" s="1467">
        <f ca="1">PortfolioCFStatement!AN417</f>
        <v>0</v>
      </c>
      <c r="AL11" s="1467">
        <f ca="1">PortfolioCFStatement!AO417</f>
        <v>0</v>
      </c>
      <c r="AM11" s="1467">
        <f ca="1">PortfolioCFStatement!AP417</f>
        <v>0</v>
      </c>
      <c r="AN11" s="1467">
        <f ca="1">PortfolioCFStatement!AQ417</f>
        <v>0</v>
      </c>
      <c r="AO11" s="1467">
        <f ca="1">PortfolioCFStatement!AR417</f>
        <v>0</v>
      </c>
      <c r="AP11" s="1467">
        <f ca="1">PortfolioCFStatement!AS417</f>
        <v>0</v>
      </c>
      <c r="AQ11" s="1467">
        <f ca="1">PortfolioCFStatement!AT417</f>
        <v>0</v>
      </c>
      <c r="AR11" s="1468"/>
      <c r="AS11" s="1467">
        <f t="shared" ca="1" si="0"/>
        <v>0</v>
      </c>
      <c r="AT11" s="1468"/>
      <c r="AU11" s="1467">
        <f t="shared" ca="1" si="1"/>
        <v>0</v>
      </c>
      <c r="AV11" s="1468"/>
      <c r="AW11" s="1467">
        <f t="shared" ca="1" si="2"/>
        <v>0</v>
      </c>
      <c r="AX11" s="1468"/>
      <c r="AY11" s="1467">
        <f t="shared" ca="1" si="3"/>
        <v>0</v>
      </c>
      <c r="AZ11" s="1468"/>
      <c r="BA11" s="1467">
        <f t="shared" ca="1" si="4"/>
        <v>0</v>
      </c>
      <c r="BB11" s="1468"/>
      <c r="BC11" s="1467">
        <f t="shared" ca="1" si="5"/>
        <v>0</v>
      </c>
      <c r="BD11" s="1468"/>
      <c r="BE11" s="1467">
        <f t="shared" ca="1" si="6"/>
        <v>0</v>
      </c>
    </row>
    <row r="12" spans="1:57" s="10" customFormat="1">
      <c r="A12" s="1465" t="str">
        <f ca="1">PortfolioCFStatement!D418</f>
        <v>Reduced Automobile Reliance Strategies</v>
      </c>
      <c r="B12" s="1466" t="str">
        <f>PortfolioCFStatement!E418</f>
        <v>2010$</v>
      </c>
      <c r="C12" s="1476">
        <f ca="1">PortfolioCFStatement!F418</f>
        <v>0</v>
      </c>
      <c r="D12" s="1467">
        <f ca="1">PortfolioCFStatement!G418</f>
        <v>0</v>
      </c>
      <c r="E12" s="1467">
        <f ca="1">PortfolioCFStatement!H418</f>
        <v>0</v>
      </c>
      <c r="F12" s="1467">
        <f ca="1">PortfolioCFStatement!I418</f>
        <v>0</v>
      </c>
      <c r="G12" s="1467">
        <f ca="1">PortfolioCFStatement!J418</f>
        <v>0</v>
      </c>
      <c r="H12" s="1467">
        <f ca="1">PortfolioCFStatement!K418</f>
        <v>0</v>
      </c>
      <c r="I12" s="1467">
        <f ca="1">PortfolioCFStatement!L418</f>
        <v>0</v>
      </c>
      <c r="J12" s="1467">
        <f ca="1">PortfolioCFStatement!M418</f>
        <v>0</v>
      </c>
      <c r="K12" s="1467">
        <f ca="1">PortfolioCFStatement!N418</f>
        <v>0</v>
      </c>
      <c r="L12" s="1467">
        <f ca="1">PortfolioCFStatement!O418</f>
        <v>0</v>
      </c>
      <c r="M12" s="1467">
        <f ca="1">PortfolioCFStatement!P418</f>
        <v>0</v>
      </c>
      <c r="N12" s="1467">
        <f ca="1">PortfolioCFStatement!Q418</f>
        <v>0</v>
      </c>
      <c r="O12" s="1467">
        <f ca="1">PortfolioCFStatement!R418</f>
        <v>0</v>
      </c>
      <c r="P12" s="1467">
        <f ca="1">PortfolioCFStatement!S418</f>
        <v>0</v>
      </c>
      <c r="Q12" s="1467">
        <f ca="1">PortfolioCFStatement!T418</f>
        <v>0</v>
      </c>
      <c r="R12" s="1467">
        <f ca="1">PortfolioCFStatement!U418</f>
        <v>0</v>
      </c>
      <c r="S12" s="1467">
        <f ca="1">PortfolioCFStatement!V418</f>
        <v>0</v>
      </c>
      <c r="T12" s="1467">
        <f ca="1">PortfolioCFStatement!W418</f>
        <v>0</v>
      </c>
      <c r="U12" s="1467">
        <f ca="1">PortfolioCFStatement!X418</f>
        <v>0</v>
      </c>
      <c r="V12" s="1467">
        <f ca="1">PortfolioCFStatement!Y418</f>
        <v>0</v>
      </c>
      <c r="W12" s="1467">
        <f ca="1">PortfolioCFStatement!Z418</f>
        <v>0</v>
      </c>
      <c r="X12" s="1467">
        <f ca="1">PortfolioCFStatement!AA418</f>
        <v>0</v>
      </c>
      <c r="Y12" s="1467">
        <f ca="1">PortfolioCFStatement!AB418</f>
        <v>0</v>
      </c>
      <c r="Z12" s="1467">
        <f ca="1">PortfolioCFStatement!AC418</f>
        <v>0</v>
      </c>
      <c r="AA12" s="1467">
        <f ca="1">PortfolioCFStatement!AD418</f>
        <v>0</v>
      </c>
      <c r="AB12" s="1467">
        <f ca="1">PortfolioCFStatement!AE418</f>
        <v>0</v>
      </c>
      <c r="AC12" s="1467">
        <f ca="1">PortfolioCFStatement!AF418</f>
        <v>0</v>
      </c>
      <c r="AD12" s="1467">
        <f ca="1">PortfolioCFStatement!AG418</f>
        <v>0</v>
      </c>
      <c r="AE12" s="1467">
        <f ca="1">PortfolioCFStatement!AH418</f>
        <v>0</v>
      </c>
      <c r="AF12" s="1467">
        <f ca="1">PortfolioCFStatement!AI418</f>
        <v>0</v>
      </c>
      <c r="AG12" s="1467">
        <f ca="1">PortfolioCFStatement!AJ418</f>
        <v>0</v>
      </c>
      <c r="AH12" s="1467">
        <f ca="1">PortfolioCFStatement!AK418</f>
        <v>0</v>
      </c>
      <c r="AI12" s="1467">
        <f ca="1">PortfolioCFStatement!AL418</f>
        <v>0</v>
      </c>
      <c r="AJ12" s="1467">
        <f ca="1">PortfolioCFStatement!AM418</f>
        <v>0</v>
      </c>
      <c r="AK12" s="1467">
        <f ca="1">PortfolioCFStatement!AN418</f>
        <v>0</v>
      </c>
      <c r="AL12" s="1467">
        <f ca="1">PortfolioCFStatement!AO418</f>
        <v>0</v>
      </c>
      <c r="AM12" s="1467">
        <f ca="1">PortfolioCFStatement!AP418</f>
        <v>0</v>
      </c>
      <c r="AN12" s="1467">
        <f ca="1">PortfolioCFStatement!AQ418</f>
        <v>0</v>
      </c>
      <c r="AO12" s="1467">
        <f ca="1">PortfolioCFStatement!AR418</f>
        <v>0</v>
      </c>
      <c r="AP12" s="1467">
        <f ca="1">PortfolioCFStatement!AS418</f>
        <v>0</v>
      </c>
      <c r="AQ12" s="1467">
        <f ca="1">PortfolioCFStatement!AT418</f>
        <v>0</v>
      </c>
      <c r="AR12" s="1468"/>
      <c r="AS12" s="1467">
        <f t="shared" ca="1" si="0"/>
        <v>0</v>
      </c>
      <c r="AT12" s="1468"/>
      <c r="AU12" s="1467">
        <f t="shared" ca="1" si="1"/>
        <v>0</v>
      </c>
      <c r="AV12" s="1468"/>
      <c r="AW12" s="1467">
        <f t="shared" ca="1" si="2"/>
        <v>0</v>
      </c>
      <c r="AX12" s="1468"/>
      <c r="AY12" s="1467">
        <f t="shared" ca="1" si="3"/>
        <v>0</v>
      </c>
      <c r="AZ12" s="1468"/>
      <c r="BA12" s="1467">
        <f t="shared" ca="1" si="4"/>
        <v>0</v>
      </c>
      <c r="BB12" s="1468"/>
      <c r="BC12" s="1467">
        <f t="shared" ca="1" si="5"/>
        <v>0</v>
      </c>
      <c r="BD12" s="1468"/>
      <c r="BE12" s="1467">
        <f t="shared" ca="1" si="6"/>
        <v>0</v>
      </c>
    </row>
    <row r="13" spans="1:57" s="10" customFormat="1">
      <c r="A13" s="1465" t="str">
        <f ca="1">PortfolioCFStatement!D419</f>
        <v>Waste Reduction</v>
      </c>
      <c r="B13" s="1466" t="str">
        <f>PortfolioCFStatement!E419</f>
        <v>2010$</v>
      </c>
      <c r="C13" s="1476">
        <f ca="1">PortfolioCFStatement!F419</f>
        <v>0</v>
      </c>
      <c r="D13" s="1467">
        <f ca="1">PortfolioCFStatement!G419</f>
        <v>0</v>
      </c>
      <c r="E13" s="1467">
        <f ca="1">PortfolioCFStatement!H419</f>
        <v>0</v>
      </c>
      <c r="F13" s="1467">
        <f ca="1">PortfolioCFStatement!I419</f>
        <v>0</v>
      </c>
      <c r="G13" s="1467">
        <f ca="1">PortfolioCFStatement!J419</f>
        <v>0</v>
      </c>
      <c r="H13" s="1467">
        <f ca="1">PortfolioCFStatement!K419</f>
        <v>0</v>
      </c>
      <c r="I13" s="1467">
        <f ca="1">PortfolioCFStatement!L419</f>
        <v>0</v>
      </c>
      <c r="J13" s="1467">
        <f ca="1">PortfolioCFStatement!M419</f>
        <v>0</v>
      </c>
      <c r="K13" s="1467">
        <f ca="1">PortfolioCFStatement!N419</f>
        <v>0</v>
      </c>
      <c r="L13" s="1467">
        <f ca="1">PortfolioCFStatement!O419</f>
        <v>0</v>
      </c>
      <c r="M13" s="1467">
        <f ca="1">PortfolioCFStatement!P419</f>
        <v>0</v>
      </c>
      <c r="N13" s="1467">
        <f ca="1">PortfolioCFStatement!Q419</f>
        <v>0</v>
      </c>
      <c r="O13" s="1467">
        <f ca="1">PortfolioCFStatement!R419</f>
        <v>0</v>
      </c>
      <c r="P13" s="1467">
        <f ca="1">PortfolioCFStatement!S419</f>
        <v>0</v>
      </c>
      <c r="Q13" s="1467">
        <f ca="1">PortfolioCFStatement!T419</f>
        <v>0</v>
      </c>
      <c r="R13" s="1467">
        <f ca="1">PortfolioCFStatement!U419</f>
        <v>0</v>
      </c>
      <c r="S13" s="1467">
        <f ca="1">PortfolioCFStatement!V419</f>
        <v>0</v>
      </c>
      <c r="T13" s="1467">
        <f ca="1">PortfolioCFStatement!W419</f>
        <v>0</v>
      </c>
      <c r="U13" s="1467">
        <f ca="1">PortfolioCFStatement!X419</f>
        <v>0</v>
      </c>
      <c r="V13" s="1467">
        <f ca="1">PortfolioCFStatement!Y419</f>
        <v>0</v>
      </c>
      <c r="W13" s="1467">
        <f ca="1">PortfolioCFStatement!Z419</f>
        <v>0</v>
      </c>
      <c r="X13" s="1467">
        <f ca="1">PortfolioCFStatement!AA419</f>
        <v>0</v>
      </c>
      <c r="Y13" s="1467">
        <f ca="1">PortfolioCFStatement!AB419</f>
        <v>0</v>
      </c>
      <c r="Z13" s="1467">
        <f ca="1">PortfolioCFStatement!AC419</f>
        <v>0</v>
      </c>
      <c r="AA13" s="1467">
        <f ca="1">PortfolioCFStatement!AD419</f>
        <v>0</v>
      </c>
      <c r="AB13" s="1467">
        <f ca="1">PortfolioCFStatement!AE419</f>
        <v>0</v>
      </c>
      <c r="AC13" s="1467">
        <f ca="1">PortfolioCFStatement!AF419</f>
        <v>0</v>
      </c>
      <c r="AD13" s="1467">
        <f ca="1">PortfolioCFStatement!AG419</f>
        <v>0</v>
      </c>
      <c r="AE13" s="1467">
        <f ca="1">PortfolioCFStatement!AH419</f>
        <v>0</v>
      </c>
      <c r="AF13" s="1467">
        <f ca="1">PortfolioCFStatement!AI419</f>
        <v>0</v>
      </c>
      <c r="AG13" s="1467">
        <f ca="1">PortfolioCFStatement!AJ419</f>
        <v>0</v>
      </c>
      <c r="AH13" s="1467">
        <f ca="1">PortfolioCFStatement!AK419</f>
        <v>0</v>
      </c>
      <c r="AI13" s="1467">
        <f ca="1">PortfolioCFStatement!AL419</f>
        <v>0</v>
      </c>
      <c r="AJ13" s="1467">
        <f ca="1">PortfolioCFStatement!AM419</f>
        <v>0</v>
      </c>
      <c r="AK13" s="1467">
        <f ca="1">PortfolioCFStatement!AN419</f>
        <v>0</v>
      </c>
      <c r="AL13" s="1467">
        <f ca="1">PortfolioCFStatement!AO419</f>
        <v>0</v>
      </c>
      <c r="AM13" s="1467">
        <f ca="1">PortfolioCFStatement!AP419</f>
        <v>0</v>
      </c>
      <c r="AN13" s="1467">
        <f ca="1">PortfolioCFStatement!AQ419</f>
        <v>0</v>
      </c>
      <c r="AO13" s="1467">
        <f ca="1">PortfolioCFStatement!AR419</f>
        <v>0</v>
      </c>
      <c r="AP13" s="1467">
        <f ca="1">PortfolioCFStatement!AS419</f>
        <v>0</v>
      </c>
      <c r="AQ13" s="1467">
        <f ca="1">PortfolioCFStatement!AT419</f>
        <v>0</v>
      </c>
      <c r="AR13" s="1468"/>
      <c r="AS13" s="1467">
        <f t="shared" ca="1" si="0"/>
        <v>0</v>
      </c>
      <c r="AT13" s="1468"/>
      <c r="AU13" s="1467">
        <f t="shared" ca="1" si="1"/>
        <v>0</v>
      </c>
      <c r="AV13" s="1468"/>
      <c r="AW13" s="1467">
        <f t="shared" ca="1" si="2"/>
        <v>0</v>
      </c>
      <c r="AX13" s="1468"/>
      <c r="AY13" s="1467">
        <f t="shared" ca="1" si="3"/>
        <v>0</v>
      </c>
      <c r="AZ13" s="1468"/>
      <c r="BA13" s="1467">
        <f t="shared" ca="1" si="4"/>
        <v>0</v>
      </c>
      <c r="BB13" s="1468"/>
      <c r="BC13" s="1467">
        <f t="shared" ca="1" si="5"/>
        <v>0</v>
      </c>
      <c r="BD13" s="1468"/>
      <c r="BE13" s="1467">
        <f t="shared" ca="1" si="6"/>
        <v>0</v>
      </c>
    </row>
    <row r="14" spans="1:57" s="10" customFormat="1">
      <c r="A14" s="1465" t="str">
        <f ca="1">PortfolioCFStatement!D420</f>
        <v>Steam Line Improvements</v>
      </c>
      <c r="B14" s="1466" t="str">
        <f>PortfolioCFStatement!E420</f>
        <v>2010$</v>
      </c>
      <c r="C14" s="1476">
        <f ca="1">PortfolioCFStatement!F420</f>
        <v>0</v>
      </c>
      <c r="D14" s="1467">
        <f ca="1">PortfolioCFStatement!G420</f>
        <v>0</v>
      </c>
      <c r="E14" s="1467">
        <f ca="1">PortfolioCFStatement!H420</f>
        <v>0</v>
      </c>
      <c r="F14" s="1467">
        <f ca="1">PortfolioCFStatement!I420</f>
        <v>0</v>
      </c>
      <c r="G14" s="1467">
        <f ca="1">PortfolioCFStatement!J420</f>
        <v>0</v>
      </c>
      <c r="H14" s="1467">
        <f ca="1">PortfolioCFStatement!K420</f>
        <v>0</v>
      </c>
      <c r="I14" s="1467">
        <f ca="1">PortfolioCFStatement!L420</f>
        <v>0</v>
      </c>
      <c r="J14" s="1467">
        <f ca="1">PortfolioCFStatement!M420</f>
        <v>0</v>
      </c>
      <c r="K14" s="1467">
        <f ca="1">PortfolioCFStatement!N420</f>
        <v>0</v>
      </c>
      <c r="L14" s="1467">
        <f ca="1">PortfolioCFStatement!O420</f>
        <v>0</v>
      </c>
      <c r="M14" s="1467">
        <f ca="1">PortfolioCFStatement!P420</f>
        <v>0</v>
      </c>
      <c r="N14" s="1467">
        <f ca="1">PortfolioCFStatement!Q420</f>
        <v>0</v>
      </c>
      <c r="O14" s="1467">
        <f ca="1">PortfolioCFStatement!R420</f>
        <v>0</v>
      </c>
      <c r="P14" s="1467">
        <f ca="1">PortfolioCFStatement!S420</f>
        <v>0</v>
      </c>
      <c r="Q14" s="1467">
        <f ca="1">PortfolioCFStatement!T420</f>
        <v>0</v>
      </c>
      <c r="R14" s="1467">
        <f ca="1">PortfolioCFStatement!U420</f>
        <v>0</v>
      </c>
      <c r="S14" s="1467">
        <f ca="1">PortfolioCFStatement!V420</f>
        <v>0</v>
      </c>
      <c r="T14" s="1467">
        <f ca="1">PortfolioCFStatement!W420</f>
        <v>0</v>
      </c>
      <c r="U14" s="1467">
        <f ca="1">PortfolioCFStatement!X420</f>
        <v>0</v>
      </c>
      <c r="V14" s="1467">
        <f ca="1">PortfolioCFStatement!Y420</f>
        <v>0</v>
      </c>
      <c r="W14" s="1467">
        <f ca="1">PortfolioCFStatement!Z420</f>
        <v>0</v>
      </c>
      <c r="X14" s="1467">
        <f ca="1">PortfolioCFStatement!AA420</f>
        <v>0</v>
      </c>
      <c r="Y14" s="1467">
        <f ca="1">PortfolioCFStatement!AB420</f>
        <v>0</v>
      </c>
      <c r="Z14" s="1467">
        <f ca="1">PortfolioCFStatement!AC420</f>
        <v>0</v>
      </c>
      <c r="AA14" s="1467">
        <f ca="1">PortfolioCFStatement!AD420</f>
        <v>0</v>
      </c>
      <c r="AB14" s="1467">
        <f ca="1">PortfolioCFStatement!AE420</f>
        <v>0</v>
      </c>
      <c r="AC14" s="1467">
        <f ca="1">PortfolioCFStatement!AF420</f>
        <v>0</v>
      </c>
      <c r="AD14" s="1467">
        <f ca="1">PortfolioCFStatement!AG420</f>
        <v>0</v>
      </c>
      <c r="AE14" s="1467">
        <f ca="1">PortfolioCFStatement!AH420</f>
        <v>0</v>
      </c>
      <c r="AF14" s="1467">
        <f ca="1">PortfolioCFStatement!AI420</f>
        <v>0</v>
      </c>
      <c r="AG14" s="1467">
        <f ca="1">PortfolioCFStatement!AJ420</f>
        <v>0</v>
      </c>
      <c r="AH14" s="1467">
        <f ca="1">PortfolioCFStatement!AK420</f>
        <v>0</v>
      </c>
      <c r="AI14" s="1467">
        <f ca="1">PortfolioCFStatement!AL420</f>
        <v>0</v>
      </c>
      <c r="AJ14" s="1467">
        <f ca="1">PortfolioCFStatement!AM420</f>
        <v>0</v>
      </c>
      <c r="AK14" s="1467">
        <f ca="1">PortfolioCFStatement!AN420</f>
        <v>0</v>
      </c>
      <c r="AL14" s="1467">
        <f ca="1">PortfolioCFStatement!AO420</f>
        <v>0</v>
      </c>
      <c r="AM14" s="1467">
        <f ca="1">PortfolioCFStatement!AP420</f>
        <v>0</v>
      </c>
      <c r="AN14" s="1467">
        <f ca="1">PortfolioCFStatement!AQ420</f>
        <v>0</v>
      </c>
      <c r="AO14" s="1467">
        <f ca="1">PortfolioCFStatement!AR420</f>
        <v>0</v>
      </c>
      <c r="AP14" s="1467">
        <f ca="1">PortfolioCFStatement!AS420</f>
        <v>0</v>
      </c>
      <c r="AQ14" s="1467">
        <f ca="1">PortfolioCFStatement!AT420</f>
        <v>0</v>
      </c>
      <c r="AR14" s="1468"/>
      <c r="AS14" s="1467">
        <f t="shared" ca="1" si="0"/>
        <v>0</v>
      </c>
      <c r="AT14" s="1468"/>
      <c r="AU14" s="1467">
        <f t="shared" ca="1" si="1"/>
        <v>0</v>
      </c>
      <c r="AV14" s="1468"/>
      <c r="AW14" s="1467">
        <f t="shared" ca="1" si="2"/>
        <v>0</v>
      </c>
      <c r="AX14" s="1468"/>
      <c r="AY14" s="1467">
        <f t="shared" ca="1" si="3"/>
        <v>0</v>
      </c>
      <c r="AZ14" s="1468"/>
      <c r="BA14" s="1467">
        <f t="shared" ca="1" si="4"/>
        <v>0</v>
      </c>
      <c r="BB14" s="1468"/>
      <c r="BC14" s="1467">
        <f t="shared" ca="1" si="5"/>
        <v>0</v>
      </c>
      <c r="BD14" s="1468"/>
      <c r="BE14" s="1467">
        <f t="shared" ca="1" si="6"/>
        <v>0</v>
      </c>
    </row>
    <row r="15" spans="1:57" s="10" customFormat="1">
      <c r="A15" s="1465" t="str">
        <f ca="1">PortfolioCFStatement!D421</f>
        <v>Coal to Natural Gas Conversion @ Steam Plant</v>
      </c>
      <c r="B15" s="1466" t="str">
        <f>PortfolioCFStatement!E421</f>
        <v>2010$</v>
      </c>
      <c r="C15" s="1476">
        <f ca="1">PortfolioCFStatement!F421</f>
        <v>0</v>
      </c>
      <c r="D15" s="1467">
        <f ca="1">PortfolioCFStatement!G421</f>
        <v>0</v>
      </c>
      <c r="E15" s="1467">
        <f ca="1">PortfolioCFStatement!H421</f>
        <v>0</v>
      </c>
      <c r="F15" s="1467">
        <f ca="1">PortfolioCFStatement!I421</f>
        <v>0</v>
      </c>
      <c r="G15" s="1467">
        <f ca="1">PortfolioCFStatement!J421</f>
        <v>0</v>
      </c>
      <c r="H15" s="1467">
        <f ca="1">PortfolioCFStatement!K421</f>
        <v>0</v>
      </c>
      <c r="I15" s="1467">
        <f ca="1">PortfolioCFStatement!L421</f>
        <v>0</v>
      </c>
      <c r="J15" s="1467">
        <f ca="1">PortfolioCFStatement!M421</f>
        <v>0</v>
      </c>
      <c r="K15" s="1467">
        <f ca="1">PortfolioCFStatement!N421</f>
        <v>0</v>
      </c>
      <c r="L15" s="1467">
        <f ca="1">PortfolioCFStatement!O421</f>
        <v>0</v>
      </c>
      <c r="M15" s="1467">
        <f ca="1">PortfolioCFStatement!P421</f>
        <v>0</v>
      </c>
      <c r="N15" s="1467">
        <f ca="1">PortfolioCFStatement!Q421</f>
        <v>0</v>
      </c>
      <c r="O15" s="1467">
        <f ca="1">PortfolioCFStatement!R421</f>
        <v>0</v>
      </c>
      <c r="P15" s="1467">
        <f ca="1">PortfolioCFStatement!S421</f>
        <v>0</v>
      </c>
      <c r="Q15" s="1467">
        <f ca="1">PortfolioCFStatement!T421</f>
        <v>0</v>
      </c>
      <c r="R15" s="1467">
        <f ca="1">PortfolioCFStatement!U421</f>
        <v>0</v>
      </c>
      <c r="S15" s="1467">
        <f ca="1">PortfolioCFStatement!V421</f>
        <v>0</v>
      </c>
      <c r="T15" s="1467">
        <f ca="1">PortfolioCFStatement!W421</f>
        <v>0</v>
      </c>
      <c r="U15" s="1467">
        <f ca="1">PortfolioCFStatement!X421</f>
        <v>0</v>
      </c>
      <c r="V15" s="1467">
        <f ca="1">PortfolioCFStatement!Y421</f>
        <v>0</v>
      </c>
      <c r="W15" s="1467">
        <f ca="1">PortfolioCFStatement!Z421</f>
        <v>0</v>
      </c>
      <c r="X15" s="1467">
        <f ca="1">PortfolioCFStatement!AA421</f>
        <v>0</v>
      </c>
      <c r="Y15" s="1467">
        <f ca="1">PortfolioCFStatement!AB421</f>
        <v>0</v>
      </c>
      <c r="Z15" s="1467">
        <f ca="1">PortfolioCFStatement!AC421</f>
        <v>0</v>
      </c>
      <c r="AA15" s="1467">
        <f ca="1">PortfolioCFStatement!AD421</f>
        <v>0</v>
      </c>
      <c r="AB15" s="1467">
        <f ca="1">PortfolioCFStatement!AE421</f>
        <v>0</v>
      </c>
      <c r="AC15" s="1467">
        <f ca="1">PortfolioCFStatement!AF421</f>
        <v>0</v>
      </c>
      <c r="AD15" s="1467">
        <f ca="1">PortfolioCFStatement!AG421</f>
        <v>0</v>
      </c>
      <c r="AE15" s="1467">
        <f ca="1">PortfolioCFStatement!AH421</f>
        <v>0</v>
      </c>
      <c r="AF15" s="1467">
        <f ca="1">PortfolioCFStatement!AI421</f>
        <v>0</v>
      </c>
      <c r="AG15" s="1467">
        <f ca="1">PortfolioCFStatement!AJ421</f>
        <v>0</v>
      </c>
      <c r="AH15" s="1467">
        <f ca="1">PortfolioCFStatement!AK421</f>
        <v>0</v>
      </c>
      <c r="AI15" s="1467">
        <f ca="1">PortfolioCFStatement!AL421</f>
        <v>0</v>
      </c>
      <c r="AJ15" s="1467">
        <f ca="1">PortfolioCFStatement!AM421</f>
        <v>0</v>
      </c>
      <c r="AK15" s="1467">
        <f ca="1">PortfolioCFStatement!AN421</f>
        <v>0</v>
      </c>
      <c r="AL15" s="1467">
        <f ca="1">PortfolioCFStatement!AO421</f>
        <v>0</v>
      </c>
      <c r="AM15" s="1467">
        <f ca="1">PortfolioCFStatement!AP421</f>
        <v>0</v>
      </c>
      <c r="AN15" s="1467">
        <f ca="1">PortfolioCFStatement!AQ421</f>
        <v>0</v>
      </c>
      <c r="AO15" s="1467">
        <f ca="1">PortfolioCFStatement!AR421</f>
        <v>0</v>
      </c>
      <c r="AP15" s="1467">
        <f ca="1">PortfolioCFStatement!AS421</f>
        <v>0</v>
      </c>
      <c r="AQ15" s="1467">
        <f ca="1">PortfolioCFStatement!AT421</f>
        <v>0</v>
      </c>
      <c r="AR15" s="1468"/>
      <c r="AS15" s="1467">
        <f t="shared" ca="1" si="0"/>
        <v>0</v>
      </c>
      <c r="AT15" s="1468"/>
      <c r="AU15" s="1467">
        <f t="shared" ca="1" si="1"/>
        <v>0</v>
      </c>
      <c r="AV15" s="1468"/>
      <c r="AW15" s="1467">
        <f t="shared" ca="1" si="2"/>
        <v>0</v>
      </c>
      <c r="AX15" s="1468"/>
      <c r="AY15" s="1467">
        <f t="shared" ca="1" si="3"/>
        <v>0</v>
      </c>
      <c r="AZ15" s="1468"/>
      <c r="BA15" s="1467">
        <f t="shared" ca="1" si="4"/>
        <v>0</v>
      </c>
      <c r="BB15" s="1468"/>
      <c r="BC15" s="1467">
        <f t="shared" ca="1" si="5"/>
        <v>0</v>
      </c>
      <c r="BD15" s="1468"/>
      <c r="BE15" s="1467">
        <f t="shared" ca="1" si="6"/>
        <v>0</v>
      </c>
    </row>
    <row r="16" spans="1:57" s="10" customFormat="1">
      <c r="A16" s="1465" t="str">
        <f ca="1">PortfolioCFStatement!D422</f>
        <v>On-site Wind</v>
      </c>
      <c r="B16" s="1466" t="str">
        <f>PortfolioCFStatement!E422</f>
        <v>2010$</v>
      </c>
      <c r="C16" s="1476">
        <f ca="1">PortfolioCFStatement!F422</f>
        <v>0</v>
      </c>
      <c r="D16" s="1467">
        <f ca="1">PortfolioCFStatement!G422</f>
        <v>0</v>
      </c>
      <c r="E16" s="1467">
        <f ca="1">PortfolioCFStatement!H422</f>
        <v>0</v>
      </c>
      <c r="F16" s="1467">
        <f ca="1">PortfolioCFStatement!I422</f>
        <v>0</v>
      </c>
      <c r="G16" s="1467">
        <f ca="1">PortfolioCFStatement!J422</f>
        <v>0</v>
      </c>
      <c r="H16" s="1467">
        <f ca="1">PortfolioCFStatement!K422</f>
        <v>0</v>
      </c>
      <c r="I16" s="1467">
        <f ca="1">PortfolioCFStatement!L422</f>
        <v>0</v>
      </c>
      <c r="J16" s="1467">
        <f ca="1">PortfolioCFStatement!M422</f>
        <v>0</v>
      </c>
      <c r="K16" s="1467">
        <f ca="1">PortfolioCFStatement!N422</f>
        <v>0</v>
      </c>
      <c r="L16" s="1467">
        <f ca="1">PortfolioCFStatement!O422</f>
        <v>0</v>
      </c>
      <c r="M16" s="1467">
        <f ca="1">PortfolioCFStatement!P422</f>
        <v>0</v>
      </c>
      <c r="N16" s="1467">
        <f ca="1">PortfolioCFStatement!Q422</f>
        <v>0</v>
      </c>
      <c r="O16" s="1467">
        <f ca="1">PortfolioCFStatement!R422</f>
        <v>0</v>
      </c>
      <c r="P16" s="1467">
        <f ca="1">PortfolioCFStatement!S422</f>
        <v>0</v>
      </c>
      <c r="Q16" s="1467">
        <f ca="1">PortfolioCFStatement!T422</f>
        <v>0</v>
      </c>
      <c r="R16" s="1467">
        <f ca="1">PortfolioCFStatement!U422</f>
        <v>0</v>
      </c>
      <c r="S16" s="1467">
        <f ca="1">PortfolioCFStatement!V422</f>
        <v>0</v>
      </c>
      <c r="T16" s="1467">
        <f ca="1">PortfolioCFStatement!W422</f>
        <v>0</v>
      </c>
      <c r="U16" s="1467">
        <f ca="1">PortfolioCFStatement!X422</f>
        <v>0</v>
      </c>
      <c r="V16" s="1467">
        <f ca="1">PortfolioCFStatement!Y422</f>
        <v>0</v>
      </c>
      <c r="W16" s="1467">
        <f ca="1">PortfolioCFStatement!Z422</f>
        <v>0</v>
      </c>
      <c r="X16" s="1467">
        <f ca="1">PortfolioCFStatement!AA422</f>
        <v>0</v>
      </c>
      <c r="Y16" s="1467">
        <f ca="1">PortfolioCFStatement!AB422</f>
        <v>0</v>
      </c>
      <c r="Z16" s="1467">
        <f ca="1">PortfolioCFStatement!AC422</f>
        <v>0</v>
      </c>
      <c r="AA16" s="1467">
        <f ca="1">PortfolioCFStatement!AD422</f>
        <v>0</v>
      </c>
      <c r="AB16" s="1467">
        <f ca="1">PortfolioCFStatement!AE422</f>
        <v>0</v>
      </c>
      <c r="AC16" s="1467">
        <f ca="1">PortfolioCFStatement!AF422</f>
        <v>0</v>
      </c>
      <c r="AD16" s="1467">
        <f ca="1">PortfolioCFStatement!AG422</f>
        <v>0</v>
      </c>
      <c r="AE16" s="1467">
        <f ca="1">PortfolioCFStatement!AH422</f>
        <v>0</v>
      </c>
      <c r="AF16" s="1467">
        <f ca="1">PortfolioCFStatement!AI422</f>
        <v>0</v>
      </c>
      <c r="AG16" s="1467">
        <f ca="1">PortfolioCFStatement!AJ422</f>
        <v>0</v>
      </c>
      <c r="AH16" s="1467">
        <f ca="1">PortfolioCFStatement!AK422</f>
        <v>0</v>
      </c>
      <c r="AI16" s="1467">
        <f ca="1">PortfolioCFStatement!AL422</f>
        <v>0</v>
      </c>
      <c r="AJ16" s="1467">
        <f ca="1">PortfolioCFStatement!AM422</f>
        <v>0</v>
      </c>
      <c r="AK16" s="1467">
        <f ca="1">PortfolioCFStatement!AN422</f>
        <v>0</v>
      </c>
      <c r="AL16" s="1467">
        <f ca="1">PortfolioCFStatement!AO422</f>
        <v>0</v>
      </c>
      <c r="AM16" s="1467">
        <f ca="1">PortfolioCFStatement!AP422</f>
        <v>0</v>
      </c>
      <c r="AN16" s="1467">
        <f ca="1">PortfolioCFStatement!AQ422</f>
        <v>0</v>
      </c>
      <c r="AO16" s="1467">
        <f ca="1">PortfolioCFStatement!AR422</f>
        <v>0</v>
      </c>
      <c r="AP16" s="1467">
        <f ca="1">PortfolioCFStatement!AS422</f>
        <v>0</v>
      </c>
      <c r="AQ16" s="1467">
        <f ca="1">PortfolioCFStatement!AT422</f>
        <v>0</v>
      </c>
      <c r="AR16" s="1468"/>
      <c r="AS16" s="1467">
        <f t="shared" ca="1" si="0"/>
        <v>0</v>
      </c>
      <c r="AT16" s="1468"/>
      <c r="AU16" s="1467">
        <f t="shared" ca="1" si="1"/>
        <v>0</v>
      </c>
      <c r="AV16" s="1468"/>
      <c r="AW16" s="1467">
        <f t="shared" ca="1" si="2"/>
        <v>0</v>
      </c>
      <c r="AX16" s="1468"/>
      <c r="AY16" s="1467">
        <f t="shared" ca="1" si="3"/>
        <v>0</v>
      </c>
      <c r="AZ16" s="1468"/>
      <c r="BA16" s="1467">
        <f t="shared" ca="1" si="4"/>
        <v>0</v>
      </c>
      <c r="BB16" s="1468"/>
      <c r="BC16" s="1467">
        <f t="shared" ca="1" si="5"/>
        <v>0</v>
      </c>
      <c r="BD16" s="1468"/>
      <c r="BE16" s="1467">
        <f t="shared" ca="1" si="6"/>
        <v>0</v>
      </c>
    </row>
    <row r="17" spans="1:57" s="10" customFormat="1">
      <c r="A17" s="1465" t="str">
        <f ca="1">PortfolioCFStatement!D423</f>
        <v>Solar DHW</v>
      </c>
      <c r="B17" s="1466" t="str">
        <f>PortfolioCFStatement!E423</f>
        <v>2010$</v>
      </c>
      <c r="C17" s="1476">
        <f ca="1">PortfolioCFStatement!F423</f>
        <v>0</v>
      </c>
      <c r="D17" s="1467">
        <f ca="1">PortfolioCFStatement!G423</f>
        <v>0</v>
      </c>
      <c r="E17" s="1467">
        <f ca="1">PortfolioCFStatement!H423</f>
        <v>0</v>
      </c>
      <c r="F17" s="1467">
        <f ca="1">PortfolioCFStatement!I423</f>
        <v>0</v>
      </c>
      <c r="G17" s="1467">
        <f ca="1">PortfolioCFStatement!J423</f>
        <v>0</v>
      </c>
      <c r="H17" s="1467">
        <f ca="1">PortfolioCFStatement!K423</f>
        <v>0</v>
      </c>
      <c r="I17" s="1467">
        <f ca="1">PortfolioCFStatement!L423</f>
        <v>0</v>
      </c>
      <c r="J17" s="1467">
        <f ca="1">PortfolioCFStatement!M423</f>
        <v>0</v>
      </c>
      <c r="K17" s="1467">
        <f ca="1">PortfolioCFStatement!N423</f>
        <v>0</v>
      </c>
      <c r="L17" s="1467">
        <f ca="1">PortfolioCFStatement!O423</f>
        <v>0</v>
      </c>
      <c r="M17" s="1467">
        <f ca="1">PortfolioCFStatement!P423</f>
        <v>0</v>
      </c>
      <c r="N17" s="1467">
        <f ca="1">PortfolioCFStatement!Q423</f>
        <v>0</v>
      </c>
      <c r="O17" s="1467">
        <f ca="1">PortfolioCFStatement!R423</f>
        <v>0</v>
      </c>
      <c r="P17" s="1467">
        <f ca="1">PortfolioCFStatement!S423</f>
        <v>0</v>
      </c>
      <c r="Q17" s="1467">
        <f ca="1">PortfolioCFStatement!T423</f>
        <v>0</v>
      </c>
      <c r="R17" s="1467">
        <f ca="1">PortfolioCFStatement!U423</f>
        <v>0</v>
      </c>
      <c r="S17" s="1467">
        <f ca="1">PortfolioCFStatement!V423</f>
        <v>0</v>
      </c>
      <c r="T17" s="1467">
        <f ca="1">PortfolioCFStatement!W423</f>
        <v>0</v>
      </c>
      <c r="U17" s="1467">
        <f ca="1">PortfolioCFStatement!X423</f>
        <v>0</v>
      </c>
      <c r="V17" s="1467">
        <f ca="1">PortfolioCFStatement!Y423</f>
        <v>0</v>
      </c>
      <c r="W17" s="1467">
        <f ca="1">PortfolioCFStatement!Z423</f>
        <v>0</v>
      </c>
      <c r="X17" s="1467">
        <f ca="1">PortfolioCFStatement!AA423</f>
        <v>0</v>
      </c>
      <c r="Y17" s="1467">
        <f ca="1">PortfolioCFStatement!AB423</f>
        <v>0</v>
      </c>
      <c r="Z17" s="1467">
        <f ca="1">PortfolioCFStatement!AC423</f>
        <v>0</v>
      </c>
      <c r="AA17" s="1467">
        <f ca="1">PortfolioCFStatement!AD423</f>
        <v>0</v>
      </c>
      <c r="AB17" s="1467">
        <f ca="1">PortfolioCFStatement!AE423</f>
        <v>0</v>
      </c>
      <c r="AC17" s="1467">
        <f ca="1">PortfolioCFStatement!AF423</f>
        <v>0</v>
      </c>
      <c r="AD17" s="1467">
        <f ca="1">PortfolioCFStatement!AG423</f>
        <v>0</v>
      </c>
      <c r="AE17" s="1467">
        <f ca="1">PortfolioCFStatement!AH423</f>
        <v>0</v>
      </c>
      <c r="AF17" s="1467">
        <f ca="1">PortfolioCFStatement!AI423</f>
        <v>0</v>
      </c>
      <c r="AG17" s="1467">
        <f ca="1">PortfolioCFStatement!AJ423</f>
        <v>0</v>
      </c>
      <c r="AH17" s="1467">
        <f ca="1">PortfolioCFStatement!AK423</f>
        <v>0</v>
      </c>
      <c r="AI17" s="1467">
        <f ca="1">PortfolioCFStatement!AL423</f>
        <v>0</v>
      </c>
      <c r="AJ17" s="1467">
        <f ca="1">PortfolioCFStatement!AM423</f>
        <v>0</v>
      </c>
      <c r="AK17" s="1467">
        <f ca="1">PortfolioCFStatement!AN423</f>
        <v>0</v>
      </c>
      <c r="AL17" s="1467">
        <f ca="1">PortfolioCFStatement!AO423</f>
        <v>0</v>
      </c>
      <c r="AM17" s="1467">
        <f ca="1">PortfolioCFStatement!AP423</f>
        <v>0</v>
      </c>
      <c r="AN17" s="1467">
        <f ca="1">PortfolioCFStatement!AQ423</f>
        <v>0</v>
      </c>
      <c r="AO17" s="1467">
        <f ca="1">PortfolioCFStatement!AR423</f>
        <v>0</v>
      </c>
      <c r="AP17" s="1467">
        <f ca="1">PortfolioCFStatement!AS423</f>
        <v>0</v>
      </c>
      <c r="AQ17" s="1467">
        <f ca="1">PortfolioCFStatement!AT423</f>
        <v>0</v>
      </c>
      <c r="AR17" s="1468"/>
      <c r="AS17" s="1467">
        <f t="shared" ca="1" si="0"/>
        <v>0</v>
      </c>
      <c r="AT17" s="1468"/>
      <c r="AU17" s="1467">
        <f t="shared" ca="1" si="1"/>
        <v>0</v>
      </c>
      <c r="AV17" s="1468"/>
      <c r="AW17" s="1467">
        <f t="shared" ca="1" si="2"/>
        <v>0</v>
      </c>
      <c r="AX17" s="1468"/>
      <c r="AY17" s="1467">
        <f t="shared" ca="1" si="3"/>
        <v>0</v>
      </c>
      <c r="AZ17" s="1468"/>
      <c r="BA17" s="1467">
        <f t="shared" ca="1" si="4"/>
        <v>0</v>
      </c>
      <c r="BB17" s="1468"/>
      <c r="BC17" s="1467">
        <f t="shared" ca="1" si="5"/>
        <v>0</v>
      </c>
      <c r="BD17" s="1468"/>
      <c r="BE17" s="1467">
        <f t="shared" ca="1" si="6"/>
        <v>0</v>
      </c>
    </row>
    <row r="18" spans="1:57" s="10" customFormat="1">
      <c r="A18" s="1465" t="str">
        <f ca="1">PortfolioCFStatement!D424</f>
        <v>Geo Exchange</v>
      </c>
      <c r="B18" s="1466" t="str">
        <f>PortfolioCFStatement!E424</f>
        <v>2010$</v>
      </c>
      <c r="C18" s="1476">
        <f ca="1">PortfolioCFStatement!F424</f>
        <v>0</v>
      </c>
      <c r="D18" s="1467">
        <f ca="1">PortfolioCFStatement!G424</f>
        <v>0</v>
      </c>
      <c r="E18" s="1467">
        <f ca="1">PortfolioCFStatement!H424</f>
        <v>0</v>
      </c>
      <c r="F18" s="1467">
        <f ca="1">PortfolioCFStatement!I424</f>
        <v>0</v>
      </c>
      <c r="G18" s="1467">
        <f ca="1">PortfolioCFStatement!J424</f>
        <v>0</v>
      </c>
      <c r="H18" s="1467">
        <f ca="1">PortfolioCFStatement!K424</f>
        <v>0</v>
      </c>
      <c r="I18" s="1467">
        <f ca="1">PortfolioCFStatement!L424</f>
        <v>0</v>
      </c>
      <c r="J18" s="1467">
        <f ca="1">PortfolioCFStatement!M424</f>
        <v>0</v>
      </c>
      <c r="K18" s="1467">
        <f ca="1">PortfolioCFStatement!N424</f>
        <v>0</v>
      </c>
      <c r="L18" s="1467">
        <f ca="1">PortfolioCFStatement!O424</f>
        <v>0</v>
      </c>
      <c r="M18" s="1467">
        <f ca="1">PortfolioCFStatement!P424</f>
        <v>0</v>
      </c>
      <c r="N18" s="1467">
        <f ca="1">PortfolioCFStatement!Q424</f>
        <v>0</v>
      </c>
      <c r="O18" s="1467">
        <f ca="1">PortfolioCFStatement!R424</f>
        <v>0</v>
      </c>
      <c r="P18" s="1467">
        <f ca="1">PortfolioCFStatement!S424</f>
        <v>0</v>
      </c>
      <c r="Q18" s="1467">
        <f ca="1">PortfolioCFStatement!T424</f>
        <v>0</v>
      </c>
      <c r="R18" s="1467">
        <f ca="1">PortfolioCFStatement!U424</f>
        <v>0</v>
      </c>
      <c r="S18" s="1467">
        <f ca="1">PortfolioCFStatement!V424</f>
        <v>0</v>
      </c>
      <c r="T18" s="1467">
        <f ca="1">PortfolioCFStatement!W424</f>
        <v>0</v>
      </c>
      <c r="U18" s="1467">
        <f ca="1">PortfolioCFStatement!X424</f>
        <v>0</v>
      </c>
      <c r="V18" s="1467">
        <f ca="1">PortfolioCFStatement!Y424</f>
        <v>0</v>
      </c>
      <c r="W18" s="1467">
        <f ca="1">PortfolioCFStatement!Z424</f>
        <v>0</v>
      </c>
      <c r="X18" s="1467">
        <f ca="1">PortfolioCFStatement!AA424</f>
        <v>0</v>
      </c>
      <c r="Y18" s="1467">
        <f ca="1">PortfolioCFStatement!AB424</f>
        <v>0</v>
      </c>
      <c r="Z18" s="1467">
        <f ca="1">PortfolioCFStatement!AC424</f>
        <v>0</v>
      </c>
      <c r="AA18" s="1467">
        <f ca="1">PortfolioCFStatement!AD424</f>
        <v>0</v>
      </c>
      <c r="AB18" s="1467">
        <f ca="1">PortfolioCFStatement!AE424</f>
        <v>0</v>
      </c>
      <c r="AC18" s="1467">
        <f ca="1">PortfolioCFStatement!AF424</f>
        <v>0</v>
      </c>
      <c r="AD18" s="1467">
        <f ca="1">PortfolioCFStatement!AG424</f>
        <v>0</v>
      </c>
      <c r="AE18" s="1467">
        <f ca="1">PortfolioCFStatement!AH424</f>
        <v>0</v>
      </c>
      <c r="AF18" s="1467">
        <f ca="1">PortfolioCFStatement!AI424</f>
        <v>0</v>
      </c>
      <c r="AG18" s="1467">
        <f ca="1">PortfolioCFStatement!AJ424</f>
        <v>0</v>
      </c>
      <c r="AH18" s="1467">
        <f ca="1">PortfolioCFStatement!AK424</f>
        <v>0</v>
      </c>
      <c r="AI18" s="1467">
        <f ca="1">PortfolioCFStatement!AL424</f>
        <v>0</v>
      </c>
      <c r="AJ18" s="1467">
        <f ca="1">PortfolioCFStatement!AM424</f>
        <v>0</v>
      </c>
      <c r="AK18" s="1467">
        <f ca="1">PortfolioCFStatement!AN424</f>
        <v>0</v>
      </c>
      <c r="AL18" s="1467">
        <f ca="1">PortfolioCFStatement!AO424</f>
        <v>0</v>
      </c>
      <c r="AM18" s="1467">
        <f ca="1">PortfolioCFStatement!AP424</f>
        <v>0</v>
      </c>
      <c r="AN18" s="1467">
        <f ca="1">PortfolioCFStatement!AQ424</f>
        <v>0</v>
      </c>
      <c r="AO18" s="1467">
        <f ca="1">PortfolioCFStatement!AR424</f>
        <v>0</v>
      </c>
      <c r="AP18" s="1467">
        <f ca="1">PortfolioCFStatement!AS424</f>
        <v>0</v>
      </c>
      <c r="AQ18" s="1467">
        <f ca="1">PortfolioCFStatement!AT424</f>
        <v>0</v>
      </c>
      <c r="AR18" s="1468"/>
      <c r="AS18" s="1467">
        <f t="shared" ca="1" si="0"/>
        <v>0</v>
      </c>
      <c r="AT18" s="1468"/>
      <c r="AU18" s="1467">
        <f t="shared" ca="1" si="1"/>
        <v>0</v>
      </c>
      <c r="AV18" s="1468"/>
      <c r="AW18" s="1467">
        <f t="shared" ca="1" si="2"/>
        <v>0</v>
      </c>
      <c r="AX18" s="1468"/>
      <c r="AY18" s="1467">
        <f t="shared" ca="1" si="3"/>
        <v>0</v>
      </c>
      <c r="AZ18" s="1468"/>
      <c r="BA18" s="1467">
        <f t="shared" ca="1" si="4"/>
        <v>0</v>
      </c>
      <c r="BB18" s="1468"/>
      <c r="BC18" s="1467">
        <f t="shared" ca="1" si="5"/>
        <v>0</v>
      </c>
      <c r="BD18" s="1468"/>
      <c r="BE18" s="1467">
        <f t="shared" ca="1" si="6"/>
        <v>0</v>
      </c>
    </row>
    <row r="19" spans="1:57" s="10" customFormat="1">
      <c r="A19" s="1465" t="str">
        <f ca="1">PortfolioCFStatement!D425</f>
        <v>Rooftop Solar PV</v>
      </c>
      <c r="B19" s="1466" t="str">
        <f>PortfolioCFStatement!E425</f>
        <v>2010$</v>
      </c>
      <c r="C19" s="1476">
        <f ca="1">PortfolioCFStatement!F425</f>
        <v>0</v>
      </c>
      <c r="D19" s="1467">
        <f ca="1">PortfolioCFStatement!G425</f>
        <v>0</v>
      </c>
      <c r="E19" s="1467">
        <f ca="1">PortfolioCFStatement!H425</f>
        <v>0</v>
      </c>
      <c r="F19" s="1467">
        <f ca="1">PortfolioCFStatement!I425</f>
        <v>0</v>
      </c>
      <c r="G19" s="1467">
        <f ca="1">PortfolioCFStatement!J425</f>
        <v>0</v>
      </c>
      <c r="H19" s="1467">
        <f ca="1">PortfolioCFStatement!K425</f>
        <v>0</v>
      </c>
      <c r="I19" s="1467">
        <f ca="1">PortfolioCFStatement!L425</f>
        <v>0</v>
      </c>
      <c r="J19" s="1467">
        <f ca="1">PortfolioCFStatement!M425</f>
        <v>0</v>
      </c>
      <c r="K19" s="1467">
        <f ca="1">PortfolioCFStatement!N425</f>
        <v>0</v>
      </c>
      <c r="L19" s="1467">
        <f ca="1">PortfolioCFStatement!O425</f>
        <v>0</v>
      </c>
      <c r="M19" s="1467">
        <f ca="1">PortfolioCFStatement!P425</f>
        <v>0</v>
      </c>
      <c r="N19" s="1467">
        <f ca="1">PortfolioCFStatement!Q425</f>
        <v>0</v>
      </c>
      <c r="O19" s="1467">
        <f ca="1">PortfolioCFStatement!R425</f>
        <v>0</v>
      </c>
      <c r="P19" s="1467">
        <f ca="1">PortfolioCFStatement!S425</f>
        <v>0</v>
      </c>
      <c r="Q19" s="1467">
        <f ca="1">PortfolioCFStatement!T425</f>
        <v>0</v>
      </c>
      <c r="R19" s="1467">
        <f ca="1">PortfolioCFStatement!U425</f>
        <v>0</v>
      </c>
      <c r="S19" s="1467">
        <f ca="1">PortfolioCFStatement!V425</f>
        <v>0</v>
      </c>
      <c r="T19" s="1467">
        <f ca="1">PortfolioCFStatement!W425</f>
        <v>0</v>
      </c>
      <c r="U19" s="1467">
        <f ca="1">PortfolioCFStatement!X425</f>
        <v>0</v>
      </c>
      <c r="V19" s="1467">
        <f ca="1">PortfolioCFStatement!Y425</f>
        <v>0</v>
      </c>
      <c r="W19" s="1467">
        <f ca="1">PortfolioCFStatement!Z425</f>
        <v>0</v>
      </c>
      <c r="X19" s="1467">
        <f ca="1">PortfolioCFStatement!AA425</f>
        <v>0</v>
      </c>
      <c r="Y19" s="1467">
        <f ca="1">PortfolioCFStatement!AB425</f>
        <v>0</v>
      </c>
      <c r="Z19" s="1467">
        <f ca="1">PortfolioCFStatement!AC425</f>
        <v>0</v>
      </c>
      <c r="AA19" s="1467">
        <f ca="1">PortfolioCFStatement!AD425</f>
        <v>0</v>
      </c>
      <c r="AB19" s="1467">
        <f ca="1">PortfolioCFStatement!AE425</f>
        <v>0</v>
      </c>
      <c r="AC19" s="1467">
        <f ca="1">PortfolioCFStatement!AF425</f>
        <v>0</v>
      </c>
      <c r="AD19" s="1467">
        <f ca="1">PortfolioCFStatement!AG425</f>
        <v>0</v>
      </c>
      <c r="AE19" s="1467">
        <f ca="1">PortfolioCFStatement!AH425</f>
        <v>0</v>
      </c>
      <c r="AF19" s="1467">
        <f ca="1">PortfolioCFStatement!AI425</f>
        <v>0</v>
      </c>
      <c r="AG19" s="1467">
        <f ca="1">PortfolioCFStatement!AJ425</f>
        <v>0</v>
      </c>
      <c r="AH19" s="1467">
        <f ca="1">PortfolioCFStatement!AK425</f>
        <v>0</v>
      </c>
      <c r="AI19" s="1467">
        <f ca="1">PortfolioCFStatement!AL425</f>
        <v>0</v>
      </c>
      <c r="AJ19" s="1467">
        <f ca="1">PortfolioCFStatement!AM425</f>
        <v>0</v>
      </c>
      <c r="AK19" s="1467">
        <f ca="1">PortfolioCFStatement!AN425</f>
        <v>0</v>
      </c>
      <c r="AL19" s="1467">
        <f ca="1">PortfolioCFStatement!AO425</f>
        <v>0</v>
      </c>
      <c r="AM19" s="1467">
        <f ca="1">PortfolioCFStatement!AP425</f>
        <v>0</v>
      </c>
      <c r="AN19" s="1467">
        <f ca="1">PortfolioCFStatement!AQ425</f>
        <v>0</v>
      </c>
      <c r="AO19" s="1467">
        <f ca="1">PortfolioCFStatement!AR425</f>
        <v>0</v>
      </c>
      <c r="AP19" s="1467">
        <f ca="1">PortfolioCFStatement!AS425</f>
        <v>0</v>
      </c>
      <c r="AQ19" s="1467">
        <f ca="1">PortfolioCFStatement!AT425</f>
        <v>0</v>
      </c>
      <c r="AR19" s="1468"/>
      <c r="AS19" s="1467">
        <f t="shared" ca="1" si="0"/>
        <v>0</v>
      </c>
      <c r="AT19" s="1468"/>
      <c r="AU19" s="1467">
        <f t="shared" ca="1" si="1"/>
        <v>0</v>
      </c>
      <c r="AV19" s="1468"/>
      <c r="AW19" s="1467">
        <f t="shared" ca="1" si="2"/>
        <v>0</v>
      </c>
      <c r="AX19" s="1468"/>
      <c r="AY19" s="1467">
        <f t="shared" ca="1" si="3"/>
        <v>0</v>
      </c>
      <c r="AZ19" s="1468"/>
      <c r="BA19" s="1467">
        <f t="shared" ca="1" si="4"/>
        <v>0</v>
      </c>
      <c r="BB19" s="1468"/>
      <c r="BC19" s="1467">
        <f t="shared" ca="1" si="5"/>
        <v>0</v>
      </c>
      <c r="BD19" s="1468"/>
      <c r="BE19" s="1467">
        <f t="shared" ca="1" si="6"/>
        <v>0</v>
      </c>
    </row>
    <row r="20" spans="1:57" s="10" customFormat="1" hidden="1">
      <c r="A20" s="1465" t="str">
        <f ca="1">PortfolioCFStatement!D426</f>
        <v>Blank</v>
      </c>
      <c r="B20" s="1466" t="str">
        <f>PortfolioCFStatement!E426</f>
        <v>2010$</v>
      </c>
      <c r="C20" s="1476">
        <f ca="1">PortfolioCFStatement!F426</f>
        <v>0</v>
      </c>
      <c r="D20" s="1467">
        <f ca="1">PortfolioCFStatement!G426</f>
        <v>0</v>
      </c>
      <c r="E20" s="1467">
        <f ca="1">PortfolioCFStatement!H426</f>
        <v>0</v>
      </c>
      <c r="F20" s="1467">
        <f ca="1">PortfolioCFStatement!I426</f>
        <v>0</v>
      </c>
      <c r="G20" s="1467">
        <f ca="1">PortfolioCFStatement!J426</f>
        <v>0</v>
      </c>
      <c r="H20" s="1467">
        <f ca="1">PortfolioCFStatement!K426</f>
        <v>0</v>
      </c>
      <c r="I20" s="1467">
        <f ca="1">PortfolioCFStatement!L426</f>
        <v>0</v>
      </c>
      <c r="J20" s="1467">
        <f ca="1">PortfolioCFStatement!M426</f>
        <v>0</v>
      </c>
      <c r="K20" s="1467">
        <f ca="1">PortfolioCFStatement!N426</f>
        <v>0</v>
      </c>
      <c r="L20" s="1467">
        <f ca="1">PortfolioCFStatement!O426</f>
        <v>0</v>
      </c>
      <c r="M20" s="1467">
        <f ca="1">PortfolioCFStatement!P426</f>
        <v>0</v>
      </c>
      <c r="N20" s="1467">
        <f ca="1">PortfolioCFStatement!Q426</f>
        <v>0</v>
      </c>
      <c r="O20" s="1467">
        <f ca="1">PortfolioCFStatement!R426</f>
        <v>0</v>
      </c>
      <c r="P20" s="1467">
        <f ca="1">PortfolioCFStatement!S426</f>
        <v>0</v>
      </c>
      <c r="Q20" s="1467">
        <f ca="1">PortfolioCFStatement!T426</f>
        <v>0</v>
      </c>
      <c r="R20" s="1467">
        <f ca="1">PortfolioCFStatement!U426</f>
        <v>0</v>
      </c>
      <c r="S20" s="1467">
        <f ca="1">PortfolioCFStatement!V426</f>
        <v>0</v>
      </c>
      <c r="T20" s="1467">
        <f ca="1">PortfolioCFStatement!W426</f>
        <v>0</v>
      </c>
      <c r="U20" s="1467">
        <f ca="1">PortfolioCFStatement!X426</f>
        <v>0</v>
      </c>
      <c r="V20" s="1467">
        <f ca="1">PortfolioCFStatement!Y426</f>
        <v>0</v>
      </c>
      <c r="W20" s="1467">
        <f ca="1">PortfolioCFStatement!Z426</f>
        <v>0</v>
      </c>
      <c r="X20" s="1467">
        <f ca="1">PortfolioCFStatement!AA426</f>
        <v>0</v>
      </c>
      <c r="Y20" s="1467">
        <f ca="1">PortfolioCFStatement!AB426</f>
        <v>0</v>
      </c>
      <c r="Z20" s="1467">
        <f ca="1">PortfolioCFStatement!AC426</f>
        <v>0</v>
      </c>
      <c r="AA20" s="1467">
        <f ca="1">PortfolioCFStatement!AD426</f>
        <v>0</v>
      </c>
      <c r="AB20" s="1467">
        <f ca="1">PortfolioCFStatement!AE426</f>
        <v>0</v>
      </c>
      <c r="AC20" s="1467">
        <f ca="1">PortfolioCFStatement!AF426</f>
        <v>0</v>
      </c>
      <c r="AD20" s="1467">
        <f ca="1">PortfolioCFStatement!AG426</f>
        <v>0</v>
      </c>
      <c r="AE20" s="1467">
        <f ca="1">PortfolioCFStatement!AH426</f>
        <v>0</v>
      </c>
      <c r="AF20" s="1467">
        <f ca="1">PortfolioCFStatement!AI426</f>
        <v>0</v>
      </c>
      <c r="AG20" s="1467">
        <f ca="1">PortfolioCFStatement!AJ426</f>
        <v>0</v>
      </c>
      <c r="AH20" s="1467">
        <f ca="1">PortfolioCFStatement!AK426</f>
        <v>0</v>
      </c>
      <c r="AI20" s="1467">
        <f ca="1">PortfolioCFStatement!AL426</f>
        <v>0</v>
      </c>
      <c r="AJ20" s="1467">
        <f ca="1">PortfolioCFStatement!AM426</f>
        <v>0</v>
      </c>
      <c r="AK20" s="1467">
        <f ca="1">PortfolioCFStatement!AN426</f>
        <v>0</v>
      </c>
      <c r="AL20" s="1467">
        <f ca="1">PortfolioCFStatement!AO426</f>
        <v>0</v>
      </c>
      <c r="AM20" s="1467">
        <f ca="1">PortfolioCFStatement!AP426</f>
        <v>0</v>
      </c>
      <c r="AN20" s="1467">
        <f ca="1">PortfolioCFStatement!AQ426</f>
        <v>0</v>
      </c>
      <c r="AO20" s="1467">
        <f ca="1">PortfolioCFStatement!AR426</f>
        <v>0</v>
      </c>
      <c r="AP20" s="1467">
        <f ca="1">PortfolioCFStatement!AS426</f>
        <v>0</v>
      </c>
      <c r="AQ20" s="1467">
        <f ca="1">PortfolioCFStatement!AT426</f>
        <v>0</v>
      </c>
      <c r="AR20" s="1468"/>
      <c r="AS20" s="1467">
        <f t="shared" ca="1" si="0"/>
        <v>0</v>
      </c>
      <c r="AT20" s="1468"/>
      <c r="AU20" s="1467">
        <f t="shared" ca="1" si="1"/>
        <v>0</v>
      </c>
      <c r="AV20" s="1468"/>
      <c r="AW20" s="1467">
        <f t="shared" ca="1" si="2"/>
        <v>0</v>
      </c>
      <c r="AX20" s="1468"/>
      <c r="AY20" s="1467">
        <f t="shared" ca="1" si="3"/>
        <v>0</v>
      </c>
      <c r="AZ20" s="1468"/>
      <c r="BA20" s="1467">
        <f t="shared" ca="1" si="4"/>
        <v>0</v>
      </c>
      <c r="BB20" s="1468"/>
      <c r="BC20" s="1467">
        <f t="shared" ca="1" si="5"/>
        <v>0</v>
      </c>
      <c r="BD20" s="1468"/>
      <c r="BE20" s="1467">
        <f t="shared" ca="1" si="6"/>
        <v>0</v>
      </c>
    </row>
    <row r="21" spans="1:57" s="10" customFormat="1" hidden="1">
      <c r="A21" s="1465" t="str">
        <f ca="1">PortfolioCFStatement!D427</f>
        <v>Blank</v>
      </c>
      <c r="B21" s="1466" t="str">
        <f>PortfolioCFStatement!E427</f>
        <v>2010$</v>
      </c>
      <c r="C21" s="1476">
        <f ca="1">PortfolioCFStatement!F427</f>
        <v>0</v>
      </c>
      <c r="D21" s="1467">
        <f ca="1">PortfolioCFStatement!G427</f>
        <v>0</v>
      </c>
      <c r="E21" s="1467">
        <f ca="1">PortfolioCFStatement!H427</f>
        <v>0</v>
      </c>
      <c r="F21" s="1467">
        <f ca="1">PortfolioCFStatement!I427</f>
        <v>0</v>
      </c>
      <c r="G21" s="1467">
        <f ca="1">PortfolioCFStatement!J427</f>
        <v>0</v>
      </c>
      <c r="H21" s="1467">
        <f ca="1">PortfolioCFStatement!K427</f>
        <v>0</v>
      </c>
      <c r="I21" s="1467">
        <f ca="1">PortfolioCFStatement!L427</f>
        <v>0</v>
      </c>
      <c r="J21" s="1467">
        <f ca="1">PortfolioCFStatement!M427</f>
        <v>0</v>
      </c>
      <c r="K21" s="1467">
        <f ca="1">PortfolioCFStatement!N427</f>
        <v>0</v>
      </c>
      <c r="L21" s="1467">
        <f ca="1">PortfolioCFStatement!O427</f>
        <v>0</v>
      </c>
      <c r="M21" s="1467">
        <f ca="1">PortfolioCFStatement!P427</f>
        <v>0</v>
      </c>
      <c r="N21" s="1467">
        <f ca="1">PortfolioCFStatement!Q427</f>
        <v>0</v>
      </c>
      <c r="O21" s="1467">
        <f ca="1">PortfolioCFStatement!R427</f>
        <v>0</v>
      </c>
      <c r="P21" s="1467">
        <f ca="1">PortfolioCFStatement!S427</f>
        <v>0</v>
      </c>
      <c r="Q21" s="1467">
        <f ca="1">PortfolioCFStatement!T427</f>
        <v>0</v>
      </c>
      <c r="R21" s="1467">
        <f ca="1">PortfolioCFStatement!U427</f>
        <v>0</v>
      </c>
      <c r="S21" s="1467">
        <f ca="1">PortfolioCFStatement!V427</f>
        <v>0</v>
      </c>
      <c r="T21" s="1467">
        <f ca="1">PortfolioCFStatement!W427</f>
        <v>0</v>
      </c>
      <c r="U21" s="1467">
        <f ca="1">PortfolioCFStatement!X427</f>
        <v>0</v>
      </c>
      <c r="V21" s="1467">
        <f ca="1">PortfolioCFStatement!Y427</f>
        <v>0</v>
      </c>
      <c r="W21" s="1467">
        <f ca="1">PortfolioCFStatement!Z427</f>
        <v>0</v>
      </c>
      <c r="X21" s="1467">
        <f ca="1">PortfolioCFStatement!AA427</f>
        <v>0</v>
      </c>
      <c r="Y21" s="1467">
        <f ca="1">PortfolioCFStatement!AB427</f>
        <v>0</v>
      </c>
      <c r="Z21" s="1467">
        <f ca="1">PortfolioCFStatement!AC427</f>
        <v>0</v>
      </c>
      <c r="AA21" s="1467">
        <f ca="1">PortfolioCFStatement!AD427</f>
        <v>0</v>
      </c>
      <c r="AB21" s="1467">
        <f ca="1">PortfolioCFStatement!AE427</f>
        <v>0</v>
      </c>
      <c r="AC21" s="1467">
        <f ca="1">PortfolioCFStatement!AF427</f>
        <v>0</v>
      </c>
      <c r="AD21" s="1467">
        <f ca="1">PortfolioCFStatement!AG427</f>
        <v>0</v>
      </c>
      <c r="AE21" s="1467">
        <f ca="1">PortfolioCFStatement!AH427</f>
        <v>0</v>
      </c>
      <c r="AF21" s="1467">
        <f ca="1">PortfolioCFStatement!AI427</f>
        <v>0</v>
      </c>
      <c r="AG21" s="1467">
        <f ca="1">PortfolioCFStatement!AJ427</f>
        <v>0</v>
      </c>
      <c r="AH21" s="1467">
        <f ca="1">PortfolioCFStatement!AK427</f>
        <v>0</v>
      </c>
      <c r="AI21" s="1467">
        <f ca="1">PortfolioCFStatement!AL427</f>
        <v>0</v>
      </c>
      <c r="AJ21" s="1467">
        <f ca="1">PortfolioCFStatement!AM427</f>
        <v>0</v>
      </c>
      <c r="AK21" s="1467">
        <f ca="1">PortfolioCFStatement!AN427</f>
        <v>0</v>
      </c>
      <c r="AL21" s="1467">
        <f ca="1">PortfolioCFStatement!AO427</f>
        <v>0</v>
      </c>
      <c r="AM21" s="1467">
        <f ca="1">PortfolioCFStatement!AP427</f>
        <v>0</v>
      </c>
      <c r="AN21" s="1467">
        <f ca="1">PortfolioCFStatement!AQ427</f>
        <v>0</v>
      </c>
      <c r="AO21" s="1467">
        <f ca="1">PortfolioCFStatement!AR427</f>
        <v>0</v>
      </c>
      <c r="AP21" s="1467">
        <f ca="1">PortfolioCFStatement!AS427</f>
        <v>0</v>
      </c>
      <c r="AQ21" s="1467">
        <f ca="1">PortfolioCFStatement!AT427</f>
        <v>0</v>
      </c>
      <c r="AR21" s="1468"/>
      <c r="AS21" s="1467">
        <f t="shared" ca="1" si="0"/>
        <v>0</v>
      </c>
      <c r="AT21" s="1468"/>
      <c r="AU21" s="1467">
        <f t="shared" ca="1" si="1"/>
        <v>0</v>
      </c>
      <c r="AV21" s="1468"/>
      <c r="AW21" s="1467">
        <f t="shared" ca="1" si="2"/>
        <v>0</v>
      </c>
      <c r="AX21" s="1468"/>
      <c r="AY21" s="1467">
        <f t="shared" ca="1" si="3"/>
        <v>0</v>
      </c>
      <c r="AZ21" s="1468"/>
      <c r="BA21" s="1467">
        <f t="shared" ca="1" si="4"/>
        <v>0</v>
      </c>
      <c r="BB21" s="1468"/>
      <c r="BC21" s="1467">
        <f t="shared" ca="1" si="5"/>
        <v>0</v>
      </c>
      <c r="BD21" s="1468"/>
      <c r="BE21" s="1467">
        <f t="shared" ca="1" si="6"/>
        <v>0</v>
      </c>
    </row>
    <row r="22" spans="1:57" s="10" customFormat="1" hidden="1">
      <c r="A22" s="1465" t="str">
        <f ca="1">PortfolioCFStatement!D428</f>
        <v>Blank</v>
      </c>
      <c r="B22" s="1466" t="str">
        <f>PortfolioCFStatement!E428</f>
        <v>2010$</v>
      </c>
      <c r="C22" s="1476">
        <f ca="1">PortfolioCFStatement!F428</f>
        <v>0</v>
      </c>
      <c r="D22" s="1467">
        <f ca="1">PortfolioCFStatement!G428</f>
        <v>0</v>
      </c>
      <c r="E22" s="1467">
        <f ca="1">PortfolioCFStatement!H428</f>
        <v>0</v>
      </c>
      <c r="F22" s="1467">
        <f ca="1">PortfolioCFStatement!I428</f>
        <v>0</v>
      </c>
      <c r="G22" s="1467">
        <f ca="1">PortfolioCFStatement!J428</f>
        <v>0</v>
      </c>
      <c r="H22" s="1467">
        <f ca="1">PortfolioCFStatement!K428</f>
        <v>0</v>
      </c>
      <c r="I22" s="1467">
        <f ca="1">PortfolioCFStatement!L428</f>
        <v>0</v>
      </c>
      <c r="J22" s="1467">
        <f ca="1">PortfolioCFStatement!M428</f>
        <v>0</v>
      </c>
      <c r="K22" s="1467">
        <f ca="1">PortfolioCFStatement!N428</f>
        <v>0</v>
      </c>
      <c r="L22" s="1467">
        <f ca="1">PortfolioCFStatement!O428</f>
        <v>0</v>
      </c>
      <c r="M22" s="1467">
        <f ca="1">PortfolioCFStatement!P428</f>
        <v>0</v>
      </c>
      <c r="N22" s="1467">
        <f ca="1">PortfolioCFStatement!Q428</f>
        <v>0</v>
      </c>
      <c r="O22" s="1467">
        <f ca="1">PortfolioCFStatement!R428</f>
        <v>0</v>
      </c>
      <c r="P22" s="1467">
        <f ca="1">PortfolioCFStatement!S428</f>
        <v>0</v>
      </c>
      <c r="Q22" s="1467">
        <f ca="1">PortfolioCFStatement!T428</f>
        <v>0</v>
      </c>
      <c r="R22" s="1467">
        <f ca="1">PortfolioCFStatement!U428</f>
        <v>0</v>
      </c>
      <c r="S22" s="1467">
        <f ca="1">PortfolioCFStatement!V428</f>
        <v>0</v>
      </c>
      <c r="T22" s="1467">
        <f ca="1">PortfolioCFStatement!W428</f>
        <v>0</v>
      </c>
      <c r="U22" s="1467">
        <f ca="1">PortfolioCFStatement!X428</f>
        <v>0</v>
      </c>
      <c r="V22" s="1467">
        <f ca="1">PortfolioCFStatement!Y428</f>
        <v>0</v>
      </c>
      <c r="W22" s="1467">
        <f ca="1">PortfolioCFStatement!Z428</f>
        <v>0</v>
      </c>
      <c r="X22" s="1467">
        <f ca="1">PortfolioCFStatement!AA428</f>
        <v>0</v>
      </c>
      <c r="Y22" s="1467">
        <f ca="1">PortfolioCFStatement!AB428</f>
        <v>0</v>
      </c>
      <c r="Z22" s="1467">
        <f ca="1">PortfolioCFStatement!AC428</f>
        <v>0</v>
      </c>
      <c r="AA22" s="1467">
        <f ca="1">PortfolioCFStatement!AD428</f>
        <v>0</v>
      </c>
      <c r="AB22" s="1467">
        <f ca="1">PortfolioCFStatement!AE428</f>
        <v>0</v>
      </c>
      <c r="AC22" s="1467">
        <f ca="1">PortfolioCFStatement!AF428</f>
        <v>0</v>
      </c>
      <c r="AD22" s="1467">
        <f ca="1">PortfolioCFStatement!AG428</f>
        <v>0</v>
      </c>
      <c r="AE22" s="1467">
        <f ca="1">PortfolioCFStatement!AH428</f>
        <v>0</v>
      </c>
      <c r="AF22" s="1467">
        <f ca="1">PortfolioCFStatement!AI428</f>
        <v>0</v>
      </c>
      <c r="AG22" s="1467">
        <f ca="1">PortfolioCFStatement!AJ428</f>
        <v>0</v>
      </c>
      <c r="AH22" s="1467">
        <f ca="1">PortfolioCFStatement!AK428</f>
        <v>0</v>
      </c>
      <c r="AI22" s="1467">
        <f ca="1">PortfolioCFStatement!AL428</f>
        <v>0</v>
      </c>
      <c r="AJ22" s="1467">
        <f ca="1">PortfolioCFStatement!AM428</f>
        <v>0</v>
      </c>
      <c r="AK22" s="1467">
        <f ca="1">PortfolioCFStatement!AN428</f>
        <v>0</v>
      </c>
      <c r="AL22" s="1467">
        <f ca="1">PortfolioCFStatement!AO428</f>
        <v>0</v>
      </c>
      <c r="AM22" s="1467">
        <f ca="1">PortfolioCFStatement!AP428</f>
        <v>0</v>
      </c>
      <c r="AN22" s="1467">
        <f ca="1">PortfolioCFStatement!AQ428</f>
        <v>0</v>
      </c>
      <c r="AO22" s="1467">
        <f ca="1">PortfolioCFStatement!AR428</f>
        <v>0</v>
      </c>
      <c r="AP22" s="1467">
        <f ca="1">PortfolioCFStatement!AS428</f>
        <v>0</v>
      </c>
      <c r="AQ22" s="1467">
        <f ca="1">PortfolioCFStatement!AT428</f>
        <v>0</v>
      </c>
      <c r="AR22" s="1468"/>
      <c r="AS22" s="1467">
        <f t="shared" ca="1" si="0"/>
        <v>0</v>
      </c>
      <c r="AT22" s="1468"/>
      <c r="AU22" s="1467">
        <f t="shared" ca="1" si="1"/>
        <v>0</v>
      </c>
      <c r="AV22" s="1468"/>
      <c r="AW22" s="1467">
        <f t="shared" ca="1" si="2"/>
        <v>0</v>
      </c>
      <c r="AX22" s="1468"/>
      <c r="AY22" s="1467">
        <f t="shared" ca="1" si="3"/>
        <v>0</v>
      </c>
      <c r="AZ22" s="1468"/>
      <c r="BA22" s="1467">
        <f t="shared" ca="1" si="4"/>
        <v>0</v>
      </c>
      <c r="BB22" s="1468"/>
      <c r="BC22" s="1467">
        <f t="shared" ca="1" si="5"/>
        <v>0</v>
      </c>
      <c r="BD22" s="1468"/>
      <c r="BE22" s="1467">
        <f t="shared" ca="1" si="6"/>
        <v>0</v>
      </c>
    </row>
    <row r="23" spans="1:57" s="10" customFormat="1" hidden="1">
      <c r="A23" s="1465" t="str">
        <f ca="1">PortfolioCFStatement!D429</f>
        <v>Blank</v>
      </c>
      <c r="B23" s="1466" t="str">
        <f>PortfolioCFStatement!E429</f>
        <v>2010$</v>
      </c>
      <c r="C23" s="1476">
        <f ca="1">PortfolioCFStatement!F429</f>
        <v>0</v>
      </c>
      <c r="D23" s="1467">
        <f ca="1">PortfolioCFStatement!G429</f>
        <v>0</v>
      </c>
      <c r="E23" s="1467">
        <f ca="1">PortfolioCFStatement!H429</f>
        <v>0</v>
      </c>
      <c r="F23" s="1467">
        <f ca="1">PortfolioCFStatement!I429</f>
        <v>0</v>
      </c>
      <c r="G23" s="1467">
        <f ca="1">PortfolioCFStatement!J429</f>
        <v>0</v>
      </c>
      <c r="H23" s="1467">
        <f ca="1">PortfolioCFStatement!K429</f>
        <v>0</v>
      </c>
      <c r="I23" s="1467">
        <f ca="1">PortfolioCFStatement!L429</f>
        <v>0</v>
      </c>
      <c r="J23" s="1467">
        <f ca="1">PortfolioCFStatement!M429</f>
        <v>0</v>
      </c>
      <c r="K23" s="1467">
        <f ca="1">PortfolioCFStatement!N429</f>
        <v>0</v>
      </c>
      <c r="L23" s="1467">
        <f ca="1">PortfolioCFStatement!O429</f>
        <v>0</v>
      </c>
      <c r="M23" s="1467">
        <f ca="1">PortfolioCFStatement!P429</f>
        <v>0</v>
      </c>
      <c r="N23" s="1467">
        <f ca="1">PortfolioCFStatement!Q429</f>
        <v>0</v>
      </c>
      <c r="O23" s="1467">
        <f ca="1">PortfolioCFStatement!R429</f>
        <v>0</v>
      </c>
      <c r="P23" s="1467">
        <f ca="1">PortfolioCFStatement!S429</f>
        <v>0</v>
      </c>
      <c r="Q23" s="1467">
        <f ca="1">PortfolioCFStatement!T429</f>
        <v>0</v>
      </c>
      <c r="R23" s="1467">
        <f ca="1">PortfolioCFStatement!U429</f>
        <v>0</v>
      </c>
      <c r="S23" s="1467">
        <f ca="1">PortfolioCFStatement!V429</f>
        <v>0</v>
      </c>
      <c r="T23" s="1467">
        <f ca="1">PortfolioCFStatement!W429</f>
        <v>0</v>
      </c>
      <c r="U23" s="1467">
        <f ca="1">PortfolioCFStatement!X429</f>
        <v>0</v>
      </c>
      <c r="V23" s="1467">
        <f ca="1">PortfolioCFStatement!Y429</f>
        <v>0</v>
      </c>
      <c r="W23" s="1467">
        <f ca="1">PortfolioCFStatement!Z429</f>
        <v>0</v>
      </c>
      <c r="X23" s="1467">
        <f ca="1">PortfolioCFStatement!AA429</f>
        <v>0</v>
      </c>
      <c r="Y23" s="1467">
        <f ca="1">PortfolioCFStatement!AB429</f>
        <v>0</v>
      </c>
      <c r="Z23" s="1467">
        <f ca="1">PortfolioCFStatement!AC429</f>
        <v>0</v>
      </c>
      <c r="AA23" s="1467">
        <f ca="1">PortfolioCFStatement!AD429</f>
        <v>0</v>
      </c>
      <c r="AB23" s="1467">
        <f ca="1">PortfolioCFStatement!AE429</f>
        <v>0</v>
      </c>
      <c r="AC23" s="1467">
        <f ca="1">PortfolioCFStatement!AF429</f>
        <v>0</v>
      </c>
      <c r="AD23" s="1467">
        <f ca="1">PortfolioCFStatement!AG429</f>
        <v>0</v>
      </c>
      <c r="AE23" s="1467">
        <f ca="1">PortfolioCFStatement!AH429</f>
        <v>0</v>
      </c>
      <c r="AF23" s="1467">
        <f ca="1">PortfolioCFStatement!AI429</f>
        <v>0</v>
      </c>
      <c r="AG23" s="1467">
        <f ca="1">PortfolioCFStatement!AJ429</f>
        <v>0</v>
      </c>
      <c r="AH23" s="1467">
        <f ca="1">PortfolioCFStatement!AK429</f>
        <v>0</v>
      </c>
      <c r="AI23" s="1467">
        <f ca="1">PortfolioCFStatement!AL429</f>
        <v>0</v>
      </c>
      <c r="AJ23" s="1467">
        <f ca="1">PortfolioCFStatement!AM429</f>
        <v>0</v>
      </c>
      <c r="AK23" s="1467">
        <f ca="1">PortfolioCFStatement!AN429</f>
        <v>0</v>
      </c>
      <c r="AL23" s="1467">
        <f ca="1">PortfolioCFStatement!AO429</f>
        <v>0</v>
      </c>
      <c r="AM23" s="1467">
        <f ca="1">PortfolioCFStatement!AP429</f>
        <v>0</v>
      </c>
      <c r="AN23" s="1467">
        <f ca="1">PortfolioCFStatement!AQ429</f>
        <v>0</v>
      </c>
      <c r="AO23" s="1467">
        <f ca="1">PortfolioCFStatement!AR429</f>
        <v>0</v>
      </c>
      <c r="AP23" s="1467">
        <f ca="1">PortfolioCFStatement!AS429</f>
        <v>0</v>
      </c>
      <c r="AQ23" s="1467">
        <f ca="1">PortfolioCFStatement!AT429</f>
        <v>0</v>
      </c>
      <c r="AR23" s="1468"/>
      <c r="AS23" s="1467">
        <f t="shared" ca="1" si="0"/>
        <v>0</v>
      </c>
      <c r="AT23" s="1468"/>
      <c r="AU23" s="1467">
        <f t="shared" ca="1" si="1"/>
        <v>0</v>
      </c>
      <c r="AV23" s="1468"/>
      <c r="AW23" s="1467">
        <f t="shared" ca="1" si="2"/>
        <v>0</v>
      </c>
      <c r="AX23" s="1468"/>
      <c r="AY23" s="1467">
        <f t="shared" ca="1" si="3"/>
        <v>0</v>
      </c>
      <c r="AZ23" s="1468"/>
      <c r="BA23" s="1467">
        <f t="shared" ca="1" si="4"/>
        <v>0</v>
      </c>
      <c r="BB23" s="1468"/>
      <c r="BC23" s="1467">
        <f t="shared" ca="1" si="5"/>
        <v>0</v>
      </c>
      <c r="BD23" s="1468"/>
      <c r="BE23" s="1467">
        <f t="shared" ca="1" si="6"/>
        <v>0</v>
      </c>
    </row>
    <row r="24" spans="1:57" s="10" customFormat="1" hidden="1">
      <c r="A24" s="1465" t="str">
        <f ca="1">PortfolioCFStatement!D430</f>
        <v>Blank</v>
      </c>
      <c r="B24" s="1466" t="str">
        <f>PortfolioCFStatement!E430</f>
        <v>2010$</v>
      </c>
      <c r="C24" s="1476">
        <f ca="1">PortfolioCFStatement!F430</f>
        <v>0</v>
      </c>
      <c r="D24" s="1467">
        <f ca="1">PortfolioCFStatement!G430</f>
        <v>0</v>
      </c>
      <c r="E24" s="1467">
        <f ca="1">PortfolioCFStatement!H430</f>
        <v>0</v>
      </c>
      <c r="F24" s="1467">
        <f ca="1">PortfolioCFStatement!I430</f>
        <v>0</v>
      </c>
      <c r="G24" s="1467">
        <f ca="1">PortfolioCFStatement!J430</f>
        <v>0</v>
      </c>
      <c r="H24" s="1467">
        <f ca="1">PortfolioCFStatement!K430</f>
        <v>0</v>
      </c>
      <c r="I24" s="1467">
        <f ca="1">PortfolioCFStatement!L430</f>
        <v>0</v>
      </c>
      <c r="J24" s="1467">
        <f ca="1">PortfolioCFStatement!M430</f>
        <v>0</v>
      </c>
      <c r="K24" s="1467">
        <f ca="1">PortfolioCFStatement!N430</f>
        <v>0</v>
      </c>
      <c r="L24" s="1467">
        <f ca="1">PortfolioCFStatement!O430</f>
        <v>0</v>
      </c>
      <c r="M24" s="1467">
        <f ca="1">PortfolioCFStatement!P430</f>
        <v>0</v>
      </c>
      <c r="N24" s="1467">
        <f ca="1">PortfolioCFStatement!Q430</f>
        <v>0</v>
      </c>
      <c r="O24" s="1467">
        <f ca="1">PortfolioCFStatement!R430</f>
        <v>0</v>
      </c>
      <c r="P24" s="1467">
        <f ca="1">PortfolioCFStatement!S430</f>
        <v>0</v>
      </c>
      <c r="Q24" s="1467">
        <f ca="1">PortfolioCFStatement!T430</f>
        <v>0</v>
      </c>
      <c r="R24" s="1467">
        <f ca="1">PortfolioCFStatement!U430</f>
        <v>0</v>
      </c>
      <c r="S24" s="1467">
        <f ca="1">PortfolioCFStatement!V430</f>
        <v>0</v>
      </c>
      <c r="T24" s="1467">
        <f ca="1">PortfolioCFStatement!W430</f>
        <v>0</v>
      </c>
      <c r="U24" s="1467">
        <f ca="1">PortfolioCFStatement!X430</f>
        <v>0</v>
      </c>
      <c r="V24" s="1467">
        <f ca="1">PortfolioCFStatement!Y430</f>
        <v>0</v>
      </c>
      <c r="W24" s="1467">
        <f ca="1">PortfolioCFStatement!Z430</f>
        <v>0</v>
      </c>
      <c r="X24" s="1467">
        <f ca="1">PortfolioCFStatement!AA430</f>
        <v>0</v>
      </c>
      <c r="Y24" s="1467">
        <f ca="1">PortfolioCFStatement!AB430</f>
        <v>0</v>
      </c>
      <c r="Z24" s="1467">
        <f ca="1">PortfolioCFStatement!AC430</f>
        <v>0</v>
      </c>
      <c r="AA24" s="1467">
        <f ca="1">PortfolioCFStatement!AD430</f>
        <v>0</v>
      </c>
      <c r="AB24" s="1467">
        <f ca="1">PortfolioCFStatement!AE430</f>
        <v>0</v>
      </c>
      <c r="AC24" s="1467">
        <f ca="1">PortfolioCFStatement!AF430</f>
        <v>0</v>
      </c>
      <c r="AD24" s="1467">
        <f ca="1">PortfolioCFStatement!AG430</f>
        <v>0</v>
      </c>
      <c r="AE24" s="1467">
        <f ca="1">PortfolioCFStatement!AH430</f>
        <v>0</v>
      </c>
      <c r="AF24" s="1467">
        <f ca="1">PortfolioCFStatement!AI430</f>
        <v>0</v>
      </c>
      <c r="AG24" s="1467">
        <f ca="1">PortfolioCFStatement!AJ430</f>
        <v>0</v>
      </c>
      <c r="AH24" s="1467">
        <f ca="1">PortfolioCFStatement!AK430</f>
        <v>0</v>
      </c>
      <c r="AI24" s="1467">
        <f ca="1">PortfolioCFStatement!AL430</f>
        <v>0</v>
      </c>
      <c r="AJ24" s="1467">
        <f ca="1">PortfolioCFStatement!AM430</f>
        <v>0</v>
      </c>
      <c r="AK24" s="1467">
        <f ca="1">PortfolioCFStatement!AN430</f>
        <v>0</v>
      </c>
      <c r="AL24" s="1467">
        <f ca="1">PortfolioCFStatement!AO430</f>
        <v>0</v>
      </c>
      <c r="AM24" s="1467">
        <f ca="1">PortfolioCFStatement!AP430</f>
        <v>0</v>
      </c>
      <c r="AN24" s="1467">
        <f ca="1">PortfolioCFStatement!AQ430</f>
        <v>0</v>
      </c>
      <c r="AO24" s="1467">
        <f ca="1">PortfolioCFStatement!AR430</f>
        <v>0</v>
      </c>
      <c r="AP24" s="1467">
        <f ca="1">PortfolioCFStatement!AS430</f>
        <v>0</v>
      </c>
      <c r="AQ24" s="1467">
        <f ca="1">PortfolioCFStatement!AT430</f>
        <v>0</v>
      </c>
      <c r="AR24" s="1468"/>
      <c r="AS24" s="1467">
        <f t="shared" ca="1" si="0"/>
        <v>0</v>
      </c>
      <c r="AT24" s="1468"/>
      <c r="AU24" s="1467">
        <f t="shared" ca="1" si="1"/>
        <v>0</v>
      </c>
      <c r="AV24" s="1468"/>
      <c r="AW24" s="1467">
        <f t="shared" ca="1" si="2"/>
        <v>0</v>
      </c>
      <c r="AX24" s="1468"/>
      <c r="AY24" s="1467">
        <f t="shared" ca="1" si="3"/>
        <v>0</v>
      </c>
      <c r="AZ24" s="1468"/>
      <c r="BA24" s="1467">
        <f t="shared" ca="1" si="4"/>
        <v>0</v>
      </c>
      <c r="BB24" s="1468"/>
      <c r="BC24" s="1467">
        <f t="shared" ca="1" si="5"/>
        <v>0</v>
      </c>
      <c r="BD24" s="1468"/>
      <c r="BE24" s="1467">
        <f t="shared" ca="1" si="6"/>
        <v>0</v>
      </c>
    </row>
    <row r="25" spans="1:57" s="10" customFormat="1" hidden="1">
      <c r="A25" s="1465" t="str">
        <f ca="1">PortfolioCFStatement!D431</f>
        <v>Blank</v>
      </c>
      <c r="B25" s="1466" t="str">
        <f>PortfolioCFStatement!E431</f>
        <v>2010$</v>
      </c>
      <c r="C25" s="1476">
        <f ca="1">PortfolioCFStatement!F431</f>
        <v>0</v>
      </c>
      <c r="D25" s="1467">
        <f ca="1">PortfolioCFStatement!G431</f>
        <v>0</v>
      </c>
      <c r="E25" s="1467">
        <f ca="1">PortfolioCFStatement!H431</f>
        <v>0</v>
      </c>
      <c r="F25" s="1467">
        <f ca="1">PortfolioCFStatement!I431</f>
        <v>0</v>
      </c>
      <c r="G25" s="1467">
        <f ca="1">PortfolioCFStatement!J431</f>
        <v>0</v>
      </c>
      <c r="H25" s="1467">
        <f ca="1">PortfolioCFStatement!K431</f>
        <v>0</v>
      </c>
      <c r="I25" s="1467">
        <f ca="1">PortfolioCFStatement!L431</f>
        <v>0</v>
      </c>
      <c r="J25" s="1467">
        <f ca="1">PortfolioCFStatement!M431</f>
        <v>0</v>
      </c>
      <c r="K25" s="1467">
        <f ca="1">PortfolioCFStatement!N431</f>
        <v>0</v>
      </c>
      <c r="L25" s="1467">
        <f ca="1">PortfolioCFStatement!O431</f>
        <v>0</v>
      </c>
      <c r="M25" s="1467">
        <f ca="1">PortfolioCFStatement!P431</f>
        <v>0</v>
      </c>
      <c r="N25" s="1467">
        <f ca="1">PortfolioCFStatement!Q431</f>
        <v>0</v>
      </c>
      <c r="O25" s="1467">
        <f ca="1">PortfolioCFStatement!R431</f>
        <v>0</v>
      </c>
      <c r="P25" s="1467">
        <f ca="1">PortfolioCFStatement!S431</f>
        <v>0</v>
      </c>
      <c r="Q25" s="1467">
        <f ca="1">PortfolioCFStatement!T431</f>
        <v>0</v>
      </c>
      <c r="R25" s="1467">
        <f ca="1">PortfolioCFStatement!U431</f>
        <v>0</v>
      </c>
      <c r="S25" s="1467">
        <f ca="1">PortfolioCFStatement!V431</f>
        <v>0</v>
      </c>
      <c r="T25" s="1467">
        <f ca="1">PortfolioCFStatement!W431</f>
        <v>0</v>
      </c>
      <c r="U25" s="1467">
        <f ca="1">PortfolioCFStatement!X431</f>
        <v>0</v>
      </c>
      <c r="V25" s="1467">
        <f ca="1">PortfolioCFStatement!Y431</f>
        <v>0</v>
      </c>
      <c r="W25" s="1467">
        <f ca="1">PortfolioCFStatement!Z431</f>
        <v>0</v>
      </c>
      <c r="X25" s="1467">
        <f ca="1">PortfolioCFStatement!AA431</f>
        <v>0</v>
      </c>
      <c r="Y25" s="1467">
        <f ca="1">PortfolioCFStatement!AB431</f>
        <v>0</v>
      </c>
      <c r="Z25" s="1467">
        <f ca="1">PortfolioCFStatement!AC431</f>
        <v>0</v>
      </c>
      <c r="AA25" s="1467">
        <f ca="1">PortfolioCFStatement!AD431</f>
        <v>0</v>
      </c>
      <c r="AB25" s="1467">
        <f ca="1">PortfolioCFStatement!AE431</f>
        <v>0</v>
      </c>
      <c r="AC25" s="1467">
        <f ca="1">PortfolioCFStatement!AF431</f>
        <v>0</v>
      </c>
      <c r="AD25" s="1467">
        <f ca="1">PortfolioCFStatement!AG431</f>
        <v>0</v>
      </c>
      <c r="AE25" s="1467">
        <f ca="1">PortfolioCFStatement!AH431</f>
        <v>0</v>
      </c>
      <c r="AF25" s="1467">
        <f ca="1">PortfolioCFStatement!AI431</f>
        <v>0</v>
      </c>
      <c r="AG25" s="1467">
        <f ca="1">PortfolioCFStatement!AJ431</f>
        <v>0</v>
      </c>
      <c r="AH25" s="1467">
        <f ca="1">PortfolioCFStatement!AK431</f>
        <v>0</v>
      </c>
      <c r="AI25" s="1467">
        <f ca="1">PortfolioCFStatement!AL431</f>
        <v>0</v>
      </c>
      <c r="AJ25" s="1467">
        <f ca="1">PortfolioCFStatement!AM431</f>
        <v>0</v>
      </c>
      <c r="AK25" s="1467">
        <f ca="1">PortfolioCFStatement!AN431</f>
        <v>0</v>
      </c>
      <c r="AL25" s="1467">
        <f ca="1">PortfolioCFStatement!AO431</f>
        <v>0</v>
      </c>
      <c r="AM25" s="1467">
        <f ca="1">PortfolioCFStatement!AP431</f>
        <v>0</v>
      </c>
      <c r="AN25" s="1467">
        <f ca="1">PortfolioCFStatement!AQ431</f>
        <v>0</v>
      </c>
      <c r="AO25" s="1467">
        <f ca="1">PortfolioCFStatement!AR431</f>
        <v>0</v>
      </c>
      <c r="AP25" s="1467">
        <f ca="1">PortfolioCFStatement!AS431</f>
        <v>0</v>
      </c>
      <c r="AQ25" s="1467">
        <f ca="1">PortfolioCFStatement!AT431</f>
        <v>0</v>
      </c>
      <c r="AR25" s="1468"/>
      <c r="AS25" s="1467">
        <f t="shared" ca="1" si="0"/>
        <v>0</v>
      </c>
      <c r="AT25" s="1468"/>
      <c r="AU25" s="1467">
        <f t="shared" ca="1" si="1"/>
        <v>0</v>
      </c>
      <c r="AV25" s="1468"/>
      <c r="AW25" s="1467">
        <f t="shared" ca="1" si="2"/>
        <v>0</v>
      </c>
      <c r="AX25" s="1468"/>
      <c r="AY25" s="1467">
        <f t="shared" ca="1" si="3"/>
        <v>0</v>
      </c>
      <c r="AZ25" s="1468"/>
      <c r="BA25" s="1467">
        <f t="shared" ca="1" si="4"/>
        <v>0</v>
      </c>
      <c r="BB25" s="1468"/>
      <c r="BC25" s="1467">
        <f t="shared" ca="1" si="5"/>
        <v>0</v>
      </c>
      <c r="BD25" s="1468"/>
      <c r="BE25" s="1467">
        <f t="shared" ca="1" si="6"/>
        <v>0</v>
      </c>
    </row>
    <row r="26" spans="1:57" s="10" customFormat="1" hidden="1">
      <c r="A26" s="1465" t="str">
        <f ca="1">PortfolioCFStatement!D432</f>
        <v>Blank</v>
      </c>
      <c r="B26" s="1466" t="str">
        <f>PortfolioCFStatement!E432</f>
        <v>2010$</v>
      </c>
      <c r="C26" s="1476">
        <f ca="1">PortfolioCFStatement!F432</f>
        <v>0</v>
      </c>
      <c r="D26" s="1467">
        <f ca="1">PortfolioCFStatement!G432</f>
        <v>0</v>
      </c>
      <c r="E26" s="1467">
        <f ca="1">PortfolioCFStatement!H432</f>
        <v>0</v>
      </c>
      <c r="F26" s="1467">
        <f ca="1">PortfolioCFStatement!I432</f>
        <v>0</v>
      </c>
      <c r="G26" s="1467">
        <f ca="1">PortfolioCFStatement!J432</f>
        <v>0</v>
      </c>
      <c r="H26" s="1467">
        <f ca="1">PortfolioCFStatement!K432</f>
        <v>0</v>
      </c>
      <c r="I26" s="1467">
        <f ca="1">PortfolioCFStatement!L432</f>
        <v>0</v>
      </c>
      <c r="J26" s="1467">
        <f ca="1">PortfolioCFStatement!M432</f>
        <v>0</v>
      </c>
      <c r="K26" s="1467">
        <f ca="1">PortfolioCFStatement!N432</f>
        <v>0</v>
      </c>
      <c r="L26" s="1467">
        <f ca="1">PortfolioCFStatement!O432</f>
        <v>0</v>
      </c>
      <c r="M26" s="1467">
        <f ca="1">PortfolioCFStatement!P432</f>
        <v>0</v>
      </c>
      <c r="N26" s="1467">
        <f ca="1">PortfolioCFStatement!Q432</f>
        <v>0</v>
      </c>
      <c r="O26" s="1467">
        <f ca="1">PortfolioCFStatement!R432</f>
        <v>0</v>
      </c>
      <c r="P26" s="1467">
        <f ca="1">PortfolioCFStatement!S432</f>
        <v>0</v>
      </c>
      <c r="Q26" s="1467">
        <f ca="1">PortfolioCFStatement!T432</f>
        <v>0</v>
      </c>
      <c r="R26" s="1467">
        <f ca="1">PortfolioCFStatement!U432</f>
        <v>0</v>
      </c>
      <c r="S26" s="1467">
        <f ca="1">PortfolioCFStatement!V432</f>
        <v>0</v>
      </c>
      <c r="T26" s="1467">
        <f ca="1">PortfolioCFStatement!W432</f>
        <v>0</v>
      </c>
      <c r="U26" s="1467">
        <f ca="1">PortfolioCFStatement!X432</f>
        <v>0</v>
      </c>
      <c r="V26" s="1467">
        <f ca="1">PortfolioCFStatement!Y432</f>
        <v>0</v>
      </c>
      <c r="W26" s="1467">
        <f ca="1">PortfolioCFStatement!Z432</f>
        <v>0</v>
      </c>
      <c r="X26" s="1467">
        <f ca="1">PortfolioCFStatement!AA432</f>
        <v>0</v>
      </c>
      <c r="Y26" s="1467">
        <f ca="1">PortfolioCFStatement!AB432</f>
        <v>0</v>
      </c>
      <c r="Z26" s="1467">
        <f ca="1">PortfolioCFStatement!AC432</f>
        <v>0</v>
      </c>
      <c r="AA26" s="1467">
        <f ca="1">PortfolioCFStatement!AD432</f>
        <v>0</v>
      </c>
      <c r="AB26" s="1467">
        <f ca="1">PortfolioCFStatement!AE432</f>
        <v>0</v>
      </c>
      <c r="AC26" s="1467">
        <f ca="1">PortfolioCFStatement!AF432</f>
        <v>0</v>
      </c>
      <c r="AD26" s="1467">
        <f ca="1">PortfolioCFStatement!AG432</f>
        <v>0</v>
      </c>
      <c r="AE26" s="1467">
        <f ca="1">PortfolioCFStatement!AH432</f>
        <v>0</v>
      </c>
      <c r="AF26" s="1467">
        <f ca="1">PortfolioCFStatement!AI432</f>
        <v>0</v>
      </c>
      <c r="AG26" s="1467">
        <f ca="1">PortfolioCFStatement!AJ432</f>
        <v>0</v>
      </c>
      <c r="AH26" s="1467">
        <f ca="1">PortfolioCFStatement!AK432</f>
        <v>0</v>
      </c>
      <c r="AI26" s="1467">
        <f ca="1">PortfolioCFStatement!AL432</f>
        <v>0</v>
      </c>
      <c r="AJ26" s="1467">
        <f ca="1">PortfolioCFStatement!AM432</f>
        <v>0</v>
      </c>
      <c r="AK26" s="1467">
        <f ca="1">PortfolioCFStatement!AN432</f>
        <v>0</v>
      </c>
      <c r="AL26" s="1467">
        <f ca="1">PortfolioCFStatement!AO432</f>
        <v>0</v>
      </c>
      <c r="AM26" s="1467">
        <f ca="1">PortfolioCFStatement!AP432</f>
        <v>0</v>
      </c>
      <c r="AN26" s="1467">
        <f ca="1">PortfolioCFStatement!AQ432</f>
        <v>0</v>
      </c>
      <c r="AO26" s="1467">
        <f ca="1">PortfolioCFStatement!AR432</f>
        <v>0</v>
      </c>
      <c r="AP26" s="1467">
        <f ca="1">PortfolioCFStatement!AS432</f>
        <v>0</v>
      </c>
      <c r="AQ26" s="1467">
        <f ca="1">PortfolioCFStatement!AT432</f>
        <v>0</v>
      </c>
      <c r="AR26" s="1468"/>
      <c r="AS26" s="1467">
        <f t="shared" ca="1" si="0"/>
        <v>0</v>
      </c>
      <c r="AT26" s="1468"/>
      <c r="AU26" s="1467">
        <f t="shared" ca="1" si="1"/>
        <v>0</v>
      </c>
      <c r="AV26" s="1468"/>
      <c r="AW26" s="1467">
        <f t="shared" ca="1" si="2"/>
        <v>0</v>
      </c>
      <c r="AX26" s="1468"/>
      <c r="AY26" s="1467">
        <f t="shared" ca="1" si="3"/>
        <v>0</v>
      </c>
      <c r="AZ26" s="1468"/>
      <c r="BA26" s="1467">
        <f t="shared" ca="1" si="4"/>
        <v>0</v>
      </c>
      <c r="BB26" s="1468"/>
      <c r="BC26" s="1467">
        <f t="shared" ca="1" si="5"/>
        <v>0</v>
      </c>
      <c r="BD26" s="1468"/>
      <c r="BE26" s="1467">
        <f t="shared" ca="1" si="6"/>
        <v>0</v>
      </c>
    </row>
    <row r="27" spans="1:57" s="10" customFormat="1" hidden="1">
      <c r="A27" s="1465" t="str">
        <f ca="1">PortfolioCFStatement!D433</f>
        <v>Blank</v>
      </c>
      <c r="B27" s="1466" t="str">
        <f>PortfolioCFStatement!E433</f>
        <v>2010$</v>
      </c>
      <c r="C27" s="1476">
        <f ca="1">PortfolioCFStatement!F433</f>
        <v>0</v>
      </c>
      <c r="D27" s="1467">
        <f ca="1">PortfolioCFStatement!G433</f>
        <v>0</v>
      </c>
      <c r="E27" s="1467">
        <f ca="1">PortfolioCFStatement!H433</f>
        <v>0</v>
      </c>
      <c r="F27" s="1467">
        <f ca="1">PortfolioCFStatement!I433</f>
        <v>0</v>
      </c>
      <c r="G27" s="1467">
        <f ca="1">PortfolioCFStatement!J433</f>
        <v>0</v>
      </c>
      <c r="H27" s="1467">
        <f ca="1">PortfolioCFStatement!K433</f>
        <v>0</v>
      </c>
      <c r="I27" s="1467">
        <f ca="1">PortfolioCFStatement!L433</f>
        <v>0</v>
      </c>
      <c r="J27" s="1467">
        <f ca="1">PortfolioCFStatement!M433</f>
        <v>0</v>
      </c>
      <c r="K27" s="1467">
        <f ca="1">PortfolioCFStatement!N433</f>
        <v>0</v>
      </c>
      <c r="L27" s="1467">
        <f ca="1">PortfolioCFStatement!O433</f>
        <v>0</v>
      </c>
      <c r="M27" s="1467">
        <f ca="1">PortfolioCFStatement!P433</f>
        <v>0</v>
      </c>
      <c r="N27" s="1467">
        <f ca="1">PortfolioCFStatement!Q433</f>
        <v>0</v>
      </c>
      <c r="O27" s="1467">
        <f ca="1">PortfolioCFStatement!R433</f>
        <v>0</v>
      </c>
      <c r="P27" s="1467">
        <f ca="1">PortfolioCFStatement!S433</f>
        <v>0</v>
      </c>
      <c r="Q27" s="1467">
        <f ca="1">PortfolioCFStatement!T433</f>
        <v>0</v>
      </c>
      <c r="R27" s="1467">
        <f ca="1">PortfolioCFStatement!U433</f>
        <v>0</v>
      </c>
      <c r="S27" s="1467">
        <f ca="1">PortfolioCFStatement!V433</f>
        <v>0</v>
      </c>
      <c r="T27" s="1467">
        <f ca="1">PortfolioCFStatement!W433</f>
        <v>0</v>
      </c>
      <c r="U27" s="1467">
        <f ca="1">PortfolioCFStatement!X433</f>
        <v>0</v>
      </c>
      <c r="V27" s="1467">
        <f ca="1">PortfolioCFStatement!Y433</f>
        <v>0</v>
      </c>
      <c r="W27" s="1467">
        <f ca="1">PortfolioCFStatement!Z433</f>
        <v>0</v>
      </c>
      <c r="X27" s="1467">
        <f ca="1">PortfolioCFStatement!AA433</f>
        <v>0</v>
      </c>
      <c r="Y27" s="1467">
        <f ca="1">PortfolioCFStatement!AB433</f>
        <v>0</v>
      </c>
      <c r="Z27" s="1467">
        <f ca="1">PortfolioCFStatement!AC433</f>
        <v>0</v>
      </c>
      <c r="AA27" s="1467">
        <f ca="1">PortfolioCFStatement!AD433</f>
        <v>0</v>
      </c>
      <c r="AB27" s="1467">
        <f ca="1">PortfolioCFStatement!AE433</f>
        <v>0</v>
      </c>
      <c r="AC27" s="1467">
        <f ca="1">PortfolioCFStatement!AF433</f>
        <v>0</v>
      </c>
      <c r="AD27" s="1467">
        <f ca="1">PortfolioCFStatement!AG433</f>
        <v>0</v>
      </c>
      <c r="AE27" s="1467">
        <f ca="1">PortfolioCFStatement!AH433</f>
        <v>0</v>
      </c>
      <c r="AF27" s="1467">
        <f ca="1">PortfolioCFStatement!AI433</f>
        <v>0</v>
      </c>
      <c r="AG27" s="1467">
        <f ca="1">PortfolioCFStatement!AJ433</f>
        <v>0</v>
      </c>
      <c r="AH27" s="1467">
        <f ca="1">PortfolioCFStatement!AK433</f>
        <v>0</v>
      </c>
      <c r="AI27" s="1467">
        <f ca="1">PortfolioCFStatement!AL433</f>
        <v>0</v>
      </c>
      <c r="AJ27" s="1467">
        <f ca="1">PortfolioCFStatement!AM433</f>
        <v>0</v>
      </c>
      <c r="AK27" s="1467">
        <f ca="1">PortfolioCFStatement!AN433</f>
        <v>0</v>
      </c>
      <c r="AL27" s="1467">
        <f ca="1">PortfolioCFStatement!AO433</f>
        <v>0</v>
      </c>
      <c r="AM27" s="1467">
        <f ca="1">PortfolioCFStatement!AP433</f>
        <v>0</v>
      </c>
      <c r="AN27" s="1467">
        <f ca="1">PortfolioCFStatement!AQ433</f>
        <v>0</v>
      </c>
      <c r="AO27" s="1467">
        <f ca="1">PortfolioCFStatement!AR433</f>
        <v>0</v>
      </c>
      <c r="AP27" s="1467">
        <f ca="1">PortfolioCFStatement!AS433</f>
        <v>0</v>
      </c>
      <c r="AQ27" s="1467">
        <f ca="1">PortfolioCFStatement!AT433</f>
        <v>0</v>
      </c>
      <c r="AR27" s="1468"/>
      <c r="AS27" s="1467">
        <f t="shared" ca="1" si="0"/>
        <v>0</v>
      </c>
      <c r="AT27" s="1468"/>
      <c r="AU27" s="1467">
        <f t="shared" ca="1" si="1"/>
        <v>0</v>
      </c>
      <c r="AV27" s="1468"/>
      <c r="AW27" s="1467">
        <f t="shared" ca="1" si="2"/>
        <v>0</v>
      </c>
      <c r="AX27" s="1468"/>
      <c r="AY27" s="1467">
        <f t="shared" ca="1" si="3"/>
        <v>0</v>
      </c>
      <c r="AZ27" s="1468"/>
      <c r="BA27" s="1467">
        <f t="shared" ca="1" si="4"/>
        <v>0</v>
      </c>
      <c r="BB27" s="1468"/>
      <c r="BC27" s="1467">
        <f t="shared" ca="1" si="5"/>
        <v>0</v>
      </c>
      <c r="BD27" s="1468"/>
      <c r="BE27" s="1467">
        <f t="shared" ca="1" si="6"/>
        <v>0</v>
      </c>
    </row>
    <row r="28" spans="1:57" s="10" customFormat="1" hidden="1">
      <c r="A28" s="1465" t="str">
        <f ca="1">PortfolioCFStatement!D434</f>
        <v>Blank</v>
      </c>
      <c r="B28" s="1466" t="str">
        <f>PortfolioCFStatement!E434</f>
        <v>2010$</v>
      </c>
      <c r="C28" s="1476">
        <f ca="1">PortfolioCFStatement!F434</f>
        <v>0</v>
      </c>
      <c r="D28" s="1467">
        <f ca="1">PortfolioCFStatement!G434</f>
        <v>0</v>
      </c>
      <c r="E28" s="1467">
        <f ca="1">PortfolioCFStatement!H434</f>
        <v>0</v>
      </c>
      <c r="F28" s="1467">
        <f ca="1">PortfolioCFStatement!I434</f>
        <v>0</v>
      </c>
      <c r="G28" s="1467">
        <f ca="1">PortfolioCFStatement!J434</f>
        <v>0</v>
      </c>
      <c r="H28" s="1467">
        <f ca="1">PortfolioCFStatement!K434</f>
        <v>0</v>
      </c>
      <c r="I28" s="1467">
        <f ca="1">PortfolioCFStatement!L434</f>
        <v>0</v>
      </c>
      <c r="J28" s="1467">
        <f ca="1">PortfolioCFStatement!M434</f>
        <v>0</v>
      </c>
      <c r="K28" s="1467">
        <f ca="1">PortfolioCFStatement!N434</f>
        <v>0</v>
      </c>
      <c r="L28" s="1467">
        <f ca="1">PortfolioCFStatement!O434</f>
        <v>0</v>
      </c>
      <c r="M28" s="1467">
        <f ca="1">PortfolioCFStatement!P434</f>
        <v>0</v>
      </c>
      <c r="N28" s="1467">
        <f ca="1">PortfolioCFStatement!Q434</f>
        <v>0</v>
      </c>
      <c r="O28" s="1467">
        <f ca="1">PortfolioCFStatement!R434</f>
        <v>0</v>
      </c>
      <c r="P28" s="1467">
        <f ca="1">PortfolioCFStatement!S434</f>
        <v>0</v>
      </c>
      <c r="Q28" s="1467">
        <f ca="1">PortfolioCFStatement!T434</f>
        <v>0</v>
      </c>
      <c r="R28" s="1467">
        <f ca="1">PortfolioCFStatement!U434</f>
        <v>0</v>
      </c>
      <c r="S28" s="1467">
        <f ca="1">PortfolioCFStatement!V434</f>
        <v>0</v>
      </c>
      <c r="T28" s="1467">
        <f ca="1">PortfolioCFStatement!W434</f>
        <v>0</v>
      </c>
      <c r="U28" s="1467">
        <f ca="1">PortfolioCFStatement!X434</f>
        <v>0</v>
      </c>
      <c r="V28" s="1467">
        <f ca="1">PortfolioCFStatement!Y434</f>
        <v>0</v>
      </c>
      <c r="W28" s="1467">
        <f ca="1">PortfolioCFStatement!Z434</f>
        <v>0</v>
      </c>
      <c r="X28" s="1467">
        <f ca="1">PortfolioCFStatement!AA434</f>
        <v>0</v>
      </c>
      <c r="Y28" s="1467">
        <f ca="1">PortfolioCFStatement!AB434</f>
        <v>0</v>
      </c>
      <c r="Z28" s="1467">
        <f ca="1">PortfolioCFStatement!AC434</f>
        <v>0</v>
      </c>
      <c r="AA28" s="1467">
        <f ca="1">PortfolioCFStatement!AD434</f>
        <v>0</v>
      </c>
      <c r="AB28" s="1467">
        <f ca="1">PortfolioCFStatement!AE434</f>
        <v>0</v>
      </c>
      <c r="AC28" s="1467">
        <f ca="1">PortfolioCFStatement!AF434</f>
        <v>0</v>
      </c>
      <c r="AD28" s="1467">
        <f ca="1">PortfolioCFStatement!AG434</f>
        <v>0</v>
      </c>
      <c r="AE28" s="1467">
        <f ca="1">PortfolioCFStatement!AH434</f>
        <v>0</v>
      </c>
      <c r="AF28" s="1467">
        <f ca="1">PortfolioCFStatement!AI434</f>
        <v>0</v>
      </c>
      <c r="AG28" s="1467">
        <f ca="1">PortfolioCFStatement!AJ434</f>
        <v>0</v>
      </c>
      <c r="AH28" s="1467">
        <f ca="1">PortfolioCFStatement!AK434</f>
        <v>0</v>
      </c>
      <c r="AI28" s="1467">
        <f ca="1">PortfolioCFStatement!AL434</f>
        <v>0</v>
      </c>
      <c r="AJ28" s="1467">
        <f ca="1">PortfolioCFStatement!AM434</f>
        <v>0</v>
      </c>
      <c r="AK28" s="1467">
        <f ca="1">PortfolioCFStatement!AN434</f>
        <v>0</v>
      </c>
      <c r="AL28" s="1467">
        <f ca="1">PortfolioCFStatement!AO434</f>
        <v>0</v>
      </c>
      <c r="AM28" s="1467">
        <f ca="1">PortfolioCFStatement!AP434</f>
        <v>0</v>
      </c>
      <c r="AN28" s="1467">
        <f ca="1">PortfolioCFStatement!AQ434</f>
        <v>0</v>
      </c>
      <c r="AO28" s="1467">
        <f ca="1">PortfolioCFStatement!AR434</f>
        <v>0</v>
      </c>
      <c r="AP28" s="1467">
        <f ca="1">PortfolioCFStatement!AS434</f>
        <v>0</v>
      </c>
      <c r="AQ28" s="1467">
        <f ca="1">PortfolioCFStatement!AT434</f>
        <v>0</v>
      </c>
      <c r="AR28" s="1468"/>
      <c r="AS28" s="1467">
        <f t="shared" ca="1" si="0"/>
        <v>0</v>
      </c>
      <c r="AT28" s="1468"/>
      <c r="AU28" s="1467">
        <f t="shared" ca="1" si="1"/>
        <v>0</v>
      </c>
      <c r="AV28" s="1468"/>
      <c r="AW28" s="1467">
        <f t="shared" ca="1" si="2"/>
        <v>0</v>
      </c>
      <c r="AX28" s="1468"/>
      <c r="AY28" s="1467">
        <f t="shared" ca="1" si="3"/>
        <v>0</v>
      </c>
      <c r="AZ28" s="1468"/>
      <c r="BA28" s="1467">
        <f t="shared" ca="1" si="4"/>
        <v>0</v>
      </c>
      <c r="BB28" s="1468"/>
      <c r="BC28" s="1467">
        <f t="shared" ca="1" si="5"/>
        <v>0</v>
      </c>
      <c r="BD28" s="1468"/>
      <c r="BE28" s="1467">
        <f t="shared" ca="1" si="6"/>
        <v>0</v>
      </c>
    </row>
    <row r="29" spans="1:57" s="10" customFormat="1" hidden="1">
      <c r="A29" s="1465" t="str">
        <f ca="1">PortfolioCFStatement!D435</f>
        <v>Blank</v>
      </c>
      <c r="B29" s="1466" t="str">
        <f>PortfolioCFStatement!E435</f>
        <v>2010$</v>
      </c>
      <c r="C29" s="1476">
        <f ca="1">PortfolioCFStatement!F435</f>
        <v>0</v>
      </c>
      <c r="D29" s="1467">
        <f ca="1">PortfolioCFStatement!G435</f>
        <v>0</v>
      </c>
      <c r="E29" s="1467">
        <f ca="1">PortfolioCFStatement!H435</f>
        <v>0</v>
      </c>
      <c r="F29" s="1467">
        <f ca="1">PortfolioCFStatement!I435</f>
        <v>0</v>
      </c>
      <c r="G29" s="1467">
        <f ca="1">PortfolioCFStatement!J435</f>
        <v>0</v>
      </c>
      <c r="H29" s="1467">
        <f ca="1">PortfolioCFStatement!K435</f>
        <v>0</v>
      </c>
      <c r="I29" s="1467">
        <f ca="1">PortfolioCFStatement!L435</f>
        <v>0</v>
      </c>
      <c r="J29" s="1467">
        <f ca="1">PortfolioCFStatement!M435</f>
        <v>0</v>
      </c>
      <c r="K29" s="1467">
        <f ca="1">PortfolioCFStatement!N435</f>
        <v>0</v>
      </c>
      <c r="L29" s="1467">
        <f ca="1">PortfolioCFStatement!O435</f>
        <v>0</v>
      </c>
      <c r="M29" s="1467">
        <f ca="1">PortfolioCFStatement!P435</f>
        <v>0</v>
      </c>
      <c r="N29" s="1467">
        <f ca="1">PortfolioCFStatement!Q435</f>
        <v>0</v>
      </c>
      <c r="O29" s="1467">
        <f ca="1">PortfolioCFStatement!R435</f>
        <v>0</v>
      </c>
      <c r="P29" s="1467">
        <f ca="1">PortfolioCFStatement!S435</f>
        <v>0</v>
      </c>
      <c r="Q29" s="1467">
        <f ca="1">PortfolioCFStatement!T435</f>
        <v>0</v>
      </c>
      <c r="R29" s="1467">
        <f ca="1">PortfolioCFStatement!U435</f>
        <v>0</v>
      </c>
      <c r="S29" s="1467">
        <f ca="1">PortfolioCFStatement!V435</f>
        <v>0</v>
      </c>
      <c r="T29" s="1467">
        <f ca="1">PortfolioCFStatement!W435</f>
        <v>0</v>
      </c>
      <c r="U29" s="1467">
        <f ca="1">PortfolioCFStatement!X435</f>
        <v>0</v>
      </c>
      <c r="V29" s="1467">
        <f ca="1">PortfolioCFStatement!Y435</f>
        <v>0</v>
      </c>
      <c r="W29" s="1467">
        <f ca="1">PortfolioCFStatement!Z435</f>
        <v>0</v>
      </c>
      <c r="X29" s="1467">
        <f ca="1">PortfolioCFStatement!AA435</f>
        <v>0</v>
      </c>
      <c r="Y29" s="1467">
        <f ca="1">PortfolioCFStatement!AB435</f>
        <v>0</v>
      </c>
      <c r="Z29" s="1467">
        <f ca="1">PortfolioCFStatement!AC435</f>
        <v>0</v>
      </c>
      <c r="AA29" s="1467">
        <f ca="1">PortfolioCFStatement!AD435</f>
        <v>0</v>
      </c>
      <c r="AB29" s="1467">
        <f ca="1">PortfolioCFStatement!AE435</f>
        <v>0</v>
      </c>
      <c r="AC29" s="1467">
        <f ca="1">PortfolioCFStatement!AF435</f>
        <v>0</v>
      </c>
      <c r="AD29" s="1467">
        <f ca="1">PortfolioCFStatement!AG435</f>
        <v>0</v>
      </c>
      <c r="AE29" s="1467">
        <f ca="1">PortfolioCFStatement!AH435</f>
        <v>0</v>
      </c>
      <c r="AF29" s="1467">
        <f ca="1">PortfolioCFStatement!AI435</f>
        <v>0</v>
      </c>
      <c r="AG29" s="1467">
        <f ca="1">PortfolioCFStatement!AJ435</f>
        <v>0</v>
      </c>
      <c r="AH29" s="1467">
        <f ca="1">PortfolioCFStatement!AK435</f>
        <v>0</v>
      </c>
      <c r="AI29" s="1467">
        <f ca="1">PortfolioCFStatement!AL435</f>
        <v>0</v>
      </c>
      <c r="AJ29" s="1467">
        <f ca="1">PortfolioCFStatement!AM435</f>
        <v>0</v>
      </c>
      <c r="AK29" s="1467">
        <f ca="1">PortfolioCFStatement!AN435</f>
        <v>0</v>
      </c>
      <c r="AL29" s="1467">
        <f ca="1">PortfolioCFStatement!AO435</f>
        <v>0</v>
      </c>
      <c r="AM29" s="1467">
        <f ca="1">PortfolioCFStatement!AP435</f>
        <v>0</v>
      </c>
      <c r="AN29" s="1467">
        <f ca="1">PortfolioCFStatement!AQ435</f>
        <v>0</v>
      </c>
      <c r="AO29" s="1467">
        <f ca="1">PortfolioCFStatement!AR435</f>
        <v>0</v>
      </c>
      <c r="AP29" s="1467">
        <f ca="1">PortfolioCFStatement!AS435</f>
        <v>0</v>
      </c>
      <c r="AQ29" s="1467">
        <f ca="1">PortfolioCFStatement!AT435</f>
        <v>0</v>
      </c>
      <c r="AR29" s="1468"/>
      <c r="AS29" s="1467">
        <f t="shared" ca="1" si="0"/>
        <v>0</v>
      </c>
      <c r="AT29" s="1468"/>
      <c r="AU29" s="1467">
        <f t="shared" ca="1" si="1"/>
        <v>0</v>
      </c>
      <c r="AV29" s="1468"/>
      <c r="AW29" s="1467">
        <f t="shared" ca="1" si="2"/>
        <v>0</v>
      </c>
      <c r="AX29" s="1468"/>
      <c r="AY29" s="1467">
        <f t="shared" ca="1" si="3"/>
        <v>0</v>
      </c>
      <c r="AZ29" s="1468"/>
      <c r="BA29" s="1467">
        <f t="shared" ca="1" si="4"/>
        <v>0</v>
      </c>
      <c r="BB29" s="1468"/>
      <c r="BC29" s="1467">
        <f t="shared" ca="1" si="5"/>
        <v>0</v>
      </c>
      <c r="BD29" s="1468"/>
      <c r="BE29" s="1467">
        <f t="shared" ca="1" si="6"/>
        <v>0</v>
      </c>
    </row>
    <row r="30" spans="1:57" s="10" customFormat="1" hidden="1">
      <c r="A30" s="1465" t="str">
        <f ca="1">PortfolioCFStatement!D436</f>
        <v>Blank</v>
      </c>
      <c r="B30" s="1466" t="str">
        <f>PortfolioCFStatement!E436</f>
        <v>2010$</v>
      </c>
      <c r="C30" s="1476">
        <f ca="1">PortfolioCFStatement!F436</f>
        <v>0</v>
      </c>
      <c r="D30" s="1467">
        <f ca="1">PortfolioCFStatement!G436</f>
        <v>0</v>
      </c>
      <c r="E30" s="1467">
        <f ca="1">PortfolioCFStatement!H436</f>
        <v>0</v>
      </c>
      <c r="F30" s="1467">
        <f ca="1">PortfolioCFStatement!I436</f>
        <v>0</v>
      </c>
      <c r="G30" s="1467">
        <f ca="1">PortfolioCFStatement!J436</f>
        <v>0</v>
      </c>
      <c r="H30" s="1467">
        <f ca="1">PortfolioCFStatement!K436</f>
        <v>0</v>
      </c>
      <c r="I30" s="1467">
        <f ca="1">PortfolioCFStatement!L436</f>
        <v>0</v>
      </c>
      <c r="J30" s="1467">
        <f ca="1">PortfolioCFStatement!M436</f>
        <v>0</v>
      </c>
      <c r="K30" s="1467">
        <f ca="1">PortfolioCFStatement!N436</f>
        <v>0</v>
      </c>
      <c r="L30" s="1467">
        <f ca="1">PortfolioCFStatement!O436</f>
        <v>0</v>
      </c>
      <c r="M30" s="1467">
        <f ca="1">PortfolioCFStatement!P436</f>
        <v>0</v>
      </c>
      <c r="N30" s="1467">
        <f ca="1">PortfolioCFStatement!Q436</f>
        <v>0</v>
      </c>
      <c r="O30" s="1467">
        <f ca="1">PortfolioCFStatement!R436</f>
        <v>0</v>
      </c>
      <c r="P30" s="1467">
        <f ca="1">PortfolioCFStatement!S436</f>
        <v>0</v>
      </c>
      <c r="Q30" s="1467">
        <f ca="1">PortfolioCFStatement!T436</f>
        <v>0</v>
      </c>
      <c r="R30" s="1467">
        <f ca="1">PortfolioCFStatement!U436</f>
        <v>0</v>
      </c>
      <c r="S30" s="1467">
        <f ca="1">PortfolioCFStatement!V436</f>
        <v>0</v>
      </c>
      <c r="T30" s="1467">
        <f ca="1">PortfolioCFStatement!W436</f>
        <v>0</v>
      </c>
      <c r="U30" s="1467">
        <f ca="1">PortfolioCFStatement!X436</f>
        <v>0</v>
      </c>
      <c r="V30" s="1467">
        <f ca="1">PortfolioCFStatement!Y436</f>
        <v>0</v>
      </c>
      <c r="W30" s="1467">
        <f ca="1">PortfolioCFStatement!Z436</f>
        <v>0</v>
      </c>
      <c r="X30" s="1467">
        <f ca="1">PortfolioCFStatement!AA436</f>
        <v>0</v>
      </c>
      <c r="Y30" s="1467">
        <f ca="1">PortfolioCFStatement!AB436</f>
        <v>0</v>
      </c>
      <c r="Z30" s="1467">
        <f ca="1">PortfolioCFStatement!AC436</f>
        <v>0</v>
      </c>
      <c r="AA30" s="1467">
        <f ca="1">PortfolioCFStatement!AD436</f>
        <v>0</v>
      </c>
      <c r="AB30" s="1467">
        <f ca="1">PortfolioCFStatement!AE436</f>
        <v>0</v>
      </c>
      <c r="AC30" s="1467">
        <f ca="1">PortfolioCFStatement!AF436</f>
        <v>0</v>
      </c>
      <c r="AD30" s="1467">
        <f ca="1">PortfolioCFStatement!AG436</f>
        <v>0</v>
      </c>
      <c r="AE30" s="1467">
        <f ca="1">PortfolioCFStatement!AH436</f>
        <v>0</v>
      </c>
      <c r="AF30" s="1467">
        <f ca="1">PortfolioCFStatement!AI436</f>
        <v>0</v>
      </c>
      <c r="AG30" s="1467">
        <f ca="1">PortfolioCFStatement!AJ436</f>
        <v>0</v>
      </c>
      <c r="AH30" s="1467">
        <f ca="1">PortfolioCFStatement!AK436</f>
        <v>0</v>
      </c>
      <c r="AI30" s="1467">
        <f ca="1">PortfolioCFStatement!AL436</f>
        <v>0</v>
      </c>
      <c r="AJ30" s="1467">
        <f ca="1">PortfolioCFStatement!AM436</f>
        <v>0</v>
      </c>
      <c r="AK30" s="1467">
        <f ca="1">PortfolioCFStatement!AN436</f>
        <v>0</v>
      </c>
      <c r="AL30" s="1467">
        <f ca="1">PortfolioCFStatement!AO436</f>
        <v>0</v>
      </c>
      <c r="AM30" s="1467">
        <f ca="1">PortfolioCFStatement!AP436</f>
        <v>0</v>
      </c>
      <c r="AN30" s="1467">
        <f ca="1">PortfolioCFStatement!AQ436</f>
        <v>0</v>
      </c>
      <c r="AO30" s="1467">
        <f ca="1">PortfolioCFStatement!AR436</f>
        <v>0</v>
      </c>
      <c r="AP30" s="1467">
        <f ca="1">PortfolioCFStatement!AS436</f>
        <v>0</v>
      </c>
      <c r="AQ30" s="1467">
        <f ca="1">PortfolioCFStatement!AT436</f>
        <v>0</v>
      </c>
      <c r="AR30" s="1468"/>
      <c r="AS30" s="1467">
        <f t="shared" ca="1" si="0"/>
        <v>0</v>
      </c>
      <c r="AT30" s="1468"/>
      <c r="AU30" s="1467">
        <f t="shared" ca="1" si="1"/>
        <v>0</v>
      </c>
      <c r="AV30" s="1468"/>
      <c r="AW30" s="1467">
        <f t="shared" ca="1" si="2"/>
        <v>0</v>
      </c>
      <c r="AX30" s="1468"/>
      <c r="AY30" s="1467">
        <f t="shared" ca="1" si="3"/>
        <v>0</v>
      </c>
      <c r="AZ30" s="1468"/>
      <c r="BA30" s="1467">
        <f t="shared" ca="1" si="4"/>
        <v>0</v>
      </c>
      <c r="BB30" s="1468"/>
      <c r="BC30" s="1467">
        <f t="shared" ca="1" si="5"/>
        <v>0</v>
      </c>
      <c r="BD30" s="1468"/>
      <c r="BE30" s="1467">
        <f t="shared" ca="1" si="6"/>
        <v>0</v>
      </c>
    </row>
    <row r="31" spans="1:57" s="10" customFormat="1" hidden="1">
      <c r="A31" s="1465" t="str">
        <f ca="1">PortfolioCFStatement!D437</f>
        <v>Blank</v>
      </c>
      <c r="B31" s="1466" t="str">
        <f>PortfolioCFStatement!E437</f>
        <v>2010$</v>
      </c>
      <c r="C31" s="1476">
        <f ca="1">PortfolioCFStatement!F437</f>
        <v>0</v>
      </c>
      <c r="D31" s="1467">
        <f ca="1">PortfolioCFStatement!G437</f>
        <v>0</v>
      </c>
      <c r="E31" s="1467">
        <f ca="1">PortfolioCFStatement!H437</f>
        <v>0</v>
      </c>
      <c r="F31" s="1467">
        <f ca="1">PortfolioCFStatement!I437</f>
        <v>0</v>
      </c>
      <c r="G31" s="1467">
        <f ca="1">PortfolioCFStatement!J437</f>
        <v>0</v>
      </c>
      <c r="H31" s="1467">
        <f ca="1">PortfolioCFStatement!K437</f>
        <v>0</v>
      </c>
      <c r="I31" s="1467">
        <f ca="1">PortfolioCFStatement!L437</f>
        <v>0</v>
      </c>
      <c r="J31" s="1467">
        <f ca="1">PortfolioCFStatement!M437</f>
        <v>0</v>
      </c>
      <c r="K31" s="1467">
        <f ca="1">PortfolioCFStatement!N437</f>
        <v>0</v>
      </c>
      <c r="L31" s="1467">
        <f ca="1">PortfolioCFStatement!O437</f>
        <v>0</v>
      </c>
      <c r="M31" s="1467">
        <f ca="1">PortfolioCFStatement!P437</f>
        <v>0</v>
      </c>
      <c r="N31" s="1467">
        <f ca="1">PortfolioCFStatement!Q437</f>
        <v>0</v>
      </c>
      <c r="O31" s="1467">
        <f ca="1">PortfolioCFStatement!R437</f>
        <v>0</v>
      </c>
      <c r="P31" s="1467">
        <f ca="1">PortfolioCFStatement!S437</f>
        <v>0</v>
      </c>
      <c r="Q31" s="1467">
        <f ca="1">PortfolioCFStatement!T437</f>
        <v>0</v>
      </c>
      <c r="R31" s="1467">
        <f ca="1">PortfolioCFStatement!U437</f>
        <v>0</v>
      </c>
      <c r="S31" s="1467">
        <f ca="1">PortfolioCFStatement!V437</f>
        <v>0</v>
      </c>
      <c r="T31" s="1467">
        <f ca="1">PortfolioCFStatement!W437</f>
        <v>0</v>
      </c>
      <c r="U31" s="1467">
        <f ca="1">PortfolioCFStatement!X437</f>
        <v>0</v>
      </c>
      <c r="V31" s="1467">
        <f ca="1">PortfolioCFStatement!Y437</f>
        <v>0</v>
      </c>
      <c r="W31" s="1467">
        <f ca="1">PortfolioCFStatement!Z437</f>
        <v>0</v>
      </c>
      <c r="X31" s="1467">
        <f ca="1">PortfolioCFStatement!AA437</f>
        <v>0</v>
      </c>
      <c r="Y31" s="1467">
        <f ca="1">PortfolioCFStatement!AB437</f>
        <v>0</v>
      </c>
      <c r="Z31" s="1467">
        <f ca="1">PortfolioCFStatement!AC437</f>
        <v>0</v>
      </c>
      <c r="AA31" s="1467">
        <f ca="1">PortfolioCFStatement!AD437</f>
        <v>0</v>
      </c>
      <c r="AB31" s="1467">
        <f ca="1">PortfolioCFStatement!AE437</f>
        <v>0</v>
      </c>
      <c r="AC31" s="1467">
        <f ca="1">PortfolioCFStatement!AF437</f>
        <v>0</v>
      </c>
      <c r="AD31" s="1467">
        <f ca="1">PortfolioCFStatement!AG437</f>
        <v>0</v>
      </c>
      <c r="AE31" s="1467">
        <f ca="1">PortfolioCFStatement!AH437</f>
        <v>0</v>
      </c>
      <c r="AF31" s="1467">
        <f ca="1">PortfolioCFStatement!AI437</f>
        <v>0</v>
      </c>
      <c r="AG31" s="1467">
        <f ca="1">PortfolioCFStatement!AJ437</f>
        <v>0</v>
      </c>
      <c r="AH31" s="1467">
        <f ca="1">PortfolioCFStatement!AK437</f>
        <v>0</v>
      </c>
      <c r="AI31" s="1467">
        <f ca="1">PortfolioCFStatement!AL437</f>
        <v>0</v>
      </c>
      <c r="AJ31" s="1467">
        <f ca="1">PortfolioCFStatement!AM437</f>
        <v>0</v>
      </c>
      <c r="AK31" s="1467">
        <f ca="1">PortfolioCFStatement!AN437</f>
        <v>0</v>
      </c>
      <c r="AL31" s="1467">
        <f ca="1">PortfolioCFStatement!AO437</f>
        <v>0</v>
      </c>
      <c r="AM31" s="1467">
        <f ca="1">PortfolioCFStatement!AP437</f>
        <v>0</v>
      </c>
      <c r="AN31" s="1467">
        <f ca="1">PortfolioCFStatement!AQ437</f>
        <v>0</v>
      </c>
      <c r="AO31" s="1467">
        <f ca="1">PortfolioCFStatement!AR437</f>
        <v>0</v>
      </c>
      <c r="AP31" s="1467">
        <f ca="1">PortfolioCFStatement!AS437</f>
        <v>0</v>
      </c>
      <c r="AQ31" s="1467">
        <f ca="1">PortfolioCFStatement!AT437</f>
        <v>0</v>
      </c>
      <c r="AR31" s="1468"/>
      <c r="AS31" s="1467">
        <f t="shared" ca="1" si="0"/>
        <v>0</v>
      </c>
      <c r="AT31" s="1468"/>
      <c r="AU31" s="1467">
        <f t="shared" ca="1" si="1"/>
        <v>0</v>
      </c>
      <c r="AV31" s="1468"/>
      <c r="AW31" s="1467">
        <f t="shared" ca="1" si="2"/>
        <v>0</v>
      </c>
      <c r="AX31" s="1468"/>
      <c r="AY31" s="1467">
        <f t="shared" ca="1" si="3"/>
        <v>0</v>
      </c>
      <c r="AZ31" s="1468"/>
      <c r="BA31" s="1467">
        <f t="shared" ca="1" si="4"/>
        <v>0</v>
      </c>
      <c r="BB31" s="1468"/>
      <c r="BC31" s="1467">
        <f t="shared" ca="1" si="5"/>
        <v>0</v>
      </c>
      <c r="BD31" s="1468"/>
      <c r="BE31" s="1467">
        <f t="shared" ca="1" si="6"/>
        <v>0</v>
      </c>
    </row>
    <row r="32" spans="1:57" s="10" customFormat="1" hidden="1">
      <c r="A32" s="1465" t="str">
        <f ca="1">PortfolioCFStatement!D438</f>
        <v>Blank</v>
      </c>
      <c r="B32" s="1466" t="str">
        <f>PortfolioCFStatement!E438</f>
        <v>2010$</v>
      </c>
      <c r="C32" s="1476">
        <f ca="1">PortfolioCFStatement!F438</f>
        <v>0</v>
      </c>
      <c r="D32" s="1467">
        <f ca="1">PortfolioCFStatement!G438</f>
        <v>0</v>
      </c>
      <c r="E32" s="1467">
        <f ca="1">PortfolioCFStatement!H438</f>
        <v>0</v>
      </c>
      <c r="F32" s="1467">
        <f ca="1">PortfolioCFStatement!I438</f>
        <v>0</v>
      </c>
      <c r="G32" s="1467">
        <f ca="1">PortfolioCFStatement!J438</f>
        <v>0</v>
      </c>
      <c r="H32" s="1467">
        <f ca="1">PortfolioCFStatement!K438</f>
        <v>0</v>
      </c>
      <c r="I32" s="1467">
        <f ca="1">PortfolioCFStatement!L438</f>
        <v>0</v>
      </c>
      <c r="J32" s="1467">
        <f ca="1">PortfolioCFStatement!M438</f>
        <v>0</v>
      </c>
      <c r="K32" s="1467">
        <f ca="1">PortfolioCFStatement!N438</f>
        <v>0</v>
      </c>
      <c r="L32" s="1467">
        <f ca="1">PortfolioCFStatement!O438</f>
        <v>0</v>
      </c>
      <c r="M32" s="1467">
        <f ca="1">PortfolioCFStatement!P438</f>
        <v>0</v>
      </c>
      <c r="N32" s="1467">
        <f ca="1">PortfolioCFStatement!Q438</f>
        <v>0</v>
      </c>
      <c r="O32" s="1467">
        <f ca="1">PortfolioCFStatement!R438</f>
        <v>0</v>
      </c>
      <c r="P32" s="1467">
        <f ca="1">PortfolioCFStatement!S438</f>
        <v>0</v>
      </c>
      <c r="Q32" s="1467">
        <f ca="1">PortfolioCFStatement!T438</f>
        <v>0</v>
      </c>
      <c r="R32" s="1467">
        <f ca="1">PortfolioCFStatement!U438</f>
        <v>0</v>
      </c>
      <c r="S32" s="1467">
        <f ca="1">PortfolioCFStatement!V438</f>
        <v>0</v>
      </c>
      <c r="T32" s="1467">
        <f ca="1">PortfolioCFStatement!W438</f>
        <v>0</v>
      </c>
      <c r="U32" s="1467">
        <f ca="1">PortfolioCFStatement!X438</f>
        <v>0</v>
      </c>
      <c r="V32" s="1467">
        <f ca="1">PortfolioCFStatement!Y438</f>
        <v>0</v>
      </c>
      <c r="W32" s="1467">
        <f ca="1">PortfolioCFStatement!Z438</f>
        <v>0</v>
      </c>
      <c r="X32" s="1467">
        <f ca="1">PortfolioCFStatement!AA438</f>
        <v>0</v>
      </c>
      <c r="Y32" s="1467">
        <f ca="1">PortfolioCFStatement!AB438</f>
        <v>0</v>
      </c>
      <c r="Z32" s="1467">
        <f ca="1">PortfolioCFStatement!AC438</f>
        <v>0</v>
      </c>
      <c r="AA32" s="1467">
        <f ca="1">PortfolioCFStatement!AD438</f>
        <v>0</v>
      </c>
      <c r="AB32" s="1467">
        <f ca="1">PortfolioCFStatement!AE438</f>
        <v>0</v>
      </c>
      <c r="AC32" s="1467">
        <f ca="1">PortfolioCFStatement!AF438</f>
        <v>0</v>
      </c>
      <c r="AD32" s="1467">
        <f ca="1">PortfolioCFStatement!AG438</f>
        <v>0</v>
      </c>
      <c r="AE32" s="1467">
        <f ca="1">PortfolioCFStatement!AH438</f>
        <v>0</v>
      </c>
      <c r="AF32" s="1467">
        <f ca="1">PortfolioCFStatement!AI438</f>
        <v>0</v>
      </c>
      <c r="AG32" s="1467">
        <f ca="1">PortfolioCFStatement!AJ438</f>
        <v>0</v>
      </c>
      <c r="AH32" s="1467">
        <f ca="1">PortfolioCFStatement!AK438</f>
        <v>0</v>
      </c>
      <c r="AI32" s="1467">
        <f ca="1">PortfolioCFStatement!AL438</f>
        <v>0</v>
      </c>
      <c r="AJ32" s="1467">
        <f ca="1">PortfolioCFStatement!AM438</f>
        <v>0</v>
      </c>
      <c r="AK32" s="1467">
        <f ca="1">PortfolioCFStatement!AN438</f>
        <v>0</v>
      </c>
      <c r="AL32" s="1467">
        <f ca="1">PortfolioCFStatement!AO438</f>
        <v>0</v>
      </c>
      <c r="AM32" s="1467">
        <f ca="1">PortfolioCFStatement!AP438</f>
        <v>0</v>
      </c>
      <c r="AN32" s="1467">
        <f ca="1">PortfolioCFStatement!AQ438</f>
        <v>0</v>
      </c>
      <c r="AO32" s="1467">
        <f ca="1">PortfolioCFStatement!AR438</f>
        <v>0</v>
      </c>
      <c r="AP32" s="1467">
        <f ca="1">PortfolioCFStatement!AS438</f>
        <v>0</v>
      </c>
      <c r="AQ32" s="1467">
        <f ca="1">PortfolioCFStatement!AT438</f>
        <v>0</v>
      </c>
      <c r="AR32" s="1468"/>
      <c r="AS32" s="1467">
        <f t="shared" ca="1" si="0"/>
        <v>0</v>
      </c>
      <c r="AT32" s="1468"/>
      <c r="AU32" s="1467">
        <f t="shared" ca="1" si="1"/>
        <v>0</v>
      </c>
      <c r="AV32" s="1468"/>
      <c r="AW32" s="1467">
        <f t="shared" ca="1" si="2"/>
        <v>0</v>
      </c>
      <c r="AX32" s="1468"/>
      <c r="AY32" s="1467">
        <f t="shared" ca="1" si="3"/>
        <v>0</v>
      </c>
      <c r="AZ32" s="1468"/>
      <c r="BA32" s="1467">
        <f t="shared" ca="1" si="4"/>
        <v>0</v>
      </c>
      <c r="BB32" s="1468"/>
      <c r="BC32" s="1467">
        <f t="shared" ca="1" si="5"/>
        <v>0</v>
      </c>
      <c r="BD32" s="1468"/>
      <c r="BE32" s="1467">
        <f t="shared" ca="1" si="6"/>
        <v>0</v>
      </c>
    </row>
    <row r="33" spans="1:57" s="10" customFormat="1">
      <c r="A33" s="1469" t="str">
        <f>PortfolioCFStatement!D439</f>
        <v>Avoided Capital Cost</v>
      </c>
      <c r="B33" s="1470" t="str">
        <f>PortfolioCFStatement!E439</f>
        <v>2010$</v>
      </c>
      <c r="C33" s="1477">
        <f ca="1">PortfolioCFStatement!F439</f>
        <v>379878618.12831277</v>
      </c>
      <c r="D33" s="1471">
        <f ca="1">PortfolioCFStatement!G439</f>
        <v>0</v>
      </c>
      <c r="E33" s="1471">
        <f ca="1">PortfolioCFStatement!H439</f>
        <v>25224484.237428442</v>
      </c>
      <c r="F33" s="1471">
        <f ca="1">PortfolioCFStatement!I439</f>
        <v>25224484.237428762</v>
      </c>
      <c r="G33" s="1471">
        <f ca="1">PortfolioCFStatement!J439</f>
        <v>25224484.237428442</v>
      </c>
      <c r="H33" s="1471">
        <f ca="1">PortfolioCFStatement!K439</f>
        <v>25774484.237428762</v>
      </c>
      <c r="I33" s="1471">
        <f ca="1">PortfolioCFStatement!L439</f>
        <v>25774484.237428762</v>
      </c>
      <c r="J33" s="1471">
        <f ca="1">PortfolioCFStatement!M439</f>
        <v>25774484.237428442</v>
      </c>
      <c r="K33" s="1471">
        <f ca="1">PortfolioCFStatement!N439</f>
        <v>25774484.237428762</v>
      </c>
      <c r="L33" s="1471">
        <f ca="1">PortfolioCFStatement!O439</f>
        <v>25774484.237428442</v>
      </c>
      <c r="M33" s="1471">
        <f ca="1">PortfolioCFStatement!P439</f>
        <v>25774484.237428762</v>
      </c>
      <c r="N33" s="1471">
        <f ca="1">PortfolioCFStatement!Q439</f>
        <v>25774484.237428442</v>
      </c>
      <c r="O33" s="1471">
        <f ca="1">PortfolioCFStatement!R439</f>
        <v>25774484.237428762</v>
      </c>
      <c r="P33" s="1471">
        <f ca="1">PortfolioCFStatement!S439</f>
        <v>25774484.237428762</v>
      </c>
      <c r="Q33" s="1471">
        <f ca="1">PortfolioCFStatement!T439</f>
        <v>25774484.237428442</v>
      </c>
      <c r="R33" s="1471">
        <f ca="1">PortfolioCFStatement!U439</f>
        <v>25774484.237428762</v>
      </c>
      <c r="S33" s="1471">
        <f ca="1">PortfolioCFStatement!V439</f>
        <v>25774484.237428762</v>
      </c>
      <c r="T33" s="1471">
        <f ca="1">PortfolioCFStatement!W439</f>
        <v>25774484.237428442</v>
      </c>
      <c r="U33" s="1471">
        <f ca="1">PortfolioCFStatement!X439</f>
        <v>25774484.237428762</v>
      </c>
      <c r="V33" s="1471">
        <f ca="1">PortfolioCFStatement!Y439</f>
        <v>25774484.237428442</v>
      </c>
      <c r="W33" s="1471">
        <f ca="1">PortfolioCFStatement!Z439</f>
        <v>25774484.237428762</v>
      </c>
      <c r="X33" s="1471">
        <f ca="1">PortfolioCFStatement!AA439</f>
        <v>25774484.237428442</v>
      </c>
      <c r="Y33" s="1471">
        <f ca="1">PortfolioCFStatement!AB439</f>
        <v>25774484.237428762</v>
      </c>
      <c r="Z33" s="1471">
        <f ca="1">PortfolioCFStatement!AC439</f>
        <v>25774484.237428762</v>
      </c>
      <c r="AA33" s="1471">
        <f ca="1">PortfolioCFStatement!AD439</f>
        <v>25774484.237428442</v>
      </c>
      <c r="AB33" s="1471">
        <f ca="1">PortfolioCFStatement!AE439</f>
        <v>25224484.237428762</v>
      </c>
      <c r="AC33" s="1471">
        <f ca="1">PortfolioCFStatement!AF439</f>
        <v>25224484.237428762</v>
      </c>
      <c r="AD33" s="1471">
        <f ca="1">PortfolioCFStatement!AG439</f>
        <v>25224484.237428442</v>
      </c>
      <c r="AE33" s="1471">
        <f ca="1">PortfolioCFStatement!AH439</f>
        <v>25224484.237428442</v>
      </c>
      <c r="AF33" s="1471">
        <f ca="1">PortfolioCFStatement!AI439</f>
        <v>25224484.237428762</v>
      </c>
      <c r="AG33" s="1471">
        <f ca="1">PortfolioCFStatement!AJ439</f>
        <v>25224484.237428762</v>
      </c>
      <c r="AH33" s="1471">
        <f ca="1">PortfolioCFStatement!AK439</f>
        <v>25224484.237428442</v>
      </c>
      <c r="AI33" s="1471">
        <f ca="1">PortfolioCFStatement!AL439</f>
        <v>25224484.237428762</v>
      </c>
      <c r="AJ33" s="1471">
        <f ca="1">PortfolioCFStatement!AM439</f>
        <v>25224484.237428762</v>
      </c>
      <c r="AK33" s="1471">
        <f ca="1">PortfolioCFStatement!AN439</f>
        <v>25224484.237428442</v>
      </c>
      <c r="AL33" s="1471">
        <f ca="1">PortfolioCFStatement!AO439</f>
        <v>25224484.237428762</v>
      </c>
      <c r="AM33" s="1471">
        <f ca="1">PortfolioCFStatement!AP439</f>
        <v>25224484.237428762</v>
      </c>
      <c r="AN33" s="1471">
        <f ca="1">PortfolioCFStatement!AQ439</f>
        <v>25224484.237428442</v>
      </c>
      <c r="AO33" s="1471">
        <f ca="1">PortfolioCFStatement!AR439</f>
        <v>25224484.237428442</v>
      </c>
      <c r="AP33" s="1471">
        <f ca="1">PortfolioCFStatement!AS439</f>
        <v>25224484.237428762</v>
      </c>
      <c r="AQ33" s="1471">
        <f ca="1">PortfolioCFStatement!AT439</f>
        <v>25224484.237428762</v>
      </c>
      <c r="AR33" s="1468"/>
      <c r="AS33" s="1471">
        <f t="shared" ca="1" si="0"/>
        <v>128872421.18714318</v>
      </c>
      <c r="AT33" s="1468"/>
      <c r="AU33" s="1471">
        <f t="shared" ca="1" si="1"/>
        <v>128872421.18714318</v>
      </c>
      <c r="AV33" s="1468"/>
      <c r="AW33" s="1471">
        <f t="shared" ca="1" si="2"/>
        <v>128872421.18714318</v>
      </c>
      <c r="AX33" s="1468"/>
      <c r="AY33" s="1471">
        <f t="shared" ca="1" si="3"/>
        <v>128322421.18714318</v>
      </c>
      <c r="AZ33" s="1468"/>
      <c r="BA33" s="1471">
        <f t="shared" ca="1" si="4"/>
        <v>126122421.18714315</v>
      </c>
      <c r="BB33" s="1468"/>
      <c r="BC33" s="1471">
        <f t="shared" ca="1" si="5"/>
        <v>126122421.18714318</v>
      </c>
      <c r="BD33" s="1468"/>
      <c r="BE33" s="1471">
        <f t="shared" ca="1" si="6"/>
        <v>126122421.18714315</v>
      </c>
    </row>
    <row r="34" spans="1:57" s="10" customFormat="1">
      <c r="A34" s="1271" t="str">
        <f ca="1">PortfolioCFStatement!D440</f>
        <v>Behavior Change</v>
      </c>
      <c r="B34" s="1464" t="str">
        <f>PortfolioCFStatement!E440</f>
        <v>2010$</v>
      </c>
      <c r="C34" s="1476">
        <f ca="1">PortfolioCFStatement!F440</f>
        <v>0</v>
      </c>
      <c r="D34" s="358">
        <f ca="1">PortfolioCFStatement!G440</f>
        <v>0</v>
      </c>
      <c r="E34" s="358">
        <f ca="1">PortfolioCFStatement!H440</f>
        <v>0</v>
      </c>
      <c r="F34" s="358">
        <f ca="1">PortfolioCFStatement!I440</f>
        <v>0</v>
      </c>
      <c r="G34" s="358">
        <f ca="1">PortfolioCFStatement!J440</f>
        <v>0</v>
      </c>
      <c r="H34" s="358">
        <f ca="1">PortfolioCFStatement!K440</f>
        <v>0</v>
      </c>
      <c r="I34" s="358">
        <f ca="1">PortfolioCFStatement!L440</f>
        <v>0</v>
      </c>
      <c r="J34" s="358">
        <f ca="1">PortfolioCFStatement!M440</f>
        <v>0</v>
      </c>
      <c r="K34" s="358">
        <f ca="1">PortfolioCFStatement!N440</f>
        <v>0</v>
      </c>
      <c r="L34" s="358">
        <f ca="1">PortfolioCFStatement!O440</f>
        <v>0</v>
      </c>
      <c r="M34" s="358">
        <f ca="1">PortfolioCFStatement!P440</f>
        <v>0</v>
      </c>
      <c r="N34" s="358">
        <f ca="1">PortfolioCFStatement!Q440</f>
        <v>0</v>
      </c>
      <c r="O34" s="358">
        <f ca="1">PortfolioCFStatement!R440</f>
        <v>0</v>
      </c>
      <c r="P34" s="358">
        <f ca="1">PortfolioCFStatement!S440</f>
        <v>0</v>
      </c>
      <c r="Q34" s="358">
        <f ca="1">PortfolioCFStatement!T440</f>
        <v>0</v>
      </c>
      <c r="R34" s="358">
        <f ca="1">PortfolioCFStatement!U440</f>
        <v>0</v>
      </c>
      <c r="S34" s="358">
        <f ca="1">PortfolioCFStatement!V440</f>
        <v>0</v>
      </c>
      <c r="T34" s="358">
        <f ca="1">PortfolioCFStatement!W440</f>
        <v>0</v>
      </c>
      <c r="U34" s="358">
        <f ca="1">PortfolioCFStatement!X440</f>
        <v>0</v>
      </c>
      <c r="V34" s="358">
        <f ca="1">PortfolioCFStatement!Y440</f>
        <v>0</v>
      </c>
      <c r="W34" s="358">
        <f ca="1">PortfolioCFStatement!Z440</f>
        <v>0</v>
      </c>
      <c r="X34" s="358">
        <f ca="1">PortfolioCFStatement!AA440</f>
        <v>0</v>
      </c>
      <c r="Y34" s="358">
        <f ca="1">PortfolioCFStatement!AB440</f>
        <v>0</v>
      </c>
      <c r="Z34" s="358">
        <f ca="1">PortfolioCFStatement!AC440</f>
        <v>0</v>
      </c>
      <c r="AA34" s="358">
        <f ca="1">PortfolioCFStatement!AD440</f>
        <v>0</v>
      </c>
      <c r="AB34" s="358">
        <f ca="1">PortfolioCFStatement!AE440</f>
        <v>0</v>
      </c>
      <c r="AC34" s="358">
        <f ca="1">PortfolioCFStatement!AF440</f>
        <v>0</v>
      </c>
      <c r="AD34" s="358">
        <f ca="1">PortfolioCFStatement!AG440</f>
        <v>0</v>
      </c>
      <c r="AE34" s="358">
        <f ca="1">PortfolioCFStatement!AH440</f>
        <v>0</v>
      </c>
      <c r="AF34" s="358">
        <f ca="1">PortfolioCFStatement!AI440</f>
        <v>0</v>
      </c>
      <c r="AG34" s="358">
        <f ca="1">PortfolioCFStatement!AJ440</f>
        <v>0</v>
      </c>
      <c r="AH34" s="358">
        <f ca="1">PortfolioCFStatement!AK440</f>
        <v>0</v>
      </c>
      <c r="AI34" s="358">
        <f ca="1">PortfolioCFStatement!AL440</f>
        <v>0</v>
      </c>
      <c r="AJ34" s="358">
        <f ca="1">PortfolioCFStatement!AM440</f>
        <v>0</v>
      </c>
      <c r="AK34" s="358">
        <f ca="1">PortfolioCFStatement!AN440</f>
        <v>0</v>
      </c>
      <c r="AL34" s="358">
        <f ca="1">PortfolioCFStatement!AO440</f>
        <v>0</v>
      </c>
      <c r="AM34" s="358">
        <f ca="1">PortfolioCFStatement!AP440</f>
        <v>0</v>
      </c>
      <c r="AN34" s="358">
        <f ca="1">PortfolioCFStatement!AQ440</f>
        <v>0</v>
      </c>
      <c r="AO34" s="358">
        <f ca="1">PortfolioCFStatement!AR440</f>
        <v>0</v>
      </c>
      <c r="AP34" s="358">
        <f ca="1">PortfolioCFStatement!AS440</f>
        <v>0</v>
      </c>
      <c r="AQ34" s="358">
        <f ca="1">PortfolioCFStatement!AT440</f>
        <v>0</v>
      </c>
      <c r="AR34" s="54"/>
      <c r="AS34" s="358">
        <f t="shared" ca="1" si="0"/>
        <v>0</v>
      </c>
      <c r="AT34" s="54"/>
      <c r="AU34" s="358">
        <f t="shared" ca="1" si="1"/>
        <v>0</v>
      </c>
      <c r="AV34" s="54"/>
      <c r="AW34" s="358">
        <f t="shared" ca="1" si="2"/>
        <v>0</v>
      </c>
      <c r="AX34" s="54"/>
      <c r="AY34" s="358">
        <f t="shared" ca="1" si="3"/>
        <v>0</v>
      </c>
      <c r="AZ34" s="54"/>
      <c r="BA34" s="358">
        <f t="shared" ca="1" si="4"/>
        <v>0</v>
      </c>
      <c r="BB34" s="54"/>
      <c r="BC34" s="358">
        <f t="shared" ca="1" si="5"/>
        <v>0</v>
      </c>
      <c r="BD34" s="54"/>
      <c r="BE34" s="358">
        <f t="shared" ca="1" si="6"/>
        <v>0</v>
      </c>
    </row>
    <row r="35" spans="1:57" s="10" customFormat="1">
      <c r="A35" s="1271" t="str">
        <f ca="1">PortfolioCFStatement!D441</f>
        <v>Building Design &amp; Construction Standards</v>
      </c>
      <c r="B35" s="1464" t="str">
        <f>PortfolioCFStatement!E441</f>
        <v>2010$</v>
      </c>
      <c r="C35" s="1476">
        <f ca="1">PortfolioCFStatement!F441</f>
        <v>-9602826.9964801222</v>
      </c>
      <c r="D35" s="358">
        <f ca="1">PortfolioCFStatement!G441</f>
        <v>0</v>
      </c>
      <c r="E35" s="358">
        <f ca="1">PortfolioCFStatement!H441</f>
        <v>-440231.70731709298</v>
      </c>
      <c r="F35" s="358">
        <f ca="1">PortfolioCFStatement!I441</f>
        <v>-2365231.7073170608</v>
      </c>
      <c r="G35" s="358">
        <f ca="1">PortfolioCFStatement!J441</f>
        <v>-965231.70731707709</v>
      </c>
      <c r="H35" s="358">
        <f ca="1">PortfolioCFStatement!K441</f>
        <v>-440231.70731707709</v>
      </c>
      <c r="I35" s="358">
        <f ca="1">PortfolioCFStatement!L441</f>
        <v>-1840231.707317061</v>
      </c>
      <c r="J35" s="358">
        <f ca="1">PortfolioCFStatement!M441</f>
        <v>-440231.70731707709</v>
      </c>
      <c r="K35" s="358">
        <f ca="1">PortfolioCFStatement!N441</f>
        <v>-440231.70731707709</v>
      </c>
      <c r="L35" s="358">
        <f ca="1">PortfolioCFStatement!O441</f>
        <v>-440231.70731707709</v>
      </c>
      <c r="M35" s="358">
        <f ca="1">PortfolioCFStatement!P441</f>
        <v>-440231.70731707709</v>
      </c>
      <c r="N35" s="358">
        <f ca="1">PortfolioCFStatement!Q441</f>
        <v>-440231.70731707709</v>
      </c>
      <c r="O35" s="358">
        <f ca="1">PortfolioCFStatement!R441</f>
        <v>-440231.70731706114</v>
      </c>
      <c r="P35" s="358">
        <f ca="1">PortfolioCFStatement!S441</f>
        <v>-440231.70731706114</v>
      </c>
      <c r="Q35" s="358">
        <f ca="1">PortfolioCFStatement!T441</f>
        <v>-440231.70731709298</v>
      </c>
      <c r="R35" s="358">
        <f ca="1">PortfolioCFStatement!U441</f>
        <v>-440231.70731706114</v>
      </c>
      <c r="S35" s="358">
        <f ca="1">PortfolioCFStatement!V441</f>
        <v>-440231.70731707709</v>
      </c>
      <c r="T35" s="358">
        <f ca="1">PortfolioCFStatement!W441</f>
        <v>-440231.70731707709</v>
      </c>
      <c r="U35" s="358">
        <f ca="1">PortfolioCFStatement!X441</f>
        <v>-440231.70731706114</v>
      </c>
      <c r="V35" s="358">
        <f ca="1">PortfolioCFStatement!Y441</f>
        <v>-440231.70731707709</v>
      </c>
      <c r="W35" s="358">
        <f ca="1">PortfolioCFStatement!Z441</f>
        <v>-440231.70731709298</v>
      </c>
      <c r="X35" s="358">
        <f ca="1">PortfolioCFStatement!AA441</f>
        <v>-440231.70731707709</v>
      </c>
      <c r="Y35" s="358">
        <f ca="1">PortfolioCFStatement!AB441</f>
        <v>-440231.70731706114</v>
      </c>
      <c r="Z35" s="358">
        <f ca="1">PortfolioCFStatement!AC441</f>
        <v>-440231.70731706114</v>
      </c>
      <c r="AA35" s="358">
        <f ca="1">PortfolioCFStatement!AD441</f>
        <v>-440231.70731707709</v>
      </c>
      <c r="AB35" s="358">
        <f ca="1">PortfolioCFStatement!AE441</f>
        <v>-440231.70731706114</v>
      </c>
      <c r="AC35" s="358">
        <f ca="1">PortfolioCFStatement!AF441</f>
        <v>-440231.70731706114</v>
      </c>
      <c r="AD35" s="358">
        <f ca="1">PortfolioCFStatement!AG441</f>
        <v>-440231.70731710887</v>
      </c>
      <c r="AE35" s="358">
        <f ca="1">PortfolioCFStatement!AH441</f>
        <v>-440231.70731707709</v>
      </c>
      <c r="AF35" s="358">
        <f ca="1">PortfolioCFStatement!AI441</f>
        <v>-440231.70731706114</v>
      </c>
      <c r="AG35" s="358">
        <f ca="1">PortfolioCFStatement!AJ441</f>
        <v>-440231.70731706114</v>
      </c>
      <c r="AH35" s="358">
        <f ca="1">PortfolioCFStatement!AK441</f>
        <v>-440231.70731707709</v>
      </c>
      <c r="AI35" s="358">
        <f ca="1">PortfolioCFStatement!AL441</f>
        <v>-440231.70731709298</v>
      </c>
      <c r="AJ35" s="358">
        <f ca="1">PortfolioCFStatement!AM441</f>
        <v>-440231.70731706114</v>
      </c>
      <c r="AK35" s="358">
        <f ca="1">PortfolioCFStatement!AN441</f>
        <v>-440231.70731707709</v>
      </c>
      <c r="AL35" s="358">
        <f ca="1">PortfolioCFStatement!AO441</f>
        <v>-440231.70731706114</v>
      </c>
      <c r="AM35" s="358">
        <f ca="1">PortfolioCFStatement!AP441</f>
        <v>-440231.70731706114</v>
      </c>
      <c r="AN35" s="358">
        <f ca="1">PortfolioCFStatement!AQ441</f>
        <v>-440231.70731707709</v>
      </c>
      <c r="AO35" s="358">
        <f ca="1">PortfolioCFStatement!AR441</f>
        <v>-440231.70731707709</v>
      </c>
      <c r="AP35" s="358">
        <f ca="1">PortfolioCFStatement!AS441</f>
        <v>-440231.70731709298</v>
      </c>
      <c r="AQ35" s="358">
        <f ca="1">PortfolioCFStatement!AT441</f>
        <v>-440231.70731706114</v>
      </c>
      <c r="AR35" s="54"/>
      <c r="AS35" s="358">
        <f t="shared" ca="1" si="0"/>
        <v>-3601158.5365853696</v>
      </c>
      <c r="AT35" s="54"/>
      <c r="AU35" s="358">
        <f t="shared" ca="1" si="1"/>
        <v>-2201158.5365853533</v>
      </c>
      <c r="AV35" s="54"/>
      <c r="AW35" s="358">
        <f t="shared" ca="1" si="2"/>
        <v>-2201158.5365853854</v>
      </c>
      <c r="AX35" s="54"/>
      <c r="AY35" s="358">
        <f t="shared" ca="1" si="3"/>
        <v>-2201158.5365853375</v>
      </c>
      <c r="AZ35" s="54"/>
      <c r="BA35" s="358">
        <f t="shared" ca="1" si="4"/>
        <v>-2201158.5365853696</v>
      </c>
      <c r="BB35" s="54"/>
      <c r="BC35" s="358">
        <f t="shared" ca="1" si="5"/>
        <v>-2201158.5365853696</v>
      </c>
      <c r="BD35" s="54"/>
      <c r="BE35" s="358">
        <f t="shared" ca="1" si="6"/>
        <v>-2201158.5365853696</v>
      </c>
    </row>
    <row r="36" spans="1:57" s="10" customFormat="1">
      <c r="A36" s="1271" t="str">
        <f ca="1">PortfolioCFStatement!D442</f>
        <v>Space Planning &amp; Management</v>
      </c>
      <c r="B36" s="1464" t="str">
        <f>PortfolioCFStatement!E442</f>
        <v>2010$</v>
      </c>
      <c r="C36" s="1476">
        <f ca="1">PortfolioCFStatement!F442</f>
        <v>0</v>
      </c>
      <c r="D36" s="358">
        <f ca="1">PortfolioCFStatement!G442</f>
        <v>0</v>
      </c>
      <c r="E36" s="358">
        <f ca="1">PortfolioCFStatement!H442</f>
        <v>0</v>
      </c>
      <c r="F36" s="358">
        <f ca="1">PortfolioCFStatement!I442</f>
        <v>0</v>
      </c>
      <c r="G36" s="358">
        <f ca="1">PortfolioCFStatement!J442</f>
        <v>0</v>
      </c>
      <c r="H36" s="358">
        <f ca="1">PortfolioCFStatement!K442</f>
        <v>0</v>
      </c>
      <c r="I36" s="358">
        <f ca="1">PortfolioCFStatement!L442</f>
        <v>0</v>
      </c>
      <c r="J36" s="358">
        <f ca="1">PortfolioCFStatement!M442</f>
        <v>0</v>
      </c>
      <c r="K36" s="358">
        <f ca="1">PortfolioCFStatement!N442</f>
        <v>0</v>
      </c>
      <c r="L36" s="358">
        <f ca="1">PortfolioCFStatement!O442</f>
        <v>0</v>
      </c>
      <c r="M36" s="358">
        <f ca="1">PortfolioCFStatement!P442</f>
        <v>0</v>
      </c>
      <c r="N36" s="358">
        <f ca="1">PortfolioCFStatement!Q442</f>
        <v>0</v>
      </c>
      <c r="O36" s="358">
        <f ca="1">PortfolioCFStatement!R442</f>
        <v>0</v>
      </c>
      <c r="P36" s="358">
        <f ca="1">PortfolioCFStatement!S442</f>
        <v>0</v>
      </c>
      <c r="Q36" s="358">
        <f ca="1">PortfolioCFStatement!T442</f>
        <v>0</v>
      </c>
      <c r="R36" s="358">
        <f ca="1">PortfolioCFStatement!U442</f>
        <v>0</v>
      </c>
      <c r="S36" s="358">
        <f ca="1">PortfolioCFStatement!V442</f>
        <v>0</v>
      </c>
      <c r="T36" s="358">
        <f ca="1">PortfolioCFStatement!W442</f>
        <v>0</v>
      </c>
      <c r="U36" s="358">
        <f ca="1">PortfolioCFStatement!X442</f>
        <v>0</v>
      </c>
      <c r="V36" s="358">
        <f ca="1">PortfolioCFStatement!Y442</f>
        <v>0</v>
      </c>
      <c r="W36" s="358">
        <f ca="1">PortfolioCFStatement!Z442</f>
        <v>0</v>
      </c>
      <c r="X36" s="358">
        <f ca="1">PortfolioCFStatement!AA442</f>
        <v>0</v>
      </c>
      <c r="Y36" s="358">
        <f ca="1">PortfolioCFStatement!AB442</f>
        <v>0</v>
      </c>
      <c r="Z36" s="358">
        <f ca="1">PortfolioCFStatement!AC442</f>
        <v>0</v>
      </c>
      <c r="AA36" s="358">
        <f ca="1">PortfolioCFStatement!AD442</f>
        <v>0</v>
      </c>
      <c r="AB36" s="358">
        <f ca="1">PortfolioCFStatement!AE442</f>
        <v>0</v>
      </c>
      <c r="AC36" s="358">
        <f ca="1">PortfolioCFStatement!AF442</f>
        <v>0</v>
      </c>
      <c r="AD36" s="358">
        <f ca="1">PortfolioCFStatement!AG442</f>
        <v>0</v>
      </c>
      <c r="AE36" s="358">
        <f ca="1">PortfolioCFStatement!AH442</f>
        <v>0</v>
      </c>
      <c r="AF36" s="358">
        <f ca="1">PortfolioCFStatement!AI442</f>
        <v>0</v>
      </c>
      <c r="AG36" s="358">
        <f ca="1">PortfolioCFStatement!AJ442</f>
        <v>0</v>
      </c>
      <c r="AH36" s="358">
        <f ca="1">PortfolioCFStatement!AK442</f>
        <v>0</v>
      </c>
      <c r="AI36" s="358">
        <f ca="1">PortfolioCFStatement!AL442</f>
        <v>0</v>
      </c>
      <c r="AJ36" s="358">
        <f ca="1">PortfolioCFStatement!AM442</f>
        <v>0</v>
      </c>
      <c r="AK36" s="358">
        <f ca="1">PortfolioCFStatement!AN442</f>
        <v>0</v>
      </c>
      <c r="AL36" s="358">
        <f ca="1">PortfolioCFStatement!AO442</f>
        <v>0</v>
      </c>
      <c r="AM36" s="358">
        <f ca="1">PortfolioCFStatement!AP442</f>
        <v>0</v>
      </c>
      <c r="AN36" s="358">
        <f ca="1">PortfolioCFStatement!AQ442</f>
        <v>0</v>
      </c>
      <c r="AO36" s="358">
        <f ca="1">PortfolioCFStatement!AR442</f>
        <v>0</v>
      </c>
      <c r="AP36" s="358">
        <f ca="1">PortfolioCFStatement!AS442</f>
        <v>0</v>
      </c>
      <c r="AQ36" s="358">
        <f ca="1">PortfolioCFStatement!AT442</f>
        <v>0</v>
      </c>
      <c r="AR36" s="54"/>
      <c r="AS36" s="358">
        <f t="shared" ca="1" si="0"/>
        <v>0</v>
      </c>
      <c r="AT36" s="54"/>
      <c r="AU36" s="358">
        <f t="shared" ca="1" si="1"/>
        <v>0</v>
      </c>
      <c r="AV36" s="54"/>
      <c r="AW36" s="358">
        <f t="shared" ca="1" si="2"/>
        <v>0</v>
      </c>
      <c r="AX36" s="54"/>
      <c r="AY36" s="358">
        <f t="shared" ca="1" si="3"/>
        <v>0</v>
      </c>
      <c r="AZ36" s="54"/>
      <c r="BA36" s="358">
        <f t="shared" ca="1" si="4"/>
        <v>0</v>
      </c>
      <c r="BB36" s="54"/>
      <c r="BC36" s="358">
        <f t="shared" ca="1" si="5"/>
        <v>0</v>
      </c>
      <c r="BD36" s="54"/>
      <c r="BE36" s="358">
        <f t="shared" ca="1" si="6"/>
        <v>0</v>
      </c>
    </row>
    <row r="37" spans="1:57" s="10" customFormat="1">
      <c r="A37" s="1271" t="str">
        <f ca="1">PortfolioCFStatement!D443</f>
        <v>Central Chiller Expansion</v>
      </c>
      <c r="B37" s="1464" t="str">
        <f>PortfolioCFStatement!E443</f>
        <v>2010$</v>
      </c>
      <c r="C37" s="1476">
        <f ca="1">PortfolioCFStatement!F443</f>
        <v>-1690546.9278276965</v>
      </c>
      <c r="D37" s="358">
        <f ca="1">PortfolioCFStatement!G443</f>
        <v>0</v>
      </c>
      <c r="E37" s="358">
        <f ca="1">PortfolioCFStatement!H443</f>
        <v>-600000</v>
      </c>
      <c r="F37" s="358">
        <f ca="1">PortfolioCFStatement!I443</f>
        <v>0</v>
      </c>
      <c r="G37" s="358">
        <f ca="1">PortfolioCFStatement!J443</f>
        <v>-982035.34068419575</v>
      </c>
      <c r="H37" s="358">
        <f ca="1">PortfolioCFStatement!K443</f>
        <v>0</v>
      </c>
      <c r="I37" s="358">
        <f ca="1">PortfolioCFStatement!L443</f>
        <v>-504630.51431030768</v>
      </c>
      <c r="J37" s="358">
        <f ca="1">PortfolioCFStatement!M443</f>
        <v>0</v>
      </c>
      <c r="K37" s="358">
        <f ca="1">PortfolioCFStatement!N443</f>
        <v>0</v>
      </c>
      <c r="L37" s="358">
        <f ca="1">PortfolioCFStatement!O443</f>
        <v>0</v>
      </c>
      <c r="M37" s="358">
        <f ca="1">PortfolioCFStatement!P443</f>
        <v>0</v>
      </c>
      <c r="N37" s="358">
        <f ca="1">PortfolioCFStatement!Q443</f>
        <v>0</v>
      </c>
      <c r="O37" s="358">
        <f ca="1">PortfolioCFStatement!R443</f>
        <v>0</v>
      </c>
      <c r="P37" s="358">
        <f ca="1">PortfolioCFStatement!S443</f>
        <v>0</v>
      </c>
      <c r="Q37" s="358">
        <f ca="1">PortfolioCFStatement!T443</f>
        <v>0</v>
      </c>
      <c r="R37" s="358">
        <f ca="1">PortfolioCFStatement!U443</f>
        <v>0</v>
      </c>
      <c r="S37" s="358">
        <f ca="1">PortfolioCFStatement!V443</f>
        <v>0</v>
      </c>
      <c r="T37" s="358">
        <f ca="1">PortfolioCFStatement!W443</f>
        <v>0</v>
      </c>
      <c r="U37" s="358">
        <f ca="1">PortfolioCFStatement!X443</f>
        <v>0</v>
      </c>
      <c r="V37" s="358">
        <f ca="1">PortfolioCFStatement!Y443</f>
        <v>0</v>
      </c>
      <c r="W37" s="358">
        <f ca="1">PortfolioCFStatement!Z443</f>
        <v>0</v>
      </c>
      <c r="X37" s="358">
        <f ca="1">PortfolioCFStatement!AA443</f>
        <v>0</v>
      </c>
      <c r="Y37" s="358">
        <f ca="1">PortfolioCFStatement!AB443</f>
        <v>0</v>
      </c>
      <c r="Z37" s="358">
        <f ca="1">PortfolioCFStatement!AC443</f>
        <v>0</v>
      </c>
      <c r="AA37" s="358">
        <f ca="1">PortfolioCFStatement!AD443</f>
        <v>0</v>
      </c>
      <c r="AB37" s="358">
        <f ca="1">PortfolioCFStatement!AE443</f>
        <v>0</v>
      </c>
      <c r="AC37" s="358">
        <f ca="1">PortfolioCFStatement!AF443</f>
        <v>0</v>
      </c>
      <c r="AD37" s="358">
        <f ca="1">PortfolioCFStatement!AG443</f>
        <v>0</v>
      </c>
      <c r="AE37" s="358">
        <f ca="1">PortfolioCFStatement!AH443</f>
        <v>0</v>
      </c>
      <c r="AF37" s="358">
        <f ca="1">PortfolioCFStatement!AI443</f>
        <v>0</v>
      </c>
      <c r="AG37" s="358">
        <f ca="1">PortfolioCFStatement!AJ443</f>
        <v>0</v>
      </c>
      <c r="AH37" s="358">
        <f ca="1">PortfolioCFStatement!AK443</f>
        <v>0</v>
      </c>
      <c r="AI37" s="358">
        <f ca="1">PortfolioCFStatement!AL443</f>
        <v>0</v>
      </c>
      <c r="AJ37" s="358">
        <f ca="1">PortfolioCFStatement!AM443</f>
        <v>0</v>
      </c>
      <c r="AK37" s="358">
        <f ca="1">PortfolioCFStatement!AN443</f>
        <v>0</v>
      </c>
      <c r="AL37" s="358">
        <f ca="1">PortfolioCFStatement!AO443</f>
        <v>0</v>
      </c>
      <c r="AM37" s="358">
        <f ca="1">PortfolioCFStatement!AP443</f>
        <v>0</v>
      </c>
      <c r="AN37" s="358">
        <f ca="1">PortfolioCFStatement!AQ443</f>
        <v>0</v>
      </c>
      <c r="AO37" s="358">
        <f ca="1">PortfolioCFStatement!AR443</f>
        <v>0</v>
      </c>
      <c r="AP37" s="358">
        <f ca="1">PortfolioCFStatement!AS443</f>
        <v>0</v>
      </c>
      <c r="AQ37" s="358">
        <f ca="1">PortfolioCFStatement!AT443</f>
        <v>0</v>
      </c>
      <c r="AR37" s="54"/>
      <c r="AS37" s="358">
        <f t="shared" ca="1" si="0"/>
        <v>-504630.51431030768</v>
      </c>
      <c r="AT37" s="54"/>
      <c r="AU37" s="358">
        <f t="shared" ca="1" si="1"/>
        <v>0</v>
      </c>
      <c r="AV37" s="54"/>
      <c r="AW37" s="358">
        <f t="shared" ca="1" si="2"/>
        <v>0</v>
      </c>
      <c r="AX37" s="54"/>
      <c r="AY37" s="358">
        <f t="shared" ca="1" si="3"/>
        <v>0</v>
      </c>
      <c r="AZ37" s="54"/>
      <c r="BA37" s="358">
        <f t="shared" ca="1" si="4"/>
        <v>0</v>
      </c>
      <c r="BB37" s="54"/>
      <c r="BC37" s="358">
        <f t="shared" ca="1" si="5"/>
        <v>0</v>
      </c>
      <c r="BD37" s="54"/>
      <c r="BE37" s="358">
        <f t="shared" ca="1" si="6"/>
        <v>0</v>
      </c>
    </row>
    <row r="38" spans="1:57" s="10" customFormat="1">
      <c r="A38" s="1271" t="str">
        <f ca="1">PortfolioCFStatement!D444</f>
        <v>Short-term Energy Conservation Measures</v>
      </c>
      <c r="B38" s="1464" t="str">
        <f>PortfolioCFStatement!E444</f>
        <v>2010$</v>
      </c>
      <c r="C38" s="1476">
        <f ca="1">PortfolioCFStatement!F444</f>
        <v>-1570304.7352544956</v>
      </c>
      <c r="D38" s="358">
        <f ca="1">PortfolioCFStatement!G444</f>
        <v>0</v>
      </c>
      <c r="E38" s="358">
        <f ca="1">PortfolioCFStatement!H444</f>
        <v>-389653</v>
      </c>
      <c r="F38" s="358">
        <f ca="1">PortfolioCFStatement!I444</f>
        <v>-389653</v>
      </c>
      <c r="G38" s="358">
        <f ca="1">PortfolioCFStatement!J444</f>
        <v>-389653</v>
      </c>
      <c r="H38" s="358">
        <f ca="1">PortfolioCFStatement!K444</f>
        <v>-389653</v>
      </c>
      <c r="I38" s="358">
        <f ca="1">PortfolioCFStatement!L444</f>
        <v>-389653</v>
      </c>
      <c r="J38" s="358">
        <f ca="1">PortfolioCFStatement!M444</f>
        <v>0</v>
      </c>
      <c r="K38" s="358">
        <f ca="1">PortfolioCFStatement!N444</f>
        <v>0</v>
      </c>
      <c r="L38" s="358">
        <f ca="1">PortfolioCFStatement!O444</f>
        <v>0</v>
      </c>
      <c r="M38" s="358">
        <f ca="1">PortfolioCFStatement!P444</f>
        <v>0</v>
      </c>
      <c r="N38" s="358">
        <f ca="1">PortfolioCFStatement!Q444</f>
        <v>0</v>
      </c>
      <c r="O38" s="358">
        <f ca="1">PortfolioCFStatement!R444</f>
        <v>0</v>
      </c>
      <c r="P38" s="358">
        <f ca="1">PortfolioCFStatement!S444</f>
        <v>0</v>
      </c>
      <c r="Q38" s="358">
        <f ca="1">PortfolioCFStatement!T444</f>
        <v>0</v>
      </c>
      <c r="R38" s="358">
        <f ca="1">PortfolioCFStatement!U444</f>
        <v>0</v>
      </c>
      <c r="S38" s="358">
        <f ca="1">PortfolioCFStatement!V444</f>
        <v>0</v>
      </c>
      <c r="T38" s="358">
        <f ca="1">PortfolioCFStatement!W444</f>
        <v>0</v>
      </c>
      <c r="U38" s="358">
        <f ca="1">PortfolioCFStatement!X444</f>
        <v>0</v>
      </c>
      <c r="V38" s="358">
        <f ca="1">PortfolioCFStatement!Y444</f>
        <v>0</v>
      </c>
      <c r="W38" s="358">
        <f ca="1">PortfolioCFStatement!Z444</f>
        <v>0</v>
      </c>
      <c r="X38" s="358">
        <f ca="1">PortfolioCFStatement!AA444</f>
        <v>0</v>
      </c>
      <c r="Y38" s="358">
        <f ca="1">PortfolioCFStatement!AB444</f>
        <v>0</v>
      </c>
      <c r="Z38" s="358">
        <f ca="1">PortfolioCFStatement!AC444</f>
        <v>0</v>
      </c>
      <c r="AA38" s="358">
        <f ca="1">PortfolioCFStatement!AD444</f>
        <v>0</v>
      </c>
      <c r="AB38" s="358">
        <f ca="1">PortfolioCFStatement!AE444</f>
        <v>0</v>
      </c>
      <c r="AC38" s="358">
        <f ca="1">PortfolioCFStatement!AF444</f>
        <v>0</v>
      </c>
      <c r="AD38" s="358">
        <f ca="1">PortfolioCFStatement!AG444</f>
        <v>0</v>
      </c>
      <c r="AE38" s="358">
        <f ca="1">PortfolioCFStatement!AH444</f>
        <v>0</v>
      </c>
      <c r="AF38" s="358">
        <f ca="1">PortfolioCFStatement!AI444</f>
        <v>0</v>
      </c>
      <c r="AG38" s="358">
        <f ca="1">PortfolioCFStatement!AJ444</f>
        <v>0</v>
      </c>
      <c r="AH38" s="358">
        <f ca="1">PortfolioCFStatement!AK444</f>
        <v>0</v>
      </c>
      <c r="AI38" s="358">
        <f ca="1">PortfolioCFStatement!AL444</f>
        <v>0</v>
      </c>
      <c r="AJ38" s="358">
        <f ca="1">PortfolioCFStatement!AM444</f>
        <v>0</v>
      </c>
      <c r="AK38" s="358">
        <f ca="1">PortfolioCFStatement!AN444</f>
        <v>0</v>
      </c>
      <c r="AL38" s="358">
        <f ca="1">PortfolioCFStatement!AO444</f>
        <v>0</v>
      </c>
      <c r="AM38" s="358">
        <f ca="1">PortfolioCFStatement!AP444</f>
        <v>0</v>
      </c>
      <c r="AN38" s="358">
        <f ca="1">PortfolioCFStatement!AQ444</f>
        <v>0</v>
      </c>
      <c r="AO38" s="358">
        <f ca="1">PortfolioCFStatement!AR444</f>
        <v>0</v>
      </c>
      <c r="AP38" s="358">
        <f ca="1">PortfolioCFStatement!AS444</f>
        <v>0</v>
      </c>
      <c r="AQ38" s="358">
        <f ca="1">PortfolioCFStatement!AT444</f>
        <v>0</v>
      </c>
      <c r="AR38" s="54"/>
      <c r="AS38" s="358">
        <f t="shared" ca="1" si="0"/>
        <v>-389653</v>
      </c>
      <c r="AT38" s="54"/>
      <c r="AU38" s="358">
        <f t="shared" ca="1" si="1"/>
        <v>0</v>
      </c>
      <c r="AV38" s="54"/>
      <c r="AW38" s="358">
        <f t="shared" ca="1" si="2"/>
        <v>0</v>
      </c>
      <c r="AX38" s="54"/>
      <c r="AY38" s="358">
        <f t="shared" ca="1" si="3"/>
        <v>0</v>
      </c>
      <c r="AZ38" s="54"/>
      <c r="BA38" s="358">
        <f t="shared" ca="1" si="4"/>
        <v>0</v>
      </c>
      <c r="BB38" s="54"/>
      <c r="BC38" s="358">
        <f t="shared" ca="1" si="5"/>
        <v>0</v>
      </c>
      <c r="BD38" s="54"/>
      <c r="BE38" s="358">
        <f t="shared" ca="1" si="6"/>
        <v>0</v>
      </c>
    </row>
    <row r="39" spans="1:57" s="10" customFormat="1">
      <c r="A39" s="1271" t="str">
        <f ca="1">PortfolioCFStatement!D445</f>
        <v>Mid-term Energy Conservation Measures</v>
      </c>
      <c r="B39" s="1464" t="str">
        <f>PortfolioCFStatement!E445</f>
        <v>2010$</v>
      </c>
      <c r="C39" s="1476">
        <f ca="1">PortfolioCFStatement!F445</f>
        <v>-3421010.1138174692</v>
      </c>
      <c r="D39" s="358">
        <f ca="1">PortfolioCFStatement!G445</f>
        <v>0</v>
      </c>
      <c r="E39" s="358">
        <f ca="1">PortfolioCFStatement!H445</f>
        <v>0</v>
      </c>
      <c r="F39" s="358">
        <f ca="1">PortfolioCFStatement!I445</f>
        <v>0</v>
      </c>
      <c r="G39" s="358">
        <f ca="1">PortfolioCFStatement!J445</f>
        <v>0</v>
      </c>
      <c r="H39" s="358">
        <f ca="1">PortfolioCFStatement!K445</f>
        <v>0</v>
      </c>
      <c r="I39" s="358">
        <f ca="1">PortfolioCFStatement!L445</f>
        <v>0</v>
      </c>
      <c r="J39" s="358">
        <f ca="1">PortfolioCFStatement!M445</f>
        <v>-753244.375</v>
      </c>
      <c r="K39" s="358">
        <f ca="1">PortfolioCFStatement!N445</f>
        <v>-753244.375</v>
      </c>
      <c r="L39" s="358">
        <f ca="1">PortfolioCFStatement!O445</f>
        <v>-753244.375</v>
      </c>
      <c r="M39" s="358">
        <f ca="1">PortfolioCFStatement!P445</f>
        <v>-753244.375</v>
      </c>
      <c r="N39" s="358">
        <f ca="1">PortfolioCFStatement!Q445</f>
        <v>-753244.375</v>
      </c>
      <c r="O39" s="358">
        <f ca="1">PortfolioCFStatement!R445</f>
        <v>-753244.375</v>
      </c>
      <c r="P39" s="358">
        <f ca="1">PortfolioCFStatement!S445</f>
        <v>-753244.375</v>
      </c>
      <c r="Q39" s="358">
        <f ca="1">PortfolioCFStatement!T445</f>
        <v>-753244.375</v>
      </c>
      <c r="R39" s="358">
        <f ca="1">PortfolioCFStatement!U445</f>
        <v>0</v>
      </c>
      <c r="S39" s="358">
        <f ca="1">PortfolioCFStatement!V445</f>
        <v>0</v>
      </c>
      <c r="T39" s="358">
        <f ca="1">PortfolioCFStatement!W445</f>
        <v>0</v>
      </c>
      <c r="U39" s="358">
        <f ca="1">PortfolioCFStatement!X445</f>
        <v>0</v>
      </c>
      <c r="V39" s="358">
        <f ca="1">PortfolioCFStatement!Y445</f>
        <v>0</v>
      </c>
      <c r="W39" s="358">
        <f ca="1">PortfolioCFStatement!Z445</f>
        <v>0</v>
      </c>
      <c r="X39" s="358">
        <f ca="1">PortfolioCFStatement!AA445</f>
        <v>0</v>
      </c>
      <c r="Y39" s="358">
        <f ca="1">PortfolioCFStatement!AB445</f>
        <v>0</v>
      </c>
      <c r="Z39" s="358">
        <f ca="1">PortfolioCFStatement!AC445</f>
        <v>0</v>
      </c>
      <c r="AA39" s="358">
        <f ca="1">PortfolioCFStatement!AD445</f>
        <v>0</v>
      </c>
      <c r="AB39" s="358">
        <f ca="1">PortfolioCFStatement!AE445</f>
        <v>0</v>
      </c>
      <c r="AC39" s="358">
        <f ca="1">PortfolioCFStatement!AF445</f>
        <v>0</v>
      </c>
      <c r="AD39" s="358">
        <f ca="1">PortfolioCFStatement!AG445</f>
        <v>0</v>
      </c>
      <c r="AE39" s="358">
        <f ca="1">PortfolioCFStatement!AH445</f>
        <v>0</v>
      </c>
      <c r="AF39" s="358">
        <f ca="1">PortfolioCFStatement!AI445</f>
        <v>0</v>
      </c>
      <c r="AG39" s="358">
        <f ca="1">PortfolioCFStatement!AJ445</f>
        <v>0</v>
      </c>
      <c r="AH39" s="358">
        <f ca="1">PortfolioCFStatement!AK445</f>
        <v>0</v>
      </c>
      <c r="AI39" s="358">
        <f ca="1">PortfolioCFStatement!AL445</f>
        <v>0</v>
      </c>
      <c r="AJ39" s="358">
        <f ca="1">PortfolioCFStatement!AM445</f>
        <v>0</v>
      </c>
      <c r="AK39" s="358">
        <f ca="1">PortfolioCFStatement!AN445</f>
        <v>0</v>
      </c>
      <c r="AL39" s="358">
        <f ca="1">PortfolioCFStatement!AO445</f>
        <v>0</v>
      </c>
      <c r="AM39" s="358">
        <f ca="1">PortfolioCFStatement!AP445</f>
        <v>0</v>
      </c>
      <c r="AN39" s="358">
        <f ca="1">PortfolioCFStatement!AQ445</f>
        <v>0</v>
      </c>
      <c r="AO39" s="358">
        <f ca="1">PortfolioCFStatement!AR445</f>
        <v>0</v>
      </c>
      <c r="AP39" s="358">
        <f ca="1">PortfolioCFStatement!AS445</f>
        <v>0</v>
      </c>
      <c r="AQ39" s="358">
        <f ca="1">PortfolioCFStatement!AT445</f>
        <v>0</v>
      </c>
      <c r="AR39" s="54"/>
      <c r="AS39" s="358">
        <f t="shared" ca="1" si="0"/>
        <v>-3012977.5</v>
      </c>
      <c r="AT39" s="54"/>
      <c r="AU39" s="358">
        <f t="shared" ca="1" si="1"/>
        <v>-3012977.5</v>
      </c>
      <c r="AV39" s="54"/>
      <c r="AW39" s="358">
        <f t="shared" ca="1" si="2"/>
        <v>0</v>
      </c>
      <c r="AX39" s="54"/>
      <c r="AY39" s="358">
        <f t="shared" ca="1" si="3"/>
        <v>0</v>
      </c>
      <c r="AZ39" s="54"/>
      <c r="BA39" s="358">
        <f t="shared" ca="1" si="4"/>
        <v>0</v>
      </c>
      <c r="BB39" s="54"/>
      <c r="BC39" s="358">
        <f t="shared" ca="1" si="5"/>
        <v>0</v>
      </c>
      <c r="BD39" s="54"/>
      <c r="BE39" s="358">
        <f t="shared" ca="1" si="6"/>
        <v>0</v>
      </c>
    </row>
    <row r="40" spans="1:57" s="10" customFormat="1">
      <c r="A40" s="1271" t="str">
        <f ca="1">PortfolioCFStatement!D446</f>
        <v>Long-term Energy Conservation Measures</v>
      </c>
      <c r="B40" s="1464" t="str">
        <f>PortfolioCFStatement!E446</f>
        <v>2010$</v>
      </c>
      <c r="C40" s="1476">
        <f ca="1">PortfolioCFStatement!F446</f>
        <v>-2900388.971806766</v>
      </c>
      <c r="D40" s="358">
        <f ca="1">PortfolioCFStatement!G446</f>
        <v>0</v>
      </c>
      <c r="E40" s="358">
        <f ca="1">PortfolioCFStatement!H446</f>
        <v>0</v>
      </c>
      <c r="F40" s="358">
        <f ca="1">PortfolioCFStatement!I446</f>
        <v>0</v>
      </c>
      <c r="G40" s="358">
        <f ca="1">PortfolioCFStatement!J446</f>
        <v>0</v>
      </c>
      <c r="H40" s="358">
        <f ca="1">PortfolioCFStatement!K446</f>
        <v>0</v>
      </c>
      <c r="I40" s="358">
        <f ca="1">PortfolioCFStatement!L446</f>
        <v>0</v>
      </c>
      <c r="J40" s="358">
        <f ca="1">PortfolioCFStatement!M446</f>
        <v>0</v>
      </c>
      <c r="K40" s="358">
        <f ca="1">PortfolioCFStatement!N446</f>
        <v>0</v>
      </c>
      <c r="L40" s="358">
        <f ca="1">PortfolioCFStatement!O446</f>
        <v>0</v>
      </c>
      <c r="M40" s="358">
        <f ca="1">PortfolioCFStatement!P446</f>
        <v>0</v>
      </c>
      <c r="N40" s="358">
        <f ca="1">PortfolioCFStatement!Q446</f>
        <v>0</v>
      </c>
      <c r="O40" s="358">
        <f ca="1">PortfolioCFStatement!R446</f>
        <v>0</v>
      </c>
      <c r="P40" s="358">
        <f ca="1">PortfolioCFStatement!S446</f>
        <v>0</v>
      </c>
      <c r="Q40" s="358">
        <f ca="1">PortfolioCFStatement!T446</f>
        <v>0</v>
      </c>
      <c r="R40" s="358">
        <f ca="1">PortfolioCFStatement!U446</f>
        <v>-831862</v>
      </c>
      <c r="S40" s="358">
        <f ca="1">PortfolioCFStatement!V446</f>
        <v>-831862</v>
      </c>
      <c r="T40" s="358">
        <f ca="1">PortfolioCFStatement!W446</f>
        <v>-831862</v>
      </c>
      <c r="U40" s="358">
        <f ca="1">PortfolioCFStatement!X446</f>
        <v>-831862</v>
      </c>
      <c r="V40" s="358">
        <f ca="1">PortfolioCFStatement!Y446</f>
        <v>-831862</v>
      </c>
      <c r="W40" s="358">
        <f ca="1">PortfolioCFStatement!Z446</f>
        <v>-831862</v>
      </c>
      <c r="X40" s="358">
        <f ca="1">PortfolioCFStatement!AA446</f>
        <v>-831862</v>
      </c>
      <c r="Y40" s="358">
        <f ca="1">PortfolioCFStatement!AB446</f>
        <v>-831862</v>
      </c>
      <c r="Z40" s="358">
        <f ca="1">PortfolioCFStatement!AC446</f>
        <v>-831862</v>
      </c>
      <c r="AA40" s="358">
        <f ca="1">PortfolioCFStatement!AD446</f>
        <v>-831862</v>
      </c>
      <c r="AB40" s="358">
        <f ca="1">PortfolioCFStatement!AE446</f>
        <v>0</v>
      </c>
      <c r="AC40" s="358">
        <f ca="1">PortfolioCFStatement!AF446</f>
        <v>0</v>
      </c>
      <c r="AD40" s="358">
        <f ca="1">PortfolioCFStatement!AG446</f>
        <v>0</v>
      </c>
      <c r="AE40" s="358">
        <f ca="1">PortfolioCFStatement!AH446</f>
        <v>0</v>
      </c>
      <c r="AF40" s="358">
        <f ca="1">PortfolioCFStatement!AI446</f>
        <v>0</v>
      </c>
      <c r="AG40" s="358">
        <f ca="1">PortfolioCFStatement!AJ446</f>
        <v>0</v>
      </c>
      <c r="AH40" s="358">
        <f ca="1">PortfolioCFStatement!AK446</f>
        <v>0</v>
      </c>
      <c r="AI40" s="358">
        <f ca="1">PortfolioCFStatement!AL446</f>
        <v>0</v>
      </c>
      <c r="AJ40" s="358">
        <f ca="1">PortfolioCFStatement!AM446</f>
        <v>0</v>
      </c>
      <c r="AK40" s="358">
        <f ca="1">PortfolioCFStatement!AN446</f>
        <v>0</v>
      </c>
      <c r="AL40" s="358">
        <f ca="1">PortfolioCFStatement!AO446</f>
        <v>0</v>
      </c>
      <c r="AM40" s="358">
        <f ca="1">PortfolioCFStatement!AP446</f>
        <v>0</v>
      </c>
      <c r="AN40" s="358">
        <f ca="1">PortfolioCFStatement!AQ446</f>
        <v>0</v>
      </c>
      <c r="AO40" s="358">
        <f ca="1">PortfolioCFStatement!AR446</f>
        <v>0</v>
      </c>
      <c r="AP40" s="358">
        <f ca="1">PortfolioCFStatement!AS446</f>
        <v>0</v>
      </c>
      <c r="AQ40" s="358">
        <f ca="1">PortfolioCFStatement!AT446</f>
        <v>0</v>
      </c>
      <c r="AR40" s="54"/>
      <c r="AS40" s="358">
        <f t="shared" ca="1" si="0"/>
        <v>0</v>
      </c>
      <c r="AT40" s="54"/>
      <c r="AU40" s="358">
        <f t="shared" ca="1" si="1"/>
        <v>-831862</v>
      </c>
      <c r="AV40" s="54"/>
      <c r="AW40" s="358">
        <f t="shared" ca="1" si="2"/>
        <v>-4159310</v>
      </c>
      <c r="AX40" s="54"/>
      <c r="AY40" s="358">
        <f t="shared" ca="1" si="3"/>
        <v>-3327448</v>
      </c>
      <c r="AZ40" s="54"/>
      <c r="BA40" s="358">
        <f t="shared" ca="1" si="4"/>
        <v>0</v>
      </c>
      <c r="BB40" s="54"/>
      <c r="BC40" s="358">
        <f t="shared" ca="1" si="5"/>
        <v>0</v>
      </c>
      <c r="BD40" s="54"/>
      <c r="BE40" s="358">
        <f t="shared" ca="1" si="6"/>
        <v>0</v>
      </c>
    </row>
    <row r="41" spans="1:57" s="10" customFormat="1">
      <c r="A41" s="1271" t="str">
        <f ca="1">PortfolioCFStatement!D447</f>
        <v>Green IT</v>
      </c>
      <c r="B41" s="1464" t="str">
        <f>PortfolioCFStatement!E447</f>
        <v>2010$</v>
      </c>
      <c r="C41" s="1476">
        <f ca="1">PortfolioCFStatement!F447</f>
        <v>-22523.170148873429</v>
      </c>
      <c r="D41" s="358">
        <f ca="1">PortfolioCFStatement!G447</f>
        <v>0</v>
      </c>
      <c r="E41" s="358">
        <f ca="1">PortfolioCFStatement!H447</f>
        <v>0</v>
      </c>
      <c r="F41" s="358">
        <f ca="1">PortfolioCFStatement!I447</f>
        <v>-9333.3333333333339</v>
      </c>
      <c r="G41" s="358">
        <f ca="1">PortfolioCFStatement!J447</f>
        <v>-9333.3333333333339</v>
      </c>
      <c r="H41" s="358">
        <f ca="1">PortfolioCFStatement!K447</f>
        <v>-9333.3333333333339</v>
      </c>
      <c r="I41" s="358">
        <f ca="1">PortfolioCFStatement!L447</f>
        <v>0</v>
      </c>
      <c r="J41" s="358">
        <f ca="1">PortfolioCFStatement!M447</f>
        <v>0</v>
      </c>
      <c r="K41" s="358">
        <f ca="1">PortfolioCFStatement!N447</f>
        <v>0</v>
      </c>
      <c r="L41" s="358">
        <f ca="1">PortfolioCFStatement!O447</f>
        <v>0</v>
      </c>
      <c r="M41" s="358">
        <f ca="1">PortfolioCFStatement!P447</f>
        <v>0</v>
      </c>
      <c r="N41" s="358">
        <f ca="1">PortfolioCFStatement!Q447</f>
        <v>0</v>
      </c>
      <c r="O41" s="358">
        <f ca="1">PortfolioCFStatement!R447</f>
        <v>0</v>
      </c>
      <c r="P41" s="358">
        <f ca="1">PortfolioCFStatement!S447</f>
        <v>0</v>
      </c>
      <c r="Q41" s="358">
        <f ca="1">PortfolioCFStatement!T447</f>
        <v>0</v>
      </c>
      <c r="R41" s="358">
        <f ca="1">PortfolioCFStatement!U447</f>
        <v>0</v>
      </c>
      <c r="S41" s="358">
        <f ca="1">PortfolioCFStatement!V447</f>
        <v>0</v>
      </c>
      <c r="T41" s="358">
        <f ca="1">PortfolioCFStatement!W447</f>
        <v>0</v>
      </c>
      <c r="U41" s="358">
        <f ca="1">PortfolioCFStatement!X447</f>
        <v>0</v>
      </c>
      <c r="V41" s="358">
        <f ca="1">PortfolioCFStatement!Y447</f>
        <v>0</v>
      </c>
      <c r="W41" s="358">
        <f ca="1">PortfolioCFStatement!Z447</f>
        <v>0</v>
      </c>
      <c r="X41" s="358">
        <f ca="1">PortfolioCFStatement!AA447</f>
        <v>0</v>
      </c>
      <c r="Y41" s="358">
        <f ca="1">PortfolioCFStatement!AB447</f>
        <v>0</v>
      </c>
      <c r="Z41" s="358">
        <f ca="1">PortfolioCFStatement!AC447</f>
        <v>0</v>
      </c>
      <c r="AA41" s="358">
        <f ca="1">PortfolioCFStatement!AD447</f>
        <v>0</v>
      </c>
      <c r="AB41" s="358">
        <f ca="1">PortfolioCFStatement!AE447</f>
        <v>0</v>
      </c>
      <c r="AC41" s="358">
        <f ca="1">PortfolioCFStatement!AF447</f>
        <v>0</v>
      </c>
      <c r="AD41" s="358">
        <f ca="1">PortfolioCFStatement!AG447</f>
        <v>0</v>
      </c>
      <c r="AE41" s="358">
        <f ca="1">PortfolioCFStatement!AH447</f>
        <v>0</v>
      </c>
      <c r="AF41" s="358">
        <f ca="1">PortfolioCFStatement!AI447</f>
        <v>0</v>
      </c>
      <c r="AG41" s="358">
        <f ca="1">PortfolioCFStatement!AJ447</f>
        <v>0</v>
      </c>
      <c r="AH41" s="358">
        <f ca="1">PortfolioCFStatement!AK447</f>
        <v>0</v>
      </c>
      <c r="AI41" s="358">
        <f ca="1">PortfolioCFStatement!AL447</f>
        <v>0</v>
      </c>
      <c r="AJ41" s="358">
        <f ca="1">PortfolioCFStatement!AM447</f>
        <v>0</v>
      </c>
      <c r="AK41" s="358">
        <f ca="1">PortfolioCFStatement!AN447</f>
        <v>0</v>
      </c>
      <c r="AL41" s="358">
        <f ca="1">PortfolioCFStatement!AO447</f>
        <v>0</v>
      </c>
      <c r="AM41" s="358">
        <f ca="1">PortfolioCFStatement!AP447</f>
        <v>0</v>
      </c>
      <c r="AN41" s="358">
        <f ca="1">PortfolioCFStatement!AQ447</f>
        <v>0</v>
      </c>
      <c r="AO41" s="358">
        <f ca="1">PortfolioCFStatement!AR447</f>
        <v>0</v>
      </c>
      <c r="AP41" s="358">
        <f ca="1">PortfolioCFStatement!AS447</f>
        <v>0</v>
      </c>
      <c r="AQ41" s="358">
        <f ca="1">PortfolioCFStatement!AT447</f>
        <v>0</v>
      </c>
      <c r="AR41" s="54"/>
      <c r="AS41" s="358">
        <f t="shared" ca="1" si="0"/>
        <v>0</v>
      </c>
      <c r="AT41" s="54"/>
      <c r="AU41" s="358">
        <f t="shared" ca="1" si="1"/>
        <v>0</v>
      </c>
      <c r="AV41" s="54"/>
      <c r="AW41" s="358">
        <f t="shared" ca="1" si="2"/>
        <v>0</v>
      </c>
      <c r="AX41" s="54"/>
      <c r="AY41" s="358">
        <f t="shared" ca="1" si="3"/>
        <v>0</v>
      </c>
      <c r="AZ41" s="54"/>
      <c r="BA41" s="358">
        <f t="shared" ca="1" si="4"/>
        <v>0</v>
      </c>
      <c r="BB41" s="54"/>
      <c r="BC41" s="358">
        <f t="shared" ca="1" si="5"/>
        <v>0</v>
      </c>
      <c r="BD41" s="54"/>
      <c r="BE41" s="358">
        <f t="shared" ca="1" si="6"/>
        <v>0</v>
      </c>
    </row>
    <row r="42" spans="1:57" s="10" customFormat="1">
      <c r="A42" s="1271" t="str">
        <f ca="1">PortfolioCFStatement!D448</f>
        <v>Reduced Air Travel</v>
      </c>
      <c r="B42" s="1464" t="str">
        <f>PortfolioCFStatement!E448</f>
        <v>2010$</v>
      </c>
      <c r="C42" s="1476">
        <f ca="1">PortfolioCFStatement!F448</f>
        <v>0</v>
      </c>
      <c r="D42" s="358">
        <f ca="1">PortfolioCFStatement!G448</f>
        <v>0</v>
      </c>
      <c r="E42" s="358">
        <f ca="1">PortfolioCFStatement!H448</f>
        <v>0</v>
      </c>
      <c r="F42" s="358">
        <f ca="1">PortfolioCFStatement!I448</f>
        <v>0</v>
      </c>
      <c r="G42" s="358">
        <f ca="1">PortfolioCFStatement!J448</f>
        <v>0</v>
      </c>
      <c r="H42" s="358">
        <f ca="1">PortfolioCFStatement!K448</f>
        <v>0</v>
      </c>
      <c r="I42" s="358">
        <f ca="1">PortfolioCFStatement!L448</f>
        <v>0</v>
      </c>
      <c r="J42" s="358">
        <f ca="1">PortfolioCFStatement!M448</f>
        <v>0</v>
      </c>
      <c r="K42" s="358">
        <f ca="1">PortfolioCFStatement!N448</f>
        <v>0</v>
      </c>
      <c r="L42" s="358">
        <f ca="1">PortfolioCFStatement!O448</f>
        <v>0</v>
      </c>
      <c r="M42" s="358">
        <f ca="1">PortfolioCFStatement!P448</f>
        <v>0</v>
      </c>
      <c r="N42" s="358">
        <f ca="1">PortfolioCFStatement!Q448</f>
        <v>0</v>
      </c>
      <c r="O42" s="358">
        <f ca="1">PortfolioCFStatement!R448</f>
        <v>0</v>
      </c>
      <c r="P42" s="358">
        <f ca="1">PortfolioCFStatement!S448</f>
        <v>0</v>
      </c>
      <c r="Q42" s="358">
        <f ca="1">PortfolioCFStatement!T448</f>
        <v>0</v>
      </c>
      <c r="R42" s="358">
        <f ca="1">PortfolioCFStatement!U448</f>
        <v>0</v>
      </c>
      <c r="S42" s="358">
        <f ca="1">PortfolioCFStatement!V448</f>
        <v>0</v>
      </c>
      <c r="T42" s="358">
        <f ca="1">PortfolioCFStatement!W448</f>
        <v>0</v>
      </c>
      <c r="U42" s="358">
        <f ca="1">PortfolioCFStatement!X448</f>
        <v>0</v>
      </c>
      <c r="V42" s="358">
        <f ca="1">PortfolioCFStatement!Y448</f>
        <v>0</v>
      </c>
      <c r="W42" s="358">
        <f ca="1">PortfolioCFStatement!Z448</f>
        <v>0</v>
      </c>
      <c r="X42" s="358">
        <f ca="1">PortfolioCFStatement!AA448</f>
        <v>0</v>
      </c>
      <c r="Y42" s="358">
        <f ca="1">PortfolioCFStatement!AB448</f>
        <v>0</v>
      </c>
      <c r="Z42" s="358">
        <f ca="1">PortfolioCFStatement!AC448</f>
        <v>0</v>
      </c>
      <c r="AA42" s="358">
        <f ca="1">PortfolioCFStatement!AD448</f>
        <v>0</v>
      </c>
      <c r="AB42" s="358">
        <f ca="1">PortfolioCFStatement!AE448</f>
        <v>0</v>
      </c>
      <c r="AC42" s="358">
        <f ca="1">PortfolioCFStatement!AF448</f>
        <v>0</v>
      </c>
      <c r="AD42" s="358">
        <f ca="1">PortfolioCFStatement!AG448</f>
        <v>0</v>
      </c>
      <c r="AE42" s="358">
        <f ca="1">PortfolioCFStatement!AH448</f>
        <v>0</v>
      </c>
      <c r="AF42" s="358">
        <f ca="1">PortfolioCFStatement!AI448</f>
        <v>0</v>
      </c>
      <c r="AG42" s="358">
        <f ca="1">PortfolioCFStatement!AJ448</f>
        <v>0</v>
      </c>
      <c r="AH42" s="358">
        <f ca="1">PortfolioCFStatement!AK448</f>
        <v>0</v>
      </c>
      <c r="AI42" s="358">
        <f ca="1">PortfolioCFStatement!AL448</f>
        <v>0</v>
      </c>
      <c r="AJ42" s="358">
        <f ca="1">PortfolioCFStatement!AM448</f>
        <v>0</v>
      </c>
      <c r="AK42" s="358">
        <f ca="1">PortfolioCFStatement!AN448</f>
        <v>0</v>
      </c>
      <c r="AL42" s="358">
        <f ca="1">PortfolioCFStatement!AO448</f>
        <v>0</v>
      </c>
      <c r="AM42" s="358">
        <f ca="1">PortfolioCFStatement!AP448</f>
        <v>0</v>
      </c>
      <c r="AN42" s="358">
        <f ca="1">PortfolioCFStatement!AQ448</f>
        <v>0</v>
      </c>
      <c r="AO42" s="358">
        <f ca="1">PortfolioCFStatement!AR448</f>
        <v>0</v>
      </c>
      <c r="AP42" s="358">
        <f ca="1">PortfolioCFStatement!AS448</f>
        <v>0</v>
      </c>
      <c r="AQ42" s="358">
        <f ca="1">PortfolioCFStatement!AT448</f>
        <v>0</v>
      </c>
      <c r="AR42" s="54"/>
      <c r="AS42" s="358">
        <f t="shared" ca="1" si="0"/>
        <v>0</v>
      </c>
      <c r="AT42" s="54"/>
      <c r="AU42" s="358">
        <f t="shared" ca="1" si="1"/>
        <v>0</v>
      </c>
      <c r="AV42" s="54"/>
      <c r="AW42" s="358">
        <f t="shared" ca="1" si="2"/>
        <v>0</v>
      </c>
      <c r="AX42" s="54"/>
      <c r="AY42" s="358">
        <f t="shared" ca="1" si="3"/>
        <v>0</v>
      </c>
      <c r="AZ42" s="54"/>
      <c r="BA42" s="358">
        <f t="shared" ca="1" si="4"/>
        <v>0</v>
      </c>
      <c r="BB42" s="54"/>
      <c r="BC42" s="358">
        <f t="shared" ca="1" si="5"/>
        <v>0</v>
      </c>
      <c r="BD42" s="54"/>
      <c r="BE42" s="358">
        <f t="shared" ca="1" si="6"/>
        <v>0</v>
      </c>
    </row>
    <row r="43" spans="1:57" s="10" customFormat="1">
      <c r="A43" s="1271" t="str">
        <f ca="1">PortfolioCFStatement!D449</f>
        <v>Reduced Automobile Reliance Strategies</v>
      </c>
      <c r="B43" s="1464" t="str">
        <f>PortfolioCFStatement!E449</f>
        <v>2010$</v>
      </c>
      <c r="C43" s="1476">
        <f ca="1">PortfolioCFStatement!F449</f>
        <v>0</v>
      </c>
      <c r="D43" s="358">
        <f ca="1">PortfolioCFStatement!G449</f>
        <v>0</v>
      </c>
      <c r="E43" s="358">
        <f ca="1">PortfolioCFStatement!H449</f>
        <v>0</v>
      </c>
      <c r="F43" s="358">
        <f ca="1">PortfolioCFStatement!I449</f>
        <v>0</v>
      </c>
      <c r="G43" s="358">
        <f ca="1">PortfolioCFStatement!J449</f>
        <v>0</v>
      </c>
      <c r="H43" s="358">
        <f ca="1">PortfolioCFStatement!K449</f>
        <v>0</v>
      </c>
      <c r="I43" s="358">
        <f ca="1">PortfolioCFStatement!L449</f>
        <v>0</v>
      </c>
      <c r="J43" s="358">
        <f ca="1">PortfolioCFStatement!M449</f>
        <v>0</v>
      </c>
      <c r="K43" s="358">
        <f ca="1">PortfolioCFStatement!N449</f>
        <v>0</v>
      </c>
      <c r="L43" s="358">
        <f ca="1">PortfolioCFStatement!O449</f>
        <v>0</v>
      </c>
      <c r="M43" s="358">
        <f ca="1">PortfolioCFStatement!P449</f>
        <v>0</v>
      </c>
      <c r="N43" s="358">
        <f ca="1">PortfolioCFStatement!Q449</f>
        <v>0</v>
      </c>
      <c r="O43" s="358">
        <f ca="1">PortfolioCFStatement!R449</f>
        <v>0</v>
      </c>
      <c r="P43" s="358">
        <f ca="1">PortfolioCFStatement!S449</f>
        <v>0</v>
      </c>
      <c r="Q43" s="358">
        <f ca="1">PortfolioCFStatement!T449</f>
        <v>0</v>
      </c>
      <c r="R43" s="358">
        <f ca="1">PortfolioCFStatement!U449</f>
        <v>0</v>
      </c>
      <c r="S43" s="358">
        <f ca="1">PortfolioCFStatement!V449</f>
        <v>0</v>
      </c>
      <c r="T43" s="358">
        <f ca="1">PortfolioCFStatement!W449</f>
        <v>0</v>
      </c>
      <c r="U43" s="358">
        <f ca="1">PortfolioCFStatement!X449</f>
        <v>0</v>
      </c>
      <c r="V43" s="358">
        <f ca="1">PortfolioCFStatement!Y449</f>
        <v>0</v>
      </c>
      <c r="W43" s="358">
        <f ca="1">PortfolioCFStatement!Z449</f>
        <v>0</v>
      </c>
      <c r="X43" s="358">
        <f ca="1">PortfolioCFStatement!AA449</f>
        <v>0</v>
      </c>
      <c r="Y43" s="358">
        <f ca="1">PortfolioCFStatement!AB449</f>
        <v>0</v>
      </c>
      <c r="Z43" s="358">
        <f ca="1">PortfolioCFStatement!AC449</f>
        <v>0</v>
      </c>
      <c r="AA43" s="358">
        <f ca="1">PortfolioCFStatement!AD449</f>
        <v>0</v>
      </c>
      <c r="AB43" s="358">
        <f ca="1">PortfolioCFStatement!AE449</f>
        <v>0</v>
      </c>
      <c r="AC43" s="358">
        <f ca="1">PortfolioCFStatement!AF449</f>
        <v>0</v>
      </c>
      <c r="AD43" s="358">
        <f ca="1">PortfolioCFStatement!AG449</f>
        <v>0</v>
      </c>
      <c r="AE43" s="358">
        <f ca="1">PortfolioCFStatement!AH449</f>
        <v>0</v>
      </c>
      <c r="AF43" s="358">
        <f ca="1">PortfolioCFStatement!AI449</f>
        <v>0</v>
      </c>
      <c r="AG43" s="358">
        <f ca="1">PortfolioCFStatement!AJ449</f>
        <v>0</v>
      </c>
      <c r="AH43" s="358">
        <f ca="1">PortfolioCFStatement!AK449</f>
        <v>0</v>
      </c>
      <c r="AI43" s="358">
        <f ca="1">PortfolioCFStatement!AL449</f>
        <v>0</v>
      </c>
      <c r="AJ43" s="358">
        <f ca="1">PortfolioCFStatement!AM449</f>
        <v>0</v>
      </c>
      <c r="AK43" s="358">
        <f ca="1">PortfolioCFStatement!AN449</f>
        <v>0</v>
      </c>
      <c r="AL43" s="358">
        <f ca="1">PortfolioCFStatement!AO449</f>
        <v>0</v>
      </c>
      <c r="AM43" s="358">
        <f ca="1">PortfolioCFStatement!AP449</f>
        <v>0</v>
      </c>
      <c r="AN43" s="358">
        <f ca="1">PortfolioCFStatement!AQ449</f>
        <v>0</v>
      </c>
      <c r="AO43" s="358">
        <f ca="1">PortfolioCFStatement!AR449</f>
        <v>0</v>
      </c>
      <c r="AP43" s="358">
        <f ca="1">PortfolioCFStatement!AS449</f>
        <v>0</v>
      </c>
      <c r="AQ43" s="358">
        <f ca="1">PortfolioCFStatement!AT449</f>
        <v>0</v>
      </c>
      <c r="AR43" s="54"/>
      <c r="AS43" s="358">
        <f t="shared" ca="1" si="0"/>
        <v>0</v>
      </c>
      <c r="AT43" s="54"/>
      <c r="AU43" s="358">
        <f t="shared" ca="1" si="1"/>
        <v>0</v>
      </c>
      <c r="AV43" s="54"/>
      <c r="AW43" s="358">
        <f t="shared" ca="1" si="2"/>
        <v>0</v>
      </c>
      <c r="AX43" s="54"/>
      <c r="AY43" s="358">
        <f t="shared" ca="1" si="3"/>
        <v>0</v>
      </c>
      <c r="AZ43" s="54"/>
      <c r="BA43" s="358">
        <f t="shared" ca="1" si="4"/>
        <v>0</v>
      </c>
      <c r="BB43" s="54"/>
      <c r="BC43" s="358">
        <f t="shared" ca="1" si="5"/>
        <v>0</v>
      </c>
      <c r="BD43" s="54"/>
      <c r="BE43" s="358">
        <f t="shared" ca="1" si="6"/>
        <v>0</v>
      </c>
    </row>
    <row r="44" spans="1:57" s="10" customFormat="1">
      <c r="A44" s="1271" t="str">
        <f ca="1">PortfolioCFStatement!D450</f>
        <v>Waste Reduction</v>
      </c>
      <c r="B44" s="1464" t="str">
        <f>PortfolioCFStatement!E450</f>
        <v>2010$</v>
      </c>
      <c r="C44" s="1476">
        <f ca="1">PortfolioCFStatement!F450</f>
        <v>0</v>
      </c>
      <c r="D44" s="358">
        <f ca="1">PortfolioCFStatement!G450</f>
        <v>0</v>
      </c>
      <c r="E44" s="358">
        <f ca="1">PortfolioCFStatement!H450</f>
        <v>0</v>
      </c>
      <c r="F44" s="358">
        <f ca="1">PortfolioCFStatement!I450</f>
        <v>0</v>
      </c>
      <c r="G44" s="358">
        <f ca="1">PortfolioCFStatement!J450</f>
        <v>0</v>
      </c>
      <c r="H44" s="358">
        <f ca="1">PortfolioCFStatement!K450</f>
        <v>0</v>
      </c>
      <c r="I44" s="358">
        <f ca="1">PortfolioCFStatement!L450</f>
        <v>0</v>
      </c>
      <c r="J44" s="358">
        <f ca="1">PortfolioCFStatement!M450</f>
        <v>0</v>
      </c>
      <c r="K44" s="358">
        <f ca="1">PortfolioCFStatement!N450</f>
        <v>0</v>
      </c>
      <c r="L44" s="358">
        <f ca="1">PortfolioCFStatement!O450</f>
        <v>0</v>
      </c>
      <c r="M44" s="358">
        <f ca="1">PortfolioCFStatement!P450</f>
        <v>0</v>
      </c>
      <c r="N44" s="358">
        <f ca="1">PortfolioCFStatement!Q450</f>
        <v>0</v>
      </c>
      <c r="O44" s="358">
        <f ca="1">PortfolioCFStatement!R450</f>
        <v>0</v>
      </c>
      <c r="P44" s="358">
        <f ca="1">PortfolioCFStatement!S450</f>
        <v>0</v>
      </c>
      <c r="Q44" s="358">
        <f ca="1">PortfolioCFStatement!T450</f>
        <v>0</v>
      </c>
      <c r="R44" s="358">
        <f ca="1">PortfolioCFStatement!U450</f>
        <v>0</v>
      </c>
      <c r="S44" s="358">
        <f ca="1">PortfolioCFStatement!V450</f>
        <v>0</v>
      </c>
      <c r="T44" s="358">
        <f ca="1">PortfolioCFStatement!W450</f>
        <v>0</v>
      </c>
      <c r="U44" s="358">
        <f ca="1">PortfolioCFStatement!X450</f>
        <v>0</v>
      </c>
      <c r="V44" s="358">
        <f ca="1">PortfolioCFStatement!Y450</f>
        <v>0</v>
      </c>
      <c r="W44" s="358">
        <f ca="1">PortfolioCFStatement!Z450</f>
        <v>0</v>
      </c>
      <c r="X44" s="358">
        <f ca="1">PortfolioCFStatement!AA450</f>
        <v>0</v>
      </c>
      <c r="Y44" s="358">
        <f ca="1">PortfolioCFStatement!AB450</f>
        <v>0</v>
      </c>
      <c r="Z44" s="358">
        <f ca="1">PortfolioCFStatement!AC450</f>
        <v>0</v>
      </c>
      <c r="AA44" s="358">
        <f ca="1">PortfolioCFStatement!AD450</f>
        <v>0</v>
      </c>
      <c r="AB44" s="358">
        <f ca="1">PortfolioCFStatement!AE450</f>
        <v>0</v>
      </c>
      <c r="AC44" s="358">
        <f ca="1">PortfolioCFStatement!AF450</f>
        <v>0</v>
      </c>
      <c r="AD44" s="358">
        <f ca="1">PortfolioCFStatement!AG450</f>
        <v>0</v>
      </c>
      <c r="AE44" s="358">
        <f ca="1">PortfolioCFStatement!AH450</f>
        <v>0</v>
      </c>
      <c r="AF44" s="358">
        <f ca="1">PortfolioCFStatement!AI450</f>
        <v>0</v>
      </c>
      <c r="AG44" s="358">
        <f ca="1">PortfolioCFStatement!AJ450</f>
        <v>0</v>
      </c>
      <c r="AH44" s="358">
        <f ca="1">PortfolioCFStatement!AK450</f>
        <v>0</v>
      </c>
      <c r="AI44" s="358">
        <f ca="1">PortfolioCFStatement!AL450</f>
        <v>0</v>
      </c>
      <c r="AJ44" s="358">
        <f ca="1">PortfolioCFStatement!AM450</f>
        <v>0</v>
      </c>
      <c r="AK44" s="358">
        <f ca="1">PortfolioCFStatement!AN450</f>
        <v>0</v>
      </c>
      <c r="AL44" s="358">
        <f ca="1">PortfolioCFStatement!AO450</f>
        <v>0</v>
      </c>
      <c r="AM44" s="358">
        <f ca="1">PortfolioCFStatement!AP450</f>
        <v>0</v>
      </c>
      <c r="AN44" s="358">
        <f ca="1">PortfolioCFStatement!AQ450</f>
        <v>0</v>
      </c>
      <c r="AO44" s="358">
        <f ca="1">PortfolioCFStatement!AR450</f>
        <v>0</v>
      </c>
      <c r="AP44" s="358">
        <f ca="1">PortfolioCFStatement!AS450</f>
        <v>0</v>
      </c>
      <c r="AQ44" s="358">
        <f ca="1">PortfolioCFStatement!AT450</f>
        <v>0</v>
      </c>
      <c r="AR44" s="54"/>
      <c r="AS44" s="358">
        <f t="shared" ca="1" si="0"/>
        <v>0</v>
      </c>
      <c r="AT44" s="54"/>
      <c r="AU44" s="358">
        <f t="shared" ca="1" si="1"/>
        <v>0</v>
      </c>
      <c r="AV44" s="54"/>
      <c r="AW44" s="358">
        <f t="shared" ca="1" si="2"/>
        <v>0</v>
      </c>
      <c r="AX44" s="54"/>
      <c r="AY44" s="358">
        <f t="shared" ca="1" si="3"/>
        <v>0</v>
      </c>
      <c r="AZ44" s="54"/>
      <c r="BA44" s="358">
        <f t="shared" ca="1" si="4"/>
        <v>0</v>
      </c>
      <c r="BB44" s="54"/>
      <c r="BC44" s="358">
        <f t="shared" ca="1" si="5"/>
        <v>0</v>
      </c>
      <c r="BD44" s="54"/>
      <c r="BE44" s="358">
        <f t="shared" ca="1" si="6"/>
        <v>0</v>
      </c>
    </row>
    <row r="45" spans="1:57" s="10" customFormat="1">
      <c r="A45" s="1271" t="str">
        <f ca="1">PortfolioCFStatement!D451</f>
        <v>Steam Line Improvements</v>
      </c>
      <c r="B45" s="1464" t="str">
        <f>PortfolioCFStatement!E451</f>
        <v>2010$</v>
      </c>
      <c r="C45" s="1476">
        <f ca="1">PortfolioCFStatement!F451</f>
        <v>-675002.01624247886</v>
      </c>
      <c r="D45" s="358">
        <f ca="1">PortfolioCFStatement!G451</f>
        <v>0</v>
      </c>
      <c r="E45" s="358">
        <f ca="1">PortfolioCFStatement!H451</f>
        <v>-600000</v>
      </c>
      <c r="F45" s="358">
        <f ca="1">PortfolioCFStatement!I451</f>
        <v>0</v>
      </c>
      <c r="G45" s="358">
        <f ca="1">PortfolioCFStatement!J451</f>
        <v>0</v>
      </c>
      <c r="H45" s="358">
        <f ca="1">PortfolioCFStatement!K451</f>
        <v>0</v>
      </c>
      <c r="I45" s="358">
        <f ca="1">PortfolioCFStatement!L451</f>
        <v>0</v>
      </c>
      <c r="J45" s="358">
        <f ca="1">PortfolioCFStatement!M451</f>
        <v>0</v>
      </c>
      <c r="K45" s="358">
        <f ca="1">PortfolioCFStatement!N451</f>
        <v>0</v>
      </c>
      <c r="L45" s="358">
        <f ca="1">PortfolioCFStatement!O451</f>
        <v>0</v>
      </c>
      <c r="M45" s="358">
        <f ca="1">PortfolioCFStatement!P451</f>
        <v>0</v>
      </c>
      <c r="N45" s="358">
        <f ca="1">PortfolioCFStatement!Q451</f>
        <v>0</v>
      </c>
      <c r="O45" s="358">
        <f ca="1">PortfolioCFStatement!R451</f>
        <v>0</v>
      </c>
      <c r="P45" s="358">
        <f ca="1">PortfolioCFStatement!S451</f>
        <v>0</v>
      </c>
      <c r="Q45" s="358">
        <f ca="1">PortfolioCFStatement!T451</f>
        <v>0</v>
      </c>
      <c r="R45" s="358">
        <f ca="1">PortfolioCFStatement!U451</f>
        <v>0</v>
      </c>
      <c r="S45" s="358">
        <f ca="1">PortfolioCFStatement!V451</f>
        <v>0</v>
      </c>
      <c r="T45" s="358">
        <f ca="1">PortfolioCFStatement!W451</f>
        <v>0</v>
      </c>
      <c r="U45" s="358">
        <f ca="1">PortfolioCFStatement!X451</f>
        <v>0</v>
      </c>
      <c r="V45" s="358">
        <f ca="1">PortfolioCFStatement!Y451</f>
        <v>0</v>
      </c>
      <c r="W45" s="358">
        <f ca="1">PortfolioCFStatement!Z451</f>
        <v>0</v>
      </c>
      <c r="X45" s="358">
        <f ca="1">PortfolioCFStatement!AA451</f>
        <v>0</v>
      </c>
      <c r="Y45" s="358">
        <f ca="1">PortfolioCFStatement!AB451</f>
        <v>0</v>
      </c>
      <c r="Z45" s="358">
        <f ca="1">PortfolioCFStatement!AC451</f>
        <v>0</v>
      </c>
      <c r="AA45" s="358">
        <f ca="1">PortfolioCFStatement!AD451</f>
        <v>0</v>
      </c>
      <c r="AB45" s="358">
        <f ca="1">PortfolioCFStatement!AE451</f>
        <v>0</v>
      </c>
      <c r="AC45" s="358">
        <f ca="1">PortfolioCFStatement!AF451</f>
        <v>0</v>
      </c>
      <c r="AD45" s="358">
        <f ca="1">PortfolioCFStatement!AG451</f>
        <v>-600000</v>
      </c>
      <c r="AE45" s="358">
        <f ca="1">PortfolioCFStatement!AH451</f>
        <v>0</v>
      </c>
      <c r="AF45" s="358">
        <f ca="1">PortfolioCFStatement!AI451</f>
        <v>0</v>
      </c>
      <c r="AG45" s="358">
        <f ca="1">PortfolioCFStatement!AJ451</f>
        <v>0</v>
      </c>
      <c r="AH45" s="358">
        <f ca="1">PortfolioCFStatement!AK451</f>
        <v>0</v>
      </c>
      <c r="AI45" s="358">
        <f ca="1">PortfolioCFStatement!AL451</f>
        <v>0</v>
      </c>
      <c r="AJ45" s="358">
        <f ca="1">PortfolioCFStatement!AM451</f>
        <v>0</v>
      </c>
      <c r="AK45" s="358">
        <f ca="1">PortfolioCFStatement!AN451</f>
        <v>0</v>
      </c>
      <c r="AL45" s="358">
        <f ca="1">PortfolioCFStatement!AO451</f>
        <v>0</v>
      </c>
      <c r="AM45" s="358">
        <f ca="1">PortfolioCFStatement!AP451</f>
        <v>0</v>
      </c>
      <c r="AN45" s="358">
        <f ca="1">PortfolioCFStatement!AQ451</f>
        <v>0</v>
      </c>
      <c r="AO45" s="358">
        <f ca="1">PortfolioCFStatement!AR451</f>
        <v>0</v>
      </c>
      <c r="AP45" s="358">
        <f ca="1">PortfolioCFStatement!AS451</f>
        <v>0</v>
      </c>
      <c r="AQ45" s="358">
        <f ca="1">PortfolioCFStatement!AT451</f>
        <v>0</v>
      </c>
      <c r="AR45" s="54"/>
      <c r="AS45" s="358">
        <f t="shared" ca="1" si="0"/>
        <v>0</v>
      </c>
      <c r="AT45" s="54"/>
      <c r="AU45" s="358">
        <f t="shared" ca="1" si="1"/>
        <v>0</v>
      </c>
      <c r="AV45" s="54"/>
      <c r="AW45" s="358">
        <f t="shared" ca="1" si="2"/>
        <v>0</v>
      </c>
      <c r="AX45" s="54"/>
      <c r="AY45" s="358">
        <f t="shared" ca="1" si="3"/>
        <v>0</v>
      </c>
      <c r="AZ45" s="54"/>
      <c r="BA45" s="358">
        <f t="shared" ca="1" si="4"/>
        <v>-600000</v>
      </c>
      <c r="BB45" s="54"/>
      <c r="BC45" s="358">
        <f t="shared" ca="1" si="5"/>
        <v>0</v>
      </c>
      <c r="BD45" s="54"/>
      <c r="BE45" s="358">
        <f t="shared" ca="1" si="6"/>
        <v>0</v>
      </c>
    </row>
    <row r="46" spans="1:57" s="10" customFormat="1">
      <c r="A46" s="1271" t="str">
        <f ca="1">PortfolioCFStatement!D452</f>
        <v>Coal to Natural Gas Conversion @ Steam Plant</v>
      </c>
      <c r="B46" s="1464" t="str">
        <f>PortfolioCFStatement!E452</f>
        <v>2010$</v>
      </c>
      <c r="C46" s="1476">
        <f ca="1">PortfolioCFStatement!F452</f>
        <v>0</v>
      </c>
      <c r="D46" s="358">
        <f ca="1">PortfolioCFStatement!G452</f>
        <v>0</v>
      </c>
      <c r="E46" s="358">
        <f ca="1">PortfolioCFStatement!H452</f>
        <v>0</v>
      </c>
      <c r="F46" s="358">
        <f ca="1">PortfolioCFStatement!I452</f>
        <v>0</v>
      </c>
      <c r="G46" s="358">
        <f ca="1">PortfolioCFStatement!J452</f>
        <v>0</v>
      </c>
      <c r="H46" s="358">
        <f ca="1">PortfolioCFStatement!K452</f>
        <v>0</v>
      </c>
      <c r="I46" s="358">
        <f ca="1">PortfolioCFStatement!L452</f>
        <v>0</v>
      </c>
      <c r="J46" s="358">
        <f ca="1">PortfolioCFStatement!M452</f>
        <v>0</v>
      </c>
      <c r="K46" s="358">
        <f ca="1">PortfolioCFStatement!N452</f>
        <v>0</v>
      </c>
      <c r="L46" s="358">
        <f ca="1">PortfolioCFStatement!O452</f>
        <v>0</v>
      </c>
      <c r="M46" s="358">
        <f ca="1">PortfolioCFStatement!P452</f>
        <v>0</v>
      </c>
      <c r="N46" s="358">
        <f ca="1">PortfolioCFStatement!Q452</f>
        <v>0</v>
      </c>
      <c r="O46" s="358">
        <f ca="1">PortfolioCFStatement!R452</f>
        <v>0</v>
      </c>
      <c r="P46" s="358">
        <f ca="1">PortfolioCFStatement!S452</f>
        <v>0</v>
      </c>
      <c r="Q46" s="358">
        <f ca="1">PortfolioCFStatement!T452</f>
        <v>0</v>
      </c>
      <c r="R46" s="358">
        <f ca="1">PortfolioCFStatement!U452</f>
        <v>0</v>
      </c>
      <c r="S46" s="358">
        <f ca="1">PortfolioCFStatement!V452</f>
        <v>0</v>
      </c>
      <c r="T46" s="358">
        <f ca="1">PortfolioCFStatement!W452</f>
        <v>0</v>
      </c>
      <c r="U46" s="358">
        <f ca="1">PortfolioCFStatement!X452</f>
        <v>0</v>
      </c>
      <c r="V46" s="358">
        <f ca="1">PortfolioCFStatement!Y452</f>
        <v>0</v>
      </c>
      <c r="W46" s="358">
        <f ca="1">PortfolioCFStatement!Z452</f>
        <v>0</v>
      </c>
      <c r="X46" s="358">
        <f ca="1">PortfolioCFStatement!AA452</f>
        <v>0</v>
      </c>
      <c r="Y46" s="358">
        <f ca="1">PortfolioCFStatement!AB452</f>
        <v>0</v>
      </c>
      <c r="Z46" s="358">
        <f ca="1">PortfolioCFStatement!AC452</f>
        <v>0</v>
      </c>
      <c r="AA46" s="358">
        <f ca="1">PortfolioCFStatement!AD452</f>
        <v>0</v>
      </c>
      <c r="AB46" s="358">
        <f ca="1">PortfolioCFStatement!AE452</f>
        <v>0</v>
      </c>
      <c r="AC46" s="358">
        <f ca="1">PortfolioCFStatement!AF452</f>
        <v>0</v>
      </c>
      <c r="AD46" s="358">
        <f ca="1">PortfolioCFStatement!AG452</f>
        <v>0</v>
      </c>
      <c r="AE46" s="358">
        <f ca="1">PortfolioCFStatement!AH452</f>
        <v>0</v>
      </c>
      <c r="AF46" s="358">
        <f ca="1">PortfolioCFStatement!AI452</f>
        <v>0</v>
      </c>
      <c r="AG46" s="358">
        <f ca="1">PortfolioCFStatement!AJ452</f>
        <v>0</v>
      </c>
      <c r="AH46" s="358">
        <f ca="1">PortfolioCFStatement!AK452</f>
        <v>0</v>
      </c>
      <c r="AI46" s="358">
        <f ca="1">PortfolioCFStatement!AL452</f>
        <v>0</v>
      </c>
      <c r="AJ46" s="358">
        <f ca="1">PortfolioCFStatement!AM452</f>
        <v>0</v>
      </c>
      <c r="AK46" s="358">
        <f ca="1">PortfolioCFStatement!AN452</f>
        <v>0</v>
      </c>
      <c r="AL46" s="358">
        <f ca="1">PortfolioCFStatement!AO452</f>
        <v>0</v>
      </c>
      <c r="AM46" s="358">
        <f ca="1">PortfolioCFStatement!AP452</f>
        <v>0</v>
      </c>
      <c r="AN46" s="358">
        <f ca="1">PortfolioCFStatement!AQ452</f>
        <v>0</v>
      </c>
      <c r="AO46" s="358">
        <f ca="1">PortfolioCFStatement!AR452</f>
        <v>0</v>
      </c>
      <c r="AP46" s="358">
        <f ca="1">PortfolioCFStatement!AS452</f>
        <v>0</v>
      </c>
      <c r="AQ46" s="358">
        <f ca="1">PortfolioCFStatement!AT452</f>
        <v>0</v>
      </c>
      <c r="AR46" s="54"/>
      <c r="AS46" s="358">
        <f t="shared" ca="1" si="0"/>
        <v>0</v>
      </c>
      <c r="AT46" s="54"/>
      <c r="AU46" s="358">
        <f t="shared" ca="1" si="1"/>
        <v>0</v>
      </c>
      <c r="AV46" s="54"/>
      <c r="AW46" s="358">
        <f t="shared" ca="1" si="2"/>
        <v>0</v>
      </c>
      <c r="AX46" s="54"/>
      <c r="AY46" s="358">
        <f t="shared" ca="1" si="3"/>
        <v>0</v>
      </c>
      <c r="AZ46" s="54"/>
      <c r="BA46" s="358">
        <f t="shared" ca="1" si="4"/>
        <v>0</v>
      </c>
      <c r="BB46" s="54"/>
      <c r="BC46" s="358">
        <f t="shared" ca="1" si="5"/>
        <v>0</v>
      </c>
      <c r="BD46" s="54"/>
      <c r="BE46" s="358">
        <f t="shared" ca="1" si="6"/>
        <v>0</v>
      </c>
    </row>
    <row r="47" spans="1:57" s="10" customFormat="1">
      <c r="A47" s="1271" t="str">
        <f ca="1">PortfolioCFStatement!D453</f>
        <v>On-site Wind</v>
      </c>
      <c r="B47" s="1464" t="str">
        <f>PortfolioCFStatement!E453</f>
        <v>2010$</v>
      </c>
      <c r="C47" s="1476">
        <f ca="1">PortfolioCFStatement!F453</f>
        <v>-94680.328024016926</v>
      </c>
      <c r="D47" s="358">
        <f ca="1">PortfolioCFStatement!G453</f>
        <v>-100000</v>
      </c>
      <c r="E47" s="358">
        <f ca="1">PortfolioCFStatement!H453</f>
        <v>0</v>
      </c>
      <c r="F47" s="358">
        <f ca="1">PortfolioCFStatement!I453</f>
        <v>0</v>
      </c>
      <c r="G47" s="358">
        <f ca="1">PortfolioCFStatement!J453</f>
        <v>0</v>
      </c>
      <c r="H47" s="358">
        <f ca="1">PortfolioCFStatement!K453</f>
        <v>0</v>
      </c>
      <c r="I47" s="358">
        <f ca="1">PortfolioCFStatement!L453</f>
        <v>0</v>
      </c>
      <c r="J47" s="358">
        <f ca="1">PortfolioCFStatement!M453</f>
        <v>0</v>
      </c>
      <c r="K47" s="358">
        <f ca="1">PortfolioCFStatement!N453</f>
        <v>0</v>
      </c>
      <c r="L47" s="358">
        <f ca="1">PortfolioCFStatement!O453</f>
        <v>0</v>
      </c>
      <c r="M47" s="358">
        <f ca="1">PortfolioCFStatement!P453</f>
        <v>0</v>
      </c>
      <c r="N47" s="358">
        <f ca="1">PortfolioCFStatement!Q453</f>
        <v>0</v>
      </c>
      <c r="O47" s="358">
        <f ca="1">PortfolioCFStatement!R453</f>
        <v>0</v>
      </c>
      <c r="P47" s="358">
        <f ca="1">PortfolioCFStatement!S453</f>
        <v>0</v>
      </c>
      <c r="Q47" s="358">
        <f ca="1">PortfolioCFStatement!T453</f>
        <v>0</v>
      </c>
      <c r="R47" s="358">
        <f ca="1">PortfolioCFStatement!U453</f>
        <v>0</v>
      </c>
      <c r="S47" s="358">
        <f ca="1">PortfolioCFStatement!V453</f>
        <v>0</v>
      </c>
      <c r="T47" s="358">
        <f ca="1">PortfolioCFStatement!W453</f>
        <v>0</v>
      </c>
      <c r="U47" s="358">
        <f ca="1">PortfolioCFStatement!X453</f>
        <v>0</v>
      </c>
      <c r="V47" s="358">
        <f ca="1">PortfolioCFStatement!Y453</f>
        <v>0</v>
      </c>
      <c r="W47" s="358">
        <f ca="1">PortfolioCFStatement!Z453</f>
        <v>0</v>
      </c>
      <c r="X47" s="358">
        <f ca="1">PortfolioCFStatement!AA453</f>
        <v>0</v>
      </c>
      <c r="Y47" s="358">
        <f ca="1">PortfolioCFStatement!AB453</f>
        <v>0</v>
      </c>
      <c r="Z47" s="358">
        <f ca="1">PortfolioCFStatement!AC453</f>
        <v>0</v>
      </c>
      <c r="AA47" s="358">
        <f ca="1">PortfolioCFStatement!AD453</f>
        <v>0</v>
      </c>
      <c r="AB47" s="358">
        <f ca="1">PortfolioCFStatement!AE453</f>
        <v>0</v>
      </c>
      <c r="AC47" s="358">
        <f ca="1">PortfolioCFStatement!AF453</f>
        <v>0</v>
      </c>
      <c r="AD47" s="358">
        <f ca="1">PortfolioCFStatement!AG453</f>
        <v>0</v>
      </c>
      <c r="AE47" s="358">
        <f ca="1">PortfolioCFStatement!AH453</f>
        <v>0</v>
      </c>
      <c r="AF47" s="358">
        <f ca="1">PortfolioCFStatement!AI453</f>
        <v>0</v>
      </c>
      <c r="AG47" s="358">
        <f ca="1">PortfolioCFStatement!AJ453</f>
        <v>0</v>
      </c>
      <c r="AH47" s="358">
        <f ca="1">PortfolioCFStatement!AK453</f>
        <v>0</v>
      </c>
      <c r="AI47" s="358">
        <f ca="1">PortfolioCFStatement!AL453</f>
        <v>0</v>
      </c>
      <c r="AJ47" s="358">
        <f ca="1">PortfolioCFStatement!AM453</f>
        <v>0</v>
      </c>
      <c r="AK47" s="358">
        <f ca="1">PortfolioCFStatement!AN453</f>
        <v>0</v>
      </c>
      <c r="AL47" s="358">
        <f ca="1">PortfolioCFStatement!AO453</f>
        <v>0</v>
      </c>
      <c r="AM47" s="358">
        <f ca="1">PortfolioCFStatement!AP453</f>
        <v>0</v>
      </c>
      <c r="AN47" s="358">
        <f ca="1">PortfolioCFStatement!AQ453</f>
        <v>0</v>
      </c>
      <c r="AO47" s="358">
        <f ca="1">PortfolioCFStatement!AR453</f>
        <v>0</v>
      </c>
      <c r="AP47" s="358">
        <f ca="1">PortfolioCFStatement!AS453</f>
        <v>0</v>
      </c>
      <c r="AQ47" s="358">
        <f ca="1">PortfolioCFStatement!AT453</f>
        <v>0</v>
      </c>
      <c r="AR47" s="54"/>
      <c r="AS47" s="358">
        <f t="shared" ca="1" si="0"/>
        <v>0</v>
      </c>
      <c r="AT47" s="54"/>
      <c r="AU47" s="358">
        <f t="shared" ca="1" si="1"/>
        <v>0</v>
      </c>
      <c r="AV47" s="54"/>
      <c r="AW47" s="358">
        <f t="shared" ca="1" si="2"/>
        <v>0</v>
      </c>
      <c r="AX47" s="54"/>
      <c r="AY47" s="358">
        <f t="shared" ca="1" si="3"/>
        <v>0</v>
      </c>
      <c r="AZ47" s="54"/>
      <c r="BA47" s="358">
        <f t="shared" ca="1" si="4"/>
        <v>0</v>
      </c>
      <c r="BB47" s="54"/>
      <c r="BC47" s="358">
        <f t="shared" ca="1" si="5"/>
        <v>0</v>
      </c>
      <c r="BD47" s="54"/>
      <c r="BE47" s="358">
        <f t="shared" ca="1" si="6"/>
        <v>0</v>
      </c>
    </row>
    <row r="48" spans="1:57" s="10" customFormat="1">
      <c r="A48" s="1271" t="str">
        <f ca="1">PortfolioCFStatement!D454</f>
        <v>Solar DHW</v>
      </c>
      <c r="B48" s="1464" t="str">
        <f>PortfolioCFStatement!E454</f>
        <v>2010$</v>
      </c>
      <c r="C48" s="1476">
        <f ca="1">PortfolioCFStatement!F454</f>
        <v>-69075.206328813685</v>
      </c>
      <c r="D48" s="358">
        <f ca="1">PortfolioCFStatement!G454</f>
        <v>0</v>
      </c>
      <c r="E48" s="358">
        <f ca="1">PortfolioCFStatement!H454</f>
        <v>-61400</v>
      </c>
      <c r="F48" s="358">
        <f ca="1">PortfolioCFStatement!I454</f>
        <v>0</v>
      </c>
      <c r="G48" s="358">
        <f ca="1">PortfolioCFStatement!J454</f>
        <v>0</v>
      </c>
      <c r="H48" s="358">
        <f ca="1">PortfolioCFStatement!K454</f>
        <v>0</v>
      </c>
      <c r="I48" s="358">
        <f ca="1">PortfolioCFStatement!L454</f>
        <v>0</v>
      </c>
      <c r="J48" s="358">
        <f ca="1">PortfolioCFStatement!M454</f>
        <v>0</v>
      </c>
      <c r="K48" s="358">
        <f ca="1">PortfolioCFStatement!N454</f>
        <v>0</v>
      </c>
      <c r="L48" s="358">
        <f ca="1">PortfolioCFStatement!O454</f>
        <v>0</v>
      </c>
      <c r="M48" s="358">
        <f ca="1">PortfolioCFStatement!P454</f>
        <v>0</v>
      </c>
      <c r="N48" s="358">
        <f ca="1">PortfolioCFStatement!Q454</f>
        <v>0</v>
      </c>
      <c r="O48" s="358">
        <f ca="1">PortfolioCFStatement!R454</f>
        <v>0</v>
      </c>
      <c r="P48" s="358">
        <f ca="1">PortfolioCFStatement!S454</f>
        <v>0</v>
      </c>
      <c r="Q48" s="358">
        <f ca="1">PortfolioCFStatement!T454</f>
        <v>0</v>
      </c>
      <c r="R48" s="358">
        <f ca="1">PortfolioCFStatement!U454</f>
        <v>0</v>
      </c>
      <c r="S48" s="358">
        <f ca="1">PortfolioCFStatement!V454</f>
        <v>0</v>
      </c>
      <c r="T48" s="358">
        <f ca="1">PortfolioCFStatement!W454</f>
        <v>0</v>
      </c>
      <c r="U48" s="358">
        <f ca="1">PortfolioCFStatement!X454</f>
        <v>0</v>
      </c>
      <c r="V48" s="358">
        <f ca="1">PortfolioCFStatement!Y454</f>
        <v>0</v>
      </c>
      <c r="W48" s="358">
        <f ca="1">PortfolioCFStatement!Z454</f>
        <v>0</v>
      </c>
      <c r="X48" s="358">
        <f ca="1">PortfolioCFStatement!AA454</f>
        <v>0</v>
      </c>
      <c r="Y48" s="358">
        <f ca="1">PortfolioCFStatement!AB454</f>
        <v>0</v>
      </c>
      <c r="Z48" s="358">
        <f ca="1">PortfolioCFStatement!AC454</f>
        <v>0</v>
      </c>
      <c r="AA48" s="358">
        <f ca="1">PortfolioCFStatement!AD454</f>
        <v>0</v>
      </c>
      <c r="AB48" s="358">
        <f ca="1">PortfolioCFStatement!AE454</f>
        <v>0</v>
      </c>
      <c r="AC48" s="358">
        <f ca="1">PortfolioCFStatement!AF454</f>
        <v>0</v>
      </c>
      <c r="AD48" s="358">
        <f ca="1">PortfolioCFStatement!AG454</f>
        <v>-61400</v>
      </c>
      <c r="AE48" s="358">
        <f ca="1">PortfolioCFStatement!AH454</f>
        <v>0</v>
      </c>
      <c r="AF48" s="358">
        <f ca="1">PortfolioCFStatement!AI454</f>
        <v>0</v>
      </c>
      <c r="AG48" s="358">
        <f ca="1">PortfolioCFStatement!AJ454</f>
        <v>0</v>
      </c>
      <c r="AH48" s="358">
        <f ca="1">PortfolioCFStatement!AK454</f>
        <v>0</v>
      </c>
      <c r="AI48" s="358">
        <f ca="1">PortfolioCFStatement!AL454</f>
        <v>0</v>
      </c>
      <c r="AJ48" s="358">
        <f ca="1">PortfolioCFStatement!AM454</f>
        <v>0</v>
      </c>
      <c r="AK48" s="358">
        <f ca="1">PortfolioCFStatement!AN454</f>
        <v>0</v>
      </c>
      <c r="AL48" s="358">
        <f ca="1">PortfolioCFStatement!AO454</f>
        <v>0</v>
      </c>
      <c r="AM48" s="358">
        <f ca="1">PortfolioCFStatement!AP454</f>
        <v>0</v>
      </c>
      <c r="AN48" s="358">
        <f ca="1">PortfolioCFStatement!AQ454</f>
        <v>0</v>
      </c>
      <c r="AO48" s="358">
        <f ca="1">PortfolioCFStatement!AR454</f>
        <v>0</v>
      </c>
      <c r="AP48" s="358">
        <f ca="1">PortfolioCFStatement!AS454</f>
        <v>0</v>
      </c>
      <c r="AQ48" s="358">
        <f ca="1">PortfolioCFStatement!AT454</f>
        <v>0</v>
      </c>
      <c r="AR48" s="54"/>
      <c r="AS48" s="358">
        <f t="shared" ca="1" si="0"/>
        <v>0</v>
      </c>
      <c r="AT48" s="54"/>
      <c r="AU48" s="358">
        <f t="shared" ca="1" si="1"/>
        <v>0</v>
      </c>
      <c r="AV48" s="54"/>
      <c r="AW48" s="358">
        <f t="shared" ca="1" si="2"/>
        <v>0</v>
      </c>
      <c r="AX48" s="54"/>
      <c r="AY48" s="358">
        <f t="shared" ca="1" si="3"/>
        <v>0</v>
      </c>
      <c r="AZ48" s="54"/>
      <c r="BA48" s="358">
        <f t="shared" ca="1" si="4"/>
        <v>-61400</v>
      </c>
      <c r="BB48" s="54"/>
      <c r="BC48" s="358">
        <f t="shared" ca="1" si="5"/>
        <v>0</v>
      </c>
      <c r="BD48" s="54"/>
      <c r="BE48" s="358">
        <f t="shared" ca="1" si="6"/>
        <v>0</v>
      </c>
    </row>
    <row r="49" spans="1:57" s="10" customFormat="1">
      <c r="A49" s="1271" t="str">
        <f ca="1">PortfolioCFStatement!D455</f>
        <v>Geo Exchange</v>
      </c>
      <c r="B49" s="1464" t="str">
        <f>PortfolioCFStatement!E455</f>
        <v>2010$</v>
      </c>
      <c r="C49" s="1476">
        <f ca="1">PortfolioCFStatement!F455</f>
        <v>-1388278.6977410319</v>
      </c>
      <c r="D49" s="358">
        <f ca="1">PortfolioCFStatement!G455</f>
        <v>0</v>
      </c>
      <c r="E49" s="358">
        <f ca="1">PortfolioCFStatement!H455</f>
        <v>0</v>
      </c>
      <c r="F49" s="358">
        <f ca="1">PortfolioCFStatement!I455</f>
        <v>-862500</v>
      </c>
      <c r="G49" s="358">
        <f ca="1">PortfolioCFStatement!J455</f>
        <v>0</v>
      </c>
      <c r="H49" s="358">
        <f ca="1">PortfolioCFStatement!K455</f>
        <v>-862500</v>
      </c>
      <c r="I49" s="358">
        <f ca="1">PortfolioCFStatement!L455</f>
        <v>0</v>
      </c>
      <c r="J49" s="358">
        <f ca="1">PortfolioCFStatement!M455</f>
        <v>0</v>
      </c>
      <c r="K49" s="358">
        <f ca="1">PortfolioCFStatement!N455</f>
        <v>0</v>
      </c>
      <c r="L49" s="358">
        <f ca="1">PortfolioCFStatement!O455</f>
        <v>0</v>
      </c>
      <c r="M49" s="358">
        <f ca="1">PortfolioCFStatement!P455</f>
        <v>0</v>
      </c>
      <c r="N49" s="358">
        <f ca="1">PortfolioCFStatement!Q455</f>
        <v>0</v>
      </c>
      <c r="O49" s="358">
        <f ca="1">PortfolioCFStatement!R455</f>
        <v>0</v>
      </c>
      <c r="P49" s="358">
        <f ca="1">PortfolioCFStatement!S455</f>
        <v>0</v>
      </c>
      <c r="Q49" s="358">
        <f ca="1">PortfolioCFStatement!T455</f>
        <v>0</v>
      </c>
      <c r="R49" s="358">
        <f ca="1">PortfolioCFStatement!U455</f>
        <v>0</v>
      </c>
      <c r="S49" s="358">
        <f ca="1">PortfolioCFStatement!V455</f>
        <v>0</v>
      </c>
      <c r="T49" s="358">
        <f ca="1">PortfolioCFStatement!W455</f>
        <v>0</v>
      </c>
      <c r="U49" s="358">
        <f ca="1">PortfolioCFStatement!X455</f>
        <v>0</v>
      </c>
      <c r="V49" s="358">
        <f ca="1">PortfolioCFStatement!Y455</f>
        <v>0</v>
      </c>
      <c r="W49" s="358">
        <f ca="1">PortfolioCFStatement!Z455</f>
        <v>0</v>
      </c>
      <c r="X49" s="358">
        <f ca="1">PortfolioCFStatement!AA455</f>
        <v>0</v>
      </c>
      <c r="Y49" s="358">
        <f ca="1">PortfolioCFStatement!AB455</f>
        <v>0</v>
      </c>
      <c r="Z49" s="358">
        <f ca="1">PortfolioCFStatement!AC455</f>
        <v>0</v>
      </c>
      <c r="AA49" s="358">
        <f ca="1">PortfolioCFStatement!AD455</f>
        <v>0</v>
      </c>
      <c r="AB49" s="358">
        <f ca="1">PortfolioCFStatement!AE455</f>
        <v>0</v>
      </c>
      <c r="AC49" s="358">
        <f ca="1">PortfolioCFStatement!AF455</f>
        <v>0</v>
      </c>
      <c r="AD49" s="358">
        <f ca="1">PortfolioCFStatement!AG455</f>
        <v>0</v>
      </c>
      <c r="AE49" s="358">
        <f ca="1">PortfolioCFStatement!AH455</f>
        <v>0</v>
      </c>
      <c r="AF49" s="358">
        <f ca="1">PortfolioCFStatement!AI455</f>
        <v>0</v>
      </c>
      <c r="AG49" s="358">
        <f ca="1">PortfolioCFStatement!AJ455</f>
        <v>0</v>
      </c>
      <c r="AH49" s="358">
        <f ca="1">PortfolioCFStatement!AK455</f>
        <v>0</v>
      </c>
      <c r="AI49" s="358">
        <f ca="1">PortfolioCFStatement!AL455</f>
        <v>0</v>
      </c>
      <c r="AJ49" s="358">
        <f ca="1">PortfolioCFStatement!AM455</f>
        <v>0</v>
      </c>
      <c r="AK49" s="358">
        <f ca="1">PortfolioCFStatement!AN455</f>
        <v>0</v>
      </c>
      <c r="AL49" s="358">
        <f ca="1">PortfolioCFStatement!AO455</f>
        <v>0</v>
      </c>
      <c r="AM49" s="358">
        <f ca="1">PortfolioCFStatement!AP455</f>
        <v>0</v>
      </c>
      <c r="AN49" s="358">
        <f ca="1">PortfolioCFStatement!AQ455</f>
        <v>0</v>
      </c>
      <c r="AO49" s="358">
        <f ca="1">PortfolioCFStatement!AR455</f>
        <v>0</v>
      </c>
      <c r="AP49" s="358">
        <f ca="1">PortfolioCFStatement!AS455</f>
        <v>0</v>
      </c>
      <c r="AQ49" s="358">
        <f ca="1">PortfolioCFStatement!AT455</f>
        <v>0</v>
      </c>
      <c r="AR49" s="54"/>
      <c r="AS49" s="358">
        <f t="shared" ca="1" si="0"/>
        <v>0</v>
      </c>
      <c r="AT49" s="54"/>
      <c r="AU49" s="358">
        <f t="shared" ca="1" si="1"/>
        <v>0</v>
      </c>
      <c r="AV49" s="54"/>
      <c r="AW49" s="358">
        <f t="shared" ca="1" si="2"/>
        <v>0</v>
      </c>
      <c r="AX49" s="54"/>
      <c r="AY49" s="358">
        <f t="shared" ca="1" si="3"/>
        <v>0</v>
      </c>
      <c r="AZ49" s="54"/>
      <c r="BA49" s="358">
        <f t="shared" ca="1" si="4"/>
        <v>0</v>
      </c>
      <c r="BB49" s="54"/>
      <c r="BC49" s="358">
        <f t="shared" ca="1" si="5"/>
        <v>0</v>
      </c>
      <c r="BD49" s="54"/>
      <c r="BE49" s="358">
        <f t="shared" ca="1" si="6"/>
        <v>0</v>
      </c>
    </row>
    <row r="50" spans="1:57" s="10" customFormat="1">
      <c r="A50" s="1271" t="str">
        <f ca="1">PortfolioCFStatement!D456</f>
        <v>Rooftop Solar PV</v>
      </c>
      <c r="B50" s="1464" t="str">
        <f>PortfolioCFStatement!E456</f>
        <v>2010$</v>
      </c>
      <c r="C50" s="1476">
        <f ca="1">PortfolioCFStatement!F456</f>
        <v>-3228284.502126744</v>
      </c>
      <c r="D50" s="358">
        <f ca="1">PortfolioCFStatement!G456</f>
        <v>0</v>
      </c>
      <c r="E50" s="358">
        <f ca="1">PortfolioCFStatement!H456</f>
        <v>0</v>
      </c>
      <c r="F50" s="358">
        <f ca="1">PortfolioCFStatement!I456</f>
        <v>0</v>
      </c>
      <c r="G50" s="358">
        <f ca="1">PortfolioCFStatement!J456</f>
        <v>0</v>
      </c>
      <c r="H50" s="358">
        <f ca="1">PortfolioCFStatement!K456</f>
        <v>-4243000</v>
      </c>
      <c r="I50" s="358">
        <f ca="1">PortfolioCFStatement!L456</f>
        <v>0</v>
      </c>
      <c r="J50" s="358">
        <f ca="1">PortfolioCFStatement!M456</f>
        <v>0</v>
      </c>
      <c r="K50" s="358">
        <f ca="1">PortfolioCFStatement!N456</f>
        <v>0</v>
      </c>
      <c r="L50" s="358">
        <f ca="1">PortfolioCFStatement!O456</f>
        <v>0</v>
      </c>
      <c r="M50" s="358">
        <f ca="1">PortfolioCFStatement!P456</f>
        <v>0</v>
      </c>
      <c r="N50" s="358">
        <f ca="1">PortfolioCFStatement!Q456</f>
        <v>0</v>
      </c>
      <c r="O50" s="358">
        <f ca="1">PortfolioCFStatement!R456</f>
        <v>0</v>
      </c>
      <c r="P50" s="358">
        <f ca="1">PortfolioCFStatement!S456</f>
        <v>0</v>
      </c>
      <c r="Q50" s="358">
        <f ca="1">PortfolioCFStatement!T456</f>
        <v>0</v>
      </c>
      <c r="R50" s="358">
        <f ca="1">PortfolioCFStatement!U456</f>
        <v>0</v>
      </c>
      <c r="S50" s="358">
        <f ca="1">PortfolioCFStatement!V456</f>
        <v>0</v>
      </c>
      <c r="T50" s="358">
        <f ca="1">PortfolioCFStatement!W456</f>
        <v>0</v>
      </c>
      <c r="U50" s="358">
        <f ca="1">PortfolioCFStatement!X456</f>
        <v>0</v>
      </c>
      <c r="V50" s="358">
        <f ca="1">PortfolioCFStatement!Y456</f>
        <v>0</v>
      </c>
      <c r="W50" s="358">
        <f ca="1">PortfolioCFStatement!Z456</f>
        <v>0</v>
      </c>
      <c r="X50" s="358">
        <f ca="1">PortfolioCFStatement!AA456</f>
        <v>0</v>
      </c>
      <c r="Y50" s="358">
        <f ca="1">PortfolioCFStatement!AB456</f>
        <v>0</v>
      </c>
      <c r="Z50" s="358">
        <f ca="1">PortfolioCFStatement!AC456</f>
        <v>0</v>
      </c>
      <c r="AA50" s="358">
        <f ca="1">PortfolioCFStatement!AD456</f>
        <v>0</v>
      </c>
      <c r="AB50" s="358">
        <f ca="1">PortfolioCFStatement!AE456</f>
        <v>0</v>
      </c>
      <c r="AC50" s="358">
        <f ca="1">PortfolioCFStatement!AF456</f>
        <v>0</v>
      </c>
      <c r="AD50" s="358">
        <f ca="1">PortfolioCFStatement!AG456</f>
        <v>0</v>
      </c>
      <c r="AE50" s="358">
        <f ca="1">PortfolioCFStatement!AH456</f>
        <v>0</v>
      </c>
      <c r="AF50" s="358">
        <f ca="1">PortfolioCFStatement!AI456</f>
        <v>0</v>
      </c>
      <c r="AG50" s="358">
        <f ca="1">PortfolioCFStatement!AJ456</f>
        <v>0</v>
      </c>
      <c r="AH50" s="358">
        <f ca="1">PortfolioCFStatement!AK456</f>
        <v>0</v>
      </c>
      <c r="AI50" s="358">
        <f ca="1">PortfolioCFStatement!AL456</f>
        <v>0</v>
      </c>
      <c r="AJ50" s="358">
        <f ca="1">PortfolioCFStatement!AM456</f>
        <v>0</v>
      </c>
      <c r="AK50" s="358">
        <f ca="1">PortfolioCFStatement!AN456</f>
        <v>0</v>
      </c>
      <c r="AL50" s="358">
        <f ca="1">PortfolioCFStatement!AO456</f>
        <v>0</v>
      </c>
      <c r="AM50" s="358">
        <f ca="1">PortfolioCFStatement!AP456</f>
        <v>0</v>
      </c>
      <c r="AN50" s="358">
        <f ca="1">PortfolioCFStatement!AQ456</f>
        <v>0</v>
      </c>
      <c r="AO50" s="358">
        <f ca="1">PortfolioCFStatement!AR456</f>
        <v>0</v>
      </c>
      <c r="AP50" s="358">
        <f ca="1">PortfolioCFStatement!AS456</f>
        <v>0</v>
      </c>
      <c r="AQ50" s="358">
        <f ca="1">PortfolioCFStatement!AT456</f>
        <v>0</v>
      </c>
      <c r="AR50" s="54"/>
      <c r="AS50" s="358">
        <f t="shared" ca="1" si="0"/>
        <v>0</v>
      </c>
      <c r="AT50" s="54"/>
      <c r="AU50" s="358">
        <f t="shared" ca="1" si="1"/>
        <v>0</v>
      </c>
      <c r="AV50" s="54"/>
      <c r="AW50" s="358">
        <f t="shared" ca="1" si="2"/>
        <v>0</v>
      </c>
      <c r="AX50" s="54"/>
      <c r="AY50" s="358">
        <f t="shared" ca="1" si="3"/>
        <v>0</v>
      </c>
      <c r="AZ50" s="54"/>
      <c r="BA50" s="358">
        <f t="shared" ca="1" si="4"/>
        <v>0</v>
      </c>
      <c r="BB50" s="54"/>
      <c r="BC50" s="358">
        <f t="shared" ca="1" si="5"/>
        <v>0</v>
      </c>
      <c r="BD50" s="54"/>
      <c r="BE50" s="358">
        <f t="shared" ca="1" si="6"/>
        <v>0</v>
      </c>
    </row>
    <row r="51" spans="1:57" s="10" customFormat="1">
      <c r="A51" s="1272" t="str">
        <f>PortfolioCFStatement!D470</f>
        <v>New Capital Cost</v>
      </c>
      <c r="B51" s="1270" t="str">
        <f>PortfolioCFStatement!E470</f>
        <v>2010$</v>
      </c>
      <c r="C51" s="1477">
        <f ca="1">PortfolioCFStatement!F470</f>
        <v>-24662921.665798508</v>
      </c>
      <c r="D51" s="1277">
        <f ca="1">PortfolioCFStatement!G470</f>
        <v>-100000</v>
      </c>
      <c r="E51" s="1277">
        <f ca="1">PortfolioCFStatement!H470</f>
        <v>-2091284.7073170929</v>
      </c>
      <c r="F51" s="1277">
        <f ca="1">PortfolioCFStatement!I470</f>
        <v>-3626718.0406503943</v>
      </c>
      <c r="G51" s="1277">
        <f ca="1">PortfolioCFStatement!J470</f>
        <v>-2346253.3813346061</v>
      </c>
      <c r="H51" s="1277">
        <f ca="1">PortfolioCFStatement!K470</f>
        <v>-5944718.0406504106</v>
      </c>
      <c r="I51" s="1277">
        <f ca="1">PortfolioCFStatement!L470</f>
        <v>-2734515.2216273686</v>
      </c>
      <c r="J51" s="1277">
        <f ca="1">PortfolioCFStatement!M470</f>
        <v>-1193476.0823170771</v>
      </c>
      <c r="K51" s="1277">
        <f ca="1">PortfolioCFStatement!N470</f>
        <v>-1193476.0823170771</v>
      </c>
      <c r="L51" s="1277">
        <f ca="1">PortfolioCFStatement!O470</f>
        <v>-1193476.0823170771</v>
      </c>
      <c r="M51" s="1277">
        <f ca="1">PortfolioCFStatement!P470</f>
        <v>-1193476.0823170771</v>
      </c>
      <c r="N51" s="1277">
        <f ca="1">PortfolioCFStatement!Q470</f>
        <v>-1193476.0823170771</v>
      </c>
      <c r="O51" s="1277">
        <f ca="1">PortfolioCFStatement!R470</f>
        <v>-1193476.0823170613</v>
      </c>
      <c r="P51" s="1277">
        <f ca="1">PortfolioCFStatement!S470</f>
        <v>-1193476.0823170613</v>
      </c>
      <c r="Q51" s="1277">
        <f ca="1">PortfolioCFStatement!T470</f>
        <v>-1193476.0823170929</v>
      </c>
      <c r="R51" s="1277">
        <f ca="1">PortfolioCFStatement!U470</f>
        <v>-1272093.7073170613</v>
      </c>
      <c r="S51" s="1277">
        <f ca="1">PortfolioCFStatement!V470</f>
        <v>-1272093.7073170771</v>
      </c>
      <c r="T51" s="1277">
        <f ca="1">PortfolioCFStatement!W470</f>
        <v>-1272093.7073170771</v>
      </c>
      <c r="U51" s="1277">
        <f ca="1">PortfolioCFStatement!X470</f>
        <v>-1272093.7073170613</v>
      </c>
      <c r="V51" s="1277">
        <f ca="1">PortfolioCFStatement!Y470</f>
        <v>-1272093.7073170771</v>
      </c>
      <c r="W51" s="1277">
        <f ca="1">PortfolioCFStatement!Z470</f>
        <v>-1272093.7073170929</v>
      </c>
      <c r="X51" s="1277">
        <f ca="1">PortfolioCFStatement!AA470</f>
        <v>-1272093.7073170771</v>
      </c>
      <c r="Y51" s="1277">
        <f ca="1">PortfolioCFStatement!AB470</f>
        <v>-1272093.7073170613</v>
      </c>
      <c r="Z51" s="1277">
        <f ca="1">PortfolioCFStatement!AC470</f>
        <v>-1272093.7073170613</v>
      </c>
      <c r="AA51" s="1277">
        <f ca="1">PortfolioCFStatement!AD470</f>
        <v>-1272093.7073170771</v>
      </c>
      <c r="AB51" s="1277">
        <f ca="1">PortfolioCFStatement!AE470</f>
        <v>-440231.70731706114</v>
      </c>
      <c r="AC51" s="1277">
        <f ca="1">PortfolioCFStatement!AF470</f>
        <v>-440231.70731706114</v>
      </c>
      <c r="AD51" s="1277">
        <f ca="1">PortfolioCFStatement!AG470</f>
        <v>-1101631.7073171088</v>
      </c>
      <c r="AE51" s="1277">
        <f ca="1">PortfolioCFStatement!AH470</f>
        <v>-440231.70731707709</v>
      </c>
      <c r="AF51" s="1277">
        <f ca="1">PortfolioCFStatement!AI470</f>
        <v>-440231.70731706114</v>
      </c>
      <c r="AG51" s="1277">
        <f ca="1">PortfolioCFStatement!AJ470</f>
        <v>-440231.70731706114</v>
      </c>
      <c r="AH51" s="1277">
        <f ca="1">PortfolioCFStatement!AK470</f>
        <v>-440231.70731707709</v>
      </c>
      <c r="AI51" s="1277">
        <f ca="1">PortfolioCFStatement!AL470</f>
        <v>-440231.70731709298</v>
      </c>
      <c r="AJ51" s="1277">
        <f ca="1">PortfolioCFStatement!AM470</f>
        <v>-440231.70731706114</v>
      </c>
      <c r="AK51" s="1277">
        <f ca="1">PortfolioCFStatement!AN470</f>
        <v>-440231.70731707709</v>
      </c>
      <c r="AL51" s="1277">
        <f ca="1">PortfolioCFStatement!AO470</f>
        <v>-440231.70731706114</v>
      </c>
      <c r="AM51" s="1277">
        <f ca="1">PortfolioCFStatement!AP470</f>
        <v>-440231.70731706114</v>
      </c>
      <c r="AN51" s="1277">
        <f ca="1">PortfolioCFStatement!AQ470</f>
        <v>-440231.70731707709</v>
      </c>
      <c r="AO51" s="1277">
        <f ca="1">PortfolioCFStatement!AR470</f>
        <v>-440231.70731707709</v>
      </c>
      <c r="AP51" s="1277">
        <f ca="1">PortfolioCFStatement!AS470</f>
        <v>-440231.70731709298</v>
      </c>
      <c r="AQ51" s="1277">
        <f ca="1">PortfolioCFStatement!AT470</f>
        <v>-440231.70731706114</v>
      </c>
      <c r="AR51" s="54"/>
      <c r="AS51" s="1277">
        <f t="shared" ca="1" si="0"/>
        <v>-7508419.550895676</v>
      </c>
      <c r="AT51" s="54"/>
      <c r="AU51" s="1277">
        <f t="shared" ca="1" si="1"/>
        <v>-6045998.0365853533</v>
      </c>
      <c r="AV51" s="54"/>
      <c r="AW51" s="1277">
        <f t="shared" ca="1" si="2"/>
        <v>-6360468.536585385</v>
      </c>
      <c r="AX51" s="54"/>
      <c r="AY51" s="1277">
        <f t="shared" ca="1" si="3"/>
        <v>-5528606.5365853375</v>
      </c>
      <c r="AZ51" s="54"/>
      <c r="BA51" s="1277">
        <f t="shared" ca="1" si="4"/>
        <v>-2862558.5365853696</v>
      </c>
      <c r="BB51" s="54"/>
      <c r="BC51" s="1277">
        <f t="shared" ca="1" si="5"/>
        <v>-2201158.5365853696</v>
      </c>
      <c r="BD51" s="54"/>
      <c r="BE51" s="1277">
        <f t="shared" ca="1" si="6"/>
        <v>-2201158.5365853696</v>
      </c>
    </row>
    <row r="52" spans="1:57" s="10" customFormat="1">
      <c r="A52" s="1465" t="str">
        <f ca="1">PortfolioCFStatement!D471</f>
        <v>Behavior Change</v>
      </c>
      <c r="B52" s="1466" t="str">
        <f>PortfolioCFStatement!E471</f>
        <v>2010$</v>
      </c>
      <c r="C52" s="1476">
        <f ca="1">PortfolioCFStatement!F471</f>
        <v>0</v>
      </c>
      <c r="D52" s="1467">
        <f ca="1">PortfolioCFStatement!G471</f>
        <v>0</v>
      </c>
      <c r="E52" s="1467">
        <f ca="1">PortfolioCFStatement!H471</f>
        <v>0</v>
      </c>
      <c r="F52" s="1467">
        <f ca="1">PortfolioCFStatement!I471</f>
        <v>0</v>
      </c>
      <c r="G52" s="1467">
        <f ca="1">PortfolioCFStatement!J471</f>
        <v>0</v>
      </c>
      <c r="H52" s="1467">
        <f ca="1">PortfolioCFStatement!K471</f>
        <v>0</v>
      </c>
      <c r="I52" s="1467">
        <f ca="1">PortfolioCFStatement!L471</f>
        <v>0</v>
      </c>
      <c r="J52" s="1467">
        <f ca="1">PortfolioCFStatement!M471</f>
        <v>0</v>
      </c>
      <c r="K52" s="1467">
        <f ca="1">PortfolioCFStatement!N471</f>
        <v>0</v>
      </c>
      <c r="L52" s="1467">
        <f ca="1">PortfolioCFStatement!O471</f>
        <v>0</v>
      </c>
      <c r="M52" s="1467">
        <f ca="1">PortfolioCFStatement!P471</f>
        <v>0</v>
      </c>
      <c r="N52" s="1467">
        <f ca="1">PortfolioCFStatement!Q471</f>
        <v>0</v>
      </c>
      <c r="O52" s="1467">
        <f ca="1">PortfolioCFStatement!R471</f>
        <v>0</v>
      </c>
      <c r="P52" s="1467">
        <f ca="1">PortfolioCFStatement!S471</f>
        <v>0</v>
      </c>
      <c r="Q52" s="1467">
        <f ca="1">PortfolioCFStatement!T471</f>
        <v>0</v>
      </c>
      <c r="R52" s="1467">
        <f ca="1">PortfolioCFStatement!U471</f>
        <v>0</v>
      </c>
      <c r="S52" s="1467">
        <f ca="1">PortfolioCFStatement!V471</f>
        <v>0</v>
      </c>
      <c r="T52" s="1467">
        <f ca="1">PortfolioCFStatement!W471</f>
        <v>0</v>
      </c>
      <c r="U52" s="1467">
        <f ca="1">PortfolioCFStatement!X471</f>
        <v>0</v>
      </c>
      <c r="V52" s="1467">
        <f ca="1">PortfolioCFStatement!Y471</f>
        <v>0</v>
      </c>
      <c r="W52" s="1467">
        <f ca="1">PortfolioCFStatement!Z471</f>
        <v>0</v>
      </c>
      <c r="X52" s="1467">
        <f ca="1">PortfolioCFStatement!AA471</f>
        <v>0</v>
      </c>
      <c r="Y52" s="1467">
        <f ca="1">PortfolioCFStatement!AB471</f>
        <v>0</v>
      </c>
      <c r="Z52" s="1467">
        <f ca="1">PortfolioCFStatement!AC471</f>
        <v>0</v>
      </c>
      <c r="AA52" s="1467">
        <f ca="1">PortfolioCFStatement!AD471</f>
        <v>0</v>
      </c>
      <c r="AB52" s="1467">
        <f ca="1">PortfolioCFStatement!AE471</f>
        <v>0</v>
      </c>
      <c r="AC52" s="1467">
        <f ca="1">PortfolioCFStatement!AF471</f>
        <v>0</v>
      </c>
      <c r="AD52" s="1467">
        <f ca="1">PortfolioCFStatement!AG471</f>
        <v>0</v>
      </c>
      <c r="AE52" s="1467">
        <f ca="1">PortfolioCFStatement!AH471</f>
        <v>0</v>
      </c>
      <c r="AF52" s="1467">
        <f ca="1">PortfolioCFStatement!AI471</f>
        <v>0</v>
      </c>
      <c r="AG52" s="1467">
        <f ca="1">PortfolioCFStatement!AJ471</f>
        <v>0</v>
      </c>
      <c r="AH52" s="1467">
        <f ca="1">PortfolioCFStatement!AK471</f>
        <v>0</v>
      </c>
      <c r="AI52" s="1467">
        <f ca="1">PortfolioCFStatement!AL471</f>
        <v>0</v>
      </c>
      <c r="AJ52" s="1467">
        <f ca="1">PortfolioCFStatement!AM471</f>
        <v>0</v>
      </c>
      <c r="AK52" s="1467">
        <f ca="1">PortfolioCFStatement!AN471</f>
        <v>0</v>
      </c>
      <c r="AL52" s="1467">
        <f ca="1">PortfolioCFStatement!AO471</f>
        <v>0</v>
      </c>
      <c r="AM52" s="1467">
        <f ca="1">PortfolioCFStatement!AP471</f>
        <v>0</v>
      </c>
      <c r="AN52" s="1467">
        <f ca="1">PortfolioCFStatement!AQ471</f>
        <v>0</v>
      </c>
      <c r="AO52" s="1467">
        <f ca="1">PortfolioCFStatement!AR471</f>
        <v>0</v>
      </c>
      <c r="AP52" s="1467">
        <f ca="1">PortfolioCFStatement!AS471</f>
        <v>0</v>
      </c>
      <c r="AQ52" s="1467">
        <f ca="1">PortfolioCFStatement!AT471</f>
        <v>0</v>
      </c>
      <c r="AR52" s="1467"/>
      <c r="AS52" s="1467">
        <f t="shared" ca="1" si="0"/>
        <v>0</v>
      </c>
      <c r="AT52" s="1468"/>
      <c r="AU52" s="1467">
        <f t="shared" ca="1" si="1"/>
        <v>0</v>
      </c>
      <c r="AV52" s="1468"/>
      <c r="AW52" s="1467">
        <f t="shared" ca="1" si="2"/>
        <v>0</v>
      </c>
      <c r="AX52" s="1468"/>
      <c r="AY52" s="1467">
        <f t="shared" ca="1" si="3"/>
        <v>0</v>
      </c>
      <c r="AZ52" s="1468"/>
      <c r="BA52" s="1467">
        <f t="shared" ca="1" si="4"/>
        <v>0</v>
      </c>
      <c r="BB52" s="1468"/>
      <c r="BC52" s="1467">
        <f t="shared" ca="1" si="5"/>
        <v>0</v>
      </c>
      <c r="BD52" s="1468"/>
      <c r="BE52" s="1467">
        <f t="shared" ca="1" si="6"/>
        <v>0</v>
      </c>
    </row>
    <row r="53" spans="1:57" s="10" customFormat="1">
      <c r="A53" s="1465" t="str">
        <f ca="1">PortfolioCFStatement!D472</f>
        <v>Building Design &amp; Construction Standards</v>
      </c>
      <c r="B53" s="1466" t="str">
        <f>PortfolioCFStatement!E472</f>
        <v>2010$</v>
      </c>
      <c r="C53" s="1476">
        <f ca="1">PortfolioCFStatement!F472</f>
        <v>-9602826.9964801222</v>
      </c>
      <c r="D53" s="1467">
        <f ca="1">PortfolioCFStatement!G472</f>
        <v>0</v>
      </c>
      <c r="E53" s="1467">
        <f ca="1">PortfolioCFStatement!H472</f>
        <v>-440231.70731709298</v>
      </c>
      <c r="F53" s="1467">
        <f ca="1">PortfolioCFStatement!I472</f>
        <v>-2365231.7073170608</v>
      </c>
      <c r="G53" s="1467">
        <f ca="1">PortfolioCFStatement!J472</f>
        <v>-965231.70731707709</v>
      </c>
      <c r="H53" s="1467">
        <f ca="1">PortfolioCFStatement!K472</f>
        <v>-440231.70731707709</v>
      </c>
      <c r="I53" s="1467">
        <f ca="1">PortfolioCFStatement!L472</f>
        <v>-1840231.707317061</v>
      </c>
      <c r="J53" s="1467">
        <f ca="1">PortfolioCFStatement!M472</f>
        <v>-440231.70731707709</v>
      </c>
      <c r="K53" s="1467">
        <f ca="1">PortfolioCFStatement!N472</f>
        <v>-440231.70731707709</v>
      </c>
      <c r="L53" s="1467">
        <f ca="1">PortfolioCFStatement!O472</f>
        <v>-440231.70731707709</v>
      </c>
      <c r="M53" s="1467">
        <f ca="1">PortfolioCFStatement!P472</f>
        <v>-440231.70731707709</v>
      </c>
      <c r="N53" s="1467">
        <f ca="1">PortfolioCFStatement!Q472</f>
        <v>-440231.70731707709</v>
      </c>
      <c r="O53" s="1467">
        <f ca="1">PortfolioCFStatement!R472</f>
        <v>-440231.70731706114</v>
      </c>
      <c r="P53" s="1467">
        <f ca="1">PortfolioCFStatement!S472</f>
        <v>-440231.70731706114</v>
      </c>
      <c r="Q53" s="1467">
        <f ca="1">PortfolioCFStatement!T472</f>
        <v>-440231.70731709298</v>
      </c>
      <c r="R53" s="1467">
        <f ca="1">PortfolioCFStatement!U472</f>
        <v>-440231.70731706114</v>
      </c>
      <c r="S53" s="1467">
        <f ca="1">PortfolioCFStatement!V472</f>
        <v>-440231.70731707709</v>
      </c>
      <c r="T53" s="1467">
        <f ca="1">PortfolioCFStatement!W472</f>
        <v>-440231.70731707709</v>
      </c>
      <c r="U53" s="1467">
        <f ca="1">PortfolioCFStatement!X472</f>
        <v>-440231.70731706114</v>
      </c>
      <c r="V53" s="1467">
        <f ca="1">PortfolioCFStatement!Y472</f>
        <v>-440231.70731707709</v>
      </c>
      <c r="W53" s="1467">
        <f ca="1">PortfolioCFStatement!Z472</f>
        <v>-440231.70731709298</v>
      </c>
      <c r="X53" s="1467">
        <f ca="1">PortfolioCFStatement!AA472</f>
        <v>-440231.70731707709</v>
      </c>
      <c r="Y53" s="1467">
        <f ca="1">PortfolioCFStatement!AB472</f>
        <v>-440231.70731706114</v>
      </c>
      <c r="Z53" s="1467">
        <f ca="1">PortfolioCFStatement!AC472</f>
        <v>-440231.70731706114</v>
      </c>
      <c r="AA53" s="1467">
        <f ca="1">PortfolioCFStatement!AD472</f>
        <v>-440231.70731707709</v>
      </c>
      <c r="AB53" s="1467">
        <f ca="1">PortfolioCFStatement!AE472</f>
        <v>-440231.70731706114</v>
      </c>
      <c r="AC53" s="1467">
        <f ca="1">PortfolioCFStatement!AF472</f>
        <v>-440231.70731706114</v>
      </c>
      <c r="AD53" s="1467">
        <f ca="1">PortfolioCFStatement!AG472</f>
        <v>-440231.70731710887</v>
      </c>
      <c r="AE53" s="1467">
        <f ca="1">PortfolioCFStatement!AH472</f>
        <v>-440231.70731707709</v>
      </c>
      <c r="AF53" s="1467">
        <f ca="1">PortfolioCFStatement!AI472</f>
        <v>-440231.70731706114</v>
      </c>
      <c r="AG53" s="1467">
        <f ca="1">PortfolioCFStatement!AJ472</f>
        <v>-440231.70731706114</v>
      </c>
      <c r="AH53" s="1467">
        <f ca="1">PortfolioCFStatement!AK472</f>
        <v>-440231.70731707709</v>
      </c>
      <c r="AI53" s="1467">
        <f ca="1">PortfolioCFStatement!AL472</f>
        <v>-440231.70731709298</v>
      </c>
      <c r="AJ53" s="1467">
        <f ca="1">PortfolioCFStatement!AM472</f>
        <v>-440231.70731706114</v>
      </c>
      <c r="AK53" s="1467">
        <f ca="1">PortfolioCFStatement!AN472</f>
        <v>-440231.70731707709</v>
      </c>
      <c r="AL53" s="1467">
        <f ca="1">PortfolioCFStatement!AO472</f>
        <v>-440231.70731706114</v>
      </c>
      <c r="AM53" s="1467">
        <f ca="1">PortfolioCFStatement!AP472</f>
        <v>-440231.70731706114</v>
      </c>
      <c r="AN53" s="1467">
        <f ca="1">PortfolioCFStatement!AQ472</f>
        <v>-440231.70731707709</v>
      </c>
      <c r="AO53" s="1467">
        <f ca="1">PortfolioCFStatement!AR472</f>
        <v>-440231.70731707709</v>
      </c>
      <c r="AP53" s="1467">
        <f ca="1">PortfolioCFStatement!AS472</f>
        <v>-440231.70731709298</v>
      </c>
      <c r="AQ53" s="1467">
        <f ca="1">PortfolioCFStatement!AT472</f>
        <v>-440231.70731706114</v>
      </c>
      <c r="AR53" s="1467"/>
      <c r="AS53" s="1467">
        <f t="shared" ca="1" si="0"/>
        <v>-3601158.5365853696</v>
      </c>
      <c r="AT53" s="1468"/>
      <c r="AU53" s="1467">
        <f t="shared" ca="1" si="1"/>
        <v>-2201158.5365853533</v>
      </c>
      <c r="AV53" s="1468"/>
      <c r="AW53" s="1467">
        <f t="shared" ca="1" si="2"/>
        <v>-2201158.5365853854</v>
      </c>
      <c r="AX53" s="1468"/>
      <c r="AY53" s="1467">
        <f t="shared" ca="1" si="3"/>
        <v>-2201158.5365853375</v>
      </c>
      <c r="AZ53" s="1468"/>
      <c r="BA53" s="1467">
        <f t="shared" ca="1" si="4"/>
        <v>-2201158.5365853696</v>
      </c>
      <c r="BB53" s="1468"/>
      <c r="BC53" s="1467">
        <f t="shared" ca="1" si="5"/>
        <v>-2201158.5365853696</v>
      </c>
      <c r="BD53" s="1468"/>
      <c r="BE53" s="1467">
        <f t="shared" ca="1" si="6"/>
        <v>-2201158.5365853696</v>
      </c>
    </row>
    <row r="54" spans="1:57" s="10" customFormat="1">
      <c r="A54" s="1465" t="str">
        <f ca="1">PortfolioCFStatement!D473</f>
        <v>Space Planning &amp; Management</v>
      </c>
      <c r="B54" s="1466" t="str">
        <f>PortfolioCFStatement!E473</f>
        <v>2010$</v>
      </c>
      <c r="C54" s="1476">
        <f ca="1">PortfolioCFStatement!F473</f>
        <v>374648367.13320363</v>
      </c>
      <c r="D54" s="1467">
        <f ca="1">PortfolioCFStatement!G473</f>
        <v>0</v>
      </c>
      <c r="E54" s="1467">
        <f ca="1">PortfolioCFStatement!H473</f>
        <v>25224484.237428442</v>
      </c>
      <c r="F54" s="1467">
        <f ca="1">PortfolioCFStatement!I473</f>
        <v>25224484.237428762</v>
      </c>
      <c r="G54" s="1467">
        <f ca="1">PortfolioCFStatement!J473</f>
        <v>25224484.237428442</v>
      </c>
      <c r="H54" s="1467">
        <f ca="1">PortfolioCFStatement!K473</f>
        <v>25224484.237428762</v>
      </c>
      <c r="I54" s="1467">
        <f ca="1">PortfolioCFStatement!L473</f>
        <v>25224484.237428762</v>
      </c>
      <c r="J54" s="1467">
        <f ca="1">PortfolioCFStatement!M473</f>
        <v>25224484.237428442</v>
      </c>
      <c r="K54" s="1467">
        <f ca="1">PortfolioCFStatement!N473</f>
        <v>25224484.237428762</v>
      </c>
      <c r="L54" s="1467">
        <f ca="1">PortfolioCFStatement!O473</f>
        <v>25224484.237428442</v>
      </c>
      <c r="M54" s="1467">
        <f ca="1">PortfolioCFStatement!P473</f>
        <v>25224484.237428762</v>
      </c>
      <c r="N54" s="1467">
        <f ca="1">PortfolioCFStatement!Q473</f>
        <v>25224484.237428442</v>
      </c>
      <c r="O54" s="1467">
        <f ca="1">PortfolioCFStatement!R473</f>
        <v>25224484.237428762</v>
      </c>
      <c r="P54" s="1467">
        <f ca="1">PortfolioCFStatement!S473</f>
        <v>25224484.237428762</v>
      </c>
      <c r="Q54" s="1467">
        <f ca="1">PortfolioCFStatement!T473</f>
        <v>25224484.237428442</v>
      </c>
      <c r="R54" s="1467">
        <f ca="1">PortfolioCFStatement!U473</f>
        <v>25224484.237428762</v>
      </c>
      <c r="S54" s="1467">
        <f ca="1">PortfolioCFStatement!V473</f>
        <v>25224484.237428762</v>
      </c>
      <c r="T54" s="1467">
        <f ca="1">PortfolioCFStatement!W473</f>
        <v>25224484.237428442</v>
      </c>
      <c r="U54" s="1467">
        <f ca="1">PortfolioCFStatement!X473</f>
        <v>25224484.237428762</v>
      </c>
      <c r="V54" s="1467">
        <f ca="1">PortfolioCFStatement!Y473</f>
        <v>25224484.237428442</v>
      </c>
      <c r="W54" s="1467">
        <f ca="1">PortfolioCFStatement!Z473</f>
        <v>25224484.237428762</v>
      </c>
      <c r="X54" s="1467">
        <f ca="1">PortfolioCFStatement!AA473</f>
        <v>25224484.237428442</v>
      </c>
      <c r="Y54" s="1467">
        <f ca="1">PortfolioCFStatement!AB473</f>
        <v>25224484.237428762</v>
      </c>
      <c r="Z54" s="1467">
        <f ca="1">PortfolioCFStatement!AC473</f>
        <v>25224484.237428762</v>
      </c>
      <c r="AA54" s="1467">
        <f ca="1">PortfolioCFStatement!AD473</f>
        <v>25224484.237428442</v>
      </c>
      <c r="AB54" s="1467">
        <f ca="1">PortfolioCFStatement!AE473</f>
        <v>25224484.237428762</v>
      </c>
      <c r="AC54" s="1467">
        <f ca="1">PortfolioCFStatement!AF473</f>
        <v>25224484.237428762</v>
      </c>
      <c r="AD54" s="1467">
        <f ca="1">PortfolioCFStatement!AG473</f>
        <v>25224484.237428442</v>
      </c>
      <c r="AE54" s="1467">
        <f ca="1">PortfolioCFStatement!AH473</f>
        <v>25224484.237428442</v>
      </c>
      <c r="AF54" s="1467">
        <f ca="1">PortfolioCFStatement!AI473</f>
        <v>25224484.237428762</v>
      </c>
      <c r="AG54" s="1467">
        <f ca="1">PortfolioCFStatement!AJ473</f>
        <v>25224484.237428762</v>
      </c>
      <c r="AH54" s="1467">
        <f ca="1">PortfolioCFStatement!AK473</f>
        <v>25224484.237428442</v>
      </c>
      <c r="AI54" s="1467">
        <f ca="1">PortfolioCFStatement!AL473</f>
        <v>25224484.237428762</v>
      </c>
      <c r="AJ54" s="1467">
        <f ca="1">PortfolioCFStatement!AM473</f>
        <v>25224484.237428762</v>
      </c>
      <c r="AK54" s="1467">
        <f ca="1">PortfolioCFStatement!AN473</f>
        <v>25224484.237428442</v>
      </c>
      <c r="AL54" s="1467">
        <f ca="1">PortfolioCFStatement!AO473</f>
        <v>25224484.237428762</v>
      </c>
      <c r="AM54" s="1467">
        <f ca="1">PortfolioCFStatement!AP473</f>
        <v>25224484.237428762</v>
      </c>
      <c r="AN54" s="1467">
        <f ca="1">PortfolioCFStatement!AQ473</f>
        <v>25224484.237428442</v>
      </c>
      <c r="AO54" s="1467">
        <f ca="1">PortfolioCFStatement!AR473</f>
        <v>25224484.237428442</v>
      </c>
      <c r="AP54" s="1467">
        <f ca="1">PortfolioCFStatement!AS473</f>
        <v>25224484.237428762</v>
      </c>
      <c r="AQ54" s="1467">
        <f ca="1">PortfolioCFStatement!AT473</f>
        <v>25224484.237428762</v>
      </c>
      <c r="AR54" s="1467"/>
      <c r="AS54" s="1467">
        <f t="shared" ref="AS54:AS69" ca="1" si="7">SUM(I54:M54)</f>
        <v>126122421.18714318</v>
      </c>
      <c r="AT54" s="1468"/>
      <c r="AU54" s="1467">
        <f t="shared" ref="AU54:AU69" ca="1" si="8">SUM(N54:R54)</f>
        <v>126122421.18714318</v>
      </c>
      <c r="AV54" s="1468"/>
      <c r="AW54" s="1467">
        <f t="shared" ref="AW54:AW69" ca="1" si="9">SUM(S54:W54)</f>
        <v>126122421.18714318</v>
      </c>
      <c r="AX54" s="1468"/>
      <c r="AY54" s="1467">
        <f t="shared" ref="AY54:AY69" ca="1" si="10">SUM(X54:AB54)</f>
        <v>126122421.18714318</v>
      </c>
      <c r="AZ54" s="1468"/>
      <c r="BA54" s="1467">
        <f t="shared" ref="BA54:BA69" ca="1" si="11">SUM(AC54:AG54)</f>
        <v>126122421.18714315</v>
      </c>
      <c r="BB54" s="1468"/>
      <c r="BC54" s="1467">
        <f t="shared" ref="BC54:BC69" ca="1" si="12">SUM(AH54:AL54)</f>
        <v>126122421.18714318</v>
      </c>
      <c r="BD54" s="1468"/>
      <c r="BE54" s="1467">
        <f t="shared" ref="BE54:BE69" ca="1" si="13">SUM(AM54:AQ54)</f>
        <v>126122421.18714315</v>
      </c>
    </row>
    <row r="55" spans="1:57" s="10" customFormat="1">
      <c r="A55" s="1465" t="str">
        <f ca="1">PortfolioCFStatement!D474</f>
        <v>Central Chiller Expansion</v>
      </c>
      <c r="B55" s="1466" t="str">
        <f>PortfolioCFStatement!E474</f>
        <v>2010$</v>
      </c>
      <c r="C55" s="1476">
        <f ca="1">PortfolioCFStatement!F474</f>
        <v>3539704.0672813975</v>
      </c>
      <c r="D55" s="1467">
        <f ca="1">PortfolioCFStatement!G474</f>
        <v>0</v>
      </c>
      <c r="E55" s="1467">
        <f ca="1">PortfolioCFStatement!H474</f>
        <v>-600000</v>
      </c>
      <c r="F55" s="1467">
        <f ca="1">PortfolioCFStatement!I474</f>
        <v>0</v>
      </c>
      <c r="G55" s="1467">
        <f ca="1">PortfolioCFStatement!J474</f>
        <v>-982035.34068419575</v>
      </c>
      <c r="H55" s="1467">
        <f ca="1">PortfolioCFStatement!K474</f>
        <v>550000</v>
      </c>
      <c r="I55" s="1467">
        <f ca="1">PortfolioCFStatement!L474</f>
        <v>45369.485689692316</v>
      </c>
      <c r="J55" s="1467">
        <f ca="1">PortfolioCFStatement!M474</f>
        <v>550000</v>
      </c>
      <c r="K55" s="1467">
        <f ca="1">PortfolioCFStatement!N474</f>
        <v>550000</v>
      </c>
      <c r="L55" s="1467">
        <f ca="1">PortfolioCFStatement!O474</f>
        <v>550000</v>
      </c>
      <c r="M55" s="1467">
        <f ca="1">PortfolioCFStatement!P474</f>
        <v>550000</v>
      </c>
      <c r="N55" s="1467">
        <f ca="1">PortfolioCFStatement!Q474</f>
        <v>550000</v>
      </c>
      <c r="O55" s="1467">
        <f ca="1">PortfolioCFStatement!R474</f>
        <v>550000</v>
      </c>
      <c r="P55" s="1467">
        <f ca="1">PortfolioCFStatement!S474</f>
        <v>550000</v>
      </c>
      <c r="Q55" s="1467">
        <f ca="1">PortfolioCFStatement!T474</f>
        <v>550000</v>
      </c>
      <c r="R55" s="1467">
        <f ca="1">PortfolioCFStatement!U474</f>
        <v>550000</v>
      </c>
      <c r="S55" s="1467">
        <f ca="1">PortfolioCFStatement!V474</f>
        <v>550000</v>
      </c>
      <c r="T55" s="1467">
        <f ca="1">PortfolioCFStatement!W474</f>
        <v>550000</v>
      </c>
      <c r="U55" s="1467">
        <f ca="1">PortfolioCFStatement!X474</f>
        <v>550000</v>
      </c>
      <c r="V55" s="1467">
        <f ca="1">PortfolioCFStatement!Y474</f>
        <v>550000</v>
      </c>
      <c r="W55" s="1467">
        <f ca="1">PortfolioCFStatement!Z474</f>
        <v>550000</v>
      </c>
      <c r="X55" s="1467">
        <f ca="1">PortfolioCFStatement!AA474</f>
        <v>550000</v>
      </c>
      <c r="Y55" s="1467">
        <f ca="1">PortfolioCFStatement!AB474</f>
        <v>550000</v>
      </c>
      <c r="Z55" s="1467">
        <f ca="1">PortfolioCFStatement!AC474</f>
        <v>550000</v>
      </c>
      <c r="AA55" s="1467">
        <f ca="1">PortfolioCFStatement!AD474</f>
        <v>550000</v>
      </c>
      <c r="AB55" s="1467">
        <f ca="1">PortfolioCFStatement!AE474</f>
        <v>0</v>
      </c>
      <c r="AC55" s="1467">
        <f ca="1">PortfolioCFStatement!AF474</f>
        <v>0</v>
      </c>
      <c r="AD55" s="1467">
        <f ca="1">PortfolioCFStatement!AG474</f>
        <v>0</v>
      </c>
      <c r="AE55" s="1467">
        <f ca="1">PortfolioCFStatement!AH474</f>
        <v>0</v>
      </c>
      <c r="AF55" s="1467">
        <f ca="1">PortfolioCFStatement!AI474</f>
        <v>0</v>
      </c>
      <c r="AG55" s="1467">
        <f ca="1">PortfolioCFStatement!AJ474</f>
        <v>0</v>
      </c>
      <c r="AH55" s="1467">
        <f ca="1">PortfolioCFStatement!AK474</f>
        <v>0</v>
      </c>
      <c r="AI55" s="1467">
        <f ca="1">PortfolioCFStatement!AL474</f>
        <v>0</v>
      </c>
      <c r="AJ55" s="1467">
        <f ca="1">PortfolioCFStatement!AM474</f>
        <v>0</v>
      </c>
      <c r="AK55" s="1467">
        <f ca="1">PortfolioCFStatement!AN474</f>
        <v>0</v>
      </c>
      <c r="AL55" s="1467">
        <f ca="1">PortfolioCFStatement!AO474</f>
        <v>0</v>
      </c>
      <c r="AM55" s="1467">
        <f ca="1">PortfolioCFStatement!AP474</f>
        <v>0</v>
      </c>
      <c r="AN55" s="1467">
        <f ca="1">PortfolioCFStatement!AQ474</f>
        <v>0</v>
      </c>
      <c r="AO55" s="1467">
        <f ca="1">PortfolioCFStatement!AR474</f>
        <v>0</v>
      </c>
      <c r="AP55" s="1467">
        <f ca="1">PortfolioCFStatement!AS474</f>
        <v>0</v>
      </c>
      <c r="AQ55" s="1467">
        <f ca="1">PortfolioCFStatement!AT474</f>
        <v>0</v>
      </c>
      <c r="AR55" s="1467"/>
      <c r="AS55" s="1467">
        <f t="shared" ca="1" si="7"/>
        <v>2245369.4856896922</v>
      </c>
      <c r="AT55" s="1468"/>
      <c r="AU55" s="1467">
        <f t="shared" ca="1" si="8"/>
        <v>2750000</v>
      </c>
      <c r="AV55" s="1468"/>
      <c r="AW55" s="1467">
        <f t="shared" ca="1" si="9"/>
        <v>2750000</v>
      </c>
      <c r="AX55" s="1468"/>
      <c r="AY55" s="1467">
        <f t="shared" ca="1" si="10"/>
        <v>2200000</v>
      </c>
      <c r="AZ55" s="1468"/>
      <c r="BA55" s="1467">
        <f t="shared" ca="1" si="11"/>
        <v>0</v>
      </c>
      <c r="BB55" s="1468"/>
      <c r="BC55" s="1467">
        <f t="shared" ca="1" si="12"/>
        <v>0</v>
      </c>
      <c r="BD55" s="1468"/>
      <c r="BE55" s="1467">
        <f t="shared" ca="1" si="13"/>
        <v>0</v>
      </c>
    </row>
    <row r="56" spans="1:57" s="10" customFormat="1">
      <c r="A56" s="1465" t="str">
        <f ca="1">PortfolioCFStatement!D475</f>
        <v>Short-term Energy Conservation Measures</v>
      </c>
      <c r="B56" s="1466" t="str">
        <f>PortfolioCFStatement!E475</f>
        <v>2010$</v>
      </c>
      <c r="C56" s="1476">
        <f ca="1">PortfolioCFStatement!F475</f>
        <v>-1570304.7352544956</v>
      </c>
      <c r="D56" s="1467">
        <f ca="1">PortfolioCFStatement!G475</f>
        <v>0</v>
      </c>
      <c r="E56" s="1467">
        <f ca="1">PortfolioCFStatement!H475</f>
        <v>-389653</v>
      </c>
      <c r="F56" s="1467">
        <f ca="1">PortfolioCFStatement!I475</f>
        <v>-389653</v>
      </c>
      <c r="G56" s="1467">
        <f ca="1">PortfolioCFStatement!J475</f>
        <v>-389653</v>
      </c>
      <c r="H56" s="1467">
        <f ca="1">PortfolioCFStatement!K475</f>
        <v>-389653</v>
      </c>
      <c r="I56" s="1467">
        <f ca="1">PortfolioCFStatement!L475</f>
        <v>-389653</v>
      </c>
      <c r="J56" s="1467">
        <f ca="1">PortfolioCFStatement!M475</f>
        <v>0</v>
      </c>
      <c r="K56" s="1467">
        <f ca="1">PortfolioCFStatement!N475</f>
        <v>0</v>
      </c>
      <c r="L56" s="1467">
        <f ca="1">PortfolioCFStatement!O475</f>
        <v>0</v>
      </c>
      <c r="M56" s="1467">
        <f ca="1">PortfolioCFStatement!P475</f>
        <v>0</v>
      </c>
      <c r="N56" s="1467">
        <f ca="1">PortfolioCFStatement!Q475</f>
        <v>0</v>
      </c>
      <c r="O56" s="1467">
        <f ca="1">PortfolioCFStatement!R475</f>
        <v>0</v>
      </c>
      <c r="P56" s="1467">
        <f ca="1">PortfolioCFStatement!S475</f>
        <v>0</v>
      </c>
      <c r="Q56" s="1467">
        <f ca="1">PortfolioCFStatement!T475</f>
        <v>0</v>
      </c>
      <c r="R56" s="1467">
        <f ca="1">PortfolioCFStatement!U475</f>
        <v>0</v>
      </c>
      <c r="S56" s="1467">
        <f ca="1">PortfolioCFStatement!V475</f>
        <v>0</v>
      </c>
      <c r="T56" s="1467">
        <f ca="1">PortfolioCFStatement!W475</f>
        <v>0</v>
      </c>
      <c r="U56" s="1467">
        <f ca="1">PortfolioCFStatement!X475</f>
        <v>0</v>
      </c>
      <c r="V56" s="1467">
        <f ca="1">PortfolioCFStatement!Y475</f>
        <v>0</v>
      </c>
      <c r="W56" s="1467">
        <f ca="1">PortfolioCFStatement!Z475</f>
        <v>0</v>
      </c>
      <c r="X56" s="1467">
        <f ca="1">PortfolioCFStatement!AA475</f>
        <v>0</v>
      </c>
      <c r="Y56" s="1467">
        <f ca="1">PortfolioCFStatement!AB475</f>
        <v>0</v>
      </c>
      <c r="Z56" s="1467">
        <f ca="1">PortfolioCFStatement!AC475</f>
        <v>0</v>
      </c>
      <c r="AA56" s="1467">
        <f ca="1">PortfolioCFStatement!AD475</f>
        <v>0</v>
      </c>
      <c r="AB56" s="1467">
        <f ca="1">PortfolioCFStatement!AE475</f>
        <v>0</v>
      </c>
      <c r="AC56" s="1467">
        <f ca="1">PortfolioCFStatement!AF475</f>
        <v>0</v>
      </c>
      <c r="AD56" s="1467">
        <f ca="1">PortfolioCFStatement!AG475</f>
        <v>0</v>
      </c>
      <c r="AE56" s="1467">
        <f ca="1">PortfolioCFStatement!AH475</f>
        <v>0</v>
      </c>
      <c r="AF56" s="1467">
        <f ca="1">PortfolioCFStatement!AI475</f>
        <v>0</v>
      </c>
      <c r="AG56" s="1467">
        <f ca="1">PortfolioCFStatement!AJ475</f>
        <v>0</v>
      </c>
      <c r="AH56" s="1467">
        <f ca="1">PortfolioCFStatement!AK475</f>
        <v>0</v>
      </c>
      <c r="AI56" s="1467">
        <f ca="1">PortfolioCFStatement!AL475</f>
        <v>0</v>
      </c>
      <c r="AJ56" s="1467">
        <f ca="1">PortfolioCFStatement!AM475</f>
        <v>0</v>
      </c>
      <c r="AK56" s="1467">
        <f ca="1">PortfolioCFStatement!AN475</f>
        <v>0</v>
      </c>
      <c r="AL56" s="1467">
        <f ca="1">PortfolioCFStatement!AO475</f>
        <v>0</v>
      </c>
      <c r="AM56" s="1467">
        <f ca="1">PortfolioCFStatement!AP475</f>
        <v>0</v>
      </c>
      <c r="AN56" s="1467">
        <f ca="1">PortfolioCFStatement!AQ475</f>
        <v>0</v>
      </c>
      <c r="AO56" s="1467">
        <f ca="1">PortfolioCFStatement!AR475</f>
        <v>0</v>
      </c>
      <c r="AP56" s="1467">
        <f ca="1">PortfolioCFStatement!AS475</f>
        <v>0</v>
      </c>
      <c r="AQ56" s="1467">
        <f ca="1">PortfolioCFStatement!AT475</f>
        <v>0</v>
      </c>
      <c r="AR56" s="1467"/>
      <c r="AS56" s="1467">
        <f t="shared" ca="1" si="7"/>
        <v>-389653</v>
      </c>
      <c r="AT56" s="1468"/>
      <c r="AU56" s="1467">
        <f t="shared" ca="1" si="8"/>
        <v>0</v>
      </c>
      <c r="AV56" s="1468"/>
      <c r="AW56" s="1467">
        <f t="shared" ca="1" si="9"/>
        <v>0</v>
      </c>
      <c r="AX56" s="1468"/>
      <c r="AY56" s="1467">
        <f t="shared" ca="1" si="10"/>
        <v>0</v>
      </c>
      <c r="AZ56" s="1468"/>
      <c r="BA56" s="1467">
        <f t="shared" ca="1" si="11"/>
        <v>0</v>
      </c>
      <c r="BB56" s="1468"/>
      <c r="BC56" s="1467">
        <f t="shared" ca="1" si="12"/>
        <v>0</v>
      </c>
      <c r="BD56" s="1468"/>
      <c r="BE56" s="1467">
        <f t="shared" ca="1" si="13"/>
        <v>0</v>
      </c>
    </row>
    <row r="57" spans="1:57" s="10" customFormat="1">
      <c r="A57" s="1465" t="str">
        <f ca="1">PortfolioCFStatement!D476</f>
        <v>Mid-term Energy Conservation Measures</v>
      </c>
      <c r="B57" s="1466" t="str">
        <f>PortfolioCFStatement!E476</f>
        <v>2010$</v>
      </c>
      <c r="C57" s="1476">
        <f ca="1">PortfolioCFStatement!F476</f>
        <v>-3421010.1138174692</v>
      </c>
      <c r="D57" s="1467">
        <f ca="1">PortfolioCFStatement!G476</f>
        <v>0</v>
      </c>
      <c r="E57" s="1467">
        <f ca="1">PortfolioCFStatement!H476</f>
        <v>0</v>
      </c>
      <c r="F57" s="1467">
        <f ca="1">PortfolioCFStatement!I476</f>
        <v>0</v>
      </c>
      <c r="G57" s="1467">
        <f ca="1">PortfolioCFStatement!J476</f>
        <v>0</v>
      </c>
      <c r="H57" s="1467">
        <f ca="1">PortfolioCFStatement!K476</f>
        <v>0</v>
      </c>
      <c r="I57" s="1467">
        <f ca="1">PortfolioCFStatement!L476</f>
        <v>0</v>
      </c>
      <c r="J57" s="1467">
        <f ca="1">PortfolioCFStatement!M476</f>
        <v>-753244.375</v>
      </c>
      <c r="K57" s="1467">
        <f ca="1">PortfolioCFStatement!N476</f>
        <v>-753244.375</v>
      </c>
      <c r="L57" s="1467">
        <f ca="1">PortfolioCFStatement!O476</f>
        <v>-753244.375</v>
      </c>
      <c r="M57" s="1467">
        <f ca="1">PortfolioCFStatement!P476</f>
        <v>-753244.375</v>
      </c>
      <c r="N57" s="1467">
        <f ca="1">PortfolioCFStatement!Q476</f>
        <v>-753244.375</v>
      </c>
      <c r="O57" s="1467">
        <f ca="1">PortfolioCFStatement!R476</f>
        <v>-753244.375</v>
      </c>
      <c r="P57" s="1467">
        <f ca="1">PortfolioCFStatement!S476</f>
        <v>-753244.375</v>
      </c>
      <c r="Q57" s="1467">
        <f ca="1">PortfolioCFStatement!T476</f>
        <v>-753244.375</v>
      </c>
      <c r="R57" s="1467">
        <f ca="1">PortfolioCFStatement!U476</f>
        <v>0</v>
      </c>
      <c r="S57" s="1467">
        <f ca="1">PortfolioCFStatement!V476</f>
        <v>0</v>
      </c>
      <c r="T57" s="1467">
        <f ca="1">PortfolioCFStatement!W476</f>
        <v>0</v>
      </c>
      <c r="U57" s="1467">
        <f ca="1">PortfolioCFStatement!X476</f>
        <v>0</v>
      </c>
      <c r="V57" s="1467">
        <f ca="1">PortfolioCFStatement!Y476</f>
        <v>0</v>
      </c>
      <c r="W57" s="1467">
        <f ca="1">PortfolioCFStatement!Z476</f>
        <v>0</v>
      </c>
      <c r="X57" s="1467">
        <f ca="1">PortfolioCFStatement!AA476</f>
        <v>0</v>
      </c>
      <c r="Y57" s="1467">
        <f ca="1">PortfolioCFStatement!AB476</f>
        <v>0</v>
      </c>
      <c r="Z57" s="1467">
        <f ca="1">PortfolioCFStatement!AC476</f>
        <v>0</v>
      </c>
      <c r="AA57" s="1467">
        <f ca="1">PortfolioCFStatement!AD476</f>
        <v>0</v>
      </c>
      <c r="AB57" s="1467">
        <f ca="1">PortfolioCFStatement!AE476</f>
        <v>0</v>
      </c>
      <c r="AC57" s="1467">
        <f ca="1">PortfolioCFStatement!AF476</f>
        <v>0</v>
      </c>
      <c r="AD57" s="1467">
        <f ca="1">PortfolioCFStatement!AG476</f>
        <v>0</v>
      </c>
      <c r="AE57" s="1467">
        <f ca="1">PortfolioCFStatement!AH476</f>
        <v>0</v>
      </c>
      <c r="AF57" s="1467">
        <f ca="1">PortfolioCFStatement!AI476</f>
        <v>0</v>
      </c>
      <c r="AG57" s="1467">
        <f ca="1">PortfolioCFStatement!AJ476</f>
        <v>0</v>
      </c>
      <c r="AH57" s="1467">
        <f ca="1">PortfolioCFStatement!AK476</f>
        <v>0</v>
      </c>
      <c r="AI57" s="1467">
        <f ca="1">PortfolioCFStatement!AL476</f>
        <v>0</v>
      </c>
      <c r="AJ57" s="1467">
        <f ca="1">PortfolioCFStatement!AM476</f>
        <v>0</v>
      </c>
      <c r="AK57" s="1467">
        <f ca="1">PortfolioCFStatement!AN476</f>
        <v>0</v>
      </c>
      <c r="AL57" s="1467">
        <f ca="1">PortfolioCFStatement!AO476</f>
        <v>0</v>
      </c>
      <c r="AM57" s="1467">
        <f ca="1">PortfolioCFStatement!AP476</f>
        <v>0</v>
      </c>
      <c r="AN57" s="1467">
        <f ca="1">PortfolioCFStatement!AQ476</f>
        <v>0</v>
      </c>
      <c r="AO57" s="1467">
        <f ca="1">PortfolioCFStatement!AR476</f>
        <v>0</v>
      </c>
      <c r="AP57" s="1467">
        <f ca="1">PortfolioCFStatement!AS476</f>
        <v>0</v>
      </c>
      <c r="AQ57" s="1467">
        <f ca="1">PortfolioCFStatement!AT476</f>
        <v>0</v>
      </c>
      <c r="AR57" s="1467"/>
      <c r="AS57" s="1467">
        <f t="shared" ca="1" si="7"/>
        <v>-3012977.5</v>
      </c>
      <c r="AT57" s="1468"/>
      <c r="AU57" s="1467">
        <f t="shared" ca="1" si="8"/>
        <v>-3012977.5</v>
      </c>
      <c r="AV57" s="1468"/>
      <c r="AW57" s="1467">
        <f t="shared" ca="1" si="9"/>
        <v>0</v>
      </c>
      <c r="AX57" s="1468"/>
      <c r="AY57" s="1467">
        <f t="shared" ca="1" si="10"/>
        <v>0</v>
      </c>
      <c r="AZ57" s="1468"/>
      <c r="BA57" s="1467">
        <f t="shared" ca="1" si="11"/>
        <v>0</v>
      </c>
      <c r="BB57" s="1468"/>
      <c r="BC57" s="1467">
        <f t="shared" ca="1" si="12"/>
        <v>0</v>
      </c>
      <c r="BD57" s="1468"/>
      <c r="BE57" s="1467">
        <f t="shared" ca="1" si="13"/>
        <v>0</v>
      </c>
    </row>
    <row r="58" spans="1:57" s="10" customFormat="1">
      <c r="A58" s="1465" t="str">
        <f ca="1">PortfolioCFStatement!D477</f>
        <v>Long-term Energy Conservation Measures</v>
      </c>
      <c r="B58" s="1466" t="str">
        <f>PortfolioCFStatement!E477</f>
        <v>2010$</v>
      </c>
      <c r="C58" s="1476">
        <f ca="1">PortfolioCFStatement!F477</f>
        <v>-2900388.971806766</v>
      </c>
      <c r="D58" s="1467">
        <f ca="1">PortfolioCFStatement!G477</f>
        <v>0</v>
      </c>
      <c r="E58" s="1467">
        <f ca="1">PortfolioCFStatement!H477</f>
        <v>0</v>
      </c>
      <c r="F58" s="1467">
        <f ca="1">PortfolioCFStatement!I477</f>
        <v>0</v>
      </c>
      <c r="G58" s="1467">
        <f ca="1">PortfolioCFStatement!J477</f>
        <v>0</v>
      </c>
      <c r="H58" s="1467">
        <f ca="1">PortfolioCFStatement!K477</f>
        <v>0</v>
      </c>
      <c r="I58" s="1467">
        <f ca="1">PortfolioCFStatement!L477</f>
        <v>0</v>
      </c>
      <c r="J58" s="1467">
        <f ca="1">PortfolioCFStatement!M477</f>
        <v>0</v>
      </c>
      <c r="K58" s="1467">
        <f ca="1">PortfolioCFStatement!N477</f>
        <v>0</v>
      </c>
      <c r="L58" s="1467">
        <f ca="1">PortfolioCFStatement!O477</f>
        <v>0</v>
      </c>
      <c r="M58" s="1467">
        <f ca="1">PortfolioCFStatement!P477</f>
        <v>0</v>
      </c>
      <c r="N58" s="1467">
        <f ca="1">PortfolioCFStatement!Q477</f>
        <v>0</v>
      </c>
      <c r="O58" s="1467">
        <f ca="1">PortfolioCFStatement!R477</f>
        <v>0</v>
      </c>
      <c r="P58" s="1467">
        <f ca="1">PortfolioCFStatement!S477</f>
        <v>0</v>
      </c>
      <c r="Q58" s="1467">
        <f ca="1">PortfolioCFStatement!T477</f>
        <v>0</v>
      </c>
      <c r="R58" s="1467">
        <f ca="1">PortfolioCFStatement!U477</f>
        <v>-831862</v>
      </c>
      <c r="S58" s="1467">
        <f ca="1">PortfolioCFStatement!V477</f>
        <v>-831862</v>
      </c>
      <c r="T58" s="1467">
        <f ca="1">PortfolioCFStatement!W477</f>
        <v>-831862</v>
      </c>
      <c r="U58" s="1467">
        <f ca="1">PortfolioCFStatement!X477</f>
        <v>-831862</v>
      </c>
      <c r="V58" s="1467">
        <f ca="1">PortfolioCFStatement!Y477</f>
        <v>-831862</v>
      </c>
      <c r="W58" s="1467">
        <f ca="1">PortfolioCFStatement!Z477</f>
        <v>-831862</v>
      </c>
      <c r="X58" s="1467">
        <f ca="1">PortfolioCFStatement!AA477</f>
        <v>-831862</v>
      </c>
      <c r="Y58" s="1467">
        <f ca="1">PortfolioCFStatement!AB477</f>
        <v>-831862</v>
      </c>
      <c r="Z58" s="1467">
        <f ca="1">PortfolioCFStatement!AC477</f>
        <v>-831862</v>
      </c>
      <c r="AA58" s="1467">
        <f ca="1">PortfolioCFStatement!AD477</f>
        <v>-831862</v>
      </c>
      <c r="AB58" s="1467">
        <f ca="1">PortfolioCFStatement!AE477</f>
        <v>0</v>
      </c>
      <c r="AC58" s="1467">
        <f ca="1">PortfolioCFStatement!AF477</f>
        <v>0</v>
      </c>
      <c r="AD58" s="1467">
        <f ca="1">PortfolioCFStatement!AG477</f>
        <v>0</v>
      </c>
      <c r="AE58" s="1467">
        <f ca="1">PortfolioCFStatement!AH477</f>
        <v>0</v>
      </c>
      <c r="AF58" s="1467">
        <f ca="1">PortfolioCFStatement!AI477</f>
        <v>0</v>
      </c>
      <c r="AG58" s="1467">
        <f ca="1">PortfolioCFStatement!AJ477</f>
        <v>0</v>
      </c>
      <c r="AH58" s="1467">
        <f ca="1">PortfolioCFStatement!AK477</f>
        <v>0</v>
      </c>
      <c r="AI58" s="1467">
        <f ca="1">PortfolioCFStatement!AL477</f>
        <v>0</v>
      </c>
      <c r="AJ58" s="1467">
        <f ca="1">PortfolioCFStatement!AM477</f>
        <v>0</v>
      </c>
      <c r="AK58" s="1467">
        <f ca="1">PortfolioCFStatement!AN477</f>
        <v>0</v>
      </c>
      <c r="AL58" s="1467">
        <f ca="1">PortfolioCFStatement!AO477</f>
        <v>0</v>
      </c>
      <c r="AM58" s="1467">
        <f ca="1">PortfolioCFStatement!AP477</f>
        <v>0</v>
      </c>
      <c r="AN58" s="1467">
        <f ca="1">PortfolioCFStatement!AQ477</f>
        <v>0</v>
      </c>
      <c r="AO58" s="1467">
        <f ca="1">PortfolioCFStatement!AR477</f>
        <v>0</v>
      </c>
      <c r="AP58" s="1467">
        <f ca="1">PortfolioCFStatement!AS477</f>
        <v>0</v>
      </c>
      <c r="AQ58" s="1467">
        <f ca="1">PortfolioCFStatement!AT477</f>
        <v>0</v>
      </c>
      <c r="AR58" s="1467"/>
      <c r="AS58" s="1467">
        <f t="shared" ca="1" si="7"/>
        <v>0</v>
      </c>
      <c r="AT58" s="1468"/>
      <c r="AU58" s="1467">
        <f t="shared" ca="1" si="8"/>
        <v>-831862</v>
      </c>
      <c r="AV58" s="1468"/>
      <c r="AW58" s="1467">
        <f t="shared" ca="1" si="9"/>
        <v>-4159310</v>
      </c>
      <c r="AX58" s="1468"/>
      <c r="AY58" s="1467">
        <f t="shared" ca="1" si="10"/>
        <v>-3327448</v>
      </c>
      <c r="AZ58" s="1468"/>
      <c r="BA58" s="1467">
        <f t="shared" ca="1" si="11"/>
        <v>0</v>
      </c>
      <c r="BB58" s="1468"/>
      <c r="BC58" s="1467">
        <f t="shared" ca="1" si="12"/>
        <v>0</v>
      </c>
      <c r="BD58" s="1468"/>
      <c r="BE58" s="1467">
        <f t="shared" ca="1" si="13"/>
        <v>0</v>
      </c>
    </row>
    <row r="59" spans="1:57" s="10" customFormat="1">
      <c r="A59" s="1465" t="str">
        <f ca="1">PortfolioCFStatement!D478</f>
        <v>Green IT</v>
      </c>
      <c r="B59" s="1466" t="str">
        <f>PortfolioCFStatement!E478</f>
        <v>2010$</v>
      </c>
      <c r="C59" s="1476">
        <f ca="1">PortfolioCFStatement!F478</f>
        <v>-22523.170148873429</v>
      </c>
      <c r="D59" s="1467">
        <f ca="1">PortfolioCFStatement!G478</f>
        <v>0</v>
      </c>
      <c r="E59" s="1467">
        <f ca="1">PortfolioCFStatement!H478</f>
        <v>0</v>
      </c>
      <c r="F59" s="1467">
        <f ca="1">PortfolioCFStatement!I478</f>
        <v>-9333.3333333333339</v>
      </c>
      <c r="G59" s="1467">
        <f ca="1">PortfolioCFStatement!J478</f>
        <v>-9333.3333333333339</v>
      </c>
      <c r="H59" s="1467">
        <f ca="1">PortfolioCFStatement!K478</f>
        <v>-9333.3333333333339</v>
      </c>
      <c r="I59" s="1467">
        <f ca="1">PortfolioCFStatement!L478</f>
        <v>0</v>
      </c>
      <c r="J59" s="1467">
        <f ca="1">PortfolioCFStatement!M478</f>
        <v>0</v>
      </c>
      <c r="K59" s="1467">
        <f ca="1">PortfolioCFStatement!N478</f>
        <v>0</v>
      </c>
      <c r="L59" s="1467">
        <f ca="1">PortfolioCFStatement!O478</f>
        <v>0</v>
      </c>
      <c r="M59" s="1467">
        <f ca="1">PortfolioCFStatement!P478</f>
        <v>0</v>
      </c>
      <c r="N59" s="1467">
        <f ca="1">PortfolioCFStatement!Q478</f>
        <v>0</v>
      </c>
      <c r="O59" s="1467">
        <f ca="1">PortfolioCFStatement!R478</f>
        <v>0</v>
      </c>
      <c r="P59" s="1467">
        <f ca="1">PortfolioCFStatement!S478</f>
        <v>0</v>
      </c>
      <c r="Q59" s="1467">
        <f ca="1">PortfolioCFStatement!T478</f>
        <v>0</v>
      </c>
      <c r="R59" s="1467">
        <f ca="1">PortfolioCFStatement!U478</f>
        <v>0</v>
      </c>
      <c r="S59" s="1467">
        <f ca="1">PortfolioCFStatement!V478</f>
        <v>0</v>
      </c>
      <c r="T59" s="1467">
        <f ca="1">PortfolioCFStatement!W478</f>
        <v>0</v>
      </c>
      <c r="U59" s="1467">
        <f ca="1">PortfolioCFStatement!X478</f>
        <v>0</v>
      </c>
      <c r="V59" s="1467">
        <f ca="1">PortfolioCFStatement!Y478</f>
        <v>0</v>
      </c>
      <c r="W59" s="1467">
        <f ca="1">PortfolioCFStatement!Z478</f>
        <v>0</v>
      </c>
      <c r="X59" s="1467">
        <f ca="1">PortfolioCFStatement!AA478</f>
        <v>0</v>
      </c>
      <c r="Y59" s="1467">
        <f ca="1">PortfolioCFStatement!AB478</f>
        <v>0</v>
      </c>
      <c r="Z59" s="1467">
        <f ca="1">PortfolioCFStatement!AC478</f>
        <v>0</v>
      </c>
      <c r="AA59" s="1467">
        <f ca="1">PortfolioCFStatement!AD478</f>
        <v>0</v>
      </c>
      <c r="AB59" s="1467">
        <f ca="1">PortfolioCFStatement!AE478</f>
        <v>0</v>
      </c>
      <c r="AC59" s="1467">
        <f ca="1">PortfolioCFStatement!AF478</f>
        <v>0</v>
      </c>
      <c r="AD59" s="1467">
        <f ca="1">PortfolioCFStatement!AG478</f>
        <v>0</v>
      </c>
      <c r="AE59" s="1467">
        <f ca="1">PortfolioCFStatement!AH478</f>
        <v>0</v>
      </c>
      <c r="AF59" s="1467">
        <f ca="1">PortfolioCFStatement!AI478</f>
        <v>0</v>
      </c>
      <c r="AG59" s="1467">
        <f ca="1">PortfolioCFStatement!AJ478</f>
        <v>0</v>
      </c>
      <c r="AH59" s="1467">
        <f ca="1">PortfolioCFStatement!AK478</f>
        <v>0</v>
      </c>
      <c r="AI59" s="1467">
        <f ca="1">PortfolioCFStatement!AL478</f>
        <v>0</v>
      </c>
      <c r="AJ59" s="1467">
        <f ca="1">PortfolioCFStatement!AM478</f>
        <v>0</v>
      </c>
      <c r="AK59" s="1467">
        <f ca="1">PortfolioCFStatement!AN478</f>
        <v>0</v>
      </c>
      <c r="AL59" s="1467">
        <f ca="1">PortfolioCFStatement!AO478</f>
        <v>0</v>
      </c>
      <c r="AM59" s="1467">
        <f ca="1">PortfolioCFStatement!AP478</f>
        <v>0</v>
      </c>
      <c r="AN59" s="1467">
        <f ca="1">PortfolioCFStatement!AQ478</f>
        <v>0</v>
      </c>
      <c r="AO59" s="1467">
        <f ca="1">PortfolioCFStatement!AR478</f>
        <v>0</v>
      </c>
      <c r="AP59" s="1467">
        <f ca="1">PortfolioCFStatement!AS478</f>
        <v>0</v>
      </c>
      <c r="AQ59" s="1467">
        <f ca="1">PortfolioCFStatement!AT478</f>
        <v>0</v>
      </c>
      <c r="AR59" s="1467"/>
      <c r="AS59" s="1467">
        <f t="shared" ca="1" si="7"/>
        <v>0</v>
      </c>
      <c r="AT59" s="1468"/>
      <c r="AU59" s="1467">
        <f t="shared" ca="1" si="8"/>
        <v>0</v>
      </c>
      <c r="AV59" s="1468"/>
      <c r="AW59" s="1467">
        <f t="shared" ca="1" si="9"/>
        <v>0</v>
      </c>
      <c r="AX59" s="1468"/>
      <c r="AY59" s="1467">
        <f t="shared" ca="1" si="10"/>
        <v>0</v>
      </c>
      <c r="AZ59" s="1468"/>
      <c r="BA59" s="1467">
        <f t="shared" ca="1" si="11"/>
        <v>0</v>
      </c>
      <c r="BB59" s="1468"/>
      <c r="BC59" s="1467">
        <f t="shared" ca="1" si="12"/>
        <v>0</v>
      </c>
      <c r="BD59" s="1468"/>
      <c r="BE59" s="1467">
        <f t="shared" ca="1" si="13"/>
        <v>0</v>
      </c>
    </row>
    <row r="60" spans="1:57" s="10" customFormat="1">
      <c r="A60" s="1465" t="str">
        <f ca="1">PortfolioCFStatement!D479</f>
        <v>Reduced Air Travel</v>
      </c>
      <c r="B60" s="1466" t="str">
        <f>PortfolioCFStatement!E479</f>
        <v>2010$</v>
      </c>
      <c r="C60" s="1476">
        <f ca="1">PortfolioCFStatement!F479</f>
        <v>0</v>
      </c>
      <c r="D60" s="1467">
        <f ca="1">PortfolioCFStatement!G479</f>
        <v>0</v>
      </c>
      <c r="E60" s="1467">
        <f ca="1">PortfolioCFStatement!H479</f>
        <v>0</v>
      </c>
      <c r="F60" s="1467">
        <f ca="1">PortfolioCFStatement!I479</f>
        <v>0</v>
      </c>
      <c r="G60" s="1467">
        <f ca="1">PortfolioCFStatement!J479</f>
        <v>0</v>
      </c>
      <c r="H60" s="1467">
        <f ca="1">PortfolioCFStatement!K479</f>
        <v>0</v>
      </c>
      <c r="I60" s="1467">
        <f ca="1">PortfolioCFStatement!L479</f>
        <v>0</v>
      </c>
      <c r="J60" s="1467">
        <f ca="1">PortfolioCFStatement!M479</f>
        <v>0</v>
      </c>
      <c r="K60" s="1467">
        <f ca="1">PortfolioCFStatement!N479</f>
        <v>0</v>
      </c>
      <c r="L60" s="1467">
        <f ca="1">PortfolioCFStatement!O479</f>
        <v>0</v>
      </c>
      <c r="M60" s="1467">
        <f ca="1">PortfolioCFStatement!P479</f>
        <v>0</v>
      </c>
      <c r="N60" s="1467">
        <f ca="1">PortfolioCFStatement!Q479</f>
        <v>0</v>
      </c>
      <c r="O60" s="1467">
        <f ca="1">PortfolioCFStatement!R479</f>
        <v>0</v>
      </c>
      <c r="P60" s="1467">
        <f ca="1">PortfolioCFStatement!S479</f>
        <v>0</v>
      </c>
      <c r="Q60" s="1467">
        <f ca="1">PortfolioCFStatement!T479</f>
        <v>0</v>
      </c>
      <c r="R60" s="1467">
        <f ca="1">PortfolioCFStatement!U479</f>
        <v>0</v>
      </c>
      <c r="S60" s="1467">
        <f ca="1">PortfolioCFStatement!V479</f>
        <v>0</v>
      </c>
      <c r="T60" s="1467">
        <f ca="1">PortfolioCFStatement!W479</f>
        <v>0</v>
      </c>
      <c r="U60" s="1467">
        <f ca="1">PortfolioCFStatement!X479</f>
        <v>0</v>
      </c>
      <c r="V60" s="1467">
        <f ca="1">PortfolioCFStatement!Y479</f>
        <v>0</v>
      </c>
      <c r="W60" s="1467">
        <f ca="1">PortfolioCFStatement!Z479</f>
        <v>0</v>
      </c>
      <c r="X60" s="1467">
        <f ca="1">PortfolioCFStatement!AA479</f>
        <v>0</v>
      </c>
      <c r="Y60" s="1467">
        <f ca="1">PortfolioCFStatement!AB479</f>
        <v>0</v>
      </c>
      <c r="Z60" s="1467">
        <f ca="1">PortfolioCFStatement!AC479</f>
        <v>0</v>
      </c>
      <c r="AA60" s="1467">
        <f ca="1">PortfolioCFStatement!AD479</f>
        <v>0</v>
      </c>
      <c r="AB60" s="1467">
        <f ca="1">PortfolioCFStatement!AE479</f>
        <v>0</v>
      </c>
      <c r="AC60" s="1467">
        <f ca="1">PortfolioCFStatement!AF479</f>
        <v>0</v>
      </c>
      <c r="AD60" s="1467">
        <f ca="1">PortfolioCFStatement!AG479</f>
        <v>0</v>
      </c>
      <c r="AE60" s="1467">
        <f ca="1">PortfolioCFStatement!AH479</f>
        <v>0</v>
      </c>
      <c r="AF60" s="1467">
        <f ca="1">PortfolioCFStatement!AI479</f>
        <v>0</v>
      </c>
      <c r="AG60" s="1467">
        <f ca="1">PortfolioCFStatement!AJ479</f>
        <v>0</v>
      </c>
      <c r="AH60" s="1467">
        <f ca="1">PortfolioCFStatement!AK479</f>
        <v>0</v>
      </c>
      <c r="AI60" s="1467">
        <f ca="1">PortfolioCFStatement!AL479</f>
        <v>0</v>
      </c>
      <c r="AJ60" s="1467">
        <f ca="1">PortfolioCFStatement!AM479</f>
        <v>0</v>
      </c>
      <c r="AK60" s="1467">
        <f ca="1">PortfolioCFStatement!AN479</f>
        <v>0</v>
      </c>
      <c r="AL60" s="1467">
        <f ca="1">PortfolioCFStatement!AO479</f>
        <v>0</v>
      </c>
      <c r="AM60" s="1467">
        <f ca="1">PortfolioCFStatement!AP479</f>
        <v>0</v>
      </c>
      <c r="AN60" s="1467">
        <f ca="1">PortfolioCFStatement!AQ479</f>
        <v>0</v>
      </c>
      <c r="AO60" s="1467">
        <f ca="1">PortfolioCFStatement!AR479</f>
        <v>0</v>
      </c>
      <c r="AP60" s="1467">
        <f ca="1">PortfolioCFStatement!AS479</f>
        <v>0</v>
      </c>
      <c r="AQ60" s="1467">
        <f ca="1">PortfolioCFStatement!AT479</f>
        <v>0</v>
      </c>
      <c r="AR60" s="1467"/>
      <c r="AS60" s="1467">
        <f t="shared" ca="1" si="7"/>
        <v>0</v>
      </c>
      <c r="AT60" s="1468"/>
      <c r="AU60" s="1467">
        <f t="shared" ca="1" si="8"/>
        <v>0</v>
      </c>
      <c r="AV60" s="1468"/>
      <c r="AW60" s="1467">
        <f t="shared" ca="1" si="9"/>
        <v>0</v>
      </c>
      <c r="AX60" s="1468"/>
      <c r="AY60" s="1467">
        <f t="shared" ca="1" si="10"/>
        <v>0</v>
      </c>
      <c r="AZ60" s="1468"/>
      <c r="BA60" s="1467">
        <f t="shared" ca="1" si="11"/>
        <v>0</v>
      </c>
      <c r="BB60" s="1468"/>
      <c r="BC60" s="1467">
        <f t="shared" ca="1" si="12"/>
        <v>0</v>
      </c>
      <c r="BD60" s="1468"/>
      <c r="BE60" s="1467">
        <f t="shared" ca="1" si="13"/>
        <v>0</v>
      </c>
    </row>
    <row r="61" spans="1:57" s="10" customFormat="1">
      <c r="A61" s="1465" t="str">
        <f ca="1">PortfolioCFStatement!D480</f>
        <v>Reduced Automobile Reliance Strategies</v>
      </c>
      <c r="B61" s="1466" t="str">
        <f>PortfolioCFStatement!E480</f>
        <v>2010$</v>
      </c>
      <c r="C61" s="1476">
        <f ca="1">PortfolioCFStatement!F480</f>
        <v>0</v>
      </c>
      <c r="D61" s="1467">
        <f ca="1">PortfolioCFStatement!G480</f>
        <v>0</v>
      </c>
      <c r="E61" s="1467">
        <f ca="1">PortfolioCFStatement!H480</f>
        <v>0</v>
      </c>
      <c r="F61" s="1467">
        <f ca="1">PortfolioCFStatement!I480</f>
        <v>0</v>
      </c>
      <c r="G61" s="1467">
        <f ca="1">PortfolioCFStatement!J480</f>
        <v>0</v>
      </c>
      <c r="H61" s="1467">
        <f ca="1">PortfolioCFStatement!K480</f>
        <v>0</v>
      </c>
      <c r="I61" s="1467">
        <f ca="1">PortfolioCFStatement!L480</f>
        <v>0</v>
      </c>
      <c r="J61" s="1467">
        <f ca="1">PortfolioCFStatement!M480</f>
        <v>0</v>
      </c>
      <c r="K61" s="1467">
        <f ca="1">PortfolioCFStatement!N480</f>
        <v>0</v>
      </c>
      <c r="L61" s="1467">
        <f ca="1">PortfolioCFStatement!O480</f>
        <v>0</v>
      </c>
      <c r="M61" s="1467">
        <f ca="1">PortfolioCFStatement!P480</f>
        <v>0</v>
      </c>
      <c r="N61" s="1467">
        <f ca="1">PortfolioCFStatement!Q480</f>
        <v>0</v>
      </c>
      <c r="O61" s="1467">
        <f ca="1">PortfolioCFStatement!R480</f>
        <v>0</v>
      </c>
      <c r="P61" s="1467">
        <f ca="1">PortfolioCFStatement!S480</f>
        <v>0</v>
      </c>
      <c r="Q61" s="1467">
        <f ca="1">PortfolioCFStatement!T480</f>
        <v>0</v>
      </c>
      <c r="R61" s="1467">
        <f ca="1">PortfolioCFStatement!U480</f>
        <v>0</v>
      </c>
      <c r="S61" s="1467">
        <f ca="1">PortfolioCFStatement!V480</f>
        <v>0</v>
      </c>
      <c r="T61" s="1467">
        <f ca="1">PortfolioCFStatement!W480</f>
        <v>0</v>
      </c>
      <c r="U61" s="1467">
        <f ca="1">PortfolioCFStatement!X480</f>
        <v>0</v>
      </c>
      <c r="V61" s="1467">
        <f ca="1">PortfolioCFStatement!Y480</f>
        <v>0</v>
      </c>
      <c r="W61" s="1467">
        <f ca="1">PortfolioCFStatement!Z480</f>
        <v>0</v>
      </c>
      <c r="X61" s="1467">
        <f ca="1">PortfolioCFStatement!AA480</f>
        <v>0</v>
      </c>
      <c r="Y61" s="1467">
        <f ca="1">PortfolioCFStatement!AB480</f>
        <v>0</v>
      </c>
      <c r="Z61" s="1467">
        <f ca="1">PortfolioCFStatement!AC480</f>
        <v>0</v>
      </c>
      <c r="AA61" s="1467">
        <f ca="1">PortfolioCFStatement!AD480</f>
        <v>0</v>
      </c>
      <c r="AB61" s="1467">
        <f ca="1">PortfolioCFStatement!AE480</f>
        <v>0</v>
      </c>
      <c r="AC61" s="1467">
        <f ca="1">PortfolioCFStatement!AF480</f>
        <v>0</v>
      </c>
      <c r="AD61" s="1467">
        <f ca="1">PortfolioCFStatement!AG480</f>
        <v>0</v>
      </c>
      <c r="AE61" s="1467">
        <f ca="1">PortfolioCFStatement!AH480</f>
        <v>0</v>
      </c>
      <c r="AF61" s="1467">
        <f ca="1">PortfolioCFStatement!AI480</f>
        <v>0</v>
      </c>
      <c r="AG61" s="1467">
        <f ca="1">PortfolioCFStatement!AJ480</f>
        <v>0</v>
      </c>
      <c r="AH61" s="1467">
        <f ca="1">PortfolioCFStatement!AK480</f>
        <v>0</v>
      </c>
      <c r="AI61" s="1467">
        <f ca="1">PortfolioCFStatement!AL480</f>
        <v>0</v>
      </c>
      <c r="AJ61" s="1467">
        <f ca="1">PortfolioCFStatement!AM480</f>
        <v>0</v>
      </c>
      <c r="AK61" s="1467">
        <f ca="1">PortfolioCFStatement!AN480</f>
        <v>0</v>
      </c>
      <c r="AL61" s="1467">
        <f ca="1">PortfolioCFStatement!AO480</f>
        <v>0</v>
      </c>
      <c r="AM61" s="1467">
        <f ca="1">PortfolioCFStatement!AP480</f>
        <v>0</v>
      </c>
      <c r="AN61" s="1467">
        <f ca="1">PortfolioCFStatement!AQ480</f>
        <v>0</v>
      </c>
      <c r="AO61" s="1467">
        <f ca="1">PortfolioCFStatement!AR480</f>
        <v>0</v>
      </c>
      <c r="AP61" s="1467">
        <f ca="1">PortfolioCFStatement!AS480</f>
        <v>0</v>
      </c>
      <c r="AQ61" s="1467">
        <f ca="1">PortfolioCFStatement!AT480</f>
        <v>0</v>
      </c>
      <c r="AR61" s="1467"/>
      <c r="AS61" s="1467">
        <f t="shared" ca="1" si="7"/>
        <v>0</v>
      </c>
      <c r="AT61" s="1468"/>
      <c r="AU61" s="1467">
        <f t="shared" ca="1" si="8"/>
        <v>0</v>
      </c>
      <c r="AV61" s="1468"/>
      <c r="AW61" s="1467">
        <f t="shared" ca="1" si="9"/>
        <v>0</v>
      </c>
      <c r="AX61" s="1468"/>
      <c r="AY61" s="1467">
        <f t="shared" ca="1" si="10"/>
        <v>0</v>
      </c>
      <c r="AZ61" s="1468"/>
      <c r="BA61" s="1467">
        <f t="shared" ca="1" si="11"/>
        <v>0</v>
      </c>
      <c r="BB61" s="1468"/>
      <c r="BC61" s="1467">
        <f t="shared" ca="1" si="12"/>
        <v>0</v>
      </c>
      <c r="BD61" s="1468"/>
      <c r="BE61" s="1467">
        <f t="shared" ca="1" si="13"/>
        <v>0</v>
      </c>
    </row>
    <row r="62" spans="1:57" s="10" customFormat="1">
      <c r="A62" s="1465" t="str">
        <f ca="1">PortfolioCFStatement!D481</f>
        <v>Waste Reduction</v>
      </c>
      <c r="B62" s="1466" t="str">
        <f>PortfolioCFStatement!E481</f>
        <v>2010$</v>
      </c>
      <c r="C62" s="1476">
        <f ca="1">PortfolioCFStatement!F481</f>
        <v>0</v>
      </c>
      <c r="D62" s="1467">
        <f ca="1">PortfolioCFStatement!G481</f>
        <v>0</v>
      </c>
      <c r="E62" s="1467">
        <f ca="1">PortfolioCFStatement!H481</f>
        <v>0</v>
      </c>
      <c r="F62" s="1467">
        <f ca="1">PortfolioCFStatement!I481</f>
        <v>0</v>
      </c>
      <c r="G62" s="1467">
        <f ca="1">PortfolioCFStatement!J481</f>
        <v>0</v>
      </c>
      <c r="H62" s="1467">
        <f ca="1">PortfolioCFStatement!K481</f>
        <v>0</v>
      </c>
      <c r="I62" s="1467">
        <f ca="1">PortfolioCFStatement!L481</f>
        <v>0</v>
      </c>
      <c r="J62" s="1467">
        <f ca="1">PortfolioCFStatement!M481</f>
        <v>0</v>
      </c>
      <c r="K62" s="1467">
        <f ca="1">PortfolioCFStatement!N481</f>
        <v>0</v>
      </c>
      <c r="L62" s="1467">
        <f ca="1">PortfolioCFStatement!O481</f>
        <v>0</v>
      </c>
      <c r="M62" s="1467">
        <f ca="1">PortfolioCFStatement!P481</f>
        <v>0</v>
      </c>
      <c r="N62" s="1467">
        <f ca="1">PortfolioCFStatement!Q481</f>
        <v>0</v>
      </c>
      <c r="O62" s="1467">
        <f ca="1">PortfolioCFStatement!R481</f>
        <v>0</v>
      </c>
      <c r="P62" s="1467">
        <f ca="1">PortfolioCFStatement!S481</f>
        <v>0</v>
      </c>
      <c r="Q62" s="1467">
        <f ca="1">PortfolioCFStatement!T481</f>
        <v>0</v>
      </c>
      <c r="R62" s="1467">
        <f ca="1">PortfolioCFStatement!U481</f>
        <v>0</v>
      </c>
      <c r="S62" s="1467">
        <f ca="1">PortfolioCFStatement!V481</f>
        <v>0</v>
      </c>
      <c r="T62" s="1467">
        <f ca="1">PortfolioCFStatement!W481</f>
        <v>0</v>
      </c>
      <c r="U62" s="1467">
        <f ca="1">PortfolioCFStatement!X481</f>
        <v>0</v>
      </c>
      <c r="V62" s="1467">
        <f ca="1">PortfolioCFStatement!Y481</f>
        <v>0</v>
      </c>
      <c r="W62" s="1467">
        <f ca="1">PortfolioCFStatement!Z481</f>
        <v>0</v>
      </c>
      <c r="X62" s="1467">
        <f ca="1">PortfolioCFStatement!AA481</f>
        <v>0</v>
      </c>
      <c r="Y62" s="1467">
        <f ca="1">PortfolioCFStatement!AB481</f>
        <v>0</v>
      </c>
      <c r="Z62" s="1467">
        <f ca="1">PortfolioCFStatement!AC481</f>
        <v>0</v>
      </c>
      <c r="AA62" s="1467">
        <f ca="1">PortfolioCFStatement!AD481</f>
        <v>0</v>
      </c>
      <c r="AB62" s="1467">
        <f ca="1">PortfolioCFStatement!AE481</f>
        <v>0</v>
      </c>
      <c r="AC62" s="1467">
        <f ca="1">PortfolioCFStatement!AF481</f>
        <v>0</v>
      </c>
      <c r="AD62" s="1467">
        <f ca="1">PortfolioCFStatement!AG481</f>
        <v>0</v>
      </c>
      <c r="AE62" s="1467">
        <f ca="1">PortfolioCFStatement!AH481</f>
        <v>0</v>
      </c>
      <c r="AF62" s="1467">
        <f ca="1">PortfolioCFStatement!AI481</f>
        <v>0</v>
      </c>
      <c r="AG62" s="1467">
        <f ca="1">PortfolioCFStatement!AJ481</f>
        <v>0</v>
      </c>
      <c r="AH62" s="1467">
        <f ca="1">PortfolioCFStatement!AK481</f>
        <v>0</v>
      </c>
      <c r="AI62" s="1467">
        <f ca="1">PortfolioCFStatement!AL481</f>
        <v>0</v>
      </c>
      <c r="AJ62" s="1467">
        <f ca="1">PortfolioCFStatement!AM481</f>
        <v>0</v>
      </c>
      <c r="AK62" s="1467">
        <f ca="1">PortfolioCFStatement!AN481</f>
        <v>0</v>
      </c>
      <c r="AL62" s="1467">
        <f ca="1">PortfolioCFStatement!AO481</f>
        <v>0</v>
      </c>
      <c r="AM62" s="1467">
        <f ca="1">PortfolioCFStatement!AP481</f>
        <v>0</v>
      </c>
      <c r="AN62" s="1467">
        <f ca="1">PortfolioCFStatement!AQ481</f>
        <v>0</v>
      </c>
      <c r="AO62" s="1467">
        <f ca="1">PortfolioCFStatement!AR481</f>
        <v>0</v>
      </c>
      <c r="AP62" s="1467">
        <f ca="1">PortfolioCFStatement!AS481</f>
        <v>0</v>
      </c>
      <c r="AQ62" s="1467">
        <f ca="1">PortfolioCFStatement!AT481</f>
        <v>0</v>
      </c>
      <c r="AR62" s="1467"/>
      <c r="AS62" s="1467">
        <f t="shared" ca="1" si="7"/>
        <v>0</v>
      </c>
      <c r="AT62" s="1468"/>
      <c r="AU62" s="1467">
        <f t="shared" ca="1" si="8"/>
        <v>0</v>
      </c>
      <c r="AV62" s="1468"/>
      <c r="AW62" s="1467">
        <f t="shared" ca="1" si="9"/>
        <v>0</v>
      </c>
      <c r="AX62" s="1468"/>
      <c r="AY62" s="1467">
        <f t="shared" ca="1" si="10"/>
        <v>0</v>
      </c>
      <c r="AZ62" s="1468"/>
      <c r="BA62" s="1467">
        <f t="shared" ca="1" si="11"/>
        <v>0</v>
      </c>
      <c r="BB62" s="1468"/>
      <c r="BC62" s="1467">
        <f t="shared" ca="1" si="12"/>
        <v>0</v>
      </c>
      <c r="BD62" s="1468"/>
      <c r="BE62" s="1467">
        <f t="shared" ca="1" si="13"/>
        <v>0</v>
      </c>
    </row>
    <row r="63" spans="1:57" s="10" customFormat="1">
      <c r="A63" s="1465" t="str">
        <f ca="1">PortfolioCFStatement!D482</f>
        <v>Steam Line Improvements</v>
      </c>
      <c r="B63" s="1466" t="str">
        <f>PortfolioCFStatement!E482</f>
        <v>2010$</v>
      </c>
      <c r="C63" s="1476">
        <f ca="1">PortfolioCFStatement!F482</f>
        <v>-675002.01624247886</v>
      </c>
      <c r="D63" s="1467">
        <f ca="1">PortfolioCFStatement!G482</f>
        <v>0</v>
      </c>
      <c r="E63" s="1467">
        <f ca="1">PortfolioCFStatement!H482</f>
        <v>-600000</v>
      </c>
      <c r="F63" s="1467">
        <f ca="1">PortfolioCFStatement!I482</f>
        <v>0</v>
      </c>
      <c r="G63" s="1467">
        <f ca="1">PortfolioCFStatement!J482</f>
        <v>0</v>
      </c>
      <c r="H63" s="1467">
        <f ca="1">PortfolioCFStatement!K482</f>
        <v>0</v>
      </c>
      <c r="I63" s="1467">
        <f ca="1">PortfolioCFStatement!L482</f>
        <v>0</v>
      </c>
      <c r="J63" s="1467">
        <f ca="1">PortfolioCFStatement!M482</f>
        <v>0</v>
      </c>
      <c r="K63" s="1467">
        <f ca="1">PortfolioCFStatement!N482</f>
        <v>0</v>
      </c>
      <c r="L63" s="1467">
        <f ca="1">PortfolioCFStatement!O482</f>
        <v>0</v>
      </c>
      <c r="M63" s="1467">
        <f ca="1">PortfolioCFStatement!P482</f>
        <v>0</v>
      </c>
      <c r="N63" s="1467">
        <f ca="1">PortfolioCFStatement!Q482</f>
        <v>0</v>
      </c>
      <c r="O63" s="1467">
        <f ca="1">PortfolioCFStatement!R482</f>
        <v>0</v>
      </c>
      <c r="P63" s="1467">
        <f ca="1">PortfolioCFStatement!S482</f>
        <v>0</v>
      </c>
      <c r="Q63" s="1467">
        <f ca="1">PortfolioCFStatement!T482</f>
        <v>0</v>
      </c>
      <c r="R63" s="1467">
        <f ca="1">PortfolioCFStatement!U482</f>
        <v>0</v>
      </c>
      <c r="S63" s="1467">
        <f ca="1">PortfolioCFStatement!V482</f>
        <v>0</v>
      </c>
      <c r="T63" s="1467">
        <f ca="1">PortfolioCFStatement!W482</f>
        <v>0</v>
      </c>
      <c r="U63" s="1467">
        <f ca="1">PortfolioCFStatement!X482</f>
        <v>0</v>
      </c>
      <c r="V63" s="1467">
        <f ca="1">PortfolioCFStatement!Y482</f>
        <v>0</v>
      </c>
      <c r="W63" s="1467">
        <f ca="1">PortfolioCFStatement!Z482</f>
        <v>0</v>
      </c>
      <c r="X63" s="1467">
        <f ca="1">PortfolioCFStatement!AA482</f>
        <v>0</v>
      </c>
      <c r="Y63" s="1467">
        <f ca="1">PortfolioCFStatement!AB482</f>
        <v>0</v>
      </c>
      <c r="Z63" s="1467">
        <f ca="1">PortfolioCFStatement!AC482</f>
        <v>0</v>
      </c>
      <c r="AA63" s="1467">
        <f ca="1">PortfolioCFStatement!AD482</f>
        <v>0</v>
      </c>
      <c r="AB63" s="1467">
        <f ca="1">PortfolioCFStatement!AE482</f>
        <v>0</v>
      </c>
      <c r="AC63" s="1467">
        <f ca="1">PortfolioCFStatement!AF482</f>
        <v>0</v>
      </c>
      <c r="AD63" s="1467">
        <f ca="1">PortfolioCFStatement!AG482</f>
        <v>-600000</v>
      </c>
      <c r="AE63" s="1467">
        <f ca="1">PortfolioCFStatement!AH482</f>
        <v>0</v>
      </c>
      <c r="AF63" s="1467">
        <f ca="1">PortfolioCFStatement!AI482</f>
        <v>0</v>
      </c>
      <c r="AG63" s="1467">
        <f ca="1">PortfolioCFStatement!AJ482</f>
        <v>0</v>
      </c>
      <c r="AH63" s="1467">
        <f ca="1">PortfolioCFStatement!AK482</f>
        <v>0</v>
      </c>
      <c r="AI63" s="1467">
        <f ca="1">PortfolioCFStatement!AL482</f>
        <v>0</v>
      </c>
      <c r="AJ63" s="1467">
        <f ca="1">PortfolioCFStatement!AM482</f>
        <v>0</v>
      </c>
      <c r="AK63" s="1467">
        <f ca="1">PortfolioCFStatement!AN482</f>
        <v>0</v>
      </c>
      <c r="AL63" s="1467">
        <f ca="1">PortfolioCFStatement!AO482</f>
        <v>0</v>
      </c>
      <c r="AM63" s="1467">
        <f ca="1">PortfolioCFStatement!AP482</f>
        <v>0</v>
      </c>
      <c r="AN63" s="1467">
        <f ca="1">PortfolioCFStatement!AQ482</f>
        <v>0</v>
      </c>
      <c r="AO63" s="1467">
        <f ca="1">PortfolioCFStatement!AR482</f>
        <v>0</v>
      </c>
      <c r="AP63" s="1467">
        <f ca="1">PortfolioCFStatement!AS482</f>
        <v>0</v>
      </c>
      <c r="AQ63" s="1467">
        <f ca="1">PortfolioCFStatement!AT482</f>
        <v>0</v>
      </c>
      <c r="AR63" s="1467"/>
      <c r="AS63" s="1467">
        <f t="shared" ca="1" si="7"/>
        <v>0</v>
      </c>
      <c r="AT63" s="1468"/>
      <c r="AU63" s="1467">
        <f t="shared" ca="1" si="8"/>
        <v>0</v>
      </c>
      <c r="AV63" s="1468"/>
      <c r="AW63" s="1467">
        <f t="shared" ca="1" si="9"/>
        <v>0</v>
      </c>
      <c r="AX63" s="1468"/>
      <c r="AY63" s="1467">
        <f t="shared" ca="1" si="10"/>
        <v>0</v>
      </c>
      <c r="AZ63" s="1468"/>
      <c r="BA63" s="1467">
        <f t="shared" ca="1" si="11"/>
        <v>-600000</v>
      </c>
      <c r="BB63" s="1468"/>
      <c r="BC63" s="1467">
        <f t="shared" ca="1" si="12"/>
        <v>0</v>
      </c>
      <c r="BD63" s="1468"/>
      <c r="BE63" s="1467">
        <f t="shared" ca="1" si="13"/>
        <v>0</v>
      </c>
    </row>
    <row r="64" spans="1:57" s="10" customFormat="1">
      <c r="A64" s="1465" t="str">
        <f ca="1">PortfolioCFStatement!D483</f>
        <v>Coal to Natural Gas Conversion @ Steam Plant</v>
      </c>
      <c r="B64" s="1466" t="str">
        <f>PortfolioCFStatement!E483</f>
        <v>2010$</v>
      </c>
      <c r="C64" s="1476">
        <f ca="1">PortfolioCFStatement!F483</f>
        <v>0</v>
      </c>
      <c r="D64" s="1467">
        <f ca="1">PortfolioCFStatement!G483</f>
        <v>0</v>
      </c>
      <c r="E64" s="1467">
        <f ca="1">PortfolioCFStatement!H483</f>
        <v>0</v>
      </c>
      <c r="F64" s="1467">
        <f ca="1">PortfolioCFStatement!I483</f>
        <v>0</v>
      </c>
      <c r="G64" s="1467">
        <f ca="1">PortfolioCFStatement!J483</f>
        <v>0</v>
      </c>
      <c r="H64" s="1467">
        <f ca="1">PortfolioCFStatement!K483</f>
        <v>0</v>
      </c>
      <c r="I64" s="1467">
        <f ca="1">PortfolioCFStatement!L483</f>
        <v>0</v>
      </c>
      <c r="J64" s="1467">
        <f ca="1">PortfolioCFStatement!M483</f>
        <v>0</v>
      </c>
      <c r="K64" s="1467">
        <f ca="1">PortfolioCFStatement!N483</f>
        <v>0</v>
      </c>
      <c r="L64" s="1467">
        <f ca="1">PortfolioCFStatement!O483</f>
        <v>0</v>
      </c>
      <c r="M64" s="1467">
        <f ca="1">PortfolioCFStatement!P483</f>
        <v>0</v>
      </c>
      <c r="N64" s="1467">
        <f ca="1">PortfolioCFStatement!Q483</f>
        <v>0</v>
      </c>
      <c r="O64" s="1467">
        <f ca="1">PortfolioCFStatement!R483</f>
        <v>0</v>
      </c>
      <c r="P64" s="1467">
        <f ca="1">PortfolioCFStatement!S483</f>
        <v>0</v>
      </c>
      <c r="Q64" s="1467">
        <f ca="1">PortfolioCFStatement!T483</f>
        <v>0</v>
      </c>
      <c r="R64" s="1467">
        <f ca="1">PortfolioCFStatement!U483</f>
        <v>0</v>
      </c>
      <c r="S64" s="1467">
        <f ca="1">PortfolioCFStatement!V483</f>
        <v>0</v>
      </c>
      <c r="T64" s="1467">
        <f ca="1">PortfolioCFStatement!W483</f>
        <v>0</v>
      </c>
      <c r="U64" s="1467">
        <f ca="1">PortfolioCFStatement!X483</f>
        <v>0</v>
      </c>
      <c r="V64" s="1467">
        <f ca="1">PortfolioCFStatement!Y483</f>
        <v>0</v>
      </c>
      <c r="W64" s="1467">
        <f ca="1">PortfolioCFStatement!Z483</f>
        <v>0</v>
      </c>
      <c r="X64" s="1467">
        <f ca="1">PortfolioCFStatement!AA483</f>
        <v>0</v>
      </c>
      <c r="Y64" s="1467">
        <f ca="1">PortfolioCFStatement!AB483</f>
        <v>0</v>
      </c>
      <c r="Z64" s="1467">
        <f ca="1">PortfolioCFStatement!AC483</f>
        <v>0</v>
      </c>
      <c r="AA64" s="1467">
        <f ca="1">PortfolioCFStatement!AD483</f>
        <v>0</v>
      </c>
      <c r="AB64" s="1467">
        <f ca="1">PortfolioCFStatement!AE483</f>
        <v>0</v>
      </c>
      <c r="AC64" s="1467">
        <f ca="1">PortfolioCFStatement!AF483</f>
        <v>0</v>
      </c>
      <c r="AD64" s="1467">
        <f ca="1">PortfolioCFStatement!AG483</f>
        <v>0</v>
      </c>
      <c r="AE64" s="1467">
        <f ca="1">PortfolioCFStatement!AH483</f>
        <v>0</v>
      </c>
      <c r="AF64" s="1467">
        <f ca="1">PortfolioCFStatement!AI483</f>
        <v>0</v>
      </c>
      <c r="AG64" s="1467">
        <f ca="1">PortfolioCFStatement!AJ483</f>
        <v>0</v>
      </c>
      <c r="AH64" s="1467">
        <f ca="1">PortfolioCFStatement!AK483</f>
        <v>0</v>
      </c>
      <c r="AI64" s="1467">
        <f ca="1">PortfolioCFStatement!AL483</f>
        <v>0</v>
      </c>
      <c r="AJ64" s="1467">
        <f ca="1">PortfolioCFStatement!AM483</f>
        <v>0</v>
      </c>
      <c r="AK64" s="1467">
        <f ca="1">PortfolioCFStatement!AN483</f>
        <v>0</v>
      </c>
      <c r="AL64" s="1467">
        <f ca="1">PortfolioCFStatement!AO483</f>
        <v>0</v>
      </c>
      <c r="AM64" s="1467">
        <f ca="1">PortfolioCFStatement!AP483</f>
        <v>0</v>
      </c>
      <c r="AN64" s="1467">
        <f ca="1">PortfolioCFStatement!AQ483</f>
        <v>0</v>
      </c>
      <c r="AO64" s="1467">
        <f ca="1">PortfolioCFStatement!AR483</f>
        <v>0</v>
      </c>
      <c r="AP64" s="1467">
        <f ca="1">PortfolioCFStatement!AS483</f>
        <v>0</v>
      </c>
      <c r="AQ64" s="1467">
        <f ca="1">PortfolioCFStatement!AT483</f>
        <v>0</v>
      </c>
      <c r="AR64" s="1467"/>
      <c r="AS64" s="1467">
        <f t="shared" ca="1" si="7"/>
        <v>0</v>
      </c>
      <c r="AT64" s="1468"/>
      <c r="AU64" s="1467">
        <f t="shared" ca="1" si="8"/>
        <v>0</v>
      </c>
      <c r="AV64" s="1468"/>
      <c r="AW64" s="1467">
        <f t="shared" ca="1" si="9"/>
        <v>0</v>
      </c>
      <c r="AX64" s="1468"/>
      <c r="AY64" s="1467">
        <f t="shared" ca="1" si="10"/>
        <v>0</v>
      </c>
      <c r="AZ64" s="1468"/>
      <c r="BA64" s="1467">
        <f t="shared" ca="1" si="11"/>
        <v>0</v>
      </c>
      <c r="BB64" s="1468"/>
      <c r="BC64" s="1467">
        <f t="shared" ca="1" si="12"/>
        <v>0</v>
      </c>
      <c r="BD64" s="1468"/>
      <c r="BE64" s="1467">
        <f t="shared" ca="1" si="13"/>
        <v>0</v>
      </c>
    </row>
    <row r="65" spans="1:57" s="10" customFormat="1">
      <c r="A65" s="1465" t="str">
        <f ca="1">PortfolioCFStatement!D484</f>
        <v>On-site Wind</v>
      </c>
      <c r="B65" s="1466" t="str">
        <f>PortfolioCFStatement!E484</f>
        <v>2010$</v>
      </c>
      <c r="C65" s="1476">
        <f ca="1">PortfolioCFStatement!F484</f>
        <v>-94680.328024016926</v>
      </c>
      <c r="D65" s="1467">
        <f ca="1">PortfolioCFStatement!G484</f>
        <v>-100000</v>
      </c>
      <c r="E65" s="1467">
        <f ca="1">PortfolioCFStatement!H484</f>
        <v>0</v>
      </c>
      <c r="F65" s="1467">
        <f ca="1">PortfolioCFStatement!I484</f>
        <v>0</v>
      </c>
      <c r="G65" s="1467">
        <f ca="1">PortfolioCFStatement!J484</f>
        <v>0</v>
      </c>
      <c r="H65" s="1467">
        <f ca="1">PortfolioCFStatement!K484</f>
        <v>0</v>
      </c>
      <c r="I65" s="1467">
        <f ca="1">PortfolioCFStatement!L484</f>
        <v>0</v>
      </c>
      <c r="J65" s="1467">
        <f ca="1">PortfolioCFStatement!M484</f>
        <v>0</v>
      </c>
      <c r="K65" s="1467">
        <f ca="1">PortfolioCFStatement!N484</f>
        <v>0</v>
      </c>
      <c r="L65" s="1467">
        <f ca="1">PortfolioCFStatement!O484</f>
        <v>0</v>
      </c>
      <c r="M65" s="1467">
        <f ca="1">PortfolioCFStatement!P484</f>
        <v>0</v>
      </c>
      <c r="N65" s="1467">
        <f ca="1">PortfolioCFStatement!Q484</f>
        <v>0</v>
      </c>
      <c r="O65" s="1467">
        <f ca="1">PortfolioCFStatement!R484</f>
        <v>0</v>
      </c>
      <c r="P65" s="1467">
        <f ca="1">PortfolioCFStatement!S484</f>
        <v>0</v>
      </c>
      <c r="Q65" s="1467">
        <f ca="1">PortfolioCFStatement!T484</f>
        <v>0</v>
      </c>
      <c r="R65" s="1467">
        <f ca="1">PortfolioCFStatement!U484</f>
        <v>0</v>
      </c>
      <c r="S65" s="1467">
        <f ca="1">PortfolioCFStatement!V484</f>
        <v>0</v>
      </c>
      <c r="T65" s="1467">
        <f ca="1">PortfolioCFStatement!W484</f>
        <v>0</v>
      </c>
      <c r="U65" s="1467">
        <f ca="1">PortfolioCFStatement!X484</f>
        <v>0</v>
      </c>
      <c r="V65" s="1467">
        <f ca="1">PortfolioCFStatement!Y484</f>
        <v>0</v>
      </c>
      <c r="W65" s="1467">
        <f ca="1">PortfolioCFStatement!Z484</f>
        <v>0</v>
      </c>
      <c r="X65" s="1467">
        <f ca="1">PortfolioCFStatement!AA484</f>
        <v>0</v>
      </c>
      <c r="Y65" s="1467">
        <f ca="1">PortfolioCFStatement!AB484</f>
        <v>0</v>
      </c>
      <c r="Z65" s="1467">
        <f ca="1">PortfolioCFStatement!AC484</f>
        <v>0</v>
      </c>
      <c r="AA65" s="1467">
        <f ca="1">PortfolioCFStatement!AD484</f>
        <v>0</v>
      </c>
      <c r="AB65" s="1467">
        <f ca="1">PortfolioCFStatement!AE484</f>
        <v>0</v>
      </c>
      <c r="AC65" s="1467">
        <f ca="1">PortfolioCFStatement!AF484</f>
        <v>0</v>
      </c>
      <c r="AD65" s="1467">
        <f ca="1">PortfolioCFStatement!AG484</f>
        <v>0</v>
      </c>
      <c r="AE65" s="1467">
        <f ca="1">PortfolioCFStatement!AH484</f>
        <v>0</v>
      </c>
      <c r="AF65" s="1467">
        <f ca="1">PortfolioCFStatement!AI484</f>
        <v>0</v>
      </c>
      <c r="AG65" s="1467">
        <f ca="1">PortfolioCFStatement!AJ484</f>
        <v>0</v>
      </c>
      <c r="AH65" s="1467">
        <f ca="1">PortfolioCFStatement!AK484</f>
        <v>0</v>
      </c>
      <c r="AI65" s="1467">
        <f ca="1">PortfolioCFStatement!AL484</f>
        <v>0</v>
      </c>
      <c r="AJ65" s="1467">
        <f ca="1">PortfolioCFStatement!AM484</f>
        <v>0</v>
      </c>
      <c r="AK65" s="1467">
        <f ca="1">PortfolioCFStatement!AN484</f>
        <v>0</v>
      </c>
      <c r="AL65" s="1467">
        <f ca="1">PortfolioCFStatement!AO484</f>
        <v>0</v>
      </c>
      <c r="AM65" s="1467">
        <f ca="1">PortfolioCFStatement!AP484</f>
        <v>0</v>
      </c>
      <c r="AN65" s="1467">
        <f ca="1">PortfolioCFStatement!AQ484</f>
        <v>0</v>
      </c>
      <c r="AO65" s="1467">
        <f ca="1">PortfolioCFStatement!AR484</f>
        <v>0</v>
      </c>
      <c r="AP65" s="1467">
        <f ca="1">PortfolioCFStatement!AS484</f>
        <v>0</v>
      </c>
      <c r="AQ65" s="1467">
        <f ca="1">PortfolioCFStatement!AT484</f>
        <v>0</v>
      </c>
      <c r="AR65" s="1467"/>
      <c r="AS65" s="1467">
        <f t="shared" ca="1" si="7"/>
        <v>0</v>
      </c>
      <c r="AT65" s="1468"/>
      <c r="AU65" s="1467">
        <f t="shared" ca="1" si="8"/>
        <v>0</v>
      </c>
      <c r="AV65" s="1468"/>
      <c r="AW65" s="1467">
        <f t="shared" ca="1" si="9"/>
        <v>0</v>
      </c>
      <c r="AX65" s="1468"/>
      <c r="AY65" s="1467">
        <f t="shared" ca="1" si="10"/>
        <v>0</v>
      </c>
      <c r="AZ65" s="1468"/>
      <c r="BA65" s="1467">
        <f t="shared" ca="1" si="11"/>
        <v>0</v>
      </c>
      <c r="BB65" s="1468"/>
      <c r="BC65" s="1467">
        <f t="shared" ca="1" si="12"/>
        <v>0</v>
      </c>
      <c r="BD65" s="1468"/>
      <c r="BE65" s="1467">
        <f t="shared" ca="1" si="13"/>
        <v>0</v>
      </c>
    </row>
    <row r="66" spans="1:57" s="10" customFormat="1">
      <c r="A66" s="1465" t="str">
        <f ca="1">PortfolioCFStatement!D485</f>
        <v>Solar DHW</v>
      </c>
      <c r="B66" s="1466" t="str">
        <f>PortfolioCFStatement!E485</f>
        <v>2010$</v>
      </c>
      <c r="C66" s="1476">
        <f ca="1">PortfolioCFStatement!F485</f>
        <v>-69075.206328813685</v>
      </c>
      <c r="D66" s="1467">
        <f ca="1">PortfolioCFStatement!G485</f>
        <v>0</v>
      </c>
      <c r="E66" s="1467">
        <f ca="1">PortfolioCFStatement!H485</f>
        <v>-61400</v>
      </c>
      <c r="F66" s="1467">
        <f ca="1">PortfolioCFStatement!I485</f>
        <v>0</v>
      </c>
      <c r="G66" s="1467">
        <f ca="1">PortfolioCFStatement!J485</f>
        <v>0</v>
      </c>
      <c r="H66" s="1467">
        <f ca="1">PortfolioCFStatement!K485</f>
        <v>0</v>
      </c>
      <c r="I66" s="1467">
        <f ca="1">PortfolioCFStatement!L485</f>
        <v>0</v>
      </c>
      <c r="J66" s="1467">
        <f ca="1">PortfolioCFStatement!M485</f>
        <v>0</v>
      </c>
      <c r="K66" s="1467">
        <f ca="1">PortfolioCFStatement!N485</f>
        <v>0</v>
      </c>
      <c r="L66" s="1467">
        <f ca="1">PortfolioCFStatement!O485</f>
        <v>0</v>
      </c>
      <c r="M66" s="1467">
        <f ca="1">PortfolioCFStatement!P485</f>
        <v>0</v>
      </c>
      <c r="N66" s="1467">
        <f ca="1">PortfolioCFStatement!Q485</f>
        <v>0</v>
      </c>
      <c r="O66" s="1467">
        <f ca="1">PortfolioCFStatement!R485</f>
        <v>0</v>
      </c>
      <c r="P66" s="1467">
        <f ca="1">PortfolioCFStatement!S485</f>
        <v>0</v>
      </c>
      <c r="Q66" s="1467">
        <f ca="1">PortfolioCFStatement!T485</f>
        <v>0</v>
      </c>
      <c r="R66" s="1467">
        <f ca="1">PortfolioCFStatement!U485</f>
        <v>0</v>
      </c>
      <c r="S66" s="1467">
        <f ca="1">PortfolioCFStatement!V485</f>
        <v>0</v>
      </c>
      <c r="T66" s="1467">
        <f ca="1">PortfolioCFStatement!W485</f>
        <v>0</v>
      </c>
      <c r="U66" s="1467">
        <f ca="1">PortfolioCFStatement!X485</f>
        <v>0</v>
      </c>
      <c r="V66" s="1467">
        <f ca="1">PortfolioCFStatement!Y485</f>
        <v>0</v>
      </c>
      <c r="W66" s="1467">
        <f ca="1">PortfolioCFStatement!Z485</f>
        <v>0</v>
      </c>
      <c r="X66" s="1467">
        <f ca="1">PortfolioCFStatement!AA485</f>
        <v>0</v>
      </c>
      <c r="Y66" s="1467">
        <f ca="1">PortfolioCFStatement!AB485</f>
        <v>0</v>
      </c>
      <c r="Z66" s="1467">
        <f ca="1">PortfolioCFStatement!AC485</f>
        <v>0</v>
      </c>
      <c r="AA66" s="1467">
        <f ca="1">PortfolioCFStatement!AD485</f>
        <v>0</v>
      </c>
      <c r="AB66" s="1467">
        <f ca="1">PortfolioCFStatement!AE485</f>
        <v>0</v>
      </c>
      <c r="AC66" s="1467">
        <f ca="1">PortfolioCFStatement!AF485</f>
        <v>0</v>
      </c>
      <c r="AD66" s="1467">
        <f ca="1">PortfolioCFStatement!AG485</f>
        <v>-61400</v>
      </c>
      <c r="AE66" s="1467">
        <f ca="1">PortfolioCFStatement!AH485</f>
        <v>0</v>
      </c>
      <c r="AF66" s="1467">
        <f ca="1">PortfolioCFStatement!AI485</f>
        <v>0</v>
      </c>
      <c r="AG66" s="1467">
        <f ca="1">PortfolioCFStatement!AJ485</f>
        <v>0</v>
      </c>
      <c r="AH66" s="1467">
        <f ca="1">PortfolioCFStatement!AK485</f>
        <v>0</v>
      </c>
      <c r="AI66" s="1467">
        <f ca="1">PortfolioCFStatement!AL485</f>
        <v>0</v>
      </c>
      <c r="AJ66" s="1467">
        <f ca="1">PortfolioCFStatement!AM485</f>
        <v>0</v>
      </c>
      <c r="AK66" s="1467">
        <f ca="1">PortfolioCFStatement!AN485</f>
        <v>0</v>
      </c>
      <c r="AL66" s="1467">
        <f ca="1">PortfolioCFStatement!AO485</f>
        <v>0</v>
      </c>
      <c r="AM66" s="1467">
        <f ca="1">PortfolioCFStatement!AP485</f>
        <v>0</v>
      </c>
      <c r="AN66" s="1467">
        <f ca="1">PortfolioCFStatement!AQ485</f>
        <v>0</v>
      </c>
      <c r="AO66" s="1467">
        <f ca="1">PortfolioCFStatement!AR485</f>
        <v>0</v>
      </c>
      <c r="AP66" s="1467">
        <f ca="1">PortfolioCFStatement!AS485</f>
        <v>0</v>
      </c>
      <c r="AQ66" s="1467">
        <f ca="1">PortfolioCFStatement!AT485</f>
        <v>0</v>
      </c>
      <c r="AR66" s="1467"/>
      <c r="AS66" s="1467">
        <f t="shared" ca="1" si="7"/>
        <v>0</v>
      </c>
      <c r="AT66" s="1468"/>
      <c r="AU66" s="1467">
        <f t="shared" ca="1" si="8"/>
        <v>0</v>
      </c>
      <c r="AV66" s="1468"/>
      <c r="AW66" s="1467">
        <f t="shared" ca="1" si="9"/>
        <v>0</v>
      </c>
      <c r="AX66" s="1468"/>
      <c r="AY66" s="1467">
        <f t="shared" ca="1" si="10"/>
        <v>0</v>
      </c>
      <c r="AZ66" s="1468"/>
      <c r="BA66" s="1467">
        <f t="shared" ca="1" si="11"/>
        <v>-61400</v>
      </c>
      <c r="BB66" s="1468"/>
      <c r="BC66" s="1467">
        <f t="shared" ca="1" si="12"/>
        <v>0</v>
      </c>
      <c r="BD66" s="1468"/>
      <c r="BE66" s="1467">
        <f t="shared" ca="1" si="13"/>
        <v>0</v>
      </c>
    </row>
    <row r="67" spans="1:57" s="10" customFormat="1">
      <c r="A67" s="1465" t="str">
        <f ca="1">PortfolioCFStatement!D486</f>
        <v>Geo Exchange</v>
      </c>
      <c r="B67" s="1466" t="str">
        <f>PortfolioCFStatement!E486</f>
        <v>2010$</v>
      </c>
      <c r="C67" s="1476">
        <f ca="1">PortfolioCFStatement!F486</f>
        <v>-1388278.6977410319</v>
      </c>
      <c r="D67" s="1467">
        <f ca="1">PortfolioCFStatement!G486</f>
        <v>0</v>
      </c>
      <c r="E67" s="1467">
        <f ca="1">PortfolioCFStatement!H486</f>
        <v>0</v>
      </c>
      <c r="F67" s="1467">
        <f ca="1">PortfolioCFStatement!I486</f>
        <v>-862500</v>
      </c>
      <c r="G67" s="1467">
        <f ca="1">PortfolioCFStatement!J486</f>
        <v>0</v>
      </c>
      <c r="H67" s="1467">
        <f ca="1">PortfolioCFStatement!K486</f>
        <v>-862500</v>
      </c>
      <c r="I67" s="1467">
        <f ca="1">PortfolioCFStatement!L486</f>
        <v>0</v>
      </c>
      <c r="J67" s="1467">
        <f ca="1">PortfolioCFStatement!M486</f>
        <v>0</v>
      </c>
      <c r="K67" s="1467">
        <f ca="1">PortfolioCFStatement!N486</f>
        <v>0</v>
      </c>
      <c r="L67" s="1467">
        <f ca="1">PortfolioCFStatement!O486</f>
        <v>0</v>
      </c>
      <c r="M67" s="1467">
        <f ca="1">PortfolioCFStatement!P486</f>
        <v>0</v>
      </c>
      <c r="N67" s="1467">
        <f ca="1">PortfolioCFStatement!Q486</f>
        <v>0</v>
      </c>
      <c r="O67" s="1467">
        <f ca="1">PortfolioCFStatement!R486</f>
        <v>0</v>
      </c>
      <c r="P67" s="1467">
        <f ca="1">PortfolioCFStatement!S486</f>
        <v>0</v>
      </c>
      <c r="Q67" s="1467">
        <f ca="1">PortfolioCFStatement!T486</f>
        <v>0</v>
      </c>
      <c r="R67" s="1467">
        <f ca="1">PortfolioCFStatement!U486</f>
        <v>0</v>
      </c>
      <c r="S67" s="1467">
        <f ca="1">PortfolioCFStatement!V486</f>
        <v>0</v>
      </c>
      <c r="T67" s="1467">
        <f ca="1">PortfolioCFStatement!W486</f>
        <v>0</v>
      </c>
      <c r="U67" s="1467">
        <f ca="1">PortfolioCFStatement!X486</f>
        <v>0</v>
      </c>
      <c r="V67" s="1467">
        <f ca="1">PortfolioCFStatement!Y486</f>
        <v>0</v>
      </c>
      <c r="W67" s="1467">
        <f ca="1">PortfolioCFStatement!Z486</f>
        <v>0</v>
      </c>
      <c r="X67" s="1467">
        <f ca="1">PortfolioCFStatement!AA486</f>
        <v>0</v>
      </c>
      <c r="Y67" s="1467">
        <f ca="1">PortfolioCFStatement!AB486</f>
        <v>0</v>
      </c>
      <c r="Z67" s="1467">
        <f ca="1">PortfolioCFStatement!AC486</f>
        <v>0</v>
      </c>
      <c r="AA67" s="1467">
        <f ca="1">PortfolioCFStatement!AD486</f>
        <v>0</v>
      </c>
      <c r="AB67" s="1467">
        <f ca="1">PortfolioCFStatement!AE486</f>
        <v>0</v>
      </c>
      <c r="AC67" s="1467">
        <f ca="1">PortfolioCFStatement!AF486</f>
        <v>0</v>
      </c>
      <c r="AD67" s="1467">
        <f ca="1">PortfolioCFStatement!AG486</f>
        <v>0</v>
      </c>
      <c r="AE67" s="1467">
        <f ca="1">PortfolioCFStatement!AH486</f>
        <v>0</v>
      </c>
      <c r="AF67" s="1467">
        <f ca="1">PortfolioCFStatement!AI486</f>
        <v>0</v>
      </c>
      <c r="AG67" s="1467">
        <f ca="1">PortfolioCFStatement!AJ486</f>
        <v>0</v>
      </c>
      <c r="AH67" s="1467">
        <f ca="1">PortfolioCFStatement!AK486</f>
        <v>0</v>
      </c>
      <c r="AI67" s="1467">
        <f ca="1">PortfolioCFStatement!AL486</f>
        <v>0</v>
      </c>
      <c r="AJ67" s="1467">
        <f ca="1">PortfolioCFStatement!AM486</f>
        <v>0</v>
      </c>
      <c r="AK67" s="1467">
        <f ca="1">PortfolioCFStatement!AN486</f>
        <v>0</v>
      </c>
      <c r="AL67" s="1467">
        <f ca="1">PortfolioCFStatement!AO486</f>
        <v>0</v>
      </c>
      <c r="AM67" s="1467">
        <f ca="1">PortfolioCFStatement!AP486</f>
        <v>0</v>
      </c>
      <c r="AN67" s="1467">
        <f ca="1">PortfolioCFStatement!AQ486</f>
        <v>0</v>
      </c>
      <c r="AO67" s="1467">
        <f ca="1">PortfolioCFStatement!AR486</f>
        <v>0</v>
      </c>
      <c r="AP67" s="1467">
        <f ca="1">PortfolioCFStatement!AS486</f>
        <v>0</v>
      </c>
      <c r="AQ67" s="1467">
        <f ca="1">PortfolioCFStatement!AT486</f>
        <v>0</v>
      </c>
      <c r="AR67" s="1467"/>
      <c r="AS67" s="1467">
        <f t="shared" ca="1" si="7"/>
        <v>0</v>
      </c>
      <c r="AT67" s="1468"/>
      <c r="AU67" s="1467">
        <f t="shared" ca="1" si="8"/>
        <v>0</v>
      </c>
      <c r="AV67" s="1468"/>
      <c r="AW67" s="1467">
        <f t="shared" ca="1" si="9"/>
        <v>0</v>
      </c>
      <c r="AX67" s="1468"/>
      <c r="AY67" s="1467">
        <f t="shared" ca="1" si="10"/>
        <v>0</v>
      </c>
      <c r="AZ67" s="1468"/>
      <c r="BA67" s="1467">
        <f t="shared" ca="1" si="11"/>
        <v>0</v>
      </c>
      <c r="BB67" s="1468"/>
      <c r="BC67" s="1467">
        <f t="shared" ca="1" si="12"/>
        <v>0</v>
      </c>
      <c r="BD67" s="1468"/>
      <c r="BE67" s="1467">
        <f t="shared" ca="1" si="13"/>
        <v>0</v>
      </c>
    </row>
    <row r="68" spans="1:57" s="10" customFormat="1">
      <c r="A68" s="1465" t="str">
        <f ca="1">PortfolioCFStatement!D487</f>
        <v>Rooftop Solar PV</v>
      </c>
      <c r="B68" s="1466" t="str">
        <f>PortfolioCFStatement!E487</f>
        <v>2010$</v>
      </c>
      <c r="C68" s="1476">
        <f ca="1">PortfolioCFStatement!F487</f>
        <v>-3228284.502126744</v>
      </c>
      <c r="D68" s="1467">
        <f ca="1">PortfolioCFStatement!G487</f>
        <v>0</v>
      </c>
      <c r="E68" s="1467">
        <f ca="1">PortfolioCFStatement!H487</f>
        <v>0</v>
      </c>
      <c r="F68" s="1467">
        <f ca="1">PortfolioCFStatement!I487</f>
        <v>0</v>
      </c>
      <c r="G68" s="1467">
        <f ca="1">PortfolioCFStatement!J487</f>
        <v>0</v>
      </c>
      <c r="H68" s="1467">
        <f ca="1">PortfolioCFStatement!K487</f>
        <v>-4243000</v>
      </c>
      <c r="I68" s="1467">
        <f ca="1">PortfolioCFStatement!L487</f>
        <v>0</v>
      </c>
      <c r="J68" s="1467">
        <f ca="1">PortfolioCFStatement!M487</f>
        <v>0</v>
      </c>
      <c r="K68" s="1467">
        <f ca="1">PortfolioCFStatement!N487</f>
        <v>0</v>
      </c>
      <c r="L68" s="1467">
        <f ca="1">PortfolioCFStatement!O487</f>
        <v>0</v>
      </c>
      <c r="M68" s="1467">
        <f ca="1">PortfolioCFStatement!P487</f>
        <v>0</v>
      </c>
      <c r="N68" s="1467">
        <f ca="1">PortfolioCFStatement!Q487</f>
        <v>0</v>
      </c>
      <c r="O68" s="1467">
        <f ca="1">PortfolioCFStatement!R487</f>
        <v>0</v>
      </c>
      <c r="P68" s="1467">
        <f ca="1">PortfolioCFStatement!S487</f>
        <v>0</v>
      </c>
      <c r="Q68" s="1467">
        <f ca="1">PortfolioCFStatement!T487</f>
        <v>0</v>
      </c>
      <c r="R68" s="1467">
        <f ca="1">PortfolioCFStatement!U487</f>
        <v>0</v>
      </c>
      <c r="S68" s="1467">
        <f ca="1">PortfolioCFStatement!V487</f>
        <v>0</v>
      </c>
      <c r="T68" s="1467">
        <f ca="1">PortfolioCFStatement!W487</f>
        <v>0</v>
      </c>
      <c r="U68" s="1467">
        <f ca="1">PortfolioCFStatement!X487</f>
        <v>0</v>
      </c>
      <c r="V68" s="1467">
        <f ca="1">PortfolioCFStatement!Y487</f>
        <v>0</v>
      </c>
      <c r="W68" s="1467">
        <f ca="1">PortfolioCFStatement!Z487</f>
        <v>0</v>
      </c>
      <c r="X68" s="1467">
        <f ca="1">PortfolioCFStatement!AA487</f>
        <v>0</v>
      </c>
      <c r="Y68" s="1467">
        <f ca="1">PortfolioCFStatement!AB487</f>
        <v>0</v>
      </c>
      <c r="Z68" s="1467">
        <f ca="1">PortfolioCFStatement!AC487</f>
        <v>0</v>
      </c>
      <c r="AA68" s="1467">
        <f ca="1">PortfolioCFStatement!AD487</f>
        <v>0</v>
      </c>
      <c r="AB68" s="1467">
        <f ca="1">PortfolioCFStatement!AE487</f>
        <v>0</v>
      </c>
      <c r="AC68" s="1467">
        <f ca="1">PortfolioCFStatement!AF487</f>
        <v>0</v>
      </c>
      <c r="AD68" s="1467">
        <f ca="1">PortfolioCFStatement!AG487</f>
        <v>0</v>
      </c>
      <c r="AE68" s="1467">
        <f ca="1">PortfolioCFStatement!AH487</f>
        <v>0</v>
      </c>
      <c r="AF68" s="1467">
        <f ca="1">PortfolioCFStatement!AI487</f>
        <v>0</v>
      </c>
      <c r="AG68" s="1467">
        <f ca="1">PortfolioCFStatement!AJ487</f>
        <v>0</v>
      </c>
      <c r="AH68" s="1467">
        <f ca="1">PortfolioCFStatement!AK487</f>
        <v>0</v>
      </c>
      <c r="AI68" s="1467">
        <f ca="1">PortfolioCFStatement!AL487</f>
        <v>0</v>
      </c>
      <c r="AJ68" s="1467">
        <f ca="1">PortfolioCFStatement!AM487</f>
        <v>0</v>
      </c>
      <c r="AK68" s="1467">
        <f ca="1">PortfolioCFStatement!AN487</f>
        <v>0</v>
      </c>
      <c r="AL68" s="1467">
        <f ca="1">PortfolioCFStatement!AO487</f>
        <v>0</v>
      </c>
      <c r="AM68" s="1467">
        <f ca="1">PortfolioCFStatement!AP487</f>
        <v>0</v>
      </c>
      <c r="AN68" s="1467">
        <f ca="1">PortfolioCFStatement!AQ487</f>
        <v>0</v>
      </c>
      <c r="AO68" s="1467">
        <f ca="1">PortfolioCFStatement!AR487</f>
        <v>0</v>
      </c>
      <c r="AP68" s="1467">
        <f ca="1">PortfolioCFStatement!AS487</f>
        <v>0</v>
      </c>
      <c r="AQ68" s="1467">
        <f ca="1">PortfolioCFStatement!AT487</f>
        <v>0</v>
      </c>
      <c r="AR68" s="1467"/>
      <c r="AS68" s="1467">
        <f t="shared" ca="1" si="7"/>
        <v>0</v>
      </c>
      <c r="AT68" s="1468"/>
      <c r="AU68" s="1467">
        <f t="shared" ca="1" si="8"/>
        <v>0</v>
      </c>
      <c r="AV68" s="1468"/>
      <c r="AW68" s="1467">
        <f t="shared" ca="1" si="9"/>
        <v>0</v>
      </c>
      <c r="AX68" s="1468"/>
      <c r="AY68" s="1467">
        <f t="shared" ca="1" si="10"/>
        <v>0</v>
      </c>
      <c r="AZ68" s="1468"/>
      <c r="BA68" s="1467">
        <f t="shared" ca="1" si="11"/>
        <v>0</v>
      </c>
      <c r="BB68" s="1468"/>
      <c r="BC68" s="1467">
        <f t="shared" ca="1" si="12"/>
        <v>0</v>
      </c>
      <c r="BD68" s="1468"/>
      <c r="BE68" s="1467">
        <f t="shared" ca="1" si="13"/>
        <v>0</v>
      </c>
    </row>
    <row r="69" spans="1:57" s="10" customFormat="1" ht="15.75" thickBot="1">
      <c r="A69" s="1472" t="str">
        <f>PortfolioCFStatement!D501</f>
        <v>Incremental Capital</v>
      </c>
      <c r="B69" s="1473" t="str">
        <f>PortfolioCFStatement!E501</f>
        <v>2010$</v>
      </c>
      <c r="C69" s="1478">
        <f ca="1">PortfolioCFStatement!F501</f>
        <v>355215696.46251434</v>
      </c>
      <c r="D69" s="1474">
        <f ca="1">PortfolioCFStatement!G501</f>
        <v>-100000</v>
      </c>
      <c r="E69" s="1474">
        <f ca="1">PortfolioCFStatement!H501</f>
        <v>23133199.53011135</v>
      </c>
      <c r="F69" s="1474">
        <f ca="1">PortfolioCFStatement!I501</f>
        <v>21597766.196778368</v>
      </c>
      <c r="G69" s="1474">
        <f ca="1">PortfolioCFStatement!J501</f>
        <v>22878230.856093835</v>
      </c>
      <c r="H69" s="1474">
        <f ca="1">PortfolioCFStatement!K501</f>
        <v>19829766.19677835</v>
      </c>
      <c r="I69" s="1474">
        <f ca="1">PortfolioCFStatement!L501</f>
        <v>23039969.015801392</v>
      </c>
      <c r="J69" s="1474">
        <f ca="1">PortfolioCFStatement!M501</f>
        <v>24581008.155111365</v>
      </c>
      <c r="K69" s="1474">
        <f ca="1">PortfolioCFStatement!N501</f>
        <v>24581008.155111685</v>
      </c>
      <c r="L69" s="1474">
        <f ca="1">PortfolioCFStatement!O501</f>
        <v>24581008.155111365</v>
      </c>
      <c r="M69" s="1474">
        <f ca="1">PortfolioCFStatement!P501</f>
        <v>24581008.155111685</v>
      </c>
      <c r="N69" s="1474">
        <f ca="1">PortfolioCFStatement!Q501</f>
        <v>24581008.155111365</v>
      </c>
      <c r="O69" s="1474">
        <f ca="1">PortfolioCFStatement!R501</f>
        <v>24581008.1551117</v>
      </c>
      <c r="P69" s="1474">
        <f ca="1">PortfolioCFStatement!S501</f>
        <v>24581008.1551117</v>
      </c>
      <c r="Q69" s="1474">
        <f ca="1">PortfolioCFStatement!T501</f>
        <v>24581008.15511135</v>
      </c>
      <c r="R69" s="1474">
        <f ca="1">PortfolioCFStatement!U501</f>
        <v>24502390.5301117</v>
      </c>
      <c r="S69" s="1474">
        <f ca="1">PortfolioCFStatement!V501</f>
        <v>24502390.530111685</v>
      </c>
      <c r="T69" s="1474">
        <f ca="1">PortfolioCFStatement!W501</f>
        <v>24502390.530111365</v>
      </c>
      <c r="U69" s="1474">
        <f ca="1">PortfolioCFStatement!X501</f>
        <v>24502390.5301117</v>
      </c>
      <c r="V69" s="1474">
        <f ca="1">PortfolioCFStatement!Y501</f>
        <v>24502390.530111365</v>
      </c>
      <c r="W69" s="1474">
        <f ca="1">PortfolioCFStatement!Z501</f>
        <v>24502390.53011167</v>
      </c>
      <c r="X69" s="1474">
        <f ca="1">PortfolioCFStatement!AA501</f>
        <v>24502390.530111365</v>
      </c>
      <c r="Y69" s="1474">
        <f ca="1">PortfolioCFStatement!AB501</f>
        <v>24502390.5301117</v>
      </c>
      <c r="Z69" s="1474">
        <f ca="1">PortfolioCFStatement!AC501</f>
        <v>24502390.5301117</v>
      </c>
      <c r="AA69" s="1474">
        <f ca="1">PortfolioCFStatement!AD501</f>
        <v>24502390.530111365</v>
      </c>
      <c r="AB69" s="1474">
        <f ca="1">PortfolioCFStatement!AE501</f>
        <v>24784252.5301117</v>
      </c>
      <c r="AC69" s="1474">
        <f ca="1">PortfolioCFStatement!AF501</f>
        <v>24784252.5301117</v>
      </c>
      <c r="AD69" s="1474">
        <f ca="1">PortfolioCFStatement!AG501</f>
        <v>24122852.530111331</v>
      </c>
      <c r="AE69" s="1474">
        <f ca="1">PortfolioCFStatement!AH501</f>
        <v>24784252.530111365</v>
      </c>
      <c r="AF69" s="1474">
        <f ca="1">PortfolioCFStatement!AI501</f>
        <v>24784252.5301117</v>
      </c>
      <c r="AG69" s="1474">
        <f ca="1">PortfolioCFStatement!AJ501</f>
        <v>24784252.5301117</v>
      </c>
      <c r="AH69" s="1474">
        <f ca="1">PortfolioCFStatement!AK501</f>
        <v>24784252.530111365</v>
      </c>
      <c r="AI69" s="1474">
        <f ca="1">PortfolioCFStatement!AL501</f>
        <v>24784252.53011167</v>
      </c>
      <c r="AJ69" s="1474">
        <f ca="1">PortfolioCFStatement!AM501</f>
        <v>24784252.5301117</v>
      </c>
      <c r="AK69" s="1474">
        <f ca="1">PortfolioCFStatement!AN501</f>
        <v>24784252.530111365</v>
      </c>
      <c r="AL69" s="1474">
        <f ca="1">PortfolioCFStatement!AO501</f>
        <v>24784252.5301117</v>
      </c>
      <c r="AM69" s="1474">
        <f ca="1">PortfolioCFStatement!AP501</f>
        <v>24784252.5301117</v>
      </c>
      <c r="AN69" s="1474">
        <f ca="1">PortfolioCFStatement!AQ501</f>
        <v>24784252.530111365</v>
      </c>
      <c r="AO69" s="1474">
        <f ca="1">PortfolioCFStatement!AR501</f>
        <v>24784252.530111365</v>
      </c>
      <c r="AP69" s="1474">
        <f ca="1">PortfolioCFStatement!AS501</f>
        <v>24784252.53011167</v>
      </c>
      <c r="AQ69" s="1474">
        <f ca="1">PortfolioCFStatement!AT501</f>
        <v>24784252.5301117</v>
      </c>
      <c r="AR69" s="1468"/>
      <c r="AS69" s="1474">
        <f t="shared" ca="1" si="7"/>
        <v>121364001.6362475</v>
      </c>
      <c r="AT69" s="1468"/>
      <c r="AU69" s="1474">
        <f t="shared" ca="1" si="8"/>
        <v>122826423.15055782</v>
      </c>
      <c r="AV69" s="1468"/>
      <c r="AW69" s="1474">
        <f t="shared" ca="1" si="9"/>
        <v>122511952.65055779</v>
      </c>
      <c r="AX69" s="1468"/>
      <c r="AY69" s="1474">
        <f t="shared" ca="1" si="10"/>
        <v>122793814.65055785</v>
      </c>
      <c r="AZ69" s="1468"/>
      <c r="BA69" s="1474">
        <f t="shared" ca="1" si="11"/>
        <v>123259862.65055779</v>
      </c>
      <c r="BB69" s="1468"/>
      <c r="BC69" s="1474">
        <f t="shared" ca="1" si="12"/>
        <v>123921262.65055782</v>
      </c>
      <c r="BD69" s="1468"/>
      <c r="BE69" s="1474">
        <f t="shared" ca="1" si="13"/>
        <v>123921262.6505578</v>
      </c>
    </row>
    <row r="70" spans="1:57" ht="15.75" thickTop="1"/>
  </sheetData>
  <printOptions horizontalCentered="1" verticalCentered="1"/>
  <pageMargins left="0.2" right="0.2" top="0.5" bottom="0.5" header="0.3" footer="0.3"/>
  <pageSetup scale="60" orientation="landscape" r:id="rId1"/>
  <drawing r:id="rId2"/>
</worksheet>
</file>

<file path=xl/worksheets/sheet8.xml><?xml version="1.0" encoding="utf-8"?>
<worksheet xmlns="http://schemas.openxmlformats.org/spreadsheetml/2006/main" xmlns:r="http://schemas.openxmlformats.org/officeDocument/2006/relationships">
  <sheetPr codeName="Sheet111"/>
  <dimension ref="A1:CQ36"/>
  <sheetViews>
    <sheetView workbookViewId="0"/>
  </sheetViews>
  <sheetFormatPr defaultRowHeight="15"/>
  <cols>
    <col min="2" max="2" width="12.28515625" customWidth="1"/>
  </cols>
  <sheetData>
    <row r="1" spans="1:95">
      <c r="A1" s="425"/>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row>
    <row r="2" spans="1:95" ht="15.75" thickBot="1">
      <c r="A2" s="425"/>
      <c r="B2" s="426" t="s">
        <v>555</v>
      </c>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612"/>
      <c r="BF2" s="425"/>
      <c r="BG2" s="425"/>
      <c r="BH2" s="425"/>
      <c r="BI2" s="612"/>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row>
    <row r="3" spans="1:95">
      <c r="A3" s="425"/>
      <c r="B3" s="428" t="s">
        <v>457</v>
      </c>
      <c r="C3" s="429" t="s">
        <v>458</v>
      </c>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30"/>
      <c r="BR3" s="430"/>
      <c r="BS3" s="430"/>
      <c r="BT3" s="680"/>
      <c r="BU3" s="680"/>
      <c r="BV3" s="680"/>
      <c r="BW3" s="680"/>
      <c r="BX3" s="680"/>
      <c r="BY3" s="680"/>
      <c r="BZ3" s="680"/>
      <c r="CA3" s="680"/>
      <c r="CB3" s="680"/>
      <c r="CC3" s="680"/>
      <c r="CD3" s="680"/>
      <c r="CE3" s="680"/>
      <c r="CF3" s="680"/>
      <c r="CG3" s="680"/>
      <c r="CH3" s="680"/>
      <c r="CI3" s="680"/>
      <c r="CJ3" s="680"/>
      <c r="CK3" s="680"/>
      <c r="CL3" s="680"/>
      <c r="CM3" s="680"/>
      <c r="CN3" s="680"/>
      <c r="CO3" s="680"/>
      <c r="CP3" s="680"/>
      <c r="CQ3" s="681"/>
    </row>
    <row r="4" spans="1:95">
      <c r="A4" s="425"/>
      <c r="B4" s="432" t="s">
        <v>459</v>
      </c>
      <c r="C4" s="613" t="s">
        <v>34</v>
      </c>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82"/>
      <c r="BU4" s="682"/>
      <c r="BV4" s="682"/>
      <c r="BW4" s="682"/>
      <c r="BX4" s="682"/>
      <c r="BY4" s="682"/>
      <c r="BZ4" s="682"/>
      <c r="CA4" s="682"/>
      <c r="CB4" s="682"/>
      <c r="CC4" s="682"/>
      <c r="CD4" s="682"/>
      <c r="CE4" s="682"/>
      <c r="CF4" s="682"/>
      <c r="CG4" s="682"/>
      <c r="CH4" s="682"/>
      <c r="CI4" s="682"/>
      <c r="CJ4" s="682"/>
      <c r="CK4" s="682"/>
      <c r="CL4" s="682"/>
      <c r="CM4" s="682"/>
      <c r="CN4" s="682"/>
      <c r="CO4" s="682"/>
      <c r="CP4" s="682"/>
      <c r="CQ4" s="683"/>
    </row>
    <row r="5" spans="1:95" ht="15.75" thickBot="1">
      <c r="A5" s="425"/>
      <c r="B5" s="616" t="s">
        <v>460</v>
      </c>
      <c r="C5" s="617" t="s">
        <v>461</v>
      </c>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c r="AT5" s="618"/>
      <c r="AU5" s="618"/>
      <c r="AV5" s="618"/>
      <c r="AW5" s="618"/>
      <c r="AX5" s="618"/>
      <c r="AY5" s="618"/>
      <c r="AZ5" s="618"/>
      <c r="BA5" s="618"/>
      <c r="BB5" s="618"/>
      <c r="BC5" s="618"/>
      <c r="BD5" s="618"/>
      <c r="BE5" s="618"/>
      <c r="BF5" s="618"/>
      <c r="BG5" s="618"/>
      <c r="BH5" s="618"/>
      <c r="BI5" s="618"/>
      <c r="BJ5" s="618"/>
      <c r="BK5" s="618"/>
      <c r="BL5" s="618"/>
      <c r="BM5" s="618"/>
      <c r="BN5" s="618"/>
      <c r="BO5" s="618"/>
      <c r="BP5" s="618"/>
      <c r="BQ5" s="618"/>
      <c r="BR5" s="618"/>
      <c r="BS5" s="618"/>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5"/>
    </row>
    <row r="6" spans="1:95" ht="15.75" thickBot="1">
      <c r="A6" s="425"/>
      <c r="B6" s="441"/>
      <c r="C6" s="442" t="s">
        <v>462</v>
      </c>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3"/>
      <c r="AV6" s="443"/>
      <c r="AW6" s="443"/>
      <c r="AX6" s="443"/>
      <c r="AY6" s="443"/>
      <c r="AZ6" s="443"/>
      <c r="BA6" s="445" t="s">
        <v>463</v>
      </c>
      <c r="BB6" s="446"/>
      <c r="BC6" s="446"/>
      <c r="BD6" s="447" t="s">
        <v>464</v>
      </c>
      <c r="BE6" s="448"/>
      <c r="BF6" s="448"/>
      <c r="BG6" s="448"/>
      <c r="BH6" s="448"/>
      <c r="BI6" s="448"/>
      <c r="BJ6" s="448"/>
      <c r="BK6" s="448"/>
      <c r="BL6" s="448"/>
      <c r="BM6" s="448"/>
      <c r="BN6" s="448"/>
      <c r="BO6" s="448"/>
      <c r="BP6" s="448"/>
      <c r="BQ6" s="448"/>
      <c r="BR6" s="448"/>
      <c r="BS6" s="448"/>
      <c r="BT6" s="686"/>
      <c r="BU6" s="686"/>
      <c r="BV6" s="686"/>
      <c r="BW6" s="686"/>
      <c r="BX6" s="686"/>
      <c r="BY6" s="686"/>
      <c r="BZ6" s="686"/>
      <c r="CA6" s="686"/>
      <c r="CB6" s="686"/>
      <c r="CC6" s="686"/>
      <c r="CD6" s="686"/>
      <c r="CE6" s="686"/>
      <c r="CF6" s="686"/>
      <c r="CG6" s="686"/>
      <c r="CH6" s="621"/>
      <c r="CI6" s="452" t="s">
        <v>465</v>
      </c>
      <c r="CJ6" s="451"/>
      <c r="CK6" s="451"/>
      <c r="CL6" s="451"/>
      <c r="CM6" s="452"/>
      <c r="CN6" s="451"/>
      <c r="CO6" s="451"/>
      <c r="CP6" s="451"/>
      <c r="CQ6" s="453"/>
    </row>
    <row r="7" spans="1:95" ht="21.75" thickBot="1">
      <c r="A7" s="425"/>
      <c r="B7" s="454"/>
      <c r="C7" s="455" t="s">
        <v>466</v>
      </c>
      <c r="D7" s="456"/>
      <c r="E7" s="456"/>
      <c r="F7" s="456"/>
      <c r="G7" s="456"/>
      <c r="H7" s="456"/>
      <c r="I7" s="456"/>
      <c r="J7" s="456"/>
      <c r="K7" s="456"/>
      <c r="L7" s="456"/>
      <c r="M7" s="456"/>
      <c r="N7" s="456"/>
      <c r="O7" s="456"/>
      <c r="P7" s="456"/>
      <c r="Q7" s="456"/>
      <c r="R7" s="456"/>
      <c r="S7" s="456"/>
      <c r="T7" s="456"/>
      <c r="U7" s="456"/>
      <c r="V7" s="456"/>
      <c r="W7" s="456"/>
      <c r="X7" s="456"/>
      <c r="Y7" s="456"/>
      <c r="Z7" s="457"/>
      <c r="AA7" s="455" t="s">
        <v>467</v>
      </c>
      <c r="AB7" s="456"/>
      <c r="AC7" s="456"/>
      <c r="AD7" s="456"/>
      <c r="AE7" s="456"/>
      <c r="AF7" s="456"/>
      <c r="AG7" s="456"/>
      <c r="AH7" s="456"/>
      <c r="AI7" s="458"/>
      <c r="AJ7" s="459" t="s">
        <v>39</v>
      </c>
      <c r="AK7" s="455" t="s">
        <v>468</v>
      </c>
      <c r="AL7" s="456"/>
      <c r="AM7" s="456"/>
      <c r="AN7" s="456"/>
      <c r="AO7" s="456"/>
      <c r="AP7" s="457"/>
      <c r="AQ7" s="455" t="s">
        <v>469</v>
      </c>
      <c r="AR7" s="456"/>
      <c r="AS7" s="456"/>
      <c r="AT7" s="456"/>
      <c r="AU7" s="456"/>
      <c r="AV7" s="456"/>
      <c r="AW7" s="456"/>
      <c r="AX7" s="456"/>
      <c r="AY7" s="456"/>
      <c r="AZ7" s="458"/>
      <c r="BA7" s="459" t="s">
        <v>470</v>
      </c>
      <c r="BB7" s="460"/>
      <c r="BC7" s="461"/>
      <c r="BD7" s="462" t="s">
        <v>471</v>
      </c>
      <c r="BE7" s="463"/>
      <c r="BF7" s="463"/>
      <c r="BG7" s="463"/>
      <c r="BH7" s="463"/>
      <c r="BI7" s="463"/>
      <c r="BJ7" s="463"/>
      <c r="BK7" s="464"/>
      <c r="BL7" s="465" t="s">
        <v>472</v>
      </c>
      <c r="BM7" s="466"/>
      <c r="BN7" s="467"/>
      <c r="BO7" s="467"/>
      <c r="BP7" s="467"/>
      <c r="BQ7" s="467"/>
      <c r="BR7" s="468"/>
      <c r="BS7" s="1527" t="s">
        <v>473</v>
      </c>
      <c r="BT7" s="465" t="s">
        <v>474</v>
      </c>
      <c r="BU7" s="467"/>
      <c r="BV7" s="467"/>
      <c r="BW7" s="467"/>
      <c r="BX7" s="469"/>
      <c r="BY7" s="470" t="s">
        <v>475</v>
      </c>
      <c r="BZ7" s="471"/>
      <c r="CA7" s="471"/>
      <c r="CB7" s="471"/>
      <c r="CC7" s="470" t="s">
        <v>476</v>
      </c>
      <c r="CD7" s="471"/>
      <c r="CE7" s="471"/>
      <c r="CF7" s="471"/>
      <c r="CG7" s="472"/>
      <c r="CH7" s="472" t="s">
        <v>477</v>
      </c>
      <c r="CI7" s="474"/>
      <c r="CJ7" s="474"/>
      <c r="CK7" s="474"/>
      <c r="CL7" s="474"/>
      <c r="CM7" s="474"/>
      <c r="CN7" s="474"/>
      <c r="CO7" s="474"/>
      <c r="CP7" s="474"/>
      <c r="CQ7" s="475"/>
    </row>
    <row r="8" spans="1:95" ht="45">
      <c r="A8" s="425"/>
      <c r="B8" s="476" t="s">
        <v>478</v>
      </c>
      <c r="C8" s="477" t="s">
        <v>479</v>
      </c>
      <c r="D8" s="478"/>
      <c r="E8" s="478"/>
      <c r="F8" s="478"/>
      <c r="G8" s="478"/>
      <c r="H8" s="478"/>
      <c r="I8" s="478"/>
      <c r="J8" s="478"/>
      <c r="K8" s="478"/>
      <c r="L8" s="478"/>
      <c r="M8" s="478"/>
      <c r="N8" s="479"/>
      <c r="O8" s="480" t="s">
        <v>480</v>
      </c>
      <c r="P8" s="478"/>
      <c r="Q8" s="478"/>
      <c r="R8" s="478"/>
      <c r="S8" s="478"/>
      <c r="T8" s="478"/>
      <c r="U8" s="478"/>
      <c r="V8" s="478"/>
      <c r="W8" s="478"/>
      <c r="X8" s="478"/>
      <c r="Y8" s="478"/>
      <c r="Z8" s="481"/>
      <c r="AA8" s="477" t="s">
        <v>481</v>
      </c>
      <c r="AB8" s="478"/>
      <c r="AC8" s="478"/>
      <c r="AD8" s="478"/>
      <c r="AE8" s="478"/>
      <c r="AF8" s="478"/>
      <c r="AG8" s="478"/>
      <c r="AH8" s="478"/>
      <c r="AI8" s="482"/>
      <c r="AJ8" s="483" t="s">
        <v>39</v>
      </c>
      <c r="AK8" s="687" t="s">
        <v>468</v>
      </c>
      <c r="AL8" s="688"/>
      <c r="AM8" s="688"/>
      <c r="AN8" s="688"/>
      <c r="AO8" s="688"/>
      <c r="AP8" s="689"/>
      <c r="AQ8" s="477" t="s">
        <v>482</v>
      </c>
      <c r="AR8" s="478"/>
      <c r="AS8" s="478" t="s">
        <v>483</v>
      </c>
      <c r="AT8" s="478"/>
      <c r="AU8" s="478"/>
      <c r="AV8" s="478"/>
      <c r="AW8" s="478"/>
      <c r="AX8" s="478"/>
      <c r="AY8" s="478"/>
      <c r="AZ8" s="482"/>
      <c r="BA8" s="484" t="s">
        <v>103</v>
      </c>
      <c r="BB8" s="485" t="s">
        <v>9</v>
      </c>
      <c r="BC8" s="486" t="s">
        <v>10</v>
      </c>
      <c r="BD8" s="487" t="s">
        <v>484</v>
      </c>
      <c r="BE8" s="488"/>
      <c r="BF8" s="488"/>
      <c r="BG8" s="489"/>
      <c r="BH8" s="490" t="s">
        <v>485</v>
      </c>
      <c r="BI8" s="488"/>
      <c r="BJ8" s="488"/>
      <c r="BK8" s="491"/>
      <c r="BL8" s="487" t="s">
        <v>424</v>
      </c>
      <c r="BM8" s="492"/>
      <c r="BN8" s="488" t="s">
        <v>26</v>
      </c>
      <c r="BO8" s="488"/>
      <c r="BP8" s="488"/>
      <c r="BQ8" s="488"/>
      <c r="BR8" s="489"/>
      <c r="BS8" s="1530"/>
      <c r="BT8" s="498" t="s">
        <v>486</v>
      </c>
      <c r="BU8" s="494"/>
      <c r="BV8" s="494" t="s">
        <v>487</v>
      </c>
      <c r="BW8" s="494"/>
      <c r="BX8" s="495"/>
      <c r="BY8" s="487" t="s">
        <v>488</v>
      </c>
      <c r="BZ8" s="488" t="s">
        <v>489</v>
      </c>
      <c r="CA8" s="488"/>
      <c r="CB8" s="491"/>
      <c r="CC8" s="492" t="s">
        <v>490</v>
      </c>
      <c r="CD8" s="488" t="s">
        <v>490</v>
      </c>
      <c r="CE8" s="488" t="s">
        <v>490</v>
      </c>
      <c r="CF8" s="488" t="s">
        <v>490</v>
      </c>
      <c r="CG8" s="491" t="s">
        <v>491</v>
      </c>
      <c r="CH8" s="636" t="s">
        <v>262</v>
      </c>
      <c r="CI8" s="498" t="s">
        <v>492</v>
      </c>
      <c r="CJ8" s="494"/>
      <c r="CK8" s="494"/>
      <c r="CL8" s="494"/>
      <c r="CM8" s="690"/>
      <c r="CN8" s="691" t="s">
        <v>493</v>
      </c>
      <c r="CO8" s="494"/>
      <c r="CP8" s="494"/>
      <c r="CQ8" s="495"/>
    </row>
    <row r="9" spans="1:95" ht="90.75" thickBot="1">
      <c r="A9" s="425"/>
      <c r="B9" s="454"/>
      <c r="C9" s="536" t="s">
        <v>494</v>
      </c>
      <c r="D9" s="534" t="s">
        <v>495</v>
      </c>
      <c r="E9" s="534" t="s">
        <v>85</v>
      </c>
      <c r="F9" s="534" t="s">
        <v>496</v>
      </c>
      <c r="G9" s="534" t="s">
        <v>497</v>
      </c>
      <c r="H9" s="534" t="s">
        <v>486</v>
      </c>
      <c r="I9" s="534" t="s">
        <v>498</v>
      </c>
      <c r="J9" s="534" t="s">
        <v>499</v>
      </c>
      <c r="K9" s="534" t="s">
        <v>500</v>
      </c>
      <c r="L9" s="534" t="s">
        <v>501</v>
      </c>
      <c r="M9" s="534" t="s">
        <v>502</v>
      </c>
      <c r="N9" s="692" t="s">
        <v>26</v>
      </c>
      <c r="O9" s="533" t="s">
        <v>494</v>
      </c>
      <c r="P9" s="534" t="s">
        <v>495</v>
      </c>
      <c r="Q9" s="534" t="s">
        <v>85</v>
      </c>
      <c r="R9" s="534" t="s">
        <v>496</v>
      </c>
      <c r="S9" s="534" t="s">
        <v>497</v>
      </c>
      <c r="T9" s="534" t="s">
        <v>486</v>
      </c>
      <c r="U9" s="534" t="s">
        <v>498</v>
      </c>
      <c r="V9" s="534" t="s">
        <v>499</v>
      </c>
      <c r="W9" s="534" t="s">
        <v>500</v>
      </c>
      <c r="X9" s="534" t="s">
        <v>501</v>
      </c>
      <c r="Y9" s="534" t="s">
        <v>502</v>
      </c>
      <c r="Z9" s="535" t="s">
        <v>26</v>
      </c>
      <c r="AA9" s="536" t="s">
        <v>504</v>
      </c>
      <c r="AB9" s="534" t="s">
        <v>505</v>
      </c>
      <c r="AC9" s="534" t="s">
        <v>506</v>
      </c>
      <c r="AD9" s="534" t="s">
        <v>507</v>
      </c>
      <c r="AE9" s="534" t="s">
        <v>508</v>
      </c>
      <c r="AF9" s="534" t="s">
        <v>509</v>
      </c>
      <c r="AG9" s="534" t="s">
        <v>510</v>
      </c>
      <c r="AH9" s="534" t="s">
        <v>511</v>
      </c>
      <c r="AI9" s="535" t="s">
        <v>512</v>
      </c>
      <c r="AJ9" s="538" t="s">
        <v>513</v>
      </c>
      <c r="AK9" s="646" t="s">
        <v>514</v>
      </c>
      <c r="AL9" s="647" t="s">
        <v>515</v>
      </c>
      <c r="AM9" s="647" t="s">
        <v>516</v>
      </c>
      <c r="AN9" s="647" t="s">
        <v>517</v>
      </c>
      <c r="AO9" s="647" t="s">
        <v>518</v>
      </c>
      <c r="AP9" s="648" t="s">
        <v>26</v>
      </c>
      <c r="AQ9" s="640" t="s">
        <v>519</v>
      </c>
      <c r="AR9" s="534" t="s">
        <v>520</v>
      </c>
      <c r="AS9" s="534" t="s">
        <v>521</v>
      </c>
      <c r="AT9" s="534" t="s">
        <v>522</v>
      </c>
      <c r="AU9" s="534" t="s">
        <v>523</v>
      </c>
      <c r="AV9" s="534" t="s">
        <v>524</v>
      </c>
      <c r="AW9" s="534" t="s">
        <v>525</v>
      </c>
      <c r="AX9" s="534" t="s">
        <v>526</v>
      </c>
      <c r="AY9" s="534" t="s">
        <v>527</v>
      </c>
      <c r="AZ9" s="535" t="s">
        <v>26</v>
      </c>
      <c r="BA9" s="510"/>
      <c r="BB9" s="693"/>
      <c r="BC9" s="694"/>
      <c r="BD9" s="545" t="s">
        <v>528</v>
      </c>
      <c r="BE9" s="546" t="s">
        <v>529</v>
      </c>
      <c r="BF9" s="546" t="s">
        <v>530</v>
      </c>
      <c r="BG9" s="547" t="s">
        <v>531</v>
      </c>
      <c r="BH9" s="548" t="s">
        <v>528</v>
      </c>
      <c r="BI9" s="546" t="s">
        <v>529</v>
      </c>
      <c r="BJ9" s="546" t="s">
        <v>530</v>
      </c>
      <c r="BK9" s="549" t="s">
        <v>531</v>
      </c>
      <c r="BL9" s="545" t="s">
        <v>532</v>
      </c>
      <c r="BM9" s="550" t="s">
        <v>4</v>
      </c>
      <c r="BN9" s="546" t="s">
        <v>533</v>
      </c>
      <c r="BO9" s="546" t="s">
        <v>534</v>
      </c>
      <c r="BP9" s="546" t="s">
        <v>529</v>
      </c>
      <c r="BQ9" s="546" t="s">
        <v>535</v>
      </c>
      <c r="BR9" s="547" t="s">
        <v>536</v>
      </c>
      <c r="BS9" s="655" t="s">
        <v>537</v>
      </c>
      <c r="BT9" s="531" t="s">
        <v>538</v>
      </c>
      <c r="BU9" s="521" t="s">
        <v>539</v>
      </c>
      <c r="BV9" s="521" t="s">
        <v>540</v>
      </c>
      <c r="BW9" s="521" t="s">
        <v>541</v>
      </c>
      <c r="BX9" s="522" t="s">
        <v>542</v>
      </c>
      <c r="BY9" s="523"/>
      <c r="BZ9" s="524" t="s">
        <v>543</v>
      </c>
      <c r="CA9" s="524" t="s">
        <v>544</v>
      </c>
      <c r="CB9" s="525" t="s">
        <v>545</v>
      </c>
      <c r="CC9" s="526">
        <v>0</v>
      </c>
      <c r="CD9" s="527">
        <v>0.25</v>
      </c>
      <c r="CE9" s="527">
        <v>0.5</v>
      </c>
      <c r="CF9" s="527">
        <v>0.75</v>
      </c>
      <c r="CG9" s="528">
        <v>1</v>
      </c>
      <c r="CH9" s="656" t="s">
        <v>546</v>
      </c>
      <c r="CI9" s="531" t="s">
        <v>547</v>
      </c>
      <c r="CJ9" s="521" t="s">
        <v>548</v>
      </c>
      <c r="CK9" s="521" t="s">
        <v>549</v>
      </c>
      <c r="CL9" s="521" t="s">
        <v>550</v>
      </c>
      <c r="CM9" s="695" t="s">
        <v>26</v>
      </c>
      <c r="CN9" s="696" t="s">
        <v>551</v>
      </c>
      <c r="CO9" s="521" t="s">
        <v>549</v>
      </c>
      <c r="CP9" s="521" t="s">
        <v>550</v>
      </c>
      <c r="CQ9" s="522" t="s">
        <v>26</v>
      </c>
    </row>
    <row r="10" spans="1:95" ht="16.5" thickTop="1" thickBot="1">
      <c r="A10" s="425"/>
      <c r="B10" s="532"/>
      <c r="C10" s="536" t="s">
        <v>556</v>
      </c>
      <c r="D10" s="534" t="s">
        <v>556</v>
      </c>
      <c r="E10" s="534" t="s">
        <v>556</v>
      </c>
      <c r="F10" s="534" t="s">
        <v>556</v>
      </c>
      <c r="G10" s="534" t="s">
        <v>556</v>
      </c>
      <c r="H10" s="534" t="s">
        <v>556</v>
      </c>
      <c r="I10" s="534" t="s">
        <v>556</v>
      </c>
      <c r="J10" s="534" t="s">
        <v>556</v>
      </c>
      <c r="K10" s="534" t="s">
        <v>556</v>
      </c>
      <c r="L10" s="534" t="s">
        <v>556</v>
      </c>
      <c r="M10" s="534" t="s">
        <v>556</v>
      </c>
      <c r="N10" s="692" t="s">
        <v>556</v>
      </c>
      <c r="O10" s="533" t="s">
        <v>556</v>
      </c>
      <c r="P10" s="534" t="s">
        <v>556</v>
      </c>
      <c r="Q10" s="534" t="s">
        <v>556</v>
      </c>
      <c r="R10" s="534" t="s">
        <v>556</v>
      </c>
      <c r="S10" s="534" t="s">
        <v>556</v>
      </c>
      <c r="T10" s="534" t="s">
        <v>556</v>
      </c>
      <c r="U10" s="534" t="s">
        <v>556</v>
      </c>
      <c r="V10" s="534" t="s">
        <v>556</v>
      </c>
      <c r="W10" s="534" t="s">
        <v>556</v>
      </c>
      <c r="X10" s="534" t="s">
        <v>556</v>
      </c>
      <c r="Y10" s="534" t="s">
        <v>556</v>
      </c>
      <c r="Z10" s="535" t="s">
        <v>556</v>
      </c>
      <c r="AA10" s="536" t="s">
        <v>556</v>
      </c>
      <c r="AB10" s="534" t="s">
        <v>556</v>
      </c>
      <c r="AC10" s="534" t="s">
        <v>556</v>
      </c>
      <c r="AD10" s="534" t="s">
        <v>556</v>
      </c>
      <c r="AE10" s="534" t="s">
        <v>556</v>
      </c>
      <c r="AF10" s="534" t="s">
        <v>556</v>
      </c>
      <c r="AG10" s="534" t="s">
        <v>556</v>
      </c>
      <c r="AH10" s="534" t="s">
        <v>556</v>
      </c>
      <c r="AI10" s="535" t="s">
        <v>556</v>
      </c>
      <c r="AJ10" s="538" t="s">
        <v>556</v>
      </c>
      <c r="AK10" s="539" t="s">
        <v>556</v>
      </c>
      <c r="AL10" s="540" t="s">
        <v>556</v>
      </c>
      <c r="AM10" s="540" t="s">
        <v>556</v>
      </c>
      <c r="AN10" s="540" t="s">
        <v>556</v>
      </c>
      <c r="AO10" s="540" t="s">
        <v>556</v>
      </c>
      <c r="AP10" s="697" t="s">
        <v>556</v>
      </c>
      <c r="AQ10" s="539" t="s">
        <v>556</v>
      </c>
      <c r="AR10" s="534" t="s">
        <v>556</v>
      </c>
      <c r="AS10" s="534" t="s">
        <v>556</v>
      </c>
      <c r="AT10" s="534" t="s">
        <v>556</v>
      </c>
      <c r="AU10" s="534" t="s">
        <v>556</v>
      </c>
      <c r="AV10" s="534" t="s">
        <v>556</v>
      </c>
      <c r="AW10" s="534" t="s">
        <v>556</v>
      </c>
      <c r="AX10" s="534" t="s">
        <v>556</v>
      </c>
      <c r="AY10" s="534" t="s">
        <v>556</v>
      </c>
      <c r="AZ10" s="535" t="s">
        <v>556</v>
      </c>
      <c r="BA10" s="542" t="s">
        <v>556</v>
      </c>
      <c r="BB10" s="661" t="s">
        <v>556</v>
      </c>
      <c r="BC10" s="698" t="s">
        <v>556</v>
      </c>
      <c r="BD10" s="545" t="s">
        <v>556</v>
      </c>
      <c r="BE10" s="546" t="s">
        <v>556</v>
      </c>
      <c r="BF10" s="546" t="s">
        <v>556</v>
      </c>
      <c r="BG10" s="547" t="s">
        <v>556</v>
      </c>
      <c r="BH10" s="548" t="s">
        <v>556</v>
      </c>
      <c r="BI10" s="546" t="s">
        <v>556</v>
      </c>
      <c r="BJ10" s="546" t="s">
        <v>556</v>
      </c>
      <c r="BK10" s="549" t="s">
        <v>556</v>
      </c>
      <c r="BL10" s="545" t="s">
        <v>556</v>
      </c>
      <c r="BM10" s="550" t="s">
        <v>556</v>
      </c>
      <c r="BN10" s="546" t="s">
        <v>556</v>
      </c>
      <c r="BO10" s="546" t="s">
        <v>556</v>
      </c>
      <c r="BP10" s="546" t="s">
        <v>556</v>
      </c>
      <c r="BQ10" s="546" t="s">
        <v>556</v>
      </c>
      <c r="BR10" s="547" t="s">
        <v>556</v>
      </c>
      <c r="BS10" s="558" t="s">
        <v>556</v>
      </c>
      <c r="BT10" s="552" t="s">
        <v>556</v>
      </c>
      <c r="BU10" s="560" t="s">
        <v>556</v>
      </c>
      <c r="BV10" s="553" t="s">
        <v>556</v>
      </c>
      <c r="BW10" s="553" t="s">
        <v>556</v>
      </c>
      <c r="BX10" s="554" t="s">
        <v>556</v>
      </c>
      <c r="BY10" s="552" t="s">
        <v>556</v>
      </c>
      <c r="BZ10" s="553" t="s">
        <v>556</v>
      </c>
      <c r="CA10" s="553" t="s">
        <v>556</v>
      </c>
      <c r="CB10" s="554" t="s">
        <v>556</v>
      </c>
      <c r="CC10" s="553" t="s">
        <v>556</v>
      </c>
      <c r="CD10" s="553" t="s">
        <v>556</v>
      </c>
      <c r="CE10" s="553" t="s">
        <v>556</v>
      </c>
      <c r="CF10" s="553" t="s">
        <v>556</v>
      </c>
      <c r="CG10" s="553" t="s">
        <v>556</v>
      </c>
      <c r="CH10" s="558" t="s">
        <v>556</v>
      </c>
      <c r="CI10" s="560" t="s">
        <v>556</v>
      </c>
      <c r="CJ10" s="560" t="s">
        <v>556</v>
      </c>
      <c r="CK10" s="553" t="s">
        <v>556</v>
      </c>
      <c r="CL10" s="553" t="s">
        <v>556</v>
      </c>
      <c r="CM10" s="559" t="s">
        <v>556</v>
      </c>
      <c r="CN10" s="664" t="s">
        <v>556</v>
      </c>
      <c r="CO10" s="553" t="s">
        <v>556</v>
      </c>
      <c r="CP10" s="553" t="s">
        <v>556</v>
      </c>
      <c r="CQ10" s="554" t="s">
        <v>556</v>
      </c>
    </row>
    <row r="11" spans="1:95" ht="16.5" thickTop="1" thickBot="1">
      <c r="A11" s="425"/>
      <c r="B11" s="561">
        <v>1990</v>
      </c>
      <c r="C11" s="577">
        <v>0</v>
      </c>
      <c r="D11" s="578">
        <v>0</v>
      </c>
      <c r="E11" s="578">
        <v>0</v>
      </c>
      <c r="F11" s="578">
        <v>0</v>
      </c>
      <c r="G11" s="578">
        <v>0</v>
      </c>
      <c r="H11" s="578">
        <v>0</v>
      </c>
      <c r="I11" s="578">
        <v>0</v>
      </c>
      <c r="J11" s="578">
        <v>0</v>
      </c>
      <c r="K11" s="578">
        <v>0</v>
      </c>
      <c r="L11" s="578">
        <v>0</v>
      </c>
      <c r="M11" s="578">
        <v>0</v>
      </c>
      <c r="N11" s="665">
        <v>0</v>
      </c>
      <c r="O11" s="582">
        <v>0</v>
      </c>
      <c r="P11" s="578">
        <v>0</v>
      </c>
      <c r="Q11" s="578">
        <v>0</v>
      </c>
      <c r="R11" s="578">
        <v>0</v>
      </c>
      <c r="S11" s="578">
        <v>0</v>
      </c>
      <c r="T11" s="578">
        <v>0</v>
      </c>
      <c r="U11" s="578">
        <v>0</v>
      </c>
      <c r="V11" s="578">
        <v>0</v>
      </c>
      <c r="W11" s="578">
        <v>0</v>
      </c>
      <c r="X11" s="578">
        <v>0</v>
      </c>
      <c r="Y11" s="578">
        <v>0</v>
      </c>
      <c r="Z11" s="576">
        <v>0</v>
      </c>
      <c r="AA11" s="577">
        <v>0</v>
      </c>
      <c r="AB11" s="578">
        <v>0</v>
      </c>
      <c r="AC11" s="578">
        <v>0</v>
      </c>
      <c r="AD11" s="578">
        <v>0</v>
      </c>
      <c r="AE11" s="578">
        <v>0</v>
      </c>
      <c r="AF11" s="578">
        <v>0</v>
      </c>
      <c r="AG11" s="578">
        <v>0</v>
      </c>
      <c r="AH11" s="578">
        <v>0</v>
      </c>
      <c r="AI11" s="576">
        <v>0</v>
      </c>
      <c r="AJ11" s="583">
        <v>0</v>
      </c>
      <c r="AK11" s="570"/>
      <c r="AL11" s="571"/>
      <c r="AM11" s="571"/>
      <c r="AN11" s="571"/>
      <c r="AO11" s="571"/>
      <c r="AP11" s="572"/>
      <c r="AQ11" s="577">
        <v>0</v>
      </c>
      <c r="AR11" s="578">
        <v>0</v>
      </c>
      <c r="AS11" s="578">
        <v>0</v>
      </c>
      <c r="AT11" s="578">
        <v>0</v>
      </c>
      <c r="AU11" s="578">
        <v>0</v>
      </c>
      <c r="AV11" s="578">
        <v>0</v>
      </c>
      <c r="AW11" s="578">
        <v>0</v>
      </c>
      <c r="AX11" s="578">
        <v>0</v>
      </c>
      <c r="AY11" s="578">
        <v>0</v>
      </c>
      <c r="AZ11" s="576">
        <v>0</v>
      </c>
      <c r="BA11" s="574">
        <v>0</v>
      </c>
      <c r="BB11" s="575">
        <v>0</v>
      </c>
      <c r="BC11" s="699">
        <v>0</v>
      </c>
      <c r="BD11" s="577">
        <v>0</v>
      </c>
      <c r="BE11" s="578">
        <v>0</v>
      </c>
      <c r="BF11" s="578">
        <v>0</v>
      </c>
      <c r="BG11" s="579">
        <v>0</v>
      </c>
      <c r="BH11" s="580">
        <v>0</v>
      </c>
      <c r="BI11" s="578">
        <v>0</v>
      </c>
      <c r="BJ11" s="578">
        <v>0</v>
      </c>
      <c r="BK11" s="581">
        <v>0</v>
      </c>
      <c r="BL11" s="577">
        <v>0</v>
      </c>
      <c r="BM11" s="582">
        <v>0</v>
      </c>
      <c r="BN11" s="578">
        <v>0</v>
      </c>
      <c r="BO11" s="578">
        <v>0</v>
      </c>
      <c r="BP11" s="578">
        <v>0</v>
      </c>
      <c r="BQ11" s="578">
        <v>0</v>
      </c>
      <c r="BR11" s="579">
        <v>0</v>
      </c>
      <c r="BS11" s="583">
        <v>0</v>
      </c>
      <c r="BT11" s="700"/>
      <c r="BU11" s="701"/>
      <c r="BV11" s="701"/>
      <c r="BW11" s="701"/>
      <c r="BX11" s="702"/>
      <c r="BY11" s="671">
        <v>0</v>
      </c>
      <c r="BZ11" s="672">
        <v>0</v>
      </c>
      <c r="CA11" s="672">
        <v>0</v>
      </c>
      <c r="CB11" s="673">
        <v>0</v>
      </c>
      <c r="CC11" s="703"/>
      <c r="CD11" s="703"/>
      <c r="CE11" s="703"/>
      <c r="CF11" s="703"/>
      <c r="CG11" s="703"/>
      <c r="CH11" s="704">
        <v>0</v>
      </c>
      <c r="CI11" s="700"/>
      <c r="CJ11" s="701"/>
      <c r="CK11" s="701"/>
      <c r="CL11" s="701"/>
      <c r="CM11" s="705"/>
      <c r="CN11" s="706"/>
      <c r="CO11" s="701"/>
      <c r="CP11" s="701"/>
      <c r="CQ11" s="702"/>
    </row>
    <row r="12" spans="1:95" ht="15.75" thickBot="1">
      <c r="A12" s="425"/>
      <c r="B12" s="561">
        <v>1991</v>
      </c>
      <c r="C12" s="604">
        <v>0</v>
      </c>
      <c r="D12" s="605">
        <v>0</v>
      </c>
      <c r="E12" s="605">
        <v>0</v>
      </c>
      <c r="F12" s="605">
        <v>0</v>
      </c>
      <c r="G12" s="605">
        <v>0</v>
      </c>
      <c r="H12" s="605">
        <v>0</v>
      </c>
      <c r="I12" s="605">
        <v>0</v>
      </c>
      <c r="J12" s="605">
        <v>0</v>
      </c>
      <c r="K12" s="605">
        <v>0</v>
      </c>
      <c r="L12" s="605">
        <v>0</v>
      </c>
      <c r="M12" s="605">
        <v>0</v>
      </c>
      <c r="N12" s="676">
        <v>0</v>
      </c>
      <c r="O12" s="609">
        <v>0</v>
      </c>
      <c r="P12" s="605">
        <v>0</v>
      </c>
      <c r="Q12" s="605">
        <v>0</v>
      </c>
      <c r="R12" s="605">
        <v>0</v>
      </c>
      <c r="S12" s="605">
        <v>0</v>
      </c>
      <c r="T12" s="605">
        <v>0</v>
      </c>
      <c r="U12" s="605">
        <v>0</v>
      </c>
      <c r="V12" s="605">
        <v>0</v>
      </c>
      <c r="W12" s="605">
        <v>0</v>
      </c>
      <c r="X12" s="605">
        <v>0</v>
      </c>
      <c r="Y12" s="605">
        <v>0</v>
      </c>
      <c r="Z12" s="603">
        <v>0</v>
      </c>
      <c r="AA12" s="604">
        <v>0</v>
      </c>
      <c r="AB12" s="605">
        <v>0</v>
      </c>
      <c r="AC12" s="605">
        <v>0</v>
      </c>
      <c r="AD12" s="605">
        <v>0</v>
      </c>
      <c r="AE12" s="605">
        <v>0</v>
      </c>
      <c r="AF12" s="605">
        <v>0</v>
      </c>
      <c r="AG12" s="605">
        <v>0</v>
      </c>
      <c r="AH12" s="605">
        <v>0</v>
      </c>
      <c r="AI12" s="603">
        <v>0</v>
      </c>
      <c r="AJ12" s="610">
        <v>0</v>
      </c>
      <c r="AK12" s="570"/>
      <c r="AL12" s="571"/>
      <c r="AM12" s="571"/>
      <c r="AN12" s="571"/>
      <c r="AO12" s="571"/>
      <c r="AP12" s="572"/>
      <c r="AQ12" s="604">
        <v>0</v>
      </c>
      <c r="AR12" s="605">
        <v>0</v>
      </c>
      <c r="AS12" s="605">
        <v>0</v>
      </c>
      <c r="AT12" s="605">
        <v>0</v>
      </c>
      <c r="AU12" s="605">
        <v>0</v>
      </c>
      <c r="AV12" s="605">
        <v>0</v>
      </c>
      <c r="AW12" s="605">
        <v>0</v>
      </c>
      <c r="AX12" s="605">
        <v>0</v>
      </c>
      <c r="AY12" s="605">
        <v>0</v>
      </c>
      <c r="AZ12" s="603">
        <v>0</v>
      </c>
      <c r="BA12" s="601">
        <v>0</v>
      </c>
      <c r="BB12" s="602">
        <v>0</v>
      </c>
      <c r="BC12" s="707">
        <v>0</v>
      </c>
      <c r="BD12" s="604">
        <v>0</v>
      </c>
      <c r="BE12" s="605">
        <v>0</v>
      </c>
      <c r="BF12" s="605">
        <v>0</v>
      </c>
      <c r="BG12" s="606">
        <v>0</v>
      </c>
      <c r="BH12" s="607">
        <v>0</v>
      </c>
      <c r="BI12" s="605">
        <v>0</v>
      </c>
      <c r="BJ12" s="605">
        <v>0</v>
      </c>
      <c r="BK12" s="608">
        <v>0</v>
      </c>
      <c r="BL12" s="604">
        <v>0</v>
      </c>
      <c r="BM12" s="609">
        <v>0</v>
      </c>
      <c r="BN12" s="605">
        <v>0</v>
      </c>
      <c r="BO12" s="605">
        <v>0</v>
      </c>
      <c r="BP12" s="605">
        <v>0</v>
      </c>
      <c r="BQ12" s="605">
        <v>0</v>
      </c>
      <c r="BR12" s="606">
        <v>0</v>
      </c>
      <c r="BS12" s="610">
        <v>0</v>
      </c>
      <c r="BT12" s="700"/>
      <c r="BU12" s="701"/>
      <c r="BV12" s="701"/>
      <c r="BW12" s="701"/>
      <c r="BX12" s="702"/>
      <c r="BY12" s="677">
        <v>0</v>
      </c>
      <c r="BZ12" s="678">
        <v>0</v>
      </c>
      <c r="CA12" s="678">
        <v>0</v>
      </c>
      <c r="CB12" s="679">
        <v>0</v>
      </c>
      <c r="CC12" s="703"/>
      <c r="CD12" s="703"/>
      <c r="CE12" s="703"/>
      <c r="CF12" s="703"/>
      <c r="CG12" s="703"/>
      <c r="CH12" s="708">
        <v>0</v>
      </c>
      <c r="CI12" s="700"/>
      <c r="CJ12" s="701"/>
      <c r="CK12" s="701"/>
      <c r="CL12" s="701"/>
      <c r="CM12" s="705"/>
      <c r="CN12" s="706"/>
      <c r="CO12" s="701"/>
      <c r="CP12" s="701"/>
      <c r="CQ12" s="702"/>
    </row>
    <row r="13" spans="1:95" ht="15.75" thickBot="1">
      <c r="A13" s="425"/>
      <c r="B13" s="561">
        <v>1992</v>
      </c>
      <c r="C13" s="604">
        <v>0</v>
      </c>
      <c r="D13" s="605">
        <v>0</v>
      </c>
      <c r="E13" s="605">
        <v>0</v>
      </c>
      <c r="F13" s="605">
        <v>0</v>
      </c>
      <c r="G13" s="605">
        <v>0</v>
      </c>
      <c r="H13" s="605">
        <v>0</v>
      </c>
      <c r="I13" s="605">
        <v>0</v>
      </c>
      <c r="J13" s="605">
        <v>0</v>
      </c>
      <c r="K13" s="605">
        <v>0</v>
      </c>
      <c r="L13" s="605">
        <v>0</v>
      </c>
      <c r="M13" s="605">
        <v>0</v>
      </c>
      <c r="N13" s="676">
        <v>0</v>
      </c>
      <c r="O13" s="609">
        <v>0</v>
      </c>
      <c r="P13" s="605">
        <v>0</v>
      </c>
      <c r="Q13" s="605">
        <v>0</v>
      </c>
      <c r="R13" s="605">
        <v>0</v>
      </c>
      <c r="S13" s="605">
        <v>0</v>
      </c>
      <c r="T13" s="605">
        <v>0</v>
      </c>
      <c r="U13" s="605">
        <v>0</v>
      </c>
      <c r="V13" s="605">
        <v>0</v>
      </c>
      <c r="W13" s="605">
        <v>0</v>
      </c>
      <c r="X13" s="605">
        <v>0</v>
      </c>
      <c r="Y13" s="605">
        <v>0</v>
      </c>
      <c r="Z13" s="603">
        <v>0</v>
      </c>
      <c r="AA13" s="604">
        <v>0</v>
      </c>
      <c r="AB13" s="605">
        <v>0</v>
      </c>
      <c r="AC13" s="605">
        <v>0</v>
      </c>
      <c r="AD13" s="605">
        <v>0</v>
      </c>
      <c r="AE13" s="605">
        <v>0</v>
      </c>
      <c r="AF13" s="605">
        <v>0</v>
      </c>
      <c r="AG13" s="605">
        <v>0</v>
      </c>
      <c r="AH13" s="605">
        <v>0</v>
      </c>
      <c r="AI13" s="603">
        <v>0</v>
      </c>
      <c r="AJ13" s="610">
        <v>0</v>
      </c>
      <c r="AK13" s="570"/>
      <c r="AL13" s="571"/>
      <c r="AM13" s="571"/>
      <c r="AN13" s="571"/>
      <c r="AO13" s="571"/>
      <c r="AP13" s="572"/>
      <c r="AQ13" s="604">
        <v>0</v>
      </c>
      <c r="AR13" s="605">
        <v>0</v>
      </c>
      <c r="AS13" s="605">
        <v>0</v>
      </c>
      <c r="AT13" s="605">
        <v>0</v>
      </c>
      <c r="AU13" s="605">
        <v>0</v>
      </c>
      <c r="AV13" s="605">
        <v>0</v>
      </c>
      <c r="AW13" s="605">
        <v>0</v>
      </c>
      <c r="AX13" s="605">
        <v>0</v>
      </c>
      <c r="AY13" s="605">
        <v>0</v>
      </c>
      <c r="AZ13" s="603">
        <v>0</v>
      </c>
      <c r="BA13" s="601">
        <v>0</v>
      </c>
      <c r="BB13" s="602">
        <v>0</v>
      </c>
      <c r="BC13" s="707">
        <v>0</v>
      </c>
      <c r="BD13" s="604">
        <v>0</v>
      </c>
      <c r="BE13" s="605">
        <v>0</v>
      </c>
      <c r="BF13" s="605">
        <v>0</v>
      </c>
      <c r="BG13" s="606">
        <v>0</v>
      </c>
      <c r="BH13" s="607">
        <v>0</v>
      </c>
      <c r="BI13" s="605">
        <v>0</v>
      </c>
      <c r="BJ13" s="605">
        <v>0</v>
      </c>
      <c r="BK13" s="608">
        <v>0</v>
      </c>
      <c r="BL13" s="604">
        <v>0</v>
      </c>
      <c r="BM13" s="609">
        <v>0</v>
      </c>
      <c r="BN13" s="605">
        <v>0</v>
      </c>
      <c r="BO13" s="605">
        <v>0</v>
      </c>
      <c r="BP13" s="605">
        <v>0</v>
      </c>
      <c r="BQ13" s="605">
        <v>0</v>
      </c>
      <c r="BR13" s="606">
        <v>0</v>
      </c>
      <c r="BS13" s="610">
        <v>0</v>
      </c>
      <c r="BT13" s="700"/>
      <c r="BU13" s="701"/>
      <c r="BV13" s="701"/>
      <c r="BW13" s="701"/>
      <c r="BX13" s="702"/>
      <c r="BY13" s="677">
        <v>0</v>
      </c>
      <c r="BZ13" s="678">
        <v>0</v>
      </c>
      <c r="CA13" s="678">
        <v>0</v>
      </c>
      <c r="CB13" s="679">
        <v>0</v>
      </c>
      <c r="CC13" s="703"/>
      <c r="CD13" s="703"/>
      <c r="CE13" s="703"/>
      <c r="CF13" s="703"/>
      <c r="CG13" s="703"/>
      <c r="CH13" s="708">
        <v>0</v>
      </c>
      <c r="CI13" s="700"/>
      <c r="CJ13" s="701"/>
      <c r="CK13" s="701"/>
      <c r="CL13" s="701"/>
      <c r="CM13" s="705"/>
      <c r="CN13" s="706"/>
      <c r="CO13" s="701"/>
      <c r="CP13" s="701"/>
      <c r="CQ13" s="702"/>
    </row>
    <row r="14" spans="1:95" ht="15.75" thickBot="1">
      <c r="A14" s="425"/>
      <c r="B14" s="561">
        <v>1993</v>
      </c>
      <c r="C14" s="604">
        <v>0</v>
      </c>
      <c r="D14" s="605">
        <v>0</v>
      </c>
      <c r="E14" s="605">
        <v>0</v>
      </c>
      <c r="F14" s="605">
        <v>0</v>
      </c>
      <c r="G14" s="605">
        <v>0</v>
      </c>
      <c r="H14" s="605">
        <v>0</v>
      </c>
      <c r="I14" s="605">
        <v>0</v>
      </c>
      <c r="J14" s="605">
        <v>0</v>
      </c>
      <c r="K14" s="605">
        <v>0</v>
      </c>
      <c r="L14" s="605">
        <v>0</v>
      </c>
      <c r="M14" s="605">
        <v>0</v>
      </c>
      <c r="N14" s="676">
        <v>0</v>
      </c>
      <c r="O14" s="609">
        <v>0</v>
      </c>
      <c r="P14" s="605">
        <v>0</v>
      </c>
      <c r="Q14" s="605">
        <v>0</v>
      </c>
      <c r="R14" s="605">
        <v>0</v>
      </c>
      <c r="S14" s="605">
        <v>0</v>
      </c>
      <c r="T14" s="605">
        <v>0</v>
      </c>
      <c r="U14" s="605">
        <v>0</v>
      </c>
      <c r="V14" s="605">
        <v>0</v>
      </c>
      <c r="W14" s="605">
        <v>0</v>
      </c>
      <c r="X14" s="605">
        <v>0</v>
      </c>
      <c r="Y14" s="605">
        <v>0</v>
      </c>
      <c r="Z14" s="603">
        <v>0</v>
      </c>
      <c r="AA14" s="604">
        <v>0</v>
      </c>
      <c r="AB14" s="605">
        <v>0</v>
      </c>
      <c r="AC14" s="605">
        <v>0</v>
      </c>
      <c r="AD14" s="605">
        <v>0</v>
      </c>
      <c r="AE14" s="605">
        <v>0</v>
      </c>
      <c r="AF14" s="605">
        <v>0</v>
      </c>
      <c r="AG14" s="605">
        <v>0</v>
      </c>
      <c r="AH14" s="605">
        <v>0</v>
      </c>
      <c r="AI14" s="603">
        <v>0</v>
      </c>
      <c r="AJ14" s="610">
        <v>0</v>
      </c>
      <c r="AK14" s="570"/>
      <c r="AL14" s="571"/>
      <c r="AM14" s="571"/>
      <c r="AN14" s="571"/>
      <c r="AO14" s="571"/>
      <c r="AP14" s="572"/>
      <c r="AQ14" s="604">
        <v>0</v>
      </c>
      <c r="AR14" s="605">
        <v>0</v>
      </c>
      <c r="AS14" s="605">
        <v>0</v>
      </c>
      <c r="AT14" s="605">
        <v>0</v>
      </c>
      <c r="AU14" s="605">
        <v>0</v>
      </c>
      <c r="AV14" s="605">
        <v>0</v>
      </c>
      <c r="AW14" s="605">
        <v>0</v>
      </c>
      <c r="AX14" s="605">
        <v>0</v>
      </c>
      <c r="AY14" s="605">
        <v>0</v>
      </c>
      <c r="AZ14" s="603">
        <v>0</v>
      </c>
      <c r="BA14" s="601">
        <v>0</v>
      </c>
      <c r="BB14" s="602">
        <v>0</v>
      </c>
      <c r="BC14" s="707">
        <v>0</v>
      </c>
      <c r="BD14" s="604">
        <v>0</v>
      </c>
      <c r="BE14" s="605">
        <v>0</v>
      </c>
      <c r="BF14" s="605">
        <v>0</v>
      </c>
      <c r="BG14" s="606">
        <v>0</v>
      </c>
      <c r="BH14" s="607">
        <v>0</v>
      </c>
      <c r="BI14" s="605">
        <v>0</v>
      </c>
      <c r="BJ14" s="605">
        <v>0</v>
      </c>
      <c r="BK14" s="608">
        <v>0</v>
      </c>
      <c r="BL14" s="604">
        <v>0</v>
      </c>
      <c r="BM14" s="609">
        <v>0</v>
      </c>
      <c r="BN14" s="605">
        <v>0</v>
      </c>
      <c r="BO14" s="605">
        <v>0</v>
      </c>
      <c r="BP14" s="605">
        <v>0</v>
      </c>
      <c r="BQ14" s="605">
        <v>0</v>
      </c>
      <c r="BR14" s="606">
        <v>0</v>
      </c>
      <c r="BS14" s="610">
        <v>0</v>
      </c>
      <c r="BT14" s="700"/>
      <c r="BU14" s="701"/>
      <c r="BV14" s="701"/>
      <c r="BW14" s="701"/>
      <c r="BX14" s="702"/>
      <c r="BY14" s="677">
        <v>0</v>
      </c>
      <c r="BZ14" s="678">
        <v>0</v>
      </c>
      <c r="CA14" s="678">
        <v>0</v>
      </c>
      <c r="CB14" s="679">
        <v>0</v>
      </c>
      <c r="CC14" s="703"/>
      <c r="CD14" s="703"/>
      <c r="CE14" s="703"/>
      <c r="CF14" s="703"/>
      <c r="CG14" s="703"/>
      <c r="CH14" s="708">
        <v>0</v>
      </c>
      <c r="CI14" s="700"/>
      <c r="CJ14" s="701"/>
      <c r="CK14" s="701"/>
      <c r="CL14" s="701"/>
      <c r="CM14" s="705"/>
      <c r="CN14" s="706"/>
      <c r="CO14" s="701"/>
      <c r="CP14" s="701"/>
      <c r="CQ14" s="702"/>
    </row>
    <row r="15" spans="1:95" ht="15.75" thickBot="1">
      <c r="A15" s="425"/>
      <c r="B15" s="561">
        <v>1994</v>
      </c>
      <c r="C15" s="604">
        <v>0</v>
      </c>
      <c r="D15" s="605">
        <v>0</v>
      </c>
      <c r="E15" s="605">
        <v>0</v>
      </c>
      <c r="F15" s="605">
        <v>0</v>
      </c>
      <c r="G15" s="605">
        <v>0</v>
      </c>
      <c r="H15" s="605">
        <v>0</v>
      </c>
      <c r="I15" s="605">
        <v>0</v>
      </c>
      <c r="J15" s="605">
        <v>0</v>
      </c>
      <c r="K15" s="605">
        <v>0</v>
      </c>
      <c r="L15" s="605">
        <v>0</v>
      </c>
      <c r="M15" s="605">
        <v>0</v>
      </c>
      <c r="N15" s="676">
        <v>0</v>
      </c>
      <c r="O15" s="609">
        <v>0</v>
      </c>
      <c r="P15" s="605">
        <v>0</v>
      </c>
      <c r="Q15" s="605">
        <v>0</v>
      </c>
      <c r="R15" s="605">
        <v>0</v>
      </c>
      <c r="S15" s="605">
        <v>0</v>
      </c>
      <c r="T15" s="605">
        <v>0</v>
      </c>
      <c r="U15" s="605">
        <v>0</v>
      </c>
      <c r="V15" s="605">
        <v>0</v>
      </c>
      <c r="W15" s="605">
        <v>0</v>
      </c>
      <c r="X15" s="605">
        <v>0</v>
      </c>
      <c r="Y15" s="605">
        <v>0</v>
      </c>
      <c r="Z15" s="603">
        <v>0</v>
      </c>
      <c r="AA15" s="604">
        <v>0</v>
      </c>
      <c r="AB15" s="605">
        <v>0</v>
      </c>
      <c r="AC15" s="605">
        <v>0</v>
      </c>
      <c r="AD15" s="605">
        <v>0</v>
      </c>
      <c r="AE15" s="605">
        <v>0</v>
      </c>
      <c r="AF15" s="605">
        <v>0</v>
      </c>
      <c r="AG15" s="605">
        <v>0</v>
      </c>
      <c r="AH15" s="605">
        <v>0</v>
      </c>
      <c r="AI15" s="603">
        <v>0</v>
      </c>
      <c r="AJ15" s="610">
        <v>0</v>
      </c>
      <c r="AK15" s="570"/>
      <c r="AL15" s="571"/>
      <c r="AM15" s="571"/>
      <c r="AN15" s="571"/>
      <c r="AO15" s="571"/>
      <c r="AP15" s="572"/>
      <c r="AQ15" s="604">
        <v>0</v>
      </c>
      <c r="AR15" s="605">
        <v>0</v>
      </c>
      <c r="AS15" s="605">
        <v>0</v>
      </c>
      <c r="AT15" s="605">
        <v>0</v>
      </c>
      <c r="AU15" s="605">
        <v>0</v>
      </c>
      <c r="AV15" s="605">
        <v>0</v>
      </c>
      <c r="AW15" s="605">
        <v>0</v>
      </c>
      <c r="AX15" s="605">
        <v>0</v>
      </c>
      <c r="AY15" s="605">
        <v>0</v>
      </c>
      <c r="AZ15" s="603">
        <v>0</v>
      </c>
      <c r="BA15" s="601">
        <v>0</v>
      </c>
      <c r="BB15" s="602">
        <v>0</v>
      </c>
      <c r="BC15" s="707">
        <v>0</v>
      </c>
      <c r="BD15" s="604">
        <v>0</v>
      </c>
      <c r="BE15" s="605">
        <v>0</v>
      </c>
      <c r="BF15" s="605">
        <v>0</v>
      </c>
      <c r="BG15" s="606">
        <v>0</v>
      </c>
      <c r="BH15" s="607">
        <v>0</v>
      </c>
      <c r="BI15" s="605">
        <v>0</v>
      </c>
      <c r="BJ15" s="605">
        <v>0</v>
      </c>
      <c r="BK15" s="608">
        <v>0</v>
      </c>
      <c r="BL15" s="604">
        <v>0</v>
      </c>
      <c r="BM15" s="609">
        <v>0</v>
      </c>
      <c r="BN15" s="605">
        <v>0</v>
      </c>
      <c r="BO15" s="605">
        <v>0</v>
      </c>
      <c r="BP15" s="605">
        <v>0</v>
      </c>
      <c r="BQ15" s="605">
        <v>0</v>
      </c>
      <c r="BR15" s="606">
        <v>0</v>
      </c>
      <c r="BS15" s="610">
        <v>0</v>
      </c>
      <c r="BT15" s="700"/>
      <c r="BU15" s="701"/>
      <c r="BV15" s="701"/>
      <c r="BW15" s="701"/>
      <c r="BX15" s="702"/>
      <c r="BY15" s="677">
        <v>0</v>
      </c>
      <c r="BZ15" s="678">
        <v>0</v>
      </c>
      <c r="CA15" s="678">
        <v>0</v>
      </c>
      <c r="CB15" s="679">
        <v>0</v>
      </c>
      <c r="CC15" s="703"/>
      <c r="CD15" s="703"/>
      <c r="CE15" s="703"/>
      <c r="CF15" s="703"/>
      <c r="CG15" s="703"/>
      <c r="CH15" s="708">
        <v>0</v>
      </c>
      <c r="CI15" s="700"/>
      <c r="CJ15" s="701"/>
      <c r="CK15" s="701"/>
      <c r="CL15" s="701"/>
      <c r="CM15" s="705"/>
      <c r="CN15" s="706"/>
      <c r="CO15" s="701"/>
      <c r="CP15" s="701"/>
      <c r="CQ15" s="702"/>
    </row>
    <row r="16" spans="1:95" ht="15.75" thickBot="1">
      <c r="A16" s="425"/>
      <c r="B16" s="561">
        <v>1995</v>
      </c>
      <c r="C16" s="604">
        <v>0</v>
      </c>
      <c r="D16" s="605">
        <v>0</v>
      </c>
      <c r="E16" s="605">
        <v>0</v>
      </c>
      <c r="F16" s="605">
        <v>0</v>
      </c>
      <c r="G16" s="605">
        <v>0</v>
      </c>
      <c r="H16" s="605">
        <v>0</v>
      </c>
      <c r="I16" s="605">
        <v>0</v>
      </c>
      <c r="J16" s="605">
        <v>0</v>
      </c>
      <c r="K16" s="605">
        <v>0</v>
      </c>
      <c r="L16" s="605">
        <v>0</v>
      </c>
      <c r="M16" s="605">
        <v>0</v>
      </c>
      <c r="N16" s="676">
        <v>0</v>
      </c>
      <c r="O16" s="609">
        <v>0</v>
      </c>
      <c r="P16" s="605">
        <v>0</v>
      </c>
      <c r="Q16" s="605">
        <v>0</v>
      </c>
      <c r="R16" s="605">
        <v>0</v>
      </c>
      <c r="S16" s="605">
        <v>0</v>
      </c>
      <c r="T16" s="605">
        <v>0</v>
      </c>
      <c r="U16" s="605">
        <v>0</v>
      </c>
      <c r="V16" s="605">
        <v>0</v>
      </c>
      <c r="W16" s="605">
        <v>0</v>
      </c>
      <c r="X16" s="605">
        <v>0</v>
      </c>
      <c r="Y16" s="605">
        <v>0</v>
      </c>
      <c r="Z16" s="603">
        <v>0</v>
      </c>
      <c r="AA16" s="604">
        <v>0</v>
      </c>
      <c r="AB16" s="605">
        <v>0</v>
      </c>
      <c r="AC16" s="605">
        <v>0</v>
      </c>
      <c r="AD16" s="605">
        <v>0</v>
      </c>
      <c r="AE16" s="605">
        <v>0</v>
      </c>
      <c r="AF16" s="605">
        <v>0</v>
      </c>
      <c r="AG16" s="605">
        <v>0</v>
      </c>
      <c r="AH16" s="605">
        <v>0</v>
      </c>
      <c r="AI16" s="603">
        <v>0</v>
      </c>
      <c r="AJ16" s="610">
        <v>0</v>
      </c>
      <c r="AK16" s="570"/>
      <c r="AL16" s="571"/>
      <c r="AM16" s="571"/>
      <c r="AN16" s="571"/>
      <c r="AO16" s="571"/>
      <c r="AP16" s="572"/>
      <c r="AQ16" s="604">
        <v>0</v>
      </c>
      <c r="AR16" s="605">
        <v>0</v>
      </c>
      <c r="AS16" s="605">
        <v>0</v>
      </c>
      <c r="AT16" s="605">
        <v>0</v>
      </c>
      <c r="AU16" s="605">
        <v>0</v>
      </c>
      <c r="AV16" s="605">
        <v>0</v>
      </c>
      <c r="AW16" s="605">
        <v>0</v>
      </c>
      <c r="AX16" s="605">
        <v>0</v>
      </c>
      <c r="AY16" s="605">
        <v>0</v>
      </c>
      <c r="AZ16" s="603">
        <v>0</v>
      </c>
      <c r="BA16" s="601">
        <v>0</v>
      </c>
      <c r="BB16" s="602">
        <v>0</v>
      </c>
      <c r="BC16" s="707">
        <v>0</v>
      </c>
      <c r="BD16" s="604">
        <v>0</v>
      </c>
      <c r="BE16" s="605">
        <v>0</v>
      </c>
      <c r="BF16" s="605">
        <v>0</v>
      </c>
      <c r="BG16" s="606">
        <v>0</v>
      </c>
      <c r="BH16" s="607">
        <v>0</v>
      </c>
      <c r="BI16" s="605">
        <v>0</v>
      </c>
      <c r="BJ16" s="605">
        <v>0</v>
      </c>
      <c r="BK16" s="608">
        <v>0</v>
      </c>
      <c r="BL16" s="604">
        <v>0</v>
      </c>
      <c r="BM16" s="609">
        <v>0</v>
      </c>
      <c r="BN16" s="605">
        <v>0</v>
      </c>
      <c r="BO16" s="605">
        <v>0</v>
      </c>
      <c r="BP16" s="605">
        <v>0</v>
      </c>
      <c r="BQ16" s="605">
        <v>0</v>
      </c>
      <c r="BR16" s="606">
        <v>0</v>
      </c>
      <c r="BS16" s="610">
        <v>0</v>
      </c>
      <c r="BT16" s="700"/>
      <c r="BU16" s="701"/>
      <c r="BV16" s="701"/>
      <c r="BW16" s="701"/>
      <c r="BX16" s="702"/>
      <c r="BY16" s="677">
        <v>0</v>
      </c>
      <c r="BZ16" s="678">
        <v>0</v>
      </c>
      <c r="CA16" s="678">
        <v>0</v>
      </c>
      <c r="CB16" s="679">
        <v>0</v>
      </c>
      <c r="CC16" s="703"/>
      <c r="CD16" s="703"/>
      <c r="CE16" s="703"/>
      <c r="CF16" s="703"/>
      <c r="CG16" s="703"/>
      <c r="CH16" s="708">
        <v>0</v>
      </c>
      <c r="CI16" s="700"/>
      <c r="CJ16" s="701"/>
      <c r="CK16" s="701"/>
      <c r="CL16" s="701"/>
      <c r="CM16" s="705"/>
      <c r="CN16" s="706"/>
      <c r="CO16" s="701"/>
      <c r="CP16" s="701"/>
      <c r="CQ16" s="702"/>
    </row>
    <row r="17" spans="1:95" ht="15.75" thickBot="1">
      <c r="A17" s="425"/>
      <c r="B17" s="561">
        <v>1996</v>
      </c>
      <c r="C17" s="604">
        <v>0</v>
      </c>
      <c r="D17" s="605">
        <v>0</v>
      </c>
      <c r="E17" s="605">
        <v>0</v>
      </c>
      <c r="F17" s="605">
        <v>0</v>
      </c>
      <c r="G17" s="605">
        <v>0</v>
      </c>
      <c r="H17" s="605">
        <v>0</v>
      </c>
      <c r="I17" s="605">
        <v>0</v>
      </c>
      <c r="J17" s="605">
        <v>0</v>
      </c>
      <c r="K17" s="605">
        <v>0</v>
      </c>
      <c r="L17" s="605">
        <v>0</v>
      </c>
      <c r="M17" s="605">
        <v>0</v>
      </c>
      <c r="N17" s="676">
        <v>0</v>
      </c>
      <c r="O17" s="609">
        <v>0</v>
      </c>
      <c r="P17" s="605">
        <v>0</v>
      </c>
      <c r="Q17" s="605">
        <v>0</v>
      </c>
      <c r="R17" s="605">
        <v>0</v>
      </c>
      <c r="S17" s="605">
        <v>0</v>
      </c>
      <c r="T17" s="605">
        <v>0</v>
      </c>
      <c r="U17" s="605">
        <v>0</v>
      </c>
      <c r="V17" s="605">
        <v>0</v>
      </c>
      <c r="W17" s="605">
        <v>0</v>
      </c>
      <c r="X17" s="605">
        <v>0</v>
      </c>
      <c r="Y17" s="605">
        <v>0</v>
      </c>
      <c r="Z17" s="603">
        <v>0</v>
      </c>
      <c r="AA17" s="604">
        <v>0</v>
      </c>
      <c r="AB17" s="605">
        <v>0</v>
      </c>
      <c r="AC17" s="605">
        <v>0</v>
      </c>
      <c r="AD17" s="605">
        <v>0</v>
      </c>
      <c r="AE17" s="605">
        <v>0</v>
      </c>
      <c r="AF17" s="605">
        <v>0</v>
      </c>
      <c r="AG17" s="605">
        <v>0</v>
      </c>
      <c r="AH17" s="605">
        <v>0</v>
      </c>
      <c r="AI17" s="603">
        <v>0</v>
      </c>
      <c r="AJ17" s="610">
        <v>0</v>
      </c>
      <c r="AK17" s="570"/>
      <c r="AL17" s="571"/>
      <c r="AM17" s="571"/>
      <c r="AN17" s="571"/>
      <c r="AO17" s="571"/>
      <c r="AP17" s="572"/>
      <c r="AQ17" s="604">
        <v>0</v>
      </c>
      <c r="AR17" s="605">
        <v>0</v>
      </c>
      <c r="AS17" s="605">
        <v>0</v>
      </c>
      <c r="AT17" s="605">
        <v>0</v>
      </c>
      <c r="AU17" s="605">
        <v>0</v>
      </c>
      <c r="AV17" s="605">
        <v>0</v>
      </c>
      <c r="AW17" s="605">
        <v>0</v>
      </c>
      <c r="AX17" s="605">
        <v>0</v>
      </c>
      <c r="AY17" s="605">
        <v>0</v>
      </c>
      <c r="AZ17" s="603">
        <v>0</v>
      </c>
      <c r="BA17" s="601">
        <v>0</v>
      </c>
      <c r="BB17" s="602">
        <v>0</v>
      </c>
      <c r="BC17" s="707">
        <v>0</v>
      </c>
      <c r="BD17" s="604">
        <v>0</v>
      </c>
      <c r="BE17" s="605">
        <v>0</v>
      </c>
      <c r="BF17" s="605">
        <v>0</v>
      </c>
      <c r="BG17" s="606">
        <v>0</v>
      </c>
      <c r="BH17" s="607">
        <v>0</v>
      </c>
      <c r="BI17" s="605">
        <v>0</v>
      </c>
      <c r="BJ17" s="605">
        <v>0</v>
      </c>
      <c r="BK17" s="608">
        <v>0</v>
      </c>
      <c r="BL17" s="604">
        <v>0</v>
      </c>
      <c r="BM17" s="609">
        <v>0</v>
      </c>
      <c r="BN17" s="605">
        <v>0</v>
      </c>
      <c r="BO17" s="605">
        <v>0</v>
      </c>
      <c r="BP17" s="605">
        <v>0</v>
      </c>
      <c r="BQ17" s="605">
        <v>0</v>
      </c>
      <c r="BR17" s="606">
        <v>0</v>
      </c>
      <c r="BS17" s="610">
        <v>0</v>
      </c>
      <c r="BT17" s="700"/>
      <c r="BU17" s="701"/>
      <c r="BV17" s="701"/>
      <c r="BW17" s="701"/>
      <c r="BX17" s="702"/>
      <c r="BY17" s="677">
        <v>0</v>
      </c>
      <c r="BZ17" s="678">
        <v>0</v>
      </c>
      <c r="CA17" s="678">
        <v>0</v>
      </c>
      <c r="CB17" s="679">
        <v>0</v>
      </c>
      <c r="CC17" s="703"/>
      <c r="CD17" s="703"/>
      <c r="CE17" s="703"/>
      <c r="CF17" s="703"/>
      <c r="CG17" s="703"/>
      <c r="CH17" s="708">
        <v>0</v>
      </c>
      <c r="CI17" s="700"/>
      <c r="CJ17" s="701"/>
      <c r="CK17" s="701"/>
      <c r="CL17" s="701"/>
      <c r="CM17" s="705"/>
      <c r="CN17" s="706"/>
      <c r="CO17" s="701"/>
      <c r="CP17" s="701"/>
      <c r="CQ17" s="702"/>
    </row>
    <row r="18" spans="1:95" ht="15.75" thickBot="1">
      <c r="A18" s="425"/>
      <c r="B18" s="561">
        <v>1997</v>
      </c>
      <c r="C18" s="604">
        <v>0</v>
      </c>
      <c r="D18" s="605">
        <v>0</v>
      </c>
      <c r="E18" s="605">
        <v>0</v>
      </c>
      <c r="F18" s="605">
        <v>0</v>
      </c>
      <c r="G18" s="605">
        <v>0</v>
      </c>
      <c r="H18" s="605">
        <v>0</v>
      </c>
      <c r="I18" s="605">
        <v>0</v>
      </c>
      <c r="J18" s="605">
        <v>0</v>
      </c>
      <c r="K18" s="605">
        <v>0</v>
      </c>
      <c r="L18" s="605">
        <v>0</v>
      </c>
      <c r="M18" s="605">
        <v>0</v>
      </c>
      <c r="N18" s="676">
        <v>0</v>
      </c>
      <c r="O18" s="609">
        <v>0</v>
      </c>
      <c r="P18" s="605">
        <v>0</v>
      </c>
      <c r="Q18" s="605">
        <v>0</v>
      </c>
      <c r="R18" s="605">
        <v>0</v>
      </c>
      <c r="S18" s="605">
        <v>0</v>
      </c>
      <c r="T18" s="605">
        <v>0</v>
      </c>
      <c r="U18" s="605">
        <v>0</v>
      </c>
      <c r="V18" s="605">
        <v>0</v>
      </c>
      <c r="W18" s="605">
        <v>0</v>
      </c>
      <c r="X18" s="605">
        <v>0</v>
      </c>
      <c r="Y18" s="605">
        <v>0</v>
      </c>
      <c r="Z18" s="603">
        <v>0</v>
      </c>
      <c r="AA18" s="604">
        <v>0</v>
      </c>
      <c r="AB18" s="605">
        <v>0</v>
      </c>
      <c r="AC18" s="605">
        <v>0</v>
      </c>
      <c r="AD18" s="605">
        <v>0</v>
      </c>
      <c r="AE18" s="605">
        <v>0</v>
      </c>
      <c r="AF18" s="605">
        <v>0</v>
      </c>
      <c r="AG18" s="605">
        <v>0</v>
      </c>
      <c r="AH18" s="605">
        <v>0</v>
      </c>
      <c r="AI18" s="603">
        <v>0</v>
      </c>
      <c r="AJ18" s="610">
        <v>0</v>
      </c>
      <c r="AK18" s="570"/>
      <c r="AL18" s="571"/>
      <c r="AM18" s="571"/>
      <c r="AN18" s="571"/>
      <c r="AO18" s="571"/>
      <c r="AP18" s="572"/>
      <c r="AQ18" s="604">
        <v>0</v>
      </c>
      <c r="AR18" s="605">
        <v>0</v>
      </c>
      <c r="AS18" s="605">
        <v>0</v>
      </c>
      <c r="AT18" s="605">
        <v>0</v>
      </c>
      <c r="AU18" s="605">
        <v>0</v>
      </c>
      <c r="AV18" s="605">
        <v>0</v>
      </c>
      <c r="AW18" s="605">
        <v>0</v>
      </c>
      <c r="AX18" s="605">
        <v>0</v>
      </c>
      <c r="AY18" s="605">
        <v>0</v>
      </c>
      <c r="AZ18" s="603">
        <v>0</v>
      </c>
      <c r="BA18" s="601">
        <v>0</v>
      </c>
      <c r="BB18" s="602">
        <v>0</v>
      </c>
      <c r="BC18" s="707">
        <v>0</v>
      </c>
      <c r="BD18" s="604">
        <v>0</v>
      </c>
      <c r="BE18" s="605">
        <v>0</v>
      </c>
      <c r="BF18" s="605">
        <v>0</v>
      </c>
      <c r="BG18" s="606">
        <v>0</v>
      </c>
      <c r="BH18" s="607">
        <v>0</v>
      </c>
      <c r="BI18" s="605">
        <v>0</v>
      </c>
      <c r="BJ18" s="605">
        <v>0</v>
      </c>
      <c r="BK18" s="608">
        <v>0</v>
      </c>
      <c r="BL18" s="604">
        <v>0</v>
      </c>
      <c r="BM18" s="609">
        <v>0</v>
      </c>
      <c r="BN18" s="605">
        <v>0</v>
      </c>
      <c r="BO18" s="605">
        <v>0</v>
      </c>
      <c r="BP18" s="605">
        <v>0</v>
      </c>
      <c r="BQ18" s="605">
        <v>0</v>
      </c>
      <c r="BR18" s="606">
        <v>0</v>
      </c>
      <c r="BS18" s="610">
        <v>0</v>
      </c>
      <c r="BT18" s="700"/>
      <c r="BU18" s="701"/>
      <c r="BV18" s="701"/>
      <c r="BW18" s="701"/>
      <c r="BX18" s="702"/>
      <c r="BY18" s="677">
        <v>0</v>
      </c>
      <c r="BZ18" s="678">
        <v>0</v>
      </c>
      <c r="CA18" s="678">
        <v>0</v>
      </c>
      <c r="CB18" s="679">
        <v>0</v>
      </c>
      <c r="CC18" s="703"/>
      <c r="CD18" s="703"/>
      <c r="CE18" s="703"/>
      <c r="CF18" s="703"/>
      <c r="CG18" s="703"/>
      <c r="CH18" s="708">
        <v>0</v>
      </c>
      <c r="CI18" s="700"/>
      <c r="CJ18" s="701"/>
      <c r="CK18" s="701"/>
      <c r="CL18" s="701"/>
      <c r="CM18" s="705"/>
      <c r="CN18" s="706"/>
      <c r="CO18" s="701"/>
      <c r="CP18" s="701"/>
      <c r="CQ18" s="702"/>
    </row>
    <row r="19" spans="1:95" ht="15.75" thickBot="1">
      <c r="A19" s="425"/>
      <c r="B19" s="561">
        <v>1998</v>
      </c>
      <c r="C19" s="604">
        <v>0</v>
      </c>
      <c r="D19" s="605">
        <v>0</v>
      </c>
      <c r="E19" s="605">
        <v>0</v>
      </c>
      <c r="F19" s="605">
        <v>0</v>
      </c>
      <c r="G19" s="605">
        <v>0</v>
      </c>
      <c r="H19" s="605">
        <v>0</v>
      </c>
      <c r="I19" s="605">
        <v>0</v>
      </c>
      <c r="J19" s="605">
        <v>0</v>
      </c>
      <c r="K19" s="605">
        <v>0</v>
      </c>
      <c r="L19" s="605">
        <v>0</v>
      </c>
      <c r="M19" s="605">
        <v>0</v>
      </c>
      <c r="N19" s="676">
        <v>0</v>
      </c>
      <c r="O19" s="609">
        <v>0</v>
      </c>
      <c r="P19" s="605">
        <v>0</v>
      </c>
      <c r="Q19" s="605">
        <v>0</v>
      </c>
      <c r="R19" s="605">
        <v>0</v>
      </c>
      <c r="S19" s="605">
        <v>0</v>
      </c>
      <c r="T19" s="605">
        <v>0</v>
      </c>
      <c r="U19" s="605">
        <v>0</v>
      </c>
      <c r="V19" s="605">
        <v>0</v>
      </c>
      <c r="W19" s="605">
        <v>0</v>
      </c>
      <c r="X19" s="605">
        <v>0</v>
      </c>
      <c r="Y19" s="605">
        <v>0</v>
      </c>
      <c r="Z19" s="603">
        <v>0</v>
      </c>
      <c r="AA19" s="604">
        <v>0</v>
      </c>
      <c r="AB19" s="605">
        <v>0</v>
      </c>
      <c r="AC19" s="605">
        <v>0</v>
      </c>
      <c r="AD19" s="605">
        <v>0</v>
      </c>
      <c r="AE19" s="605">
        <v>0</v>
      </c>
      <c r="AF19" s="605">
        <v>0</v>
      </c>
      <c r="AG19" s="605">
        <v>0</v>
      </c>
      <c r="AH19" s="605">
        <v>0</v>
      </c>
      <c r="AI19" s="603">
        <v>0</v>
      </c>
      <c r="AJ19" s="610">
        <v>0</v>
      </c>
      <c r="AK19" s="570"/>
      <c r="AL19" s="571"/>
      <c r="AM19" s="571"/>
      <c r="AN19" s="571"/>
      <c r="AO19" s="571"/>
      <c r="AP19" s="572"/>
      <c r="AQ19" s="604">
        <v>0</v>
      </c>
      <c r="AR19" s="605">
        <v>0</v>
      </c>
      <c r="AS19" s="605">
        <v>0</v>
      </c>
      <c r="AT19" s="605">
        <v>0</v>
      </c>
      <c r="AU19" s="605">
        <v>0</v>
      </c>
      <c r="AV19" s="605">
        <v>0</v>
      </c>
      <c r="AW19" s="605">
        <v>0</v>
      </c>
      <c r="AX19" s="605">
        <v>0</v>
      </c>
      <c r="AY19" s="605">
        <v>0</v>
      </c>
      <c r="AZ19" s="603">
        <v>0</v>
      </c>
      <c r="BA19" s="601">
        <v>0</v>
      </c>
      <c r="BB19" s="602">
        <v>0</v>
      </c>
      <c r="BC19" s="707">
        <v>0</v>
      </c>
      <c r="BD19" s="604">
        <v>0</v>
      </c>
      <c r="BE19" s="605">
        <v>0</v>
      </c>
      <c r="BF19" s="605">
        <v>0</v>
      </c>
      <c r="BG19" s="606">
        <v>0</v>
      </c>
      <c r="BH19" s="607">
        <v>0</v>
      </c>
      <c r="BI19" s="605">
        <v>0</v>
      </c>
      <c r="BJ19" s="605">
        <v>0</v>
      </c>
      <c r="BK19" s="608">
        <v>0</v>
      </c>
      <c r="BL19" s="604">
        <v>0</v>
      </c>
      <c r="BM19" s="609">
        <v>0</v>
      </c>
      <c r="BN19" s="605">
        <v>0</v>
      </c>
      <c r="BO19" s="605">
        <v>0</v>
      </c>
      <c r="BP19" s="605">
        <v>0</v>
      </c>
      <c r="BQ19" s="605">
        <v>0</v>
      </c>
      <c r="BR19" s="606">
        <v>0</v>
      </c>
      <c r="BS19" s="610">
        <v>0</v>
      </c>
      <c r="BT19" s="700"/>
      <c r="BU19" s="701"/>
      <c r="BV19" s="701"/>
      <c r="BW19" s="701"/>
      <c r="BX19" s="702"/>
      <c r="BY19" s="677">
        <v>0</v>
      </c>
      <c r="BZ19" s="678">
        <v>0</v>
      </c>
      <c r="CA19" s="678">
        <v>0</v>
      </c>
      <c r="CB19" s="679">
        <v>0</v>
      </c>
      <c r="CC19" s="703"/>
      <c r="CD19" s="703"/>
      <c r="CE19" s="703"/>
      <c r="CF19" s="703"/>
      <c r="CG19" s="703"/>
      <c r="CH19" s="708">
        <v>0</v>
      </c>
      <c r="CI19" s="700"/>
      <c r="CJ19" s="701"/>
      <c r="CK19" s="701"/>
      <c r="CL19" s="701"/>
      <c r="CM19" s="705"/>
      <c r="CN19" s="706"/>
      <c r="CO19" s="701"/>
      <c r="CP19" s="701"/>
      <c r="CQ19" s="702"/>
    </row>
    <row r="20" spans="1:95" ht="15.75" thickBot="1">
      <c r="A20" s="425"/>
      <c r="B20" s="561">
        <v>1999</v>
      </c>
      <c r="C20" s="604">
        <v>0</v>
      </c>
      <c r="D20" s="605">
        <v>0</v>
      </c>
      <c r="E20" s="605">
        <v>0</v>
      </c>
      <c r="F20" s="605">
        <v>0</v>
      </c>
      <c r="G20" s="605">
        <v>0</v>
      </c>
      <c r="H20" s="605">
        <v>0</v>
      </c>
      <c r="I20" s="605">
        <v>0</v>
      </c>
      <c r="J20" s="605">
        <v>0</v>
      </c>
      <c r="K20" s="605">
        <v>0</v>
      </c>
      <c r="L20" s="605">
        <v>0</v>
      </c>
      <c r="M20" s="605">
        <v>0</v>
      </c>
      <c r="N20" s="676">
        <v>0</v>
      </c>
      <c r="O20" s="609">
        <v>0</v>
      </c>
      <c r="P20" s="605">
        <v>0</v>
      </c>
      <c r="Q20" s="605">
        <v>0</v>
      </c>
      <c r="R20" s="605">
        <v>0</v>
      </c>
      <c r="S20" s="605">
        <v>0</v>
      </c>
      <c r="T20" s="605">
        <v>0</v>
      </c>
      <c r="U20" s="605">
        <v>0</v>
      </c>
      <c r="V20" s="605">
        <v>0</v>
      </c>
      <c r="W20" s="605">
        <v>0</v>
      </c>
      <c r="X20" s="605">
        <v>0</v>
      </c>
      <c r="Y20" s="605">
        <v>0</v>
      </c>
      <c r="Z20" s="603">
        <v>0</v>
      </c>
      <c r="AA20" s="604">
        <v>0</v>
      </c>
      <c r="AB20" s="605">
        <v>0</v>
      </c>
      <c r="AC20" s="605">
        <v>0</v>
      </c>
      <c r="AD20" s="605">
        <v>0</v>
      </c>
      <c r="AE20" s="605">
        <v>0</v>
      </c>
      <c r="AF20" s="605">
        <v>0</v>
      </c>
      <c r="AG20" s="605">
        <v>0</v>
      </c>
      <c r="AH20" s="605">
        <v>0</v>
      </c>
      <c r="AI20" s="603">
        <v>0</v>
      </c>
      <c r="AJ20" s="610">
        <v>0</v>
      </c>
      <c r="AK20" s="570"/>
      <c r="AL20" s="571"/>
      <c r="AM20" s="571"/>
      <c r="AN20" s="571"/>
      <c r="AO20" s="571"/>
      <c r="AP20" s="572"/>
      <c r="AQ20" s="604">
        <v>0</v>
      </c>
      <c r="AR20" s="605">
        <v>0</v>
      </c>
      <c r="AS20" s="605">
        <v>0</v>
      </c>
      <c r="AT20" s="605">
        <v>0</v>
      </c>
      <c r="AU20" s="605">
        <v>0</v>
      </c>
      <c r="AV20" s="605">
        <v>0</v>
      </c>
      <c r="AW20" s="605">
        <v>0</v>
      </c>
      <c r="AX20" s="605">
        <v>0</v>
      </c>
      <c r="AY20" s="605">
        <v>0</v>
      </c>
      <c r="AZ20" s="603">
        <v>0</v>
      </c>
      <c r="BA20" s="601">
        <v>0</v>
      </c>
      <c r="BB20" s="602">
        <v>0</v>
      </c>
      <c r="BC20" s="707">
        <v>0</v>
      </c>
      <c r="BD20" s="604">
        <v>0</v>
      </c>
      <c r="BE20" s="605">
        <v>0</v>
      </c>
      <c r="BF20" s="605">
        <v>0</v>
      </c>
      <c r="BG20" s="606">
        <v>0</v>
      </c>
      <c r="BH20" s="607">
        <v>0</v>
      </c>
      <c r="BI20" s="605">
        <v>0</v>
      </c>
      <c r="BJ20" s="605">
        <v>0</v>
      </c>
      <c r="BK20" s="608">
        <v>0</v>
      </c>
      <c r="BL20" s="604">
        <v>0</v>
      </c>
      <c r="BM20" s="609">
        <v>0</v>
      </c>
      <c r="BN20" s="605">
        <v>0</v>
      </c>
      <c r="BO20" s="605">
        <v>0</v>
      </c>
      <c r="BP20" s="605">
        <v>0</v>
      </c>
      <c r="BQ20" s="605">
        <v>0</v>
      </c>
      <c r="BR20" s="606">
        <v>0</v>
      </c>
      <c r="BS20" s="610">
        <v>0</v>
      </c>
      <c r="BT20" s="700"/>
      <c r="BU20" s="701"/>
      <c r="BV20" s="701"/>
      <c r="BW20" s="701"/>
      <c r="BX20" s="702"/>
      <c r="BY20" s="677">
        <v>0</v>
      </c>
      <c r="BZ20" s="678">
        <v>0</v>
      </c>
      <c r="CA20" s="678">
        <v>0</v>
      </c>
      <c r="CB20" s="679">
        <v>0</v>
      </c>
      <c r="CC20" s="703"/>
      <c r="CD20" s="703"/>
      <c r="CE20" s="703"/>
      <c r="CF20" s="703"/>
      <c r="CG20" s="703"/>
      <c r="CH20" s="708">
        <v>0</v>
      </c>
      <c r="CI20" s="700"/>
      <c r="CJ20" s="701"/>
      <c r="CK20" s="701"/>
      <c r="CL20" s="701"/>
      <c r="CM20" s="705"/>
      <c r="CN20" s="706"/>
      <c r="CO20" s="701"/>
      <c r="CP20" s="701"/>
      <c r="CQ20" s="702"/>
    </row>
    <row r="21" spans="1:95" ht="15.75" thickBot="1">
      <c r="A21" s="425"/>
      <c r="B21" s="561">
        <v>2000</v>
      </c>
      <c r="C21" s="604">
        <v>0</v>
      </c>
      <c r="D21" s="605">
        <v>0</v>
      </c>
      <c r="E21" s="605">
        <v>0</v>
      </c>
      <c r="F21" s="605">
        <v>0</v>
      </c>
      <c r="G21" s="605">
        <v>0</v>
      </c>
      <c r="H21" s="605">
        <v>0</v>
      </c>
      <c r="I21" s="605">
        <v>0</v>
      </c>
      <c r="J21" s="605">
        <v>0</v>
      </c>
      <c r="K21" s="605">
        <v>0</v>
      </c>
      <c r="L21" s="605">
        <v>0</v>
      </c>
      <c r="M21" s="605">
        <v>0</v>
      </c>
      <c r="N21" s="676">
        <v>0</v>
      </c>
      <c r="O21" s="609">
        <v>0</v>
      </c>
      <c r="P21" s="605">
        <v>0</v>
      </c>
      <c r="Q21" s="605">
        <v>0</v>
      </c>
      <c r="R21" s="605">
        <v>0</v>
      </c>
      <c r="S21" s="605">
        <v>0</v>
      </c>
      <c r="T21" s="605">
        <v>0</v>
      </c>
      <c r="U21" s="605">
        <v>0</v>
      </c>
      <c r="V21" s="605">
        <v>0</v>
      </c>
      <c r="W21" s="605">
        <v>0</v>
      </c>
      <c r="X21" s="605">
        <v>0</v>
      </c>
      <c r="Y21" s="605">
        <v>0</v>
      </c>
      <c r="Z21" s="603">
        <v>0</v>
      </c>
      <c r="AA21" s="604">
        <v>0</v>
      </c>
      <c r="AB21" s="605">
        <v>0</v>
      </c>
      <c r="AC21" s="605">
        <v>0</v>
      </c>
      <c r="AD21" s="605">
        <v>0</v>
      </c>
      <c r="AE21" s="605">
        <v>0</v>
      </c>
      <c r="AF21" s="605">
        <v>0</v>
      </c>
      <c r="AG21" s="605">
        <v>0</v>
      </c>
      <c r="AH21" s="605">
        <v>0</v>
      </c>
      <c r="AI21" s="603">
        <v>0</v>
      </c>
      <c r="AJ21" s="610">
        <v>0</v>
      </c>
      <c r="AK21" s="570"/>
      <c r="AL21" s="571"/>
      <c r="AM21" s="571"/>
      <c r="AN21" s="571"/>
      <c r="AO21" s="571"/>
      <c r="AP21" s="572"/>
      <c r="AQ21" s="604">
        <v>0</v>
      </c>
      <c r="AR21" s="605">
        <v>0</v>
      </c>
      <c r="AS21" s="605">
        <v>0</v>
      </c>
      <c r="AT21" s="605">
        <v>0</v>
      </c>
      <c r="AU21" s="605">
        <v>0</v>
      </c>
      <c r="AV21" s="605">
        <v>0</v>
      </c>
      <c r="AW21" s="605">
        <v>0</v>
      </c>
      <c r="AX21" s="605">
        <v>0</v>
      </c>
      <c r="AY21" s="605">
        <v>0</v>
      </c>
      <c r="AZ21" s="603">
        <v>0</v>
      </c>
      <c r="BA21" s="601">
        <v>0</v>
      </c>
      <c r="BB21" s="602">
        <v>0</v>
      </c>
      <c r="BC21" s="707">
        <v>0</v>
      </c>
      <c r="BD21" s="604">
        <v>0</v>
      </c>
      <c r="BE21" s="605">
        <v>0</v>
      </c>
      <c r="BF21" s="605">
        <v>0</v>
      </c>
      <c r="BG21" s="606">
        <v>0</v>
      </c>
      <c r="BH21" s="607">
        <v>0</v>
      </c>
      <c r="BI21" s="605">
        <v>0</v>
      </c>
      <c r="BJ21" s="605">
        <v>0</v>
      </c>
      <c r="BK21" s="608">
        <v>0</v>
      </c>
      <c r="BL21" s="604">
        <v>0</v>
      </c>
      <c r="BM21" s="609">
        <v>0</v>
      </c>
      <c r="BN21" s="605">
        <v>0</v>
      </c>
      <c r="BO21" s="605">
        <v>0</v>
      </c>
      <c r="BP21" s="605">
        <v>0</v>
      </c>
      <c r="BQ21" s="605">
        <v>0</v>
      </c>
      <c r="BR21" s="606">
        <v>0</v>
      </c>
      <c r="BS21" s="610">
        <v>0</v>
      </c>
      <c r="BT21" s="700"/>
      <c r="BU21" s="701"/>
      <c r="BV21" s="701"/>
      <c r="BW21" s="701"/>
      <c r="BX21" s="702"/>
      <c r="BY21" s="677">
        <v>0</v>
      </c>
      <c r="BZ21" s="678">
        <v>0</v>
      </c>
      <c r="CA21" s="678">
        <v>0</v>
      </c>
      <c r="CB21" s="679">
        <v>0</v>
      </c>
      <c r="CC21" s="703"/>
      <c r="CD21" s="703"/>
      <c r="CE21" s="703"/>
      <c r="CF21" s="703"/>
      <c r="CG21" s="703"/>
      <c r="CH21" s="708">
        <v>0</v>
      </c>
      <c r="CI21" s="700"/>
      <c r="CJ21" s="701"/>
      <c r="CK21" s="701"/>
      <c r="CL21" s="701"/>
      <c r="CM21" s="705"/>
      <c r="CN21" s="706"/>
      <c r="CO21" s="701"/>
      <c r="CP21" s="701"/>
      <c r="CQ21" s="702"/>
    </row>
    <row r="22" spans="1:95" ht="15.75" thickBot="1">
      <c r="A22" s="425"/>
      <c r="B22" s="561">
        <v>2001</v>
      </c>
      <c r="C22" s="604">
        <v>0</v>
      </c>
      <c r="D22" s="605">
        <v>0</v>
      </c>
      <c r="E22" s="605">
        <v>0</v>
      </c>
      <c r="F22" s="605">
        <v>0</v>
      </c>
      <c r="G22" s="605">
        <v>0</v>
      </c>
      <c r="H22" s="605">
        <v>0</v>
      </c>
      <c r="I22" s="605">
        <v>0</v>
      </c>
      <c r="J22" s="605">
        <v>0</v>
      </c>
      <c r="K22" s="605">
        <v>0</v>
      </c>
      <c r="L22" s="605">
        <v>0</v>
      </c>
      <c r="M22" s="605">
        <v>0</v>
      </c>
      <c r="N22" s="676">
        <v>0</v>
      </c>
      <c r="O22" s="609">
        <v>0</v>
      </c>
      <c r="P22" s="605">
        <v>0</v>
      </c>
      <c r="Q22" s="605">
        <v>0</v>
      </c>
      <c r="R22" s="605">
        <v>0</v>
      </c>
      <c r="S22" s="605">
        <v>0</v>
      </c>
      <c r="T22" s="605">
        <v>0</v>
      </c>
      <c r="U22" s="605">
        <v>0</v>
      </c>
      <c r="V22" s="605">
        <v>0</v>
      </c>
      <c r="W22" s="605">
        <v>0</v>
      </c>
      <c r="X22" s="605">
        <v>0</v>
      </c>
      <c r="Y22" s="605">
        <v>0</v>
      </c>
      <c r="Z22" s="603">
        <v>0</v>
      </c>
      <c r="AA22" s="604">
        <v>0</v>
      </c>
      <c r="AB22" s="605">
        <v>0</v>
      </c>
      <c r="AC22" s="605">
        <v>0</v>
      </c>
      <c r="AD22" s="605">
        <v>0</v>
      </c>
      <c r="AE22" s="605">
        <v>0</v>
      </c>
      <c r="AF22" s="605">
        <v>0</v>
      </c>
      <c r="AG22" s="605">
        <v>0</v>
      </c>
      <c r="AH22" s="605">
        <v>0</v>
      </c>
      <c r="AI22" s="603">
        <v>0</v>
      </c>
      <c r="AJ22" s="610">
        <v>0</v>
      </c>
      <c r="AK22" s="570"/>
      <c r="AL22" s="571"/>
      <c r="AM22" s="571"/>
      <c r="AN22" s="571"/>
      <c r="AO22" s="571"/>
      <c r="AP22" s="572"/>
      <c r="AQ22" s="604">
        <v>0</v>
      </c>
      <c r="AR22" s="605">
        <v>0</v>
      </c>
      <c r="AS22" s="605">
        <v>0</v>
      </c>
      <c r="AT22" s="605">
        <v>0</v>
      </c>
      <c r="AU22" s="605">
        <v>0</v>
      </c>
      <c r="AV22" s="605">
        <v>0</v>
      </c>
      <c r="AW22" s="605">
        <v>0</v>
      </c>
      <c r="AX22" s="605">
        <v>0</v>
      </c>
      <c r="AY22" s="605">
        <v>0</v>
      </c>
      <c r="AZ22" s="603">
        <v>0</v>
      </c>
      <c r="BA22" s="601">
        <v>0</v>
      </c>
      <c r="BB22" s="602">
        <v>0</v>
      </c>
      <c r="BC22" s="707">
        <v>0</v>
      </c>
      <c r="BD22" s="604">
        <v>0</v>
      </c>
      <c r="BE22" s="605">
        <v>0</v>
      </c>
      <c r="BF22" s="605">
        <v>0</v>
      </c>
      <c r="BG22" s="606">
        <v>0</v>
      </c>
      <c r="BH22" s="607">
        <v>0</v>
      </c>
      <c r="BI22" s="605">
        <v>0</v>
      </c>
      <c r="BJ22" s="605">
        <v>0</v>
      </c>
      <c r="BK22" s="608">
        <v>0</v>
      </c>
      <c r="BL22" s="604">
        <v>0</v>
      </c>
      <c r="BM22" s="609">
        <v>0</v>
      </c>
      <c r="BN22" s="605">
        <v>0</v>
      </c>
      <c r="BO22" s="605">
        <v>0</v>
      </c>
      <c r="BP22" s="605">
        <v>0</v>
      </c>
      <c r="BQ22" s="605">
        <v>0</v>
      </c>
      <c r="BR22" s="606">
        <v>0</v>
      </c>
      <c r="BS22" s="610">
        <v>0</v>
      </c>
      <c r="BT22" s="700"/>
      <c r="BU22" s="701"/>
      <c r="BV22" s="701"/>
      <c r="BW22" s="701"/>
      <c r="BX22" s="702"/>
      <c r="BY22" s="677">
        <v>0</v>
      </c>
      <c r="BZ22" s="678">
        <v>0</v>
      </c>
      <c r="CA22" s="678">
        <v>0</v>
      </c>
      <c r="CB22" s="679">
        <v>0</v>
      </c>
      <c r="CC22" s="703"/>
      <c r="CD22" s="703"/>
      <c r="CE22" s="703"/>
      <c r="CF22" s="703"/>
      <c r="CG22" s="703"/>
      <c r="CH22" s="708">
        <v>0</v>
      </c>
      <c r="CI22" s="700"/>
      <c r="CJ22" s="701"/>
      <c r="CK22" s="701"/>
      <c r="CL22" s="701"/>
      <c r="CM22" s="705"/>
      <c r="CN22" s="706"/>
      <c r="CO22" s="701"/>
      <c r="CP22" s="701"/>
      <c r="CQ22" s="702"/>
    </row>
    <row r="23" spans="1:95" ht="15.75" thickBot="1">
      <c r="A23" s="425"/>
      <c r="B23" s="561">
        <v>2002</v>
      </c>
      <c r="C23" s="604">
        <v>0</v>
      </c>
      <c r="D23" s="605">
        <v>0</v>
      </c>
      <c r="E23" s="605">
        <v>0</v>
      </c>
      <c r="F23" s="605">
        <v>0</v>
      </c>
      <c r="G23" s="605">
        <v>0</v>
      </c>
      <c r="H23" s="605">
        <v>0</v>
      </c>
      <c r="I23" s="605">
        <v>0</v>
      </c>
      <c r="J23" s="605">
        <v>0</v>
      </c>
      <c r="K23" s="605">
        <v>0</v>
      </c>
      <c r="L23" s="605">
        <v>0</v>
      </c>
      <c r="M23" s="605">
        <v>0</v>
      </c>
      <c r="N23" s="676">
        <v>0</v>
      </c>
      <c r="O23" s="609">
        <v>0</v>
      </c>
      <c r="P23" s="605">
        <v>0</v>
      </c>
      <c r="Q23" s="605">
        <v>0</v>
      </c>
      <c r="R23" s="605">
        <v>0</v>
      </c>
      <c r="S23" s="605">
        <v>0</v>
      </c>
      <c r="T23" s="605">
        <v>0</v>
      </c>
      <c r="U23" s="605">
        <v>0</v>
      </c>
      <c r="V23" s="605">
        <v>0</v>
      </c>
      <c r="W23" s="605">
        <v>0</v>
      </c>
      <c r="X23" s="605">
        <v>0</v>
      </c>
      <c r="Y23" s="605">
        <v>0</v>
      </c>
      <c r="Z23" s="603">
        <v>0</v>
      </c>
      <c r="AA23" s="604">
        <v>0</v>
      </c>
      <c r="AB23" s="605">
        <v>0</v>
      </c>
      <c r="AC23" s="605">
        <v>0</v>
      </c>
      <c r="AD23" s="605">
        <v>0</v>
      </c>
      <c r="AE23" s="605">
        <v>0</v>
      </c>
      <c r="AF23" s="605">
        <v>0</v>
      </c>
      <c r="AG23" s="605">
        <v>0</v>
      </c>
      <c r="AH23" s="605">
        <v>0</v>
      </c>
      <c r="AI23" s="603">
        <v>0</v>
      </c>
      <c r="AJ23" s="610">
        <v>0</v>
      </c>
      <c r="AK23" s="570"/>
      <c r="AL23" s="571"/>
      <c r="AM23" s="571"/>
      <c r="AN23" s="571"/>
      <c r="AO23" s="571"/>
      <c r="AP23" s="572"/>
      <c r="AQ23" s="604">
        <v>0</v>
      </c>
      <c r="AR23" s="605">
        <v>0</v>
      </c>
      <c r="AS23" s="605">
        <v>0</v>
      </c>
      <c r="AT23" s="605">
        <v>0</v>
      </c>
      <c r="AU23" s="605">
        <v>0</v>
      </c>
      <c r="AV23" s="605">
        <v>0</v>
      </c>
      <c r="AW23" s="605">
        <v>0</v>
      </c>
      <c r="AX23" s="605">
        <v>0</v>
      </c>
      <c r="AY23" s="605">
        <v>0</v>
      </c>
      <c r="AZ23" s="603">
        <v>0</v>
      </c>
      <c r="BA23" s="601">
        <v>0</v>
      </c>
      <c r="BB23" s="602">
        <v>0</v>
      </c>
      <c r="BC23" s="707">
        <v>0</v>
      </c>
      <c r="BD23" s="604">
        <v>0</v>
      </c>
      <c r="BE23" s="605">
        <v>0</v>
      </c>
      <c r="BF23" s="605">
        <v>0</v>
      </c>
      <c r="BG23" s="606">
        <v>0</v>
      </c>
      <c r="BH23" s="607">
        <v>0</v>
      </c>
      <c r="BI23" s="605">
        <v>0</v>
      </c>
      <c r="BJ23" s="605">
        <v>0</v>
      </c>
      <c r="BK23" s="608">
        <v>0</v>
      </c>
      <c r="BL23" s="604">
        <v>0</v>
      </c>
      <c r="BM23" s="609">
        <v>0</v>
      </c>
      <c r="BN23" s="605">
        <v>0</v>
      </c>
      <c r="BO23" s="605">
        <v>0</v>
      </c>
      <c r="BP23" s="605">
        <v>0</v>
      </c>
      <c r="BQ23" s="605">
        <v>0</v>
      </c>
      <c r="BR23" s="606">
        <v>0</v>
      </c>
      <c r="BS23" s="610">
        <v>0</v>
      </c>
      <c r="BT23" s="700"/>
      <c r="BU23" s="701"/>
      <c r="BV23" s="701"/>
      <c r="BW23" s="701"/>
      <c r="BX23" s="702"/>
      <c r="BY23" s="677">
        <v>0</v>
      </c>
      <c r="BZ23" s="678">
        <v>0</v>
      </c>
      <c r="CA23" s="678">
        <v>0</v>
      </c>
      <c r="CB23" s="679">
        <v>0</v>
      </c>
      <c r="CC23" s="703"/>
      <c r="CD23" s="703"/>
      <c r="CE23" s="703"/>
      <c r="CF23" s="703"/>
      <c r="CG23" s="703"/>
      <c r="CH23" s="708">
        <v>0</v>
      </c>
      <c r="CI23" s="700"/>
      <c r="CJ23" s="701"/>
      <c r="CK23" s="701"/>
      <c r="CL23" s="701"/>
      <c r="CM23" s="705"/>
      <c r="CN23" s="706"/>
      <c r="CO23" s="701"/>
      <c r="CP23" s="701"/>
      <c r="CQ23" s="702"/>
    </row>
    <row r="24" spans="1:95" ht="15.75" thickBot="1">
      <c r="A24" s="425"/>
      <c r="B24" s="561">
        <v>2003</v>
      </c>
      <c r="C24" s="604">
        <v>0</v>
      </c>
      <c r="D24" s="605">
        <v>0</v>
      </c>
      <c r="E24" s="605">
        <v>0</v>
      </c>
      <c r="F24" s="605">
        <v>0</v>
      </c>
      <c r="G24" s="605">
        <v>0</v>
      </c>
      <c r="H24" s="605">
        <v>0</v>
      </c>
      <c r="I24" s="605">
        <v>0</v>
      </c>
      <c r="J24" s="605">
        <v>0</v>
      </c>
      <c r="K24" s="605">
        <v>0</v>
      </c>
      <c r="L24" s="605">
        <v>0</v>
      </c>
      <c r="M24" s="605">
        <v>0</v>
      </c>
      <c r="N24" s="676">
        <v>0</v>
      </c>
      <c r="O24" s="609">
        <v>0</v>
      </c>
      <c r="P24" s="605">
        <v>0</v>
      </c>
      <c r="Q24" s="605">
        <v>0</v>
      </c>
      <c r="R24" s="605">
        <v>0</v>
      </c>
      <c r="S24" s="605">
        <v>0</v>
      </c>
      <c r="T24" s="605">
        <v>0</v>
      </c>
      <c r="U24" s="605">
        <v>0</v>
      </c>
      <c r="V24" s="605">
        <v>0</v>
      </c>
      <c r="W24" s="605">
        <v>0</v>
      </c>
      <c r="X24" s="605">
        <v>0</v>
      </c>
      <c r="Y24" s="605">
        <v>0</v>
      </c>
      <c r="Z24" s="603">
        <v>0</v>
      </c>
      <c r="AA24" s="604">
        <v>0</v>
      </c>
      <c r="AB24" s="605">
        <v>0</v>
      </c>
      <c r="AC24" s="605">
        <v>0</v>
      </c>
      <c r="AD24" s="605">
        <v>0</v>
      </c>
      <c r="AE24" s="605">
        <v>0</v>
      </c>
      <c r="AF24" s="605">
        <v>0</v>
      </c>
      <c r="AG24" s="605">
        <v>0</v>
      </c>
      <c r="AH24" s="605">
        <v>0</v>
      </c>
      <c r="AI24" s="603">
        <v>0</v>
      </c>
      <c r="AJ24" s="610">
        <v>0</v>
      </c>
      <c r="AK24" s="570"/>
      <c r="AL24" s="571"/>
      <c r="AM24" s="571"/>
      <c r="AN24" s="571"/>
      <c r="AO24" s="571"/>
      <c r="AP24" s="572"/>
      <c r="AQ24" s="604">
        <v>0</v>
      </c>
      <c r="AR24" s="605">
        <v>0</v>
      </c>
      <c r="AS24" s="605">
        <v>0</v>
      </c>
      <c r="AT24" s="605">
        <v>0</v>
      </c>
      <c r="AU24" s="605">
        <v>0</v>
      </c>
      <c r="AV24" s="605">
        <v>0</v>
      </c>
      <c r="AW24" s="605">
        <v>0</v>
      </c>
      <c r="AX24" s="605">
        <v>0</v>
      </c>
      <c r="AY24" s="605">
        <v>0</v>
      </c>
      <c r="AZ24" s="603">
        <v>0</v>
      </c>
      <c r="BA24" s="601">
        <v>0</v>
      </c>
      <c r="BB24" s="602">
        <v>0</v>
      </c>
      <c r="BC24" s="707">
        <v>0</v>
      </c>
      <c r="BD24" s="604">
        <v>0</v>
      </c>
      <c r="BE24" s="605">
        <v>0</v>
      </c>
      <c r="BF24" s="605">
        <v>0</v>
      </c>
      <c r="BG24" s="606">
        <v>0</v>
      </c>
      <c r="BH24" s="607">
        <v>0</v>
      </c>
      <c r="BI24" s="605">
        <v>0</v>
      </c>
      <c r="BJ24" s="605">
        <v>0</v>
      </c>
      <c r="BK24" s="608">
        <v>0</v>
      </c>
      <c r="BL24" s="604">
        <v>0</v>
      </c>
      <c r="BM24" s="609">
        <v>0</v>
      </c>
      <c r="BN24" s="605">
        <v>0</v>
      </c>
      <c r="BO24" s="605">
        <v>0</v>
      </c>
      <c r="BP24" s="605">
        <v>0</v>
      </c>
      <c r="BQ24" s="605">
        <v>0</v>
      </c>
      <c r="BR24" s="606">
        <v>0</v>
      </c>
      <c r="BS24" s="610">
        <v>0</v>
      </c>
      <c r="BT24" s="700"/>
      <c r="BU24" s="701"/>
      <c r="BV24" s="701"/>
      <c r="BW24" s="701"/>
      <c r="BX24" s="702"/>
      <c r="BY24" s="677">
        <v>0</v>
      </c>
      <c r="BZ24" s="678">
        <v>0</v>
      </c>
      <c r="CA24" s="678">
        <v>0</v>
      </c>
      <c r="CB24" s="679">
        <v>0</v>
      </c>
      <c r="CC24" s="703"/>
      <c r="CD24" s="703"/>
      <c r="CE24" s="703"/>
      <c r="CF24" s="703"/>
      <c r="CG24" s="703"/>
      <c r="CH24" s="708">
        <v>0</v>
      </c>
      <c r="CI24" s="700"/>
      <c r="CJ24" s="701"/>
      <c r="CK24" s="701"/>
      <c r="CL24" s="701"/>
      <c r="CM24" s="705"/>
      <c r="CN24" s="706"/>
      <c r="CO24" s="701"/>
      <c r="CP24" s="701"/>
      <c r="CQ24" s="702"/>
    </row>
    <row r="25" spans="1:95" ht="15.75" thickBot="1">
      <c r="A25" s="425"/>
      <c r="B25" s="561">
        <v>2004</v>
      </c>
      <c r="C25" s="604">
        <v>0</v>
      </c>
      <c r="D25" s="605">
        <v>0</v>
      </c>
      <c r="E25" s="605">
        <v>0</v>
      </c>
      <c r="F25" s="605">
        <v>0</v>
      </c>
      <c r="G25" s="605">
        <v>0</v>
      </c>
      <c r="H25" s="605">
        <v>0</v>
      </c>
      <c r="I25" s="605">
        <v>0</v>
      </c>
      <c r="J25" s="605">
        <v>0</v>
      </c>
      <c r="K25" s="605">
        <v>0</v>
      </c>
      <c r="L25" s="605">
        <v>0</v>
      </c>
      <c r="M25" s="605">
        <v>0</v>
      </c>
      <c r="N25" s="676">
        <v>0</v>
      </c>
      <c r="O25" s="609">
        <v>0</v>
      </c>
      <c r="P25" s="605">
        <v>0</v>
      </c>
      <c r="Q25" s="605">
        <v>0</v>
      </c>
      <c r="R25" s="605">
        <v>0</v>
      </c>
      <c r="S25" s="605">
        <v>0</v>
      </c>
      <c r="T25" s="605">
        <v>0</v>
      </c>
      <c r="U25" s="605">
        <v>0</v>
      </c>
      <c r="V25" s="605">
        <v>0</v>
      </c>
      <c r="W25" s="605">
        <v>0</v>
      </c>
      <c r="X25" s="605">
        <v>0</v>
      </c>
      <c r="Y25" s="605">
        <v>0</v>
      </c>
      <c r="Z25" s="603">
        <v>0</v>
      </c>
      <c r="AA25" s="604">
        <v>0</v>
      </c>
      <c r="AB25" s="605">
        <v>0</v>
      </c>
      <c r="AC25" s="605">
        <v>0</v>
      </c>
      <c r="AD25" s="605">
        <v>0</v>
      </c>
      <c r="AE25" s="605">
        <v>0</v>
      </c>
      <c r="AF25" s="605">
        <v>0</v>
      </c>
      <c r="AG25" s="605">
        <v>0</v>
      </c>
      <c r="AH25" s="605">
        <v>0</v>
      </c>
      <c r="AI25" s="603">
        <v>0</v>
      </c>
      <c r="AJ25" s="610">
        <v>0</v>
      </c>
      <c r="AK25" s="570"/>
      <c r="AL25" s="571"/>
      <c r="AM25" s="571"/>
      <c r="AN25" s="571"/>
      <c r="AO25" s="571"/>
      <c r="AP25" s="572"/>
      <c r="AQ25" s="604">
        <v>0</v>
      </c>
      <c r="AR25" s="605">
        <v>0</v>
      </c>
      <c r="AS25" s="605">
        <v>0</v>
      </c>
      <c r="AT25" s="605">
        <v>0</v>
      </c>
      <c r="AU25" s="605">
        <v>0</v>
      </c>
      <c r="AV25" s="605">
        <v>0</v>
      </c>
      <c r="AW25" s="605">
        <v>0</v>
      </c>
      <c r="AX25" s="605">
        <v>0</v>
      </c>
      <c r="AY25" s="605">
        <v>0</v>
      </c>
      <c r="AZ25" s="603">
        <v>0</v>
      </c>
      <c r="BA25" s="601">
        <v>0</v>
      </c>
      <c r="BB25" s="602">
        <v>0</v>
      </c>
      <c r="BC25" s="707">
        <v>0</v>
      </c>
      <c r="BD25" s="604">
        <v>0</v>
      </c>
      <c r="BE25" s="605">
        <v>0</v>
      </c>
      <c r="BF25" s="605">
        <v>0</v>
      </c>
      <c r="BG25" s="606">
        <v>0</v>
      </c>
      <c r="BH25" s="607">
        <v>0</v>
      </c>
      <c r="BI25" s="605">
        <v>0</v>
      </c>
      <c r="BJ25" s="605">
        <v>0</v>
      </c>
      <c r="BK25" s="608">
        <v>0</v>
      </c>
      <c r="BL25" s="604">
        <v>0</v>
      </c>
      <c r="BM25" s="609">
        <v>0</v>
      </c>
      <c r="BN25" s="605">
        <v>0</v>
      </c>
      <c r="BO25" s="605">
        <v>0</v>
      </c>
      <c r="BP25" s="605">
        <v>0</v>
      </c>
      <c r="BQ25" s="605">
        <v>0</v>
      </c>
      <c r="BR25" s="606">
        <v>0</v>
      </c>
      <c r="BS25" s="610">
        <v>0</v>
      </c>
      <c r="BT25" s="700"/>
      <c r="BU25" s="701"/>
      <c r="BV25" s="701"/>
      <c r="BW25" s="701"/>
      <c r="BX25" s="702"/>
      <c r="BY25" s="677">
        <v>0</v>
      </c>
      <c r="BZ25" s="678">
        <v>0</v>
      </c>
      <c r="CA25" s="678">
        <v>0</v>
      </c>
      <c r="CB25" s="679">
        <v>0</v>
      </c>
      <c r="CC25" s="703"/>
      <c r="CD25" s="703"/>
      <c r="CE25" s="703"/>
      <c r="CF25" s="703"/>
      <c r="CG25" s="703"/>
      <c r="CH25" s="708">
        <v>0</v>
      </c>
      <c r="CI25" s="700"/>
      <c r="CJ25" s="701"/>
      <c r="CK25" s="701"/>
      <c r="CL25" s="701"/>
      <c r="CM25" s="705"/>
      <c r="CN25" s="706"/>
      <c r="CO25" s="701"/>
      <c r="CP25" s="701"/>
      <c r="CQ25" s="702"/>
    </row>
    <row r="26" spans="1:95" ht="15.75" thickBot="1">
      <c r="A26" s="425"/>
      <c r="B26" s="561">
        <v>2005</v>
      </c>
      <c r="C26" s="604">
        <v>0</v>
      </c>
      <c r="D26" s="605">
        <v>0</v>
      </c>
      <c r="E26" s="605">
        <v>0</v>
      </c>
      <c r="F26" s="605">
        <v>0</v>
      </c>
      <c r="G26" s="605">
        <v>0</v>
      </c>
      <c r="H26" s="605">
        <v>0</v>
      </c>
      <c r="I26" s="605">
        <v>0</v>
      </c>
      <c r="J26" s="605">
        <v>0</v>
      </c>
      <c r="K26" s="605">
        <v>0</v>
      </c>
      <c r="L26" s="605">
        <v>0</v>
      </c>
      <c r="M26" s="605">
        <v>0</v>
      </c>
      <c r="N26" s="676">
        <v>0</v>
      </c>
      <c r="O26" s="609">
        <v>0</v>
      </c>
      <c r="P26" s="605">
        <v>0</v>
      </c>
      <c r="Q26" s="605">
        <v>0</v>
      </c>
      <c r="R26" s="605">
        <v>0</v>
      </c>
      <c r="S26" s="605">
        <v>0</v>
      </c>
      <c r="T26" s="605">
        <v>0</v>
      </c>
      <c r="U26" s="605">
        <v>0</v>
      </c>
      <c r="V26" s="605">
        <v>0</v>
      </c>
      <c r="W26" s="605">
        <v>0</v>
      </c>
      <c r="X26" s="605">
        <v>0</v>
      </c>
      <c r="Y26" s="605">
        <v>0</v>
      </c>
      <c r="Z26" s="603">
        <v>0</v>
      </c>
      <c r="AA26" s="604">
        <v>0</v>
      </c>
      <c r="AB26" s="605">
        <v>0</v>
      </c>
      <c r="AC26" s="605">
        <v>0</v>
      </c>
      <c r="AD26" s="605">
        <v>0</v>
      </c>
      <c r="AE26" s="605">
        <v>0</v>
      </c>
      <c r="AF26" s="605">
        <v>0</v>
      </c>
      <c r="AG26" s="605">
        <v>0</v>
      </c>
      <c r="AH26" s="605">
        <v>0</v>
      </c>
      <c r="AI26" s="603">
        <v>0</v>
      </c>
      <c r="AJ26" s="610">
        <v>0</v>
      </c>
      <c r="AK26" s="570"/>
      <c r="AL26" s="571"/>
      <c r="AM26" s="571"/>
      <c r="AN26" s="571"/>
      <c r="AO26" s="571"/>
      <c r="AP26" s="572"/>
      <c r="AQ26" s="604">
        <v>0</v>
      </c>
      <c r="AR26" s="605">
        <v>0</v>
      </c>
      <c r="AS26" s="605">
        <v>0</v>
      </c>
      <c r="AT26" s="605">
        <v>0</v>
      </c>
      <c r="AU26" s="605">
        <v>0</v>
      </c>
      <c r="AV26" s="605">
        <v>0</v>
      </c>
      <c r="AW26" s="605">
        <v>0</v>
      </c>
      <c r="AX26" s="605">
        <v>0</v>
      </c>
      <c r="AY26" s="605">
        <v>0</v>
      </c>
      <c r="AZ26" s="603">
        <v>0</v>
      </c>
      <c r="BA26" s="601">
        <v>0</v>
      </c>
      <c r="BB26" s="602">
        <v>0</v>
      </c>
      <c r="BC26" s="707">
        <v>0</v>
      </c>
      <c r="BD26" s="604">
        <v>0</v>
      </c>
      <c r="BE26" s="605">
        <v>0</v>
      </c>
      <c r="BF26" s="605">
        <v>0</v>
      </c>
      <c r="BG26" s="606">
        <v>0</v>
      </c>
      <c r="BH26" s="607">
        <v>0</v>
      </c>
      <c r="BI26" s="605">
        <v>0</v>
      </c>
      <c r="BJ26" s="605">
        <v>0</v>
      </c>
      <c r="BK26" s="608">
        <v>0</v>
      </c>
      <c r="BL26" s="604">
        <v>0</v>
      </c>
      <c r="BM26" s="609">
        <v>0</v>
      </c>
      <c r="BN26" s="605">
        <v>0</v>
      </c>
      <c r="BO26" s="605">
        <v>0</v>
      </c>
      <c r="BP26" s="605">
        <v>0</v>
      </c>
      <c r="BQ26" s="605">
        <v>0</v>
      </c>
      <c r="BR26" s="606">
        <v>0</v>
      </c>
      <c r="BS26" s="610">
        <v>0</v>
      </c>
      <c r="BT26" s="700"/>
      <c r="BU26" s="701"/>
      <c r="BV26" s="701"/>
      <c r="BW26" s="701"/>
      <c r="BX26" s="702"/>
      <c r="BY26" s="677">
        <v>0</v>
      </c>
      <c r="BZ26" s="678">
        <v>0</v>
      </c>
      <c r="CA26" s="678">
        <v>0</v>
      </c>
      <c r="CB26" s="679">
        <v>0</v>
      </c>
      <c r="CC26" s="703"/>
      <c r="CD26" s="703"/>
      <c r="CE26" s="703"/>
      <c r="CF26" s="703"/>
      <c r="CG26" s="703"/>
      <c r="CH26" s="708">
        <v>0</v>
      </c>
      <c r="CI26" s="700"/>
      <c r="CJ26" s="701"/>
      <c r="CK26" s="701"/>
      <c r="CL26" s="701"/>
      <c r="CM26" s="705"/>
      <c r="CN26" s="706"/>
      <c r="CO26" s="701"/>
      <c r="CP26" s="701"/>
      <c r="CQ26" s="702"/>
    </row>
    <row r="27" spans="1:95" ht="15.75" thickBot="1">
      <c r="A27" s="425"/>
      <c r="B27" s="561">
        <v>2006</v>
      </c>
      <c r="C27" s="604">
        <v>0</v>
      </c>
      <c r="D27" s="605">
        <v>0</v>
      </c>
      <c r="E27" s="605">
        <v>0</v>
      </c>
      <c r="F27" s="605">
        <v>0</v>
      </c>
      <c r="G27" s="605">
        <v>0</v>
      </c>
      <c r="H27" s="605">
        <v>0</v>
      </c>
      <c r="I27" s="605">
        <v>0</v>
      </c>
      <c r="J27" s="605">
        <v>0</v>
      </c>
      <c r="K27" s="605">
        <v>0</v>
      </c>
      <c r="L27" s="605">
        <v>0</v>
      </c>
      <c r="M27" s="605">
        <v>0</v>
      </c>
      <c r="N27" s="676">
        <v>0</v>
      </c>
      <c r="O27" s="609">
        <v>0</v>
      </c>
      <c r="P27" s="605">
        <v>0</v>
      </c>
      <c r="Q27" s="605">
        <v>0</v>
      </c>
      <c r="R27" s="605">
        <v>0</v>
      </c>
      <c r="S27" s="605">
        <v>0</v>
      </c>
      <c r="T27" s="605">
        <v>0</v>
      </c>
      <c r="U27" s="605">
        <v>0</v>
      </c>
      <c r="V27" s="605">
        <v>0</v>
      </c>
      <c r="W27" s="605">
        <v>0</v>
      </c>
      <c r="X27" s="605">
        <v>0</v>
      </c>
      <c r="Y27" s="605">
        <v>0</v>
      </c>
      <c r="Z27" s="603">
        <v>0</v>
      </c>
      <c r="AA27" s="604">
        <v>0</v>
      </c>
      <c r="AB27" s="605">
        <v>0</v>
      </c>
      <c r="AC27" s="605">
        <v>0</v>
      </c>
      <c r="AD27" s="605">
        <v>0</v>
      </c>
      <c r="AE27" s="605">
        <v>0</v>
      </c>
      <c r="AF27" s="605">
        <v>0</v>
      </c>
      <c r="AG27" s="605">
        <v>0</v>
      </c>
      <c r="AH27" s="605">
        <v>0</v>
      </c>
      <c r="AI27" s="603">
        <v>0</v>
      </c>
      <c r="AJ27" s="610">
        <v>0</v>
      </c>
      <c r="AK27" s="570"/>
      <c r="AL27" s="571"/>
      <c r="AM27" s="571"/>
      <c r="AN27" s="571"/>
      <c r="AO27" s="571"/>
      <c r="AP27" s="572"/>
      <c r="AQ27" s="604">
        <v>0</v>
      </c>
      <c r="AR27" s="605">
        <v>0</v>
      </c>
      <c r="AS27" s="605">
        <v>0</v>
      </c>
      <c r="AT27" s="605">
        <v>0</v>
      </c>
      <c r="AU27" s="605">
        <v>0</v>
      </c>
      <c r="AV27" s="605">
        <v>0</v>
      </c>
      <c r="AW27" s="605">
        <v>0</v>
      </c>
      <c r="AX27" s="605">
        <v>0</v>
      </c>
      <c r="AY27" s="605">
        <v>0</v>
      </c>
      <c r="AZ27" s="603">
        <v>0</v>
      </c>
      <c r="BA27" s="601">
        <v>0</v>
      </c>
      <c r="BB27" s="602">
        <v>0</v>
      </c>
      <c r="BC27" s="707">
        <v>0</v>
      </c>
      <c r="BD27" s="604">
        <v>0</v>
      </c>
      <c r="BE27" s="605">
        <v>0</v>
      </c>
      <c r="BF27" s="605">
        <v>0</v>
      </c>
      <c r="BG27" s="606">
        <v>0</v>
      </c>
      <c r="BH27" s="607">
        <v>0</v>
      </c>
      <c r="BI27" s="605">
        <v>0</v>
      </c>
      <c r="BJ27" s="605">
        <v>0</v>
      </c>
      <c r="BK27" s="608">
        <v>0</v>
      </c>
      <c r="BL27" s="604">
        <v>0</v>
      </c>
      <c r="BM27" s="609">
        <v>0</v>
      </c>
      <c r="BN27" s="605">
        <v>0</v>
      </c>
      <c r="BO27" s="605">
        <v>0</v>
      </c>
      <c r="BP27" s="605">
        <v>0</v>
      </c>
      <c r="BQ27" s="605">
        <v>0</v>
      </c>
      <c r="BR27" s="606">
        <v>0</v>
      </c>
      <c r="BS27" s="610">
        <v>0</v>
      </c>
      <c r="BT27" s="700"/>
      <c r="BU27" s="701"/>
      <c r="BV27" s="701"/>
      <c r="BW27" s="701"/>
      <c r="BX27" s="702"/>
      <c r="BY27" s="677">
        <v>0</v>
      </c>
      <c r="BZ27" s="678">
        <v>0</v>
      </c>
      <c r="CA27" s="678">
        <v>0</v>
      </c>
      <c r="CB27" s="679">
        <v>0</v>
      </c>
      <c r="CC27" s="703"/>
      <c r="CD27" s="703"/>
      <c r="CE27" s="703"/>
      <c r="CF27" s="703"/>
      <c r="CG27" s="703"/>
      <c r="CH27" s="708">
        <v>0</v>
      </c>
      <c r="CI27" s="700"/>
      <c r="CJ27" s="701"/>
      <c r="CK27" s="701"/>
      <c r="CL27" s="701"/>
      <c r="CM27" s="705"/>
      <c r="CN27" s="706"/>
      <c r="CO27" s="701"/>
      <c r="CP27" s="701"/>
      <c r="CQ27" s="702"/>
    </row>
    <row r="28" spans="1:95" ht="15.75" thickBot="1">
      <c r="A28" s="425"/>
      <c r="B28" s="561">
        <v>2007</v>
      </c>
      <c r="C28" s="604">
        <v>0</v>
      </c>
      <c r="D28" s="605">
        <v>0</v>
      </c>
      <c r="E28" s="605">
        <v>0</v>
      </c>
      <c r="F28" s="605">
        <v>0</v>
      </c>
      <c r="G28" s="605">
        <v>0</v>
      </c>
      <c r="H28" s="605">
        <v>0</v>
      </c>
      <c r="I28" s="605">
        <v>0</v>
      </c>
      <c r="J28" s="605">
        <v>0</v>
      </c>
      <c r="K28" s="605">
        <v>0</v>
      </c>
      <c r="L28" s="605">
        <v>0</v>
      </c>
      <c r="M28" s="605">
        <v>0</v>
      </c>
      <c r="N28" s="676">
        <v>0</v>
      </c>
      <c r="O28" s="609">
        <v>0</v>
      </c>
      <c r="P28" s="605">
        <v>0</v>
      </c>
      <c r="Q28" s="605">
        <v>0</v>
      </c>
      <c r="R28" s="605">
        <v>0</v>
      </c>
      <c r="S28" s="605">
        <v>0</v>
      </c>
      <c r="T28" s="605">
        <v>0</v>
      </c>
      <c r="U28" s="605">
        <v>0</v>
      </c>
      <c r="V28" s="605">
        <v>0</v>
      </c>
      <c r="W28" s="605">
        <v>0</v>
      </c>
      <c r="X28" s="605">
        <v>0</v>
      </c>
      <c r="Y28" s="605">
        <v>0</v>
      </c>
      <c r="Z28" s="603">
        <v>0</v>
      </c>
      <c r="AA28" s="604">
        <v>0</v>
      </c>
      <c r="AB28" s="605">
        <v>0</v>
      </c>
      <c r="AC28" s="605">
        <v>0</v>
      </c>
      <c r="AD28" s="605">
        <v>0</v>
      </c>
      <c r="AE28" s="605">
        <v>0</v>
      </c>
      <c r="AF28" s="605">
        <v>0</v>
      </c>
      <c r="AG28" s="605">
        <v>0</v>
      </c>
      <c r="AH28" s="605">
        <v>0</v>
      </c>
      <c r="AI28" s="603">
        <v>0</v>
      </c>
      <c r="AJ28" s="610">
        <v>0</v>
      </c>
      <c r="AK28" s="570"/>
      <c r="AL28" s="571"/>
      <c r="AM28" s="571"/>
      <c r="AN28" s="571"/>
      <c r="AO28" s="571"/>
      <c r="AP28" s="572"/>
      <c r="AQ28" s="604">
        <v>0</v>
      </c>
      <c r="AR28" s="605">
        <v>0</v>
      </c>
      <c r="AS28" s="605">
        <v>0</v>
      </c>
      <c r="AT28" s="605">
        <v>0</v>
      </c>
      <c r="AU28" s="605">
        <v>0</v>
      </c>
      <c r="AV28" s="605">
        <v>0</v>
      </c>
      <c r="AW28" s="605">
        <v>0</v>
      </c>
      <c r="AX28" s="605">
        <v>0</v>
      </c>
      <c r="AY28" s="605">
        <v>0</v>
      </c>
      <c r="AZ28" s="603">
        <v>0</v>
      </c>
      <c r="BA28" s="601">
        <v>0</v>
      </c>
      <c r="BB28" s="602">
        <v>0</v>
      </c>
      <c r="BC28" s="707">
        <v>0</v>
      </c>
      <c r="BD28" s="604">
        <v>0</v>
      </c>
      <c r="BE28" s="605">
        <v>0</v>
      </c>
      <c r="BF28" s="605">
        <v>0</v>
      </c>
      <c r="BG28" s="606">
        <v>0</v>
      </c>
      <c r="BH28" s="607">
        <v>0</v>
      </c>
      <c r="BI28" s="605">
        <v>0</v>
      </c>
      <c r="BJ28" s="605">
        <v>0</v>
      </c>
      <c r="BK28" s="608">
        <v>0</v>
      </c>
      <c r="BL28" s="604">
        <v>0</v>
      </c>
      <c r="BM28" s="609">
        <v>0</v>
      </c>
      <c r="BN28" s="605">
        <v>0</v>
      </c>
      <c r="BO28" s="605">
        <v>0</v>
      </c>
      <c r="BP28" s="605">
        <v>0</v>
      </c>
      <c r="BQ28" s="605">
        <v>0</v>
      </c>
      <c r="BR28" s="606">
        <v>0</v>
      </c>
      <c r="BS28" s="610">
        <v>0</v>
      </c>
      <c r="BT28" s="700"/>
      <c r="BU28" s="701"/>
      <c r="BV28" s="701"/>
      <c r="BW28" s="701"/>
      <c r="BX28" s="702"/>
      <c r="BY28" s="677">
        <v>0</v>
      </c>
      <c r="BZ28" s="678">
        <v>0</v>
      </c>
      <c r="CA28" s="678">
        <v>0</v>
      </c>
      <c r="CB28" s="679">
        <v>0</v>
      </c>
      <c r="CC28" s="703"/>
      <c r="CD28" s="703"/>
      <c r="CE28" s="703"/>
      <c r="CF28" s="703"/>
      <c r="CG28" s="703"/>
      <c r="CH28" s="708">
        <v>0</v>
      </c>
      <c r="CI28" s="700"/>
      <c r="CJ28" s="701"/>
      <c r="CK28" s="701"/>
      <c r="CL28" s="701"/>
      <c r="CM28" s="705"/>
      <c r="CN28" s="706"/>
      <c r="CO28" s="701"/>
      <c r="CP28" s="701"/>
      <c r="CQ28" s="702"/>
    </row>
    <row r="29" spans="1:95" ht="15.75" thickBot="1">
      <c r="A29" s="425"/>
      <c r="B29" s="561">
        <v>2008</v>
      </c>
      <c r="C29" s="604">
        <v>0</v>
      </c>
      <c r="D29" s="605">
        <v>0</v>
      </c>
      <c r="E29" s="605">
        <v>0</v>
      </c>
      <c r="F29" s="605">
        <v>0</v>
      </c>
      <c r="G29" s="605">
        <v>0</v>
      </c>
      <c r="H29" s="605">
        <v>0</v>
      </c>
      <c r="I29" s="605">
        <v>0</v>
      </c>
      <c r="J29" s="605">
        <v>0</v>
      </c>
      <c r="K29" s="605">
        <v>0</v>
      </c>
      <c r="L29" s="605">
        <v>0</v>
      </c>
      <c r="M29" s="605">
        <v>0</v>
      </c>
      <c r="N29" s="676">
        <v>0</v>
      </c>
      <c r="O29" s="609">
        <v>0</v>
      </c>
      <c r="P29" s="605">
        <v>0.15837280200000001</v>
      </c>
      <c r="Q29" s="605">
        <v>10.6414685</v>
      </c>
      <c r="R29" s="605">
        <v>0</v>
      </c>
      <c r="S29" s="605">
        <v>0</v>
      </c>
      <c r="T29" s="605">
        <v>0</v>
      </c>
      <c r="U29" s="605">
        <v>0</v>
      </c>
      <c r="V29" s="605">
        <v>0</v>
      </c>
      <c r="W29" s="605">
        <v>0</v>
      </c>
      <c r="X29" s="605">
        <v>0</v>
      </c>
      <c r="Y29" s="605">
        <v>0</v>
      </c>
      <c r="Z29" s="603">
        <v>0</v>
      </c>
      <c r="AA29" s="604">
        <v>32.634448594640986</v>
      </c>
      <c r="AB29" s="605">
        <v>3.235887</v>
      </c>
      <c r="AC29" s="605">
        <v>0</v>
      </c>
      <c r="AD29" s="605">
        <v>0</v>
      </c>
      <c r="AE29" s="605">
        <v>0</v>
      </c>
      <c r="AF29" s="605">
        <v>0</v>
      </c>
      <c r="AG29" s="605">
        <v>0</v>
      </c>
      <c r="AH29" s="605">
        <v>0</v>
      </c>
      <c r="AI29" s="603">
        <v>0</v>
      </c>
      <c r="AJ29" s="610">
        <v>0</v>
      </c>
      <c r="AK29" s="570"/>
      <c r="AL29" s="571"/>
      <c r="AM29" s="571"/>
      <c r="AN29" s="571"/>
      <c r="AO29" s="571"/>
      <c r="AP29" s="572"/>
      <c r="AQ29" s="604">
        <v>20.267867550700451</v>
      </c>
      <c r="AR29" s="605">
        <v>155.64353984082206</v>
      </c>
      <c r="AS29" s="605">
        <v>0</v>
      </c>
      <c r="AT29" s="605">
        <v>0</v>
      </c>
      <c r="AU29" s="605">
        <v>0</v>
      </c>
      <c r="AV29" s="605">
        <v>0</v>
      </c>
      <c r="AW29" s="605">
        <v>0</v>
      </c>
      <c r="AX29" s="605">
        <v>0</v>
      </c>
      <c r="AY29" s="605">
        <v>6.316307850421266</v>
      </c>
      <c r="AZ29" s="603">
        <v>0</v>
      </c>
      <c r="BA29" s="601">
        <v>1670.537272330776</v>
      </c>
      <c r="BB29" s="602">
        <v>917.02943066281739</v>
      </c>
      <c r="BC29" s="707">
        <v>347.40913749999999</v>
      </c>
      <c r="BD29" s="604">
        <v>627.38653919546618</v>
      </c>
      <c r="BE29" s="605">
        <v>0</v>
      </c>
      <c r="BF29" s="605">
        <v>0</v>
      </c>
      <c r="BG29" s="606">
        <v>0</v>
      </c>
      <c r="BH29" s="607">
        <v>466.75210987318542</v>
      </c>
      <c r="BI29" s="605">
        <v>0</v>
      </c>
      <c r="BJ29" s="605">
        <v>0</v>
      </c>
      <c r="BK29" s="608">
        <v>0</v>
      </c>
      <c r="BL29" s="604">
        <v>249.46581924444439</v>
      </c>
      <c r="BM29" s="609">
        <v>0</v>
      </c>
      <c r="BN29" s="605">
        <v>0</v>
      </c>
      <c r="BO29" s="605">
        <v>0</v>
      </c>
      <c r="BP29" s="605">
        <v>0.20880989417326687</v>
      </c>
      <c r="BQ29" s="605">
        <v>0</v>
      </c>
      <c r="BR29" s="606">
        <v>28.076566470481215</v>
      </c>
      <c r="BS29" s="610">
        <v>32.359395111111105</v>
      </c>
      <c r="BT29" s="700"/>
      <c r="BU29" s="701"/>
      <c r="BV29" s="701"/>
      <c r="BW29" s="701"/>
      <c r="BX29" s="702"/>
      <c r="BY29" s="677">
        <v>0</v>
      </c>
      <c r="BZ29" s="678">
        <v>533.49729338999998</v>
      </c>
      <c r="CA29" s="678">
        <v>0</v>
      </c>
      <c r="CB29" s="679">
        <v>0</v>
      </c>
      <c r="CC29" s="703"/>
      <c r="CD29" s="703"/>
      <c r="CE29" s="703"/>
      <c r="CF29" s="703"/>
      <c r="CG29" s="703"/>
      <c r="CH29" s="708">
        <v>231.76737031311688</v>
      </c>
      <c r="CI29" s="700"/>
      <c r="CJ29" s="701"/>
      <c r="CK29" s="701"/>
      <c r="CL29" s="701"/>
      <c r="CM29" s="705"/>
      <c r="CN29" s="706"/>
      <c r="CO29" s="701"/>
      <c r="CP29" s="701"/>
      <c r="CQ29" s="702"/>
    </row>
    <row r="30" spans="1:95" ht="15.75" thickBot="1">
      <c r="A30" s="425"/>
      <c r="B30" s="561">
        <v>2009</v>
      </c>
      <c r="C30" s="604">
        <v>0</v>
      </c>
      <c r="D30" s="605">
        <v>0</v>
      </c>
      <c r="E30" s="605">
        <v>0</v>
      </c>
      <c r="F30" s="605">
        <v>0</v>
      </c>
      <c r="G30" s="605">
        <v>0</v>
      </c>
      <c r="H30" s="605">
        <v>0</v>
      </c>
      <c r="I30" s="605">
        <v>0</v>
      </c>
      <c r="J30" s="605">
        <v>0</v>
      </c>
      <c r="K30" s="605">
        <v>0</v>
      </c>
      <c r="L30" s="605">
        <v>0</v>
      </c>
      <c r="M30" s="605">
        <v>0</v>
      </c>
      <c r="N30" s="676">
        <v>0</v>
      </c>
      <c r="O30" s="609">
        <v>0</v>
      </c>
      <c r="P30" s="605">
        <v>0.16169225400000001</v>
      </c>
      <c r="Q30" s="605">
        <v>10.347229</v>
      </c>
      <c r="R30" s="605">
        <v>0</v>
      </c>
      <c r="S30" s="605">
        <v>0</v>
      </c>
      <c r="T30" s="605">
        <v>0</v>
      </c>
      <c r="U30" s="605">
        <v>0</v>
      </c>
      <c r="V30" s="605">
        <v>0</v>
      </c>
      <c r="W30" s="605">
        <v>0</v>
      </c>
      <c r="X30" s="605">
        <v>0</v>
      </c>
      <c r="Y30" s="605">
        <v>0</v>
      </c>
      <c r="Z30" s="603">
        <v>0</v>
      </c>
      <c r="AA30" s="604">
        <v>27.57812020435064</v>
      </c>
      <c r="AB30" s="605">
        <v>3.9482910000000002</v>
      </c>
      <c r="AC30" s="605">
        <v>0</v>
      </c>
      <c r="AD30" s="605">
        <v>0</v>
      </c>
      <c r="AE30" s="605">
        <v>0</v>
      </c>
      <c r="AF30" s="605">
        <v>0</v>
      </c>
      <c r="AG30" s="605">
        <v>0</v>
      </c>
      <c r="AH30" s="605">
        <v>0</v>
      </c>
      <c r="AI30" s="603">
        <v>0</v>
      </c>
      <c r="AJ30" s="610">
        <v>0</v>
      </c>
      <c r="AK30" s="570"/>
      <c r="AL30" s="571"/>
      <c r="AM30" s="571"/>
      <c r="AN30" s="571"/>
      <c r="AO30" s="571"/>
      <c r="AP30" s="572"/>
      <c r="AQ30" s="604">
        <v>20.267867550700451</v>
      </c>
      <c r="AR30" s="605">
        <v>155.64353984082206</v>
      </c>
      <c r="AS30" s="605">
        <v>0</v>
      </c>
      <c r="AT30" s="605">
        <v>0</v>
      </c>
      <c r="AU30" s="605">
        <v>0</v>
      </c>
      <c r="AV30" s="605">
        <v>0</v>
      </c>
      <c r="AW30" s="605">
        <v>0</v>
      </c>
      <c r="AX30" s="605">
        <v>0</v>
      </c>
      <c r="AY30" s="605">
        <v>6.316307850421266</v>
      </c>
      <c r="AZ30" s="603">
        <v>0</v>
      </c>
      <c r="BA30" s="601">
        <v>1658.746054004177</v>
      </c>
      <c r="BB30" s="602">
        <v>1089.0211742359518</v>
      </c>
      <c r="BC30" s="707">
        <v>349.007690475</v>
      </c>
      <c r="BD30" s="604">
        <v>627.02529829015691</v>
      </c>
      <c r="BE30" s="605">
        <v>0</v>
      </c>
      <c r="BF30" s="605">
        <v>0</v>
      </c>
      <c r="BG30" s="606">
        <v>0</v>
      </c>
      <c r="BH30" s="607">
        <v>457.5513436163767</v>
      </c>
      <c r="BI30" s="605">
        <v>0</v>
      </c>
      <c r="BJ30" s="605">
        <v>0</v>
      </c>
      <c r="BK30" s="608">
        <v>0</v>
      </c>
      <c r="BL30" s="604">
        <v>274.42661231111106</v>
      </c>
      <c r="BM30" s="609">
        <v>0</v>
      </c>
      <c r="BN30" s="605">
        <v>0</v>
      </c>
      <c r="BO30" s="605">
        <v>0</v>
      </c>
      <c r="BP30" s="605">
        <v>0.18513803535876211</v>
      </c>
      <c r="BQ30" s="605">
        <v>0</v>
      </c>
      <c r="BR30" s="606">
        <v>28.012580339258449</v>
      </c>
      <c r="BS30" s="610">
        <v>35.066709199999991</v>
      </c>
      <c r="BT30" s="700"/>
      <c r="BU30" s="701"/>
      <c r="BV30" s="701"/>
      <c r="BW30" s="701"/>
      <c r="BX30" s="702"/>
      <c r="BY30" s="677">
        <v>0</v>
      </c>
      <c r="BZ30" s="678">
        <v>437.47176192000001</v>
      </c>
      <c r="CA30" s="678">
        <v>0</v>
      </c>
      <c r="CB30" s="679">
        <v>0</v>
      </c>
      <c r="CC30" s="703"/>
      <c r="CD30" s="703"/>
      <c r="CE30" s="703"/>
      <c r="CF30" s="703"/>
      <c r="CG30" s="703"/>
      <c r="CH30" s="708">
        <v>239.7375372605037</v>
      </c>
      <c r="CI30" s="700"/>
      <c r="CJ30" s="701"/>
      <c r="CK30" s="701"/>
      <c r="CL30" s="701"/>
      <c r="CM30" s="705"/>
      <c r="CN30" s="706"/>
      <c r="CO30" s="701"/>
      <c r="CP30" s="701"/>
      <c r="CQ30" s="702"/>
    </row>
    <row r="31" spans="1:95" ht="15.75" thickBot="1">
      <c r="A31" s="425"/>
      <c r="B31" s="561">
        <v>2010</v>
      </c>
      <c r="C31" s="604">
        <v>0</v>
      </c>
      <c r="D31" s="605">
        <v>0</v>
      </c>
      <c r="E31" s="605">
        <v>0</v>
      </c>
      <c r="F31" s="605">
        <v>0</v>
      </c>
      <c r="G31" s="605">
        <v>0</v>
      </c>
      <c r="H31" s="605">
        <v>0</v>
      </c>
      <c r="I31" s="605">
        <v>0</v>
      </c>
      <c r="J31" s="605">
        <v>0</v>
      </c>
      <c r="K31" s="605">
        <v>0</v>
      </c>
      <c r="L31" s="605">
        <v>0</v>
      </c>
      <c r="M31" s="605">
        <v>0</v>
      </c>
      <c r="N31" s="676">
        <v>0</v>
      </c>
      <c r="O31" s="609">
        <v>0</v>
      </c>
      <c r="P31" s="605">
        <v>0.16492609908</v>
      </c>
      <c r="Q31" s="605">
        <v>10.55417358</v>
      </c>
      <c r="R31" s="605">
        <v>0</v>
      </c>
      <c r="S31" s="605">
        <v>0</v>
      </c>
      <c r="T31" s="605">
        <v>0</v>
      </c>
      <c r="U31" s="605">
        <v>0</v>
      </c>
      <c r="V31" s="605">
        <v>0</v>
      </c>
      <c r="W31" s="605">
        <v>0</v>
      </c>
      <c r="X31" s="605">
        <v>0</v>
      </c>
      <c r="Y31" s="605">
        <v>0</v>
      </c>
      <c r="Z31" s="603">
        <v>0</v>
      </c>
      <c r="AA31" s="604">
        <v>28.129682608437655</v>
      </c>
      <c r="AB31" s="605">
        <v>4.0272568199999998</v>
      </c>
      <c r="AC31" s="605">
        <v>0</v>
      </c>
      <c r="AD31" s="605">
        <v>0</v>
      </c>
      <c r="AE31" s="605">
        <v>0</v>
      </c>
      <c r="AF31" s="605">
        <v>0</v>
      </c>
      <c r="AG31" s="605">
        <v>0</v>
      </c>
      <c r="AH31" s="605">
        <v>0</v>
      </c>
      <c r="AI31" s="603">
        <v>0</v>
      </c>
      <c r="AJ31" s="610">
        <v>0</v>
      </c>
      <c r="AK31" s="570"/>
      <c r="AL31" s="571"/>
      <c r="AM31" s="571"/>
      <c r="AN31" s="571"/>
      <c r="AO31" s="571"/>
      <c r="AP31" s="572"/>
      <c r="AQ31" s="604">
        <v>20.267867550700451</v>
      </c>
      <c r="AR31" s="605">
        <v>161.93153885039129</v>
      </c>
      <c r="AS31" s="605">
        <v>0</v>
      </c>
      <c r="AT31" s="605">
        <v>0</v>
      </c>
      <c r="AU31" s="605">
        <v>0</v>
      </c>
      <c r="AV31" s="605">
        <v>0</v>
      </c>
      <c r="AW31" s="605">
        <v>0</v>
      </c>
      <c r="AX31" s="605">
        <v>0</v>
      </c>
      <c r="AY31" s="605">
        <v>6.4426340074296915</v>
      </c>
      <c r="AZ31" s="603">
        <v>0</v>
      </c>
      <c r="BA31" s="601">
        <v>1691.9209750842606</v>
      </c>
      <c r="BB31" s="602">
        <v>1110.801597720671</v>
      </c>
      <c r="BC31" s="707">
        <v>355.9878442845</v>
      </c>
      <c r="BD31" s="604">
        <v>639.56580425596007</v>
      </c>
      <c r="BE31" s="605">
        <v>0</v>
      </c>
      <c r="BF31" s="605">
        <v>0</v>
      </c>
      <c r="BG31" s="606">
        <v>0</v>
      </c>
      <c r="BH31" s="607">
        <v>466.70237048870433</v>
      </c>
      <c r="BI31" s="605">
        <v>0</v>
      </c>
      <c r="BJ31" s="605">
        <v>0</v>
      </c>
      <c r="BK31" s="608">
        <v>0</v>
      </c>
      <c r="BL31" s="604">
        <v>279.91514455733329</v>
      </c>
      <c r="BM31" s="609">
        <v>0</v>
      </c>
      <c r="BN31" s="605">
        <v>0</v>
      </c>
      <c r="BO31" s="605">
        <v>0</v>
      </c>
      <c r="BP31" s="605">
        <v>0.18884079606593737</v>
      </c>
      <c r="BQ31" s="605">
        <v>0</v>
      </c>
      <c r="BR31" s="606">
        <v>0</v>
      </c>
      <c r="BS31" s="610">
        <v>35.768043383999995</v>
      </c>
      <c r="BT31" s="700"/>
      <c r="BU31" s="701"/>
      <c r="BV31" s="701"/>
      <c r="BW31" s="701"/>
      <c r="BX31" s="702"/>
      <c r="BY31" s="677">
        <v>0</v>
      </c>
      <c r="BZ31" s="678">
        <v>446.2211971584</v>
      </c>
      <c r="CA31" s="678">
        <v>0</v>
      </c>
      <c r="CB31" s="679">
        <v>0</v>
      </c>
      <c r="CC31" s="703"/>
      <c r="CD31" s="703"/>
      <c r="CE31" s="703"/>
      <c r="CF31" s="703"/>
      <c r="CG31" s="703"/>
      <c r="CH31" s="708">
        <v>244.53228800571375</v>
      </c>
      <c r="CI31" s="700"/>
      <c r="CJ31" s="701"/>
      <c r="CK31" s="701"/>
      <c r="CL31" s="701"/>
      <c r="CM31" s="705"/>
      <c r="CN31" s="706"/>
      <c r="CO31" s="701"/>
      <c r="CP31" s="701"/>
      <c r="CQ31" s="702"/>
    </row>
    <row r="32" spans="1:95" ht="15.75" thickBot="1">
      <c r="A32" s="425"/>
      <c r="B32" s="561">
        <v>2011</v>
      </c>
      <c r="C32" s="604">
        <v>0</v>
      </c>
      <c r="D32" s="605">
        <v>0</v>
      </c>
      <c r="E32" s="605">
        <v>0</v>
      </c>
      <c r="F32" s="605">
        <v>0</v>
      </c>
      <c r="G32" s="605">
        <v>0</v>
      </c>
      <c r="H32" s="605">
        <v>0</v>
      </c>
      <c r="I32" s="605">
        <v>0</v>
      </c>
      <c r="J32" s="605">
        <v>0</v>
      </c>
      <c r="K32" s="605">
        <v>0</v>
      </c>
      <c r="L32" s="605">
        <v>0</v>
      </c>
      <c r="M32" s="605">
        <v>0</v>
      </c>
      <c r="N32" s="676">
        <v>0</v>
      </c>
      <c r="O32" s="609">
        <v>0</v>
      </c>
      <c r="P32" s="605">
        <v>0.16822462106160002</v>
      </c>
      <c r="Q32" s="605">
        <v>10.765257051600001</v>
      </c>
      <c r="R32" s="605">
        <v>0</v>
      </c>
      <c r="S32" s="605">
        <v>0</v>
      </c>
      <c r="T32" s="605">
        <v>0</v>
      </c>
      <c r="U32" s="605">
        <v>0</v>
      </c>
      <c r="V32" s="605">
        <v>0</v>
      </c>
      <c r="W32" s="605">
        <v>0</v>
      </c>
      <c r="X32" s="605">
        <v>0</v>
      </c>
      <c r="Y32" s="605">
        <v>0</v>
      </c>
      <c r="Z32" s="603">
        <v>0</v>
      </c>
      <c r="AA32" s="604">
        <v>28.692276260606409</v>
      </c>
      <c r="AB32" s="605">
        <v>4.1078019564000003</v>
      </c>
      <c r="AC32" s="605">
        <v>0</v>
      </c>
      <c r="AD32" s="605">
        <v>0</v>
      </c>
      <c r="AE32" s="605">
        <v>0</v>
      </c>
      <c r="AF32" s="605">
        <v>0</v>
      </c>
      <c r="AG32" s="605">
        <v>0</v>
      </c>
      <c r="AH32" s="605">
        <v>0</v>
      </c>
      <c r="AI32" s="603">
        <v>0</v>
      </c>
      <c r="AJ32" s="610">
        <v>0</v>
      </c>
      <c r="AK32" s="570"/>
      <c r="AL32" s="571"/>
      <c r="AM32" s="571"/>
      <c r="AN32" s="571"/>
      <c r="AO32" s="571"/>
      <c r="AP32" s="572"/>
      <c r="AQ32" s="604">
        <v>20.267867550700451</v>
      </c>
      <c r="AR32" s="605">
        <v>168.47357301994711</v>
      </c>
      <c r="AS32" s="605">
        <v>0</v>
      </c>
      <c r="AT32" s="605">
        <v>0</v>
      </c>
      <c r="AU32" s="605">
        <v>0</v>
      </c>
      <c r="AV32" s="605">
        <v>0</v>
      </c>
      <c r="AW32" s="605">
        <v>0</v>
      </c>
      <c r="AX32" s="605">
        <v>0</v>
      </c>
      <c r="AY32" s="605">
        <v>6.5714866875782851</v>
      </c>
      <c r="AZ32" s="603">
        <v>0</v>
      </c>
      <c r="BA32" s="601">
        <v>1725.759394585946</v>
      </c>
      <c r="BB32" s="602">
        <v>1133.0176296750844</v>
      </c>
      <c r="BC32" s="707">
        <v>363.10760117019004</v>
      </c>
      <c r="BD32" s="604">
        <v>652.35712034107928</v>
      </c>
      <c r="BE32" s="605">
        <v>0</v>
      </c>
      <c r="BF32" s="605">
        <v>0</v>
      </c>
      <c r="BG32" s="606">
        <v>0</v>
      </c>
      <c r="BH32" s="607">
        <v>476.03641789847842</v>
      </c>
      <c r="BI32" s="605">
        <v>0</v>
      </c>
      <c r="BJ32" s="605">
        <v>0</v>
      </c>
      <c r="BK32" s="608">
        <v>0</v>
      </c>
      <c r="BL32" s="604">
        <v>285.51344744847995</v>
      </c>
      <c r="BM32" s="609">
        <v>0</v>
      </c>
      <c r="BN32" s="605">
        <v>0</v>
      </c>
      <c r="BO32" s="605">
        <v>0</v>
      </c>
      <c r="BP32" s="605">
        <v>0.1926176119872561</v>
      </c>
      <c r="BQ32" s="605">
        <v>0</v>
      </c>
      <c r="BR32" s="606">
        <v>0</v>
      </c>
      <c r="BS32" s="610">
        <v>36.483404251679993</v>
      </c>
      <c r="BT32" s="700"/>
      <c r="BU32" s="701"/>
      <c r="BV32" s="701"/>
      <c r="BW32" s="701"/>
      <c r="BX32" s="702"/>
      <c r="BY32" s="677">
        <v>0</v>
      </c>
      <c r="BZ32" s="678">
        <v>455.145621101568</v>
      </c>
      <c r="CA32" s="678">
        <v>0</v>
      </c>
      <c r="CB32" s="679">
        <v>0</v>
      </c>
      <c r="CC32" s="703"/>
      <c r="CD32" s="703"/>
      <c r="CE32" s="703"/>
      <c r="CF32" s="703"/>
      <c r="CG32" s="703"/>
      <c r="CH32" s="708">
        <v>249.42293376582808</v>
      </c>
      <c r="CI32" s="700"/>
      <c r="CJ32" s="701"/>
      <c r="CK32" s="701"/>
      <c r="CL32" s="701"/>
      <c r="CM32" s="705"/>
      <c r="CN32" s="706"/>
      <c r="CO32" s="701"/>
      <c r="CP32" s="701"/>
      <c r="CQ32" s="702"/>
    </row>
    <row r="33" spans="1:95" ht="15.75" thickBot="1">
      <c r="A33" s="425"/>
      <c r="B33" s="561">
        <v>2012</v>
      </c>
      <c r="C33" s="604">
        <v>0</v>
      </c>
      <c r="D33" s="605">
        <v>0</v>
      </c>
      <c r="E33" s="605">
        <v>0</v>
      </c>
      <c r="F33" s="605">
        <v>0</v>
      </c>
      <c r="G33" s="605">
        <v>0</v>
      </c>
      <c r="H33" s="605">
        <v>0</v>
      </c>
      <c r="I33" s="605">
        <v>0</v>
      </c>
      <c r="J33" s="605">
        <v>0</v>
      </c>
      <c r="K33" s="605">
        <v>0</v>
      </c>
      <c r="L33" s="605">
        <v>0</v>
      </c>
      <c r="M33" s="605">
        <v>0</v>
      </c>
      <c r="N33" s="676">
        <v>0</v>
      </c>
      <c r="O33" s="609">
        <v>0</v>
      </c>
      <c r="P33" s="605">
        <v>0.17158911348283201</v>
      </c>
      <c r="Q33" s="605">
        <v>10.980562192632002</v>
      </c>
      <c r="R33" s="605">
        <v>0</v>
      </c>
      <c r="S33" s="605">
        <v>0</v>
      </c>
      <c r="T33" s="605">
        <v>0</v>
      </c>
      <c r="U33" s="605">
        <v>0</v>
      </c>
      <c r="V33" s="605">
        <v>0</v>
      </c>
      <c r="W33" s="605">
        <v>0</v>
      </c>
      <c r="X33" s="605">
        <v>0</v>
      </c>
      <c r="Y33" s="605">
        <v>0</v>
      </c>
      <c r="Z33" s="603">
        <v>0</v>
      </c>
      <c r="AA33" s="604">
        <v>29.266121785818537</v>
      </c>
      <c r="AB33" s="605">
        <v>4.1899579955280002</v>
      </c>
      <c r="AC33" s="605">
        <v>0</v>
      </c>
      <c r="AD33" s="605">
        <v>0</v>
      </c>
      <c r="AE33" s="605">
        <v>0</v>
      </c>
      <c r="AF33" s="605">
        <v>0</v>
      </c>
      <c r="AG33" s="605">
        <v>0</v>
      </c>
      <c r="AH33" s="605">
        <v>0</v>
      </c>
      <c r="AI33" s="603">
        <v>0</v>
      </c>
      <c r="AJ33" s="610">
        <v>0</v>
      </c>
      <c r="AK33" s="570"/>
      <c r="AL33" s="571"/>
      <c r="AM33" s="571"/>
      <c r="AN33" s="571"/>
      <c r="AO33" s="571"/>
      <c r="AP33" s="572"/>
      <c r="AQ33" s="604">
        <v>20.267867550700451</v>
      </c>
      <c r="AR33" s="605">
        <v>175.27990536995296</v>
      </c>
      <c r="AS33" s="605">
        <v>0</v>
      </c>
      <c r="AT33" s="605">
        <v>0</v>
      </c>
      <c r="AU33" s="605">
        <v>0</v>
      </c>
      <c r="AV33" s="605">
        <v>0</v>
      </c>
      <c r="AW33" s="605">
        <v>0</v>
      </c>
      <c r="AX33" s="605">
        <v>0</v>
      </c>
      <c r="AY33" s="605">
        <v>6.7029164213298511</v>
      </c>
      <c r="AZ33" s="603">
        <v>0</v>
      </c>
      <c r="BA33" s="601">
        <v>1760.2745824776648</v>
      </c>
      <c r="BB33" s="602">
        <v>1155.677982268586</v>
      </c>
      <c r="BC33" s="707">
        <v>370.36975319359379</v>
      </c>
      <c r="BD33" s="604">
        <v>665.40426274790093</v>
      </c>
      <c r="BE33" s="605">
        <v>0</v>
      </c>
      <c r="BF33" s="605">
        <v>0</v>
      </c>
      <c r="BG33" s="606">
        <v>0</v>
      </c>
      <c r="BH33" s="607">
        <v>485.55714625644805</v>
      </c>
      <c r="BI33" s="605">
        <v>0</v>
      </c>
      <c r="BJ33" s="605">
        <v>0</v>
      </c>
      <c r="BK33" s="608">
        <v>0</v>
      </c>
      <c r="BL33" s="604">
        <v>291.22371639744955</v>
      </c>
      <c r="BM33" s="609">
        <v>0</v>
      </c>
      <c r="BN33" s="605">
        <v>0</v>
      </c>
      <c r="BO33" s="605">
        <v>0</v>
      </c>
      <c r="BP33" s="605">
        <v>0.19646996422700122</v>
      </c>
      <c r="BQ33" s="605">
        <v>0</v>
      </c>
      <c r="BR33" s="606">
        <v>0</v>
      </c>
      <c r="BS33" s="610">
        <v>37.213072336713594</v>
      </c>
      <c r="BT33" s="700"/>
      <c r="BU33" s="701"/>
      <c r="BV33" s="701"/>
      <c r="BW33" s="701"/>
      <c r="BX33" s="702"/>
      <c r="BY33" s="677">
        <v>0</v>
      </c>
      <c r="BZ33" s="678">
        <v>464.24853352359941</v>
      </c>
      <c r="CA33" s="678">
        <v>0</v>
      </c>
      <c r="CB33" s="679">
        <v>0</v>
      </c>
      <c r="CC33" s="703"/>
      <c r="CD33" s="703"/>
      <c r="CE33" s="703"/>
      <c r="CF33" s="703"/>
      <c r="CG33" s="703"/>
      <c r="CH33" s="708">
        <v>254.41139244114459</v>
      </c>
      <c r="CI33" s="700"/>
      <c r="CJ33" s="701"/>
      <c r="CK33" s="701"/>
      <c r="CL33" s="701"/>
      <c r="CM33" s="705"/>
      <c r="CN33" s="706"/>
      <c r="CO33" s="701"/>
      <c r="CP33" s="701"/>
      <c r="CQ33" s="702"/>
    </row>
    <row r="34" spans="1:95" ht="15.75" thickBot="1">
      <c r="A34" s="425"/>
      <c r="B34" s="561">
        <v>2013</v>
      </c>
      <c r="C34" s="604">
        <v>0</v>
      </c>
      <c r="D34" s="605">
        <v>0</v>
      </c>
      <c r="E34" s="605">
        <v>0</v>
      </c>
      <c r="F34" s="605">
        <v>0</v>
      </c>
      <c r="G34" s="605">
        <v>0</v>
      </c>
      <c r="H34" s="605">
        <v>0</v>
      </c>
      <c r="I34" s="605">
        <v>0</v>
      </c>
      <c r="J34" s="605">
        <v>0</v>
      </c>
      <c r="K34" s="605">
        <v>0</v>
      </c>
      <c r="L34" s="605">
        <v>0</v>
      </c>
      <c r="M34" s="605">
        <v>0</v>
      </c>
      <c r="N34" s="676">
        <v>0</v>
      </c>
      <c r="O34" s="609">
        <v>0</v>
      </c>
      <c r="P34" s="605">
        <v>0.17502089575248864</v>
      </c>
      <c r="Q34" s="605">
        <v>11.200173436484642</v>
      </c>
      <c r="R34" s="605">
        <v>0</v>
      </c>
      <c r="S34" s="605">
        <v>0</v>
      </c>
      <c r="T34" s="605">
        <v>0</v>
      </c>
      <c r="U34" s="605">
        <v>0</v>
      </c>
      <c r="V34" s="605">
        <v>0</v>
      </c>
      <c r="W34" s="605">
        <v>0</v>
      </c>
      <c r="X34" s="605">
        <v>0</v>
      </c>
      <c r="Y34" s="605">
        <v>0</v>
      </c>
      <c r="Z34" s="603">
        <v>0</v>
      </c>
      <c r="AA34" s="604">
        <v>29.851444221534905</v>
      </c>
      <c r="AB34" s="605">
        <v>4.2737571554385605</v>
      </c>
      <c r="AC34" s="605">
        <v>0</v>
      </c>
      <c r="AD34" s="605">
        <v>0</v>
      </c>
      <c r="AE34" s="605">
        <v>0</v>
      </c>
      <c r="AF34" s="605">
        <v>0</v>
      </c>
      <c r="AG34" s="605">
        <v>0</v>
      </c>
      <c r="AH34" s="605">
        <v>0</v>
      </c>
      <c r="AI34" s="603">
        <v>0</v>
      </c>
      <c r="AJ34" s="610">
        <v>0</v>
      </c>
      <c r="AK34" s="570"/>
      <c r="AL34" s="571"/>
      <c r="AM34" s="571"/>
      <c r="AN34" s="571"/>
      <c r="AO34" s="571"/>
      <c r="AP34" s="572"/>
      <c r="AQ34" s="604">
        <v>20.267867550700451</v>
      </c>
      <c r="AR34" s="605">
        <v>182.36121354689902</v>
      </c>
      <c r="AS34" s="605">
        <v>0</v>
      </c>
      <c r="AT34" s="605">
        <v>0</v>
      </c>
      <c r="AU34" s="605">
        <v>0</v>
      </c>
      <c r="AV34" s="605">
        <v>0</v>
      </c>
      <c r="AW34" s="605">
        <v>0</v>
      </c>
      <c r="AX34" s="605">
        <v>0</v>
      </c>
      <c r="AY34" s="605">
        <v>6.8369747497564477</v>
      </c>
      <c r="AZ34" s="603">
        <v>0</v>
      </c>
      <c r="BA34" s="601">
        <v>1795.4800741272184</v>
      </c>
      <c r="BB34" s="602">
        <v>1178.7915419139579</v>
      </c>
      <c r="BC34" s="707">
        <v>377.77714825746568</v>
      </c>
      <c r="BD34" s="604">
        <v>678.7123480028589</v>
      </c>
      <c r="BE34" s="605">
        <v>0</v>
      </c>
      <c r="BF34" s="605">
        <v>0</v>
      </c>
      <c r="BG34" s="606">
        <v>0</v>
      </c>
      <c r="BH34" s="607">
        <v>495.26828918157707</v>
      </c>
      <c r="BI34" s="605">
        <v>0</v>
      </c>
      <c r="BJ34" s="605">
        <v>0</v>
      </c>
      <c r="BK34" s="608">
        <v>0</v>
      </c>
      <c r="BL34" s="604">
        <v>297.04819072539851</v>
      </c>
      <c r="BM34" s="609">
        <v>0</v>
      </c>
      <c r="BN34" s="605">
        <v>0</v>
      </c>
      <c r="BO34" s="605">
        <v>0</v>
      </c>
      <c r="BP34" s="605">
        <v>0.20039936351154125</v>
      </c>
      <c r="BQ34" s="605">
        <v>0</v>
      </c>
      <c r="BR34" s="606">
        <v>0</v>
      </c>
      <c r="BS34" s="610">
        <v>37.957333783447872</v>
      </c>
      <c r="BT34" s="700"/>
      <c r="BU34" s="701"/>
      <c r="BV34" s="701"/>
      <c r="BW34" s="701"/>
      <c r="BX34" s="702"/>
      <c r="BY34" s="677">
        <v>0</v>
      </c>
      <c r="BZ34" s="678">
        <v>473.53350419407138</v>
      </c>
      <c r="CA34" s="678">
        <v>0</v>
      </c>
      <c r="CB34" s="679">
        <v>0</v>
      </c>
      <c r="CC34" s="703"/>
      <c r="CD34" s="703"/>
      <c r="CE34" s="703"/>
      <c r="CF34" s="703"/>
      <c r="CG34" s="703"/>
      <c r="CH34" s="708">
        <v>259.49962028996754</v>
      </c>
      <c r="CI34" s="700"/>
      <c r="CJ34" s="701"/>
      <c r="CK34" s="701"/>
      <c r="CL34" s="701"/>
      <c r="CM34" s="705"/>
      <c r="CN34" s="706"/>
      <c r="CO34" s="701"/>
      <c r="CP34" s="701"/>
      <c r="CQ34" s="702"/>
    </row>
    <row r="35" spans="1:95" ht="15.75" thickBot="1">
      <c r="A35" s="425"/>
      <c r="B35" s="561">
        <v>2014</v>
      </c>
      <c r="C35" s="604">
        <v>0</v>
      </c>
      <c r="D35" s="605">
        <v>0</v>
      </c>
      <c r="E35" s="605">
        <v>0</v>
      </c>
      <c r="F35" s="605">
        <v>0</v>
      </c>
      <c r="G35" s="605">
        <v>0</v>
      </c>
      <c r="H35" s="605">
        <v>0</v>
      </c>
      <c r="I35" s="605">
        <v>0</v>
      </c>
      <c r="J35" s="605">
        <v>0</v>
      </c>
      <c r="K35" s="605">
        <v>0</v>
      </c>
      <c r="L35" s="605">
        <v>0</v>
      </c>
      <c r="M35" s="605">
        <v>0</v>
      </c>
      <c r="N35" s="676">
        <v>0</v>
      </c>
      <c r="O35" s="609">
        <v>0</v>
      </c>
      <c r="P35" s="605">
        <v>0.1785213136675384</v>
      </c>
      <c r="Q35" s="605">
        <v>11.424176905214335</v>
      </c>
      <c r="R35" s="605">
        <v>0</v>
      </c>
      <c r="S35" s="605">
        <v>0</v>
      </c>
      <c r="T35" s="605">
        <v>0</v>
      </c>
      <c r="U35" s="605">
        <v>0</v>
      </c>
      <c r="V35" s="605">
        <v>0</v>
      </c>
      <c r="W35" s="605">
        <v>0</v>
      </c>
      <c r="X35" s="605">
        <v>0</v>
      </c>
      <c r="Y35" s="605">
        <v>0</v>
      </c>
      <c r="Z35" s="603">
        <v>0</v>
      </c>
      <c r="AA35" s="604">
        <v>30.448473105965604</v>
      </c>
      <c r="AB35" s="605">
        <v>4.3592322985473322</v>
      </c>
      <c r="AC35" s="605">
        <v>0</v>
      </c>
      <c r="AD35" s="605">
        <v>0</v>
      </c>
      <c r="AE35" s="605">
        <v>0</v>
      </c>
      <c r="AF35" s="605">
        <v>0</v>
      </c>
      <c r="AG35" s="605">
        <v>0</v>
      </c>
      <c r="AH35" s="605">
        <v>0</v>
      </c>
      <c r="AI35" s="603">
        <v>0</v>
      </c>
      <c r="AJ35" s="610">
        <v>0</v>
      </c>
      <c r="AK35" s="570"/>
      <c r="AL35" s="571"/>
      <c r="AM35" s="571"/>
      <c r="AN35" s="571"/>
      <c r="AO35" s="571"/>
      <c r="AP35" s="572"/>
      <c r="AQ35" s="604">
        <v>20.267867550700451</v>
      </c>
      <c r="AR35" s="605">
        <v>189.72860657419378</v>
      </c>
      <c r="AS35" s="605">
        <v>0</v>
      </c>
      <c r="AT35" s="605">
        <v>0</v>
      </c>
      <c r="AU35" s="605">
        <v>0</v>
      </c>
      <c r="AV35" s="605">
        <v>0</v>
      </c>
      <c r="AW35" s="605">
        <v>0</v>
      </c>
      <c r="AX35" s="605">
        <v>0</v>
      </c>
      <c r="AY35" s="605">
        <v>6.9737142447515765</v>
      </c>
      <c r="AZ35" s="603">
        <v>0</v>
      </c>
      <c r="BA35" s="601">
        <v>1831.3896756097629</v>
      </c>
      <c r="BB35" s="602">
        <v>1202.3673727522371</v>
      </c>
      <c r="BC35" s="707">
        <v>385.33269122261498</v>
      </c>
      <c r="BD35" s="604">
        <v>692.28659496291607</v>
      </c>
      <c r="BE35" s="605">
        <v>0</v>
      </c>
      <c r="BF35" s="605">
        <v>0</v>
      </c>
      <c r="BG35" s="606">
        <v>0</v>
      </c>
      <c r="BH35" s="607">
        <v>505.17365496520864</v>
      </c>
      <c r="BI35" s="605">
        <v>0</v>
      </c>
      <c r="BJ35" s="605">
        <v>0</v>
      </c>
      <c r="BK35" s="608">
        <v>0</v>
      </c>
      <c r="BL35" s="604">
        <v>302.98915453990651</v>
      </c>
      <c r="BM35" s="609">
        <v>0</v>
      </c>
      <c r="BN35" s="605">
        <v>0</v>
      </c>
      <c r="BO35" s="605">
        <v>0</v>
      </c>
      <c r="BP35" s="605">
        <v>0.20440735078177208</v>
      </c>
      <c r="BQ35" s="605">
        <v>0</v>
      </c>
      <c r="BR35" s="606">
        <v>0</v>
      </c>
      <c r="BS35" s="610">
        <v>38.716480459116831</v>
      </c>
      <c r="BT35" s="700"/>
      <c r="BU35" s="701"/>
      <c r="BV35" s="701"/>
      <c r="BW35" s="701"/>
      <c r="BX35" s="702"/>
      <c r="BY35" s="677">
        <v>0</v>
      </c>
      <c r="BZ35" s="678">
        <v>483.00417427795287</v>
      </c>
      <c r="CA35" s="678">
        <v>0</v>
      </c>
      <c r="CB35" s="679">
        <v>0</v>
      </c>
      <c r="CC35" s="703"/>
      <c r="CD35" s="703"/>
      <c r="CE35" s="703"/>
      <c r="CF35" s="703"/>
      <c r="CG35" s="703"/>
      <c r="CH35" s="708">
        <v>264.68961269576693</v>
      </c>
      <c r="CI35" s="700"/>
      <c r="CJ35" s="701"/>
      <c r="CK35" s="701"/>
      <c r="CL35" s="701"/>
      <c r="CM35" s="705"/>
      <c r="CN35" s="706"/>
      <c r="CO35" s="701"/>
      <c r="CP35" s="701"/>
      <c r="CQ35" s="702"/>
    </row>
    <row r="36" spans="1:95" ht="15.75" thickBot="1">
      <c r="A36" s="425"/>
      <c r="B36" s="561">
        <v>2015</v>
      </c>
      <c r="C36" s="604">
        <v>0</v>
      </c>
      <c r="D36" s="605">
        <v>0</v>
      </c>
      <c r="E36" s="605">
        <v>0</v>
      </c>
      <c r="F36" s="605">
        <v>0</v>
      </c>
      <c r="G36" s="605">
        <v>0</v>
      </c>
      <c r="H36" s="605">
        <v>0</v>
      </c>
      <c r="I36" s="605">
        <v>0</v>
      </c>
      <c r="J36" s="605">
        <v>0</v>
      </c>
      <c r="K36" s="605">
        <v>0</v>
      </c>
      <c r="L36" s="605">
        <v>0</v>
      </c>
      <c r="M36" s="605">
        <v>0</v>
      </c>
      <c r="N36" s="676">
        <v>0</v>
      </c>
      <c r="O36" s="609">
        <v>0</v>
      </c>
      <c r="P36" s="605">
        <v>0.1820917399408892</v>
      </c>
      <c r="Q36" s="605">
        <v>11.652660443318622</v>
      </c>
      <c r="R36" s="605">
        <v>0</v>
      </c>
      <c r="S36" s="605">
        <v>0</v>
      </c>
      <c r="T36" s="605">
        <v>0</v>
      </c>
      <c r="U36" s="605">
        <v>0</v>
      </c>
      <c r="V36" s="605">
        <v>0</v>
      </c>
      <c r="W36" s="605">
        <v>0</v>
      </c>
      <c r="X36" s="605">
        <v>0</v>
      </c>
      <c r="Y36" s="605">
        <v>0</v>
      </c>
      <c r="Z36" s="603">
        <v>0</v>
      </c>
      <c r="AA36" s="604">
        <v>31.05744256808492</v>
      </c>
      <c r="AB36" s="605">
        <v>4.4464169445182788</v>
      </c>
      <c r="AC36" s="605">
        <v>0</v>
      </c>
      <c r="AD36" s="605">
        <v>0</v>
      </c>
      <c r="AE36" s="605">
        <v>0</v>
      </c>
      <c r="AF36" s="605">
        <v>0</v>
      </c>
      <c r="AG36" s="605">
        <v>0</v>
      </c>
      <c r="AH36" s="605">
        <v>0</v>
      </c>
      <c r="AI36" s="603">
        <v>0</v>
      </c>
      <c r="AJ36" s="610">
        <v>0</v>
      </c>
      <c r="AK36" s="570"/>
      <c r="AL36" s="571"/>
      <c r="AM36" s="571"/>
      <c r="AN36" s="571"/>
      <c r="AO36" s="571"/>
      <c r="AP36" s="572"/>
      <c r="AQ36" s="604">
        <v>20.267867550700451</v>
      </c>
      <c r="AR36" s="605">
        <v>197.39364227979118</v>
      </c>
      <c r="AS36" s="605">
        <v>0</v>
      </c>
      <c r="AT36" s="605">
        <v>0</v>
      </c>
      <c r="AU36" s="605">
        <v>0</v>
      </c>
      <c r="AV36" s="605">
        <v>0</v>
      </c>
      <c r="AW36" s="605">
        <v>0</v>
      </c>
      <c r="AX36" s="605">
        <v>0</v>
      </c>
      <c r="AY36" s="605">
        <v>7.1131885296466084</v>
      </c>
      <c r="AZ36" s="603">
        <v>0</v>
      </c>
      <c r="BA36" s="601">
        <v>1868.0174691219581</v>
      </c>
      <c r="BB36" s="602">
        <v>1226.4147202072818</v>
      </c>
      <c r="BC36" s="707">
        <v>393.03934504706729</v>
      </c>
      <c r="BD36" s="604">
        <v>706.13232686217441</v>
      </c>
      <c r="BE36" s="605">
        <v>0</v>
      </c>
      <c r="BF36" s="605">
        <v>0</v>
      </c>
      <c r="BG36" s="606">
        <v>0</v>
      </c>
      <c r="BH36" s="607">
        <v>515.27712806451279</v>
      </c>
      <c r="BI36" s="605">
        <v>0</v>
      </c>
      <c r="BJ36" s="605">
        <v>0</v>
      </c>
      <c r="BK36" s="608">
        <v>0</v>
      </c>
      <c r="BL36" s="604">
        <v>309.04893763070464</v>
      </c>
      <c r="BM36" s="609">
        <v>0</v>
      </c>
      <c r="BN36" s="605">
        <v>0</v>
      </c>
      <c r="BO36" s="605">
        <v>0</v>
      </c>
      <c r="BP36" s="605">
        <v>0.20849549779740753</v>
      </c>
      <c r="BQ36" s="605">
        <v>0</v>
      </c>
      <c r="BR36" s="606">
        <v>0</v>
      </c>
      <c r="BS36" s="610">
        <v>39.490810068299169</v>
      </c>
      <c r="BT36" s="700"/>
      <c r="BU36" s="701"/>
      <c r="BV36" s="701"/>
      <c r="BW36" s="701"/>
      <c r="BX36" s="702"/>
      <c r="BY36" s="677">
        <v>0</v>
      </c>
      <c r="BZ36" s="678">
        <v>492.6642577635119</v>
      </c>
      <c r="CA36" s="678">
        <v>0</v>
      </c>
      <c r="CB36" s="679">
        <v>0</v>
      </c>
      <c r="CC36" s="703"/>
      <c r="CD36" s="703"/>
      <c r="CE36" s="703"/>
      <c r="CF36" s="703"/>
      <c r="CG36" s="703"/>
      <c r="CH36" s="708">
        <v>269.98340494968227</v>
      </c>
      <c r="CI36" s="700"/>
      <c r="CJ36" s="701"/>
      <c r="CK36" s="701"/>
      <c r="CL36" s="701"/>
      <c r="CM36" s="705"/>
      <c r="CN36" s="706"/>
      <c r="CO36" s="701"/>
      <c r="CP36" s="701"/>
      <c r="CQ36" s="702"/>
    </row>
  </sheetData>
  <mergeCells count="1">
    <mergeCell ref="BS7:BS8"/>
  </mergeCells>
  <pageMargins left="0.7" right="0.7" top="0.75" bottom="0.75" header="0.3" footer="0.3"/>
</worksheet>
</file>

<file path=xl/worksheets/sheet80.xml><?xml version="1.0" encoding="utf-8"?>
<worksheet xmlns="http://schemas.openxmlformats.org/spreadsheetml/2006/main" xmlns:r="http://schemas.openxmlformats.org/officeDocument/2006/relationships">
  <sheetPr codeName="Sheet72">
    <pageSetUpPr fitToPage="1"/>
  </sheetPr>
  <dimension ref="A1:BE96"/>
  <sheetViews>
    <sheetView workbookViewId="0"/>
  </sheetViews>
  <sheetFormatPr defaultRowHeight="15"/>
  <cols>
    <col min="1" max="1" width="45.42578125" bestFit="1" customWidth="1"/>
    <col min="2" max="2" width="6" bestFit="1" customWidth="1"/>
    <col min="3" max="3" width="13.7109375" bestFit="1" customWidth="1"/>
    <col min="4" max="4" width="10" bestFit="1" customWidth="1"/>
    <col min="5" max="8" width="11.5703125" bestFit="1" customWidth="1"/>
    <col min="9" max="9" width="11.5703125" hidden="1" customWidth="1"/>
    <col min="10" max="29" width="12.5703125" hidden="1" customWidth="1"/>
    <col min="30" max="43" width="11.85546875" hidden="1" customWidth="1"/>
    <col min="44" max="44" width="1.7109375" customWidth="1"/>
    <col min="45" max="45" width="12.5703125" bestFit="1" customWidth="1"/>
    <col min="46" max="46" width="1.7109375" customWidth="1"/>
    <col min="47" max="47" width="12.85546875" bestFit="1" customWidth="1"/>
    <col min="48" max="48" width="1.7109375" customWidth="1"/>
    <col min="49" max="49" width="12.85546875" bestFit="1" customWidth="1"/>
    <col min="50" max="50" width="1.7109375" customWidth="1"/>
    <col min="51" max="51" width="12.85546875" bestFit="1" customWidth="1"/>
    <col min="52" max="52" width="1.7109375" customWidth="1"/>
    <col min="53" max="53" width="12.85546875" bestFit="1" customWidth="1"/>
    <col min="54" max="54" width="1.7109375" customWidth="1"/>
    <col min="55" max="55" width="12.85546875" bestFit="1" customWidth="1"/>
    <col min="56" max="56" width="1.7109375" customWidth="1"/>
    <col min="57" max="57" width="12.85546875" bestFit="1" customWidth="1"/>
  </cols>
  <sheetData>
    <row r="1" spans="1:57" ht="28.5" customHeight="1"/>
    <row r="2" spans="1:57" s="10" customFormat="1">
      <c r="A2" s="16" t="str">
        <f>PortfolioCFStatement!D725</f>
        <v>Incremental OPEX (Non-Fuel and Fuel)</v>
      </c>
      <c r="B2" s="1270" t="str">
        <f>PortfolioCFStatement!E725</f>
        <v>Units</v>
      </c>
      <c r="C2" s="1458" t="str">
        <f>PortfolioCFStatement!F725</f>
        <v>PV (2011$)</v>
      </c>
      <c r="D2" s="1270">
        <f>PortfolioCFStatement!G725</f>
        <v>2011</v>
      </c>
      <c r="E2" s="1270">
        <f>PortfolioCFStatement!H725</f>
        <v>2012</v>
      </c>
      <c r="F2" s="1270">
        <f>PortfolioCFStatement!I725</f>
        <v>2013</v>
      </c>
      <c r="G2" s="1270">
        <f>PortfolioCFStatement!J725</f>
        <v>2014</v>
      </c>
      <c r="H2" s="1270">
        <f>PortfolioCFStatement!K725</f>
        <v>2015</v>
      </c>
      <c r="I2" s="1270">
        <f>PortfolioCFStatement!L725</f>
        <v>2016</v>
      </c>
      <c r="J2" s="1270">
        <f>PortfolioCFStatement!M725</f>
        <v>2017</v>
      </c>
      <c r="K2" s="1270">
        <f>PortfolioCFStatement!N725</f>
        <v>2018</v>
      </c>
      <c r="L2" s="1270">
        <f>PortfolioCFStatement!O725</f>
        <v>2019</v>
      </c>
      <c r="M2" s="1270">
        <f>PortfolioCFStatement!P725</f>
        <v>2020</v>
      </c>
      <c r="N2" s="1270">
        <f>PortfolioCFStatement!Q725</f>
        <v>2021</v>
      </c>
      <c r="O2" s="1270">
        <f>PortfolioCFStatement!R725</f>
        <v>2022</v>
      </c>
      <c r="P2" s="1270">
        <f>PortfolioCFStatement!S725</f>
        <v>2023</v>
      </c>
      <c r="Q2" s="1270">
        <f>PortfolioCFStatement!T725</f>
        <v>2024</v>
      </c>
      <c r="R2" s="1270">
        <f>PortfolioCFStatement!U725</f>
        <v>2025</v>
      </c>
      <c r="S2" s="1270">
        <f>PortfolioCFStatement!V725</f>
        <v>2026</v>
      </c>
      <c r="T2" s="1270">
        <f>PortfolioCFStatement!W725</f>
        <v>2027</v>
      </c>
      <c r="U2" s="1270">
        <f>PortfolioCFStatement!X725</f>
        <v>2028</v>
      </c>
      <c r="V2" s="1270">
        <f>PortfolioCFStatement!Y725</f>
        <v>2029</v>
      </c>
      <c r="W2" s="1270">
        <f>PortfolioCFStatement!Z725</f>
        <v>2030</v>
      </c>
      <c r="X2" s="1270">
        <f>PortfolioCFStatement!AA725</f>
        <v>2031</v>
      </c>
      <c r="Y2" s="1270">
        <f>PortfolioCFStatement!AB725</f>
        <v>2032</v>
      </c>
      <c r="Z2" s="1270">
        <f>PortfolioCFStatement!AC725</f>
        <v>2033</v>
      </c>
      <c r="AA2" s="1270">
        <f>PortfolioCFStatement!AD725</f>
        <v>2034</v>
      </c>
      <c r="AB2" s="1270">
        <f>PortfolioCFStatement!AE725</f>
        <v>2035</v>
      </c>
      <c r="AC2" s="1270">
        <f>PortfolioCFStatement!AF725</f>
        <v>2036</v>
      </c>
      <c r="AD2" s="1270">
        <f>PortfolioCFStatement!AG725</f>
        <v>2037</v>
      </c>
      <c r="AE2" s="1270">
        <f>PortfolioCFStatement!AH725</f>
        <v>2038</v>
      </c>
      <c r="AF2" s="1270">
        <f>PortfolioCFStatement!AI725</f>
        <v>2039</v>
      </c>
      <c r="AG2" s="1270">
        <f>PortfolioCFStatement!AJ725</f>
        <v>2040</v>
      </c>
      <c r="AH2" s="1270">
        <f>PortfolioCFStatement!AK725</f>
        <v>2041</v>
      </c>
      <c r="AI2" s="1270">
        <f>PortfolioCFStatement!AL725</f>
        <v>2042</v>
      </c>
      <c r="AJ2" s="1270">
        <f>PortfolioCFStatement!AM725</f>
        <v>2043</v>
      </c>
      <c r="AK2" s="1270">
        <f>PortfolioCFStatement!AN725</f>
        <v>2044</v>
      </c>
      <c r="AL2" s="1270">
        <f>PortfolioCFStatement!AO725</f>
        <v>2045</v>
      </c>
      <c r="AM2" s="1270">
        <f>PortfolioCFStatement!AP725</f>
        <v>2046</v>
      </c>
      <c r="AN2" s="1270">
        <f>PortfolioCFStatement!AQ725</f>
        <v>2047</v>
      </c>
      <c r="AO2" s="1270">
        <f>PortfolioCFStatement!AR725</f>
        <v>2048</v>
      </c>
      <c r="AP2" s="1270">
        <f>PortfolioCFStatement!AS725</f>
        <v>2049</v>
      </c>
      <c r="AQ2" s="1270">
        <f>PortfolioCFStatement!AT725</f>
        <v>2050</v>
      </c>
      <c r="AR2" s="54"/>
      <c r="AS2" s="1270" t="s">
        <v>1511</v>
      </c>
      <c r="AT2" s="54"/>
      <c r="AU2" s="1270" t="s">
        <v>1512</v>
      </c>
      <c r="AV2" s="54"/>
      <c r="AW2" s="1270" t="s">
        <v>1513</v>
      </c>
      <c r="AX2" s="54"/>
      <c r="AY2" s="1270" t="s">
        <v>1514</v>
      </c>
      <c r="AZ2" s="54"/>
      <c r="BA2" s="1270" t="s">
        <v>1515</v>
      </c>
      <c r="BB2" s="54"/>
      <c r="BC2" s="1270" t="s">
        <v>1516</v>
      </c>
      <c r="BD2" s="54"/>
      <c r="BE2" s="1270" t="s">
        <v>1517</v>
      </c>
    </row>
    <row r="3" spans="1:57" s="10" customFormat="1">
      <c r="A3" s="1465" t="str">
        <f ca="1">PortfolioCFStatement!D726</f>
        <v>Behavior Change</v>
      </c>
      <c r="B3" s="1466" t="str">
        <f>PortfolioCFStatement!E726</f>
        <v>2010$</v>
      </c>
      <c r="C3" s="1460">
        <f ca="1">PortfolioCFStatement!F726</f>
        <v>5460742.8145088917</v>
      </c>
      <c r="D3" s="1467">
        <f ca="1">PortfolioCFStatement!G726</f>
        <v>0</v>
      </c>
      <c r="E3" s="1467">
        <f ca="1">PortfolioCFStatement!H726</f>
        <v>0</v>
      </c>
      <c r="F3" s="1467">
        <f ca="1">PortfolioCFStatement!I726</f>
        <v>53551.203958685095</v>
      </c>
      <c r="G3" s="1467">
        <f ca="1">PortfolioCFStatement!J726</f>
        <v>106568.76063263653</v>
      </c>
      <c r="H3" s="1467">
        <f ca="1">PortfolioCFStatement!K726</f>
        <v>158816.49713506427</v>
      </c>
      <c r="I3" s="1467">
        <f ca="1">PortfolioCFStatement!L726</f>
        <v>211097.00682058392</v>
      </c>
      <c r="J3" s="1467">
        <f ca="1">PortfolioCFStatement!M726</f>
        <v>262678.66776701325</v>
      </c>
      <c r="K3" s="1467">
        <f ca="1">PortfolioCFStatement!N726</f>
        <v>313757.26014464517</v>
      </c>
      <c r="L3" s="1467">
        <f ca="1">PortfolioCFStatement!O726</f>
        <v>353910.49623076181</v>
      </c>
      <c r="M3" s="1467">
        <f ca="1">PortfolioCFStatement!P726</f>
        <v>393634.90475888533</v>
      </c>
      <c r="N3" s="1467">
        <f ca="1">PortfolioCFStatement!Q726</f>
        <v>432919.79512423207</v>
      </c>
      <c r="O3" s="1467">
        <f ca="1">PortfolioCFStatement!R726</f>
        <v>471754.40128885041</v>
      </c>
      <c r="P3" s="1467">
        <f ca="1">PortfolioCFStatement!S726</f>
        <v>510127.87908462167</v>
      </c>
      <c r="Q3" s="1467">
        <f ca="1">PortfolioCFStatement!T726</f>
        <v>507434.54038558574</v>
      </c>
      <c r="R3" s="1467">
        <f ca="1">PortfolioCFStatement!U726</f>
        <v>508222.41153454722</v>
      </c>
      <c r="S3" s="1467">
        <f ca="1">PortfolioCFStatement!V726</f>
        <v>509000.35785039974</v>
      </c>
      <c r="T3" s="1467">
        <f ca="1">PortfolioCFStatement!W726</f>
        <v>509768.38845003967</v>
      </c>
      <c r="U3" s="1467">
        <f ca="1">PortfolioCFStatement!X726</f>
        <v>510526.50810804113</v>
      </c>
      <c r="V3" s="1467">
        <f ca="1">PortfolioCFStatement!Y726</f>
        <v>511274.71743133484</v>
      </c>
      <c r="W3" s="1467">
        <f ca="1">PortfolioCFStatement!Z726</f>
        <v>512013.0130234505</v>
      </c>
      <c r="X3" s="1467">
        <f ca="1">PortfolioCFStatement!AA726</f>
        <v>512741.38763903326</v>
      </c>
      <c r="Y3" s="1467">
        <f ca="1">PortfolioCFStatement!AB726</f>
        <v>513459.83032926579</v>
      </c>
      <c r="Z3" s="1467">
        <f ca="1">PortfolioCFStatement!AC726</f>
        <v>514168.32657880191</v>
      </c>
      <c r="AA3" s="1467">
        <f ca="1">PortfolioCFStatement!AD726</f>
        <v>514866.85843475343</v>
      </c>
      <c r="AB3" s="1467">
        <f ca="1">PortfolioCFStatement!AE726</f>
        <v>516831.57492687076</v>
      </c>
      <c r="AC3" s="1467">
        <f ca="1">PortfolioCFStatement!AF726</f>
        <v>518799.04298926884</v>
      </c>
      <c r="AD3" s="1467">
        <f ca="1">PortfolioCFStatement!AG726</f>
        <v>520769.33077116887</v>
      </c>
      <c r="AE3" s="1467">
        <f ca="1">PortfolioCFStatement!AH726</f>
        <v>522742.50406854681</v>
      </c>
      <c r="AF3" s="1467">
        <f ca="1">PortfolioCFStatement!AI726</f>
        <v>524718.62642436032</v>
      </c>
      <c r="AG3" s="1467">
        <f ca="1">PortfolioCFStatement!AJ726</f>
        <v>526697.759223414</v>
      </c>
      <c r="AH3" s="1467">
        <f ca="1">PortfolioCFStatement!AK726</f>
        <v>528679.96178219956</v>
      </c>
      <c r="AI3" s="1467">
        <f ca="1">PortfolioCFStatement!AL726</f>
        <v>530665.29143400711</v>
      </c>
      <c r="AJ3" s="1467">
        <f ca="1">PortfolioCFStatement!AM726</f>
        <v>532653.80360959505</v>
      </c>
      <c r="AK3" s="1467">
        <f ca="1">PortfolioCFStatement!AN726</f>
        <v>534645.55191368342</v>
      </c>
      <c r="AL3" s="1467">
        <f ca="1">PortfolioCFStatement!AO726</f>
        <v>536640.58819751546</v>
      </c>
      <c r="AM3" s="1467">
        <f ca="1">PortfolioCFStatement!AP726</f>
        <v>538638.96262771834</v>
      </c>
      <c r="AN3" s="1467">
        <f ca="1">PortfolioCFStatement!AQ726</f>
        <v>540640.72375167708</v>
      </c>
      <c r="AO3" s="1467">
        <f ca="1">PortfolioCFStatement!AR726</f>
        <v>542645.91855962179</v>
      </c>
      <c r="AP3" s="1467">
        <f ca="1">PortfolioCFStatement!AS726</f>
        <v>544654.59254361899</v>
      </c>
      <c r="AQ3" s="1467">
        <f ca="1">PortfolioCFStatement!AT726</f>
        <v>546666.78975363541</v>
      </c>
      <c r="AR3" s="1467"/>
      <c r="AS3" s="1467">
        <f t="shared" ref="AS3:AS95" ca="1" si="0">SUM(I3:M3)</f>
        <v>1535078.3357218893</v>
      </c>
      <c r="AT3" s="1468"/>
      <c r="AU3" s="1467">
        <f t="shared" ref="AU3:AU95" ca="1" si="1">SUM(N3:R3)</f>
        <v>2430459.0274178372</v>
      </c>
      <c r="AV3" s="1468"/>
      <c r="AW3" s="1467">
        <f t="shared" ref="AW3:AW95" ca="1" si="2">SUM(S3:W3)</f>
        <v>2552582.9848632659</v>
      </c>
      <c r="AX3" s="1468"/>
      <c r="AY3" s="1467">
        <f t="shared" ref="AY3:AY95" ca="1" si="3">SUM(X3:AB3)</f>
        <v>2572067.9779087254</v>
      </c>
      <c r="AZ3" s="1468"/>
      <c r="BA3" s="1467">
        <f t="shared" ref="BA3:BA95" ca="1" si="4">SUM(AC3:AG3)</f>
        <v>2613727.2634767587</v>
      </c>
      <c r="BB3" s="1468"/>
      <c r="BC3" s="1467">
        <f t="shared" ref="BC3:BC95" ca="1" si="5">SUM(AH3:AL3)</f>
        <v>2663285.1969370004</v>
      </c>
      <c r="BD3" s="1468"/>
      <c r="BE3" s="1467">
        <f t="shared" ref="BE3:BE95" ca="1" si="6">SUM(AM3:AQ3)</f>
        <v>2713246.9872362716</v>
      </c>
    </row>
    <row r="4" spans="1:57" s="10" customFormat="1">
      <c r="A4" s="1465" t="str">
        <f ca="1">PortfolioCFStatement!D727</f>
        <v>Building Design &amp; Construction Standards</v>
      </c>
      <c r="B4" s="1466" t="str">
        <f>PortfolioCFStatement!E727</f>
        <v>2010$</v>
      </c>
      <c r="C4" s="1460">
        <f ca="1">PortfolioCFStatement!F727</f>
        <v>19180497.972776499</v>
      </c>
      <c r="D4" s="1467">
        <f ca="1">PortfolioCFStatement!G727</f>
        <v>0</v>
      </c>
      <c r="E4" s="1467">
        <f ca="1">PortfolioCFStatement!H727</f>
        <v>91394.641811032852</v>
      </c>
      <c r="F4" s="1467">
        <f ca="1">PortfolioCFStatement!I727</f>
        <v>410164.85540353489</v>
      </c>
      <c r="G4" s="1467">
        <f ca="1">PortfolioCFStatement!J727</f>
        <v>535078.75283020758</v>
      </c>
      <c r="H4" s="1467">
        <f ca="1">PortfolioCFStatement!K727</f>
        <v>586445.35079787998</v>
      </c>
      <c r="I4" s="1467">
        <f ca="1">PortfolioCFStatement!L727</f>
        <v>841889.95924922836</v>
      </c>
      <c r="J4" s="1467">
        <f ca="1">PortfolioCFStatement!M727</f>
        <v>896391.00165602495</v>
      </c>
      <c r="K4" s="1467">
        <f ca="1">PortfolioCFStatement!N727</f>
        <v>951515.66256823449</v>
      </c>
      <c r="L4" s="1467">
        <f ca="1">PortfolioCFStatement!O727</f>
        <v>1007264.2710987905</v>
      </c>
      <c r="M4" s="1467">
        <f ca="1">PortfolioCFStatement!P727</f>
        <v>1063637.3323598297</v>
      </c>
      <c r="N4" s="1467">
        <f ca="1">PortfolioCFStatement!Q727</f>
        <v>1120635.5196551729</v>
      </c>
      <c r="O4" s="1467">
        <f ca="1">PortfolioCFStatement!R727</f>
        <v>1178259.6671747195</v>
      </c>
      <c r="P4" s="1467">
        <f ca="1">PortfolioCFStatement!S727</f>
        <v>1236510.7631543872</v>
      </c>
      <c r="Q4" s="1467">
        <f ca="1">PortfolioCFStatement!T727</f>
        <v>1295389.9434682229</v>
      </c>
      <c r="R4" s="1467">
        <f ca="1">PortfolioCFStatement!U727</f>
        <v>1354898.485621993</v>
      </c>
      <c r="S4" s="1467">
        <f ca="1">PortfolioCFStatement!V727</f>
        <v>1415037.8031201465</v>
      </c>
      <c r="T4" s="1467">
        <f ca="1">PortfolioCFStatement!W727</f>
        <v>1475809.4401800768</v>
      </c>
      <c r="U4" s="1467">
        <f ca="1">PortfolioCFStatement!X727</f>
        <v>1537215.0667698823</v>
      </c>
      <c r="V4" s="1467">
        <f ca="1">PortfolioCFStatement!Y727</f>
        <v>1599256.4739475581</v>
      </c>
      <c r="W4" s="1467">
        <f ca="1">PortfolioCFStatement!Z727</f>
        <v>1661935.5694812641</v>
      </c>
      <c r="X4" s="1467">
        <f ca="1">PortfolioCFStatement!AA727</f>
        <v>1725254.3737319363</v>
      </c>
      <c r="Y4" s="1467">
        <f ca="1">PortfolioCFStatement!AB727</f>
        <v>1789215.0157808908</v>
      </c>
      <c r="Z4" s="1467">
        <f ca="1">PortfolioCFStatement!AC727</f>
        <v>1853819.729786362</v>
      </c>
      <c r="AA4" s="1467">
        <f ca="1">PortfolioCFStatement!AD727</f>
        <v>1919070.8515541244</v>
      </c>
      <c r="AB4" s="1467">
        <f ca="1">PortfolioCFStatement!AE727</f>
        <v>1984970.815308467</v>
      </c>
      <c r="AC4" s="1467">
        <f ca="1">PortfolioCFStatement!AF727</f>
        <v>2051522.1506507846</v>
      </c>
      <c r="AD4" s="1467">
        <f ca="1">PortfolioCFStatement!AG727</f>
        <v>2118727.4796939325</v>
      </c>
      <c r="AE4" s="1467">
        <f ca="1">PortfolioCFStatement!AH727</f>
        <v>2186589.5143613582</v>
      </c>
      <c r="AF4" s="1467">
        <f ca="1">PortfolioCFStatement!AI727</f>
        <v>2255111.0538409273</v>
      </c>
      <c r="AG4" s="1467">
        <f ca="1">PortfolioCFStatement!AJ727</f>
        <v>2324294.9821838313</v>
      </c>
      <c r="AH4" s="1467">
        <f ca="1">PortfolioCFStatement!AK727</f>
        <v>2394144.2660398483</v>
      </c>
      <c r="AI4" s="1467">
        <f ca="1">PortfolioCFStatement!AL727</f>
        <v>2464661.9525207486</v>
      </c>
      <c r="AJ4" s="1467">
        <f ca="1">PortfolioCFStatement!AM727</f>
        <v>2535851.1671842001</v>
      </c>
      <c r="AK4" s="1467">
        <f ca="1">PortfolioCFStatement!AN727</f>
        <v>2607715.1121310932</v>
      </c>
      <c r="AL4" s="1467">
        <f ca="1">PortfolioCFStatement!AO727</f>
        <v>2680257.0642095702</v>
      </c>
      <c r="AM4" s="1467">
        <f ca="1">PortfolioCFStatement!AP727</f>
        <v>2753480.3733196943</v>
      </c>
      <c r="AN4" s="1467">
        <f ca="1">PortfolioCFStatement!AQ727</f>
        <v>2827388.460812862</v>
      </c>
      <c r="AO4" s="1467">
        <f ca="1">PortfolioCFStatement!AR727</f>
        <v>2901984.8179806438</v>
      </c>
      <c r="AP4" s="1467">
        <f ca="1">PortfolioCFStatement!AS727</f>
        <v>2977273.0046279836</v>
      </c>
      <c r="AQ4" s="1467">
        <f ca="1">PortfolioCFStatement!AT727</f>
        <v>3053256.6477260254</v>
      </c>
      <c r="AR4" s="1467"/>
      <c r="AS4" s="1467">
        <f t="shared" ca="1" si="0"/>
        <v>4760698.2269321084</v>
      </c>
      <c r="AT4" s="1468"/>
      <c r="AU4" s="1467">
        <f t="shared" ca="1" si="1"/>
        <v>6185694.3790744953</v>
      </c>
      <c r="AV4" s="1468"/>
      <c r="AW4" s="1467">
        <f t="shared" ca="1" si="2"/>
        <v>7689254.3534989273</v>
      </c>
      <c r="AX4" s="1468"/>
      <c r="AY4" s="1467">
        <f t="shared" ca="1" si="3"/>
        <v>9272330.7861617804</v>
      </c>
      <c r="AZ4" s="1468"/>
      <c r="BA4" s="1467">
        <f t="shared" ca="1" si="4"/>
        <v>10936245.180730833</v>
      </c>
      <c r="BB4" s="1468"/>
      <c r="BC4" s="1467">
        <f t="shared" ca="1" si="5"/>
        <v>12682629.562085461</v>
      </c>
      <c r="BD4" s="1468"/>
      <c r="BE4" s="1467">
        <f t="shared" ca="1" si="6"/>
        <v>14513383.304467209</v>
      </c>
    </row>
    <row r="5" spans="1:57" s="10" customFormat="1">
      <c r="A5" s="1465" t="str">
        <f ca="1">PortfolioCFStatement!D728</f>
        <v>Space Planning &amp; Management</v>
      </c>
      <c r="B5" s="1466" t="str">
        <f>PortfolioCFStatement!E728</f>
        <v>2010$</v>
      </c>
      <c r="C5" s="1460">
        <f ca="1">PortfolioCFStatement!F728</f>
        <v>100412169.83918199</v>
      </c>
      <c r="D5" s="1467">
        <f ca="1">PortfolioCFStatement!G728</f>
        <v>237052.05335287287</v>
      </c>
      <c r="E5" s="1467">
        <f ca="1">PortfolioCFStatement!H728</f>
        <v>885459.04741449398</v>
      </c>
      <c r="F5" s="1467">
        <f ca="1">PortfolioCFStatement!I728</f>
        <v>1331199.9478647406</v>
      </c>
      <c r="G5" s="1467">
        <f ca="1">PortfolioCFStatement!J728</f>
        <v>1778968.5086552657</v>
      </c>
      <c r="H5" s="1467">
        <f ca="1">PortfolioCFStatement!K728</f>
        <v>2228779.9121438265</v>
      </c>
      <c r="I5" s="1467">
        <f ca="1">PortfolioCFStatement!L728</f>
        <v>2680649.4418202331</v>
      </c>
      <c r="J5" s="1467">
        <f ca="1">PortfolioCFStatement!M728</f>
        <v>3134592.4829381239</v>
      </c>
      <c r="K5" s="1467">
        <f ca="1">PortfolioCFStatement!N728</f>
        <v>3590624.5231505395</v>
      </c>
      <c r="L5" s="1467">
        <f ca="1">PortfolioCFStatement!O728</f>
        <v>4048761.1531492383</v>
      </c>
      <c r="M5" s="1467">
        <f ca="1">PortfolioCFStatement!P728</f>
        <v>4509018.0673079453</v>
      </c>
      <c r="N5" s="1467">
        <f ca="1">PortfolioCFStatement!Q728</f>
        <v>4971411.0643293522</v>
      </c>
      <c r="O5" s="1467">
        <f ca="1">PortfolioCFStatement!R728</f>
        <v>5435956.0478960983</v>
      </c>
      <c r="P5" s="1467">
        <f ca="1">PortfolioCFStatement!S728</f>
        <v>5902669.0273255594</v>
      </c>
      <c r="Q5" s="1467">
        <f ca="1">PortfolioCFStatement!T728</f>
        <v>6371566.1182286236</v>
      </c>
      <c r="R5" s="1467">
        <f ca="1">PortfolioCFStatement!U728</f>
        <v>6842663.543172407</v>
      </c>
      <c r="S5" s="1467">
        <f ca="1">PortfolioCFStatement!V728</f>
        <v>7315977.6323468909</v>
      </c>
      <c r="T5" s="1467">
        <f ca="1">PortfolioCFStatement!W728</f>
        <v>7791524.8242356069</v>
      </c>
      <c r="U5" s="1467">
        <f ca="1">PortfolioCFStatement!X728</f>
        <v>8269321.6662903382</v>
      </c>
      <c r="V5" s="1467">
        <f ca="1">PortfolioCFStatement!Y728</f>
        <v>8749384.8156097867</v>
      </c>
      <c r="W5" s="1467">
        <f ca="1">PortfolioCFStatement!Z728</f>
        <v>9231731.0396224149</v>
      </c>
      <c r="X5" s="1467">
        <f ca="1">PortfolioCFStatement!AA728</f>
        <v>9716377.2167732641</v>
      </c>
      <c r="Y5" s="1467">
        <f ca="1">PortfolioCFStatement!AB728</f>
        <v>10203340.337214984</v>
      </c>
      <c r="Z5" s="1467">
        <f ca="1">PortfolioCFStatement!AC728</f>
        <v>10692637.503502902</v>
      </c>
      <c r="AA5" s="1467">
        <f ca="1">PortfolioCFStatement!AD728</f>
        <v>11184285.931294315</v>
      </c>
      <c r="AB5" s="1467">
        <f ca="1">PortfolioCFStatement!AE728</f>
        <v>11678302.950051971</v>
      </c>
      <c r="AC5" s="1467">
        <f ca="1">PortfolioCFStatement!AF728</f>
        <v>12174706.003751684</v>
      </c>
      <c r="AD5" s="1467">
        <f ca="1">PortfolioCFStatement!AG728</f>
        <v>12673512.651594253</v>
      </c>
      <c r="AE5" s="1467">
        <f ca="1">PortfolioCFStatement!AH728</f>
        <v>13174740.568721628</v>
      </c>
      <c r="AF5" s="1467">
        <f ca="1">PortfolioCFStatement!AI728</f>
        <v>13678407.546937317</v>
      </c>
      <c r="AG5" s="1467">
        <f ca="1">PortfolioCFStatement!AJ728</f>
        <v>14184531.495431127</v>
      </c>
      <c r="AH5" s="1467">
        <f ca="1">PortfolioCFStatement!AK728</f>
        <v>14693130.44150823</v>
      </c>
      <c r="AI5" s="1467">
        <f ca="1">PortfolioCFStatement!AL728</f>
        <v>15204222.531322611</v>
      </c>
      <c r="AJ5" s="1467">
        <f ca="1">PortfolioCFStatement!AM728</f>
        <v>15717826.030614842</v>
      </c>
      <c r="AK5" s="1467">
        <f ca="1">PortfolioCFStatement!AN728</f>
        <v>16233959.325454306</v>
      </c>
      <c r="AL5" s="1467">
        <f ca="1">PortfolioCFStatement!AO728</f>
        <v>16752640.922985857</v>
      </c>
      <c r="AM5" s="1467">
        <f ca="1">PortfolioCFStatement!AP728</f>
        <v>17273889.452180896</v>
      </c>
      <c r="AN5" s="1467">
        <f ca="1">PortfolioCFStatement!AQ728</f>
        <v>17797723.664592959</v>
      </c>
      <c r="AO5" s="1467">
        <f ca="1">PortfolioCFStatement!AR728</f>
        <v>18324162.435117859</v>
      </c>
      <c r="AP5" s="1467">
        <f ca="1">PortfolioCFStatement!AS728</f>
        <v>18853224.76275827</v>
      </c>
      <c r="AQ5" s="1467">
        <f ca="1">PortfolioCFStatement!AT728</f>
        <v>19384929.771392927</v>
      </c>
      <c r="AR5" s="1467"/>
      <c r="AS5" s="1467">
        <f t="shared" ca="1" si="0"/>
        <v>17963645.668366082</v>
      </c>
      <c r="AT5" s="1468"/>
      <c r="AU5" s="1467">
        <f t="shared" ca="1" si="1"/>
        <v>29524265.800952043</v>
      </c>
      <c r="AV5" s="1468"/>
      <c r="AW5" s="1467">
        <f t="shared" ca="1" si="2"/>
        <v>41357939.978105038</v>
      </c>
      <c r="AX5" s="1468"/>
      <c r="AY5" s="1467">
        <f t="shared" ca="1" si="3"/>
        <v>53474943.938837431</v>
      </c>
      <c r="AZ5" s="1468"/>
      <c r="BA5" s="1467">
        <f t="shared" ca="1" si="4"/>
        <v>65885898.266436011</v>
      </c>
      <c r="BB5" s="1468"/>
      <c r="BC5" s="1467">
        <f t="shared" ca="1" si="5"/>
        <v>78601779.251885846</v>
      </c>
      <c r="BD5" s="1468"/>
      <c r="BE5" s="1467">
        <f t="shared" ca="1" si="6"/>
        <v>91633930.086042911</v>
      </c>
    </row>
    <row r="6" spans="1:57" s="10" customFormat="1">
      <c r="A6" s="1465" t="str">
        <f ca="1">PortfolioCFStatement!D729</f>
        <v>Central Chiller Expansion</v>
      </c>
      <c r="B6" s="1466" t="str">
        <f>PortfolioCFStatement!E729</f>
        <v>2010$</v>
      </c>
      <c r="C6" s="1460">
        <f ca="1">PortfolioCFStatement!F729</f>
        <v>21754307.609112911</v>
      </c>
      <c r="D6" s="1467">
        <f ca="1">PortfolioCFStatement!G729</f>
        <v>0</v>
      </c>
      <c r="E6" s="1467">
        <f ca="1">PortfolioCFStatement!H729</f>
        <v>0</v>
      </c>
      <c r="F6" s="1467">
        <f ca="1">PortfolioCFStatement!I729</f>
        <v>661258.47897899977</v>
      </c>
      <c r="G6" s="1467">
        <f ca="1">PortfolioCFStatement!J729</f>
        <v>683024.50126559229</v>
      </c>
      <c r="H6" s="1467">
        <f ca="1">PortfolioCFStatement!K729</f>
        <v>1234772.1296956481</v>
      </c>
      <c r="I6" s="1467">
        <f ca="1">PortfolioCFStatement!L729</f>
        <v>1259590.779027988</v>
      </c>
      <c r="J6" s="1467">
        <f ca="1">PortfolioCFStatement!M729</f>
        <v>1471491.8891440243</v>
      </c>
      <c r="K6" s="1467">
        <f ca="1">PortfolioCFStatement!N729</f>
        <v>1497681.0512801618</v>
      </c>
      <c r="L6" s="1467">
        <f ca="1">PortfolioCFStatement!O729</f>
        <v>1524095.317740432</v>
      </c>
      <c r="M6" s="1467">
        <f ca="1">PortfolioCFStatement!P729</f>
        <v>1550736.2848390231</v>
      </c>
      <c r="N6" s="1467">
        <f ca="1">PortfolioCFStatement!Q729</f>
        <v>1577605.5592256561</v>
      </c>
      <c r="O6" s="1467">
        <f ca="1">PortfolioCFStatement!R729</f>
        <v>1604704.7579490347</v>
      </c>
      <c r="P6" s="1467">
        <f ca="1">PortfolioCFStatement!S729</f>
        <v>1632035.508520666</v>
      </c>
      <c r="Q6" s="1467">
        <f ca="1">PortfolioCFStatement!T729</f>
        <v>1659599.4489790655</v>
      </c>
      <c r="R6" s="1467">
        <f ca="1">PortfolioCFStatement!U729</f>
        <v>1687398.2279543357</v>
      </c>
      <c r="S6" s="1467">
        <f ca="1">PortfolioCFStatement!V729</f>
        <v>1715433.5047331341</v>
      </c>
      <c r="T6" s="1467">
        <f ca="1">PortfolioCFStatement!W729</f>
        <v>1743706.9493240218</v>
      </c>
      <c r="U6" s="1467">
        <f ca="1">PortfolioCFStatement!X729</f>
        <v>1772220.2425232001</v>
      </c>
      <c r="V6" s="1467">
        <f ca="1">PortfolioCFStatement!Y729</f>
        <v>1800975.0759806368</v>
      </c>
      <c r="W6" s="1467">
        <f ca="1">PortfolioCFStatement!Z729</f>
        <v>1829973.1522665848</v>
      </c>
      <c r="X6" s="1467">
        <f ca="1">PortfolioCFStatement!AA729</f>
        <v>1859216.1849384932</v>
      </c>
      <c r="Y6" s="1467">
        <f ca="1">PortfolioCFStatement!AB729</f>
        <v>1868512.265863185</v>
      </c>
      <c r="Z6" s="1467">
        <f ca="1">PortfolioCFStatement!AC729</f>
        <v>1877854.8271925009</v>
      </c>
      <c r="AA6" s="1467">
        <f ca="1">PortfolioCFStatement!AD729</f>
        <v>1887244.1013284628</v>
      </c>
      <c r="AB6" s="1467">
        <f ca="1">PortfolioCFStatement!AE729</f>
        <v>1896680.3218351053</v>
      </c>
      <c r="AC6" s="1467">
        <f ca="1">PortfolioCFStatement!AF729</f>
        <v>1906163.7234442804</v>
      </c>
      <c r="AD6" s="1467">
        <f ca="1">PortfolioCFStatement!AG729</f>
        <v>1915694.5420615016</v>
      </c>
      <c r="AE6" s="1467">
        <f ca="1">PortfolioCFStatement!AH729</f>
        <v>1925273.0147718086</v>
      </c>
      <c r="AF6" s="1467">
        <f ca="1">PortfolioCFStatement!AI729</f>
        <v>1934899.3798456674</v>
      </c>
      <c r="AG6" s="1467">
        <f ca="1">PortfolioCFStatement!AJ729</f>
        <v>1944573.8767448955</v>
      </c>
      <c r="AH6" s="1467">
        <f ca="1">PortfolioCFStatement!AK729</f>
        <v>1954296.7461286199</v>
      </c>
      <c r="AI6" s="1467">
        <f ca="1">PortfolioCFStatement!AL729</f>
        <v>1964068.2298592622</v>
      </c>
      <c r="AJ6" s="1467">
        <f ca="1">PortfolioCFStatement!AM729</f>
        <v>1973888.5710085582</v>
      </c>
      <c r="AK6" s="1467">
        <f ca="1">PortfolioCFStatement!AN729</f>
        <v>1983758.0138636008</v>
      </c>
      <c r="AL6" s="1467">
        <f ca="1">PortfolioCFStatement!AO729</f>
        <v>1993676.8039329187</v>
      </c>
      <c r="AM6" s="1467">
        <f ca="1">PortfolioCFStatement!AP729</f>
        <v>2003645.187952583</v>
      </c>
      <c r="AN6" s="1467">
        <f ca="1">PortfolioCFStatement!AQ729</f>
        <v>2013663.4138923453</v>
      </c>
      <c r="AO6" s="1467">
        <f ca="1">PortfolioCFStatement!AR729</f>
        <v>2023731.7309618066</v>
      </c>
      <c r="AP6" s="1467">
        <f ca="1">PortfolioCFStatement!AS729</f>
        <v>2033850.3896166154</v>
      </c>
      <c r="AQ6" s="1467">
        <f ca="1">PortfolioCFStatement!AT729</f>
        <v>2044019.6415646982</v>
      </c>
      <c r="AR6" s="1467"/>
      <c r="AS6" s="1467">
        <f t="shared" ca="1" si="0"/>
        <v>7303595.3220316293</v>
      </c>
      <c r="AT6" s="1468"/>
      <c r="AU6" s="1467">
        <f t="shared" ca="1" si="1"/>
        <v>8161343.5026287576</v>
      </c>
      <c r="AV6" s="1468"/>
      <c r="AW6" s="1467">
        <f t="shared" ca="1" si="2"/>
        <v>8862308.9248275775</v>
      </c>
      <c r="AX6" s="1468"/>
      <c r="AY6" s="1467">
        <f t="shared" ca="1" si="3"/>
        <v>9389507.7011577487</v>
      </c>
      <c r="AZ6" s="1468"/>
      <c r="BA6" s="1467">
        <f t="shared" ca="1" si="4"/>
        <v>9626604.536868155</v>
      </c>
      <c r="BB6" s="1468"/>
      <c r="BC6" s="1467">
        <f t="shared" ca="1" si="5"/>
        <v>9869688.3647929598</v>
      </c>
      <c r="BD6" s="1468"/>
      <c r="BE6" s="1467">
        <f t="shared" ca="1" si="6"/>
        <v>10118910.363988047</v>
      </c>
    </row>
    <row r="7" spans="1:57" s="10" customFormat="1">
      <c r="A7" s="1465" t="str">
        <f ca="1">PortfolioCFStatement!D730</f>
        <v>Short-term Energy Conservation Measures</v>
      </c>
      <c r="B7" s="1466" t="str">
        <f>PortfolioCFStatement!E730</f>
        <v>2010$</v>
      </c>
      <c r="C7" s="1460">
        <f ca="1">PortfolioCFStatement!F730</f>
        <v>22409087.496942502</v>
      </c>
      <c r="D7" s="1467">
        <f ca="1">PortfolioCFStatement!G730</f>
        <v>0</v>
      </c>
      <c r="E7" s="1467">
        <f ca="1">PortfolioCFStatement!H730</f>
        <v>321577.92419999995</v>
      </c>
      <c r="F7" s="1467">
        <f ca="1">PortfolioCFStatement!I730</f>
        <v>645751.78952999983</v>
      </c>
      <c r="G7" s="1467">
        <f ca="1">PortfolioCFStatement!J730</f>
        <v>972541.06554847455</v>
      </c>
      <c r="H7" s="1467">
        <f ca="1">PortfolioCFStatement!K730</f>
        <v>1301965.3516109558</v>
      </c>
      <c r="I7" s="1467">
        <f ca="1">PortfolioCFStatement!L730</f>
        <v>1634044.3776812628</v>
      </c>
      <c r="J7" s="1467">
        <f ca="1">PortfolioCFStatement!M730</f>
        <v>1640665.0042896688</v>
      </c>
      <c r="K7" s="1467">
        <f ca="1">PortfolioCFStatement!N730</f>
        <v>1647318.7340311171</v>
      </c>
      <c r="L7" s="1467">
        <f ca="1">PortfolioCFStatement!O730</f>
        <v>1654005.7324212724</v>
      </c>
      <c r="M7" s="1467">
        <f ca="1">PortfolioCFStatement!P730</f>
        <v>1660726.1658033789</v>
      </c>
      <c r="N7" s="1467">
        <f ca="1">PortfolioCFStatement!Q730</f>
        <v>1667480.2013523954</v>
      </c>
      <c r="O7" s="1467">
        <f ca="1">PortfolioCFStatement!R730</f>
        <v>1674268.0070791575</v>
      </c>
      <c r="P7" s="1467">
        <f ca="1">PortfolioCFStatement!S730</f>
        <v>1681089.7518345527</v>
      </c>
      <c r="Q7" s="1467">
        <f ca="1">PortfolioCFStatement!T730</f>
        <v>1687945.6053137253</v>
      </c>
      <c r="R7" s="1467">
        <f ca="1">PortfolioCFStatement!U730</f>
        <v>1694835.7380602937</v>
      </c>
      <c r="S7" s="1467">
        <f ca="1">PortfolioCFStatement!V730</f>
        <v>1701760.321470595</v>
      </c>
      <c r="T7" s="1467">
        <f ca="1">PortfolioCFStatement!W730</f>
        <v>1708719.5277979476</v>
      </c>
      <c r="U7" s="1467">
        <f ca="1">PortfolioCFStatement!X730</f>
        <v>1715713.5301569374</v>
      </c>
      <c r="V7" s="1467">
        <f ca="1">PortfolioCFStatement!Y730</f>
        <v>1722742.5025277217</v>
      </c>
      <c r="W7" s="1467">
        <f ca="1">PortfolioCFStatement!Z730</f>
        <v>1729806.6197603601</v>
      </c>
      <c r="X7" s="1467">
        <f ca="1">PortfolioCFStatement!AA730</f>
        <v>1736906.0575791616</v>
      </c>
      <c r="Y7" s="1467">
        <f ca="1">PortfolioCFStatement!AB730</f>
        <v>1744040.9925870569</v>
      </c>
      <c r="Z7" s="1467">
        <f ca="1">PortfolioCFStatement!AC730</f>
        <v>1751211.6022699922</v>
      </c>
      <c r="AA7" s="1467">
        <f ca="1">PortfolioCFStatement!AD730</f>
        <v>1758418.065001342</v>
      </c>
      <c r="AB7" s="1467">
        <f ca="1">PortfolioCFStatement!AE730</f>
        <v>1765660.5600463487</v>
      </c>
      <c r="AC7" s="1467">
        <f ca="1">PortfolioCFStatement!AF730</f>
        <v>1772939.2675665803</v>
      </c>
      <c r="AD7" s="1467">
        <f ca="1">PortfolioCFStatement!AG730</f>
        <v>1780254.3686244129</v>
      </c>
      <c r="AE7" s="1467">
        <f ca="1">PortfolioCFStatement!AH730</f>
        <v>1787606.0451875348</v>
      </c>
      <c r="AF7" s="1467">
        <f ca="1">PortfolioCFStatement!AI730</f>
        <v>1794994.480133472</v>
      </c>
      <c r="AG7" s="1467">
        <f ca="1">PortfolioCFStatement!AJ730</f>
        <v>1802419.8572541391</v>
      </c>
      <c r="AH7" s="1467">
        <f ca="1">PortfolioCFStatement!AK730</f>
        <v>1809882.3612604097</v>
      </c>
      <c r="AI7" s="1467">
        <f ca="1">PortfolioCFStatement!AL730</f>
        <v>1817382.1777867114</v>
      </c>
      <c r="AJ7" s="1467">
        <f ca="1">PortfolioCFStatement!AM730</f>
        <v>1824919.4933956447</v>
      </c>
      <c r="AK7" s="1467">
        <f ca="1">PortfolioCFStatement!AN730</f>
        <v>1832494.4955826227</v>
      </c>
      <c r="AL7" s="1467">
        <f ca="1">PortfolioCFStatement!AO730</f>
        <v>1840107.3727805358</v>
      </c>
      <c r="AM7" s="1467">
        <f ca="1">PortfolioCFStatement!AP730</f>
        <v>1847758.3143644382</v>
      </c>
      <c r="AN7" s="1467">
        <f ca="1">PortfolioCFStatement!AQ730</f>
        <v>1855447.5106562597</v>
      </c>
      <c r="AO7" s="1467">
        <f ca="1">PortfolioCFStatement!AR730</f>
        <v>1863175.1529295407</v>
      </c>
      <c r="AP7" s="1467">
        <f ca="1">PortfolioCFStatement!AS730</f>
        <v>1870941.4334141887</v>
      </c>
      <c r="AQ7" s="1467">
        <f ca="1">PortfolioCFStatement!AT730</f>
        <v>1878746.545301259</v>
      </c>
      <c r="AR7" s="1467"/>
      <c r="AS7" s="1467">
        <f t="shared" ca="1" si="0"/>
        <v>8236760.0142267011</v>
      </c>
      <c r="AT7" s="1468"/>
      <c r="AU7" s="1467">
        <f t="shared" ca="1" si="1"/>
        <v>8405619.3036401253</v>
      </c>
      <c r="AV7" s="1468"/>
      <c r="AW7" s="1467">
        <f t="shared" ca="1" si="2"/>
        <v>8578742.5017135628</v>
      </c>
      <c r="AX7" s="1468"/>
      <c r="AY7" s="1467">
        <f t="shared" ca="1" si="3"/>
        <v>8756237.277483901</v>
      </c>
      <c r="AZ7" s="1468"/>
      <c r="BA7" s="1467">
        <f t="shared" ca="1" si="4"/>
        <v>8938214.0187661387</v>
      </c>
      <c r="BB7" s="1468"/>
      <c r="BC7" s="1467">
        <f t="shared" ca="1" si="5"/>
        <v>9124785.9008059241</v>
      </c>
      <c r="BD7" s="1468"/>
      <c r="BE7" s="1467">
        <f t="shared" ca="1" si="6"/>
        <v>9316068.9566656854</v>
      </c>
    </row>
    <row r="8" spans="1:57" s="10" customFormat="1">
      <c r="A8" s="1465" t="str">
        <f ca="1">PortfolioCFStatement!D731</f>
        <v>Mid-term Energy Conservation Measures</v>
      </c>
      <c r="B8" s="1466" t="str">
        <f>PortfolioCFStatement!E731</f>
        <v>2010$</v>
      </c>
      <c r="C8" s="1460">
        <f ca="1">PortfolioCFStatement!F731</f>
        <v>14321073.169442052</v>
      </c>
      <c r="D8" s="1467">
        <f ca="1">PortfolioCFStatement!G731</f>
        <v>0</v>
      </c>
      <c r="E8" s="1467">
        <f ca="1">PortfolioCFStatement!H731</f>
        <v>0</v>
      </c>
      <c r="F8" s="1467">
        <f ca="1">PortfolioCFStatement!I731</f>
        <v>0</v>
      </c>
      <c r="G8" s="1467">
        <f ca="1">PortfolioCFStatement!J731</f>
        <v>0</v>
      </c>
      <c r="H8" s="1467">
        <f ca="1">PortfolioCFStatement!K731</f>
        <v>0</v>
      </c>
      <c r="I8" s="1467">
        <f ca="1">PortfolioCFStatement!L731</f>
        <v>0</v>
      </c>
      <c r="J8" s="1467">
        <f ca="1">PortfolioCFStatement!M731</f>
        <v>193520.65401359371</v>
      </c>
      <c r="K8" s="1467">
        <f ca="1">PortfolioCFStatement!N731</f>
        <v>388809.16020732332</v>
      </c>
      <c r="L8" s="1467">
        <f ca="1">PortfolioCFStatement!O731</f>
        <v>585878.7774725398</v>
      </c>
      <c r="M8" s="1467">
        <f ca="1">PortfolioCFStatement!P731</f>
        <v>784742.85309320339</v>
      </c>
      <c r="N8" s="1467">
        <f ca="1">PortfolioCFStatement!Q731</f>
        <v>985414.82329833647</v>
      </c>
      <c r="O8" s="1467">
        <f ca="1">PortfolioCFStatement!R731</f>
        <v>1187908.2138177939</v>
      </c>
      <c r="P8" s="1467">
        <f ca="1">PortfolioCFStatement!S731</f>
        <v>1392236.6404413627</v>
      </c>
      <c r="Q8" s="1467">
        <f ca="1">PortfolioCFStatement!T731</f>
        <v>1598413.8095812225</v>
      </c>
      <c r="R8" s="1467">
        <f ca="1">PortfolioCFStatement!U731</f>
        <v>1605736.461189128</v>
      </c>
      <c r="S8" s="1467">
        <f ca="1">PortfolioCFStatement!V731</f>
        <v>1613095.7260550736</v>
      </c>
      <c r="T8" s="1467">
        <f ca="1">PortfolioCFStatement!W731</f>
        <v>1620491.7872453486</v>
      </c>
      <c r="U8" s="1467">
        <f ca="1">PortfolioCFStatement!X731</f>
        <v>1627924.8287415751</v>
      </c>
      <c r="V8" s="1467">
        <f ca="1">PortfolioCFStatement!Y731</f>
        <v>1635395.0354452827</v>
      </c>
      <c r="W8" s="1467">
        <f ca="1">PortfolioCFStatement!Z731</f>
        <v>1642902.5931825088</v>
      </c>
      <c r="X8" s="1467">
        <f ca="1">PortfolioCFStatement!AA731</f>
        <v>1650447.6887084213</v>
      </c>
      <c r="Y8" s="1467">
        <f ca="1">PortfolioCFStatement!AB731</f>
        <v>1658030.5097119631</v>
      </c>
      <c r="Z8" s="1467">
        <f ca="1">PortfolioCFStatement!AC731</f>
        <v>1665651.2448205226</v>
      </c>
      <c r="AA8" s="1467">
        <f ca="1">PortfolioCFStatement!AD731</f>
        <v>1673310.083604625</v>
      </c>
      <c r="AB8" s="1467">
        <f ca="1">PortfolioCFStatement!AE731</f>
        <v>1681007.2165826485</v>
      </c>
      <c r="AC8" s="1467">
        <f ca="1">PortfolioCFStatement!AF731</f>
        <v>1688742.8352255612</v>
      </c>
      <c r="AD8" s="1467">
        <f ca="1">PortfolioCFStatement!AG731</f>
        <v>1696517.1319616889</v>
      </c>
      <c r="AE8" s="1467">
        <f ca="1">PortfolioCFStatement!AH731</f>
        <v>1704330.3001814969</v>
      </c>
      <c r="AF8" s="1467">
        <f ca="1">PortfolioCFStatement!AI731</f>
        <v>1712182.5342424042</v>
      </c>
      <c r="AG8" s="1467">
        <f ca="1">PortfolioCFStatement!AJ731</f>
        <v>1720074.0294736158</v>
      </c>
      <c r="AH8" s="1467">
        <f ca="1">PortfolioCFStatement!AK731</f>
        <v>1728004.9821809838</v>
      </c>
      <c r="AI8" s="1467">
        <f ca="1">PortfolioCFStatement!AL731</f>
        <v>1735975.5896518882</v>
      </c>
      <c r="AJ8" s="1467">
        <f ca="1">PortfolioCFStatement!AM731</f>
        <v>1743986.0501601472</v>
      </c>
      <c r="AK8" s="1467">
        <f ca="1">PortfolioCFStatement!AN731</f>
        <v>1752036.5629709479</v>
      </c>
      <c r="AL8" s="1467">
        <f ca="1">PortfolioCFStatement!AO731</f>
        <v>1760127.3283458026</v>
      </c>
      <c r="AM8" s="1467">
        <f ca="1">PortfolioCFStatement!AP731</f>
        <v>1768258.5475475313</v>
      </c>
      <c r="AN8" s="1467">
        <f ca="1">PortfolioCFStatement!AQ731</f>
        <v>1776430.4228452686</v>
      </c>
      <c r="AO8" s="1467">
        <f ca="1">PortfolioCFStatement!AR731</f>
        <v>1784643.1575194946</v>
      </c>
      <c r="AP8" s="1467">
        <f ca="1">PortfolioCFStatement!AS731</f>
        <v>1792896.9558670921</v>
      </c>
      <c r="AQ8" s="1467">
        <f ca="1">PortfolioCFStatement!AT731</f>
        <v>1801192.0232064272</v>
      </c>
      <c r="AR8" s="1467"/>
      <c r="AS8" s="1467">
        <f t="shared" ca="1" si="0"/>
        <v>1952951.4447866601</v>
      </c>
      <c r="AT8" s="1468"/>
      <c r="AU8" s="1467">
        <f t="shared" ca="1" si="1"/>
        <v>6769709.9483278431</v>
      </c>
      <c r="AV8" s="1468"/>
      <c r="AW8" s="1467">
        <f t="shared" ca="1" si="2"/>
        <v>8139809.9706697883</v>
      </c>
      <c r="AX8" s="1468"/>
      <c r="AY8" s="1467">
        <f t="shared" ca="1" si="3"/>
        <v>8328446.74342818</v>
      </c>
      <c r="AZ8" s="1468"/>
      <c r="BA8" s="1467">
        <f t="shared" ca="1" si="4"/>
        <v>8521846.8310847674</v>
      </c>
      <c r="BB8" s="1468"/>
      <c r="BC8" s="1467">
        <f t="shared" ca="1" si="5"/>
        <v>8720130.5133097693</v>
      </c>
      <c r="BD8" s="1468"/>
      <c r="BE8" s="1467">
        <f t="shared" ca="1" si="6"/>
        <v>8923421.106985813</v>
      </c>
    </row>
    <row r="9" spans="1:57" s="10" customFormat="1">
      <c r="A9" s="1465" t="str">
        <f ca="1">PortfolioCFStatement!D732</f>
        <v>Long-term Energy Conservation Measures</v>
      </c>
      <c r="B9" s="1466" t="str">
        <f>PortfolioCFStatement!E732</f>
        <v>2010$</v>
      </c>
      <c r="C9" s="1460">
        <f ca="1">PortfolioCFStatement!F732</f>
        <v>5963382.3137100497</v>
      </c>
      <c r="D9" s="1467">
        <f ca="1">PortfolioCFStatement!G732</f>
        <v>0</v>
      </c>
      <c r="E9" s="1467">
        <f ca="1">PortfolioCFStatement!H732</f>
        <v>0</v>
      </c>
      <c r="F9" s="1467">
        <f ca="1">PortfolioCFStatement!I732</f>
        <v>0</v>
      </c>
      <c r="G9" s="1467">
        <f ca="1">PortfolioCFStatement!J732</f>
        <v>0</v>
      </c>
      <c r="H9" s="1467">
        <f ca="1">PortfolioCFStatement!K732</f>
        <v>0</v>
      </c>
      <c r="I9" s="1467">
        <f ca="1">PortfolioCFStatement!L732</f>
        <v>0</v>
      </c>
      <c r="J9" s="1467">
        <f ca="1">PortfolioCFStatement!M732</f>
        <v>0</v>
      </c>
      <c r="K9" s="1467">
        <f ca="1">PortfolioCFStatement!N732</f>
        <v>0</v>
      </c>
      <c r="L9" s="1467">
        <f ca="1">PortfolioCFStatement!O732</f>
        <v>0</v>
      </c>
      <c r="M9" s="1467">
        <f ca="1">PortfolioCFStatement!P732</f>
        <v>0</v>
      </c>
      <c r="N9" s="1467">
        <f ca="1">PortfolioCFStatement!Q732</f>
        <v>0</v>
      </c>
      <c r="O9" s="1467">
        <f ca="1">PortfolioCFStatement!R732</f>
        <v>0</v>
      </c>
      <c r="P9" s="1467">
        <f ca="1">PortfolioCFStatement!S732</f>
        <v>0</v>
      </c>
      <c r="Q9" s="1467">
        <f ca="1">PortfolioCFStatement!T732</f>
        <v>0</v>
      </c>
      <c r="R9" s="1467">
        <f ca="1">PortfolioCFStatement!U732</f>
        <v>125059.2742997669</v>
      </c>
      <c r="S9" s="1467">
        <f ca="1">PortfolioCFStatement!V732</f>
        <v>251040.99033453147</v>
      </c>
      <c r="T9" s="1467">
        <f ca="1">PortfolioCFStatement!W732</f>
        <v>377952.06641730608</v>
      </c>
      <c r="U9" s="1467">
        <f ca="1">PortfolioCFStatement!X732</f>
        <v>505799.46698319016</v>
      </c>
      <c r="V9" s="1467">
        <f ca="1">PortfolioCFStatement!Y732</f>
        <v>634590.20287763246</v>
      </c>
      <c r="W9" s="1467">
        <f ca="1">PortfolioCFStatement!Z732</f>
        <v>764331.33164642472</v>
      </c>
      <c r="X9" s="1467">
        <f ca="1">PortfolioCFStatement!AA732</f>
        <v>895029.95782743301</v>
      </c>
      <c r="Y9" s="1467">
        <f ca="1">PortfolioCFStatement!AB732</f>
        <v>1026693.2332440799</v>
      </c>
      <c r="Z9" s="1467">
        <f ca="1">PortfolioCFStatement!AC732</f>
        <v>1159328.3573005877</v>
      </c>
      <c r="AA9" s="1467">
        <f ca="1">PortfolioCFStatement!AD732</f>
        <v>1292942.5772789896</v>
      </c>
      <c r="AB9" s="1467">
        <f ca="1">PortfolioCFStatement!AE732</f>
        <v>1297766.5351253846</v>
      </c>
      <c r="AC9" s="1467">
        <f ca="1">PortfolioCFStatement!AF732</f>
        <v>1302614.6127610113</v>
      </c>
      <c r="AD9" s="1467">
        <f ca="1">PortfolioCFStatement!AG732</f>
        <v>1307486.9307848162</v>
      </c>
      <c r="AE9" s="1467">
        <f ca="1">PortfolioCFStatement!AH732</f>
        <v>1312383.61039874</v>
      </c>
      <c r="AF9" s="1467">
        <f ca="1">PortfolioCFStatement!AI732</f>
        <v>1317304.7734107336</v>
      </c>
      <c r="AG9" s="1467">
        <f ca="1">PortfolioCFStatement!AJ732</f>
        <v>1322250.542237787</v>
      </c>
      <c r="AH9" s="1467">
        <f ca="1">PortfolioCFStatement!AK732</f>
        <v>1327221.0399089758</v>
      </c>
      <c r="AI9" s="1467">
        <f ca="1">PortfolioCFStatement!AL732</f>
        <v>1332216.3900685206</v>
      </c>
      <c r="AJ9" s="1467">
        <f ca="1">PortfolioCFStatement!AM732</f>
        <v>1337236.7169788629</v>
      </c>
      <c r="AK9" s="1467">
        <f ca="1">PortfolioCFStatement!AN732</f>
        <v>1342282.1455237572</v>
      </c>
      <c r="AL9" s="1467">
        <f ca="1">PortfolioCFStatement!AO732</f>
        <v>1347352.8012113757</v>
      </c>
      <c r="AM9" s="1467">
        <f ca="1">PortfolioCFStatement!AP732</f>
        <v>1352448.8101774326</v>
      </c>
      <c r="AN9" s="1467">
        <f ca="1">PortfolioCFStatement!AQ732</f>
        <v>1357570.2991883194</v>
      </c>
      <c r="AO9" s="1467">
        <f ca="1">PortfolioCFStatement!AR732</f>
        <v>1362717.3956442606</v>
      </c>
      <c r="AP9" s="1467">
        <f ca="1">PortfolioCFStatement!AS732</f>
        <v>1367890.2275824822</v>
      </c>
      <c r="AQ9" s="1467">
        <f ca="1">PortfolioCFStatement!AT732</f>
        <v>1373088.9236803944</v>
      </c>
      <c r="AR9" s="1467"/>
      <c r="AS9" s="1467">
        <f t="shared" ca="1" si="0"/>
        <v>0</v>
      </c>
      <c r="AT9" s="1468"/>
      <c r="AU9" s="1467">
        <f t="shared" ca="1" si="1"/>
        <v>125059.2742997669</v>
      </c>
      <c r="AV9" s="1468"/>
      <c r="AW9" s="1467">
        <f t="shared" ca="1" si="2"/>
        <v>2533714.0582590848</v>
      </c>
      <c r="AX9" s="1468"/>
      <c r="AY9" s="1467">
        <f t="shared" ca="1" si="3"/>
        <v>5671760.6607764754</v>
      </c>
      <c r="AZ9" s="1468"/>
      <c r="BA9" s="1467">
        <f t="shared" ca="1" si="4"/>
        <v>6562040.4695930872</v>
      </c>
      <c r="BB9" s="1468"/>
      <c r="BC9" s="1467">
        <f t="shared" ca="1" si="5"/>
        <v>6686309.0936914925</v>
      </c>
      <c r="BD9" s="1468"/>
      <c r="BE9" s="1467">
        <f t="shared" ca="1" si="6"/>
        <v>6813715.65627289</v>
      </c>
    </row>
    <row r="10" spans="1:57" s="10" customFormat="1">
      <c r="A10" s="1465" t="str">
        <f ca="1">PortfolioCFStatement!D733</f>
        <v>Green IT</v>
      </c>
      <c r="B10" s="1466" t="str">
        <f>PortfolioCFStatement!E733</f>
        <v>2010$</v>
      </c>
      <c r="C10" s="1460">
        <f ca="1">PortfolioCFStatement!F733</f>
        <v>9910631.3744825535</v>
      </c>
      <c r="D10" s="1467">
        <f ca="1">PortfolioCFStatement!G733</f>
        <v>0</v>
      </c>
      <c r="E10" s="1467">
        <f ca="1">PortfolioCFStatement!H733</f>
        <v>0</v>
      </c>
      <c r="F10" s="1467">
        <f ca="1">PortfolioCFStatement!I733</f>
        <v>235520.99624999994</v>
      </c>
      <c r="G10" s="1467">
        <f ca="1">PortfolioCFStatement!J733</f>
        <v>473397.20246249984</v>
      </c>
      <c r="H10" s="1467">
        <f ca="1">PortfolioCFStatement!K733</f>
        <v>713646.28271221824</v>
      </c>
      <c r="I10" s="1467">
        <f ca="1">PortfolioCFStatement!L733</f>
        <v>717214.51412577927</v>
      </c>
      <c r="J10" s="1467">
        <f ca="1">PortfolioCFStatement!M733</f>
        <v>720800.58669640811</v>
      </c>
      <c r="K10" s="1467">
        <f ca="1">PortfolioCFStatement!N733</f>
        <v>724404.58962989005</v>
      </c>
      <c r="L10" s="1467">
        <f ca="1">PortfolioCFStatement!O733</f>
        <v>728026.61257803941</v>
      </c>
      <c r="M10" s="1467">
        <f ca="1">PortfolioCFStatement!P733</f>
        <v>731666.74564092956</v>
      </c>
      <c r="N10" s="1467">
        <f ca="1">PortfolioCFStatement!Q733</f>
        <v>735325.07936913404</v>
      </c>
      <c r="O10" s="1467">
        <f ca="1">PortfolioCFStatement!R733</f>
        <v>739001.70476597967</v>
      </c>
      <c r="P10" s="1467">
        <f ca="1">PortfolioCFStatement!S733</f>
        <v>742696.7132898093</v>
      </c>
      <c r="Q10" s="1467">
        <f ca="1">PortfolioCFStatement!T733</f>
        <v>746410.19685625832</v>
      </c>
      <c r="R10" s="1467">
        <f ca="1">PortfolioCFStatement!U733</f>
        <v>750142.24784053955</v>
      </c>
      <c r="S10" s="1467">
        <f ca="1">PortfolioCFStatement!V733</f>
        <v>753892.95907974197</v>
      </c>
      <c r="T10" s="1467">
        <f ca="1">PortfolioCFStatement!W733</f>
        <v>757662.42387514061</v>
      </c>
      <c r="U10" s="1467">
        <f ca="1">PortfolioCFStatement!X733</f>
        <v>761450.73599451629</v>
      </c>
      <c r="V10" s="1467">
        <f ca="1">PortfolioCFStatement!Y733</f>
        <v>765257.98967448866</v>
      </c>
      <c r="W10" s="1467">
        <f ca="1">PortfolioCFStatement!Z733</f>
        <v>769084.27962286095</v>
      </c>
      <c r="X10" s="1467">
        <f ca="1">PortfolioCFStatement!AA733</f>
        <v>772929.70102097525</v>
      </c>
      <c r="Y10" s="1467">
        <f ca="1">PortfolioCFStatement!AB733</f>
        <v>776794.34952607984</v>
      </c>
      <c r="Z10" s="1467">
        <f ca="1">PortfolioCFStatement!AC733</f>
        <v>780678.32127371023</v>
      </c>
      <c r="AA10" s="1467">
        <f ca="1">PortfolioCFStatement!AD733</f>
        <v>784581.71288007859</v>
      </c>
      <c r="AB10" s="1467">
        <f ca="1">PortfolioCFStatement!AE733</f>
        <v>788504.6214444791</v>
      </c>
      <c r="AC10" s="1467">
        <f ca="1">PortfolioCFStatement!AF733</f>
        <v>792447.14455170126</v>
      </c>
      <c r="AD10" s="1467">
        <f ca="1">PortfolioCFStatement!AG733</f>
        <v>796409.38027445972</v>
      </c>
      <c r="AE10" s="1467">
        <f ca="1">PortfolioCFStatement!AH733</f>
        <v>800391.42717583175</v>
      </c>
      <c r="AF10" s="1467">
        <f ca="1">PortfolioCFStatement!AI733</f>
        <v>804393.38431171083</v>
      </c>
      <c r="AG10" s="1467">
        <f ca="1">PortfolioCFStatement!AJ733</f>
        <v>808415.35123326932</v>
      </c>
      <c r="AH10" s="1467">
        <f ca="1">PortfolioCFStatement!AK733</f>
        <v>812457.4279894355</v>
      </c>
      <c r="AI10" s="1467">
        <f ca="1">PortfolioCFStatement!AL733</f>
        <v>816519.71512938244</v>
      </c>
      <c r="AJ10" s="1467">
        <f ca="1">PortfolioCFStatement!AM733</f>
        <v>820602.3137050292</v>
      </c>
      <c r="AK10" s="1467">
        <f ca="1">PortfolioCFStatement!AN733</f>
        <v>824705.32527355431</v>
      </c>
      <c r="AL10" s="1467">
        <f ca="1">PortfolioCFStatement!AO733</f>
        <v>828828.85189992201</v>
      </c>
      <c r="AM10" s="1467">
        <f ca="1">PortfolioCFStatement!AP733</f>
        <v>832972.99615942151</v>
      </c>
      <c r="AN10" s="1467">
        <f ca="1">PortfolioCFStatement!AQ733</f>
        <v>837137.86114021833</v>
      </c>
      <c r="AO10" s="1467">
        <f ca="1">PortfolioCFStatement!AR733</f>
        <v>841323.55044591927</v>
      </c>
      <c r="AP10" s="1467">
        <f ca="1">PortfolioCFStatement!AS733</f>
        <v>845530.16819814884</v>
      </c>
      <c r="AQ10" s="1467">
        <f ca="1">PortfolioCFStatement!AT733</f>
        <v>849757.81903913943</v>
      </c>
      <c r="AR10" s="1467"/>
      <c r="AS10" s="1467">
        <f t="shared" ca="1" si="0"/>
        <v>3622113.0486710463</v>
      </c>
      <c r="AT10" s="1468"/>
      <c r="AU10" s="1467">
        <f t="shared" ca="1" si="1"/>
        <v>3713575.9421217209</v>
      </c>
      <c r="AV10" s="1468"/>
      <c r="AW10" s="1467">
        <f t="shared" ca="1" si="2"/>
        <v>3807348.3882467486</v>
      </c>
      <c r="AX10" s="1468"/>
      <c r="AY10" s="1467">
        <f t="shared" ca="1" si="3"/>
        <v>3903488.7061453229</v>
      </c>
      <c r="AZ10" s="1468"/>
      <c r="BA10" s="1467">
        <f t="shared" ca="1" si="4"/>
        <v>4002056.6875469731</v>
      </c>
      <c r="BB10" s="1468"/>
      <c r="BC10" s="1467">
        <f t="shared" ca="1" si="5"/>
        <v>4103113.6339973235</v>
      </c>
      <c r="BD10" s="1468"/>
      <c r="BE10" s="1467">
        <f t="shared" ca="1" si="6"/>
        <v>4206722.3949828474</v>
      </c>
    </row>
    <row r="11" spans="1:57" s="10" customFormat="1">
      <c r="A11" s="1465" t="str">
        <f ca="1">PortfolioCFStatement!D734</f>
        <v>Reduced Air Travel</v>
      </c>
      <c r="B11" s="1466" t="str">
        <f>PortfolioCFStatement!E734</f>
        <v>2010$</v>
      </c>
      <c r="C11" s="1460">
        <f ca="1">PortfolioCFStatement!F734</f>
        <v>2554543.5640719305</v>
      </c>
      <c r="D11" s="1467">
        <f ca="1">PortfolioCFStatement!G734</f>
        <v>0</v>
      </c>
      <c r="E11" s="1467">
        <f ca="1">PortfolioCFStatement!H734</f>
        <v>123606.77688805692</v>
      </c>
      <c r="F11" s="1467">
        <f ca="1">PortfolioCFStatement!I734</f>
        <v>124003.00400854273</v>
      </c>
      <c r="G11" s="1467">
        <f ca="1">PortfolioCFStatement!J734</f>
        <v>124307.03977146068</v>
      </c>
      <c r="H11" s="1467">
        <f ca="1">PortfolioCFStatement!K734</f>
        <v>124563.3537761138</v>
      </c>
      <c r="I11" s="1467">
        <f ca="1">PortfolioCFStatement!L734</f>
        <v>124789.17094740043</v>
      </c>
      <c r="J11" s="1467">
        <f ca="1">PortfolioCFStatement!M734</f>
        <v>187489.9879132183</v>
      </c>
      <c r="K11" s="1467">
        <f ca="1">PortfolioCFStatement!N734</f>
        <v>187771.59683356594</v>
      </c>
      <c r="L11" s="1467">
        <f ca="1">PortfolioCFStatement!O734</f>
        <v>188033.71202562816</v>
      </c>
      <c r="M11" s="1467">
        <f ca="1">PortfolioCFStatement!P734</f>
        <v>188279.89599625603</v>
      </c>
      <c r="N11" s="1467">
        <f ca="1">PortfolioCFStatement!Q734</f>
        <v>188512.74258500358</v>
      </c>
      <c r="O11" s="1467">
        <f ca="1">PortfolioCFStatement!R734</f>
        <v>188734.2099312158</v>
      </c>
      <c r="P11" s="1467">
        <f ca="1">PortfolioCFStatement!S734</f>
        <v>188945.81931438201</v>
      </c>
      <c r="Q11" s="1467">
        <f ca="1">PortfolioCFStatement!T734</f>
        <v>189148.78052821939</v>
      </c>
      <c r="R11" s="1467">
        <f ca="1">PortfolioCFStatement!U734</f>
        <v>189344.074468823</v>
      </c>
      <c r="S11" s="1467">
        <f ca="1">PortfolioCFStatement!V734</f>
        <v>189532.50953521696</v>
      </c>
      <c r="T11" s="1467">
        <f ca="1">PortfolioCFStatement!W734</f>
        <v>189714.76132834144</v>
      </c>
      <c r="U11" s="1467">
        <f ca="1">PortfolioCFStatement!X734</f>
        <v>189891.40132272491</v>
      </c>
      <c r="V11" s="1467">
        <f ca="1">PortfolioCFStatement!Y734</f>
        <v>190062.91803844224</v>
      </c>
      <c r="W11" s="1467">
        <f ca="1">PortfolioCFStatement!Z734</f>
        <v>190229.73298014997</v>
      </c>
      <c r="X11" s="1467">
        <f ca="1">PortfolioCFStatement!AA734</f>
        <v>190392.21284220132</v>
      </c>
      <c r="Y11" s="1467">
        <f ca="1">PortfolioCFStatement!AB734</f>
        <v>190550.67899634904</v>
      </c>
      <c r="Z11" s="1467">
        <f ca="1">PortfolioCFStatement!AC734</f>
        <v>190705.41496683744</v>
      </c>
      <c r="AA11" s="1467">
        <f ca="1">PortfolioCFStatement!AD734</f>
        <v>190856.67239132349</v>
      </c>
      <c r="AB11" s="1467">
        <f ca="1">PortfolioCFStatement!AE734</f>
        <v>191004.67582643646</v>
      </c>
      <c r="AC11" s="1467">
        <f ca="1">PortfolioCFStatement!AF734</f>
        <v>191149.62666042676</v>
      </c>
      <c r="AD11" s="1467">
        <f ca="1">PortfolioCFStatement!AG734</f>
        <v>191291.70632768099</v>
      </c>
      <c r="AE11" s="1467">
        <f ca="1">PortfolioCFStatement!AH734</f>
        <v>191431.07897157304</v>
      </c>
      <c r="AF11" s="1467">
        <f ca="1">PortfolioCFStatement!AI734</f>
        <v>191567.89366713187</v>
      </c>
      <c r="AG11" s="1467">
        <f ca="1">PortfolioCFStatement!AJ734</f>
        <v>191702.28628932338</v>
      </c>
      <c r="AH11" s="1467">
        <f ca="1">PortfolioCFStatement!AK734</f>
        <v>191834.38109365286</v>
      </c>
      <c r="AI11" s="1467">
        <f ca="1">PortfolioCFStatement!AL734</f>
        <v>191964.29206144507</v>
      </c>
      <c r="AJ11" s="1467">
        <f ca="1">PortfolioCFStatement!AM734</f>
        <v>192092.12405125631</v>
      </c>
      <c r="AK11" s="1467">
        <f ca="1">PortfolioCFStatement!AN734</f>
        <v>192217.97378950985</v>
      </c>
      <c r="AL11" s="1467">
        <f ca="1">PortfolioCFStatement!AO734</f>
        <v>192341.9307269709</v>
      </c>
      <c r="AM11" s="1467">
        <f ca="1">PortfolioCFStatement!AP734</f>
        <v>192464.07778262065</v>
      </c>
      <c r="AN11" s="1467">
        <f ca="1">PortfolioCFStatement!AQ734</f>
        <v>192584.49199251211</v>
      </c>
      <c r="AO11" s="1467">
        <f ca="1">PortfolioCFStatement!AR734</f>
        <v>192703.24507803266</v>
      </c>
      <c r="AP11" s="1467">
        <f ca="1">PortfolioCFStatement!AS734</f>
        <v>192820.40394548161</v>
      </c>
      <c r="AQ11" s="1467">
        <f ca="1">PortfolioCFStatement!AT734</f>
        <v>192936.03112684423</v>
      </c>
      <c r="AR11" s="1467"/>
      <c r="AS11" s="1467">
        <f t="shared" ca="1" si="0"/>
        <v>876364.36371606891</v>
      </c>
      <c r="AT11" s="1468"/>
      <c r="AU11" s="1467">
        <f t="shared" ca="1" si="1"/>
        <v>944685.62682764383</v>
      </c>
      <c r="AV11" s="1468"/>
      <c r="AW11" s="1467">
        <f t="shared" ca="1" si="2"/>
        <v>949431.32320487546</v>
      </c>
      <c r="AX11" s="1468"/>
      <c r="AY11" s="1467">
        <f t="shared" ca="1" si="3"/>
        <v>953509.65502314782</v>
      </c>
      <c r="AZ11" s="1468"/>
      <c r="BA11" s="1467">
        <f t="shared" ca="1" si="4"/>
        <v>957142.59191613598</v>
      </c>
      <c r="BB11" s="1468"/>
      <c r="BC11" s="1467">
        <f t="shared" ca="1" si="5"/>
        <v>960450.70172283496</v>
      </c>
      <c r="BD11" s="1468"/>
      <c r="BE11" s="1467">
        <f t="shared" ca="1" si="6"/>
        <v>963508.24992549128</v>
      </c>
    </row>
    <row r="12" spans="1:57" s="10" customFormat="1">
      <c r="A12" s="1465" t="str">
        <f ca="1">PortfolioCFStatement!D735</f>
        <v>Reduced Automobile Reliance Strategies</v>
      </c>
      <c r="B12" s="1466" t="str">
        <f>PortfolioCFStatement!E735</f>
        <v>2010$</v>
      </c>
      <c r="C12" s="1460">
        <f ca="1">PortfolioCFStatement!F735</f>
        <v>0</v>
      </c>
      <c r="D12" s="1467">
        <f ca="1">PortfolioCFStatement!G735</f>
        <v>0</v>
      </c>
      <c r="E12" s="1467">
        <f ca="1">PortfolioCFStatement!H735</f>
        <v>0</v>
      </c>
      <c r="F12" s="1467">
        <f ca="1">PortfolioCFStatement!I735</f>
        <v>0</v>
      </c>
      <c r="G12" s="1467">
        <f ca="1">PortfolioCFStatement!J735</f>
        <v>0</v>
      </c>
      <c r="H12" s="1467">
        <f ca="1">PortfolioCFStatement!K735</f>
        <v>0</v>
      </c>
      <c r="I12" s="1467">
        <f ca="1">PortfolioCFStatement!L735</f>
        <v>0</v>
      </c>
      <c r="J12" s="1467">
        <f ca="1">PortfolioCFStatement!M735</f>
        <v>0</v>
      </c>
      <c r="K12" s="1467">
        <f ca="1">PortfolioCFStatement!N735</f>
        <v>0</v>
      </c>
      <c r="L12" s="1467">
        <f ca="1">PortfolioCFStatement!O735</f>
        <v>0</v>
      </c>
      <c r="M12" s="1467">
        <f ca="1">PortfolioCFStatement!P735</f>
        <v>0</v>
      </c>
      <c r="N12" s="1467">
        <f ca="1">PortfolioCFStatement!Q735</f>
        <v>0</v>
      </c>
      <c r="O12" s="1467">
        <f ca="1">PortfolioCFStatement!R735</f>
        <v>0</v>
      </c>
      <c r="P12" s="1467">
        <f ca="1">PortfolioCFStatement!S735</f>
        <v>0</v>
      </c>
      <c r="Q12" s="1467">
        <f ca="1">PortfolioCFStatement!T735</f>
        <v>0</v>
      </c>
      <c r="R12" s="1467">
        <f ca="1">PortfolioCFStatement!U735</f>
        <v>0</v>
      </c>
      <c r="S12" s="1467">
        <f ca="1">PortfolioCFStatement!V735</f>
        <v>0</v>
      </c>
      <c r="T12" s="1467">
        <f ca="1">PortfolioCFStatement!W735</f>
        <v>0</v>
      </c>
      <c r="U12" s="1467">
        <f ca="1">PortfolioCFStatement!X735</f>
        <v>0</v>
      </c>
      <c r="V12" s="1467">
        <f ca="1">PortfolioCFStatement!Y735</f>
        <v>0</v>
      </c>
      <c r="W12" s="1467">
        <f ca="1">PortfolioCFStatement!Z735</f>
        <v>0</v>
      </c>
      <c r="X12" s="1467">
        <f ca="1">PortfolioCFStatement!AA735</f>
        <v>0</v>
      </c>
      <c r="Y12" s="1467">
        <f ca="1">PortfolioCFStatement!AB735</f>
        <v>0</v>
      </c>
      <c r="Z12" s="1467">
        <f ca="1">PortfolioCFStatement!AC735</f>
        <v>0</v>
      </c>
      <c r="AA12" s="1467">
        <f ca="1">PortfolioCFStatement!AD735</f>
        <v>0</v>
      </c>
      <c r="AB12" s="1467">
        <f ca="1">PortfolioCFStatement!AE735</f>
        <v>0</v>
      </c>
      <c r="AC12" s="1467">
        <f ca="1">PortfolioCFStatement!AF735</f>
        <v>0</v>
      </c>
      <c r="AD12" s="1467">
        <f ca="1">PortfolioCFStatement!AG735</f>
        <v>0</v>
      </c>
      <c r="AE12" s="1467">
        <f ca="1">PortfolioCFStatement!AH735</f>
        <v>0</v>
      </c>
      <c r="AF12" s="1467">
        <f ca="1">PortfolioCFStatement!AI735</f>
        <v>0</v>
      </c>
      <c r="AG12" s="1467">
        <f ca="1">PortfolioCFStatement!AJ735</f>
        <v>0</v>
      </c>
      <c r="AH12" s="1467">
        <f ca="1">PortfolioCFStatement!AK735</f>
        <v>0</v>
      </c>
      <c r="AI12" s="1467">
        <f ca="1">PortfolioCFStatement!AL735</f>
        <v>0</v>
      </c>
      <c r="AJ12" s="1467">
        <f ca="1">PortfolioCFStatement!AM735</f>
        <v>0</v>
      </c>
      <c r="AK12" s="1467">
        <f ca="1">PortfolioCFStatement!AN735</f>
        <v>0</v>
      </c>
      <c r="AL12" s="1467">
        <f ca="1">PortfolioCFStatement!AO735</f>
        <v>0</v>
      </c>
      <c r="AM12" s="1467">
        <f ca="1">PortfolioCFStatement!AP735</f>
        <v>0</v>
      </c>
      <c r="AN12" s="1467">
        <f ca="1">PortfolioCFStatement!AQ735</f>
        <v>0</v>
      </c>
      <c r="AO12" s="1467">
        <f ca="1">PortfolioCFStatement!AR735</f>
        <v>0</v>
      </c>
      <c r="AP12" s="1467">
        <f ca="1">PortfolioCFStatement!AS735</f>
        <v>0</v>
      </c>
      <c r="AQ12" s="1467">
        <f ca="1">PortfolioCFStatement!AT735</f>
        <v>0</v>
      </c>
      <c r="AR12" s="1467"/>
      <c r="AS12" s="1467">
        <f t="shared" ca="1" si="0"/>
        <v>0</v>
      </c>
      <c r="AT12" s="1468"/>
      <c r="AU12" s="1467">
        <f t="shared" ca="1" si="1"/>
        <v>0</v>
      </c>
      <c r="AV12" s="1468"/>
      <c r="AW12" s="1467">
        <f t="shared" ca="1" si="2"/>
        <v>0</v>
      </c>
      <c r="AX12" s="1468"/>
      <c r="AY12" s="1467">
        <f t="shared" ca="1" si="3"/>
        <v>0</v>
      </c>
      <c r="AZ12" s="1468"/>
      <c r="BA12" s="1467">
        <f t="shared" ca="1" si="4"/>
        <v>0</v>
      </c>
      <c r="BB12" s="1468"/>
      <c r="BC12" s="1467">
        <f t="shared" ca="1" si="5"/>
        <v>0</v>
      </c>
      <c r="BD12" s="1468"/>
      <c r="BE12" s="1467">
        <f t="shared" ca="1" si="6"/>
        <v>0</v>
      </c>
    </row>
    <row r="13" spans="1:57" s="10" customFormat="1">
      <c r="A13" s="1465" t="str">
        <f ca="1">PortfolioCFStatement!D736</f>
        <v>Waste Reduction</v>
      </c>
      <c r="B13" s="1466" t="str">
        <f>PortfolioCFStatement!E736</f>
        <v>2010$</v>
      </c>
      <c r="C13" s="1460">
        <f ca="1">PortfolioCFStatement!F736</f>
        <v>113714.55977078136</v>
      </c>
      <c r="D13" s="1467">
        <f ca="1">PortfolioCFStatement!G736</f>
        <v>0</v>
      </c>
      <c r="E13" s="1467">
        <f ca="1">PortfolioCFStatement!H736</f>
        <v>0</v>
      </c>
      <c r="F13" s="1467">
        <f ca="1">PortfolioCFStatement!I736</f>
        <v>8148</v>
      </c>
      <c r="G13" s="1467">
        <f ca="1">PortfolioCFStatement!J736</f>
        <v>8148</v>
      </c>
      <c r="H13" s="1467">
        <f ca="1">PortfolioCFStatement!K736</f>
        <v>8148</v>
      </c>
      <c r="I13" s="1467">
        <f ca="1">PortfolioCFStatement!L736</f>
        <v>8148</v>
      </c>
      <c r="J13" s="1467">
        <f ca="1">PortfolioCFStatement!M736</f>
        <v>8148</v>
      </c>
      <c r="K13" s="1467">
        <f ca="1">PortfolioCFStatement!N736</f>
        <v>8148</v>
      </c>
      <c r="L13" s="1467">
        <f ca="1">PortfolioCFStatement!O736</f>
        <v>8148</v>
      </c>
      <c r="M13" s="1467">
        <f ca="1">PortfolioCFStatement!P736</f>
        <v>8148</v>
      </c>
      <c r="N13" s="1467">
        <f ca="1">PortfolioCFStatement!Q736</f>
        <v>8148</v>
      </c>
      <c r="O13" s="1467">
        <f ca="1">PortfolioCFStatement!R736</f>
        <v>8148</v>
      </c>
      <c r="P13" s="1467">
        <f ca="1">PortfolioCFStatement!S736</f>
        <v>8148</v>
      </c>
      <c r="Q13" s="1467">
        <f ca="1">PortfolioCFStatement!T736</f>
        <v>8148</v>
      </c>
      <c r="R13" s="1467">
        <f ca="1">PortfolioCFStatement!U736</f>
        <v>8148</v>
      </c>
      <c r="S13" s="1467">
        <f ca="1">PortfolioCFStatement!V736</f>
        <v>8148</v>
      </c>
      <c r="T13" s="1467">
        <f ca="1">PortfolioCFStatement!W736</f>
        <v>8148</v>
      </c>
      <c r="U13" s="1467">
        <f ca="1">PortfolioCFStatement!X736</f>
        <v>8148</v>
      </c>
      <c r="V13" s="1467">
        <f ca="1">PortfolioCFStatement!Y736</f>
        <v>8148</v>
      </c>
      <c r="W13" s="1467">
        <f ca="1">PortfolioCFStatement!Z736</f>
        <v>8148</v>
      </c>
      <c r="X13" s="1467">
        <f ca="1">PortfolioCFStatement!AA736</f>
        <v>8148</v>
      </c>
      <c r="Y13" s="1467">
        <f ca="1">PortfolioCFStatement!AB736</f>
        <v>8148</v>
      </c>
      <c r="Z13" s="1467">
        <f ca="1">PortfolioCFStatement!AC736</f>
        <v>8148</v>
      </c>
      <c r="AA13" s="1467">
        <f ca="1">PortfolioCFStatement!AD736</f>
        <v>8148</v>
      </c>
      <c r="AB13" s="1467">
        <f ca="1">PortfolioCFStatement!AE736</f>
        <v>8148</v>
      </c>
      <c r="AC13" s="1467">
        <f ca="1">PortfolioCFStatement!AF736</f>
        <v>8148</v>
      </c>
      <c r="AD13" s="1467">
        <f ca="1">PortfolioCFStatement!AG736</f>
        <v>8148</v>
      </c>
      <c r="AE13" s="1467">
        <f ca="1">PortfolioCFStatement!AH736</f>
        <v>8148</v>
      </c>
      <c r="AF13" s="1467">
        <f ca="1">PortfolioCFStatement!AI736</f>
        <v>8148</v>
      </c>
      <c r="AG13" s="1467">
        <f ca="1">PortfolioCFStatement!AJ736</f>
        <v>8148</v>
      </c>
      <c r="AH13" s="1467">
        <f ca="1">PortfolioCFStatement!AK736</f>
        <v>8148</v>
      </c>
      <c r="AI13" s="1467">
        <f ca="1">PortfolioCFStatement!AL736</f>
        <v>8148</v>
      </c>
      <c r="AJ13" s="1467">
        <f ca="1">PortfolioCFStatement!AM736</f>
        <v>8148</v>
      </c>
      <c r="AK13" s="1467">
        <f ca="1">PortfolioCFStatement!AN736</f>
        <v>8148</v>
      </c>
      <c r="AL13" s="1467">
        <f ca="1">PortfolioCFStatement!AO736</f>
        <v>8148</v>
      </c>
      <c r="AM13" s="1467">
        <f ca="1">PortfolioCFStatement!AP736</f>
        <v>8148</v>
      </c>
      <c r="AN13" s="1467">
        <f ca="1">PortfolioCFStatement!AQ736</f>
        <v>8148</v>
      </c>
      <c r="AO13" s="1467">
        <f ca="1">PortfolioCFStatement!AR736</f>
        <v>8148</v>
      </c>
      <c r="AP13" s="1467">
        <f ca="1">PortfolioCFStatement!AS736</f>
        <v>8148</v>
      </c>
      <c r="AQ13" s="1467">
        <f ca="1">PortfolioCFStatement!AT736</f>
        <v>8148</v>
      </c>
      <c r="AR13" s="1467"/>
      <c r="AS13" s="1467">
        <f t="shared" ca="1" si="0"/>
        <v>40740</v>
      </c>
      <c r="AT13" s="1468"/>
      <c r="AU13" s="1467">
        <f t="shared" ca="1" si="1"/>
        <v>40740</v>
      </c>
      <c r="AV13" s="1468"/>
      <c r="AW13" s="1467">
        <f t="shared" ca="1" si="2"/>
        <v>40740</v>
      </c>
      <c r="AX13" s="1468"/>
      <c r="AY13" s="1467">
        <f t="shared" ca="1" si="3"/>
        <v>40740</v>
      </c>
      <c r="AZ13" s="1468"/>
      <c r="BA13" s="1467">
        <f t="shared" ca="1" si="4"/>
        <v>40740</v>
      </c>
      <c r="BB13" s="1468"/>
      <c r="BC13" s="1467">
        <f t="shared" ca="1" si="5"/>
        <v>40740</v>
      </c>
      <c r="BD13" s="1468"/>
      <c r="BE13" s="1467">
        <f t="shared" ca="1" si="6"/>
        <v>40740</v>
      </c>
    </row>
    <row r="14" spans="1:57" s="10" customFormat="1">
      <c r="A14" s="1465" t="str">
        <f ca="1">PortfolioCFStatement!D737</f>
        <v>Steam Line Improvements</v>
      </c>
      <c r="B14" s="1466" t="str">
        <f>PortfolioCFStatement!E737</f>
        <v>2010$</v>
      </c>
      <c r="C14" s="1460">
        <f ca="1">PortfolioCFStatement!F737</f>
        <v>5520765.9617507318</v>
      </c>
      <c r="D14" s="1467">
        <f ca="1">PortfolioCFStatement!G737</f>
        <v>0</v>
      </c>
      <c r="E14" s="1467">
        <f ca="1">PortfolioCFStatement!H737</f>
        <v>0</v>
      </c>
      <c r="F14" s="1467">
        <f ca="1">PortfolioCFStatement!I737</f>
        <v>318930.98821845633</v>
      </c>
      <c r="G14" s="1467">
        <f ca="1">PortfolioCFStatement!J737</f>
        <v>325674.38291916944</v>
      </c>
      <c r="H14" s="1467">
        <f ca="1">PortfolioCFStatement!K737</f>
        <v>331089.05995406612</v>
      </c>
      <c r="I14" s="1467">
        <f ca="1">PortfolioCFStatement!L737</f>
        <v>340270.05984589568</v>
      </c>
      <c r="J14" s="1467">
        <f ca="1">PortfolioCFStatement!M737</f>
        <v>345795.67297425686</v>
      </c>
      <c r="K14" s="1467">
        <f ca="1">PortfolioCFStatement!N737</f>
        <v>351368.03548240557</v>
      </c>
      <c r="L14" s="1467">
        <f ca="1">PortfolioCFStatement!O737</f>
        <v>356987.47672381124</v>
      </c>
      <c r="M14" s="1467">
        <f ca="1">PortfolioCFStatement!P737</f>
        <v>362654.32817674411</v>
      </c>
      <c r="N14" s="1467">
        <f ca="1">PortfolioCFStatement!Q737</f>
        <v>368368.92345728818</v>
      </c>
      <c r="O14" s="1467">
        <f ca="1">PortfolioCFStatement!R737</f>
        <v>374131.59833243315</v>
      </c>
      <c r="P14" s="1467">
        <f ca="1">PortfolioCFStatement!S737</f>
        <v>379942.69073324307</v>
      </c>
      <c r="Q14" s="1467">
        <f ca="1">PortfolioCFStatement!T737</f>
        <v>385802.54076810298</v>
      </c>
      <c r="R14" s="1467">
        <f ca="1">PortfolioCFStatement!U737</f>
        <v>391711.49073604314</v>
      </c>
      <c r="S14" s="1467">
        <f ca="1">PortfolioCFStatement!V737</f>
        <v>397669.88514014328</v>
      </c>
      <c r="T14" s="1467">
        <f ca="1">PortfolioCFStatement!W737</f>
        <v>403678.07070101617</v>
      </c>
      <c r="U14" s="1467">
        <f ca="1">PortfolioCFStatement!X737</f>
        <v>409736.39637036924</v>
      </c>
      <c r="V14" s="1467">
        <f ca="1">PortfolioCFStatement!Y737</f>
        <v>415845.21334464825</v>
      </c>
      <c r="W14" s="1467">
        <f ca="1">PortfolioCFStatement!Z737</f>
        <v>422004.87507876102</v>
      </c>
      <c r="X14" s="1467">
        <f ca="1">PortfolioCFStatement!AA737</f>
        <v>428215.73729988118</v>
      </c>
      <c r="Y14" s="1467">
        <f ca="1">PortfolioCFStatement!AB737</f>
        <v>434478.15802133561</v>
      </c>
      <c r="Z14" s="1467">
        <f ca="1">PortfolioCFStatement!AC737</f>
        <v>440792.49755657191</v>
      </c>
      <c r="AA14" s="1467">
        <f ca="1">PortfolioCFStatement!AD737</f>
        <v>447159.11853321025</v>
      </c>
      <c r="AB14" s="1467">
        <f ca="1">PortfolioCFStatement!AE737</f>
        <v>453578.38590717589</v>
      </c>
      <c r="AC14" s="1467">
        <f ca="1">PortfolioCFStatement!AF737</f>
        <v>460050.66697691794</v>
      </c>
      <c r="AD14" s="1467">
        <f ca="1">PortfolioCFStatement!AG737</f>
        <v>466576.33139770979</v>
      </c>
      <c r="AE14" s="1467">
        <f ca="1">PortfolioCFStatement!AH737</f>
        <v>473155.75119603518</v>
      </c>
      <c r="AF14" s="1467">
        <f ca="1">PortfolioCFStatement!AI737</f>
        <v>479789.30078405864</v>
      </c>
      <c r="AG14" s="1467">
        <f ca="1">PortfolioCFStatement!AJ737</f>
        <v>486477.35697418259</v>
      </c>
      <c r="AH14" s="1467">
        <f ca="1">PortfolioCFStatement!AK737</f>
        <v>493220.29899368808</v>
      </c>
      <c r="AI14" s="1467">
        <f ca="1">PortfolioCFStatement!AL737</f>
        <v>500018.50849946431</v>
      </c>
      <c r="AJ14" s="1467">
        <f ca="1">PortfolioCFStatement!AM737</f>
        <v>506872.36959282338</v>
      </c>
      <c r="AK14" s="1467">
        <f ca="1">PortfolioCFStatement!AN737</f>
        <v>513782.26883440372</v>
      </c>
      <c r="AL14" s="1467">
        <f ca="1">PortfolioCFStatement!AO737</f>
        <v>520748.59525915998</v>
      </c>
      <c r="AM14" s="1467">
        <f ca="1">PortfolioCFStatement!AP737</f>
        <v>527771.74039144302</v>
      </c>
      <c r="AN14" s="1467">
        <f ca="1">PortfolioCFStatement!AQ737</f>
        <v>534852.09826016694</v>
      </c>
      <c r="AO14" s="1467">
        <f ca="1">PortfolioCFStatement!AR737</f>
        <v>541990.06541406864</v>
      </c>
      <c r="AP14" s="1467">
        <f ca="1">PortfolioCFStatement!AS737</f>
        <v>549186.04093705327</v>
      </c>
      <c r="AQ14" s="1467">
        <f ca="1">PortfolioCFStatement!AT737</f>
        <v>556440.42646363203</v>
      </c>
      <c r="AR14" s="1467"/>
      <c r="AS14" s="1467">
        <f t="shared" ca="1" si="0"/>
        <v>1757075.5732031134</v>
      </c>
      <c r="AT14" s="1468"/>
      <c r="AU14" s="1467">
        <f t="shared" ca="1" si="1"/>
        <v>1899957.2440271105</v>
      </c>
      <c r="AV14" s="1468"/>
      <c r="AW14" s="1467">
        <f t="shared" ca="1" si="2"/>
        <v>2048934.440634938</v>
      </c>
      <c r="AX14" s="1468"/>
      <c r="AY14" s="1467">
        <f t="shared" ca="1" si="3"/>
        <v>2204223.8973181751</v>
      </c>
      <c r="AZ14" s="1468"/>
      <c r="BA14" s="1467">
        <f t="shared" ca="1" si="4"/>
        <v>2366049.4073289041</v>
      </c>
      <c r="BB14" s="1468"/>
      <c r="BC14" s="1467">
        <f t="shared" ca="1" si="5"/>
        <v>2534642.0411795392</v>
      </c>
      <c r="BD14" s="1468"/>
      <c r="BE14" s="1467">
        <f t="shared" ca="1" si="6"/>
        <v>2710240.3714663638</v>
      </c>
    </row>
    <row r="15" spans="1:57" s="10" customFormat="1">
      <c r="A15" s="1465" t="str">
        <f ca="1">PortfolioCFStatement!D738</f>
        <v>Coal to Natural Gas Conversion @ Steam Plant</v>
      </c>
      <c r="B15" s="1466" t="str">
        <f>PortfolioCFStatement!E738</f>
        <v>2010$</v>
      </c>
      <c r="C15" s="1460">
        <f ca="1">PortfolioCFStatement!F738</f>
        <v>0</v>
      </c>
      <c r="D15" s="1467">
        <f ca="1">PortfolioCFStatement!G738</f>
        <v>0</v>
      </c>
      <c r="E15" s="1467">
        <f ca="1">PortfolioCFStatement!H738</f>
        <v>0</v>
      </c>
      <c r="F15" s="1467">
        <f ca="1">PortfolioCFStatement!I738</f>
        <v>0</v>
      </c>
      <c r="G15" s="1467">
        <f ca="1">PortfolioCFStatement!J738</f>
        <v>0</v>
      </c>
      <c r="H15" s="1467">
        <f ca="1">PortfolioCFStatement!K738</f>
        <v>0</v>
      </c>
      <c r="I15" s="1467">
        <f ca="1">PortfolioCFStatement!L738</f>
        <v>0</v>
      </c>
      <c r="J15" s="1467">
        <f ca="1">PortfolioCFStatement!M738</f>
        <v>0</v>
      </c>
      <c r="K15" s="1467">
        <f ca="1">PortfolioCFStatement!N738</f>
        <v>0</v>
      </c>
      <c r="L15" s="1467">
        <f ca="1">PortfolioCFStatement!O738</f>
        <v>0</v>
      </c>
      <c r="M15" s="1467">
        <f ca="1">PortfolioCFStatement!P738</f>
        <v>0</v>
      </c>
      <c r="N15" s="1467">
        <f ca="1">PortfolioCFStatement!Q738</f>
        <v>0</v>
      </c>
      <c r="O15" s="1467">
        <f ca="1">PortfolioCFStatement!R738</f>
        <v>0</v>
      </c>
      <c r="P15" s="1467">
        <f ca="1">PortfolioCFStatement!S738</f>
        <v>0</v>
      </c>
      <c r="Q15" s="1467">
        <f ca="1">PortfolioCFStatement!T738</f>
        <v>0</v>
      </c>
      <c r="R15" s="1467">
        <f ca="1">PortfolioCFStatement!U738</f>
        <v>0</v>
      </c>
      <c r="S15" s="1467">
        <f ca="1">PortfolioCFStatement!V738</f>
        <v>0</v>
      </c>
      <c r="T15" s="1467">
        <f ca="1">PortfolioCFStatement!W738</f>
        <v>0</v>
      </c>
      <c r="U15" s="1467">
        <f ca="1">PortfolioCFStatement!X738</f>
        <v>0</v>
      </c>
      <c r="V15" s="1467">
        <f ca="1">PortfolioCFStatement!Y738</f>
        <v>0</v>
      </c>
      <c r="W15" s="1467">
        <f ca="1">PortfolioCFStatement!Z738</f>
        <v>0</v>
      </c>
      <c r="X15" s="1467">
        <f ca="1">PortfolioCFStatement!AA738</f>
        <v>0</v>
      </c>
      <c r="Y15" s="1467">
        <f ca="1">PortfolioCFStatement!AB738</f>
        <v>0</v>
      </c>
      <c r="Z15" s="1467">
        <f ca="1">PortfolioCFStatement!AC738</f>
        <v>0</v>
      </c>
      <c r="AA15" s="1467">
        <f ca="1">PortfolioCFStatement!AD738</f>
        <v>0</v>
      </c>
      <c r="AB15" s="1467">
        <f ca="1">PortfolioCFStatement!AE738</f>
        <v>0</v>
      </c>
      <c r="AC15" s="1467">
        <f ca="1">PortfolioCFStatement!AF738</f>
        <v>0</v>
      </c>
      <c r="AD15" s="1467">
        <f ca="1">PortfolioCFStatement!AG738</f>
        <v>0</v>
      </c>
      <c r="AE15" s="1467">
        <f ca="1">PortfolioCFStatement!AH738</f>
        <v>0</v>
      </c>
      <c r="AF15" s="1467">
        <f ca="1">PortfolioCFStatement!AI738</f>
        <v>0</v>
      </c>
      <c r="AG15" s="1467">
        <f ca="1">PortfolioCFStatement!AJ738</f>
        <v>0</v>
      </c>
      <c r="AH15" s="1467">
        <f ca="1">PortfolioCFStatement!AK738</f>
        <v>0</v>
      </c>
      <c r="AI15" s="1467">
        <f ca="1">PortfolioCFStatement!AL738</f>
        <v>0</v>
      </c>
      <c r="AJ15" s="1467">
        <f ca="1">PortfolioCFStatement!AM738</f>
        <v>0</v>
      </c>
      <c r="AK15" s="1467">
        <f ca="1">PortfolioCFStatement!AN738</f>
        <v>0</v>
      </c>
      <c r="AL15" s="1467">
        <f ca="1">PortfolioCFStatement!AO738</f>
        <v>0</v>
      </c>
      <c r="AM15" s="1467">
        <f ca="1">PortfolioCFStatement!AP738</f>
        <v>0</v>
      </c>
      <c r="AN15" s="1467">
        <f ca="1">PortfolioCFStatement!AQ738</f>
        <v>0</v>
      </c>
      <c r="AO15" s="1467">
        <f ca="1">PortfolioCFStatement!AR738</f>
        <v>0</v>
      </c>
      <c r="AP15" s="1467">
        <f ca="1">PortfolioCFStatement!AS738</f>
        <v>0</v>
      </c>
      <c r="AQ15" s="1467">
        <f ca="1">PortfolioCFStatement!AT738</f>
        <v>0</v>
      </c>
      <c r="AR15" s="1467"/>
      <c r="AS15" s="1467">
        <f t="shared" ca="1" si="0"/>
        <v>0</v>
      </c>
      <c r="AT15" s="1468"/>
      <c r="AU15" s="1467">
        <f t="shared" ca="1" si="1"/>
        <v>0</v>
      </c>
      <c r="AV15" s="1468"/>
      <c r="AW15" s="1467">
        <f t="shared" ca="1" si="2"/>
        <v>0</v>
      </c>
      <c r="AX15" s="1468"/>
      <c r="AY15" s="1467">
        <f t="shared" ca="1" si="3"/>
        <v>0</v>
      </c>
      <c r="AZ15" s="1468"/>
      <c r="BA15" s="1467">
        <f t="shared" ca="1" si="4"/>
        <v>0</v>
      </c>
      <c r="BB15" s="1468"/>
      <c r="BC15" s="1467">
        <f t="shared" ca="1" si="5"/>
        <v>0</v>
      </c>
      <c r="BD15" s="1468"/>
      <c r="BE15" s="1467">
        <f t="shared" ca="1" si="6"/>
        <v>0</v>
      </c>
    </row>
    <row r="16" spans="1:57" s="10" customFormat="1">
      <c r="A16" s="1465" t="str">
        <f ca="1">PortfolioCFStatement!D739</f>
        <v>On-site Wind</v>
      </c>
      <c r="B16" s="1466" t="str">
        <f>PortfolioCFStatement!E739</f>
        <v>2010$</v>
      </c>
      <c r="C16" s="1460">
        <f ca="1">PortfolioCFStatement!F739</f>
        <v>236953.76386988963</v>
      </c>
      <c r="D16" s="1467">
        <f ca="1">PortfolioCFStatement!G739</f>
        <v>0</v>
      </c>
      <c r="E16" s="1467">
        <f ca="1">PortfolioCFStatement!H739</f>
        <v>14966.46</v>
      </c>
      <c r="F16" s="1467">
        <f ca="1">PortfolioCFStatement!I739</f>
        <v>15041.292299999994</v>
      </c>
      <c r="G16" s="1467">
        <f ca="1">PortfolioCFStatement!J739</f>
        <v>15116.498761499994</v>
      </c>
      <c r="H16" s="1467">
        <f ca="1">PortfolioCFStatement!K739</f>
        <v>15192.081255307488</v>
      </c>
      <c r="I16" s="1467">
        <f ca="1">PortfolioCFStatement!L739</f>
        <v>15268.041661584026</v>
      </c>
      <c r="J16" s="1467">
        <f ca="1">PortfolioCFStatement!M739</f>
        <v>15344.381869891942</v>
      </c>
      <c r="K16" s="1467">
        <f ca="1">PortfolioCFStatement!N739</f>
        <v>15421.103779241399</v>
      </c>
      <c r="L16" s="1467">
        <f ca="1">PortfolioCFStatement!O739</f>
        <v>15498.209298137604</v>
      </c>
      <c r="M16" s="1467">
        <f ca="1">PortfolioCFStatement!P739</f>
        <v>15575.700344628294</v>
      </c>
      <c r="N16" s="1467">
        <f ca="1">PortfolioCFStatement!Q739</f>
        <v>15653.578846351431</v>
      </c>
      <c r="O16" s="1467">
        <f ca="1">PortfolioCFStatement!R739</f>
        <v>15731.846740583187</v>
      </c>
      <c r="P16" s="1467">
        <f ca="1">PortfolioCFStatement!S739</f>
        <v>15810.505974286096</v>
      </c>
      <c r="Q16" s="1467">
        <f ca="1">PortfolioCFStatement!T739</f>
        <v>15889.558504157527</v>
      </c>
      <c r="R16" s="1467">
        <f ca="1">PortfolioCFStatement!U739</f>
        <v>15969.006296678312</v>
      </c>
      <c r="S16" s="1467">
        <f ca="1">PortfolioCFStatement!V739</f>
        <v>16048.8513281617</v>
      </c>
      <c r="T16" s="1467">
        <f ca="1">PortfolioCFStatement!W739</f>
        <v>16129.095584802508</v>
      </c>
      <c r="U16" s="1467">
        <f ca="1">PortfolioCFStatement!X739</f>
        <v>16209.741062726518</v>
      </c>
      <c r="V16" s="1467">
        <f ca="1">PortfolioCFStatement!Y739</f>
        <v>16290.789768040146</v>
      </c>
      <c r="W16" s="1467">
        <f ca="1">PortfolioCFStatement!Z739</f>
        <v>16372.243716880344</v>
      </c>
      <c r="X16" s="1467">
        <f ca="1">PortfolioCFStatement!AA739</f>
        <v>16454.104935464744</v>
      </c>
      <c r="Y16" s="1467">
        <f ca="1">PortfolioCFStatement!AB739</f>
        <v>16536.375460142062</v>
      </c>
      <c r="Z16" s="1467">
        <f ca="1">PortfolioCFStatement!AC739</f>
        <v>16619.057337442773</v>
      </c>
      <c r="AA16" s="1467">
        <f ca="1">PortfolioCFStatement!AD739</f>
        <v>16702.152624129983</v>
      </c>
      <c r="AB16" s="1467">
        <f ca="1">PortfolioCFStatement!AE739</f>
        <v>16785.663387250635</v>
      </c>
      <c r="AC16" s="1467">
        <f ca="1">PortfolioCFStatement!AF739</f>
        <v>16869.591704186882</v>
      </c>
      <c r="AD16" s="1467">
        <f ca="1">PortfolioCFStatement!AG739</f>
        <v>16953.939662707817</v>
      </c>
      <c r="AE16" s="1467">
        <f ca="1">PortfolioCFStatement!AH739</f>
        <v>17038.709361021352</v>
      </c>
      <c r="AF16" s="1467">
        <f ca="1">PortfolioCFStatement!AI739</f>
        <v>17123.902907826454</v>
      </c>
      <c r="AG16" s="1467">
        <f ca="1">PortfolioCFStatement!AJ739</f>
        <v>17209.522422365586</v>
      </c>
      <c r="AH16" s="1467">
        <f ca="1">PortfolioCFStatement!AK739</f>
        <v>17295.570034477412</v>
      </c>
      <c r="AI16" s="1467">
        <f ca="1">PortfolioCFStatement!AL739</f>
        <v>17382.047884649794</v>
      </c>
      <c r="AJ16" s="1467">
        <f ca="1">PortfolioCFStatement!AM739</f>
        <v>17468.95812407304</v>
      </c>
      <c r="AK16" s="1467">
        <f ca="1">PortfolioCFStatement!AN739</f>
        <v>17556.302914693402</v>
      </c>
      <c r="AL16" s="1467">
        <f ca="1">PortfolioCFStatement!AO739</f>
        <v>17644.084429266866</v>
      </c>
      <c r="AM16" s="1467">
        <f ca="1">PortfolioCFStatement!AP739</f>
        <v>17732.304851413199</v>
      </c>
      <c r="AN16" s="1467">
        <f ca="1">PortfolioCFStatement!AQ739</f>
        <v>17820.966375670261</v>
      </c>
      <c r="AO16" s="1467">
        <f ca="1">PortfolioCFStatement!AR739</f>
        <v>17910.071207548608</v>
      </c>
      <c r="AP16" s="1467">
        <f ca="1">PortfolioCFStatement!AS739</f>
        <v>17999.621563586348</v>
      </c>
      <c r="AQ16" s="1467">
        <f ca="1">PortfolioCFStatement!AT739</f>
        <v>18089.619671404278</v>
      </c>
      <c r="AR16" s="1467"/>
      <c r="AS16" s="1467">
        <f t="shared" ca="1" si="0"/>
        <v>77107.436953483266</v>
      </c>
      <c r="AT16" s="1468"/>
      <c r="AU16" s="1467">
        <f t="shared" ca="1" si="1"/>
        <v>79054.496362056554</v>
      </c>
      <c r="AV16" s="1468"/>
      <c r="AW16" s="1467">
        <f t="shared" ca="1" si="2"/>
        <v>81050.72146061121</v>
      </c>
      <c r="AX16" s="1468"/>
      <c r="AY16" s="1467">
        <f t="shared" ca="1" si="3"/>
        <v>83097.353744430206</v>
      </c>
      <c r="AZ16" s="1468"/>
      <c r="BA16" s="1467">
        <f t="shared" ca="1" si="4"/>
        <v>85195.666058108094</v>
      </c>
      <c r="BB16" s="1468"/>
      <c r="BC16" s="1467">
        <f t="shared" ca="1" si="5"/>
        <v>87346.963387160518</v>
      </c>
      <c r="BD16" s="1468"/>
      <c r="BE16" s="1467">
        <f t="shared" ca="1" si="6"/>
        <v>89552.583669622691</v>
      </c>
    </row>
    <row r="17" spans="1:57" s="10" customFormat="1">
      <c r="A17" s="1465" t="str">
        <f ca="1">PortfolioCFStatement!D740</f>
        <v>Solar DHW</v>
      </c>
      <c r="B17" s="1466" t="str">
        <f>PortfolioCFStatement!E740</f>
        <v>2010$</v>
      </c>
      <c r="C17" s="1460">
        <f ca="1">PortfolioCFStatement!F740</f>
        <v>64882.291036694667</v>
      </c>
      <c r="D17" s="1467">
        <f ca="1">PortfolioCFStatement!G740</f>
        <v>0</v>
      </c>
      <c r="E17" s="1467">
        <f ca="1">PortfolioCFStatement!H740</f>
        <v>0</v>
      </c>
      <c r="F17" s="1467">
        <f ca="1">PortfolioCFStatement!I740</f>
        <v>4365.7750911300864</v>
      </c>
      <c r="G17" s="1467">
        <f ca="1">PortfolioCFStatement!J740</f>
        <v>4387.6039665857361</v>
      </c>
      <c r="H17" s="1467">
        <f ca="1">PortfolioCFStatement!K740</f>
        <v>4409.5419864186642</v>
      </c>
      <c r="I17" s="1467">
        <f ca="1">PortfolioCFStatement!L740</f>
        <v>4431.5896963507566</v>
      </c>
      <c r="J17" s="1467">
        <f ca="1">PortfolioCFStatement!M740</f>
        <v>4453.7476448325096</v>
      </c>
      <c r="K17" s="1467">
        <f ca="1">PortfolioCFStatement!N740</f>
        <v>4476.0163830566726</v>
      </c>
      <c r="L17" s="1467">
        <f ca="1">PortfolioCFStatement!O740</f>
        <v>4498.3964649719546</v>
      </c>
      <c r="M17" s="1467">
        <f ca="1">PortfolioCFStatement!P740</f>
        <v>4520.8884472968148</v>
      </c>
      <c r="N17" s="1467">
        <f ca="1">PortfolioCFStatement!Q740</f>
        <v>4543.4928895332978</v>
      </c>
      <c r="O17" s="1467">
        <f ca="1">PortfolioCFStatement!R740</f>
        <v>4566.210353980965</v>
      </c>
      <c r="P17" s="1467">
        <f ca="1">PortfolioCFStatement!S740</f>
        <v>4589.0414057508669</v>
      </c>
      <c r="Q17" s="1467">
        <f ca="1">PortfolioCFStatement!T740</f>
        <v>4611.9866127796213</v>
      </c>
      <c r="R17" s="1467">
        <f ca="1">PortfolioCFStatement!U740</f>
        <v>4635.0465458435183</v>
      </c>
      <c r="S17" s="1467">
        <f ca="1">PortfolioCFStatement!V740</f>
        <v>4658.2217785727362</v>
      </c>
      <c r="T17" s="1467">
        <f ca="1">PortfolioCFStatement!W740</f>
        <v>4681.5128874655975</v>
      </c>
      <c r="U17" s="1467">
        <f ca="1">PortfolioCFStatement!X740</f>
        <v>4704.9204519029254</v>
      </c>
      <c r="V17" s="1467">
        <f ca="1">PortfolioCFStatement!Y740</f>
        <v>4728.4450541624392</v>
      </c>
      <c r="W17" s="1467">
        <f ca="1">PortfolioCFStatement!Z740</f>
        <v>4752.0872794332508</v>
      </c>
      <c r="X17" s="1467">
        <f ca="1">PortfolioCFStatement!AA740</f>
        <v>4775.8477158304167</v>
      </c>
      <c r="Y17" s="1467">
        <f ca="1">PortfolioCFStatement!AB740</f>
        <v>4799.726954409568</v>
      </c>
      <c r="Z17" s="1467">
        <f ca="1">PortfolioCFStatement!AC740</f>
        <v>4823.7255891816149</v>
      </c>
      <c r="AA17" s="1467">
        <f ca="1">PortfolioCFStatement!AD740</f>
        <v>4847.8442171275219</v>
      </c>
      <c r="AB17" s="1467">
        <f ca="1">PortfolioCFStatement!AE740</f>
        <v>4872.0834382131607</v>
      </c>
      <c r="AC17" s="1467">
        <f ca="1">PortfolioCFStatement!AF740</f>
        <v>4896.4438554042254</v>
      </c>
      <c r="AD17" s="1467">
        <f ca="1">PortfolioCFStatement!AG740</f>
        <v>4920.9260746812452</v>
      </c>
      <c r="AE17" s="1467">
        <f ca="1">PortfolioCFStatement!AH740</f>
        <v>4945.5307050546508</v>
      </c>
      <c r="AF17" s="1467">
        <f ca="1">PortfolioCFStatement!AI740</f>
        <v>4970.2583585799221</v>
      </c>
      <c r="AG17" s="1467">
        <f ca="1">PortfolioCFStatement!AJ740</f>
        <v>4995.1096503728222</v>
      </c>
      <c r="AH17" s="1467">
        <f ca="1">PortfolioCFStatement!AK740</f>
        <v>5020.0851986246853</v>
      </c>
      <c r="AI17" s="1467">
        <f ca="1">PortfolioCFStatement!AL740</f>
        <v>5045.1856246178077</v>
      </c>
      <c r="AJ17" s="1467">
        <f ca="1">PortfolioCFStatement!AM740</f>
        <v>5070.4115527408958</v>
      </c>
      <c r="AK17" s="1467">
        <f ca="1">PortfolioCFStatement!AN740</f>
        <v>5095.7636105045995</v>
      </c>
      <c r="AL17" s="1467">
        <f ca="1">PortfolioCFStatement!AO740</f>
        <v>5121.2424285571224</v>
      </c>
      <c r="AM17" s="1467">
        <f ca="1">PortfolioCFStatement!AP740</f>
        <v>5146.8486406999073</v>
      </c>
      <c r="AN17" s="1467">
        <f ca="1">PortfolioCFStatement!AQ740</f>
        <v>5172.5828839034039</v>
      </c>
      <c r="AO17" s="1467">
        <f ca="1">PortfolioCFStatement!AR740</f>
        <v>5198.4457983229195</v>
      </c>
      <c r="AP17" s="1467">
        <f ca="1">PortfolioCFStatement!AS740</f>
        <v>5224.4380273145352</v>
      </c>
      <c r="AQ17" s="1467">
        <f ca="1">PortfolioCFStatement!AT740</f>
        <v>5250.5602174511068</v>
      </c>
      <c r="AR17" s="1467"/>
      <c r="AS17" s="1467">
        <f t="shared" ca="1" si="0"/>
        <v>22380.638636508709</v>
      </c>
      <c r="AT17" s="1468"/>
      <c r="AU17" s="1467">
        <f t="shared" ca="1" si="1"/>
        <v>22945.777807888266</v>
      </c>
      <c r="AV17" s="1468"/>
      <c r="AW17" s="1467">
        <f t="shared" ca="1" si="2"/>
        <v>23525.187451536949</v>
      </c>
      <c r="AX17" s="1468"/>
      <c r="AY17" s="1467">
        <f t="shared" ca="1" si="3"/>
        <v>24119.227914762283</v>
      </c>
      <c r="AZ17" s="1468"/>
      <c r="BA17" s="1467">
        <f t="shared" ca="1" si="4"/>
        <v>24728.268644092866</v>
      </c>
      <c r="BB17" s="1468"/>
      <c r="BC17" s="1467">
        <f t="shared" ca="1" si="5"/>
        <v>25352.688415045108</v>
      </c>
      <c r="BD17" s="1468"/>
      <c r="BE17" s="1467">
        <f t="shared" ca="1" si="6"/>
        <v>25992.875567691874</v>
      </c>
    </row>
    <row r="18" spans="1:57" s="10" customFormat="1">
      <c r="A18" s="1465" t="str">
        <f ca="1">PortfolioCFStatement!D741</f>
        <v>Geo Exchange</v>
      </c>
      <c r="B18" s="1466" t="str">
        <f>PortfolioCFStatement!E741</f>
        <v>2010$</v>
      </c>
      <c r="C18" s="1460">
        <f ca="1">PortfolioCFStatement!F741</f>
        <v>2876606.3207084471</v>
      </c>
      <c r="D18" s="1467">
        <f ca="1">PortfolioCFStatement!G741</f>
        <v>0</v>
      </c>
      <c r="E18" s="1467">
        <f ca="1">PortfolioCFStatement!H741</f>
        <v>0</v>
      </c>
      <c r="F18" s="1467">
        <f ca="1">PortfolioCFStatement!I741</f>
        <v>0</v>
      </c>
      <c r="G18" s="1467">
        <f ca="1">PortfolioCFStatement!J741</f>
        <v>109301.99361941483</v>
      </c>
      <c r="H18" s="1467">
        <f ca="1">PortfolioCFStatement!K741</f>
        <v>109848.50358751189</v>
      </c>
      <c r="I18" s="1467">
        <f ca="1">PortfolioCFStatement!L741</f>
        <v>220795.49221089884</v>
      </c>
      <c r="J18" s="1467">
        <f ca="1">PortfolioCFStatement!M741</f>
        <v>221899.46967195329</v>
      </c>
      <c r="K18" s="1467">
        <f ca="1">PortfolioCFStatement!N741</f>
        <v>223008.96702031308</v>
      </c>
      <c r="L18" s="1467">
        <f ca="1">PortfolioCFStatement!O741</f>
        <v>224124.0118554146</v>
      </c>
      <c r="M18" s="1467">
        <f ca="1">PortfolioCFStatement!P741</f>
        <v>225244.63191469168</v>
      </c>
      <c r="N18" s="1467">
        <f ca="1">PortfolioCFStatement!Q741</f>
        <v>226370.8550742651</v>
      </c>
      <c r="O18" s="1467">
        <f ca="1">PortfolioCFStatement!R741</f>
        <v>227502.70934963643</v>
      </c>
      <c r="P18" s="1467">
        <f ca="1">PortfolioCFStatement!S741</f>
        <v>228640.22289638451</v>
      </c>
      <c r="Q18" s="1467">
        <f ca="1">PortfolioCFStatement!T741</f>
        <v>229783.42401086641</v>
      </c>
      <c r="R18" s="1467">
        <f ca="1">PortfolioCFStatement!U741</f>
        <v>230932.34113092071</v>
      </c>
      <c r="S18" s="1467">
        <f ca="1">PortfolioCFStatement!V741</f>
        <v>232087.0028365753</v>
      </c>
      <c r="T18" s="1467">
        <f ca="1">PortfolioCFStatement!W741</f>
        <v>233247.43785075808</v>
      </c>
      <c r="U18" s="1467">
        <f ca="1">PortfolioCFStatement!X741</f>
        <v>234413.67504001185</v>
      </c>
      <c r="V18" s="1467">
        <f ca="1">PortfolioCFStatement!Y741</f>
        <v>235585.74341521188</v>
      </c>
      <c r="W18" s="1467">
        <f ca="1">PortfolioCFStatement!Z741</f>
        <v>236763.67213228793</v>
      </c>
      <c r="X18" s="1467">
        <f ca="1">PortfolioCFStatement!AA741</f>
        <v>237947.49049294932</v>
      </c>
      <c r="Y18" s="1467">
        <f ca="1">PortfolioCFStatement!AB741</f>
        <v>239137.22794541399</v>
      </c>
      <c r="Z18" s="1467">
        <f ca="1">PortfolioCFStatement!AC741</f>
        <v>240332.91408514103</v>
      </c>
      <c r="AA18" s="1467">
        <f ca="1">PortfolioCFStatement!AD741</f>
        <v>241534.57865556673</v>
      </c>
      <c r="AB18" s="1467">
        <f ca="1">PortfolioCFStatement!AE741</f>
        <v>242742.25154884456</v>
      </c>
      <c r="AC18" s="1467">
        <f ca="1">PortfolioCFStatement!AF741</f>
        <v>243955.96280658874</v>
      </c>
      <c r="AD18" s="1467">
        <f ca="1">PortfolioCFStatement!AG741</f>
        <v>245175.74262062163</v>
      </c>
      <c r="AE18" s="1467">
        <f ca="1">PortfolioCFStatement!AH741</f>
        <v>246401.62133372473</v>
      </c>
      <c r="AF18" s="1467">
        <f ca="1">PortfolioCFStatement!AI741</f>
        <v>247633.62944039327</v>
      </c>
      <c r="AG18" s="1467">
        <f ca="1">PortfolioCFStatement!AJ741</f>
        <v>248871.79758759521</v>
      </c>
      <c r="AH18" s="1467">
        <f ca="1">PortfolioCFStatement!AK741</f>
        <v>250116.15657553315</v>
      </c>
      <c r="AI18" s="1467">
        <f ca="1">PortfolioCFStatement!AL741</f>
        <v>251366.73735841076</v>
      </c>
      <c r="AJ18" s="1467">
        <f ca="1">PortfolioCFStatement!AM741</f>
        <v>252623.57104520276</v>
      </c>
      <c r="AK18" s="1467">
        <f ca="1">PortfolioCFStatement!AN741</f>
        <v>253886.68890042877</v>
      </c>
      <c r="AL18" s="1467">
        <f ca="1">PortfolioCFStatement!AO741</f>
        <v>255156.12234493089</v>
      </c>
      <c r="AM18" s="1467">
        <f ca="1">PortfolioCFStatement!AP741</f>
        <v>256431.90295665548</v>
      </c>
      <c r="AN18" s="1467">
        <f ca="1">PortfolioCFStatement!AQ741</f>
        <v>257714.06247143866</v>
      </c>
      <c r="AO18" s="1467">
        <f ca="1">PortfolioCFStatement!AR741</f>
        <v>259002.63278379579</v>
      </c>
      <c r="AP18" s="1467">
        <f ca="1">PortfolioCFStatement!AS741</f>
        <v>260297.6459477148</v>
      </c>
      <c r="AQ18" s="1467">
        <f ca="1">PortfolioCFStatement!AT741</f>
        <v>261599.13417745332</v>
      </c>
      <c r="AR18" s="1467"/>
      <c r="AS18" s="1467">
        <f t="shared" ca="1" si="0"/>
        <v>1115072.5726732716</v>
      </c>
      <c r="AT18" s="1468"/>
      <c r="AU18" s="1467">
        <f t="shared" ca="1" si="1"/>
        <v>1143229.5524620733</v>
      </c>
      <c r="AV18" s="1468"/>
      <c r="AW18" s="1467">
        <f t="shared" ca="1" si="2"/>
        <v>1172097.5312748451</v>
      </c>
      <c r="AX18" s="1468"/>
      <c r="AY18" s="1467">
        <f t="shared" ca="1" si="3"/>
        <v>1201694.4627279157</v>
      </c>
      <c r="AZ18" s="1468"/>
      <c r="BA18" s="1467">
        <f t="shared" ca="1" si="4"/>
        <v>1232038.7537889236</v>
      </c>
      <c r="BB18" s="1468"/>
      <c r="BC18" s="1467">
        <f t="shared" ca="1" si="5"/>
        <v>1263149.2762245063</v>
      </c>
      <c r="BD18" s="1468"/>
      <c r="BE18" s="1467">
        <f t="shared" ca="1" si="6"/>
        <v>1295045.378337058</v>
      </c>
    </row>
    <row r="19" spans="1:57" s="10" customFormat="1">
      <c r="A19" s="1465" t="str">
        <f ca="1">PortfolioCFStatement!D742</f>
        <v>Rooftop Solar PV</v>
      </c>
      <c r="B19" s="1466" t="str">
        <f>PortfolioCFStatement!E742</f>
        <v>2010$</v>
      </c>
      <c r="C19" s="1460">
        <f ca="1">PortfolioCFStatement!F742</f>
        <v>747925.0966664661</v>
      </c>
      <c r="D19" s="1467">
        <f ca="1">PortfolioCFStatement!G742</f>
        <v>0</v>
      </c>
      <c r="E19" s="1467">
        <f ca="1">PortfolioCFStatement!H742</f>
        <v>0</v>
      </c>
      <c r="F19" s="1467">
        <f ca="1">PortfolioCFStatement!I742</f>
        <v>0</v>
      </c>
      <c r="G19" s="1467">
        <f ca="1">PortfolioCFStatement!J742</f>
        <v>0</v>
      </c>
      <c r="H19" s="1467">
        <f ca="1">PortfolioCFStatement!K742</f>
        <v>0</v>
      </c>
      <c r="I19" s="1467">
        <f ca="1">PortfolioCFStatement!L742</f>
        <v>61044.988312129492</v>
      </c>
      <c r="J19" s="1467">
        <f ca="1">PortfolioCFStatement!M742</f>
        <v>61350.213253690126</v>
      </c>
      <c r="K19" s="1467">
        <f ca="1">PortfolioCFStatement!N742</f>
        <v>61656.96431995857</v>
      </c>
      <c r="L19" s="1467">
        <f ca="1">PortfolioCFStatement!O742</f>
        <v>61965.249141558357</v>
      </c>
      <c r="M19" s="1467">
        <f ca="1">PortfolioCFStatement!P742</f>
        <v>62275.075387266144</v>
      </c>
      <c r="N19" s="1467">
        <f ca="1">PortfolioCFStatement!Q742</f>
        <v>62586.450764202462</v>
      </c>
      <c r="O19" s="1467">
        <f ca="1">PortfolioCFStatement!R742</f>
        <v>62899.383018023473</v>
      </c>
      <c r="P19" s="1467">
        <f ca="1">PortfolioCFStatement!S742</f>
        <v>63213.87993311356</v>
      </c>
      <c r="Q19" s="1467">
        <f ca="1">PortfolioCFStatement!T742</f>
        <v>63529.949332779128</v>
      </c>
      <c r="R19" s="1467">
        <f ca="1">PortfolioCFStatement!U742</f>
        <v>63847.599079443018</v>
      </c>
      <c r="S19" s="1467">
        <f ca="1">PortfolioCFStatement!V742</f>
        <v>64166.837074840216</v>
      </c>
      <c r="T19" s="1467">
        <f ca="1">PortfolioCFStatement!W742</f>
        <v>64487.671260214411</v>
      </c>
      <c r="U19" s="1467">
        <f ca="1">PortfolioCFStatement!X742</f>
        <v>64810.109616515474</v>
      </c>
      <c r="V19" s="1467">
        <f ca="1">PortfolioCFStatement!Y742</f>
        <v>65134.160164598034</v>
      </c>
      <c r="W19" s="1467">
        <f ca="1">PortfolioCFStatement!Z742</f>
        <v>65459.830965421017</v>
      </c>
      <c r="X19" s="1467">
        <f ca="1">PortfolioCFStatement!AA742</f>
        <v>65787.130120248112</v>
      </c>
      <c r="Y19" s="1467">
        <f ca="1">PortfolioCFStatement!AB742</f>
        <v>66116.065770849338</v>
      </c>
      <c r="Z19" s="1467">
        <f ca="1">PortfolioCFStatement!AC742</f>
        <v>66446.646099703576</v>
      </c>
      <c r="AA19" s="1467">
        <f ca="1">PortfolioCFStatement!AD742</f>
        <v>66778.879330202079</v>
      </c>
      <c r="AB19" s="1467">
        <f ca="1">PortfolioCFStatement!AE742</f>
        <v>67112.773726853091</v>
      </c>
      <c r="AC19" s="1467">
        <f ca="1">PortfolioCFStatement!AF742</f>
        <v>67448.337595487348</v>
      </c>
      <c r="AD19" s="1467">
        <f ca="1">PortfolioCFStatement!AG742</f>
        <v>67785.579283464773</v>
      </c>
      <c r="AE19" s="1467">
        <f ca="1">PortfolioCFStatement!AH742</f>
        <v>68124.507179882086</v>
      </c>
      <c r="AF19" s="1467">
        <f ca="1">PortfolioCFStatement!AI742</f>
        <v>68465.129715781484</v>
      </c>
      <c r="AG19" s="1467">
        <f ca="1">PortfolioCFStatement!AJ742</f>
        <v>68807.455364360387</v>
      </c>
      <c r="AH19" s="1467">
        <f ca="1">PortfolioCFStatement!AK742</f>
        <v>69151.49264118218</v>
      </c>
      <c r="AI19" s="1467">
        <f ca="1">PortfolioCFStatement!AL742</f>
        <v>69497.250104388062</v>
      </c>
      <c r="AJ19" s="1467">
        <f ca="1">PortfolioCFStatement!AM742</f>
        <v>69844.736354909997</v>
      </c>
      <c r="AK19" s="1467">
        <f ca="1">PortfolioCFStatement!AN742</f>
        <v>70193.960036684541</v>
      </c>
      <c r="AL19" s="1467">
        <f ca="1">PortfolioCFStatement!AO742</f>
        <v>70544.929836867959</v>
      </c>
      <c r="AM19" s="1467">
        <f ca="1">PortfolioCFStatement!AP742</f>
        <v>70897.654486052284</v>
      </c>
      <c r="AN19" s="1467">
        <f ca="1">PortfolioCFStatement!AQ742</f>
        <v>71252.142758482529</v>
      </c>
      <c r="AO19" s="1467">
        <f ca="1">PortfolioCFStatement!AR742</f>
        <v>71608.40347227492</v>
      </c>
      <c r="AP19" s="1467">
        <f ca="1">PortfolioCFStatement!AS742</f>
        <v>71966.445489636288</v>
      </c>
      <c r="AQ19" s="1467">
        <f ca="1">PortfolioCFStatement!AT742</f>
        <v>72326.277717084464</v>
      </c>
      <c r="AR19" s="1467"/>
      <c r="AS19" s="1467">
        <f t="shared" ca="1" si="0"/>
        <v>308292.49041460268</v>
      </c>
      <c r="AT19" s="1468"/>
      <c r="AU19" s="1467">
        <f t="shared" ca="1" si="1"/>
        <v>316077.26212756161</v>
      </c>
      <c r="AV19" s="1468"/>
      <c r="AW19" s="1467">
        <f t="shared" ca="1" si="2"/>
        <v>324058.60908158915</v>
      </c>
      <c r="AX19" s="1468"/>
      <c r="AY19" s="1467">
        <f t="shared" ca="1" si="3"/>
        <v>332241.49504785618</v>
      </c>
      <c r="AZ19" s="1468"/>
      <c r="BA19" s="1467">
        <f t="shared" ca="1" si="4"/>
        <v>340631.00913897611</v>
      </c>
      <c r="BB19" s="1468"/>
      <c r="BC19" s="1467">
        <f t="shared" ca="1" si="5"/>
        <v>349232.36897403275</v>
      </c>
      <c r="BD19" s="1468"/>
      <c r="BE19" s="1467">
        <f t="shared" ca="1" si="6"/>
        <v>358050.9239235305</v>
      </c>
    </row>
    <row r="20" spans="1:57" s="10" customFormat="1" hidden="1">
      <c r="A20" s="1465" t="str">
        <f ca="1">PortfolioCFStatement!D743</f>
        <v>Blank</v>
      </c>
      <c r="B20" s="1466" t="str">
        <f>PortfolioCFStatement!E743</f>
        <v>2010$</v>
      </c>
      <c r="C20" s="1460">
        <f ca="1">PortfolioCFStatement!F743</f>
        <v>0</v>
      </c>
      <c r="D20" s="1467">
        <f ca="1">PortfolioCFStatement!G743</f>
        <v>0</v>
      </c>
      <c r="E20" s="1467">
        <f ca="1">PortfolioCFStatement!H743</f>
        <v>0</v>
      </c>
      <c r="F20" s="1467">
        <f ca="1">PortfolioCFStatement!I743</f>
        <v>0</v>
      </c>
      <c r="G20" s="1467">
        <f ca="1">PortfolioCFStatement!J743</f>
        <v>0</v>
      </c>
      <c r="H20" s="1467">
        <f ca="1">PortfolioCFStatement!K743</f>
        <v>0</v>
      </c>
      <c r="I20" s="1467">
        <f ca="1">PortfolioCFStatement!L743</f>
        <v>0</v>
      </c>
      <c r="J20" s="1467">
        <f ca="1">PortfolioCFStatement!M743</f>
        <v>0</v>
      </c>
      <c r="K20" s="1467">
        <f ca="1">PortfolioCFStatement!N743</f>
        <v>0</v>
      </c>
      <c r="L20" s="1467">
        <f ca="1">PortfolioCFStatement!O743</f>
        <v>0</v>
      </c>
      <c r="M20" s="1467">
        <f ca="1">PortfolioCFStatement!P743</f>
        <v>0</v>
      </c>
      <c r="N20" s="1467">
        <f ca="1">PortfolioCFStatement!Q743</f>
        <v>0</v>
      </c>
      <c r="O20" s="1467">
        <f ca="1">PortfolioCFStatement!R743</f>
        <v>0</v>
      </c>
      <c r="P20" s="1467">
        <f ca="1">PortfolioCFStatement!S743</f>
        <v>0</v>
      </c>
      <c r="Q20" s="1467">
        <f ca="1">PortfolioCFStatement!T743</f>
        <v>0</v>
      </c>
      <c r="R20" s="1467">
        <f ca="1">PortfolioCFStatement!U743</f>
        <v>0</v>
      </c>
      <c r="S20" s="1467">
        <f ca="1">PortfolioCFStatement!V743</f>
        <v>0</v>
      </c>
      <c r="T20" s="1467">
        <f ca="1">PortfolioCFStatement!W743</f>
        <v>0</v>
      </c>
      <c r="U20" s="1467">
        <f ca="1">PortfolioCFStatement!X743</f>
        <v>0</v>
      </c>
      <c r="V20" s="1467">
        <f ca="1">PortfolioCFStatement!Y743</f>
        <v>0</v>
      </c>
      <c r="W20" s="1467">
        <f ca="1">PortfolioCFStatement!Z743</f>
        <v>0</v>
      </c>
      <c r="X20" s="1467">
        <f ca="1">PortfolioCFStatement!AA743</f>
        <v>0</v>
      </c>
      <c r="Y20" s="1467">
        <f ca="1">PortfolioCFStatement!AB743</f>
        <v>0</v>
      </c>
      <c r="Z20" s="1467">
        <f ca="1">PortfolioCFStatement!AC743</f>
        <v>0</v>
      </c>
      <c r="AA20" s="1467">
        <f ca="1">PortfolioCFStatement!AD743</f>
        <v>0</v>
      </c>
      <c r="AB20" s="1467">
        <f ca="1">PortfolioCFStatement!AE743</f>
        <v>0</v>
      </c>
      <c r="AC20" s="1467">
        <f ca="1">PortfolioCFStatement!AF743</f>
        <v>0</v>
      </c>
      <c r="AD20" s="1467">
        <f ca="1">PortfolioCFStatement!AG743</f>
        <v>0</v>
      </c>
      <c r="AE20" s="1467">
        <f ca="1">PortfolioCFStatement!AH743</f>
        <v>0</v>
      </c>
      <c r="AF20" s="1467">
        <f ca="1">PortfolioCFStatement!AI743</f>
        <v>0</v>
      </c>
      <c r="AG20" s="1467">
        <f ca="1">PortfolioCFStatement!AJ743</f>
        <v>0</v>
      </c>
      <c r="AH20" s="1467">
        <f ca="1">PortfolioCFStatement!AK743</f>
        <v>0</v>
      </c>
      <c r="AI20" s="1467">
        <f ca="1">PortfolioCFStatement!AL743</f>
        <v>0</v>
      </c>
      <c r="AJ20" s="1467">
        <f ca="1">PortfolioCFStatement!AM743</f>
        <v>0</v>
      </c>
      <c r="AK20" s="1467">
        <f ca="1">PortfolioCFStatement!AN743</f>
        <v>0</v>
      </c>
      <c r="AL20" s="1467">
        <f ca="1">PortfolioCFStatement!AO743</f>
        <v>0</v>
      </c>
      <c r="AM20" s="1467">
        <f ca="1">PortfolioCFStatement!AP743</f>
        <v>0</v>
      </c>
      <c r="AN20" s="1467">
        <f ca="1">PortfolioCFStatement!AQ743</f>
        <v>0</v>
      </c>
      <c r="AO20" s="1467">
        <f ca="1">PortfolioCFStatement!AR743</f>
        <v>0</v>
      </c>
      <c r="AP20" s="1467">
        <f ca="1">PortfolioCFStatement!AS743</f>
        <v>0</v>
      </c>
      <c r="AQ20" s="1467">
        <f ca="1">PortfolioCFStatement!AT743</f>
        <v>0</v>
      </c>
      <c r="AR20" s="1467"/>
      <c r="AS20" s="1467">
        <f t="shared" ca="1" si="0"/>
        <v>0</v>
      </c>
      <c r="AT20" s="1468"/>
      <c r="AU20" s="1467">
        <f t="shared" ca="1" si="1"/>
        <v>0</v>
      </c>
      <c r="AV20" s="1468"/>
      <c r="AW20" s="1467">
        <f t="shared" ca="1" si="2"/>
        <v>0</v>
      </c>
      <c r="AX20" s="1468"/>
      <c r="AY20" s="1467">
        <f t="shared" ca="1" si="3"/>
        <v>0</v>
      </c>
      <c r="AZ20" s="1468"/>
      <c r="BA20" s="1467">
        <f t="shared" ca="1" si="4"/>
        <v>0</v>
      </c>
      <c r="BB20" s="1468"/>
      <c r="BC20" s="1467">
        <f t="shared" ca="1" si="5"/>
        <v>0</v>
      </c>
      <c r="BD20" s="1468"/>
      <c r="BE20" s="1467">
        <f t="shared" ca="1" si="6"/>
        <v>0</v>
      </c>
    </row>
    <row r="21" spans="1:57" s="10" customFormat="1" hidden="1">
      <c r="A21" s="1465" t="str">
        <f ca="1">PortfolioCFStatement!D744</f>
        <v>Blank</v>
      </c>
      <c r="B21" s="1466" t="str">
        <f>PortfolioCFStatement!E744</f>
        <v>2010$</v>
      </c>
      <c r="C21" s="1460">
        <f ca="1">PortfolioCFStatement!F744</f>
        <v>0</v>
      </c>
      <c r="D21" s="1467">
        <f ca="1">PortfolioCFStatement!G744</f>
        <v>0</v>
      </c>
      <c r="E21" s="1467">
        <f ca="1">PortfolioCFStatement!H744</f>
        <v>0</v>
      </c>
      <c r="F21" s="1467">
        <f ca="1">PortfolioCFStatement!I744</f>
        <v>0</v>
      </c>
      <c r="G21" s="1467">
        <f ca="1">PortfolioCFStatement!J744</f>
        <v>0</v>
      </c>
      <c r="H21" s="1467">
        <f ca="1">PortfolioCFStatement!K744</f>
        <v>0</v>
      </c>
      <c r="I21" s="1467">
        <f ca="1">PortfolioCFStatement!L744</f>
        <v>0</v>
      </c>
      <c r="J21" s="1467">
        <f ca="1">PortfolioCFStatement!M744</f>
        <v>0</v>
      </c>
      <c r="K21" s="1467">
        <f ca="1">PortfolioCFStatement!N744</f>
        <v>0</v>
      </c>
      <c r="L21" s="1467">
        <f ca="1">PortfolioCFStatement!O744</f>
        <v>0</v>
      </c>
      <c r="M21" s="1467">
        <f ca="1">PortfolioCFStatement!P744</f>
        <v>0</v>
      </c>
      <c r="N21" s="1467">
        <f ca="1">PortfolioCFStatement!Q744</f>
        <v>0</v>
      </c>
      <c r="O21" s="1467">
        <f ca="1">PortfolioCFStatement!R744</f>
        <v>0</v>
      </c>
      <c r="P21" s="1467">
        <f ca="1">PortfolioCFStatement!S744</f>
        <v>0</v>
      </c>
      <c r="Q21" s="1467">
        <f ca="1">PortfolioCFStatement!T744</f>
        <v>0</v>
      </c>
      <c r="R21" s="1467">
        <f ca="1">PortfolioCFStatement!U744</f>
        <v>0</v>
      </c>
      <c r="S21" s="1467">
        <f ca="1">PortfolioCFStatement!V744</f>
        <v>0</v>
      </c>
      <c r="T21" s="1467">
        <f ca="1">PortfolioCFStatement!W744</f>
        <v>0</v>
      </c>
      <c r="U21" s="1467">
        <f ca="1">PortfolioCFStatement!X744</f>
        <v>0</v>
      </c>
      <c r="V21" s="1467">
        <f ca="1">PortfolioCFStatement!Y744</f>
        <v>0</v>
      </c>
      <c r="W21" s="1467">
        <f ca="1">PortfolioCFStatement!Z744</f>
        <v>0</v>
      </c>
      <c r="X21" s="1467">
        <f ca="1">PortfolioCFStatement!AA744</f>
        <v>0</v>
      </c>
      <c r="Y21" s="1467">
        <f ca="1">PortfolioCFStatement!AB744</f>
        <v>0</v>
      </c>
      <c r="Z21" s="1467">
        <f ca="1">PortfolioCFStatement!AC744</f>
        <v>0</v>
      </c>
      <c r="AA21" s="1467">
        <f ca="1">PortfolioCFStatement!AD744</f>
        <v>0</v>
      </c>
      <c r="AB21" s="1467">
        <f ca="1">PortfolioCFStatement!AE744</f>
        <v>0</v>
      </c>
      <c r="AC21" s="1467">
        <f ca="1">PortfolioCFStatement!AF744</f>
        <v>0</v>
      </c>
      <c r="AD21" s="1467">
        <f ca="1">PortfolioCFStatement!AG744</f>
        <v>0</v>
      </c>
      <c r="AE21" s="1467">
        <f ca="1">PortfolioCFStatement!AH744</f>
        <v>0</v>
      </c>
      <c r="AF21" s="1467">
        <f ca="1">PortfolioCFStatement!AI744</f>
        <v>0</v>
      </c>
      <c r="AG21" s="1467">
        <f ca="1">PortfolioCFStatement!AJ744</f>
        <v>0</v>
      </c>
      <c r="AH21" s="1467">
        <f ca="1">PortfolioCFStatement!AK744</f>
        <v>0</v>
      </c>
      <c r="AI21" s="1467">
        <f ca="1">PortfolioCFStatement!AL744</f>
        <v>0</v>
      </c>
      <c r="AJ21" s="1467">
        <f ca="1">PortfolioCFStatement!AM744</f>
        <v>0</v>
      </c>
      <c r="AK21" s="1467">
        <f ca="1">PortfolioCFStatement!AN744</f>
        <v>0</v>
      </c>
      <c r="AL21" s="1467">
        <f ca="1">PortfolioCFStatement!AO744</f>
        <v>0</v>
      </c>
      <c r="AM21" s="1467">
        <f ca="1">PortfolioCFStatement!AP744</f>
        <v>0</v>
      </c>
      <c r="AN21" s="1467">
        <f ca="1">PortfolioCFStatement!AQ744</f>
        <v>0</v>
      </c>
      <c r="AO21" s="1467">
        <f ca="1">PortfolioCFStatement!AR744</f>
        <v>0</v>
      </c>
      <c r="AP21" s="1467">
        <f ca="1">PortfolioCFStatement!AS744</f>
        <v>0</v>
      </c>
      <c r="AQ21" s="1467">
        <f ca="1">PortfolioCFStatement!AT744</f>
        <v>0</v>
      </c>
      <c r="AR21" s="1467"/>
      <c r="AS21" s="1467">
        <f t="shared" ca="1" si="0"/>
        <v>0</v>
      </c>
      <c r="AT21" s="1468"/>
      <c r="AU21" s="1467">
        <f t="shared" ca="1" si="1"/>
        <v>0</v>
      </c>
      <c r="AV21" s="1468"/>
      <c r="AW21" s="1467">
        <f t="shared" ca="1" si="2"/>
        <v>0</v>
      </c>
      <c r="AX21" s="1468"/>
      <c r="AY21" s="1467">
        <f t="shared" ca="1" si="3"/>
        <v>0</v>
      </c>
      <c r="AZ21" s="1468"/>
      <c r="BA21" s="1467">
        <f t="shared" ca="1" si="4"/>
        <v>0</v>
      </c>
      <c r="BB21" s="1468"/>
      <c r="BC21" s="1467">
        <f t="shared" ca="1" si="5"/>
        <v>0</v>
      </c>
      <c r="BD21" s="1468"/>
      <c r="BE21" s="1467">
        <f t="shared" ca="1" si="6"/>
        <v>0</v>
      </c>
    </row>
    <row r="22" spans="1:57" s="10" customFormat="1" hidden="1">
      <c r="A22" s="1465" t="str">
        <f ca="1">PortfolioCFStatement!D745</f>
        <v>Blank</v>
      </c>
      <c r="B22" s="1466" t="str">
        <f>PortfolioCFStatement!E745</f>
        <v>2010$</v>
      </c>
      <c r="C22" s="1460">
        <f ca="1">PortfolioCFStatement!F745</f>
        <v>0</v>
      </c>
      <c r="D22" s="1467">
        <f ca="1">PortfolioCFStatement!G745</f>
        <v>0</v>
      </c>
      <c r="E22" s="1467">
        <f ca="1">PortfolioCFStatement!H745</f>
        <v>0</v>
      </c>
      <c r="F22" s="1467">
        <f ca="1">PortfolioCFStatement!I745</f>
        <v>0</v>
      </c>
      <c r="G22" s="1467">
        <f ca="1">PortfolioCFStatement!J745</f>
        <v>0</v>
      </c>
      <c r="H22" s="1467">
        <f ca="1">PortfolioCFStatement!K745</f>
        <v>0</v>
      </c>
      <c r="I22" s="1467">
        <f ca="1">PortfolioCFStatement!L745</f>
        <v>0</v>
      </c>
      <c r="J22" s="1467">
        <f ca="1">PortfolioCFStatement!M745</f>
        <v>0</v>
      </c>
      <c r="K22" s="1467">
        <f ca="1">PortfolioCFStatement!N745</f>
        <v>0</v>
      </c>
      <c r="L22" s="1467">
        <f ca="1">PortfolioCFStatement!O745</f>
        <v>0</v>
      </c>
      <c r="M22" s="1467">
        <f ca="1">PortfolioCFStatement!P745</f>
        <v>0</v>
      </c>
      <c r="N22" s="1467">
        <f ca="1">PortfolioCFStatement!Q745</f>
        <v>0</v>
      </c>
      <c r="O22" s="1467">
        <f ca="1">PortfolioCFStatement!R745</f>
        <v>0</v>
      </c>
      <c r="P22" s="1467">
        <f ca="1">PortfolioCFStatement!S745</f>
        <v>0</v>
      </c>
      <c r="Q22" s="1467">
        <f ca="1">PortfolioCFStatement!T745</f>
        <v>0</v>
      </c>
      <c r="R22" s="1467">
        <f ca="1">PortfolioCFStatement!U745</f>
        <v>0</v>
      </c>
      <c r="S22" s="1467">
        <f ca="1">PortfolioCFStatement!V745</f>
        <v>0</v>
      </c>
      <c r="T22" s="1467">
        <f ca="1">PortfolioCFStatement!W745</f>
        <v>0</v>
      </c>
      <c r="U22" s="1467">
        <f ca="1">PortfolioCFStatement!X745</f>
        <v>0</v>
      </c>
      <c r="V22" s="1467">
        <f ca="1">PortfolioCFStatement!Y745</f>
        <v>0</v>
      </c>
      <c r="W22" s="1467">
        <f ca="1">PortfolioCFStatement!Z745</f>
        <v>0</v>
      </c>
      <c r="X22" s="1467">
        <f ca="1">PortfolioCFStatement!AA745</f>
        <v>0</v>
      </c>
      <c r="Y22" s="1467">
        <f ca="1">PortfolioCFStatement!AB745</f>
        <v>0</v>
      </c>
      <c r="Z22" s="1467">
        <f ca="1">PortfolioCFStatement!AC745</f>
        <v>0</v>
      </c>
      <c r="AA22" s="1467">
        <f ca="1">PortfolioCFStatement!AD745</f>
        <v>0</v>
      </c>
      <c r="AB22" s="1467">
        <f ca="1">PortfolioCFStatement!AE745</f>
        <v>0</v>
      </c>
      <c r="AC22" s="1467">
        <f ca="1">PortfolioCFStatement!AF745</f>
        <v>0</v>
      </c>
      <c r="AD22" s="1467">
        <f ca="1">PortfolioCFStatement!AG745</f>
        <v>0</v>
      </c>
      <c r="AE22" s="1467">
        <f ca="1">PortfolioCFStatement!AH745</f>
        <v>0</v>
      </c>
      <c r="AF22" s="1467">
        <f ca="1">PortfolioCFStatement!AI745</f>
        <v>0</v>
      </c>
      <c r="AG22" s="1467">
        <f ca="1">PortfolioCFStatement!AJ745</f>
        <v>0</v>
      </c>
      <c r="AH22" s="1467">
        <f ca="1">PortfolioCFStatement!AK745</f>
        <v>0</v>
      </c>
      <c r="AI22" s="1467">
        <f ca="1">PortfolioCFStatement!AL745</f>
        <v>0</v>
      </c>
      <c r="AJ22" s="1467">
        <f ca="1">PortfolioCFStatement!AM745</f>
        <v>0</v>
      </c>
      <c r="AK22" s="1467">
        <f ca="1">PortfolioCFStatement!AN745</f>
        <v>0</v>
      </c>
      <c r="AL22" s="1467">
        <f ca="1">PortfolioCFStatement!AO745</f>
        <v>0</v>
      </c>
      <c r="AM22" s="1467">
        <f ca="1">PortfolioCFStatement!AP745</f>
        <v>0</v>
      </c>
      <c r="AN22" s="1467">
        <f ca="1">PortfolioCFStatement!AQ745</f>
        <v>0</v>
      </c>
      <c r="AO22" s="1467">
        <f ca="1">PortfolioCFStatement!AR745</f>
        <v>0</v>
      </c>
      <c r="AP22" s="1467">
        <f ca="1">PortfolioCFStatement!AS745</f>
        <v>0</v>
      </c>
      <c r="AQ22" s="1467">
        <f ca="1">PortfolioCFStatement!AT745</f>
        <v>0</v>
      </c>
      <c r="AR22" s="1467"/>
      <c r="AS22" s="1467">
        <f t="shared" ca="1" si="0"/>
        <v>0</v>
      </c>
      <c r="AT22" s="1468"/>
      <c r="AU22" s="1467">
        <f t="shared" ca="1" si="1"/>
        <v>0</v>
      </c>
      <c r="AV22" s="1468"/>
      <c r="AW22" s="1467">
        <f t="shared" ca="1" si="2"/>
        <v>0</v>
      </c>
      <c r="AX22" s="1468"/>
      <c r="AY22" s="1467">
        <f t="shared" ca="1" si="3"/>
        <v>0</v>
      </c>
      <c r="AZ22" s="1468"/>
      <c r="BA22" s="1467">
        <f t="shared" ca="1" si="4"/>
        <v>0</v>
      </c>
      <c r="BB22" s="1468"/>
      <c r="BC22" s="1467">
        <f t="shared" ca="1" si="5"/>
        <v>0</v>
      </c>
      <c r="BD22" s="1468"/>
      <c r="BE22" s="1467">
        <f t="shared" ca="1" si="6"/>
        <v>0</v>
      </c>
    </row>
    <row r="23" spans="1:57" s="10" customFormat="1" hidden="1">
      <c r="A23" s="1465" t="str">
        <f ca="1">PortfolioCFStatement!D746</f>
        <v>Blank</v>
      </c>
      <c r="B23" s="1466" t="str">
        <f>PortfolioCFStatement!E746</f>
        <v>2010$</v>
      </c>
      <c r="C23" s="1460">
        <f ca="1">PortfolioCFStatement!F746</f>
        <v>0</v>
      </c>
      <c r="D23" s="1467">
        <f ca="1">PortfolioCFStatement!G746</f>
        <v>0</v>
      </c>
      <c r="E23" s="1467">
        <f ca="1">PortfolioCFStatement!H746</f>
        <v>0</v>
      </c>
      <c r="F23" s="1467">
        <f ca="1">PortfolioCFStatement!I746</f>
        <v>0</v>
      </c>
      <c r="G23" s="1467">
        <f ca="1">PortfolioCFStatement!J746</f>
        <v>0</v>
      </c>
      <c r="H23" s="1467">
        <f ca="1">PortfolioCFStatement!K746</f>
        <v>0</v>
      </c>
      <c r="I23" s="1467">
        <f ca="1">PortfolioCFStatement!L746</f>
        <v>0</v>
      </c>
      <c r="J23" s="1467">
        <f ca="1">PortfolioCFStatement!M746</f>
        <v>0</v>
      </c>
      <c r="K23" s="1467">
        <f ca="1">PortfolioCFStatement!N746</f>
        <v>0</v>
      </c>
      <c r="L23" s="1467">
        <f ca="1">PortfolioCFStatement!O746</f>
        <v>0</v>
      </c>
      <c r="M23" s="1467">
        <f ca="1">PortfolioCFStatement!P746</f>
        <v>0</v>
      </c>
      <c r="N23" s="1467">
        <f ca="1">PortfolioCFStatement!Q746</f>
        <v>0</v>
      </c>
      <c r="O23" s="1467">
        <f ca="1">PortfolioCFStatement!R746</f>
        <v>0</v>
      </c>
      <c r="P23" s="1467">
        <f ca="1">PortfolioCFStatement!S746</f>
        <v>0</v>
      </c>
      <c r="Q23" s="1467">
        <f ca="1">PortfolioCFStatement!T746</f>
        <v>0</v>
      </c>
      <c r="R23" s="1467">
        <f ca="1">PortfolioCFStatement!U746</f>
        <v>0</v>
      </c>
      <c r="S23" s="1467">
        <f ca="1">PortfolioCFStatement!V746</f>
        <v>0</v>
      </c>
      <c r="T23" s="1467">
        <f ca="1">PortfolioCFStatement!W746</f>
        <v>0</v>
      </c>
      <c r="U23" s="1467">
        <f ca="1">PortfolioCFStatement!X746</f>
        <v>0</v>
      </c>
      <c r="V23" s="1467">
        <f ca="1">PortfolioCFStatement!Y746</f>
        <v>0</v>
      </c>
      <c r="W23" s="1467">
        <f ca="1">PortfolioCFStatement!Z746</f>
        <v>0</v>
      </c>
      <c r="X23" s="1467">
        <f ca="1">PortfolioCFStatement!AA746</f>
        <v>0</v>
      </c>
      <c r="Y23" s="1467">
        <f ca="1">PortfolioCFStatement!AB746</f>
        <v>0</v>
      </c>
      <c r="Z23" s="1467">
        <f ca="1">PortfolioCFStatement!AC746</f>
        <v>0</v>
      </c>
      <c r="AA23" s="1467">
        <f ca="1">PortfolioCFStatement!AD746</f>
        <v>0</v>
      </c>
      <c r="AB23" s="1467">
        <f ca="1">PortfolioCFStatement!AE746</f>
        <v>0</v>
      </c>
      <c r="AC23" s="1467">
        <f ca="1">PortfolioCFStatement!AF746</f>
        <v>0</v>
      </c>
      <c r="AD23" s="1467">
        <f ca="1">PortfolioCFStatement!AG746</f>
        <v>0</v>
      </c>
      <c r="AE23" s="1467">
        <f ca="1">PortfolioCFStatement!AH746</f>
        <v>0</v>
      </c>
      <c r="AF23" s="1467">
        <f ca="1">PortfolioCFStatement!AI746</f>
        <v>0</v>
      </c>
      <c r="AG23" s="1467">
        <f ca="1">PortfolioCFStatement!AJ746</f>
        <v>0</v>
      </c>
      <c r="AH23" s="1467">
        <f ca="1">PortfolioCFStatement!AK746</f>
        <v>0</v>
      </c>
      <c r="AI23" s="1467">
        <f ca="1">PortfolioCFStatement!AL746</f>
        <v>0</v>
      </c>
      <c r="AJ23" s="1467">
        <f ca="1">PortfolioCFStatement!AM746</f>
        <v>0</v>
      </c>
      <c r="AK23" s="1467">
        <f ca="1">PortfolioCFStatement!AN746</f>
        <v>0</v>
      </c>
      <c r="AL23" s="1467">
        <f ca="1">PortfolioCFStatement!AO746</f>
        <v>0</v>
      </c>
      <c r="AM23" s="1467">
        <f ca="1">PortfolioCFStatement!AP746</f>
        <v>0</v>
      </c>
      <c r="AN23" s="1467">
        <f ca="1">PortfolioCFStatement!AQ746</f>
        <v>0</v>
      </c>
      <c r="AO23" s="1467">
        <f ca="1">PortfolioCFStatement!AR746</f>
        <v>0</v>
      </c>
      <c r="AP23" s="1467">
        <f ca="1">PortfolioCFStatement!AS746</f>
        <v>0</v>
      </c>
      <c r="AQ23" s="1467">
        <f ca="1">PortfolioCFStatement!AT746</f>
        <v>0</v>
      </c>
      <c r="AR23" s="1467"/>
      <c r="AS23" s="1467">
        <f t="shared" ca="1" si="0"/>
        <v>0</v>
      </c>
      <c r="AT23" s="1468"/>
      <c r="AU23" s="1467">
        <f t="shared" ca="1" si="1"/>
        <v>0</v>
      </c>
      <c r="AV23" s="1468"/>
      <c r="AW23" s="1467">
        <f t="shared" ca="1" si="2"/>
        <v>0</v>
      </c>
      <c r="AX23" s="1468"/>
      <c r="AY23" s="1467">
        <f t="shared" ca="1" si="3"/>
        <v>0</v>
      </c>
      <c r="AZ23" s="1468"/>
      <c r="BA23" s="1467">
        <f t="shared" ca="1" si="4"/>
        <v>0</v>
      </c>
      <c r="BB23" s="1468"/>
      <c r="BC23" s="1467">
        <f t="shared" ca="1" si="5"/>
        <v>0</v>
      </c>
      <c r="BD23" s="1468"/>
      <c r="BE23" s="1467">
        <f t="shared" ca="1" si="6"/>
        <v>0</v>
      </c>
    </row>
    <row r="24" spans="1:57" s="10" customFormat="1" hidden="1">
      <c r="A24" s="1465" t="str">
        <f ca="1">PortfolioCFStatement!D747</f>
        <v>Blank</v>
      </c>
      <c r="B24" s="1466" t="str">
        <f>PortfolioCFStatement!E747</f>
        <v>2010$</v>
      </c>
      <c r="C24" s="1460">
        <f ca="1">PortfolioCFStatement!F747</f>
        <v>0</v>
      </c>
      <c r="D24" s="1467">
        <f ca="1">PortfolioCFStatement!G747</f>
        <v>0</v>
      </c>
      <c r="E24" s="1467">
        <f ca="1">PortfolioCFStatement!H747</f>
        <v>0</v>
      </c>
      <c r="F24" s="1467">
        <f ca="1">PortfolioCFStatement!I747</f>
        <v>0</v>
      </c>
      <c r="G24" s="1467">
        <f ca="1">PortfolioCFStatement!J747</f>
        <v>0</v>
      </c>
      <c r="H24" s="1467">
        <f ca="1">PortfolioCFStatement!K747</f>
        <v>0</v>
      </c>
      <c r="I24" s="1467">
        <f ca="1">PortfolioCFStatement!L747</f>
        <v>0</v>
      </c>
      <c r="J24" s="1467">
        <f ca="1">PortfolioCFStatement!M747</f>
        <v>0</v>
      </c>
      <c r="K24" s="1467">
        <f ca="1">PortfolioCFStatement!N747</f>
        <v>0</v>
      </c>
      <c r="L24" s="1467">
        <f ca="1">PortfolioCFStatement!O747</f>
        <v>0</v>
      </c>
      <c r="M24" s="1467">
        <f ca="1">PortfolioCFStatement!P747</f>
        <v>0</v>
      </c>
      <c r="N24" s="1467">
        <f ca="1">PortfolioCFStatement!Q747</f>
        <v>0</v>
      </c>
      <c r="O24" s="1467">
        <f ca="1">PortfolioCFStatement!R747</f>
        <v>0</v>
      </c>
      <c r="P24" s="1467">
        <f ca="1">PortfolioCFStatement!S747</f>
        <v>0</v>
      </c>
      <c r="Q24" s="1467">
        <f ca="1">PortfolioCFStatement!T747</f>
        <v>0</v>
      </c>
      <c r="R24" s="1467">
        <f ca="1">PortfolioCFStatement!U747</f>
        <v>0</v>
      </c>
      <c r="S24" s="1467">
        <f ca="1">PortfolioCFStatement!V747</f>
        <v>0</v>
      </c>
      <c r="T24" s="1467">
        <f ca="1">PortfolioCFStatement!W747</f>
        <v>0</v>
      </c>
      <c r="U24" s="1467">
        <f ca="1">PortfolioCFStatement!X747</f>
        <v>0</v>
      </c>
      <c r="V24" s="1467">
        <f ca="1">PortfolioCFStatement!Y747</f>
        <v>0</v>
      </c>
      <c r="W24" s="1467">
        <f ca="1">PortfolioCFStatement!Z747</f>
        <v>0</v>
      </c>
      <c r="X24" s="1467">
        <f ca="1">PortfolioCFStatement!AA747</f>
        <v>0</v>
      </c>
      <c r="Y24" s="1467">
        <f ca="1">PortfolioCFStatement!AB747</f>
        <v>0</v>
      </c>
      <c r="Z24" s="1467">
        <f ca="1">PortfolioCFStatement!AC747</f>
        <v>0</v>
      </c>
      <c r="AA24" s="1467">
        <f ca="1">PortfolioCFStatement!AD747</f>
        <v>0</v>
      </c>
      <c r="AB24" s="1467">
        <f ca="1">PortfolioCFStatement!AE747</f>
        <v>0</v>
      </c>
      <c r="AC24" s="1467">
        <f ca="1">PortfolioCFStatement!AF747</f>
        <v>0</v>
      </c>
      <c r="AD24" s="1467">
        <f ca="1">PortfolioCFStatement!AG747</f>
        <v>0</v>
      </c>
      <c r="AE24" s="1467">
        <f ca="1">PortfolioCFStatement!AH747</f>
        <v>0</v>
      </c>
      <c r="AF24" s="1467">
        <f ca="1">PortfolioCFStatement!AI747</f>
        <v>0</v>
      </c>
      <c r="AG24" s="1467">
        <f ca="1">PortfolioCFStatement!AJ747</f>
        <v>0</v>
      </c>
      <c r="AH24" s="1467">
        <f ca="1">PortfolioCFStatement!AK747</f>
        <v>0</v>
      </c>
      <c r="AI24" s="1467">
        <f ca="1">PortfolioCFStatement!AL747</f>
        <v>0</v>
      </c>
      <c r="AJ24" s="1467">
        <f ca="1">PortfolioCFStatement!AM747</f>
        <v>0</v>
      </c>
      <c r="AK24" s="1467">
        <f ca="1">PortfolioCFStatement!AN747</f>
        <v>0</v>
      </c>
      <c r="AL24" s="1467">
        <f ca="1">PortfolioCFStatement!AO747</f>
        <v>0</v>
      </c>
      <c r="AM24" s="1467">
        <f ca="1">PortfolioCFStatement!AP747</f>
        <v>0</v>
      </c>
      <c r="AN24" s="1467">
        <f ca="1">PortfolioCFStatement!AQ747</f>
        <v>0</v>
      </c>
      <c r="AO24" s="1467">
        <f ca="1">PortfolioCFStatement!AR747</f>
        <v>0</v>
      </c>
      <c r="AP24" s="1467">
        <f ca="1">PortfolioCFStatement!AS747</f>
        <v>0</v>
      </c>
      <c r="AQ24" s="1467">
        <f ca="1">PortfolioCFStatement!AT747</f>
        <v>0</v>
      </c>
      <c r="AR24" s="1467"/>
      <c r="AS24" s="1467">
        <f t="shared" ca="1" si="0"/>
        <v>0</v>
      </c>
      <c r="AT24" s="1468"/>
      <c r="AU24" s="1467">
        <f t="shared" ca="1" si="1"/>
        <v>0</v>
      </c>
      <c r="AV24" s="1468"/>
      <c r="AW24" s="1467">
        <f t="shared" ca="1" si="2"/>
        <v>0</v>
      </c>
      <c r="AX24" s="1468"/>
      <c r="AY24" s="1467">
        <f t="shared" ca="1" si="3"/>
        <v>0</v>
      </c>
      <c r="AZ24" s="1468"/>
      <c r="BA24" s="1467">
        <f t="shared" ca="1" si="4"/>
        <v>0</v>
      </c>
      <c r="BB24" s="1468"/>
      <c r="BC24" s="1467">
        <f t="shared" ca="1" si="5"/>
        <v>0</v>
      </c>
      <c r="BD24" s="1468"/>
      <c r="BE24" s="1467">
        <f t="shared" ca="1" si="6"/>
        <v>0</v>
      </c>
    </row>
    <row r="25" spans="1:57" s="10" customFormat="1" hidden="1">
      <c r="A25" s="1465" t="str">
        <f ca="1">PortfolioCFStatement!D748</f>
        <v>Blank</v>
      </c>
      <c r="B25" s="1466" t="str">
        <f>PortfolioCFStatement!E748</f>
        <v>2010$</v>
      </c>
      <c r="C25" s="1460">
        <f ca="1">PortfolioCFStatement!F748</f>
        <v>0</v>
      </c>
      <c r="D25" s="1467">
        <f ca="1">PortfolioCFStatement!G748</f>
        <v>0</v>
      </c>
      <c r="E25" s="1467">
        <f ca="1">PortfolioCFStatement!H748</f>
        <v>0</v>
      </c>
      <c r="F25" s="1467">
        <f ca="1">PortfolioCFStatement!I748</f>
        <v>0</v>
      </c>
      <c r="G25" s="1467">
        <f ca="1">PortfolioCFStatement!J748</f>
        <v>0</v>
      </c>
      <c r="H25" s="1467">
        <f ca="1">PortfolioCFStatement!K748</f>
        <v>0</v>
      </c>
      <c r="I25" s="1467">
        <f ca="1">PortfolioCFStatement!L748</f>
        <v>0</v>
      </c>
      <c r="J25" s="1467">
        <f ca="1">PortfolioCFStatement!M748</f>
        <v>0</v>
      </c>
      <c r="K25" s="1467">
        <f ca="1">PortfolioCFStatement!N748</f>
        <v>0</v>
      </c>
      <c r="L25" s="1467">
        <f ca="1">PortfolioCFStatement!O748</f>
        <v>0</v>
      </c>
      <c r="M25" s="1467">
        <f ca="1">PortfolioCFStatement!P748</f>
        <v>0</v>
      </c>
      <c r="N25" s="1467">
        <f ca="1">PortfolioCFStatement!Q748</f>
        <v>0</v>
      </c>
      <c r="O25" s="1467">
        <f ca="1">PortfolioCFStatement!R748</f>
        <v>0</v>
      </c>
      <c r="P25" s="1467">
        <f ca="1">PortfolioCFStatement!S748</f>
        <v>0</v>
      </c>
      <c r="Q25" s="1467">
        <f ca="1">PortfolioCFStatement!T748</f>
        <v>0</v>
      </c>
      <c r="R25" s="1467">
        <f ca="1">PortfolioCFStatement!U748</f>
        <v>0</v>
      </c>
      <c r="S25" s="1467">
        <f ca="1">PortfolioCFStatement!V748</f>
        <v>0</v>
      </c>
      <c r="T25" s="1467">
        <f ca="1">PortfolioCFStatement!W748</f>
        <v>0</v>
      </c>
      <c r="U25" s="1467">
        <f ca="1">PortfolioCFStatement!X748</f>
        <v>0</v>
      </c>
      <c r="V25" s="1467">
        <f ca="1">PortfolioCFStatement!Y748</f>
        <v>0</v>
      </c>
      <c r="W25" s="1467">
        <f ca="1">PortfolioCFStatement!Z748</f>
        <v>0</v>
      </c>
      <c r="X25" s="1467">
        <f ca="1">PortfolioCFStatement!AA748</f>
        <v>0</v>
      </c>
      <c r="Y25" s="1467">
        <f ca="1">PortfolioCFStatement!AB748</f>
        <v>0</v>
      </c>
      <c r="Z25" s="1467">
        <f ca="1">PortfolioCFStatement!AC748</f>
        <v>0</v>
      </c>
      <c r="AA25" s="1467">
        <f ca="1">PortfolioCFStatement!AD748</f>
        <v>0</v>
      </c>
      <c r="AB25" s="1467">
        <f ca="1">PortfolioCFStatement!AE748</f>
        <v>0</v>
      </c>
      <c r="AC25" s="1467">
        <f ca="1">PortfolioCFStatement!AF748</f>
        <v>0</v>
      </c>
      <c r="AD25" s="1467">
        <f ca="1">PortfolioCFStatement!AG748</f>
        <v>0</v>
      </c>
      <c r="AE25" s="1467">
        <f ca="1">PortfolioCFStatement!AH748</f>
        <v>0</v>
      </c>
      <c r="AF25" s="1467">
        <f ca="1">PortfolioCFStatement!AI748</f>
        <v>0</v>
      </c>
      <c r="AG25" s="1467">
        <f ca="1">PortfolioCFStatement!AJ748</f>
        <v>0</v>
      </c>
      <c r="AH25" s="1467">
        <f ca="1">PortfolioCFStatement!AK748</f>
        <v>0</v>
      </c>
      <c r="AI25" s="1467">
        <f ca="1">PortfolioCFStatement!AL748</f>
        <v>0</v>
      </c>
      <c r="AJ25" s="1467">
        <f ca="1">PortfolioCFStatement!AM748</f>
        <v>0</v>
      </c>
      <c r="AK25" s="1467">
        <f ca="1">PortfolioCFStatement!AN748</f>
        <v>0</v>
      </c>
      <c r="AL25" s="1467">
        <f ca="1">PortfolioCFStatement!AO748</f>
        <v>0</v>
      </c>
      <c r="AM25" s="1467">
        <f ca="1">PortfolioCFStatement!AP748</f>
        <v>0</v>
      </c>
      <c r="AN25" s="1467">
        <f ca="1">PortfolioCFStatement!AQ748</f>
        <v>0</v>
      </c>
      <c r="AO25" s="1467">
        <f ca="1">PortfolioCFStatement!AR748</f>
        <v>0</v>
      </c>
      <c r="AP25" s="1467">
        <f ca="1">PortfolioCFStatement!AS748</f>
        <v>0</v>
      </c>
      <c r="AQ25" s="1467">
        <f ca="1">PortfolioCFStatement!AT748</f>
        <v>0</v>
      </c>
      <c r="AR25" s="1467"/>
      <c r="AS25" s="1467">
        <f t="shared" ca="1" si="0"/>
        <v>0</v>
      </c>
      <c r="AT25" s="1468"/>
      <c r="AU25" s="1467">
        <f t="shared" ca="1" si="1"/>
        <v>0</v>
      </c>
      <c r="AV25" s="1468"/>
      <c r="AW25" s="1467">
        <f t="shared" ca="1" si="2"/>
        <v>0</v>
      </c>
      <c r="AX25" s="1468"/>
      <c r="AY25" s="1467">
        <f t="shared" ca="1" si="3"/>
        <v>0</v>
      </c>
      <c r="AZ25" s="1468"/>
      <c r="BA25" s="1467">
        <f t="shared" ca="1" si="4"/>
        <v>0</v>
      </c>
      <c r="BB25" s="1468"/>
      <c r="BC25" s="1467">
        <f t="shared" ca="1" si="5"/>
        <v>0</v>
      </c>
      <c r="BD25" s="1468"/>
      <c r="BE25" s="1467">
        <f t="shared" ca="1" si="6"/>
        <v>0</v>
      </c>
    </row>
    <row r="26" spans="1:57" s="10" customFormat="1" hidden="1">
      <c r="A26" s="1465" t="str">
        <f ca="1">PortfolioCFStatement!D749</f>
        <v>Blank</v>
      </c>
      <c r="B26" s="1466" t="str">
        <f>PortfolioCFStatement!E749</f>
        <v>2010$</v>
      </c>
      <c r="C26" s="1460">
        <f ca="1">PortfolioCFStatement!F749</f>
        <v>0</v>
      </c>
      <c r="D26" s="1467">
        <f ca="1">PortfolioCFStatement!G749</f>
        <v>0</v>
      </c>
      <c r="E26" s="1467">
        <f ca="1">PortfolioCFStatement!H749</f>
        <v>0</v>
      </c>
      <c r="F26" s="1467">
        <f ca="1">PortfolioCFStatement!I749</f>
        <v>0</v>
      </c>
      <c r="G26" s="1467">
        <f ca="1">PortfolioCFStatement!J749</f>
        <v>0</v>
      </c>
      <c r="H26" s="1467">
        <f ca="1">PortfolioCFStatement!K749</f>
        <v>0</v>
      </c>
      <c r="I26" s="1467">
        <f ca="1">PortfolioCFStatement!L749</f>
        <v>0</v>
      </c>
      <c r="J26" s="1467">
        <f ca="1">PortfolioCFStatement!M749</f>
        <v>0</v>
      </c>
      <c r="K26" s="1467">
        <f ca="1">PortfolioCFStatement!N749</f>
        <v>0</v>
      </c>
      <c r="L26" s="1467">
        <f ca="1">PortfolioCFStatement!O749</f>
        <v>0</v>
      </c>
      <c r="M26" s="1467">
        <f ca="1">PortfolioCFStatement!P749</f>
        <v>0</v>
      </c>
      <c r="N26" s="1467">
        <f ca="1">PortfolioCFStatement!Q749</f>
        <v>0</v>
      </c>
      <c r="O26" s="1467">
        <f ca="1">PortfolioCFStatement!R749</f>
        <v>0</v>
      </c>
      <c r="P26" s="1467">
        <f ca="1">PortfolioCFStatement!S749</f>
        <v>0</v>
      </c>
      <c r="Q26" s="1467">
        <f ca="1">PortfolioCFStatement!T749</f>
        <v>0</v>
      </c>
      <c r="R26" s="1467">
        <f ca="1">PortfolioCFStatement!U749</f>
        <v>0</v>
      </c>
      <c r="S26" s="1467">
        <f ca="1">PortfolioCFStatement!V749</f>
        <v>0</v>
      </c>
      <c r="T26" s="1467">
        <f ca="1">PortfolioCFStatement!W749</f>
        <v>0</v>
      </c>
      <c r="U26" s="1467">
        <f ca="1">PortfolioCFStatement!X749</f>
        <v>0</v>
      </c>
      <c r="V26" s="1467">
        <f ca="1">PortfolioCFStatement!Y749</f>
        <v>0</v>
      </c>
      <c r="W26" s="1467">
        <f ca="1">PortfolioCFStatement!Z749</f>
        <v>0</v>
      </c>
      <c r="X26" s="1467">
        <f ca="1">PortfolioCFStatement!AA749</f>
        <v>0</v>
      </c>
      <c r="Y26" s="1467">
        <f ca="1">PortfolioCFStatement!AB749</f>
        <v>0</v>
      </c>
      <c r="Z26" s="1467">
        <f ca="1">PortfolioCFStatement!AC749</f>
        <v>0</v>
      </c>
      <c r="AA26" s="1467">
        <f ca="1">PortfolioCFStatement!AD749</f>
        <v>0</v>
      </c>
      <c r="AB26" s="1467">
        <f ca="1">PortfolioCFStatement!AE749</f>
        <v>0</v>
      </c>
      <c r="AC26" s="1467">
        <f ca="1">PortfolioCFStatement!AF749</f>
        <v>0</v>
      </c>
      <c r="AD26" s="1467">
        <f ca="1">PortfolioCFStatement!AG749</f>
        <v>0</v>
      </c>
      <c r="AE26" s="1467">
        <f ca="1">PortfolioCFStatement!AH749</f>
        <v>0</v>
      </c>
      <c r="AF26" s="1467">
        <f ca="1">PortfolioCFStatement!AI749</f>
        <v>0</v>
      </c>
      <c r="AG26" s="1467">
        <f ca="1">PortfolioCFStatement!AJ749</f>
        <v>0</v>
      </c>
      <c r="AH26" s="1467">
        <f ca="1">PortfolioCFStatement!AK749</f>
        <v>0</v>
      </c>
      <c r="AI26" s="1467">
        <f ca="1">PortfolioCFStatement!AL749</f>
        <v>0</v>
      </c>
      <c r="AJ26" s="1467">
        <f ca="1">PortfolioCFStatement!AM749</f>
        <v>0</v>
      </c>
      <c r="AK26" s="1467">
        <f ca="1">PortfolioCFStatement!AN749</f>
        <v>0</v>
      </c>
      <c r="AL26" s="1467">
        <f ca="1">PortfolioCFStatement!AO749</f>
        <v>0</v>
      </c>
      <c r="AM26" s="1467">
        <f ca="1">PortfolioCFStatement!AP749</f>
        <v>0</v>
      </c>
      <c r="AN26" s="1467">
        <f ca="1">PortfolioCFStatement!AQ749</f>
        <v>0</v>
      </c>
      <c r="AO26" s="1467">
        <f ca="1">PortfolioCFStatement!AR749</f>
        <v>0</v>
      </c>
      <c r="AP26" s="1467">
        <f ca="1">PortfolioCFStatement!AS749</f>
        <v>0</v>
      </c>
      <c r="AQ26" s="1467">
        <f ca="1">PortfolioCFStatement!AT749</f>
        <v>0</v>
      </c>
      <c r="AR26" s="1467"/>
      <c r="AS26" s="1467">
        <f t="shared" ca="1" si="0"/>
        <v>0</v>
      </c>
      <c r="AT26" s="1468"/>
      <c r="AU26" s="1467">
        <f t="shared" ca="1" si="1"/>
        <v>0</v>
      </c>
      <c r="AV26" s="1468"/>
      <c r="AW26" s="1467">
        <f t="shared" ca="1" si="2"/>
        <v>0</v>
      </c>
      <c r="AX26" s="1468"/>
      <c r="AY26" s="1467">
        <f t="shared" ca="1" si="3"/>
        <v>0</v>
      </c>
      <c r="AZ26" s="1468"/>
      <c r="BA26" s="1467">
        <f t="shared" ca="1" si="4"/>
        <v>0</v>
      </c>
      <c r="BB26" s="1468"/>
      <c r="BC26" s="1467">
        <f t="shared" ca="1" si="5"/>
        <v>0</v>
      </c>
      <c r="BD26" s="1468"/>
      <c r="BE26" s="1467">
        <f t="shared" ca="1" si="6"/>
        <v>0</v>
      </c>
    </row>
    <row r="27" spans="1:57" s="10" customFormat="1" hidden="1">
      <c r="A27" s="1465" t="str">
        <f ca="1">PortfolioCFStatement!D750</f>
        <v>Blank</v>
      </c>
      <c r="B27" s="1466" t="str">
        <f>PortfolioCFStatement!E750</f>
        <v>2010$</v>
      </c>
      <c r="C27" s="1460">
        <f ca="1">PortfolioCFStatement!F750</f>
        <v>0</v>
      </c>
      <c r="D27" s="1467">
        <f ca="1">PortfolioCFStatement!G750</f>
        <v>0</v>
      </c>
      <c r="E27" s="1467">
        <f ca="1">PortfolioCFStatement!H750</f>
        <v>0</v>
      </c>
      <c r="F27" s="1467">
        <f ca="1">PortfolioCFStatement!I750</f>
        <v>0</v>
      </c>
      <c r="G27" s="1467">
        <f ca="1">PortfolioCFStatement!J750</f>
        <v>0</v>
      </c>
      <c r="H27" s="1467">
        <f ca="1">PortfolioCFStatement!K750</f>
        <v>0</v>
      </c>
      <c r="I27" s="1467">
        <f ca="1">PortfolioCFStatement!L750</f>
        <v>0</v>
      </c>
      <c r="J27" s="1467">
        <f ca="1">PortfolioCFStatement!M750</f>
        <v>0</v>
      </c>
      <c r="K27" s="1467">
        <f ca="1">PortfolioCFStatement!N750</f>
        <v>0</v>
      </c>
      <c r="L27" s="1467">
        <f ca="1">PortfolioCFStatement!O750</f>
        <v>0</v>
      </c>
      <c r="M27" s="1467">
        <f ca="1">PortfolioCFStatement!P750</f>
        <v>0</v>
      </c>
      <c r="N27" s="1467">
        <f ca="1">PortfolioCFStatement!Q750</f>
        <v>0</v>
      </c>
      <c r="O27" s="1467">
        <f ca="1">PortfolioCFStatement!R750</f>
        <v>0</v>
      </c>
      <c r="P27" s="1467">
        <f ca="1">PortfolioCFStatement!S750</f>
        <v>0</v>
      </c>
      <c r="Q27" s="1467">
        <f ca="1">PortfolioCFStatement!T750</f>
        <v>0</v>
      </c>
      <c r="R27" s="1467">
        <f ca="1">PortfolioCFStatement!U750</f>
        <v>0</v>
      </c>
      <c r="S27" s="1467">
        <f ca="1">PortfolioCFStatement!V750</f>
        <v>0</v>
      </c>
      <c r="T27" s="1467">
        <f ca="1">PortfolioCFStatement!W750</f>
        <v>0</v>
      </c>
      <c r="U27" s="1467">
        <f ca="1">PortfolioCFStatement!X750</f>
        <v>0</v>
      </c>
      <c r="V27" s="1467">
        <f ca="1">PortfolioCFStatement!Y750</f>
        <v>0</v>
      </c>
      <c r="W27" s="1467">
        <f ca="1">PortfolioCFStatement!Z750</f>
        <v>0</v>
      </c>
      <c r="X27" s="1467">
        <f ca="1">PortfolioCFStatement!AA750</f>
        <v>0</v>
      </c>
      <c r="Y27" s="1467">
        <f ca="1">PortfolioCFStatement!AB750</f>
        <v>0</v>
      </c>
      <c r="Z27" s="1467">
        <f ca="1">PortfolioCFStatement!AC750</f>
        <v>0</v>
      </c>
      <c r="AA27" s="1467">
        <f ca="1">PortfolioCFStatement!AD750</f>
        <v>0</v>
      </c>
      <c r="AB27" s="1467">
        <f ca="1">PortfolioCFStatement!AE750</f>
        <v>0</v>
      </c>
      <c r="AC27" s="1467">
        <f ca="1">PortfolioCFStatement!AF750</f>
        <v>0</v>
      </c>
      <c r="AD27" s="1467">
        <f ca="1">PortfolioCFStatement!AG750</f>
        <v>0</v>
      </c>
      <c r="AE27" s="1467">
        <f ca="1">PortfolioCFStatement!AH750</f>
        <v>0</v>
      </c>
      <c r="AF27" s="1467">
        <f ca="1">PortfolioCFStatement!AI750</f>
        <v>0</v>
      </c>
      <c r="AG27" s="1467">
        <f ca="1">PortfolioCFStatement!AJ750</f>
        <v>0</v>
      </c>
      <c r="AH27" s="1467">
        <f ca="1">PortfolioCFStatement!AK750</f>
        <v>0</v>
      </c>
      <c r="AI27" s="1467">
        <f ca="1">PortfolioCFStatement!AL750</f>
        <v>0</v>
      </c>
      <c r="AJ27" s="1467">
        <f ca="1">PortfolioCFStatement!AM750</f>
        <v>0</v>
      </c>
      <c r="AK27" s="1467">
        <f ca="1">PortfolioCFStatement!AN750</f>
        <v>0</v>
      </c>
      <c r="AL27" s="1467">
        <f ca="1">PortfolioCFStatement!AO750</f>
        <v>0</v>
      </c>
      <c r="AM27" s="1467">
        <f ca="1">PortfolioCFStatement!AP750</f>
        <v>0</v>
      </c>
      <c r="AN27" s="1467">
        <f ca="1">PortfolioCFStatement!AQ750</f>
        <v>0</v>
      </c>
      <c r="AO27" s="1467">
        <f ca="1">PortfolioCFStatement!AR750</f>
        <v>0</v>
      </c>
      <c r="AP27" s="1467">
        <f ca="1">PortfolioCFStatement!AS750</f>
        <v>0</v>
      </c>
      <c r="AQ27" s="1467">
        <f ca="1">PortfolioCFStatement!AT750</f>
        <v>0</v>
      </c>
      <c r="AR27" s="1467"/>
      <c r="AS27" s="1467">
        <f t="shared" ca="1" si="0"/>
        <v>0</v>
      </c>
      <c r="AT27" s="1468"/>
      <c r="AU27" s="1467">
        <f t="shared" ca="1" si="1"/>
        <v>0</v>
      </c>
      <c r="AV27" s="1468"/>
      <c r="AW27" s="1467">
        <f t="shared" ca="1" si="2"/>
        <v>0</v>
      </c>
      <c r="AX27" s="1468"/>
      <c r="AY27" s="1467">
        <f t="shared" ca="1" si="3"/>
        <v>0</v>
      </c>
      <c r="AZ27" s="1468"/>
      <c r="BA27" s="1467">
        <f t="shared" ca="1" si="4"/>
        <v>0</v>
      </c>
      <c r="BB27" s="1468"/>
      <c r="BC27" s="1467">
        <f t="shared" ca="1" si="5"/>
        <v>0</v>
      </c>
      <c r="BD27" s="1468"/>
      <c r="BE27" s="1467">
        <f t="shared" ca="1" si="6"/>
        <v>0</v>
      </c>
    </row>
    <row r="28" spans="1:57" s="10" customFormat="1" hidden="1">
      <c r="A28" s="1465" t="str">
        <f ca="1">PortfolioCFStatement!D751</f>
        <v>Blank</v>
      </c>
      <c r="B28" s="1466" t="str">
        <f>PortfolioCFStatement!E751</f>
        <v>2010$</v>
      </c>
      <c r="C28" s="1460">
        <f ca="1">PortfolioCFStatement!F751</f>
        <v>0</v>
      </c>
      <c r="D28" s="1467">
        <f ca="1">PortfolioCFStatement!G751</f>
        <v>0</v>
      </c>
      <c r="E28" s="1467">
        <f ca="1">PortfolioCFStatement!H751</f>
        <v>0</v>
      </c>
      <c r="F28" s="1467">
        <f ca="1">PortfolioCFStatement!I751</f>
        <v>0</v>
      </c>
      <c r="G28" s="1467">
        <f ca="1">PortfolioCFStatement!J751</f>
        <v>0</v>
      </c>
      <c r="H28" s="1467">
        <f ca="1">PortfolioCFStatement!K751</f>
        <v>0</v>
      </c>
      <c r="I28" s="1467">
        <f ca="1">PortfolioCFStatement!L751</f>
        <v>0</v>
      </c>
      <c r="J28" s="1467">
        <f ca="1">PortfolioCFStatement!M751</f>
        <v>0</v>
      </c>
      <c r="K28" s="1467">
        <f ca="1">PortfolioCFStatement!N751</f>
        <v>0</v>
      </c>
      <c r="L28" s="1467">
        <f ca="1">PortfolioCFStatement!O751</f>
        <v>0</v>
      </c>
      <c r="M28" s="1467">
        <f ca="1">PortfolioCFStatement!P751</f>
        <v>0</v>
      </c>
      <c r="N28" s="1467">
        <f ca="1">PortfolioCFStatement!Q751</f>
        <v>0</v>
      </c>
      <c r="O28" s="1467">
        <f ca="1">PortfolioCFStatement!R751</f>
        <v>0</v>
      </c>
      <c r="P28" s="1467">
        <f ca="1">PortfolioCFStatement!S751</f>
        <v>0</v>
      </c>
      <c r="Q28" s="1467">
        <f ca="1">PortfolioCFStatement!T751</f>
        <v>0</v>
      </c>
      <c r="R28" s="1467">
        <f ca="1">PortfolioCFStatement!U751</f>
        <v>0</v>
      </c>
      <c r="S28" s="1467">
        <f ca="1">PortfolioCFStatement!V751</f>
        <v>0</v>
      </c>
      <c r="T28" s="1467">
        <f ca="1">PortfolioCFStatement!W751</f>
        <v>0</v>
      </c>
      <c r="U28" s="1467">
        <f ca="1">PortfolioCFStatement!X751</f>
        <v>0</v>
      </c>
      <c r="V28" s="1467">
        <f ca="1">PortfolioCFStatement!Y751</f>
        <v>0</v>
      </c>
      <c r="W28" s="1467">
        <f ca="1">PortfolioCFStatement!Z751</f>
        <v>0</v>
      </c>
      <c r="X28" s="1467">
        <f ca="1">PortfolioCFStatement!AA751</f>
        <v>0</v>
      </c>
      <c r="Y28" s="1467">
        <f ca="1">PortfolioCFStatement!AB751</f>
        <v>0</v>
      </c>
      <c r="Z28" s="1467">
        <f ca="1">PortfolioCFStatement!AC751</f>
        <v>0</v>
      </c>
      <c r="AA28" s="1467">
        <f ca="1">PortfolioCFStatement!AD751</f>
        <v>0</v>
      </c>
      <c r="AB28" s="1467">
        <f ca="1">PortfolioCFStatement!AE751</f>
        <v>0</v>
      </c>
      <c r="AC28" s="1467">
        <f ca="1">PortfolioCFStatement!AF751</f>
        <v>0</v>
      </c>
      <c r="AD28" s="1467">
        <f ca="1">PortfolioCFStatement!AG751</f>
        <v>0</v>
      </c>
      <c r="AE28" s="1467">
        <f ca="1">PortfolioCFStatement!AH751</f>
        <v>0</v>
      </c>
      <c r="AF28" s="1467">
        <f ca="1">PortfolioCFStatement!AI751</f>
        <v>0</v>
      </c>
      <c r="AG28" s="1467">
        <f ca="1">PortfolioCFStatement!AJ751</f>
        <v>0</v>
      </c>
      <c r="AH28" s="1467">
        <f ca="1">PortfolioCFStatement!AK751</f>
        <v>0</v>
      </c>
      <c r="AI28" s="1467">
        <f ca="1">PortfolioCFStatement!AL751</f>
        <v>0</v>
      </c>
      <c r="AJ28" s="1467">
        <f ca="1">PortfolioCFStatement!AM751</f>
        <v>0</v>
      </c>
      <c r="AK28" s="1467">
        <f ca="1">PortfolioCFStatement!AN751</f>
        <v>0</v>
      </c>
      <c r="AL28" s="1467">
        <f ca="1">PortfolioCFStatement!AO751</f>
        <v>0</v>
      </c>
      <c r="AM28" s="1467">
        <f ca="1">PortfolioCFStatement!AP751</f>
        <v>0</v>
      </c>
      <c r="AN28" s="1467">
        <f ca="1">PortfolioCFStatement!AQ751</f>
        <v>0</v>
      </c>
      <c r="AO28" s="1467">
        <f ca="1">PortfolioCFStatement!AR751</f>
        <v>0</v>
      </c>
      <c r="AP28" s="1467">
        <f ca="1">PortfolioCFStatement!AS751</f>
        <v>0</v>
      </c>
      <c r="AQ28" s="1467">
        <f ca="1">PortfolioCFStatement!AT751</f>
        <v>0</v>
      </c>
      <c r="AR28" s="1467"/>
      <c r="AS28" s="1467">
        <f t="shared" ca="1" si="0"/>
        <v>0</v>
      </c>
      <c r="AT28" s="1468"/>
      <c r="AU28" s="1467">
        <f t="shared" ca="1" si="1"/>
        <v>0</v>
      </c>
      <c r="AV28" s="1468"/>
      <c r="AW28" s="1467">
        <f t="shared" ca="1" si="2"/>
        <v>0</v>
      </c>
      <c r="AX28" s="1468"/>
      <c r="AY28" s="1467">
        <f t="shared" ca="1" si="3"/>
        <v>0</v>
      </c>
      <c r="AZ28" s="1468"/>
      <c r="BA28" s="1467">
        <f t="shared" ca="1" si="4"/>
        <v>0</v>
      </c>
      <c r="BB28" s="1468"/>
      <c r="BC28" s="1467">
        <f t="shared" ca="1" si="5"/>
        <v>0</v>
      </c>
      <c r="BD28" s="1468"/>
      <c r="BE28" s="1467">
        <f t="shared" ca="1" si="6"/>
        <v>0</v>
      </c>
    </row>
    <row r="29" spans="1:57" s="10" customFormat="1" hidden="1">
      <c r="A29" s="1465" t="str">
        <f ca="1">PortfolioCFStatement!D752</f>
        <v>Blank</v>
      </c>
      <c r="B29" s="1466" t="str">
        <f>PortfolioCFStatement!E752</f>
        <v>2010$</v>
      </c>
      <c r="C29" s="1460">
        <f ca="1">PortfolioCFStatement!F752</f>
        <v>0</v>
      </c>
      <c r="D29" s="1467">
        <f ca="1">PortfolioCFStatement!G752</f>
        <v>0</v>
      </c>
      <c r="E29" s="1467">
        <f ca="1">PortfolioCFStatement!H752</f>
        <v>0</v>
      </c>
      <c r="F29" s="1467">
        <f ca="1">PortfolioCFStatement!I752</f>
        <v>0</v>
      </c>
      <c r="G29" s="1467">
        <f ca="1">PortfolioCFStatement!J752</f>
        <v>0</v>
      </c>
      <c r="H29" s="1467">
        <f ca="1">PortfolioCFStatement!K752</f>
        <v>0</v>
      </c>
      <c r="I29" s="1467">
        <f ca="1">PortfolioCFStatement!L752</f>
        <v>0</v>
      </c>
      <c r="J29" s="1467">
        <f ca="1">PortfolioCFStatement!M752</f>
        <v>0</v>
      </c>
      <c r="K29" s="1467">
        <f ca="1">PortfolioCFStatement!N752</f>
        <v>0</v>
      </c>
      <c r="L29" s="1467">
        <f ca="1">PortfolioCFStatement!O752</f>
        <v>0</v>
      </c>
      <c r="M29" s="1467">
        <f ca="1">PortfolioCFStatement!P752</f>
        <v>0</v>
      </c>
      <c r="N29" s="1467">
        <f ca="1">PortfolioCFStatement!Q752</f>
        <v>0</v>
      </c>
      <c r="O29" s="1467">
        <f ca="1">PortfolioCFStatement!R752</f>
        <v>0</v>
      </c>
      <c r="P29" s="1467">
        <f ca="1">PortfolioCFStatement!S752</f>
        <v>0</v>
      </c>
      <c r="Q29" s="1467">
        <f ca="1">PortfolioCFStatement!T752</f>
        <v>0</v>
      </c>
      <c r="R29" s="1467">
        <f ca="1">PortfolioCFStatement!U752</f>
        <v>0</v>
      </c>
      <c r="S29" s="1467">
        <f ca="1">PortfolioCFStatement!V752</f>
        <v>0</v>
      </c>
      <c r="T29" s="1467">
        <f ca="1">PortfolioCFStatement!W752</f>
        <v>0</v>
      </c>
      <c r="U29" s="1467">
        <f ca="1">PortfolioCFStatement!X752</f>
        <v>0</v>
      </c>
      <c r="V29" s="1467">
        <f ca="1">PortfolioCFStatement!Y752</f>
        <v>0</v>
      </c>
      <c r="W29" s="1467">
        <f ca="1">PortfolioCFStatement!Z752</f>
        <v>0</v>
      </c>
      <c r="X29" s="1467">
        <f ca="1">PortfolioCFStatement!AA752</f>
        <v>0</v>
      </c>
      <c r="Y29" s="1467">
        <f ca="1">PortfolioCFStatement!AB752</f>
        <v>0</v>
      </c>
      <c r="Z29" s="1467">
        <f ca="1">PortfolioCFStatement!AC752</f>
        <v>0</v>
      </c>
      <c r="AA29" s="1467">
        <f ca="1">PortfolioCFStatement!AD752</f>
        <v>0</v>
      </c>
      <c r="AB29" s="1467">
        <f ca="1">PortfolioCFStatement!AE752</f>
        <v>0</v>
      </c>
      <c r="AC29" s="1467">
        <f ca="1">PortfolioCFStatement!AF752</f>
        <v>0</v>
      </c>
      <c r="AD29" s="1467">
        <f ca="1">PortfolioCFStatement!AG752</f>
        <v>0</v>
      </c>
      <c r="AE29" s="1467">
        <f ca="1">PortfolioCFStatement!AH752</f>
        <v>0</v>
      </c>
      <c r="AF29" s="1467">
        <f ca="1">PortfolioCFStatement!AI752</f>
        <v>0</v>
      </c>
      <c r="AG29" s="1467">
        <f ca="1">PortfolioCFStatement!AJ752</f>
        <v>0</v>
      </c>
      <c r="AH29" s="1467">
        <f ca="1">PortfolioCFStatement!AK752</f>
        <v>0</v>
      </c>
      <c r="AI29" s="1467">
        <f ca="1">PortfolioCFStatement!AL752</f>
        <v>0</v>
      </c>
      <c r="AJ29" s="1467">
        <f ca="1">PortfolioCFStatement!AM752</f>
        <v>0</v>
      </c>
      <c r="AK29" s="1467">
        <f ca="1">PortfolioCFStatement!AN752</f>
        <v>0</v>
      </c>
      <c r="AL29" s="1467">
        <f ca="1">PortfolioCFStatement!AO752</f>
        <v>0</v>
      </c>
      <c r="AM29" s="1467">
        <f ca="1">PortfolioCFStatement!AP752</f>
        <v>0</v>
      </c>
      <c r="AN29" s="1467">
        <f ca="1">PortfolioCFStatement!AQ752</f>
        <v>0</v>
      </c>
      <c r="AO29" s="1467">
        <f ca="1">PortfolioCFStatement!AR752</f>
        <v>0</v>
      </c>
      <c r="AP29" s="1467">
        <f ca="1">PortfolioCFStatement!AS752</f>
        <v>0</v>
      </c>
      <c r="AQ29" s="1467">
        <f ca="1">PortfolioCFStatement!AT752</f>
        <v>0</v>
      </c>
      <c r="AR29" s="1467"/>
      <c r="AS29" s="1467">
        <f t="shared" ca="1" si="0"/>
        <v>0</v>
      </c>
      <c r="AT29" s="1468"/>
      <c r="AU29" s="1467">
        <f t="shared" ca="1" si="1"/>
        <v>0</v>
      </c>
      <c r="AV29" s="1468"/>
      <c r="AW29" s="1467">
        <f t="shared" ca="1" si="2"/>
        <v>0</v>
      </c>
      <c r="AX29" s="1468"/>
      <c r="AY29" s="1467">
        <f t="shared" ca="1" si="3"/>
        <v>0</v>
      </c>
      <c r="AZ29" s="1468"/>
      <c r="BA29" s="1467">
        <f t="shared" ca="1" si="4"/>
        <v>0</v>
      </c>
      <c r="BB29" s="1468"/>
      <c r="BC29" s="1467">
        <f t="shared" ca="1" si="5"/>
        <v>0</v>
      </c>
      <c r="BD29" s="1468"/>
      <c r="BE29" s="1467">
        <f t="shared" ca="1" si="6"/>
        <v>0</v>
      </c>
    </row>
    <row r="30" spans="1:57" s="10" customFormat="1" hidden="1">
      <c r="A30" s="1465" t="str">
        <f ca="1">PortfolioCFStatement!D753</f>
        <v>Blank</v>
      </c>
      <c r="B30" s="1466" t="str">
        <f>PortfolioCFStatement!E753</f>
        <v>2010$</v>
      </c>
      <c r="C30" s="1460">
        <f ca="1">PortfolioCFStatement!F753</f>
        <v>0</v>
      </c>
      <c r="D30" s="1467">
        <f ca="1">PortfolioCFStatement!G753</f>
        <v>0</v>
      </c>
      <c r="E30" s="1467">
        <f ca="1">PortfolioCFStatement!H753</f>
        <v>0</v>
      </c>
      <c r="F30" s="1467">
        <f ca="1">PortfolioCFStatement!I753</f>
        <v>0</v>
      </c>
      <c r="G30" s="1467">
        <f ca="1">PortfolioCFStatement!J753</f>
        <v>0</v>
      </c>
      <c r="H30" s="1467">
        <f ca="1">PortfolioCFStatement!K753</f>
        <v>0</v>
      </c>
      <c r="I30" s="1467">
        <f ca="1">PortfolioCFStatement!L753</f>
        <v>0</v>
      </c>
      <c r="J30" s="1467">
        <f ca="1">PortfolioCFStatement!M753</f>
        <v>0</v>
      </c>
      <c r="K30" s="1467">
        <f ca="1">PortfolioCFStatement!N753</f>
        <v>0</v>
      </c>
      <c r="L30" s="1467">
        <f ca="1">PortfolioCFStatement!O753</f>
        <v>0</v>
      </c>
      <c r="M30" s="1467">
        <f ca="1">PortfolioCFStatement!P753</f>
        <v>0</v>
      </c>
      <c r="N30" s="1467">
        <f ca="1">PortfolioCFStatement!Q753</f>
        <v>0</v>
      </c>
      <c r="O30" s="1467">
        <f ca="1">PortfolioCFStatement!R753</f>
        <v>0</v>
      </c>
      <c r="P30" s="1467">
        <f ca="1">PortfolioCFStatement!S753</f>
        <v>0</v>
      </c>
      <c r="Q30" s="1467">
        <f ca="1">PortfolioCFStatement!T753</f>
        <v>0</v>
      </c>
      <c r="R30" s="1467">
        <f ca="1">PortfolioCFStatement!U753</f>
        <v>0</v>
      </c>
      <c r="S30" s="1467">
        <f ca="1">PortfolioCFStatement!V753</f>
        <v>0</v>
      </c>
      <c r="T30" s="1467">
        <f ca="1">PortfolioCFStatement!W753</f>
        <v>0</v>
      </c>
      <c r="U30" s="1467">
        <f ca="1">PortfolioCFStatement!X753</f>
        <v>0</v>
      </c>
      <c r="V30" s="1467">
        <f ca="1">PortfolioCFStatement!Y753</f>
        <v>0</v>
      </c>
      <c r="W30" s="1467">
        <f ca="1">PortfolioCFStatement!Z753</f>
        <v>0</v>
      </c>
      <c r="X30" s="1467">
        <f ca="1">PortfolioCFStatement!AA753</f>
        <v>0</v>
      </c>
      <c r="Y30" s="1467">
        <f ca="1">PortfolioCFStatement!AB753</f>
        <v>0</v>
      </c>
      <c r="Z30" s="1467">
        <f ca="1">PortfolioCFStatement!AC753</f>
        <v>0</v>
      </c>
      <c r="AA30" s="1467">
        <f ca="1">PortfolioCFStatement!AD753</f>
        <v>0</v>
      </c>
      <c r="AB30" s="1467">
        <f ca="1">PortfolioCFStatement!AE753</f>
        <v>0</v>
      </c>
      <c r="AC30" s="1467">
        <f ca="1">PortfolioCFStatement!AF753</f>
        <v>0</v>
      </c>
      <c r="AD30" s="1467">
        <f ca="1">PortfolioCFStatement!AG753</f>
        <v>0</v>
      </c>
      <c r="AE30" s="1467">
        <f ca="1">PortfolioCFStatement!AH753</f>
        <v>0</v>
      </c>
      <c r="AF30" s="1467">
        <f ca="1">PortfolioCFStatement!AI753</f>
        <v>0</v>
      </c>
      <c r="AG30" s="1467">
        <f ca="1">PortfolioCFStatement!AJ753</f>
        <v>0</v>
      </c>
      <c r="AH30" s="1467">
        <f ca="1">PortfolioCFStatement!AK753</f>
        <v>0</v>
      </c>
      <c r="AI30" s="1467">
        <f ca="1">PortfolioCFStatement!AL753</f>
        <v>0</v>
      </c>
      <c r="AJ30" s="1467">
        <f ca="1">PortfolioCFStatement!AM753</f>
        <v>0</v>
      </c>
      <c r="AK30" s="1467">
        <f ca="1">PortfolioCFStatement!AN753</f>
        <v>0</v>
      </c>
      <c r="AL30" s="1467">
        <f ca="1">PortfolioCFStatement!AO753</f>
        <v>0</v>
      </c>
      <c r="AM30" s="1467">
        <f ca="1">PortfolioCFStatement!AP753</f>
        <v>0</v>
      </c>
      <c r="AN30" s="1467">
        <f ca="1">PortfolioCFStatement!AQ753</f>
        <v>0</v>
      </c>
      <c r="AO30" s="1467">
        <f ca="1">PortfolioCFStatement!AR753</f>
        <v>0</v>
      </c>
      <c r="AP30" s="1467">
        <f ca="1">PortfolioCFStatement!AS753</f>
        <v>0</v>
      </c>
      <c r="AQ30" s="1467">
        <f ca="1">PortfolioCFStatement!AT753</f>
        <v>0</v>
      </c>
      <c r="AR30" s="1467"/>
      <c r="AS30" s="1467">
        <f t="shared" ca="1" si="0"/>
        <v>0</v>
      </c>
      <c r="AT30" s="1468"/>
      <c r="AU30" s="1467">
        <f t="shared" ca="1" si="1"/>
        <v>0</v>
      </c>
      <c r="AV30" s="1468"/>
      <c r="AW30" s="1467">
        <f t="shared" ca="1" si="2"/>
        <v>0</v>
      </c>
      <c r="AX30" s="1468"/>
      <c r="AY30" s="1467">
        <f t="shared" ca="1" si="3"/>
        <v>0</v>
      </c>
      <c r="AZ30" s="1468"/>
      <c r="BA30" s="1467">
        <f t="shared" ca="1" si="4"/>
        <v>0</v>
      </c>
      <c r="BB30" s="1468"/>
      <c r="BC30" s="1467">
        <f t="shared" ca="1" si="5"/>
        <v>0</v>
      </c>
      <c r="BD30" s="1468"/>
      <c r="BE30" s="1467">
        <f t="shared" ca="1" si="6"/>
        <v>0</v>
      </c>
    </row>
    <row r="31" spans="1:57" s="10" customFormat="1" hidden="1">
      <c r="A31" s="1465" t="str">
        <f ca="1">PortfolioCFStatement!D754</f>
        <v>Blank</v>
      </c>
      <c r="B31" s="1466" t="str">
        <f>PortfolioCFStatement!E754</f>
        <v>2010$</v>
      </c>
      <c r="C31" s="1460">
        <f ca="1">PortfolioCFStatement!F754</f>
        <v>0</v>
      </c>
      <c r="D31" s="1467">
        <f ca="1">PortfolioCFStatement!G754</f>
        <v>0</v>
      </c>
      <c r="E31" s="1467">
        <f ca="1">PortfolioCFStatement!H754</f>
        <v>0</v>
      </c>
      <c r="F31" s="1467">
        <f ca="1">PortfolioCFStatement!I754</f>
        <v>0</v>
      </c>
      <c r="G31" s="1467">
        <f ca="1">PortfolioCFStatement!J754</f>
        <v>0</v>
      </c>
      <c r="H31" s="1467">
        <f ca="1">PortfolioCFStatement!K754</f>
        <v>0</v>
      </c>
      <c r="I31" s="1467">
        <f ca="1">PortfolioCFStatement!L754</f>
        <v>0</v>
      </c>
      <c r="J31" s="1467">
        <f ca="1">PortfolioCFStatement!M754</f>
        <v>0</v>
      </c>
      <c r="K31" s="1467">
        <f ca="1">PortfolioCFStatement!N754</f>
        <v>0</v>
      </c>
      <c r="L31" s="1467">
        <f ca="1">PortfolioCFStatement!O754</f>
        <v>0</v>
      </c>
      <c r="M31" s="1467">
        <f ca="1">PortfolioCFStatement!P754</f>
        <v>0</v>
      </c>
      <c r="N31" s="1467">
        <f ca="1">PortfolioCFStatement!Q754</f>
        <v>0</v>
      </c>
      <c r="O31" s="1467">
        <f ca="1">PortfolioCFStatement!R754</f>
        <v>0</v>
      </c>
      <c r="P31" s="1467">
        <f ca="1">PortfolioCFStatement!S754</f>
        <v>0</v>
      </c>
      <c r="Q31" s="1467">
        <f ca="1">PortfolioCFStatement!T754</f>
        <v>0</v>
      </c>
      <c r="R31" s="1467">
        <f ca="1">PortfolioCFStatement!U754</f>
        <v>0</v>
      </c>
      <c r="S31" s="1467">
        <f ca="1">PortfolioCFStatement!V754</f>
        <v>0</v>
      </c>
      <c r="T31" s="1467">
        <f ca="1">PortfolioCFStatement!W754</f>
        <v>0</v>
      </c>
      <c r="U31" s="1467">
        <f ca="1">PortfolioCFStatement!X754</f>
        <v>0</v>
      </c>
      <c r="V31" s="1467">
        <f ca="1">PortfolioCFStatement!Y754</f>
        <v>0</v>
      </c>
      <c r="W31" s="1467">
        <f ca="1">PortfolioCFStatement!Z754</f>
        <v>0</v>
      </c>
      <c r="X31" s="1467">
        <f ca="1">PortfolioCFStatement!AA754</f>
        <v>0</v>
      </c>
      <c r="Y31" s="1467">
        <f ca="1">PortfolioCFStatement!AB754</f>
        <v>0</v>
      </c>
      <c r="Z31" s="1467">
        <f ca="1">PortfolioCFStatement!AC754</f>
        <v>0</v>
      </c>
      <c r="AA31" s="1467">
        <f ca="1">PortfolioCFStatement!AD754</f>
        <v>0</v>
      </c>
      <c r="AB31" s="1467">
        <f ca="1">PortfolioCFStatement!AE754</f>
        <v>0</v>
      </c>
      <c r="AC31" s="1467">
        <f ca="1">PortfolioCFStatement!AF754</f>
        <v>0</v>
      </c>
      <c r="AD31" s="1467">
        <f ca="1">PortfolioCFStatement!AG754</f>
        <v>0</v>
      </c>
      <c r="AE31" s="1467">
        <f ca="1">PortfolioCFStatement!AH754</f>
        <v>0</v>
      </c>
      <c r="AF31" s="1467">
        <f ca="1">PortfolioCFStatement!AI754</f>
        <v>0</v>
      </c>
      <c r="AG31" s="1467">
        <f ca="1">PortfolioCFStatement!AJ754</f>
        <v>0</v>
      </c>
      <c r="AH31" s="1467">
        <f ca="1">PortfolioCFStatement!AK754</f>
        <v>0</v>
      </c>
      <c r="AI31" s="1467">
        <f ca="1">PortfolioCFStatement!AL754</f>
        <v>0</v>
      </c>
      <c r="AJ31" s="1467">
        <f ca="1">PortfolioCFStatement!AM754</f>
        <v>0</v>
      </c>
      <c r="AK31" s="1467">
        <f ca="1">PortfolioCFStatement!AN754</f>
        <v>0</v>
      </c>
      <c r="AL31" s="1467">
        <f ca="1">PortfolioCFStatement!AO754</f>
        <v>0</v>
      </c>
      <c r="AM31" s="1467">
        <f ca="1">PortfolioCFStatement!AP754</f>
        <v>0</v>
      </c>
      <c r="AN31" s="1467">
        <f ca="1">PortfolioCFStatement!AQ754</f>
        <v>0</v>
      </c>
      <c r="AO31" s="1467">
        <f ca="1">PortfolioCFStatement!AR754</f>
        <v>0</v>
      </c>
      <c r="AP31" s="1467">
        <f ca="1">PortfolioCFStatement!AS754</f>
        <v>0</v>
      </c>
      <c r="AQ31" s="1467">
        <f ca="1">PortfolioCFStatement!AT754</f>
        <v>0</v>
      </c>
      <c r="AR31" s="1467"/>
      <c r="AS31" s="1467">
        <f t="shared" ca="1" si="0"/>
        <v>0</v>
      </c>
      <c r="AT31" s="1468"/>
      <c r="AU31" s="1467">
        <f t="shared" ca="1" si="1"/>
        <v>0</v>
      </c>
      <c r="AV31" s="1468"/>
      <c r="AW31" s="1467">
        <f t="shared" ca="1" si="2"/>
        <v>0</v>
      </c>
      <c r="AX31" s="1468"/>
      <c r="AY31" s="1467">
        <f t="shared" ca="1" si="3"/>
        <v>0</v>
      </c>
      <c r="AZ31" s="1468"/>
      <c r="BA31" s="1467">
        <f t="shared" ca="1" si="4"/>
        <v>0</v>
      </c>
      <c r="BB31" s="1468"/>
      <c r="BC31" s="1467">
        <f t="shared" ca="1" si="5"/>
        <v>0</v>
      </c>
      <c r="BD31" s="1468"/>
      <c r="BE31" s="1467">
        <f t="shared" ca="1" si="6"/>
        <v>0</v>
      </c>
    </row>
    <row r="32" spans="1:57" s="10" customFormat="1" hidden="1">
      <c r="A32" s="1465" t="str">
        <f ca="1">PortfolioCFStatement!D755</f>
        <v>Blank</v>
      </c>
      <c r="B32" s="1466" t="str">
        <f>PortfolioCFStatement!E755</f>
        <v>2010$</v>
      </c>
      <c r="C32" s="1460">
        <f ca="1">PortfolioCFStatement!F755</f>
        <v>0</v>
      </c>
      <c r="D32" s="1467">
        <f ca="1">PortfolioCFStatement!G755</f>
        <v>0</v>
      </c>
      <c r="E32" s="1467">
        <f ca="1">PortfolioCFStatement!H755</f>
        <v>0</v>
      </c>
      <c r="F32" s="1467">
        <f ca="1">PortfolioCFStatement!I755</f>
        <v>0</v>
      </c>
      <c r="G32" s="1467">
        <f ca="1">PortfolioCFStatement!J755</f>
        <v>0</v>
      </c>
      <c r="H32" s="1467">
        <f ca="1">PortfolioCFStatement!K755</f>
        <v>0</v>
      </c>
      <c r="I32" s="1467">
        <f ca="1">PortfolioCFStatement!L755</f>
        <v>0</v>
      </c>
      <c r="J32" s="1467">
        <f ca="1">PortfolioCFStatement!M755</f>
        <v>0</v>
      </c>
      <c r="K32" s="1467">
        <f ca="1">PortfolioCFStatement!N755</f>
        <v>0</v>
      </c>
      <c r="L32" s="1467">
        <f ca="1">PortfolioCFStatement!O755</f>
        <v>0</v>
      </c>
      <c r="M32" s="1467">
        <f ca="1">PortfolioCFStatement!P755</f>
        <v>0</v>
      </c>
      <c r="N32" s="1467">
        <f ca="1">PortfolioCFStatement!Q755</f>
        <v>0</v>
      </c>
      <c r="O32" s="1467">
        <f ca="1">PortfolioCFStatement!R755</f>
        <v>0</v>
      </c>
      <c r="P32" s="1467">
        <f ca="1">PortfolioCFStatement!S755</f>
        <v>0</v>
      </c>
      <c r="Q32" s="1467">
        <f ca="1">PortfolioCFStatement!T755</f>
        <v>0</v>
      </c>
      <c r="R32" s="1467">
        <f ca="1">PortfolioCFStatement!U755</f>
        <v>0</v>
      </c>
      <c r="S32" s="1467">
        <f ca="1">PortfolioCFStatement!V755</f>
        <v>0</v>
      </c>
      <c r="T32" s="1467">
        <f ca="1">PortfolioCFStatement!W755</f>
        <v>0</v>
      </c>
      <c r="U32" s="1467">
        <f ca="1">PortfolioCFStatement!X755</f>
        <v>0</v>
      </c>
      <c r="V32" s="1467">
        <f ca="1">PortfolioCFStatement!Y755</f>
        <v>0</v>
      </c>
      <c r="W32" s="1467">
        <f ca="1">PortfolioCFStatement!Z755</f>
        <v>0</v>
      </c>
      <c r="X32" s="1467">
        <f ca="1">PortfolioCFStatement!AA755</f>
        <v>0</v>
      </c>
      <c r="Y32" s="1467">
        <f ca="1">PortfolioCFStatement!AB755</f>
        <v>0</v>
      </c>
      <c r="Z32" s="1467">
        <f ca="1">PortfolioCFStatement!AC755</f>
        <v>0</v>
      </c>
      <c r="AA32" s="1467">
        <f ca="1">PortfolioCFStatement!AD755</f>
        <v>0</v>
      </c>
      <c r="AB32" s="1467">
        <f ca="1">PortfolioCFStatement!AE755</f>
        <v>0</v>
      </c>
      <c r="AC32" s="1467">
        <f ca="1">PortfolioCFStatement!AF755</f>
        <v>0</v>
      </c>
      <c r="AD32" s="1467">
        <f ca="1">PortfolioCFStatement!AG755</f>
        <v>0</v>
      </c>
      <c r="AE32" s="1467">
        <f ca="1">PortfolioCFStatement!AH755</f>
        <v>0</v>
      </c>
      <c r="AF32" s="1467">
        <f ca="1">PortfolioCFStatement!AI755</f>
        <v>0</v>
      </c>
      <c r="AG32" s="1467">
        <f ca="1">PortfolioCFStatement!AJ755</f>
        <v>0</v>
      </c>
      <c r="AH32" s="1467">
        <f ca="1">PortfolioCFStatement!AK755</f>
        <v>0</v>
      </c>
      <c r="AI32" s="1467">
        <f ca="1">PortfolioCFStatement!AL755</f>
        <v>0</v>
      </c>
      <c r="AJ32" s="1467">
        <f ca="1">PortfolioCFStatement!AM755</f>
        <v>0</v>
      </c>
      <c r="AK32" s="1467">
        <f ca="1">PortfolioCFStatement!AN755</f>
        <v>0</v>
      </c>
      <c r="AL32" s="1467">
        <f ca="1">PortfolioCFStatement!AO755</f>
        <v>0</v>
      </c>
      <c r="AM32" s="1467">
        <f ca="1">PortfolioCFStatement!AP755</f>
        <v>0</v>
      </c>
      <c r="AN32" s="1467">
        <f ca="1">PortfolioCFStatement!AQ755</f>
        <v>0</v>
      </c>
      <c r="AO32" s="1467">
        <f ca="1">PortfolioCFStatement!AR755</f>
        <v>0</v>
      </c>
      <c r="AP32" s="1467">
        <f ca="1">PortfolioCFStatement!AS755</f>
        <v>0</v>
      </c>
      <c r="AQ32" s="1467">
        <f ca="1">PortfolioCFStatement!AT755</f>
        <v>0</v>
      </c>
      <c r="AR32" s="1467"/>
      <c r="AS32" s="1467">
        <f t="shared" ca="1" si="0"/>
        <v>0</v>
      </c>
      <c r="AT32" s="1468"/>
      <c r="AU32" s="1467">
        <f t="shared" ca="1" si="1"/>
        <v>0</v>
      </c>
      <c r="AV32" s="1468"/>
      <c r="AW32" s="1467">
        <f t="shared" ca="1" si="2"/>
        <v>0</v>
      </c>
      <c r="AX32" s="1468"/>
      <c r="AY32" s="1467">
        <f t="shared" ca="1" si="3"/>
        <v>0</v>
      </c>
      <c r="AZ32" s="1468"/>
      <c r="BA32" s="1467">
        <f t="shared" ca="1" si="4"/>
        <v>0</v>
      </c>
      <c r="BB32" s="1468"/>
      <c r="BC32" s="1467">
        <f t="shared" ca="1" si="5"/>
        <v>0</v>
      </c>
      <c r="BD32" s="1468"/>
      <c r="BE32" s="1467">
        <f t="shared" ca="1" si="6"/>
        <v>0</v>
      </c>
    </row>
    <row r="33" spans="1:57" s="10" customFormat="1" collapsed="1">
      <c r="A33" s="1469" t="str">
        <f>PortfolioCFStatement!D756</f>
        <v>Avoided Operating Costs (Non-Fuel and Fuel)</v>
      </c>
      <c r="B33" s="1470" t="str">
        <f>PortfolioCFStatement!E756</f>
        <v>2010$</v>
      </c>
      <c r="C33" s="1461">
        <f ca="1">PortfolioCFStatement!F756</f>
        <v>211527284.14803228</v>
      </c>
      <c r="D33" s="1471">
        <f ca="1">PortfolioCFStatement!G756</f>
        <v>237052.05335287287</v>
      </c>
      <c r="E33" s="1471">
        <f ca="1">PortfolioCFStatement!H756</f>
        <v>1437004.8503135836</v>
      </c>
      <c r="F33" s="1471">
        <f ca="1">PortfolioCFStatement!I756</f>
        <v>3807936.3316040896</v>
      </c>
      <c r="G33" s="1471">
        <f ca="1">PortfolioCFStatement!J756</f>
        <v>5136514.3104328066</v>
      </c>
      <c r="H33" s="1471">
        <f ca="1">PortfolioCFStatement!K756</f>
        <v>6817676.0646550115</v>
      </c>
      <c r="I33" s="1471">
        <f ca="1">PortfolioCFStatement!L756</f>
        <v>8119233.4213993344</v>
      </c>
      <c r="J33" s="1471">
        <f ca="1">PortfolioCFStatement!M756</f>
        <v>9164621.7598326989</v>
      </c>
      <c r="K33" s="1471">
        <f ca="1">PortfolioCFStatement!N756</f>
        <v>9965961.6648304537</v>
      </c>
      <c r="L33" s="1471">
        <f ca="1">PortfolioCFStatement!O756</f>
        <v>10761197.416200597</v>
      </c>
      <c r="M33" s="1471">
        <f ca="1">PortfolioCFStatement!P756</f>
        <v>11560860.874070078</v>
      </c>
      <c r="N33" s="1471">
        <f ca="1">PortfolioCFStatement!Q756</f>
        <v>12364976.085970921</v>
      </c>
      <c r="O33" s="1471">
        <f ca="1">PortfolioCFStatement!R756</f>
        <v>13173566.757697506</v>
      </c>
      <c r="P33" s="1471">
        <f ca="1">PortfolioCFStatement!S756</f>
        <v>13986656.443908114</v>
      </c>
      <c r="Q33" s="1471">
        <f ca="1">PortfolioCFStatement!T756</f>
        <v>14763673.902569611</v>
      </c>
      <c r="R33" s="1471">
        <f ca="1">PortfolioCFStatement!U756</f>
        <v>15473543.947930764</v>
      </c>
      <c r="S33" s="1471">
        <f ca="1">PortfolioCFStatement!V756</f>
        <v>16187550.602684028</v>
      </c>
      <c r="T33" s="1471">
        <f ca="1">PortfolioCFStatement!W756</f>
        <v>16905721.957138084</v>
      </c>
      <c r="U33" s="1471">
        <f ca="1">PortfolioCFStatement!X756</f>
        <v>17628086.289431926</v>
      </c>
      <c r="V33" s="1471">
        <f ca="1">PortfolioCFStatement!Y756</f>
        <v>18354672.083279546</v>
      </c>
      <c r="W33" s="1471">
        <f ca="1">PortfolioCFStatement!Z756</f>
        <v>19085508.0407588</v>
      </c>
      <c r="X33" s="1471">
        <f ca="1">PortfolioCFStatement!AA756</f>
        <v>19820623.091625292</v>
      </c>
      <c r="Y33" s="1471">
        <f ca="1">PortfolioCFStatement!AB756</f>
        <v>20539852.767406005</v>
      </c>
      <c r="Z33" s="1471">
        <f ca="1">PortfolioCFStatement!AC756</f>
        <v>21263218.168360259</v>
      </c>
      <c r="AA33" s="1471">
        <f ca="1">PortfolioCFStatement!AD756</f>
        <v>21990747.427128255</v>
      </c>
      <c r="AB33" s="1471">
        <f ca="1">PortfolioCFStatement!AE756</f>
        <v>22593968.429156054</v>
      </c>
      <c r="AC33" s="1471">
        <f ca="1">PortfolioCFStatement!AF756</f>
        <v>23200453.410539888</v>
      </c>
      <c r="AD33" s="1471">
        <f ca="1">PortfolioCFStatement!AG756</f>
        <v>23810224.041133095</v>
      </c>
      <c r="AE33" s="1471">
        <f ca="1">PortfolioCFStatement!AH756</f>
        <v>24423302.183614235</v>
      </c>
      <c r="AF33" s="1471">
        <f ca="1">PortfolioCFStatement!AI756</f>
        <v>25039709.894020364</v>
      </c>
      <c r="AG33" s="1471">
        <f ca="1">PortfolioCFStatement!AJ756</f>
        <v>25659469.422070283</v>
      </c>
      <c r="AH33" s="1471">
        <f ca="1">PortfolioCFStatement!AK756</f>
        <v>26282603.211335856</v>
      </c>
      <c r="AI33" s="1471">
        <f ca="1">PortfolioCFStatement!AL756</f>
        <v>26909133.899306107</v>
      </c>
      <c r="AJ33" s="1471">
        <f ca="1">PortfolioCFStatement!AM756</f>
        <v>27539084.317377888</v>
      </c>
      <c r="AK33" s="1471">
        <f ca="1">PortfolioCFStatement!AN756</f>
        <v>28172477.490799788</v>
      </c>
      <c r="AL33" s="1471">
        <f ca="1">PortfolioCFStatement!AO756</f>
        <v>28809336.638589252</v>
      </c>
      <c r="AM33" s="1471">
        <f ca="1">PortfolioCFStatement!AP756</f>
        <v>29449685.173438601</v>
      </c>
      <c r="AN33" s="1471">
        <f ca="1">PortfolioCFStatement!AQ756</f>
        <v>30093546.701622076</v>
      </c>
      <c r="AO33" s="1471">
        <f ca="1">PortfolioCFStatement!AR756</f>
        <v>30740945.022913184</v>
      </c>
      <c r="AP33" s="1471">
        <f ca="1">PortfolioCFStatement!AS756</f>
        <v>31391904.130519193</v>
      </c>
      <c r="AQ33" s="1471">
        <f ca="1">PortfolioCFStatement!AT756</f>
        <v>32046448.211038377</v>
      </c>
      <c r="AR33" s="1468"/>
      <c r="AS33" s="1471">
        <f t="shared" ca="1" si="0"/>
        <v>49571875.136333168</v>
      </c>
      <c r="AT33" s="1468"/>
      <c r="AU33" s="1471">
        <f t="shared" ca="1" si="1"/>
        <v>69762417.138076916</v>
      </c>
      <c r="AV33" s="1468"/>
      <c r="AW33" s="1471">
        <f t="shared" ca="1" si="2"/>
        <v>88161538.973292395</v>
      </c>
      <c r="AX33" s="1468"/>
      <c r="AY33" s="1471">
        <f t="shared" ca="1" si="3"/>
        <v>106208409.88367586</v>
      </c>
      <c r="AZ33" s="1468"/>
      <c r="BA33" s="1471">
        <f t="shared" ca="1" si="4"/>
        <v>122133158.95137787</v>
      </c>
      <c r="BB33" s="1468"/>
      <c r="BC33" s="1471">
        <f t="shared" ca="1" si="5"/>
        <v>137712635.5574089</v>
      </c>
      <c r="BD33" s="1468"/>
      <c r="BE33" s="1471">
        <f t="shared" ca="1" si="6"/>
        <v>153722529.23953143</v>
      </c>
    </row>
    <row r="34" spans="1:57" s="10" customFormat="1">
      <c r="A34" s="1271" t="str">
        <f ca="1">PortfolioCFStatement!D757</f>
        <v>Behavior Change</v>
      </c>
      <c r="B34" s="1464" t="str">
        <f>PortfolioCFStatement!E757</f>
        <v>2010$</v>
      </c>
      <c r="C34" s="1460">
        <f ca="1">PortfolioCFStatement!F757</f>
        <v>-888587.81999004784</v>
      </c>
      <c r="D34" s="358">
        <f ca="1">PortfolioCFStatement!G757</f>
        <v>0</v>
      </c>
      <c r="E34" s="358">
        <f ca="1">PortfolioCFStatement!H757</f>
        <v>0</v>
      </c>
      <c r="F34" s="358">
        <f ca="1">PortfolioCFStatement!I757</f>
        <v>-100000</v>
      </c>
      <c r="G34" s="358">
        <f ca="1">PortfolioCFStatement!J757</f>
        <v>-100000</v>
      </c>
      <c r="H34" s="358">
        <f ca="1">PortfolioCFStatement!K757</f>
        <v>-100000</v>
      </c>
      <c r="I34" s="358">
        <f ca="1">PortfolioCFStatement!L757</f>
        <v>-100000</v>
      </c>
      <c r="J34" s="358">
        <f ca="1">PortfolioCFStatement!M757</f>
        <v>-100000</v>
      </c>
      <c r="K34" s="358">
        <f ca="1">PortfolioCFStatement!N757</f>
        <v>-50000</v>
      </c>
      <c r="L34" s="358">
        <f ca="1">PortfolioCFStatement!O757</f>
        <v>-50000</v>
      </c>
      <c r="M34" s="358">
        <f ca="1">PortfolioCFStatement!P757</f>
        <v>-50000</v>
      </c>
      <c r="N34" s="358">
        <f ca="1">PortfolioCFStatement!Q757</f>
        <v>-50000</v>
      </c>
      <c r="O34" s="358">
        <f ca="1">PortfolioCFStatement!R757</f>
        <v>-50000</v>
      </c>
      <c r="P34" s="358">
        <f ca="1">PortfolioCFStatement!S757</f>
        <v>-50000</v>
      </c>
      <c r="Q34" s="358">
        <f ca="1">PortfolioCFStatement!T757</f>
        <v>-50000</v>
      </c>
      <c r="R34" s="358">
        <f ca="1">PortfolioCFStatement!U757</f>
        <v>-50000</v>
      </c>
      <c r="S34" s="358">
        <f ca="1">PortfolioCFStatement!V757</f>
        <v>-50000</v>
      </c>
      <c r="T34" s="358">
        <f ca="1">PortfolioCFStatement!W757</f>
        <v>-50000</v>
      </c>
      <c r="U34" s="358">
        <f ca="1">PortfolioCFStatement!X757</f>
        <v>-50000</v>
      </c>
      <c r="V34" s="358">
        <f ca="1">PortfolioCFStatement!Y757</f>
        <v>-50000</v>
      </c>
      <c r="W34" s="358">
        <f ca="1">PortfolioCFStatement!Z757</f>
        <v>-50000</v>
      </c>
      <c r="X34" s="358">
        <f ca="1">PortfolioCFStatement!AA757</f>
        <v>-50000</v>
      </c>
      <c r="Y34" s="358">
        <f ca="1">PortfolioCFStatement!AB757</f>
        <v>-50000</v>
      </c>
      <c r="Z34" s="358">
        <f ca="1">PortfolioCFStatement!AC757</f>
        <v>-50000</v>
      </c>
      <c r="AA34" s="358">
        <f ca="1">PortfolioCFStatement!AD757</f>
        <v>-50000</v>
      </c>
      <c r="AB34" s="358">
        <f ca="1">PortfolioCFStatement!AE757</f>
        <v>-50000</v>
      </c>
      <c r="AC34" s="358">
        <f ca="1">PortfolioCFStatement!AF757</f>
        <v>-50000</v>
      </c>
      <c r="AD34" s="358">
        <f ca="1">PortfolioCFStatement!AG757</f>
        <v>-50000</v>
      </c>
      <c r="AE34" s="358">
        <f ca="1">PortfolioCFStatement!AH757</f>
        <v>-50000</v>
      </c>
      <c r="AF34" s="358">
        <f ca="1">PortfolioCFStatement!AI757</f>
        <v>-50000</v>
      </c>
      <c r="AG34" s="358">
        <f ca="1">PortfolioCFStatement!AJ757</f>
        <v>-50000</v>
      </c>
      <c r="AH34" s="358">
        <f ca="1">PortfolioCFStatement!AK757</f>
        <v>-50000</v>
      </c>
      <c r="AI34" s="358">
        <f ca="1">PortfolioCFStatement!AL757</f>
        <v>-50000</v>
      </c>
      <c r="AJ34" s="358">
        <f ca="1">PortfolioCFStatement!AM757</f>
        <v>-50000</v>
      </c>
      <c r="AK34" s="358">
        <f ca="1">PortfolioCFStatement!AN757</f>
        <v>-50000</v>
      </c>
      <c r="AL34" s="358">
        <f ca="1">PortfolioCFStatement!AO757</f>
        <v>-50000</v>
      </c>
      <c r="AM34" s="358">
        <f ca="1">PortfolioCFStatement!AP757</f>
        <v>-50000</v>
      </c>
      <c r="AN34" s="358">
        <f ca="1">PortfolioCFStatement!AQ757</f>
        <v>-50000</v>
      </c>
      <c r="AO34" s="358">
        <f ca="1">PortfolioCFStatement!AR757</f>
        <v>-50000</v>
      </c>
      <c r="AP34" s="358">
        <f ca="1">PortfolioCFStatement!AS757</f>
        <v>-50000</v>
      </c>
      <c r="AQ34" s="358">
        <f ca="1">PortfolioCFStatement!AT757</f>
        <v>-50000</v>
      </c>
      <c r="AR34" s="358"/>
      <c r="AS34" s="358">
        <f t="shared" ca="1" si="0"/>
        <v>-350000</v>
      </c>
      <c r="AT34" s="54"/>
      <c r="AU34" s="358">
        <f t="shared" ca="1" si="1"/>
        <v>-250000</v>
      </c>
      <c r="AV34" s="54"/>
      <c r="AW34" s="358">
        <f t="shared" ca="1" si="2"/>
        <v>-250000</v>
      </c>
      <c r="AX34" s="54"/>
      <c r="AY34" s="358">
        <f t="shared" ca="1" si="3"/>
        <v>-250000</v>
      </c>
      <c r="AZ34" s="54"/>
      <c r="BA34" s="358">
        <f t="shared" ca="1" si="4"/>
        <v>-250000</v>
      </c>
      <c r="BB34" s="54"/>
      <c r="BC34" s="358">
        <f t="shared" ca="1" si="5"/>
        <v>-250000</v>
      </c>
      <c r="BD34" s="54"/>
      <c r="BE34" s="358">
        <f t="shared" ca="1" si="6"/>
        <v>-250000</v>
      </c>
    </row>
    <row r="35" spans="1:57" s="10" customFormat="1">
      <c r="A35" s="1271" t="str">
        <f ca="1">PortfolioCFStatement!D758</f>
        <v>Building Design &amp; Construction Standards</v>
      </c>
      <c r="B35" s="1464" t="str">
        <f>PortfolioCFStatement!E758</f>
        <v>2010$</v>
      </c>
      <c r="C35" s="1460">
        <f ca="1">PortfolioCFStatement!F758</f>
        <v>-89643.645147354444</v>
      </c>
      <c r="D35" s="358">
        <f ca="1">PortfolioCFStatement!G758</f>
        <v>0</v>
      </c>
      <c r="E35" s="358">
        <f ca="1">PortfolioCFStatement!H758</f>
        <v>-100000</v>
      </c>
      <c r="F35" s="358">
        <f ca="1">PortfolioCFStatement!I758</f>
        <v>0</v>
      </c>
      <c r="G35" s="358">
        <f ca="1">PortfolioCFStatement!J758</f>
        <v>0</v>
      </c>
      <c r="H35" s="358">
        <f ca="1">PortfolioCFStatement!K758</f>
        <v>0</v>
      </c>
      <c r="I35" s="358">
        <f ca="1">PortfolioCFStatement!L758</f>
        <v>0</v>
      </c>
      <c r="J35" s="358">
        <f ca="1">PortfolioCFStatement!M758</f>
        <v>0</v>
      </c>
      <c r="K35" s="358">
        <f ca="1">PortfolioCFStatement!N758</f>
        <v>0</v>
      </c>
      <c r="L35" s="358">
        <f ca="1">PortfolioCFStatement!O758</f>
        <v>0</v>
      </c>
      <c r="M35" s="358">
        <f ca="1">PortfolioCFStatement!P758</f>
        <v>0</v>
      </c>
      <c r="N35" s="358">
        <f ca="1">PortfolioCFStatement!Q758</f>
        <v>0</v>
      </c>
      <c r="O35" s="358">
        <f ca="1">PortfolioCFStatement!R758</f>
        <v>0</v>
      </c>
      <c r="P35" s="358">
        <f ca="1">PortfolioCFStatement!S758</f>
        <v>0</v>
      </c>
      <c r="Q35" s="358">
        <f ca="1">PortfolioCFStatement!T758</f>
        <v>0</v>
      </c>
      <c r="R35" s="358">
        <f ca="1">PortfolioCFStatement!U758</f>
        <v>0</v>
      </c>
      <c r="S35" s="358">
        <f ca="1">PortfolioCFStatement!V758</f>
        <v>0</v>
      </c>
      <c r="T35" s="358">
        <f ca="1">PortfolioCFStatement!W758</f>
        <v>0</v>
      </c>
      <c r="U35" s="358">
        <f ca="1">PortfolioCFStatement!X758</f>
        <v>0</v>
      </c>
      <c r="V35" s="358">
        <f ca="1">PortfolioCFStatement!Y758</f>
        <v>0</v>
      </c>
      <c r="W35" s="358">
        <f ca="1">PortfolioCFStatement!Z758</f>
        <v>0</v>
      </c>
      <c r="X35" s="358">
        <f ca="1">PortfolioCFStatement!AA758</f>
        <v>0</v>
      </c>
      <c r="Y35" s="358">
        <f ca="1">PortfolioCFStatement!AB758</f>
        <v>0</v>
      </c>
      <c r="Z35" s="358">
        <f ca="1">PortfolioCFStatement!AC758</f>
        <v>0</v>
      </c>
      <c r="AA35" s="358">
        <f ca="1">PortfolioCFStatement!AD758</f>
        <v>0</v>
      </c>
      <c r="AB35" s="358">
        <f ca="1">PortfolioCFStatement!AE758</f>
        <v>0</v>
      </c>
      <c r="AC35" s="358">
        <f ca="1">PortfolioCFStatement!AF758</f>
        <v>0</v>
      </c>
      <c r="AD35" s="358">
        <f ca="1">PortfolioCFStatement!AG758</f>
        <v>0</v>
      </c>
      <c r="AE35" s="358">
        <f ca="1">PortfolioCFStatement!AH758</f>
        <v>0</v>
      </c>
      <c r="AF35" s="358">
        <f ca="1">PortfolioCFStatement!AI758</f>
        <v>0</v>
      </c>
      <c r="AG35" s="358">
        <f ca="1">PortfolioCFStatement!AJ758</f>
        <v>0</v>
      </c>
      <c r="AH35" s="358">
        <f ca="1">PortfolioCFStatement!AK758</f>
        <v>0</v>
      </c>
      <c r="AI35" s="358">
        <f ca="1">PortfolioCFStatement!AL758</f>
        <v>0</v>
      </c>
      <c r="AJ35" s="358">
        <f ca="1">PortfolioCFStatement!AM758</f>
        <v>0</v>
      </c>
      <c r="AK35" s="358">
        <f ca="1">PortfolioCFStatement!AN758</f>
        <v>0</v>
      </c>
      <c r="AL35" s="358">
        <f ca="1">PortfolioCFStatement!AO758</f>
        <v>0</v>
      </c>
      <c r="AM35" s="358">
        <f ca="1">PortfolioCFStatement!AP758</f>
        <v>0</v>
      </c>
      <c r="AN35" s="358">
        <f ca="1">PortfolioCFStatement!AQ758</f>
        <v>0</v>
      </c>
      <c r="AO35" s="358">
        <f ca="1">PortfolioCFStatement!AR758</f>
        <v>0</v>
      </c>
      <c r="AP35" s="358">
        <f ca="1">PortfolioCFStatement!AS758</f>
        <v>0</v>
      </c>
      <c r="AQ35" s="358">
        <f ca="1">PortfolioCFStatement!AT758</f>
        <v>0</v>
      </c>
      <c r="AR35" s="358"/>
      <c r="AS35" s="358">
        <f t="shared" ca="1" si="0"/>
        <v>0</v>
      </c>
      <c r="AT35" s="54"/>
      <c r="AU35" s="358">
        <f t="shared" ca="1" si="1"/>
        <v>0</v>
      </c>
      <c r="AV35" s="54"/>
      <c r="AW35" s="358">
        <f t="shared" ca="1" si="2"/>
        <v>0</v>
      </c>
      <c r="AX35" s="54"/>
      <c r="AY35" s="358">
        <f t="shared" ca="1" si="3"/>
        <v>0</v>
      </c>
      <c r="AZ35" s="54"/>
      <c r="BA35" s="358">
        <f t="shared" ca="1" si="4"/>
        <v>0</v>
      </c>
      <c r="BB35" s="54"/>
      <c r="BC35" s="358">
        <f t="shared" ca="1" si="5"/>
        <v>0</v>
      </c>
      <c r="BD35" s="54"/>
      <c r="BE35" s="358">
        <f t="shared" ca="1" si="6"/>
        <v>0</v>
      </c>
    </row>
    <row r="36" spans="1:57" s="10" customFormat="1">
      <c r="A36" s="1271" t="str">
        <f ca="1">PortfolioCFStatement!D759</f>
        <v>Space Planning &amp; Management</v>
      </c>
      <c r="B36" s="1464" t="str">
        <f>PortfolioCFStatement!E759</f>
        <v>2010$</v>
      </c>
      <c r="C36" s="1460">
        <f ca="1">PortfolioCFStatement!F759</f>
        <v>-268930.93544206338</v>
      </c>
      <c r="D36" s="358">
        <f ca="1">PortfolioCFStatement!G759</f>
        <v>0</v>
      </c>
      <c r="E36" s="358">
        <f ca="1">PortfolioCFStatement!H759</f>
        <v>-300000</v>
      </c>
      <c r="F36" s="358">
        <f ca="1">PortfolioCFStatement!I759</f>
        <v>0</v>
      </c>
      <c r="G36" s="358">
        <f ca="1">PortfolioCFStatement!J759</f>
        <v>0</v>
      </c>
      <c r="H36" s="358">
        <f ca="1">PortfolioCFStatement!K759</f>
        <v>0</v>
      </c>
      <c r="I36" s="358">
        <f ca="1">PortfolioCFStatement!L759</f>
        <v>0</v>
      </c>
      <c r="J36" s="358">
        <f ca="1">PortfolioCFStatement!M759</f>
        <v>0</v>
      </c>
      <c r="K36" s="358">
        <f ca="1">PortfolioCFStatement!N759</f>
        <v>0</v>
      </c>
      <c r="L36" s="358">
        <f ca="1">PortfolioCFStatement!O759</f>
        <v>0</v>
      </c>
      <c r="M36" s="358">
        <f ca="1">PortfolioCFStatement!P759</f>
        <v>0</v>
      </c>
      <c r="N36" s="358">
        <f ca="1">PortfolioCFStatement!Q759</f>
        <v>0</v>
      </c>
      <c r="O36" s="358">
        <f ca="1">PortfolioCFStatement!R759</f>
        <v>0</v>
      </c>
      <c r="P36" s="358">
        <f ca="1">PortfolioCFStatement!S759</f>
        <v>0</v>
      </c>
      <c r="Q36" s="358">
        <f ca="1">PortfolioCFStatement!T759</f>
        <v>0</v>
      </c>
      <c r="R36" s="358">
        <f ca="1">PortfolioCFStatement!U759</f>
        <v>0</v>
      </c>
      <c r="S36" s="358">
        <f ca="1">PortfolioCFStatement!V759</f>
        <v>0</v>
      </c>
      <c r="T36" s="358">
        <f ca="1">PortfolioCFStatement!W759</f>
        <v>0</v>
      </c>
      <c r="U36" s="358">
        <f ca="1">PortfolioCFStatement!X759</f>
        <v>0</v>
      </c>
      <c r="V36" s="358">
        <f ca="1">PortfolioCFStatement!Y759</f>
        <v>0</v>
      </c>
      <c r="W36" s="358">
        <f ca="1">PortfolioCFStatement!Z759</f>
        <v>0</v>
      </c>
      <c r="X36" s="358">
        <f ca="1">PortfolioCFStatement!AA759</f>
        <v>0</v>
      </c>
      <c r="Y36" s="358">
        <f ca="1">PortfolioCFStatement!AB759</f>
        <v>0</v>
      </c>
      <c r="Z36" s="358">
        <f ca="1">PortfolioCFStatement!AC759</f>
        <v>0</v>
      </c>
      <c r="AA36" s="358">
        <f ca="1">PortfolioCFStatement!AD759</f>
        <v>0</v>
      </c>
      <c r="AB36" s="358">
        <f ca="1">PortfolioCFStatement!AE759</f>
        <v>0</v>
      </c>
      <c r="AC36" s="358">
        <f ca="1">PortfolioCFStatement!AF759</f>
        <v>0</v>
      </c>
      <c r="AD36" s="358">
        <f ca="1">PortfolioCFStatement!AG759</f>
        <v>0</v>
      </c>
      <c r="AE36" s="358">
        <f ca="1">PortfolioCFStatement!AH759</f>
        <v>0</v>
      </c>
      <c r="AF36" s="358">
        <f ca="1">PortfolioCFStatement!AI759</f>
        <v>0</v>
      </c>
      <c r="AG36" s="358">
        <f ca="1">PortfolioCFStatement!AJ759</f>
        <v>0</v>
      </c>
      <c r="AH36" s="358">
        <f ca="1">PortfolioCFStatement!AK759</f>
        <v>0</v>
      </c>
      <c r="AI36" s="358">
        <f ca="1">PortfolioCFStatement!AL759</f>
        <v>0</v>
      </c>
      <c r="AJ36" s="358">
        <f ca="1">PortfolioCFStatement!AM759</f>
        <v>0</v>
      </c>
      <c r="AK36" s="358">
        <f ca="1">PortfolioCFStatement!AN759</f>
        <v>0</v>
      </c>
      <c r="AL36" s="358">
        <f ca="1">PortfolioCFStatement!AO759</f>
        <v>0</v>
      </c>
      <c r="AM36" s="358">
        <f ca="1">PortfolioCFStatement!AP759</f>
        <v>0</v>
      </c>
      <c r="AN36" s="358">
        <f ca="1">PortfolioCFStatement!AQ759</f>
        <v>0</v>
      </c>
      <c r="AO36" s="358">
        <f ca="1">PortfolioCFStatement!AR759</f>
        <v>0</v>
      </c>
      <c r="AP36" s="358">
        <f ca="1">PortfolioCFStatement!AS759</f>
        <v>0</v>
      </c>
      <c r="AQ36" s="358">
        <f ca="1">PortfolioCFStatement!AT759</f>
        <v>0</v>
      </c>
      <c r="AR36" s="358"/>
      <c r="AS36" s="358">
        <f t="shared" ca="1" si="0"/>
        <v>0</v>
      </c>
      <c r="AT36" s="54"/>
      <c r="AU36" s="358">
        <f t="shared" ca="1" si="1"/>
        <v>0</v>
      </c>
      <c r="AV36" s="54"/>
      <c r="AW36" s="358">
        <f t="shared" ca="1" si="2"/>
        <v>0</v>
      </c>
      <c r="AX36" s="54"/>
      <c r="AY36" s="358">
        <f t="shared" ca="1" si="3"/>
        <v>0</v>
      </c>
      <c r="AZ36" s="54"/>
      <c r="BA36" s="358">
        <f t="shared" ca="1" si="4"/>
        <v>0</v>
      </c>
      <c r="BB36" s="54"/>
      <c r="BC36" s="358">
        <f t="shared" ca="1" si="5"/>
        <v>0</v>
      </c>
      <c r="BD36" s="54"/>
      <c r="BE36" s="358">
        <f t="shared" ca="1" si="6"/>
        <v>0</v>
      </c>
    </row>
    <row r="37" spans="1:57" s="10" customFormat="1">
      <c r="A37" s="1271" t="str">
        <f ca="1">PortfolioCFStatement!D760</f>
        <v>Central Chiller Expansion</v>
      </c>
      <c r="B37" s="1464" t="str">
        <f>PortfolioCFStatement!E760</f>
        <v>2010$</v>
      </c>
      <c r="C37" s="1460">
        <f ca="1">PortfolioCFStatement!F760</f>
        <v>-9782110.2226704974</v>
      </c>
      <c r="D37" s="358">
        <f ca="1">PortfolioCFStatement!G760</f>
        <v>0</v>
      </c>
      <c r="E37" s="358">
        <f ca="1">PortfolioCFStatement!H760</f>
        <v>0</v>
      </c>
      <c r="F37" s="358">
        <f ca="1">PortfolioCFStatement!I760</f>
        <v>-147237.08240758628</v>
      </c>
      <c r="G37" s="358">
        <f ca="1">PortfolioCFStatement!J760</f>
        <v>-147237.08240758628</v>
      </c>
      <c r="H37" s="358">
        <f ca="1">PortfolioCFStatement!K760</f>
        <v>-347744.75162369892</v>
      </c>
      <c r="I37" s="358">
        <f ca="1">PortfolioCFStatement!L760</f>
        <v>-347744.75162369892</v>
      </c>
      <c r="J37" s="358">
        <f ca="1">PortfolioCFStatement!M760</f>
        <v>-1009198.2927315125</v>
      </c>
      <c r="K37" s="358">
        <f ca="1">PortfolioCFStatement!N760</f>
        <v>-1009198.2927315125</v>
      </c>
      <c r="L37" s="358">
        <f ca="1">PortfolioCFStatement!O760</f>
        <v>-1097496.393125867</v>
      </c>
      <c r="M37" s="358">
        <f ca="1">PortfolioCFStatement!P760</f>
        <v>-1097496.393125867</v>
      </c>
      <c r="N37" s="358">
        <f ca="1">PortfolioCFStatement!Q760</f>
        <v>-1097496.393125867</v>
      </c>
      <c r="O37" s="358">
        <f ca="1">PortfolioCFStatement!R760</f>
        <v>-1097496.393125867</v>
      </c>
      <c r="P37" s="358">
        <f ca="1">PortfolioCFStatement!S760</f>
        <v>-1097496.393125867</v>
      </c>
      <c r="Q37" s="358">
        <f ca="1">PortfolioCFStatement!T760</f>
        <v>-1097496.393125867</v>
      </c>
      <c r="R37" s="358">
        <f ca="1">PortfolioCFStatement!U760</f>
        <v>-1097496.393125867</v>
      </c>
      <c r="S37" s="358">
        <f ca="1">PortfolioCFStatement!V760</f>
        <v>-1097496.393125867</v>
      </c>
      <c r="T37" s="358">
        <f ca="1">PortfolioCFStatement!W760</f>
        <v>-1097496.393125867</v>
      </c>
      <c r="U37" s="358">
        <f ca="1">PortfolioCFStatement!X760</f>
        <v>-1097496.393125867</v>
      </c>
      <c r="V37" s="358">
        <f ca="1">PortfolioCFStatement!Y760</f>
        <v>-1097496.393125867</v>
      </c>
      <c r="W37" s="358">
        <f ca="1">PortfolioCFStatement!Z760</f>
        <v>-1097496.393125867</v>
      </c>
      <c r="X37" s="358">
        <f ca="1">PortfolioCFStatement!AA760</f>
        <v>-1097496.393125867</v>
      </c>
      <c r="Y37" s="358">
        <f ca="1">PortfolioCFStatement!AB760</f>
        <v>-1097496.393125867</v>
      </c>
      <c r="Z37" s="358">
        <f ca="1">PortfolioCFStatement!AC760</f>
        <v>-950259.31071828073</v>
      </c>
      <c r="AA37" s="358">
        <f ca="1">PortfolioCFStatement!AD760</f>
        <v>-950259.31071828073</v>
      </c>
      <c r="AB37" s="358">
        <f ca="1">PortfolioCFStatement!AE760</f>
        <v>-749751.64150216815</v>
      </c>
      <c r="AC37" s="358">
        <f ca="1">PortfolioCFStatement!AF760</f>
        <v>-749751.64150216815</v>
      </c>
      <c r="AD37" s="358">
        <f ca="1">PortfolioCFStatement!AG760</f>
        <v>-88298.100394354595</v>
      </c>
      <c r="AE37" s="358">
        <f ca="1">PortfolioCFStatement!AH760</f>
        <v>-88298.100394354595</v>
      </c>
      <c r="AF37" s="358">
        <f ca="1">PortfolioCFStatement!AI760</f>
        <v>0</v>
      </c>
      <c r="AG37" s="358">
        <f ca="1">PortfolioCFStatement!AJ760</f>
        <v>0</v>
      </c>
      <c r="AH37" s="358">
        <f ca="1">PortfolioCFStatement!AK760</f>
        <v>0</v>
      </c>
      <c r="AI37" s="358">
        <f ca="1">PortfolioCFStatement!AL760</f>
        <v>0</v>
      </c>
      <c r="AJ37" s="358">
        <f ca="1">PortfolioCFStatement!AM760</f>
        <v>0</v>
      </c>
      <c r="AK37" s="358">
        <f ca="1">PortfolioCFStatement!AN760</f>
        <v>0</v>
      </c>
      <c r="AL37" s="358">
        <f ca="1">PortfolioCFStatement!AO760</f>
        <v>0</v>
      </c>
      <c r="AM37" s="358">
        <f ca="1">PortfolioCFStatement!AP760</f>
        <v>0</v>
      </c>
      <c r="AN37" s="358">
        <f ca="1">PortfolioCFStatement!AQ760</f>
        <v>0</v>
      </c>
      <c r="AO37" s="358">
        <f ca="1">PortfolioCFStatement!AR760</f>
        <v>0</v>
      </c>
      <c r="AP37" s="358">
        <f ca="1">PortfolioCFStatement!AS760</f>
        <v>0</v>
      </c>
      <c r="AQ37" s="358">
        <f ca="1">PortfolioCFStatement!AT760</f>
        <v>0</v>
      </c>
      <c r="AR37" s="358"/>
      <c r="AS37" s="358">
        <f t="shared" ca="1" si="0"/>
        <v>-4561134.1233384572</v>
      </c>
      <c r="AT37" s="54"/>
      <c r="AU37" s="358">
        <f t="shared" ca="1" si="1"/>
        <v>-5487481.9656293355</v>
      </c>
      <c r="AV37" s="54"/>
      <c r="AW37" s="358">
        <f t="shared" ca="1" si="2"/>
        <v>-5487481.9656293355</v>
      </c>
      <c r="AX37" s="54"/>
      <c r="AY37" s="358">
        <f t="shared" ca="1" si="3"/>
        <v>-4845263.0491904635</v>
      </c>
      <c r="AZ37" s="54"/>
      <c r="BA37" s="358">
        <f t="shared" ca="1" si="4"/>
        <v>-926347.84229087725</v>
      </c>
      <c r="BB37" s="54"/>
      <c r="BC37" s="358">
        <f t="shared" ca="1" si="5"/>
        <v>0</v>
      </c>
      <c r="BD37" s="54"/>
      <c r="BE37" s="358">
        <f t="shared" ca="1" si="6"/>
        <v>0</v>
      </c>
    </row>
    <row r="38" spans="1:57" s="10" customFormat="1">
      <c r="A38" s="1271" t="str">
        <f ca="1">PortfolioCFStatement!D761</f>
        <v>Short-term Energy Conservation Measures</v>
      </c>
      <c r="B38" s="1464" t="str">
        <f>PortfolioCFStatement!E761</f>
        <v>2010$</v>
      </c>
      <c r="C38" s="1460">
        <f ca="1">PortfolioCFStatement!F761</f>
        <v>0</v>
      </c>
      <c r="D38" s="358">
        <f ca="1">PortfolioCFStatement!G761</f>
        <v>0</v>
      </c>
      <c r="E38" s="358">
        <f ca="1">PortfolioCFStatement!H761</f>
        <v>0</v>
      </c>
      <c r="F38" s="358">
        <f ca="1">PortfolioCFStatement!I761</f>
        <v>0</v>
      </c>
      <c r="G38" s="358">
        <f ca="1">PortfolioCFStatement!J761</f>
        <v>0</v>
      </c>
      <c r="H38" s="358">
        <f ca="1">PortfolioCFStatement!K761</f>
        <v>0</v>
      </c>
      <c r="I38" s="358">
        <f ca="1">PortfolioCFStatement!L761</f>
        <v>0</v>
      </c>
      <c r="J38" s="358">
        <f ca="1">PortfolioCFStatement!M761</f>
        <v>0</v>
      </c>
      <c r="K38" s="358">
        <f ca="1">PortfolioCFStatement!N761</f>
        <v>0</v>
      </c>
      <c r="L38" s="358">
        <f ca="1">PortfolioCFStatement!O761</f>
        <v>0</v>
      </c>
      <c r="M38" s="358">
        <f ca="1">PortfolioCFStatement!P761</f>
        <v>0</v>
      </c>
      <c r="N38" s="358">
        <f ca="1">PortfolioCFStatement!Q761</f>
        <v>0</v>
      </c>
      <c r="O38" s="358">
        <f ca="1">PortfolioCFStatement!R761</f>
        <v>0</v>
      </c>
      <c r="P38" s="358">
        <f ca="1">PortfolioCFStatement!S761</f>
        <v>0</v>
      </c>
      <c r="Q38" s="358">
        <f ca="1">PortfolioCFStatement!T761</f>
        <v>0</v>
      </c>
      <c r="R38" s="358">
        <f ca="1">PortfolioCFStatement!U761</f>
        <v>0</v>
      </c>
      <c r="S38" s="358">
        <f ca="1">PortfolioCFStatement!V761</f>
        <v>0</v>
      </c>
      <c r="T38" s="358">
        <f ca="1">PortfolioCFStatement!W761</f>
        <v>0</v>
      </c>
      <c r="U38" s="358">
        <f ca="1">PortfolioCFStatement!X761</f>
        <v>0</v>
      </c>
      <c r="V38" s="358">
        <f ca="1">PortfolioCFStatement!Y761</f>
        <v>0</v>
      </c>
      <c r="W38" s="358">
        <f ca="1">PortfolioCFStatement!Z761</f>
        <v>0</v>
      </c>
      <c r="X38" s="358">
        <f ca="1">PortfolioCFStatement!AA761</f>
        <v>0</v>
      </c>
      <c r="Y38" s="358">
        <f ca="1">PortfolioCFStatement!AB761</f>
        <v>0</v>
      </c>
      <c r="Z38" s="358">
        <f ca="1">PortfolioCFStatement!AC761</f>
        <v>0</v>
      </c>
      <c r="AA38" s="358">
        <f ca="1">PortfolioCFStatement!AD761</f>
        <v>0</v>
      </c>
      <c r="AB38" s="358">
        <f ca="1">PortfolioCFStatement!AE761</f>
        <v>0</v>
      </c>
      <c r="AC38" s="358">
        <f ca="1">PortfolioCFStatement!AF761</f>
        <v>0</v>
      </c>
      <c r="AD38" s="358">
        <f ca="1">PortfolioCFStatement!AG761</f>
        <v>0</v>
      </c>
      <c r="AE38" s="358">
        <f ca="1">PortfolioCFStatement!AH761</f>
        <v>0</v>
      </c>
      <c r="AF38" s="358">
        <f ca="1">PortfolioCFStatement!AI761</f>
        <v>0</v>
      </c>
      <c r="AG38" s="358">
        <f ca="1">PortfolioCFStatement!AJ761</f>
        <v>0</v>
      </c>
      <c r="AH38" s="358">
        <f ca="1">PortfolioCFStatement!AK761</f>
        <v>0</v>
      </c>
      <c r="AI38" s="358">
        <f ca="1">PortfolioCFStatement!AL761</f>
        <v>0</v>
      </c>
      <c r="AJ38" s="358">
        <f ca="1">PortfolioCFStatement!AM761</f>
        <v>0</v>
      </c>
      <c r="AK38" s="358">
        <f ca="1">PortfolioCFStatement!AN761</f>
        <v>0</v>
      </c>
      <c r="AL38" s="358">
        <f ca="1">PortfolioCFStatement!AO761</f>
        <v>0</v>
      </c>
      <c r="AM38" s="358">
        <f ca="1">PortfolioCFStatement!AP761</f>
        <v>0</v>
      </c>
      <c r="AN38" s="358">
        <f ca="1">PortfolioCFStatement!AQ761</f>
        <v>0</v>
      </c>
      <c r="AO38" s="358">
        <f ca="1">PortfolioCFStatement!AR761</f>
        <v>0</v>
      </c>
      <c r="AP38" s="358">
        <f ca="1">PortfolioCFStatement!AS761</f>
        <v>0</v>
      </c>
      <c r="AQ38" s="358">
        <f ca="1">PortfolioCFStatement!AT761</f>
        <v>0</v>
      </c>
      <c r="AR38" s="358"/>
      <c r="AS38" s="358">
        <f t="shared" ca="1" si="0"/>
        <v>0</v>
      </c>
      <c r="AT38" s="54"/>
      <c r="AU38" s="358">
        <f t="shared" ca="1" si="1"/>
        <v>0</v>
      </c>
      <c r="AV38" s="54"/>
      <c r="AW38" s="358">
        <f t="shared" ca="1" si="2"/>
        <v>0</v>
      </c>
      <c r="AX38" s="54"/>
      <c r="AY38" s="358">
        <f t="shared" ca="1" si="3"/>
        <v>0</v>
      </c>
      <c r="AZ38" s="54"/>
      <c r="BA38" s="358">
        <f t="shared" ca="1" si="4"/>
        <v>0</v>
      </c>
      <c r="BB38" s="54"/>
      <c r="BC38" s="358">
        <f t="shared" ca="1" si="5"/>
        <v>0</v>
      </c>
      <c r="BD38" s="54"/>
      <c r="BE38" s="358">
        <f t="shared" ca="1" si="6"/>
        <v>0</v>
      </c>
    </row>
    <row r="39" spans="1:57" s="10" customFormat="1">
      <c r="A39" s="1271" t="str">
        <f ca="1">PortfolioCFStatement!D762</f>
        <v>Mid-term Energy Conservation Measures</v>
      </c>
      <c r="B39" s="1464" t="str">
        <f>PortfolioCFStatement!E762</f>
        <v>2010$</v>
      </c>
      <c r="C39" s="1460">
        <f ca="1">PortfolioCFStatement!F762</f>
        <v>0</v>
      </c>
      <c r="D39" s="358">
        <f ca="1">PortfolioCFStatement!G762</f>
        <v>0</v>
      </c>
      <c r="E39" s="358">
        <f ca="1">PortfolioCFStatement!H762</f>
        <v>0</v>
      </c>
      <c r="F39" s="358">
        <f ca="1">PortfolioCFStatement!I762</f>
        <v>0</v>
      </c>
      <c r="G39" s="358">
        <f ca="1">PortfolioCFStatement!J762</f>
        <v>0</v>
      </c>
      <c r="H39" s="358">
        <f ca="1">PortfolioCFStatement!K762</f>
        <v>0</v>
      </c>
      <c r="I39" s="358">
        <f ca="1">PortfolioCFStatement!L762</f>
        <v>0</v>
      </c>
      <c r="J39" s="358">
        <f ca="1">PortfolioCFStatement!M762</f>
        <v>0</v>
      </c>
      <c r="K39" s="358">
        <f ca="1">PortfolioCFStatement!N762</f>
        <v>0</v>
      </c>
      <c r="L39" s="358">
        <f ca="1">PortfolioCFStatement!O762</f>
        <v>0</v>
      </c>
      <c r="M39" s="358">
        <f ca="1">PortfolioCFStatement!P762</f>
        <v>0</v>
      </c>
      <c r="N39" s="358">
        <f ca="1">PortfolioCFStatement!Q762</f>
        <v>0</v>
      </c>
      <c r="O39" s="358">
        <f ca="1">PortfolioCFStatement!R762</f>
        <v>0</v>
      </c>
      <c r="P39" s="358">
        <f ca="1">PortfolioCFStatement!S762</f>
        <v>0</v>
      </c>
      <c r="Q39" s="358">
        <f ca="1">PortfolioCFStatement!T762</f>
        <v>0</v>
      </c>
      <c r="R39" s="358">
        <f ca="1">PortfolioCFStatement!U762</f>
        <v>0</v>
      </c>
      <c r="S39" s="358">
        <f ca="1">PortfolioCFStatement!V762</f>
        <v>0</v>
      </c>
      <c r="T39" s="358">
        <f ca="1">PortfolioCFStatement!W762</f>
        <v>0</v>
      </c>
      <c r="U39" s="358">
        <f ca="1">PortfolioCFStatement!X762</f>
        <v>0</v>
      </c>
      <c r="V39" s="358">
        <f ca="1">PortfolioCFStatement!Y762</f>
        <v>0</v>
      </c>
      <c r="W39" s="358">
        <f ca="1">PortfolioCFStatement!Z762</f>
        <v>0</v>
      </c>
      <c r="X39" s="358">
        <f ca="1">PortfolioCFStatement!AA762</f>
        <v>0</v>
      </c>
      <c r="Y39" s="358">
        <f ca="1">PortfolioCFStatement!AB762</f>
        <v>0</v>
      </c>
      <c r="Z39" s="358">
        <f ca="1">PortfolioCFStatement!AC762</f>
        <v>0</v>
      </c>
      <c r="AA39" s="358">
        <f ca="1">PortfolioCFStatement!AD762</f>
        <v>0</v>
      </c>
      <c r="AB39" s="358">
        <f ca="1">PortfolioCFStatement!AE762</f>
        <v>0</v>
      </c>
      <c r="AC39" s="358">
        <f ca="1">PortfolioCFStatement!AF762</f>
        <v>0</v>
      </c>
      <c r="AD39" s="358">
        <f ca="1">PortfolioCFStatement!AG762</f>
        <v>0</v>
      </c>
      <c r="AE39" s="358">
        <f ca="1">PortfolioCFStatement!AH762</f>
        <v>0</v>
      </c>
      <c r="AF39" s="358">
        <f ca="1">PortfolioCFStatement!AI762</f>
        <v>0</v>
      </c>
      <c r="AG39" s="358">
        <f ca="1">PortfolioCFStatement!AJ762</f>
        <v>0</v>
      </c>
      <c r="AH39" s="358">
        <f ca="1">PortfolioCFStatement!AK762</f>
        <v>0</v>
      </c>
      <c r="AI39" s="358">
        <f ca="1">PortfolioCFStatement!AL762</f>
        <v>0</v>
      </c>
      <c r="AJ39" s="358">
        <f ca="1">PortfolioCFStatement!AM762</f>
        <v>0</v>
      </c>
      <c r="AK39" s="358">
        <f ca="1">PortfolioCFStatement!AN762</f>
        <v>0</v>
      </c>
      <c r="AL39" s="358">
        <f ca="1">PortfolioCFStatement!AO762</f>
        <v>0</v>
      </c>
      <c r="AM39" s="358">
        <f ca="1">PortfolioCFStatement!AP762</f>
        <v>0</v>
      </c>
      <c r="AN39" s="358">
        <f ca="1">PortfolioCFStatement!AQ762</f>
        <v>0</v>
      </c>
      <c r="AO39" s="358">
        <f ca="1">PortfolioCFStatement!AR762</f>
        <v>0</v>
      </c>
      <c r="AP39" s="358">
        <f ca="1">PortfolioCFStatement!AS762</f>
        <v>0</v>
      </c>
      <c r="AQ39" s="358">
        <f ca="1">PortfolioCFStatement!AT762</f>
        <v>0</v>
      </c>
      <c r="AR39" s="358"/>
      <c r="AS39" s="358">
        <f t="shared" ca="1" si="0"/>
        <v>0</v>
      </c>
      <c r="AT39" s="54"/>
      <c r="AU39" s="358">
        <f t="shared" ca="1" si="1"/>
        <v>0</v>
      </c>
      <c r="AV39" s="54"/>
      <c r="AW39" s="358">
        <f t="shared" ca="1" si="2"/>
        <v>0</v>
      </c>
      <c r="AX39" s="54"/>
      <c r="AY39" s="358">
        <f t="shared" ca="1" si="3"/>
        <v>0</v>
      </c>
      <c r="AZ39" s="54"/>
      <c r="BA39" s="358">
        <f t="shared" ca="1" si="4"/>
        <v>0</v>
      </c>
      <c r="BB39" s="54"/>
      <c r="BC39" s="358">
        <f t="shared" ca="1" si="5"/>
        <v>0</v>
      </c>
      <c r="BD39" s="54"/>
      <c r="BE39" s="358">
        <f t="shared" ca="1" si="6"/>
        <v>0</v>
      </c>
    </row>
    <row r="40" spans="1:57" s="10" customFormat="1">
      <c r="A40" s="1271" t="str">
        <f ca="1">PortfolioCFStatement!D763</f>
        <v>Long-term Energy Conservation Measures</v>
      </c>
      <c r="B40" s="1464" t="str">
        <f>PortfolioCFStatement!E763</f>
        <v>2010$</v>
      </c>
      <c r="C40" s="1460">
        <f ca="1">PortfolioCFStatement!F763</f>
        <v>0</v>
      </c>
      <c r="D40" s="358">
        <f ca="1">PortfolioCFStatement!G763</f>
        <v>0</v>
      </c>
      <c r="E40" s="358">
        <f ca="1">PortfolioCFStatement!H763</f>
        <v>0</v>
      </c>
      <c r="F40" s="358">
        <f ca="1">PortfolioCFStatement!I763</f>
        <v>0</v>
      </c>
      <c r="G40" s="358">
        <f ca="1">PortfolioCFStatement!J763</f>
        <v>0</v>
      </c>
      <c r="H40" s="358">
        <f ca="1">PortfolioCFStatement!K763</f>
        <v>0</v>
      </c>
      <c r="I40" s="358">
        <f ca="1">PortfolioCFStatement!L763</f>
        <v>0</v>
      </c>
      <c r="J40" s="358">
        <f ca="1">PortfolioCFStatement!M763</f>
        <v>0</v>
      </c>
      <c r="K40" s="358">
        <f ca="1">PortfolioCFStatement!N763</f>
        <v>0</v>
      </c>
      <c r="L40" s="358">
        <f ca="1">PortfolioCFStatement!O763</f>
        <v>0</v>
      </c>
      <c r="M40" s="358">
        <f ca="1">PortfolioCFStatement!P763</f>
        <v>0</v>
      </c>
      <c r="N40" s="358">
        <f ca="1">PortfolioCFStatement!Q763</f>
        <v>0</v>
      </c>
      <c r="O40" s="358">
        <f ca="1">PortfolioCFStatement!R763</f>
        <v>0</v>
      </c>
      <c r="P40" s="358">
        <f ca="1">PortfolioCFStatement!S763</f>
        <v>0</v>
      </c>
      <c r="Q40" s="358">
        <f ca="1">PortfolioCFStatement!T763</f>
        <v>0</v>
      </c>
      <c r="R40" s="358">
        <f ca="1">PortfolioCFStatement!U763</f>
        <v>0</v>
      </c>
      <c r="S40" s="358">
        <f ca="1">PortfolioCFStatement!V763</f>
        <v>0</v>
      </c>
      <c r="T40" s="358">
        <f ca="1">PortfolioCFStatement!W763</f>
        <v>0</v>
      </c>
      <c r="U40" s="358">
        <f ca="1">PortfolioCFStatement!X763</f>
        <v>0</v>
      </c>
      <c r="V40" s="358">
        <f ca="1">PortfolioCFStatement!Y763</f>
        <v>0</v>
      </c>
      <c r="W40" s="358">
        <f ca="1">PortfolioCFStatement!Z763</f>
        <v>0</v>
      </c>
      <c r="X40" s="358">
        <f ca="1">PortfolioCFStatement!AA763</f>
        <v>0</v>
      </c>
      <c r="Y40" s="358">
        <f ca="1">PortfolioCFStatement!AB763</f>
        <v>0</v>
      </c>
      <c r="Z40" s="358">
        <f ca="1">PortfolioCFStatement!AC763</f>
        <v>0</v>
      </c>
      <c r="AA40" s="358">
        <f ca="1">PortfolioCFStatement!AD763</f>
        <v>0</v>
      </c>
      <c r="AB40" s="358">
        <f ca="1">PortfolioCFStatement!AE763</f>
        <v>0</v>
      </c>
      <c r="AC40" s="358">
        <f ca="1">PortfolioCFStatement!AF763</f>
        <v>0</v>
      </c>
      <c r="AD40" s="358">
        <f ca="1">PortfolioCFStatement!AG763</f>
        <v>0</v>
      </c>
      <c r="AE40" s="358">
        <f ca="1">PortfolioCFStatement!AH763</f>
        <v>0</v>
      </c>
      <c r="AF40" s="358">
        <f ca="1">PortfolioCFStatement!AI763</f>
        <v>0</v>
      </c>
      <c r="AG40" s="358">
        <f ca="1">PortfolioCFStatement!AJ763</f>
        <v>0</v>
      </c>
      <c r="AH40" s="358">
        <f ca="1">PortfolioCFStatement!AK763</f>
        <v>0</v>
      </c>
      <c r="AI40" s="358">
        <f ca="1">PortfolioCFStatement!AL763</f>
        <v>0</v>
      </c>
      <c r="AJ40" s="358">
        <f ca="1">PortfolioCFStatement!AM763</f>
        <v>0</v>
      </c>
      <c r="AK40" s="358">
        <f ca="1">PortfolioCFStatement!AN763</f>
        <v>0</v>
      </c>
      <c r="AL40" s="358">
        <f ca="1">PortfolioCFStatement!AO763</f>
        <v>0</v>
      </c>
      <c r="AM40" s="358">
        <f ca="1">PortfolioCFStatement!AP763</f>
        <v>0</v>
      </c>
      <c r="AN40" s="358">
        <f ca="1">PortfolioCFStatement!AQ763</f>
        <v>0</v>
      </c>
      <c r="AO40" s="358">
        <f ca="1">PortfolioCFStatement!AR763</f>
        <v>0</v>
      </c>
      <c r="AP40" s="358">
        <f ca="1">PortfolioCFStatement!AS763</f>
        <v>0</v>
      </c>
      <c r="AQ40" s="358">
        <f ca="1">PortfolioCFStatement!AT763</f>
        <v>0</v>
      </c>
      <c r="AR40" s="358"/>
      <c r="AS40" s="358">
        <f t="shared" ca="1" si="0"/>
        <v>0</v>
      </c>
      <c r="AT40" s="54"/>
      <c r="AU40" s="358">
        <f t="shared" ca="1" si="1"/>
        <v>0</v>
      </c>
      <c r="AV40" s="54"/>
      <c r="AW40" s="358">
        <f t="shared" ca="1" si="2"/>
        <v>0</v>
      </c>
      <c r="AX40" s="54"/>
      <c r="AY40" s="358">
        <f t="shared" ca="1" si="3"/>
        <v>0</v>
      </c>
      <c r="AZ40" s="54"/>
      <c r="BA40" s="358">
        <f t="shared" ca="1" si="4"/>
        <v>0</v>
      </c>
      <c r="BB40" s="54"/>
      <c r="BC40" s="358">
        <f t="shared" ca="1" si="5"/>
        <v>0</v>
      </c>
      <c r="BD40" s="54"/>
      <c r="BE40" s="358">
        <f t="shared" ca="1" si="6"/>
        <v>0</v>
      </c>
    </row>
    <row r="41" spans="1:57" s="10" customFormat="1">
      <c r="A41" s="1271" t="str">
        <f ca="1">PortfolioCFStatement!D764</f>
        <v>Green IT</v>
      </c>
      <c r="B41" s="1464" t="str">
        <f>PortfolioCFStatement!E764</f>
        <v>2010$</v>
      </c>
      <c r="C41" s="1460">
        <f ca="1">PortfolioCFStatement!F764</f>
        <v>-275571.08849616675</v>
      </c>
      <c r="D41" s="358">
        <f ca="1">PortfolioCFStatement!G764</f>
        <v>0</v>
      </c>
      <c r="E41" s="358">
        <f ca="1">PortfolioCFStatement!H764</f>
        <v>0</v>
      </c>
      <c r="F41" s="358">
        <f ca="1">PortfolioCFStatement!I764</f>
        <v>-7000</v>
      </c>
      <c r="G41" s="358">
        <f ca="1">PortfolioCFStatement!J764</f>
        <v>-14000</v>
      </c>
      <c r="H41" s="358">
        <f ca="1">PortfolioCFStatement!K764</f>
        <v>-21000</v>
      </c>
      <c r="I41" s="358">
        <f ca="1">PortfolioCFStatement!L764</f>
        <v>-21000</v>
      </c>
      <c r="J41" s="358">
        <f ca="1">PortfolioCFStatement!M764</f>
        <v>-21000</v>
      </c>
      <c r="K41" s="358">
        <f ca="1">PortfolioCFStatement!N764</f>
        <v>-21000</v>
      </c>
      <c r="L41" s="358">
        <f ca="1">PortfolioCFStatement!O764</f>
        <v>-21000</v>
      </c>
      <c r="M41" s="358">
        <f ca="1">PortfolioCFStatement!P764</f>
        <v>-21000</v>
      </c>
      <c r="N41" s="358">
        <f ca="1">PortfolioCFStatement!Q764</f>
        <v>-21000</v>
      </c>
      <c r="O41" s="358">
        <f ca="1">PortfolioCFStatement!R764</f>
        <v>-21000</v>
      </c>
      <c r="P41" s="358">
        <f ca="1">PortfolioCFStatement!S764</f>
        <v>-21000</v>
      </c>
      <c r="Q41" s="358">
        <f ca="1">PortfolioCFStatement!T764</f>
        <v>-21000</v>
      </c>
      <c r="R41" s="358">
        <f ca="1">PortfolioCFStatement!U764</f>
        <v>-21000</v>
      </c>
      <c r="S41" s="358">
        <f ca="1">PortfolioCFStatement!V764</f>
        <v>-21000</v>
      </c>
      <c r="T41" s="358">
        <f ca="1">PortfolioCFStatement!W764</f>
        <v>-21000</v>
      </c>
      <c r="U41" s="358">
        <f ca="1">PortfolioCFStatement!X764</f>
        <v>-21000</v>
      </c>
      <c r="V41" s="358">
        <f ca="1">PortfolioCFStatement!Y764</f>
        <v>-21000</v>
      </c>
      <c r="W41" s="358">
        <f ca="1">PortfolioCFStatement!Z764</f>
        <v>-21000</v>
      </c>
      <c r="X41" s="358">
        <f ca="1">PortfolioCFStatement!AA764</f>
        <v>-21000</v>
      </c>
      <c r="Y41" s="358">
        <f ca="1">PortfolioCFStatement!AB764</f>
        <v>-21000</v>
      </c>
      <c r="Z41" s="358">
        <f ca="1">PortfolioCFStatement!AC764</f>
        <v>-21000</v>
      </c>
      <c r="AA41" s="358">
        <f ca="1">PortfolioCFStatement!AD764</f>
        <v>-21000</v>
      </c>
      <c r="AB41" s="358">
        <f ca="1">PortfolioCFStatement!AE764</f>
        <v>-21000</v>
      </c>
      <c r="AC41" s="358">
        <f ca="1">PortfolioCFStatement!AF764</f>
        <v>-21000</v>
      </c>
      <c r="AD41" s="358">
        <f ca="1">PortfolioCFStatement!AG764</f>
        <v>-21000</v>
      </c>
      <c r="AE41" s="358">
        <f ca="1">PortfolioCFStatement!AH764</f>
        <v>-21000</v>
      </c>
      <c r="AF41" s="358">
        <f ca="1">PortfolioCFStatement!AI764</f>
        <v>-21000</v>
      </c>
      <c r="AG41" s="358">
        <f ca="1">PortfolioCFStatement!AJ764</f>
        <v>-21000</v>
      </c>
      <c r="AH41" s="358">
        <f ca="1">PortfolioCFStatement!AK764</f>
        <v>-21000</v>
      </c>
      <c r="AI41" s="358">
        <f ca="1">PortfolioCFStatement!AL764</f>
        <v>-21000</v>
      </c>
      <c r="AJ41" s="358">
        <f ca="1">PortfolioCFStatement!AM764</f>
        <v>-21000</v>
      </c>
      <c r="AK41" s="358">
        <f ca="1">PortfolioCFStatement!AN764</f>
        <v>-21000</v>
      </c>
      <c r="AL41" s="358">
        <f ca="1">PortfolioCFStatement!AO764</f>
        <v>-21000</v>
      </c>
      <c r="AM41" s="358">
        <f ca="1">PortfolioCFStatement!AP764</f>
        <v>-21000</v>
      </c>
      <c r="AN41" s="358">
        <f ca="1">PortfolioCFStatement!AQ764</f>
        <v>-21000</v>
      </c>
      <c r="AO41" s="358">
        <f ca="1">PortfolioCFStatement!AR764</f>
        <v>-21000</v>
      </c>
      <c r="AP41" s="358">
        <f ca="1">PortfolioCFStatement!AS764</f>
        <v>-21000</v>
      </c>
      <c r="AQ41" s="358">
        <f ca="1">PortfolioCFStatement!AT764</f>
        <v>-21000</v>
      </c>
      <c r="AR41" s="358"/>
      <c r="AS41" s="358">
        <f t="shared" ca="1" si="0"/>
        <v>-105000</v>
      </c>
      <c r="AT41" s="54"/>
      <c r="AU41" s="358">
        <f t="shared" ca="1" si="1"/>
        <v>-105000</v>
      </c>
      <c r="AV41" s="54"/>
      <c r="AW41" s="358">
        <f t="shared" ca="1" si="2"/>
        <v>-105000</v>
      </c>
      <c r="AX41" s="54"/>
      <c r="AY41" s="358">
        <f t="shared" ca="1" si="3"/>
        <v>-105000</v>
      </c>
      <c r="AZ41" s="54"/>
      <c r="BA41" s="358">
        <f t="shared" ca="1" si="4"/>
        <v>-105000</v>
      </c>
      <c r="BB41" s="54"/>
      <c r="BC41" s="358">
        <f t="shared" ca="1" si="5"/>
        <v>-105000</v>
      </c>
      <c r="BD41" s="54"/>
      <c r="BE41" s="358">
        <f t="shared" ca="1" si="6"/>
        <v>-105000</v>
      </c>
    </row>
    <row r="42" spans="1:57" s="10" customFormat="1">
      <c r="A42" s="1271" t="str">
        <f ca="1">PortfolioCFStatement!D765</f>
        <v>Reduced Air Travel</v>
      </c>
      <c r="B42" s="1464" t="str">
        <f>PortfolioCFStatement!E765</f>
        <v>2010$</v>
      </c>
      <c r="C42" s="1460">
        <f ca="1">PortfolioCFStatement!F765</f>
        <v>0</v>
      </c>
      <c r="D42" s="358">
        <f ca="1">PortfolioCFStatement!G765</f>
        <v>0</v>
      </c>
      <c r="E42" s="358">
        <f ca="1">PortfolioCFStatement!H765</f>
        <v>0</v>
      </c>
      <c r="F42" s="358">
        <f ca="1">PortfolioCFStatement!I765</f>
        <v>0</v>
      </c>
      <c r="G42" s="358">
        <f ca="1">PortfolioCFStatement!J765</f>
        <v>0</v>
      </c>
      <c r="H42" s="358">
        <f ca="1">PortfolioCFStatement!K765</f>
        <v>0</v>
      </c>
      <c r="I42" s="358">
        <f ca="1">PortfolioCFStatement!L765</f>
        <v>0</v>
      </c>
      <c r="J42" s="358">
        <f ca="1">PortfolioCFStatement!M765</f>
        <v>0</v>
      </c>
      <c r="K42" s="358">
        <f ca="1">PortfolioCFStatement!N765</f>
        <v>0</v>
      </c>
      <c r="L42" s="358">
        <f ca="1">PortfolioCFStatement!O765</f>
        <v>0</v>
      </c>
      <c r="M42" s="358">
        <f ca="1">PortfolioCFStatement!P765</f>
        <v>0</v>
      </c>
      <c r="N42" s="358">
        <f ca="1">PortfolioCFStatement!Q765</f>
        <v>0</v>
      </c>
      <c r="O42" s="358">
        <f ca="1">PortfolioCFStatement!R765</f>
        <v>0</v>
      </c>
      <c r="P42" s="358">
        <f ca="1">PortfolioCFStatement!S765</f>
        <v>0</v>
      </c>
      <c r="Q42" s="358">
        <f ca="1">PortfolioCFStatement!T765</f>
        <v>0</v>
      </c>
      <c r="R42" s="358">
        <f ca="1">PortfolioCFStatement!U765</f>
        <v>0</v>
      </c>
      <c r="S42" s="358">
        <f ca="1">PortfolioCFStatement!V765</f>
        <v>0</v>
      </c>
      <c r="T42" s="358">
        <f ca="1">PortfolioCFStatement!W765</f>
        <v>0</v>
      </c>
      <c r="U42" s="358">
        <f ca="1">PortfolioCFStatement!X765</f>
        <v>0</v>
      </c>
      <c r="V42" s="358">
        <f ca="1">PortfolioCFStatement!Y765</f>
        <v>0</v>
      </c>
      <c r="W42" s="358">
        <f ca="1">PortfolioCFStatement!Z765</f>
        <v>0</v>
      </c>
      <c r="X42" s="358">
        <f ca="1">PortfolioCFStatement!AA765</f>
        <v>0</v>
      </c>
      <c r="Y42" s="358">
        <f ca="1">PortfolioCFStatement!AB765</f>
        <v>0</v>
      </c>
      <c r="Z42" s="358">
        <f ca="1">PortfolioCFStatement!AC765</f>
        <v>0</v>
      </c>
      <c r="AA42" s="358">
        <f ca="1">PortfolioCFStatement!AD765</f>
        <v>0</v>
      </c>
      <c r="AB42" s="358">
        <f ca="1">PortfolioCFStatement!AE765</f>
        <v>0</v>
      </c>
      <c r="AC42" s="358">
        <f ca="1">PortfolioCFStatement!AF765</f>
        <v>0</v>
      </c>
      <c r="AD42" s="358">
        <f ca="1">PortfolioCFStatement!AG765</f>
        <v>0</v>
      </c>
      <c r="AE42" s="358">
        <f ca="1">PortfolioCFStatement!AH765</f>
        <v>0</v>
      </c>
      <c r="AF42" s="358">
        <f ca="1">PortfolioCFStatement!AI765</f>
        <v>0</v>
      </c>
      <c r="AG42" s="358">
        <f ca="1">PortfolioCFStatement!AJ765</f>
        <v>0</v>
      </c>
      <c r="AH42" s="358">
        <f ca="1">PortfolioCFStatement!AK765</f>
        <v>0</v>
      </c>
      <c r="AI42" s="358">
        <f ca="1">PortfolioCFStatement!AL765</f>
        <v>0</v>
      </c>
      <c r="AJ42" s="358">
        <f ca="1">PortfolioCFStatement!AM765</f>
        <v>0</v>
      </c>
      <c r="AK42" s="358">
        <f ca="1">PortfolioCFStatement!AN765</f>
        <v>0</v>
      </c>
      <c r="AL42" s="358">
        <f ca="1">PortfolioCFStatement!AO765</f>
        <v>0</v>
      </c>
      <c r="AM42" s="358">
        <f ca="1">PortfolioCFStatement!AP765</f>
        <v>0</v>
      </c>
      <c r="AN42" s="358">
        <f ca="1">PortfolioCFStatement!AQ765</f>
        <v>0</v>
      </c>
      <c r="AO42" s="358">
        <f ca="1">PortfolioCFStatement!AR765</f>
        <v>0</v>
      </c>
      <c r="AP42" s="358">
        <f ca="1">PortfolioCFStatement!AS765</f>
        <v>0</v>
      </c>
      <c r="AQ42" s="358">
        <f ca="1">PortfolioCFStatement!AT765</f>
        <v>0</v>
      </c>
      <c r="AR42" s="358"/>
      <c r="AS42" s="358">
        <f t="shared" ca="1" si="0"/>
        <v>0</v>
      </c>
      <c r="AT42" s="54"/>
      <c r="AU42" s="358">
        <f t="shared" ca="1" si="1"/>
        <v>0</v>
      </c>
      <c r="AV42" s="54"/>
      <c r="AW42" s="358">
        <f t="shared" ca="1" si="2"/>
        <v>0</v>
      </c>
      <c r="AX42" s="54"/>
      <c r="AY42" s="358">
        <f t="shared" ca="1" si="3"/>
        <v>0</v>
      </c>
      <c r="AZ42" s="54"/>
      <c r="BA42" s="358">
        <f t="shared" ca="1" si="4"/>
        <v>0</v>
      </c>
      <c r="BB42" s="54"/>
      <c r="BC42" s="358">
        <f t="shared" ca="1" si="5"/>
        <v>0</v>
      </c>
      <c r="BD42" s="54"/>
      <c r="BE42" s="358">
        <f t="shared" ca="1" si="6"/>
        <v>0</v>
      </c>
    </row>
    <row r="43" spans="1:57" s="10" customFormat="1">
      <c r="A43" s="1271" t="str">
        <f ca="1">PortfolioCFStatement!D766</f>
        <v>Reduced Automobile Reliance Strategies</v>
      </c>
      <c r="B43" s="1464" t="str">
        <f>PortfolioCFStatement!E766</f>
        <v>2010$</v>
      </c>
      <c r="C43" s="1460">
        <f ca="1">PortfolioCFStatement!F766</f>
        <v>-2165760.9658617252</v>
      </c>
      <c r="D43" s="358">
        <f ca="1">PortfolioCFStatement!G766</f>
        <v>0</v>
      </c>
      <c r="E43" s="358">
        <f ca="1">PortfolioCFStatement!H766</f>
        <v>0</v>
      </c>
      <c r="F43" s="358">
        <f ca="1">PortfolioCFStatement!I766</f>
        <v>-102475</v>
      </c>
      <c r="G43" s="358">
        <f ca="1">PortfolioCFStatement!J766</f>
        <v>-104950</v>
      </c>
      <c r="H43" s="358">
        <f ca="1">PortfolioCFStatement!K766</f>
        <v>-107425</v>
      </c>
      <c r="I43" s="358">
        <f ca="1">PortfolioCFStatement!L766</f>
        <v>-109900</v>
      </c>
      <c r="J43" s="358">
        <f ca="1">PortfolioCFStatement!M766</f>
        <v>-112375</v>
      </c>
      <c r="K43" s="358">
        <f ca="1">PortfolioCFStatement!N766</f>
        <v>-164850</v>
      </c>
      <c r="L43" s="358">
        <f ca="1">PortfolioCFStatement!O766</f>
        <v>-167325</v>
      </c>
      <c r="M43" s="358">
        <f ca="1">PortfolioCFStatement!P766</f>
        <v>-169800</v>
      </c>
      <c r="N43" s="358">
        <f ca="1">PortfolioCFStatement!Q766</f>
        <v>-172275</v>
      </c>
      <c r="O43" s="358">
        <f ca="1">PortfolioCFStatement!R766</f>
        <v>-174750</v>
      </c>
      <c r="P43" s="358">
        <f ca="1">PortfolioCFStatement!S766</f>
        <v>-174750</v>
      </c>
      <c r="Q43" s="358">
        <f ca="1">PortfolioCFStatement!T766</f>
        <v>-174750</v>
      </c>
      <c r="R43" s="358">
        <f ca="1">PortfolioCFStatement!U766</f>
        <v>-174750</v>
      </c>
      <c r="S43" s="358">
        <f ca="1">PortfolioCFStatement!V766</f>
        <v>-174750</v>
      </c>
      <c r="T43" s="358">
        <f ca="1">PortfolioCFStatement!W766</f>
        <v>-174750</v>
      </c>
      <c r="U43" s="358">
        <f ca="1">PortfolioCFStatement!X766</f>
        <v>-174750</v>
      </c>
      <c r="V43" s="358">
        <f ca="1">PortfolioCFStatement!Y766</f>
        <v>-174750</v>
      </c>
      <c r="W43" s="358">
        <f ca="1">PortfolioCFStatement!Z766</f>
        <v>-174750</v>
      </c>
      <c r="X43" s="358">
        <f ca="1">PortfolioCFStatement!AA766</f>
        <v>-174750</v>
      </c>
      <c r="Y43" s="358">
        <f ca="1">PortfolioCFStatement!AB766</f>
        <v>-174750</v>
      </c>
      <c r="Z43" s="358">
        <f ca="1">PortfolioCFStatement!AC766</f>
        <v>-174750</v>
      </c>
      <c r="AA43" s="358">
        <f ca="1">PortfolioCFStatement!AD766</f>
        <v>-174750</v>
      </c>
      <c r="AB43" s="358">
        <f ca="1">PortfolioCFStatement!AE766</f>
        <v>-174750</v>
      </c>
      <c r="AC43" s="358">
        <f ca="1">PortfolioCFStatement!AF766</f>
        <v>-174750</v>
      </c>
      <c r="AD43" s="358">
        <f ca="1">PortfolioCFStatement!AG766</f>
        <v>-174750</v>
      </c>
      <c r="AE43" s="358">
        <f ca="1">PortfolioCFStatement!AH766</f>
        <v>-174750</v>
      </c>
      <c r="AF43" s="358">
        <f ca="1">PortfolioCFStatement!AI766</f>
        <v>-174750</v>
      </c>
      <c r="AG43" s="358">
        <f ca="1">PortfolioCFStatement!AJ766</f>
        <v>-174750</v>
      </c>
      <c r="AH43" s="358">
        <f ca="1">PortfolioCFStatement!AK766</f>
        <v>-174750</v>
      </c>
      <c r="AI43" s="358">
        <f ca="1">PortfolioCFStatement!AL766</f>
        <v>-174750</v>
      </c>
      <c r="AJ43" s="358">
        <f ca="1">PortfolioCFStatement!AM766</f>
        <v>-174750</v>
      </c>
      <c r="AK43" s="358">
        <f ca="1">PortfolioCFStatement!AN766</f>
        <v>-174750</v>
      </c>
      <c r="AL43" s="358">
        <f ca="1">PortfolioCFStatement!AO766</f>
        <v>-174750</v>
      </c>
      <c r="AM43" s="358">
        <f ca="1">PortfolioCFStatement!AP766</f>
        <v>-174750</v>
      </c>
      <c r="AN43" s="358">
        <f ca="1">PortfolioCFStatement!AQ766</f>
        <v>-174750</v>
      </c>
      <c r="AO43" s="358">
        <f ca="1">PortfolioCFStatement!AR766</f>
        <v>-174750</v>
      </c>
      <c r="AP43" s="358">
        <f ca="1">PortfolioCFStatement!AS766</f>
        <v>-174750</v>
      </c>
      <c r="AQ43" s="358">
        <f ca="1">PortfolioCFStatement!AT766</f>
        <v>-174750</v>
      </c>
      <c r="AR43" s="358"/>
      <c r="AS43" s="358">
        <f t="shared" ca="1" si="0"/>
        <v>-724250</v>
      </c>
      <c r="AT43" s="54"/>
      <c r="AU43" s="358">
        <f t="shared" ca="1" si="1"/>
        <v>-871275</v>
      </c>
      <c r="AV43" s="54"/>
      <c r="AW43" s="358">
        <f t="shared" ca="1" si="2"/>
        <v>-873750</v>
      </c>
      <c r="AX43" s="54"/>
      <c r="AY43" s="358">
        <f t="shared" ca="1" si="3"/>
        <v>-873750</v>
      </c>
      <c r="AZ43" s="54"/>
      <c r="BA43" s="358">
        <f t="shared" ca="1" si="4"/>
        <v>-873750</v>
      </c>
      <c r="BB43" s="54"/>
      <c r="BC43" s="358">
        <f t="shared" ca="1" si="5"/>
        <v>-873750</v>
      </c>
      <c r="BD43" s="54"/>
      <c r="BE43" s="358">
        <f t="shared" ca="1" si="6"/>
        <v>-873750</v>
      </c>
    </row>
    <row r="44" spans="1:57" s="10" customFormat="1">
      <c r="A44" s="1271" t="str">
        <f ca="1">PortfolioCFStatement!D767</f>
        <v>Waste Reduction</v>
      </c>
      <c r="B44" s="1464" t="str">
        <f>PortfolioCFStatement!E767</f>
        <v>2010$</v>
      </c>
      <c r="C44" s="1460">
        <f ca="1">PortfolioCFStatement!F767</f>
        <v>-69780.657689482905</v>
      </c>
      <c r="D44" s="358">
        <f ca="1">PortfolioCFStatement!G767</f>
        <v>0</v>
      </c>
      <c r="E44" s="358">
        <f ca="1">PortfolioCFStatement!H767</f>
        <v>0</v>
      </c>
      <c r="F44" s="358">
        <f ca="1">PortfolioCFStatement!I767</f>
        <v>-5000</v>
      </c>
      <c r="G44" s="358">
        <f ca="1">PortfolioCFStatement!J767</f>
        <v>-5000</v>
      </c>
      <c r="H44" s="358">
        <f ca="1">PortfolioCFStatement!K767</f>
        <v>-5000</v>
      </c>
      <c r="I44" s="358">
        <f ca="1">PortfolioCFStatement!L767</f>
        <v>-5000</v>
      </c>
      <c r="J44" s="358">
        <f ca="1">PortfolioCFStatement!M767</f>
        <v>-5000</v>
      </c>
      <c r="K44" s="358">
        <f ca="1">PortfolioCFStatement!N767</f>
        <v>-5000</v>
      </c>
      <c r="L44" s="358">
        <f ca="1">PortfolioCFStatement!O767</f>
        <v>-5000</v>
      </c>
      <c r="M44" s="358">
        <f ca="1">PortfolioCFStatement!P767</f>
        <v>-5000</v>
      </c>
      <c r="N44" s="358">
        <f ca="1">PortfolioCFStatement!Q767</f>
        <v>-5000</v>
      </c>
      <c r="O44" s="358">
        <f ca="1">PortfolioCFStatement!R767</f>
        <v>-5000</v>
      </c>
      <c r="P44" s="358">
        <f ca="1">PortfolioCFStatement!S767</f>
        <v>-5000</v>
      </c>
      <c r="Q44" s="358">
        <f ca="1">PortfolioCFStatement!T767</f>
        <v>-5000</v>
      </c>
      <c r="R44" s="358">
        <f ca="1">PortfolioCFStatement!U767</f>
        <v>-5000</v>
      </c>
      <c r="S44" s="358">
        <f ca="1">PortfolioCFStatement!V767</f>
        <v>-5000</v>
      </c>
      <c r="T44" s="358">
        <f ca="1">PortfolioCFStatement!W767</f>
        <v>-5000</v>
      </c>
      <c r="U44" s="358">
        <f ca="1">PortfolioCFStatement!X767</f>
        <v>-5000</v>
      </c>
      <c r="V44" s="358">
        <f ca="1">PortfolioCFStatement!Y767</f>
        <v>-5000</v>
      </c>
      <c r="W44" s="358">
        <f ca="1">PortfolioCFStatement!Z767</f>
        <v>-5000</v>
      </c>
      <c r="X44" s="358">
        <f ca="1">PortfolioCFStatement!AA767</f>
        <v>-5000</v>
      </c>
      <c r="Y44" s="358">
        <f ca="1">PortfolioCFStatement!AB767</f>
        <v>-5000</v>
      </c>
      <c r="Z44" s="358">
        <f ca="1">PortfolioCFStatement!AC767</f>
        <v>-5000</v>
      </c>
      <c r="AA44" s="358">
        <f ca="1">PortfolioCFStatement!AD767</f>
        <v>-5000</v>
      </c>
      <c r="AB44" s="358">
        <f ca="1">PortfolioCFStatement!AE767</f>
        <v>-5000</v>
      </c>
      <c r="AC44" s="358">
        <f ca="1">PortfolioCFStatement!AF767</f>
        <v>-5000</v>
      </c>
      <c r="AD44" s="358">
        <f ca="1">PortfolioCFStatement!AG767</f>
        <v>-5000</v>
      </c>
      <c r="AE44" s="358">
        <f ca="1">PortfolioCFStatement!AH767</f>
        <v>-5000</v>
      </c>
      <c r="AF44" s="358">
        <f ca="1">PortfolioCFStatement!AI767</f>
        <v>-5000</v>
      </c>
      <c r="AG44" s="358">
        <f ca="1">PortfolioCFStatement!AJ767</f>
        <v>-5000</v>
      </c>
      <c r="AH44" s="358">
        <f ca="1">PortfolioCFStatement!AK767</f>
        <v>-5000</v>
      </c>
      <c r="AI44" s="358">
        <f ca="1">PortfolioCFStatement!AL767</f>
        <v>-5000</v>
      </c>
      <c r="AJ44" s="358">
        <f ca="1">PortfolioCFStatement!AM767</f>
        <v>-5000</v>
      </c>
      <c r="AK44" s="358">
        <f ca="1">PortfolioCFStatement!AN767</f>
        <v>-5000</v>
      </c>
      <c r="AL44" s="358">
        <f ca="1">PortfolioCFStatement!AO767</f>
        <v>-5000</v>
      </c>
      <c r="AM44" s="358">
        <f ca="1">PortfolioCFStatement!AP767</f>
        <v>-5000</v>
      </c>
      <c r="AN44" s="358">
        <f ca="1">PortfolioCFStatement!AQ767</f>
        <v>-5000</v>
      </c>
      <c r="AO44" s="358">
        <f ca="1">PortfolioCFStatement!AR767</f>
        <v>-5000</v>
      </c>
      <c r="AP44" s="358">
        <f ca="1">PortfolioCFStatement!AS767</f>
        <v>-5000</v>
      </c>
      <c r="AQ44" s="358">
        <f ca="1">PortfolioCFStatement!AT767</f>
        <v>-5000</v>
      </c>
      <c r="AR44" s="358"/>
      <c r="AS44" s="358">
        <f t="shared" ca="1" si="0"/>
        <v>-25000</v>
      </c>
      <c r="AT44" s="54"/>
      <c r="AU44" s="358">
        <f t="shared" ca="1" si="1"/>
        <v>-25000</v>
      </c>
      <c r="AV44" s="54"/>
      <c r="AW44" s="358">
        <f t="shared" ca="1" si="2"/>
        <v>-25000</v>
      </c>
      <c r="AX44" s="54"/>
      <c r="AY44" s="358">
        <f t="shared" ca="1" si="3"/>
        <v>-25000</v>
      </c>
      <c r="AZ44" s="54"/>
      <c r="BA44" s="358">
        <f t="shared" ca="1" si="4"/>
        <v>-25000</v>
      </c>
      <c r="BB44" s="54"/>
      <c r="BC44" s="358">
        <f t="shared" ca="1" si="5"/>
        <v>-25000</v>
      </c>
      <c r="BD44" s="54"/>
      <c r="BE44" s="358">
        <f t="shared" ca="1" si="6"/>
        <v>-25000</v>
      </c>
    </row>
    <row r="45" spans="1:57" s="10" customFormat="1">
      <c r="A45" s="1271" t="str">
        <f ca="1">PortfolioCFStatement!D768</f>
        <v>Steam Line Improvements</v>
      </c>
      <c r="B45" s="1464" t="str">
        <f>PortfolioCFStatement!E768</f>
        <v>2010$</v>
      </c>
      <c r="C45" s="1460">
        <f ca="1">PortfolioCFStatement!F768</f>
        <v>0</v>
      </c>
      <c r="D45" s="358">
        <f ca="1">PortfolioCFStatement!G768</f>
        <v>0</v>
      </c>
      <c r="E45" s="358">
        <f ca="1">PortfolioCFStatement!H768</f>
        <v>0</v>
      </c>
      <c r="F45" s="358">
        <f ca="1">PortfolioCFStatement!I768</f>
        <v>0</v>
      </c>
      <c r="G45" s="358">
        <f ca="1">PortfolioCFStatement!J768</f>
        <v>0</v>
      </c>
      <c r="H45" s="358">
        <f ca="1">PortfolioCFStatement!K768</f>
        <v>0</v>
      </c>
      <c r="I45" s="358">
        <f ca="1">PortfolioCFStatement!L768</f>
        <v>0</v>
      </c>
      <c r="J45" s="358">
        <f ca="1">PortfolioCFStatement!M768</f>
        <v>0</v>
      </c>
      <c r="K45" s="358">
        <f ca="1">PortfolioCFStatement!N768</f>
        <v>0</v>
      </c>
      <c r="L45" s="358">
        <f ca="1">PortfolioCFStatement!O768</f>
        <v>0</v>
      </c>
      <c r="M45" s="358">
        <f ca="1">PortfolioCFStatement!P768</f>
        <v>0</v>
      </c>
      <c r="N45" s="358">
        <f ca="1">PortfolioCFStatement!Q768</f>
        <v>0</v>
      </c>
      <c r="O45" s="358">
        <f ca="1">PortfolioCFStatement!R768</f>
        <v>0</v>
      </c>
      <c r="P45" s="358">
        <f ca="1">PortfolioCFStatement!S768</f>
        <v>0</v>
      </c>
      <c r="Q45" s="358">
        <f ca="1">PortfolioCFStatement!T768</f>
        <v>0</v>
      </c>
      <c r="R45" s="358">
        <f ca="1">PortfolioCFStatement!U768</f>
        <v>0</v>
      </c>
      <c r="S45" s="358">
        <f ca="1">PortfolioCFStatement!V768</f>
        <v>0</v>
      </c>
      <c r="T45" s="358">
        <f ca="1">PortfolioCFStatement!W768</f>
        <v>0</v>
      </c>
      <c r="U45" s="358">
        <f ca="1">PortfolioCFStatement!X768</f>
        <v>0</v>
      </c>
      <c r="V45" s="358">
        <f ca="1">PortfolioCFStatement!Y768</f>
        <v>0</v>
      </c>
      <c r="W45" s="358">
        <f ca="1">PortfolioCFStatement!Z768</f>
        <v>0</v>
      </c>
      <c r="X45" s="358">
        <f ca="1">PortfolioCFStatement!AA768</f>
        <v>0</v>
      </c>
      <c r="Y45" s="358">
        <f ca="1">PortfolioCFStatement!AB768</f>
        <v>0</v>
      </c>
      <c r="Z45" s="358">
        <f ca="1">PortfolioCFStatement!AC768</f>
        <v>0</v>
      </c>
      <c r="AA45" s="358">
        <f ca="1">PortfolioCFStatement!AD768</f>
        <v>0</v>
      </c>
      <c r="AB45" s="358">
        <f ca="1">PortfolioCFStatement!AE768</f>
        <v>0</v>
      </c>
      <c r="AC45" s="358">
        <f ca="1">PortfolioCFStatement!AF768</f>
        <v>0</v>
      </c>
      <c r="AD45" s="358">
        <f ca="1">PortfolioCFStatement!AG768</f>
        <v>0</v>
      </c>
      <c r="AE45" s="358">
        <f ca="1">PortfolioCFStatement!AH768</f>
        <v>0</v>
      </c>
      <c r="AF45" s="358">
        <f ca="1">PortfolioCFStatement!AI768</f>
        <v>0</v>
      </c>
      <c r="AG45" s="358">
        <f ca="1">PortfolioCFStatement!AJ768</f>
        <v>0</v>
      </c>
      <c r="AH45" s="358">
        <f ca="1">PortfolioCFStatement!AK768</f>
        <v>0</v>
      </c>
      <c r="AI45" s="358">
        <f ca="1">PortfolioCFStatement!AL768</f>
        <v>0</v>
      </c>
      <c r="AJ45" s="358">
        <f ca="1">PortfolioCFStatement!AM768</f>
        <v>0</v>
      </c>
      <c r="AK45" s="358">
        <f ca="1">PortfolioCFStatement!AN768</f>
        <v>0</v>
      </c>
      <c r="AL45" s="358">
        <f ca="1">PortfolioCFStatement!AO768</f>
        <v>0</v>
      </c>
      <c r="AM45" s="358">
        <f ca="1">PortfolioCFStatement!AP768</f>
        <v>0</v>
      </c>
      <c r="AN45" s="358">
        <f ca="1">PortfolioCFStatement!AQ768</f>
        <v>0</v>
      </c>
      <c r="AO45" s="358">
        <f ca="1">PortfolioCFStatement!AR768</f>
        <v>0</v>
      </c>
      <c r="AP45" s="358">
        <f ca="1">PortfolioCFStatement!AS768</f>
        <v>0</v>
      </c>
      <c r="AQ45" s="358">
        <f ca="1">PortfolioCFStatement!AT768</f>
        <v>0</v>
      </c>
      <c r="AR45" s="358"/>
      <c r="AS45" s="358">
        <f t="shared" ca="1" si="0"/>
        <v>0</v>
      </c>
      <c r="AT45" s="54"/>
      <c r="AU45" s="358">
        <f t="shared" ca="1" si="1"/>
        <v>0</v>
      </c>
      <c r="AV45" s="54"/>
      <c r="AW45" s="358">
        <f t="shared" ca="1" si="2"/>
        <v>0</v>
      </c>
      <c r="AX45" s="54"/>
      <c r="AY45" s="358">
        <f t="shared" ca="1" si="3"/>
        <v>0</v>
      </c>
      <c r="AZ45" s="54"/>
      <c r="BA45" s="358">
        <f t="shared" ca="1" si="4"/>
        <v>0</v>
      </c>
      <c r="BB45" s="54"/>
      <c r="BC45" s="358">
        <f t="shared" ca="1" si="5"/>
        <v>0</v>
      </c>
      <c r="BD45" s="54"/>
      <c r="BE45" s="358">
        <f t="shared" ca="1" si="6"/>
        <v>0</v>
      </c>
    </row>
    <row r="46" spans="1:57" s="10" customFormat="1">
      <c r="A46" s="1271" t="str">
        <f ca="1">PortfolioCFStatement!D769</f>
        <v>Coal to Natural Gas Conversion @ Steam Plant</v>
      </c>
      <c r="B46" s="1464" t="str">
        <f>PortfolioCFStatement!E769</f>
        <v>2010$</v>
      </c>
      <c r="C46" s="1460">
        <f ca="1">PortfolioCFStatement!F769</f>
        <v>-4228976.1405559285</v>
      </c>
      <c r="D46" s="358">
        <f ca="1">PortfolioCFStatement!G769</f>
        <v>0</v>
      </c>
      <c r="E46" s="358">
        <f ca="1">PortfolioCFStatement!H769</f>
        <v>0</v>
      </c>
      <c r="F46" s="358">
        <f ca="1">PortfolioCFStatement!I769</f>
        <v>0</v>
      </c>
      <c r="G46" s="358">
        <f ca="1">PortfolioCFStatement!J769</f>
        <v>0</v>
      </c>
      <c r="H46" s="358">
        <f ca="1">PortfolioCFStatement!K769</f>
        <v>0</v>
      </c>
      <c r="I46" s="358">
        <f ca="1">PortfolioCFStatement!L769</f>
        <v>-303812.55343383551</v>
      </c>
      <c r="J46" s="358">
        <f ca="1">PortfolioCFStatement!M769</f>
        <v>-308746.13658415806</v>
      </c>
      <c r="K46" s="358">
        <f ca="1">PortfolioCFStatement!N769</f>
        <v>-313721.4602521481</v>
      </c>
      <c r="L46" s="358">
        <f ca="1">PortfolioCFStatement!O769</f>
        <v>-318738.8185034031</v>
      </c>
      <c r="M46" s="358">
        <f ca="1">PortfolioCFStatement!P769</f>
        <v>-323798.50730066467</v>
      </c>
      <c r="N46" s="358">
        <f ca="1">PortfolioCFStatement!Q769</f>
        <v>-328900.82451543584</v>
      </c>
      <c r="O46" s="358">
        <f ca="1">PortfolioCFStatement!R769</f>
        <v>-334046.06993967295</v>
      </c>
      <c r="P46" s="358">
        <f ca="1">PortfolioCFStatement!S769</f>
        <v>-339234.54529753793</v>
      </c>
      <c r="Q46" s="358">
        <f ca="1">PortfolioCFStatement!T769</f>
        <v>-344466.55425723549</v>
      </c>
      <c r="R46" s="358">
        <f ca="1">PortfolioCFStatement!U769</f>
        <v>-349742.40244289581</v>
      </c>
      <c r="S46" s="358">
        <f ca="1">PortfolioCFStatement!V769</f>
        <v>-355062.39744655695</v>
      </c>
      <c r="T46" s="358">
        <f ca="1">PortfolioCFStatement!W769</f>
        <v>-360426.84884019289</v>
      </c>
      <c r="U46" s="358">
        <f ca="1">PortfolioCFStatement!X769</f>
        <v>-365836.06818782911</v>
      </c>
      <c r="V46" s="358">
        <f ca="1">PortfolioCFStatement!Y769</f>
        <v>-371290.36905772146</v>
      </c>
      <c r="W46" s="358">
        <f ca="1">PortfolioCFStatement!Z769</f>
        <v>-376790.06703460775</v>
      </c>
      <c r="X46" s="358">
        <f ca="1">PortfolioCFStatement!AA769</f>
        <v>-382335.47973203566</v>
      </c>
      <c r="Y46" s="358">
        <f ca="1">PortfolioCFStatement!AB769</f>
        <v>-387926.9268047642</v>
      </c>
      <c r="Z46" s="358">
        <f ca="1">PortfolioCFStatement!AC769</f>
        <v>-393564.72996122483</v>
      </c>
      <c r="AA46" s="358">
        <f ca="1">PortfolioCFStatement!AD769</f>
        <v>-399249.21297608037</v>
      </c>
      <c r="AB46" s="358">
        <f ca="1">PortfolioCFStatement!AE769</f>
        <v>-404980.70170283597</v>
      </c>
      <c r="AC46" s="358">
        <f ca="1">PortfolioCFStatement!AF769</f>
        <v>-410759.52408653311</v>
      </c>
      <c r="AD46" s="358">
        <f ca="1">PortfolioCFStatement!AG769</f>
        <v>-416586.01017652731</v>
      </c>
      <c r="AE46" s="358">
        <f ca="1">PortfolioCFStatement!AH769</f>
        <v>-422460.49213931803</v>
      </c>
      <c r="AF46" s="358">
        <f ca="1">PortfolioCFStatement!AI769</f>
        <v>-428383.304271481</v>
      </c>
      <c r="AG46" s="358">
        <f ca="1">PortfolioCFStatement!AJ769</f>
        <v>-434354.78301266301</v>
      </c>
      <c r="AH46" s="358">
        <f ca="1">PortfolioCFStatement!AK769</f>
        <v>-440375.2669586502</v>
      </c>
      <c r="AI46" s="358">
        <f ca="1">PortfolioCFStatement!AL769</f>
        <v>-446445.09687452111</v>
      </c>
      <c r="AJ46" s="358">
        <f ca="1">PortfolioCFStatement!AM769</f>
        <v>-452564.61570787802</v>
      </c>
      <c r="AK46" s="358">
        <f ca="1">PortfolioCFStatement!AN769</f>
        <v>-458734.16860214621</v>
      </c>
      <c r="AL46" s="358">
        <f ca="1">PortfolioCFStatement!AO769</f>
        <v>-464954.10290996451</v>
      </c>
      <c r="AM46" s="358">
        <f ca="1">PortfolioCFStatement!AP769</f>
        <v>-471224.7682066448</v>
      </c>
      <c r="AN46" s="358">
        <f ca="1">PortfolioCFStatement!AQ769</f>
        <v>-477546.51630371995</v>
      </c>
      <c r="AO46" s="358">
        <f ca="1">PortfolioCFStatement!AR769</f>
        <v>-483919.70126256067</v>
      </c>
      <c r="AP46" s="358">
        <f ca="1">PortfolioCFStatement!AS769</f>
        <v>-490344.67940808367</v>
      </c>
      <c r="AQ46" s="358">
        <f ca="1">PortfolioCFStatement!AT769</f>
        <v>-496821.80934252869</v>
      </c>
      <c r="AR46" s="358"/>
      <c r="AS46" s="358">
        <f t="shared" ca="1" si="0"/>
        <v>-1568817.4760742094</v>
      </c>
      <c r="AT46" s="54"/>
      <c r="AU46" s="358">
        <f t="shared" ca="1" si="1"/>
        <v>-1696390.396452778</v>
      </c>
      <c r="AV46" s="54"/>
      <c r="AW46" s="358">
        <f t="shared" ca="1" si="2"/>
        <v>-1829405.7505669082</v>
      </c>
      <c r="AX46" s="54"/>
      <c r="AY46" s="358">
        <f t="shared" ca="1" si="3"/>
        <v>-1968057.051176941</v>
      </c>
      <c r="AZ46" s="54"/>
      <c r="BA46" s="358">
        <f t="shared" ca="1" si="4"/>
        <v>-2112544.1136865225</v>
      </c>
      <c r="BB46" s="54"/>
      <c r="BC46" s="358">
        <f t="shared" ca="1" si="5"/>
        <v>-2263073.2510531601</v>
      </c>
      <c r="BD46" s="54"/>
      <c r="BE46" s="358">
        <f t="shared" ca="1" si="6"/>
        <v>-2419857.4745235378</v>
      </c>
    </row>
    <row r="47" spans="1:57" s="10" customFormat="1">
      <c r="A47" s="1271" t="str">
        <f ca="1">PortfolioCFStatement!D770</f>
        <v>On-site Wind</v>
      </c>
      <c r="B47" s="1464" t="str">
        <f>PortfolioCFStatement!E770</f>
        <v>2010$</v>
      </c>
      <c r="C47" s="1460">
        <f ca="1">PortfolioCFStatement!F770</f>
        <v>-312260.38940851751</v>
      </c>
      <c r="D47" s="358">
        <f ca="1">PortfolioCFStatement!G770</f>
        <v>0</v>
      </c>
      <c r="E47" s="358">
        <f ca="1">PortfolioCFStatement!H770</f>
        <v>-21024</v>
      </c>
      <c r="F47" s="358">
        <f ca="1">PortfolioCFStatement!I770</f>
        <v>-21024</v>
      </c>
      <c r="G47" s="358">
        <f ca="1">PortfolioCFStatement!J770</f>
        <v>-21024</v>
      </c>
      <c r="H47" s="358">
        <f ca="1">PortfolioCFStatement!K770</f>
        <v>-21024</v>
      </c>
      <c r="I47" s="358">
        <f ca="1">PortfolioCFStatement!L770</f>
        <v>-21024</v>
      </c>
      <c r="J47" s="358">
        <f ca="1">PortfolioCFStatement!M770</f>
        <v>-21024</v>
      </c>
      <c r="K47" s="358">
        <f ca="1">PortfolioCFStatement!N770</f>
        <v>-21024</v>
      </c>
      <c r="L47" s="358">
        <f ca="1">PortfolioCFStatement!O770</f>
        <v>-21024</v>
      </c>
      <c r="M47" s="358">
        <f ca="1">PortfolioCFStatement!P770</f>
        <v>-21024</v>
      </c>
      <c r="N47" s="358">
        <f ca="1">PortfolioCFStatement!Q770</f>
        <v>-21024</v>
      </c>
      <c r="O47" s="358">
        <f ca="1">PortfolioCFStatement!R770</f>
        <v>-21024</v>
      </c>
      <c r="P47" s="358">
        <f ca="1">PortfolioCFStatement!S770</f>
        <v>-21024</v>
      </c>
      <c r="Q47" s="358">
        <f ca="1">PortfolioCFStatement!T770</f>
        <v>-21024</v>
      </c>
      <c r="R47" s="358">
        <f ca="1">PortfolioCFStatement!U770</f>
        <v>-21024</v>
      </c>
      <c r="S47" s="358">
        <f ca="1">PortfolioCFStatement!V770</f>
        <v>-21024</v>
      </c>
      <c r="T47" s="358">
        <f ca="1">PortfolioCFStatement!W770</f>
        <v>-21024</v>
      </c>
      <c r="U47" s="358">
        <f ca="1">PortfolioCFStatement!X770</f>
        <v>-21024</v>
      </c>
      <c r="V47" s="358">
        <f ca="1">PortfolioCFStatement!Y770</f>
        <v>-21024</v>
      </c>
      <c r="W47" s="358">
        <f ca="1">PortfolioCFStatement!Z770</f>
        <v>-21024</v>
      </c>
      <c r="X47" s="358">
        <f ca="1">PortfolioCFStatement!AA770</f>
        <v>-21024</v>
      </c>
      <c r="Y47" s="358">
        <f ca="1">PortfolioCFStatement!AB770</f>
        <v>-21024</v>
      </c>
      <c r="Z47" s="358">
        <f ca="1">PortfolioCFStatement!AC770</f>
        <v>-21024</v>
      </c>
      <c r="AA47" s="358">
        <f ca="1">PortfolioCFStatement!AD770</f>
        <v>-21024</v>
      </c>
      <c r="AB47" s="358">
        <f ca="1">PortfolioCFStatement!AE770</f>
        <v>-21024</v>
      </c>
      <c r="AC47" s="358">
        <f ca="1">PortfolioCFStatement!AF770</f>
        <v>-21024</v>
      </c>
      <c r="AD47" s="358">
        <f ca="1">PortfolioCFStatement!AG770</f>
        <v>-21024</v>
      </c>
      <c r="AE47" s="358">
        <f ca="1">PortfolioCFStatement!AH770</f>
        <v>-21024</v>
      </c>
      <c r="AF47" s="358">
        <f ca="1">PortfolioCFStatement!AI770</f>
        <v>-21024</v>
      </c>
      <c r="AG47" s="358">
        <f ca="1">PortfolioCFStatement!AJ770</f>
        <v>-21024</v>
      </c>
      <c r="AH47" s="358">
        <f ca="1">PortfolioCFStatement!AK770</f>
        <v>-21024</v>
      </c>
      <c r="AI47" s="358">
        <f ca="1">PortfolioCFStatement!AL770</f>
        <v>-21024</v>
      </c>
      <c r="AJ47" s="358">
        <f ca="1">PortfolioCFStatement!AM770</f>
        <v>-21024</v>
      </c>
      <c r="AK47" s="358">
        <f ca="1">PortfolioCFStatement!AN770</f>
        <v>-21024</v>
      </c>
      <c r="AL47" s="358">
        <f ca="1">PortfolioCFStatement!AO770</f>
        <v>-21024</v>
      </c>
      <c r="AM47" s="358">
        <f ca="1">PortfolioCFStatement!AP770</f>
        <v>-21024</v>
      </c>
      <c r="AN47" s="358">
        <f ca="1">PortfolioCFStatement!AQ770</f>
        <v>-21024</v>
      </c>
      <c r="AO47" s="358">
        <f ca="1">PortfolioCFStatement!AR770</f>
        <v>-21024</v>
      </c>
      <c r="AP47" s="358">
        <f ca="1">PortfolioCFStatement!AS770</f>
        <v>-21024</v>
      </c>
      <c r="AQ47" s="358">
        <f ca="1">PortfolioCFStatement!AT770</f>
        <v>-21024</v>
      </c>
      <c r="AR47" s="358"/>
      <c r="AS47" s="358">
        <f t="shared" ca="1" si="0"/>
        <v>-105120</v>
      </c>
      <c r="AT47" s="54"/>
      <c r="AU47" s="358">
        <f t="shared" ca="1" si="1"/>
        <v>-105120</v>
      </c>
      <c r="AV47" s="54"/>
      <c r="AW47" s="358">
        <f t="shared" ca="1" si="2"/>
        <v>-105120</v>
      </c>
      <c r="AX47" s="54"/>
      <c r="AY47" s="358">
        <f t="shared" ca="1" si="3"/>
        <v>-105120</v>
      </c>
      <c r="AZ47" s="54"/>
      <c r="BA47" s="358">
        <f t="shared" ca="1" si="4"/>
        <v>-105120</v>
      </c>
      <c r="BB47" s="54"/>
      <c r="BC47" s="358">
        <f t="shared" ca="1" si="5"/>
        <v>-105120</v>
      </c>
      <c r="BD47" s="54"/>
      <c r="BE47" s="358">
        <f t="shared" ca="1" si="6"/>
        <v>-105120</v>
      </c>
    </row>
    <row r="48" spans="1:57" s="10" customFormat="1">
      <c r="A48" s="1271" t="str">
        <f ca="1">PortfolioCFStatement!D771</f>
        <v>Solar DHW</v>
      </c>
      <c r="B48" s="1464" t="str">
        <f>PortfolioCFStatement!E771</f>
        <v>2010$</v>
      </c>
      <c r="C48" s="1460">
        <f ca="1">PortfolioCFStatement!F771</f>
        <v>0</v>
      </c>
      <c r="D48" s="358">
        <f ca="1">PortfolioCFStatement!G771</f>
        <v>0</v>
      </c>
      <c r="E48" s="358">
        <f ca="1">PortfolioCFStatement!H771</f>
        <v>0</v>
      </c>
      <c r="F48" s="358">
        <f ca="1">PortfolioCFStatement!I771</f>
        <v>0</v>
      </c>
      <c r="G48" s="358">
        <f ca="1">PortfolioCFStatement!J771</f>
        <v>0</v>
      </c>
      <c r="H48" s="358">
        <f ca="1">PortfolioCFStatement!K771</f>
        <v>0</v>
      </c>
      <c r="I48" s="358">
        <f ca="1">PortfolioCFStatement!L771</f>
        <v>0</v>
      </c>
      <c r="J48" s="358">
        <f ca="1">PortfolioCFStatement!M771</f>
        <v>0</v>
      </c>
      <c r="K48" s="358">
        <f ca="1">PortfolioCFStatement!N771</f>
        <v>0</v>
      </c>
      <c r="L48" s="358">
        <f ca="1">PortfolioCFStatement!O771</f>
        <v>0</v>
      </c>
      <c r="M48" s="358">
        <f ca="1">PortfolioCFStatement!P771</f>
        <v>0</v>
      </c>
      <c r="N48" s="358">
        <f ca="1">PortfolioCFStatement!Q771</f>
        <v>0</v>
      </c>
      <c r="O48" s="358">
        <f ca="1">PortfolioCFStatement!R771</f>
        <v>0</v>
      </c>
      <c r="P48" s="358">
        <f ca="1">PortfolioCFStatement!S771</f>
        <v>0</v>
      </c>
      <c r="Q48" s="358">
        <f ca="1">PortfolioCFStatement!T771</f>
        <v>0</v>
      </c>
      <c r="R48" s="358">
        <f ca="1">PortfolioCFStatement!U771</f>
        <v>0</v>
      </c>
      <c r="S48" s="358">
        <f ca="1">PortfolioCFStatement!V771</f>
        <v>0</v>
      </c>
      <c r="T48" s="358">
        <f ca="1">PortfolioCFStatement!W771</f>
        <v>0</v>
      </c>
      <c r="U48" s="358">
        <f ca="1">PortfolioCFStatement!X771</f>
        <v>0</v>
      </c>
      <c r="V48" s="358">
        <f ca="1">PortfolioCFStatement!Y771</f>
        <v>0</v>
      </c>
      <c r="W48" s="358">
        <f ca="1">PortfolioCFStatement!Z771</f>
        <v>0</v>
      </c>
      <c r="X48" s="358">
        <f ca="1">PortfolioCFStatement!AA771</f>
        <v>0</v>
      </c>
      <c r="Y48" s="358">
        <f ca="1">PortfolioCFStatement!AB771</f>
        <v>0</v>
      </c>
      <c r="Z48" s="358">
        <f ca="1">PortfolioCFStatement!AC771</f>
        <v>0</v>
      </c>
      <c r="AA48" s="358">
        <f ca="1">PortfolioCFStatement!AD771</f>
        <v>0</v>
      </c>
      <c r="AB48" s="358">
        <f ca="1">PortfolioCFStatement!AE771</f>
        <v>0</v>
      </c>
      <c r="AC48" s="358">
        <f ca="1">PortfolioCFStatement!AF771</f>
        <v>0</v>
      </c>
      <c r="AD48" s="358">
        <f ca="1">PortfolioCFStatement!AG771</f>
        <v>0</v>
      </c>
      <c r="AE48" s="358">
        <f ca="1">PortfolioCFStatement!AH771</f>
        <v>0</v>
      </c>
      <c r="AF48" s="358">
        <f ca="1">PortfolioCFStatement!AI771</f>
        <v>0</v>
      </c>
      <c r="AG48" s="358">
        <f ca="1">PortfolioCFStatement!AJ771</f>
        <v>0</v>
      </c>
      <c r="AH48" s="358">
        <f ca="1">PortfolioCFStatement!AK771</f>
        <v>0</v>
      </c>
      <c r="AI48" s="358">
        <f ca="1">PortfolioCFStatement!AL771</f>
        <v>0</v>
      </c>
      <c r="AJ48" s="358">
        <f ca="1">PortfolioCFStatement!AM771</f>
        <v>0</v>
      </c>
      <c r="AK48" s="358">
        <f ca="1">PortfolioCFStatement!AN771</f>
        <v>0</v>
      </c>
      <c r="AL48" s="358">
        <f ca="1">PortfolioCFStatement!AO771</f>
        <v>0</v>
      </c>
      <c r="AM48" s="358">
        <f ca="1">PortfolioCFStatement!AP771</f>
        <v>0</v>
      </c>
      <c r="AN48" s="358">
        <f ca="1">PortfolioCFStatement!AQ771</f>
        <v>0</v>
      </c>
      <c r="AO48" s="358">
        <f ca="1">PortfolioCFStatement!AR771</f>
        <v>0</v>
      </c>
      <c r="AP48" s="358">
        <f ca="1">PortfolioCFStatement!AS771</f>
        <v>0</v>
      </c>
      <c r="AQ48" s="358">
        <f ca="1">PortfolioCFStatement!AT771</f>
        <v>0</v>
      </c>
      <c r="AR48" s="358"/>
      <c r="AS48" s="358">
        <f t="shared" ca="1" si="0"/>
        <v>0</v>
      </c>
      <c r="AT48" s="54"/>
      <c r="AU48" s="358">
        <f t="shared" ca="1" si="1"/>
        <v>0</v>
      </c>
      <c r="AV48" s="54"/>
      <c r="AW48" s="358">
        <f t="shared" ca="1" si="2"/>
        <v>0</v>
      </c>
      <c r="AX48" s="54"/>
      <c r="AY48" s="358">
        <f t="shared" ca="1" si="3"/>
        <v>0</v>
      </c>
      <c r="AZ48" s="54"/>
      <c r="BA48" s="358">
        <f t="shared" ca="1" si="4"/>
        <v>0</v>
      </c>
      <c r="BB48" s="54"/>
      <c r="BC48" s="358">
        <f t="shared" ca="1" si="5"/>
        <v>0</v>
      </c>
      <c r="BD48" s="54"/>
      <c r="BE48" s="358">
        <f t="shared" ca="1" si="6"/>
        <v>0</v>
      </c>
    </row>
    <row r="49" spans="1:57" s="10" customFormat="1">
      <c r="A49" s="1271" t="str">
        <f ca="1">PortfolioCFStatement!D772</f>
        <v>Geo Exchange</v>
      </c>
      <c r="B49" s="1464" t="str">
        <f>PortfolioCFStatement!E772</f>
        <v>2010$</v>
      </c>
      <c r="C49" s="1460">
        <f ca="1">PortfolioCFStatement!F772</f>
        <v>-1546684.8507712812</v>
      </c>
      <c r="D49" s="358">
        <f ca="1">PortfolioCFStatement!G772</f>
        <v>0</v>
      </c>
      <c r="E49" s="358">
        <f ca="1">PortfolioCFStatement!H772</f>
        <v>0</v>
      </c>
      <c r="F49" s="358">
        <f ca="1">PortfolioCFStatement!I772</f>
        <v>0</v>
      </c>
      <c r="G49" s="358">
        <f ca="1">PortfolioCFStatement!J772</f>
        <v>-59719.64216943748</v>
      </c>
      <c r="H49" s="358">
        <f ca="1">PortfolioCFStatement!K772</f>
        <v>-59943.240380284653</v>
      </c>
      <c r="I49" s="358">
        <f ca="1">PortfolioCFStatement!L772</f>
        <v>-120335.91316437215</v>
      </c>
      <c r="J49" s="358">
        <f ca="1">PortfolioCFStatement!M772</f>
        <v>-120787.592730194</v>
      </c>
      <c r="K49" s="358">
        <f ca="1">PortfolioCFStatement!N772</f>
        <v>-121241.53069384495</v>
      </c>
      <c r="L49" s="358">
        <f ca="1">PortfolioCFStatement!O772</f>
        <v>-121697.73834731417</v>
      </c>
      <c r="M49" s="358">
        <f ca="1">PortfolioCFStatement!P772</f>
        <v>-122156.22703905073</v>
      </c>
      <c r="N49" s="358">
        <f ca="1">PortfolioCFStatement!Q772</f>
        <v>-122617.00817424596</v>
      </c>
      <c r="O49" s="358">
        <f ca="1">PortfolioCFStatement!R772</f>
        <v>-123080.09321511719</v>
      </c>
      <c r="P49" s="358">
        <f ca="1">PortfolioCFStatement!S772</f>
        <v>-123545.49368119273</v>
      </c>
      <c r="Q49" s="358">
        <f ca="1">PortfolioCFStatement!T772</f>
        <v>-124013.2211495987</v>
      </c>
      <c r="R49" s="358">
        <f ca="1">PortfolioCFStatement!U772</f>
        <v>-124483.28725534667</v>
      </c>
      <c r="S49" s="358">
        <f ca="1">PortfolioCFStatement!V772</f>
        <v>-124955.70369162339</v>
      </c>
      <c r="T49" s="358">
        <f ca="1">PortfolioCFStatement!W772</f>
        <v>-125430.48221008149</v>
      </c>
      <c r="U49" s="358">
        <f ca="1">PortfolioCFStatement!X772</f>
        <v>-125907.63462113189</v>
      </c>
      <c r="V49" s="358">
        <f ca="1">PortfolioCFStatement!Y772</f>
        <v>-126387.17279423753</v>
      </c>
      <c r="W49" s="358">
        <f ca="1">PortfolioCFStatement!Z772</f>
        <v>-126869.1086582087</v>
      </c>
      <c r="X49" s="358">
        <f ca="1">PortfolioCFStatement!AA772</f>
        <v>-127353.45420149974</v>
      </c>
      <c r="Y49" s="358">
        <f ca="1">PortfolioCFStatement!AB772</f>
        <v>-127840.2214725072</v>
      </c>
      <c r="Z49" s="358">
        <f ca="1">PortfolioCFStatement!AC772</f>
        <v>-128329.42257986974</v>
      </c>
      <c r="AA49" s="358">
        <f ca="1">PortfolioCFStatement!AD772</f>
        <v>-128821.06969276906</v>
      </c>
      <c r="AB49" s="358">
        <f ca="1">PortfolioCFStatement!AE772</f>
        <v>-129315.17504123291</v>
      </c>
      <c r="AC49" s="358">
        <f ca="1">PortfolioCFStatement!AF772</f>
        <v>-129811.75091643905</v>
      </c>
      <c r="AD49" s="358">
        <f ca="1">PortfolioCFStatement!AG772</f>
        <v>-130310.80967102124</v>
      </c>
      <c r="AE49" s="358">
        <f ca="1">PortfolioCFStatement!AH772</f>
        <v>-130812.36371937633</v>
      </c>
      <c r="AF49" s="358">
        <f ca="1">PortfolioCFStatement!AI772</f>
        <v>-131316.42553797318</v>
      </c>
      <c r="AG49" s="358">
        <f ca="1">PortfolioCFStatement!AJ772</f>
        <v>-131823.00766566303</v>
      </c>
      <c r="AH49" s="358">
        <f ca="1">PortfolioCFStatement!AK772</f>
        <v>-132332.12270399136</v>
      </c>
      <c r="AI49" s="358">
        <f ca="1">PortfolioCFStatement!AL772</f>
        <v>-132843.78331751126</v>
      </c>
      <c r="AJ49" s="358">
        <f ca="1">PortfolioCFStatement!AM772</f>
        <v>-133358.00223409879</v>
      </c>
      <c r="AK49" s="358">
        <f ca="1">PortfolioCFStatement!AN772</f>
        <v>-133874.79224526929</v>
      </c>
      <c r="AL49" s="358">
        <f ca="1">PortfolioCFStatement!AO772</f>
        <v>-134394.16620649563</v>
      </c>
      <c r="AM49" s="358">
        <f ca="1">PortfolioCFStatement!AP772</f>
        <v>-134916.1370375281</v>
      </c>
      <c r="AN49" s="358">
        <f ca="1">PortfolioCFStatement!AQ772</f>
        <v>-135440.71772271569</v>
      </c>
      <c r="AO49" s="358">
        <f ca="1">PortfolioCFStatement!AR772</f>
        <v>-135967.92131132926</v>
      </c>
      <c r="AP49" s="358">
        <f ca="1">PortfolioCFStatement!AS772</f>
        <v>-136497.7609178859</v>
      </c>
      <c r="AQ49" s="358">
        <f ca="1">PortfolioCFStatement!AT772</f>
        <v>-137030.2497224753</v>
      </c>
      <c r="AR49" s="358"/>
      <c r="AS49" s="358">
        <f t="shared" ca="1" si="0"/>
        <v>-606219.00197477604</v>
      </c>
      <c r="AT49" s="54"/>
      <c r="AU49" s="358">
        <f t="shared" ca="1" si="1"/>
        <v>-617739.1034755013</v>
      </c>
      <c r="AV49" s="54"/>
      <c r="AW49" s="358">
        <f t="shared" ca="1" si="2"/>
        <v>-629550.101975283</v>
      </c>
      <c r="AX49" s="54"/>
      <c r="AY49" s="358">
        <f t="shared" ca="1" si="3"/>
        <v>-641659.34298787871</v>
      </c>
      <c r="AZ49" s="54"/>
      <c r="BA49" s="358">
        <f t="shared" ca="1" si="4"/>
        <v>-654074.35751047288</v>
      </c>
      <c r="BB49" s="54"/>
      <c r="BC49" s="358">
        <f t="shared" ca="1" si="5"/>
        <v>-666802.86670736631</v>
      </c>
      <c r="BD49" s="54"/>
      <c r="BE49" s="358">
        <f t="shared" ca="1" si="6"/>
        <v>-679852.78671193426</v>
      </c>
    </row>
    <row r="50" spans="1:57" s="10" customFormat="1">
      <c r="A50" s="1271" t="str">
        <f ca="1">PortfolioCFStatement!D773</f>
        <v>Rooftop Solar PV</v>
      </c>
      <c r="B50" s="1464" t="str">
        <f>PortfolioCFStatement!E773</f>
        <v>2010$</v>
      </c>
      <c r="C50" s="1460">
        <f ca="1">PortfolioCFStatement!F773</f>
        <v>0</v>
      </c>
      <c r="D50" s="358">
        <f ca="1">PortfolioCFStatement!G773</f>
        <v>0</v>
      </c>
      <c r="E50" s="358">
        <f ca="1">PortfolioCFStatement!H773</f>
        <v>0</v>
      </c>
      <c r="F50" s="358">
        <f ca="1">PortfolioCFStatement!I773</f>
        <v>0</v>
      </c>
      <c r="G50" s="358">
        <f ca="1">PortfolioCFStatement!J773</f>
        <v>0</v>
      </c>
      <c r="H50" s="358">
        <f ca="1">PortfolioCFStatement!K773</f>
        <v>0</v>
      </c>
      <c r="I50" s="358">
        <f ca="1">PortfolioCFStatement!L773</f>
        <v>0</v>
      </c>
      <c r="J50" s="358">
        <f ca="1">PortfolioCFStatement!M773</f>
        <v>0</v>
      </c>
      <c r="K50" s="358">
        <f ca="1">PortfolioCFStatement!N773</f>
        <v>0</v>
      </c>
      <c r="L50" s="358">
        <f ca="1">PortfolioCFStatement!O773</f>
        <v>0</v>
      </c>
      <c r="M50" s="358">
        <f ca="1">PortfolioCFStatement!P773</f>
        <v>0</v>
      </c>
      <c r="N50" s="358">
        <f ca="1">PortfolioCFStatement!Q773</f>
        <v>0</v>
      </c>
      <c r="O50" s="358">
        <f ca="1">PortfolioCFStatement!R773</f>
        <v>0</v>
      </c>
      <c r="P50" s="358">
        <f ca="1">PortfolioCFStatement!S773</f>
        <v>0</v>
      </c>
      <c r="Q50" s="358">
        <f ca="1">PortfolioCFStatement!T773</f>
        <v>0</v>
      </c>
      <c r="R50" s="358">
        <f ca="1">PortfolioCFStatement!U773</f>
        <v>0</v>
      </c>
      <c r="S50" s="358">
        <f ca="1">PortfolioCFStatement!V773</f>
        <v>0</v>
      </c>
      <c r="T50" s="358">
        <f ca="1">PortfolioCFStatement!W773</f>
        <v>0</v>
      </c>
      <c r="U50" s="358">
        <f ca="1">PortfolioCFStatement!X773</f>
        <v>0</v>
      </c>
      <c r="V50" s="358">
        <f ca="1">PortfolioCFStatement!Y773</f>
        <v>0</v>
      </c>
      <c r="W50" s="358">
        <f ca="1">PortfolioCFStatement!Z773</f>
        <v>0</v>
      </c>
      <c r="X50" s="358">
        <f ca="1">PortfolioCFStatement!AA773</f>
        <v>0</v>
      </c>
      <c r="Y50" s="358">
        <f ca="1">PortfolioCFStatement!AB773</f>
        <v>0</v>
      </c>
      <c r="Z50" s="358">
        <f ca="1">PortfolioCFStatement!AC773</f>
        <v>0</v>
      </c>
      <c r="AA50" s="358">
        <f ca="1">PortfolioCFStatement!AD773</f>
        <v>0</v>
      </c>
      <c r="AB50" s="358">
        <f ca="1">PortfolioCFStatement!AE773</f>
        <v>0</v>
      </c>
      <c r="AC50" s="358">
        <f ca="1">PortfolioCFStatement!AF773</f>
        <v>0</v>
      </c>
      <c r="AD50" s="358">
        <f ca="1">PortfolioCFStatement!AG773</f>
        <v>0</v>
      </c>
      <c r="AE50" s="358">
        <f ca="1">PortfolioCFStatement!AH773</f>
        <v>0</v>
      </c>
      <c r="AF50" s="358">
        <f ca="1">PortfolioCFStatement!AI773</f>
        <v>0</v>
      </c>
      <c r="AG50" s="358">
        <f ca="1">PortfolioCFStatement!AJ773</f>
        <v>0</v>
      </c>
      <c r="AH50" s="358">
        <f ca="1">PortfolioCFStatement!AK773</f>
        <v>0</v>
      </c>
      <c r="AI50" s="358">
        <f ca="1">PortfolioCFStatement!AL773</f>
        <v>0</v>
      </c>
      <c r="AJ50" s="358">
        <f ca="1">PortfolioCFStatement!AM773</f>
        <v>0</v>
      </c>
      <c r="AK50" s="358">
        <f ca="1">PortfolioCFStatement!AN773</f>
        <v>0</v>
      </c>
      <c r="AL50" s="358">
        <f ca="1">PortfolioCFStatement!AO773</f>
        <v>0</v>
      </c>
      <c r="AM50" s="358">
        <f ca="1">PortfolioCFStatement!AP773</f>
        <v>0</v>
      </c>
      <c r="AN50" s="358">
        <f ca="1">PortfolioCFStatement!AQ773</f>
        <v>0</v>
      </c>
      <c r="AO50" s="358">
        <f ca="1">PortfolioCFStatement!AR773</f>
        <v>0</v>
      </c>
      <c r="AP50" s="358">
        <f ca="1">PortfolioCFStatement!AS773</f>
        <v>0</v>
      </c>
      <c r="AQ50" s="358">
        <f ca="1">PortfolioCFStatement!AT773</f>
        <v>0</v>
      </c>
      <c r="AR50" s="358"/>
      <c r="AS50" s="358">
        <f t="shared" ca="1" si="0"/>
        <v>0</v>
      </c>
      <c r="AT50" s="54"/>
      <c r="AU50" s="358">
        <f t="shared" ca="1" si="1"/>
        <v>0</v>
      </c>
      <c r="AV50" s="54"/>
      <c r="AW50" s="358">
        <f t="shared" ca="1" si="2"/>
        <v>0</v>
      </c>
      <c r="AX50" s="54"/>
      <c r="AY50" s="358">
        <f t="shared" ca="1" si="3"/>
        <v>0</v>
      </c>
      <c r="AZ50" s="54"/>
      <c r="BA50" s="358">
        <f t="shared" ca="1" si="4"/>
        <v>0</v>
      </c>
      <c r="BB50" s="54"/>
      <c r="BC50" s="358">
        <f t="shared" ca="1" si="5"/>
        <v>0</v>
      </c>
      <c r="BD50" s="54"/>
      <c r="BE50" s="358">
        <f t="shared" ca="1" si="6"/>
        <v>0</v>
      </c>
    </row>
    <row r="51" spans="1:57" s="10" customFormat="1" hidden="1">
      <c r="A51" s="1271" t="str">
        <f ca="1">PortfolioCFStatement!D774</f>
        <v>Blank</v>
      </c>
      <c r="B51" s="1464" t="str">
        <f>PortfolioCFStatement!E774</f>
        <v>2010$</v>
      </c>
      <c r="C51" s="1460">
        <f ca="1">PortfolioCFStatement!F774</f>
        <v>0</v>
      </c>
      <c r="D51" s="358">
        <f ca="1">PortfolioCFStatement!G774</f>
        <v>0</v>
      </c>
      <c r="E51" s="358">
        <f ca="1">PortfolioCFStatement!H774</f>
        <v>0</v>
      </c>
      <c r="F51" s="358">
        <f ca="1">PortfolioCFStatement!I774</f>
        <v>0</v>
      </c>
      <c r="G51" s="358">
        <f ca="1">PortfolioCFStatement!J774</f>
        <v>0</v>
      </c>
      <c r="H51" s="358">
        <f ca="1">PortfolioCFStatement!K774</f>
        <v>0</v>
      </c>
      <c r="I51" s="358">
        <f ca="1">PortfolioCFStatement!L774</f>
        <v>0</v>
      </c>
      <c r="J51" s="358">
        <f ca="1">PortfolioCFStatement!M774</f>
        <v>0</v>
      </c>
      <c r="K51" s="358">
        <f ca="1">PortfolioCFStatement!N774</f>
        <v>0</v>
      </c>
      <c r="L51" s="358">
        <f ca="1">PortfolioCFStatement!O774</f>
        <v>0</v>
      </c>
      <c r="M51" s="358">
        <f ca="1">PortfolioCFStatement!P774</f>
        <v>0</v>
      </c>
      <c r="N51" s="358">
        <f ca="1">PortfolioCFStatement!Q774</f>
        <v>0</v>
      </c>
      <c r="O51" s="358">
        <f ca="1">PortfolioCFStatement!R774</f>
        <v>0</v>
      </c>
      <c r="P51" s="358">
        <f ca="1">PortfolioCFStatement!S774</f>
        <v>0</v>
      </c>
      <c r="Q51" s="358">
        <f ca="1">PortfolioCFStatement!T774</f>
        <v>0</v>
      </c>
      <c r="R51" s="358">
        <f ca="1">PortfolioCFStatement!U774</f>
        <v>0</v>
      </c>
      <c r="S51" s="358">
        <f ca="1">PortfolioCFStatement!V774</f>
        <v>0</v>
      </c>
      <c r="T51" s="358">
        <f ca="1">PortfolioCFStatement!W774</f>
        <v>0</v>
      </c>
      <c r="U51" s="358">
        <f ca="1">PortfolioCFStatement!X774</f>
        <v>0</v>
      </c>
      <c r="V51" s="358">
        <f ca="1">PortfolioCFStatement!Y774</f>
        <v>0</v>
      </c>
      <c r="W51" s="358">
        <f ca="1">PortfolioCFStatement!Z774</f>
        <v>0</v>
      </c>
      <c r="X51" s="358">
        <f ca="1">PortfolioCFStatement!AA774</f>
        <v>0</v>
      </c>
      <c r="Y51" s="358">
        <f ca="1">PortfolioCFStatement!AB774</f>
        <v>0</v>
      </c>
      <c r="Z51" s="358">
        <f ca="1">PortfolioCFStatement!AC774</f>
        <v>0</v>
      </c>
      <c r="AA51" s="358">
        <f ca="1">PortfolioCFStatement!AD774</f>
        <v>0</v>
      </c>
      <c r="AB51" s="358">
        <f ca="1">PortfolioCFStatement!AE774</f>
        <v>0</v>
      </c>
      <c r="AC51" s="358">
        <f ca="1">PortfolioCFStatement!AF774</f>
        <v>0</v>
      </c>
      <c r="AD51" s="358">
        <f ca="1">PortfolioCFStatement!AG774</f>
        <v>0</v>
      </c>
      <c r="AE51" s="358">
        <f ca="1">PortfolioCFStatement!AH774</f>
        <v>0</v>
      </c>
      <c r="AF51" s="358">
        <f ca="1">PortfolioCFStatement!AI774</f>
        <v>0</v>
      </c>
      <c r="AG51" s="358">
        <f ca="1">PortfolioCFStatement!AJ774</f>
        <v>0</v>
      </c>
      <c r="AH51" s="358">
        <f ca="1">PortfolioCFStatement!AK774</f>
        <v>0</v>
      </c>
      <c r="AI51" s="358">
        <f ca="1">PortfolioCFStatement!AL774</f>
        <v>0</v>
      </c>
      <c r="AJ51" s="358">
        <f ca="1">PortfolioCFStatement!AM774</f>
        <v>0</v>
      </c>
      <c r="AK51" s="358">
        <f ca="1">PortfolioCFStatement!AN774</f>
        <v>0</v>
      </c>
      <c r="AL51" s="358">
        <f ca="1">PortfolioCFStatement!AO774</f>
        <v>0</v>
      </c>
      <c r="AM51" s="358">
        <f ca="1">PortfolioCFStatement!AP774</f>
        <v>0</v>
      </c>
      <c r="AN51" s="358">
        <f ca="1">PortfolioCFStatement!AQ774</f>
        <v>0</v>
      </c>
      <c r="AO51" s="358">
        <f ca="1">PortfolioCFStatement!AR774</f>
        <v>0</v>
      </c>
      <c r="AP51" s="358">
        <f ca="1">PortfolioCFStatement!AS774</f>
        <v>0</v>
      </c>
      <c r="AQ51" s="358">
        <f ca="1">PortfolioCFStatement!AT774</f>
        <v>0</v>
      </c>
      <c r="AR51" s="358"/>
      <c r="AS51" s="358">
        <f t="shared" ca="1" si="0"/>
        <v>0</v>
      </c>
      <c r="AT51" s="54"/>
      <c r="AU51" s="358">
        <f t="shared" ca="1" si="1"/>
        <v>0</v>
      </c>
      <c r="AV51" s="54"/>
      <c r="AW51" s="358">
        <f t="shared" ca="1" si="2"/>
        <v>0</v>
      </c>
      <c r="AX51" s="54"/>
      <c r="AY51" s="358">
        <f t="shared" ca="1" si="3"/>
        <v>0</v>
      </c>
      <c r="AZ51" s="54"/>
      <c r="BA51" s="358">
        <f t="shared" ca="1" si="4"/>
        <v>0</v>
      </c>
      <c r="BB51" s="54"/>
      <c r="BC51" s="358">
        <f t="shared" ca="1" si="5"/>
        <v>0</v>
      </c>
      <c r="BD51" s="54"/>
      <c r="BE51" s="358">
        <f t="shared" ca="1" si="6"/>
        <v>0</v>
      </c>
    </row>
    <row r="52" spans="1:57" s="10" customFormat="1" hidden="1">
      <c r="A52" s="1271" t="str">
        <f ca="1">PortfolioCFStatement!D775</f>
        <v>Blank</v>
      </c>
      <c r="B52" s="1464" t="str">
        <f>PortfolioCFStatement!E775</f>
        <v>2010$</v>
      </c>
      <c r="C52" s="1460">
        <f ca="1">PortfolioCFStatement!F775</f>
        <v>0</v>
      </c>
      <c r="D52" s="358">
        <f ca="1">PortfolioCFStatement!G775</f>
        <v>0</v>
      </c>
      <c r="E52" s="358">
        <f ca="1">PortfolioCFStatement!H775</f>
        <v>0</v>
      </c>
      <c r="F52" s="358">
        <f ca="1">PortfolioCFStatement!I775</f>
        <v>0</v>
      </c>
      <c r="G52" s="358">
        <f ca="1">PortfolioCFStatement!J775</f>
        <v>0</v>
      </c>
      <c r="H52" s="358">
        <f ca="1">PortfolioCFStatement!K775</f>
        <v>0</v>
      </c>
      <c r="I52" s="358">
        <f ca="1">PortfolioCFStatement!L775</f>
        <v>0</v>
      </c>
      <c r="J52" s="358">
        <f ca="1">PortfolioCFStatement!M775</f>
        <v>0</v>
      </c>
      <c r="K52" s="358">
        <f ca="1">PortfolioCFStatement!N775</f>
        <v>0</v>
      </c>
      <c r="L52" s="358">
        <f ca="1">PortfolioCFStatement!O775</f>
        <v>0</v>
      </c>
      <c r="M52" s="358">
        <f ca="1">PortfolioCFStatement!P775</f>
        <v>0</v>
      </c>
      <c r="N52" s="358">
        <f ca="1">PortfolioCFStatement!Q775</f>
        <v>0</v>
      </c>
      <c r="O52" s="358">
        <f ca="1">PortfolioCFStatement!R775</f>
        <v>0</v>
      </c>
      <c r="P52" s="358">
        <f ca="1">PortfolioCFStatement!S775</f>
        <v>0</v>
      </c>
      <c r="Q52" s="358">
        <f ca="1">PortfolioCFStatement!T775</f>
        <v>0</v>
      </c>
      <c r="R52" s="358">
        <f ca="1">PortfolioCFStatement!U775</f>
        <v>0</v>
      </c>
      <c r="S52" s="358">
        <f ca="1">PortfolioCFStatement!V775</f>
        <v>0</v>
      </c>
      <c r="T52" s="358">
        <f ca="1">PortfolioCFStatement!W775</f>
        <v>0</v>
      </c>
      <c r="U52" s="358">
        <f ca="1">PortfolioCFStatement!X775</f>
        <v>0</v>
      </c>
      <c r="V52" s="358">
        <f ca="1">PortfolioCFStatement!Y775</f>
        <v>0</v>
      </c>
      <c r="W52" s="358">
        <f ca="1">PortfolioCFStatement!Z775</f>
        <v>0</v>
      </c>
      <c r="X52" s="358">
        <f ca="1">PortfolioCFStatement!AA775</f>
        <v>0</v>
      </c>
      <c r="Y52" s="358">
        <f ca="1">PortfolioCFStatement!AB775</f>
        <v>0</v>
      </c>
      <c r="Z52" s="358">
        <f ca="1">PortfolioCFStatement!AC775</f>
        <v>0</v>
      </c>
      <c r="AA52" s="358">
        <f ca="1">PortfolioCFStatement!AD775</f>
        <v>0</v>
      </c>
      <c r="AB52" s="358">
        <f ca="1">PortfolioCFStatement!AE775</f>
        <v>0</v>
      </c>
      <c r="AC52" s="358">
        <f ca="1">PortfolioCFStatement!AF775</f>
        <v>0</v>
      </c>
      <c r="AD52" s="358">
        <f ca="1">PortfolioCFStatement!AG775</f>
        <v>0</v>
      </c>
      <c r="AE52" s="358">
        <f ca="1">PortfolioCFStatement!AH775</f>
        <v>0</v>
      </c>
      <c r="AF52" s="358">
        <f ca="1">PortfolioCFStatement!AI775</f>
        <v>0</v>
      </c>
      <c r="AG52" s="358">
        <f ca="1">PortfolioCFStatement!AJ775</f>
        <v>0</v>
      </c>
      <c r="AH52" s="358">
        <f ca="1">PortfolioCFStatement!AK775</f>
        <v>0</v>
      </c>
      <c r="AI52" s="358">
        <f ca="1">PortfolioCFStatement!AL775</f>
        <v>0</v>
      </c>
      <c r="AJ52" s="358">
        <f ca="1">PortfolioCFStatement!AM775</f>
        <v>0</v>
      </c>
      <c r="AK52" s="358">
        <f ca="1">PortfolioCFStatement!AN775</f>
        <v>0</v>
      </c>
      <c r="AL52" s="358">
        <f ca="1">PortfolioCFStatement!AO775</f>
        <v>0</v>
      </c>
      <c r="AM52" s="358">
        <f ca="1">PortfolioCFStatement!AP775</f>
        <v>0</v>
      </c>
      <c r="AN52" s="358">
        <f ca="1">PortfolioCFStatement!AQ775</f>
        <v>0</v>
      </c>
      <c r="AO52" s="358">
        <f ca="1">PortfolioCFStatement!AR775</f>
        <v>0</v>
      </c>
      <c r="AP52" s="358">
        <f ca="1">PortfolioCFStatement!AS775</f>
        <v>0</v>
      </c>
      <c r="AQ52" s="358">
        <f ca="1">PortfolioCFStatement!AT775</f>
        <v>0</v>
      </c>
      <c r="AR52" s="358"/>
      <c r="AS52" s="358">
        <f t="shared" ca="1" si="0"/>
        <v>0</v>
      </c>
      <c r="AT52" s="54"/>
      <c r="AU52" s="358">
        <f t="shared" ca="1" si="1"/>
        <v>0</v>
      </c>
      <c r="AV52" s="54"/>
      <c r="AW52" s="358">
        <f t="shared" ca="1" si="2"/>
        <v>0</v>
      </c>
      <c r="AX52" s="54"/>
      <c r="AY52" s="358">
        <f t="shared" ca="1" si="3"/>
        <v>0</v>
      </c>
      <c r="AZ52" s="54"/>
      <c r="BA52" s="358">
        <f t="shared" ca="1" si="4"/>
        <v>0</v>
      </c>
      <c r="BB52" s="54"/>
      <c r="BC52" s="358">
        <f t="shared" ca="1" si="5"/>
        <v>0</v>
      </c>
      <c r="BD52" s="54"/>
      <c r="BE52" s="358">
        <f t="shared" ca="1" si="6"/>
        <v>0</v>
      </c>
    </row>
    <row r="53" spans="1:57" s="10" customFormat="1" hidden="1">
      <c r="A53" s="1271" t="str">
        <f ca="1">PortfolioCFStatement!D776</f>
        <v>Blank</v>
      </c>
      <c r="B53" s="1464" t="str">
        <f>PortfolioCFStatement!E776</f>
        <v>2010$</v>
      </c>
      <c r="C53" s="1460">
        <f ca="1">PortfolioCFStatement!F776</f>
        <v>0</v>
      </c>
      <c r="D53" s="358">
        <f ca="1">PortfolioCFStatement!G776</f>
        <v>0</v>
      </c>
      <c r="E53" s="358">
        <f ca="1">PortfolioCFStatement!H776</f>
        <v>0</v>
      </c>
      <c r="F53" s="358">
        <f ca="1">PortfolioCFStatement!I776</f>
        <v>0</v>
      </c>
      <c r="G53" s="358">
        <f ca="1">PortfolioCFStatement!J776</f>
        <v>0</v>
      </c>
      <c r="H53" s="358">
        <f ca="1">PortfolioCFStatement!K776</f>
        <v>0</v>
      </c>
      <c r="I53" s="358">
        <f ca="1">PortfolioCFStatement!L776</f>
        <v>0</v>
      </c>
      <c r="J53" s="358">
        <f ca="1">PortfolioCFStatement!M776</f>
        <v>0</v>
      </c>
      <c r="K53" s="358">
        <f ca="1">PortfolioCFStatement!N776</f>
        <v>0</v>
      </c>
      <c r="L53" s="358">
        <f ca="1">PortfolioCFStatement!O776</f>
        <v>0</v>
      </c>
      <c r="M53" s="358">
        <f ca="1">PortfolioCFStatement!P776</f>
        <v>0</v>
      </c>
      <c r="N53" s="358">
        <f ca="1">PortfolioCFStatement!Q776</f>
        <v>0</v>
      </c>
      <c r="O53" s="358">
        <f ca="1">PortfolioCFStatement!R776</f>
        <v>0</v>
      </c>
      <c r="P53" s="358">
        <f ca="1">PortfolioCFStatement!S776</f>
        <v>0</v>
      </c>
      <c r="Q53" s="358">
        <f ca="1">PortfolioCFStatement!T776</f>
        <v>0</v>
      </c>
      <c r="R53" s="358">
        <f ca="1">PortfolioCFStatement!U776</f>
        <v>0</v>
      </c>
      <c r="S53" s="358">
        <f ca="1">PortfolioCFStatement!V776</f>
        <v>0</v>
      </c>
      <c r="T53" s="358">
        <f ca="1">PortfolioCFStatement!W776</f>
        <v>0</v>
      </c>
      <c r="U53" s="358">
        <f ca="1">PortfolioCFStatement!X776</f>
        <v>0</v>
      </c>
      <c r="V53" s="358">
        <f ca="1">PortfolioCFStatement!Y776</f>
        <v>0</v>
      </c>
      <c r="W53" s="358">
        <f ca="1">PortfolioCFStatement!Z776</f>
        <v>0</v>
      </c>
      <c r="X53" s="358">
        <f ca="1">PortfolioCFStatement!AA776</f>
        <v>0</v>
      </c>
      <c r="Y53" s="358">
        <f ca="1">PortfolioCFStatement!AB776</f>
        <v>0</v>
      </c>
      <c r="Z53" s="358">
        <f ca="1">PortfolioCFStatement!AC776</f>
        <v>0</v>
      </c>
      <c r="AA53" s="358">
        <f ca="1">PortfolioCFStatement!AD776</f>
        <v>0</v>
      </c>
      <c r="AB53" s="358">
        <f ca="1">PortfolioCFStatement!AE776</f>
        <v>0</v>
      </c>
      <c r="AC53" s="358">
        <f ca="1">PortfolioCFStatement!AF776</f>
        <v>0</v>
      </c>
      <c r="AD53" s="358">
        <f ca="1">PortfolioCFStatement!AG776</f>
        <v>0</v>
      </c>
      <c r="AE53" s="358">
        <f ca="1">PortfolioCFStatement!AH776</f>
        <v>0</v>
      </c>
      <c r="AF53" s="358">
        <f ca="1">PortfolioCFStatement!AI776</f>
        <v>0</v>
      </c>
      <c r="AG53" s="358">
        <f ca="1">PortfolioCFStatement!AJ776</f>
        <v>0</v>
      </c>
      <c r="AH53" s="358">
        <f ca="1">PortfolioCFStatement!AK776</f>
        <v>0</v>
      </c>
      <c r="AI53" s="358">
        <f ca="1">PortfolioCFStatement!AL776</f>
        <v>0</v>
      </c>
      <c r="AJ53" s="358">
        <f ca="1">PortfolioCFStatement!AM776</f>
        <v>0</v>
      </c>
      <c r="AK53" s="358">
        <f ca="1">PortfolioCFStatement!AN776</f>
        <v>0</v>
      </c>
      <c r="AL53" s="358">
        <f ca="1">PortfolioCFStatement!AO776</f>
        <v>0</v>
      </c>
      <c r="AM53" s="358">
        <f ca="1">PortfolioCFStatement!AP776</f>
        <v>0</v>
      </c>
      <c r="AN53" s="358">
        <f ca="1">PortfolioCFStatement!AQ776</f>
        <v>0</v>
      </c>
      <c r="AO53" s="358">
        <f ca="1">PortfolioCFStatement!AR776</f>
        <v>0</v>
      </c>
      <c r="AP53" s="358">
        <f ca="1">PortfolioCFStatement!AS776</f>
        <v>0</v>
      </c>
      <c r="AQ53" s="358">
        <f ca="1">PortfolioCFStatement!AT776</f>
        <v>0</v>
      </c>
      <c r="AR53" s="358"/>
      <c r="AS53" s="358">
        <f t="shared" ca="1" si="0"/>
        <v>0</v>
      </c>
      <c r="AT53" s="54"/>
      <c r="AU53" s="358">
        <f t="shared" ca="1" si="1"/>
        <v>0</v>
      </c>
      <c r="AV53" s="54"/>
      <c r="AW53" s="358">
        <f t="shared" ca="1" si="2"/>
        <v>0</v>
      </c>
      <c r="AX53" s="54"/>
      <c r="AY53" s="358">
        <f t="shared" ca="1" si="3"/>
        <v>0</v>
      </c>
      <c r="AZ53" s="54"/>
      <c r="BA53" s="358">
        <f t="shared" ca="1" si="4"/>
        <v>0</v>
      </c>
      <c r="BB53" s="54"/>
      <c r="BC53" s="358">
        <f t="shared" ca="1" si="5"/>
        <v>0</v>
      </c>
      <c r="BD53" s="54"/>
      <c r="BE53" s="358">
        <f t="shared" ca="1" si="6"/>
        <v>0</v>
      </c>
    </row>
    <row r="54" spans="1:57" s="10" customFormat="1" hidden="1">
      <c r="A54" s="1271" t="str">
        <f ca="1">PortfolioCFStatement!D777</f>
        <v>Blank</v>
      </c>
      <c r="B54" s="1464" t="str">
        <f>PortfolioCFStatement!E777</f>
        <v>2010$</v>
      </c>
      <c r="C54" s="1460">
        <f ca="1">PortfolioCFStatement!F777</f>
        <v>0</v>
      </c>
      <c r="D54" s="358">
        <f ca="1">PortfolioCFStatement!G777</f>
        <v>0</v>
      </c>
      <c r="E54" s="358">
        <f ca="1">PortfolioCFStatement!H777</f>
        <v>0</v>
      </c>
      <c r="F54" s="358">
        <f ca="1">PortfolioCFStatement!I777</f>
        <v>0</v>
      </c>
      <c r="G54" s="358">
        <f ca="1">PortfolioCFStatement!J777</f>
        <v>0</v>
      </c>
      <c r="H54" s="358">
        <f ca="1">PortfolioCFStatement!K777</f>
        <v>0</v>
      </c>
      <c r="I54" s="358">
        <f ca="1">PortfolioCFStatement!L777</f>
        <v>0</v>
      </c>
      <c r="J54" s="358">
        <f ca="1">PortfolioCFStatement!M777</f>
        <v>0</v>
      </c>
      <c r="K54" s="358">
        <f ca="1">PortfolioCFStatement!N777</f>
        <v>0</v>
      </c>
      <c r="L54" s="358">
        <f ca="1">PortfolioCFStatement!O777</f>
        <v>0</v>
      </c>
      <c r="M54" s="358">
        <f ca="1">PortfolioCFStatement!P777</f>
        <v>0</v>
      </c>
      <c r="N54" s="358">
        <f ca="1">PortfolioCFStatement!Q777</f>
        <v>0</v>
      </c>
      <c r="O54" s="358">
        <f ca="1">PortfolioCFStatement!R777</f>
        <v>0</v>
      </c>
      <c r="P54" s="358">
        <f ca="1">PortfolioCFStatement!S777</f>
        <v>0</v>
      </c>
      <c r="Q54" s="358">
        <f ca="1">PortfolioCFStatement!T777</f>
        <v>0</v>
      </c>
      <c r="R54" s="358">
        <f ca="1">PortfolioCFStatement!U777</f>
        <v>0</v>
      </c>
      <c r="S54" s="358">
        <f ca="1">PortfolioCFStatement!V777</f>
        <v>0</v>
      </c>
      <c r="T54" s="358">
        <f ca="1">PortfolioCFStatement!W777</f>
        <v>0</v>
      </c>
      <c r="U54" s="358">
        <f ca="1">PortfolioCFStatement!X777</f>
        <v>0</v>
      </c>
      <c r="V54" s="358">
        <f ca="1">PortfolioCFStatement!Y777</f>
        <v>0</v>
      </c>
      <c r="W54" s="358">
        <f ca="1">PortfolioCFStatement!Z777</f>
        <v>0</v>
      </c>
      <c r="X54" s="358">
        <f ca="1">PortfolioCFStatement!AA777</f>
        <v>0</v>
      </c>
      <c r="Y54" s="358">
        <f ca="1">PortfolioCFStatement!AB777</f>
        <v>0</v>
      </c>
      <c r="Z54" s="358">
        <f ca="1">PortfolioCFStatement!AC777</f>
        <v>0</v>
      </c>
      <c r="AA54" s="358">
        <f ca="1">PortfolioCFStatement!AD777</f>
        <v>0</v>
      </c>
      <c r="AB54" s="358">
        <f ca="1">PortfolioCFStatement!AE777</f>
        <v>0</v>
      </c>
      <c r="AC54" s="358">
        <f ca="1">PortfolioCFStatement!AF777</f>
        <v>0</v>
      </c>
      <c r="AD54" s="358">
        <f ca="1">PortfolioCFStatement!AG777</f>
        <v>0</v>
      </c>
      <c r="AE54" s="358">
        <f ca="1">PortfolioCFStatement!AH777</f>
        <v>0</v>
      </c>
      <c r="AF54" s="358">
        <f ca="1">PortfolioCFStatement!AI777</f>
        <v>0</v>
      </c>
      <c r="AG54" s="358">
        <f ca="1">PortfolioCFStatement!AJ777</f>
        <v>0</v>
      </c>
      <c r="AH54" s="358">
        <f ca="1">PortfolioCFStatement!AK777</f>
        <v>0</v>
      </c>
      <c r="AI54" s="358">
        <f ca="1">PortfolioCFStatement!AL777</f>
        <v>0</v>
      </c>
      <c r="AJ54" s="358">
        <f ca="1">PortfolioCFStatement!AM777</f>
        <v>0</v>
      </c>
      <c r="AK54" s="358">
        <f ca="1">PortfolioCFStatement!AN777</f>
        <v>0</v>
      </c>
      <c r="AL54" s="358">
        <f ca="1">PortfolioCFStatement!AO777</f>
        <v>0</v>
      </c>
      <c r="AM54" s="358">
        <f ca="1">PortfolioCFStatement!AP777</f>
        <v>0</v>
      </c>
      <c r="AN54" s="358">
        <f ca="1">PortfolioCFStatement!AQ777</f>
        <v>0</v>
      </c>
      <c r="AO54" s="358">
        <f ca="1">PortfolioCFStatement!AR777</f>
        <v>0</v>
      </c>
      <c r="AP54" s="358">
        <f ca="1">PortfolioCFStatement!AS777</f>
        <v>0</v>
      </c>
      <c r="AQ54" s="358">
        <f ca="1">PortfolioCFStatement!AT777</f>
        <v>0</v>
      </c>
      <c r="AR54" s="358"/>
      <c r="AS54" s="358">
        <f t="shared" ca="1" si="0"/>
        <v>0</v>
      </c>
      <c r="AT54" s="54"/>
      <c r="AU54" s="358">
        <f t="shared" ca="1" si="1"/>
        <v>0</v>
      </c>
      <c r="AV54" s="54"/>
      <c r="AW54" s="358">
        <f t="shared" ca="1" si="2"/>
        <v>0</v>
      </c>
      <c r="AX54" s="54"/>
      <c r="AY54" s="358">
        <f t="shared" ca="1" si="3"/>
        <v>0</v>
      </c>
      <c r="AZ54" s="54"/>
      <c r="BA54" s="358">
        <f t="shared" ca="1" si="4"/>
        <v>0</v>
      </c>
      <c r="BB54" s="54"/>
      <c r="BC54" s="358">
        <f t="shared" ca="1" si="5"/>
        <v>0</v>
      </c>
      <c r="BD54" s="54"/>
      <c r="BE54" s="358">
        <f t="shared" ca="1" si="6"/>
        <v>0</v>
      </c>
    </row>
    <row r="55" spans="1:57" s="10" customFormat="1" hidden="1">
      <c r="A55" s="1271" t="str">
        <f ca="1">PortfolioCFStatement!D778</f>
        <v>Blank</v>
      </c>
      <c r="B55" s="1464" t="str">
        <f>PortfolioCFStatement!E778</f>
        <v>2010$</v>
      </c>
      <c r="C55" s="1460">
        <f ca="1">PortfolioCFStatement!F778</f>
        <v>0</v>
      </c>
      <c r="D55" s="358">
        <f ca="1">PortfolioCFStatement!G778</f>
        <v>0</v>
      </c>
      <c r="E55" s="358">
        <f ca="1">PortfolioCFStatement!H778</f>
        <v>0</v>
      </c>
      <c r="F55" s="358">
        <f ca="1">PortfolioCFStatement!I778</f>
        <v>0</v>
      </c>
      <c r="G55" s="358">
        <f ca="1">PortfolioCFStatement!J778</f>
        <v>0</v>
      </c>
      <c r="H55" s="358">
        <f ca="1">PortfolioCFStatement!K778</f>
        <v>0</v>
      </c>
      <c r="I55" s="358">
        <f ca="1">PortfolioCFStatement!L778</f>
        <v>0</v>
      </c>
      <c r="J55" s="358">
        <f ca="1">PortfolioCFStatement!M778</f>
        <v>0</v>
      </c>
      <c r="K55" s="358">
        <f ca="1">PortfolioCFStatement!N778</f>
        <v>0</v>
      </c>
      <c r="L55" s="358">
        <f ca="1">PortfolioCFStatement!O778</f>
        <v>0</v>
      </c>
      <c r="M55" s="358">
        <f ca="1">PortfolioCFStatement!P778</f>
        <v>0</v>
      </c>
      <c r="N55" s="358">
        <f ca="1">PortfolioCFStatement!Q778</f>
        <v>0</v>
      </c>
      <c r="O55" s="358">
        <f ca="1">PortfolioCFStatement!R778</f>
        <v>0</v>
      </c>
      <c r="P55" s="358">
        <f ca="1">PortfolioCFStatement!S778</f>
        <v>0</v>
      </c>
      <c r="Q55" s="358">
        <f ca="1">PortfolioCFStatement!T778</f>
        <v>0</v>
      </c>
      <c r="R55" s="358">
        <f ca="1">PortfolioCFStatement!U778</f>
        <v>0</v>
      </c>
      <c r="S55" s="358">
        <f ca="1">PortfolioCFStatement!V778</f>
        <v>0</v>
      </c>
      <c r="T55" s="358">
        <f ca="1">PortfolioCFStatement!W778</f>
        <v>0</v>
      </c>
      <c r="U55" s="358">
        <f ca="1">PortfolioCFStatement!X778</f>
        <v>0</v>
      </c>
      <c r="V55" s="358">
        <f ca="1">PortfolioCFStatement!Y778</f>
        <v>0</v>
      </c>
      <c r="W55" s="358">
        <f ca="1">PortfolioCFStatement!Z778</f>
        <v>0</v>
      </c>
      <c r="X55" s="358">
        <f ca="1">PortfolioCFStatement!AA778</f>
        <v>0</v>
      </c>
      <c r="Y55" s="358">
        <f ca="1">PortfolioCFStatement!AB778</f>
        <v>0</v>
      </c>
      <c r="Z55" s="358">
        <f ca="1">PortfolioCFStatement!AC778</f>
        <v>0</v>
      </c>
      <c r="AA55" s="358">
        <f ca="1">PortfolioCFStatement!AD778</f>
        <v>0</v>
      </c>
      <c r="AB55" s="358">
        <f ca="1">PortfolioCFStatement!AE778</f>
        <v>0</v>
      </c>
      <c r="AC55" s="358">
        <f ca="1">PortfolioCFStatement!AF778</f>
        <v>0</v>
      </c>
      <c r="AD55" s="358">
        <f ca="1">PortfolioCFStatement!AG778</f>
        <v>0</v>
      </c>
      <c r="AE55" s="358">
        <f ca="1">PortfolioCFStatement!AH778</f>
        <v>0</v>
      </c>
      <c r="AF55" s="358">
        <f ca="1">PortfolioCFStatement!AI778</f>
        <v>0</v>
      </c>
      <c r="AG55" s="358">
        <f ca="1">PortfolioCFStatement!AJ778</f>
        <v>0</v>
      </c>
      <c r="AH55" s="358">
        <f ca="1">PortfolioCFStatement!AK778</f>
        <v>0</v>
      </c>
      <c r="AI55" s="358">
        <f ca="1">PortfolioCFStatement!AL778</f>
        <v>0</v>
      </c>
      <c r="AJ55" s="358">
        <f ca="1">PortfolioCFStatement!AM778</f>
        <v>0</v>
      </c>
      <c r="AK55" s="358">
        <f ca="1">PortfolioCFStatement!AN778</f>
        <v>0</v>
      </c>
      <c r="AL55" s="358">
        <f ca="1">PortfolioCFStatement!AO778</f>
        <v>0</v>
      </c>
      <c r="AM55" s="358">
        <f ca="1">PortfolioCFStatement!AP778</f>
        <v>0</v>
      </c>
      <c r="AN55" s="358">
        <f ca="1">PortfolioCFStatement!AQ778</f>
        <v>0</v>
      </c>
      <c r="AO55" s="358">
        <f ca="1">PortfolioCFStatement!AR778</f>
        <v>0</v>
      </c>
      <c r="AP55" s="358">
        <f ca="1">PortfolioCFStatement!AS778</f>
        <v>0</v>
      </c>
      <c r="AQ55" s="358">
        <f ca="1">PortfolioCFStatement!AT778</f>
        <v>0</v>
      </c>
      <c r="AR55" s="358"/>
      <c r="AS55" s="358">
        <f t="shared" ca="1" si="0"/>
        <v>0</v>
      </c>
      <c r="AT55" s="54"/>
      <c r="AU55" s="358">
        <f t="shared" ca="1" si="1"/>
        <v>0</v>
      </c>
      <c r="AV55" s="54"/>
      <c r="AW55" s="358">
        <f t="shared" ca="1" si="2"/>
        <v>0</v>
      </c>
      <c r="AX55" s="54"/>
      <c r="AY55" s="358">
        <f t="shared" ca="1" si="3"/>
        <v>0</v>
      </c>
      <c r="AZ55" s="54"/>
      <c r="BA55" s="358">
        <f t="shared" ca="1" si="4"/>
        <v>0</v>
      </c>
      <c r="BB55" s="54"/>
      <c r="BC55" s="358">
        <f t="shared" ca="1" si="5"/>
        <v>0</v>
      </c>
      <c r="BD55" s="54"/>
      <c r="BE55" s="358">
        <f t="shared" ca="1" si="6"/>
        <v>0</v>
      </c>
    </row>
    <row r="56" spans="1:57" s="10" customFormat="1" hidden="1">
      <c r="A56" s="1271" t="str">
        <f ca="1">PortfolioCFStatement!D779</f>
        <v>Blank</v>
      </c>
      <c r="B56" s="1464" t="str">
        <f>PortfolioCFStatement!E779</f>
        <v>2010$</v>
      </c>
      <c r="C56" s="1460">
        <f ca="1">PortfolioCFStatement!F779</f>
        <v>0</v>
      </c>
      <c r="D56" s="358">
        <f ca="1">PortfolioCFStatement!G779</f>
        <v>0</v>
      </c>
      <c r="E56" s="358">
        <f ca="1">PortfolioCFStatement!H779</f>
        <v>0</v>
      </c>
      <c r="F56" s="358">
        <f ca="1">PortfolioCFStatement!I779</f>
        <v>0</v>
      </c>
      <c r="G56" s="358">
        <f ca="1">PortfolioCFStatement!J779</f>
        <v>0</v>
      </c>
      <c r="H56" s="358">
        <f ca="1">PortfolioCFStatement!K779</f>
        <v>0</v>
      </c>
      <c r="I56" s="358">
        <f ca="1">PortfolioCFStatement!L779</f>
        <v>0</v>
      </c>
      <c r="J56" s="358">
        <f ca="1">PortfolioCFStatement!M779</f>
        <v>0</v>
      </c>
      <c r="K56" s="358">
        <f ca="1">PortfolioCFStatement!N779</f>
        <v>0</v>
      </c>
      <c r="L56" s="358">
        <f ca="1">PortfolioCFStatement!O779</f>
        <v>0</v>
      </c>
      <c r="M56" s="358">
        <f ca="1">PortfolioCFStatement!P779</f>
        <v>0</v>
      </c>
      <c r="N56" s="358">
        <f ca="1">PortfolioCFStatement!Q779</f>
        <v>0</v>
      </c>
      <c r="O56" s="358">
        <f ca="1">PortfolioCFStatement!R779</f>
        <v>0</v>
      </c>
      <c r="P56" s="358">
        <f ca="1">PortfolioCFStatement!S779</f>
        <v>0</v>
      </c>
      <c r="Q56" s="358">
        <f ca="1">PortfolioCFStatement!T779</f>
        <v>0</v>
      </c>
      <c r="R56" s="358">
        <f ca="1">PortfolioCFStatement!U779</f>
        <v>0</v>
      </c>
      <c r="S56" s="358">
        <f ca="1">PortfolioCFStatement!V779</f>
        <v>0</v>
      </c>
      <c r="T56" s="358">
        <f ca="1">PortfolioCFStatement!W779</f>
        <v>0</v>
      </c>
      <c r="U56" s="358">
        <f ca="1">PortfolioCFStatement!X779</f>
        <v>0</v>
      </c>
      <c r="V56" s="358">
        <f ca="1">PortfolioCFStatement!Y779</f>
        <v>0</v>
      </c>
      <c r="W56" s="358">
        <f ca="1">PortfolioCFStatement!Z779</f>
        <v>0</v>
      </c>
      <c r="X56" s="358">
        <f ca="1">PortfolioCFStatement!AA779</f>
        <v>0</v>
      </c>
      <c r="Y56" s="358">
        <f ca="1">PortfolioCFStatement!AB779</f>
        <v>0</v>
      </c>
      <c r="Z56" s="358">
        <f ca="1">PortfolioCFStatement!AC779</f>
        <v>0</v>
      </c>
      <c r="AA56" s="358">
        <f ca="1">PortfolioCFStatement!AD779</f>
        <v>0</v>
      </c>
      <c r="AB56" s="358">
        <f ca="1">PortfolioCFStatement!AE779</f>
        <v>0</v>
      </c>
      <c r="AC56" s="358">
        <f ca="1">PortfolioCFStatement!AF779</f>
        <v>0</v>
      </c>
      <c r="AD56" s="358">
        <f ca="1">PortfolioCFStatement!AG779</f>
        <v>0</v>
      </c>
      <c r="AE56" s="358">
        <f ca="1">PortfolioCFStatement!AH779</f>
        <v>0</v>
      </c>
      <c r="AF56" s="358">
        <f ca="1">PortfolioCFStatement!AI779</f>
        <v>0</v>
      </c>
      <c r="AG56" s="358">
        <f ca="1">PortfolioCFStatement!AJ779</f>
        <v>0</v>
      </c>
      <c r="AH56" s="358">
        <f ca="1">PortfolioCFStatement!AK779</f>
        <v>0</v>
      </c>
      <c r="AI56" s="358">
        <f ca="1">PortfolioCFStatement!AL779</f>
        <v>0</v>
      </c>
      <c r="AJ56" s="358">
        <f ca="1">PortfolioCFStatement!AM779</f>
        <v>0</v>
      </c>
      <c r="AK56" s="358">
        <f ca="1">PortfolioCFStatement!AN779</f>
        <v>0</v>
      </c>
      <c r="AL56" s="358">
        <f ca="1">PortfolioCFStatement!AO779</f>
        <v>0</v>
      </c>
      <c r="AM56" s="358">
        <f ca="1">PortfolioCFStatement!AP779</f>
        <v>0</v>
      </c>
      <c r="AN56" s="358">
        <f ca="1">PortfolioCFStatement!AQ779</f>
        <v>0</v>
      </c>
      <c r="AO56" s="358">
        <f ca="1">PortfolioCFStatement!AR779</f>
        <v>0</v>
      </c>
      <c r="AP56" s="358">
        <f ca="1">PortfolioCFStatement!AS779</f>
        <v>0</v>
      </c>
      <c r="AQ56" s="358">
        <f ca="1">PortfolioCFStatement!AT779</f>
        <v>0</v>
      </c>
      <c r="AR56" s="358"/>
      <c r="AS56" s="358">
        <f t="shared" ca="1" si="0"/>
        <v>0</v>
      </c>
      <c r="AT56" s="54"/>
      <c r="AU56" s="358">
        <f t="shared" ca="1" si="1"/>
        <v>0</v>
      </c>
      <c r="AV56" s="54"/>
      <c r="AW56" s="358">
        <f t="shared" ca="1" si="2"/>
        <v>0</v>
      </c>
      <c r="AX56" s="54"/>
      <c r="AY56" s="358">
        <f t="shared" ca="1" si="3"/>
        <v>0</v>
      </c>
      <c r="AZ56" s="54"/>
      <c r="BA56" s="358">
        <f t="shared" ca="1" si="4"/>
        <v>0</v>
      </c>
      <c r="BB56" s="54"/>
      <c r="BC56" s="358">
        <f t="shared" ca="1" si="5"/>
        <v>0</v>
      </c>
      <c r="BD56" s="54"/>
      <c r="BE56" s="358">
        <f t="shared" ca="1" si="6"/>
        <v>0</v>
      </c>
    </row>
    <row r="57" spans="1:57" s="10" customFormat="1" hidden="1">
      <c r="A57" s="1271" t="str">
        <f ca="1">PortfolioCFStatement!D780</f>
        <v>Blank</v>
      </c>
      <c r="B57" s="1464" t="str">
        <f>PortfolioCFStatement!E780</f>
        <v>2010$</v>
      </c>
      <c r="C57" s="1460">
        <f ca="1">PortfolioCFStatement!F780</f>
        <v>0</v>
      </c>
      <c r="D57" s="358">
        <f ca="1">PortfolioCFStatement!G780</f>
        <v>0</v>
      </c>
      <c r="E57" s="358">
        <f ca="1">PortfolioCFStatement!H780</f>
        <v>0</v>
      </c>
      <c r="F57" s="358">
        <f ca="1">PortfolioCFStatement!I780</f>
        <v>0</v>
      </c>
      <c r="G57" s="358">
        <f ca="1">PortfolioCFStatement!J780</f>
        <v>0</v>
      </c>
      <c r="H57" s="358">
        <f ca="1">PortfolioCFStatement!K780</f>
        <v>0</v>
      </c>
      <c r="I57" s="358">
        <f ca="1">PortfolioCFStatement!L780</f>
        <v>0</v>
      </c>
      <c r="J57" s="358">
        <f ca="1">PortfolioCFStatement!M780</f>
        <v>0</v>
      </c>
      <c r="K57" s="358">
        <f ca="1">PortfolioCFStatement!N780</f>
        <v>0</v>
      </c>
      <c r="L57" s="358">
        <f ca="1">PortfolioCFStatement!O780</f>
        <v>0</v>
      </c>
      <c r="M57" s="358">
        <f ca="1">PortfolioCFStatement!P780</f>
        <v>0</v>
      </c>
      <c r="N57" s="358">
        <f ca="1">PortfolioCFStatement!Q780</f>
        <v>0</v>
      </c>
      <c r="O57" s="358">
        <f ca="1">PortfolioCFStatement!R780</f>
        <v>0</v>
      </c>
      <c r="P57" s="358">
        <f ca="1">PortfolioCFStatement!S780</f>
        <v>0</v>
      </c>
      <c r="Q57" s="358">
        <f ca="1">PortfolioCFStatement!T780</f>
        <v>0</v>
      </c>
      <c r="R57" s="358">
        <f ca="1">PortfolioCFStatement!U780</f>
        <v>0</v>
      </c>
      <c r="S57" s="358">
        <f ca="1">PortfolioCFStatement!V780</f>
        <v>0</v>
      </c>
      <c r="T57" s="358">
        <f ca="1">PortfolioCFStatement!W780</f>
        <v>0</v>
      </c>
      <c r="U57" s="358">
        <f ca="1">PortfolioCFStatement!X780</f>
        <v>0</v>
      </c>
      <c r="V57" s="358">
        <f ca="1">PortfolioCFStatement!Y780</f>
        <v>0</v>
      </c>
      <c r="W57" s="358">
        <f ca="1">PortfolioCFStatement!Z780</f>
        <v>0</v>
      </c>
      <c r="X57" s="358">
        <f ca="1">PortfolioCFStatement!AA780</f>
        <v>0</v>
      </c>
      <c r="Y57" s="358">
        <f ca="1">PortfolioCFStatement!AB780</f>
        <v>0</v>
      </c>
      <c r="Z57" s="358">
        <f ca="1">PortfolioCFStatement!AC780</f>
        <v>0</v>
      </c>
      <c r="AA57" s="358">
        <f ca="1">PortfolioCFStatement!AD780</f>
        <v>0</v>
      </c>
      <c r="AB57" s="358">
        <f ca="1">PortfolioCFStatement!AE780</f>
        <v>0</v>
      </c>
      <c r="AC57" s="358">
        <f ca="1">PortfolioCFStatement!AF780</f>
        <v>0</v>
      </c>
      <c r="AD57" s="358">
        <f ca="1">PortfolioCFStatement!AG780</f>
        <v>0</v>
      </c>
      <c r="AE57" s="358">
        <f ca="1">PortfolioCFStatement!AH780</f>
        <v>0</v>
      </c>
      <c r="AF57" s="358">
        <f ca="1">PortfolioCFStatement!AI780</f>
        <v>0</v>
      </c>
      <c r="AG57" s="358">
        <f ca="1">PortfolioCFStatement!AJ780</f>
        <v>0</v>
      </c>
      <c r="AH57" s="358">
        <f ca="1">PortfolioCFStatement!AK780</f>
        <v>0</v>
      </c>
      <c r="AI57" s="358">
        <f ca="1">PortfolioCFStatement!AL780</f>
        <v>0</v>
      </c>
      <c r="AJ57" s="358">
        <f ca="1">PortfolioCFStatement!AM780</f>
        <v>0</v>
      </c>
      <c r="AK57" s="358">
        <f ca="1">PortfolioCFStatement!AN780</f>
        <v>0</v>
      </c>
      <c r="AL57" s="358">
        <f ca="1">PortfolioCFStatement!AO780</f>
        <v>0</v>
      </c>
      <c r="AM57" s="358">
        <f ca="1">PortfolioCFStatement!AP780</f>
        <v>0</v>
      </c>
      <c r="AN57" s="358">
        <f ca="1">PortfolioCFStatement!AQ780</f>
        <v>0</v>
      </c>
      <c r="AO57" s="358">
        <f ca="1">PortfolioCFStatement!AR780</f>
        <v>0</v>
      </c>
      <c r="AP57" s="358">
        <f ca="1">PortfolioCFStatement!AS780</f>
        <v>0</v>
      </c>
      <c r="AQ57" s="358">
        <f ca="1">PortfolioCFStatement!AT780</f>
        <v>0</v>
      </c>
      <c r="AR57" s="358"/>
      <c r="AS57" s="358">
        <f t="shared" ca="1" si="0"/>
        <v>0</v>
      </c>
      <c r="AT57" s="54"/>
      <c r="AU57" s="358">
        <f t="shared" ca="1" si="1"/>
        <v>0</v>
      </c>
      <c r="AV57" s="54"/>
      <c r="AW57" s="358">
        <f t="shared" ca="1" si="2"/>
        <v>0</v>
      </c>
      <c r="AX57" s="54"/>
      <c r="AY57" s="358">
        <f t="shared" ca="1" si="3"/>
        <v>0</v>
      </c>
      <c r="AZ57" s="54"/>
      <c r="BA57" s="358">
        <f t="shared" ca="1" si="4"/>
        <v>0</v>
      </c>
      <c r="BB57" s="54"/>
      <c r="BC57" s="358">
        <f t="shared" ca="1" si="5"/>
        <v>0</v>
      </c>
      <c r="BD57" s="54"/>
      <c r="BE57" s="358">
        <f t="shared" ca="1" si="6"/>
        <v>0</v>
      </c>
    </row>
    <row r="58" spans="1:57" s="10" customFormat="1" hidden="1">
      <c r="A58" s="1271" t="str">
        <f ca="1">PortfolioCFStatement!D781</f>
        <v>Blank</v>
      </c>
      <c r="B58" s="1464" t="str">
        <f>PortfolioCFStatement!E781</f>
        <v>2010$</v>
      </c>
      <c r="C58" s="1460">
        <f ca="1">PortfolioCFStatement!F781</f>
        <v>0</v>
      </c>
      <c r="D58" s="358">
        <f ca="1">PortfolioCFStatement!G781</f>
        <v>0</v>
      </c>
      <c r="E58" s="358">
        <f ca="1">PortfolioCFStatement!H781</f>
        <v>0</v>
      </c>
      <c r="F58" s="358">
        <f ca="1">PortfolioCFStatement!I781</f>
        <v>0</v>
      </c>
      <c r="G58" s="358">
        <f ca="1">PortfolioCFStatement!J781</f>
        <v>0</v>
      </c>
      <c r="H58" s="358">
        <f ca="1">PortfolioCFStatement!K781</f>
        <v>0</v>
      </c>
      <c r="I58" s="358">
        <f ca="1">PortfolioCFStatement!L781</f>
        <v>0</v>
      </c>
      <c r="J58" s="358">
        <f ca="1">PortfolioCFStatement!M781</f>
        <v>0</v>
      </c>
      <c r="K58" s="358">
        <f ca="1">PortfolioCFStatement!N781</f>
        <v>0</v>
      </c>
      <c r="L58" s="358">
        <f ca="1">PortfolioCFStatement!O781</f>
        <v>0</v>
      </c>
      <c r="M58" s="358">
        <f ca="1">PortfolioCFStatement!P781</f>
        <v>0</v>
      </c>
      <c r="N58" s="358">
        <f ca="1">PortfolioCFStatement!Q781</f>
        <v>0</v>
      </c>
      <c r="O58" s="358">
        <f ca="1">PortfolioCFStatement!R781</f>
        <v>0</v>
      </c>
      <c r="P58" s="358">
        <f ca="1">PortfolioCFStatement!S781</f>
        <v>0</v>
      </c>
      <c r="Q58" s="358">
        <f ca="1">PortfolioCFStatement!T781</f>
        <v>0</v>
      </c>
      <c r="R58" s="358">
        <f ca="1">PortfolioCFStatement!U781</f>
        <v>0</v>
      </c>
      <c r="S58" s="358">
        <f ca="1">PortfolioCFStatement!V781</f>
        <v>0</v>
      </c>
      <c r="T58" s="358">
        <f ca="1">PortfolioCFStatement!W781</f>
        <v>0</v>
      </c>
      <c r="U58" s="358">
        <f ca="1">PortfolioCFStatement!X781</f>
        <v>0</v>
      </c>
      <c r="V58" s="358">
        <f ca="1">PortfolioCFStatement!Y781</f>
        <v>0</v>
      </c>
      <c r="W58" s="358">
        <f ca="1">PortfolioCFStatement!Z781</f>
        <v>0</v>
      </c>
      <c r="X58" s="358">
        <f ca="1">PortfolioCFStatement!AA781</f>
        <v>0</v>
      </c>
      <c r="Y58" s="358">
        <f ca="1">PortfolioCFStatement!AB781</f>
        <v>0</v>
      </c>
      <c r="Z58" s="358">
        <f ca="1">PortfolioCFStatement!AC781</f>
        <v>0</v>
      </c>
      <c r="AA58" s="358">
        <f ca="1">PortfolioCFStatement!AD781</f>
        <v>0</v>
      </c>
      <c r="AB58" s="358">
        <f ca="1">PortfolioCFStatement!AE781</f>
        <v>0</v>
      </c>
      <c r="AC58" s="358">
        <f ca="1">PortfolioCFStatement!AF781</f>
        <v>0</v>
      </c>
      <c r="AD58" s="358">
        <f ca="1">PortfolioCFStatement!AG781</f>
        <v>0</v>
      </c>
      <c r="AE58" s="358">
        <f ca="1">PortfolioCFStatement!AH781</f>
        <v>0</v>
      </c>
      <c r="AF58" s="358">
        <f ca="1">PortfolioCFStatement!AI781</f>
        <v>0</v>
      </c>
      <c r="AG58" s="358">
        <f ca="1">PortfolioCFStatement!AJ781</f>
        <v>0</v>
      </c>
      <c r="AH58" s="358">
        <f ca="1">PortfolioCFStatement!AK781</f>
        <v>0</v>
      </c>
      <c r="AI58" s="358">
        <f ca="1">PortfolioCFStatement!AL781</f>
        <v>0</v>
      </c>
      <c r="AJ58" s="358">
        <f ca="1">PortfolioCFStatement!AM781</f>
        <v>0</v>
      </c>
      <c r="AK58" s="358">
        <f ca="1">PortfolioCFStatement!AN781</f>
        <v>0</v>
      </c>
      <c r="AL58" s="358">
        <f ca="1">PortfolioCFStatement!AO781</f>
        <v>0</v>
      </c>
      <c r="AM58" s="358">
        <f ca="1">PortfolioCFStatement!AP781</f>
        <v>0</v>
      </c>
      <c r="AN58" s="358">
        <f ca="1">PortfolioCFStatement!AQ781</f>
        <v>0</v>
      </c>
      <c r="AO58" s="358">
        <f ca="1">PortfolioCFStatement!AR781</f>
        <v>0</v>
      </c>
      <c r="AP58" s="358">
        <f ca="1">PortfolioCFStatement!AS781</f>
        <v>0</v>
      </c>
      <c r="AQ58" s="358">
        <f ca="1">PortfolioCFStatement!AT781</f>
        <v>0</v>
      </c>
      <c r="AR58" s="358"/>
      <c r="AS58" s="358">
        <f t="shared" ca="1" si="0"/>
        <v>0</v>
      </c>
      <c r="AT58" s="54"/>
      <c r="AU58" s="358">
        <f t="shared" ca="1" si="1"/>
        <v>0</v>
      </c>
      <c r="AV58" s="54"/>
      <c r="AW58" s="358">
        <f t="shared" ca="1" si="2"/>
        <v>0</v>
      </c>
      <c r="AX58" s="54"/>
      <c r="AY58" s="358">
        <f t="shared" ca="1" si="3"/>
        <v>0</v>
      </c>
      <c r="AZ58" s="54"/>
      <c r="BA58" s="358">
        <f t="shared" ca="1" si="4"/>
        <v>0</v>
      </c>
      <c r="BB58" s="54"/>
      <c r="BC58" s="358">
        <f t="shared" ca="1" si="5"/>
        <v>0</v>
      </c>
      <c r="BD58" s="54"/>
      <c r="BE58" s="358">
        <f t="shared" ca="1" si="6"/>
        <v>0</v>
      </c>
    </row>
    <row r="59" spans="1:57" s="10" customFormat="1" hidden="1">
      <c r="A59" s="1271" t="str">
        <f ca="1">PortfolioCFStatement!D782</f>
        <v>Blank</v>
      </c>
      <c r="B59" s="1464" t="str">
        <f>PortfolioCFStatement!E782</f>
        <v>2010$</v>
      </c>
      <c r="C59" s="1460">
        <f ca="1">PortfolioCFStatement!F782</f>
        <v>0</v>
      </c>
      <c r="D59" s="358">
        <f ca="1">PortfolioCFStatement!G782</f>
        <v>0</v>
      </c>
      <c r="E59" s="358">
        <f ca="1">PortfolioCFStatement!H782</f>
        <v>0</v>
      </c>
      <c r="F59" s="358">
        <f ca="1">PortfolioCFStatement!I782</f>
        <v>0</v>
      </c>
      <c r="G59" s="358">
        <f ca="1">PortfolioCFStatement!J782</f>
        <v>0</v>
      </c>
      <c r="H59" s="358">
        <f ca="1">PortfolioCFStatement!K782</f>
        <v>0</v>
      </c>
      <c r="I59" s="358">
        <f ca="1">PortfolioCFStatement!L782</f>
        <v>0</v>
      </c>
      <c r="J59" s="358">
        <f ca="1">PortfolioCFStatement!M782</f>
        <v>0</v>
      </c>
      <c r="K59" s="358">
        <f ca="1">PortfolioCFStatement!N782</f>
        <v>0</v>
      </c>
      <c r="L59" s="358">
        <f ca="1">PortfolioCFStatement!O782</f>
        <v>0</v>
      </c>
      <c r="M59" s="358">
        <f ca="1">PortfolioCFStatement!P782</f>
        <v>0</v>
      </c>
      <c r="N59" s="358">
        <f ca="1">PortfolioCFStatement!Q782</f>
        <v>0</v>
      </c>
      <c r="O59" s="358">
        <f ca="1">PortfolioCFStatement!R782</f>
        <v>0</v>
      </c>
      <c r="P59" s="358">
        <f ca="1">PortfolioCFStatement!S782</f>
        <v>0</v>
      </c>
      <c r="Q59" s="358">
        <f ca="1">PortfolioCFStatement!T782</f>
        <v>0</v>
      </c>
      <c r="R59" s="358">
        <f ca="1">PortfolioCFStatement!U782</f>
        <v>0</v>
      </c>
      <c r="S59" s="358">
        <f ca="1">PortfolioCFStatement!V782</f>
        <v>0</v>
      </c>
      <c r="T59" s="358">
        <f ca="1">PortfolioCFStatement!W782</f>
        <v>0</v>
      </c>
      <c r="U59" s="358">
        <f ca="1">PortfolioCFStatement!X782</f>
        <v>0</v>
      </c>
      <c r="V59" s="358">
        <f ca="1">PortfolioCFStatement!Y782</f>
        <v>0</v>
      </c>
      <c r="W59" s="358">
        <f ca="1">PortfolioCFStatement!Z782</f>
        <v>0</v>
      </c>
      <c r="X59" s="358">
        <f ca="1">PortfolioCFStatement!AA782</f>
        <v>0</v>
      </c>
      <c r="Y59" s="358">
        <f ca="1">PortfolioCFStatement!AB782</f>
        <v>0</v>
      </c>
      <c r="Z59" s="358">
        <f ca="1">PortfolioCFStatement!AC782</f>
        <v>0</v>
      </c>
      <c r="AA59" s="358">
        <f ca="1">PortfolioCFStatement!AD782</f>
        <v>0</v>
      </c>
      <c r="AB59" s="358">
        <f ca="1">PortfolioCFStatement!AE782</f>
        <v>0</v>
      </c>
      <c r="AC59" s="358">
        <f ca="1">PortfolioCFStatement!AF782</f>
        <v>0</v>
      </c>
      <c r="AD59" s="358">
        <f ca="1">PortfolioCFStatement!AG782</f>
        <v>0</v>
      </c>
      <c r="AE59" s="358">
        <f ca="1">PortfolioCFStatement!AH782</f>
        <v>0</v>
      </c>
      <c r="AF59" s="358">
        <f ca="1">PortfolioCFStatement!AI782</f>
        <v>0</v>
      </c>
      <c r="AG59" s="358">
        <f ca="1">PortfolioCFStatement!AJ782</f>
        <v>0</v>
      </c>
      <c r="AH59" s="358">
        <f ca="1">PortfolioCFStatement!AK782</f>
        <v>0</v>
      </c>
      <c r="AI59" s="358">
        <f ca="1">PortfolioCFStatement!AL782</f>
        <v>0</v>
      </c>
      <c r="AJ59" s="358">
        <f ca="1">PortfolioCFStatement!AM782</f>
        <v>0</v>
      </c>
      <c r="AK59" s="358">
        <f ca="1">PortfolioCFStatement!AN782</f>
        <v>0</v>
      </c>
      <c r="AL59" s="358">
        <f ca="1">PortfolioCFStatement!AO782</f>
        <v>0</v>
      </c>
      <c r="AM59" s="358">
        <f ca="1">PortfolioCFStatement!AP782</f>
        <v>0</v>
      </c>
      <c r="AN59" s="358">
        <f ca="1">PortfolioCFStatement!AQ782</f>
        <v>0</v>
      </c>
      <c r="AO59" s="358">
        <f ca="1">PortfolioCFStatement!AR782</f>
        <v>0</v>
      </c>
      <c r="AP59" s="358">
        <f ca="1">PortfolioCFStatement!AS782</f>
        <v>0</v>
      </c>
      <c r="AQ59" s="358">
        <f ca="1">PortfolioCFStatement!AT782</f>
        <v>0</v>
      </c>
      <c r="AR59" s="358"/>
      <c r="AS59" s="358">
        <f t="shared" ca="1" si="0"/>
        <v>0</v>
      </c>
      <c r="AT59" s="54"/>
      <c r="AU59" s="358">
        <f t="shared" ca="1" si="1"/>
        <v>0</v>
      </c>
      <c r="AV59" s="54"/>
      <c r="AW59" s="358">
        <f t="shared" ca="1" si="2"/>
        <v>0</v>
      </c>
      <c r="AX59" s="54"/>
      <c r="AY59" s="358">
        <f t="shared" ca="1" si="3"/>
        <v>0</v>
      </c>
      <c r="AZ59" s="54"/>
      <c r="BA59" s="358">
        <f t="shared" ca="1" si="4"/>
        <v>0</v>
      </c>
      <c r="BB59" s="54"/>
      <c r="BC59" s="358">
        <f t="shared" ca="1" si="5"/>
        <v>0</v>
      </c>
      <c r="BD59" s="54"/>
      <c r="BE59" s="358">
        <f t="shared" ca="1" si="6"/>
        <v>0</v>
      </c>
    </row>
    <row r="60" spans="1:57" s="10" customFormat="1" hidden="1">
      <c r="A60" s="1271" t="str">
        <f ca="1">PortfolioCFStatement!D783</f>
        <v>Blank</v>
      </c>
      <c r="B60" s="1464" t="str">
        <f>PortfolioCFStatement!E783</f>
        <v>2010$</v>
      </c>
      <c r="C60" s="1460">
        <f ca="1">PortfolioCFStatement!F783</f>
        <v>0</v>
      </c>
      <c r="D60" s="358">
        <f ca="1">PortfolioCFStatement!G783</f>
        <v>0</v>
      </c>
      <c r="E60" s="358">
        <f ca="1">PortfolioCFStatement!H783</f>
        <v>0</v>
      </c>
      <c r="F60" s="358">
        <f ca="1">PortfolioCFStatement!I783</f>
        <v>0</v>
      </c>
      <c r="G60" s="358">
        <f ca="1">PortfolioCFStatement!J783</f>
        <v>0</v>
      </c>
      <c r="H60" s="358">
        <f ca="1">PortfolioCFStatement!K783</f>
        <v>0</v>
      </c>
      <c r="I60" s="358">
        <f ca="1">PortfolioCFStatement!L783</f>
        <v>0</v>
      </c>
      <c r="J60" s="358">
        <f ca="1">PortfolioCFStatement!M783</f>
        <v>0</v>
      </c>
      <c r="K60" s="358">
        <f ca="1">PortfolioCFStatement!N783</f>
        <v>0</v>
      </c>
      <c r="L60" s="358">
        <f ca="1">PortfolioCFStatement!O783</f>
        <v>0</v>
      </c>
      <c r="M60" s="358">
        <f ca="1">PortfolioCFStatement!P783</f>
        <v>0</v>
      </c>
      <c r="N60" s="358">
        <f ca="1">PortfolioCFStatement!Q783</f>
        <v>0</v>
      </c>
      <c r="O60" s="358">
        <f ca="1">PortfolioCFStatement!R783</f>
        <v>0</v>
      </c>
      <c r="P60" s="358">
        <f ca="1">PortfolioCFStatement!S783</f>
        <v>0</v>
      </c>
      <c r="Q60" s="358">
        <f ca="1">PortfolioCFStatement!T783</f>
        <v>0</v>
      </c>
      <c r="R60" s="358">
        <f ca="1">PortfolioCFStatement!U783</f>
        <v>0</v>
      </c>
      <c r="S60" s="358">
        <f ca="1">PortfolioCFStatement!V783</f>
        <v>0</v>
      </c>
      <c r="T60" s="358">
        <f ca="1">PortfolioCFStatement!W783</f>
        <v>0</v>
      </c>
      <c r="U60" s="358">
        <f ca="1">PortfolioCFStatement!X783</f>
        <v>0</v>
      </c>
      <c r="V60" s="358">
        <f ca="1">PortfolioCFStatement!Y783</f>
        <v>0</v>
      </c>
      <c r="W60" s="358">
        <f ca="1">PortfolioCFStatement!Z783</f>
        <v>0</v>
      </c>
      <c r="X60" s="358">
        <f ca="1">PortfolioCFStatement!AA783</f>
        <v>0</v>
      </c>
      <c r="Y60" s="358">
        <f ca="1">PortfolioCFStatement!AB783</f>
        <v>0</v>
      </c>
      <c r="Z60" s="358">
        <f ca="1">PortfolioCFStatement!AC783</f>
        <v>0</v>
      </c>
      <c r="AA60" s="358">
        <f ca="1">PortfolioCFStatement!AD783</f>
        <v>0</v>
      </c>
      <c r="AB60" s="358">
        <f ca="1">PortfolioCFStatement!AE783</f>
        <v>0</v>
      </c>
      <c r="AC60" s="358">
        <f ca="1">PortfolioCFStatement!AF783</f>
        <v>0</v>
      </c>
      <c r="AD60" s="358">
        <f ca="1">PortfolioCFStatement!AG783</f>
        <v>0</v>
      </c>
      <c r="AE60" s="358">
        <f ca="1">PortfolioCFStatement!AH783</f>
        <v>0</v>
      </c>
      <c r="AF60" s="358">
        <f ca="1">PortfolioCFStatement!AI783</f>
        <v>0</v>
      </c>
      <c r="AG60" s="358">
        <f ca="1">PortfolioCFStatement!AJ783</f>
        <v>0</v>
      </c>
      <c r="AH60" s="358">
        <f ca="1">PortfolioCFStatement!AK783</f>
        <v>0</v>
      </c>
      <c r="AI60" s="358">
        <f ca="1">PortfolioCFStatement!AL783</f>
        <v>0</v>
      </c>
      <c r="AJ60" s="358">
        <f ca="1">PortfolioCFStatement!AM783</f>
        <v>0</v>
      </c>
      <c r="AK60" s="358">
        <f ca="1">PortfolioCFStatement!AN783</f>
        <v>0</v>
      </c>
      <c r="AL60" s="358">
        <f ca="1">PortfolioCFStatement!AO783</f>
        <v>0</v>
      </c>
      <c r="AM60" s="358">
        <f ca="1">PortfolioCFStatement!AP783</f>
        <v>0</v>
      </c>
      <c r="AN60" s="358">
        <f ca="1">PortfolioCFStatement!AQ783</f>
        <v>0</v>
      </c>
      <c r="AO60" s="358">
        <f ca="1">PortfolioCFStatement!AR783</f>
        <v>0</v>
      </c>
      <c r="AP60" s="358">
        <f ca="1">PortfolioCFStatement!AS783</f>
        <v>0</v>
      </c>
      <c r="AQ60" s="358">
        <f ca="1">PortfolioCFStatement!AT783</f>
        <v>0</v>
      </c>
      <c r="AR60" s="358"/>
      <c r="AS60" s="358">
        <f t="shared" ca="1" si="0"/>
        <v>0</v>
      </c>
      <c r="AT60" s="54"/>
      <c r="AU60" s="358">
        <f t="shared" ca="1" si="1"/>
        <v>0</v>
      </c>
      <c r="AV60" s="54"/>
      <c r="AW60" s="358">
        <f t="shared" ca="1" si="2"/>
        <v>0</v>
      </c>
      <c r="AX60" s="54"/>
      <c r="AY60" s="358">
        <f t="shared" ca="1" si="3"/>
        <v>0</v>
      </c>
      <c r="AZ60" s="54"/>
      <c r="BA60" s="358">
        <f t="shared" ca="1" si="4"/>
        <v>0</v>
      </c>
      <c r="BB60" s="54"/>
      <c r="BC60" s="358">
        <f t="shared" ca="1" si="5"/>
        <v>0</v>
      </c>
      <c r="BD60" s="54"/>
      <c r="BE60" s="358">
        <f t="shared" ca="1" si="6"/>
        <v>0</v>
      </c>
    </row>
    <row r="61" spans="1:57" s="10" customFormat="1" hidden="1">
      <c r="A61" s="1271" t="str">
        <f ca="1">PortfolioCFStatement!D784</f>
        <v>Blank</v>
      </c>
      <c r="B61" s="1464" t="str">
        <f>PortfolioCFStatement!E784</f>
        <v>2010$</v>
      </c>
      <c r="C61" s="1460">
        <f ca="1">PortfolioCFStatement!F784</f>
        <v>0</v>
      </c>
      <c r="D61" s="358">
        <f ca="1">PortfolioCFStatement!G784</f>
        <v>0</v>
      </c>
      <c r="E61" s="358">
        <f ca="1">PortfolioCFStatement!H784</f>
        <v>0</v>
      </c>
      <c r="F61" s="358">
        <f ca="1">PortfolioCFStatement!I784</f>
        <v>0</v>
      </c>
      <c r="G61" s="358">
        <f ca="1">PortfolioCFStatement!J784</f>
        <v>0</v>
      </c>
      <c r="H61" s="358">
        <f ca="1">PortfolioCFStatement!K784</f>
        <v>0</v>
      </c>
      <c r="I61" s="358">
        <f ca="1">PortfolioCFStatement!L784</f>
        <v>0</v>
      </c>
      <c r="J61" s="358">
        <f ca="1">PortfolioCFStatement!M784</f>
        <v>0</v>
      </c>
      <c r="K61" s="358">
        <f ca="1">PortfolioCFStatement!N784</f>
        <v>0</v>
      </c>
      <c r="L61" s="358">
        <f ca="1">PortfolioCFStatement!O784</f>
        <v>0</v>
      </c>
      <c r="M61" s="358">
        <f ca="1">PortfolioCFStatement!P784</f>
        <v>0</v>
      </c>
      <c r="N61" s="358">
        <f ca="1">PortfolioCFStatement!Q784</f>
        <v>0</v>
      </c>
      <c r="O61" s="358">
        <f ca="1">PortfolioCFStatement!R784</f>
        <v>0</v>
      </c>
      <c r="P61" s="358">
        <f ca="1">PortfolioCFStatement!S784</f>
        <v>0</v>
      </c>
      <c r="Q61" s="358">
        <f ca="1">PortfolioCFStatement!T784</f>
        <v>0</v>
      </c>
      <c r="R61" s="358">
        <f ca="1">PortfolioCFStatement!U784</f>
        <v>0</v>
      </c>
      <c r="S61" s="358">
        <f ca="1">PortfolioCFStatement!V784</f>
        <v>0</v>
      </c>
      <c r="T61" s="358">
        <f ca="1">PortfolioCFStatement!W784</f>
        <v>0</v>
      </c>
      <c r="U61" s="358">
        <f ca="1">PortfolioCFStatement!X784</f>
        <v>0</v>
      </c>
      <c r="V61" s="358">
        <f ca="1">PortfolioCFStatement!Y784</f>
        <v>0</v>
      </c>
      <c r="W61" s="358">
        <f ca="1">PortfolioCFStatement!Z784</f>
        <v>0</v>
      </c>
      <c r="X61" s="358">
        <f ca="1">PortfolioCFStatement!AA784</f>
        <v>0</v>
      </c>
      <c r="Y61" s="358">
        <f ca="1">PortfolioCFStatement!AB784</f>
        <v>0</v>
      </c>
      <c r="Z61" s="358">
        <f ca="1">PortfolioCFStatement!AC784</f>
        <v>0</v>
      </c>
      <c r="AA61" s="358">
        <f ca="1">PortfolioCFStatement!AD784</f>
        <v>0</v>
      </c>
      <c r="AB61" s="358">
        <f ca="1">PortfolioCFStatement!AE784</f>
        <v>0</v>
      </c>
      <c r="AC61" s="358">
        <f ca="1">PortfolioCFStatement!AF784</f>
        <v>0</v>
      </c>
      <c r="AD61" s="358">
        <f ca="1">PortfolioCFStatement!AG784</f>
        <v>0</v>
      </c>
      <c r="AE61" s="358">
        <f ca="1">PortfolioCFStatement!AH784</f>
        <v>0</v>
      </c>
      <c r="AF61" s="358">
        <f ca="1">PortfolioCFStatement!AI784</f>
        <v>0</v>
      </c>
      <c r="AG61" s="358">
        <f ca="1">PortfolioCFStatement!AJ784</f>
        <v>0</v>
      </c>
      <c r="AH61" s="358">
        <f ca="1">PortfolioCFStatement!AK784</f>
        <v>0</v>
      </c>
      <c r="AI61" s="358">
        <f ca="1">PortfolioCFStatement!AL784</f>
        <v>0</v>
      </c>
      <c r="AJ61" s="358">
        <f ca="1">PortfolioCFStatement!AM784</f>
        <v>0</v>
      </c>
      <c r="AK61" s="358">
        <f ca="1">PortfolioCFStatement!AN784</f>
        <v>0</v>
      </c>
      <c r="AL61" s="358">
        <f ca="1">PortfolioCFStatement!AO784</f>
        <v>0</v>
      </c>
      <c r="AM61" s="358">
        <f ca="1">PortfolioCFStatement!AP784</f>
        <v>0</v>
      </c>
      <c r="AN61" s="358">
        <f ca="1">PortfolioCFStatement!AQ784</f>
        <v>0</v>
      </c>
      <c r="AO61" s="358">
        <f ca="1">PortfolioCFStatement!AR784</f>
        <v>0</v>
      </c>
      <c r="AP61" s="358">
        <f ca="1">PortfolioCFStatement!AS784</f>
        <v>0</v>
      </c>
      <c r="AQ61" s="358">
        <f ca="1">PortfolioCFStatement!AT784</f>
        <v>0</v>
      </c>
      <c r="AR61" s="358"/>
      <c r="AS61" s="358">
        <f t="shared" ca="1" si="0"/>
        <v>0</v>
      </c>
      <c r="AT61" s="54"/>
      <c r="AU61" s="358">
        <f t="shared" ca="1" si="1"/>
        <v>0</v>
      </c>
      <c r="AV61" s="54"/>
      <c r="AW61" s="358">
        <f t="shared" ca="1" si="2"/>
        <v>0</v>
      </c>
      <c r="AX61" s="54"/>
      <c r="AY61" s="358">
        <f t="shared" ca="1" si="3"/>
        <v>0</v>
      </c>
      <c r="AZ61" s="54"/>
      <c r="BA61" s="358">
        <f t="shared" ca="1" si="4"/>
        <v>0</v>
      </c>
      <c r="BB61" s="54"/>
      <c r="BC61" s="358">
        <f t="shared" ca="1" si="5"/>
        <v>0</v>
      </c>
      <c r="BD61" s="54"/>
      <c r="BE61" s="358">
        <f t="shared" ca="1" si="6"/>
        <v>0</v>
      </c>
    </row>
    <row r="62" spans="1:57" s="10" customFormat="1">
      <c r="A62" s="1271" t="str">
        <f>PortfolioCFStatement!D785</f>
        <v>Sustainability Driven-Master Plan</v>
      </c>
      <c r="B62" s="1464" t="str">
        <f>PortfolioCFStatement!E785</f>
        <v>2010$</v>
      </c>
      <c r="C62" s="1460">
        <f ca="1">PortfolioCFStatement!F785</f>
        <v>-537861.87088412675</v>
      </c>
      <c r="D62" s="358">
        <f ca="1">PortfolioCFStatement!G785</f>
        <v>0</v>
      </c>
      <c r="E62" s="358">
        <f ca="1">PortfolioCFStatement!H785</f>
        <v>-600000</v>
      </c>
      <c r="F62" s="358">
        <f ca="1">PortfolioCFStatement!I785</f>
        <v>0</v>
      </c>
      <c r="G62" s="358">
        <f ca="1">PortfolioCFStatement!J785</f>
        <v>0</v>
      </c>
      <c r="H62" s="358">
        <f ca="1">PortfolioCFStatement!K785</f>
        <v>0</v>
      </c>
      <c r="I62" s="358">
        <f ca="1">PortfolioCFStatement!L785</f>
        <v>0</v>
      </c>
      <c r="J62" s="358">
        <f ca="1">PortfolioCFStatement!M785</f>
        <v>0</v>
      </c>
      <c r="K62" s="358">
        <f ca="1">PortfolioCFStatement!N785</f>
        <v>0</v>
      </c>
      <c r="L62" s="358">
        <f ca="1">PortfolioCFStatement!O785</f>
        <v>0</v>
      </c>
      <c r="M62" s="358">
        <f ca="1">PortfolioCFStatement!P785</f>
        <v>0</v>
      </c>
      <c r="N62" s="358">
        <f ca="1">PortfolioCFStatement!Q785</f>
        <v>0</v>
      </c>
      <c r="O62" s="358">
        <f ca="1">PortfolioCFStatement!R785</f>
        <v>0</v>
      </c>
      <c r="P62" s="358">
        <f ca="1">PortfolioCFStatement!S785</f>
        <v>0</v>
      </c>
      <c r="Q62" s="358">
        <f ca="1">PortfolioCFStatement!T785</f>
        <v>0</v>
      </c>
      <c r="R62" s="358">
        <f ca="1">PortfolioCFStatement!U785</f>
        <v>0</v>
      </c>
      <c r="S62" s="358">
        <f ca="1">PortfolioCFStatement!V785</f>
        <v>0</v>
      </c>
      <c r="T62" s="358">
        <f ca="1">PortfolioCFStatement!W785</f>
        <v>0</v>
      </c>
      <c r="U62" s="358">
        <f ca="1">PortfolioCFStatement!X785</f>
        <v>0</v>
      </c>
      <c r="V62" s="358">
        <f ca="1">PortfolioCFStatement!Y785</f>
        <v>0</v>
      </c>
      <c r="W62" s="358">
        <f ca="1">PortfolioCFStatement!Z785</f>
        <v>0</v>
      </c>
      <c r="X62" s="358">
        <f ca="1">PortfolioCFStatement!AA785</f>
        <v>0</v>
      </c>
      <c r="Y62" s="358">
        <f ca="1">PortfolioCFStatement!AB785</f>
        <v>0</v>
      </c>
      <c r="Z62" s="358">
        <f ca="1">PortfolioCFStatement!AC785</f>
        <v>0</v>
      </c>
      <c r="AA62" s="358">
        <f ca="1">PortfolioCFStatement!AD785</f>
        <v>0</v>
      </c>
      <c r="AB62" s="358">
        <f ca="1">PortfolioCFStatement!AE785</f>
        <v>0</v>
      </c>
      <c r="AC62" s="358">
        <f ca="1">PortfolioCFStatement!AF785</f>
        <v>0</v>
      </c>
      <c r="AD62" s="358">
        <f ca="1">PortfolioCFStatement!AG785</f>
        <v>0</v>
      </c>
      <c r="AE62" s="358">
        <f ca="1">PortfolioCFStatement!AH785</f>
        <v>0</v>
      </c>
      <c r="AF62" s="358">
        <f ca="1">PortfolioCFStatement!AI785</f>
        <v>0</v>
      </c>
      <c r="AG62" s="358">
        <f ca="1">PortfolioCFStatement!AJ785</f>
        <v>0</v>
      </c>
      <c r="AH62" s="358">
        <f ca="1">PortfolioCFStatement!AK785</f>
        <v>0</v>
      </c>
      <c r="AI62" s="358">
        <f ca="1">PortfolioCFStatement!AL785</f>
        <v>0</v>
      </c>
      <c r="AJ62" s="358">
        <f ca="1">PortfolioCFStatement!AM785</f>
        <v>0</v>
      </c>
      <c r="AK62" s="358">
        <f ca="1">PortfolioCFStatement!AN785</f>
        <v>0</v>
      </c>
      <c r="AL62" s="358">
        <f ca="1">PortfolioCFStatement!AO785</f>
        <v>0</v>
      </c>
      <c r="AM62" s="358">
        <f ca="1">PortfolioCFStatement!AP785</f>
        <v>0</v>
      </c>
      <c r="AN62" s="358">
        <f ca="1">PortfolioCFStatement!AQ785</f>
        <v>0</v>
      </c>
      <c r="AO62" s="358">
        <f ca="1">PortfolioCFStatement!AR785</f>
        <v>0</v>
      </c>
      <c r="AP62" s="358">
        <f ca="1">PortfolioCFStatement!AS785</f>
        <v>0</v>
      </c>
      <c r="AQ62" s="358">
        <f ca="1">PortfolioCFStatement!AT785</f>
        <v>0</v>
      </c>
      <c r="AR62" s="358"/>
      <c r="AS62" s="358">
        <f t="shared" ca="1" si="0"/>
        <v>0</v>
      </c>
      <c r="AT62" s="54"/>
      <c r="AU62" s="358">
        <f t="shared" ca="1" si="1"/>
        <v>0</v>
      </c>
      <c r="AV62" s="54"/>
      <c r="AW62" s="358">
        <f t="shared" ca="1" si="2"/>
        <v>0</v>
      </c>
      <c r="AX62" s="54"/>
      <c r="AY62" s="358">
        <f t="shared" ca="1" si="3"/>
        <v>0</v>
      </c>
      <c r="AZ62" s="54"/>
      <c r="BA62" s="358">
        <f t="shared" ca="1" si="4"/>
        <v>0</v>
      </c>
      <c r="BB62" s="54"/>
      <c r="BC62" s="358">
        <f t="shared" ca="1" si="5"/>
        <v>0</v>
      </c>
      <c r="BD62" s="54"/>
      <c r="BE62" s="358">
        <f t="shared" ca="1" si="6"/>
        <v>0</v>
      </c>
    </row>
    <row r="63" spans="1:57" s="10" customFormat="1">
      <c r="A63" s="1271" t="str">
        <f>PortfolioCFStatement!D786</f>
        <v>Research and Curriculum</v>
      </c>
      <c r="B63" s="1464" t="str">
        <f>PortfolioCFStatement!E786</f>
        <v>2010$</v>
      </c>
      <c r="C63" s="1460">
        <f ca="1">PortfolioCFStatement!F786</f>
        <v>-4867919.572699625</v>
      </c>
      <c r="D63" s="358">
        <f ca="1">PortfolioCFStatement!G786</f>
        <v>-200000</v>
      </c>
      <c r="E63" s="358">
        <f ca="1">PortfolioCFStatement!H786</f>
        <v>-315000</v>
      </c>
      <c r="F63" s="358">
        <f ca="1">PortfolioCFStatement!I786</f>
        <v>-315000</v>
      </c>
      <c r="G63" s="358">
        <f ca="1">PortfolioCFStatement!J786</f>
        <v>-315000</v>
      </c>
      <c r="H63" s="358">
        <f ca="1">PortfolioCFStatement!K786</f>
        <v>-315000</v>
      </c>
      <c r="I63" s="358">
        <f ca="1">PortfolioCFStatement!L786</f>
        <v>-315000</v>
      </c>
      <c r="J63" s="358">
        <f ca="1">PortfolioCFStatement!M786</f>
        <v>-315000</v>
      </c>
      <c r="K63" s="358">
        <f ca="1">PortfolioCFStatement!N786</f>
        <v>-315000</v>
      </c>
      <c r="L63" s="358">
        <f ca="1">PortfolioCFStatement!O786</f>
        <v>-315000</v>
      </c>
      <c r="M63" s="358">
        <f ca="1">PortfolioCFStatement!P786</f>
        <v>-315000</v>
      </c>
      <c r="N63" s="358">
        <f ca="1">PortfolioCFStatement!Q786</f>
        <v>-315000</v>
      </c>
      <c r="O63" s="358">
        <f ca="1">PortfolioCFStatement!R786</f>
        <v>-315000</v>
      </c>
      <c r="P63" s="358">
        <f ca="1">PortfolioCFStatement!S786</f>
        <v>-315000</v>
      </c>
      <c r="Q63" s="358">
        <f ca="1">PortfolioCFStatement!T786</f>
        <v>-315000</v>
      </c>
      <c r="R63" s="358">
        <f ca="1">PortfolioCFStatement!U786</f>
        <v>-315000</v>
      </c>
      <c r="S63" s="358">
        <f ca="1">PortfolioCFStatement!V786</f>
        <v>-315000</v>
      </c>
      <c r="T63" s="358">
        <f ca="1">PortfolioCFStatement!W786</f>
        <v>-315000</v>
      </c>
      <c r="U63" s="358">
        <f ca="1">PortfolioCFStatement!X786</f>
        <v>-315000</v>
      </c>
      <c r="V63" s="358">
        <f ca="1">PortfolioCFStatement!Y786</f>
        <v>-315000</v>
      </c>
      <c r="W63" s="358">
        <f ca="1">PortfolioCFStatement!Z786</f>
        <v>-315000</v>
      </c>
      <c r="X63" s="358">
        <f ca="1">PortfolioCFStatement!AA786</f>
        <v>-315000</v>
      </c>
      <c r="Y63" s="358">
        <f ca="1">PortfolioCFStatement!AB786</f>
        <v>-315000</v>
      </c>
      <c r="Z63" s="358">
        <f ca="1">PortfolioCFStatement!AC786</f>
        <v>-315000</v>
      </c>
      <c r="AA63" s="358">
        <f ca="1">PortfolioCFStatement!AD786</f>
        <v>-315000</v>
      </c>
      <c r="AB63" s="358">
        <f ca="1">PortfolioCFStatement!AE786</f>
        <v>-315000</v>
      </c>
      <c r="AC63" s="358">
        <f ca="1">PortfolioCFStatement!AF786</f>
        <v>-315000</v>
      </c>
      <c r="AD63" s="358">
        <f ca="1">PortfolioCFStatement!AG786</f>
        <v>-315000</v>
      </c>
      <c r="AE63" s="358">
        <f ca="1">PortfolioCFStatement!AH786</f>
        <v>-315000</v>
      </c>
      <c r="AF63" s="358">
        <f ca="1">PortfolioCFStatement!AI786</f>
        <v>-315000</v>
      </c>
      <c r="AG63" s="358">
        <f ca="1">PortfolioCFStatement!AJ786</f>
        <v>-315000</v>
      </c>
      <c r="AH63" s="358">
        <f ca="1">PortfolioCFStatement!AK786</f>
        <v>-315000</v>
      </c>
      <c r="AI63" s="358">
        <f ca="1">PortfolioCFStatement!AL786</f>
        <v>-315000</v>
      </c>
      <c r="AJ63" s="358">
        <f ca="1">PortfolioCFStatement!AM786</f>
        <v>-315000</v>
      </c>
      <c r="AK63" s="358">
        <f ca="1">PortfolioCFStatement!AN786</f>
        <v>-315000</v>
      </c>
      <c r="AL63" s="358">
        <f ca="1">PortfolioCFStatement!AO786</f>
        <v>-315000</v>
      </c>
      <c r="AM63" s="358">
        <f ca="1">PortfolioCFStatement!AP786</f>
        <v>-315000</v>
      </c>
      <c r="AN63" s="358">
        <f ca="1">PortfolioCFStatement!AQ786</f>
        <v>-315000</v>
      </c>
      <c r="AO63" s="358">
        <f ca="1">PortfolioCFStatement!AR786</f>
        <v>-315000</v>
      </c>
      <c r="AP63" s="358">
        <f ca="1">PortfolioCFStatement!AS786</f>
        <v>-315000</v>
      </c>
      <c r="AQ63" s="358">
        <f ca="1">PortfolioCFStatement!AT786</f>
        <v>-315000</v>
      </c>
      <c r="AR63" s="358"/>
      <c r="AS63" s="358">
        <f t="shared" ca="1" si="0"/>
        <v>-1575000</v>
      </c>
      <c r="AT63" s="54"/>
      <c r="AU63" s="358">
        <f t="shared" ca="1" si="1"/>
        <v>-1575000</v>
      </c>
      <c r="AV63" s="54"/>
      <c r="AW63" s="358">
        <f t="shared" ca="1" si="2"/>
        <v>-1575000</v>
      </c>
      <c r="AX63" s="54"/>
      <c r="AY63" s="358">
        <f t="shared" ca="1" si="3"/>
        <v>-1575000</v>
      </c>
      <c r="AZ63" s="54"/>
      <c r="BA63" s="358">
        <f t="shared" ca="1" si="4"/>
        <v>-1575000</v>
      </c>
      <c r="BB63" s="54"/>
      <c r="BC63" s="358">
        <f t="shared" ca="1" si="5"/>
        <v>-1575000</v>
      </c>
      <c r="BD63" s="54"/>
      <c r="BE63" s="358">
        <f t="shared" ca="1" si="6"/>
        <v>-1575000</v>
      </c>
    </row>
    <row r="64" spans="1:57" s="10" customFormat="1">
      <c r="A64" s="1272" t="str">
        <f>PortfolioCFStatement!D787</f>
        <v>New Operating Costs (Non-Fuel and Fuel)</v>
      </c>
      <c r="B64" s="1270" t="str">
        <f>PortfolioCFStatement!E787</f>
        <v>2010$</v>
      </c>
      <c r="C64" s="1461">
        <f ca="1">PortfolioCFStatement!F787</f>
        <v>-25034088.159616821</v>
      </c>
      <c r="D64" s="1277">
        <f ca="1">PortfolioCFStatement!G787</f>
        <v>-200000</v>
      </c>
      <c r="E64" s="1277">
        <f ca="1">PortfolioCFStatement!H787</f>
        <v>-1336024</v>
      </c>
      <c r="F64" s="1277">
        <f ca="1">PortfolioCFStatement!I787</f>
        <v>-697736.08240758628</v>
      </c>
      <c r="G64" s="1277">
        <f ca="1">PortfolioCFStatement!J787</f>
        <v>-766930.72457702376</v>
      </c>
      <c r="H64" s="1277">
        <f ca="1">PortfolioCFStatement!K787</f>
        <v>-977136.99200398359</v>
      </c>
      <c r="I64" s="1277">
        <f ca="1">PortfolioCFStatement!L787</f>
        <v>-1343817.2182219066</v>
      </c>
      <c r="J64" s="1277">
        <f ca="1">PortfolioCFStatement!M787</f>
        <v>-2013131.0220458645</v>
      </c>
      <c r="K64" s="1277">
        <f ca="1">PortfolioCFStatement!N787</f>
        <v>-2021035.2836775053</v>
      </c>
      <c r="L64" s="1277">
        <f ca="1">PortfolioCFStatement!O787</f>
        <v>-2117281.9499765839</v>
      </c>
      <c r="M64" s="1277">
        <f ca="1">PortfolioCFStatement!P787</f>
        <v>-2125275.1274655825</v>
      </c>
      <c r="N64" s="1277">
        <f ca="1">PortfolioCFStatement!Q787</f>
        <v>-2133313.2258155486</v>
      </c>
      <c r="O64" s="1277">
        <f ca="1">PortfolioCFStatement!R787</f>
        <v>-2141396.5562806572</v>
      </c>
      <c r="P64" s="1277">
        <f ca="1">PortfolioCFStatement!S787</f>
        <v>-2147050.4321045978</v>
      </c>
      <c r="Q64" s="1277">
        <f ca="1">PortfolioCFStatement!T787</f>
        <v>-2152750.1685327012</v>
      </c>
      <c r="R64" s="1277">
        <f ca="1">PortfolioCFStatement!U787</f>
        <v>-2158496.0828241096</v>
      </c>
      <c r="S64" s="1277">
        <f ca="1">PortfolioCFStatement!V787</f>
        <v>-2164288.4942640476</v>
      </c>
      <c r="T64" s="1277">
        <f ca="1">PortfolioCFStatement!W787</f>
        <v>-2170127.7241761414</v>
      </c>
      <c r="U64" s="1277">
        <f ca="1">PortfolioCFStatement!X787</f>
        <v>-2176014.0959348278</v>
      </c>
      <c r="V64" s="1277">
        <f ca="1">PortfolioCFStatement!Y787</f>
        <v>-2181947.9349778257</v>
      </c>
      <c r="W64" s="1277">
        <f ca="1">PortfolioCFStatement!Z787</f>
        <v>-2187929.5688186837</v>
      </c>
      <c r="X64" s="1277">
        <f ca="1">PortfolioCFStatement!AA787</f>
        <v>-2193959.3270594021</v>
      </c>
      <c r="Y64" s="1277">
        <f ca="1">PortfolioCFStatement!AB787</f>
        <v>-2200037.5414031381</v>
      </c>
      <c r="Z64" s="1277">
        <f ca="1">PortfolioCFStatement!AC787</f>
        <v>-2058927.4632593752</v>
      </c>
      <c r="AA64" s="1277">
        <f ca="1">PortfolioCFStatement!AD787</f>
        <v>-2065103.5933871302</v>
      </c>
      <c r="AB64" s="1277">
        <f ca="1">PortfolioCFStatement!AE787</f>
        <v>-1870821.518246237</v>
      </c>
      <c r="AC64" s="1277">
        <f ca="1">PortfolioCFStatement!AF787</f>
        <v>-1877096.9165051403</v>
      </c>
      <c r="AD64" s="1277">
        <f ca="1">PortfolioCFStatement!AG787</f>
        <v>-1221968.9202419033</v>
      </c>
      <c r="AE64" s="1277">
        <f ca="1">PortfolioCFStatement!AH787</f>
        <v>-1228344.956253049</v>
      </c>
      <c r="AF64" s="1277">
        <f ca="1">PortfolioCFStatement!AI787</f>
        <v>-1146473.7298094542</v>
      </c>
      <c r="AG64" s="1277">
        <f ca="1">PortfolioCFStatement!AJ787</f>
        <v>-1152951.790678326</v>
      </c>
      <c r="AH64" s="1277">
        <f ca="1">PortfolioCFStatement!AK787</f>
        <v>-1159481.3896626416</v>
      </c>
      <c r="AI64" s="1277">
        <f ca="1">PortfolioCFStatement!AL787</f>
        <v>-1166062.8801920323</v>
      </c>
      <c r="AJ64" s="1277">
        <f ca="1">PortfolioCFStatement!AM787</f>
        <v>-1172696.6179419768</v>
      </c>
      <c r="AK64" s="1277">
        <f ca="1">PortfolioCFStatement!AN787</f>
        <v>-1179382.9608474155</v>
      </c>
      <c r="AL64" s="1277">
        <f ca="1">PortfolioCFStatement!AO787</f>
        <v>-1186122.2691164601</v>
      </c>
      <c r="AM64" s="1277">
        <f ca="1">PortfolioCFStatement!AP787</f>
        <v>-1192914.905244173</v>
      </c>
      <c r="AN64" s="1277">
        <f ca="1">PortfolioCFStatement!AQ787</f>
        <v>-1199761.2340264358</v>
      </c>
      <c r="AO64" s="1277">
        <f ca="1">PortfolioCFStatement!AR787</f>
        <v>-1206661.6225738898</v>
      </c>
      <c r="AP64" s="1277">
        <f ca="1">PortfolioCFStatement!AS787</f>
        <v>-1213616.4403259696</v>
      </c>
      <c r="AQ64" s="1277">
        <f ca="1">PortfolioCFStatement!AT787</f>
        <v>-1220626.0590650039</v>
      </c>
      <c r="AR64" s="54"/>
      <c r="AS64" s="1277">
        <f t="shared" ca="1" si="0"/>
        <v>-9620540.601387443</v>
      </c>
      <c r="AT64" s="54"/>
      <c r="AU64" s="1277">
        <f t="shared" ca="1" si="1"/>
        <v>-10733006.465557614</v>
      </c>
      <c r="AV64" s="54"/>
      <c r="AW64" s="1277">
        <f t="shared" ca="1" si="2"/>
        <v>-10880307.818171527</v>
      </c>
      <c r="AX64" s="54"/>
      <c r="AY64" s="1277">
        <f t="shared" ca="1" si="3"/>
        <v>-10388849.443355283</v>
      </c>
      <c r="AZ64" s="54"/>
      <c r="BA64" s="1277">
        <f t="shared" ca="1" si="4"/>
        <v>-6626836.3134878725</v>
      </c>
      <c r="BB64" s="54"/>
      <c r="BC64" s="1277">
        <f t="shared" ca="1" si="5"/>
        <v>-5863746.1177605269</v>
      </c>
      <c r="BD64" s="54"/>
      <c r="BE64" s="1277">
        <f t="shared" ca="1" si="6"/>
        <v>-6033580.2612354718</v>
      </c>
    </row>
    <row r="65" spans="1:57" s="10" customFormat="1">
      <c r="A65" s="1465" t="str">
        <f ca="1">PortfolioCFStatement!D788</f>
        <v>Behavior Change</v>
      </c>
      <c r="B65" s="1466" t="str">
        <f>PortfolioCFStatement!E788</f>
        <v>2010$</v>
      </c>
      <c r="C65" s="1460">
        <f ca="1">PortfolioCFStatement!F788</f>
        <v>4572154.9945188444</v>
      </c>
      <c r="D65" s="1467">
        <f ca="1">PortfolioCFStatement!G788</f>
        <v>0</v>
      </c>
      <c r="E65" s="1467">
        <f ca="1">PortfolioCFStatement!H788</f>
        <v>0</v>
      </c>
      <c r="F65" s="1467">
        <f ca="1">PortfolioCFStatement!I788</f>
        <v>-46448.796041314905</v>
      </c>
      <c r="G65" s="1467">
        <f ca="1">PortfolioCFStatement!J788</f>
        <v>6568.7606326365349</v>
      </c>
      <c r="H65" s="1467">
        <f ca="1">PortfolioCFStatement!K788</f>
        <v>58816.497135064274</v>
      </c>
      <c r="I65" s="1467">
        <f ca="1">PortfolioCFStatement!L788</f>
        <v>111097.00682058392</v>
      </c>
      <c r="J65" s="1467">
        <f ca="1">PortfolioCFStatement!M788</f>
        <v>162678.66776701325</v>
      </c>
      <c r="K65" s="1467">
        <f ca="1">PortfolioCFStatement!N788</f>
        <v>263757.26014464517</v>
      </c>
      <c r="L65" s="1467">
        <f ca="1">PortfolioCFStatement!O788</f>
        <v>303910.49623076181</v>
      </c>
      <c r="M65" s="1467">
        <f ca="1">PortfolioCFStatement!P788</f>
        <v>343634.90475888533</v>
      </c>
      <c r="N65" s="1467">
        <f ca="1">PortfolioCFStatement!Q788</f>
        <v>382919.79512423207</v>
      </c>
      <c r="O65" s="1467">
        <f ca="1">PortfolioCFStatement!R788</f>
        <v>421754.40128885041</v>
      </c>
      <c r="P65" s="1467">
        <f ca="1">PortfolioCFStatement!S788</f>
        <v>460127.87908462167</v>
      </c>
      <c r="Q65" s="1467">
        <f ca="1">PortfolioCFStatement!T788</f>
        <v>457434.54038558574</v>
      </c>
      <c r="R65" s="1467">
        <f ca="1">PortfolioCFStatement!U788</f>
        <v>458222.41153454722</v>
      </c>
      <c r="S65" s="1467">
        <f ca="1">PortfolioCFStatement!V788</f>
        <v>459000.35785039974</v>
      </c>
      <c r="T65" s="1467">
        <f ca="1">PortfolioCFStatement!W788</f>
        <v>459768.38845003967</v>
      </c>
      <c r="U65" s="1467">
        <f ca="1">PortfolioCFStatement!X788</f>
        <v>460526.50810804113</v>
      </c>
      <c r="V65" s="1467">
        <f ca="1">PortfolioCFStatement!Y788</f>
        <v>461274.71743133484</v>
      </c>
      <c r="W65" s="1467">
        <f ca="1">PortfolioCFStatement!Z788</f>
        <v>462013.0130234505</v>
      </c>
      <c r="X65" s="1467">
        <f ca="1">PortfolioCFStatement!AA788</f>
        <v>462741.38763903326</v>
      </c>
      <c r="Y65" s="1467">
        <f ca="1">PortfolioCFStatement!AB788</f>
        <v>463459.83032926579</v>
      </c>
      <c r="Z65" s="1467">
        <f ca="1">PortfolioCFStatement!AC788</f>
        <v>464168.32657880191</v>
      </c>
      <c r="AA65" s="1467">
        <f ca="1">PortfolioCFStatement!AD788</f>
        <v>464866.85843475343</v>
      </c>
      <c r="AB65" s="1467">
        <f ca="1">PortfolioCFStatement!AE788</f>
        <v>466831.57492687076</v>
      </c>
      <c r="AC65" s="1467">
        <f ca="1">PortfolioCFStatement!AF788</f>
        <v>468799.04298926884</v>
      </c>
      <c r="AD65" s="1467">
        <f ca="1">PortfolioCFStatement!AG788</f>
        <v>470769.33077116887</v>
      </c>
      <c r="AE65" s="1467">
        <f ca="1">PortfolioCFStatement!AH788</f>
        <v>472742.50406854681</v>
      </c>
      <c r="AF65" s="1467">
        <f ca="1">PortfolioCFStatement!AI788</f>
        <v>474718.62642436032</v>
      </c>
      <c r="AG65" s="1467">
        <f ca="1">PortfolioCFStatement!AJ788</f>
        <v>476697.759223414</v>
      </c>
      <c r="AH65" s="1467">
        <f ca="1">PortfolioCFStatement!AK788</f>
        <v>478679.96178219956</v>
      </c>
      <c r="AI65" s="1467">
        <f ca="1">PortfolioCFStatement!AL788</f>
        <v>480665.29143400711</v>
      </c>
      <c r="AJ65" s="1467">
        <f ca="1">PortfolioCFStatement!AM788</f>
        <v>482653.80360959505</v>
      </c>
      <c r="AK65" s="1467">
        <f ca="1">PortfolioCFStatement!AN788</f>
        <v>484645.55191368342</v>
      </c>
      <c r="AL65" s="1467">
        <f ca="1">PortfolioCFStatement!AO788</f>
        <v>486640.58819751546</v>
      </c>
      <c r="AM65" s="1467">
        <f ca="1">PortfolioCFStatement!AP788</f>
        <v>488638.96262771834</v>
      </c>
      <c r="AN65" s="1467">
        <f ca="1">PortfolioCFStatement!AQ788</f>
        <v>490640.72375167708</v>
      </c>
      <c r="AO65" s="1467">
        <f ca="1">PortfolioCFStatement!AR788</f>
        <v>492645.91855962179</v>
      </c>
      <c r="AP65" s="1467">
        <f ca="1">PortfolioCFStatement!AS788</f>
        <v>494654.59254361899</v>
      </c>
      <c r="AQ65" s="1467">
        <f ca="1">PortfolioCFStatement!AT788</f>
        <v>496666.78975363541</v>
      </c>
      <c r="AR65" s="1467"/>
      <c r="AS65" s="1467">
        <f t="shared" ca="1" si="0"/>
        <v>1185078.3357218893</v>
      </c>
      <c r="AT65" s="1468"/>
      <c r="AU65" s="1467">
        <f t="shared" ca="1" si="1"/>
        <v>2180459.0274178372</v>
      </c>
      <c r="AV65" s="1468"/>
      <c r="AW65" s="1467">
        <f t="shared" ca="1" si="2"/>
        <v>2302582.9848632659</v>
      </c>
      <c r="AX65" s="1468"/>
      <c r="AY65" s="1467">
        <f t="shared" ca="1" si="3"/>
        <v>2322067.9779087254</v>
      </c>
      <c r="AZ65" s="1468"/>
      <c r="BA65" s="1467">
        <f t="shared" ca="1" si="4"/>
        <v>2363727.2634767587</v>
      </c>
      <c r="BB65" s="1468"/>
      <c r="BC65" s="1467">
        <f t="shared" ca="1" si="5"/>
        <v>2413285.1969370004</v>
      </c>
      <c r="BD65" s="1468"/>
      <c r="BE65" s="1467">
        <f t="shared" ca="1" si="6"/>
        <v>2463246.9872362716</v>
      </c>
    </row>
    <row r="66" spans="1:57" s="10" customFormat="1">
      <c r="A66" s="1465" t="str">
        <f ca="1">PortfolioCFStatement!D789</f>
        <v>Building Design &amp; Construction Standards</v>
      </c>
      <c r="B66" s="1466" t="str">
        <f>PortfolioCFStatement!E789</f>
        <v>2010$</v>
      </c>
      <c r="C66" s="1460">
        <f ca="1">PortfolioCFStatement!F789</f>
        <v>19090854.327629145</v>
      </c>
      <c r="D66" s="1467">
        <f ca="1">PortfolioCFStatement!G789</f>
        <v>0</v>
      </c>
      <c r="E66" s="1467">
        <f ca="1">PortfolioCFStatement!H789</f>
        <v>-8605.3581889671477</v>
      </c>
      <c r="F66" s="1467">
        <f ca="1">PortfolioCFStatement!I789</f>
        <v>410164.85540353489</v>
      </c>
      <c r="G66" s="1467">
        <f ca="1">PortfolioCFStatement!J789</f>
        <v>535078.75283020758</v>
      </c>
      <c r="H66" s="1467">
        <f ca="1">PortfolioCFStatement!K789</f>
        <v>586445.35079787998</v>
      </c>
      <c r="I66" s="1467">
        <f ca="1">PortfolioCFStatement!L789</f>
        <v>841889.95924922836</v>
      </c>
      <c r="J66" s="1467">
        <f ca="1">PortfolioCFStatement!M789</f>
        <v>896391.00165602495</v>
      </c>
      <c r="K66" s="1467">
        <f ca="1">PortfolioCFStatement!N789</f>
        <v>951515.66256823449</v>
      </c>
      <c r="L66" s="1467">
        <f ca="1">PortfolioCFStatement!O789</f>
        <v>1007264.2710987905</v>
      </c>
      <c r="M66" s="1467">
        <f ca="1">PortfolioCFStatement!P789</f>
        <v>1063637.3323598297</v>
      </c>
      <c r="N66" s="1467">
        <f ca="1">PortfolioCFStatement!Q789</f>
        <v>1120635.5196551729</v>
      </c>
      <c r="O66" s="1467">
        <f ca="1">PortfolioCFStatement!R789</f>
        <v>1178259.6671747195</v>
      </c>
      <c r="P66" s="1467">
        <f ca="1">PortfolioCFStatement!S789</f>
        <v>1236510.7631543872</v>
      </c>
      <c r="Q66" s="1467">
        <f ca="1">PortfolioCFStatement!T789</f>
        <v>1295389.9434682229</v>
      </c>
      <c r="R66" s="1467">
        <f ca="1">PortfolioCFStatement!U789</f>
        <v>1354898.485621993</v>
      </c>
      <c r="S66" s="1467">
        <f ca="1">PortfolioCFStatement!V789</f>
        <v>1415037.8031201465</v>
      </c>
      <c r="T66" s="1467">
        <f ca="1">PortfolioCFStatement!W789</f>
        <v>1475809.4401800768</v>
      </c>
      <c r="U66" s="1467">
        <f ca="1">PortfolioCFStatement!X789</f>
        <v>1537215.0667698823</v>
      </c>
      <c r="V66" s="1467">
        <f ca="1">PortfolioCFStatement!Y789</f>
        <v>1599256.4739475581</v>
      </c>
      <c r="W66" s="1467">
        <f ca="1">PortfolioCFStatement!Z789</f>
        <v>1661935.5694812641</v>
      </c>
      <c r="X66" s="1467">
        <f ca="1">PortfolioCFStatement!AA789</f>
        <v>1725254.3737319363</v>
      </c>
      <c r="Y66" s="1467">
        <f ca="1">PortfolioCFStatement!AB789</f>
        <v>1789215.0157808908</v>
      </c>
      <c r="Z66" s="1467">
        <f ca="1">PortfolioCFStatement!AC789</f>
        <v>1853819.729786362</v>
      </c>
      <c r="AA66" s="1467">
        <f ca="1">PortfolioCFStatement!AD789</f>
        <v>1919070.8515541244</v>
      </c>
      <c r="AB66" s="1467">
        <f ca="1">PortfolioCFStatement!AE789</f>
        <v>1984970.815308467</v>
      </c>
      <c r="AC66" s="1467">
        <f ca="1">PortfolioCFStatement!AF789</f>
        <v>2051522.1506507846</v>
      </c>
      <c r="AD66" s="1467">
        <f ca="1">PortfolioCFStatement!AG789</f>
        <v>2118727.4796939325</v>
      </c>
      <c r="AE66" s="1467">
        <f ca="1">PortfolioCFStatement!AH789</f>
        <v>2186589.5143613582</v>
      </c>
      <c r="AF66" s="1467">
        <f ca="1">PortfolioCFStatement!AI789</f>
        <v>2255111.0538409273</v>
      </c>
      <c r="AG66" s="1467">
        <f ca="1">PortfolioCFStatement!AJ789</f>
        <v>2324294.9821838313</v>
      </c>
      <c r="AH66" s="1467">
        <f ca="1">PortfolioCFStatement!AK789</f>
        <v>2394144.2660398483</v>
      </c>
      <c r="AI66" s="1467">
        <f ca="1">PortfolioCFStatement!AL789</f>
        <v>2464661.9525207486</v>
      </c>
      <c r="AJ66" s="1467">
        <f ca="1">PortfolioCFStatement!AM789</f>
        <v>2535851.1671842001</v>
      </c>
      <c r="AK66" s="1467">
        <f ca="1">PortfolioCFStatement!AN789</f>
        <v>2607715.1121310932</v>
      </c>
      <c r="AL66" s="1467">
        <f ca="1">PortfolioCFStatement!AO789</f>
        <v>2680257.0642095702</v>
      </c>
      <c r="AM66" s="1467">
        <f ca="1">PortfolioCFStatement!AP789</f>
        <v>2753480.3733196943</v>
      </c>
      <c r="AN66" s="1467">
        <f ca="1">PortfolioCFStatement!AQ789</f>
        <v>2827388.460812862</v>
      </c>
      <c r="AO66" s="1467">
        <f ca="1">PortfolioCFStatement!AR789</f>
        <v>2901984.8179806438</v>
      </c>
      <c r="AP66" s="1467">
        <f ca="1">PortfolioCFStatement!AS789</f>
        <v>2977273.0046279836</v>
      </c>
      <c r="AQ66" s="1467">
        <f ca="1">PortfolioCFStatement!AT789</f>
        <v>3053256.6477260254</v>
      </c>
      <c r="AR66" s="1467"/>
      <c r="AS66" s="1467">
        <f t="shared" ca="1" si="0"/>
        <v>4760698.2269321084</v>
      </c>
      <c r="AT66" s="1468"/>
      <c r="AU66" s="1467">
        <f t="shared" ca="1" si="1"/>
        <v>6185694.3790744953</v>
      </c>
      <c r="AV66" s="1468"/>
      <c r="AW66" s="1467">
        <f t="shared" ca="1" si="2"/>
        <v>7689254.3534989273</v>
      </c>
      <c r="AX66" s="1468"/>
      <c r="AY66" s="1467">
        <f t="shared" ca="1" si="3"/>
        <v>9272330.7861617804</v>
      </c>
      <c r="AZ66" s="1468"/>
      <c r="BA66" s="1467">
        <f t="shared" ca="1" si="4"/>
        <v>10936245.180730833</v>
      </c>
      <c r="BB66" s="1468"/>
      <c r="BC66" s="1467">
        <f t="shared" ca="1" si="5"/>
        <v>12682629.562085461</v>
      </c>
      <c r="BD66" s="1468"/>
      <c r="BE66" s="1467">
        <f t="shared" ca="1" si="6"/>
        <v>14513383.304467209</v>
      </c>
    </row>
    <row r="67" spans="1:57" s="10" customFormat="1">
      <c r="A67" s="1465" t="str">
        <f ca="1">PortfolioCFStatement!D790</f>
        <v>Space Planning &amp; Management</v>
      </c>
      <c r="B67" s="1466" t="str">
        <f>PortfolioCFStatement!E790</f>
        <v>2010$</v>
      </c>
      <c r="C67" s="1460">
        <f ca="1">PortfolioCFStatement!F790</f>
        <v>100143238.90373991</v>
      </c>
      <c r="D67" s="1467">
        <f ca="1">PortfolioCFStatement!G790</f>
        <v>237052.05335287287</v>
      </c>
      <c r="E67" s="1467">
        <f ca="1">PortfolioCFStatement!H790</f>
        <v>585459.04741449398</v>
      </c>
      <c r="F67" s="1467">
        <f ca="1">PortfolioCFStatement!I790</f>
        <v>1331199.9478647406</v>
      </c>
      <c r="G67" s="1467">
        <f ca="1">PortfolioCFStatement!J790</f>
        <v>1778968.5086552657</v>
      </c>
      <c r="H67" s="1467">
        <f ca="1">PortfolioCFStatement!K790</f>
        <v>2228779.9121438265</v>
      </c>
      <c r="I67" s="1467">
        <f ca="1">PortfolioCFStatement!L790</f>
        <v>2680649.4418202331</v>
      </c>
      <c r="J67" s="1467">
        <f ca="1">PortfolioCFStatement!M790</f>
        <v>3134592.4829381239</v>
      </c>
      <c r="K67" s="1467">
        <f ca="1">PortfolioCFStatement!N790</f>
        <v>3590624.5231505395</v>
      </c>
      <c r="L67" s="1467">
        <f ca="1">PortfolioCFStatement!O790</f>
        <v>4048761.1531492383</v>
      </c>
      <c r="M67" s="1467">
        <f ca="1">PortfolioCFStatement!P790</f>
        <v>4509018.0673079453</v>
      </c>
      <c r="N67" s="1467">
        <f ca="1">PortfolioCFStatement!Q790</f>
        <v>4971411.0643293522</v>
      </c>
      <c r="O67" s="1467">
        <f ca="1">PortfolioCFStatement!R790</f>
        <v>5435956.0478960983</v>
      </c>
      <c r="P67" s="1467">
        <f ca="1">PortfolioCFStatement!S790</f>
        <v>5902669.0273255594</v>
      </c>
      <c r="Q67" s="1467">
        <f ca="1">PortfolioCFStatement!T790</f>
        <v>6371566.1182286236</v>
      </c>
      <c r="R67" s="1467">
        <f ca="1">PortfolioCFStatement!U790</f>
        <v>6842663.543172407</v>
      </c>
      <c r="S67" s="1467">
        <f ca="1">PortfolioCFStatement!V790</f>
        <v>7315977.6323468909</v>
      </c>
      <c r="T67" s="1467">
        <f ca="1">PortfolioCFStatement!W790</f>
        <v>7791524.8242356069</v>
      </c>
      <c r="U67" s="1467">
        <f ca="1">PortfolioCFStatement!X790</f>
        <v>8269321.6662903382</v>
      </c>
      <c r="V67" s="1467">
        <f ca="1">PortfolioCFStatement!Y790</f>
        <v>8749384.8156097867</v>
      </c>
      <c r="W67" s="1467">
        <f ca="1">PortfolioCFStatement!Z790</f>
        <v>9231731.0396224149</v>
      </c>
      <c r="X67" s="1467">
        <f ca="1">PortfolioCFStatement!AA790</f>
        <v>9716377.2167732641</v>
      </c>
      <c r="Y67" s="1467">
        <f ca="1">PortfolioCFStatement!AB790</f>
        <v>10203340.337214984</v>
      </c>
      <c r="Z67" s="1467">
        <f ca="1">PortfolioCFStatement!AC790</f>
        <v>10692637.503502902</v>
      </c>
      <c r="AA67" s="1467">
        <f ca="1">PortfolioCFStatement!AD790</f>
        <v>11184285.931294315</v>
      </c>
      <c r="AB67" s="1467">
        <f ca="1">PortfolioCFStatement!AE790</f>
        <v>11678302.950051971</v>
      </c>
      <c r="AC67" s="1467">
        <f ca="1">PortfolioCFStatement!AF790</f>
        <v>12174706.003751684</v>
      </c>
      <c r="AD67" s="1467">
        <f ca="1">PortfolioCFStatement!AG790</f>
        <v>12673512.651594253</v>
      </c>
      <c r="AE67" s="1467">
        <f ca="1">PortfolioCFStatement!AH790</f>
        <v>13174740.568721628</v>
      </c>
      <c r="AF67" s="1467">
        <f ca="1">PortfolioCFStatement!AI790</f>
        <v>13678407.546937317</v>
      </c>
      <c r="AG67" s="1467">
        <f ca="1">PortfolioCFStatement!AJ790</f>
        <v>14184531.495431127</v>
      </c>
      <c r="AH67" s="1467">
        <f ca="1">PortfolioCFStatement!AK790</f>
        <v>14693130.44150823</v>
      </c>
      <c r="AI67" s="1467">
        <f ca="1">PortfolioCFStatement!AL790</f>
        <v>15204222.531322611</v>
      </c>
      <c r="AJ67" s="1467">
        <f ca="1">PortfolioCFStatement!AM790</f>
        <v>15717826.030614842</v>
      </c>
      <c r="AK67" s="1467">
        <f ca="1">PortfolioCFStatement!AN790</f>
        <v>16233959.325454306</v>
      </c>
      <c r="AL67" s="1467">
        <f ca="1">PortfolioCFStatement!AO790</f>
        <v>16752640.922985857</v>
      </c>
      <c r="AM67" s="1467">
        <f ca="1">PortfolioCFStatement!AP790</f>
        <v>17273889.452180896</v>
      </c>
      <c r="AN67" s="1467">
        <f ca="1">PortfolioCFStatement!AQ790</f>
        <v>17797723.664592959</v>
      </c>
      <c r="AO67" s="1467">
        <f ca="1">PortfolioCFStatement!AR790</f>
        <v>18324162.435117859</v>
      </c>
      <c r="AP67" s="1467">
        <f ca="1">PortfolioCFStatement!AS790</f>
        <v>18853224.76275827</v>
      </c>
      <c r="AQ67" s="1467">
        <f ca="1">PortfolioCFStatement!AT790</f>
        <v>19384929.771392927</v>
      </c>
      <c r="AR67" s="1467"/>
      <c r="AS67" s="1467">
        <f t="shared" ca="1" si="0"/>
        <v>17963645.668366082</v>
      </c>
      <c r="AT67" s="1468"/>
      <c r="AU67" s="1467">
        <f t="shared" ca="1" si="1"/>
        <v>29524265.800952043</v>
      </c>
      <c r="AV67" s="1468"/>
      <c r="AW67" s="1467">
        <f t="shared" ca="1" si="2"/>
        <v>41357939.978105038</v>
      </c>
      <c r="AX67" s="1468"/>
      <c r="AY67" s="1467">
        <f t="shared" ca="1" si="3"/>
        <v>53474943.938837431</v>
      </c>
      <c r="AZ67" s="1468"/>
      <c r="BA67" s="1467">
        <f t="shared" ca="1" si="4"/>
        <v>65885898.266436011</v>
      </c>
      <c r="BB67" s="1468"/>
      <c r="BC67" s="1467">
        <f t="shared" ca="1" si="5"/>
        <v>78601779.251885846</v>
      </c>
      <c r="BD67" s="1468"/>
      <c r="BE67" s="1467">
        <f t="shared" ca="1" si="6"/>
        <v>91633930.086042911</v>
      </c>
    </row>
    <row r="68" spans="1:57" s="10" customFormat="1">
      <c r="A68" s="1465" t="str">
        <f ca="1">PortfolioCFStatement!D791</f>
        <v>Central Chiller Expansion</v>
      </c>
      <c r="B68" s="1466" t="str">
        <f>PortfolioCFStatement!E791</f>
        <v>2010$</v>
      </c>
      <c r="C68" s="1460">
        <f ca="1">PortfolioCFStatement!F791</f>
        <v>11972197.38644241</v>
      </c>
      <c r="D68" s="1467">
        <f ca="1">PortfolioCFStatement!G791</f>
        <v>0</v>
      </c>
      <c r="E68" s="1467">
        <f ca="1">PortfolioCFStatement!H791</f>
        <v>0</v>
      </c>
      <c r="F68" s="1467">
        <f ca="1">PortfolioCFStatement!I791</f>
        <v>514021.3965714135</v>
      </c>
      <c r="G68" s="1467">
        <f ca="1">PortfolioCFStatement!J791</f>
        <v>535787.41885800601</v>
      </c>
      <c r="H68" s="1467">
        <f ca="1">PortfolioCFStatement!K791</f>
        <v>887027.37807194912</v>
      </c>
      <c r="I68" s="1467">
        <f ca="1">PortfolioCFStatement!L791</f>
        <v>911846.02740428899</v>
      </c>
      <c r="J68" s="1467">
        <f ca="1">PortfolioCFStatement!M791</f>
        <v>462293.59641251189</v>
      </c>
      <c r="K68" s="1467">
        <f ca="1">PortfolioCFStatement!N791</f>
        <v>488482.75854864938</v>
      </c>
      <c r="L68" s="1467">
        <f ca="1">PortfolioCFStatement!O791</f>
        <v>426598.92461456498</v>
      </c>
      <c r="M68" s="1467">
        <f ca="1">PortfolioCFStatement!P791</f>
        <v>453239.89171315613</v>
      </c>
      <c r="N68" s="1467">
        <f ca="1">PortfolioCFStatement!Q791</f>
        <v>480109.16609978909</v>
      </c>
      <c r="O68" s="1467">
        <f ca="1">PortfolioCFStatement!R791</f>
        <v>507208.36482316768</v>
      </c>
      <c r="P68" s="1467">
        <f ca="1">PortfolioCFStatement!S791</f>
        <v>534539.11539479904</v>
      </c>
      <c r="Q68" s="1467">
        <f ca="1">PortfolioCFStatement!T791</f>
        <v>562103.05585319852</v>
      </c>
      <c r="R68" s="1467">
        <f ca="1">PortfolioCFStatement!U791</f>
        <v>589901.83482846874</v>
      </c>
      <c r="S68" s="1467">
        <f ca="1">PortfolioCFStatement!V791</f>
        <v>617937.11160726706</v>
      </c>
      <c r="T68" s="1467">
        <f ca="1">PortfolioCFStatement!W791</f>
        <v>646210.55619815481</v>
      </c>
      <c r="U68" s="1467">
        <f ca="1">PortfolioCFStatement!X791</f>
        <v>674723.84939733311</v>
      </c>
      <c r="V68" s="1467">
        <f ca="1">PortfolioCFStatement!Y791</f>
        <v>703478.68285476975</v>
      </c>
      <c r="W68" s="1467">
        <f ca="1">PortfolioCFStatement!Z791</f>
        <v>732476.7591407178</v>
      </c>
      <c r="X68" s="1467">
        <f ca="1">PortfolioCFStatement!AA791</f>
        <v>761719.79181262618</v>
      </c>
      <c r="Y68" s="1467">
        <f ca="1">PortfolioCFStatement!AB791</f>
        <v>771015.87273731804</v>
      </c>
      <c r="Z68" s="1467">
        <f ca="1">PortfolioCFStatement!AC791</f>
        <v>927595.5164742202</v>
      </c>
      <c r="AA68" s="1467">
        <f ca="1">PortfolioCFStatement!AD791</f>
        <v>936984.7906101821</v>
      </c>
      <c r="AB68" s="1467">
        <f ca="1">PortfolioCFStatement!AE791</f>
        <v>1146928.6803329373</v>
      </c>
      <c r="AC68" s="1467">
        <f ca="1">PortfolioCFStatement!AF791</f>
        <v>1156412.0819421122</v>
      </c>
      <c r="AD68" s="1467">
        <f ca="1">PortfolioCFStatement!AG791</f>
        <v>1827396.441667147</v>
      </c>
      <c r="AE68" s="1467">
        <f ca="1">PortfolioCFStatement!AH791</f>
        <v>1836974.914377454</v>
      </c>
      <c r="AF68" s="1467">
        <f ca="1">PortfolioCFStatement!AI791</f>
        <v>1934899.3798456674</v>
      </c>
      <c r="AG68" s="1467">
        <f ca="1">PortfolioCFStatement!AJ791</f>
        <v>1944573.8767448955</v>
      </c>
      <c r="AH68" s="1467">
        <f ca="1">PortfolioCFStatement!AK791</f>
        <v>1954296.7461286199</v>
      </c>
      <c r="AI68" s="1467">
        <f ca="1">PortfolioCFStatement!AL791</f>
        <v>1964068.2298592622</v>
      </c>
      <c r="AJ68" s="1467">
        <f ca="1">PortfolioCFStatement!AM791</f>
        <v>1973888.5710085582</v>
      </c>
      <c r="AK68" s="1467">
        <f ca="1">PortfolioCFStatement!AN791</f>
        <v>1983758.0138636008</v>
      </c>
      <c r="AL68" s="1467">
        <f ca="1">PortfolioCFStatement!AO791</f>
        <v>1993676.8039329187</v>
      </c>
      <c r="AM68" s="1467">
        <f ca="1">PortfolioCFStatement!AP791</f>
        <v>2003645.187952583</v>
      </c>
      <c r="AN68" s="1467">
        <f ca="1">PortfolioCFStatement!AQ791</f>
        <v>2013663.4138923453</v>
      </c>
      <c r="AO68" s="1467">
        <f ca="1">PortfolioCFStatement!AR791</f>
        <v>2023731.7309618066</v>
      </c>
      <c r="AP68" s="1467">
        <f ca="1">PortfolioCFStatement!AS791</f>
        <v>2033850.3896166154</v>
      </c>
      <c r="AQ68" s="1467">
        <f ca="1">PortfolioCFStatement!AT791</f>
        <v>2044019.6415646982</v>
      </c>
      <c r="AR68" s="1467"/>
      <c r="AS68" s="1467">
        <f t="shared" ca="1" si="0"/>
        <v>2742461.1986931711</v>
      </c>
      <c r="AT68" s="1468"/>
      <c r="AU68" s="1467">
        <f t="shared" ca="1" si="1"/>
        <v>2673861.5369994231</v>
      </c>
      <c r="AV68" s="1468"/>
      <c r="AW68" s="1467">
        <f t="shared" ca="1" si="2"/>
        <v>3374826.9591982425</v>
      </c>
      <c r="AX68" s="1468"/>
      <c r="AY68" s="1467">
        <f t="shared" ca="1" si="3"/>
        <v>4544244.6519672833</v>
      </c>
      <c r="AZ68" s="1468"/>
      <c r="BA68" s="1467">
        <f t="shared" ca="1" si="4"/>
        <v>8700256.6945772767</v>
      </c>
      <c r="BB68" s="1468"/>
      <c r="BC68" s="1467">
        <f t="shared" ca="1" si="5"/>
        <v>9869688.3647929598</v>
      </c>
      <c r="BD68" s="1468"/>
      <c r="BE68" s="1467">
        <f t="shared" ca="1" si="6"/>
        <v>10118910.363988047</v>
      </c>
    </row>
    <row r="69" spans="1:57" s="10" customFormat="1">
      <c r="A69" s="1465" t="str">
        <f ca="1">PortfolioCFStatement!D792</f>
        <v>Short-term Energy Conservation Measures</v>
      </c>
      <c r="B69" s="1466" t="str">
        <f>PortfolioCFStatement!E792</f>
        <v>2010$</v>
      </c>
      <c r="C69" s="1460">
        <f ca="1">PortfolioCFStatement!F792</f>
        <v>22409087.496942502</v>
      </c>
      <c r="D69" s="1467">
        <f ca="1">PortfolioCFStatement!G792</f>
        <v>0</v>
      </c>
      <c r="E69" s="1467">
        <f ca="1">PortfolioCFStatement!H792</f>
        <v>321577.92419999995</v>
      </c>
      <c r="F69" s="1467">
        <f ca="1">PortfolioCFStatement!I792</f>
        <v>645751.78952999983</v>
      </c>
      <c r="G69" s="1467">
        <f ca="1">PortfolioCFStatement!J792</f>
        <v>972541.06554847455</v>
      </c>
      <c r="H69" s="1467">
        <f ca="1">PortfolioCFStatement!K792</f>
        <v>1301965.3516109558</v>
      </c>
      <c r="I69" s="1467">
        <f ca="1">PortfolioCFStatement!L792</f>
        <v>1634044.3776812628</v>
      </c>
      <c r="J69" s="1467">
        <f ca="1">PortfolioCFStatement!M792</f>
        <v>1640665.0042896688</v>
      </c>
      <c r="K69" s="1467">
        <f ca="1">PortfolioCFStatement!N792</f>
        <v>1647318.7340311171</v>
      </c>
      <c r="L69" s="1467">
        <f ca="1">PortfolioCFStatement!O792</f>
        <v>1654005.7324212724</v>
      </c>
      <c r="M69" s="1467">
        <f ca="1">PortfolioCFStatement!P792</f>
        <v>1660726.1658033789</v>
      </c>
      <c r="N69" s="1467">
        <f ca="1">PortfolioCFStatement!Q792</f>
        <v>1667480.2013523954</v>
      </c>
      <c r="O69" s="1467">
        <f ca="1">PortfolioCFStatement!R792</f>
        <v>1674268.0070791575</v>
      </c>
      <c r="P69" s="1467">
        <f ca="1">PortfolioCFStatement!S792</f>
        <v>1681089.7518345527</v>
      </c>
      <c r="Q69" s="1467">
        <f ca="1">PortfolioCFStatement!T792</f>
        <v>1687945.6053137253</v>
      </c>
      <c r="R69" s="1467">
        <f ca="1">PortfolioCFStatement!U792</f>
        <v>1694835.7380602937</v>
      </c>
      <c r="S69" s="1467">
        <f ca="1">PortfolioCFStatement!V792</f>
        <v>1701760.321470595</v>
      </c>
      <c r="T69" s="1467">
        <f ca="1">PortfolioCFStatement!W792</f>
        <v>1708719.5277979476</v>
      </c>
      <c r="U69" s="1467">
        <f ca="1">PortfolioCFStatement!X792</f>
        <v>1715713.5301569374</v>
      </c>
      <c r="V69" s="1467">
        <f ca="1">PortfolioCFStatement!Y792</f>
        <v>1722742.5025277217</v>
      </c>
      <c r="W69" s="1467">
        <f ca="1">PortfolioCFStatement!Z792</f>
        <v>1729806.6197603601</v>
      </c>
      <c r="X69" s="1467">
        <f ca="1">PortfolioCFStatement!AA792</f>
        <v>1736906.0575791616</v>
      </c>
      <c r="Y69" s="1467">
        <f ca="1">PortfolioCFStatement!AB792</f>
        <v>1744040.9925870569</v>
      </c>
      <c r="Z69" s="1467">
        <f ca="1">PortfolioCFStatement!AC792</f>
        <v>1751211.6022699922</v>
      </c>
      <c r="AA69" s="1467">
        <f ca="1">PortfolioCFStatement!AD792</f>
        <v>1758418.065001342</v>
      </c>
      <c r="AB69" s="1467">
        <f ca="1">PortfolioCFStatement!AE792</f>
        <v>1765660.5600463487</v>
      </c>
      <c r="AC69" s="1467">
        <f ca="1">PortfolioCFStatement!AF792</f>
        <v>1772939.2675665803</v>
      </c>
      <c r="AD69" s="1467">
        <f ca="1">PortfolioCFStatement!AG792</f>
        <v>1780254.3686244129</v>
      </c>
      <c r="AE69" s="1467">
        <f ca="1">PortfolioCFStatement!AH792</f>
        <v>1787606.0451875348</v>
      </c>
      <c r="AF69" s="1467">
        <f ca="1">PortfolioCFStatement!AI792</f>
        <v>1794994.480133472</v>
      </c>
      <c r="AG69" s="1467">
        <f ca="1">PortfolioCFStatement!AJ792</f>
        <v>1802419.8572541391</v>
      </c>
      <c r="AH69" s="1467">
        <f ca="1">PortfolioCFStatement!AK792</f>
        <v>1809882.3612604097</v>
      </c>
      <c r="AI69" s="1467">
        <f ca="1">PortfolioCFStatement!AL792</f>
        <v>1817382.1777867114</v>
      </c>
      <c r="AJ69" s="1467">
        <f ca="1">PortfolioCFStatement!AM792</f>
        <v>1824919.4933956447</v>
      </c>
      <c r="AK69" s="1467">
        <f ca="1">PortfolioCFStatement!AN792</f>
        <v>1832494.4955826227</v>
      </c>
      <c r="AL69" s="1467">
        <f ca="1">PortfolioCFStatement!AO792</f>
        <v>1840107.3727805358</v>
      </c>
      <c r="AM69" s="1467">
        <f ca="1">PortfolioCFStatement!AP792</f>
        <v>1847758.3143644382</v>
      </c>
      <c r="AN69" s="1467">
        <f ca="1">PortfolioCFStatement!AQ792</f>
        <v>1855447.5106562597</v>
      </c>
      <c r="AO69" s="1467">
        <f ca="1">PortfolioCFStatement!AR792</f>
        <v>1863175.1529295407</v>
      </c>
      <c r="AP69" s="1467">
        <f ca="1">PortfolioCFStatement!AS792</f>
        <v>1870941.4334141887</v>
      </c>
      <c r="AQ69" s="1467">
        <f ca="1">PortfolioCFStatement!AT792</f>
        <v>1878746.545301259</v>
      </c>
      <c r="AR69" s="1467"/>
      <c r="AS69" s="1467">
        <f t="shared" ca="1" si="0"/>
        <v>8236760.0142267011</v>
      </c>
      <c r="AT69" s="1468"/>
      <c r="AU69" s="1467">
        <f t="shared" ca="1" si="1"/>
        <v>8405619.3036401253</v>
      </c>
      <c r="AV69" s="1468"/>
      <c r="AW69" s="1467">
        <f t="shared" ca="1" si="2"/>
        <v>8578742.5017135628</v>
      </c>
      <c r="AX69" s="1468"/>
      <c r="AY69" s="1467">
        <f t="shared" ca="1" si="3"/>
        <v>8756237.277483901</v>
      </c>
      <c r="AZ69" s="1468"/>
      <c r="BA69" s="1467">
        <f t="shared" ca="1" si="4"/>
        <v>8938214.0187661387</v>
      </c>
      <c r="BB69" s="1468"/>
      <c r="BC69" s="1467">
        <f t="shared" ca="1" si="5"/>
        <v>9124785.9008059241</v>
      </c>
      <c r="BD69" s="1468"/>
      <c r="BE69" s="1467">
        <f t="shared" ca="1" si="6"/>
        <v>9316068.9566656854</v>
      </c>
    </row>
    <row r="70" spans="1:57" s="10" customFormat="1">
      <c r="A70" s="1465" t="str">
        <f ca="1">PortfolioCFStatement!D793</f>
        <v>Mid-term Energy Conservation Measures</v>
      </c>
      <c r="B70" s="1466" t="str">
        <f>PortfolioCFStatement!E793</f>
        <v>2010$</v>
      </c>
      <c r="C70" s="1460">
        <f ca="1">PortfolioCFStatement!F793</f>
        <v>14321073.169442052</v>
      </c>
      <c r="D70" s="1467">
        <f ca="1">PortfolioCFStatement!G793</f>
        <v>0</v>
      </c>
      <c r="E70" s="1467">
        <f ca="1">PortfolioCFStatement!H793</f>
        <v>0</v>
      </c>
      <c r="F70" s="1467">
        <f ca="1">PortfolioCFStatement!I793</f>
        <v>0</v>
      </c>
      <c r="G70" s="1467">
        <f ca="1">PortfolioCFStatement!J793</f>
        <v>0</v>
      </c>
      <c r="H70" s="1467">
        <f ca="1">PortfolioCFStatement!K793</f>
        <v>0</v>
      </c>
      <c r="I70" s="1467">
        <f ca="1">PortfolioCFStatement!L793</f>
        <v>0</v>
      </c>
      <c r="J70" s="1467">
        <f ca="1">PortfolioCFStatement!M793</f>
        <v>193520.65401359371</v>
      </c>
      <c r="K70" s="1467">
        <f ca="1">PortfolioCFStatement!N793</f>
        <v>388809.16020732332</v>
      </c>
      <c r="L70" s="1467">
        <f ca="1">PortfolioCFStatement!O793</f>
        <v>585878.7774725398</v>
      </c>
      <c r="M70" s="1467">
        <f ca="1">PortfolioCFStatement!P793</f>
        <v>784742.85309320339</v>
      </c>
      <c r="N70" s="1467">
        <f ca="1">PortfolioCFStatement!Q793</f>
        <v>985414.82329833647</v>
      </c>
      <c r="O70" s="1467">
        <f ca="1">PortfolioCFStatement!R793</f>
        <v>1187908.2138177939</v>
      </c>
      <c r="P70" s="1467">
        <f ca="1">PortfolioCFStatement!S793</f>
        <v>1392236.6404413627</v>
      </c>
      <c r="Q70" s="1467">
        <f ca="1">PortfolioCFStatement!T793</f>
        <v>1598413.8095812225</v>
      </c>
      <c r="R70" s="1467">
        <f ca="1">PortfolioCFStatement!U793</f>
        <v>1605736.461189128</v>
      </c>
      <c r="S70" s="1467">
        <f ca="1">PortfolioCFStatement!V793</f>
        <v>1613095.7260550736</v>
      </c>
      <c r="T70" s="1467">
        <f ca="1">PortfolioCFStatement!W793</f>
        <v>1620491.7872453486</v>
      </c>
      <c r="U70" s="1467">
        <f ca="1">PortfolioCFStatement!X793</f>
        <v>1627924.8287415751</v>
      </c>
      <c r="V70" s="1467">
        <f ca="1">PortfolioCFStatement!Y793</f>
        <v>1635395.0354452827</v>
      </c>
      <c r="W70" s="1467">
        <f ca="1">PortfolioCFStatement!Z793</f>
        <v>1642902.5931825088</v>
      </c>
      <c r="X70" s="1467">
        <f ca="1">PortfolioCFStatement!AA793</f>
        <v>1650447.6887084213</v>
      </c>
      <c r="Y70" s="1467">
        <f ca="1">PortfolioCFStatement!AB793</f>
        <v>1658030.5097119631</v>
      </c>
      <c r="Z70" s="1467">
        <f ca="1">PortfolioCFStatement!AC793</f>
        <v>1665651.2448205226</v>
      </c>
      <c r="AA70" s="1467">
        <f ca="1">PortfolioCFStatement!AD793</f>
        <v>1673310.083604625</v>
      </c>
      <c r="AB70" s="1467">
        <f ca="1">PortfolioCFStatement!AE793</f>
        <v>1681007.2165826485</v>
      </c>
      <c r="AC70" s="1467">
        <f ca="1">PortfolioCFStatement!AF793</f>
        <v>1688742.8352255612</v>
      </c>
      <c r="AD70" s="1467">
        <f ca="1">PortfolioCFStatement!AG793</f>
        <v>1696517.1319616889</v>
      </c>
      <c r="AE70" s="1467">
        <f ca="1">PortfolioCFStatement!AH793</f>
        <v>1704330.3001814969</v>
      </c>
      <c r="AF70" s="1467">
        <f ca="1">PortfolioCFStatement!AI793</f>
        <v>1712182.5342424042</v>
      </c>
      <c r="AG70" s="1467">
        <f ca="1">PortfolioCFStatement!AJ793</f>
        <v>1720074.0294736158</v>
      </c>
      <c r="AH70" s="1467">
        <f ca="1">PortfolioCFStatement!AK793</f>
        <v>1728004.9821809838</v>
      </c>
      <c r="AI70" s="1467">
        <f ca="1">PortfolioCFStatement!AL793</f>
        <v>1735975.5896518882</v>
      </c>
      <c r="AJ70" s="1467">
        <f ca="1">PortfolioCFStatement!AM793</f>
        <v>1743986.0501601472</v>
      </c>
      <c r="AK70" s="1467">
        <f ca="1">PortfolioCFStatement!AN793</f>
        <v>1752036.5629709479</v>
      </c>
      <c r="AL70" s="1467">
        <f ca="1">PortfolioCFStatement!AO793</f>
        <v>1760127.3283458026</v>
      </c>
      <c r="AM70" s="1467">
        <f ca="1">PortfolioCFStatement!AP793</f>
        <v>1768258.5475475313</v>
      </c>
      <c r="AN70" s="1467">
        <f ca="1">PortfolioCFStatement!AQ793</f>
        <v>1776430.4228452686</v>
      </c>
      <c r="AO70" s="1467">
        <f ca="1">PortfolioCFStatement!AR793</f>
        <v>1784643.1575194946</v>
      </c>
      <c r="AP70" s="1467">
        <f ca="1">PortfolioCFStatement!AS793</f>
        <v>1792896.9558670921</v>
      </c>
      <c r="AQ70" s="1467">
        <f ca="1">PortfolioCFStatement!AT793</f>
        <v>1801192.0232064272</v>
      </c>
      <c r="AR70" s="1467"/>
      <c r="AS70" s="1467">
        <f t="shared" ca="1" si="0"/>
        <v>1952951.4447866601</v>
      </c>
      <c r="AT70" s="1468"/>
      <c r="AU70" s="1467">
        <f t="shared" ca="1" si="1"/>
        <v>6769709.9483278431</v>
      </c>
      <c r="AV70" s="1468"/>
      <c r="AW70" s="1467">
        <f t="shared" ca="1" si="2"/>
        <v>8139809.9706697883</v>
      </c>
      <c r="AX70" s="1468"/>
      <c r="AY70" s="1467">
        <f t="shared" ca="1" si="3"/>
        <v>8328446.74342818</v>
      </c>
      <c r="AZ70" s="1468"/>
      <c r="BA70" s="1467">
        <f t="shared" ca="1" si="4"/>
        <v>8521846.8310847674</v>
      </c>
      <c r="BB70" s="1468"/>
      <c r="BC70" s="1467">
        <f t="shared" ca="1" si="5"/>
        <v>8720130.5133097693</v>
      </c>
      <c r="BD70" s="1468"/>
      <c r="BE70" s="1467">
        <f t="shared" ca="1" si="6"/>
        <v>8923421.106985813</v>
      </c>
    </row>
    <row r="71" spans="1:57" s="10" customFormat="1">
      <c r="A71" s="1465" t="str">
        <f ca="1">PortfolioCFStatement!D794</f>
        <v>Long-term Energy Conservation Measures</v>
      </c>
      <c r="B71" s="1466" t="str">
        <f>PortfolioCFStatement!E794</f>
        <v>2010$</v>
      </c>
      <c r="C71" s="1460">
        <f ca="1">PortfolioCFStatement!F794</f>
        <v>5963382.3137100497</v>
      </c>
      <c r="D71" s="1467">
        <f ca="1">PortfolioCFStatement!G794</f>
        <v>0</v>
      </c>
      <c r="E71" s="1467">
        <f ca="1">PortfolioCFStatement!H794</f>
        <v>0</v>
      </c>
      <c r="F71" s="1467">
        <f ca="1">PortfolioCFStatement!I794</f>
        <v>0</v>
      </c>
      <c r="G71" s="1467">
        <f ca="1">PortfolioCFStatement!J794</f>
        <v>0</v>
      </c>
      <c r="H71" s="1467">
        <f ca="1">PortfolioCFStatement!K794</f>
        <v>0</v>
      </c>
      <c r="I71" s="1467">
        <f ca="1">PortfolioCFStatement!L794</f>
        <v>0</v>
      </c>
      <c r="J71" s="1467">
        <f ca="1">PortfolioCFStatement!M794</f>
        <v>0</v>
      </c>
      <c r="K71" s="1467">
        <f ca="1">PortfolioCFStatement!N794</f>
        <v>0</v>
      </c>
      <c r="L71" s="1467">
        <f ca="1">PortfolioCFStatement!O794</f>
        <v>0</v>
      </c>
      <c r="M71" s="1467">
        <f ca="1">PortfolioCFStatement!P794</f>
        <v>0</v>
      </c>
      <c r="N71" s="1467">
        <f ca="1">PortfolioCFStatement!Q794</f>
        <v>0</v>
      </c>
      <c r="O71" s="1467">
        <f ca="1">PortfolioCFStatement!R794</f>
        <v>0</v>
      </c>
      <c r="P71" s="1467">
        <f ca="1">PortfolioCFStatement!S794</f>
        <v>0</v>
      </c>
      <c r="Q71" s="1467">
        <f ca="1">PortfolioCFStatement!T794</f>
        <v>0</v>
      </c>
      <c r="R71" s="1467">
        <f ca="1">PortfolioCFStatement!U794</f>
        <v>125059.2742997669</v>
      </c>
      <c r="S71" s="1467">
        <f ca="1">PortfolioCFStatement!V794</f>
        <v>251040.99033453147</v>
      </c>
      <c r="T71" s="1467">
        <f ca="1">PortfolioCFStatement!W794</f>
        <v>377952.06641730608</v>
      </c>
      <c r="U71" s="1467">
        <f ca="1">PortfolioCFStatement!X794</f>
        <v>505799.46698319016</v>
      </c>
      <c r="V71" s="1467">
        <f ca="1">PortfolioCFStatement!Y794</f>
        <v>634590.20287763246</v>
      </c>
      <c r="W71" s="1467">
        <f ca="1">PortfolioCFStatement!Z794</f>
        <v>764331.33164642472</v>
      </c>
      <c r="X71" s="1467">
        <f ca="1">PortfolioCFStatement!AA794</f>
        <v>895029.95782743301</v>
      </c>
      <c r="Y71" s="1467">
        <f ca="1">PortfolioCFStatement!AB794</f>
        <v>1026693.2332440799</v>
      </c>
      <c r="Z71" s="1467">
        <f ca="1">PortfolioCFStatement!AC794</f>
        <v>1159328.3573005877</v>
      </c>
      <c r="AA71" s="1467">
        <f ca="1">PortfolioCFStatement!AD794</f>
        <v>1292942.5772789896</v>
      </c>
      <c r="AB71" s="1467">
        <f ca="1">PortfolioCFStatement!AE794</f>
        <v>1297766.5351253846</v>
      </c>
      <c r="AC71" s="1467">
        <f ca="1">PortfolioCFStatement!AF794</f>
        <v>1302614.6127610113</v>
      </c>
      <c r="AD71" s="1467">
        <f ca="1">PortfolioCFStatement!AG794</f>
        <v>1307486.9307848162</v>
      </c>
      <c r="AE71" s="1467">
        <f ca="1">PortfolioCFStatement!AH794</f>
        <v>1312383.61039874</v>
      </c>
      <c r="AF71" s="1467">
        <f ca="1">PortfolioCFStatement!AI794</f>
        <v>1317304.7734107336</v>
      </c>
      <c r="AG71" s="1467">
        <f ca="1">PortfolioCFStatement!AJ794</f>
        <v>1322250.542237787</v>
      </c>
      <c r="AH71" s="1467">
        <f ca="1">PortfolioCFStatement!AK794</f>
        <v>1327221.0399089758</v>
      </c>
      <c r="AI71" s="1467">
        <f ca="1">PortfolioCFStatement!AL794</f>
        <v>1332216.3900685206</v>
      </c>
      <c r="AJ71" s="1467">
        <f ca="1">PortfolioCFStatement!AM794</f>
        <v>1337236.7169788629</v>
      </c>
      <c r="AK71" s="1467">
        <f ca="1">PortfolioCFStatement!AN794</f>
        <v>1342282.1455237572</v>
      </c>
      <c r="AL71" s="1467">
        <f ca="1">PortfolioCFStatement!AO794</f>
        <v>1347352.8012113757</v>
      </c>
      <c r="AM71" s="1467">
        <f ca="1">PortfolioCFStatement!AP794</f>
        <v>1352448.8101774326</v>
      </c>
      <c r="AN71" s="1467">
        <f ca="1">PortfolioCFStatement!AQ794</f>
        <v>1357570.2991883194</v>
      </c>
      <c r="AO71" s="1467">
        <f ca="1">PortfolioCFStatement!AR794</f>
        <v>1362717.3956442606</v>
      </c>
      <c r="AP71" s="1467">
        <f ca="1">PortfolioCFStatement!AS794</f>
        <v>1367890.2275824822</v>
      </c>
      <c r="AQ71" s="1467">
        <f ca="1">PortfolioCFStatement!AT794</f>
        <v>1373088.9236803944</v>
      </c>
      <c r="AR71" s="1467"/>
      <c r="AS71" s="1467">
        <f t="shared" ca="1" si="0"/>
        <v>0</v>
      </c>
      <c r="AT71" s="1468"/>
      <c r="AU71" s="1467">
        <f t="shared" ca="1" si="1"/>
        <v>125059.2742997669</v>
      </c>
      <c r="AV71" s="1468"/>
      <c r="AW71" s="1467">
        <f t="shared" ca="1" si="2"/>
        <v>2533714.0582590848</v>
      </c>
      <c r="AX71" s="1468"/>
      <c r="AY71" s="1467">
        <f t="shared" ca="1" si="3"/>
        <v>5671760.6607764754</v>
      </c>
      <c r="AZ71" s="1468"/>
      <c r="BA71" s="1467">
        <f t="shared" ca="1" si="4"/>
        <v>6562040.4695930872</v>
      </c>
      <c r="BB71" s="1468"/>
      <c r="BC71" s="1467">
        <f t="shared" ca="1" si="5"/>
        <v>6686309.0936914925</v>
      </c>
      <c r="BD71" s="1468"/>
      <c r="BE71" s="1467">
        <f t="shared" ca="1" si="6"/>
        <v>6813715.65627289</v>
      </c>
    </row>
    <row r="72" spans="1:57" s="10" customFormat="1">
      <c r="A72" s="1465" t="str">
        <f ca="1">PortfolioCFStatement!D795</f>
        <v>Green IT</v>
      </c>
      <c r="B72" s="1466" t="str">
        <f>PortfolioCFStatement!E795</f>
        <v>2010$</v>
      </c>
      <c r="C72" s="1460">
        <f ca="1">PortfolioCFStatement!F795</f>
        <v>9635060.2859863918</v>
      </c>
      <c r="D72" s="1467">
        <f ca="1">PortfolioCFStatement!G795</f>
        <v>0</v>
      </c>
      <c r="E72" s="1467">
        <f ca="1">PortfolioCFStatement!H795</f>
        <v>0</v>
      </c>
      <c r="F72" s="1467">
        <f ca="1">PortfolioCFStatement!I795</f>
        <v>228520.99624999994</v>
      </c>
      <c r="G72" s="1467">
        <f ca="1">PortfolioCFStatement!J795</f>
        <v>459397.20246249984</v>
      </c>
      <c r="H72" s="1467">
        <f ca="1">PortfolioCFStatement!K795</f>
        <v>692646.28271221824</v>
      </c>
      <c r="I72" s="1467">
        <f ca="1">PortfolioCFStatement!L795</f>
        <v>696214.51412577927</v>
      </c>
      <c r="J72" s="1467">
        <f ca="1">PortfolioCFStatement!M795</f>
        <v>699800.58669640811</v>
      </c>
      <c r="K72" s="1467">
        <f ca="1">PortfolioCFStatement!N795</f>
        <v>703404.58962989005</v>
      </c>
      <c r="L72" s="1467">
        <f ca="1">PortfolioCFStatement!O795</f>
        <v>707026.61257803941</v>
      </c>
      <c r="M72" s="1467">
        <f ca="1">PortfolioCFStatement!P795</f>
        <v>710666.74564092956</v>
      </c>
      <c r="N72" s="1467">
        <f ca="1">PortfolioCFStatement!Q795</f>
        <v>714325.07936913404</v>
      </c>
      <c r="O72" s="1467">
        <f ca="1">PortfolioCFStatement!R795</f>
        <v>718001.70476597967</v>
      </c>
      <c r="P72" s="1467">
        <f ca="1">PortfolioCFStatement!S795</f>
        <v>721696.7132898093</v>
      </c>
      <c r="Q72" s="1467">
        <f ca="1">PortfolioCFStatement!T795</f>
        <v>725410.19685625832</v>
      </c>
      <c r="R72" s="1467">
        <f ca="1">PortfolioCFStatement!U795</f>
        <v>729142.24784053955</v>
      </c>
      <c r="S72" s="1467">
        <f ca="1">PortfolioCFStatement!V795</f>
        <v>732892.95907974197</v>
      </c>
      <c r="T72" s="1467">
        <f ca="1">PortfolioCFStatement!W795</f>
        <v>736662.42387514061</v>
      </c>
      <c r="U72" s="1467">
        <f ca="1">PortfolioCFStatement!X795</f>
        <v>740450.73599451629</v>
      </c>
      <c r="V72" s="1467">
        <f ca="1">PortfolioCFStatement!Y795</f>
        <v>744257.98967448866</v>
      </c>
      <c r="W72" s="1467">
        <f ca="1">PortfolioCFStatement!Z795</f>
        <v>748084.27962286095</v>
      </c>
      <c r="X72" s="1467">
        <f ca="1">PortfolioCFStatement!AA795</f>
        <v>751929.70102097525</v>
      </c>
      <c r="Y72" s="1467">
        <f ca="1">PortfolioCFStatement!AB795</f>
        <v>755794.34952607984</v>
      </c>
      <c r="Z72" s="1467">
        <f ca="1">PortfolioCFStatement!AC795</f>
        <v>759678.32127371023</v>
      </c>
      <c r="AA72" s="1467">
        <f ca="1">PortfolioCFStatement!AD795</f>
        <v>763581.71288007859</v>
      </c>
      <c r="AB72" s="1467">
        <f ca="1">PortfolioCFStatement!AE795</f>
        <v>767504.6214444791</v>
      </c>
      <c r="AC72" s="1467">
        <f ca="1">PortfolioCFStatement!AF795</f>
        <v>771447.14455170126</v>
      </c>
      <c r="AD72" s="1467">
        <f ca="1">PortfolioCFStatement!AG795</f>
        <v>775409.38027445972</v>
      </c>
      <c r="AE72" s="1467">
        <f ca="1">PortfolioCFStatement!AH795</f>
        <v>779391.42717583175</v>
      </c>
      <c r="AF72" s="1467">
        <f ca="1">PortfolioCFStatement!AI795</f>
        <v>783393.38431171083</v>
      </c>
      <c r="AG72" s="1467">
        <f ca="1">PortfolioCFStatement!AJ795</f>
        <v>787415.35123326932</v>
      </c>
      <c r="AH72" s="1467">
        <f ca="1">PortfolioCFStatement!AK795</f>
        <v>791457.4279894355</v>
      </c>
      <c r="AI72" s="1467">
        <f ca="1">PortfolioCFStatement!AL795</f>
        <v>795519.71512938244</v>
      </c>
      <c r="AJ72" s="1467">
        <f ca="1">PortfolioCFStatement!AM795</f>
        <v>799602.3137050292</v>
      </c>
      <c r="AK72" s="1467">
        <f ca="1">PortfolioCFStatement!AN795</f>
        <v>803705.32527355431</v>
      </c>
      <c r="AL72" s="1467">
        <f ca="1">PortfolioCFStatement!AO795</f>
        <v>807828.85189992201</v>
      </c>
      <c r="AM72" s="1467">
        <f ca="1">PortfolioCFStatement!AP795</f>
        <v>811972.99615942151</v>
      </c>
      <c r="AN72" s="1467">
        <f ca="1">PortfolioCFStatement!AQ795</f>
        <v>816137.86114021833</v>
      </c>
      <c r="AO72" s="1467">
        <f ca="1">PortfolioCFStatement!AR795</f>
        <v>820323.55044591927</v>
      </c>
      <c r="AP72" s="1467">
        <f ca="1">PortfolioCFStatement!AS795</f>
        <v>824530.16819814884</v>
      </c>
      <c r="AQ72" s="1467">
        <f ca="1">PortfolioCFStatement!AT795</f>
        <v>828757.81903913943</v>
      </c>
      <c r="AR72" s="1467"/>
      <c r="AS72" s="1467">
        <f t="shared" ca="1" si="0"/>
        <v>3517113.0486710463</v>
      </c>
      <c r="AT72" s="1468"/>
      <c r="AU72" s="1467">
        <f t="shared" ca="1" si="1"/>
        <v>3608575.9421217209</v>
      </c>
      <c r="AV72" s="1468"/>
      <c r="AW72" s="1467">
        <f t="shared" ca="1" si="2"/>
        <v>3702348.3882467486</v>
      </c>
      <c r="AX72" s="1468"/>
      <c r="AY72" s="1467">
        <f t="shared" ca="1" si="3"/>
        <v>3798488.7061453229</v>
      </c>
      <c r="AZ72" s="1468"/>
      <c r="BA72" s="1467">
        <f t="shared" ca="1" si="4"/>
        <v>3897056.6875469731</v>
      </c>
      <c r="BB72" s="1468"/>
      <c r="BC72" s="1467">
        <f t="shared" ca="1" si="5"/>
        <v>3998113.6339973235</v>
      </c>
      <c r="BD72" s="1468"/>
      <c r="BE72" s="1467">
        <f t="shared" ca="1" si="6"/>
        <v>4101722.3949828474</v>
      </c>
    </row>
    <row r="73" spans="1:57" s="10" customFormat="1">
      <c r="A73" s="1465" t="str">
        <f ca="1">PortfolioCFStatement!D796</f>
        <v>Reduced Air Travel</v>
      </c>
      <c r="B73" s="1466" t="str">
        <f>PortfolioCFStatement!E796</f>
        <v>2010$</v>
      </c>
      <c r="C73" s="1460">
        <f ca="1">PortfolioCFStatement!F796</f>
        <v>2554543.5640719305</v>
      </c>
      <c r="D73" s="1467">
        <f ca="1">PortfolioCFStatement!G796</f>
        <v>0</v>
      </c>
      <c r="E73" s="1467">
        <f ca="1">PortfolioCFStatement!H796</f>
        <v>123606.77688805692</v>
      </c>
      <c r="F73" s="1467">
        <f ca="1">PortfolioCFStatement!I796</f>
        <v>124003.00400854273</v>
      </c>
      <c r="G73" s="1467">
        <f ca="1">PortfolioCFStatement!J796</f>
        <v>124307.03977146068</v>
      </c>
      <c r="H73" s="1467">
        <f ca="1">PortfolioCFStatement!K796</f>
        <v>124563.3537761138</v>
      </c>
      <c r="I73" s="1467">
        <f ca="1">PortfolioCFStatement!L796</f>
        <v>124789.17094740043</v>
      </c>
      <c r="J73" s="1467">
        <f ca="1">PortfolioCFStatement!M796</f>
        <v>187489.9879132183</v>
      </c>
      <c r="K73" s="1467">
        <f ca="1">PortfolioCFStatement!N796</f>
        <v>187771.59683356594</v>
      </c>
      <c r="L73" s="1467">
        <f ca="1">PortfolioCFStatement!O796</f>
        <v>188033.71202562816</v>
      </c>
      <c r="M73" s="1467">
        <f ca="1">PortfolioCFStatement!P796</f>
        <v>188279.89599625603</v>
      </c>
      <c r="N73" s="1467">
        <f ca="1">PortfolioCFStatement!Q796</f>
        <v>188512.74258500358</v>
      </c>
      <c r="O73" s="1467">
        <f ca="1">PortfolioCFStatement!R796</f>
        <v>188734.2099312158</v>
      </c>
      <c r="P73" s="1467">
        <f ca="1">PortfolioCFStatement!S796</f>
        <v>188945.81931438201</v>
      </c>
      <c r="Q73" s="1467">
        <f ca="1">PortfolioCFStatement!T796</f>
        <v>189148.78052821939</v>
      </c>
      <c r="R73" s="1467">
        <f ca="1">PortfolioCFStatement!U796</f>
        <v>189344.074468823</v>
      </c>
      <c r="S73" s="1467">
        <f ca="1">PortfolioCFStatement!V796</f>
        <v>189532.50953521696</v>
      </c>
      <c r="T73" s="1467">
        <f ca="1">PortfolioCFStatement!W796</f>
        <v>189714.76132834144</v>
      </c>
      <c r="U73" s="1467">
        <f ca="1">PortfolioCFStatement!X796</f>
        <v>189891.40132272491</v>
      </c>
      <c r="V73" s="1467">
        <f ca="1">PortfolioCFStatement!Y796</f>
        <v>190062.91803844224</v>
      </c>
      <c r="W73" s="1467">
        <f ca="1">PortfolioCFStatement!Z796</f>
        <v>190229.73298014997</v>
      </c>
      <c r="X73" s="1467">
        <f ca="1">PortfolioCFStatement!AA796</f>
        <v>190392.21284220132</v>
      </c>
      <c r="Y73" s="1467">
        <f ca="1">PortfolioCFStatement!AB796</f>
        <v>190550.67899634904</v>
      </c>
      <c r="Z73" s="1467">
        <f ca="1">PortfolioCFStatement!AC796</f>
        <v>190705.41496683744</v>
      </c>
      <c r="AA73" s="1467">
        <f ca="1">PortfolioCFStatement!AD796</f>
        <v>190856.67239132349</v>
      </c>
      <c r="AB73" s="1467">
        <f ca="1">PortfolioCFStatement!AE796</f>
        <v>191004.67582643646</v>
      </c>
      <c r="AC73" s="1467">
        <f ca="1">PortfolioCFStatement!AF796</f>
        <v>191149.62666042676</v>
      </c>
      <c r="AD73" s="1467">
        <f ca="1">PortfolioCFStatement!AG796</f>
        <v>191291.70632768099</v>
      </c>
      <c r="AE73" s="1467">
        <f ca="1">PortfolioCFStatement!AH796</f>
        <v>191431.07897157304</v>
      </c>
      <c r="AF73" s="1467">
        <f ca="1">PortfolioCFStatement!AI796</f>
        <v>191567.89366713187</v>
      </c>
      <c r="AG73" s="1467">
        <f ca="1">PortfolioCFStatement!AJ796</f>
        <v>191702.28628932338</v>
      </c>
      <c r="AH73" s="1467">
        <f ca="1">PortfolioCFStatement!AK796</f>
        <v>191834.38109365286</v>
      </c>
      <c r="AI73" s="1467">
        <f ca="1">PortfolioCFStatement!AL796</f>
        <v>191964.29206144507</v>
      </c>
      <c r="AJ73" s="1467">
        <f ca="1">PortfolioCFStatement!AM796</f>
        <v>192092.12405125631</v>
      </c>
      <c r="AK73" s="1467">
        <f ca="1">PortfolioCFStatement!AN796</f>
        <v>192217.97378950985</v>
      </c>
      <c r="AL73" s="1467">
        <f ca="1">PortfolioCFStatement!AO796</f>
        <v>192341.9307269709</v>
      </c>
      <c r="AM73" s="1467">
        <f ca="1">PortfolioCFStatement!AP796</f>
        <v>192464.07778262065</v>
      </c>
      <c r="AN73" s="1467">
        <f ca="1">PortfolioCFStatement!AQ796</f>
        <v>192584.49199251211</v>
      </c>
      <c r="AO73" s="1467">
        <f ca="1">PortfolioCFStatement!AR796</f>
        <v>192703.24507803266</v>
      </c>
      <c r="AP73" s="1467">
        <f ca="1">PortfolioCFStatement!AS796</f>
        <v>192820.40394548161</v>
      </c>
      <c r="AQ73" s="1467">
        <f ca="1">PortfolioCFStatement!AT796</f>
        <v>192936.03112684423</v>
      </c>
      <c r="AR73" s="1467"/>
      <c r="AS73" s="1467">
        <f t="shared" ca="1" si="0"/>
        <v>876364.36371606891</v>
      </c>
      <c r="AT73" s="1468"/>
      <c r="AU73" s="1467">
        <f t="shared" ca="1" si="1"/>
        <v>944685.62682764383</v>
      </c>
      <c r="AV73" s="1468"/>
      <c r="AW73" s="1467">
        <f t="shared" ca="1" si="2"/>
        <v>949431.32320487546</v>
      </c>
      <c r="AX73" s="1468"/>
      <c r="AY73" s="1467">
        <f t="shared" ca="1" si="3"/>
        <v>953509.65502314782</v>
      </c>
      <c r="AZ73" s="1468"/>
      <c r="BA73" s="1467">
        <f t="shared" ca="1" si="4"/>
        <v>957142.59191613598</v>
      </c>
      <c r="BB73" s="1468"/>
      <c r="BC73" s="1467">
        <f t="shared" ca="1" si="5"/>
        <v>960450.70172283496</v>
      </c>
      <c r="BD73" s="1468"/>
      <c r="BE73" s="1467">
        <f t="shared" ca="1" si="6"/>
        <v>963508.24992549128</v>
      </c>
    </row>
    <row r="74" spans="1:57" s="10" customFormat="1">
      <c r="A74" s="1465" t="str">
        <f ca="1">PortfolioCFStatement!D797</f>
        <v>Reduced Automobile Reliance Strategies</v>
      </c>
      <c r="B74" s="1466" t="str">
        <f>PortfolioCFStatement!E797</f>
        <v>2010$</v>
      </c>
      <c r="C74" s="1460">
        <f ca="1">PortfolioCFStatement!F797</f>
        <v>-2165760.9658617252</v>
      </c>
      <c r="D74" s="1467">
        <f ca="1">PortfolioCFStatement!G797</f>
        <v>0</v>
      </c>
      <c r="E74" s="1467">
        <f ca="1">PortfolioCFStatement!H797</f>
        <v>0</v>
      </c>
      <c r="F74" s="1467">
        <f ca="1">PortfolioCFStatement!I797</f>
        <v>-102475</v>
      </c>
      <c r="G74" s="1467">
        <f ca="1">PortfolioCFStatement!J797</f>
        <v>-104950</v>
      </c>
      <c r="H74" s="1467">
        <f ca="1">PortfolioCFStatement!K797</f>
        <v>-107425</v>
      </c>
      <c r="I74" s="1467">
        <f ca="1">PortfolioCFStatement!L797</f>
        <v>-109900</v>
      </c>
      <c r="J74" s="1467">
        <f ca="1">PortfolioCFStatement!M797</f>
        <v>-112375</v>
      </c>
      <c r="K74" s="1467">
        <f ca="1">PortfolioCFStatement!N797</f>
        <v>-164850</v>
      </c>
      <c r="L74" s="1467">
        <f ca="1">PortfolioCFStatement!O797</f>
        <v>-167325</v>
      </c>
      <c r="M74" s="1467">
        <f ca="1">PortfolioCFStatement!P797</f>
        <v>-169800</v>
      </c>
      <c r="N74" s="1467">
        <f ca="1">PortfolioCFStatement!Q797</f>
        <v>-172275</v>
      </c>
      <c r="O74" s="1467">
        <f ca="1">PortfolioCFStatement!R797</f>
        <v>-174750</v>
      </c>
      <c r="P74" s="1467">
        <f ca="1">PortfolioCFStatement!S797</f>
        <v>-174750</v>
      </c>
      <c r="Q74" s="1467">
        <f ca="1">PortfolioCFStatement!T797</f>
        <v>-174750</v>
      </c>
      <c r="R74" s="1467">
        <f ca="1">PortfolioCFStatement!U797</f>
        <v>-174750</v>
      </c>
      <c r="S74" s="1467">
        <f ca="1">PortfolioCFStatement!V797</f>
        <v>-174750</v>
      </c>
      <c r="T74" s="1467">
        <f ca="1">PortfolioCFStatement!W797</f>
        <v>-174750</v>
      </c>
      <c r="U74" s="1467">
        <f ca="1">PortfolioCFStatement!X797</f>
        <v>-174750</v>
      </c>
      <c r="V74" s="1467">
        <f ca="1">PortfolioCFStatement!Y797</f>
        <v>-174750</v>
      </c>
      <c r="W74" s="1467">
        <f ca="1">PortfolioCFStatement!Z797</f>
        <v>-174750</v>
      </c>
      <c r="X74" s="1467">
        <f ca="1">PortfolioCFStatement!AA797</f>
        <v>-174750</v>
      </c>
      <c r="Y74" s="1467">
        <f ca="1">PortfolioCFStatement!AB797</f>
        <v>-174750</v>
      </c>
      <c r="Z74" s="1467">
        <f ca="1">PortfolioCFStatement!AC797</f>
        <v>-174750</v>
      </c>
      <c r="AA74" s="1467">
        <f ca="1">PortfolioCFStatement!AD797</f>
        <v>-174750</v>
      </c>
      <c r="AB74" s="1467">
        <f ca="1">PortfolioCFStatement!AE797</f>
        <v>-174750</v>
      </c>
      <c r="AC74" s="1467">
        <f ca="1">PortfolioCFStatement!AF797</f>
        <v>-174750</v>
      </c>
      <c r="AD74" s="1467">
        <f ca="1">PortfolioCFStatement!AG797</f>
        <v>-174750</v>
      </c>
      <c r="AE74" s="1467">
        <f ca="1">PortfolioCFStatement!AH797</f>
        <v>-174750</v>
      </c>
      <c r="AF74" s="1467">
        <f ca="1">PortfolioCFStatement!AI797</f>
        <v>-174750</v>
      </c>
      <c r="AG74" s="1467">
        <f ca="1">PortfolioCFStatement!AJ797</f>
        <v>-174750</v>
      </c>
      <c r="AH74" s="1467">
        <f ca="1">PortfolioCFStatement!AK797</f>
        <v>-174750</v>
      </c>
      <c r="AI74" s="1467">
        <f ca="1">PortfolioCFStatement!AL797</f>
        <v>-174750</v>
      </c>
      <c r="AJ74" s="1467">
        <f ca="1">PortfolioCFStatement!AM797</f>
        <v>-174750</v>
      </c>
      <c r="AK74" s="1467">
        <f ca="1">PortfolioCFStatement!AN797</f>
        <v>-174750</v>
      </c>
      <c r="AL74" s="1467">
        <f ca="1">PortfolioCFStatement!AO797</f>
        <v>-174750</v>
      </c>
      <c r="AM74" s="1467">
        <f ca="1">PortfolioCFStatement!AP797</f>
        <v>-174750</v>
      </c>
      <c r="AN74" s="1467">
        <f ca="1">PortfolioCFStatement!AQ797</f>
        <v>-174750</v>
      </c>
      <c r="AO74" s="1467">
        <f ca="1">PortfolioCFStatement!AR797</f>
        <v>-174750</v>
      </c>
      <c r="AP74" s="1467">
        <f ca="1">PortfolioCFStatement!AS797</f>
        <v>-174750</v>
      </c>
      <c r="AQ74" s="1467">
        <f ca="1">PortfolioCFStatement!AT797</f>
        <v>-174750</v>
      </c>
      <c r="AR74" s="1467"/>
      <c r="AS74" s="1467">
        <f t="shared" ca="1" si="0"/>
        <v>-724250</v>
      </c>
      <c r="AT74" s="1468"/>
      <c r="AU74" s="1467">
        <f t="shared" ca="1" si="1"/>
        <v>-871275</v>
      </c>
      <c r="AV74" s="1468"/>
      <c r="AW74" s="1467">
        <f t="shared" ca="1" si="2"/>
        <v>-873750</v>
      </c>
      <c r="AX74" s="1468"/>
      <c r="AY74" s="1467">
        <f t="shared" ca="1" si="3"/>
        <v>-873750</v>
      </c>
      <c r="AZ74" s="1468"/>
      <c r="BA74" s="1467">
        <f t="shared" ca="1" si="4"/>
        <v>-873750</v>
      </c>
      <c r="BB74" s="1468"/>
      <c r="BC74" s="1467">
        <f t="shared" ca="1" si="5"/>
        <v>-873750</v>
      </c>
      <c r="BD74" s="1468"/>
      <c r="BE74" s="1467">
        <f t="shared" ca="1" si="6"/>
        <v>-873750</v>
      </c>
    </row>
    <row r="75" spans="1:57" s="10" customFormat="1">
      <c r="A75" s="1465" t="str">
        <f ca="1">PortfolioCFStatement!D798</f>
        <v>Waste Reduction</v>
      </c>
      <c r="B75" s="1466" t="str">
        <f>PortfolioCFStatement!E798</f>
        <v>2010$</v>
      </c>
      <c r="C75" s="1460">
        <f ca="1">PortfolioCFStatement!F798</f>
        <v>43933.902081298445</v>
      </c>
      <c r="D75" s="1467">
        <f ca="1">PortfolioCFStatement!G798</f>
        <v>0</v>
      </c>
      <c r="E75" s="1467">
        <f ca="1">PortfolioCFStatement!H798</f>
        <v>0</v>
      </c>
      <c r="F75" s="1467">
        <f ca="1">PortfolioCFStatement!I798</f>
        <v>3148</v>
      </c>
      <c r="G75" s="1467">
        <f ca="1">PortfolioCFStatement!J798</f>
        <v>3148</v>
      </c>
      <c r="H75" s="1467">
        <f ca="1">PortfolioCFStatement!K798</f>
        <v>3148</v>
      </c>
      <c r="I75" s="1467">
        <f ca="1">PortfolioCFStatement!L798</f>
        <v>3148</v>
      </c>
      <c r="J75" s="1467">
        <f ca="1">PortfolioCFStatement!M798</f>
        <v>3148</v>
      </c>
      <c r="K75" s="1467">
        <f ca="1">PortfolioCFStatement!N798</f>
        <v>3148</v>
      </c>
      <c r="L75" s="1467">
        <f ca="1">PortfolioCFStatement!O798</f>
        <v>3148</v>
      </c>
      <c r="M75" s="1467">
        <f ca="1">PortfolioCFStatement!P798</f>
        <v>3148</v>
      </c>
      <c r="N75" s="1467">
        <f ca="1">PortfolioCFStatement!Q798</f>
        <v>3148</v>
      </c>
      <c r="O75" s="1467">
        <f ca="1">PortfolioCFStatement!R798</f>
        <v>3148</v>
      </c>
      <c r="P75" s="1467">
        <f ca="1">PortfolioCFStatement!S798</f>
        <v>3148</v>
      </c>
      <c r="Q75" s="1467">
        <f ca="1">PortfolioCFStatement!T798</f>
        <v>3148</v>
      </c>
      <c r="R75" s="1467">
        <f ca="1">PortfolioCFStatement!U798</f>
        <v>3148</v>
      </c>
      <c r="S75" s="1467">
        <f ca="1">PortfolioCFStatement!V798</f>
        <v>3148</v>
      </c>
      <c r="T75" s="1467">
        <f ca="1">PortfolioCFStatement!W798</f>
        <v>3148</v>
      </c>
      <c r="U75" s="1467">
        <f ca="1">PortfolioCFStatement!X798</f>
        <v>3148</v>
      </c>
      <c r="V75" s="1467">
        <f ca="1">PortfolioCFStatement!Y798</f>
        <v>3148</v>
      </c>
      <c r="W75" s="1467">
        <f ca="1">PortfolioCFStatement!Z798</f>
        <v>3148</v>
      </c>
      <c r="X75" s="1467">
        <f ca="1">PortfolioCFStatement!AA798</f>
        <v>3148</v>
      </c>
      <c r="Y75" s="1467">
        <f ca="1">PortfolioCFStatement!AB798</f>
        <v>3148</v>
      </c>
      <c r="Z75" s="1467">
        <f ca="1">PortfolioCFStatement!AC798</f>
        <v>3148</v>
      </c>
      <c r="AA75" s="1467">
        <f ca="1">PortfolioCFStatement!AD798</f>
        <v>3148</v>
      </c>
      <c r="AB75" s="1467">
        <f ca="1">PortfolioCFStatement!AE798</f>
        <v>3148</v>
      </c>
      <c r="AC75" s="1467">
        <f ca="1">PortfolioCFStatement!AF798</f>
        <v>3148</v>
      </c>
      <c r="AD75" s="1467">
        <f ca="1">PortfolioCFStatement!AG798</f>
        <v>3148</v>
      </c>
      <c r="AE75" s="1467">
        <f ca="1">PortfolioCFStatement!AH798</f>
        <v>3148</v>
      </c>
      <c r="AF75" s="1467">
        <f ca="1">PortfolioCFStatement!AI798</f>
        <v>3148</v>
      </c>
      <c r="AG75" s="1467">
        <f ca="1">PortfolioCFStatement!AJ798</f>
        <v>3148</v>
      </c>
      <c r="AH75" s="1467">
        <f ca="1">PortfolioCFStatement!AK798</f>
        <v>3148</v>
      </c>
      <c r="AI75" s="1467">
        <f ca="1">PortfolioCFStatement!AL798</f>
        <v>3148</v>
      </c>
      <c r="AJ75" s="1467">
        <f ca="1">PortfolioCFStatement!AM798</f>
        <v>3148</v>
      </c>
      <c r="AK75" s="1467">
        <f ca="1">PortfolioCFStatement!AN798</f>
        <v>3148</v>
      </c>
      <c r="AL75" s="1467">
        <f ca="1">PortfolioCFStatement!AO798</f>
        <v>3148</v>
      </c>
      <c r="AM75" s="1467">
        <f ca="1">PortfolioCFStatement!AP798</f>
        <v>3148</v>
      </c>
      <c r="AN75" s="1467">
        <f ca="1">PortfolioCFStatement!AQ798</f>
        <v>3148</v>
      </c>
      <c r="AO75" s="1467">
        <f ca="1">PortfolioCFStatement!AR798</f>
        <v>3148</v>
      </c>
      <c r="AP75" s="1467">
        <f ca="1">PortfolioCFStatement!AS798</f>
        <v>3148</v>
      </c>
      <c r="AQ75" s="1467">
        <f ca="1">PortfolioCFStatement!AT798</f>
        <v>3148</v>
      </c>
      <c r="AR75" s="1467"/>
      <c r="AS75" s="1467">
        <f t="shared" ca="1" si="0"/>
        <v>15740</v>
      </c>
      <c r="AT75" s="1468"/>
      <c r="AU75" s="1467">
        <f t="shared" ca="1" si="1"/>
        <v>15740</v>
      </c>
      <c r="AV75" s="1468"/>
      <c r="AW75" s="1467">
        <f t="shared" ca="1" si="2"/>
        <v>15740</v>
      </c>
      <c r="AX75" s="1468"/>
      <c r="AY75" s="1467">
        <f t="shared" ca="1" si="3"/>
        <v>15740</v>
      </c>
      <c r="AZ75" s="1468"/>
      <c r="BA75" s="1467">
        <f t="shared" ca="1" si="4"/>
        <v>15740</v>
      </c>
      <c r="BB75" s="1468"/>
      <c r="BC75" s="1467">
        <f t="shared" ca="1" si="5"/>
        <v>15740</v>
      </c>
      <c r="BD75" s="1468"/>
      <c r="BE75" s="1467">
        <f t="shared" ca="1" si="6"/>
        <v>15740</v>
      </c>
    </row>
    <row r="76" spans="1:57" s="10" customFormat="1">
      <c r="A76" s="1465" t="str">
        <f ca="1">PortfolioCFStatement!D799</f>
        <v>Steam Line Improvements</v>
      </c>
      <c r="B76" s="1466" t="str">
        <f>PortfolioCFStatement!E799</f>
        <v>2010$</v>
      </c>
      <c r="C76" s="1460">
        <f ca="1">PortfolioCFStatement!F799</f>
        <v>5520765.9617507318</v>
      </c>
      <c r="D76" s="1467">
        <f ca="1">PortfolioCFStatement!G799</f>
        <v>0</v>
      </c>
      <c r="E76" s="1467">
        <f ca="1">PortfolioCFStatement!H799</f>
        <v>0</v>
      </c>
      <c r="F76" s="1467">
        <f ca="1">PortfolioCFStatement!I799</f>
        <v>318930.98821845633</v>
      </c>
      <c r="G76" s="1467">
        <f ca="1">PortfolioCFStatement!J799</f>
        <v>325674.38291916944</v>
      </c>
      <c r="H76" s="1467">
        <f ca="1">PortfolioCFStatement!K799</f>
        <v>331089.05995406612</v>
      </c>
      <c r="I76" s="1467">
        <f ca="1">PortfolioCFStatement!L799</f>
        <v>340270.05984589568</v>
      </c>
      <c r="J76" s="1467">
        <f ca="1">PortfolioCFStatement!M799</f>
        <v>345795.67297425686</v>
      </c>
      <c r="K76" s="1467">
        <f ca="1">PortfolioCFStatement!N799</f>
        <v>351368.03548240557</v>
      </c>
      <c r="L76" s="1467">
        <f ca="1">PortfolioCFStatement!O799</f>
        <v>356987.47672381124</v>
      </c>
      <c r="M76" s="1467">
        <f ca="1">PortfolioCFStatement!P799</f>
        <v>362654.32817674411</v>
      </c>
      <c r="N76" s="1467">
        <f ca="1">PortfolioCFStatement!Q799</f>
        <v>368368.92345728818</v>
      </c>
      <c r="O76" s="1467">
        <f ca="1">PortfolioCFStatement!R799</f>
        <v>374131.59833243315</v>
      </c>
      <c r="P76" s="1467">
        <f ca="1">PortfolioCFStatement!S799</f>
        <v>379942.69073324307</v>
      </c>
      <c r="Q76" s="1467">
        <f ca="1">PortfolioCFStatement!T799</f>
        <v>385802.54076810298</v>
      </c>
      <c r="R76" s="1467">
        <f ca="1">PortfolioCFStatement!U799</f>
        <v>391711.49073604314</v>
      </c>
      <c r="S76" s="1467">
        <f ca="1">PortfolioCFStatement!V799</f>
        <v>397669.88514014328</v>
      </c>
      <c r="T76" s="1467">
        <f ca="1">PortfolioCFStatement!W799</f>
        <v>403678.07070101617</v>
      </c>
      <c r="U76" s="1467">
        <f ca="1">PortfolioCFStatement!X799</f>
        <v>409736.39637036924</v>
      </c>
      <c r="V76" s="1467">
        <f ca="1">PortfolioCFStatement!Y799</f>
        <v>415845.21334464825</v>
      </c>
      <c r="W76" s="1467">
        <f ca="1">PortfolioCFStatement!Z799</f>
        <v>422004.87507876102</v>
      </c>
      <c r="X76" s="1467">
        <f ca="1">PortfolioCFStatement!AA799</f>
        <v>428215.73729988118</v>
      </c>
      <c r="Y76" s="1467">
        <f ca="1">PortfolioCFStatement!AB799</f>
        <v>434478.15802133561</v>
      </c>
      <c r="Z76" s="1467">
        <f ca="1">PortfolioCFStatement!AC799</f>
        <v>440792.49755657191</v>
      </c>
      <c r="AA76" s="1467">
        <f ca="1">PortfolioCFStatement!AD799</f>
        <v>447159.11853321025</v>
      </c>
      <c r="AB76" s="1467">
        <f ca="1">PortfolioCFStatement!AE799</f>
        <v>453578.38590717589</v>
      </c>
      <c r="AC76" s="1467">
        <f ca="1">PortfolioCFStatement!AF799</f>
        <v>460050.66697691794</v>
      </c>
      <c r="AD76" s="1467">
        <f ca="1">PortfolioCFStatement!AG799</f>
        <v>466576.33139770979</v>
      </c>
      <c r="AE76" s="1467">
        <f ca="1">PortfolioCFStatement!AH799</f>
        <v>473155.75119603518</v>
      </c>
      <c r="AF76" s="1467">
        <f ca="1">PortfolioCFStatement!AI799</f>
        <v>479789.30078405864</v>
      </c>
      <c r="AG76" s="1467">
        <f ca="1">PortfolioCFStatement!AJ799</f>
        <v>486477.35697418259</v>
      </c>
      <c r="AH76" s="1467">
        <f ca="1">PortfolioCFStatement!AK799</f>
        <v>493220.29899368808</v>
      </c>
      <c r="AI76" s="1467">
        <f ca="1">PortfolioCFStatement!AL799</f>
        <v>500018.50849946431</v>
      </c>
      <c r="AJ76" s="1467">
        <f ca="1">PortfolioCFStatement!AM799</f>
        <v>506872.36959282338</v>
      </c>
      <c r="AK76" s="1467">
        <f ca="1">PortfolioCFStatement!AN799</f>
        <v>513782.26883440372</v>
      </c>
      <c r="AL76" s="1467">
        <f ca="1">PortfolioCFStatement!AO799</f>
        <v>520748.59525915998</v>
      </c>
      <c r="AM76" s="1467">
        <f ca="1">PortfolioCFStatement!AP799</f>
        <v>527771.74039144302</v>
      </c>
      <c r="AN76" s="1467">
        <f ca="1">PortfolioCFStatement!AQ799</f>
        <v>534852.09826016694</v>
      </c>
      <c r="AO76" s="1467">
        <f ca="1">PortfolioCFStatement!AR799</f>
        <v>541990.06541406864</v>
      </c>
      <c r="AP76" s="1467">
        <f ca="1">PortfolioCFStatement!AS799</f>
        <v>549186.04093705327</v>
      </c>
      <c r="AQ76" s="1467">
        <f ca="1">PortfolioCFStatement!AT799</f>
        <v>556440.42646363203</v>
      </c>
      <c r="AR76" s="1467"/>
      <c r="AS76" s="1467">
        <f t="shared" ca="1" si="0"/>
        <v>1757075.5732031134</v>
      </c>
      <c r="AT76" s="1468"/>
      <c r="AU76" s="1467">
        <f t="shared" ca="1" si="1"/>
        <v>1899957.2440271105</v>
      </c>
      <c r="AV76" s="1468"/>
      <c r="AW76" s="1467">
        <f t="shared" ca="1" si="2"/>
        <v>2048934.440634938</v>
      </c>
      <c r="AX76" s="1468"/>
      <c r="AY76" s="1467">
        <f t="shared" ca="1" si="3"/>
        <v>2204223.8973181751</v>
      </c>
      <c r="AZ76" s="1468"/>
      <c r="BA76" s="1467">
        <f t="shared" ca="1" si="4"/>
        <v>2366049.4073289041</v>
      </c>
      <c r="BB76" s="1468"/>
      <c r="BC76" s="1467">
        <f t="shared" ca="1" si="5"/>
        <v>2534642.0411795392</v>
      </c>
      <c r="BD76" s="1468"/>
      <c r="BE76" s="1467">
        <f t="shared" ca="1" si="6"/>
        <v>2710240.3714663638</v>
      </c>
    </row>
    <row r="77" spans="1:57" s="10" customFormat="1">
      <c r="A77" s="1465" t="str">
        <f ca="1">PortfolioCFStatement!D800</f>
        <v>Coal to Natural Gas Conversion @ Steam Plant</v>
      </c>
      <c r="B77" s="1466" t="str">
        <f>PortfolioCFStatement!E800</f>
        <v>2010$</v>
      </c>
      <c r="C77" s="1460">
        <f ca="1">PortfolioCFStatement!F800</f>
        <v>-4228976.1405559285</v>
      </c>
      <c r="D77" s="1467">
        <f ca="1">PortfolioCFStatement!G800</f>
        <v>0</v>
      </c>
      <c r="E77" s="1467">
        <f ca="1">PortfolioCFStatement!H800</f>
        <v>0</v>
      </c>
      <c r="F77" s="1467">
        <f ca="1">PortfolioCFStatement!I800</f>
        <v>0</v>
      </c>
      <c r="G77" s="1467">
        <f ca="1">PortfolioCFStatement!J800</f>
        <v>0</v>
      </c>
      <c r="H77" s="1467">
        <f ca="1">PortfolioCFStatement!K800</f>
        <v>0</v>
      </c>
      <c r="I77" s="1467">
        <f ca="1">PortfolioCFStatement!L800</f>
        <v>-303812.55343383551</v>
      </c>
      <c r="J77" s="1467">
        <f ca="1">PortfolioCFStatement!M800</f>
        <v>-308746.13658415806</v>
      </c>
      <c r="K77" s="1467">
        <f ca="1">PortfolioCFStatement!N800</f>
        <v>-313721.4602521481</v>
      </c>
      <c r="L77" s="1467">
        <f ca="1">PortfolioCFStatement!O800</f>
        <v>-318738.8185034031</v>
      </c>
      <c r="M77" s="1467">
        <f ca="1">PortfolioCFStatement!P800</f>
        <v>-323798.50730066467</v>
      </c>
      <c r="N77" s="1467">
        <f ca="1">PortfolioCFStatement!Q800</f>
        <v>-328900.82451543584</v>
      </c>
      <c r="O77" s="1467">
        <f ca="1">PortfolioCFStatement!R800</f>
        <v>-334046.06993967295</v>
      </c>
      <c r="P77" s="1467">
        <f ca="1">PortfolioCFStatement!S800</f>
        <v>-339234.54529753793</v>
      </c>
      <c r="Q77" s="1467">
        <f ca="1">PortfolioCFStatement!T800</f>
        <v>-344466.55425723549</v>
      </c>
      <c r="R77" s="1467">
        <f ca="1">PortfolioCFStatement!U800</f>
        <v>-349742.40244289581</v>
      </c>
      <c r="S77" s="1467">
        <f ca="1">PortfolioCFStatement!V800</f>
        <v>-355062.39744655695</v>
      </c>
      <c r="T77" s="1467">
        <f ca="1">PortfolioCFStatement!W800</f>
        <v>-360426.84884019289</v>
      </c>
      <c r="U77" s="1467">
        <f ca="1">PortfolioCFStatement!X800</f>
        <v>-365836.06818782911</v>
      </c>
      <c r="V77" s="1467">
        <f ca="1">PortfolioCFStatement!Y800</f>
        <v>-371290.36905772146</v>
      </c>
      <c r="W77" s="1467">
        <f ca="1">PortfolioCFStatement!Z800</f>
        <v>-376790.06703460775</v>
      </c>
      <c r="X77" s="1467">
        <f ca="1">PortfolioCFStatement!AA800</f>
        <v>-382335.47973203566</v>
      </c>
      <c r="Y77" s="1467">
        <f ca="1">PortfolioCFStatement!AB800</f>
        <v>-387926.9268047642</v>
      </c>
      <c r="Z77" s="1467">
        <f ca="1">PortfolioCFStatement!AC800</f>
        <v>-393564.72996122483</v>
      </c>
      <c r="AA77" s="1467">
        <f ca="1">PortfolioCFStatement!AD800</f>
        <v>-399249.21297608037</v>
      </c>
      <c r="AB77" s="1467">
        <f ca="1">PortfolioCFStatement!AE800</f>
        <v>-404980.70170283597</v>
      </c>
      <c r="AC77" s="1467">
        <f ca="1">PortfolioCFStatement!AF800</f>
        <v>-410759.52408653311</v>
      </c>
      <c r="AD77" s="1467">
        <f ca="1">PortfolioCFStatement!AG800</f>
        <v>-416586.01017652731</v>
      </c>
      <c r="AE77" s="1467">
        <f ca="1">PortfolioCFStatement!AH800</f>
        <v>-422460.49213931803</v>
      </c>
      <c r="AF77" s="1467">
        <f ca="1">PortfolioCFStatement!AI800</f>
        <v>-428383.304271481</v>
      </c>
      <c r="AG77" s="1467">
        <f ca="1">PortfolioCFStatement!AJ800</f>
        <v>-434354.78301266301</v>
      </c>
      <c r="AH77" s="1467">
        <f ca="1">PortfolioCFStatement!AK800</f>
        <v>-440375.2669586502</v>
      </c>
      <c r="AI77" s="1467">
        <f ca="1">PortfolioCFStatement!AL800</f>
        <v>-446445.09687452111</v>
      </c>
      <c r="AJ77" s="1467">
        <f ca="1">PortfolioCFStatement!AM800</f>
        <v>-452564.61570787802</v>
      </c>
      <c r="AK77" s="1467">
        <f ca="1">PortfolioCFStatement!AN800</f>
        <v>-458734.16860214621</v>
      </c>
      <c r="AL77" s="1467">
        <f ca="1">PortfolioCFStatement!AO800</f>
        <v>-464954.10290996451</v>
      </c>
      <c r="AM77" s="1467">
        <f ca="1">PortfolioCFStatement!AP800</f>
        <v>-471224.7682066448</v>
      </c>
      <c r="AN77" s="1467">
        <f ca="1">PortfolioCFStatement!AQ800</f>
        <v>-477546.51630371995</v>
      </c>
      <c r="AO77" s="1467">
        <f ca="1">PortfolioCFStatement!AR800</f>
        <v>-483919.70126256067</v>
      </c>
      <c r="AP77" s="1467">
        <f ca="1">PortfolioCFStatement!AS800</f>
        <v>-490344.67940808367</v>
      </c>
      <c r="AQ77" s="1467">
        <f ca="1">PortfolioCFStatement!AT800</f>
        <v>-496821.80934252869</v>
      </c>
      <c r="AR77" s="1467"/>
      <c r="AS77" s="1467">
        <f t="shared" ca="1" si="0"/>
        <v>-1568817.4760742094</v>
      </c>
      <c r="AT77" s="1468"/>
      <c r="AU77" s="1467">
        <f t="shared" ca="1" si="1"/>
        <v>-1696390.396452778</v>
      </c>
      <c r="AV77" s="1468"/>
      <c r="AW77" s="1467">
        <f t="shared" ca="1" si="2"/>
        <v>-1829405.7505669082</v>
      </c>
      <c r="AX77" s="1468"/>
      <c r="AY77" s="1467">
        <f t="shared" ca="1" si="3"/>
        <v>-1968057.051176941</v>
      </c>
      <c r="AZ77" s="1468"/>
      <c r="BA77" s="1467">
        <f t="shared" ca="1" si="4"/>
        <v>-2112544.1136865225</v>
      </c>
      <c r="BB77" s="1468"/>
      <c r="BC77" s="1467">
        <f t="shared" ca="1" si="5"/>
        <v>-2263073.2510531601</v>
      </c>
      <c r="BD77" s="1468"/>
      <c r="BE77" s="1467">
        <f t="shared" ca="1" si="6"/>
        <v>-2419857.4745235378</v>
      </c>
    </row>
    <row r="78" spans="1:57" s="10" customFormat="1">
      <c r="A78" s="1465" t="str">
        <f ca="1">PortfolioCFStatement!D801</f>
        <v>On-site Wind</v>
      </c>
      <c r="B78" s="1466" t="str">
        <f>PortfolioCFStatement!E801</f>
        <v>2010$</v>
      </c>
      <c r="C78" s="1460">
        <f ca="1">PortfolioCFStatement!F801</f>
        <v>-75306.625538627894</v>
      </c>
      <c r="D78" s="1467">
        <f ca="1">PortfolioCFStatement!G801</f>
        <v>0</v>
      </c>
      <c r="E78" s="1467">
        <f ca="1">PortfolioCFStatement!H801</f>
        <v>-6057.5400000000009</v>
      </c>
      <c r="F78" s="1467">
        <f ca="1">PortfolioCFStatement!I801</f>
        <v>-5982.7077000000063</v>
      </c>
      <c r="G78" s="1467">
        <f ca="1">PortfolioCFStatement!J801</f>
        <v>-5907.5012385000064</v>
      </c>
      <c r="H78" s="1467">
        <f ca="1">PortfolioCFStatement!K801</f>
        <v>-5831.9187446925116</v>
      </c>
      <c r="I78" s="1467">
        <f ca="1">PortfolioCFStatement!L801</f>
        <v>-5755.9583384159741</v>
      </c>
      <c r="J78" s="1467">
        <f ca="1">PortfolioCFStatement!M801</f>
        <v>-5679.6181301080578</v>
      </c>
      <c r="K78" s="1467">
        <f ca="1">PortfolioCFStatement!N801</f>
        <v>-5602.896220758601</v>
      </c>
      <c r="L78" s="1467">
        <f ca="1">PortfolioCFStatement!O801</f>
        <v>-5525.7907018623955</v>
      </c>
      <c r="M78" s="1467">
        <f ca="1">PortfolioCFStatement!P801</f>
        <v>-5448.2996553717057</v>
      </c>
      <c r="N78" s="1467">
        <f ca="1">PortfolioCFStatement!Q801</f>
        <v>-5370.4211536485691</v>
      </c>
      <c r="O78" s="1467">
        <f ca="1">PortfolioCFStatement!R801</f>
        <v>-5292.1532594168129</v>
      </c>
      <c r="P78" s="1467">
        <f ca="1">PortfolioCFStatement!S801</f>
        <v>-5213.4940257139042</v>
      </c>
      <c r="Q78" s="1467">
        <f ca="1">PortfolioCFStatement!T801</f>
        <v>-5134.4414958424732</v>
      </c>
      <c r="R78" s="1467">
        <f ca="1">PortfolioCFStatement!U801</f>
        <v>-5054.9937033216884</v>
      </c>
      <c r="S78" s="1467">
        <f ca="1">PortfolioCFStatement!V801</f>
        <v>-4975.1486718383003</v>
      </c>
      <c r="T78" s="1467">
        <f ca="1">PortfolioCFStatement!W801</f>
        <v>-4894.9044151974922</v>
      </c>
      <c r="U78" s="1467">
        <f ca="1">PortfolioCFStatement!X801</f>
        <v>-4814.2589372734819</v>
      </c>
      <c r="V78" s="1467">
        <f ca="1">PortfolioCFStatement!Y801</f>
        <v>-4733.2102319598544</v>
      </c>
      <c r="W78" s="1467">
        <f ca="1">PortfolioCFStatement!Z801</f>
        <v>-4651.7562831196556</v>
      </c>
      <c r="X78" s="1467">
        <f ca="1">PortfolioCFStatement!AA801</f>
        <v>-4569.8950645352561</v>
      </c>
      <c r="Y78" s="1467">
        <f ca="1">PortfolioCFStatement!AB801</f>
        <v>-4487.6245398579376</v>
      </c>
      <c r="Z78" s="1467">
        <f ca="1">PortfolioCFStatement!AC801</f>
        <v>-4404.9426625572269</v>
      </c>
      <c r="AA78" s="1467">
        <f ca="1">PortfolioCFStatement!AD801</f>
        <v>-4321.8473758700165</v>
      </c>
      <c r="AB78" s="1467">
        <f ca="1">PortfolioCFStatement!AE801</f>
        <v>-4238.3366127493646</v>
      </c>
      <c r="AC78" s="1467">
        <f ca="1">PortfolioCFStatement!AF801</f>
        <v>-4154.4082958131185</v>
      </c>
      <c r="AD78" s="1467">
        <f ca="1">PortfolioCFStatement!AG801</f>
        <v>-4070.0603372921832</v>
      </c>
      <c r="AE78" s="1467">
        <f ca="1">PortfolioCFStatement!AH801</f>
        <v>-3985.2906389786476</v>
      </c>
      <c r="AF78" s="1467">
        <f ca="1">PortfolioCFStatement!AI801</f>
        <v>-3900.0970921735461</v>
      </c>
      <c r="AG78" s="1467">
        <f ca="1">PortfolioCFStatement!AJ801</f>
        <v>-3814.477577634414</v>
      </c>
      <c r="AH78" s="1467">
        <f ca="1">PortfolioCFStatement!AK801</f>
        <v>-3728.4299655225877</v>
      </c>
      <c r="AI78" s="1467">
        <f ca="1">PortfolioCFStatement!AL801</f>
        <v>-3641.9521153502064</v>
      </c>
      <c r="AJ78" s="1467">
        <f ca="1">PortfolioCFStatement!AM801</f>
        <v>-3555.0418759269596</v>
      </c>
      <c r="AK78" s="1467">
        <f ca="1">PortfolioCFStatement!AN801</f>
        <v>-3467.6970853065977</v>
      </c>
      <c r="AL78" s="1467">
        <f ca="1">PortfolioCFStatement!AO801</f>
        <v>-3379.9155707331338</v>
      </c>
      <c r="AM78" s="1467">
        <f ca="1">PortfolioCFStatement!AP801</f>
        <v>-3291.6951485868012</v>
      </c>
      <c r="AN78" s="1467">
        <f ca="1">PortfolioCFStatement!AQ801</f>
        <v>-3203.0336243297388</v>
      </c>
      <c r="AO78" s="1467">
        <f ca="1">PortfolioCFStatement!AR801</f>
        <v>-3113.9287924513919</v>
      </c>
      <c r="AP78" s="1467">
        <f ca="1">PortfolioCFStatement!AS801</f>
        <v>-3024.3784364136518</v>
      </c>
      <c r="AQ78" s="1467">
        <f ca="1">PortfolioCFStatement!AT801</f>
        <v>-2934.3803285957219</v>
      </c>
      <c r="AR78" s="1467"/>
      <c r="AS78" s="1467">
        <f t="shared" ca="1" si="0"/>
        <v>-28012.563046516734</v>
      </c>
      <c r="AT78" s="1468"/>
      <c r="AU78" s="1467">
        <f t="shared" ca="1" si="1"/>
        <v>-26065.50363794345</v>
      </c>
      <c r="AV78" s="1468"/>
      <c r="AW78" s="1467">
        <f t="shared" ca="1" si="2"/>
        <v>-24069.278539388783</v>
      </c>
      <c r="AX78" s="1468"/>
      <c r="AY78" s="1467">
        <f t="shared" ca="1" si="3"/>
        <v>-22022.646255569802</v>
      </c>
      <c r="AZ78" s="1468"/>
      <c r="BA78" s="1467">
        <f t="shared" ca="1" si="4"/>
        <v>-19924.333941891909</v>
      </c>
      <c r="BB78" s="1468"/>
      <c r="BC78" s="1467">
        <f t="shared" ca="1" si="5"/>
        <v>-17773.036612839485</v>
      </c>
      <c r="BD78" s="1468"/>
      <c r="BE78" s="1467">
        <f t="shared" ca="1" si="6"/>
        <v>-15567.416330377306</v>
      </c>
    </row>
    <row r="79" spans="1:57" s="10" customFormat="1">
      <c r="A79" s="1465" t="str">
        <f ca="1">PortfolioCFStatement!D802</f>
        <v>Solar DHW</v>
      </c>
      <c r="B79" s="1466" t="str">
        <f>PortfolioCFStatement!E802</f>
        <v>2010$</v>
      </c>
      <c r="C79" s="1460">
        <f ca="1">PortfolioCFStatement!F802</f>
        <v>64882.291036694667</v>
      </c>
      <c r="D79" s="1467">
        <f ca="1">PortfolioCFStatement!G802</f>
        <v>0</v>
      </c>
      <c r="E79" s="1467">
        <f ca="1">PortfolioCFStatement!H802</f>
        <v>0</v>
      </c>
      <c r="F79" s="1467">
        <f ca="1">PortfolioCFStatement!I802</f>
        <v>4365.7750911300864</v>
      </c>
      <c r="G79" s="1467">
        <f ca="1">PortfolioCFStatement!J802</f>
        <v>4387.6039665857361</v>
      </c>
      <c r="H79" s="1467">
        <f ca="1">PortfolioCFStatement!K802</f>
        <v>4409.5419864186642</v>
      </c>
      <c r="I79" s="1467">
        <f ca="1">PortfolioCFStatement!L802</f>
        <v>4431.5896963507566</v>
      </c>
      <c r="J79" s="1467">
        <f ca="1">PortfolioCFStatement!M802</f>
        <v>4453.7476448325096</v>
      </c>
      <c r="K79" s="1467">
        <f ca="1">PortfolioCFStatement!N802</f>
        <v>4476.0163830566726</v>
      </c>
      <c r="L79" s="1467">
        <f ca="1">PortfolioCFStatement!O802</f>
        <v>4498.3964649719546</v>
      </c>
      <c r="M79" s="1467">
        <f ca="1">PortfolioCFStatement!P802</f>
        <v>4520.8884472968148</v>
      </c>
      <c r="N79" s="1467">
        <f ca="1">PortfolioCFStatement!Q802</f>
        <v>4543.4928895332978</v>
      </c>
      <c r="O79" s="1467">
        <f ca="1">PortfolioCFStatement!R802</f>
        <v>4566.210353980965</v>
      </c>
      <c r="P79" s="1467">
        <f ca="1">PortfolioCFStatement!S802</f>
        <v>4589.0414057508669</v>
      </c>
      <c r="Q79" s="1467">
        <f ca="1">PortfolioCFStatement!T802</f>
        <v>4611.9866127796213</v>
      </c>
      <c r="R79" s="1467">
        <f ca="1">PortfolioCFStatement!U802</f>
        <v>4635.0465458435183</v>
      </c>
      <c r="S79" s="1467">
        <f ca="1">PortfolioCFStatement!V802</f>
        <v>4658.2217785727362</v>
      </c>
      <c r="T79" s="1467">
        <f ca="1">PortfolioCFStatement!W802</f>
        <v>4681.5128874655975</v>
      </c>
      <c r="U79" s="1467">
        <f ca="1">PortfolioCFStatement!X802</f>
        <v>4704.9204519029254</v>
      </c>
      <c r="V79" s="1467">
        <f ca="1">PortfolioCFStatement!Y802</f>
        <v>4728.4450541624392</v>
      </c>
      <c r="W79" s="1467">
        <f ca="1">PortfolioCFStatement!Z802</f>
        <v>4752.0872794332508</v>
      </c>
      <c r="X79" s="1467">
        <f ca="1">PortfolioCFStatement!AA802</f>
        <v>4775.8477158304167</v>
      </c>
      <c r="Y79" s="1467">
        <f ca="1">PortfolioCFStatement!AB802</f>
        <v>4799.726954409568</v>
      </c>
      <c r="Z79" s="1467">
        <f ca="1">PortfolioCFStatement!AC802</f>
        <v>4823.7255891816149</v>
      </c>
      <c r="AA79" s="1467">
        <f ca="1">PortfolioCFStatement!AD802</f>
        <v>4847.8442171275219</v>
      </c>
      <c r="AB79" s="1467">
        <f ca="1">PortfolioCFStatement!AE802</f>
        <v>4872.0834382131607</v>
      </c>
      <c r="AC79" s="1467">
        <f ca="1">PortfolioCFStatement!AF802</f>
        <v>4896.4438554042254</v>
      </c>
      <c r="AD79" s="1467">
        <f ca="1">PortfolioCFStatement!AG802</f>
        <v>4920.9260746812452</v>
      </c>
      <c r="AE79" s="1467">
        <f ca="1">PortfolioCFStatement!AH802</f>
        <v>4945.5307050546508</v>
      </c>
      <c r="AF79" s="1467">
        <f ca="1">PortfolioCFStatement!AI802</f>
        <v>4970.2583585799221</v>
      </c>
      <c r="AG79" s="1467">
        <f ca="1">PortfolioCFStatement!AJ802</f>
        <v>4995.1096503728222</v>
      </c>
      <c r="AH79" s="1467">
        <f ca="1">PortfolioCFStatement!AK802</f>
        <v>5020.0851986246853</v>
      </c>
      <c r="AI79" s="1467">
        <f ca="1">PortfolioCFStatement!AL802</f>
        <v>5045.1856246178077</v>
      </c>
      <c r="AJ79" s="1467">
        <f ca="1">PortfolioCFStatement!AM802</f>
        <v>5070.4115527408958</v>
      </c>
      <c r="AK79" s="1467">
        <f ca="1">PortfolioCFStatement!AN802</f>
        <v>5095.7636105045995</v>
      </c>
      <c r="AL79" s="1467">
        <f ca="1">PortfolioCFStatement!AO802</f>
        <v>5121.2424285571224</v>
      </c>
      <c r="AM79" s="1467">
        <f ca="1">PortfolioCFStatement!AP802</f>
        <v>5146.8486406999073</v>
      </c>
      <c r="AN79" s="1467">
        <f ca="1">PortfolioCFStatement!AQ802</f>
        <v>5172.5828839034039</v>
      </c>
      <c r="AO79" s="1467">
        <f ca="1">PortfolioCFStatement!AR802</f>
        <v>5198.4457983229195</v>
      </c>
      <c r="AP79" s="1467">
        <f ca="1">PortfolioCFStatement!AS802</f>
        <v>5224.4380273145352</v>
      </c>
      <c r="AQ79" s="1467">
        <f ca="1">PortfolioCFStatement!AT802</f>
        <v>5250.5602174511068</v>
      </c>
      <c r="AR79" s="1467"/>
      <c r="AS79" s="1467">
        <f t="shared" ca="1" si="0"/>
        <v>22380.638636508709</v>
      </c>
      <c r="AT79" s="1468"/>
      <c r="AU79" s="1467">
        <f t="shared" ca="1" si="1"/>
        <v>22945.777807888266</v>
      </c>
      <c r="AV79" s="1468"/>
      <c r="AW79" s="1467">
        <f t="shared" ca="1" si="2"/>
        <v>23525.187451536949</v>
      </c>
      <c r="AX79" s="1468"/>
      <c r="AY79" s="1467">
        <f t="shared" ca="1" si="3"/>
        <v>24119.227914762283</v>
      </c>
      <c r="AZ79" s="1468"/>
      <c r="BA79" s="1467">
        <f t="shared" ca="1" si="4"/>
        <v>24728.268644092866</v>
      </c>
      <c r="BB79" s="1468"/>
      <c r="BC79" s="1467">
        <f t="shared" ca="1" si="5"/>
        <v>25352.688415045108</v>
      </c>
      <c r="BD79" s="1468"/>
      <c r="BE79" s="1467">
        <f t="shared" ca="1" si="6"/>
        <v>25992.875567691874</v>
      </c>
    </row>
    <row r="80" spans="1:57" s="10" customFormat="1">
      <c r="A80" s="1465" t="str">
        <f ca="1">PortfolioCFStatement!D803</f>
        <v>Geo Exchange</v>
      </c>
      <c r="B80" s="1466" t="str">
        <f>PortfolioCFStatement!E803</f>
        <v>2010$</v>
      </c>
      <c r="C80" s="1460">
        <f ca="1">PortfolioCFStatement!F803</f>
        <v>1329921.469937166</v>
      </c>
      <c r="D80" s="1467">
        <f ca="1">PortfolioCFStatement!G803</f>
        <v>0</v>
      </c>
      <c r="E80" s="1467">
        <f ca="1">PortfolioCFStatement!H803</f>
        <v>0</v>
      </c>
      <c r="F80" s="1467">
        <f ca="1">PortfolioCFStatement!I803</f>
        <v>0</v>
      </c>
      <c r="G80" s="1467">
        <f ca="1">PortfolioCFStatement!J803</f>
        <v>49582.351449977352</v>
      </c>
      <c r="H80" s="1467">
        <f ca="1">PortfolioCFStatement!K803</f>
        <v>49905.263207227239</v>
      </c>
      <c r="I80" s="1467">
        <f ca="1">PortfolioCFStatement!L803</f>
        <v>100459.57904652669</v>
      </c>
      <c r="J80" s="1467">
        <f ca="1">PortfolioCFStatement!M803</f>
        <v>101111.8769417593</v>
      </c>
      <c r="K80" s="1467">
        <f ca="1">PortfolioCFStatement!N803</f>
        <v>101767.43632646813</v>
      </c>
      <c r="L80" s="1467">
        <f ca="1">PortfolioCFStatement!O803</f>
        <v>102426.27350810044</v>
      </c>
      <c r="M80" s="1467">
        <f ca="1">PortfolioCFStatement!P803</f>
        <v>103088.40487564095</v>
      </c>
      <c r="N80" s="1467">
        <f ca="1">PortfolioCFStatement!Q803</f>
        <v>103753.84690001914</v>
      </c>
      <c r="O80" s="1467">
        <f ca="1">PortfolioCFStatement!R803</f>
        <v>104422.61613451924</v>
      </c>
      <c r="P80" s="1467">
        <f ca="1">PortfolioCFStatement!S803</f>
        <v>105094.72921519178</v>
      </c>
      <c r="Q80" s="1467">
        <f ca="1">PortfolioCFStatement!T803</f>
        <v>105770.20286126771</v>
      </c>
      <c r="R80" s="1467">
        <f ca="1">PortfolioCFStatement!U803</f>
        <v>106449.05387557404</v>
      </c>
      <c r="S80" s="1467">
        <f ca="1">PortfolioCFStatement!V803</f>
        <v>107131.2991449519</v>
      </c>
      <c r="T80" s="1467">
        <f ca="1">PortfolioCFStatement!W803</f>
        <v>107816.95564067659</v>
      </c>
      <c r="U80" s="1467">
        <f ca="1">PortfolioCFStatement!X803</f>
        <v>108506.04041887996</v>
      </c>
      <c r="V80" s="1467">
        <f ca="1">PortfolioCFStatement!Y803</f>
        <v>109198.57062097435</v>
      </c>
      <c r="W80" s="1467">
        <f ca="1">PortfolioCFStatement!Z803</f>
        <v>109894.56347407923</v>
      </c>
      <c r="X80" s="1467">
        <f ca="1">PortfolioCFStatement!AA803</f>
        <v>110594.03629144958</v>
      </c>
      <c r="Y80" s="1467">
        <f ca="1">PortfolioCFStatement!AB803</f>
        <v>111297.0064729068</v>
      </c>
      <c r="Z80" s="1467">
        <f ca="1">PortfolioCFStatement!AC803</f>
        <v>112003.49150527129</v>
      </c>
      <c r="AA80" s="1467">
        <f ca="1">PortfolioCFStatement!AD803</f>
        <v>112713.50896279767</v>
      </c>
      <c r="AB80" s="1467">
        <f ca="1">PortfolioCFStatement!AE803</f>
        <v>113427.07650761165</v>
      </c>
      <c r="AC80" s="1467">
        <f ca="1">PortfolioCFStatement!AF803</f>
        <v>114144.21189014969</v>
      </c>
      <c r="AD80" s="1467">
        <f ca="1">PortfolioCFStatement!AG803</f>
        <v>114864.93294960039</v>
      </c>
      <c r="AE80" s="1467">
        <f ca="1">PortfolioCFStatement!AH803</f>
        <v>115589.2576143484</v>
      </c>
      <c r="AF80" s="1467">
        <f ca="1">PortfolioCFStatement!AI803</f>
        <v>116317.20390242009</v>
      </c>
      <c r="AG80" s="1467">
        <f ca="1">PortfolioCFStatement!AJ803</f>
        <v>117048.78992193218</v>
      </c>
      <c r="AH80" s="1467">
        <f ca="1">PortfolioCFStatement!AK803</f>
        <v>117784.03387154179</v>
      </c>
      <c r="AI80" s="1467">
        <f ca="1">PortfolioCFStatement!AL803</f>
        <v>118522.95404089949</v>
      </c>
      <c r="AJ80" s="1467">
        <f ca="1">PortfolioCFStatement!AM803</f>
        <v>119265.56881110396</v>
      </c>
      <c r="AK80" s="1467">
        <f ca="1">PortfolioCFStatement!AN803</f>
        <v>120011.89665515948</v>
      </c>
      <c r="AL80" s="1467">
        <f ca="1">PortfolioCFStatement!AO803</f>
        <v>120761.95613843526</v>
      </c>
      <c r="AM80" s="1467">
        <f ca="1">PortfolioCFStatement!AP803</f>
        <v>121515.76591912739</v>
      </c>
      <c r="AN80" s="1467">
        <f ca="1">PortfolioCFStatement!AQ803</f>
        <v>122273.34474872297</v>
      </c>
      <c r="AO80" s="1467">
        <f ca="1">PortfolioCFStatement!AR803</f>
        <v>123034.71147246653</v>
      </c>
      <c r="AP80" s="1467">
        <f ca="1">PortfolioCFStatement!AS803</f>
        <v>123799.8850298289</v>
      </c>
      <c r="AQ80" s="1467">
        <f ca="1">PortfolioCFStatement!AT803</f>
        <v>124568.88445497802</v>
      </c>
      <c r="AR80" s="1467"/>
      <c r="AS80" s="1467">
        <f t="shared" ca="1" si="0"/>
        <v>508853.57069849549</v>
      </c>
      <c r="AT80" s="1468"/>
      <c r="AU80" s="1467">
        <f t="shared" ca="1" si="1"/>
        <v>525490.44898657198</v>
      </c>
      <c r="AV80" s="1468"/>
      <c r="AW80" s="1467">
        <f t="shared" ca="1" si="2"/>
        <v>542547.42929956201</v>
      </c>
      <c r="AX80" s="1468"/>
      <c r="AY80" s="1467">
        <f t="shared" ca="1" si="3"/>
        <v>560035.11974003701</v>
      </c>
      <c r="AZ80" s="1468"/>
      <c r="BA80" s="1467">
        <f t="shared" ca="1" si="4"/>
        <v>577964.39627845073</v>
      </c>
      <c r="BB80" s="1468"/>
      <c r="BC80" s="1467">
        <f t="shared" ca="1" si="5"/>
        <v>596346.40951714001</v>
      </c>
      <c r="BD80" s="1468"/>
      <c r="BE80" s="1467">
        <f t="shared" ca="1" si="6"/>
        <v>615192.59162512387</v>
      </c>
    </row>
    <row r="81" spans="1:57" s="10" customFormat="1">
      <c r="A81" s="1465" t="str">
        <f ca="1">PortfolioCFStatement!D804</f>
        <v>Rooftop Solar PV</v>
      </c>
      <c r="B81" s="1466" t="str">
        <f>PortfolioCFStatement!E804</f>
        <v>2010$</v>
      </c>
      <c r="C81" s="1460">
        <f ca="1">PortfolioCFStatement!F804</f>
        <v>747925.0966664661</v>
      </c>
      <c r="D81" s="1467">
        <f ca="1">PortfolioCFStatement!G804</f>
        <v>0</v>
      </c>
      <c r="E81" s="1467">
        <f ca="1">PortfolioCFStatement!H804</f>
        <v>0</v>
      </c>
      <c r="F81" s="1467">
        <f ca="1">PortfolioCFStatement!I804</f>
        <v>0</v>
      </c>
      <c r="G81" s="1467">
        <f ca="1">PortfolioCFStatement!J804</f>
        <v>0</v>
      </c>
      <c r="H81" s="1467">
        <f ca="1">PortfolioCFStatement!K804</f>
        <v>0</v>
      </c>
      <c r="I81" s="1467">
        <f ca="1">PortfolioCFStatement!L804</f>
        <v>61044.988312129492</v>
      </c>
      <c r="J81" s="1467">
        <f ca="1">PortfolioCFStatement!M804</f>
        <v>61350.213253690126</v>
      </c>
      <c r="K81" s="1467">
        <f ca="1">PortfolioCFStatement!N804</f>
        <v>61656.96431995857</v>
      </c>
      <c r="L81" s="1467">
        <f ca="1">PortfolioCFStatement!O804</f>
        <v>61965.249141558357</v>
      </c>
      <c r="M81" s="1467">
        <f ca="1">PortfolioCFStatement!P804</f>
        <v>62275.075387266144</v>
      </c>
      <c r="N81" s="1467">
        <f ca="1">PortfolioCFStatement!Q804</f>
        <v>62586.450764202462</v>
      </c>
      <c r="O81" s="1467">
        <f ca="1">PortfolioCFStatement!R804</f>
        <v>62899.383018023473</v>
      </c>
      <c r="P81" s="1467">
        <f ca="1">PortfolioCFStatement!S804</f>
        <v>63213.87993311356</v>
      </c>
      <c r="Q81" s="1467">
        <f ca="1">PortfolioCFStatement!T804</f>
        <v>63529.949332779128</v>
      </c>
      <c r="R81" s="1467">
        <f ca="1">PortfolioCFStatement!U804</f>
        <v>63847.599079443018</v>
      </c>
      <c r="S81" s="1467">
        <f ca="1">PortfolioCFStatement!V804</f>
        <v>64166.837074840216</v>
      </c>
      <c r="T81" s="1467">
        <f ca="1">PortfolioCFStatement!W804</f>
        <v>64487.671260214411</v>
      </c>
      <c r="U81" s="1467">
        <f ca="1">PortfolioCFStatement!X804</f>
        <v>64810.109616515474</v>
      </c>
      <c r="V81" s="1467">
        <f ca="1">PortfolioCFStatement!Y804</f>
        <v>65134.160164598034</v>
      </c>
      <c r="W81" s="1467">
        <f ca="1">PortfolioCFStatement!Z804</f>
        <v>65459.830965421017</v>
      </c>
      <c r="X81" s="1467">
        <f ca="1">PortfolioCFStatement!AA804</f>
        <v>65787.130120248112</v>
      </c>
      <c r="Y81" s="1467">
        <f ca="1">PortfolioCFStatement!AB804</f>
        <v>66116.065770849338</v>
      </c>
      <c r="Z81" s="1467">
        <f ca="1">PortfolioCFStatement!AC804</f>
        <v>66446.646099703576</v>
      </c>
      <c r="AA81" s="1467">
        <f ca="1">PortfolioCFStatement!AD804</f>
        <v>66778.879330202079</v>
      </c>
      <c r="AB81" s="1467">
        <f ca="1">PortfolioCFStatement!AE804</f>
        <v>67112.773726853091</v>
      </c>
      <c r="AC81" s="1467">
        <f ca="1">PortfolioCFStatement!AF804</f>
        <v>67448.337595487348</v>
      </c>
      <c r="AD81" s="1467">
        <f ca="1">PortfolioCFStatement!AG804</f>
        <v>67785.579283464773</v>
      </c>
      <c r="AE81" s="1467">
        <f ca="1">PortfolioCFStatement!AH804</f>
        <v>68124.507179882086</v>
      </c>
      <c r="AF81" s="1467">
        <f ca="1">PortfolioCFStatement!AI804</f>
        <v>68465.129715781484</v>
      </c>
      <c r="AG81" s="1467">
        <f ca="1">PortfolioCFStatement!AJ804</f>
        <v>68807.455364360387</v>
      </c>
      <c r="AH81" s="1467">
        <f ca="1">PortfolioCFStatement!AK804</f>
        <v>69151.49264118218</v>
      </c>
      <c r="AI81" s="1467">
        <f ca="1">PortfolioCFStatement!AL804</f>
        <v>69497.250104388062</v>
      </c>
      <c r="AJ81" s="1467">
        <f ca="1">PortfolioCFStatement!AM804</f>
        <v>69844.736354909997</v>
      </c>
      <c r="AK81" s="1467">
        <f ca="1">PortfolioCFStatement!AN804</f>
        <v>70193.960036684541</v>
      </c>
      <c r="AL81" s="1467">
        <f ca="1">PortfolioCFStatement!AO804</f>
        <v>70544.929836867959</v>
      </c>
      <c r="AM81" s="1467">
        <f ca="1">PortfolioCFStatement!AP804</f>
        <v>70897.654486052284</v>
      </c>
      <c r="AN81" s="1467">
        <f ca="1">PortfolioCFStatement!AQ804</f>
        <v>71252.142758482529</v>
      </c>
      <c r="AO81" s="1467">
        <f ca="1">PortfolioCFStatement!AR804</f>
        <v>71608.40347227492</v>
      </c>
      <c r="AP81" s="1467">
        <f ca="1">PortfolioCFStatement!AS804</f>
        <v>71966.445489636288</v>
      </c>
      <c r="AQ81" s="1467">
        <f ca="1">PortfolioCFStatement!AT804</f>
        <v>72326.277717084464</v>
      </c>
      <c r="AR81" s="1467"/>
      <c r="AS81" s="1467">
        <f t="shared" ca="1" si="0"/>
        <v>308292.49041460268</v>
      </c>
      <c r="AT81" s="1468"/>
      <c r="AU81" s="1467">
        <f t="shared" ca="1" si="1"/>
        <v>316077.26212756161</v>
      </c>
      <c r="AV81" s="1468"/>
      <c r="AW81" s="1467">
        <f t="shared" ca="1" si="2"/>
        <v>324058.60908158915</v>
      </c>
      <c r="AX81" s="1468"/>
      <c r="AY81" s="1467">
        <f t="shared" ca="1" si="3"/>
        <v>332241.49504785618</v>
      </c>
      <c r="AZ81" s="1468"/>
      <c r="BA81" s="1467">
        <f t="shared" ca="1" si="4"/>
        <v>340631.00913897611</v>
      </c>
      <c r="BB81" s="1468"/>
      <c r="BC81" s="1467">
        <f t="shared" ca="1" si="5"/>
        <v>349232.36897403275</v>
      </c>
      <c r="BD81" s="1468"/>
      <c r="BE81" s="1467">
        <f t="shared" ca="1" si="6"/>
        <v>358050.9239235305</v>
      </c>
    </row>
    <row r="82" spans="1:57" s="10" customFormat="1" hidden="1">
      <c r="A82" s="1465" t="str">
        <f ca="1">PortfolioCFStatement!D805</f>
        <v>Blank</v>
      </c>
      <c r="B82" s="1466" t="str">
        <f>PortfolioCFStatement!E805</f>
        <v>2010$</v>
      </c>
      <c r="C82" s="1460">
        <f ca="1">PortfolioCFStatement!F805</f>
        <v>0</v>
      </c>
      <c r="D82" s="1467">
        <f ca="1">PortfolioCFStatement!G805</f>
        <v>0</v>
      </c>
      <c r="E82" s="1467">
        <f ca="1">PortfolioCFStatement!H805</f>
        <v>0</v>
      </c>
      <c r="F82" s="1467">
        <f ca="1">PortfolioCFStatement!I805</f>
        <v>0</v>
      </c>
      <c r="G82" s="1467">
        <f ca="1">PortfolioCFStatement!J805</f>
        <v>0</v>
      </c>
      <c r="H82" s="1467">
        <f ca="1">PortfolioCFStatement!K805</f>
        <v>0</v>
      </c>
      <c r="I82" s="1467">
        <f ca="1">PortfolioCFStatement!L805</f>
        <v>0</v>
      </c>
      <c r="J82" s="1467">
        <f ca="1">PortfolioCFStatement!M805</f>
        <v>0</v>
      </c>
      <c r="K82" s="1467">
        <f ca="1">PortfolioCFStatement!N805</f>
        <v>0</v>
      </c>
      <c r="L82" s="1467">
        <f ca="1">PortfolioCFStatement!O805</f>
        <v>0</v>
      </c>
      <c r="M82" s="1467">
        <f ca="1">PortfolioCFStatement!P805</f>
        <v>0</v>
      </c>
      <c r="N82" s="1467">
        <f ca="1">PortfolioCFStatement!Q805</f>
        <v>0</v>
      </c>
      <c r="O82" s="1467">
        <f ca="1">PortfolioCFStatement!R805</f>
        <v>0</v>
      </c>
      <c r="P82" s="1467">
        <f ca="1">PortfolioCFStatement!S805</f>
        <v>0</v>
      </c>
      <c r="Q82" s="1467">
        <f ca="1">PortfolioCFStatement!T805</f>
        <v>0</v>
      </c>
      <c r="R82" s="1467">
        <f ca="1">PortfolioCFStatement!U805</f>
        <v>0</v>
      </c>
      <c r="S82" s="1467">
        <f ca="1">PortfolioCFStatement!V805</f>
        <v>0</v>
      </c>
      <c r="T82" s="1467">
        <f ca="1">PortfolioCFStatement!W805</f>
        <v>0</v>
      </c>
      <c r="U82" s="1467">
        <f ca="1">PortfolioCFStatement!X805</f>
        <v>0</v>
      </c>
      <c r="V82" s="1467">
        <f ca="1">PortfolioCFStatement!Y805</f>
        <v>0</v>
      </c>
      <c r="W82" s="1467">
        <f ca="1">PortfolioCFStatement!Z805</f>
        <v>0</v>
      </c>
      <c r="X82" s="1467">
        <f ca="1">PortfolioCFStatement!AA805</f>
        <v>0</v>
      </c>
      <c r="Y82" s="1467">
        <f ca="1">PortfolioCFStatement!AB805</f>
        <v>0</v>
      </c>
      <c r="Z82" s="1467">
        <f ca="1">PortfolioCFStatement!AC805</f>
        <v>0</v>
      </c>
      <c r="AA82" s="1467">
        <f ca="1">PortfolioCFStatement!AD805</f>
        <v>0</v>
      </c>
      <c r="AB82" s="1467">
        <f ca="1">PortfolioCFStatement!AE805</f>
        <v>0</v>
      </c>
      <c r="AC82" s="1467">
        <f ca="1">PortfolioCFStatement!AF805</f>
        <v>0</v>
      </c>
      <c r="AD82" s="1467">
        <f ca="1">PortfolioCFStatement!AG805</f>
        <v>0</v>
      </c>
      <c r="AE82" s="1467">
        <f ca="1">PortfolioCFStatement!AH805</f>
        <v>0</v>
      </c>
      <c r="AF82" s="1467">
        <f ca="1">PortfolioCFStatement!AI805</f>
        <v>0</v>
      </c>
      <c r="AG82" s="1467">
        <f ca="1">PortfolioCFStatement!AJ805</f>
        <v>0</v>
      </c>
      <c r="AH82" s="1467">
        <f ca="1">PortfolioCFStatement!AK805</f>
        <v>0</v>
      </c>
      <c r="AI82" s="1467">
        <f ca="1">PortfolioCFStatement!AL805</f>
        <v>0</v>
      </c>
      <c r="AJ82" s="1467">
        <f ca="1">PortfolioCFStatement!AM805</f>
        <v>0</v>
      </c>
      <c r="AK82" s="1467">
        <f ca="1">PortfolioCFStatement!AN805</f>
        <v>0</v>
      </c>
      <c r="AL82" s="1467">
        <f ca="1">PortfolioCFStatement!AO805</f>
        <v>0</v>
      </c>
      <c r="AM82" s="1467">
        <f ca="1">PortfolioCFStatement!AP805</f>
        <v>0</v>
      </c>
      <c r="AN82" s="1467">
        <f ca="1">PortfolioCFStatement!AQ805</f>
        <v>0</v>
      </c>
      <c r="AO82" s="1467">
        <f ca="1">PortfolioCFStatement!AR805</f>
        <v>0</v>
      </c>
      <c r="AP82" s="1467">
        <f ca="1">PortfolioCFStatement!AS805</f>
        <v>0</v>
      </c>
      <c r="AQ82" s="1467">
        <f ca="1">PortfolioCFStatement!AT805</f>
        <v>0</v>
      </c>
      <c r="AR82" s="1467"/>
      <c r="AS82" s="1467">
        <f t="shared" ca="1" si="0"/>
        <v>0</v>
      </c>
      <c r="AT82" s="1468"/>
      <c r="AU82" s="1467">
        <f t="shared" ca="1" si="1"/>
        <v>0</v>
      </c>
      <c r="AV82" s="1468"/>
      <c r="AW82" s="1467">
        <f t="shared" ca="1" si="2"/>
        <v>0</v>
      </c>
      <c r="AX82" s="1468"/>
      <c r="AY82" s="1467">
        <f t="shared" ca="1" si="3"/>
        <v>0</v>
      </c>
      <c r="AZ82" s="1468"/>
      <c r="BA82" s="1467">
        <f t="shared" ca="1" si="4"/>
        <v>0</v>
      </c>
      <c r="BB82" s="1468"/>
      <c r="BC82" s="1467">
        <f t="shared" ca="1" si="5"/>
        <v>0</v>
      </c>
      <c r="BD82" s="1468"/>
      <c r="BE82" s="1467">
        <f t="shared" ca="1" si="6"/>
        <v>0</v>
      </c>
    </row>
    <row r="83" spans="1:57" s="10" customFormat="1" hidden="1">
      <c r="A83" s="1465" t="str">
        <f ca="1">PortfolioCFStatement!D806</f>
        <v>Blank</v>
      </c>
      <c r="B83" s="1466" t="str">
        <f>PortfolioCFStatement!E806</f>
        <v>2010$</v>
      </c>
      <c r="C83" s="1460">
        <f ca="1">PortfolioCFStatement!F806</f>
        <v>0</v>
      </c>
      <c r="D83" s="1467">
        <f ca="1">PortfolioCFStatement!G806</f>
        <v>0</v>
      </c>
      <c r="E83" s="1467">
        <f ca="1">PortfolioCFStatement!H806</f>
        <v>0</v>
      </c>
      <c r="F83" s="1467">
        <f ca="1">PortfolioCFStatement!I806</f>
        <v>0</v>
      </c>
      <c r="G83" s="1467">
        <f ca="1">PortfolioCFStatement!J806</f>
        <v>0</v>
      </c>
      <c r="H83" s="1467">
        <f ca="1">PortfolioCFStatement!K806</f>
        <v>0</v>
      </c>
      <c r="I83" s="1467">
        <f ca="1">PortfolioCFStatement!L806</f>
        <v>0</v>
      </c>
      <c r="J83" s="1467">
        <f ca="1">PortfolioCFStatement!M806</f>
        <v>0</v>
      </c>
      <c r="K83" s="1467">
        <f ca="1">PortfolioCFStatement!N806</f>
        <v>0</v>
      </c>
      <c r="L83" s="1467">
        <f ca="1">PortfolioCFStatement!O806</f>
        <v>0</v>
      </c>
      <c r="M83" s="1467">
        <f ca="1">PortfolioCFStatement!P806</f>
        <v>0</v>
      </c>
      <c r="N83" s="1467">
        <f ca="1">PortfolioCFStatement!Q806</f>
        <v>0</v>
      </c>
      <c r="O83" s="1467">
        <f ca="1">PortfolioCFStatement!R806</f>
        <v>0</v>
      </c>
      <c r="P83" s="1467">
        <f ca="1">PortfolioCFStatement!S806</f>
        <v>0</v>
      </c>
      <c r="Q83" s="1467">
        <f ca="1">PortfolioCFStatement!T806</f>
        <v>0</v>
      </c>
      <c r="R83" s="1467">
        <f ca="1">PortfolioCFStatement!U806</f>
        <v>0</v>
      </c>
      <c r="S83" s="1467">
        <f ca="1">PortfolioCFStatement!V806</f>
        <v>0</v>
      </c>
      <c r="T83" s="1467">
        <f ca="1">PortfolioCFStatement!W806</f>
        <v>0</v>
      </c>
      <c r="U83" s="1467">
        <f ca="1">PortfolioCFStatement!X806</f>
        <v>0</v>
      </c>
      <c r="V83" s="1467">
        <f ca="1">PortfolioCFStatement!Y806</f>
        <v>0</v>
      </c>
      <c r="W83" s="1467">
        <f ca="1">PortfolioCFStatement!Z806</f>
        <v>0</v>
      </c>
      <c r="X83" s="1467">
        <f ca="1">PortfolioCFStatement!AA806</f>
        <v>0</v>
      </c>
      <c r="Y83" s="1467">
        <f ca="1">PortfolioCFStatement!AB806</f>
        <v>0</v>
      </c>
      <c r="Z83" s="1467">
        <f ca="1">PortfolioCFStatement!AC806</f>
        <v>0</v>
      </c>
      <c r="AA83" s="1467">
        <f ca="1">PortfolioCFStatement!AD806</f>
        <v>0</v>
      </c>
      <c r="AB83" s="1467">
        <f ca="1">PortfolioCFStatement!AE806</f>
        <v>0</v>
      </c>
      <c r="AC83" s="1467">
        <f ca="1">PortfolioCFStatement!AF806</f>
        <v>0</v>
      </c>
      <c r="AD83" s="1467">
        <f ca="1">PortfolioCFStatement!AG806</f>
        <v>0</v>
      </c>
      <c r="AE83" s="1467">
        <f ca="1">PortfolioCFStatement!AH806</f>
        <v>0</v>
      </c>
      <c r="AF83" s="1467">
        <f ca="1">PortfolioCFStatement!AI806</f>
        <v>0</v>
      </c>
      <c r="AG83" s="1467">
        <f ca="1">PortfolioCFStatement!AJ806</f>
        <v>0</v>
      </c>
      <c r="AH83" s="1467">
        <f ca="1">PortfolioCFStatement!AK806</f>
        <v>0</v>
      </c>
      <c r="AI83" s="1467">
        <f ca="1">PortfolioCFStatement!AL806</f>
        <v>0</v>
      </c>
      <c r="AJ83" s="1467">
        <f ca="1">PortfolioCFStatement!AM806</f>
        <v>0</v>
      </c>
      <c r="AK83" s="1467">
        <f ca="1">PortfolioCFStatement!AN806</f>
        <v>0</v>
      </c>
      <c r="AL83" s="1467">
        <f ca="1">PortfolioCFStatement!AO806</f>
        <v>0</v>
      </c>
      <c r="AM83" s="1467">
        <f ca="1">PortfolioCFStatement!AP806</f>
        <v>0</v>
      </c>
      <c r="AN83" s="1467">
        <f ca="1">PortfolioCFStatement!AQ806</f>
        <v>0</v>
      </c>
      <c r="AO83" s="1467">
        <f ca="1">PortfolioCFStatement!AR806</f>
        <v>0</v>
      </c>
      <c r="AP83" s="1467">
        <f ca="1">PortfolioCFStatement!AS806</f>
        <v>0</v>
      </c>
      <c r="AQ83" s="1467">
        <f ca="1">PortfolioCFStatement!AT806</f>
        <v>0</v>
      </c>
      <c r="AR83" s="1467"/>
      <c r="AS83" s="1467">
        <f t="shared" ca="1" si="0"/>
        <v>0</v>
      </c>
      <c r="AT83" s="1468"/>
      <c r="AU83" s="1467">
        <f t="shared" ca="1" si="1"/>
        <v>0</v>
      </c>
      <c r="AV83" s="1468"/>
      <c r="AW83" s="1467">
        <f t="shared" ca="1" si="2"/>
        <v>0</v>
      </c>
      <c r="AX83" s="1468"/>
      <c r="AY83" s="1467">
        <f t="shared" ca="1" si="3"/>
        <v>0</v>
      </c>
      <c r="AZ83" s="1468"/>
      <c r="BA83" s="1467">
        <f t="shared" ca="1" si="4"/>
        <v>0</v>
      </c>
      <c r="BB83" s="1468"/>
      <c r="BC83" s="1467">
        <f t="shared" ca="1" si="5"/>
        <v>0</v>
      </c>
      <c r="BD83" s="1468"/>
      <c r="BE83" s="1467">
        <f t="shared" ca="1" si="6"/>
        <v>0</v>
      </c>
    </row>
    <row r="84" spans="1:57" s="10" customFormat="1" hidden="1">
      <c r="A84" s="1465" t="str">
        <f ca="1">PortfolioCFStatement!D807</f>
        <v>Blank</v>
      </c>
      <c r="B84" s="1466" t="str">
        <f>PortfolioCFStatement!E807</f>
        <v>2010$</v>
      </c>
      <c r="C84" s="1460">
        <f ca="1">PortfolioCFStatement!F807</f>
        <v>0</v>
      </c>
      <c r="D84" s="1467">
        <f ca="1">PortfolioCFStatement!G807</f>
        <v>0</v>
      </c>
      <c r="E84" s="1467">
        <f ca="1">PortfolioCFStatement!H807</f>
        <v>0</v>
      </c>
      <c r="F84" s="1467">
        <f ca="1">PortfolioCFStatement!I807</f>
        <v>0</v>
      </c>
      <c r="G84" s="1467">
        <f ca="1">PortfolioCFStatement!J807</f>
        <v>0</v>
      </c>
      <c r="H84" s="1467">
        <f ca="1">PortfolioCFStatement!K807</f>
        <v>0</v>
      </c>
      <c r="I84" s="1467">
        <f ca="1">PortfolioCFStatement!L807</f>
        <v>0</v>
      </c>
      <c r="J84" s="1467">
        <f ca="1">PortfolioCFStatement!M807</f>
        <v>0</v>
      </c>
      <c r="K84" s="1467">
        <f ca="1">PortfolioCFStatement!N807</f>
        <v>0</v>
      </c>
      <c r="L84" s="1467">
        <f ca="1">PortfolioCFStatement!O807</f>
        <v>0</v>
      </c>
      <c r="M84" s="1467">
        <f ca="1">PortfolioCFStatement!P807</f>
        <v>0</v>
      </c>
      <c r="N84" s="1467">
        <f ca="1">PortfolioCFStatement!Q807</f>
        <v>0</v>
      </c>
      <c r="O84" s="1467">
        <f ca="1">PortfolioCFStatement!R807</f>
        <v>0</v>
      </c>
      <c r="P84" s="1467">
        <f ca="1">PortfolioCFStatement!S807</f>
        <v>0</v>
      </c>
      <c r="Q84" s="1467">
        <f ca="1">PortfolioCFStatement!T807</f>
        <v>0</v>
      </c>
      <c r="R84" s="1467">
        <f ca="1">PortfolioCFStatement!U807</f>
        <v>0</v>
      </c>
      <c r="S84" s="1467">
        <f ca="1">PortfolioCFStatement!V807</f>
        <v>0</v>
      </c>
      <c r="T84" s="1467">
        <f ca="1">PortfolioCFStatement!W807</f>
        <v>0</v>
      </c>
      <c r="U84" s="1467">
        <f ca="1">PortfolioCFStatement!X807</f>
        <v>0</v>
      </c>
      <c r="V84" s="1467">
        <f ca="1">PortfolioCFStatement!Y807</f>
        <v>0</v>
      </c>
      <c r="W84" s="1467">
        <f ca="1">PortfolioCFStatement!Z807</f>
        <v>0</v>
      </c>
      <c r="X84" s="1467">
        <f ca="1">PortfolioCFStatement!AA807</f>
        <v>0</v>
      </c>
      <c r="Y84" s="1467">
        <f ca="1">PortfolioCFStatement!AB807</f>
        <v>0</v>
      </c>
      <c r="Z84" s="1467">
        <f ca="1">PortfolioCFStatement!AC807</f>
        <v>0</v>
      </c>
      <c r="AA84" s="1467">
        <f ca="1">PortfolioCFStatement!AD807</f>
        <v>0</v>
      </c>
      <c r="AB84" s="1467">
        <f ca="1">PortfolioCFStatement!AE807</f>
        <v>0</v>
      </c>
      <c r="AC84" s="1467">
        <f ca="1">PortfolioCFStatement!AF807</f>
        <v>0</v>
      </c>
      <c r="AD84" s="1467">
        <f ca="1">PortfolioCFStatement!AG807</f>
        <v>0</v>
      </c>
      <c r="AE84" s="1467">
        <f ca="1">PortfolioCFStatement!AH807</f>
        <v>0</v>
      </c>
      <c r="AF84" s="1467">
        <f ca="1">PortfolioCFStatement!AI807</f>
        <v>0</v>
      </c>
      <c r="AG84" s="1467">
        <f ca="1">PortfolioCFStatement!AJ807</f>
        <v>0</v>
      </c>
      <c r="AH84" s="1467">
        <f ca="1">PortfolioCFStatement!AK807</f>
        <v>0</v>
      </c>
      <c r="AI84" s="1467">
        <f ca="1">PortfolioCFStatement!AL807</f>
        <v>0</v>
      </c>
      <c r="AJ84" s="1467">
        <f ca="1">PortfolioCFStatement!AM807</f>
        <v>0</v>
      </c>
      <c r="AK84" s="1467">
        <f ca="1">PortfolioCFStatement!AN807</f>
        <v>0</v>
      </c>
      <c r="AL84" s="1467">
        <f ca="1">PortfolioCFStatement!AO807</f>
        <v>0</v>
      </c>
      <c r="AM84" s="1467">
        <f ca="1">PortfolioCFStatement!AP807</f>
        <v>0</v>
      </c>
      <c r="AN84" s="1467">
        <f ca="1">PortfolioCFStatement!AQ807</f>
        <v>0</v>
      </c>
      <c r="AO84" s="1467">
        <f ca="1">PortfolioCFStatement!AR807</f>
        <v>0</v>
      </c>
      <c r="AP84" s="1467">
        <f ca="1">PortfolioCFStatement!AS807</f>
        <v>0</v>
      </c>
      <c r="AQ84" s="1467">
        <f ca="1">PortfolioCFStatement!AT807</f>
        <v>0</v>
      </c>
      <c r="AR84" s="1467"/>
      <c r="AS84" s="1467">
        <f t="shared" ca="1" si="0"/>
        <v>0</v>
      </c>
      <c r="AT84" s="1468"/>
      <c r="AU84" s="1467">
        <f t="shared" ca="1" si="1"/>
        <v>0</v>
      </c>
      <c r="AV84" s="1468"/>
      <c r="AW84" s="1467">
        <f t="shared" ca="1" si="2"/>
        <v>0</v>
      </c>
      <c r="AX84" s="1468"/>
      <c r="AY84" s="1467">
        <f t="shared" ca="1" si="3"/>
        <v>0</v>
      </c>
      <c r="AZ84" s="1468"/>
      <c r="BA84" s="1467">
        <f t="shared" ca="1" si="4"/>
        <v>0</v>
      </c>
      <c r="BB84" s="1468"/>
      <c r="BC84" s="1467">
        <f t="shared" ca="1" si="5"/>
        <v>0</v>
      </c>
      <c r="BD84" s="1468"/>
      <c r="BE84" s="1467">
        <f t="shared" ca="1" si="6"/>
        <v>0</v>
      </c>
    </row>
    <row r="85" spans="1:57" s="10" customFormat="1" hidden="1">
      <c r="A85" s="1465" t="str">
        <f ca="1">PortfolioCFStatement!D808</f>
        <v>Blank</v>
      </c>
      <c r="B85" s="1466" t="str">
        <f>PortfolioCFStatement!E808</f>
        <v>2010$</v>
      </c>
      <c r="C85" s="1460">
        <f ca="1">PortfolioCFStatement!F808</f>
        <v>0</v>
      </c>
      <c r="D85" s="1467">
        <f ca="1">PortfolioCFStatement!G808</f>
        <v>0</v>
      </c>
      <c r="E85" s="1467">
        <f ca="1">PortfolioCFStatement!H808</f>
        <v>0</v>
      </c>
      <c r="F85" s="1467">
        <f ca="1">PortfolioCFStatement!I808</f>
        <v>0</v>
      </c>
      <c r="G85" s="1467">
        <f ca="1">PortfolioCFStatement!J808</f>
        <v>0</v>
      </c>
      <c r="H85" s="1467">
        <f ca="1">PortfolioCFStatement!K808</f>
        <v>0</v>
      </c>
      <c r="I85" s="1467">
        <f ca="1">PortfolioCFStatement!L808</f>
        <v>0</v>
      </c>
      <c r="J85" s="1467">
        <f ca="1">PortfolioCFStatement!M808</f>
        <v>0</v>
      </c>
      <c r="K85" s="1467">
        <f ca="1">PortfolioCFStatement!N808</f>
        <v>0</v>
      </c>
      <c r="L85" s="1467">
        <f ca="1">PortfolioCFStatement!O808</f>
        <v>0</v>
      </c>
      <c r="M85" s="1467">
        <f ca="1">PortfolioCFStatement!P808</f>
        <v>0</v>
      </c>
      <c r="N85" s="1467">
        <f ca="1">PortfolioCFStatement!Q808</f>
        <v>0</v>
      </c>
      <c r="O85" s="1467">
        <f ca="1">PortfolioCFStatement!R808</f>
        <v>0</v>
      </c>
      <c r="P85" s="1467">
        <f ca="1">PortfolioCFStatement!S808</f>
        <v>0</v>
      </c>
      <c r="Q85" s="1467">
        <f ca="1">PortfolioCFStatement!T808</f>
        <v>0</v>
      </c>
      <c r="R85" s="1467">
        <f ca="1">PortfolioCFStatement!U808</f>
        <v>0</v>
      </c>
      <c r="S85" s="1467">
        <f ca="1">PortfolioCFStatement!V808</f>
        <v>0</v>
      </c>
      <c r="T85" s="1467">
        <f ca="1">PortfolioCFStatement!W808</f>
        <v>0</v>
      </c>
      <c r="U85" s="1467">
        <f ca="1">PortfolioCFStatement!X808</f>
        <v>0</v>
      </c>
      <c r="V85" s="1467">
        <f ca="1">PortfolioCFStatement!Y808</f>
        <v>0</v>
      </c>
      <c r="W85" s="1467">
        <f ca="1">PortfolioCFStatement!Z808</f>
        <v>0</v>
      </c>
      <c r="X85" s="1467">
        <f ca="1">PortfolioCFStatement!AA808</f>
        <v>0</v>
      </c>
      <c r="Y85" s="1467">
        <f ca="1">PortfolioCFStatement!AB808</f>
        <v>0</v>
      </c>
      <c r="Z85" s="1467">
        <f ca="1">PortfolioCFStatement!AC808</f>
        <v>0</v>
      </c>
      <c r="AA85" s="1467">
        <f ca="1">PortfolioCFStatement!AD808</f>
        <v>0</v>
      </c>
      <c r="AB85" s="1467">
        <f ca="1">PortfolioCFStatement!AE808</f>
        <v>0</v>
      </c>
      <c r="AC85" s="1467">
        <f ca="1">PortfolioCFStatement!AF808</f>
        <v>0</v>
      </c>
      <c r="AD85" s="1467">
        <f ca="1">PortfolioCFStatement!AG808</f>
        <v>0</v>
      </c>
      <c r="AE85" s="1467">
        <f ca="1">PortfolioCFStatement!AH808</f>
        <v>0</v>
      </c>
      <c r="AF85" s="1467">
        <f ca="1">PortfolioCFStatement!AI808</f>
        <v>0</v>
      </c>
      <c r="AG85" s="1467">
        <f ca="1">PortfolioCFStatement!AJ808</f>
        <v>0</v>
      </c>
      <c r="AH85" s="1467">
        <f ca="1">PortfolioCFStatement!AK808</f>
        <v>0</v>
      </c>
      <c r="AI85" s="1467">
        <f ca="1">PortfolioCFStatement!AL808</f>
        <v>0</v>
      </c>
      <c r="AJ85" s="1467">
        <f ca="1">PortfolioCFStatement!AM808</f>
        <v>0</v>
      </c>
      <c r="AK85" s="1467">
        <f ca="1">PortfolioCFStatement!AN808</f>
        <v>0</v>
      </c>
      <c r="AL85" s="1467">
        <f ca="1">PortfolioCFStatement!AO808</f>
        <v>0</v>
      </c>
      <c r="AM85" s="1467">
        <f ca="1">PortfolioCFStatement!AP808</f>
        <v>0</v>
      </c>
      <c r="AN85" s="1467">
        <f ca="1">PortfolioCFStatement!AQ808</f>
        <v>0</v>
      </c>
      <c r="AO85" s="1467">
        <f ca="1">PortfolioCFStatement!AR808</f>
        <v>0</v>
      </c>
      <c r="AP85" s="1467">
        <f ca="1">PortfolioCFStatement!AS808</f>
        <v>0</v>
      </c>
      <c r="AQ85" s="1467">
        <f ca="1">PortfolioCFStatement!AT808</f>
        <v>0</v>
      </c>
      <c r="AR85" s="1467"/>
      <c r="AS85" s="1467">
        <f t="shared" ca="1" si="0"/>
        <v>0</v>
      </c>
      <c r="AT85" s="1468"/>
      <c r="AU85" s="1467">
        <f t="shared" ca="1" si="1"/>
        <v>0</v>
      </c>
      <c r="AV85" s="1468"/>
      <c r="AW85" s="1467">
        <f t="shared" ca="1" si="2"/>
        <v>0</v>
      </c>
      <c r="AX85" s="1468"/>
      <c r="AY85" s="1467">
        <f t="shared" ca="1" si="3"/>
        <v>0</v>
      </c>
      <c r="AZ85" s="1468"/>
      <c r="BA85" s="1467">
        <f t="shared" ca="1" si="4"/>
        <v>0</v>
      </c>
      <c r="BB85" s="1468"/>
      <c r="BC85" s="1467">
        <f t="shared" ca="1" si="5"/>
        <v>0</v>
      </c>
      <c r="BD85" s="1468"/>
      <c r="BE85" s="1467">
        <f t="shared" ca="1" si="6"/>
        <v>0</v>
      </c>
    </row>
    <row r="86" spans="1:57" s="10" customFormat="1" hidden="1">
      <c r="A86" s="1465" t="str">
        <f ca="1">PortfolioCFStatement!D809</f>
        <v>Blank</v>
      </c>
      <c r="B86" s="1466" t="str">
        <f>PortfolioCFStatement!E809</f>
        <v>2010$</v>
      </c>
      <c r="C86" s="1460">
        <f ca="1">PortfolioCFStatement!F809</f>
        <v>0</v>
      </c>
      <c r="D86" s="1467">
        <f ca="1">PortfolioCFStatement!G809</f>
        <v>0</v>
      </c>
      <c r="E86" s="1467">
        <f ca="1">PortfolioCFStatement!H809</f>
        <v>0</v>
      </c>
      <c r="F86" s="1467">
        <f ca="1">PortfolioCFStatement!I809</f>
        <v>0</v>
      </c>
      <c r="G86" s="1467">
        <f ca="1">PortfolioCFStatement!J809</f>
        <v>0</v>
      </c>
      <c r="H86" s="1467">
        <f ca="1">PortfolioCFStatement!K809</f>
        <v>0</v>
      </c>
      <c r="I86" s="1467">
        <f ca="1">PortfolioCFStatement!L809</f>
        <v>0</v>
      </c>
      <c r="J86" s="1467">
        <f ca="1">PortfolioCFStatement!M809</f>
        <v>0</v>
      </c>
      <c r="K86" s="1467">
        <f ca="1">PortfolioCFStatement!N809</f>
        <v>0</v>
      </c>
      <c r="L86" s="1467">
        <f ca="1">PortfolioCFStatement!O809</f>
        <v>0</v>
      </c>
      <c r="M86" s="1467">
        <f ca="1">PortfolioCFStatement!P809</f>
        <v>0</v>
      </c>
      <c r="N86" s="1467">
        <f ca="1">PortfolioCFStatement!Q809</f>
        <v>0</v>
      </c>
      <c r="O86" s="1467">
        <f ca="1">PortfolioCFStatement!R809</f>
        <v>0</v>
      </c>
      <c r="P86" s="1467">
        <f ca="1">PortfolioCFStatement!S809</f>
        <v>0</v>
      </c>
      <c r="Q86" s="1467">
        <f ca="1">PortfolioCFStatement!T809</f>
        <v>0</v>
      </c>
      <c r="R86" s="1467">
        <f ca="1">PortfolioCFStatement!U809</f>
        <v>0</v>
      </c>
      <c r="S86" s="1467">
        <f ca="1">PortfolioCFStatement!V809</f>
        <v>0</v>
      </c>
      <c r="T86" s="1467">
        <f ca="1">PortfolioCFStatement!W809</f>
        <v>0</v>
      </c>
      <c r="U86" s="1467">
        <f ca="1">PortfolioCFStatement!X809</f>
        <v>0</v>
      </c>
      <c r="V86" s="1467">
        <f ca="1">PortfolioCFStatement!Y809</f>
        <v>0</v>
      </c>
      <c r="W86" s="1467">
        <f ca="1">PortfolioCFStatement!Z809</f>
        <v>0</v>
      </c>
      <c r="X86" s="1467">
        <f ca="1">PortfolioCFStatement!AA809</f>
        <v>0</v>
      </c>
      <c r="Y86" s="1467">
        <f ca="1">PortfolioCFStatement!AB809</f>
        <v>0</v>
      </c>
      <c r="Z86" s="1467">
        <f ca="1">PortfolioCFStatement!AC809</f>
        <v>0</v>
      </c>
      <c r="AA86" s="1467">
        <f ca="1">PortfolioCFStatement!AD809</f>
        <v>0</v>
      </c>
      <c r="AB86" s="1467">
        <f ca="1">PortfolioCFStatement!AE809</f>
        <v>0</v>
      </c>
      <c r="AC86" s="1467">
        <f ca="1">PortfolioCFStatement!AF809</f>
        <v>0</v>
      </c>
      <c r="AD86" s="1467">
        <f ca="1">PortfolioCFStatement!AG809</f>
        <v>0</v>
      </c>
      <c r="AE86" s="1467">
        <f ca="1">PortfolioCFStatement!AH809</f>
        <v>0</v>
      </c>
      <c r="AF86" s="1467">
        <f ca="1">PortfolioCFStatement!AI809</f>
        <v>0</v>
      </c>
      <c r="AG86" s="1467">
        <f ca="1">PortfolioCFStatement!AJ809</f>
        <v>0</v>
      </c>
      <c r="AH86" s="1467">
        <f ca="1">PortfolioCFStatement!AK809</f>
        <v>0</v>
      </c>
      <c r="AI86" s="1467">
        <f ca="1">PortfolioCFStatement!AL809</f>
        <v>0</v>
      </c>
      <c r="AJ86" s="1467">
        <f ca="1">PortfolioCFStatement!AM809</f>
        <v>0</v>
      </c>
      <c r="AK86" s="1467">
        <f ca="1">PortfolioCFStatement!AN809</f>
        <v>0</v>
      </c>
      <c r="AL86" s="1467">
        <f ca="1">PortfolioCFStatement!AO809</f>
        <v>0</v>
      </c>
      <c r="AM86" s="1467">
        <f ca="1">PortfolioCFStatement!AP809</f>
        <v>0</v>
      </c>
      <c r="AN86" s="1467">
        <f ca="1">PortfolioCFStatement!AQ809</f>
        <v>0</v>
      </c>
      <c r="AO86" s="1467">
        <f ca="1">PortfolioCFStatement!AR809</f>
        <v>0</v>
      </c>
      <c r="AP86" s="1467">
        <f ca="1">PortfolioCFStatement!AS809</f>
        <v>0</v>
      </c>
      <c r="AQ86" s="1467">
        <f ca="1">PortfolioCFStatement!AT809</f>
        <v>0</v>
      </c>
      <c r="AR86" s="1467"/>
      <c r="AS86" s="1467">
        <f t="shared" ca="1" si="0"/>
        <v>0</v>
      </c>
      <c r="AT86" s="1468"/>
      <c r="AU86" s="1467">
        <f t="shared" ca="1" si="1"/>
        <v>0</v>
      </c>
      <c r="AV86" s="1468"/>
      <c r="AW86" s="1467">
        <f t="shared" ca="1" si="2"/>
        <v>0</v>
      </c>
      <c r="AX86" s="1468"/>
      <c r="AY86" s="1467">
        <f t="shared" ca="1" si="3"/>
        <v>0</v>
      </c>
      <c r="AZ86" s="1468"/>
      <c r="BA86" s="1467">
        <f t="shared" ca="1" si="4"/>
        <v>0</v>
      </c>
      <c r="BB86" s="1468"/>
      <c r="BC86" s="1467">
        <f t="shared" ca="1" si="5"/>
        <v>0</v>
      </c>
      <c r="BD86" s="1468"/>
      <c r="BE86" s="1467">
        <f t="shared" ca="1" si="6"/>
        <v>0</v>
      </c>
    </row>
    <row r="87" spans="1:57" s="10" customFormat="1" hidden="1">
      <c r="A87" s="1465" t="str">
        <f ca="1">PortfolioCFStatement!D810</f>
        <v>Blank</v>
      </c>
      <c r="B87" s="1466" t="str">
        <f>PortfolioCFStatement!E810</f>
        <v>2010$</v>
      </c>
      <c r="C87" s="1460">
        <f ca="1">PortfolioCFStatement!F810</f>
        <v>0</v>
      </c>
      <c r="D87" s="1467">
        <f ca="1">PortfolioCFStatement!G810</f>
        <v>0</v>
      </c>
      <c r="E87" s="1467">
        <f ca="1">PortfolioCFStatement!H810</f>
        <v>0</v>
      </c>
      <c r="F87" s="1467">
        <f ca="1">PortfolioCFStatement!I810</f>
        <v>0</v>
      </c>
      <c r="G87" s="1467">
        <f ca="1">PortfolioCFStatement!J810</f>
        <v>0</v>
      </c>
      <c r="H87" s="1467">
        <f ca="1">PortfolioCFStatement!K810</f>
        <v>0</v>
      </c>
      <c r="I87" s="1467">
        <f ca="1">PortfolioCFStatement!L810</f>
        <v>0</v>
      </c>
      <c r="J87" s="1467">
        <f ca="1">PortfolioCFStatement!M810</f>
        <v>0</v>
      </c>
      <c r="K87" s="1467">
        <f ca="1">PortfolioCFStatement!N810</f>
        <v>0</v>
      </c>
      <c r="L87" s="1467">
        <f ca="1">PortfolioCFStatement!O810</f>
        <v>0</v>
      </c>
      <c r="M87" s="1467">
        <f ca="1">PortfolioCFStatement!P810</f>
        <v>0</v>
      </c>
      <c r="N87" s="1467">
        <f ca="1">PortfolioCFStatement!Q810</f>
        <v>0</v>
      </c>
      <c r="O87" s="1467">
        <f ca="1">PortfolioCFStatement!R810</f>
        <v>0</v>
      </c>
      <c r="P87" s="1467">
        <f ca="1">PortfolioCFStatement!S810</f>
        <v>0</v>
      </c>
      <c r="Q87" s="1467">
        <f ca="1">PortfolioCFStatement!T810</f>
        <v>0</v>
      </c>
      <c r="R87" s="1467">
        <f ca="1">PortfolioCFStatement!U810</f>
        <v>0</v>
      </c>
      <c r="S87" s="1467">
        <f ca="1">PortfolioCFStatement!V810</f>
        <v>0</v>
      </c>
      <c r="T87" s="1467">
        <f ca="1">PortfolioCFStatement!W810</f>
        <v>0</v>
      </c>
      <c r="U87" s="1467">
        <f ca="1">PortfolioCFStatement!X810</f>
        <v>0</v>
      </c>
      <c r="V87" s="1467">
        <f ca="1">PortfolioCFStatement!Y810</f>
        <v>0</v>
      </c>
      <c r="W87" s="1467">
        <f ca="1">PortfolioCFStatement!Z810</f>
        <v>0</v>
      </c>
      <c r="X87" s="1467">
        <f ca="1">PortfolioCFStatement!AA810</f>
        <v>0</v>
      </c>
      <c r="Y87" s="1467">
        <f ca="1">PortfolioCFStatement!AB810</f>
        <v>0</v>
      </c>
      <c r="Z87" s="1467">
        <f ca="1">PortfolioCFStatement!AC810</f>
        <v>0</v>
      </c>
      <c r="AA87" s="1467">
        <f ca="1">PortfolioCFStatement!AD810</f>
        <v>0</v>
      </c>
      <c r="AB87" s="1467">
        <f ca="1">PortfolioCFStatement!AE810</f>
        <v>0</v>
      </c>
      <c r="AC87" s="1467">
        <f ca="1">PortfolioCFStatement!AF810</f>
        <v>0</v>
      </c>
      <c r="AD87" s="1467">
        <f ca="1">PortfolioCFStatement!AG810</f>
        <v>0</v>
      </c>
      <c r="AE87" s="1467">
        <f ca="1">PortfolioCFStatement!AH810</f>
        <v>0</v>
      </c>
      <c r="AF87" s="1467">
        <f ca="1">PortfolioCFStatement!AI810</f>
        <v>0</v>
      </c>
      <c r="AG87" s="1467">
        <f ca="1">PortfolioCFStatement!AJ810</f>
        <v>0</v>
      </c>
      <c r="AH87" s="1467">
        <f ca="1">PortfolioCFStatement!AK810</f>
        <v>0</v>
      </c>
      <c r="AI87" s="1467">
        <f ca="1">PortfolioCFStatement!AL810</f>
        <v>0</v>
      </c>
      <c r="AJ87" s="1467">
        <f ca="1">PortfolioCFStatement!AM810</f>
        <v>0</v>
      </c>
      <c r="AK87" s="1467">
        <f ca="1">PortfolioCFStatement!AN810</f>
        <v>0</v>
      </c>
      <c r="AL87" s="1467">
        <f ca="1">PortfolioCFStatement!AO810</f>
        <v>0</v>
      </c>
      <c r="AM87" s="1467">
        <f ca="1">PortfolioCFStatement!AP810</f>
        <v>0</v>
      </c>
      <c r="AN87" s="1467">
        <f ca="1">PortfolioCFStatement!AQ810</f>
        <v>0</v>
      </c>
      <c r="AO87" s="1467">
        <f ca="1">PortfolioCFStatement!AR810</f>
        <v>0</v>
      </c>
      <c r="AP87" s="1467">
        <f ca="1">PortfolioCFStatement!AS810</f>
        <v>0</v>
      </c>
      <c r="AQ87" s="1467">
        <f ca="1">PortfolioCFStatement!AT810</f>
        <v>0</v>
      </c>
      <c r="AR87" s="1467"/>
      <c r="AS87" s="1467">
        <f t="shared" ca="1" si="0"/>
        <v>0</v>
      </c>
      <c r="AT87" s="1468"/>
      <c r="AU87" s="1467">
        <f t="shared" ca="1" si="1"/>
        <v>0</v>
      </c>
      <c r="AV87" s="1468"/>
      <c r="AW87" s="1467">
        <f t="shared" ca="1" si="2"/>
        <v>0</v>
      </c>
      <c r="AX87" s="1468"/>
      <c r="AY87" s="1467">
        <f t="shared" ca="1" si="3"/>
        <v>0</v>
      </c>
      <c r="AZ87" s="1468"/>
      <c r="BA87" s="1467">
        <f t="shared" ca="1" si="4"/>
        <v>0</v>
      </c>
      <c r="BB87" s="1468"/>
      <c r="BC87" s="1467">
        <f t="shared" ca="1" si="5"/>
        <v>0</v>
      </c>
      <c r="BD87" s="1468"/>
      <c r="BE87" s="1467">
        <f t="shared" ca="1" si="6"/>
        <v>0</v>
      </c>
    </row>
    <row r="88" spans="1:57" s="10" customFormat="1" hidden="1">
      <c r="A88" s="1465" t="str">
        <f ca="1">PortfolioCFStatement!D811</f>
        <v>Blank</v>
      </c>
      <c r="B88" s="1466" t="str">
        <f>PortfolioCFStatement!E811</f>
        <v>2010$</v>
      </c>
      <c r="C88" s="1460">
        <f ca="1">PortfolioCFStatement!F811</f>
        <v>0</v>
      </c>
      <c r="D88" s="1467">
        <f ca="1">PortfolioCFStatement!G811</f>
        <v>0</v>
      </c>
      <c r="E88" s="1467">
        <f ca="1">PortfolioCFStatement!H811</f>
        <v>0</v>
      </c>
      <c r="F88" s="1467">
        <f ca="1">PortfolioCFStatement!I811</f>
        <v>0</v>
      </c>
      <c r="G88" s="1467">
        <f ca="1">PortfolioCFStatement!J811</f>
        <v>0</v>
      </c>
      <c r="H88" s="1467">
        <f ca="1">PortfolioCFStatement!K811</f>
        <v>0</v>
      </c>
      <c r="I88" s="1467">
        <f ca="1">PortfolioCFStatement!L811</f>
        <v>0</v>
      </c>
      <c r="J88" s="1467">
        <f ca="1">PortfolioCFStatement!M811</f>
        <v>0</v>
      </c>
      <c r="K88" s="1467">
        <f ca="1">PortfolioCFStatement!N811</f>
        <v>0</v>
      </c>
      <c r="L88" s="1467">
        <f ca="1">PortfolioCFStatement!O811</f>
        <v>0</v>
      </c>
      <c r="M88" s="1467">
        <f ca="1">PortfolioCFStatement!P811</f>
        <v>0</v>
      </c>
      <c r="N88" s="1467">
        <f ca="1">PortfolioCFStatement!Q811</f>
        <v>0</v>
      </c>
      <c r="O88" s="1467">
        <f ca="1">PortfolioCFStatement!R811</f>
        <v>0</v>
      </c>
      <c r="P88" s="1467">
        <f ca="1">PortfolioCFStatement!S811</f>
        <v>0</v>
      </c>
      <c r="Q88" s="1467">
        <f ca="1">PortfolioCFStatement!T811</f>
        <v>0</v>
      </c>
      <c r="R88" s="1467">
        <f ca="1">PortfolioCFStatement!U811</f>
        <v>0</v>
      </c>
      <c r="S88" s="1467">
        <f ca="1">PortfolioCFStatement!V811</f>
        <v>0</v>
      </c>
      <c r="T88" s="1467">
        <f ca="1">PortfolioCFStatement!W811</f>
        <v>0</v>
      </c>
      <c r="U88" s="1467">
        <f ca="1">PortfolioCFStatement!X811</f>
        <v>0</v>
      </c>
      <c r="V88" s="1467">
        <f ca="1">PortfolioCFStatement!Y811</f>
        <v>0</v>
      </c>
      <c r="W88" s="1467">
        <f ca="1">PortfolioCFStatement!Z811</f>
        <v>0</v>
      </c>
      <c r="X88" s="1467">
        <f ca="1">PortfolioCFStatement!AA811</f>
        <v>0</v>
      </c>
      <c r="Y88" s="1467">
        <f ca="1">PortfolioCFStatement!AB811</f>
        <v>0</v>
      </c>
      <c r="Z88" s="1467">
        <f ca="1">PortfolioCFStatement!AC811</f>
        <v>0</v>
      </c>
      <c r="AA88" s="1467">
        <f ca="1">PortfolioCFStatement!AD811</f>
        <v>0</v>
      </c>
      <c r="AB88" s="1467">
        <f ca="1">PortfolioCFStatement!AE811</f>
        <v>0</v>
      </c>
      <c r="AC88" s="1467">
        <f ca="1">PortfolioCFStatement!AF811</f>
        <v>0</v>
      </c>
      <c r="AD88" s="1467">
        <f ca="1">PortfolioCFStatement!AG811</f>
        <v>0</v>
      </c>
      <c r="AE88" s="1467">
        <f ca="1">PortfolioCFStatement!AH811</f>
        <v>0</v>
      </c>
      <c r="AF88" s="1467">
        <f ca="1">PortfolioCFStatement!AI811</f>
        <v>0</v>
      </c>
      <c r="AG88" s="1467">
        <f ca="1">PortfolioCFStatement!AJ811</f>
        <v>0</v>
      </c>
      <c r="AH88" s="1467">
        <f ca="1">PortfolioCFStatement!AK811</f>
        <v>0</v>
      </c>
      <c r="AI88" s="1467">
        <f ca="1">PortfolioCFStatement!AL811</f>
        <v>0</v>
      </c>
      <c r="AJ88" s="1467">
        <f ca="1">PortfolioCFStatement!AM811</f>
        <v>0</v>
      </c>
      <c r="AK88" s="1467">
        <f ca="1">PortfolioCFStatement!AN811</f>
        <v>0</v>
      </c>
      <c r="AL88" s="1467">
        <f ca="1">PortfolioCFStatement!AO811</f>
        <v>0</v>
      </c>
      <c r="AM88" s="1467">
        <f ca="1">PortfolioCFStatement!AP811</f>
        <v>0</v>
      </c>
      <c r="AN88" s="1467">
        <f ca="1">PortfolioCFStatement!AQ811</f>
        <v>0</v>
      </c>
      <c r="AO88" s="1467">
        <f ca="1">PortfolioCFStatement!AR811</f>
        <v>0</v>
      </c>
      <c r="AP88" s="1467">
        <f ca="1">PortfolioCFStatement!AS811</f>
        <v>0</v>
      </c>
      <c r="AQ88" s="1467">
        <f ca="1">PortfolioCFStatement!AT811</f>
        <v>0</v>
      </c>
      <c r="AR88" s="1467"/>
      <c r="AS88" s="1467">
        <f t="shared" ca="1" si="0"/>
        <v>0</v>
      </c>
      <c r="AT88" s="1468"/>
      <c r="AU88" s="1467">
        <f t="shared" ca="1" si="1"/>
        <v>0</v>
      </c>
      <c r="AV88" s="1468"/>
      <c r="AW88" s="1467">
        <f t="shared" ca="1" si="2"/>
        <v>0</v>
      </c>
      <c r="AX88" s="1468"/>
      <c r="AY88" s="1467">
        <f t="shared" ca="1" si="3"/>
        <v>0</v>
      </c>
      <c r="AZ88" s="1468"/>
      <c r="BA88" s="1467">
        <f t="shared" ca="1" si="4"/>
        <v>0</v>
      </c>
      <c r="BB88" s="1468"/>
      <c r="BC88" s="1467">
        <f t="shared" ca="1" si="5"/>
        <v>0</v>
      </c>
      <c r="BD88" s="1468"/>
      <c r="BE88" s="1467">
        <f t="shared" ca="1" si="6"/>
        <v>0</v>
      </c>
    </row>
    <row r="89" spans="1:57" s="10" customFormat="1" hidden="1">
      <c r="A89" s="1465" t="str">
        <f ca="1">PortfolioCFStatement!D812</f>
        <v>Blank</v>
      </c>
      <c r="B89" s="1466" t="str">
        <f>PortfolioCFStatement!E812</f>
        <v>2010$</v>
      </c>
      <c r="C89" s="1460">
        <f ca="1">PortfolioCFStatement!F812</f>
        <v>0</v>
      </c>
      <c r="D89" s="1467">
        <f ca="1">PortfolioCFStatement!G812</f>
        <v>0</v>
      </c>
      <c r="E89" s="1467">
        <f ca="1">PortfolioCFStatement!H812</f>
        <v>0</v>
      </c>
      <c r="F89" s="1467">
        <f ca="1">PortfolioCFStatement!I812</f>
        <v>0</v>
      </c>
      <c r="G89" s="1467">
        <f ca="1">PortfolioCFStatement!J812</f>
        <v>0</v>
      </c>
      <c r="H89" s="1467">
        <f ca="1">PortfolioCFStatement!K812</f>
        <v>0</v>
      </c>
      <c r="I89" s="1467">
        <f ca="1">PortfolioCFStatement!L812</f>
        <v>0</v>
      </c>
      <c r="J89" s="1467">
        <f ca="1">PortfolioCFStatement!M812</f>
        <v>0</v>
      </c>
      <c r="K89" s="1467">
        <f ca="1">PortfolioCFStatement!N812</f>
        <v>0</v>
      </c>
      <c r="L89" s="1467">
        <f ca="1">PortfolioCFStatement!O812</f>
        <v>0</v>
      </c>
      <c r="M89" s="1467">
        <f ca="1">PortfolioCFStatement!P812</f>
        <v>0</v>
      </c>
      <c r="N89" s="1467">
        <f ca="1">PortfolioCFStatement!Q812</f>
        <v>0</v>
      </c>
      <c r="O89" s="1467">
        <f ca="1">PortfolioCFStatement!R812</f>
        <v>0</v>
      </c>
      <c r="P89" s="1467">
        <f ca="1">PortfolioCFStatement!S812</f>
        <v>0</v>
      </c>
      <c r="Q89" s="1467">
        <f ca="1">PortfolioCFStatement!T812</f>
        <v>0</v>
      </c>
      <c r="R89" s="1467">
        <f ca="1">PortfolioCFStatement!U812</f>
        <v>0</v>
      </c>
      <c r="S89" s="1467">
        <f ca="1">PortfolioCFStatement!V812</f>
        <v>0</v>
      </c>
      <c r="T89" s="1467">
        <f ca="1">PortfolioCFStatement!W812</f>
        <v>0</v>
      </c>
      <c r="U89" s="1467">
        <f ca="1">PortfolioCFStatement!X812</f>
        <v>0</v>
      </c>
      <c r="V89" s="1467">
        <f ca="1">PortfolioCFStatement!Y812</f>
        <v>0</v>
      </c>
      <c r="W89" s="1467">
        <f ca="1">PortfolioCFStatement!Z812</f>
        <v>0</v>
      </c>
      <c r="X89" s="1467">
        <f ca="1">PortfolioCFStatement!AA812</f>
        <v>0</v>
      </c>
      <c r="Y89" s="1467">
        <f ca="1">PortfolioCFStatement!AB812</f>
        <v>0</v>
      </c>
      <c r="Z89" s="1467">
        <f ca="1">PortfolioCFStatement!AC812</f>
        <v>0</v>
      </c>
      <c r="AA89" s="1467">
        <f ca="1">PortfolioCFStatement!AD812</f>
        <v>0</v>
      </c>
      <c r="AB89" s="1467">
        <f ca="1">PortfolioCFStatement!AE812</f>
        <v>0</v>
      </c>
      <c r="AC89" s="1467">
        <f ca="1">PortfolioCFStatement!AF812</f>
        <v>0</v>
      </c>
      <c r="AD89" s="1467">
        <f ca="1">PortfolioCFStatement!AG812</f>
        <v>0</v>
      </c>
      <c r="AE89" s="1467">
        <f ca="1">PortfolioCFStatement!AH812</f>
        <v>0</v>
      </c>
      <c r="AF89" s="1467">
        <f ca="1">PortfolioCFStatement!AI812</f>
        <v>0</v>
      </c>
      <c r="AG89" s="1467">
        <f ca="1">PortfolioCFStatement!AJ812</f>
        <v>0</v>
      </c>
      <c r="AH89" s="1467">
        <f ca="1">PortfolioCFStatement!AK812</f>
        <v>0</v>
      </c>
      <c r="AI89" s="1467">
        <f ca="1">PortfolioCFStatement!AL812</f>
        <v>0</v>
      </c>
      <c r="AJ89" s="1467">
        <f ca="1">PortfolioCFStatement!AM812</f>
        <v>0</v>
      </c>
      <c r="AK89" s="1467">
        <f ca="1">PortfolioCFStatement!AN812</f>
        <v>0</v>
      </c>
      <c r="AL89" s="1467">
        <f ca="1">PortfolioCFStatement!AO812</f>
        <v>0</v>
      </c>
      <c r="AM89" s="1467">
        <f ca="1">PortfolioCFStatement!AP812</f>
        <v>0</v>
      </c>
      <c r="AN89" s="1467">
        <f ca="1">PortfolioCFStatement!AQ812</f>
        <v>0</v>
      </c>
      <c r="AO89" s="1467">
        <f ca="1">PortfolioCFStatement!AR812</f>
        <v>0</v>
      </c>
      <c r="AP89" s="1467">
        <f ca="1">PortfolioCFStatement!AS812</f>
        <v>0</v>
      </c>
      <c r="AQ89" s="1467">
        <f ca="1">PortfolioCFStatement!AT812</f>
        <v>0</v>
      </c>
      <c r="AR89" s="1467"/>
      <c r="AS89" s="1467">
        <f t="shared" ca="1" si="0"/>
        <v>0</v>
      </c>
      <c r="AT89" s="1468"/>
      <c r="AU89" s="1467">
        <f t="shared" ca="1" si="1"/>
        <v>0</v>
      </c>
      <c r="AV89" s="1468"/>
      <c r="AW89" s="1467">
        <f t="shared" ca="1" si="2"/>
        <v>0</v>
      </c>
      <c r="AX89" s="1468"/>
      <c r="AY89" s="1467">
        <f t="shared" ca="1" si="3"/>
        <v>0</v>
      </c>
      <c r="AZ89" s="1468"/>
      <c r="BA89" s="1467">
        <f t="shared" ca="1" si="4"/>
        <v>0</v>
      </c>
      <c r="BB89" s="1468"/>
      <c r="BC89" s="1467">
        <f t="shared" ca="1" si="5"/>
        <v>0</v>
      </c>
      <c r="BD89" s="1468"/>
      <c r="BE89" s="1467">
        <f t="shared" ca="1" si="6"/>
        <v>0</v>
      </c>
    </row>
    <row r="90" spans="1:57" s="10" customFormat="1" hidden="1">
      <c r="A90" s="1465" t="str">
        <f ca="1">PortfolioCFStatement!D813</f>
        <v>Blank</v>
      </c>
      <c r="B90" s="1466" t="str">
        <f>PortfolioCFStatement!E813</f>
        <v>2010$</v>
      </c>
      <c r="C90" s="1460">
        <f ca="1">PortfolioCFStatement!F813</f>
        <v>0</v>
      </c>
      <c r="D90" s="1467">
        <f ca="1">PortfolioCFStatement!G813</f>
        <v>0</v>
      </c>
      <c r="E90" s="1467">
        <f ca="1">PortfolioCFStatement!H813</f>
        <v>0</v>
      </c>
      <c r="F90" s="1467">
        <f ca="1">PortfolioCFStatement!I813</f>
        <v>0</v>
      </c>
      <c r="G90" s="1467">
        <f ca="1">PortfolioCFStatement!J813</f>
        <v>0</v>
      </c>
      <c r="H90" s="1467">
        <f ca="1">PortfolioCFStatement!K813</f>
        <v>0</v>
      </c>
      <c r="I90" s="1467">
        <f ca="1">PortfolioCFStatement!L813</f>
        <v>0</v>
      </c>
      <c r="J90" s="1467">
        <f ca="1">PortfolioCFStatement!M813</f>
        <v>0</v>
      </c>
      <c r="K90" s="1467">
        <f ca="1">PortfolioCFStatement!N813</f>
        <v>0</v>
      </c>
      <c r="L90" s="1467">
        <f ca="1">PortfolioCFStatement!O813</f>
        <v>0</v>
      </c>
      <c r="M90" s="1467">
        <f ca="1">PortfolioCFStatement!P813</f>
        <v>0</v>
      </c>
      <c r="N90" s="1467">
        <f ca="1">PortfolioCFStatement!Q813</f>
        <v>0</v>
      </c>
      <c r="O90" s="1467">
        <f ca="1">PortfolioCFStatement!R813</f>
        <v>0</v>
      </c>
      <c r="P90" s="1467">
        <f ca="1">PortfolioCFStatement!S813</f>
        <v>0</v>
      </c>
      <c r="Q90" s="1467">
        <f ca="1">PortfolioCFStatement!T813</f>
        <v>0</v>
      </c>
      <c r="R90" s="1467">
        <f ca="1">PortfolioCFStatement!U813</f>
        <v>0</v>
      </c>
      <c r="S90" s="1467">
        <f ca="1">PortfolioCFStatement!V813</f>
        <v>0</v>
      </c>
      <c r="T90" s="1467">
        <f ca="1">PortfolioCFStatement!W813</f>
        <v>0</v>
      </c>
      <c r="U90" s="1467">
        <f ca="1">PortfolioCFStatement!X813</f>
        <v>0</v>
      </c>
      <c r="V90" s="1467">
        <f ca="1">PortfolioCFStatement!Y813</f>
        <v>0</v>
      </c>
      <c r="W90" s="1467">
        <f ca="1">PortfolioCFStatement!Z813</f>
        <v>0</v>
      </c>
      <c r="X90" s="1467">
        <f ca="1">PortfolioCFStatement!AA813</f>
        <v>0</v>
      </c>
      <c r="Y90" s="1467">
        <f ca="1">PortfolioCFStatement!AB813</f>
        <v>0</v>
      </c>
      <c r="Z90" s="1467">
        <f ca="1">PortfolioCFStatement!AC813</f>
        <v>0</v>
      </c>
      <c r="AA90" s="1467">
        <f ca="1">PortfolioCFStatement!AD813</f>
        <v>0</v>
      </c>
      <c r="AB90" s="1467">
        <f ca="1">PortfolioCFStatement!AE813</f>
        <v>0</v>
      </c>
      <c r="AC90" s="1467">
        <f ca="1">PortfolioCFStatement!AF813</f>
        <v>0</v>
      </c>
      <c r="AD90" s="1467">
        <f ca="1">PortfolioCFStatement!AG813</f>
        <v>0</v>
      </c>
      <c r="AE90" s="1467">
        <f ca="1">PortfolioCFStatement!AH813</f>
        <v>0</v>
      </c>
      <c r="AF90" s="1467">
        <f ca="1">PortfolioCFStatement!AI813</f>
        <v>0</v>
      </c>
      <c r="AG90" s="1467">
        <f ca="1">PortfolioCFStatement!AJ813</f>
        <v>0</v>
      </c>
      <c r="AH90" s="1467">
        <f ca="1">PortfolioCFStatement!AK813</f>
        <v>0</v>
      </c>
      <c r="AI90" s="1467">
        <f ca="1">PortfolioCFStatement!AL813</f>
        <v>0</v>
      </c>
      <c r="AJ90" s="1467">
        <f ca="1">PortfolioCFStatement!AM813</f>
        <v>0</v>
      </c>
      <c r="AK90" s="1467">
        <f ca="1">PortfolioCFStatement!AN813</f>
        <v>0</v>
      </c>
      <c r="AL90" s="1467">
        <f ca="1">PortfolioCFStatement!AO813</f>
        <v>0</v>
      </c>
      <c r="AM90" s="1467">
        <f ca="1">PortfolioCFStatement!AP813</f>
        <v>0</v>
      </c>
      <c r="AN90" s="1467">
        <f ca="1">PortfolioCFStatement!AQ813</f>
        <v>0</v>
      </c>
      <c r="AO90" s="1467">
        <f ca="1">PortfolioCFStatement!AR813</f>
        <v>0</v>
      </c>
      <c r="AP90" s="1467">
        <f ca="1">PortfolioCFStatement!AS813</f>
        <v>0</v>
      </c>
      <c r="AQ90" s="1467">
        <f ca="1">PortfolioCFStatement!AT813</f>
        <v>0</v>
      </c>
      <c r="AR90" s="1467"/>
      <c r="AS90" s="1467">
        <f t="shared" ca="1" si="0"/>
        <v>0</v>
      </c>
      <c r="AT90" s="1468"/>
      <c r="AU90" s="1467">
        <f t="shared" ca="1" si="1"/>
        <v>0</v>
      </c>
      <c r="AV90" s="1468"/>
      <c r="AW90" s="1467">
        <f t="shared" ca="1" si="2"/>
        <v>0</v>
      </c>
      <c r="AX90" s="1468"/>
      <c r="AY90" s="1467">
        <f t="shared" ca="1" si="3"/>
        <v>0</v>
      </c>
      <c r="AZ90" s="1468"/>
      <c r="BA90" s="1467">
        <f t="shared" ca="1" si="4"/>
        <v>0</v>
      </c>
      <c r="BB90" s="1468"/>
      <c r="BC90" s="1467">
        <f t="shared" ca="1" si="5"/>
        <v>0</v>
      </c>
      <c r="BD90" s="1468"/>
      <c r="BE90" s="1467">
        <f t="shared" ca="1" si="6"/>
        <v>0</v>
      </c>
    </row>
    <row r="91" spans="1:57" s="10" customFormat="1" hidden="1">
      <c r="A91" s="1465" t="str">
        <f ca="1">PortfolioCFStatement!D814</f>
        <v>Blank</v>
      </c>
      <c r="B91" s="1466" t="str">
        <f>PortfolioCFStatement!E814</f>
        <v>2010$</v>
      </c>
      <c r="C91" s="1460">
        <f ca="1">PortfolioCFStatement!F814</f>
        <v>0</v>
      </c>
      <c r="D91" s="1467">
        <f ca="1">PortfolioCFStatement!G814</f>
        <v>0</v>
      </c>
      <c r="E91" s="1467">
        <f ca="1">PortfolioCFStatement!H814</f>
        <v>0</v>
      </c>
      <c r="F91" s="1467">
        <f ca="1">PortfolioCFStatement!I814</f>
        <v>0</v>
      </c>
      <c r="G91" s="1467">
        <f ca="1">PortfolioCFStatement!J814</f>
        <v>0</v>
      </c>
      <c r="H91" s="1467">
        <f ca="1">PortfolioCFStatement!K814</f>
        <v>0</v>
      </c>
      <c r="I91" s="1467">
        <f ca="1">PortfolioCFStatement!L814</f>
        <v>0</v>
      </c>
      <c r="J91" s="1467">
        <f ca="1">PortfolioCFStatement!M814</f>
        <v>0</v>
      </c>
      <c r="K91" s="1467">
        <f ca="1">PortfolioCFStatement!N814</f>
        <v>0</v>
      </c>
      <c r="L91" s="1467">
        <f ca="1">PortfolioCFStatement!O814</f>
        <v>0</v>
      </c>
      <c r="M91" s="1467">
        <f ca="1">PortfolioCFStatement!P814</f>
        <v>0</v>
      </c>
      <c r="N91" s="1467">
        <f ca="1">PortfolioCFStatement!Q814</f>
        <v>0</v>
      </c>
      <c r="O91" s="1467">
        <f ca="1">PortfolioCFStatement!R814</f>
        <v>0</v>
      </c>
      <c r="P91" s="1467">
        <f ca="1">PortfolioCFStatement!S814</f>
        <v>0</v>
      </c>
      <c r="Q91" s="1467">
        <f ca="1">PortfolioCFStatement!T814</f>
        <v>0</v>
      </c>
      <c r="R91" s="1467">
        <f ca="1">PortfolioCFStatement!U814</f>
        <v>0</v>
      </c>
      <c r="S91" s="1467">
        <f ca="1">PortfolioCFStatement!V814</f>
        <v>0</v>
      </c>
      <c r="T91" s="1467">
        <f ca="1">PortfolioCFStatement!W814</f>
        <v>0</v>
      </c>
      <c r="U91" s="1467">
        <f ca="1">PortfolioCFStatement!X814</f>
        <v>0</v>
      </c>
      <c r="V91" s="1467">
        <f ca="1">PortfolioCFStatement!Y814</f>
        <v>0</v>
      </c>
      <c r="W91" s="1467">
        <f ca="1">PortfolioCFStatement!Z814</f>
        <v>0</v>
      </c>
      <c r="X91" s="1467">
        <f ca="1">PortfolioCFStatement!AA814</f>
        <v>0</v>
      </c>
      <c r="Y91" s="1467">
        <f ca="1">PortfolioCFStatement!AB814</f>
        <v>0</v>
      </c>
      <c r="Z91" s="1467">
        <f ca="1">PortfolioCFStatement!AC814</f>
        <v>0</v>
      </c>
      <c r="AA91" s="1467">
        <f ca="1">PortfolioCFStatement!AD814</f>
        <v>0</v>
      </c>
      <c r="AB91" s="1467">
        <f ca="1">PortfolioCFStatement!AE814</f>
        <v>0</v>
      </c>
      <c r="AC91" s="1467">
        <f ca="1">PortfolioCFStatement!AF814</f>
        <v>0</v>
      </c>
      <c r="AD91" s="1467">
        <f ca="1">PortfolioCFStatement!AG814</f>
        <v>0</v>
      </c>
      <c r="AE91" s="1467">
        <f ca="1">PortfolioCFStatement!AH814</f>
        <v>0</v>
      </c>
      <c r="AF91" s="1467">
        <f ca="1">PortfolioCFStatement!AI814</f>
        <v>0</v>
      </c>
      <c r="AG91" s="1467">
        <f ca="1">PortfolioCFStatement!AJ814</f>
        <v>0</v>
      </c>
      <c r="AH91" s="1467">
        <f ca="1">PortfolioCFStatement!AK814</f>
        <v>0</v>
      </c>
      <c r="AI91" s="1467">
        <f ca="1">PortfolioCFStatement!AL814</f>
        <v>0</v>
      </c>
      <c r="AJ91" s="1467">
        <f ca="1">PortfolioCFStatement!AM814</f>
        <v>0</v>
      </c>
      <c r="AK91" s="1467">
        <f ca="1">PortfolioCFStatement!AN814</f>
        <v>0</v>
      </c>
      <c r="AL91" s="1467">
        <f ca="1">PortfolioCFStatement!AO814</f>
        <v>0</v>
      </c>
      <c r="AM91" s="1467">
        <f ca="1">PortfolioCFStatement!AP814</f>
        <v>0</v>
      </c>
      <c r="AN91" s="1467">
        <f ca="1">PortfolioCFStatement!AQ814</f>
        <v>0</v>
      </c>
      <c r="AO91" s="1467">
        <f ca="1">PortfolioCFStatement!AR814</f>
        <v>0</v>
      </c>
      <c r="AP91" s="1467">
        <f ca="1">PortfolioCFStatement!AS814</f>
        <v>0</v>
      </c>
      <c r="AQ91" s="1467">
        <f ca="1">PortfolioCFStatement!AT814</f>
        <v>0</v>
      </c>
      <c r="AR91" s="1467"/>
      <c r="AS91" s="1467">
        <f t="shared" ca="1" si="0"/>
        <v>0</v>
      </c>
      <c r="AT91" s="1468"/>
      <c r="AU91" s="1467">
        <f t="shared" ca="1" si="1"/>
        <v>0</v>
      </c>
      <c r="AV91" s="1468"/>
      <c r="AW91" s="1467">
        <f t="shared" ca="1" si="2"/>
        <v>0</v>
      </c>
      <c r="AX91" s="1468"/>
      <c r="AY91" s="1467">
        <f t="shared" ca="1" si="3"/>
        <v>0</v>
      </c>
      <c r="AZ91" s="1468"/>
      <c r="BA91" s="1467">
        <f t="shared" ca="1" si="4"/>
        <v>0</v>
      </c>
      <c r="BB91" s="1468"/>
      <c r="BC91" s="1467">
        <f t="shared" ca="1" si="5"/>
        <v>0</v>
      </c>
      <c r="BD91" s="1468"/>
      <c r="BE91" s="1467">
        <f t="shared" ca="1" si="6"/>
        <v>0</v>
      </c>
    </row>
    <row r="92" spans="1:57" s="10" customFormat="1" hidden="1">
      <c r="A92" s="1465" t="str">
        <f ca="1">PortfolioCFStatement!D815</f>
        <v>Blank</v>
      </c>
      <c r="B92" s="1466" t="str">
        <f>PortfolioCFStatement!E815</f>
        <v>2010$</v>
      </c>
      <c r="C92" s="1460">
        <f ca="1">PortfolioCFStatement!F815</f>
        <v>0</v>
      </c>
      <c r="D92" s="1467">
        <f ca="1">PortfolioCFStatement!G815</f>
        <v>0</v>
      </c>
      <c r="E92" s="1467">
        <f ca="1">PortfolioCFStatement!H815</f>
        <v>0</v>
      </c>
      <c r="F92" s="1467">
        <f ca="1">PortfolioCFStatement!I815</f>
        <v>0</v>
      </c>
      <c r="G92" s="1467">
        <f ca="1">PortfolioCFStatement!J815</f>
        <v>0</v>
      </c>
      <c r="H92" s="1467">
        <f ca="1">PortfolioCFStatement!K815</f>
        <v>0</v>
      </c>
      <c r="I92" s="1467">
        <f ca="1">PortfolioCFStatement!L815</f>
        <v>0</v>
      </c>
      <c r="J92" s="1467">
        <f ca="1">PortfolioCFStatement!M815</f>
        <v>0</v>
      </c>
      <c r="K92" s="1467">
        <f ca="1">PortfolioCFStatement!N815</f>
        <v>0</v>
      </c>
      <c r="L92" s="1467">
        <f ca="1">PortfolioCFStatement!O815</f>
        <v>0</v>
      </c>
      <c r="M92" s="1467">
        <f ca="1">PortfolioCFStatement!P815</f>
        <v>0</v>
      </c>
      <c r="N92" s="1467">
        <f ca="1">PortfolioCFStatement!Q815</f>
        <v>0</v>
      </c>
      <c r="O92" s="1467">
        <f ca="1">PortfolioCFStatement!R815</f>
        <v>0</v>
      </c>
      <c r="P92" s="1467">
        <f ca="1">PortfolioCFStatement!S815</f>
        <v>0</v>
      </c>
      <c r="Q92" s="1467">
        <f ca="1">PortfolioCFStatement!T815</f>
        <v>0</v>
      </c>
      <c r="R92" s="1467">
        <f ca="1">PortfolioCFStatement!U815</f>
        <v>0</v>
      </c>
      <c r="S92" s="1467">
        <f ca="1">PortfolioCFStatement!V815</f>
        <v>0</v>
      </c>
      <c r="T92" s="1467">
        <f ca="1">PortfolioCFStatement!W815</f>
        <v>0</v>
      </c>
      <c r="U92" s="1467">
        <f ca="1">PortfolioCFStatement!X815</f>
        <v>0</v>
      </c>
      <c r="V92" s="1467">
        <f ca="1">PortfolioCFStatement!Y815</f>
        <v>0</v>
      </c>
      <c r="W92" s="1467">
        <f ca="1">PortfolioCFStatement!Z815</f>
        <v>0</v>
      </c>
      <c r="X92" s="1467">
        <f ca="1">PortfolioCFStatement!AA815</f>
        <v>0</v>
      </c>
      <c r="Y92" s="1467">
        <f ca="1">PortfolioCFStatement!AB815</f>
        <v>0</v>
      </c>
      <c r="Z92" s="1467">
        <f ca="1">PortfolioCFStatement!AC815</f>
        <v>0</v>
      </c>
      <c r="AA92" s="1467">
        <f ca="1">PortfolioCFStatement!AD815</f>
        <v>0</v>
      </c>
      <c r="AB92" s="1467">
        <f ca="1">PortfolioCFStatement!AE815</f>
        <v>0</v>
      </c>
      <c r="AC92" s="1467">
        <f ca="1">PortfolioCFStatement!AF815</f>
        <v>0</v>
      </c>
      <c r="AD92" s="1467">
        <f ca="1">PortfolioCFStatement!AG815</f>
        <v>0</v>
      </c>
      <c r="AE92" s="1467">
        <f ca="1">PortfolioCFStatement!AH815</f>
        <v>0</v>
      </c>
      <c r="AF92" s="1467">
        <f ca="1">PortfolioCFStatement!AI815</f>
        <v>0</v>
      </c>
      <c r="AG92" s="1467">
        <f ca="1">PortfolioCFStatement!AJ815</f>
        <v>0</v>
      </c>
      <c r="AH92" s="1467">
        <f ca="1">PortfolioCFStatement!AK815</f>
        <v>0</v>
      </c>
      <c r="AI92" s="1467">
        <f ca="1">PortfolioCFStatement!AL815</f>
        <v>0</v>
      </c>
      <c r="AJ92" s="1467">
        <f ca="1">PortfolioCFStatement!AM815</f>
        <v>0</v>
      </c>
      <c r="AK92" s="1467">
        <f ca="1">PortfolioCFStatement!AN815</f>
        <v>0</v>
      </c>
      <c r="AL92" s="1467">
        <f ca="1">PortfolioCFStatement!AO815</f>
        <v>0</v>
      </c>
      <c r="AM92" s="1467">
        <f ca="1">PortfolioCFStatement!AP815</f>
        <v>0</v>
      </c>
      <c r="AN92" s="1467">
        <f ca="1">PortfolioCFStatement!AQ815</f>
        <v>0</v>
      </c>
      <c r="AO92" s="1467">
        <f ca="1">PortfolioCFStatement!AR815</f>
        <v>0</v>
      </c>
      <c r="AP92" s="1467">
        <f ca="1">PortfolioCFStatement!AS815</f>
        <v>0</v>
      </c>
      <c r="AQ92" s="1467">
        <f ca="1">PortfolioCFStatement!AT815</f>
        <v>0</v>
      </c>
      <c r="AR92" s="1467"/>
      <c r="AS92" s="1467">
        <f t="shared" ca="1" si="0"/>
        <v>0</v>
      </c>
      <c r="AT92" s="1468"/>
      <c r="AU92" s="1467">
        <f t="shared" ca="1" si="1"/>
        <v>0</v>
      </c>
      <c r="AV92" s="1468"/>
      <c r="AW92" s="1467">
        <f t="shared" ca="1" si="2"/>
        <v>0</v>
      </c>
      <c r="AX92" s="1468"/>
      <c r="AY92" s="1467">
        <f t="shared" ca="1" si="3"/>
        <v>0</v>
      </c>
      <c r="AZ92" s="1468"/>
      <c r="BA92" s="1467">
        <f t="shared" ca="1" si="4"/>
        <v>0</v>
      </c>
      <c r="BB92" s="1468"/>
      <c r="BC92" s="1467">
        <f t="shared" ca="1" si="5"/>
        <v>0</v>
      </c>
      <c r="BD92" s="1468"/>
      <c r="BE92" s="1467">
        <f t="shared" ca="1" si="6"/>
        <v>0</v>
      </c>
    </row>
    <row r="93" spans="1:57" s="10" customFormat="1">
      <c r="A93" s="1465" t="str">
        <f>PortfolioCFStatement!D816</f>
        <v>Sustainability Driven-Master Plan</v>
      </c>
      <c r="B93" s="1466" t="str">
        <f>PortfolioCFStatement!E816</f>
        <v>2010$</v>
      </c>
      <c r="C93" s="1460">
        <f ca="1">PortfolioCFStatement!F816</f>
        <v>-537861.87088412675</v>
      </c>
      <c r="D93" s="1467">
        <f ca="1">PortfolioCFStatement!G816</f>
        <v>0</v>
      </c>
      <c r="E93" s="1467">
        <f ca="1">PortfolioCFStatement!H816</f>
        <v>-600000</v>
      </c>
      <c r="F93" s="1467">
        <f ca="1">PortfolioCFStatement!I816</f>
        <v>0</v>
      </c>
      <c r="G93" s="1467">
        <f ca="1">PortfolioCFStatement!J816</f>
        <v>0</v>
      </c>
      <c r="H93" s="1467">
        <f ca="1">PortfolioCFStatement!K816</f>
        <v>0</v>
      </c>
      <c r="I93" s="1467">
        <f ca="1">PortfolioCFStatement!L816</f>
        <v>0</v>
      </c>
      <c r="J93" s="1467">
        <f ca="1">PortfolioCFStatement!M816</f>
        <v>0</v>
      </c>
      <c r="K93" s="1467">
        <f ca="1">PortfolioCFStatement!N816</f>
        <v>0</v>
      </c>
      <c r="L93" s="1467">
        <f ca="1">PortfolioCFStatement!O816</f>
        <v>0</v>
      </c>
      <c r="M93" s="1467">
        <f ca="1">PortfolioCFStatement!P816</f>
        <v>0</v>
      </c>
      <c r="N93" s="1467">
        <f ca="1">PortfolioCFStatement!Q816</f>
        <v>0</v>
      </c>
      <c r="O93" s="1467">
        <f ca="1">PortfolioCFStatement!R816</f>
        <v>0</v>
      </c>
      <c r="P93" s="1467">
        <f ca="1">PortfolioCFStatement!S816</f>
        <v>0</v>
      </c>
      <c r="Q93" s="1467">
        <f ca="1">PortfolioCFStatement!T816</f>
        <v>0</v>
      </c>
      <c r="R93" s="1467">
        <f ca="1">PortfolioCFStatement!U816</f>
        <v>0</v>
      </c>
      <c r="S93" s="1467">
        <f ca="1">PortfolioCFStatement!V816</f>
        <v>0</v>
      </c>
      <c r="T93" s="1467">
        <f ca="1">PortfolioCFStatement!W816</f>
        <v>0</v>
      </c>
      <c r="U93" s="1467">
        <f ca="1">PortfolioCFStatement!X816</f>
        <v>0</v>
      </c>
      <c r="V93" s="1467">
        <f ca="1">PortfolioCFStatement!Y816</f>
        <v>0</v>
      </c>
      <c r="W93" s="1467">
        <f ca="1">PortfolioCFStatement!Z816</f>
        <v>0</v>
      </c>
      <c r="X93" s="1467">
        <f ca="1">PortfolioCFStatement!AA816</f>
        <v>0</v>
      </c>
      <c r="Y93" s="1467">
        <f ca="1">PortfolioCFStatement!AB816</f>
        <v>0</v>
      </c>
      <c r="Z93" s="1467">
        <f ca="1">PortfolioCFStatement!AC816</f>
        <v>0</v>
      </c>
      <c r="AA93" s="1467">
        <f ca="1">PortfolioCFStatement!AD816</f>
        <v>0</v>
      </c>
      <c r="AB93" s="1467">
        <f ca="1">PortfolioCFStatement!AE816</f>
        <v>0</v>
      </c>
      <c r="AC93" s="1467">
        <f ca="1">PortfolioCFStatement!AF816</f>
        <v>0</v>
      </c>
      <c r="AD93" s="1467">
        <f ca="1">PortfolioCFStatement!AG816</f>
        <v>0</v>
      </c>
      <c r="AE93" s="1467">
        <f ca="1">PortfolioCFStatement!AH816</f>
        <v>0</v>
      </c>
      <c r="AF93" s="1467">
        <f ca="1">PortfolioCFStatement!AI816</f>
        <v>0</v>
      </c>
      <c r="AG93" s="1467">
        <f ca="1">PortfolioCFStatement!AJ816</f>
        <v>0</v>
      </c>
      <c r="AH93" s="1467">
        <f ca="1">PortfolioCFStatement!AK816</f>
        <v>0</v>
      </c>
      <c r="AI93" s="1467">
        <f ca="1">PortfolioCFStatement!AL816</f>
        <v>0</v>
      </c>
      <c r="AJ93" s="1467">
        <f ca="1">PortfolioCFStatement!AM816</f>
        <v>0</v>
      </c>
      <c r="AK93" s="1467">
        <f ca="1">PortfolioCFStatement!AN816</f>
        <v>0</v>
      </c>
      <c r="AL93" s="1467">
        <f ca="1">PortfolioCFStatement!AO816</f>
        <v>0</v>
      </c>
      <c r="AM93" s="1467">
        <f ca="1">PortfolioCFStatement!AP816</f>
        <v>0</v>
      </c>
      <c r="AN93" s="1467">
        <f ca="1">PortfolioCFStatement!AQ816</f>
        <v>0</v>
      </c>
      <c r="AO93" s="1467">
        <f ca="1">PortfolioCFStatement!AR816</f>
        <v>0</v>
      </c>
      <c r="AP93" s="1467">
        <f ca="1">PortfolioCFStatement!AS816</f>
        <v>0</v>
      </c>
      <c r="AQ93" s="1467">
        <f ca="1">PortfolioCFStatement!AT816</f>
        <v>0</v>
      </c>
      <c r="AR93" s="1467"/>
      <c r="AS93" s="1467">
        <f t="shared" ca="1" si="0"/>
        <v>0</v>
      </c>
      <c r="AT93" s="1468"/>
      <c r="AU93" s="1467">
        <f t="shared" ca="1" si="1"/>
        <v>0</v>
      </c>
      <c r="AV93" s="1468"/>
      <c r="AW93" s="1467">
        <f t="shared" ca="1" si="2"/>
        <v>0</v>
      </c>
      <c r="AX93" s="1468"/>
      <c r="AY93" s="1467">
        <f t="shared" ca="1" si="3"/>
        <v>0</v>
      </c>
      <c r="AZ93" s="1468"/>
      <c r="BA93" s="1467">
        <f t="shared" ca="1" si="4"/>
        <v>0</v>
      </c>
      <c r="BB93" s="1468"/>
      <c r="BC93" s="1467">
        <f t="shared" ca="1" si="5"/>
        <v>0</v>
      </c>
      <c r="BD93" s="1468"/>
      <c r="BE93" s="1467">
        <f t="shared" ca="1" si="6"/>
        <v>0</v>
      </c>
    </row>
    <row r="94" spans="1:57" s="10" customFormat="1">
      <c r="A94" s="1465" t="str">
        <f>PortfolioCFStatement!D817</f>
        <v>Research and Curriculum</v>
      </c>
      <c r="B94" s="1466" t="str">
        <f>PortfolioCFStatement!E817</f>
        <v>2010$</v>
      </c>
      <c r="C94" s="1460">
        <f ca="1">PortfolioCFStatement!F817</f>
        <v>-4867919.572699625</v>
      </c>
      <c r="D94" s="1467">
        <f ca="1">PortfolioCFStatement!G817</f>
        <v>-200000</v>
      </c>
      <c r="E94" s="1467">
        <f ca="1">PortfolioCFStatement!H817</f>
        <v>-315000</v>
      </c>
      <c r="F94" s="1467">
        <f ca="1">PortfolioCFStatement!I817</f>
        <v>-315000</v>
      </c>
      <c r="G94" s="1467">
        <f ca="1">PortfolioCFStatement!J817</f>
        <v>-315000</v>
      </c>
      <c r="H94" s="1467">
        <f ca="1">PortfolioCFStatement!K817</f>
        <v>-315000</v>
      </c>
      <c r="I94" s="1467">
        <f ca="1">PortfolioCFStatement!L817</f>
        <v>-315000</v>
      </c>
      <c r="J94" s="1467">
        <f ca="1">PortfolioCFStatement!M817</f>
        <v>-315000</v>
      </c>
      <c r="K94" s="1467">
        <f ca="1">PortfolioCFStatement!N817</f>
        <v>-315000</v>
      </c>
      <c r="L94" s="1467">
        <f ca="1">PortfolioCFStatement!O817</f>
        <v>-315000</v>
      </c>
      <c r="M94" s="1467">
        <f ca="1">PortfolioCFStatement!P817</f>
        <v>-315000</v>
      </c>
      <c r="N94" s="1467">
        <f ca="1">PortfolioCFStatement!Q817</f>
        <v>-315000</v>
      </c>
      <c r="O94" s="1467">
        <f ca="1">PortfolioCFStatement!R817</f>
        <v>-315000</v>
      </c>
      <c r="P94" s="1467">
        <f ca="1">PortfolioCFStatement!S817</f>
        <v>-315000</v>
      </c>
      <c r="Q94" s="1467">
        <f ca="1">PortfolioCFStatement!T817</f>
        <v>-315000</v>
      </c>
      <c r="R94" s="1467">
        <f ca="1">PortfolioCFStatement!U817</f>
        <v>-315000</v>
      </c>
      <c r="S94" s="1467">
        <f ca="1">PortfolioCFStatement!V817</f>
        <v>-315000</v>
      </c>
      <c r="T94" s="1467">
        <f ca="1">PortfolioCFStatement!W817</f>
        <v>-315000</v>
      </c>
      <c r="U94" s="1467">
        <f ca="1">PortfolioCFStatement!X817</f>
        <v>-315000</v>
      </c>
      <c r="V94" s="1467">
        <f ca="1">PortfolioCFStatement!Y817</f>
        <v>-315000</v>
      </c>
      <c r="W94" s="1467">
        <f ca="1">PortfolioCFStatement!Z817</f>
        <v>-315000</v>
      </c>
      <c r="X94" s="1467">
        <f ca="1">PortfolioCFStatement!AA817</f>
        <v>-315000</v>
      </c>
      <c r="Y94" s="1467">
        <f ca="1">PortfolioCFStatement!AB817</f>
        <v>-315000</v>
      </c>
      <c r="Z94" s="1467">
        <f ca="1">PortfolioCFStatement!AC817</f>
        <v>-315000</v>
      </c>
      <c r="AA94" s="1467">
        <f ca="1">PortfolioCFStatement!AD817</f>
        <v>-315000</v>
      </c>
      <c r="AB94" s="1467">
        <f ca="1">PortfolioCFStatement!AE817</f>
        <v>-315000</v>
      </c>
      <c r="AC94" s="1467">
        <f ca="1">PortfolioCFStatement!AF817</f>
        <v>-315000</v>
      </c>
      <c r="AD94" s="1467">
        <f ca="1">PortfolioCFStatement!AG817</f>
        <v>-315000</v>
      </c>
      <c r="AE94" s="1467">
        <f ca="1">PortfolioCFStatement!AH817</f>
        <v>-315000</v>
      </c>
      <c r="AF94" s="1467">
        <f ca="1">PortfolioCFStatement!AI817</f>
        <v>-315000</v>
      </c>
      <c r="AG94" s="1467">
        <f ca="1">PortfolioCFStatement!AJ817</f>
        <v>-315000</v>
      </c>
      <c r="AH94" s="1467">
        <f ca="1">PortfolioCFStatement!AK817</f>
        <v>-315000</v>
      </c>
      <c r="AI94" s="1467">
        <f ca="1">PortfolioCFStatement!AL817</f>
        <v>-315000</v>
      </c>
      <c r="AJ94" s="1467">
        <f ca="1">PortfolioCFStatement!AM817</f>
        <v>-315000</v>
      </c>
      <c r="AK94" s="1467">
        <f ca="1">PortfolioCFStatement!AN817</f>
        <v>-315000</v>
      </c>
      <c r="AL94" s="1467">
        <f ca="1">PortfolioCFStatement!AO817</f>
        <v>-315000</v>
      </c>
      <c r="AM94" s="1467">
        <f ca="1">PortfolioCFStatement!AP817</f>
        <v>-315000</v>
      </c>
      <c r="AN94" s="1467">
        <f ca="1">PortfolioCFStatement!AQ817</f>
        <v>-315000</v>
      </c>
      <c r="AO94" s="1467">
        <f ca="1">PortfolioCFStatement!AR817</f>
        <v>-315000</v>
      </c>
      <c r="AP94" s="1467">
        <f ca="1">PortfolioCFStatement!AS817</f>
        <v>-315000</v>
      </c>
      <c r="AQ94" s="1467">
        <f ca="1">PortfolioCFStatement!AT817</f>
        <v>-315000</v>
      </c>
      <c r="AR94" s="1467"/>
      <c r="AS94" s="1467">
        <f t="shared" ca="1" si="0"/>
        <v>-1575000</v>
      </c>
      <c r="AT94" s="1468"/>
      <c r="AU94" s="1467">
        <f t="shared" ca="1" si="1"/>
        <v>-1575000</v>
      </c>
      <c r="AV94" s="1468"/>
      <c r="AW94" s="1467">
        <f t="shared" ca="1" si="2"/>
        <v>-1575000</v>
      </c>
      <c r="AX94" s="1468"/>
      <c r="AY94" s="1467">
        <f t="shared" ca="1" si="3"/>
        <v>-1575000</v>
      </c>
      <c r="AZ94" s="1468"/>
      <c r="BA94" s="1467">
        <f t="shared" ca="1" si="4"/>
        <v>-1575000</v>
      </c>
      <c r="BB94" s="1468"/>
      <c r="BC94" s="1467">
        <f t="shared" ca="1" si="5"/>
        <v>-1575000</v>
      </c>
      <c r="BD94" s="1468"/>
      <c r="BE94" s="1467">
        <f t="shared" ca="1" si="6"/>
        <v>-1575000</v>
      </c>
    </row>
    <row r="95" spans="1:57" s="10" customFormat="1" ht="15.75" thickBot="1">
      <c r="A95" s="1472" t="str">
        <f>PortfolioCFStatement!D818</f>
        <v>Incremental OPEX (Non-Fuel and Fuel)</v>
      </c>
      <c r="B95" s="1473" t="str">
        <f>PortfolioCFStatement!E818</f>
        <v>2010$</v>
      </c>
      <c r="C95" s="1462">
        <f ca="1">PortfolioCFStatement!F818</f>
        <v>186493195.98841557</v>
      </c>
      <c r="D95" s="1474">
        <f ca="1">PortfolioCFStatement!G818</f>
        <v>37052.05335287287</v>
      </c>
      <c r="E95" s="1474">
        <f ca="1">PortfolioCFStatement!H818</f>
        <v>100980.85031358362</v>
      </c>
      <c r="F95" s="1474">
        <f ca="1">PortfolioCFStatement!I818</f>
        <v>3110200.2491965033</v>
      </c>
      <c r="G95" s="1474">
        <f ca="1">PortfolioCFStatement!J818</f>
        <v>4369583.585855783</v>
      </c>
      <c r="H95" s="1474">
        <f ca="1">PortfolioCFStatement!K818</f>
        <v>5840539.0726510277</v>
      </c>
      <c r="I95" s="1474">
        <f ca="1">PortfolioCFStatement!L818</f>
        <v>6775416.2031774279</v>
      </c>
      <c r="J95" s="1474">
        <f ca="1">PortfolioCFStatement!M818</f>
        <v>7151490.7377868341</v>
      </c>
      <c r="K95" s="1474">
        <f ca="1">PortfolioCFStatement!N818</f>
        <v>7944926.3811529484</v>
      </c>
      <c r="L95" s="1474">
        <f ca="1">PortfolioCFStatement!O818</f>
        <v>8643915.4662240129</v>
      </c>
      <c r="M95" s="1474">
        <f ca="1">PortfolioCFStatement!P818</f>
        <v>9435585.7466044948</v>
      </c>
      <c r="N95" s="1474">
        <f ca="1">PortfolioCFStatement!Q818</f>
        <v>10231662.860155374</v>
      </c>
      <c r="O95" s="1474">
        <f ca="1">PortfolioCFStatement!R818</f>
        <v>11032170.201416848</v>
      </c>
      <c r="P95" s="1474">
        <f ca="1">PortfolioCFStatement!S818</f>
        <v>11839606.011803515</v>
      </c>
      <c r="Q95" s="1474">
        <f ca="1">PortfolioCFStatement!T818</f>
        <v>12610923.734036909</v>
      </c>
      <c r="R95" s="1474">
        <f ca="1">PortfolioCFStatement!U818</f>
        <v>13315047.865106655</v>
      </c>
      <c r="S95" s="1474">
        <f ca="1">PortfolioCFStatement!V818</f>
        <v>14023262.108419981</v>
      </c>
      <c r="T95" s="1474">
        <f ca="1">PortfolioCFStatement!W818</f>
        <v>14735594.232961942</v>
      </c>
      <c r="U95" s="1474">
        <f ca="1">PortfolioCFStatement!X818</f>
        <v>15452072.193497099</v>
      </c>
      <c r="V95" s="1474">
        <f ca="1">PortfolioCFStatement!Y818</f>
        <v>16172724.148301721</v>
      </c>
      <c r="W95" s="1474">
        <f ca="1">PortfolioCFStatement!Z818</f>
        <v>16897578.471940115</v>
      </c>
      <c r="X95" s="1474">
        <f ca="1">PortfolioCFStatement!AA818</f>
        <v>17626663.764565889</v>
      </c>
      <c r="Y95" s="1474">
        <f ca="1">PortfolioCFStatement!AB818</f>
        <v>18339815.226002868</v>
      </c>
      <c r="Z95" s="1474">
        <f ca="1">PortfolioCFStatement!AC818</f>
        <v>19204290.705100883</v>
      </c>
      <c r="AA95" s="1474">
        <f ca="1">PortfolioCFStatement!AD818</f>
        <v>19925643.833741125</v>
      </c>
      <c r="AB95" s="1474">
        <f ca="1">PortfolioCFStatement!AE818</f>
        <v>20723146.910909817</v>
      </c>
      <c r="AC95" s="1474">
        <f ca="1">PortfolioCFStatement!AF818</f>
        <v>21323356.494034749</v>
      </c>
      <c r="AD95" s="1474">
        <f ca="1">PortfolioCFStatement!AG818</f>
        <v>22588255.120891191</v>
      </c>
      <c r="AE95" s="1474">
        <f ca="1">PortfolioCFStatement!AH818</f>
        <v>23194957.227361187</v>
      </c>
      <c r="AF95" s="1474">
        <f ca="1">PortfolioCFStatement!AI818</f>
        <v>23893236.164210908</v>
      </c>
      <c r="AG95" s="1474">
        <f ca="1">PortfolioCFStatement!AJ818</f>
        <v>24506517.631391957</v>
      </c>
      <c r="AH95" s="1474">
        <f ca="1">PortfolioCFStatement!AK818</f>
        <v>25123121.821673214</v>
      </c>
      <c r="AI95" s="1474">
        <f ca="1">PortfolioCFStatement!AL818</f>
        <v>25743071.019114073</v>
      </c>
      <c r="AJ95" s="1474">
        <f ca="1">PortfolioCFStatement!AM818</f>
        <v>26366387.699435912</v>
      </c>
      <c r="AK95" s="1474">
        <f ca="1">PortfolioCFStatement!AN818</f>
        <v>26993094.529952373</v>
      </c>
      <c r="AL95" s="1474">
        <f ca="1">PortfolioCFStatement!AO818</f>
        <v>27623214.369472791</v>
      </c>
      <c r="AM95" s="1474">
        <f ca="1">PortfolioCFStatement!AP818</f>
        <v>28256770.26819443</v>
      </c>
      <c r="AN95" s="1474">
        <f ca="1">PortfolioCFStatement!AQ818</f>
        <v>28893785.467595641</v>
      </c>
      <c r="AO95" s="1474">
        <f ca="1">PortfolioCFStatement!AR818</f>
        <v>29534283.400339294</v>
      </c>
      <c r="AP95" s="1474">
        <f ca="1">PortfolioCFStatement!AS818</f>
        <v>30178287.690193225</v>
      </c>
      <c r="AQ95" s="1474">
        <f ca="1">PortfolioCFStatement!AT818</f>
        <v>30825822.151973374</v>
      </c>
      <c r="AR95" s="1468"/>
      <c r="AS95" s="1474">
        <f t="shared" ca="1" si="0"/>
        <v>39951334.534945719</v>
      </c>
      <c r="AT95" s="1468"/>
      <c r="AU95" s="1474">
        <f t="shared" ca="1" si="1"/>
        <v>59029410.672519304</v>
      </c>
      <c r="AV95" s="1468"/>
      <c r="AW95" s="1474">
        <f t="shared" ca="1" si="2"/>
        <v>77281231.15512085</v>
      </c>
      <c r="AX95" s="1468"/>
      <c r="AY95" s="1474">
        <f t="shared" ca="1" si="3"/>
        <v>95819560.440320581</v>
      </c>
      <c r="AZ95" s="1468"/>
      <c r="BA95" s="1474">
        <f t="shared" ca="1" si="4"/>
        <v>115506322.63789</v>
      </c>
      <c r="BB95" s="1468"/>
      <c r="BC95" s="1474">
        <f t="shared" ca="1" si="5"/>
        <v>131848889.43964837</v>
      </c>
      <c r="BD95" s="1468"/>
      <c r="BE95" s="1474">
        <f t="shared" ca="1" si="6"/>
        <v>147688948.97829595</v>
      </c>
    </row>
    <row r="96" spans="1:57" ht="15.75" thickTop="1"/>
  </sheetData>
  <printOptions horizontalCentered="1" verticalCentered="1"/>
  <pageMargins left="0.2" right="0.2" top="0.25" bottom="0.2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sheetPr codeName="Sheet61">
    <pageSetUpPr fitToPage="1"/>
  </sheetPr>
  <dimension ref="A1:BH819"/>
  <sheetViews>
    <sheetView zoomScale="115" zoomScaleNormal="115" workbookViewId="0">
      <pane xSplit="5" ySplit="1" topLeftCell="F2" activePane="bottomRight" state="frozen"/>
      <selection activeCell="D1" sqref="D1"/>
      <selection pane="topRight" activeCell="F1" sqref="F1"/>
      <selection pane="bottomLeft" activeCell="D2" sqref="D2"/>
      <selection pane="bottomRight" sqref="A1:B1"/>
    </sheetView>
  </sheetViews>
  <sheetFormatPr defaultRowHeight="15" outlineLevelRow="1"/>
  <cols>
    <col min="1" max="3" width="9.140625" style="8" hidden="1" customWidth="1"/>
    <col min="4" max="4" width="46.5703125" style="10" customWidth="1"/>
    <col min="5" max="5" width="9.140625" style="8"/>
    <col min="6" max="6" width="14.7109375" style="1300" bestFit="1" customWidth="1"/>
    <col min="7" max="7" width="10.7109375" style="10" bestFit="1" customWidth="1"/>
    <col min="8" max="10" width="13.42578125" style="10" bestFit="1" customWidth="1"/>
    <col min="11" max="11" width="14" style="10" bestFit="1" customWidth="1"/>
    <col min="12" max="29" width="12.5703125" style="10" hidden="1" customWidth="1"/>
    <col min="30" max="36" width="12.85546875" style="10" hidden="1" customWidth="1"/>
    <col min="37" max="46" width="14.5703125" style="10" hidden="1" customWidth="1"/>
    <col min="47" max="47" width="1.28515625" style="54" customWidth="1"/>
    <col min="48" max="48" width="13.7109375" style="10" bestFit="1" customWidth="1"/>
    <col min="49" max="49" width="1.28515625" style="54" customWidth="1"/>
    <col min="50" max="50" width="14" style="10" bestFit="1" customWidth="1"/>
    <col min="51" max="51" width="1.28515625" style="54" customWidth="1"/>
    <col min="52" max="52" width="14" style="10" bestFit="1" customWidth="1"/>
    <col min="53" max="53" width="1.28515625" style="54" customWidth="1"/>
    <col min="54" max="54" width="14" style="10" bestFit="1" customWidth="1"/>
    <col min="55" max="55" width="1.28515625" style="54" customWidth="1"/>
    <col min="56" max="56" width="15.7109375" style="10" bestFit="1" customWidth="1"/>
    <col min="57" max="57" width="1.28515625" style="54" customWidth="1"/>
    <col min="58" max="58" width="15.7109375" style="10" bestFit="1" customWidth="1"/>
    <col min="59" max="59" width="1.28515625" style="54" customWidth="1"/>
    <col min="60" max="60" width="15.7109375" style="10" bestFit="1" customWidth="1"/>
    <col min="61" max="16384" width="9.140625" style="10"/>
  </cols>
  <sheetData>
    <row r="1" spans="1:60">
      <c r="A1" s="1746" t="s">
        <v>1505</v>
      </c>
      <c r="B1" s="1746"/>
      <c r="C1" s="1464"/>
      <c r="E1" s="1270" t="s">
        <v>838</v>
      </c>
      <c r="F1" s="1458" t="s">
        <v>2930</v>
      </c>
      <c r="G1" s="1270">
        <v>2011</v>
      </c>
      <c r="H1" s="1270">
        <f t="shared" ref="H1:AT1" si="0">G1+1</f>
        <v>2012</v>
      </c>
      <c r="I1" s="1270">
        <f t="shared" si="0"/>
        <v>2013</v>
      </c>
      <c r="J1" s="1270">
        <f t="shared" si="0"/>
        <v>2014</v>
      </c>
      <c r="K1" s="1270">
        <f t="shared" si="0"/>
        <v>2015</v>
      </c>
      <c r="L1" s="1270">
        <f t="shared" si="0"/>
        <v>2016</v>
      </c>
      <c r="M1" s="1270">
        <f t="shared" si="0"/>
        <v>2017</v>
      </c>
      <c r="N1" s="1270">
        <f t="shared" si="0"/>
        <v>2018</v>
      </c>
      <c r="O1" s="1270">
        <f t="shared" si="0"/>
        <v>2019</v>
      </c>
      <c r="P1" s="1270">
        <f t="shared" si="0"/>
        <v>2020</v>
      </c>
      <c r="Q1" s="1270">
        <f t="shared" si="0"/>
        <v>2021</v>
      </c>
      <c r="R1" s="1270">
        <f t="shared" si="0"/>
        <v>2022</v>
      </c>
      <c r="S1" s="1270">
        <f t="shared" si="0"/>
        <v>2023</v>
      </c>
      <c r="T1" s="1270">
        <f t="shared" si="0"/>
        <v>2024</v>
      </c>
      <c r="U1" s="1270">
        <f t="shared" si="0"/>
        <v>2025</v>
      </c>
      <c r="V1" s="1270">
        <f t="shared" si="0"/>
        <v>2026</v>
      </c>
      <c r="W1" s="1270">
        <f t="shared" si="0"/>
        <v>2027</v>
      </c>
      <c r="X1" s="1270">
        <f t="shared" si="0"/>
        <v>2028</v>
      </c>
      <c r="Y1" s="1270">
        <f t="shared" si="0"/>
        <v>2029</v>
      </c>
      <c r="Z1" s="1270">
        <f t="shared" si="0"/>
        <v>2030</v>
      </c>
      <c r="AA1" s="1270">
        <f t="shared" si="0"/>
        <v>2031</v>
      </c>
      <c r="AB1" s="1270">
        <f t="shared" si="0"/>
        <v>2032</v>
      </c>
      <c r="AC1" s="1270">
        <f t="shared" si="0"/>
        <v>2033</v>
      </c>
      <c r="AD1" s="1270">
        <f t="shared" si="0"/>
        <v>2034</v>
      </c>
      <c r="AE1" s="1270">
        <f t="shared" si="0"/>
        <v>2035</v>
      </c>
      <c r="AF1" s="1270">
        <f t="shared" si="0"/>
        <v>2036</v>
      </c>
      <c r="AG1" s="1270">
        <f t="shared" si="0"/>
        <v>2037</v>
      </c>
      <c r="AH1" s="1270">
        <f t="shared" si="0"/>
        <v>2038</v>
      </c>
      <c r="AI1" s="1270">
        <f t="shared" si="0"/>
        <v>2039</v>
      </c>
      <c r="AJ1" s="1270">
        <f t="shared" si="0"/>
        <v>2040</v>
      </c>
      <c r="AK1" s="1270">
        <f t="shared" si="0"/>
        <v>2041</v>
      </c>
      <c r="AL1" s="1270">
        <f t="shared" si="0"/>
        <v>2042</v>
      </c>
      <c r="AM1" s="1270">
        <f t="shared" si="0"/>
        <v>2043</v>
      </c>
      <c r="AN1" s="1270">
        <f t="shared" si="0"/>
        <v>2044</v>
      </c>
      <c r="AO1" s="1270">
        <f t="shared" si="0"/>
        <v>2045</v>
      </c>
      <c r="AP1" s="1270">
        <f t="shared" si="0"/>
        <v>2046</v>
      </c>
      <c r="AQ1" s="1270">
        <f t="shared" si="0"/>
        <v>2047</v>
      </c>
      <c r="AR1" s="1270">
        <f t="shared" si="0"/>
        <v>2048</v>
      </c>
      <c r="AS1" s="1270">
        <f t="shared" si="0"/>
        <v>2049</v>
      </c>
      <c r="AT1" s="1270">
        <f t="shared" si="0"/>
        <v>2050</v>
      </c>
      <c r="AV1" s="1270" t="s">
        <v>1511</v>
      </c>
      <c r="AX1" s="1270" t="s">
        <v>1512</v>
      </c>
      <c r="AZ1" s="1270" t="s">
        <v>1513</v>
      </c>
      <c r="BB1" s="1270" t="s">
        <v>1514</v>
      </c>
      <c r="BD1" s="1270" t="s">
        <v>1515</v>
      </c>
      <c r="BF1" s="1270" t="s">
        <v>1516</v>
      </c>
      <c r="BH1" s="1270" t="s">
        <v>1517</v>
      </c>
    </row>
    <row r="2" spans="1:60">
      <c r="A2" s="1464" t="s">
        <v>146</v>
      </c>
      <c r="B2" s="1464" t="s">
        <v>1506</v>
      </c>
      <c r="C2" s="1464" t="s">
        <v>1508</v>
      </c>
      <c r="D2" s="16" t="s">
        <v>1518</v>
      </c>
      <c r="E2" s="1464"/>
      <c r="F2" s="1459"/>
    </row>
    <row r="3" spans="1:60" hidden="1" outlineLevel="1">
      <c r="A3" s="1464">
        <f ca="1">OFFSET(Abatement_Scope_1,-3,2)</f>
        <v>18</v>
      </c>
      <c r="B3" s="1464">
        <f ca="1">OFFSET(Abatement_Scope_1,-2,2)</f>
        <v>19</v>
      </c>
      <c r="C3" s="1464">
        <v>1</v>
      </c>
      <c r="D3" s="1271" t="str">
        <f ca="1">IF(OFFSET(PortfolioDashboard!$A$3,C3-1,0)="","Blank",OFFSET(PortfolioDashboard!$A$3,C3-1,0))</f>
        <v>Behavior Change</v>
      </c>
      <c r="E3" s="1464" t="s">
        <v>1507</v>
      </c>
      <c r="F3" s="1460">
        <f t="shared" ref="F3:F32" ca="1" si="1">NPV(DiscountRate,G3:AT3)</f>
        <v>0</v>
      </c>
      <c r="G3" s="781">
        <f t="shared" ref="G3:P12" ca="1" si="2">IFERROR(OFFSET(INDIRECT(INDEX(List_of_Alternatives,MATCH($D3,NameofAlternatives,0))),$A3+G$1-$G$1,$B3),0)</f>
        <v>0</v>
      </c>
      <c r="H3" s="781">
        <f t="shared" ca="1" si="2"/>
        <v>0</v>
      </c>
      <c r="I3" s="781">
        <f t="shared" ca="1" si="2"/>
        <v>0</v>
      </c>
      <c r="J3" s="781">
        <f t="shared" ca="1" si="2"/>
        <v>0</v>
      </c>
      <c r="K3" s="781">
        <f t="shared" ca="1" si="2"/>
        <v>0</v>
      </c>
      <c r="L3" s="781">
        <f t="shared" ca="1" si="2"/>
        <v>0</v>
      </c>
      <c r="M3" s="781">
        <f t="shared" ca="1" si="2"/>
        <v>0</v>
      </c>
      <c r="N3" s="781">
        <f t="shared" ca="1" si="2"/>
        <v>0</v>
      </c>
      <c r="O3" s="781">
        <f t="shared" ca="1" si="2"/>
        <v>0</v>
      </c>
      <c r="P3" s="781">
        <f t="shared" ca="1" si="2"/>
        <v>0</v>
      </c>
      <c r="Q3" s="781">
        <f t="shared" ref="Q3:Z12" ca="1" si="3">IFERROR(OFFSET(INDIRECT(INDEX(List_of_Alternatives,MATCH($D3,NameofAlternatives,0))),$A3+Q$1-$G$1,$B3),0)</f>
        <v>0</v>
      </c>
      <c r="R3" s="781">
        <f t="shared" ca="1" si="3"/>
        <v>0</v>
      </c>
      <c r="S3" s="781">
        <f t="shared" ca="1" si="3"/>
        <v>0</v>
      </c>
      <c r="T3" s="781">
        <f t="shared" ca="1" si="3"/>
        <v>0</v>
      </c>
      <c r="U3" s="781">
        <f t="shared" ca="1" si="3"/>
        <v>0</v>
      </c>
      <c r="V3" s="781">
        <f t="shared" ca="1" si="3"/>
        <v>0</v>
      </c>
      <c r="W3" s="781">
        <f t="shared" ca="1" si="3"/>
        <v>0</v>
      </c>
      <c r="X3" s="781">
        <f t="shared" ca="1" si="3"/>
        <v>0</v>
      </c>
      <c r="Y3" s="781">
        <f t="shared" ca="1" si="3"/>
        <v>0</v>
      </c>
      <c r="Z3" s="781">
        <f t="shared" ca="1" si="3"/>
        <v>0</v>
      </c>
      <c r="AA3" s="781">
        <f t="shared" ref="AA3:AJ12" ca="1" si="4">IFERROR(OFFSET(INDIRECT(INDEX(List_of_Alternatives,MATCH($D3,NameofAlternatives,0))),$A3+AA$1-$G$1,$B3),0)</f>
        <v>0</v>
      </c>
      <c r="AB3" s="781">
        <f t="shared" ca="1" si="4"/>
        <v>0</v>
      </c>
      <c r="AC3" s="781">
        <f t="shared" ca="1" si="4"/>
        <v>0</v>
      </c>
      <c r="AD3" s="781">
        <f t="shared" ca="1" si="4"/>
        <v>0</v>
      </c>
      <c r="AE3" s="781">
        <f t="shared" ca="1" si="4"/>
        <v>0</v>
      </c>
      <c r="AF3" s="781">
        <f t="shared" ca="1" si="4"/>
        <v>0</v>
      </c>
      <c r="AG3" s="781">
        <f t="shared" ca="1" si="4"/>
        <v>0</v>
      </c>
      <c r="AH3" s="781">
        <f t="shared" ca="1" si="4"/>
        <v>0</v>
      </c>
      <c r="AI3" s="781">
        <f t="shared" ca="1" si="4"/>
        <v>0</v>
      </c>
      <c r="AJ3" s="781">
        <f t="shared" ca="1" si="4"/>
        <v>0</v>
      </c>
      <c r="AK3" s="781">
        <f t="shared" ref="AK3:AT12" ca="1" si="5">IFERROR(OFFSET(INDIRECT(INDEX(List_of_Alternatives,MATCH($D3,NameofAlternatives,0))),$A3+AK$1-$G$1,$B3),0)</f>
        <v>0</v>
      </c>
      <c r="AL3" s="781">
        <f t="shared" ca="1" si="5"/>
        <v>0</v>
      </c>
      <c r="AM3" s="781">
        <f t="shared" ca="1" si="5"/>
        <v>0</v>
      </c>
      <c r="AN3" s="781">
        <f t="shared" ca="1" si="5"/>
        <v>0</v>
      </c>
      <c r="AO3" s="781">
        <f t="shared" ca="1" si="5"/>
        <v>0</v>
      </c>
      <c r="AP3" s="781">
        <f t="shared" ca="1" si="5"/>
        <v>0</v>
      </c>
      <c r="AQ3" s="781">
        <f t="shared" ca="1" si="5"/>
        <v>0</v>
      </c>
      <c r="AR3" s="781">
        <f t="shared" ca="1" si="5"/>
        <v>0</v>
      </c>
      <c r="AS3" s="781">
        <f t="shared" ca="1" si="5"/>
        <v>0</v>
      </c>
      <c r="AT3" s="781">
        <f t="shared" ca="1" si="5"/>
        <v>0</v>
      </c>
      <c r="AV3" s="781">
        <f ca="1">SUM(L3:P3)</f>
        <v>0</v>
      </c>
      <c r="AX3" s="781">
        <f ca="1">SUM(Q3:U3)</f>
        <v>0</v>
      </c>
      <c r="AZ3" s="781">
        <f ca="1">SUM(V3:Z3)</f>
        <v>0</v>
      </c>
      <c r="BB3" s="781">
        <f ca="1">SUM(AA3:AE3)</f>
        <v>0</v>
      </c>
      <c r="BD3" s="781">
        <f ca="1">SUM(AF3:AJ3)</f>
        <v>0</v>
      </c>
      <c r="BF3" s="781">
        <f ca="1">SUM(AK3:AO3)</f>
        <v>0</v>
      </c>
      <c r="BH3" s="781">
        <f ca="1">SUM(AP3:AT3)</f>
        <v>0</v>
      </c>
    </row>
    <row r="4" spans="1:60" hidden="1" outlineLevel="1">
      <c r="A4" s="1464">
        <f ca="1">A3</f>
        <v>18</v>
      </c>
      <c r="B4" s="1464">
        <f ca="1">B3</f>
        <v>19</v>
      </c>
      <c r="C4" s="1464">
        <f>C3+1</f>
        <v>2</v>
      </c>
      <c r="D4" s="1271" t="str">
        <f ca="1">IF(OFFSET(PortfolioDashboard!$A$3,C4-1,0)="","Blank",OFFSET(PortfolioDashboard!$A$3,C4-1,0))</f>
        <v>Building Design &amp; Construction Standards</v>
      </c>
      <c r="E4" s="1464" t="str">
        <f>E3</f>
        <v>MTCO2e</v>
      </c>
      <c r="F4" s="1460">
        <f t="shared" ca="1" si="1"/>
        <v>0</v>
      </c>
      <c r="G4" s="781">
        <f t="shared" ca="1" si="2"/>
        <v>0</v>
      </c>
      <c r="H4" s="781">
        <f t="shared" ca="1" si="2"/>
        <v>0</v>
      </c>
      <c r="I4" s="781">
        <f t="shared" ca="1" si="2"/>
        <v>0</v>
      </c>
      <c r="J4" s="781">
        <f t="shared" ca="1" si="2"/>
        <v>0</v>
      </c>
      <c r="K4" s="781">
        <f t="shared" ca="1" si="2"/>
        <v>0</v>
      </c>
      <c r="L4" s="781">
        <f t="shared" ca="1" si="2"/>
        <v>0</v>
      </c>
      <c r="M4" s="781">
        <f t="shared" ca="1" si="2"/>
        <v>0</v>
      </c>
      <c r="N4" s="781">
        <f t="shared" ca="1" si="2"/>
        <v>0</v>
      </c>
      <c r="O4" s="781">
        <f t="shared" ca="1" si="2"/>
        <v>0</v>
      </c>
      <c r="P4" s="781">
        <f t="shared" ca="1" si="2"/>
        <v>0</v>
      </c>
      <c r="Q4" s="781">
        <f t="shared" ca="1" si="3"/>
        <v>0</v>
      </c>
      <c r="R4" s="781">
        <f t="shared" ca="1" si="3"/>
        <v>0</v>
      </c>
      <c r="S4" s="781">
        <f t="shared" ca="1" si="3"/>
        <v>0</v>
      </c>
      <c r="T4" s="781">
        <f t="shared" ca="1" si="3"/>
        <v>0</v>
      </c>
      <c r="U4" s="781">
        <f t="shared" ca="1" si="3"/>
        <v>0</v>
      </c>
      <c r="V4" s="781">
        <f t="shared" ca="1" si="3"/>
        <v>0</v>
      </c>
      <c r="W4" s="781">
        <f t="shared" ca="1" si="3"/>
        <v>0</v>
      </c>
      <c r="X4" s="781">
        <f t="shared" ca="1" si="3"/>
        <v>0</v>
      </c>
      <c r="Y4" s="781">
        <f t="shared" ca="1" si="3"/>
        <v>0</v>
      </c>
      <c r="Z4" s="781">
        <f t="shared" ca="1" si="3"/>
        <v>0</v>
      </c>
      <c r="AA4" s="781">
        <f t="shared" ca="1" si="4"/>
        <v>0</v>
      </c>
      <c r="AB4" s="781">
        <f t="shared" ca="1" si="4"/>
        <v>0</v>
      </c>
      <c r="AC4" s="781">
        <f t="shared" ca="1" si="4"/>
        <v>0</v>
      </c>
      <c r="AD4" s="781">
        <f t="shared" ca="1" si="4"/>
        <v>0</v>
      </c>
      <c r="AE4" s="781">
        <f t="shared" ca="1" si="4"/>
        <v>0</v>
      </c>
      <c r="AF4" s="781">
        <f t="shared" ca="1" si="4"/>
        <v>0</v>
      </c>
      <c r="AG4" s="781">
        <f t="shared" ca="1" si="4"/>
        <v>0</v>
      </c>
      <c r="AH4" s="781">
        <f t="shared" ca="1" si="4"/>
        <v>0</v>
      </c>
      <c r="AI4" s="781">
        <f t="shared" ca="1" si="4"/>
        <v>0</v>
      </c>
      <c r="AJ4" s="781">
        <f t="shared" ca="1" si="4"/>
        <v>0</v>
      </c>
      <c r="AK4" s="781">
        <f t="shared" ca="1" si="5"/>
        <v>0</v>
      </c>
      <c r="AL4" s="781">
        <f t="shared" ca="1" si="5"/>
        <v>0</v>
      </c>
      <c r="AM4" s="781">
        <f t="shared" ca="1" si="5"/>
        <v>0</v>
      </c>
      <c r="AN4" s="781">
        <f t="shared" ca="1" si="5"/>
        <v>0</v>
      </c>
      <c r="AO4" s="781">
        <f t="shared" ca="1" si="5"/>
        <v>0</v>
      </c>
      <c r="AP4" s="781">
        <f t="shared" ca="1" si="5"/>
        <v>0</v>
      </c>
      <c r="AQ4" s="781">
        <f t="shared" ca="1" si="5"/>
        <v>0</v>
      </c>
      <c r="AR4" s="781">
        <f t="shared" ca="1" si="5"/>
        <v>0</v>
      </c>
      <c r="AS4" s="781">
        <f t="shared" ca="1" si="5"/>
        <v>0</v>
      </c>
      <c r="AT4" s="781">
        <f t="shared" ca="1" si="5"/>
        <v>0</v>
      </c>
      <c r="AV4" s="781">
        <f t="shared" ref="AV4:AV67" ca="1" si="6">SUM(L4:P4)</f>
        <v>0</v>
      </c>
      <c r="AX4" s="781">
        <f t="shared" ref="AX4:AX67" ca="1" si="7">SUM(Q4:U4)</f>
        <v>0</v>
      </c>
      <c r="AZ4" s="781">
        <f t="shared" ref="AZ4:AZ67" ca="1" si="8">SUM(V4:Z4)</f>
        <v>0</v>
      </c>
      <c r="BB4" s="781">
        <f t="shared" ref="BB4:BB67" ca="1" si="9">SUM(AA4:AE4)</f>
        <v>0</v>
      </c>
      <c r="BD4" s="781">
        <f t="shared" ref="BD4:BD67" ca="1" si="10">SUM(AF4:AJ4)</f>
        <v>0</v>
      </c>
      <c r="BF4" s="781">
        <f t="shared" ref="BF4:BF67" ca="1" si="11">SUM(AK4:AO4)</f>
        <v>0</v>
      </c>
      <c r="BH4" s="781">
        <f t="shared" ref="BH4:BH67" ca="1" si="12">SUM(AP4:AT4)</f>
        <v>0</v>
      </c>
    </row>
    <row r="5" spans="1:60" hidden="1" outlineLevel="1">
      <c r="A5" s="1464">
        <f t="shared" ref="A5:A32" ca="1" si="13">A4</f>
        <v>18</v>
      </c>
      <c r="B5" s="1464">
        <f t="shared" ref="B5:B32" ca="1" si="14">B4</f>
        <v>19</v>
      </c>
      <c r="C5" s="1464">
        <f t="shared" ref="C5:C32" si="15">C4+1</f>
        <v>3</v>
      </c>
      <c r="D5" s="1271" t="str">
        <f ca="1">IF(OFFSET(PortfolioDashboard!$A$3,C5-1,0)="","Blank",OFFSET(PortfolioDashboard!$A$3,C5-1,0))</f>
        <v>Space Planning &amp; Management</v>
      </c>
      <c r="E5" s="1464" t="str">
        <f t="shared" ref="E5:E32" si="16">E4</f>
        <v>MTCO2e</v>
      </c>
      <c r="F5" s="1460">
        <f t="shared" ca="1" si="1"/>
        <v>0</v>
      </c>
      <c r="G5" s="781">
        <f t="shared" ca="1" si="2"/>
        <v>0</v>
      </c>
      <c r="H5" s="781">
        <f t="shared" ca="1" si="2"/>
        <v>0</v>
      </c>
      <c r="I5" s="781">
        <f t="shared" ca="1" si="2"/>
        <v>0</v>
      </c>
      <c r="J5" s="781">
        <f t="shared" ca="1" si="2"/>
        <v>0</v>
      </c>
      <c r="K5" s="781">
        <f t="shared" ca="1" si="2"/>
        <v>0</v>
      </c>
      <c r="L5" s="781">
        <f t="shared" ca="1" si="2"/>
        <v>0</v>
      </c>
      <c r="M5" s="781">
        <f t="shared" ca="1" si="2"/>
        <v>0</v>
      </c>
      <c r="N5" s="781">
        <f t="shared" ca="1" si="2"/>
        <v>0</v>
      </c>
      <c r="O5" s="781">
        <f t="shared" ca="1" si="2"/>
        <v>0</v>
      </c>
      <c r="P5" s="781">
        <f t="shared" ca="1" si="2"/>
        <v>0</v>
      </c>
      <c r="Q5" s="781">
        <f t="shared" ca="1" si="3"/>
        <v>0</v>
      </c>
      <c r="R5" s="781">
        <f t="shared" ca="1" si="3"/>
        <v>0</v>
      </c>
      <c r="S5" s="781">
        <f t="shared" ca="1" si="3"/>
        <v>0</v>
      </c>
      <c r="T5" s="781">
        <f t="shared" ca="1" si="3"/>
        <v>0</v>
      </c>
      <c r="U5" s="781">
        <f t="shared" ca="1" si="3"/>
        <v>0</v>
      </c>
      <c r="V5" s="781">
        <f t="shared" ca="1" si="3"/>
        <v>0</v>
      </c>
      <c r="W5" s="781">
        <f t="shared" ca="1" si="3"/>
        <v>0</v>
      </c>
      <c r="X5" s="781">
        <f t="shared" ca="1" si="3"/>
        <v>0</v>
      </c>
      <c r="Y5" s="781">
        <f t="shared" ca="1" si="3"/>
        <v>0</v>
      </c>
      <c r="Z5" s="781">
        <f t="shared" ca="1" si="3"/>
        <v>0</v>
      </c>
      <c r="AA5" s="781">
        <f t="shared" ca="1" si="4"/>
        <v>0</v>
      </c>
      <c r="AB5" s="781">
        <f t="shared" ca="1" si="4"/>
        <v>0</v>
      </c>
      <c r="AC5" s="781">
        <f t="shared" ca="1" si="4"/>
        <v>0</v>
      </c>
      <c r="AD5" s="781">
        <f t="shared" ca="1" si="4"/>
        <v>0</v>
      </c>
      <c r="AE5" s="781">
        <f t="shared" ca="1" si="4"/>
        <v>0</v>
      </c>
      <c r="AF5" s="781">
        <f t="shared" ca="1" si="4"/>
        <v>0</v>
      </c>
      <c r="AG5" s="781">
        <f t="shared" ca="1" si="4"/>
        <v>0</v>
      </c>
      <c r="AH5" s="781">
        <f t="shared" ca="1" si="4"/>
        <v>0</v>
      </c>
      <c r="AI5" s="781">
        <f t="shared" ca="1" si="4"/>
        <v>0</v>
      </c>
      <c r="AJ5" s="781">
        <f t="shared" ca="1" si="4"/>
        <v>0</v>
      </c>
      <c r="AK5" s="781">
        <f t="shared" ca="1" si="5"/>
        <v>0</v>
      </c>
      <c r="AL5" s="781">
        <f t="shared" ca="1" si="5"/>
        <v>0</v>
      </c>
      <c r="AM5" s="781">
        <f t="shared" ca="1" si="5"/>
        <v>0</v>
      </c>
      <c r="AN5" s="781">
        <f t="shared" ca="1" si="5"/>
        <v>0</v>
      </c>
      <c r="AO5" s="781">
        <f t="shared" ca="1" si="5"/>
        <v>0</v>
      </c>
      <c r="AP5" s="781">
        <f t="shared" ca="1" si="5"/>
        <v>0</v>
      </c>
      <c r="AQ5" s="781">
        <f t="shared" ca="1" si="5"/>
        <v>0</v>
      </c>
      <c r="AR5" s="781">
        <f t="shared" ca="1" si="5"/>
        <v>0</v>
      </c>
      <c r="AS5" s="781">
        <f t="shared" ca="1" si="5"/>
        <v>0</v>
      </c>
      <c r="AT5" s="781">
        <f t="shared" ca="1" si="5"/>
        <v>0</v>
      </c>
      <c r="AV5" s="781">
        <f t="shared" ca="1" si="6"/>
        <v>0</v>
      </c>
      <c r="AX5" s="781">
        <f t="shared" ca="1" si="7"/>
        <v>0</v>
      </c>
      <c r="AZ5" s="781">
        <f t="shared" ca="1" si="8"/>
        <v>0</v>
      </c>
      <c r="BB5" s="781">
        <f t="shared" ca="1" si="9"/>
        <v>0</v>
      </c>
      <c r="BD5" s="781">
        <f t="shared" ca="1" si="10"/>
        <v>0</v>
      </c>
      <c r="BF5" s="781">
        <f t="shared" ca="1" si="11"/>
        <v>0</v>
      </c>
      <c r="BH5" s="781">
        <f t="shared" ca="1" si="12"/>
        <v>0</v>
      </c>
    </row>
    <row r="6" spans="1:60" hidden="1" outlineLevel="1">
      <c r="A6" s="1464">
        <f t="shared" ca="1" si="13"/>
        <v>18</v>
      </c>
      <c r="B6" s="1464">
        <f t="shared" ca="1" si="14"/>
        <v>19</v>
      </c>
      <c r="C6" s="1464">
        <f t="shared" si="15"/>
        <v>4</v>
      </c>
      <c r="D6" s="1271" t="str">
        <f ca="1">IF(OFFSET(PortfolioDashboard!$A$3,C6-1,0)="","Blank",OFFSET(PortfolioDashboard!$A$3,C6-1,0))</f>
        <v>Central Chiller Expansion</v>
      </c>
      <c r="E6" s="1464" t="str">
        <f t="shared" si="16"/>
        <v>MTCO2e</v>
      </c>
      <c r="F6" s="1460">
        <f t="shared" ca="1" si="1"/>
        <v>0</v>
      </c>
      <c r="G6" s="781">
        <f t="shared" ca="1" si="2"/>
        <v>0</v>
      </c>
      <c r="H6" s="781">
        <f t="shared" ca="1" si="2"/>
        <v>0</v>
      </c>
      <c r="I6" s="781">
        <f t="shared" ca="1" si="2"/>
        <v>0</v>
      </c>
      <c r="J6" s="781">
        <f t="shared" ca="1" si="2"/>
        <v>0</v>
      </c>
      <c r="K6" s="781">
        <f t="shared" ca="1" si="2"/>
        <v>0</v>
      </c>
      <c r="L6" s="781">
        <f t="shared" ca="1" si="2"/>
        <v>0</v>
      </c>
      <c r="M6" s="781">
        <f t="shared" ca="1" si="2"/>
        <v>0</v>
      </c>
      <c r="N6" s="781">
        <f t="shared" ca="1" si="2"/>
        <v>0</v>
      </c>
      <c r="O6" s="781">
        <f t="shared" ca="1" si="2"/>
        <v>0</v>
      </c>
      <c r="P6" s="781">
        <f t="shared" ca="1" si="2"/>
        <v>0</v>
      </c>
      <c r="Q6" s="781">
        <f t="shared" ca="1" si="3"/>
        <v>0</v>
      </c>
      <c r="R6" s="781">
        <f t="shared" ca="1" si="3"/>
        <v>0</v>
      </c>
      <c r="S6" s="781">
        <f t="shared" ca="1" si="3"/>
        <v>0</v>
      </c>
      <c r="T6" s="781">
        <f t="shared" ca="1" si="3"/>
        <v>0</v>
      </c>
      <c r="U6" s="781">
        <f t="shared" ca="1" si="3"/>
        <v>0</v>
      </c>
      <c r="V6" s="781">
        <f t="shared" ca="1" si="3"/>
        <v>0</v>
      </c>
      <c r="W6" s="781">
        <f t="shared" ca="1" si="3"/>
        <v>0</v>
      </c>
      <c r="X6" s="781">
        <f t="shared" ca="1" si="3"/>
        <v>0</v>
      </c>
      <c r="Y6" s="781">
        <f t="shared" ca="1" si="3"/>
        <v>0</v>
      </c>
      <c r="Z6" s="781">
        <f t="shared" ca="1" si="3"/>
        <v>0</v>
      </c>
      <c r="AA6" s="781">
        <f t="shared" ca="1" si="4"/>
        <v>0</v>
      </c>
      <c r="AB6" s="781">
        <f t="shared" ca="1" si="4"/>
        <v>0</v>
      </c>
      <c r="AC6" s="781">
        <f t="shared" ca="1" si="4"/>
        <v>0</v>
      </c>
      <c r="AD6" s="781">
        <f t="shared" ca="1" si="4"/>
        <v>0</v>
      </c>
      <c r="AE6" s="781">
        <f t="shared" ca="1" si="4"/>
        <v>0</v>
      </c>
      <c r="AF6" s="781">
        <f t="shared" ca="1" si="4"/>
        <v>0</v>
      </c>
      <c r="AG6" s="781">
        <f t="shared" ca="1" si="4"/>
        <v>0</v>
      </c>
      <c r="AH6" s="781">
        <f t="shared" ca="1" si="4"/>
        <v>0</v>
      </c>
      <c r="AI6" s="781">
        <f t="shared" ca="1" si="4"/>
        <v>0</v>
      </c>
      <c r="AJ6" s="781">
        <f t="shared" ca="1" si="4"/>
        <v>0</v>
      </c>
      <c r="AK6" s="781">
        <f t="shared" ca="1" si="5"/>
        <v>0</v>
      </c>
      <c r="AL6" s="781">
        <f t="shared" ca="1" si="5"/>
        <v>0</v>
      </c>
      <c r="AM6" s="781">
        <f t="shared" ca="1" si="5"/>
        <v>0</v>
      </c>
      <c r="AN6" s="781">
        <f t="shared" ca="1" si="5"/>
        <v>0</v>
      </c>
      <c r="AO6" s="781">
        <f t="shared" ca="1" si="5"/>
        <v>0</v>
      </c>
      <c r="AP6" s="781">
        <f t="shared" ca="1" si="5"/>
        <v>0</v>
      </c>
      <c r="AQ6" s="781">
        <f t="shared" ca="1" si="5"/>
        <v>0</v>
      </c>
      <c r="AR6" s="781">
        <f t="shared" ca="1" si="5"/>
        <v>0</v>
      </c>
      <c r="AS6" s="781">
        <f t="shared" ca="1" si="5"/>
        <v>0</v>
      </c>
      <c r="AT6" s="781">
        <f t="shared" ca="1" si="5"/>
        <v>0</v>
      </c>
      <c r="AV6" s="781">
        <f t="shared" ca="1" si="6"/>
        <v>0</v>
      </c>
      <c r="AX6" s="781">
        <f t="shared" ca="1" si="7"/>
        <v>0</v>
      </c>
      <c r="AZ6" s="781">
        <f t="shared" ca="1" si="8"/>
        <v>0</v>
      </c>
      <c r="BB6" s="781">
        <f t="shared" ca="1" si="9"/>
        <v>0</v>
      </c>
      <c r="BD6" s="781">
        <f t="shared" ca="1" si="10"/>
        <v>0</v>
      </c>
      <c r="BF6" s="781">
        <f t="shared" ca="1" si="11"/>
        <v>0</v>
      </c>
      <c r="BH6" s="781">
        <f t="shared" ca="1" si="12"/>
        <v>0</v>
      </c>
    </row>
    <row r="7" spans="1:60" hidden="1" outlineLevel="1">
      <c r="A7" s="1464">
        <f t="shared" ca="1" si="13"/>
        <v>18</v>
      </c>
      <c r="B7" s="1464">
        <f t="shared" ca="1" si="14"/>
        <v>19</v>
      </c>
      <c r="C7" s="1464">
        <f t="shared" si="15"/>
        <v>5</v>
      </c>
      <c r="D7" s="1271" t="str">
        <f ca="1">IF(OFFSET(PortfolioDashboard!$A$3,C7-1,0)="","Blank",OFFSET(PortfolioDashboard!$A$3,C7-1,0))</f>
        <v>Short-term Energy Conservation Measures</v>
      </c>
      <c r="E7" s="1464" t="str">
        <f t="shared" si="16"/>
        <v>MTCO2e</v>
      </c>
      <c r="F7" s="1460">
        <f t="shared" ca="1" si="1"/>
        <v>0</v>
      </c>
      <c r="G7" s="781">
        <f t="shared" ca="1" si="2"/>
        <v>0</v>
      </c>
      <c r="H7" s="781">
        <f t="shared" ca="1" si="2"/>
        <v>0</v>
      </c>
      <c r="I7" s="781">
        <f t="shared" ca="1" si="2"/>
        <v>0</v>
      </c>
      <c r="J7" s="781">
        <f t="shared" ca="1" si="2"/>
        <v>0</v>
      </c>
      <c r="K7" s="781">
        <f t="shared" ca="1" si="2"/>
        <v>0</v>
      </c>
      <c r="L7" s="781">
        <f t="shared" ca="1" si="2"/>
        <v>0</v>
      </c>
      <c r="M7" s="781">
        <f t="shared" ca="1" si="2"/>
        <v>0</v>
      </c>
      <c r="N7" s="781">
        <f t="shared" ca="1" si="2"/>
        <v>0</v>
      </c>
      <c r="O7" s="781">
        <f t="shared" ca="1" si="2"/>
        <v>0</v>
      </c>
      <c r="P7" s="781">
        <f t="shared" ca="1" si="2"/>
        <v>0</v>
      </c>
      <c r="Q7" s="781">
        <f t="shared" ca="1" si="3"/>
        <v>0</v>
      </c>
      <c r="R7" s="781">
        <f t="shared" ca="1" si="3"/>
        <v>0</v>
      </c>
      <c r="S7" s="781">
        <f t="shared" ca="1" si="3"/>
        <v>0</v>
      </c>
      <c r="T7" s="781">
        <f t="shared" ca="1" si="3"/>
        <v>0</v>
      </c>
      <c r="U7" s="781">
        <f t="shared" ca="1" si="3"/>
        <v>0</v>
      </c>
      <c r="V7" s="781">
        <f t="shared" ca="1" si="3"/>
        <v>0</v>
      </c>
      <c r="W7" s="781">
        <f t="shared" ca="1" si="3"/>
        <v>0</v>
      </c>
      <c r="X7" s="781">
        <f t="shared" ca="1" si="3"/>
        <v>0</v>
      </c>
      <c r="Y7" s="781">
        <f t="shared" ca="1" si="3"/>
        <v>0</v>
      </c>
      <c r="Z7" s="781">
        <f t="shared" ca="1" si="3"/>
        <v>0</v>
      </c>
      <c r="AA7" s="781">
        <f t="shared" ca="1" si="4"/>
        <v>0</v>
      </c>
      <c r="AB7" s="781">
        <f t="shared" ca="1" si="4"/>
        <v>0</v>
      </c>
      <c r="AC7" s="781">
        <f t="shared" ca="1" si="4"/>
        <v>0</v>
      </c>
      <c r="AD7" s="781">
        <f t="shared" ca="1" si="4"/>
        <v>0</v>
      </c>
      <c r="AE7" s="781">
        <f t="shared" ca="1" si="4"/>
        <v>0</v>
      </c>
      <c r="AF7" s="781">
        <f t="shared" ca="1" si="4"/>
        <v>0</v>
      </c>
      <c r="AG7" s="781">
        <f t="shared" ca="1" si="4"/>
        <v>0</v>
      </c>
      <c r="AH7" s="781">
        <f t="shared" ca="1" si="4"/>
        <v>0</v>
      </c>
      <c r="AI7" s="781">
        <f t="shared" ca="1" si="4"/>
        <v>0</v>
      </c>
      <c r="AJ7" s="781">
        <f t="shared" ca="1" si="4"/>
        <v>0</v>
      </c>
      <c r="AK7" s="781">
        <f t="shared" ca="1" si="5"/>
        <v>0</v>
      </c>
      <c r="AL7" s="781">
        <f t="shared" ca="1" si="5"/>
        <v>0</v>
      </c>
      <c r="AM7" s="781">
        <f t="shared" ca="1" si="5"/>
        <v>0</v>
      </c>
      <c r="AN7" s="781">
        <f t="shared" ca="1" si="5"/>
        <v>0</v>
      </c>
      <c r="AO7" s="781">
        <f t="shared" ca="1" si="5"/>
        <v>0</v>
      </c>
      <c r="AP7" s="781">
        <f t="shared" ca="1" si="5"/>
        <v>0</v>
      </c>
      <c r="AQ7" s="781">
        <f t="shared" ca="1" si="5"/>
        <v>0</v>
      </c>
      <c r="AR7" s="781">
        <f t="shared" ca="1" si="5"/>
        <v>0</v>
      </c>
      <c r="AS7" s="781">
        <f t="shared" ca="1" si="5"/>
        <v>0</v>
      </c>
      <c r="AT7" s="781">
        <f t="shared" ca="1" si="5"/>
        <v>0</v>
      </c>
      <c r="AV7" s="781">
        <f t="shared" ca="1" si="6"/>
        <v>0</v>
      </c>
      <c r="AX7" s="781">
        <f t="shared" ca="1" si="7"/>
        <v>0</v>
      </c>
      <c r="AZ7" s="781">
        <f t="shared" ca="1" si="8"/>
        <v>0</v>
      </c>
      <c r="BB7" s="781">
        <f t="shared" ca="1" si="9"/>
        <v>0</v>
      </c>
      <c r="BD7" s="781">
        <f t="shared" ca="1" si="10"/>
        <v>0</v>
      </c>
      <c r="BF7" s="781">
        <f t="shared" ca="1" si="11"/>
        <v>0</v>
      </c>
      <c r="BH7" s="781">
        <f t="shared" ca="1" si="12"/>
        <v>0</v>
      </c>
    </row>
    <row r="8" spans="1:60" hidden="1" outlineLevel="1">
      <c r="A8" s="1464">
        <f t="shared" ca="1" si="13"/>
        <v>18</v>
      </c>
      <c r="B8" s="1464">
        <f t="shared" ca="1" si="14"/>
        <v>19</v>
      </c>
      <c r="C8" s="1464">
        <f t="shared" si="15"/>
        <v>6</v>
      </c>
      <c r="D8" s="1271" t="str">
        <f ca="1">IF(OFFSET(PortfolioDashboard!$A$3,C8-1,0)="","Blank",OFFSET(PortfolioDashboard!$A$3,C8-1,0))</f>
        <v>Mid-term Energy Conservation Measures</v>
      </c>
      <c r="E8" s="1464" t="str">
        <f t="shared" si="16"/>
        <v>MTCO2e</v>
      </c>
      <c r="F8" s="1460">
        <f t="shared" ca="1" si="1"/>
        <v>0</v>
      </c>
      <c r="G8" s="781">
        <f t="shared" ca="1" si="2"/>
        <v>0</v>
      </c>
      <c r="H8" s="781">
        <f t="shared" ca="1" si="2"/>
        <v>0</v>
      </c>
      <c r="I8" s="781">
        <f t="shared" ca="1" si="2"/>
        <v>0</v>
      </c>
      <c r="J8" s="781">
        <f t="shared" ca="1" si="2"/>
        <v>0</v>
      </c>
      <c r="K8" s="781">
        <f t="shared" ca="1" si="2"/>
        <v>0</v>
      </c>
      <c r="L8" s="781">
        <f t="shared" ca="1" si="2"/>
        <v>0</v>
      </c>
      <c r="M8" s="781">
        <f t="shared" ca="1" si="2"/>
        <v>0</v>
      </c>
      <c r="N8" s="781">
        <f t="shared" ca="1" si="2"/>
        <v>0</v>
      </c>
      <c r="O8" s="781">
        <f t="shared" ca="1" si="2"/>
        <v>0</v>
      </c>
      <c r="P8" s="781">
        <f t="shared" ca="1" si="2"/>
        <v>0</v>
      </c>
      <c r="Q8" s="781">
        <f t="shared" ca="1" si="3"/>
        <v>0</v>
      </c>
      <c r="R8" s="781">
        <f t="shared" ca="1" si="3"/>
        <v>0</v>
      </c>
      <c r="S8" s="781">
        <f t="shared" ca="1" si="3"/>
        <v>0</v>
      </c>
      <c r="T8" s="781">
        <f t="shared" ca="1" si="3"/>
        <v>0</v>
      </c>
      <c r="U8" s="781">
        <f t="shared" ca="1" si="3"/>
        <v>0</v>
      </c>
      <c r="V8" s="781">
        <f t="shared" ca="1" si="3"/>
        <v>0</v>
      </c>
      <c r="W8" s="781">
        <f t="shared" ca="1" si="3"/>
        <v>0</v>
      </c>
      <c r="X8" s="781">
        <f t="shared" ca="1" si="3"/>
        <v>0</v>
      </c>
      <c r="Y8" s="781">
        <f t="shared" ca="1" si="3"/>
        <v>0</v>
      </c>
      <c r="Z8" s="781">
        <f t="shared" ca="1" si="3"/>
        <v>0</v>
      </c>
      <c r="AA8" s="781">
        <f t="shared" ca="1" si="4"/>
        <v>0</v>
      </c>
      <c r="AB8" s="781">
        <f t="shared" ca="1" si="4"/>
        <v>0</v>
      </c>
      <c r="AC8" s="781">
        <f t="shared" ca="1" si="4"/>
        <v>0</v>
      </c>
      <c r="AD8" s="781">
        <f t="shared" ca="1" si="4"/>
        <v>0</v>
      </c>
      <c r="AE8" s="781">
        <f t="shared" ca="1" si="4"/>
        <v>0</v>
      </c>
      <c r="AF8" s="781">
        <f t="shared" ca="1" si="4"/>
        <v>0</v>
      </c>
      <c r="AG8" s="781">
        <f t="shared" ca="1" si="4"/>
        <v>0</v>
      </c>
      <c r="AH8" s="781">
        <f t="shared" ca="1" si="4"/>
        <v>0</v>
      </c>
      <c r="AI8" s="781">
        <f t="shared" ca="1" si="4"/>
        <v>0</v>
      </c>
      <c r="AJ8" s="781">
        <f t="shared" ca="1" si="4"/>
        <v>0</v>
      </c>
      <c r="AK8" s="781">
        <f t="shared" ca="1" si="5"/>
        <v>0</v>
      </c>
      <c r="AL8" s="781">
        <f t="shared" ca="1" si="5"/>
        <v>0</v>
      </c>
      <c r="AM8" s="781">
        <f t="shared" ca="1" si="5"/>
        <v>0</v>
      </c>
      <c r="AN8" s="781">
        <f t="shared" ca="1" si="5"/>
        <v>0</v>
      </c>
      <c r="AO8" s="781">
        <f t="shared" ca="1" si="5"/>
        <v>0</v>
      </c>
      <c r="AP8" s="781">
        <f t="shared" ca="1" si="5"/>
        <v>0</v>
      </c>
      <c r="AQ8" s="781">
        <f t="shared" ca="1" si="5"/>
        <v>0</v>
      </c>
      <c r="AR8" s="781">
        <f t="shared" ca="1" si="5"/>
        <v>0</v>
      </c>
      <c r="AS8" s="781">
        <f t="shared" ca="1" si="5"/>
        <v>0</v>
      </c>
      <c r="AT8" s="781">
        <f t="shared" ca="1" si="5"/>
        <v>0</v>
      </c>
      <c r="AV8" s="781">
        <f t="shared" ca="1" si="6"/>
        <v>0</v>
      </c>
      <c r="AX8" s="781">
        <f t="shared" ca="1" si="7"/>
        <v>0</v>
      </c>
      <c r="AZ8" s="781">
        <f t="shared" ca="1" si="8"/>
        <v>0</v>
      </c>
      <c r="BB8" s="781">
        <f t="shared" ca="1" si="9"/>
        <v>0</v>
      </c>
      <c r="BD8" s="781">
        <f t="shared" ca="1" si="10"/>
        <v>0</v>
      </c>
      <c r="BF8" s="781">
        <f t="shared" ca="1" si="11"/>
        <v>0</v>
      </c>
      <c r="BH8" s="781">
        <f t="shared" ca="1" si="12"/>
        <v>0</v>
      </c>
    </row>
    <row r="9" spans="1:60" hidden="1" outlineLevel="1">
      <c r="A9" s="1464">
        <f t="shared" ca="1" si="13"/>
        <v>18</v>
      </c>
      <c r="B9" s="1464">
        <f t="shared" ca="1" si="14"/>
        <v>19</v>
      </c>
      <c r="C9" s="1464">
        <f t="shared" si="15"/>
        <v>7</v>
      </c>
      <c r="D9" s="1271" t="str">
        <f ca="1">IF(OFFSET(PortfolioDashboard!$A$3,C9-1,0)="","Blank",OFFSET(PortfolioDashboard!$A$3,C9-1,0))</f>
        <v>Long-term Energy Conservation Measures</v>
      </c>
      <c r="E9" s="1464" t="str">
        <f t="shared" si="16"/>
        <v>MTCO2e</v>
      </c>
      <c r="F9" s="1460">
        <f t="shared" ca="1" si="1"/>
        <v>0</v>
      </c>
      <c r="G9" s="781">
        <f t="shared" ca="1" si="2"/>
        <v>0</v>
      </c>
      <c r="H9" s="781">
        <f t="shared" ca="1" si="2"/>
        <v>0</v>
      </c>
      <c r="I9" s="781">
        <f t="shared" ca="1" si="2"/>
        <v>0</v>
      </c>
      <c r="J9" s="781">
        <f t="shared" ca="1" si="2"/>
        <v>0</v>
      </c>
      <c r="K9" s="781">
        <f t="shared" ca="1" si="2"/>
        <v>0</v>
      </c>
      <c r="L9" s="781">
        <f t="shared" ca="1" si="2"/>
        <v>0</v>
      </c>
      <c r="M9" s="781">
        <f t="shared" ca="1" si="2"/>
        <v>0</v>
      </c>
      <c r="N9" s="781">
        <f t="shared" ca="1" si="2"/>
        <v>0</v>
      </c>
      <c r="O9" s="781">
        <f t="shared" ca="1" si="2"/>
        <v>0</v>
      </c>
      <c r="P9" s="781">
        <f t="shared" ca="1" si="2"/>
        <v>0</v>
      </c>
      <c r="Q9" s="781">
        <f t="shared" ca="1" si="3"/>
        <v>0</v>
      </c>
      <c r="R9" s="781">
        <f t="shared" ca="1" si="3"/>
        <v>0</v>
      </c>
      <c r="S9" s="781">
        <f t="shared" ca="1" si="3"/>
        <v>0</v>
      </c>
      <c r="T9" s="781">
        <f t="shared" ca="1" si="3"/>
        <v>0</v>
      </c>
      <c r="U9" s="781">
        <f t="shared" ca="1" si="3"/>
        <v>0</v>
      </c>
      <c r="V9" s="781">
        <f t="shared" ca="1" si="3"/>
        <v>0</v>
      </c>
      <c r="W9" s="781">
        <f t="shared" ca="1" si="3"/>
        <v>0</v>
      </c>
      <c r="X9" s="781">
        <f t="shared" ca="1" si="3"/>
        <v>0</v>
      </c>
      <c r="Y9" s="781">
        <f t="shared" ca="1" si="3"/>
        <v>0</v>
      </c>
      <c r="Z9" s="781">
        <f t="shared" ca="1" si="3"/>
        <v>0</v>
      </c>
      <c r="AA9" s="781">
        <f t="shared" ca="1" si="4"/>
        <v>0</v>
      </c>
      <c r="AB9" s="781">
        <f t="shared" ca="1" si="4"/>
        <v>0</v>
      </c>
      <c r="AC9" s="781">
        <f t="shared" ca="1" si="4"/>
        <v>0</v>
      </c>
      <c r="AD9" s="781">
        <f t="shared" ca="1" si="4"/>
        <v>0</v>
      </c>
      <c r="AE9" s="781">
        <f t="shared" ca="1" si="4"/>
        <v>0</v>
      </c>
      <c r="AF9" s="781">
        <f t="shared" ca="1" si="4"/>
        <v>0</v>
      </c>
      <c r="AG9" s="781">
        <f t="shared" ca="1" si="4"/>
        <v>0</v>
      </c>
      <c r="AH9" s="781">
        <f t="shared" ca="1" si="4"/>
        <v>0</v>
      </c>
      <c r="AI9" s="781">
        <f t="shared" ca="1" si="4"/>
        <v>0</v>
      </c>
      <c r="AJ9" s="781">
        <f t="shared" ca="1" si="4"/>
        <v>0</v>
      </c>
      <c r="AK9" s="781">
        <f t="shared" ca="1" si="5"/>
        <v>0</v>
      </c>
      <c r="AL9" s="781">
        <f t="shared" ca="1" si="5"/>
        <v>0</v>
      </c>
      <c r="AM9" s="781">
        <f t="shared" ca="1" si="5"/>
        <v>0</v>
      </c>
      <c r="AN9" s="781">
        <f t="shared" ca="1" si="5"/>
        <v>0</v>
      </c>
      <c r="AO9" s="781">
        <f t="shared" ca="1" si="5"/>
        <v>0</v>
      </c>
      <c r="AP9" s="781">
        <f t="shared" ca="1" si="5"/>
        <v>0</v>
      </c>
      <c r="AQ9" s="781">
        <f t="shared" ca="1" si="5"/>
        <v>0</v>
      </c>
      <c r="AR9" s="781">
        <f t="shared" ca="1" si="5"/>
        <v>0</v>
      </c>
      <c r="AS9" s="781">
        <f t="shared" ca="1" si="5"/>
        <v>0</v>
      </c>
      <c r="AT9" s="781">
        <f t="shared" ca="1" si="5"/>
        <v>0</v>
      </c>
      <c r="AV9" s="781">
        <f t="shared" ca="1" si="6"/>
        <v>0</v>
      </c>
      <c r="AX9" s="781">
        <f t="shared" ca="1" si="7"/>
        <v>0</v>
      </c>
      <c r="AZ9" s="781">
        <f t="shared" ca="1" si="8"/>
        <v>0</v>
      </c>
      <c r="BB9" s="781">
        <f t="shared" ca="1" si="9"/>
        <v>0</v>
      </c>
      <c r="BD9" s="781">
        <f t="shared" ca="1" si="10"/>
        <v>0</v>
      </c>
      <c r="BF9" s="781">
        <f t="shared" ca="1" si="11"/>
        <v>0</v>
      </c>
      <c r="BH9" s="781">
        <f t="shared" ca="1" si="12"/>
        <v>0</v>
      </c>
    </row>
    <row r="10" spans="1:60" hidden="1" outlineLevel="1">
      <c r="A10" s="1464">
        <f t="shared" ca="1" si="13"/>
        <v>18</v>
      </c>
      <c r="B10" s="1464">
        <f t="shared" ca="1" si="14"/>
        <v>19</v>
      </c>
      <c r="C10" s="1464">
        <f t="shared" si="15"/>
        <v>8</v>
      </c>
      <c r="D10" s="1271" t="str">
        <f ca="1">IF(OFFSET(PortfolioDashboard!$A$3,C10-1,0)="","Blank",OFFSET(PortfolioDashboard!$A$3,C10-1,0))</f>
        <v>Green IT</v>
      </c>
      <c r="E10" s="1464" t="str">
        <f t="shared" si="16"/>
        <v>MTCO2e</v>
      </c>
      <c r="F10" s="1460">
        <f t="shared" ca="1" si="1"/>
        <v>0</v>
      </c>
      <c r="G10" s="781">
        <f t="shared" ca="1" si="2"/>
        <v>0</v>
      </c>
      <c r="H10" s="781">
        <f t="shared" ca="1" si="2"/>
        <v>0</v>
      </c>
      <c r="I10" s="781">
        <f t="shared" ca="1" si="2"/>
        <v>0</v>
      </c>
      <c r="J10" s="781">
        <f t="shared" ca="1" si="2"/>
        <v>0</v>
      </c>
      <c r="K10" s="781">
        <f t="shared" ca="1" si="2"/>
        <v>0</v>
      </c>
      <c r="L10" s="781">
        <f t="shared" ca="1" si="2"/>
        <v>0</v>
      </c>
      <c r="M10" s="781">
        <f t="shared" ca="1" si="2"/>
        <v>0</v>
      </c>
      <c r="N10" s="781">
        <f t="shared" ca="1" si="2"/>
        <v>0</v>
      </c>
      <c r="O10" s="781">
        <f t="shared" ca="1" si="2"/>
        <v>0</v>
      </c>
      <c r="P10" s="781">
        <f t="shared" ca="1" si="2"/>
        <v>0</v>
      </c>
      <c r="Q10" s="781">
        <f t="shared" ca="1" si="3"/>
        <v>0</v>
      </c>
      <c r="R10" s="781">
        <f t="shared" ca="1" si="3"/>
        <v>0</v>
      </c>
      <c r="S10" s="781">
        <f t="shared" ca="1" si="3"/>
        <v>0</v>
      </c>
      <c r="T10" s="781">
        <f t="shared" ca="1" si="3"/>
        <v>0</v>
      </c>
      <c r="U10" s="781">
        <f t="shared" ca="1" si="3"/>
        <v>0</v>
      </c>
      <c r="V10" s="781">
        <f t="shared" ca="1" si="3"/>
        <v>0</v>
      </c>
      <c r="W10" s="781">
        <f t="shared" ca="1" si="3"/>
        <v>0</v>
      </c>
      <c r="X10" s="781">
        <f t="shared" ca="1" si="3"/>
        <v>0</v>
      </c>
      <c r="Y10" s="781">
        <f t="shared" ca="1" si="3"/>
        <v>0</v>
      </c>
      <c r="Z10" s="781">
        <f t="shared" ca="1" si="3"/>
        <v>0</v>
      </c>
      <c r="AA10" s="781">
        <f t="shared" ca="1" si="4"/>
        <v>0</v>
      </c>
      <c r="AB10" s="781">
        <f t="shared" ca="1" si="4"/>
        <v>0</v>
      </c>
      <c r="AC10" s="781">
        <f t="shared" ca="1" si="4"/>
        <v>0</v>
      </c>
      <c r="AD10" s="781">
        <f t="shared" ca="1" si="4"/>
        <v>0</v>
      </c>
      <c r="AE10" s="781">
        <f t="shared" ca="1" si="4"/>
        <v>0</v>
      </c>
      <c r="AF10" s="781">
        <f t="shared" ca="1" si="4"/>
        <v>0</v>
      </c>
      <c r="AG10" s="781">
        <f t="shared" ca="1" si="4"/>
        <v>0</v>
      </c>
      <c r="AH10" s="781">
        <f t="shared" ca="1" si="4"/>
        <v>0</v>
      </c>
      <c r="AI10" s="781">
        <f t="shared" ca="1" si="4"/>
        <v>0</v>
      </c>
      <c r="AJ10" s="781">
        <f t="shared" ca="1" si="4"/>
        <v>0</v>
      </c>
      <c r="AK10" s="781">
        <f t="shared" ca="1" si="5"/>
        <v>0</v>
      </c>
      <c r="AL10" s="781">
        <f t="shared" ca="1" si="5"/>
        <v>0</v>
      </c>
      <c r="AM10" s="781">
        <f t="shared" ca="1" si="5"/>
        <v>0</v>
      </c>
      <c r="AN10" s="781">
        <f t="shared" ca="1" si="5"/>
        <v>0</v>
      </c>
      <c r="AO10" s="781">
        <f t="shared" ca="1" si="5"/>
        <v>0</v>
      </c>
      <c r="AP10" s="781">
        <f t="shared" ca="1" si="5"/>
        <v>0</v>
      </c>
      <c r="AQ10" s="781">
        <f t="shared" ca="1" si="5"/>
        <v>0</v>
      </c>
      <c r="AR10" s="781">
        <f t="shared" ca="1" si="5"/>
        <v>0</v>
      </c>
      <c r="AS10" s="781">
        <f t="shared" ca="1" si="5"/>
        <v>0</v>
      </c>
      <c r="AT10" s="781">
        <f t="shared" ca="1" si="5"/>
        <v>0</v>
      </c>
      <c r="AV10" s="781">
        <f t="shared" ca="1" si="6"/>
        <v>0</v>
      </c>
      <c r="AX10" s="781">
        <f t="shared" ca="1" si="7"/>
        <v>0</v>
      </c>
      <c r="AZ10" s="781">
        <f t="shared" ca="1" si="8"/>
        <v>0</v>
      </c>
      <c r="BB10" s="781">
        <f t="shared" ca="1" si="9"/>
        <v>0</v>
      </c>
      <c r="BD10" s="781">
        <f t="shared" ca="1" si="10"/>
        <v>0</v>
      </c>
      <c r="BF10" s="781">
        <f t="shared" ca="1" si="11"/>
        <v>0</v>
      </c>
      <c r="BH10" s="781">
        <f t="shared" ca="1" si="12"/>
        <v>0</v>
      </c>
    </row>
    <row r="11" spans="1:60" hidden="1" outlineLevel="1">
      <c r="A11" s="1464">
        <f t="shared" ca="1" si="13"/>
        <v>18</v>
      </c>
      <c r="B11" s="1464">
        <f t="shared" ca="1" si="14"/>
        <v>19</v>
      </c>
      <c r="C11" s="1464">
        <f t="shared" si="15"/>
        <v>9</v>
      </c>
      <c r="D11" s="1271" t="str">
        <f ca="1">IF(OFFSET(PortfolioDashboard!$A$3,C11-1,0)="","Blank",OFFSET(PortfolioDashboard!$A$3,C11-1,0))</f>
        <v>Reduced Air Travel</v>
      </c>
      <c r="E11" s="1464" t="str">
        <f t="shared" si="16"/>
        <v>MTCO2e</v>
      </c>
      <c r="F11" s="1460">
        <f t="shared" ca="1" si="1"/>
        <v>0</v>
      </c>
      <c r="G11" s="781">
        <f t="shared" ca="1" si="2"/>
        <v>0</v>
      </c>
      <c r="H11" s="781">
        <f t="shared" ca="1" si="2"/>
        <v>0</v>
      </c>
      <c r="I11" s="781">
        <f t="shared" ca="1" si="2"/>
        <v>0</v>
      </c>
      <c r="J11" s="781">
        <f t="shared" ca="1" si="2"/>
        <v>0</v>
      </c>
      <c r="K11" s="781">
        <f t="shared" ca="1" si="2"/>
        <v>0</v>
      </c>
      <c r="L11" s="781">
        <f t="shared" ca="1" si="2"/>
        <v>0</v>
      </c>
      <c r="M11" s="781">
        <f t="shared" ca="1" si="2"/>
        <v>0</v>
      </c>
      <c r="N11" s="781">
        <f t="shared" ca="1" si="2"/>
        <v>0</v>
      </c>
      <c r="O11" s="781">
        <f t="shared" ca="1" si="2"/>
        <v>0</v>
      </c>
      <c r="P11" s="781">
        <f t="shared" ca="1" si="2"/>
        <v>0</v>
      </c>
      <c r="Q11" s="781">
        <f t="shared" ca="1" si="3"/>
        <v>0</v>
      </c>
      <c r="R11" s="781">
        <f t="shared" ca="1" si="3"/>
        <v>0</v>
      </c>
      <c r="S11" s="781">
        <f t="shared" ca="1" si="3"/>
        <v>0</v>
      </c>
      <c r="T11" s="781">
        <f t="shared" ca="1" si="3"/>
        <v>0</v>
      </c>
      <c r="U11" s="781">
        <f t="shared" ca="1" si="3"/>
        <v>0</v>
      </c>
      <c r="V11" s="781">
        <f t="shared" ca="1" si="3"/>
        <v>0</v>
      </c>
      <c r="W11" s="781">
        <f t="shared" ca="1" si="3"/>
        <v>0</v>
      </c>
      <c r="X11" s="781">
        <f t="shared" ca="1" si="3"/>
        <v>0</v>
      </c>
      <c r="Y11" s="781">
        <f t="shared" ca="1" si="3"/>
        <v>0</v>
      </c>
      <c r="Z11" s="781">
        <f t="shared" ca="1" si="3"/>
        <v>0</v>
      </c>
      <c r="AA11" s="781">
        <f t="shared" ca="1" si="4"/>
        <v>0</v>
      </c>
      <c r="AB11" s="781">
        <f t="shared" ca="1" si="4"/>
        <v>0</v>
      </c>
      <c r="AC11" s="781">
        <f t="shared" ca="1" si="4"/>
        <v>0</v>
      </c>
      <c r="AD11" s="781">
        <f t="shared" ca="1" si="4"/>
        <v>0</v>
      </c>
      <c r="AE11" s="781">
        <f t="shared" ca="1" si="4"/>
        <v>0</v>
      </c>
      <c r="AF11" s="781">
        <f t="shared" ca="1" si="4"/>
        <v>0</v>
      </c>
      <c r="AG11" s="781">
        <f t="shared" ca="1" si="4"/>
        <v>0</v>
      </c>
      <c r="AH11" s="781">
        <f t="shared" ca="1" si="4"/>
        <v>0</v>
      </c>
      <c r="AI11" s="781">
        <f t="shared" ca="1" si="4"/>
        <v>0</v>
      </c>
      <c r="AJ11" s="781">
        <f t="shared" ca="1" si="4"/>
        <v>0</v>
      </c>
      <c r="AK11" s="781">
        <f t="shared" ca="1" si="5"/>
        <v>0</v>
      </c>
      <c r="AL11" s="781">
        <f t="shared" ca="1" si="5"/>
        <v>0</v>
      </c>
      <c r="AM11" s="781">
        <f t="shared" ca="1" si="5"/>
        <v>0</v>
      </c>
      <c r="AN11" s="781">
        <f t="shared" ca="1" si="5"/>
        <v>0</v>
      </c>
      <c r="AO11" s="781">
        <f t="shared" ca="1" si="5"/>
        <v>0</v>
      </c>
      <c r="AP11" s="781">
        <f t="shared" ca="1" si="5"/>
        <v>0</v>
      </c>
      <c r="AQ11" s="781">
        <f t="shared" ca="1" si="5"/>
        <v>0</v>
      </c>
      <c r="AR11" s="781">
        <f t="shared" ca="1" si="5"/>
        <v>0</v>
      </c>
      <c r="AS11" s="781">
        <f t="shared" ca="1" si="5"/>
        <v>0</v>
      </c>
      <c r="AT11" s="781">
        <f t="shared" ca="1" si="5"/>
        <v>0</v>
      </c>
      <c r="AV11" s="781">
        <f t="shared" ca="1" si="6"/>
        <v>0</v>
      </c>
      <c r="AX11" s="781">
        <f t="shared" ca="1" si="7"/>
        <v>0</v>
      </c>
      <c r="AZ11" s="781">
        <f t="shared" ca="1" si="8"/>
        <v>0</v>
      </c>
      <c r="BB11" s="781">
        <f t="shared" ca="1" si="9"/>
        <v>0</v>
      </c>
      <c r="BD11" s="781">
        <f t="shared" ca="1" si="10"/>
        <v>0</v>
      </c>
      <c r="BF11" s="781">
        <f t="shared" ca="1" si="11"/>
        <v>0</v>
      </c>
      <c r="BH11" s="781">
        <f t="shared" ca="1" si="12"/>
        <v>0</v>
      </c>
    </row>
    <row r="12" spans="1:60" hidden="1" outlineLevel="1">
      <c r="A12" s="1464">
        <f t="shared" ca="1" si="13"/>
        <v>18</v>
      </c>
      <c r="B12" s="1464">
        <f t="shared" ca="1" si="14"/>
        <v>19</v>
      </c>
      <c r="C12" s="1464">
        <f t="shared" si="15"/>
        <v>10</v>
      </c>
      <c r="D12" s="1271" t="str">
        <f ca="1">IF(OFFSET(PortfolioDashboard!$A$3,C12-1,0)="","Blank",OFFSET(PortfolioDashboard!$A$3,C12-1,0))</f>
        <v>Reduced Automobile Reliance Strategies</v>
      </c>
      <c r="E12" s="1464" t="str">
        <f t="shared" si="16"/>
        <v>MTCO2e</v>
      </c>
      <c r="F12" s="1460">
        <f t="shared" ca="1" si="1"/>
        <v>0</v>
      </c>
      <c r="G12" s="781">
        <f t="shared" ca="1" si="2"/>
        <v>0</v>
      </c>
      <c r="H12" s="781">
        <f t="shared" ca="1" si="2"/>
        <v>0</v>
      </c>
      <c r="I12" s="781">
        <f t="shared" ca="1" si="2"/>
        <v>0</v>
      </c>
      <c r="J12" s="781">
        <f t="shared" ca="1" si="2"/>
        <v>0</v>
      </c>
      <c r="K12" s="781">
        <f t="shared" ca="1" si="2"/>
        <v>0</v>
      </c>
      <c r="L12" s="781">
        <f t="shared" ca="1" si="2"/>
        <v>0</v>
      </c>
      <c r="M12" s="781">
        <f t="shared" ca="1" si="2"/>
        <v>0</v>
      </c>
      <c r="N12" s="781">
        <f t="shared" ca="1" si="2"/>
        <v>0</v>
      </c>
      <c r="O12" s="781">
        <f t="shared" ca="1" si="2"/>
        <v>0</v>
      </c>
      <c r="P12" s="781">
        <f t="shared" ca="1" si="2"/>
        <v>0</v>
      </c>
      <c r="Q12" s="781">
        <f t="shared" ca="1" si="3"/>
        <v>0</v>
      </c>
      <c r="R12" s="781">
        <f t="shared" ca="1" si="3"/>
        <v>0</v>
      </c>
      <c r="S12" s="781">
        <f t="shared" ca="1" si="3"/>
        <v>0</v>
      </c>
      <c r="T12" s="781">
        <f t="shared" ca="1" si="3"/>
        <v>0</v>
      </c>
      <c r="U12" s="781">
        <f t="shared" ca="1" si="3"/>
        <v>0</v>
      </c>
      <c r="V12" s="781">
        <f t="shared" ca="1" si="3"/>
        <v>0</v>
      </c>
      <c r="W12" s="781">
        <f t="shared" ca="1" si="3"/>
        <v>0</v>
      </c>
      <c r="X12" s="781">
        <f t="shared" ca="1" si="3"/>
        <v>0</v>
      </c>
      <c r="Y12" s="781">
        <f t="shared" ca="1" si="3"/>
        <v>0</v>
      </c>
      <c r="Z12" s="781">
        <f t="shared" ca="1" si="3"/>
        <v>0</v>
      </c>
      <c r="AA12" s="781">
        <f t="shared" ca="1" si="4"/>
        <v>0</v>
      </c>
      <c r="AB12" s="781">
        <f t="shared" ca="1" si="4"/>
        <v>0</v>
      </c>
      <c r="AC12" s="781">
        <f t="shared" ca="1" si="4"/>
        <v>0</v>
      </c>
      <c r="AD12" s="781">
        <f t="shared" ca="1" si="4"/>
        <v>0</v>
      </c>
      <c r="AE12" s="781">
        <f t="shared" ca="1" si="4"/>
        <v>0</v>
      </c>
      <c r="AF12" s="781">
        <f t="shared" ca="1" si="4"/>
        <v>0</v>
      </c>
      <c r="AG12" s="781">
        <f t="shared" ca="1" si="4"/>
        <v>0</v>
      </c>
      <c r="AH12" s="781">
        <f t="shared" ca="1" si="4"/>
        <v>0</v>
      </c>
      <c r="AI12" s="781">
        <f t="shared" ca="1" si="4"/>
        <v>0</v>
      </c>
      <c r="AJ12" s="781">
        <f t="shared" ca="1" si="4"/>
        <v>0</v>
      </c>
      <c r="AK12" s="781">
        <f t="shared" ca="1" si="5"/>
        <v>0</v>
      </c>
      <c r="AL12" s="781">
        <f t="shared" ca="1" si="5"/>
        <v>0</v>
      </c>
      <c r="AM12" s="781">
        <f t="shared" ca="1" si="5"/>
        <v>0</v>
      </c>
      <c r="AN12" s="781">
        <f t="shared" ca="1" si="5"/>
        <v>0</v>
      </c>
      <c r="AO12" s="781">
        <f t="shared" ca="1" si="5"/>
        <v>0</v>
      </c>
      <c r="AP12" s="781">
        <f t="shared" ca="1" si="5"/>
        <v>0</v>
      </c>
      <c r="AQ12" s="781">
        <f t="shared" ca="1" si="5"/>
        <v>0</v>
      </c>
      <c r="AR12" s="781">
        <f t="shared" ca="1" si="5"/>
        <v>0</v>
      </c>
      <c r="AS12" s="781">
        <f t="shared" ca="1" si="5"/>
        <v>0</v>
      </c>
      <c r="AT12" s="781">
        <f t="shared" ca="1" si="5"/>
        <v>0</v>
      </c>
      <c r="AV12" s="781">
        <f t="shared" ca="1" si="6"/>
        <v>0</v>
      </c>
      <c r="AX12" s="781">
        <f t="shared" ca="1" si="7"/>
        <v>0</v>
      </c>
      <c r="AZ12" s="781">
        <f t="shared" ca="1" si="8"/>
        <v>0</v>
      </c>
      <c r="BB12" s="781">
        <f t="shared" ca="1" si="9"/>
        <v>0</v>
      </c>
      <c r="BD12" s="781">
        <f t="shared" ca="1" si="10"/>
        <v>0</v>
      </c>
      <c r="BF12" s="781">
        <f t="shared" ca="1" si="11"/>
        <v>0</v>
      </c>
      <c r="BH12" s="781">
        <f t="shared" ca="1" si="12"/>
        <v>0</v>
      </c>
    </row>
    <row r="13" spans="1:60" hidden="1" outlineLevel="1">
      <c r="A13" s="1464">
        <f t="shared" ca="1" si="13"/>
        <v>18</v>
      </c>
      <c r="B13" s="1464">
        <f t="shared" ca="1" si="14"/>
        <v>19</v>
      </c>
      <c r="C13" s="1464">
        <f t="shared" si="15"/>
        <v>11</v>
      </c>
      <c r="D13" s="1271" t="str">
        <f ca="1">IF(OFFSET(PortfolioDashboard!$A$3,C13-1,0)="","Blank",OFFSET(PortfolioDashboard!$A$3,C13-1,0))</f>
        <v>Waste Reduction</v>
      </c>
      <c r="E13" s="1464" t="str">
        <f t="shared" si="16"/>
        <v>MTCO2e</v>
      </c>
      <c r="F13" s="1460">
        <f t="shared" ca="1" si="1"/>
        <v>0</v>
      </c>
      <c r="G13" s="781">
        <f t="shared" ref="G13:P22" ca="1" si="17">IFERROR(OFFSET(INDIRECT(INDEX(List_of_Alternatives,MATCH($D13,NameofAlternatives,0))),$A13+G$1-$G$1,$B13),0)</f>
        <v>0</v>
      </c>
      <c r="H13" s="781">
        <f t="shared" ca="1" si="17"/>
        <v>0</v>
      </c>
      <c r="I13" s="781">
        <f t="shared" ca="1" si="17"/>
        <v>0</v>
      </c>
      <c r="J13" s="781">
        <f t="shared" ca="1" si="17"/>
        <v>0</v>
      </c>
      <c r="K13" s="781">
        <f t="shared" ca="1" si="17"/>
        <v>0</v>
      </c>
      <c r="L13" s="781">
        <f t="shared" ca="1" si="17"/>
        <v>0</v>
      </c>
      <c r="M13" s="781">
        <f t="shared" ca="1" si="17"/>
        <v>0</v>
      </c>
      <c r="N13" s="781">
        <f t="shared" ca="1" si="17"/>
        <v>0</v>
      </c>
      <c r="O13" s="781">
        <f t="shared" ca="1" si="17"/>
        <v>0</v>
      </c>
      <c r="P13" s="781">
        <f t="shared" ca="1" si="17"/>
        <v>0</v>
      </c>
      <c r="Q13" s="781">
        <f t="shared" ref="Q13:Z22" ca="1" si="18">IFERROR(OFFSET(INDIRECT(INDEX(List_of_Alternatives,MATCH($D13,NameofAlternatives,0))),$A13+Q$1-$G$1,$B13),0)</f>
        <v>0</v>
      </c>
      <c r="R13" s="781">
        <f t="shared" ca="1" si="18"/>
        <v>0</v>
      </c>
      <c r="S13" s="781">
        <f t="shared" ca="1" si="18"/>
        <v>0</v>
      </c>
      <c r="T13" s="781">
        <f t="shared" ca="1" si="18"/>
        <v>0</v>
      </c>
      <c r="U13" s="781">
        <f t="shared" ca="1" si="18"/>
        <v>0</v>
      </c>
      <c r="V13" s="781">
        <f t="shared" ca="1" si="18"/>
        <v>0</v>
      </c>
      <c r="W13" s="781">
        <f t="shared" ca="1" si="18"/>
        <v>0</v>
      </c>
      <c r="X13" s="781">
        <f t="shared" ca="1" si="18"/>
        <v>0</v>
      </c>
      <c r="Y13" s="781">
        <f t="shared" ca="1" si="18"/>
        <v>0</v>
      </c>
      <c r="Z13" s="781">
        <f t="shared" ca="1" si="18"/>
        <v>0</v>
      </c>
      <c r="AA13" s="781">
        <f t="shared" ref="AA13:AJ22" ca="1" si="19">IFERROR(OFFSET(INDIRECT(INDEX(List_of_Alternatives,MATCH($D13,NameofAlternatives,0))),$A13+AA$1-$G$1,$B13),0)</f>
        <v>0</v>
      </c>
      <c r="AB13" s="781">
        <f t="shared" ca="1" si="19"/>
        <v>0</v>
      </c>
      <c r="AC13" s="781">
        <f t="shared" ca="1" si="19"/>
        <v>0</v>
      </c>
      <c r="AD13" s="781">
        <f t="shared" ca="1" si="19"/>
        <v>0</v>
      </c>
      <c r="AE13" s="781">
        <f t="shared" ca="1" si="19"/>
        <v>0</v>
      </c>
      <c r="AF13" s="781">
        <f t="shared" ca="1" si="19"/>
        <v>0</v>
      </c>
      <c r="AG13" s="781">
        <f t="shared" ca="1" si="19"/>
        <v>0</v>
      </c>
      <c r="AH13" s="781">
        <f t="shared" ca="1" si="19"/>
        <v>0</v>
      </c>
      <c r="AI13" s="781">
        <f t="shared" ca="1" si="19"/>
        <v>0</v>
      </c>
      <c r="AJ13" s="781">
        <f t="shared" ca="1" si="19"/>
        <v>0</v>
      </c>
      <c r="AK13" s="781">
        <f t="shared" ref="AK13:AT22" ca="1" si="20">IFERROR(OFFSET(INDIRECT(INDEX(List_of_Alternatives,MATCH($D13,NameofAlternatives,0))),$A13+AK$1-$G$1,$B13),0)</f>
        <v>0</v>
      </c>
      <c r="AL13" s="781">
        <f t="shared" ca="1" si="20"/>
        <v>0</v>
      </c>
      <c r="AM13" s="781">
        <f t="shared" ca="1" si="20"/>
        <v>0</v>
      </c>
      <c r="AN13" s="781">
        <f t="shared" ca="1" si="20"/>
        <v>0</v>
      </c>
      <c r="AO13" s="781">
        <f t="shared" ca="1" si="20"/>
        <v>0</v>
      </c>
      <c r="AP13" s="781">
        <f t="shared" ca="1" si="20"/>
        <v>0</v>
      </c>
      <c r="AQ13" s="781">
        <f t="shared" ca="1" si="20"/>
        <v>0</v>
      </c>
      <c r="AR13" s="781">
        <f t="shared" ca="1" si="20"/>
        <v>0</v>
      </c>
      <c r="AS13" s="781">
        <f t="shared" ca="1" si="20"/>
        <v>0</v>
      </c>
      <c r="AT13" s="781">
        <f t="shared" ca="1" si="20"/>
        <v>0</v>
      </c>
      <c r="AV13" s="781">
        <f t="shared" ca="1" si="6"/>
        <v>0</v>
      </c>
      <c r="AX13" s="781">
        <f t="shared" ca="1" si="7"/>
        <v>0</v>
      </c>
      <c r="AZ13" s="781">
        <f t="shared" ca="1" si="8"/>
        <v>0</v>
      </c>
      <c r="BB13" s="781">
        <f t="shared" ca="1" si="9"/>
        <v>0</v>
      </c>
      <c r="BD13" s="781">
        <f t="shared" ca="1" si="10"/>
        <v>0</v>
      </c>
      <c r="BF13" s="781">
        <f t="shared" ca="1" si="11"/>
        <v>0</v>
      </c>
      <c r="BH13" s="781">
        <f t="shared" ca="1" si="12"/>
        <v>0</v>
      </c>
    </row>
    <row r="14" spans="1:60" hidden="1" outlineLevel="1">
      <c r="A14" s="1464">
        <f t="shared" ca="1" si="13"/>
        <v>18</v>
      </c>
      <c r="B14" s="1464">
        <f t="shared" ca="1" si="14"/>
        <v>19</v>
      </c>
      <c r="C14" s="1464">
        <f t="shared" si="15"/>
        <v>12</v>
      </c>
      <c r="D14" s="1271" t="str">
        <f ca="1">IF(OFFSET(PortfolioDashboard!$A$3,C14-1,0)="","Blank",OFFSET(PortfolioDashboard!$A$3,C14-1,0))</f>
        <v>Steam Line Improvements</v>
      </c>
      <c r="E14" s="1464" t="str">
        <f t="shared" si="16"/>
        <v>MTCO2e</v>
      </c>
      <c r="F14" s="1460">
        <f t="shared" ca="1" si="1"/>
        <v>0</v>
      </c>
      <c r="G14" s="781">
        <f t="shared" ca="1" si="17"/>
        <v>0</v>
      </c>
      <c r="H14" s="781">
        <f t="shared" ca="1" si="17"/>
        <v>0</v>
      </c>
      <c r="I14" s="781">
        <f t="shared" ca="1" si="17"/>
        <v>0</v>
      </c>
      <c r="J14" s="781">
        <f t="shared" ca="1" si="17"/>
        <v>0</v>
      </c>
      <c r="K14" s="781">
        <f t="shared" ca="1" si="17"/>
        <v>0</v>
      </c>
      <c r="L14" s="781">
        <f t="shared" ca="1" si="17"/>
        <v>0</v>
      </c>
      <c r="M14" s="781">
        <f t="shared" ca="1" si="17"/>
        <v>0</v>
      </c>
      <c r="N14" s="781">
        <f t="shared" ca="1" si="17"/>
        <v>0</v>
      </c>
      <c r="O14" s="781">
        <f t="shared" ca="1" si="17"/>
        <v>0</v>
      </c>
      <c r="P14" s="781">
        <f t="shared" ca="1" si="17"/>
        <v>0</v>
      </c>
      <c r="Q14" s="781">
        <f t="shared" ca="1" si="18"/>
        <v>0</v>
      </c>
      <c r="R14" s="781">
        <f t="shared" ca="1" si="18"/>
        <v>0</v>
      </c>
      <c r="S14" s="781">
        <f t="shared" ca="1" si="18"/>
        <v>0</v>
      </c>
      <c r="T14" s="781">
        <f t="shared" ca="1" si="18"/>
        <v>0</v>
      </c>
      <c r="U14" s="781">
        <f t="shared" ca="1" si="18"/>
        <v>0</v>
      </c>
      <c r="V14" s="781">
        <f t="shared" ca="1" si="18"/>
        <v>0</v>
      </c>
      <c r="W14" s="781">
        <f t="shared" ca="1" si="18"/>
        <v>0</v>
      </c>
      <c r="X14" s="781">
        <f t="shared" ca="1" si="18"/>
        <v>0</v>
      </c>
      <c r="Y14" s="781">
        <f t="shared" ca="1" si="18"/>
        <v>0</v>
      </c>
      <c r="Z14" s="781">
        <f t="shared" ca="1" si="18"/>
        <v>0</v>
      </c>
      <c r="AA14" s="781">
        <f t="shared" ca="1" si="19"/>
        <v>0</v>
      </c>
      <c r="AB14" s="781">
        <f t="shared" ca="1" si="19"/>
        <v>0</v>
      </c>
      <c r="AC14" s="781">
        <f t="shared" ca="1" si="19"/>
        <v>0</v>
      </c>
      <c r="AD14" s="781">
        <f t="shared" ca="1" si="19"/>
        <v>0</v>
      </c>
      <c r="AE14" s="781">
        <f t="shared" ca="1" si="19"/>
        <v>0</v>
      </c>
      <c r="AF14" s="781">
        <f t="shared" ca="1" si="19"/>
        <v>0</v>
      </c>
      <c r="AG14" s="781">
        <f t="shared" ca="1" si="19"/>
        <v>0</v>
      </c>
      <c r="AH14" s="781">
        <f t="shared" ca="1" si="19"/>
        <v>0</v>
      </c>
      <c r="AI14" s="781">
        <f t="shared" ca="1" si="19"/>
        <v>0</v>
      </c>
      <c r="AJ14" s="781">
        <f t="shared" ca="1" si="19"/>
        <v>0</v>
      </c>
      <c r="AK14" s="781">
        <f t="shared" ca="1" si="20"/>
        <v>0</v>
      </c>
      <c r="AL14" s="781">
        <f t="shared" ca="1" si="20"/>
        <v>0</v>
      </c>
      <c r="AM14" s="781">
        <f t="shared" ca="1" si="20"/>
        <v>0</v>
      </c>
      <c r="AN14" s="781">
        <f t="shared" ca="1" si="20"/>
        <v>0</v>
      </c>
      <c r="AO14" s="781">
        <f t="shared" ca="1" si="20"/>
        <v>0</v>
      </c>
      <c r="AP14" s="781">
        <f t="shared" ca="1" si="20"/>
        <v>0</v>
      </c>
      <c r="AQ14" s="781">
        <f t="shared" ca="1" si="20"/>
        <v>0</v>
      </c>
      <c r="AR14" s="781">
        <f t="shared" ca="1" si="20"/>
        <v>0</v>
      </c>
      <c r="AS14" s="781">
        <f t="shared" ca="1" si="20"/>
        <v>0</v>
      </c>
      <c r="AT14" s="781">
        <f t="shared" ca="1" si="20"/>
        <v>0</v>
      </c>
      <c r="AV14" s="781">
        <f t="shared" ca="1" si="6"/>
        <v>0</v>
      </c>
      <c r="AX14" s="781">
        <f t="shared" ca="1" si="7"/>
        <v>0</v>
      </c>
      <c r="AZ14" s="781">
        <f t="shared" ca="1" si="8"/>
        <v>0</v>
      </c>
      <c r="BB14" s="781">
        <f t="shared" ca="1" si="9"/>
        <v>0</v>
      </c>
      <c r="BD14" s="781">
        <f t="shared" ca="1" si="10"/>
        <v>0</v>
      </c>
      <c r="BF14" s="781">
        <f t="shared" ca="1" si="11"/>
        <v>0</v>
      </c>
      <c r="BH14" s="781">
        <f t="shared" ca="1" si="12"/>
        <v>0</v>
      </c>
    </row>
    <row r="15" spans="1:60" hidden="1" outlineLevel="1">
      <c r="A15" s="1464">
        <f t="shared" ca="1" si="13"/>
        <v>18</v>
      </c>
      <c r="B15" s="1464">
        <f t="shared" ca="1" si="14"/>
        <v>19</v>
      </c>
      <c r="C15" s="1464">
        <f t="shared" si="15"/>
        <v>13</v>
      </c>
      <c r="D15" s="1271" t="str">
        <f ca="1">IF(OFFSET(PortfolioDashboard!$A$3,C15-1,0)="","Blank",OFFSET(PortfolioDashboard!$A$3,C15-1,0))</f>
        <v>Coal to Natural Gas Conversion @ Steam Plant</v>
      </c>
      <c r="E15" s="1464" t="str">
        <f t="shared" si="16"/>
        <v>MTCO2e</v>
      </c>
      <c r="F15" s="1460">
        <f t="shared" ca="1" si="1"/>
        <v>0</v>
      </c>
      <c r="G15" s="781">
        <f t="shared" ca="1" si="17"/>
        <v>0</v>
      </c>
      <c r="H15" s="781">
        <f t="shared" ca="1" si="17"/>
        <v>0</v>
      </c>
      <c r="I15" s="781">
        <f t="shared" ca="1" si="17"/>
        <v>0</v>
      </c>
      <c r="J15" s="781">
        <f t="shared" ca="1" si="17"/>
        <v>0</v>
      </c>
      <c r="K15" s="781">
        <f t="shared" ca="1" si="17"/>
        <v>0</v>
      </c>
      <c r="L15" s="781">
        <f t="shared" ca="1" si="17"/>
        <v>0</v>
      </c>
      <c r="M15" s="781">
        <f t="shared" ca="1" si="17"/>
        <v>0</v>
      </c>
      <c r="N15" s="781">
        <f t="shared" ca="1" si="17"/>
        <v>0</v>
      </c>
      <c r="O15" s="781">
        <f t="shared" ca="1" si="17"/>
        <v>0</v>
      </c>
      <c r="P15" s="781">
        <f t="shared" ca="1" si="17"/>
        <v>0</v>
      </c>
      <c r="Q15" s="781">
        <f t="shared" ca="1" si="18"/>
        <v>0</v>
      </c>
      <c r="R15" s="781">
        <f t="shared" ca="1" si="18"/>
        <v>0</v>
      </c>
      <c r="S15" s="781">
        <f t="shared" ca="1" si="18"/>
        <v>0</v>
      </c>
      <c r="T15" s="781">
        <f t="shared" ca="1" si="18"/>
        <v>0</v>
      </c>
      <c r="U15" s="781">
        <f t="shared" ca="1" si="18"/>
        <v>0</v>
      </c>
      <c r="V15" s="781">
        <f t="shared" ca="1" si="18"/>
        <v>0</v>
      </c>
      <c r="W15" s="781">
        <f t="shared" ca="1" si="18"/>
        <v>0</v>
      </c>
      <c r="X15" s="781">
        <f t="shared" ca="1" si="18"/>
        <v>0</v>
      </c>
      <c r="Y15" s="781">
        <f t="shared" ca="1" si="18"/>
        <v>0</v>
      </c>
      <c r="Z15" s="781">
        <f t="shared" ca="1" si="18"/>
        <v>0</v>
      </c>
      <c r="AA15" s="781">
        <f t="shared" ca="1" si="19"/>
        <v>0</v>
      </c>
      <c r="AB15" s="781">
        <f t="shared" ca="1" si="19"/>
        <v>0</v>
      </c>
      <c r="AC15" s="781">
        <f t="shared" ca="1" si="19"/>
        <v>0</v>
      </c>
      <c r="AD15" s="781">
        <f t="shared" ca="1" si="19"/>
        <v>0</v>
      </c>
      <c r="AE15" s="781">
        <f t="shared" ca="1" si="19"/>
        <v>0</v>
      </c>
      <c r="AF15" s="781">
        <f t="shared" ca="1" si="19"/>
        <v>0</v>
      </c>
      <c r="AG15" s="781">
        <f t="shared" ca="1" si="19"/>
        <v>0</v>
      </c>
      <c r="AH15" s="781">
        <f t="shared" ca="1" si="19"/>
        <v>0</v>
      </c>
      <c r="AI15" s="781">
        <f t="shared" ca="1" si="19"/>
        <v>0</v>
      </c>
      <c r="AJ15" s="781">
        <f t="shared" ca="1" si="19"/>
        <v>0</v>
      </c>
      <c r="AK15" s="781">
        <f t="shared" ca="1" si="20"/>
        <v>0</v>
      </c>
      <c r="AL15" s="781">
        <f t="shared" ca="1" si="20"/>
        <v>0</v>
      </c>
      <c r="AM15" s="781">
        <f t="shared" ca="1" si="20"/>
        <v>0</v>
      </c>
      <c r="AN15" s="781">
        <f t="shared" ca="1" si="20"/>
        <v>0</v>
      </c>
      <c r="AO15" s="781">
        <f t="shared" ca="1" si="20"/>
        <v>0</v>
      </c>
      <c r="AP15" s="781">
        <f t="shared" ca="1" si="20"/>
        <v>0</v>
      </c>
      <c r="AQ15" s="781">
        <f t="shared" ca="1" si="20"/>
        <v>0</v>
      </c>
      <c r="AR15" s="781">
        <f t="shared" ca="1" si="20"/>
        <v>0</v>
      </c>
      <c r="AS15" s="781">
        <f t="shared" ca="1" si="20"/>
        <v>0</v>
      </c>
      <c r="AT15" s="781">
        <f t="shared" ca="1" si="20"/>
        <v>0</v>
      </c>
      <c r="AV15" s="781">
        <f t="shared" ca="1" si="6"/>
        <v>0</v>
      </c>
      <c r="AX15" s="781">
        <f t="shared" ca="1" si="7"/>
        <v>0</v>
      </c>
      <c r="AZ15" s="781">
        <f t="shared" ca="1" si="8"/>
        <v>0</v>
      </c>
      <c r="BB15" s="781">
        <f t="shared" ca="1" si="9"/>
        <v>0</v>
      </c>
      <c r="BD15" s="781">
        <f t="shared" ca="1" si="10"/>
        <v>0</v>
      </c>
      <c r="BF15" s="781">
        <f t="shared" ca="1" si="11"/>
        <v>0</v>
      </c>
      <c r="BH15" s="781">
        <f t="shared" ca="1" si="12"/>
        <v>0</v>
      </c>
    </row>
    <row r="16" spans="1:60" hidden="1" outlineLevel="1">
      <c r="A16" s="1464">
        <f t="shared" ca="1" si="13"/>
        <v>18</v>
      </c>
      <c r="B16" s="1464">
        <f t="shared" ca="1" si="14"/>
        <v>19</v>
      </c>
      <c r="C16" s="1464">
        <f t="shared" si="15"/>
        <v>14</v>
      </c>
      <c r="D16" s="1271" t="str">
        <f ca="1">IF(OFFSET(PortfolioDashboard!$A$3,C16-1,0)="","Blank",OFFSET(PortfolioDashboard!$A$3,C16-1,0))</f>
        <v>On-site Wind</v>
      </c>
      <c r="E16" s="1464" t="str">
        <f t="shared" si="16"/>
        <v>MTCO2e</v>
      </c>
      <c r="F16" s="1460">
        <f t="shared" ca="1" si="1"/>
        <v>0</v>
      </c>
      <c r="G16" s="781">
        <f t="shared" ca="1" si="17"/>
        <v>0</v>
      </c>
      <c r="H16" s="781">
        <f t="shared" ca="1" si="17"/>
        <v>0</v>
      </c>
      <c r="I16" s="781">
        <f t="shared" ca="1" si="17"/>
        <v>0</v>
      </c>
      <c r="J16" s="781">
        <f t="shared" ca="1" si="17"/>
        <v>0</v>
      </c>
      <c r="K16" s="781">
        <f t="shared" ca="1" si="17"/>
        <v>0</v>
      </c>
      <c r="L16" s="781">
        <f t="shared" ca="1" si="17"/>
        <v>0</v>
      </c>
      <c r="M16" s="781">
        <f t="shared" ca="1" si="17"/>
        <v>0</v>
      </c>
      <c r="N16" s="781">
        <f t="shared" ca="1" si="17"/>
        <v>0</v>
      </c>
      <c r="O16" s="781">
        <f t="shared" ca="1" si="17"/>
        <v>0</v>
      </c>
      <c r="P16" s="781">
        <f t="shared" ca="1" si="17"/>
        <v>0</v>
      </c>
      <c r="Q16" s="781">
        <f t="shared" ca="1" si="18"/>
        <v>0</v>
      </c>
      <c r="R16" s="781">
        <f t="shared" ca="1" si="18"/>
        <v>0</v>
      </c>
      <c r="S16" s="781">
        <f t="shared" ca="1" si="18"/>
        <v>0</v>
      </c>
      <c r="T16" s="781">
        <f t="shared" ca="1" si="18"/>
        <v>0</v>
      </c>
      <c r="U16" s="781">
        <f t="shared" ca="1" si="18"/>
        <v>0</v>
      </c>
      <c r="V16" s="781">
        <f t="shared" ca="1" si="18"/>
        <v>0</v>
      </c>
      <c r="W16" s="781">
        <f t="shared" ca="1" si="18"/>
        <v>0</v>
      </c>
      <c r="X16" s="781">
        <f t="shared" ca="1" si="18"/>
        <v>0</v>
      </c>
      <c r="Y16" s="781">
        <f t="shared" ca="1" si="18"/>
        <v>0</v>
      </c>
      <c r="Z16" s="781">
        <f t="shared" ca="1" si="18"/>
        <v>0</v>
      </c>
      <c r="AA16" s="781">
        <f t="shared" ca="1" si="19"/>
        <v>0</v>
      </c>
      <c r="AB16" s="781">
        <f t="shared" ca="1" si="19"/>
        <v>0</v>
      </c>
      <c r="AC16" s="781">
        <f t="shared" ca="1" si="19"/>
        <v>0</v>
      </c>
      <c r="AD16" s="781">
        <f t="shared" ca="1" si="19"/>
        <v>0</v>
      </c>
      <c r="AE16" s="781">
        <f t="shared" ca="1" si="19"/>
        <v>0</v>
      </c>
      <c r="AF16" s="781">
        <f t="shared" ca="1" si="19"/>
        <v>0</v>
      </c>
      <c r="AG16" s="781">
        <f t="shared" ca="1" si="19"/>
        <v>0</v>
      </c>
      <c r="AH16" s="781">
        <f t="shared" ca="1" si="19"/>
        <v>0</v>
      </c>
      <c r="AI16" s="781">
        <f t="shared" ca="1" si="19"/>
        <v>0</v>
      </c>
      <c r="AJ16" s="781">
        <f t="shared" ca="1" si="19"/>
        <v>0</v>
      </c>
      <c r="AK16" s="781">
        <f t="shared" ca="1" si="20"/>
        <v>0</v>
      </c>
      <c r="AL16" s="781">
        <f t="shared" ca="1" si="20"/>
        <v>0</v>
      </c>
      <c r="AM16" s="781">
        <f t="shared" ca="1" si="20"/>
        <v>0</v>
      </c>
      <c r="AN16" s="781">
        <f t="shared" ca="1" si="20"/>
        <v>0</v>
      </c>
      <c r="AO16" s="781">
        <f t="shared" ca="1" si="20"/>
        <v>0</v>
      </c>
      <c r="AP16" s="781">
        <f t="shared" ca="1" si="20"/>
        <v>0</v>
      </c>
      <c r="AQ16" s="781">
        <f t="shared" ca="1" si="20"/>
        <v>0</v>
      </c>
      <c r="AR16" s="781">
        <f t="shared" ca="1" si="20"/>
        <v>0</v>
      </c>
      <c r="AS16" s="781">
        <f t="shared" ca="1" si="20"/>
        <v>0</v>
      </c>
      <c r="AT16" s="781">
        <f t="shared" ca="1" si="20"/>
        <v>0</v>
      </c>
      <c r="AV16" s="781">
        <f t="shared" ca="1" si="6"/>
        <v>0</v>
      </c>
      <c r="AX16" s="781">
        <f t="shared" ca="1" si="7"/>
        <v>0</v>
      </c>
      <c r="AZ16" s="781">
        <f t="shared" ca="1" si="8"/>
        <v>0</v>
      </c>
      <c r="BB16" s="781">
        <f t="shared" ca="1" si="9"/>
        <v>0</v>
      </c>
      <c r="BD16" s="781">
        <f t="shared" ca="1" si="10"/>
        <v>0</v>
      </c>
      <c r="BF16" s="781">
        <f t="shared" ca="1" si="11"/>
        <v>0</v>
      </c>
      <c r="BH16" s="781">
        <f t="shared" ca="1" si="12"/>
        <v>0</v>
      </c>
    </row>
    <row r="17" spans="1:60" hidden="1" outlineLevel="1">
      <c r="A17" s="1464">
        <f t="shared" ca="1" si="13"/>
        <v>18</v>
      </c>
      <c r="B17" s="1464">
        <f t="shared" ca="1" si="14"/>
        <v>19</v>
      </c>
      <c r="C17" s="1464">
        <f t="shared" si="15"/>
        <v>15</v>
      </c>
      <c r="D17" s="1271" t="str">
        <f ca="1">IF(OFFSET(PortfolioDashboard!$A$3,C17-1,0)="","Blank",OFFSET(PortfolioDashboard!$A$3,C17-1,0))</f>
        <v>Solar DHW</v>
      </c>
      <c r="E17" s="1464" t="str">
        <f t="shared" si="16"/>
        <v>MTCO2e</v>
      </c>
      <c r="F17" s="1460">
        <f t="shared" ca="1" si="1"/>
        <v>0</v>
      </c>
      <c r="G17" s="781">
        <f t="shared" ca="1" si="17"/>
        <v>0</v>
      </c>
      <c r="H17" s="781">
        <f t="shared" ca="1" si="17"/>
        <v>0</v>
      </c>
      <c r="I17" s="781">
        <f t="shared" ca="1" si="17"/>
        <v>0</v>
      </c>
      <c r="J17" s="781">
        <f t="shared" ca="1" si="17"/>
        <v>0</v>
      </c>
      <c r="K17" s="781">
        <f t="shared" ca="1" si="17"/>
        <v>0</v>
      </c>
      <c r="L17" s="781">
        <f t="shared" ca="1" si="17"/>
        <v>0</v>
      </c>
      <c r="M17" s="781">
        <f t="shared" ca="1" si="17"/>
        <v>0</v>
      </c>
      <c r="N17" s="781">
        <f t="shared" ca="1" si="17"/>
        <v>0</v>
      </c>
      <c r="O17" s="781">
        <f t="shared" ca="1" si="17"/>
        <v>0</v>
      </c>
      <c r="P17" s="781">
        <f t="shared" ca="1" si="17"/>
        <v>0</v>
      </c>
      <c r="Q17" s="781">
        <f t="shared" ca="1" si="18"/>
        <v>0</v>
      </c>
      <c r="R17" s="781">
        <f t="shared" ca="1" si="18"/>
        <v>0</v>
      </c>
      <c r="S17" s="781">
        <f t="shared" ca="1" si="18"/>
        <v>0</v>
      </c>
      <c r="T17" s="781">
        <f t="shared" ca="1" si="18"/>
        <v>0</v>
      </c>
      <c r="U17" s="781">
        <f t="shared" ca="1" si="18"/>
        <v>0</v>
      </c>
      <c r="V17" s="781">
        <f t="shared" ca="1" si="18"/>
        <v>0</v>
      </c>
      <c r="W17" s="781">
        <f t="shared" ca="1" si="18"/>
        <v>0</v>
      </c>
      <c r="X17" s="781">
        <f t="shared" ca="1" si="18"/>
        <v>0</v>
      </c>
      <c r="Y17" s="781">
        <f t="shared" ca="1" si="18"/>
        <v>0</v>
      </c>
      <c r="Z17" s="781">
        <f t="shared" ca="1" si="18"/>
        <v>0</v>
      </c>
      <c r="AA17" s="781">
        <f t="shared" ca="1" si="19"/>
        <v>0</v>
      </c>
      <c r="AB17" s="781">
        <f t="shared" ca="1" si="19"/>
        <v>0</v>
      </c>
      <c r="AC17" s="781">
        <f t="shared" ca="1" si="19"/>
        <v>0</v>
      </c>
      <c r="AD17" s="781">
        <f t="shared" ca="1" si="19"/>
        <v>0</v>
      </c>
      <c r="AE17" s="781">
        <f t="shared" ca="1" si="19"/>
        <v>0</v>
      </c>
      <c r="AF17" s="781">
        <f t="shared" ca="1" si="19"/>
        <v>0</v>
      </c>
      <c r="AG17" s="781">
        <f t="shared" ca="1" si="19"/>
        <v>0</v>
      </c>
      <c r="AH17" s="781">
        <f t="shared" ca="1" si="19"/>
        <v>0</v>
      </c>
      <c r="AI17" s="781">
        <f t="shared" ca="1" si="19"/>
        <v>0</v>
      </c>
      <c r="AJ17" s="781">
        <f t="shared" ca="1" si="19"/>
        <v>0</v>
      </c>
      <c r="AK17" s="781">
        <f t="shared" ca="1" si="20"/>
        <v>0</v>
      </c>
      <c r="AL17" s="781">
        <f t="shared" ca="1" si="20"/>
        <v>0</v>
      </c>
      <c r="AM17" s="781">
        <f t="shared" ca="1" si="20"/>
        <v>0</v>
      </c>
      <c r="AN17" s="781">
        <f t="shared" ca="1" si="20"/>
        <v>0</v>
      </c>
      <c r="AO17" s="781">
        <f t="shared" ca="1" si="20"/>
        <v>0</v>
      </c>
      <c r="AP17" s="781">
        <f t="shared" ca="1" si="20"/>
        <v>0</v>
      </c>
      <c r="AQ17" s="781">
        <f t="shared" ca="1" si="20"/>
        <v>0</v>
      </c>
      <c r="AR17" s="781">
        <f t="shared" ca="1" si="20"/>
        <v>0</v>
      </c>
      <c r="AS17" s="781">
        <f t="shared" ca="1" si="20"/>
        <v>0</v>
      </c>
      <c r="AT17" s="781">
        <f t="shared" ca="1" si="20"/>
        <v>0</v>
      </c>
      <c r="AV17" s="781">
        <f t="shared" ca="1" si="6"/>
        <v>0</v>
      </c>
      <c r="AX17" s="781">
        <f t="shared" ca="1" si="7"/>
        <v>0</v>
      </c>
      <c r="AZ17" s="781">
        <f t="shared" ca="1" si="8"/>
        <v>0</v>
      </c>
      <c r="BB17" s="781">
        <f t="shared" ca="1" si="9"/>
        <v>0</v>
      </c>
      <c r="BD17" s="781">
        <f t="shared" ca="1" si="10"/>
        <v>0</v>
      </c>
      <c r="BF17" s="781">
        <f t="shared" ca="1" si="11"/>
        <v>0</v>
      </c>
      <c r="BH17" s="781">
        <f t="shared" ca="1" si="12"/>
        <v>0</v>
      </c>
    </row>
    <row r="18" spans="1:60" hidden="1" outlineLevel="1">
      <c r="A18" s="1464">
        <f t="shared" ca="1" si="13"/>
        <v>18</v>
      </c>
      <c r="B18" s="1464">
        <f t="shared" ca="1" si="14"/>
        <v>19</v>
      </c>
      <c r="C18" s="1464">
        <f t="shared" si="15"/>
        <v>16</v>
      </c>
      <c r="D18" s="1271" t="str">
        <f ca="1">IF(OFFSET(PortfolioDashboard!$A$3,C18-1,0)="","Blank",OFFSET(PortfolioDashboard!$A$3,C18-1,0))</f>
        <v>Geo Exchange</v>
      </c>
      <c r="E18" s="1464" t="str">
        <f t="shared" si="16"/>
        <v>MTCO2e</v>
      </c>
      <c r="F18" s="1460">
        <f t="shared" ca="1" si="1"/>
        <v>0</v>
      </c>
      <c r="G18" s="781">
        <f t="shared" ca="1" si="17"/>
        <v>0</v>
      </c>
      <c r="H18" s="781">
        <f t="shared" ca="1" si="17"/>
        <v>0</v>
      </c>
      <c r="I18" s="781">
        <f t="shared" ca="1" si="17"/>
        <v>0</v>
      </c>
      <c r="J18" s="781">
        <f t="shared" ca="1" si="17"/>
        <v>0</v>
      </c>
      <c r="K18" s="781">
        <f t="shared" ca="1" si="17"/>
        <v>0</v>
      </c>
      <c r="L18" s="781">
        <f t="shared" ca="1" si="17"/>
        <v>0</v>
      </c>
      <c r="M18" s="781">
        <f t="shared" ca="1" si="17"/>
        <v>0</v>
      </c>
      <c r="N18" s="781">
        <f t="shared" ca="1" si="17"/>
        <v>0</v>
      </c>
      <c r="O18" s="781">
        <f t="shared" ca="1" si="17"/>
        <v>0</v>
      </c>
      <c r="P18" s="781">
        <f t="shared" ca="1" si="17"/>
        <v>0</v>
      </c>
      <c r="Q18" s="781">
        <f t="shared" ca="1" si="18"/>
        <v>0</v>
      </c>
      <c r="R18" s="781">
        <f t="shared" ca="1" si="18"/>
        <v>0</v>
      </c>
      <c r="S18" s="781">
        <f t="shared" ca="1" si="18"/>
        <v>0</v>
      </c>
      <c r="T18" s="781">
        <f t="shared" ca="1" si="18"/>
        <v>0</v>
      </c>
      <c r="U18" s="781">
        <f t="shared" ca="1" si="18"/>
        <v>0</v>
      </c>
      <c r="V18" s="781">
        <f t="shared" ca="1" si="18"/>
        <v>0</v>
      </c>
      <c r="W18" s="781">
        <f t="shared" ca="1" si="18"/>
        <v>0</v>
      </c>
      <c r="X18" s="781">
        <f t="shared" ca="1" si="18"/>
        <v>0</v>
      </c>
      <c r="Y18" s="781">
        <f t="shared" ca="1" si="18"/>
        <v>0</v>
      </c>
      <c r="Z18" s="781">
        <f t="shared" ca="1" si="18"/>
        <v>0</v>
      </c>
      <c r="AA18" s="781">
        <f t="shared" ca="1" si="19"/>
        <v>0</v>
      </c>
      <c r="AB18" s="781">
        <f t="shared" ca="1" si="19"/>
        <v>0</v>
      </c>
      <c r="AC18" s="781">
        <f t="shared" ca="1" si="19"/>
        <v>0</v>
      </c>
      <c r="AD18" s="781">
        <f t="shared" ca="1" si="19"/>
        <v>0</v>
      </c>
      <c r="AE18" s="781">
        <f t="shared" ca="1" si="19"/>
        <v>0</v>
      </c>
      <c r="AF18" s="781">
        <f t="shared" ca="1" si="19"/>
        <v>0</v>
      </c>
      <c r="AG18" s="781">
        <f t="shared" ca="1" si="19"/>
        <v>0</v>
      </c>
      <c r="AH18" s="781">
        <f t="shared" ca="1" si="19"/>
        <v>0</v>
      </c>
      <c r="AI18" s="781">
        <f t="shared" ca="1" si="19"/>
        <v>0</v>
      </c>
      <c r="AJ18" s="781">
        <f t="shared" ca="1" si="19"/>
        <v>0</v>
      </c>
      <c r="AK18" s="781">
        <f t="shared" ca="1" si="20"/>
        <v>0</v>
      </c>
      <c r="AL18" s="781">
        <f t="shared" ca="1" si="20"/>
        <v>0</v>
      </c>
      <c r="AM18" s="781">
        <f t="shared" ca="1" si="20"/>
        <v>0</v>
      </c>
      <c r="AN18" s="781">
        <f t="shared" ca="1" si="20"/>
        <v>0</v>
      </c>
      <c r="AO18" s="781">
        <f t="shared" ca="1" si="20"/>
        <v>0</v>
      </c>
      <c r="AP18" s="781">
        <f t="shared" ca="1" si="20"/>
        <v>0</v>
      </c>
      <c r="AQ18" s="781">
        <f t="shared" ca="1" si="20"/>
        <v>0</v>
      </c>
      <c r="AR18" s="781">
        <f t="shared" ca="1" si="20"/>
        <v>0</v>
      </c>
      <c r="AS18" s="781">
        <f t="shared" ca="1" si="20"/>
        <v>0</v>
      </c>
      <c r="AT18" s="781">
        <f t="shared" ca="1" si="20"/>
        <v>0</v>
      </c>
      <c r="AV18" s="781">
        <f t="shared" ca="1" si="6"/>
        <v>0</v>
      </c>
      <c r="AX18" s="781">
        <f t="shared" ca="1" si="7"/>
        <v>0</v>
      </c>
      <c r="AZ18" s="781">
        <f t="shared" ca="1" si="8"/>
        <v>0</v>
      </c>
      <c r="BB18" s="781">
        <f t="shared" ca="1" si="9"/>
        <v>0</v>
      </c>
      <c r="BD18" s="781">
        <f t="shared" ca="1" si="10"/>
        <v>0</v>
      </c>
      <c r="BF18" s="781">
        <f t="shared" ca="1" si="11"/>
        <v>0</v>
      </c>
      <c r="BH18" s="781">
        <f t="shared" ca="1" si="12"/>
        <v>0</v>
      </c>
    </row>
    <row r="19" spans="1:60" hidden="1" outlineLevel="1">
      <c r="A19" s="1464">
        <f t="shared" ca="1" si="13"/>
        <v>18</v>
      </c>
      <c r="B19" s="1464">
        <f t="shared" ca="1" si="14"/>
        <v>19</v>
      </c>
      <c r="C19" s="1464">
        <f t="shared" si="15"/>
        <v>17</v>
      </c>
      <c r="D19" s="1271" t="str">
        <f ca="1">IF(OFFSET(PortfolioDashboard!$A$3,C19-1,0)="","Blank",OFFSET(PortfolioDashboard!$A$3,C19-1,0))</f>
        <v>Rooftop Solar PV</v>
      </c>
      <c r="E19" s="1464" t="str">
        <f t="shared" si="16"/>
        <v>MTCO2e</v>
      </c>
      <c r="F19" s="1460">
        <f t="shared" ca="1" si="1"/>
        <v>0</v>
      </c>
      <c r="G19" s="781">
        <f t="shared" ca="1" si="17"/>
        <v>0</v>
      </c>
      <c r="H19" s="781">
        <f t="shared" ca="1" si="17"/>
        <v>0</v>
      </c>
      <c r="I19" s="781">
        <f t="shared" ca="1" si="17"/>
        <v>0</v>
      </c>
      <c r="J19" s="781">
        <f t="shared" ca="1" si="17"/>
        <v>0</v>
      </c>
      <c r="K19" s="781">
        <f t="shared" ca="1" si="17"/>
        <v>0</v>
      </c>
      <c r="L19" s="781">
        <f t="shared" ca="1" si="17"/>
        <v>0</v>
      </c>
      <c r="M19" s="781">
        <f t="shared" ca="1" si="17"/>
        <v>0</v>
      </c>
      <c r="N19" s="781">
        <f t="shared" ca="1" si="17"/>
        <v>0</v>
      </c>
      <c r="O19" s="781">
        <f t="shared" ca="1" si="17"/>
        <v>0</v>
      </c>
      <c r="P19" s="781">
        <f t="shared" ca="1" si="17"/>
        <v>0</v>
      </c>
      <c r="Q19" s="781">
        <f t="shared" ca="1" si="18"/>
        <v>0</v>
      </c>
      <c r="R19" s="781">
        <f t="shared" ca="1" si="18"/>
        <v>0</v>
      </c>
      <c r="S19" s="781">
        <f t="shared" ca="1" si="18"/>
        <v>0</v>
      </c>
      <c r="T19" s="781">
        <f t="shared" ca="1" si="18"/>
        <v>0</v>
      </c>
      <c r="U19" s="781">
        <f t="shared" ca="1" si="18"/>
        <v>0</v>
      </c>
      <c r="V19" s="781">
        <f t="shared" ca="1" si="18"/>
        <v>0</v>
      </c>
      <c r="W19" s="781">
        <f t="shared" ca="1" si="18"/>
        <v>0</v>
      </c>
      <c r="X19" s="781">
        <f t="shared" ca="1" si="18"/>
        <v>0</v>
      </c>
      <c r="Y19" s="781">
        <f t="shared" ca="1" si="18"/>
        <v>0</v>
      </c>
      <c r="Z19" s="781">
        <f t="shared" ca="1" si="18"/>
        <v>0</v>
      </c>
      <c r="AA19" s="781">
        <f t="shared" ca="1" si="19"/>
        <v>0</v>
      </c>
      <c r="AB19" s="781">
        <f t="shared" ca="1" si="19"/>
        <v>0</v>
      </c>
      <c r="AC19" s="781">
        <f t="shared" ca="1" si="19"/>
        <v>0</v>
      </c>
      <c r="AD19" s="781">
        <f t="shared" ca="1" si="19"/>
        <v>0</v>
      </c>
      <c r="AE19" s="781">
        <f t="shared" ca="1" si="19"/>
        <v>0</v>
      </c>
      <c r="AF19" s="781">
        <f t="shared" ca="1" si="19"/>
        <v>0</v>
      </c>
      <c r="AG19" s="781">
        <f t="shared" ca="1" si="19"/>
        <v>0</v>
      </c>
      <c r="AH19" s="781">
        <f t="shared" ca="1" si="19"/>
        <v>0</v>
      </c>
      <c r="AI19" s="781">
        <f t="shared" ca="1" si="19"/>
        <v>0</v>
      </c>
      <c r="AJ19" s="781">
        <f t="shared" ca="1" si="19"/>
        <v>0</v>
      </c>
      <c r="AK19" s="781">
        <f t="shared" ca="1" si="20"/>
        <v>0</v>
      </c>
      <c r="AL19" s="781">
        <f t="shared" ca="1" si="20"/>
        <v>0</v>
      </c>
      <c r="AM19" s="781">
        <f t="shared" ca="1" si="20"/>
        <v>0</v>
      </c>
      <c r="AN19" s="781">
        <f t="shared" ca="1" si="20"/>
        <v>0</v>
      </c>
      <c r="AO19" s="781">
        <f t="shared" ca="1" si="20"/>
        <v>0</v>
      </c>
      <c r="AP19" s="781">
        <f t="shared" ca="1" si="20"/>
        <v>0</v>
      </c>
      <c r="AQ19" s="781">
        <f t="shared" ca="1" si="20"/>
        <v>0</v>
      </c>
      <c r="AR19" s="781">
        <f t="shared" ca="1" si="20"/>
        <v>0</v>
      </c>
      <c r="AS19" s="781">
        <f t="shared" ca="1" si="20"/>
        <v>0</v>
      </c>
      <c r="AT19" s="781">
        <f t="shared" ca="1" si="20"/>
        <v>0</v>
      </c>
      <c r="AV19" s="781">
        <f t="shared" ca="1" si="6"/>
        <v>0</v>
      </c>
      <c r="AX19" s="781">
        <f t="shared" ca="1" si="7"/>
        <v>0</v>
      </c>
      <c r="AZ19" s="781">
        <f t="shared" ca="1" si="8"/>
        <v>0</v>
      </c>
      <c r="BB19" s="781">
        <f t="shared" ca="1" si="9"/>
        <v>0</v>
      </c>
      <c r="BD19" s="781">
        <f t="shared" ca="1" si="10"/>
        <v>0</v>
      </c>
      <c r="BF19" s="781">
        <f t="shared" ca="1" si="11"/>
        <v>0</v>
      </c>
      <c r="BH19" s="781">
        <f t="shared" ca="1" si="12"/>
        <v>0</v>
      </c>
    </row>
    <row r="20" spans="1:60" hidden="1" outlineLevel="1">
      <c r="A20" s="1464">
        <f t="shared" ca="1" si="13"/>
        <v>18</v>
      </c>
      <c r="B20" s="1464">
        <f t="shared" ca="1" si="14"/>
        <v>19</v>
      </c>
      <c r="C20" s="1464">
        <f t="shared" si="15"/>
        <v>18</v>
      </c>
      <c r="D20" s="1271" t="str">
        <f ca="1">IF(OFFSET(PortfolioDashboard!$A$3,C20-1,0)="","Blank",OFFSET(PortfolioDashboard!$A$3,C20-1,0))</f>
        <v>Blank</v>
      </c>
      <c r="E20" s="1464" t="str">
        <f t="shared" si="16"/>
        <v>MTCO2e</v>
      </c>
      <c r="F20" s="1460">
        <f t="shared" ca="1" si="1"/>
        <v>0</v>
      </c>
      <c r="G20" s="781">
        <f t="shared" ca="1" si="17"/>
        <v>0</v>
      </c>
      <c r="H20" s="781">
        <f t="shared" ca="1" si="17"/>
        <v>0</v>
      </c>
      <c r="I20" s="781">
        <f t="shared" ca="1" si="17"/>
        <v>0</v>
      </c>
      <c r="J20" s="781">
        <f t="shared" ca="1" si="17"/>
        <v>0</v>
      </c>
      <c r="K20" s="781">
        <f t="shared" ca="1" si="17"/>
        <v>0</v>
      </c>
      <c r="L20" s="781">
        <f t="shared" ca="1" si="17"/>
        <v>0</v>
      </c>
      <c r="M20" s="781">
        <f t="shared" ca="1" si="17"/>
        <v>0</v>
      </c>
      <c r="N20" s="781">
        <f t="shared" ca="1" si="17"/>
        <v>0</v>
      </c>
      <c r="O20" s="781">
        <f t="shared" ca="1" si="17"/>
        <v>0</v>
      </c>
      <c r="P20" s="781">
        <f t="shared" ca="1" si="17"/>
        <v>0</v>
      </c>
      <c r="Q20" s="781">
        <f t="shared" ca="1" si="18"/>
        <v>0</v>
      </c>
      <c r="R20" s="781">
        <f t="shared" ca="1" si="18"/>
        <v>0</v>
      </c>
      <c r="S20" s="781">
        <f t="shared" ca="1" si="18"/>
        <v>0</v>
      </c>
      <c r="T20" s="781">
        <f t="shared" ca="1" si="18"/>
        <v>0</v>
      </c>
      <c r="U20" s="781">
        <f t="shared" ca="1" si="18"/>
        <v>0</v>
      </c>
      <c r="V20" s="781">
        <f t="shared" ca="1" si="18"/>
        <v>0</v>
      </c>
      <c r="W20" s="781">
        <f t="shared" ca="1" si="18"/>
        <v>0</v>
      </c>
      <c r="X20" s="781">
        <f t="shared" ca="1" si="18"/>
        <v>0</v>
      </c>
      <c r="Y20" s="781">
        <f t="shared" ca="1" si="18"/>
        <v>0</v>
      </c>
      <c r="Z20" s="781">
        <f t="shared" ca="1" si="18"/>
        <v>0</v>
      </c>
      <c r="AA20" s="781">
        <f t="shared" ca="1" si="19"/>
        <v>0</v>
      </c>
      <c r="AB20" s="781">
        <f t="shared" ca="1" si="19"/>
        <v>0</v>
      </c>
      <c r="AC20" s="781">
        <f t="shared" ca="1" si="19"/>
        <v>0</v>
      </c>
      <c r="AD20" s="781">
        <f t="shared" ca="1" si="19"/>
        <v>0</v>
      </c>
      <c r="AE20" s="781">
        <f t="shared" ca="1" si="19"/>
        <v>0</v>
      </c>
      <c r="AF20" s="781">
        <f t="shared" ca="1" si="19"/>
        <v>0</v>
      </c>
      <c r="AG20" s="781">
        <f t="shared" ca="1" si="19"/>
        <v>0</v>
      </c>
      <c r="AH20" s="781">
        <f t="shared" ca="1" si="19"/>
        <v>0</v>
      </c>
      <c r="AI20" s="781">
        <f t="shared" ca="1" si="19"/>
        <v>0</v>
      </c>
      <c r="AJ20" s="781">
        <f t="shared" ca="1" si="19"/>
        <v>0</v>
      </c>
      <c r="AK20" s="781">
        <f t="shared" ca="1" si="20"/>
        <v>0</v>
      </c>
      <c r="AL20" s="781">
        <f t="shared" ca="1" si="20"/>
        <v>0</v>
      </c>
      <c r="AM20" s="781">
        <f t="shared" ca="1" si="20"/>
        <v>0</v>
      </c>
      <c r="AN20" s="781">
        <f t="shared" ca="1" si="20"/>
        <v>0</v>
      </c>
      <c r="AO20" s="781">
        <f t="shared" ca="1" si="20"/>
        <v>0</v>
      </c>
      <c r="AP20" s="781">
        <f t="shared" ca="1" si="20"/>
        <v>0</v>
      </c>
      <c r="AQ20" s="781">
        <f t="shared" ca="1" si="20"/>
        <v>0</v>
      </c>
      <c r="AR20" s="781">
        <f t="shared" ca="1" si="20"/>
        <v>0</v>
      </c>
      <c r="AS20" s="781">
        <f t="shared" ca="1" si="20"/>
        <v>0</v>
      </c>
      <c r="AT20" s="781">
        <f t="shared" ca="1" si="20"/>
        <v>0</v>
      </c>
      <c r="AV20" s="781">
        <f t="shared" ca="1" si="6"/>
        <v>0</v>
      </c>
      <c r="AX20" s="781">
        <f t="shared" ca="1" si="7"/>
        <v>0</v>
      </c>
      <c r="AZ20" s="781">
        <f t="shared" ca="1" si="8"/>
        <v>0</v>
      </c>
      <c r="BB20" s="781">
        <f t="shared" ca="1" si="9"/>
        <v>0</v>
      </c>
      <c r="BD20" s="781">
        <f t="shared" ca="1" si="10"/>
        <v>0</v>
      </c>
      <c r="BF20" s="781">
        <f t="shared" ca="1" si="11"/>
        <v>0</v>
      </c>
      <c r="BH20" s="781">
        <f t="shared" ca="1" si="12"/>
        <v>0</v>
      </c>
    </row>
    <row r="21" spans="1:60" hidden="1" outlineLevel="1">
      <c r="A21" s="1464">
        <f t="shared" ca="1" si="13"/>
        <v>18</v>
      </c>
      <c r="B21" s="1464">
        <f t="shared" ca="1" si="14"/>
        <v>19</v>
      </c>
      <c r="C21" s="1464">
        <f t="shared" si="15"/>
        <v>19</v>
      </c>
      <c r="D21" s="1271" t="str">
        <f ca="1">IF(OFFSET(PortfolioDashboard!$A$3,C21-1,0)="","Blank",OFFSET(PortfolioDashboard!$A$3,C21-1,0))</f>
        <v>Blank</v>
      </c>
      <c r="E21" s="1464" t="str">
        <f t="shared" si="16"/>
        <v>MTCO2e</v>
      </c>
      <c r="F21" s="1460">
        <f t="shared" ca="1" si="1"/>
        <v>0</v>
      </c>
      <c r="G21" s="781">
        <f t="shared" ca="1" si="17"/>
        <v>0</v>
      </c>
      <c r="H21" s="781">
        <f t="shared" ca="1" si="17"/>
        <v>0</v>
      </c>
      <c r="I21" s="781">
        <f t="shared" ca="1" si="17"/>
        <v>0</v>
      </c>
      <c r="J21" s="781">
        <f t="shared" ca="1" si="17"/>
        <v>0</v>
      </c>
      <c r="K21" s="781">
        <f t="shared" ca="1" si="17"/>
        <v>0</v>
      </c>
      <c r="L21" s="781">
        <f t="shared" ca="1" si="17"/>
        <v>0</v>
      </c>
      <c r="M21" s="781">
        <f t="shared" ca="1" si="17"/>
        <v>0</v>
      </c>
      <c r="N21" s="781">
        <f t="shared" ca="1" si="17"/>
        <v>0</v>
      </c>
      <c r="O21" s="781">
        <f t="shared" ca="1" si="17"/>
        <v>0</v>
      </c>
      <c r="P21" s="781">
        <f t="shared" ca="1" si="17"/>
        <v>0</v>
      </c>
      <c r="Q21" s="781">
        <f t="shared" ca="1" si="18"/>
        <v>0</v>
      </c>
      <c r="R21" s="781">
        <f t="shared" ca="1" si="18"/>
        <v>0</v>
      </c>
      <c r="S21" s="781">
        <f t="shared" ca="1" si="18"/>
        <v>0</v>
      </c>
      <c r="T21" s="781">
        <f t="shared" ca="1" si="18"/>
        <v>0</v>
      </c>
      <c r="U21" s="781">
        <f t="shared" ca="1" si="18"/>
        <v>0</v>
      </c>
      <c r="V21" s="781">
        <f t="shared" ca="1" si="18"/>
        <v>0</v>
      </c>
      <c r="W21" s="781">
        <f t="shared" ca="1" si="18"/>
        <v>0</v>
      </c>
      <c r="X21" s="781">
        <f t="shared" ca="1" si="18"/>
        <v>0</v>
      </c>
      <c r="Y21" s="781">
        <f t="shared" ca="1" si="18"/>
        <v>0</v>
      </c>
      <c r="Z21" s="781">
        <f t="shared" ca="1" si="18"/>
        <v>0</v>
      </c>
      <c r="AA21" s="781">
        <f t="shared" ca="1" si="19"/>
        <v>0</v>
      </c>
      <c r="AB21" s="781">
        <f t="shared" ca="1" si="19"/>
        <v>0</v>
      </c>
      <c r="AC21" s="781">
        <f t="shared" ca="1" si="19"/>
        <v>0</v>
      </c>
      <c r="AD21" s="781">
        <f t="shared" ca="1" si="19"/>
        <v>0</v>
      </c>
      <c r="AE21" s="781">
        <f t="shared" ca="1" si="19"/>
        <v>0</v>
      </c>
      <c r="AF21" s="781">
        <f t="shared" ca="1" si="19"/>
        <v>0</v>
      </c>
      <c r="AG21" s="781">
        <f t="shared" ca="1" si="19"/>
        <v>0</v>
      </c>
      <c r="AH21" s="781">
        <f t="shared" ca="1" si="19"/>
        <v>0</v>
      </c>
      <c r="AI21" s="781">
        <f t="shared" ca="1" si="19"/>
        <v>0</v>
      </c>
      <c r="AJ21" s="781">
        <f t="shared" ca="1" si="19"/>
        <v>0</v>
      </c>
      <c r="AK21" s="781">
        <f t="shared" ca="1" si="20"/>
        <v>0</v>
      </c>
      <c r="AL21" s="781">
        <f t="shared" ca="1" si="20"/>
        <v>0</v>
      </c>
      <c r="AM21" s="781">
        <f t="shared" ca="1" si="20"/>
        <v>0</v>
      </c>
      <c r="AN21" s="781">
        <f t="shared" ca="1" si="20"/>
        <v>0</v>
      </c>
      <c r="AO21" s="781">
        <f t="shared" ca="1" si="20"/>
        <v>0</v>
      </c>
      <c r="AP21" s="781">
        <f t="shared" ca="1" si="20"/>
        <v>0</v>
      </c>
      <c r="AQ21" s="781">
        <f t="shared" ca="1" si="20"/>
        <v>0</v>
      </c>
      <c r="AR21" s="781">
        <f t="shared" ca="1" si="20"/>
        <v>0</v>
      </c>
      <c r="AS21" s="781">
        <f t="shared" ca="1" si="20"/>
        <v>0</v>
      </c>
      <c r="AT21" s="781">
        <f t="shared" ca="1" si="20"/>
        <v>0</v>
      </c>
      <c r="AV21" s="781">
        <f t="shared" ca="1" si="6"/>
        <v>0</v>
      </c>
      <c r="AX21" s="781">
        <f t="shared" ca="1" si="7"/>
        <v>0</v>
      </c>
      <c r="AZ21" s="781">
        <f t="shared" ca="1" si="8"/>
        <v>0</v>
      </c>
      <c r="BB21" s="781">
        <f t="shared" ca="1" si="9"/>
        <v>0</v>
      </c>
      <c r="BD21" s="781">
        <f t="shared" ca="1" si="10"/>
        <v>0</v>
      </c>
      <c r="BF21" s="781">
        <f t="shared" ca="1" si="11"/>
        <v>0</v>
      </c>
      <c r="BH21" s="781">
        <f t="shared" ca="1" si="12"/>
        <v>0</v>
      </c>
    </row>
    <row r="22" spans="1:60" hidden="1" outlineLevel="1">
      <c r="A22" s="1464">
        <f t="shared" ca="1" si="13"/>
        <v>18</v>
      </c>
      <c r="B22" s="1464">
        <f t="shared" ca="1" si="14"/>
        <v>19</v>
      </c>
      <c r="C22" s="1464">
        <f t="shared" si="15"/>
        <v>20</v>
      </c>
      <c r="D22" s="1271" t="str">
        <f ca="1">IF(OFFSET(PortfolioDashboard!$A$3,C22-1,0)="","Blank",OFFSET(PortfolioDashboard!$A$3,C22-1,0))</f>
        <v>Blank</v>
      </c>
      <c r="E22" s="1464" t="str">
        <f t="shared" si="16"/>
        <v>MTCO2e</v>
      </c>
      <c r="F22" s="1460">
        <f t="shared" ca="1" si="1"/>
        <v>0</v>
      </c>
      <c r="G22" s="781">
        <f t="shared" ca="1" si="17"/>
        <v>0</v>
      </c>
      <c r="H22" s="781">
        <f t="shared" ca="1" si="17"/>
        <v>0</v>
      </c>
      <c r="I22" s="781">
        <f t="shared" ca="1" si="17"/>
        <v>0</v>
      </c>
      <c r="J22" s="781">
        <f t="shared" ca="1" si="17"/>
        <v>0</v>
      </c>
      <c r="K22" s="781">
        <f t="shared" ca="1" si="17"/>
        <v>0</v>
      </c>
      <c r="L22" s="781">
        <f t="shared" ca="1" si="17"/>
        <v>0</v>
      </c>
      <c r="M22" s="781">
        <f t="shared" ca="1" si="17"/>
        <v>0</v>
      </c>
      <c r="N22" s="781">
        <f t="shared" ca="1" si="17"/>
        <v>0</v>
      </c>
      <c r="O22" s="781">
        <f t="shared" ca="1" si="17"/>
        <v>0</v>
      </c>
      <c r="P22" s="781">
        <f t="shared" ca="1" si="17"/>
        <v>0</v>
      </c>
      <c r="Q22" s="781">
        <f t="shared" ca="1" si="18"/>
        <v>0</v>
      </c>
      <c r="R22" s="781">
        <f t="shared" ca="1" si="18"/>
        <v>0</v>
      </c>
      <c r="S22" s="781">
        <f t="shared" ca="1" si="18"/>
        <v>0</v>
      </c>
      <c r="T22" s="781">
        <f t="shared" ca="1" si="18"/>
        <v>0</v>
      </c>
      <c r="U22" s="781">
        <f t="shared" ca="1" si="18"/>
        <v>0</v>
      </c>
      <c r="V22" s="781">
        <f t="shared" ca="1" si="18"/>
        <v>0</v>
      </c>
      <c r="W22" s="781">
        <f t="shared" ca="1" si="18"/>
        <v>0</v>
      </c>
      <c r="X22" s="781">
        <f t="shared" ca="1" si="18"/>
        <v>0</v>
      </c>
      <c r="Y22" s="781">
        <f t="shared" ca="1" si="18"/>
        <v>0</v>
      </c>
      <c r="Z22" s="781">
        <f t="shared" ca="1" si="18"/>
        <v>0</v>
      </c>
      <c r="AA22" s="781">
        <f t="shared" ca="1" si="19"/>
        <v>0</v>
      </c>
      <c r="AB22" s="781">
        <f t="shared" ca="1" si="19"/>
        <v>0</v>
      </c>
      <c r="AC22" s="781">
        <f t="shared" ca="1" si="19"/>
        <v>0</v>
      </c>
      <c r="AD22" s="781">
        <f t="shared" ca="1" si="19"/>
        <v>0</v>
      </c>
      <c r="AE22" s="781">
        <f t="shared" ca="1" si="19"/>
        <v>0</v>
      </c>
      <c r="AF22" s="781">
        <f t="shared" ca="1" si="19"/>
        <v>0</v>
      </c>
      <c r="AG22" s="781">
        <f t="shared" ca="1" si="19"/>
        <v>0</v>
      </c>
      <c r="AH22" s="781">
        <f t="shared" ca="1" si="19"/>
        <v>0</v>
      </c>
      <c r="AI22" s="781">
        <f t="shared" ca="1" si="19"/>
        <v>0</v>
      </c>
      <c r="AJ22" s="781">
        <f t="shared" ca="1" si="19"/>
        <v>0</v>
      </c>
      <c r="AK22" s="781">
        <f t="shared" ca="1" si="20"/>
        <v>0</v>
      </c>
      <c r="AL22" s="781">
        <f t="shared" ca="1" si="20"/>
        <v>0</v>
      </c>
      <c r="AM22" s="781">
        <f t="shared" ca="1" si="20"/>
        <v>0</v>
      </c>
      <c r="AN22" s="781">
        <f t="shared" ca="1" si="20"/>
        <v>0</v>
      </c>
      <c r="AO22" s="781">
        <f t="shared" ca="1" si="20"/>
        <v>0</v>
      </c>
      <c r="AP22" s="781">
        <f t="shared" ca="1" si="20"/>
        <v>0</v>
      </c>
      <c r="AQ22" s="781">
        <f t="shared" ca="1" si="20"/>
        <v>0</v>
      </c>
      <c r="AR22" s="781">
        <f t="shared" ca="1" si="20"/>
        <v>0</v>
      </c>
      <c r="AS22" s="781">
        <f t="shared" ca="1" si="20"/>
        <v>0</v>
      </c>
      <c r="AT22" s="781">
        <f t="shared" ca="1" si="20"/>
        <v>0</v>
      </c>
      <c r="AV22" s="781">
        <f t="shared" ca="1" si="6"/>
        <v>0</v>
      </c>
      <c r="AX22" s="781">
        <f t="shared" ca="1" si="7"/>
        <v>0</v>
      </c>
      <c r="AZ22" s="781">
        <f t="shared" ca="1" si="8"/>
        <v>0</v>
      </c>
      <c r="BB22" s="781">
        <f t="shared" ca="1" si="9"/>
        <v>0</v>
      </c>
      <c r="BD22" s="781">
        <f t="shared" ca="1" si="10"/>
        <v>0</v>
      </c>
      <c r="BF22" s="781">
        <f t="shared" ca="1" si="11"/>
        <v>0</v>
      </c>
      <c r="BH22" s="781">
        <f t="shared" ca="1" si="12"/>
        <v>0</v>
      </c>
    </row>
    <row r="23" spans="1:60" hidden="1" outlineLevel="1">
      <c r="A23" s="1464">
        <f t="shared" ca="1" si="13"/>
        <v>18</v>
      </c>
      <c r="B23" s="1464">
        <f t="shared" ca="1" si="14"/>
        <v>19</v>
      </c>
      <c r="C23" s="1464">
        <f t="shared" si="15"/>
        <v>21</v>
      </c>
      <c r="D23" s="1271" t="str">
        <f ca="1">IF(OFFSET(PortfolioDashboard!$A$3,C23-1,0)="","Blank",OFFSET(PortfolioDashboard!$A$3,C23-1,0))</f>
        <v>Blank</v>
      </c>
      <c r="E23" s="1464" t="str">
        <f t="shared" si="16"/>
        <v>MTCO2e</v>
      </c>
      <c r="F23" s="1460">
        <f t="shared" ca="1" si="1"/>
        <v>0</v>
      </c>
      <c r="G23" s="781">
        <f t="shared" ref="G23:P32" ca="1" si="21">IFERROR(OFFSET(INDIRECT(INDEX(List_of_Alternatives,MATCH($D23,NameofAlternatives,0))),$A23+G$1-$G$1,$B23),0)</f>
        <v>0</v>
      </c>
      <c r="H23" s="781">
        <f t="shared" ca="1" si="21"/>
        <v>0</v>
      </c>
      <c r="I23" s="781">
        <f t="shared" ca="1" si="21"/>
        <v>0</v>
      </c>
      <c r="J23" s="781">
        <f t="shared" ca="1" si="21"/>
        <v>0</v>
      </c>
      <c r="K23" s="781">
        <f t="shared" ca="1" si="21"/>
        <v>0</v>
      </c>
      <c r="L23" s="781">
        <f t="shared" ca="1" si="21"/>
        <v>0</v>
      </c>
      <c r="M23" s="781">
        <f t="shared" ca="1" si="21"/>
        <v>0</v>
      </c>
      <c r="N23" s="781">
        <f t="shared" ca="1" si="21"/>
        <v>0</v>
      </c>
      <c r="O23" s="781">
        <f t="shared" ca="1" si="21"/>
        <v>0</v>
      </c>
      <c r="P23" s="781">
        <f t="shared" ca="1" si="21"/>
        <v>0</v>
      </c>
      <c r="Q23" s="781">
        <f t="shared" ref="Q23:Z32" ca="1" si="22">IFERROR(OFFSET(INDIRECT(INDEX(List_of_Alternatives,MATCH($D23,NameofAlternatives,0))),$A23+Q$1-$G$1,$B23),0)</f>
        <v>0</v>
      </c>
      <c r="R23" s="781">
        <f t="shared" ca="1" si="22"/>
        <v>0</v>
      </c>
      <c r="S23" s="781">
        <f t="shared" ca="1" si="22"/>
        <v>0</v>
      </c>
      <c r="T23" s="781">
        <f t="shared" ca="1" si="22"/>
        <v>0</v>
      </c>
      <c r="U23" s="781">
        <f t="shared" ca="1" si="22"/>
        <v>0</v>
      </c>
      <c r="V23" s="781">
        <f t="shared" ca="1" si="22"/>
        <v>0</v>
      </c>
      <c r="W23" s="781">
        <f t="shared" ca="1" si="22"/>
        <v>0</v>
      </c>
      <c r="X23" s="781">
        <f t="shared" ca="1" si="22"/>
        <v>0</v>
      </c>
      <c r="Y23" s="781">
        <f t="shared" ca="1" si="22"/>
        <v>0</v>
      </c>
      <c r="Z23" s="781">
        <f t="shared" ca="1" si="22"/>
        <v>0</v>
      </c>
      <c r="AA23" s="781">
        <f t="shared" ref="AA23:AJ32" ca="1" si="23">IFERROR(OFFSET(INDIRECT(INDEX(List_of_Alternatives,MATCH($D23,NameofAlternatives,0))),$A23+AA$1-$G$1,$B23),0)</f>
        <v>0</v>
      </c>
      <c r="AB23" s="781">
        <f t="shared" ca="1" si="23"/>
        <v>0</v>
      </c>
      <c r="AC23" s="781">
        <f t="shared" ca="1" si="23"/>
        <v>0</v>
      </c>
      <c r="AD23" s="781">
        <f t="shared" ca="1" si="23"/>
        <v>0</v>
      </c>
      <c r="AE23" s="781">
        <f t="shared" ca="1" si="23"/>
        <v>0</v>
      </c>
      <c r="AF23" s="781">
        <f t="shared" ca="1" si="23"/>
        <v>0</v>
      </c>
      <c r="AG23" s="781">
        <f t="shared" ca="1" si="23"/>
        <v>0</v>
      </c>
      <c r="AH23" s="781">
        <f t="shared" ca="1" si="23"/>
        <v>0</v>
      </c>
      <c r="AI23" s="781">
        <f t="shared" ca="1" si="23"/>
        <v>0</v>
      </c>
      <c r="AJ23" s="781">
        <f t="shared" ca="1" si="23"/>
        <v>0</v>
      </c>
      <c r="AK23" s="781">
        <f t="shared" ref="AK23:AT32" ca="1" si="24">IFERROR(OFFSET(INDIRECT(INDEX(List_of_Alternatives,MATCH($D23,NameofAlternatives,0))),$A23+AK$1-$G$1,$B23),0)</f>
        <v>0</v>
      </c>
      <c r="AL23" s="781">
        <f t="shared" ca="1" si="24"/>
        <v>0</v>
      </c>
      <c r="AM23" s="781">
        <f t="shared" ca="1" si="24"/>
        <v>0</v>
      </c>
      <c r="AN23" s="781">
        <f t="shared" ca="1" si="24"/>
        <v>0</v>
      </c>
      <c r="AO23" s="781">
        <f t="shared" ca="1" si="24"/>
        <v>0</v>
      </c>
      <c r="AP23" s="781">
        <f t="shared" ca="1" si="24"/>
        <v>0</v>
      </c>
      <c r="AQ23" s="781">
        <f t="shared" ca="1" si="24"/>
        <v>0</v>
      </c>
      <c r="AR23" s="781">
        <f t="shared" ca="1" si="24"/>
        <v>0</v>
      </c>
      <c r="AS23" s="781">
        <f t="shared" ca="1" si="24"/>
        <v>0</v>
      </c>
      <c r="AT23" s="781">
        <f t="shared" ca="1" si="24"/>
        <v>0</v>
      </c>
      <c r="AV23" s="781">
        <f t="shared" ca="1" si="6"/>
        <v>0</v>
      </c>
      <c r="AX23" s="781">
        <f t="shared" ca="1" si="7"/>
        <v>0</v>
      </c>
      <c r="AZ23" s="781">
        <f t="shared" ca="1" si="8"/>
        <v>0</v>
      </c>
      <c r="BB23" s="781">
        <f t="shared" ca="1" si="9"/>
        <v>0</v>
      </c>
      <c r="BD23" s="781">
        <f t="shared" ca="1" si="10"/>
        <v>0</v>
      </c>
      <c r="BF23" s="781">
        <f t="shared" ca="1" si="11"/>
        <v>0</v>
      </c>
      <c r="BH23" s="781">
        <f t="shared" ca="1" si="12"/>
        <v>0</v>
      </c>
    </row>
    <row r="24" spans="1:60" hidden="1" outlineLevel="1">
      <c r="A24" s="1464">
        <f t="shared" ca="1" si="13"/>
        <v>18</v>
      </c>
      <c r="B24" s="1464">
        <f t="shared" ca="1" si="14"/>
        <v>19</v>
      </c>
      <c r="C24" s="1464">
        <f t="shared" si="15"/>
        <v>22</v>
      </c>
      <c r="D24" s="1271" t="str">
        <f ca="1">IF(OFFSET(PortfolioDashboard!$A$3,C24-1,0)="","Blank",OFFSET(PortfolioDashboard!$A$3,C24-1,0))</f>
        <v>Blank</v>
      </c>
      <c r="E24" s="1464" t="str">
        <f t="shared" si="16"/>
        <v>MTCO2e</v>
      </c>
      <c r="F24" s="1460">
        <f t="shared" ca="1" si="1"/>
        <v>0</v>
      </c>
      <c r="G24" s="781">
        <f t="shared" ca="1" si="21"/>
        <v>0</v>
      </c>
      <c r="H24" s="781">
        <f t="shared" ca="1" si="21"/>
        <v>0</v>
      </c>
      <c r="I24" s="781">
        <f t="shared" ca="1" si="21"/>
        <v>0</v>
      </c>
      <c r="J24" s="781">
        <f t="shared" ca="1" si="21"/>
        <v>0</v>
      </c>
      <c r="K24" s="781">
        <f t="shared" ca="1" si="21"/>
        <v>0</v>
      </c>
      <c r="L24" s="781">
        <f t="shared" ca="1" si="21"/>
        <v>0</v>
      </c>
      <c r="M24" s="781">
        <f t="shared" ca="1" si="21"/>
        <v>0</v>
      </c>
      <c r="N24" s="781">
        <f t="shared" ca="1" si="21"/>
        <v>0</v>
      </c>
      <c r="O24" s="781">
        <f t="shared" ca="1" si="21"/>
        <v>0</v>
      </c>
      <c r="P24" s="781">
        <f t="shared" ca="1" si="21"/>
        <v>0</v>
      </c>
      <c r="Q24" s="781">
        <f t="shared" ca="1" si="22"/>
        <v>0</v>
      </c>
      <c r="R24" s="781">
        <f t="shared" ca="1" si="22"/>
        <v>0</v>
      </c>
      <c r="S24" s="781">
        <f t="shared" ca="1" si="22"/>
        <v>0</v>
      </c>
      <c r="T24" s="781">
        <f t="shared" ca="1" si="22"/>
        <v>0</v>
      </c>
      <c r="U24" s="781">
        <f t="shared" ca="1" si="22"/>
        <v>0</v>
      </c>
      <c r="V24" s="781">
        <f t="shared" ca="1" si="22"/>
        <v>0</v>
      </c>
      <c r="W24" s="781">
        <f t="shared" ca="1" si="22"/>
        <v>0</v>
      </c>
      <c r="X24" s="781">
        <f t="shared" ca="1" si="22"/>
        <v>0</v>
      </c>
      <c r="Y24" s="781">
        <f t="shared" ca="1" si="22"/>
        <v>0</v>
      </c>
      <c r="Z24" s="781">
        <f t="shared" ca="1" si="22"/>
        <v>0</v>
      </c>
      <c r="AA24" s="781">
        <f t="shared" ca="1" si="23"/>
        <v>0</v>
      </c>
      <c r="AB24" s="781">
        <f t="shared" ca="1" si="23"/>
        <v>0</v>
      </c>
      <c r="AC24" s="781">
        <f t="shared" ca="1" si="23"/>
        <v>0</v>
      </c>
      <c r="AD24" s="781">
        <f t="shared" ca="1" si="23"/>
        <v>0</v>
      </c>
      <c r="AE24" s="781">
        <f t="shared" ca="1" si="23"/>
        <v>0</v>
      </c>
      <c r="AF24" s="781">
        <f t="shared" ca="1" si="23"/>
        <v>0</v>
      </c>
      <c r="AG24" s="781">
        <f t="shared" ca="1" si="23"/>
        <v>0</v>
      </c>
      <c r="AH24" s="781">
        <f t="shared" ca="1" si="23"/>
        <v>0</v>
      </c>
      <c r="AI24" s="781">
        <f t="shared" ca="1" si="23"/>
        <v>0</v>
      </c>
      <c r="AJ24" s="781">
        <f t="shared" ca="1" si="23"/>
        <v>0</v>
      </c>
      <c r="AK24" s="781">
        <f t="shared" ca="1" si="24"/>
        <v>0</v>
      </c>
      <c r="AL24" s="781">
        <f t="shared" ca="1" si="24"/>
        <v>0</v>
      </c>
      <c r="AM24" s="781">
        <f t="shared" ca="1" si="24"/>
        <v>0</v>
      </c>
      <c r="AN24" s="781">
        <f t="shared" ca="1" si="24"/>
        <v>0</v>
      </c>
      <c r="AO24" s="781">
        <f t="shared" ca="1" si="24"/>
        <v>0</v>
      </c>
      <c r="AP24" s="781">
        <f t="shared" ca="1" si="24"/>
        <v>0</v>
      </c>
      <c r="AQ24" s="781">
        <f t="shared" ca="1" si="24"/>
        <v>0</v>
      </c>
      <c r="AR24" s="781">
        <f t="shared" ca="1" si="24"/>
        <v>0</v>
      </c>
      <c r="AS24" s="781">
        <f t="shared" ca="1" si="24"/>
        <v>0</v>
      </c>
      <c r="AT24" s="781">
        <f t="shared" ca="1" si="24"/>
        <v>0</v>
      </c>
      <c r="AV24" s="781">
        <f t="shared" ca="1" si="6"/>
        <v>0</v>
      </c>
      <c r="AX24" s="781">
        <f t="shared" ca="1" si="7"/>
        <v>0</v>
      </c>
      <c r="AZ24" s="781">
        <f t="shared" ca="1" si="8"/>
        <v>0</v>
      </c>
      <c r="BB24" s="781">
        <f t="shared" ca="1" si="9"/>
        <v>0</v>
      </c>
      <c r="BD24" s="781">
        <f t="shared" ca="1" si="10"/>
        <v>0</v>
      </c>
      <c r="BF24" s="781">
        <f t="shared" ca="1" si="11"/>
        <v>0</v>
      </c>
      <c r="BH24" s="781">
        <f t="shared" ca="1" si="12"/>
        <v>0</v>
      </c>
    </row>
    <row r="25" spans="1:60" hidden="1" outlineLevel="1">
      <c r="A25" s="1464">
        <f t="shared" ca="1" si="13"/>
        <v>18</v>
      </c>
      <c r="B25" s="1464">
        <f t="shared" ca="1" si="14"/>
        <v>19</v>
      </c>
      <c r="C25" s="1464">
        <f t="shared" si="15"/>
        <v>23</v>
      </c>
      <c r="D25" s="1271" t="str">
        <f ca="1">IF(OFFSET(PortfolioDashboard!$A$3,C25-1,0)="","Blank",OFFSET(PortfolioDashboard!$A$3,C25-1,0))</f>
        <v>Blank</v>
      </c>
      <c r="E25" s="1464" t="str">
        <f t="shared" si="16"/>
        <v>MTCO2e</v>
      </c>
      <c r="F25" s="1460">
        <f t="shared" ca="1" si="1"/>
        <v>0</v>
      </c>
      <c r="G25" s="781">
        <f t="shared" ca="1" si="21"/>
        <v>0</v>
      </c>
      <c r="H25" s="781">
        <f t="shared" ca="1" si="21"/>
        <v>0</v>
      </c>
      <c r="I25" s="781">
        <f t="shared" ca="1" si="21"/>
        <v>0</v>
      </c>
      <c r="J25" s="781">
        <f t="shared" ca="1" si="21"/>
        <v>0</v>
      </c>
      <c r="K25" s="781">
        <f t="shared" ca="1" si="21"/>
        <v>0</v>
      </c>
      <c r="L25" s="781">
        <f t="shared" ca="1" si="21"/>
        <v>0</v>
      </c>
      <c r="M25" s="781">
        <f t="shared" ca="1" si="21"/>
        <v>0</v>
      </c>
      <c r="N25" s="781">
        <f t="shared" ca="1" si="21"/>
        <v>0</v>
      </c>
      <c r="O25" s="781">
        <f t="shared" ca="1" si="21"/>
        <v>0</v>
      </c>
      <c r="P25" s="781">
        <f t="shared" ca="1" si="21"/>
        <v>0</v>
      </c>
      <c r="Q25" s="781">
        <f t="shared" ca="1" si="22"/>
        <v>0</v>
      </c>
      <c r="R25" s="781">
        <f t="shared" ca="1" si="22"/>
        <v>0</v>
      </c>
      <c r="S25" s="781">
        <f t="shared" ca="1" si="22"/>
        <v>0</v>
      </c>
      <c r="T25" s="781">
        <f t="shared" ca="1" si="22"/>
        <v>0</v>
      </c>
      <c r="U25" s="781">
        <f t="shared" ca="1" si="22"/>
        <v>0</v>
      </c>
      <c r="V25" s="781">
        <f t="shared" ca="1" si="22"/>
        <v>0</v>
      </c>
      <c r="W25" s="781">
        <f t="shared" ca="1" si="22"/>
        <v>0</v>
      </c>
      <c r="X25" s="781">
        <f t="shared" ca="1" si="22"/>
        <v>0</v>
      </c>
      <c r="Y25" s="781">
        <f t="shared" ca="1" si="22"/>
        <v>0</v>
      </c>
      <c r="Z25" s="781">
        <f t="shared" ca="1" si="22"/>
        <v>0</v>
      </c>
      <c r="AA25" s="781">
        <f t="shared" ca="1" si="23"/>
        <v>0</v>
      </c>
      <c r="AB25" s="781">
        <f t="shared" ca="1" si="23"/>
        <v>0</v>
      </c>
      <c r="AC25" s="781">
        <f t="shared" ca="1" si="23"/>
        <v>0</v>
      </c>
      <c r="AD25" s="781">
        <f t="shared" ca="1" si="23"/>
        <v>0</v>
      </c>
      <c r="AE25" s="781">
        <f t="shared" ca="1" si="23"/>
        <v>0</v>
      </c>
      <c r="AF25" s="781">
        <f t="shared" ca="1" si="23"/>
        <v>0</v>
      </c>
      <c r="AG25" s="781">
        <f t="shared" ca="1" si="23"/>
        <v>0</v>
      </c>
      <c r="AH25" s="781">
        <f t="shared" ca="1" si="23"/>
        <v>0</v>
      </c>
      <c r="AI25" s="781">
        <f t="shared" ca="1" si="23"/>
        <v>0</v>
      </c>
      <c r="AJ25" s="781">
        <f t="shared" ca="1" si="23"/>
        <v>0</v>
      </c>
      <c r="AK25" s="781">
        <f t="shared" ca="1" si="24"/>
        <v>0</v>
      </c>
      <c r="AL25" s="781">
        <f t="shared" ca="1" si="24"/>
        <v>0</v>
      </c>
      <c r="AM25" s="781">
        <f t="shared" ca="1" si="24"/>
        <v>0</v>
      </c>
      <c r="AN25" s="781">
        <f t="shared" ca="1" si="24"/>
        <v>0</v>
      </c>
      <c r="AO25" s="781">
        <f t="shared" ca="1" si="24"/>
        <v>0</v>
      </c>
      <c r="AP25" s="781">
        <f t="shared" ca="1" si="24"/>
        <v>0</v>
      </c>
      <c r="AQ25" s="781">
        <f t="shared" ca="1" si="24"/>
        <v>0</v>
      </c>
      <c r="AR25" s="781">
        <f t="shared" ca="1" si="24"/>
        <v>0</v>
      </c>
      <c r="AS25" s="781">
        <f t="shared" ca="1" si="24"/>
        <v>0</v>
      </c>
      <c r="AT25" s="781">
        <f t="shared" ca="1" si="24"/>
        <v>0</v>
      </c>
      <c r="AV25" s="781">
        <f t="shared" ca="1" si="6"/>
        <v>0</v>
      </c>
      <c r="AX25" s="781">
        <f t="shared" ca="1" si="7"/>
        <v>0</v>
      </c>
      <c r="AZ25" s="781">
        <f t="shared" ca="1" si="8"/>
        <v>0</v>
      </c>
      <c r="BB25" s="781">
        <f t="shared" ca="1" si="9"/>
        <v>0</v>
      </c>
      <c r="BD25" s="781">
        <f t="shared" ca="1" si="10"/>
        <v>0</v>
      </c>
      <c r="BF25" s="781">
        <f t="shared" ca="1" si="11"/>
        <v>0</v>
      </c>
      <c r="BH25" s="781">
        <f t="shared" ca="1" si="12"/>
        <v>0</v>
      </c>
    </row>
    <row r="26" spans="1:60" hidden="1" outlineLevel="1">
      <c r="A26" s="1464">
        <f t="shared" ca="1" si="13"/>
        <v>18</v>
      </c>
      <c r="B26" s="1464">
        <f t="shared" ca="1" si="14"/>
        <v>19</v>
      </c>
      <c r="C26" s="1464">
        <f t="shared" si="15"/>
        <v>24</v>
      </c>
      <c r="D26" s="1271" t="str">
        <f ca="1">IF(OFFSET(PortfolioDashboard!$A$3,C26-1,0)="","Blank",OFFSET(PortfolioDashboard!$A$3,C26-1,0))</f>
        <v>Blank</v>
      </c>
      <c r="E26" s="1464" t="str">
        <f t="shared" si="16"/>
        <v>MTCO2e</v>
      </c>
      <c r="F26" s="1460">
        <f t="shared" ca="1" si="1"/>
        <v>0</v>
      </c>
      <c r="G26" s="781">
        <f t="shared" ca="1" si="21"/>
        <v>0</v>
      </c>
      <c r="H26" s="781">
        <f t="shared" ca="1" si="21"/>
        <v>0</v>
      </c>
      <c r="I26" s="781">
        <f t="shared" ca="1" si="21"/>
        <v>0</v>
      </c>
      <c r="J26" s="781">
        <f t="shared" ca="1" si="21"/>
        <v>0</v>
      </c>
      <c r="K26" s="781">
        <f t="shared" ca="1" si="21"/>
        <v>0</v>
      </c>
      <c r="L26" s="781">
        <f t="shared" ca="1" si="21"/>
        <v>0</v>
      </c>
      <c r="M26" s="781">
        <f t="shared" ca="1" si="21"/>
        <v>0</v>
      </c>
      <c r="N26" s="781">
        <f t="shared" ca="1" si="21"/>
        <v>0</v>
      </c>
      <c r="O26" s="781">
        <f t="shared" ca="1" si="21"/>
        <v>0</v>
      </c>
      <c r="P26" s="781">
        <f t="shared" ca="1" si="21"/>
        <v>0</v>
      </c>
      <c r="Q26" s="781">
        <f t="shared" ca="1" si="22"/>
        <v>0</v>
      </c>
      <c r="R26" s="781">
        <f t="shared" ca="1" si="22"/>
        <v>0</v>
      </c>
      <c r="S26" s="781">
        <f t="shared" ca="1" si="22"/>
        <v>0</v>
      </c>
      <c r="T26" s="781">
        <f t="shared" ca="1" si="22"/>
        <v>0</v>
      </c>
      <c r="U26" s="781">
        <f t="shared" ca="1" si="22"/>
        <v>0</v>
      </c>
      <c r="V26" s="781">
        <f t="shared" ca="1" si="22"/>
        <v>0</v>
      </c>
      <c r="W26" s="781">
        <f t="shared" ca="1" si="22"/>
        <v>0</v>
      </c>
      <c r="X26" s="781">
        <f t="shared" ca="1" si="22"/>
        <v>0</v>
      </c>
      <c r="Y26" s="781">
        <f t="shared" ca="1" si="22"/>
        <v>0</v>
      </c>
      <c r="Z26" s="781">
        <f t="shared" ca="1" si="22"/>
        <v>0</v>
      </c>
      <c r="AA26" s="781">
        <f t="shared" ca="1" si="23"/>
        <v>0</v>
      </c>
      <c r="AB26" s="781">
        <f t="shared" ca="1" si="23"/>
        <v>0</v>
      </c>
      <c r="AC26" s="781">
        <f t="shared" ca="1" si="23"/>
        <v>0</v>
      </c>
      <c r="AD26" s="781">
        <f t="shared" ca="1" si="23"/>
        <v>0</v>
      </c>
      <c r="AE26" s="781">
        <f t="shared" ca="1" si="23"/>
        <v>0</v>
      </c>
      <c r="AF26" s="781">
        <f t="shared" ca="1" si="23"/>
        <v>0</v>
      </c>
      <c r="AG26" s="781">
        <f t="shared" ca="1" si="23"/>
        <v>0</v>
      </c>
      <c r="AH26" s="781">
        <f t="shared" ca="1" si="23"/>
        <v>0</v>
      </c>
      <c r="AI26" s="781">
        <f t="shared" ca="1" si="23"/>
        <v>0</v>
      </c>
      <c r="AJ26" s="781">
        <f t="shared" ca="1" si="23"/>
        <v>0</v>
      </c>
      <c r="AK26" s="781">
        <f t="shared" ca="1" si="24"/>
        <v>0</v>
      </c>
      <c r="AL26" s="781">
        <f t="shared" ca="1" si="24"/>
        <v>0</v>
      </c>
      <c r="AM26" s="781">
        <f t="shared" ca="1" si="24"/>
        <v>0</v>
      </c>
      <c r="AN26" s="781">
        <f t="shared" ca="1" si="24"/>
        <v>0</v>
      </c>
      <c r="AO26" s="781">
        <f t="shared" ca="1" si="24"/>
        <v>0</v>
      </c>
      <c r="AP26" s="781">
        <f t="shared" ca="1" si="24"/>
        <v>0</v>
      </c>
      <c r="AQ26" s="781">
        <f t="shared" ca="1" si="24"/>
        <v>0</v>
      </c>
      <c r="AR26" s="781">
        <f t="shared" ca="1" si="24"/>
        <v>0</v>
      </c>
      <c r="AS26" s="781">
        <f t="shared" ca="1" si="24"/>
        <v>0</v>
      </c>
      <c r="AT26" s="781">
        <f t="shared" ca="1" si="24"/>
        <v>0</v>
      </c>
      <c r="AV26" s="781">
        <f t="shared" ca="1" si="6"/>
        <v>0</v>
      </c>
      <c r="AX26" s="781">
        <f t="shared" ca="1" si="7"/>
        <v>0</v>
      </c>
      <c r="AZ26" s="781">
        <f t="shared" ca="1" si="8"/>
        <v>0</v>
      </c>
      <c r="BB26" s="781">
        <f t="shared" ca="1" si="9"/>
        <v>0</v>
      </c>
      <c r="BD26" s="781">
        <f t="shared" ca="1" si="10"/>
        <v>0</v>
      </c>
      <c r="BF26" s="781">
        <f t="shared" ca="1" si="11"/>
        <v>0</v>
      </c>
      <c r="BH26" s="781">
        <f t="shared" ca="1" si="12"/>
        <v>0</v>
      </c>
    </row>
    <row r="27" spans="1:60" hidden="1" outlineLevel="1">
      <c r="A27" s="1464">
        <f t="shared" ca="1" si="13"/>
        <v>18</v>
      </c>
      <c r="B27" s="1464">
        <f t="shared" ca="1" si="14"/>
        <v>19</v>
      </c>
      <c r="C27" s="1464">
        <f t="shared" si="15"/>
        <v>25</v>
      </c>
      <c r="D27" s="1271" t="str">
        <f ca="1">IF(OFFSET(PortfolioDashboard!$A$3,C27-1,0)="","Blank",OFFSET(PortfolioDashboard!$A$3,C27-1,0))</f>
        <v>Blank</v>
      </c>
      <c r="E27" s="1464" t="str">
        <f t="shared" si="16"/>
        <v>MTCO2e</v>
      </c>
      <c r="F27" s="1460">
        <f t="shared" ca="1" si="1"/>
        <v>0</v>
      </c>
      <c r="G27" s="781">
        <f t="shared" ca="1" si="21"/>
        <v>0</v>
      </c>
      <c r="H27" s="781">
        <f t="shared" ca="1" si="21"/>
        <v>0</v>
      </c>
      <c r="I27" s="781">
        <f t="shared" ca="1" si="21"/>
        <v>0</v>
      </c>
      <c r="J27" s="781">
        <f t="shared" ca="1" si="21"/>
        <v>0</v>
      </c>
      <c r="K27" s="781">
        <f t="shared" ca="1" si="21"/>
        <v>0</v>
      </c>
      <c r="L27" s="781">
        <f t="shared" ca="1" si="21"/>
        <v>0</v>
      </c>
      <c r="M27" s="781">
        <f t="shared" ca="1" si="21"/>
        <v>0</v>
      </c>
      <c r="N27" s="781">
        <f t="shared" ca="1" si="21"/>
        <v>0</v>
      </c>
      <c r="O27" s="781">
        <f t="shared" ca="1" si="21"/>
        <v>0</v>
      </c>
      <c r="P27" s="781">
        <f t="shared" ca="1" si="21"/>
        <v>0</v>
      </c>
      <c r="Q27" s="781">
        <f t="shared" ca="1" si="22"/>
        <v>0</v>
      </c>
      <c r="R27" s="781">
        <f t="shared" ca="1" si="22"/>
        <v>0</v>
      </c>
      <c r="S27" s="781">
        <f t="shared" ca="1" si="22"/>
        <v>0</v>
      </c>
      <c r="T27" s="781">
        <f t="shared" ca="1" si="22"/>
        <v>0</v>
      </c>
      <c r="U27" s="781">
        <f t="shared" ca="1" si="22"/>
        <v>0</v>
      </c>
      <c r="V27" s="781">
        <f t="shared" ca="1" si="22"/>
        <v>0</v>
      </c>
      <c r="W27" s="781">
        <f t="shared" ca="1" si="22"/>
        <v>0</v>
      </c>
      <c r="X27" s="781">
        <f t="shared" ca="1" si="22"/>
        <v>0</v>
      </c>
      <c r="Y27" s="781">
        <f t="shared" ca="1" si="22"/>
        <v>0</v>
      </c>
      <c r="Z27" s="781">
        <f t="shared" ca="1" si="22"/>
        <v>0</v>
      </c>
      <c r="AA27" s="781">
        <f t="shared" ca="1" si="23"/>
        <v>0</v>
      </c>
      <c r="AB27" s="781">
        <f t="shared" ca="1" si="23"/>
        <v>0</v>
      </c>
      <c r="AC27" s="781">
        <f t="shared" ca="1" si="23"/>
        <v>0</v>
      </c>
      <c r="AD27" s="781">
        <f t="shared" ca="1" si="23"/>
        <v>0</v>
      </c>
      <c r="AE27" s="781">
        <f t="shared" ca="1" si="23"/>
        <v>0</v>
      </c>
      <c r="AF27" s="781">
        <f t="shared" ca="1" si="23"/>
        <v>0</v>
      </c>
      <c r="AG27" s="781">
        <f t="shared" ca="1" si="23"/>
        <v>0</v>
      </c>
      <c r="AH27" s="781">
        <f t="shared" ca="1" si="23"/>
        <v>0</v>
      </c>
      <c r="AI27" s="781">
        <f t="shared" ca="1" si="23"/>
        <v>0</v>
      </c>
      <c r="AJ27" s="781">
        <f t="shared" ca="1" si="23"/>
        <v>0</v>
      </c>
      <c r="AK27" s="781">
        <f t="shared" ca="1" si="24"/>
        <v>0</v>
      </c>
      <c r="AL27" s="781">
        <f t="shared" ca="1" si="24"/>
        <v>0</v>
      </c>
      <c r="AM27" s="781">
        <f t="shared" ca="1" si="24"/>
        <v>0</v>
      </c>
      <c r="AN27" s="781">
        <f t="shared" ca="1" si="24"/>
        <v>0</v>
      </c>
      <c r="AO27" s="781">
        <f t="shared" ca="1" si="24"/>
        <v>0</v>
      </c>
      <c r="AP27" s="781">
        <f t="shared" ca="1" si="24"/>
        <v>0</v>
      </c>
      <c r="AQ27" s="781">
        <f t="shared" ca="1" si="24"/>
        <v>0</v>
      </c>
      <c r="AR27" s="781">
        <f t="shared" ca="1" si="24"/>
        <v>0</v>
      </c>
      <c r="AS27" s="781">
        <f t="shared" ca="1" si="24"/>
        <v>0</v>
      </c>
      <c r="AT27" s="781">
        <f t="shared" ca="1" si="24"/>
        <v>0</v>
      </c>
      <c r="AV27" s="781">
        <f t="shared" ca="1" si="6"/>
        <v>0</v>
      </c>
      <c r="AX27" s="781">
        <f t="shared" ca="1" si="7"/>
        <v>0</v>
      </c>
      <c r="AZ27" s="781">
        <f t="shared" ca="1" si="8"/>
        <v>0</v>
      </c>
      <c r="BB27" s="781">
        <f t="shared" ca="1" si="9"/>
        <v>0</v>
      </c>
      <c r="BD27" s="781">
        <f t="shared" ca="1" si="10"/>
        <v>0</v>
      </c>
      <c r="BF27" s="781">
        <f t="shared" ca="1" si="11"/>
        <v>0</v>
      </c>
      <c r="BH27" s="781">
        <f t="shared" ca="1" si="12"/>
        <v>0</v>
      </c>
    </row>
    <row r="28" spans="1:60" hidden="1" outlineLevel="1">
      <c r="A28" s="1464">
        <f t="shared" ca="1" si="13"/>
        <v>18</v>
      </c>
      <c r="B28" s="1464">
        <f t="shared" ca="1" si="14"/>
        <v>19</v>
      </c>
      <c r="C28" s="1464">
        <f t="shared" si="15"/>
        <v>26</v>
      </c>
      <c r="D28" s="1271" t="str">
        <f ca="1">IF(OFFSET(PortfolioDashboard!$A$3,C28-1,0)="","Blank",OFFSET(PortfolioDashboard!$A$3,C28-1,0))</f>
        <v>Blank</v>
      </c>
      <c r="E28" s="1464" t="str">
        <f t="shared" si="16"/>
        <v>MTCO2e</v>
      </c>
      <c r="F28" s="1460">
        <f t="shared" ca="1" si="1"/>
        <v>0</v>
      </c>
      <c r="G28" s="781">
        <f t="shared" ca="1" si="21"/>
        <v>0</v>
      </c>
      <c r="H28" s="781">
        <f t="shared" ca="1" si="21"/>
        <v>0</v>
      </c>
      <c r="I28" s="781">
        <f t="shared" ca="1" si="21"/>
        <v>0</v>
      </c>
      <c r="J28" s="781">
        <f t="shared" ca="1" si="21"/>
        <v>0</v>
      </c>
      <c r="K28" s="781">
        <f t="shared" ca="1" si="21"/>
        <v>0</v>
      </c>
      <c r="L28" s="781">
        <f t="shared" ca="1" si="21"/>
        <v>0</v>
      </c>
      <c r="M28" s="781">
        <f t="shared" ca="1" si="21"/>
        <v>0</v>
      </c>
      <c r="N28" s="781">
        <f t="shared" ca="1" si="21"/>
        <v>0</v>
      </c>
      <c r="O28" s="781">
        <f t="shared" ca="1" si="21"/>
        <v>0</v>
      </c>
      <c r="P28" s="781">
        <f t="shared" ca="1" si="21"/>
        <v>0</v>
      </c>
      <c r="Q28" s="781">
        <f t="shared" ca="1" si="22"/>
        <v>0</v>
      </c>
      <c r="R28" s="781">
        <f t="shared" ca="1" si="22"/>
        <v>0</v>
      </c>
      <c r="S28" s="781">
        <f t="shared" ca="1" si="22"/>
        <v>0</v>
      </c>
      <c r="T28" s="781">
        <f t="shared" ca="1" si="22"/>
        <v>0</v>
      </c>
      <c r="U28" s="781">
        <f t="shared" ca="1" si="22"/>
        <v>0</v>
      </c>
      <c r="V28" s="781">
        <f t="shared" ca="1" si="22"/>
        <v>0</v>
      </c>
      <c r="W28" s="781">
        <f t="shared" ca="1" si="22"/>
        <v>0</v>
      </c>
      <c r="X28" s="781">
        <f t="shared" ca="1" si="22"/>
        <v>0</v>
      </c>
      <c r="Y28" s="781">
        <f t="shared" ca="1" si="22"/>
        <v>0</v>
      </c>
      <c r="Z28" s="781">
        <f t="shared" ca="1" si="22"/>
        <v>0</v>
      </c>
      <c r="AA28" s="781">
        <f t="shared" ca="1" si="23"/>
        <v>0</v>
      </c>
      <c r="AB28" s="781">
        <f t="shared" ca="1" si="23"/>
        <v>0</v>
      </c>
      <c r="AC28" s="781">
        <f t="shared" ca="1" si="23"/>
        <v>0</v>
      </c>
      <c r="AD28" s="781">
        <f t="shared" ca="1" si="23"/>
        <v>0</v>
      </c>
      <c r="AE28" s="781">
        <f t="shared" ca="1" si="23"/>
        <v>0</v>
      </c>
      <c r="AF28" s="781">
        <f t="shared" ca="1" si="23"/>
        <v>0</v>
      </c>
      <c r="AG28" s="781">
        <f t="shared" ca="1" si="23"/>
        <v>0</v>
      </c>
      <c r="AH28" s="781">
        <f t="shared" ca="1" si="23"/>
        <v>0</v>
      </c>
      <c r="AI28" s="781">
        <f t="shared" ca="1" si="23"/>
        <v>0</v>
      </c>
      <c r="AJ28" s="781">
        <f t="shared" ca="1" si="23"/>
        <v>0</v>
      </c>
      <c r="AK28" s="781">
        <f t="shared" ca="1" si="24"/>
        <v>0</v>
      </c>
      <c r="AL28" s="781">
        <f t="shared" ca="1" si="24"/>
        <v>0</v>
      </c>
      <c r="AM28" s="781">
        <f t="shared" ca="1" si="24"/>
        <v>0</v>
      </c>
      <c r="AN28" s="781">
        <f t="shared" ca="1" si="24"/>
        <v>0</v>
      </c>
      <c r="AO28" s="781">
        <f t="shared" ca="1" si="24"/>
        <v>0</v>
      </c>
      <c r="AP28" s="781">
        <f t="shared" ca="1" si="24"/>
        <v>0</v>
      </c>
      <c r="AQ28" s="781">
        <f t="shared" ca="1" si="24"/>
        <v>0</v>
      </c>
      <c r="AR28" s="781">
        <f t="shared" ca="1" si="24"/>
        <v>0</v>
      </c>
      <c r="AS28" s="781">
        <f t="shared" ca="1" si="24"/>
        <v>0</v>
      </c>
      <c r="AT28" s="781">
        <f t="shared" ca="1" si="24"/>
        <v>0</v>
      </c>
      <c r="AV28" s="781">
        <f t="shared" ca="1" si="6"/>
        <v>0</v>
      </c>
      <c r="AX28" s="781">
        <f t="shared" ca="1" si="7"/>
        <v>0</v>
      </c>
      <c r="AZ28" s="781">
        <f t="shared" ca="1" si="8"/>
        <v>0</v>
      </c>
      <c r="BB28" s="781">
        <f t="shared" ca="1" si="9"/>
        <v>0</v>
      </c>
      <c r="BD28" s="781">
        <f t="shared" ca="1" si="10"/>
        <v>0</v>
      </c>
      <c r="BF28" s="781">
        <f t="shared" ca="1" si="11"/>
        <v>0</v>
      </c>
      <c r="BH28" s="781">
        <f t="shared" ca="1" si="12"/>
        <v>0</v>
      </c>
    </row>
    <row r="29" spans="1:60" hidden="1" outlineLevel="1">
      <c r="A29" s="1464">
        <f t="shared" ca="1" si="13"/>
        <v>18</v>
      </c>
      <c r="B29" s="1464">
        <f t="shared" ca="1" si="14"/>
        <v>19</v>
      </c>
      <c r="C29" s="1464">
        <f t="shared" si="15"/>
        <v>27</v>
      </c>
      <c r="D29" s="1271" t="str">
        <f ca="1">IF(OFFSET(PortfolioDashboard!$A$3,C29-1,0)="","Blank",OFFSET(PortfolioDashboard!$A$3,C29-1,0))</f>
        <v>Blank</v>
      </c>
      <c r="E29" s="1464" t="str">
        <f t="shared" si="16"/>
        <v>MTCO2e</v>
      </c>
      <c r="F29" s="1460">
        <f t="shared" ca="1" si="1"/>
        <v>0</v>
      </c>
      <c r="G29" s="781">
        <f t="shared" ca="1" si="21"/>
        <v>0</v>
      </c>
      <c r="H29" s="781">
        <f t="shared" ca="1" si="21"/>
        <v>0</v>
      </c>
      <c r="I29" s="781">
        <f t="shared" ca="1" si="21"/>
        <v>0</v>
      </c>
      <c r="J29" s="781">
        <f t="shared" ca="1" si="21"/>
        <v>0</v>
      </c>
      <c r="K29" s="781">
        <f t="shared" ca="1" si="21"/>
        <v>0</v>
      </c>
      <c r="L29" s="781">
        <f t="shared" ca="1" si="21"/>
        <v>0</v>
      </c>
      <c r="M29" s="781">
        <f t="shared" ca="1" si="21"/>
        <v>0</v>
      </c>
      <c r="N29" s="781">
        <f t="shared" ca="1" si="21"/>
        <v>0</v>
      </c>
      <c r="O29" s="781">
        <f t="shared" ca="1" si="21"/>
        <v>0</v>
      </c>
      <c r="P29" s="781">
        <f t="shared" ca="1" si="21"/>
        <v>0</v>
      </c>
      <c r="Q29" s="781">
        <f t="shared" ca="1" si="22"/>
        <v>0</v>
      </c>
      <c r="R29" s="781">
        <f t="shared" ca="1" si="22"/>
        <v>0</v>
      </c>
      <c r="S29" s="781">
        <f t="shared" ca="1" si="22"/>
        <v>0</v>
      </c>
      <c r="T29" s="781">
        <f t="shared" ca="1" si="22"/>
        <v>0</v>
      </c>
      <c r="U29" s="781">
        <f t="shared" ca="1" si="22"/>
        <v>0</v>
      </c>
      <c r="V29" s="781">
        <f t="shared" ca="1" si="22"/>
        <v>0</v>
      </c>
      <c r="W29" s="781">
        <f t="shared" ca="1" si="22"/>
        <v>0</v>
      </c>
      <c r="X29" s="781">
        <f t="shared" ca="1" si="22"/>
        <v>0</v>
      </c>
      <c r="Y29" s="781">
        <f t="shared" ca="1" si="22"/>
        <v>0</v>
      </c>
      <c r="Z29" s="781">
        <f t="shared" ca="1" si="22"/>
        <v>0</v>
      </c>
      <c r="AA29" s="781">
        <f t="shared" ca="1" si="23"/>
        <v>0</v>
      </c>
      <c r="AB29" s="781">
        <f t="shared" ca="1" si="23"/>
        <v>0</v>
      </c>
      <c r="AC29" s="781">
        <f t="shared" ca="1" si="23"/>
        <v>0</v>
      </c>
      <c r="AD29" s="781">
        <f t="shared" ca="1" si="23"/>
        <v>0</v>
      </c>
      <c r="AE29" s="781">
        <f t="shared" ca="1" si="23"/>
        <v>0</v>
      </c>
      <c r="AF29" s="781">
        <f t="shared" ca="1" si="23"/>
        <v>0</v>
      </c>
      <c r="AG29" s="781">
        <f t="shared" ca="1" si="23"/>
        <v>0</v>
      </c>
      <c r="AH29" s="781">
        <f t="shared" ca="1" si="23"/>
        <v>0</v>
      </c>
      <c r="AI29" s="781">
        <f t="shared" ca="1" si="23"/>
        <v>0</v>
      </c>
      <c r="AJ29" s="781">
        <f t="shared" ca="1" si="23"/>
        <v>0</v>
      </c>
      <c r="AK29" s="781">
        <f t="shared" ca="1" si="24"/>
        <v>0</v>
      </c>
      <c r="AL29" s="781">
        <f t="shared" ca="1" si="24"/>
        <v>0</v>
      </c>
      <c r="AM29" s="781">
        <f t="shared" ca="1" si="24"/>
        <v>0</v>
      </c>
      <c r="AN29" s="781">
        <f t="shared" ca="1" si="24"/>
        <v>0</v>
      </c>
      <c r="AO29" s="781">
        <f t="shared" ca="1" si="24"/>
        <v>0</v>
      </c>
      <c r="AP29" s="781">
        <f t="shared" ca="1" si="24"/>
        <v>0</v>
      </c>
      <c r="AQ29" s="781">
        <f t="shared" ca="1" si="24"/>
        <v>0</v>
      </c>
      <c r="AR29" s="781">
        <f t="shared" ca="1" si="24"/>
        <v>0</v>
      </c>
      <c r="AS29" s="781">
        <f t="shared" ca="1" si="24"/>
        <v>0</v>
      </c>
      <c r="AT29" s="781">
        <f t="shared" ca="1" si="24"/>
        <v>0</v>
      </c>
      <c r="AV29" s="781">
        <f t="shared" ca="1" si="6"/>
        <v>0</v>
      </c>
      <c r="AX29" s="781">
        <f t="shared" ca="1" si="7"/>
        <v>0</v>
      </c>
      <c r="AZ29" s="781">
        <f t="shared" ca="1" si="8"/>
        <v>0</v>
      </c>
      <c r="BB29" s="781">
        <f t="shared" ca="1" si="9"/>
        <v>0</v>
      </c>
      <c r="BD29" s="781">
        <f t="shared" ca="1" si="10"/>
        <v>0</v>
      </c>
      <c r="BF29" s="781">
        <f t="shared" ca="1" si="11"/>
        <v>0</v>
      </c>
      <c r="BH29" s="781">
        <f t="shared" ca="1" si="12"/>
        <v>0</v>
      </c>
    </row>
    <row r="30" spans="1:60" hidden="1" outlineLevel="1">
      <c r="A30" s="1464">
        <f t="shared" ca="1" si="13"/>
        <v>18</v>
      </c>
      <c r="B30" s="1464">
        <f t="shared" ca="1" si="14"/>
        <v>19</v>
      </c>
      <c r="C30" s="1464">
        <f t="shared" si="15"/>
        <v>28</v>
      </c>
      <c r="D30" s="1271" t="str">
        <f ca="1">IF(OFFSET(PortfolioDashboard!$A$3,C30-1,0)="","Blank",OFFSET(PortfolioDashboard!$A$3,C30-1,0))</f>
        <v>Blank</v>
      </c>
      <c r="E30" s="1464" t="str">
        <f t="shared" si="16"/>
        <v>MTCO2e</v>
      </c>
      <c r="F30" s="1460">
        <f t="shared" ca="1" si="1"/>
        <v>0</v>
      </c>
      <c r="G30" s="781">
        <f t="shared" ca="1" si="21"/>
        <v>0</v>
      </c>
      <c r="H30" s="781">
        <f t="shared" ca="1" si="21"/>
        <v>0</v>
      </c>
      <c r="I30" s="781">
        <f t="shared" ca="1" si="21"/>
        <v>0</v>
      </c>
      <c r="J30" s="781">
        <f t="shared" ca="1" si="21"/>
        <v>0</v>
      </c>
      <c r="K30" s="781">
        <f t="shared" ca="1" si="21"/>
        <v>0</v>
      </c>
      <c r="L30" s="781">
        <f t="shared" ca="1" si="21"/>
        <v>0</v>
      </c>
      <c r="M30" s="781">
        <f t="shared" ca="1" si="21"/>
        <v>0</v>
      </c>
      <c r="N30" s="781">
        <f t="shared" ca="1" si="21"/>
        <v>0</v>
      </c>
      <c r="O30" s="781">
        <f t="shared" ca="1" si="21"/>
        <v>0</v>
      </c>
      <c r="P30" s="781">
        <f t="shared" ca="1" si="21"/>
        <v>0</v>
      </c>
      <c r="Q30" s="781">
        <f t="shared" ca="1" si="22"/>
        <v>0</v>
      </c>
      <c r="R30" s="781">
        <f t="shared" ca="1" si="22"/>
        <v>0</v>
      </c>
      <c r="S30" s="781">
        <f t="shared" ca="1" si="22"/>
        <v>0</v>
      </c>
      <c r="T30" s="781">
        <f t="shared" ca="1" si="22"/>
        <v>0</v>
      </c>
      <c r="U30" s="781">
        <f t="shared" ca="1" si="22"/>
        <v>0</v>
      </c>
      <c r="V30" s="781">
        <f t="shared" ca="1" si="22"/>
        <v>0</v>
      </c>
      <c r="W30" s="781">
        <f t="shared" ca="1" si="22"/>
        <v>0</v>
      </c>
      <c r="X30" s="781">
        <f t="shared" ca="1" si="22"/>
        <v>0</v>
      </c>
      <c r="Y30" s="781">
        <f t="shared" ca="1" si="22"/>
        <v>0</v>
      </c>
      <c r="Z30" s="781">
        <f t="shared" ca="1" si="22"/>
        <v>0</v>
      </c>
      <c r="AA30" s="781">
        <f t="shared" ca="1" si="23"/>
        <v>0</v>
      </c>
      <c r="AB30" s="781">
        <f t="shared" ca="1" si="23"/>
        <v>0</v>
      </c>
      <c r="AC30" s="781">
        <f t="shared" ca="1" si="23"/>
        <v>0</v>
      </c>
      <c r="AD30" s="781">
        <f t="shared" ca="1" si="23"/>
        <v>0</v>
      </c>
      <c r="AE30" s="781">
        <f t="shared" ca="1" si="23"/>
        <v>0</v>
      </c>
      <c r="AF30" s="781">
        <f t="shared" ca="1" si="23"/>
        <v>0</v>
      </c>
      <c r="AG30" s="781">
        <f t="shared" ca="1" si="23"/>
        <v>0</v>
      </c>
      <c r="AH30" s="781">
        <f t="shared" ca="1" si="23"/>
        <v>0</v>
      </c>
      <c r="AI30" s="781">
        <f t="shared" ca="1" si="23"/>
        <v>0</v>
      </c>
      <c r="AJ30" s="781">
        <f t="shared" ca="1" si="23"/>
        <v>0</v>
      </c>
      <c r="AK30" s="781">
        <f t="shared" ca="1" si="24"/>
        <v>0</v>
      </c>
      <c r="AL30" s="781">
        <f t="shared" ca="1" si="24"/>
        <v>0</v>
      </c>
      <c r="AM30" s="781">
        <f t="shared" ca="1" si="24"/>
        <v>0</v>
      </c>
      <c r="AN30" s="781">
        <f t="shared" ca="1" si="24"/>
        <v>0</v>
      </c>
      <c r="AO30" s="781">
        <f t="shared" ca="1" si="24"/>
        <v>0</v>
      </c>
      <c r="AP30" s="781">
        <f t="shared" ca="1" si="24"/>
        <v>0</v>
      </c>
      <c r="AQ30" s="781">
        <f t="shared" ca="1" si="24"/>
        <v>0</v>
      </c>
      <c r="AR30" s="781">
        <f t="shared" ca="1" si="24"/>
        <v>0</v>
      </c>
      <c r="AS30" s="781">
        <f t="shared" ca="1" si="24"/>
        <v>0</v>
      </c>
      <c r="AT30" s="781">
        <f t="shared" ca="1" si="24"/>
        <v>0</v>
      </c>
      <c r="AV30" s="781">
        <f t="shared" ca="1" si="6"/>
        <v>0</v>
      </c>
      <c r="AX30" s="781">
        <f t="shared" ca="1" si="7"/>
        <v>0</v>
      </c>
      <c r="AZ30" s="781">
        <f t="shared" ca="1" si="8"/>
        <v>0</v>
      </c>
      <c r="BB30" s="781">
        <f t="shared" ca="1" si="9"/>
        <v>0</v>
      </c>
      <c r="BD30" s="781">
        <f t="shared" ca="1" si="10"/>
        <v>0</v>
      </c>
      <c r="BF30" s="781">
        <f t="shared" ca="1" si="11"/>
        <v>0</v>
      </c>
      <c r="BH30" s="781">
        <f t="shared" ca="1" si="12"/>
        <v>0</v>
      </c>
    </row>
    <row r="31" spans="1:60" hidden="1" outlineLevel="1">
      <c r="A31" s="1464">
        <f t="shared" ca="1" si="13"/>
        <v>18</v>
      </c>
      <c r="B31" s="1464">
        <f t="shared" ca="1" si="14"/>
        <v>19</v>
      </c>
      <c r="C31" s="1464">
        <f t="shared" si="15"/>
        <v>29</v>
      </c>
      <c r="D31" s="1271" t="str">
        <f ca="1">IF(OFFSET(PortfolioDashboard!$A$3,C31-1,0)="","Blank",OFFSET(PortfolioDashboard!$A$3,C31-1,0))</f>
        <v>Blank</v>
      </c>
      <c r="E31" s="1464" t="str">
        <f t="shared" si="16"/>
        <v>MTCO2e</v>
      </c>
      <c r="F31" s="1460">
        <f t="shared" ca="1" si="1"/>
        <v>0</v>
      </c>
      <c r="G31" s="781">
        <f t="shared" ca="1" si="21"/>
        <v>0</v>
      </c>
      <c r="H31" s="781">
        <f t="shared" ca="1" si="21"/>
        <v>0</v>
      </c>
      <c r="I31" s="781">
        <f t="shared" ca="1" si="21"/>
        <v>0</v>
      </c>
      <c r="J31" s="781">
        <f t="shared" ca="1" si="21"/>
        <v>0</v>
      </c>
      <c r="K31" s="781">
        <f t="shared" ca="1" si="21"/>
        <v>0</v>
      </c>
      <c r="L31" s="781">
        <f t="shared" ca="1" si="21"/>
        <v>0</v>
      </c>
      <c r="M31" s="781">
        <f t="shared" ca="1" si="21"/>
        <v>0</v>
      </c>
      <c r="N31" s="781">
        <f t="shared" ca="1" si="21"/>
        <v>0</v>
      </c>
      <c r="O31" s="781">
        <f t="shared" ca="1" si="21"/>
        <v>0</v>
      </c>
      <c r="P31" s="781">
        <f t="shared" ca="1" si="21"/>
        <v>0</v>
      </c>
      <c r="Q31" s="781">
        <f t="shared" ca="1" si="22"/>
        <v>0</v>
      </c>
      <c r="R31" s="781">
        <f t="shared" ca="1" si="22"/>
        <v>0</v>
      </c>
      <c r="S31" s="781">
        <f t="shared" ca="1" si="22"/>
        <v>0</v>
      </c>
      <c r="T31" s="781">
        <f t="shared" ca="1" si="22"/>
        <v>0</v>
      </c>
      <c r="U31" s="781">
        <f t="shared" ca="1" si="22"/>
        <v>0</v>
      </c>
      <c r="V31" s="781">
        <f t="shared" ca="1" si="22"/>
        <v>0</v>
      </c>
      <c r="W31" s="781">
        <f t="shared" ca="1" si="22"/>
        <v>0</v>
      </c>
      <c r="X31" s="781">
        <f t="shared" ca="1" si="22"/>
        <v>0</v>
      </c>
      <c r="Y31" s="781">
        <f t="shared" ca="1" si="22"/>
        <v>0</v>
      </c>
      <c r="Z31" s="781">
        <f t="shared" ca="1" si="22"/>
        <v>0</v>
      </c>
      <c r="AA31" s="781">
        <f t="shared" ca="1" si="23"/>
        <v>0</v>
      </c>
      <c r="AB31" s="781">
        <f t="shared" ca="1" si="23"/>
        <v>0</v>
      </c>
      <c r="AC31" s="781">
        <f t="shared" ca="1" si="23"/>
        <v>0</v>
      </c>
      <c r="AD31" s="781">
        <f t="shared" ca="1" si="23"/>
        <v>0</v>
      </c>
      <c r="AE31" s="781">
        <f t="shared" ca="1" si="23"/>
        <v>0</v>
      </c>
      <c r="AF31" s="781">
        <f t="shared" ca="1" si="23"/>
        <v>0</v>
      </c>
      <c r="AG31" s="781">
        <f t="shared" ca="1" si="23"/>
        <v>0</v>
      </c>
      <c r="AH31" s="781">
        <f t="shared" ca="1" si="23"/>
        <v>0</v>
      </c>
      <c r="AI31" s="781">
        <f t="shared" ca="1" si="23"/>
        <v>0</v>
      </c>
      <c r="AJ31" s="781">
        <f t="shared" ca="1" si="23"/>
        <v>0</v>
      </c>
      <c r="AK31" s="781">
        <f t="shared" ca="1" si="24"/>
        <v>0</v>
      </c>
      <c r="AL31" s="781">
        <f t="shared" ca="1" si="24"/>
        <v>0</v>
      </c>
      <c r="AM31" s="781">
        <f t="shared" ca="1" si="24"/>
        <v>0</v>
      </c>
      <c r="AN31" s="781">
        <f t="shared" ca="1" si="24"/>
        <v>0</v>
      </c>
      <c r="AO31" s="781">
        <f t="shared" ca="1" si="24"/>
        <v>0</v>
      </c>
      <c r="AP31" s="781">
        <f t="shared" ca="1" si="24"/>
        <v>0</v>
      </c>
      <c r="AQ31" s="781">
        <f t="shared" ca="1" si="24"/>
        <v>0</v>
      </c>
      <c r="AR31" s="781">
        <f t="shared" ca="1" si="24"/>
        <v>0</v>
      </c>
      <c r="AS31" s="781">
        <f t="shared" ca="1" si="24"/>
        <v>0</v>
      </c>
      <c r="AT31" s="781">
        <f t="shared" ca="1" si="24"/>
        <v>0</v>
      </c>
      <c r="AV31" s="781">
        <f t="shared" ca="1" si="6"/>
        <v>0</v>
      </c>
      <c r="AX31" s="781">
        <f t="shared" ca="1" si="7"/>
        <v>0</v>
      </c>
      <c r="AZ31" s="781">
        <f t="shared" ca="1" si="8"/>
        <v>0</v>
      </c>
      <c r="BB31" s="781">
        <f t="shared" ca="1" si="9"/>
        <v>0</v>
      </c>
      <c r="BD31" s="781">
        <f t="shared" ca="1" si="10"/>
        <v>0</v>
      </c>
      <c r="BF31" s="781">
        <f t="shared" ca="1" si="11"/>
        <v>0</v>
      </c>
      <c r="BH31" s="781">
        <f t="shared" ca="1" si="12"/>
        <v>0</v>
      </c>
    </row>
    <row r="32" spans="1:60" hidden="1" outlineLevel="1">
      <c r="A32" s="1464">
        <f t="shared" ca="1" si="13"/>
        <v>18</v>
      </c>
      <c r="B32" s="1464">
        <f t="shared" ca="1" si="14"/>
        <v>19</v>
      </c>
      <c r="C32" s="1464">
        <f t="shared" si="15"/>
        <v>30</v>
      </c>
      <c r="D32" s="1271" t="str">
        <f ca="1">IF(OFFSET(PortfolioDashboard!$A$3,C32-1,0)="","Blank",OFFSET(PortfolioDashboard!$A$3,C32-1,0))</f>
        <v>Blank</v>
      </c>
      <c r="E32" s="1464" t="str">
        <f t="shared" si="16"/>
        <v>MTCO2e</v>
      </c>
      <c r="F32" s="1460">
        <f t="shared" ca="1" si="1"/>
        <v>0</v>
      </c>
      <c r="G32" s="781">
        <f t="shared" ca="1" si="21"/>
        <v>0</v>
      </c>
      <c r="H32" s="781">
        <f t="shared" ca="1" si="21"/>
        <v>0</v>
      </c>
      <c r="I32" s="781">
        <f t="shared" ca="1" si="21"/>
        <v>0</v>
      </c>
      <c r="J32" s="781">
        <f t="shared" ca="1" si="21"/>
        <v>0</v>
      </c>
      <c r="K32" s="781">
        <f t="shared" ca="1" si="21"/>
        <v>0</v>
      </c>
      <c r="L32" s="781">
        <f t="shared" ca="1" si="21"/>
        <v>0</v>
      </c>
      <c r="M32" s="781">
        <f t="shared" ca="1" si="21"/>
        <v>0</v>
      </c>
      <c r="N32" s="781">
        <f t="shared" ca="1" si="21"/>
        <v>0</v>
      </c>
      <c r="O32" s="781">
        <f t="shared" ca="1" si="21"/>
        <v>0</v>
      </c>
      <c r="P32" s="781">
        <f t="shared" ca="1" si="21"/>
        <v>0</v>
      </c>
      <c r="Q32" s="781">
        <f t="shared" ca="1" si="22"/>
        <v>0</v>
      </c>
      <c r="R32" s="781">
        <f t="shared" ca="1" si="22"/>
        <v>0</v>
      </c>
      <c r="S32" s="781">
        <f t="shared" ca="1" si="22"/>
        <v>0</v>
      </c>
      <c r="T32" s="781">
        <f t="shared" ca="1" si="22"/>
        <v>0</v>
      </c>
      <c r="U32" s="781">
        <f t="shared" ca="1" si="22"/>
        <v>0</v>
      </c>
      <c r="V32" s="781">
        <f t="shared" ca="1" si="22"/>
        <v>0</v>
      </c>
      <c r="W32" s="781">
        <f t="shared" ca="1" si="22"/>
        <v>0</v>
      </c>
      <c r="X32" s="781">
        <f t="shared" ca="1" si="22"/>
        <v>0</v>
      </c>
      <c r="Y32" s="781">
        <f t="shared" ca="1" si="22"/>
        <v>0</v>
      </c>
      <c r="Z32" s="781">
        <f t="shared" ca="1" si="22"/>
        <v>0</v>
      </c>
      <c r="AA32" s="781">
        <f t="shared" ca="1" si="23"/>
        <v>0</v>
      </c>
      <c r="AB32" s="781">
        <f t="shared" ca="1" si="23"/>
        <v>0</v>
      </c>
      <c r="AC32" s="781">
        <f t="shared" ca="1" si="23"/>
        <v>0</v>
      </c>
      <c r="AD32" s="781">
        <f t="shared" ca="1" si="23"/>
        <v>0</v>
      </c>
      <c r="AE32" s="781">
        <f t="shared" ca="1" si="23"/>
        <v>0</v>
      </c>
      <c r="AF32" s="781">
        <f t="shared" ca="1" si="23"/>
        <v>0</v>
      </c>
      <c r="AG32" s="781">
        <f t="shared" ca="1" si="23"/>
        <v>0</v>
      </c>
      <c r="AH32" s="781">
        <f t="shared" ca="1" si="23"/>
        <v>0</v>
      </c>
      <c r="AI32" s="781">
        <f t="shared" ca="1" si="23"/>
        <v>0</v>
      </c>
      <c r="AJ32" s="781">
        <f t="shared" ca="1" si="23"/>
        <v>0</v>
      </c>
      <c r="AK32" s="781">
        <f t="shared" ca="1" si="24"/>
        <v>0</v>
      </c>
      <c r="AL32" s="781">
        <f t="shared" ca="1" si="24"/>
        <v>0</v>
      </c>
      <c r="AM32" s="781">
        <f t="shared" ca="1" si="24"/>
        <v>0</v>
      </c>
      <c r="AN32" s="781">
        <f t="shared" ca="1" si="24"/>
        <v>0</v>
      </c>
      <c r="AO32" s="781">
        <f t="shared" ca="1" si="24"/>
        <v>0</v>
      </c>
      <c r="AP32" s="781">
        <f t="shared" ca="1" si="24"/>
        <v>0</v>
      </c>
      <c r="AQ32" s="781">
        <f t="shared" ca="1" si="24"/>
        <v>0</v>
      </c>
      <c r="AR32" s="781">
        <f t="shared" ca="1" si="24"/>
        <v>0</v>
      </c>
      <c r="AS32" s="781">
        <f t="shared" ca="1" si="24"/>
        <v>0</v>
      </c>
      <c r="AT32" s="781">
        <f t="shared" ca="1" si="24"/>
        <v>0</v>
      </c>
      <c r="AV32" s="781">
        <f t="shared" ca="1" si="6"/>
        <v>0</v>
      </c>
      <c r="AX32" s="781">
        <f t="shared" ca="1" si="7"/>
        <v>0</v>
      </c>
      <c r="AZ32" s="781">
        <f t="shared" ca="1" si="8"/>
        <v>0</v>
      </c>
      <c r="BB32" s="781">
        <f t="shared" ca="1" si="9"/>
        <v>0</v>
      </c>
      <c r="BD32" s="781">
        <f t="shared" ca="1" si="10"/>
        <v>0</v>
      </c>
      <c r="BF32" s="781">
        <f t="shared" ca="1" si="11"/>
        <v>0</v>
      </c>
      <c r="BH32" s="781">
        <f t="shared" ca="1" si="12"/>
        <v>0</v>
      </c>
    </row>
    <row r="33" spans="1:60" collapsed="1">
      <c r="A33" s="1464"/>
      <c r="B33" s="1464"/>
      <c r="C33" s="1464"/>
      <c r="D33" s="1272" t="s">
        <v>261</v>
      </c>
      <c r="E33" s="1270" t="s">
        <v>1507</v>
      </c>
      <c r="F33" s="1461"/>
      <c r="G33" s="1273">
        <f t="shared" ref="G33:AT33" ca="1" si="25">SUM(G3:G32)</f>
        <v>0</v>
      </c>
      <c r="H33" s="1273">
        <f t="shared" ca="1" si="25"/>
        <v>0</v>
      </c>
      <c r="I33" s="1273">
        <f t="shared" ca="1" si="25"/>
        <v>0</v>
      </c>
      <c r="J33" s="1273">
        <f t="shared" ca="1" si="25"/>
        <v>0</v>
      </c>
      <c r="K33" s="1273">
        <f t="shared" ca="1" si="25"/>
        <v>0</v>
      </c>
      <c r="L33" s="1273">
        <f t="shared" ca="1" si="25"/>
        <v>0</v>
      </c>
      <c r="M33" s="1273">
        <f t="shared" ca="1" si="25"/>
        <v>0</v>
      </c>
      <c r="N33" s="1273">
        <f t="shared" ca="1" si="25"/>
        <v>0</v>
      </c>
      <c r="O33" s="1273">
        <f t="shared" ca="1" si="25"/>
        <v>0</v>
      </c>
      <c r="P33" s="1273">
        <f t="shared" ca="1" si="25"/>
        <v>0</v>
      </c>
      <c r="Q33" s="1273">
        <f t="shared" ca="1" si="25"/>
        <v>0</v>
      </c>
      <c r="R33" s="1273">
        <f t="shared" ca="1" si="25"/>
        <v>0</v>
      </c>
      <c r="S33" s="1273">
        <f t="shared" ca="1" si="25"/>
        <v>0</v>
      </c>
      <c r="T33" s="1273">
        <f t="shared" ca="1" si="25"/>
        <v>0</v>
      </c>
      <c r="U33" s="1273">
        <f t="shared" ca="1" si="25"/>
        <v>0</v>
      </c>
      <c r="V33" s="1273">
        <f t="shared" ca="1" si="25"/>
        <v>0</v>
      </c>
      <c r="W33" s="1273">
        <f t="shared" ca="1" si="25"/>
        <v>0</v>
      </c>
      <c r="X33" s="1273">
        <f t="shared" ca="1" si="25"/>
        <v>0</v>
      </c>
      <c r="Y33" s="1273">
        <f t="shared" ca="1" si="25"/>
        <v>0</v>
      </c>
      <c r="Z33" s="1273">
        <f t="shared" ca="1" si="25"/>
        <v>0</v>
      </c>
      <c r="AA33" s="1273">
        <f t="shared" ca="1" si="25"/>
        <v>0</v>
      </c>
      <c r="AB33" s="1273">
        <f t="shared" ca="1" si="25"/>
        <v>0</v>
      </c>
      <c r="AC33" s="1273">
        <f t="shared" ca="1" si="25"/>
        <v>0</v>
      </c>
      <c r="AD33" s="1273">
        <f t="shared" ca="1" si="25"/>
        <v>0</v>
      </c>
      <c r="AE33" s="1273">
        <f t="shared" ca="1" si="25"/>
        <v>0</v>
      </c>
      <c r="AF33" s="1273">
        <f t="shared" ca="1" si="25"/>
        <v>0</v>
      </c>
      <c r="AG33" s="1273">
        <f t="shared" ca="1" si="25"/>
        <v>0</v>
      </c>
      <c r="AH33" s="1273">
        <f t="shared" ca="1" si="25"/>
        <v>0</v>
      </c>
      <c r="AI33" s="1273">
        <f t="shared" ca="1" si="25"/>
        <v>0</v>
      </c>
      <c r="AJ33" s="1273">
        <f t="shared" ca="1" si="25"/>
        <v>0</v>
      </c>
      <c r="AK33" s="1273">
        <f t="shared" ca="1" si="25"/>
        <v>0</v>
      </c>
      <c r="AL33" s="1273">
        <f t="shared" ca="1" si="25"/>
        <v>0</v>
      </c>
      <c r="AM33" s="1273">
        <f t="shared" ca="1" si="25"/>
        <v>0</v>
      </c>
      <c r="AN33" s="1273">
        <f t="shared" ca="1" si="25"/>
        <v>0</v>
      </c>
      <c r="AO33" s="1273">
        <f t="shared" ca="1" si="25"/>
        <v>0</v>
      </c>
      <c r="AP33" s="1273">
        <f t="shared" ca="1" si="25"/>
        <v>0</v>
      </c>
      <c r="AQ33" s="1273">
        <f t="shared" ca="1" si="25"/>
        <v>0</v>
      </c>
      <c r="AR33" s="1273">
        <f t="shared" ca="1" si="25"/>
        <v>0</v>
      </c>
      <c r="AS33" s="1273">
        <f t="shared" ca="1" si="25"/>
        <v>0</v>
      </c>
      <c r="AT33" s="1273">
        <f t="shared" ca="1" si="25"/>
        <v>0</v>
      </c>
      <c r="AV33" s="1273">
        <f t="shared" ca="1" si="6"/>
        <v>0</v>
      </c>
      <c r="AX33" s="1273">
        <f t="shared" ca="1" si="7"/>
        <v>0</v>
      </c>
      <c r="AZ33" s="1273">
        <f t="shared" ca="1" si="8"/>
        <v>0</v>
      </c>
      <c r="BB33" s="1273">
        <f t="shared" ca="1" si="9"/>
        <v>0</v>
      </c>
      <c r="BD33" s="1273">
        <f t="shared" ca="1" si="10"/>
        <v>0</v>
      </c>
      <c r="BF33" s="1273">
        <f t="shared" ca="1" si="11"/>
        <v>0</v>
      </c>
      <c r="BH33" s="1273">
        <f t="shared" ca="1" si="12"/>
        <v>0</v>
      </c>
    </row>
    <row r="34" spans="1:60" hidden="1" outlineLevel="1">
      <c r="A34" s="1464">
        <f ca="1">OFFSET(Abatement_Scope_2,-3,2)</f>
        <v>18</v>
      </c>
      <c r="B34" s="1464">
        <f ca="1">OFFSET(Abatement_Scope_2,-2,2)</f>
        <v>20</v>
      </c>
      <c r="C34" s="1464">
        <v>1</v>
      </c>
      <c r="D34" s="1271" t="str">
        <f ca="1">IF(OFFSET(PortfolioDashboard!$A$3,C34-1,0)="","Blank",OFFSET(PortfolioDashboard!$A$3,C34-1,0))</f>
        <v>Behavior Change</v>
      </c>
      <c r="E34" s="1464" t="s">
        <v>1507</v>
      </c>
      <c r="F34" s="1460"/>
      <c r="G34" s="781">
        <f t="shared" ref="G34:P43" ca="1" si="26">IFERROR(OFFSET(INDIRECT(INDEX(List_of_Alternatives,MATCH($D34,NameofAlternatives,0))),$A34+G$1-$G$1,$B34),0)</f>
        <v>0</v>
      </c>
      <c r="H34" s="781">
        <f t="shared" ca="1" si="26"/>
        <v>0</v>
      </c>
      <c r="I34" s="781">
        <f t="shared" ca="1" si="26"/>
        <v>-443.03041713126811</v>
      </c>
      <c r="J34" s="781">
        <f t="shared" ca="1" si="26"/>
        <v>-877.25965895883451</v>
      </c>
      <c r="K34" s="781">
        <f t="shared" ca="1" si="26"/>
        <v>-1300.8517178401214</v>
      </c>
      <c r="L34" s="781">
        <f t="shared" ca="1" si="26"/>
        <v>-1720.4743232307801</v>
      </c>
      <c r="M34" s="781">
        <f t="shared" ca="1" si="26"/>
        <v>-2130.2219889227813</v>
      </c>
      <c r="N34" s="781">
        <f t="shared" ca="1" si="26"/>
        <v>-2531.7905847036163</v>
      </c>
      <c r="O34" s="781">
        <f t="shared" ca="1" si="26"/>
        <v>-2841.5897522124551</v>
      </c>
      <c r="P34" s="781">
        <f t="shared" ca="1" si="26"/>
        <v>-3144.8176964852678</v>
      </c>
      <c r="Q34" s="781">
        <f t="shared" ref="Q34:Z43" ca="1" si="27">IFERROR(OFFSET(INDIRECT(INDEX(List_of_Alternatives,MATCH($D34,NameofAlternatives,0))),$A34+Q$1-$G$1,$B34),0)</f>
        <v>-3441.464195208222</v>
      </c>
      <c r="R34" s="781">
        <f t="shared" ca="1" si="27"/>
        <v>-3731.5194545793479</v>
      </c>
      <c r="S34" s="781">
        <f t="shared" ca="1" si="27"/>
        <v>-4014.9740870877836</v>
      </c>
      <c r="T34" s="781">
        <f t="shared" ca="1" si="27"/>
        <v>-3973.9065654273677</v>
      </c>
      <c r="U34" s="781">
        <f t="shared" ca="1" si="27"/>
        <v>-3960.275297755366</v>
      </c>
      <c r="V34" s="781">
        <f t="shared" ca="1" si="27"/>
        <v>-3946.6043494384821</v>
      </c>
      <c r="W34" s="781">
        <f t="shared" ca="1" si="27"/>
        <v>-3932.894905899223</v>
      </c>
      <c r="X34" s="781">
        <f t="shared" ca="1" si="27"/>
        <v>-3919.1481058077857</v>
      </c>
      <c r="Y34" s="781">
        <f t="shared" ca="1" si="27"/>
        <v>-3905.365043364422</v>
      </c>
      <c r="Z34" s="781">
        <f t="shared" ca="1" si="27"/>
        <v>-3891.5467704493494</v>
      </c>
      <c r="AA34" s="781">
        <f t="shared" ref="AA34:AJ43" ca="1" si="28">IFERROR(OFFSET(INDIRECT(INDEX(List_of_Alternatives,MATCH($D34,NameofAlternatives,0))),$A34+AA$1-$G$1,$B34),0)</f>
        <v>-3877.694298649179</v>
      </c>
      <c r="AB34" s="781">
        <f t="shared" ca="1" si="28"/>
        <v>-3863.8086011679702</v>
      </c>
      <c r="AC34" s="781">
        <f t="shared" ca="1" si="28"/>
        <v>-3849.8906146305685</v>
      </c>
      <c r="AD34" s="781">
        <f t="shared" ca="1" si="28"/>
        <v>-3835.9412407851964</v>
      </c>
      <c r="AE34" s="781">
        <f t="shared" ca="1" si="28"/>
        <v>-3831.4219676905486</v>
      </c>
      <c r="AF34" s="781">
        <f t="shared" ca="1" si="28"/>
        <v>-3826.8730124998601</v>
      </c>
      <c r="AG34" s="781">
        <f t="shared" ca="1" si="28"/>
        <v>-3822.2951816346049</v>
      </c>
      <c r="AH34" s="781">
        <f t="shared" ca="1" si="28"/>
        <v>-3817.6892525659619</v>
      </c>
      <c r="AI34" s="781">
        <f t="shared" ca="1" si="28"/>
        <v>-3813.0559751023975</v>
      </c>
      <c r="AJ34" s="781">
        <f t="shared" ca="1" si="28"/>
        <v>-3808.39607260912</v>
      </c>
      <c r="AK34" s="781">
        <f t="shared" ref="AK34:AT43" ca="1" si="29">IFERROR(OFFSET(INDIRECT(INDEX(List_of_Alternatives,MATCH($D34,NameofAlternatives,0))),$A34+AK$1-$G$1,$B34),0)</f>
        <v>-3803.7102431636122</v>
      </c>
      <c r="AL34" s="781">
        <f t="shared" ca="1" si="29"/>
        <v>-3798.9991606510753</v>
      </c>
      <c r="AM34" s="781">
        <f t="shared" ca="1" si="29"/>
        <v>-3794.2634758034219</v>
      </c>
      <c r="AN34" s="781">
        <f t="shared" ca="1" si="29"/>
        <v>-3789.5038171851834</v>
      </c>
      <c r="AO34" s="781">
        <f t="shared" ca="1" si="29"/>
        <v>-3784.7207921294653</v>
      </c>
      <c r="AP34" s="781">
        <f t="shared" ca="1" si="29"/>
        <v>-3779.9149876268702</v>
      </c>
      <c r="AQ34" s="781">
        <f t="shared" ca="1" si="29"/>
        <v>-3775.0869711701425</v>
      </c>
      <c r="AR34" s="781">
        <f t="shared" ca="1" si="29"/>
        <v>-3770.2372915570536</v>
      </c>
      <c r="AS34" s="781">
        <f t="shared" ca="1" si="29"/>
        <v>-3765.3664796539692</v>
      </c>
      <c r="AT34" s="781">
        <f t="shared" ca="1" si="29"/>
        <v>-3760.4750491222649</v>
      </c>
      <c r="AV34" s="781">
        <f t="shared" ca="1" si="6"/>
        <v>-12368.894345554902</v>
      </c>
      <c r="AX34" s="781">
        <f t="shared" ca="1" si="7"/>
        <v>-19122.139600058086</v>
      </c>
      <c r="AZ34" s="781">
        <f t="shared" ca="1" si="8"/>
        <v>-19595.559174959264</v>
      </c>
      <c r="BB34" s="781">
        <f t="shared" ca="1" si="9"/>
        <v>-19258.756722923463</v>
      </c>
      <c r="BD34" s="781">
        <f t="shared" ca="1" si="10"/>
        <v>-19088.309494411944</v>
      </c>
      <c r="BF34" s="781">
        <f t="shared" ca="1" si="11"/>
        <v>-18971.197488932758</v>
      </c>
      <c r="BH34" s="781">
        <f t="shared" ca="1" si="12"/>
        <v>-18851.080779130301</v>
      </c>
    </row>
    <row r="35" spans="1:60" hidden="1" outlineLevel="1">
      <c r="A35" s="1464">
        <f ca="1">A34</f>
        <v>18</v>
      </c>
      <c r="B35" s="1464">
        <f ca="1">B34</f>
        <v>20</v>
      </c>
      <c r="C35" s="1464">
        <f>C34+1</f>
        <v>2</v>
      </c>
      <c r="D35" s="1271" t="str">
        <f ca="1">IF(OFFSET(PortfolioDashboard!$A$3,C35-1,0)="","Blank",OFFSET(PortfolioDashboard!$A$3,C35-1,0))</f>
        <v>Building Design &amp; Construction Standards</v>
      </c>
      <c r="E35" s="1464" t="str">
        <f>E34</f>
        <v>MTCO2e</v>
      </c>
      <c r="F35" s="1460"/>
      <c r="G35" s="781">
        <f t="shared" ca="1" si="26"/>
        <v>0</v>
      </c>
      <c r="H35" s="781">
        <f t="shared" ca="1" si="26"/>
        <v>-789.72264015453493</v>
      </c>
      <c r="I35" s="781">
        <f t="shared" ca="1" si="26"/>
        <v>-3573.5485844890363</v>
      </c>
      <c r="J35" s="781">
        <f t="shared" ca="1" si="26"/>
        <v>-4637.7326311296556</v>
      </c>
      <c r="K35" s="781">
        <f t="shared" ca="1" si="26"/>
        <v>-5052.878033826406</v>
      </c>
      <c r="L35" s="781">
        <f t="shared" ca="1" si="26"/>
        <v>-7226.3575762567925</v>
      </c>
      <c r="M35" s="781">
        <f t="shared" ca="1" si="26"/>
        <v>-7651.4767554743994</v>
      </c>
      <c r="N35" s="781">
        <f t="shared" ca="1" si="26"/>
        <v>-8077.790562160325</v>
      </c>
      <c r="O35" s="781">
        <f t="shared" ca="1" si="26"/>
        <v>-8505.2602187414213</v>
      </c>
      <c r="P35" s="781">
        <f t="shared" ca="1" si="26"/>
        <v>-8933.8486079716986</v>
      </c>
      <c r="Q35" s="781">
        <f t="shared" ca="1" si="27"/>
        <v>-9363.5201850112971</v>
      </c>
      <c r="R35" s="781">
        <f t="shared" ca="1" si="27"/>
        <v>-9794.2408950338431</v>
      </c>
      <c r="S35" s="781">
        <f t="shared" ca="1" si="27"/>
        <v>-10225.978095960911</v>
      </c>
      <c r="T35" s="781">
        <f t="shared" ca="1" si="27"/>
        <v>-10658.700485955025</v>
      </c>
      <c r="U35" s="781">
        <f t="shared" ca="1" si="27"/>
        <v>-11092.378035332724</v>
      </c>
      <c r="V35" s="781">
        <f t="shared" ca="1" si="27"/>
        <v>-11526.981922587047</v>
      </c>
      <c r="W35" s="781">
        <f t="shared" ca="1" si="27"/>
        <v>-11962.484474232047</v>
      </c>
      <c r="X35" s="781">
        <f t="shared" ca="1" si="27"/>
        <v>-12398.859108206347</v>
      </c>
      <c r="Y35" s="781">
        <f t="shared" ca="1" si="27"/>
        <v>-12836.080280592192</v>
      </c>
      <c r="Z35" s="781">
        <f t="shared" ca="1" si="27"/>
        <v>-13274.123435425432</v>
      </c>
      <c r="AA35" s="781">
        <f t="shared" ca="1" si="28"/>
        <v>-13712.964957389482</v>
      </c>
      <c r="AB35" s="781">
        <f t="shared" ca="1" si="28"/>
        <v>-14152.582127201758</v>
      </c>
      <c r="AC35" s="781">
        <f t="shared" ca="1" si="28"/>
        <v>-14592.953079515333</v>
      </c>
      <c r="AD35" s="781">
        <f t="shared" ca="1" si="28"/>
        <v>-15034.056763171931</v>
      </c>
      <c r="AE35" s="781">
        <f t="shared" ca="1" si="28"/>
        <v>-15475.872903654525</v>
      </c>
      <c r="AF35" s="781">
        <f t="shared" ca="1" si="28"/>
        <v>-15918.381967598942</v>
      </c>
      <c r="AG35" s="781">
        <f t="shared" ca="1" si="28"/>
        <v>-16361.565129233688</v>
      </c>
      <c r="AH35" s="781">
        <f t="shared" ca="1" si="28"/>
        <v>-16805.404238626754</v>
      </c>
      <c r="AI35" s="781">
        <f t="shared" ca="1" si="28"/>
        <v>-17249.881791627668</v>
      </c>
      <c r="AJ35" s="781">
        <f t="shared" ca="1" si="28"/>
        <v>-17694.980901399122</v>
      </c>
      <c r="AK35" s="781">
        <f t="shared" ca="1" si="29"/>
        <v>-18140.685271441605</v>
      </c>
      <c r="AL35" s="781">
        <f t="shared" ca="1" si="29"/>
        <v>-18586.97917002024</v>
      </c>
      <c r="AM35" s="781">
        <f t="shared" ca="1" si="29"/>
        <v>-19033.847405909608</v>
      </c>
      <c r="AN35" s="781">
        <f t="shared" ca="1" si="29"/>
        <v>-19481.275305378116</v>
      </c>
      <c r="AO35" s="781">
        <f t="shared" ca="1" si="29"/>
        <v>-19929.24869033814</v>
      </c>
      <c r="AP35" s="781">
        <f t="shared" ca="1" si="29"/>
        <v>-20377.753857594329</v>
      </c>
      <c r="AQ35" s="781">
        <f t="shared" ca="1" si="29"/>
        <v>-20826.777559125614</v>
      </c>
      <c r="AR35" s="781">
        <f t="shared" ca="1" si="29"/>
        <v>-21276.306983341619</v>
      </c>
      <c r="AS35" s="781">
        <f t="shared" ca="1" si="29"/>
        <v>-21726.329737257827</v>
      </c>
      <c r="AT35" s="781">
        <f t="shared" ca="1" si="29"/>
        <v>-22176.83382953706</v>
      </c>
      <c r="AV35" s="781">
        <f t="shared" ca="1" si="6"/>
        <v>-40394.733720604636</v>
      </c>
      <c r="AX35" s="781">
        <f t="shared" ca="1" si="7"/>
        <v>-51134.817697293802</v>
      </c>
      <c r="AZ35" s="781">
        <f t="shared" ca="1" si="8"/>
        <v>-61998.529221043063</v>
      </c>
      <c r="BB35" s="781">
        <f t="shared" ca="1" si="9"/>
        <v>-72968.429830933033</v>
      </c>
      <c r="BD35" s="781">
        <f t="shared" ca="1" si="10"/>
        <v>-84030.214028486167</v>
      </c>
      <c r="BF35" s="781">
        <f t="shared" ca="1" si="11"/>
        <v>-95172.03584308771</v>
      </c>
      <c r="BH35" s="781">
        <f t="shared" ca="1" si="12"/>
        <v>-106384.00196685645</v>
      </c>
    </row>
    <row r="36" spans="1:60" hidden="1" outlineLevel="1">
      <c r="A36" s="1464">
        <f t="shared" ref="A36:A63" ca="1" si="30">A35</f>
        <v>18</v>
      </c>
      <c r="B36" s="1464">
        <f t="shared" ref="B36:B63" ca="1" si="31">B35</f>
        <v>20</v>
      </c>
      <c r="C36" s="1464">
        <f t="shared" ref="C36:C63" si="32">C35+1</f>
        <v>3</v>
      </c>
      <c r="D36" s="1271" t="str">
        <f ca="1">IF(OFFSET(PortfolioDashboard!$A$3,C36-1,0)="","Blank",OFFSET(PortfolioDashboard!$A$3,C36-1,0))</f>
        <v>Space Planning &amp; Management</v>
      </c>
      <c r="E36" s="1464" t="str">
        <f t="shared" ref="E36:E63" si="33">E35</f>
        <v>MTCO2e</v>
      </c>
      <c r="F36" s="1460"/>
      <c r="G36" s="781">
        <f t="shared" ca="1" si="26"/>
        <v>-2011.5286795204174</v>
      </c>
      <c r="H36" s="781">
        <f t="shared" ca="1" si="26"/>
        <v>-4023.0573590408094</v>
      </c>
      <c r="I36" s="781">
        <f t="shared" ca="1" si="26"/>
        <v>-6034.5860385612268</v>
      </c>
      <c r="J36" s="781">
        <f t="shared" ca="1" si="26"/>
        <v>-8046.1147180816188</v>
      </c>
      <c r="K36" s="781">
        <f t="shared" ca="1" si="26"/>
        <v>-10057.643397602036</v>
      </c>
      <c r="L36" s="781">
        <f t="shared" ca="1" si="26"/>
        <v>-12069.172077122454</v>
      </c>
      <c r="M36" s="781">
        <f t="shared" ca="1" si="26"/>
        <v>-14080.700756642846</v>
      </c>
      <c r="N36" s="781">
        <f t="shared" ca="1" si="26"/>
        <v>-16092.229436163265</v>
      </c>
      <c r="O36" s="781">
        <f t="shared" ca="1" si="26"/>
        <v>-18103.758115683657</v>
      </c>
      <c r="P36" s="781">
        <f t="shared" ca="1" si="26"/>
        <v>-20115.286795204072</v>
      </c>
      <c r="Q36" s="781">
        <f t="shared" ca="1" si="27"/>
        <v>-22126.815474724466</v>
      </c>
      <c r="R36" s="781">
        <f t="shared" ca="1" si="27"/>
        <v>-24138.344154244882</v>
      </c>
      <c r="S36" s="781">
        <f t="shared" ca="1" si="27"/>
        <v>-26149.872833765301</v>
      </c>
      <c r="T36" s="781">
        <f t="shared" ca="1" si="27"/>
        <v>-28161.401513285691</v>
      </c>
      <c r="U36" s="781">
        <f t="shared" ca="1" si="27"/>
        <v>-30172.93019280611</v>
      </c>
      <c r="V36" s="781">
        <f t="shared" ca="1" si="27"/>
        <v>-32184.45887232653</v>
      </c>
      <c r="W36" s="781">
        <f t="shared" ca="1" si="27"/>
        <v>-34195.98755184692</v>
      </c>
      <c r="X36" s="781">
        <f t="shared" ca="1" si="27"/>
        <v>-36207.516231367335</v>
      </c>
      <c r="Y36" s="781">
        <f t="shared" ca="1" si="27"/>
        <v>-38219.044910887722</v>
      </c>
      <c r="Z36" s="781">
        <f t="shared" ca="1" si="27"/>
        <v>-40230.573590408145</v>
      </c>
      <c r="AA36" s="781">
        <f t="shared" ca="1" si="28"/>
        <v>-42242.102269928539</v>
      </c>
      <c r="AB36" s="781">
        <f t="shared" ca="1" si="28"/>
        <v>-44253.630949448947</v>
      </c>
      <c r="AC36" s="781">
        <f t="shared" ca="1" si="28"/>
        <v>-46265.15962896937</v>
      </c>
      <c r="AD36" s="781">
        <f t="shared" ca="1" si="28"/>
        <v>-48276.688308489764</v>
      </c>
      <c r="AE36" s="781">
        <f t="shared" ca="1" si="28"/>
        <v>-50288.216988010186</v>
      </c>
      <c r="AF36" s="781">
        <f t="shared" ca="1" si="28"/>
        <v>-52299.745667530602</v>
      </c>
      <c r="AG36" s="781">
        <f t="shared" ca="1" si="28"/>
        <v>-54311.274347050989</v>
      </c>
      <c r="AH36" s="781">
        <f t="shared" ca="1" si="28"/>
        <v>-56322.803026571382</v>
      </c>
      <c r="AI36" s="781">
        <f t="shared" ca="1" si="28"/>
        <v>-58334.331706091805</v>
      </c>
      <c r="AJ36" s="781">
        <f t="shared" ca="1" si="28"/>
        <v>-60345.860385612221</v>
      </c>
      <c r="AK36" s="781">
        <f t="shared" ca="1" si="29"/>
        <v>-62357.389065132607</v>
      </c>
      <c r="AL36" s="781">
        <f t="shared" ca="1" si="29"/>
        <v>-64368.91774465303</v>
      </c>
      <c r="AM36" s="781">
        <f t="shared" ca="1" si="29"/>
        <v>-66380.446424173453</v>
      </c>
      <c r="AN36" s="781">
        <f t="shared" ca="1" si="29"/>
        <v>-68391.97510369384</v>
      </c>
      <c r="AO36" s="781">
        <f t="shared" ca="1" si="29"/>
        <v>-70403.503783214255</v>
      </c>
      <c r="AP36" s="781">
        <f t="shared" ca="1" si="29"/>
        <v>-72415.032462734671</v>
      </c>
      <c r="AQ36" s="781">
        <f t="shared" ca="1" si="29"/>
        <v>-74426.561142255057</v>
      </c>
      <c r="AR36" s="781">
        <f t="shared" ca="1" si="29"/>
        <v>-76438.089821775444</v>
      </c>
      <c r="AS36" s="781">
        <f t="shared" ca="1" si="29"/>
        <v>-78449.618501295859</v>
      </c>
      <c r="AT36" s="781">
        <f t="shared" ca="1" si="29"/>
        <v>-80461.14718081629</v>
      </c>
      <c r="AV36" s="781">
        <f t="shared" ca="1" si="6"/>
        <v>-80461.14718081629</v>
      </c>
      <c r="AX36" s="781">
        <f t="shared" ca="1" si="7"/>
        <v>-130749.36416882643</v>
      </c>
      <c r="AZ36" s="781">
        <f t="shared" ca="1" si="8"/>
        <v>-181037.58115683665</v>
      </c>
      <c r="BB36" s="781">
        <f t="shared" ca="1" si="9"/>
        <v>-231325.79814484681</v>
      </c>
      <c r="BD36" s="781">
        <f t="shared" ca="1" si="10"/>
        <v>-281614.01513285702</v>
      </c>
      <c r="BF36" s="781">
        <f t="shared" ca="1" si="11"/>
        <v>-331902.23212086718</v>
      </c>
      <c r="BH36" s="781">
        <f t="shared" ca="1" si="12"/>
        <v>-382190.44910887734</v>
      </c>
    </row>
    <row r="37" spans="1:60" hidden="1" outlineLevel="1">
      <c r="A37" s="1464">
        <f t="shared" ca="1" si="30"/>
        <v>18</v>
      </c>
      <c r="B37" s="1464">
        <f t="shared" ca="1" si="31"/>
        <v>20</v>
      </c>
      <c r="C37" s="1464">
        <f t="shared" si="32"/>
        <v>4</v>
      </c>
      <c r="D37" s="1271" t="str">
        <f ca="1">IF(OFFSET(PortfolioDashboard!$A$3,C37-1,0)="","Blank",OFFSET(PortfolioDashboard!$A$3,C37-1,0))</f>
        <v>Central Chiller Expansion</v>
      </c>
      <c r="E37" s="1464" t="str">
        <f t="shared" si="33"/>
        <v>MTCO2e</v>
      </c>
      <c r="F37" s="1460"/>
      <c r="G37" s="781">
        <f t="shared" ca="1" si="26"/>
        <v>0</v>
      </c>
      <c r="H37" s="781">
        <f t="shared" ca="1" si="26"/>
        <v>0</v>
      </c>
      <c r="I37" s="781">
        <f t="shared" ca="1" si="26"/>
        <v>-2167.9819457268204</v>
      </c>
      <c r="J37" s="781">
        <f t="shared" ca="1" si="26"/>
        <v>-2218.6346143360465</v>
      </c>
      <c r="K37" s="781">
        <f t="shared" ca="1" si="26"/>
        <v>-4005.0410780820157</v>
      </c>
      <c r="L37" s="781">
        <f t="shared" ca="1" si="26"/>
        <v>-4055.6937466912427</v>
      </c>
      <c r="M37" s="781">
        <f t="shared" ca="1" si="26"/>
        <v>-4712.5079147936849</v>
      </c>
      <c r="N37" s="781">
        <f t="shared" ca="1" si="26"/>
        <v>-4763.1605834029124</v>
      </c>
      <c r="O37" s="781">
        <f t="shared" ca="1" si="26"/>
        <v>-4813.8132520121389</v>
      </c>
      <c r="P37" s="781">
        <f t="shared" ca="1" si="26"/>
        <v>-4864.4659206213655</v>
      </c>
      <c r="Q37" s="781">
        <f t="shared" ca="1" si="27"/>
        <v>-4915.118589230593</v>
      </c>
      <c r="R37" s="781">
        <f t="shared" ca="1" si="27"/>
        <v>-4965.7712578398159</v>
      </c>
      <c r="S37" s="781">
        <f t="shared" ca="1" si="27"/>
        <v>-5016.4239264490425</v>
      </c>
      <c r="T37" s="781">
        <f t="shared" ca="1" si="27"/>
        <v>-5067.07659505827</v>
      </c>
      <c r="U37" s="781">
        <f t="shared" ca="1" si="27"/>
        <v>-5117.7292636674965</v>
      </c>
      <c r="V37" s="781">
        <f t="shared" ca="1" si="27"/>
        <v>-5168.3819322767222</v>
      </c>
      <c r="W37" s="781">
        <f t="shared" ca="1" si="27"/>
        <v>-5219.0346008859497</v>
      </c>
      <c r="X37" s="781">
        <f t="shared" ca="1" si="27"/>
        <v>-5269.6872694951762</v>
      </c>
      <c r="Y37" s="781">
        <f t="shared" ca="1" si="27"/>
        <v>-5320.3399381044037</v>
      </c>
      <c r="Z37" s="781">
        <f t="shared" ca="1" si="27"/>
        <v>-5370.9926067136303</v>
      </c>
      <c r="AA37" s="781">
        <f t="shared" ca="1" si="28"/>
        <v>-5421.6452753228559</v>
      </c>
      <c r="AB37" s="781">
        <f t="shared" ca="1" si="28"/>
        <v>-5421.6452753228559</v>
      </c>
      <c r="AC37" s="781">
        <f t="shared" ca="1" si="28"/>
        <v>-5421.6452753228559</v>
      </c>
      <c r="AD37" s="781">
        <f t="shared" ca="1" si="28"/>
        <v>-5421.6452753228559</v>
      </c>
      <c r="AE37" s="781">
        <f t="shared" ca="1" si="28"/>
        <v>-5421.6452753228559</v>
      </c>
      <c r="AF37" s="781">
        <f t="shared" ca="1" si="28"/>
        <v>-5421.6452753228559</v>
      </c>
      <c r="AG37" s="781">
        <f t="shared" ca="1" si="28"/>
        <v>-5421.6452753228559</v>
      </c>
      <c r="AH37" s="781">
        <f t="shared" ca="1" si="28"/>
        <v>-5421.6452753228559</v>
      </c>
      <c r="AI37" s="781">
        <f t="shared" ca="1" si="28"/>
        <v>-5421.6452753228559</v>
      </c>
      <c r="AJ37" s="781">
        <f t="shared" ca="1" si="28"/>
        <v>-5421.6452753228559</v>
      </c>
      <c r="AK37" s="781">
        <f t="shared" ca="1" si="29"/>
        <v>-5421.6452753228559</v>
      </c>
      <c r="AL37" s="781">
        <f t="shared" ca="1" si="29"/>
        <v>-5421.6452753228559</v>
      </c>
      <c r="AM37" s="781">
        <f t="shared" ca="1" si="29"/>
        <v>-5421.6452753228559</v>
      </c>
      <c r="AN37" s="781">
        <f t="shared" ca="1" si="29"/>
        <v>-5421.6452753228559</v>
      </c>
      <c r="AO37" s="781">
        <f t="shared" ca="1" si="29"/>
        <v>-5421.6452753228559</v>
      </c>
      <c r="AP37" s="781">
        <f t="shared" ca="1" si="29"/>
        <v>-5421.6452753228559</v>
      </c>
      <c r="AQ37" s="781">
        <f t="shared" ca="1" si="29"/>
        <v>-5421.6452753228559</v>
      </c>
      <c r="AR37" s="781">
        <f t="shared" ca="1" si="29"/>
        <v>-5421.6452753228559</v>
      </c>
      <c r="AS37" s="781">
        <f t="shared" ca="1" si="29"/>
        <v>-5421.6452753228559</v>
      </c>
      <c r="AT37" s="781">
        <f t="shared" ca="1" si="29"/>
        <v>-5421.6452753228559</v>
      </c>
      <c r="AV37" s="781">
        <f t="shared" ca="1" si="6"/>
        <v>-23209.641417521343</v>
      </c>
      <c r="AX37" s="781">
        <f t="shared" ca="1" si="7"/>
        <v>-25082.119632245216</v>
      </c>
      <c r="AZ37" s="781">
        <f t="shared" ca="1" si="8"/>
        <v>-26348.436347475883</v>
      </c>
      <c r="BB37" s="781">
        <f t="shared" ca="1" si="9"/>
        <v>-27108.226376614279</v>
      </c>
      <c r="BD37" s="781">
        <f t="shared" ca="1" si="10"/>
        <v>-27108.226376614279</v>
      </c>
      <c r="BF37" s="781">
        <f t="shared" ca="1" si="11"/>
        <v>-27108.226376614279</v>
      </c>
      <c r="BH37" s="781">
        <f t="shared" ca="1" si="12"/>
        <v>-27108.226376614279</v>
      </c>
    </row>
    <row r="38" spans="1:60" hidden="1" outlineLevel="1">
      <c r="A38" s="1464">
        <f t="shared" ca="1" si="30"/>
        <v>18</v>
      </c>
      <c r="B38" s="1464">
        <f t="shared" ca="1" si="31"/>
        <v>20</v>
      </c>
      <c r="C38" s="1464">
        <f t="shared" si="32"/>
        <v>5</v>
      </c>
      <c r="D38" s="1271" t="str">
        <f ca="1">IF(OFFSET(PortfolioDashboard!$A$3,C38-1,0)="","Blank",OFFSET(PortfolioDashboard!$A$3,C38-1,0))</f>
        <v>Short-term Energy Conservation Measures</v>
      </c>
      <c r="E38" s="1464" t="str">
        <f t="shared" si="33"/>
        <v>MTCO2e</v>
      </c>
      <c r="F38" s="1460"/>
      <c r="G38" s="781">
        <f t="shared" ca="1" si="26"/>
        <v>0</v>
      </c>
      <c r="H38" s="781">
        <f t="shared" ca="1" si="26"/>
        <v>-2742.0270431200861</v>
      </c>
      <c r="I38" s="781">
        <f t="shared" ca="1" si="26"/>
        <v>-5484.0540862401722</v>
      </c>
      <c r="J38" s="781">
        <f t="shared" ca="1" si="26"/>
        <v>-8226.0811293602583</v>
      </c>
      <c r="K38" s="781">
        <f t="shared" ca="1" si="26"/>
        <v>-10968.108172480344</v>
      </c>
      <c r="L38" s="781">
        <f t="shared" ca="1" si="26"/>
        <v>-13710.13521560043</v>
      </c>
      <c r="M38" s="781">
        <f t="shared" ca="1" si="26"/>
        <v>-13710.13521560043</v>
      </c>
      <c r="N38" s="781">
        <f t="shared" ca="1" si="26"/>
        <v>-13710.13521560043</v>
      </c>
      <c r="O38" s="781">
        <f t="shared" ca="1" si="26"/>
        <v>-13710.13521560043</v>
      </c>
      <c r="P38" s="781">
        <f t="shared" ca="1" si="26"/>
        <v>-13710.13521560043</v>
      </c>
      <c r="Q38" s="781">
        <f t="shared" ca="1" si="27"/>
        <v>-13710.13521560043</v>
      </c>
      <c r="R38" s="781">
        <f t="shared" ca="1" si="27"/>
        <v>-13710.13521560043</v>
      </c>
      <c r="S38" s="781">
        <f t="shared" ca="1" si="27"/>
        <v>-13710.13521560043</v>
      </c>
      <c r="T38" s="781">
        <f t="shared" ca="1" si="27"/>
        <v>-13710.13521560043</v>
      </c>
      <c r="U38" s="781">
        <f t="shared" ca="1" si="27"/>
        <v>-13710.13521560043</v>
      </c>
      <c r="V38" s="781">
        <f t="shared" ca="1" si="27"/>
        <v>-13710.13521560043</v>
      </c>
      <c r="W38" s="781">
        <f t="shared" ca="1" si="27"/>
        <v>-13710.13521560043</v>
      </c>
      <c r="X38" s="781">
        <f t="shared" ca="1" si="27"/>
        <v>-13710.13521560043</v>
      </c>
      <c r="Y38" s="781">
        <f t="shared" ca="1" si="27"/>
        <v>-13710.13521560043</v>
      </c>
      <c r="Z38" s="781">
        <f t="shared" ca="1" si="27"/>
        <v>-13710.13521560043</v>
      </c>
      <c r="AA38" s="781">
        <f t="shared" ca="1" si="28"/>
        <v>-13710.13521560043</v>
      </c>
      <c r="AB38" s="781">
        <f t="shared" ca="1" si="28"/>
        <v>-13710.13521560043</v>
      </c>
      <c r="AC38" s="781">
        <f t="shared" ca="1" si="28"/>
        <v>-13710.13521560043</v>
      </c>
      <c r="AD38" s="781">
        <f t="shared" ca="1" si="28"/>
        <v>-13710.13521560043</v>
      </c>
      <c r="AE38" s="781">
        <f t="shared" ca="1" si="28"/>
        <v>-13710.13521560043</v>
      </c>
      <c r="AF38" s="781">
        <f t="shared" ca="1" si="28"/>
        <v>-13710.13521560043</v>
      </c>
      <c r="AG38" s="781">
        <f t="shared" ca="1" si="28"/>
        <v>-13710.13521560043</v>
      </c>
      <c r="AH38" s="781">
        <f t="shared" ca="1" si="28"/>
        <v>-13710.13521560043</v>
      </c>
      <c r="AI38" s="781">
        <f t="shared" ca="1" si="28"/>
        <v>-13710.13521560043</v>
      </c>
      <c r="AJ38" s="781">
        <f t="shared" ca="1" si="28"/>
        <v>-13710.13521560043</v>
      </c>
      <c r="AK38" s="781">
        <f t="shared" ca="1" si="29"/>
        <v>-13710.13521560043</v>
      </c>
      <c r="AL38" s="781">
        <f t="shared" ca="1" si="29"/>
        <v>-13710.13521560043</v>
      </c>
      <c r="AM38" s="781">
        <f t="shared" ca="1" si="29"/>
        <v>-13710.13521560043</v>
      </c>
      <c r="AN38" s="781">
        <f t="shared" ca="1" si="29"/>
        <v>-13710.13521560043</v>
      </c>
      <c r="AO38" s="781">
        <f t="shared" ca="1" si="29"/>
        <v>-13710.13521560043</v>
      </c>
      <c r="AP38" s="781">
        <f t="shared" ca="1" si="29"/>
        <v>-13710.13521560043</v>
      </c>
      <c r="AQ38" s="781">
        <f t="shared" ca="1" si="29"/>
        <v>-13710.13521560043</v>
      </c>
      <c r="AR38" s="781">
        <f t="shared" ca="1" si="29"/>
        <v>-13710.13521560043</v>
      </c>
      <c r="AS38" s="781">
        <f t="shared" ca="1" si="29"/>
        <v>-13710.13521560043</v>
      </c>
      <c r="AT38" s="781">
        <f t="shared" ca="1" si="29"/>
        <v>-13710.13521560043</v>
      </c>
      <c r="AV38" s="781">
        <f t="shared" ca="1" si="6"/>
        <v>-68550.676078002158</v>
      </c>
      <c r="AX38" s="781">
        <f t="shared" ca="1" si="7"/>
        <v>-68550.676078002158</v>
      </c>
      <c r="AZ38" s="781">
        <f t="shared" ca="1" si="8"/>
        <v>-68550.676078002158</v>
      </c>
      <c r="BB38" s="781">
        <f t="shared" ca="1" si="9"/>
        <v>-68550.676078002158</v>
      </c>
      <c r="BD38" s="781">
        <f t="shared" ca="1" si="10"/>
        <v>-68550.676078002158</v>
      </c>
      <c r="BF38" s="781">
        <f t="shared" ca="1" si="11"/>
        <v>-68550.676078002158</v>
      </c>
      <c r="BH38" s="781">
        <f t="shared" ca="1" si="12"/>
        <v>-68550.676078002158</v>
      </c>
    </row>
    <row r="39" spans="1:60" hidden="1" outlineLevel="1">
      <c r="A39" s="1464">
        <f t="shared" ca="1" si="30"/>
        <v>18</v>
      </c>
      <c r="B39" s="1464">
        <f t="shared" ca="1" si="31"/>
        <v>20</v>
      </c>
      <c r="C39" s="1464">
        <f t="shared" si="32"/>
        <v>6</v>
      </c>
      <c r="D39" s="1271" t="str">
        <f ca="1">IF(OFFSET(PortfolioDashboard!$A$3,C39-1,0)="","Blank",OFFSET(PortfolioDashboard!$A$3,C39-1,0))</f>
        <v>Mid-term Energy Conservation Measures</v>
      </c>
      <c r="E39" s="1464" t="str">
        <f t="shared" si="33"/>
        <v>MTCO2e</v>
      </c>
      <c r="F39" s="1460"/>
      <c r="G39" s="781">
        <f t="shared" ca="1" si="26"/>
        <v>0</v>
      </c>
      <c r="H39" s="781">
        <f t="shared" ca="1" si="26"/>
        <v>0</v>
      </c>
      <c r="I39" s="781">
        <f t="shared" ca="1" si="26"/>
        <v>0</v>
      </c>
      <c r="J39" s="781">
        <f t="shared" ca="1" si="26"/>
        <v>0</v>
      </c>
      <c r="K39" s="781">
        <f t="shared" ca="1" si="26"/>
        <v>0</v>
      </c>
      <c r="L39" s="781">
        <f t="shared" ca="1" si="26"/>
        <v>0</v>
      </c>
      <c r="M39" s="781">
        <f t="shared" ca="1" si="26"/>
        <v>-1651.693688225191</v>
      </c>
      <c r="N39" s="781">
        <f t="shared" ca="1" si="26"/>
        <v>-3303.3873764503819</v>
      </c>
      <c r="O39" s="781">
        <f t="shared" ca="1" si="26"/>
        <v>-4955.0810646755726</v>
      </c>
      <c r="P39" s="781">
        <f t="shared" ca="1" si="26"/>
        <v>-6606.7747529007638</v>
      </c>
      <c r="Q39" s="781">
        <f t="shared" ca="1" si="27"/>
        <v>-8258.468441125955</v>
      </c>
      <c r="R39" s="781">
        <f t="shared" ca="1" si="27"/>
        <v>-9910.1621293511453</v>
      </c>
      <c r="S39" s="781">
        <f t="shared" ca="1" si="27"/>
        <v>-11561.855817576336</v>
      </c>
      <c r="T39" s="781">
        <f t="shared" ca="1" si="27"/>
        <v>-13213.549505801528</v>
      </c>
      <c r="U39" s="781">
        <f t="shared" ca="1" si="27"/>
        <v>-13213.549505801528</v>
      </c>
      <c r="V39" s="781">
        <f t="shared" ca="1" si="27"/>
        <v>-13213.549505801528</v>
      </c>
      <c r="W39" s="781">
        <f t="shared" ca="1" si="27"/>
        <v>-13213.549505801528</v>
      </c>
      <c r="X39" s="781">
        <f t="shared" ca="1" si="27"/>
        <v>-13213.549505801528</v>
      </c>
      <c r="Y39" s="781">
        <f t="shared" ca="1" si="27"/>
        <v>-13213.549505801528</v>
      </c>
      <c r="Z39" s="781">
        <f t="shared" ca="1" si="27"/>
        <v>-13213.549505801528</v>
      </c>
      <c r="AA39" s="781">
        <f t="shared" ca="1" si="28"/>
        <v>-13213.549505801528</v>
      </c>
      <c r="AB39" s="781">
        <f t="shared" ca="1" si="28"/>
        <v>-13213.549505801528</v>
      </c>
      <c r="AC39" s="781">
        <f t="shared" ca="1" si="28"/>
        <v>-13213.549505801528</v>
      </c>
      <c r="AD39" s="781">
        <f t="shared" ca="1" si="28"/>
        <v>-13213.549505801528</v>
      </c>
      <c r="AE39" s="781">
        <f t="shared" ca="1" si="28"/>
        <v>-13213.549505801528</v>
      </c>
      <c r="AF39" s="781">
        <f t="shared" ca="1" si="28"/>
        <v>-13213.549505801528</v>
      </c>
      <c r="AG39" s="781">
        <f t="shared" ca="1" si="28"/>
        <v>-13213.549505801528</v>
      </c>
      <c r="AH39" s="781">
        <f t="shared" ca="1" si="28"/>
        <v>-13213.549505801528</v>
      </c>
      <c r="AI39" s="781">
        <f t="shared" ca="1" si="28"/>
        <v>-13213.549505801528</v>
      </c>
      <c r="AJ39" s="781">
        <f t="shared" ca="1" si="28"/>
        <v>-13213.549505801528</v>
      </c>
      <c r="AK39" s="781">
        <f t="shared" ca="1" si="29"/>
        <v>-13213.549505801528</v>
      </c>
      <c r="AL39" s="781">
        <f t="shared" ca="1" si="29"/>
        <v>-13213.549505801528</v>
      </c>
      <c r="AM39" s="781">
        <f t="shared" ca="1" si="29"/>
        <v>-13213.549505801528</v>
      </c>
      <c r="AN39" s="781">
        <f t="shared" ca="1" si="29"/>
        <v>-13213.549505801528</v>
      </c>
      <c r="AO39" s="781">
        <f t="shared" ca="1" si="29"/>
        <v>-13213.549505801528</v>
      </c>
      <c r="AP39" s="781">
        <f t="shared" ca="1" si="29"/>
        <v>-13213.549505801528</v>
      </c>
      <c r="AQ39" s="781">
        <f t="shared" ca="1" si="29"/>
        <v>-13213.549505801528</v>
      </c>
      <c r="AR39" s="781">
        <f t="shared" ca="1" si="29"/>
        <v>-13213.549505801528</v>
      </c>
      <c r="AS39" s="781">
        <f t="shared" ca="1" si="29"/>
        <v>-13213.549505801528</v>
      </c>
      <c r="AT39" s="781">
        <f t="shared" ca="1" si="29"/>
        <v>-13213.549505801528</v>
      </c>
      <c r="AV39" s="781">
        <f t="shared" ca="1" si="6"/>
        <v>-16516.93688225191</v>
      </c>
      <c r="AX39" s="781">
        <f t="shared" ca="1" si="7"/>
        <v>-56157.585399656491</v>
      </c>
      <c r="AZ39" s="781">
        <f t="shared" ca="1" si="8"/>
        <v>-66067.74752900764</v>
      </c>
      <c r="BB39" s="781">
        <f t="shared" ca="1" si="9"/>
        <v>-66067.74752900764</v>
      </c>
      <c r="BD39" s="781">
        <f t="shared" ca="1" si="10"/>
        <v>-66067.74752900764</v>
      </c>
      <c r="BF39" s="781">
        <f t="shared" ca="1" si="11"/>
        <v>-66067.74752900764</v>
      </c>
      <c r="BH39" s="781">
        <f t="shared" ca="1" si="12"/>
        <v>-66067.74752900764</v>
      </c>
    </row>
    <row r="40" spans="1:60" hidden="1" outlineLevel="1">
      <c r="A40" s="1464">
        <f t="shared" ca="1" si="30"/>
        <v>18</v>
      </c>
      <c r="B40" s="1464">
        <f t="shared" ca="1" si="31"/>
        <v>20</v>
      </c>
      <c r="C40" s="1464">
        <f t="shared" si="32"/>
        <v>7</v>
      </c>
      <c r="D40" s="1271" t="str">
        <f ca="1">IF(OFFSET(PortfolioDashboard!$A$3,C40-1,0)="","Blank",OFFSET(PortfolioDashboard!$A$3,C40-1,0))</f>
        <v>Long-term Energy Conservation Measures</v>
      </c>
      <c r="E40" s="1464" t="str">
        <f t="shared" si="33"/>
        <v>MTCO2e</v>
      </c>
      <c r="F40" s="1460"/>
      <c r="G40" s="781">
        <f t="shared" ca="1" si="26"/>
        <v>0</v>
      </c>
      <c r="H40" s="781">
        <f t="shared" ca="1" si="26"/>
        <v>0</v>
      </c>
      <c r="I40" s="781">
        <f t="shared" ca="1" si="26"/>
        <v>0</v>
      </c>
      <c r="J40" s="781">
        <f t="shared" ca="1" si="26"/>
        <v>0</v>
      </c>
      <c r="K40" s="781">
        <f t="shared" ca="1" si="26"/>
        <v>0</v>
      </c>
      <c r="L40" s="781">
        <f t="shared" ca="1" si="26"/>
        <v>0</v>
      </c>
      <c r="M40" s="781">
        <f t="shared" ca="1" si="26"/>
        <v>0</v>
      </c>
      <c r="N40" s="781">
        <f t="shared" ca="1" si="26"/>
        <v>0</v>
      </c>
      <c r="O40" s="781">
        <f t="shared" ca="1" si="26"/>
        <v>0</v>
      </c>
      <c r="P40" s="781">
        <f t="shared" ca="1" si="26"/>
        <v>0</v>
      </c>
      <c r="Q40" s="781">
        <f t="shared" ca="1" si="27"/>
        <v>0</v>
      </c>
      <c r="R40" s="781">
        <f t="shared" ca="1" si="27"/>
        <v>0</v>
      </c>
      <c r="S40" s="781">
        <f t="shared" ca="1" si="27"/>
        <v>0</v>
      </c>
      <c r="T40" s="781">
        <f t="shared" ca="1" si="27"/>
        <v>0</v>
      </c>
      <c r="U40" s="781">
        <f t="shared" ca="1" si="27"/>
        <v>-1008.2241603025502</v>
      </c>
      <c r="V40" s="781">
        <f t="shared" ca="1" si="27"/>
        <v>-2016.4483206051004</v>
      </c>
      <c r="W40" s="781">
        <f t="shared" ca="1" si="27"/>
        <v>-3024.6724809076504</v>
      </c>
      <c r="X40" s="781">
        <f t="shared" ca="1" si="27"/>
        <v>-4032.8966412102009</v>
      </c>
      <c r="Y40" s="781">
        <f t="shared" ca="1" si="27"/>
        <v>-5041.1208015127513</v>
      </c>
      <c r="Z40" s="781">
        <f t="shared" ca="1" si="27"/>
        <v>-6049.3449618153018</v>
      </c>
      <c r="AA40" s="781">
        <f t="shared" ca="1" si="28"/>
        <v>-7057.5691221178513</v>
      </c>
      <c r="AB40" s="781">
        <f t="shared" ca="1" si="28"/>
        <v>-8065.7932824204017</v>
      </c>
      <c r="AC40" s="781">
        <f t="shared" ca="1" si="28"/>
        <v>-9074.017442722954</v>
      </c>
      <c r="AD40" s="781">
        <f t="shared" ca="1" si="28"/>
        <v>-10082.241603025503</v>
      </c>
      <c r="AE40" s="781">
        <f t="shared" ca="1" si="28"/>
        <v>-10082.241603025503</v>
      </c>
      <c r="AF40" s="781">
        <f t="shared" ca="1" si="28"/>
        <v>-10082.241603025503</v>
      </c>
      <c r="AG40" s="781">
        <f t="shared" ca="1" si="28"/>
        <v>-10082.241603025503</v>
      </c>
      <c r="AH40" s="781">
        <f t="shared" ca="1" si="28"/>
        <v>-10082.241603025503</v>
      </c>
      <c r="AI40" s="781">
        <f t="shared" ca="1" si="28"/>
        <v>-10082.241603025503</v>
      </c>
      <c r="AJ40" s="781">
        <f t="shared" ca="1" si="28"/>
        <v>-10082.241603025503</v>
      </c>
      <c r="AK40" s="781">
        <f t="shared" ca="1" si="29"/>
        <v>-10082.241603025503</v>
      </c>
      <c r="AL40" s="781">
        <f t="shared" ca="1" si="29"/>
        <v>-10082.241603025503</v>
      </c>
      <c r="AM40" s="781">
        <f t="shared" ca="1" si="29"/>
        <v>-10082.241603025503</v>
      </c>
      <c r="AN40" s="781">
        <f t="shared" ca="1" si="29"/>
        <v>-10082.241603025503</v>
      </c>
      <c r="AO40" s="781">
        <f t="shared" ca="1" si="29"/>
        <v>-10082.241603025503</v>
      </c>
      <c r="AP40" s="781">
        <f t="shared" ca="1" si="29"/>
        <v>-10082.241603025503</v>
      </c>
      <c r="AQ40" s="781">
        <f t="shared" ca="1" si="29"/>
        <v>-10082.241603025503</v>
      </c>
      <c r="AR40" s="781">
        <f t="shared" ca="1" si="29"/>
        <v>-10082.241603025503</v>
      </c>
      <c r="AS40" s="781">
        <f t="shared" ca="1" si="29"/>
        <v>-10082.241603025503</v>
      </c>
      <c r="AT40" s="781">
        <f t="shared" ca="1" si="29"/>
        <v>-10082.241603025503</v>
      </c>
      <c r="AV40" s="781">
        <f t="shared" ca="1" si="6"/>
        <v>0</v>
      </c>
      <c r="AX40" s="781">
        <f t="shared" ca="1" si="7"/>
        <v>-1008.2241603025502</v>
      </c>
      <c r="AZ40" s="781">
        <f t="shared" ca="1" si="8"/>
        <v>-20164.483206051005</v>
      </c>
      <c r="BB40" s="781">
        <f t="shared" ca="1" si="9"/>
        <v>-44361.863053312212</v>
      </c>
      <c r="BD40" s="781">
        <f t="shared" ca="1" si="10"/>
        <v>-50411.208015127515</v>
      </c>
      <c r="BF40" s="781">
        <f t="shared" ca="1" si="11"/>
        <v>-50411.208015127515</v>
      </c>
      <c r="BH40" s="781">
        <f t="shared" ca="1" si="12"/>
        <v>-50411.208015127515</v>
      </c>
    </row>
    <row r="41" spans="1:60" hidden="1" outlineLevel="1">
      <c r="A41" s="1464">
        <f t="shared" ca="1" si="30"/>
        <v>18</v>
      </c>
      <c r="B41" s="1464">
        <f t="shared" ca="1" si="31"/>
        <v>20</v>
      </c>
      <c r="C41" s="1464">
        <f t="shared" si="32"/>
        <v>8</v>
      </c>
      <c r="D41" s="1271" t="str">
        <f ca="1">IF(OFFSET(PortfolioDashboard!$A$3,C41-1,0)="","Blank",OFFSET(PortfolioDashboard!$A$3,C41-1,0))</f>
        <v>Green IT</v>
      </c>
      <c r="E41" s="1464" t="str">
        <f t="shared" si="33"/>
        <v>MTCO2e</v>
      </c>
      <c r="F41" s="1460"/>
      <c r="G41" s="781">
        <f t="shared" ca="1" si="26"/>
        <v>0</v>
      </c>
      <c r="H41" s="781">
        <f t="shared" ca="1" si="26"/>
        <v>0</v>
      </c>
      <c r="I41" s="781">
        <f t="shared" ca="1" si="26"/>
        <v>-1948.4709492677364</v>
      </c>
      <c r="J41" s="781">
        <f t="shared" ca="1" si="26"/>
        <v>-3896.9418985354728</v>
      </c>
      <c r="K41" s="781">
        <f t="shared" ca="1" si="26"/>
        <v>-5845.4128478032089</v>
      </c>
      <c r="L41" s="781">
        <f t="shared" ca="1" si="26"/>
        <v>-5845.4128478032089</v>
      </c>
      <c r="M41" s="781">
        <f t="shared" ca="1" si="26"/>
        <v>-5845.4128478032089</v>
      </c>
      <c r="N41" s="781">
        <f t="shared" ca="1" si="26"/>
        <v>-5845.4128478032089</v>
      </c>
      <c r="O41" s="781">
        <f t="shared" ca="1" si="26"/>
        <v>-5845.4128478032089</v>
      </c>
      <c r="P41" s="781">
        <f t="shared" ca="1" si="26"/>
        <v>-5845.4128478032089</v>
      </c>
      <c r="Q41" s="781">
        <f t="shared" ca="1" si="27"/>
        <v>-5845.4128478032089</v>
      </c>
      <c r="R41" s="781">
        <f t="shared" ca="1" si="27"/>
        <v>-5845.4128478032089</v>
      </c>
      <c r="S41" s="781">
        <f t="shared" ca="1" si="27"/>
        <v>-5845.4128478032089</v>
      </c>
      <c r="T41" s="781">
        <f t="shared" ca="1" si="27"/>
        <v>-5845.4128478032089</v>
      </c>
      <c r="U41" s="781">
        <f t="shared" ca="1" si="27"/>
        <v>-5845.4128478032089</v>
      </c>
      <c r="V41" s="781">
        <f t="shared" ca="1" si="27"/>
        <v>-5845.4128478032089</v>
      </c>
      <c r="W41" s="781">
        <f t="shared" ca="1" si="27"/>
        <v>-5845.4128478032089</v>
      </c>
      <c r="X41" s="781">
        <f t="shared" ca="1" si="27"/>
        <v>-5845.4128478032089</v>
      </c>
      <c r="Y41" s="781">
        <f t="shared" ca="1" si="27"/>
        <v>-5845.4128478032089</v>
      </c>
      <c r="Z41" s="781">
        <f t="shared" ca="1" si="27"/>
        <v>-5845.4128478032089</v>
      </c>
      <c r="AA41" s="781">
        <f t="shared" ca="1" si="28"/>
        <v>-5845.4128478032089</v>
      </c>
      <c r="AB41" s="781">
        <f t="shared" ca="1" si="28"/>
        <v>-5845.4128478032089</v>
      </c>
      <c r="AC41" s="781">
        <f t="shared" ca="1" si="28"/>
        <v>-5845.4128478032089</v>
      </c>
      <c r="AD41" s="781">
        <f t="shared" ca="1" si="28"/>
        <v>-5845.4128478032089</v>
      </c>
      <c r="AE41" s="781">
        <f t="shared" ca="1" si="28"/>
        <v>-5845.4128478032089</v>
      </c>
      <c r="AF41" s="781">
        <f t="shared" ca="1" si="28"/>
        <v>-5845.4128478032089</v>
      </c>
      <c r="AG41" s="781">
        <f t="shared" ca="1" si="28"/>
        <v>-5845.4128478032089</v>
      </c>
      <c r="AH41" s="781">
        <f t="shared" ca="1" si="28"/>
        <v>-5845.4128478032089</v>
      </c>
      <c r="AI41" s="781">
        <f t="shared" ca="1" si="28"/>
        <v>-5845.4128478032089</v>
      </c>
      <c r="AJ41" s="781">
        <f t="shared" ca="1" si="28"/>
        <v>-5845.4128478032089</v>
      </c>
      <c r="AK41" s="781">
        <f t="shared" ca="1" si="29"/>
        <v>-5845.4128478032089</v>
      </c>
      <c r="AL41" s="781">
        <f t="shared" ca="1" si="29"/>
        <v>-5845.4128478032089</v>
      </c>
      <c r="AM41" s="781">
        <f t="shared" ca="1" si="29"/>
        <v>-5845.4128478032089</v>
      </c>
      <c r="AN41" s="781">
        <f t="shared" ca="1" si="29"/>
        <v>-5845.4128478032089</v>
      </c>
      <c r="AO41" s="781">
        <f t="shared" ca="1" si="29"/>
        <v>-5845.4128478032089</v>
      </c>
      <c r="AP41" s="781">
        <f t="shared" ca="1" si="29"/>
        <v>-5845.4128478032089</v>
      </c>
      <c r="AQ41" s="781">
        <f t="shared" ca="1" si="29"/>
        <v>-5845.4128478032089</v>
      </c>
      <c r="AR41" s="781">
        <f t="shared" ca="1" si="29"/>
        <v>-5845.4128478032089</v>
      </c>
      <c r="AS41" s="781">
        <f t="shared" ca="1" si="29"/>
        <v>-5845.4128478032089</v>
      </c>
      <c r="AT41" s="781">
        <f t="shared" ca="1" si="29"/>
        <v>-5845.4128478032089</v>
      </c>
      <c r="AV41" s="781">
        <f t="shared" ca="1" si="6"/>
        <v>-29227.064239016043</v>
      </c>
      <c r="AX41" s="781">
        <f t="shared" ca="1" si="7"/>
        <v>-29227.064239016043</v>
      </c>
      <c r="AZ41" s="781">
        <f t="shared" ca="1" si="8"/>
        <v>-29227.064239016043</v>
      </c>
      <c r="BB41" s="781">
        <f t="shared" ca="1" si="9"/>
        <v>-29227.064239016043</v>
      </c>
      <c r="BD41" s="781">
        <f t="shared" ca="1" si="10"/>
        <v>-29227.064239016043</v>
      </c>
      <c r="BF41" s="781">
        <f t="shared" ca="1" si="11"/>
        <v>-29227.064239016043</v>
      </c>
      <c r="BH41" s="781">
        <f t="shared" ca="1" si="12"/>
        <v>-29227.064239016043</v>
      </c>
    </row>
    <row r="42" spans="1:60" hidden="1" outlineLevel="1">
      <c r="A42" s="1464">
        <f t="shared" ca="1" si="30"/>
        <v>18</v>
      </c>
      <c r="B42" s="1464">
        <f t="shared" ca="1" si="31"/>
        <v>20</v>
      </c>
      <c r="C42" s="1464">
        <f t="shared" si="32"/>
        <v>9</v>
      </c>
      <c r="D42" s="1271" t="str">
        <f ca="1">IF(OFFSET(PortfolioDashboard!$A$3,C42-1,0)="","Blank",OFFSET(PortfolioDashboard!$A$3,C42-1,0))</f>
        <v>Reduced Air Travel</v>
      </c>
      <c r="E42" s="1464" t="str">
        <f t="shared" si="33"/>
        <v>MTCO2e</v>
      </c>
      <c r="F42" s="1460"/>
      <c r="G42" s="781">
        <f t="shared" ca="1" si="26"/>
        <v>0</v>
      </c>
      <c r="H42" s="781">
        <f t="shared" ca="1" si="26"/>
        <v>0</v>
      </c>
      <c r="I42" s="781">
        <f t="shared" ca="1" si="26"/>
        <v>0</v>
      </c>
      <c r="J42" s="781">
        <f t="shared" ca="1" si="26"/>
        <v>0</v>
      </c>
      <c r="K42" s="781">
        <f t="shared" ca="1" si="26"/>
        <v>0</v>
      </c>
      <c r="L42" s="781">
        <f t="shared" ca="1" si="26"/>
        <v>0</v>
      </c>
      <c r="M42" s="781">
        <f t="shared" ca="1" si="26"/>
        <v>0</v>
      </c>
      <c r="N42" s="781">
        <f t="shared" ca="1" si="26"/>
        <v>0</v>
      </c>
      <c r="O42" s="781">
        <f t="shared" ca="1" si="26"/>
        <v>0</v>
      </c>
      <c r="P42" s="781">
        <f t="shared" ca="1" si="26"/>
        <v>0</v>
      </c>
      <c r="Q42" s="781">
        <f t="shared" ca="1" si="27"/>
        <v>0</v>
      </c>
      <c r="R42" s="781">
        <f t="shared" ca="1" si="27"/>
        <v>0</v>
      </c>
      <c r="S42" s="781">
        <f t="shared" ca="1" si="27"/>
        <v>0</v>
      </c>
      <c r="T42" s="781">
        <f t="shared" ca="1" si="27"/>
        <v>0</v>
      </c>
      <c r="U42" s="781">
        <f t="shared" ca="1" si="27"/>
        <v>0</v>
      </c>
      <c r="V42" s="781">
        <f t="shared" ca="1" si="27"/>
        <v>0</v>
      </c>
      <c r="W42" s="781">
        <f t="shared" ca="1" si="27"/>
        <v>0</v>
      </c>
      <c r="X42" s="781">
        <f t="shared" ca="1" si="27"/>
        <v>0</v>
      </c>
      <c r="Y42" s="781">
        <f t="shared" ca="1" si="27"/>
        <v>0</v>
      </c>
      <c r="Z42" s="781">
        <f t="shared" ca="1" si="27"/>
        <v>0</v>
      </c>
      <c r="AA42" s="781">
        <f t="shared" ca="1" si="28"/>
        <v>0</v>
      </c>
      <c r="AB42" s="781">
        <f t="shared" ca="1" si="28"/>
        <v>0</v>
      </c>
      <c r="AC42" s="781">
        <f t="shared" ca="1" si="28"/>
        <v>0</v>
      </c>
      <c r="AD42" s="781">
        <f t="shared" ca="1" si="28"/>
        <v>0</v>
      </c>
      <c r="AE42" s="781">
        <f t="shared" ca="1" si="28"/>
        <v>0</v>
      </c>
      <c r="AF42" s="781">
        <f t="shared" ca="1" si="28"/>
        <v>0</v>
      </c>
      <c r="AG42" s="781">
        <f t="shared" ca="1" si="28"/>
        <v>0</v>
      </c>
      <c r="AH42" s="781">
        <f t="shared" ca="1" si="28"/>
        <v>0</v>
      </c>
      <c r="AI42" s="781">
        <f t="shared" ca="1" si="28"/>
        <v>0</v>
      </c>
      <c r="AJ42" s="781">
        <f t="shared" ca="1" si="28"/>
        <v>0</v>
      </c>
      <c r="AK42" s="781">
        <f t="shared" ca="1" si="29"/>
        <v>0</v>
      </c>
      <c r="AL42" s="781">
        <f t="shared" ca="1" si="29"/>
        <v>0</v>
      </c>
      <c r="AM42" s="781">
        <f t="shared" ca="1" si="29"/>
        <v>0</v>
      </c>
      <c r="AN42" s="781">
        <f t="shared" ca="1" si="29"/>
        <v>0</v>
      </c>
      <c r="AO42" s="781">
        <f t="shared" ca="1" si="29"/>
        <v>0</v>
      </c>
      <c r="AP42" s="781">
        <f t="shared" ca="1" si="29"/>
        <v>0</v>
      </c>
      <c r="AQ42" s="781">
        <f t="shared" ca="1" si="29"/>
        <v>0</v>
      </c>
      <c r="AR42" s="781">
        <f t="shared" ca="1" si="29"/>
        <v>0</v>
      </c>
      <c r="AS42" s="781">
        <f t="shared" ca="1" si="29"/>
        <v>0</v>
      </c>
      <c r="AT42" s="781">
        <f t="shared" ca="1" si="29"/>
        <v>0</v>
      </c>
      <c r="AV42" s="781">
        <f t="shared" ca="1" si="6"/>
        <v>0</v>
      </c>
      <c r="AX42" s="781">
        <f t="shared" ca="1" si="7"/>
        <v>0</v>
      </c>
      <c r="AZ42" s="781">
        <f t="shared" ca="1" si="8"/>
        <v>0</v>
      </c>
      <c r="BB42" s="781">
        <f t="shared" ca="1" si="9"/>
        <v>0</v>
      </c>
      <c r="BD42" s="781">
        <f t="shared" ca="1" si="10"/>
        <v>0</v>
      </c>
      <c r="BF42" s="781">
        <f t="shared" ca="1" si="11"/>
        <v>0</v>
      </c>
      <c r="BH42" s="781">
        <f t="shared" ca="1" si="12"/>
        <v>0</v>
      </c>
    </row>
    <row r="43" spans="1:60" hidden="1" outlineLevel="1">
      <c r="A43" s="1464">
        <f t="shared" ca="1" si="30"/>
        <v>18</v>
      </c>
      <c r="B43" s="1464">
        <f t="shared" ca="1" si="31"/>
        <v>20</v>
      </c>
      <c r="C43" s="1464">
        <f t="shared" si="32"/>
        <v>10</v>
      </c>
      <c r="D43" s="1271" t="str">
        <f ca="1">IF(OFFSET(PortfolioDashboard!$A$3,C43-1,0)="","Blank",OFFSET(PortfolioDashboard!$A$3,C43-1,0))</f>
        <v>Reduced Automobile Reliance Strategies</v>
      </c>
      <c r="E43" s="1464" t="str">
        <f t="shared" si="33"/>
        <v>MTCO2e</v>
      </c>
      <c r="F43" s="1460"/>
      <c r="G43" s="781">
        <f t="shared" ca="1" si="26"/>
        <v>0</v>
      </c>
      <c r="H43" s="781">
        <f t="shared" ca="1" si="26"/>
        <v>0</v>
      </c>
      <c r="I43" s="781">
        <f t="shared" ca="1" si="26"/>
        <v>0</v>
      </c>
      <c r="J43" s="781">
        <f t="shared" ca="1" si="26"/>
        <v>0</v>
      </c>
      <c r="K43" s="781">
        <f t="shared" ca="1" si="26"/>
        <v>0</v>
      </c>
      <c r="L43" s="781">
        <f t="shared" ca="1" si="26"/>
        <v>0</v>
      </c>
      <c r="M43" s="781">
        <f t="shared" ca="1" si="26"/>
        <v>0</v>
      </c>
      <c r="N43" s="781">
        <f t="shared" ca="1" si="26"/>
        <v>0</v>
      </c>
      <c r="O43" s="781">
        <f t="shared" ca="1" si="26"/>
        <v>0</v>
      </c>
      <c r="P43" s="781">
        <f t="shared" ca="1" si="26"/>
        <v>0</v>
      </c>
      <c r="Q43" s="781">
        <f t="shared" ca="1" si="27"/>
        <v>0</v>
      </c>
      <c r="R43" s="781">
        <f t="shared" ca="1" si="27"/>
        <v>0</v>
      </c>
      <c r="S43" s="781">
        <f t="shared" ca="1" si="27"/>
        <v>0</v>
      </c>
      <c r="T43" s="781">
        <f t="shared" ca="1" si="27"/>
        <v>0</v>
      </c>
      <c r="U43" s="781">
        <f t="shared" ca="1" si="27"/>
        <v>0</v>
      </c>
      <c r="V43" s="781">
        <f t="shared" ca="1" si="27"/>
        <v>0</v>
      </c>
      <c r="W43" s="781">
        <f t="shared" ca="1" si="27"/>
        <v>0</v>
      </c>
      <c r="X43" s="781">
        <f t="shared" ca="1" si="27"/>
        <v>0</v>
      </c>
      <c r="Y43" s="781">
        <f t="shared" ca="1" si="27"/>
        <v>0</v>
      </c>
      <c r="Z43" s="781">
        <f t="shared" ca="1" si="27"/>
        <v>0</v>
      </c>
      <c r="AA43" s="781">
        <f t="shared" ca="1" si="28"/>
        <v>0</v>
      </c>
      <c r="AB43" s="781">
        <f t="shared" ca="1" si="28"/>
        <v>0</v>
      </c>
      <c r="AC43" s="781">
        <f t="shared" ca="1" si="28"/>
        <v>0</v>
      </c>
      <c r="AD43" s="781">
        <f t="shared" ca="1" si="28"/>
        <v>0</v>
      </c>
      <c r="AE43" s="781">
        <f t="shared" ca="1" si="28"/>
        <v>0</v>
      </c>
      <c r="AF43" s="781">
        <f t="shared" ca="1" si="28"/>
        <v>0</v>
      </c>
      <c r="AG43" s="781">
        <f t="shared" ca="1" si="28"/>
        <v>0</v>
      </c>
      <c r="AH43" s="781">
        <f t="shared" ca="1" si="28"/>
        <v>0</v>
      </c>
      <c r="AI43" s="781">
        <f t="shared" ca="1" si="28"/>
        <v>0</v>
      </c>
      <c r="AJ43" s="781">
        <f t="shared" ca="1" si="28"/>
        <v>0</v>
      </c>
      <c r="AK43" s="781">
        <f t="shared" ca="1" si="29"/>
        <v>0</v>
      </c>
      <c r="AL43" s="781">
        <f t="shared" ca="1" si="29"/>
        <v>0</v>
      </c>
      <c r="AM43" s="781">
        <f t="shared" ca="1" si="29"/>
        <v>0</v>
      </c>
      <c r="AN43" s="781">
        <f t="shared" ca="1" si="29"/>
        <v>0</v>
      </c>
      <c r="AO43" s="781">
        <f t="shared" ca="1" si="29"/>
        <v>0</v>
      </c>
      <c r="AP43" s="781">
        <f t="shared" ca="1" si="29"/>
        <v>0</v>
      </c>
      <c r="AQ43" s="781">
        <f t="shared" ca="1" si="29"/>
        <v>0</v>
      </c>
      <c r="AR43" s="781">
        <f t="shared" ca="1" si="29"/>
        <v>0</v>
      </c>
      <c r="AS43" s="781">
        <f t="shared" ca="1" si="29"/>
        <v>0</v>
      </c>
      <c r="AT43" s="781">
        <f t="shared" ca="1" si="29"/>
        <v>0</v>
      </c>
      <c r="AV43" s="781">
        <f t="shared" ca="1" si="6"/>
        <v>0</v>
      </c>
      <c r="AX43" s="781">
        <f t="shared" ca="1" si="7"/>
        <v>0</v>
      </c>
      <c r="AZ43" s="781">
        <f t="shared" ca="1" si="8"/>
        <v>0</v>
      </c>
      <c r="BB43" s="781">
        <f t="shared" ca="1" si="9"/>
        <v>0</v>
      </c>
      <c r="BD43" s="781">
        <f t="shared" ca="1" si="10"/>
        <v>0</v>
      </c>
      <c r="BF43" s="781">
        <f t="shared" ca="1" si="11"/>
        <v>0</v>
      </c>
      <c r="BH43" s="781">
        <f t="shared" ca="1" si="12"/>
        <v>0</v>
      </c>
    </row>
    <row r="44" spans="1:60" hidden="1" outlineLevel="1">
      <c r="A44" s="1464">
        <f t="shared" ca="1" si="30"/>
        <v>18</v>
      </c>
      <c r="B44" s="1464">
        <f t="shared" ca="1" si="31"/>
        <v>20</v>
      </c>
      <c r="C44" s="1464">
        <f t="shared" si="32"/>
        <v>11</v>
      </c>
      <c r="D44" s="1271" t="str">
        <f ca="1">IF(OFFSET(PortfolioDashboard!$A$3,C44-1,0)="","Blank",OFFSET(PortfolioDashboard!$A$3,C44-1,0))</f>
        <v>Waste Reduction</v>
      </c>
      <c r="E44" s="1464" t="str">
        <f t="shared" si="33"/>
        <v>MTCO2e</v>
      </c>
      <c r="F44" s="1460"/>
      <c r="G44" s="781">
        <f t="shared" ref="G44:P53" ca="1" si="34">IFERROR(OFFSET(INDIRECT(INDEX(List_of_Alternatives,MATCH($D44,NameofAlternatives,0))),$A44+G$1-$G$1,$B44),0)</f>
        <v>0</v>
      </c>
      <c r="H44" s="781">
        <f t="shared" ca="1" si="34"/>
        <v>0</v>
      </c>
      <c r="I44" s="781">
        <f t="shared" ca="1" si="34"/>
        <v>0</v>
      </c>
      <c r="J44" s="781">
        <f t="shared" ca="1" si="34"/>
        <v>0</v>
      </c>
      <c r="K44" s="781">
        <f t="shared" ca="1" si="34"/>
        <v>0</v>
      </c>
      <c r="L44" s="781">
        <f t="shared" ca="1" si="34"/>
        <v>0</v>
      </c>
      <c r="M44" s="781">
        <f t="shared" ca="1" si="34"/>
        <v>0</v>
      </c>
      <c r="N44" s="781">
        <f t="shared" ca="1" si="34"/>
        <v>0</v>
      </c>
      <c r="O44" s="781">
        <f t="shared" ca="1" si="34"/>
        <v>0</v>
      </c>
      <c r="P44" s="781">
        <f t="shared" ca="1" si="34"/>
        <v>0</v>
      </c>
      <c r="Q44" s="781">
        <f t="shared" ref="Q44:Z53" ca="1" si="35">IFERROR(OFFSET(INDIRECT(INDEX(List_of_Alternatives,MATCH($D44,NameofAlternatives,0))),$A44+Q$1-$G$1,$B44),0)</f>
        <v>0</v>
      </c>
      <c r="R44" s="781">
        <f t="shared" ca="1" si="35"/>
        <v>0</v>
      </c>
      <c r="S44" s="781">
        <f t="shared" ca="1" si="35"/>
        <v>0</v>
      </c>
      <c r="T44" s="781">
        <f t="shared" ca="1" si="35"/>
        <v>0</v>
      </c>
      <c r="U44" s="781">
        <f t="shared" ca="1" si="35"/>
        <v>0</v>
      </c>
      <c r="V44" s="781">
        <f t="shared" ca="1" si="35"/>
        <v>0</v>
      </c>
      <c r="W44" s="781">
        <f t="shared" ca="1" si="35"/>
        <v>0</v>
      </c>
      <c r="X44" s="781">
        <f t="shared" ca="1" si="35"/>
        <v>0</v>
      </c>
      <c r="Y44" s="781">
        <f t="shared" ca="1" si="35"/>
        <v>0</v>
      </c>
      <c r="Z44" s="781">
        <f t="shared" ca="1" si="35"/>
        <v>0</v>
      </c>
      <c r="AA44" s="781">
        <f t="shared" ref="AA44:AJ53" ca="1" si="36">IFERROR(OFFSET(INDIRECT(INDEX(List_of_Alternatives,MATCH($D44,NameofAlternatives,0))),$A44+AA$1-$G$1,$B44),0)</f>
        <v>0</v>
      </c>
      <c r="AB44" s="781">
        <f t="shared" ca="1" si="36"/>
        <v>0</v>
      </c>
      <c r="AC44" s="781">
        <f t="shared" ca="1" si="36"/>
        <v>0</v>
      </c>
      <c r="AD44" s="781">
        <f t="shared" ca="1" si="36"/>
        <v>0</v>
      </c>
      <c r="AE44" s="781">
        <f t="shared" ca="1" si="36"/>
        <v>0</v>
      </c>
      <c r="AF44" s="781">
        <f t="shared" ca="1" si="36"/>
        <v>0</v>
      </c>
      <c r="AG44" s="781">
        <f t="shared" ca="1" si="36"/>
        <v>0</v>
      </c>
      <c r="AH44" s="781">
        <f t="shared" ca="1" si="36"/>
        <v>0</v>
      </c>
      <c r="AI44" s="781">
        <f t="shared" ca="1" si="36"/>
        <v>0</v>
      </c>
      <c r="AJ44" s="781">
        <f t="shared" ca="1" si="36"/>
        <v>0</v>
      </c>
      <c r="AK44" s="781">
        <f t="shared" ref="AK44:AT53" ca="1" si="37">IFERROR(OFFSET(INDIRECT(INDEX(List_of_Alternatives,MATCH($D44,NameofAlternatives,0))),$A44+AK$1-$G$1,$B44),0)</f>
        <v>0</v>
      </c>
      <c r="AL44" s="781">
        <f t="shared" ca="1" si="37"/>
        <v>0</v>
      </c>
      <c r="AM44" s="781">
        <f t="shared" ca="1" si="37"/>
        <v>0</v>
      </c>
      <c r="AN44" s="781">
        <f t="shared" ca="1" si="37"/>
        <v>0</v>
      </c>
      <c r="AO44" s="781">
        <f t="shared" ca="1" si="37"/>
        <v>0</v>
      </c>
      <c r="AP44" s="781">
        <f t="shared" ca="1" si="37"/>
        <v>0</v>
      </c>
      <c r="AQ44" s="781">
        <f t="shared" ca="1" si="37"/>
        <v>0</v>
      </c>
      <c r="AR44" s="781">
        <f t="shared" ca="1" si="37"/>
        <v>0</v>
      </c>
      <c r="AS44" s="781">
        <f t="shared" ca="1" si="37"/>
        <v>0</v>
      </c>
      <c r="AT44" s="781">
        <f t="shared" ca="1" si="37"/>
        <v>0</v>
      </c>
      <c r="AV44" s="781">
        <f t="shared" ca="1" si="6"/>
        <v>0</v>
      </c>
      <c r="AX44" s="781">
        <f t="shared" ca="1" si="7"/>
        <v>0</v>
      </c>
      <c r="AZ44" s="781">
        <f t="shared" ca="1" si="8"/>
        <v>0</v>
      </c>
      <c r="BB44" s="781">
        <f t="shared" ca="1" si="9"/>
        <v>0</v>
      </c>
      <c r="BD44" s="781">
        <f t="shared" ca="1" si="10"/>
        <v>0</v>
      </c>
      <c r="BF44" s="781">
        <f t="shared" ca="1" si="11"/>
        <v>0</v>
      </c>
      <c r="BH44" s="781">
        <f t="shared" ca="1" si="12"/>
        <v>0</v>
      </c>
    </row>
    <row r="45" spans="1:60" hidden="1" outlineLevel="1">
      <c r="A45" s="1464">
        <f t="shared" ca="1" si="30"/>
        <v>18</v>
      </c>
      <c r="B45" s="1464">
        <f t="shared" ca="1" si="31"/>
        <v>20</v>
      </c>
      <c r="C45" s="1464">
        <f t="shared" si="32"/>
        <v>12</v>
      </c>
      <c r="D45" s="1271" t="str">
        <f ca="1">IF(OFFSET(PortfolioDashboard!$A$3,C45-1,0)="","Blank",OFFSET(PortfolioDashboard!$A$3,C45-1,0))</f>
        <v>Steam Line Improvements</v>
      </c>
      <c r="E45" s="1464" t="str">
        <f t="shared" si="33"/>
        <v>MTCO2e</v>
      </c>
      <c r="F45" s="1460"/>
      <c r="G45" s="781">
        <f t="shared" ca="1" si="34"/>
        <v>0</v>
      </c>
      <c r="H45" s="781">
        <f t="shared" ca="1" si="34"/>
        <v>0</v>
      </c>
      <c r="I45" s="781">
        <f t="shared" ca="1" si="34"/>
        <v>-3075.9772424453963</v>
      </c>
      <c r="J45" s="781">
        <f t="shared" ca="1" si="34"/>
        <v>-3125.3879734301372</v>
      </c>
      <c r="K45" s="781">
        <f t="shared" ca="1" si="34"/>
        <v>-3161.5430998748739</v>
      </c>
      <c r="L45" s="781">
        <f t="shared" ca="1" si="34"/>
        <v>-3233.0465050929606</v>
      </c>
      <c r="M45" s="781">
        <f t="shared" ca="1" si="34"/>
        <v>-3269.2016315376959</v>
      </c>
      <c r="N45" s="781">
        <f t="shared" ca="1" si="34"/>
        <v>-3305.3567579824307</v>
      </c>
      <c r="O45" s="781">
        <f t="shared" ca="1" si="34"/>
        <v>-3341.5118844271651</v>
      </c>
      <c r="P45" s="781">
        <f t="shared" ca="1" si="34"/>
        <v>-3377.6670108718999</v>
      </c>
      <c r="Q45" s="781">
        <f t="shared" ca="1" si="35"/>
        <v>-3413.8221373166357</v>
      </c>
      <c r="R45" s="781">
        <f t="shared" ca="1" si="35"/>
        <v>-3449.9772637613701</v>
      </c>
      <c r="S45" s="781">
        <f t="shared" ca="1" si="35"/>
        <v>-3486.1323902061049</v>
      </c>
      <c r="T45" s="781">
        <f t="shared" ca="1" si="35"/>
        <v>-3522.2875166508402</v>
      </c>
      <c r="U45" s="781">
        <f t="shared" ca="1" si="35"/>
        <v>-3558.4426430955759</v>
      </c>
      <c r="V45" s="781">
        <f t="shared" ca="1" si="35"/>
        <v>-3594.5977695403094</v>
      </c>
      <c r="W45" s="781">
        <f t="shared" ca="1" si="35"/>
        <v>-3630.7528959850451</v>
      </c>
      <c r="X45" s="781">
        <f t="shared" ca="1" si="35"/>
        <v>-3666.9080224297791</v>
      </c>
      <c r="Y45" s="781">
        <f t="shared" ca="1" si="35"/>
        <v>-3703.0631488745134</v>
      </c>
      <c r="Z45" s="781">
        <f t="shared" ca="1" si="35"/>
        <v>-3739.2182753192492</v>
      </c>
      <c r="AA45" s="781">
        <f t="shared" ca="1" si="36"/>
        <v>-3775.3734017639845</v>
      </c>
      <c r="AB45" s="781">
        <f t="shared" ca="1" si="36"/>
        <v>-3811.5285282087202</v>
      </c>
      <c r="AC45" s="781">
        <f t="shared" ca="1" si="36"/>
        <v>-3847.6836546534541</v>
      </c>
      <c r="AD45" s="781">
        <f t="shared" ca="1" si="36"/>
        <v>-3883.8387810981894</v>
      </c>
      <c r="AE45" s="781">
        <f t="shared" ca="1" si="36"/>
        <v>-3919.9939075429229</v>
      </c>
      <c r="AF45" s="781">
        <f t="shared" ca="1" si="36"/>
        <v>-3956.1490339876577</v>
      </c>
      <c r="AG45" s="781">
        <f t="shared" ca="1" si="36"/>
        <v>-3992.3041604323935</v>
      </c>
      <c r="AH45" s="781">
        <f t="shared" ca="1" si="36"/>
        <v>-4028.4592868771292</v>
      </c>
      <c r="AI45" s="781">
        <f t="shared" ca="1" si="36"/>
        <v>-4064.6144133218636</v>
      </c>
      <c r="AJ45" s="781">
        <f t="shared" ca="1" si="36"/>
        <v>-4100.7695397665984</v>
      </c>
      <c r="AK45" s="781">
        <f t="shared" ca="1" si="37"/>
        <v>-4136.9246662113328</v>
      </c>
      <c r="AL45" s="781">
        <f t="shared" ca="1" si="37"/>
        <v>-4173.0797926560681</v>
      </c>
      <c r="AM45" s="781">
        <f t="shared" ca="1" si="37"/>
        <v>-4209.2349191008025</v>
      </c>
      <c r="AN45" s="781">
        <f t="shared" ca="1" si="37"/>
        <v>-4245.3900455455369</v>
      </c>
      <c r="AO45" s="781">
        <f t="shared" ca="1" si="37"/>
        <v>-4281.5451719902721</v>
      </c>
      <c r="AP45" s="781">
        <f t="shared" ca="1" si="37"/>
        <v>-4317.7002984350074</v>
      </c>
      <c r="AQ45" s="781">
        <f t="shared" ca="1" si="37"/>
        <v>-4353.8554248797409</v>
      </c>
      <c r="AR45" s="781">
        <f t="shared" ca="1" si="37"/>
        <v>-4390.0105513244744</v>
      </c>
      <c r="AS45" s="781">
        <f t="shared" ca="1" si="37"/>
        <v>-4426.1656777692115</v>
      </c>
      <c r="AT45" s="781">
        <f t="shared" ca="1" si="37"/>
        <v>-4462.3208042139468</v>
      </c>
      <c r="AV45" s="781">
        <f t="shared" ca="1" si="6"/>
        <v>-16526.783789912151</v>
      </c>
      <c r="AX45" s="781">
        <f t="shared" ca="1" si="7"/>
        <v>-17430.661951030528</v>
      </c>
      <c r="AZ45" s="781">
        <f t="shared" ca="1" si="8"/>
        <v>-18334.540112148898</v>
      </c>
      <c r="BB45" s="781">
        <f t="shared" ca="1" si="9"/>
        <v>-19238.418273267271</v>
      </c>
      <c r="BD45" s="781">
        <f t="shared" ca="1" si="10"/>
        <v>-20142.296434385644</v>
      </c>
      <c r="BF45" s="781">
        <f t="shared" ca="1" si="11"/>
        <v>-21046.17459550401</v>
      </c>
      <c r="BH45" s="781">
        <f t="shared" ca="1" si="12"/>
        <v>-21950.052756622383</v>
      </c>
    </row>
    <row r="46" spans="1:60" hidden="1" outlineLevel="1">
      <c r="A46" s="1464">
        <f t="shared" ca="1" si="30"/>
        <v>18</v>
      </c>
      <c r="B46" s="1464">
        <f t="shared" ca="1" si="31"/>
        <v>20</v>
      </c>
      <c r="C46" s="1464">
        <f t="shared" si="32"/>
        <v>13</v>
      </c>
      <c r="D46" s="1271" t="str">
        <f ca="1">IF(OFFSET(PortfolioDashboard!$A$3,C46-1,0)="","Blank",OFFSET(PortfolioDashboard!$A$3,C46-1,0))</f>
        <v>Coal to Natural Gas Conversion @ Steam Plant</v>
      </c>
      <c r="E46" s="1464" t="str">
        <f t="shared" si="33"/>
        <v>MTCO2e</v>
      </c>
      <c r="F46" s="1460"/>
      <c r="G46" s="781">
        <f t="shared" ca="1" si="34"/>
        <v>0</v>
      </c>
      <c r="H46" s="781">
        <f t="shared" ca="1" si="34"/>
        <v>0</v>
      </c>
      <c r="I46" s="781">
        <f t="shared" ca="1" si="34"/>
        <v>0</v>
      </c>
      <c r="J46" s="781">
        <f t="shared" ca="1" si="34"/>
        <v>0</v>
      </c>
      <c r="K46" s="781">
        <f t="shared" ca="1" si="34"/>
        <v>0</v>
      </c>
      <c r="L46" s="781">
        <f t="shared" ca="1" si="34"/>
        <v>-18056.365727671626</v>
      </c>
      <c r="M46" s="781">
        <f t="shared" ca="1" si="34"/>
        <v>-18258.289883413876</v>
      </c>
      <c r="N46" s="781">
        <f t="shared" ca="1" si="34"/>
        <v>-18460.214039156141</v>
      </c>
      <c r="O46" s="781">
        <f t="shared" ca="1" si="34"/>
        <v>-18662.138194898398</v>
      </c>
      <c r="P46" s="781">
        <f t="shared" ca="1" si="34"/>
        <v>-18864.062350640648</v>
      </c>
      <c r="Q46" s="781">
        <f t="shared" ca="1" si="35"/>
        <v>-19065.986506382898</v>
      </c>
      <c r="R46" s="781">
        <f t="shared" ca="1" si="35"/>
        <v>-19267.910662125156</v>
      </c>
      <c r="S46" s="781">
        <f t="shared" ca="1" si="35"/>
        <v>-19469.83481786742</v>
      </c>
      <c r="T46" s="781">
        <f t="shared" ca="1" si="35"/>
        <v>-19671.758973609671</v>
      </c>
      <c r="U46" s="781">
        <f t="shared" ca="1" si="35"/>
        <v>-19873.683129351921</v>
      </c>
      <c r="V46" s="781">
        <f t="shared" ca="1" si="35"/>
        <v>-20075.607285094171</v>
      </c>
      <c r="W46" s="781">
        <f t="shared" ca="1" si="35"/>
        <v>-20277.531440836436</v>
      </c>
      <c r="X46" s="781">
        <f t="shared" ca="1" si="35"/>
        <v>-20479.455596578686</v>
      </c>
      <c r="Y46" s="781">
        <f t="shared" ca="1" si="35"/>
        <v>-20681.379752320936</v>
      </c>
      <c r="Z46" s="781">
        <f t="shared" ca="1" si="35"/>
        <v>-20883.303908063201</v>
      </c>
      <c r="AA46" s="781">
        <f t="shared" ca="1" si="36"/>
        <v>-21085.228063805465</v>
      </c>
      <c r="AB46" s="781">
        <f t="shared" ca="1" si="36"/>
        <v>-21287.152219547716</v>
      </c>
      <c r="AC46" s="781">
        <f t="shared" ca="1" si="36"/>
        <v>-21489.076375289966</v>
      </c>
      <c r="AD46" s="781">
        <f t="shared" ca="1" si="36"/>
        <v>-21691.000531032216</v>
      </c>
      <c r="AE46" s="781">
        <f t="shared" ca="1" si="36"/>
        <v>-21892.924686774466</v>
      </c>
      <c r="AF46" s="781">
        <f t="shared" ca="1" si="36"/>
        <v>-22094.848842516731</v>
      </c>
      <c r="AG46" s="781">
        <f t="shared" ca="1" si="36"/>
        <v>-22296.772998258981</v>
      </c>
      <c r="AH46" s="781">
        <f t="shared" ca="1" si="36"/>
        <v>-22498.697154001231</v>
      </c>
      <c r="AI46" s="781">
        <f t="shared" ca="1" si="36"/>
        <v>-22700.621309743496</v>
      </c>
      <c r="AJ46" s="781">
        <f t="shared" ca="1" si="36"/>
        <v>-22902.545465485746</v>
      </c>
      <c r="AK46" s="781">
        <f t="shared" ca="1" si="37"/>
        <v>-23104.469621227996</v>
      </c>
      <c r="AL46" s="781">
        <f t="shared" ca="1" si="37"/>
        <v>-23306.393776970261</v>
      </c>
      <c r="AM46" s="781">
        <f t="shared" ca="1" si="37"/>
        <v>-23508.317932712511</v>
      </c>
      <c r="AN46" s="781">
        <f t="shared" ca="1" si="37"/>
        <v>-23710.242088454761</v>
      </c>
      <c r="AO46" s="781">
        <f t="shared" ca="1" si="37"/>
        <v>-23912.166244197026</v>
      </c>
      <c r="AP46" s="781">
        <f t="shared" ca="1" si="37"/>
        <v>-24114.090399939276</v>
      </c>
      <c r="AQ46" s="781">
        <f t="shared" ca="1" si="37"/>
        <v>-24316.014555681541</v>
      </c>
      <c r="AR46" s="781">
        <f t="shared" ca="1" si="37"/>
        <v>-24517.938711423776</v>
      </c>
      <c r="AS46" s="781">
        <f t="shared" ca="1" si="37"/>
        <v>-24719.862867166041</v>
      </c>
      <c r="AT46" s="781">
        <f t="shared" ca="1" si="37"/>
        <v>-24921.787022908306</v>
      </c>
      <c r="AV46" s="781">
        <f t="shared" ca="1" si="6"/>
        <v>-92301.070195780689</v>
      </c>
      <c r="AX46" s="781">
        <f t="shared" ca="1" si="7"/>
        <v>-97349.174089337073</v>
      </c>
      <c r="AZ46" s="781">
        <f t="shared" ca="1" si="8"/>
        <v>-102397.27798289343</v>
      </c>
      <c r="BB46" s="781">
        <f t="shared" ca="1" si="9"/>
        <v>-107445.38187644983</v>
      </c>
      <c r="BD46" s="781">
        <f t="shared" ca="1" si="10"/>
        <v>-112493.48577000618</v>
      </c>
      <c r="BF46" s="781">
        <f t="shared" ca="1" si="11"/>
        <v>-117541.58966356255</v>
      </c>
      <c r="BH46" s="781">
        <f t="shared" ca="1" si="12"/>
        <v>-122589.69355711894</v>
      </c>
    </row>
    <row r="47" spans="1:60" hidden="1" outlineLevel="1">
      <c r="A47" s="1464">
        <f t="shared" ca="1" si="30"/>
        <v>18</v>
      </c>
      <c r="B47" s="1464">
        <f t="shared" ca="1" si="31"/>
        <v>20</v>
      </c>
      <c r="C47" s="1464">
        <f t="shared" si="32"/>
        <v>14</v>
      </c>
      <c r="D47" s="1271" t="str">
        <f ca="1">IF(OFFSET(PortfolioDashboard!$A$3,C47-1,0)="","Blank",OFFSET(PortfolioDashboard!$A$3,C47-1,0))</f>
        <v>On-site Wind</v>
      </c>
      <c r="E47" s="1464" t="str">
        <f t="shared" si="33"/>
        <v>MTCO2e</v>
      </c>
      <c r="F47" s="1460"/>
      <c r="G47" s="781">
        <f t="shared" ca="1" si="34"/>
        <v>0</v>
      </c>
      <c r="H47" s="781">
        <f t="shared" ca="1" si="34"/>
        <v>-124.43697824242066</v>
      </c>
      <c r="I47" s="781">
        <f t="shared" ca="1" si="34"/>
        <v>-124.43697824242066</v>
      </c>
      <c r="J47" s="781">
        <f t="shared" ca="1" si="34"/>
        <v>-124.43697824242066</v>
      </c>
      <c r="K47" s="781">
        <f t="shared" ca="1" si="34"/>
        <v>-124.43697824242066</v>
      </c>
      <c r="L47" s="781">
        <f t="shared" ca="1" si="34"/>
        <v>-124.43697824242066</v>
      </c>
      <c r="M47" s="781">
        <f t="shared" ca="1" si="34"/>
        <v>-124.43697824242066</v>
      </c>
      <c r="N47" s="781">
        <f t="shared" ca="1" si="34"/>
        <v>-124.43697824242066</v>
      </c>
      <c r="O47" s="781">
        <f t="shared" ca="1" si="34"/>
        <v>-124.43697824242066</v>
      </c>
      <c r="P47" s="781">
        <f t="shared" ca="1" si="34"/>
        <v>-124.43697824242066</v>
      </c>
      <c r="Q47" s="781">
        <f t="shared" ca="1" si="35"/>
        <v>-124.43697824242066</v>
      </c>
      <c r="R47" s="781">
        <f t="shared" ca="1" si="35"/>
        <v>-124.43697824242066</v>
      </c>
      <c r="S47" s="781">
        <f t="shared" ca="1" si="35"/>
        <v>-124.43697824242066</v>
      </c>
      <c r="T47" s="781">
        <f t="shared" ca="1" si="35"/>
        <v>-124.43697824242066</v>
      </c>
      <c r="U47" s="781">
        <f t="shared" ca="1" si="35"/>
        <v>-124.43697824242066</v>
      </c>
      <c r="V47" s="781">
        <f t="shared" ca="1" si="35"/>
        <v>-124.43697824242066</v>
      </c>
      <c r="W47" s="781">
        <f t="shared" ca="1" si="35"/>
        <v>-124.43697824242066</v>
      </c>
      <c r="X47" s="781">
        <f t="shared" ca="1" si="35"/>
        <v>-124.43697824242066</v>
      </c>
      <c r="Y47" s="781">
        <f t="shared" ca="1" si="35"/>
        <v>-124.43697824242066</v>
      </c>
      <c r="Z47" s="781">
        <f t="shared" ca="1" si="35"/>
        <v>-124.43697824242066</v>
      </c>
      <c r="AA47" s="781">
        <f t="shared" ca="1" si="36"/>
        <v>-124.43697824242066</v>
      </c>
      <c r="AB47" s="781">
        <f t="shared" ca="1" si="36"/>
        <v>-124.43697824242066</v>
      </c>
      <c r="AC47" s="781">
        <f t="shared" ca="1" si="36"/>
        <v>-124.43697824242066</v>
      </c>
      <c r="AD47" s="781">
        <f t="shared" ca="1" si="36"/>
        <v>-124.43697824242066</v>
      </c>
      <c r="AE47" s="781">
        <f t="shared" ca="1" si="36"/>
        <v>-124.43697824242066</v>
      </c>
      <c r="AF47" s="781">
        <f t="shared" ca="1" si="36"/>
        <v>-124.43697824242066</v>
      </c>
      <c r="AG47" s="781">
        <f t="shared" ca="1" si="36"/>
        <v>-124.43697824242066</v>
      </c>
      <c r="AH47" s="781">
        <f t="shared" ca="1" si="36"/>
        <v>-124.43697824242066</v>
      </c>
      <c r="AI47" s="781">
        <f t="shared" ca="1" si="36"/>
        <v>-124.43697824242066</v>
      </c>
      <c r="AJ47" s="781">
        <f t="shared" ca="1" si="36"/>
        <v>-124.43697824242066</v>
      </c>
      <c r="AK47" s="781">
        <f t="shared" ca="1" si="37"/>
        <v>-124.43697824242066</v>
      </c>
      <c r="AL47" s="781">
        <f t="shared" ca="1" si="37"/>
        <v>-124.43697824242066</v>
      </c>
      <c r="AM47" s="781">
        <f t="shared" ca="1" si="37"/>
        <v>-124.43697824242066</v>
      </c>
      <c r="AN47" s="781">
        <f t="shared" ca="1" si="37"/>
        <v>-124.43697824242066</v>
      </c>
      <c r="AO47" s="781">
        <f t="shared" ca="1" si="37"/>
        <v>-124.43697824242066</v>
      </c>
      <c r="AP47" s="781">
        <f t="shared" ca="1" si="37"/>
        <v>-124.43697824242066</v>
      </c>
      <c r="AQ47" s="781">
        <f t="shared" ca="1" si="37"/>
        <v>-124.43697824242066</v>
      </c>
      <c r="AR47" s="781">
        <f t="shared" ca="1" si="37"/>
        <v>-124.43697824242066</v>
      </c>
      <c r="AS47" s="781">
        <f t="shared" ca="1" si="37"/>
        <v>-124.43697824242066</v>
      </c>
      <c r="AT47" s="781">
        <f t="shared" ca="1" si="37"/>
        <v>-124.43697824242066</v>
      </c>
      <c r="AV47" s="781">
        <f t="shared" ca="1" si="6"/>
        <v>-622.18489121210337</v>
      </c>
      <c r="AX47" s="781">
        <f t="shared" ca="1" si="7"/>
        <v>-622.18489121210337</v>
      </c>
      <c r="AZ47" s="781">
        <f t="shared" ca="1" si="8"/>
        <v>-622.18489121210337</v>
      </c>
      <c r="BB47" s="781">
        <f t="shared" ca="1" si="9"/>
        <v>-622.18489121210337</v>
      </c>
      <c r="BD47" s="781">
        <f t="shared" ca="1" si="10"/>
        <v>-622.18489121210337</v>
      </c>
      <c r="BF47" s="781">
        <f t="shared" ca="1" si="11"/>
        <v>-622.18489121210337</v>
      </c>
      <c r="BH47" s="781">
        <f t="shared" ca="1" si="12"/>
        <v>-622.18489121210337</v>
      </c>
    </row>
    <row r="48" spans="1:60" hidden="1" outlineLevel="1">
      <c r="A48" s="1464">
        <f t="shared" ca="1" si="30"/>
        <v>18</v>
      </c>
      <c r="B48" s="1464">
        <f t="shared" ca="1" si="31"/>
        <v>20</v>
      </c>
      <c r="C48" s="1464">
        <f t="shared" si="32"/>
        <v>15</v>
      </c>
      <c r="D48" s="1271" t="str">
        <f ca="1">IF(OFFSET(PortfolioDashboard!$A$3,C48-1,0)="","Blank",OFFSET(PortfolioDashboard!$A$3,C48-1,0))</f>
        <v>Solar DHW</v>
      </c>
      <c r="E48" s="1464" t="str">
        <f t="shared" si="33"/>
        <v>MTCO2e</v>
      </c>
      <c r="F48" s="1460"/>
      <c r="G48" s="781">
        <f t="shared" ca="1" si="34"/>
        <v>0</v>
      </c>
      <c r="H48" s="781">
        <f t="shared" ca="1" si="34"/>
        <v>0</v>
      </c>
      <c r="I48" s="781">
        <f t="shared" ca="1" si="34"/>
        <v>-42.106365709288561</v>
      </c>
      <c r="J48" s="781">
        <f t="shared" ca="1" si="34"/>
        <v>-42.106365709288561</v>
      </c>
      <c r="K48" s="781">
        <f t="shared" ca="1" si="34"/>
        <v>-42.106365709288561</v>
      </c>
      <c r="L48" s="781">
        <f t="shared" ca="1" si="34"/>
        <v>-42.106365709288561</v>
      </c>
      <c r="M48" s="781">
        <f t="shared" ca="1" si="34"/>
        <v>-42.106365709288561</v>
      </c>
      <c r="N48" s="781">
        <f t="shared" ca="1" si="34"/>
        <v>-42.106365709288561</v>
      </c>
      <c r="O48" s="781">
        <f t="shared" ca="1" si="34"/>
        <v>-42.106365709288561</v>
      </c>
      <c r="P48" s="781">
        <f t="shared" ca="1" si="34"/>
        <v>-42.106365709288561</v>
      </c>
      <c r="Q48" s="781">
        <f t="shared" ca="1" si="35"/>
        <v>-42.106365709288561</v>
      </c>
      <c r="R48" s="781">
        <f t="shared" ca="1" si="35"/>
        <v>-42.106365709288561</v>
      </c>
      <c r="S48" s="781">
        <f t="shared" ca="1" si="35"/>
        <v>-42.106365709288561</v>
      </c>
      <c r="T48" s="781">
        <f t="shared" ca="1" si="35"/>
        <v>-42.106365709288561</v>
      </c>
      <c r="U48" s="781">
        <f t="shared" ca="1" si="35"/>
        <v>-42.106365709288561</v>
      </c>
      <c r="V48" s="781">
        <f t="shared" ca="1" si="35"/>
        <v>-42.106365709288561</v>
      </c>
      <c r="W48" s="781">
        <f t="shared" ca="1" si="35"/>
        <v>-42.106365709288561</v>
      </c>
      <c r="X48" s="781">
        <f t="shared" ca="1" si="35"/>
        <v>-42.106365709288561</v>
      </c>
      <c r="Y48" s="781">
        <f t="shared" ca="1" si="35"/>
        <v>-42.106365709288561</v>
      </c>
      <c r="Z48" s="781">
        <f t="shared" ca="1" si="35"/>
        <v>-42.106365709288561</v>
      </c>
      <c r="AA48" s="781">
        <f t="shared" ca="1" si="36"/>
        <v>-42.106365709288561</v>
      </c>
      <c r="AB48" s="781">
        <f t="shared" ca="1" si="36"/>
        <v>-42.106365709288561</v>
      </c>
      <c r="AC48" s="781">
        <f t="shared" ca="1" si="36"/>
        <v>-42.106365709288561</v>
      </c>
      <c r="AD48" s="781">
        <f t="shared" ca="1" si="36"/>
        <v>-42.106365709288561</v>
      </c>
      <c r="AE48" s="781">
        <f t="shared" ca="1" si="36"/>
        <v>-42.106365709288561</v>
      </c>
      <c r="AF48" s="781">
        <f t="shared" ca="1" si="36"/>
        <v>-42.106365709288561</v>
      </c>
      <c r="AG48" s="781">
        <f t="shared" ca="1" si="36"/>
        <v>-42.106365709288561</v>
      </c>
      <c r="AH48" s="781">
        <f t="shared" ca="1" si="36"/>
        <v>-42.106365709288561</v>
      </c>
      <c r="AI48" s="781">
        <f t="shared" ca="1" si="36"/>
        <v>-42.106365709288561</v>
      </c>
      <c r="AJ48" s="781">
        <f t="shared" ca="1" si="36"/>
        <v>-42.106365709288561</v>
      </c>
      <c r="AK48" s="781">
        <f t="shared" ca="1" si="37"/>
        <v>-42.106365709288561</v>
      </c>
      <c r="AL48" s="781">
        <f t="shared" ca="1" si="37"/>
        <v>-42.106365709288561</v>
      </c>
      <c r="AM48" s="781">
        <f t="shared" ca="1" si="37"/>
        <v>-42.106365709288561</v>
      </c>
      <c r="AN48" s="781">
        <f t="shared" ca="1" si="37"/>
        <v>-42.106365709288561</v>
      </c>
      <c r="AO48" s="781">
        <f t="shared" ca="1" si="37"/>
        <v>-42.106365709288561</v>
      </c>
      <c r="AP48" s="781">
        <f t="shared" ca="1" si="37"/>
        <v>-42.106365709288561</v>
      </c>
      <c r="AQ48" s="781">
        <f t="shared" ca="1" si="37"/>
        <v>-42.106365709288561</v>
      </c>
      <c r="AR48" s="781">
        <f t="shared" ca="1" si="37"/>
        <v>-42.106365709288561</v>
      </c>
      <c r="AS48" s="781">
        <f t="shared" ca="1" si="37"/>
        <v>-42.106365709288561</v>
      </c>
      <c r="AT48" s="781">
        <f t="shared" ca="1" si="37"/>
        <v>-42.106365709288561</v>
      </c>
      <c r="AV48" s="781">
        <f t="shared" ca="1" si="6"/>
        <v>-210.5318285464428</v>
      </c>
      <c r="AX48" s="781">
        <f t="shared" ca="1" si="7"/>
        <v>-210.5318285464428</v>
      </c>
      <c r="AZ48" s="781">
        <f t="shared" ca="1" si="8"/>
        <v>-210.5318285464428</v>
      </c>
      <c r="BB48" s="781">
        <f t="shared" ca="1" si="9"/>
        <v>-210.5318285464428</v>
      </c>
      <c r="BD48" s="781">
        <f t="shared" ca="1" si="10"/>
        <v>-210.5318285464428</v>
      </c>
      <c r="BF48" s="781">
        <f t="shared" ca="1" si="11"/>
        <v>-210.5318285464428</v>
      </c>
      <c r="BH48" s="781">
        <f t="shared" ca="1" si="12"/>
        <v>-210.5318285464428</v>
      </c>
    </row>
    <row r="49" spans="1:60" hidden="1" outlineLevel="1">
      <c r="A49" s="1464">
        <f t="shared" ca="1" si="30"/>
        <v>18</v>
      </c>
      <c r="B49" s="1464">
        <f t="shared" ca="1" si="31"/>
        <v>20</v>
      </c>
      <c r="C49" s="1464">
        <f t="shared" si="32"/>
        <v>16</v>
      </c>
      <c r="D49" s="1271" t="str">
        <f ca="1">IF(OFFSET(PortfolioDashboard!$A$3,C49-1,0)="","Blank",OFFSET(PortfolioDashboard!$A$3,C49-1,0))</f>
        <v>Geo Exchange</v>
      </c>
      <c r="E49" s="1464" t="str">
        <f t="shared" si="33"/>
        <v>MTCO2e</v>
      </c>
      <c r="F49" s="1460"/>
      <c r="G49" s="781">
        <f t="shared" ca="1" si="34"/>
        <v>0</v>
      </c>
      <c r="H49" s="781">
        <f t="shared" ca="1" si="34"/>
        <v>0</v>
      </c>
      <c r="I49" s="781">
        <f t="shared" ca="1" si="34"/>
        <v>0</v>
      </c>
      <c r="J49" s="781">
        <f t="shared" ca="1" si="34"/>
        <v>-680.80856317059579</v>
      </c>
      <c r="K49" s="781">
        <f t="shared" ca="1" si="34"/>
        <v>-680.80856317059579</v>
      </c>
      <c r="L49" s="781">
        <f t="shared" ca="1" si="34"/>
        <v>-1361.6171263411916</v>
      </c>
      <c r="M49" s="781">
        <f t="shared" ca="1" si="34"/>
        <v>-1361.6171263411916</v>
      </c>
      <c r="N49" s="781">
        <f t="shared" ca="1" si="34"/>
        <v>-1361.6171263411916</v>
      </c>
      <c r="O49" s="781">
        <f t="shared" ca="1" si="34"/>
        <v>-1361.6171263411916</v>
      </c>
      <c r="P49" s="781">
        <f t="shared" ca="1" si="34"/>
        <v>-1361.6171263411916</v>
      </c>
      <c r="Q49" s="781">
        <f t="shared" ca="1" si="35"/>
        <v>-1361.6171263411916</v>
      </c>
      <c r="R49" s="781">
        <f t="shared" ca="1" si="35"/>
        <v>-1361.6171263411916</v>
      </c>
      <c r="S49" s="781">
        <f t="shared" ca="1" si="35"/>
        <v>-1361.6171263411916</v>
      </c>
      <c r="T49" s="781">
        <f t="shared" ca="1" si="35"/>
        <v>-1361.6171263411916</v>
      </c>
      <c r="U49" s="781">
        <f t="shared" ca="1" si="35"/>
        <v>-1361.6171263411916</v>
      </c>
      <c r="V49" s="781">
        <f t="shared" ca="1" si="35"/>
        <v>-1361.6171263411916</v>
      </c>
      <c r="W49" s="781">
        <f t="shared" ca="1" si="35"/>
        <v>-1361.6171263411916</v>
      </c>
      <c r="X49" s="781">
        <f t="shared" ca="1" si="35"/>
        <v>-1361.6171263411916</v>
      </c>
      <c r="Y49" s="781">
        <f t="shared" ca="1" si="35"/>
        <v>-1361.6171263411916</v>
      </c>
      <c r="Z49" s="781">
        <f t="shared" ca="1" si="35"/>
        <v>-1361.6171263411916</v>
      </c>
      <c r="AA49" s="781">
        <f t="shared" ca="1" si="36"/>
        <v>-1361.6171263411916</v>
      </c>
      <c r="AB49" s="781">
        <f t="shared" ca="1" si="36"/>
        <v>-1361.6171263411916</v>
      </c>
      <c r="AC49" s="781">
        <f t="shared" ca="1" si="36"/>
        <v>-1361.6171263411916</v>
      </c>
      <c r="AD49" s="781">
        <f t="shared" ca="1" si="36"/>
        <v>-1361.6171263411916</v>
      </c>
      <c r="AE49" s="781">
        <f t="shared" ca="1" si="36"/>
        <v>-1361.6171263411916</v>
      </c>
      <c r="AF49" s="781">
        <f t="shared" ca="1" si="36"/>
        <v>-1361.6171263411916</v>
      </c>
      <c r="AG49" s="781">
        <f t="shared" ca="1" si="36"/>
        <v>-1361.6171263411916</v>
      </c>
      <c r="AH49" s="781">
        <f t="shared" ca="1" si="36"/>
        <v>-1361.6171263411916</v>
      </c>
      <c r="AI49" s="781">
        <f t="shared" ca="1" si="36"/>
        <v>-1361.6171263411916</v>
      </c>
      <c r="AJ49" s="781">
        <f t="shared" ca="1" si="36"/>
        <v>-1361.6171263411916</v>
      </c>
      <c r="AK49" s="781">
        <f t="shared" ca="1" si="37"/>
        <v>-1361.6171263411916</v>
      </c>
      <c r="AL49" s="781">
        <f t="shared" ca="1" si="37"/>
        <v>-1361.6171263411916</v>
      </c>
      <c r="AM49" s="781">
        <f t="shared" ca="1" si="37"/>
        <v>-1361.6171263411916</v>
      </c>
      <c r="AN49" s="781">
        <f t="shared" ca="1" si="37"/>
        <v>-1361.6171263411916</v>
      </c>
      <c r="AO49" s="781">
        <f t="shared" ca="1" si="37"/>
        <v>-1361.6171263411916</v>
      </c>
      <c r="AP49" s="781">
        <f t="shared" ca="1" si="37"/>
        <v>-1361.6171263411916</v>
      </c>
      <c r="AQ49" s="781">
        <f t="shared" ca="1" si="37"/>
        <v>-1361.6171263411916</v>
      </c>
      <c r="AR49" s="781">
        <f t="shared" ca="1" si="37"/>
        <v>-1361.6171263411916</v>
      </c>
      <c r="AS49" s="781">
        <f t="shared" ca="1" si="37"/>
        <v>-1361.6171263411916</v>
      </c>
      <c r="AT49" s="781">
        <f t="shared" ca="1" si="37"/>
        <v>-1361.6171263411916</v>
      </c>
      <c r="AV49" s="781">
        <f t="shared" ca="1" si="6"/>
        <v>-6808.0856317059579</v>
      </c>
      <c r="AX49" s="781">
        <f t="shared" ca="1" si="7"/>
        <v>-6808.0856317059579</v>
      </c>
      <c r="AZ49" s="781">
        <f t="shared" ca="1" si="8"/>
        <v>-6808.0856317059579</v>
      </c>
      <c r="BB49" s="781">
        <f t="shared" ca="1" si="9"/>
        <v>-6808.0856317059579</v>
      </c>
      <c r="BD49" s="781">
        <f t="shared" ca="1" si="10"/>
        <v>-6808.0856317059579</v>
      </c>
      <c r="BF49" s="781">
        <f t="shared" ca="1" si="11"/>
        <v>-6808.0856317059579</v>
      </c>
      <c r="BH49" s="781">
        <f t="shared" ca="1" si="12"/>
        <v>-6808.0856317059579</v>
      </c>
    </row>
    <row r="50" spans="1:60" hidden="1" outlineLevel="1">
      <c r="A50" s="1464">
        <f t="shared" ca="1" si="30"/>
        <v>18</v>
      </c>
      <c r="B50" s="1464">
        <f t="shared" ca="1" si="31"/>
        <v>20</v>
      </c>
      <c r="C50" s="1464">
        <f t="shared" si="32"/>
        <v>17</v>
      </c>
      <c r="D50" s="1271" t="str">
        <f ca="1">IF(OFFSET(PortfolioDashboard!$A$3,C50-1,0)="","Blank",OFFSET(PortfolioDashboard!$A$3,C50-1,0))</f>
        <v>Rooftop Solar PV</v>
      </c>
      <c r="E50" s="1464" t="str">
        <f t="shared" si="33"/>
        <v>MTCO2e</v>
      </c>
      <c r="F50" s="1460"/>
      <c r="G50" s="781">
        <f t="shared" ca="1" si="34"/>
        <v>0</v>
      </c>
      <c r="H50" s="781">
        <f t="shared" ca="1" si="34"/>
        <v>0</v>
      </c>
      <c r="I50" s="781">
        <f t="shared" ca="1" si="34"/>
        <v>0</v>
      </c>
      <c r="J50" s="781">
        <f t="shared" ca="1" si="34"/>
        <v>0</v>
      </c>
      <c r="K50" s="781">
        <f t="shared" ca="1" si="34"/>
        <v>0</v>
      </c>
      <c r="L50" s="781">
        <f t="shared" ca="1" si="34"/>
        <v>-497.52640520481702</v>
      </c>
      <c r="M50" s="781">
        <f t="shared" ca="1" si="34"/>
        <v>-497.52640520481702</v>
      </c>
      <c r="N50" s="781">
        <f t="shared" ca="1" si="34"/>
        <v>-497.52640520481702</v>
      </c>
      <c r="O50" s="781">
        <f t="shared" ca="1" si="34"/>
        <v>-497.52640520481702</v>
      </c>
      <c r="P50" s="781">
        <f t="shared" ca="1" si="34"/>
        <v>-497.52640520481702</v>
      </c>
      <c r="Q50" s="781">
        <f t="shared" ca="1" si="35"/>
        <v>-497.52640520481702</v>
      </c>
      <c r="R50" s="781">
        <f t="shared" ca="1" si="35"/>
        <v>-497.52640520481702</v>
      </c>
      <c r="S50" s="781">
        <f t="shared" ca="1" si="35"/>
        <v>-497.52640520481702</v>
      </c>
      <c r="T50" s="781">
        <f t="shared" ca="1" si="35"/>
        <v>-497.52640520481702</v>
      </c>
      <c r="U50" s="781">
        <f t="shared" ca="1" si="35"/>
        <v>-497.52640520481702</v>
      </c>
      <c r="V50" s="781">
        <f t="shared" ca="1" si="35"/>
        <v>-497.52640520481702</v>
      </c>
      <c r="W50" s="781">
        <f t="shared" ca="1" si="35"/>
        <v>-497.52640520481702</v>
      </c>
      <c r="X50" s="781">
        <f t="shared" ca="1" si="35"/>
        <v>-497.52640520481702</v>
      </c>
      <c r="Y50" s="781">
        <f t="shared" ca="1" si="35"/>
        <v>-497.52640520481702</v>
      </c>
      <c r="Z50" s="781">
        <f t="shared" ca="1" si="35"/>
        <v>-497.52640520481702</v>
      </c>
      <c r="AA50" s="781">
        <f t="shared" ca="1" si="36"/>
        <v>-497.52640520481702</v>
      </c>
      <c r="AB50" s="781">
        <f t="shared" ca="1" si="36"/>
        <v>-497.52640520481702</v>
      </c>
      <c r="AC50" s="781">
        <f t="shared" ca="1" si="36"/>
        <v>-497.52640520481702</v>
      </c>
      <c r="AD50" s="781">
        <f t="shared" ca="1" si="36"/>
        <v>-497.52640520481702</v>
      </c>
      <c r="AE50" s="781">
        <f t="shared" ca="1" si="36"/>
        <v>-497.52640520481702</v>
      </c>
      <c r="AF50" s="781">
        <f t="shared" ca="1" si="36"/>
        <v>-497.52640520481702</v>
      </c>
      <c r="AG50" s="781">
        <f t="shared" ca="1" si="36"/>
        <v>-497.52640520481702</v>
      </c>
      <c r="AH50" s="781">
        <f t="shared" ca="1" si="36"/>
        <v>-497.52640520481702</v>
      </c>
      <c r="AI50" s="781">
        <f t="shared" ca="1" si="36"/>
        <v>-497.52640520481702</v>
      </c>
      <c r="AJ50" s="781">
        <f t="shared" ca="1" si="36"/>
        <v>-497.52640520481702</v>
      </c>
      <c r="AK50" s="781">
        <f t="shared" ca="1" si="37"/>
        <v>-497.52640520481702</v>
      </c>
      <c r="AL50" s="781">
        <f t="shared" ca="1" si="37"/>
        <v>-497.52640520481702</v>
      </c>
      <c r="AM50" s="781">
        <f t="shared" ca="1" si="37"/>
        <v>-497.52640520481702</v>
      </c>
      <c r="AN50" s="781">
        <f t="shared" ca="1" si="37"/>
        <v>-497.52640520481702</v>
      </c>
      <c r="AO50" s="781">
        <f t="shared" ca="1" si="37"/>
        <v>-497.52640520481702</v>
      </c>
      <c r="AP50" s="781">
        <f t="shared" ca="1" si="37"/>
        <v>-497.52640520481702</v>
      </c>
      <c r="AQ50" s="781">
        <f t="shared" ca="1" si="37"/>
        <v>-497.52640520481702</v>
      </c>
      <c r="AR50" s="781">
        <f t="shared" ca="1" si="37"/>
        <v>-497.52640520481702</v>
      </c>
      <c r="AS50" s="781">
        <f t="shared" ca="1" si="37"/>
        <v>-497.52640520481702</v>
      </c>
      <c r="AT50" s="781">
        <f t="shared" ca="1" si="37"/>
        <v>-497.52640520481702</v>
      </c>
      <c r="AV50" s="781">
        <f t="shared" ca="1" si="6"/>
        <v>-2487.632026024085</v>
      </c>
      <c r="AX50" s="781">
        <f t="shared" ca="1" si="7"/>
        <v>-2487.632026024085</v>
      </c>
      <c r="AZ50" s="781">
        <f t="shared" ca="1" si="8"/>
        <v>-2487.632026024085</v>
      </c>
      <c r="BB50" s="781">
        <f t="shared" ca="1" si="9"/>
        <v>-2487.632026024085</v>
      </c>
      <c r="BD50" s="781">
        <f t="shared" ca="1" si="10"/>
        <v>-2487.632026024085</v>
      </c>
      <c r="BF50" s="781">
        <f t="shared" ca="1" si="11"/>
        <v>-2487.632026024085</v>
      </c>
      <c r="BH50" s="781">
        <f t="shared" ca="1" si="12"/>
        <v>-2487.632026024085</v>
      </c>
    </row>
    <row r="51" spans="1:60" hidden="1" outlineLevel="1">
      <c r="A51" s="1464">
        <f t="shared" ca="1" si="30"/>
        <v>18</v>
      </c>
      <c r="B51" s="1464">
        <f t="shared" ca="1" si="31"/>
        <v>20</v>
      </c>
      <c r="C51" s="1464">
        <f t="shared" si="32"/>
        <v>18</v>
      </c>
      <c r="D51" s="1271" t="str">
        <f ca="1">IF(OFFSET(PortfolioDashboard!$A$3,C51-1,0)="","Blank",OFFSET(PortfolioDashboard!$A$3,C51-1,0))</f>
        <v>Blank</v>
      </c>
      <c r="E51" s="1464" t="str">
        <f t="shared" si="33"/>
        <v>MTCO2e</v>
      </c>
      <c r="F51" s="1460"/>
      <c r="G51" s="781">
        <f t="shared" ca="1" si="34"/>
        <v>0</v>
      </c>
      <c r="H51" s="781">
        <f t="shared" ca="1" si="34"/>
        <v>0</v>
      </c>
      <c r="I51" s="781">
        <f t="shared" ca="1" si="34"/>
        <v>0</v>
      </c>
      <c r="J51" s="781">
        <f t="shared" ca="1" si="34"/>
        <v>0</v>
      </c>
      <c r="K51" s="781">
        <f t="shared" ca="1" si="34"/>
        <v>0</v>
      </c>
      <c r="L51" s="781">
        <f t="shared" ca="1" si="34"/>
        <v>0</v>
      </c>
      <c r="M51" s="781">
        <f t="shared" ca="1" si="34"/>
        <v>0</v>
      </c>
      <c r="N51" s="781">
        <f t="shared" ca="1" si="34"/>
        <v>0</v>
      </c>
      <c r="O51" s="781">
        <f t="shared" ca="1" si="34"/>
        <v>0</v>
      </c>
      <c r="P51" s="781">
        <f t="shared" ca="1" si="34"/>
        <v>0</v>
      </c>
      <c r="Q51" s="781">
        <f t="shared" ca="1" si="35"/>
        <v>0</v>
      </c>
      <c r="R51" s="781">
        <f t="shared" ca="1" si="35"/>
        <v>0</v>
      </c>
      <c r="S51" s="781">
        <f t="shared" ca="1" si="35"/>
        <v>0</v>
      </c>
      <c r="T51" s="781">
        <f t="shared" ca="1" si="35"/>
        <v>0</v>
      </c>
      <c r="U51" s="781">
        <f t="shared" ca="1" si="35"/>
        <v>0</v>
      </c>
      <c r="V51" s="781">
        <f t="shared" ca="1" si="35"/>
        <v>0</v>
      </c>
      <c r="W51" s="781">
        <f t="shared" ca="1" si="35"/>
        <v>0</v>
      </c>
      <c r="X51" s="781">
        <f t="shared" ca="1" si="35"/>
        <v>0</v>
      </c>
      <c r="Y51" s="781">
        <f t="shared" ca="1" si="35"/>
        <v>0</v>
      </c>
      <c r="Z51" s="781">
        <f t="shared" ca="1" si="35"/>
        <v>0</v>
      </c>
      <c r="AA51" s="781">
        <f t="shared" ca="1" si="36"/>
        <v>0</v>
      </c>
      <c r="AB51" s="781">
        <f t="shared" ca="1" si="36"/>
        <v>0</v>
      </c>
      <c r="AC51" s="781">
        <f t="shared" ca="1" si="36"/>
        <v>0</v>
      </c>
      <c r="AD51" s="781">
        <f t="shared" ca="1" si="36"/>
        <v>0</v>
      </c>
      <c r="AE51" s="781">
        <f t="shared" ca="1" si="36"/>
        <v>0</v>
      </c>
      <c r="AF51" s="781">
        <f t="shared" ca="1" si="36"/>
        <v>0</v>
      </c>
      <c r="AG51" s="781">
        <f t="shared" ca="1" si="36"/>
        <v>0</v>
      </c>
      <c r="AH51" s="781">
        <f t="shared" ca="1" si="36"/>
        <v>0</v>
      </c>
      <c r="AI51" s="781">
        <f t="shared" ca="1" si="36"/>
        <v>0</v>
      </c>
      <c r="AJ51" s="781">
        <f t="shared" ca="1" si="36"/>
        <v>0</v>
      </c>
      <c r="AK51" s="781">
        <f t="shared" ca="1" si="37"/>
        <v>0</v>
      </c>
      <c r="AL51" s="781">
        <f t="shared" ca="1" si="37"/>
        <v>0</v>
      </c>
      <c r="AM51" s="781">
        <f t="shared" ca="1" si="37"/>
        <v>0</v>
      </c>
      <c r="AN51" s="781">
        <f t="shared" ca="1" si="37"/>
        <v>0</v>
      </c>
      <c r="AO51" s="781">
        <f t="shared" ca="1" si="37"/>
        <v>0</v>
      </c>
      <c r="AP51" s="781">
        <f t="shared" ca="1" si="37"/>
        <v>0</v>
      </c>
      <c r="AQ51" s="781">
        <f t="shared" ca="1" si="37"/>
        <v>0</v>
      </c>
      <c r="AR51" s="781">
        <f t="shared" ca="1" si="37"/>
        <v>0</v>
      </c>
      <c r="AS51" s="781">
        <f t="shared" ca="1" si="37"/>
        <v>0</v>
      </c>
      <c r="AT51" s="781">
        <f t="shared" ca="1" si="37"/>
        <v>0</v>
      </c>
      <c r="AV51" s="781">
        <f t="shared" ca="1" si="6"/>
        <v>0</v>
      </c>
      <c r="AX51" s="781">
        <f t="shared" ca="1" si="7"/>
        <v>0</v>
      </c>
      <c r="AZ51" s="781">
        <f t="shared" ca="1" si="8"/>
        <v>0</v>
      </c>
      <c r="BB51" s="781">
        <f t="shared" ca="1" si="9"/>
        <v>0</v>
      </c>
      <c r="BD51" s="781">
        <f t="shared" ca="1" si="10"/>
        <v>0</v>
      </c>
      <c r="BF51" s="781">
        <f t="shared" ca="1" si="11"/>
        <v>0</v>
      </c>
      <c r="BH51" s="781">
        <f t="shared" ca="1" si="12"/>
        <v>0</v>
      </c>
    </row>
    <row r="52" spans="1:60" hidden="1" outlineLevel="1">
      <c r="A52" s="1464">
        <f t="shared" ca="1" si="30"/>
        <v>18</v>
      </c>
      <c r="B52" s="1464">
        <f t="shared" ca="1" si="31"/>
        <v>20</v>
      </c>
      <c r="C52" s="1464">
        <f t="shared" si="32"/>
        <v>19</v>
      </c>
      <c r="D52" s="1271" t="str">
        <f ca="1">IF(OFFSET(PortfolioDashboard!$A$3,C52-1,0)="","Blank",OFFSET(PortfolioDashboard!$A$3,C52-1,0))</f>
        <v>Blank</v>
      </c>
      <c r="E52" s="1464" t="str">
        <f t="shared" si="33"/>
        <v>MTCO2e</v>
      </c>
      <c r="F52" s="1460"/>
      <c r="G52" s="781">
        <f t="shared" ca="1" si="34"/>
        <v>0</v>
      </c>
      <c r="H52" s="781">
        <f t="shared" ca="1" si="34"/>
        <v>0</v>
      </c>
      <c r="I52" s="781">
        <f t="shared" ca="1" si="34"/>
        <v>0</v>
      </c>
      <c r="J52" s="781">
        <f t="shared" ca="1" si="34"/>
        <v>0</v>
      </c>
      <c r="K52" s="781">
        <f t="shared" ca="1" si="34"/>
        <v>0</v>
      </c>
      <c r="L52" s="781">
        <f t="shared" ca="1" si="34"/>
        <v>0</v>
      </c>
      <c r="M52" s="781">
        <f t="shared" ca="1" si="34"/>
        <v>0</v>
      </c>
      <c r="N52" s="781">
        <f t="shared" ca="1" si="34"/>
        <v>0</v>
      </c>
      <c r="O52" s="781">
        <f t="shared" ca="1" si="34"/>
        <v>0</v>
      </c>
      <c r="P52" s="781">
        <f t="shared" ca="1" si="34"/>
        <v>0</v>
      </c>
      <c r="Q52" s="781">
        <f t="shared" ca="1" si="35"/>
        <v>0</v>
      </c>
      <c r="R52" s="781">
        <f t="shared" ca="1" si="35"/>
        <v>0</v>
      </c>
      <c r="S52" s="781">
        <f t="shared" ca="1" si="35"/>
        <v>0</v>
      </c>
      <c r="T52" s="781">
        <f t="shared" ca="1" si="35"/>
        <v>0</v>
      </c>
      <c r="U52" s="781">
        <f t="shared" ca="1" si="35"/>
        <v>0</v>
      </c>
      <c r="V52" s="781">
        <f t="shared" ca="1" si="35"/>
        <v>0</v>
      </c>
      <c r="W52" s="781">
        <f t="shared" ca="1" si="35"/>
        <v>0</v>
      </c>
      <c r="X52" s="781">
        <f t="shared" ca="1" si="35"/>
        <v>0</v>
      </c>
      <c r="Y52" s="781">
        <f t="shared" ca="1" si="35"/>
        <v>0</v>
      </c>
      <c r="Z52" s="781">
        <f t="shared" ca="1" si="35"/>
        <v>0</v>
      </c>
      <c r="AA52" s="781">
        <f t="shared" ca="1" si="36"/>
        <v>0</v>
      </c>
      <c r="AB52" s="781">
        <f t="shared" ca="1" si="36"/>
        <v>0</v>
      </c>
      <c r="AC52" s="781">
        <f t="shared" ca="1" si="36"/>
        <v>0</v>
      </c>
      <c r="AD52" s="781">
        <f t="shared" ca="1" si="36"/>
        <v>0</v>
      </c>
      <c r="AE52" s="781">
        <f t="shared" ca="1" si="36"/>
        <v>0</v>
      </c>
      <c r="AF52" s="781">
        <f t="shared" ca="1" si="36"/>
        <v>0</v>
      </c>
      <c r="AG52" s="781">
        <f t="shared" ca="1" si="36"/>
        <v>0</v>
      </c>
      <c r="AH52" s="781">
        <f t="shared" ca="1" si="36"/>
        <v>0</v>
      </c>
      <c r="AI52" s="781">
        <f t="shared" ca="1" si="36"/>
        <v>0</v>
      </c>
      <c r="AJ52" s="781">
        <f t="shared" ca="1" si="36"/>
        <v>0</v>
      </c>
      <c r="AK52" s="781">
        <f t="shared" ca="1" si="37"/>
        <v>0</v>
      </c>
      <c r="AL52" s="781">
        <f t="shared" ca="1" si="37"/>
        <v>0</v>
      </c>
      <c r="AM52" s="781">
        <f t="shared" ca="1" si="37"/>
        <v>0</v>
      </c>
      <c r="AN52" s="781">
        <f t="shared" ca="1" si="37"/>
        <v>0</v>
      </c>
      <c r="AO52" s="781">
        <f t="shared" ca="1" si="37"/>
        <v>0</v>
      </c>
      <c r="AP52" s="781">
        <f t="shared" ca="1" si="37"/>
        <v>0</v>
      </c>
      <c r="AQ52" s="781">
        <f t="shared" ca="1" si="37"/>
        <v>0</v>
      </c>
      <c r="AR52" s="781">
        <f t="shared" ca="1" si="37"/>
        <v>0</v>
      </c>
      <c r="AS52" s="781">
        <f t="shared" ca="1" si="37"/>
        <v>0</v>
      </c>
      <c r="AT52" s="781">
        <f t="shared" ca="1" si="37"/>
        <v>0</v>
      </c>
      <c r="AV52" s="781">
        <f t="shared" ca="1" si="6"/>
        <v>0</v>
      </c>
      <c r="AX52" s="781">
        <f t="shared" ca="1" si="7"/>
        <v>0</v>
      </c>
      <c r="AZ52" s="781">
        <f t="shared" ca="1" si="8"/>
        <v>0</v>
      </c>
      <c r="BB52" s="781">
        <f t="shared" ca="1" si="9"/>
        <v>0</v>
      </c>
      <c r="BD52" s="781">
        <f t="shared" ca="1" si="10"/>
        <v>0</v>
      </c>
      <c r="BF52" s="781">
        <f t="shared" ca="1" si="11"/>
        <v>0</v>
      </c>
      <c r="BH52" s="781">
        <f t="shared" ca="1" si="12"/>
        <v>0</v>
      </c>
    </row>
    <row r="53" spans="1:60" hidden="1" outlineLevel="1">
      <c r="A53" s="1464">
        <f t="shared" ca="1" si="30"/>
        <v>18</v>
      </c>
      <c r="B53" s="1464">
        <f t="shared" ca="1" si="31"/>
        <v>20</v>
      </c>
      <c r="C53" s="1464">
        <f t="shared" si="32"/>
        <v>20</v>
      </c>
      <c r="D53" s="1271" t="str">
        <f ca="1">IF(OFFSET(PortfolioDashboard!$A$3,C53-1,0)="","Blank",OFFSET(PortfolioDashboard!$A$3,C53-1,0))</f>
        <v>Blank</v>
      </c>
      <c r="E53" s="1464" t="str">
        <f t="shared" si="33"/>
        <v>MTCO2e</v>
      </c>
      <c r="F53" s="1460"/>
      <c r="G53" s="781">
        <f t="shared" ca="1" si="34"/>
        <v>0</v>
      </c>
      <c r="H53" s="781">
        <f t="shared" ca="1" si="34"/>
        <v>0</v>
      </c>
      <c r="I53" s="781">
        <f t="shared" ca="1" si="34"/>
        <v>0</v>
      </c>
      <c r="J53" s="781">
        <f t="shared" ca="1" si="34"/>
        <v>0</v>
      </c>
      <c r="K53" s="781">
        <f t="shared" ca="1" si="34"/>
        <v>0</v>
      </c>
      <c r="L53" s="781">
        <f t="shared" ca="1" si="34"/>
        <v>0</v>
      </c>
      <c r="M53" s="781">
        <f t="shared" ca="1" si="34"/>
        <v>0</v>
      </c>
      <c r="N53" s="781">
        <f t="shared" ca="1" si="34"/>
        <v>0</v>
      </c>
      <c r="O53" s="781">
        <f t="shared" ca="1" si="34"/>
        <v>0</v>
      </c>
      <c r="P53" s="781">
        <f t="shared" ca="1" si="34"/>
        <v>0</v>
      </c>
      <c r="Q53" s="781">
        <f t="shared" ca="1" si="35"/>
        <v>0</v>
      </c>
      <c r="R53" s="781">
        <f t="shared" ca="1" si="35"/>
        <v>0</v>
      </c>
      <c r="S53" s="781">
        <f t="shared" ca="1" si="35"/>
        <v>0</v>
      </c>
      <c r="T53" s="781">
        <f t="shared" ca="1" si="35"/>
        <v>0</v>
      </c>
      <c r="U53" s="781">
        <f t="shared" ca="1" si="35"/>
        <v>0</v>
      </c>
      <c r="V53" s="781">
        <f t="shared" ca="1" si="35"/>
        <v>0</v>
      </c>
      <c r="W53" s="781">
        <f t="shared" ca="1" si="35"/>
        <v>0</v>
      </c>
      <c r="X53" s="781">
        <f t="shared" ca="1" si="35"/>
        <v>0</v>
      </c>
      <c r="Y53" s="781">
        <f t="shared" ca="1" si="35"/>
        <v>0</v>
      </c>
      <c r="Z53" s="781">
        <f t="shared" ca="1" si="35"/>
        <v>0</v>
      </c>
      <c r="AA53" s="781">
        <f t="shared" ca="1" si="36"/>
        <v>0</v>
      </c>
      <c r="AB53" s="781">
        <f t="shared" ca="1" si="36"/>
        <v>0</v>
      </c>
      <c r="AC53" s="781">
        <f t="shared" ca="1" si="36"/>
        <v>0</v>
      </c>
      <c r="AD53" s="781">
        <f t="shared" ca="1" si="36"/>
        <v>0</v>
      </c>
      <c r="AE53" s="781">
        <f t="shared" ca="1" si="36"/>
        <v>0</v>
      </c>
      <c r="AF53" s="781">
        <f t="shared" ca="1" si="36"/>
        <v>0</v>
      </c>
      <c r="AG53" s="781">
        <f t="shared" ca="1" si="36"/>
        <v>0</v>
      </c>
      <c r="AH53" s="781">
        <f t="shared" ca="1" si="36"/>
        <v>0</v>
      </c>
      <c r="AI53" s="781">
        <f t="shared" ca="1" si="36"/>
        <v>0</v>
      </c>
      <c r="AJ53" s="781">
        <f t="shared" ca="1" si="36"/>
        <v>0</v>
      </c>
      <c r="AK53" s="781">
        <f t="shared" ca="1" si="37"/>
        <v>0</v>
      </c>
      <c r="AL53" s="781">
        <f t="shared" ca="1" si="37"/>
        <v>0</v>
      </c>
      <c r="AM53" s="781">
        <f t="shared" ca="1" si="37"/>
        <v>0</v>
      </c>
      <c r="AN53" s="781">
        <f t="shared" ca="1" si="37"/>
        <v>0</v>
      </c>
      <c r="AO53" s="781">
        <f t="shared" ca="1" si="37"/>
        <v>0</v>
      </c>
      <c r="AP53" s="781">
        <f t="shared" ca="1" si="37"/>
        <v>0</v>
      </c>
      <c r="AQ53" s="781">
        <f t="shared" ca="1" si="37"/>
        <v>0</v>
      </c>
      <c r="AR53" s="781">
        <f t="shared" ca="1" si="37"/>
        <v>0</v>
      </c>
      <c r="AS53" s="781">
        <f t="shared" ca="1" si="37"/>
        <v>0</v>
      </c>
      <c r="AT53" s="781">
        <f t="shared" ca="1" si="37"/>
        <v>0</v>
      </c>
      <c r="AV53" s="781">
        <f t="shared" ca="1" si="6"/>
        <v>0</v>
      </c>
      <c r="AX53" s="781">
        <f t="shared" ca="1" si="7"/>
        <v>0</v>
      </c>
      <c r="AZ53" s="781">
        <f t="shared" ca="1" si="8"/>
        <v>0</v>
      </c>
      <c r="BB53" s="781">
        <f t="shared" ca="1" si="9"/>
        <v>0</v>
      </c>
      <c r="BD53" s="781">
        <f t="shared" ca="1" si="10"/>
        <v>0</v>
      </c>
      <c r="BF53" s="781">
        <f t="shared" ca="1" si="11"/>
        <v>0</v>
      </c>
      <c r="BH53" s="781">
        <f t="shared" ca="1" si="12"/>
        <v>0</v>
      </c>
    </row>
    <row r="54" spans="1:60" hidden="1" outlineLevel="1">
      <c r="A54" s="1464">
        <f t="shared" ca="1" si="30"/>
        <v>18</v>
      </c>
      <c r="B54" s="1464">
        <f t="shared" ca="1" si="31"/>
        <v>20</v>
      </c>
      <c r="C54" s="1464">
        <f t="shared" si="32"/>
        <v>21</v>
      </c>
      <c r="D54" s="1271" t="str">
        <f ca="1">IF(OFFSET(PortfolioDashboard!$A$3,C54-1,0)="","Blank",OFFSET(PortfolioDashboard!$A$3,C54-1,0))</f>
        <v>Blank</v>
      </c>
      <c r="E54" s="1464" t="str">
        <f t="shared" si="33"/>
        <v>MTCO2e</v>
      </c>
      <c r="F54" s="1460"/>
      <c r="G54" s="781">
        <f t="shared" ref="G54:P63" ca="1" si="38">IFERROR(OFFSET(INDIRECT(INDEX(List_of_Alternatives,MATCH($D54,NameofAlternatives,0))),$A54+G$1-$G$1,$B54),0)</f>
        <v>0</v>
      </c>
      <c r="H54" s="781">
        <f t="shared" ca="1" si="38"/>
        <v>0</v>
      </c>
      <c r="I54" s="781">
        <f t="shared" ca="1" si="38"/>
        <v>0</v>
      </c>
      <c r="J54" s="781">
        <f t="shared" ca="1" si="38"/>
        <v>0</v>
      </c>
      <c r="K54" s="781">
        <f t="shared" ca="1" si="38"/>
        <v>0</v>
      </c>
      <c r="L54" s="781">
        <f t="shared" ca="1" si="38"/>
        <v>0</v>
      </c>
      <c r="M54" s="781">
        <f t="shared" ca="1" si="38"/>
        <v>0</v>
      </c>
      <c r="N54" s="781">
        <f t="shared" ca="1" si="38"/>
        <v>0</v>
      </c>
      <c r="O54" s="781">
        <f t="shared" ca="1" si="38"/>
        <v>0</v>
      </c>
      <c r="P54" s="781">
        <f t="shared" ca="1" si="38"/>
        <v>0</v>
      </c>
      <c r="Q54" s="781">
        <f t="shared" ref="Q54:Z63" ca="1" si="39">IFERROR(OFFSET(INDIRECT(INDEX(List_of_Alternatives,MATCH($D54,NameofAlternatives,0))),$A54+Q$1-$G$1,$B54),0)</f>
        <v>0</v>
      </c>
      <c r="R54" s="781">
        <f t="shared" ca="1" si="39"/>
        <v>0</v>
      </c>
      <c r="S54" s="781">
        <f t="shared" ca="1" si="39"/>
        <v>0</v>
      </c>
      <c r="T54" s="781">
        <f t="shared" ca="1" si="39"/>
        <v>0</v>
      </c>
      <c r="U54" s="781">
        <f t="shared" ca="1" si="39"/>
        <v>0</v>
      </c>
      <c r="V54" s="781">
        <f t="shared" ca="1" si="39"/>
        <v>0</v>
      </c>
      <c r="W54" s="781">
        <f t="shared" ca="1" si="39"/>
        <v>0</v>
      </c>
      <c r="X54" s="781">
        <f t="shared" ca="1" si="39"/>
        <v>0</v>
      </c>
      <c r="Y54" s="781">
        <f t="shared" ca="1" si="39"/>
        <v>0</v>
      </c>
      <c r="Z54" s="781">
        <f t="shared" ca="1" si="39"/>
        <v>0</v>
      </c>
      <c r="AA54" s="781">
        <f t="shared" ref="AA54:AJ63" ca="1" si="40">IFERROR(OFFSET(INDIRECT(INDEX(List_of_Alternatives,MATCH($D54,NameofAlternatives,0))),$A54+AA$1-$G$1,$B54),0)</f>
        <v>0</v>
      </c>
      <c r="AB54" s="781">
        <f t="shared" ca="1" si="40"/>
        <v>0</v>
      </c>
      <c r="AC54" s="781">
        <f t="shared" ca="1" si="40"/>
        <v>0</v>
      </c>
      <c r="AD54" s="781">
        <f t="shared" ca="1" si="40"/>
        <v>0</v>
      </c>
      <c r="AE54" s="781">
        <f t="shared" ca="1" si="40"/>
        <v>0</v>
      </c>
      <c r="AF54" s="781">
        <f t="shared" ca="1" si="40"/>
        <v>0</v>
      </c>
      <c r="AG54" s="781">
        <f t="shared" ca="1" si="40"/>
        <v>0</v>
      </c>
      <c r="AH54" s="781">
        <f t="shared" ca="1" si="40"/>
        <v>0</v>
      </c>
      <c r="AI54" s="781">
        <f t="shared" ca="1" si="40"/>
        <v>0</v>
      </c>
      <c r="AJ54" s="781">
        <f t="shared" ca="1" si="40"/>
        <v>0</v>
      </c>
      <c r="AK54" s="781">
        <f t="shared" ref="AK54:AT63" ca="1" si="41">IFERROR(OFFSET(INDIRECT(INDEX(List_of_Alternatives,MATCH($D54,NameofAlternatives,0))),$A54+AK$1-$G$1,$B54),0)</f>
        <v>0</v>
      </c>
      <c r="AL54" s="781">
        <f t="shared" ca="1" si="41"/>
        <v>0</v>
      </c>
      <c r="AM54" s="781">
        <f t="shared" ca="1" si="41"/>
        <v>0</v>
      </c>
      <c r="AN54" s="781">
        <f t="shared" ca="1" si="41"/>
        <v>0</v>
      </c>
      <c r="AO54" s="781">
        <f t="shared" ca="1" si="41"/>
        <v>0</v>
      </c>
      <c r="AP54" s="781">
        <f t="shared" ca="1" si="41"/>
        <v>0</v>
      </c>
      <c r="AQ54" s="781">
        <f t="shared" ca="1" si="41"/>
        <v>0</v>
      </c>
      <c r="AR54" s="781">
        <f t="shared" ca="1" si="41"/>
        <v>0</v>
      </c>
      <c r="AS54" s="781">
        <f t="shared" ca="1" si="41"/>
        <v>0</v>
      </c>
      <c r="AT54" s="781">
        <f t="shared" ca="1" si="41"/>
        <v>0</v>
      </c>
      <c r="AV54" s="781">
        <f t="shared" ca="1" si="6"/>
        <v>0</v>
      </c>
      <c r="AX54" s="781">
        <f t="shared" ca="1" si="7"/>
        <v>0</v>
      </c>
      <c r="AZ54" s="781">
        <f t="shared" ca="1" si="8"/>
        <v>0</v>
      </c>
      <c r="BB54" s="781">
        <f t="shared" ca="1" si="9"/>
        <v>0</v>
      </c>
      <c r="BD54" s="781">
        <f t="shared" ca="1" si="10"/>
        <v>0</v>
      </c>
      <c r="BF54" s="781">
        <f t="shared" ca="1" si="11"/>
        <v>0</v>
      </c>
      <c r="BH54" s="781">
        <f t="shared" ca="1" si="12"/>
        <v>0</v>
      </c>
    </row>
    <row r="55" spans="1:60" hidden="1" outlineLevel="1">
      <c r="A55" s="1464">
        <f t="shared" ca="1" si="30"/>
        <v>18</v>
      </c>
      <c r="B55" s="1464">
        <f t="shared" ca="1" si="31"/>
        <v>20</v>
      </c>
      <c r="C55" s="1464">
        <f t="shared" si="32"/>
        <v>22</v>
      </c>
      <c r="D55" s="1271" t="str">
        <f ca="1">IF(OFFSET(PortfolioDashboard!$A$3,C55-1,0)="","Blank",OFFSET(PortfolioDashboard!$A$3,C55-1,0))</f>
        <v>Blank</v>
      </c>
      <c r="E55" s="1464" t="str">
        <f t="shared" si="33"/>
        <v>MTCO2e</v>
      </c>
      <c r="F55" s="1460"/>
      <c r="G55" s="781">
        <f t="shared" ca="1" si="38"/>
        <v>0</v>
      </c>
      <c r="H55" s="781">
        <f t="shared" ca="1" si="38"/>
        <v>0</v>
      </c>
      <c r="I55" s="781">
        <f t="shared" ca="1" si="38"/>
        <v>0</v>
      </c>
      <c r="J55" s="781">
        <f t="shared" ca="1" si="38"/>
        <v>0</v>
      </c>
      <c r="K55" s="781">
        <f t="shared" ca="1" si="38"/>
        <v>0</v>
      </c>
      <c r="L55" s="781">
        <f t="shared" ca="1" si="38"/>
        <v>0</v>
      </c>
      <c r="M55" s="781">
        <f t="shared" ca="1" si="38"/>
        <v>0</v>
      </c>
      <c r="N55" s="781">
        <f t="shared" ca="1" si="38"/>
        <v>0</v>
      </c>
      <c r="O55" s="781">
        <f t="shared" ca="1" si="38"/>
        <v>0</v>
      </c>
      <c r="P55" s="781">
        <f t="shared" ca="1" si="38"/>
        <v>0</v>
      </c>
      <c r="Q55" s="781">
        <f t="shared" ca="1" si="39"/>
        <v>0</v>
      </c>
      <c r="R55" s="781">
        <f t="shared" ca="1" si="39"/>
        <v>0</v>
      </c>
      <c r="S55" s="781">
        <f t="shared" ca="1" si="39"/>
        <v>0</v>
      </c>
      <c r="T55" s="781">
        <f t="shared" ca="1" si="39"/>
        <v>0</v>
      </c>
      <c r="U55" s="781">
        <f t="shared" ca="1" si="39"/>
        <v>0</v>
      </c>
      <c r="V55" s="781">
        <f t="shared" ca="1" si="39"/>
        <v>0</v>
      </c>
      <c r="W55" s="781">
        <f t="shared" ca="1" si="39"/>
        <v>0</v>
      </c>
      <c r="X55" s="781">
        <f t="shared" ca="1" si="39"/>
        <v>0</v>
      </c>
      <c r="Y55" s="781">
        <f t="shared" ca="1" si="39"/>
        <v>0</v>
      </c>
      <c r="Z55" s="781">
        <f t="shared" ca="1" si="39"/>
        <v>0</v>
      </c>
      <c r="AA55" s="781">
        <f t="shared" ca="1" si="40"/>
        <v>0</v>
      </c>
      <c r="AB55" s="781">
        <f t="shared" ca="1" si="40"/>
        <v>0</v>
      </c>
      <c r="AC55" s="781">
        <f t="shared" ca="1" si="40"/>
        <v>0</v>
      </c>
      <c r="AD55" s="781">
        <f t="shared" ca="1" si="40"/>
        <v>0</v>
      </c>
      <c r="AE55" s="781">
        <f t="shared" ca="1" si="40"/>
        <v>0</v>
      </c>
      <c r="AF55" s="781">
        <f t="shared" ca="1" si="40"/>
        <v>0</v>
      </c>
      <c r="AG55" s="781">
        <f t="shared" ca="1" si="40"/>
        <v>0</v>
      </c>
      <c r="AH55" s="781">
        <f t="shared" ca="1" si="40"/>
        <v>0</v>
      </c>
      <c r="AI55" s="781">
        <f t="shared" ca="1" si="40"/>
        <v>0</v>
      </c>
      <c r="AJ55" s="781">
        <f t="shared" ca="1" si="40"/>
        <v>0</v>
      </c>
      <c r="AK55" s="781">
        <f t="shared" ca="1" si="41"/>
        <v>0</v>
      </c>
      <c r="AL55" s="781">
        <f t="shared" ca="1" si="41"/>
        <v>0</v>
      </c>
      <c r="AM55" s="781">
        <f t="shared" ca="1" si="41"/>
        <v>0</v>
      </c>
      <c r="AN55" s="781">
        <f t="shared" ca="1" si="41"/>
        <v>0</v>
      </c>
      <c r="AO55" s="781">
        <f t="shared" ca="1" si="41"/>
        <v>0</v>
      </c>
      <c r="AP55" s="781">
        <f t="shared" ca="1" si="41"/>
        <v>0</v>
      </c>
      <c r="AQ55" s="781">
        <f t="shared" ca="1" si="41"/>
        <v>0</v>
      </c>
      <c r="AR55" s="781">
        <f t="shared" ca="1" si="41"/>
        <v>0</v>
      </c>
      <c r="AS55" s="781">
        <f t="shared" ca="1" si="41"/>
        <v>0</v>
      </c>
      <c r="AT55" s="781">
        <f t="shared" ca="1" si="41"/>
        <v>0</v>
      </c>
      <c r="AV55" s="781">
        <f t="shared" ca="1" si="6"/>
        <v>0</v>
      </c>
      <c r="AX55" s="781">
        <f t="shared" ca="1" si="7"/>
        <v>0</v>
      </c>
      <c r="AZ55" s="781">
        <f t="shared" ca="1" si="8"/>
        <v>0</v>
      </c>
      <c r="BB55" s="781">
        <f t="shared" ca="1" si="9"/>
        <v>0</v>
      </c>
      <c r="BD55" s="781">
        <f t="shared" ca="1" si="10"/>
        <v>0</v>
      </c>
      <c r="BF55" s="781">
        <f t="shared" ca="1" si="11"/>
        <v>0</v>
      </c>
      <c r="BH55" s="781">
        <f t="shared" ca="1" si="12"/>
        <v>0</v>
      </c>
    </row>
    <row r="56" spans="1:60" hidden="1" outlineLevel="1">
      <c r="A56" s="1464">
        <f t="shared" ca="1" si="30"/>
        <v>18</v>
      </c>
      <c r="B56" s="1464">
        <f t="shared" ca="1" si="31"/>
        <v>20</v>
      </c>
      <c r="C56" s="1464">
        <f t="shared" si="32"/>
        <v>23</v>
      </c>
      <c r="D56" s="1271" t="str">
        <f ca="1">IF(OFFSET(PortfolioDashboard!$A$3,C56-1,0)="","Blank",OFFSET(PortfolioDashboard!$A$3,C56-1,0))</f>
        <v>Blank</v>
      </c>
      <c r="E56" s="1464" t="str">
        <f t="shared" si="33"/>
        <v>MTCO2e</v>
      </c>
      <c r="F56" s="1460"/>
      <c r="G56" s="781">
        <f t="shared" ca="1" si="38"/>
        <v>0</v>
      </c>
      <c r="H56" s="781">
        <f t="shared" ca="1" si="38"/>
        <v>0</v>
      </c>
      <c r="I56" s="781">
        <f t="shared" ca="1" si="38"/>
        <v>0</v>
      </c>
      <c r="J56" s="781">
        <f t="shared" ca="1" si="38"/>
        <v>0</v>
      </c>
      <c r="K56" s="781">
        <f t="shared" ca="1" si="38"/>
        <v>0</v>
      </c>
      <c r="L56" s="781">
        <f t="shared" ca="1" si="38"/>
        <v>0</v>
      </c>
      <c r="M56" s="781">
        <f t="shared" ca="1" si="38"/>
        <v>0</v>
      </c>
      <c r="N56" s="781">
        <f t="shared" ca="1" si="38"/>
        <v>0</v>
      </c>
      <c r="O56" s="781">
        <f t="shared" ca="1" si="38"/>
        <v>0</v>
      </c>
      <c r="P56" s="781">
        <f t="shared" ca="1" si="38"/>
        <v>0</v>
      </c>
      <c r="Q56" s="781">
        <f t="shared" ca="1" si="39"/>
        <v>0</v>
      </c>
      <c r="R56" s="781">
        <f t="shared" ca="1" si="39"/>
        <v>0</v>
      </c>
      <c r="S56" s="781">
        <f t="shared" ca="1" si="39"/>
        <v>0</v>
      </c>
      <c r="T56" s="781">
        <f t="shared" ca="1" si="39"/>
        <v>0</v>
      </c>
      <c r="U56" s="781">
        <f t="shared" ca="1" si="39"/>
        <v>0</v>
      </c>
      <c r="V56" s="781">
        <f t="shared" ca="1" si="39"/>
        <v>0</v>
      </c>
      <c r="W56" s="781">
        <f t="shared" ca="1" si="39"/>
        <v>0</v>
      </c>
      <c r="X56" s="781">
        <f t="shared" ca="1" si="39"/>
        <v>0</v>
      </c>
      <c r="Y56" s="781">
        <f t="shared" ca="1" si="39"/>
        <v>0</v>
      </c>
      <c r="Z56" s="781">
        <f t="shared" ca="1" si="39"/>
        <v>0</v>
      </c>
      <c r="AA56" s="781">
        <f t="shared" ca="1" si="40"/>
        <v>0</v>
      </c>
      <c r="AB56" s="781">
        <f t="shared" ca="1" si="40"/>
        <v>0</v>
      </c>
      <c r="AC56" s="781">
        <f t="shared" ca="1" si="40"/>
        <v>0</v>
      </c>
      <c r="AD56" s="781">
        <f t="shared" ca="1" si="40"/>
        <v>0</v>
      </c>
      <c r="AE56" s="781">
        <f t="shared" ca="1" si="40"/>
        <v>0</v>
      </c>
      <c r="AF56" s="781">
        <f t="shared" ca="1" si="40"/>
        <v>0</v>
      </c>
      <c r="AG56" s="781">
        <f t="shared" ca="1" si="40"/>
        <v>0</v>
      </c>
      <c r="AH56" s="781">
        <f t="shared" ca="1" si="40"/>
        <v>0</v>
      </c>
      <c r="AI56" s="781">
        <f t="shared" ca="1" si="40"/>
        <v>0</v>
      </c>
      <c r="AJ56" s="781">
        <f t="shared" ca="1" si="40"/>
        <v>0</v>
      </c>
      <c r="AK56" s="781">
        <f t="shared" ca="1" si="41"/>
        <v>0</v>
      </c>
      <c r="AL56" s="781">
        <f t="shared" ca="1" si="41"/>
        <v>0</v>
      </c>
      <c r="AM56" s="781">
        <f t="shared" ca="1" si="41"/>
        <v>0</v>
      </c>
      <c r="AN56" s="781">
        <f t="shared" ca="1" si="41"/>
        <v>0</v>
      </c>
      <c r="AO56" s="781">
        <f t="shared" ca="1" si="41"/>
        <v>0</v>
      </c>
      <c r="AP56" s="781">
        <f t="shared" ca="1" si="41"/>
        <v>0</v>
      </c>
      <c r="AQ56" s="781">
        <f t="shared" ca="1" si="41"/>
        <v>0</v>
      </c>
      <c r="AR56" s="781">
        <f t="shared" ca="1" si="41"/>
        <v>0</v>
      </c>
      <c r="AS56" s="781">
        <f t="shared" ca="1" si="41"/>
        <v>0</v>
      </c>
      <c r="AT56" s="781">
        <f t="shared" ca="1" si="41"/>
        <v>0</v>
      </c>
      <c r="AV56" s="781">
        <f t="shared" ca="1" si="6"/>
        <v>0</v>
      </c>
      <c r="AX56" s="781">
        <f t="shared" ca="1" si="7"/>
        <v>0</v>
      </c>
      <c r="AZ56" s="781">
        <f t="shared" ca="1" si="8"/>
        <v>0</v>
      </c>
      <c r="BB56" s="781">
        <f t="shared" ca="1" si="9"/>
        <v>0</v>
      </c>
      <c r="BD56" s="781">
        <f t="shared" ca="1" si="10"/>
        <v>0</v>
      </c>
      <c r="BF56" s="781">
        <f t="shared" ca="1" si="11"/>
        <v>0</v>
      </c>
      <c r="BH56" s="781">
        <f t="shared" ca="1" si="12"/>
        <v>0</v>
      </c>
    </row>
    <row r="57" spans="1:60" hidden="1" outlineLevel="1">
      <c r="A57" s="1464">
        <f t="shared" ca="1" si="30"/>
        <v>18</v>
      </c>
      <c r="B57" s="1464">
        <f t="shared" ca="1" si="31"/>
        <v>20</v>
      </c>
      <c r="C57" s="1464">
        <f t="shared" si="32"/>
        <v>24</v>
      </c>
      <c r="D57" s="1271" t="str">
        <f ca="1">IF(OFFSET(PortfolioDashboard!$A$3,C57-1,0)="","Blank",OFFSET(PortfolioDashboard!$A$3,C57-1,0))</f>
        <v>Blank</v>
      </c>
      <c r="E57" s="1464" t="str">
        <f t="shared" si="33"/>
        <v>MTCO2e</v>
      </c>
      <c r="F57" s="1460"/>
      <c r="G57" s="781">
        <f t="shared" ca="1" si="38"/>
        <v>0</v>
      </c>
      <c r="H57" s="781">
        <f t="shared" ca="1" si="38"/>
        <v>0</v>
      </c>
      <c r="I57" s="781">
        <f t="shared" ca="1" si="38"/>
        <v>0</v>
      </c>
      <c r="J57" s="781">
        <f t="shared" ca="1" si="38"/>
        <v>0</v>
      </c>
      <c r="K57" s="781">
        <f t="shared" ca="1" si="38"/>
        <v>0</v>
      </c>
      <c r="L57" s="781">
        <f t="shared" ca="1" si="38"/>
        <v>0</v>
      </c>
      <c r="M57" s="781">
        <f t="shared" ca="1" si="38"/>
        <v>0</v>
      </c>
      <c r="N57" s="781">
        <f t="shared" ca="1" si="38"/>
        <v>0</v>
      </c>
      <c r="O57" s="781">
        <f t="shared" ca="1" si="38"/>
        <v>0</v>
      </c>
      <c r="P57" s="781">
        <f t="shared" ca="1" si="38"/>
        <v>0</v>
      </c>
      <c r="Q57" s="781">
        <f t="shared" ca="1" si="39"/>
        <v>0</v>
      </c>
      <c r="R57" s="781">
        <f t="shared" ca="1" si="39"/>
        <v>0</v>
      </c>
      <c r="S57" s="781">
        <f t="shared" ca="1" si="39"/>
        <v>0</v>
      </c>
      <c r="T57" s="781">
        <f t="shared" ca="1" si="39"/>
        <v>0</v>
      </c>
      <c r="U57" s="781">
        <f t="shared" ca="1" si="39"/>
        <v>0</v>
      </c>
      <c r="V57" s="781">
        <f t="shared" ca="1" si="39"/>
        <v>0</v>
      </c>
      <c r="W57" s="781">
        <f t="shared" ca="1" si="39"/>
        <v>0</v>
      </c>
      <c r="X57" s="781">
        <f t="shared" ca="1" si="39"/>
        <v>0</v>
      </c>
      <c r="Y57" s="781">
        <f t="shared" ca="1" si="39"/>
        <v>0</v>
      </c>
      <c r="Z57" s="781">
        <f t="shared" ca="1" si="39"/>
        <v>0</v>
      </c>
      <c r="AA57" s="781">
        <f t="shared" ca="1" si="40"/>
        <v>0</v>
      </c>
      <c r="AB57" s="781">
        <f t="shared" ca="1" si="40"/>
        <v>0</v>
      </c>
      <c r="AC57" s="781">
        <f t="shared" ca="1" si="40"/>
        <v>0</v>
      </c>
      <c r="AD57" s="781">
        <f t="shared" ca="1" si="40"/>
        <v>0</v>
      </c>
      <c r="AE57" s="781">
        <f t="shared" ca="1" si="40"/>
        <v>0</v>
      </c>
      <c r="AF57" s="781">
        <f t="shared" ca="1" si="40"/>
        <v>0</v>
      </c>
      <c r="AG57" s="781">
        <f t="shared" ca="1" si="40"/>
        <v>0</v>
      </c>
      <c r="AH57" s="781">
        <f t="shared" ca="1" si="40"/>
        <v>0</v>
      </c>
      <c r="AI57" s="781">
        <f t="shared" ca="1" si="40"/>
        <v>0</v>
      </c>
      <c r="AJ57" s="781">
        <f t="shared" ca="1" si="40"/>
        <v>0</v>
      </c>
      <c r="AK57" s="781">
        <f t="shared" ca="1" si="41"/>
        <v>0</v>
      </c>
      <c r="AL57" s="781">
        <f t="shared" ca="1" si="41"/>
        <v>0</v>
      </c>
      <c r="AM57" s="781">
        <f t="shared" ca="1" si="41"/>
        <v>0</v>
      </c>
      <c r="AN57" s="781">
        <f t="shared" ca="1" si="41"/>
        <v>0</v>
      </c>
      <c r="AO57" s="781">
        <f t="shared" ca="1" si="41"/>
        <v>0</v>
      </c>
      <c r="AP57" s="781">
        <f t="shared" ca="1" si="41"/>
        <v>0</v>
      </c>
      <c r="AQ57" s="781">
        <f t="shared" ca="1" si="41"/>
        <v>0</v>
      </c>
      <c r="AR57" s="781">
        <f t="shared" ca="1" si="41"/>
        <v>0</v>
      </c>
      <c r="AS57" s="781">
        <f t="shared" ca="1" si="41"/>
        <v>0</v>
      </c>
      <c r="AT57" s="781">
        <f t="shared" ca="1" si="41"/>
        <v>0</v>
      </c>
      <c r="AV57" s="781">
        <f t="shared" ca="1" si="6"/>
        <v>0</v>
      </c>
      <c r="AX57" s="781">
        <f t="shared" ca="1" si="7"/>
        <v>0</v>
      </c>
      <c r="AZ57" s="781">
        <f t="shared" ca="1" si="8"/>
        <v>0</v>
      </c>
      <c r="BB57" s="781">
        <f t="shared" ca="1" si="9"/>
        <v>0</v>
      </c>
      <c r="BD57" s="781">
        <f t="shared" ca="1" si="10"/>
        <v>0</v>
      </c>
      <c r="BF57" s="781">
        <f t="shared" ca="1" si="11"/>
        <v>0</v>
      </c>
      <c r="BH57" s="781">
        <f t="shared" ca="1" si="12"/>
        <v>0</v>
      </c>
    </row>
    <row r="58" spans="1:60" hidden="1" outlineLevel="1">
      <c r="A58" s="1464">
        <f t="shared" ca="1" si="30"/>
        <v>18</v>
      </c>
      <c r="B58" s="1464">
        <f t="shared" ca="1" si="31"/>
        <v>20</v>
      </c>
      <c r="C58" s="1464">
        <f t="shared" si="32"/>
        <v>25</v>
      </c>
      <c r="D58" s="1271" t="str">
        <f ca="1">IF(OFFSET(PortfolioDashboard!$A$3,C58-1,0)="","Blank",OFFSET(PortfolioDashboard!$A$3,C58-1,0))</f>
        <v>Blank</v>
      </c>
      <c r="E58" s="1464" t="str">
        <f t="shared" si="33"/>
        <v>MTCO2e</v>
      </c>
      <c r="F58" s="1460"/>
      <c r="G58" s="781">
        <f t="shared" ca="1" si="38"/>
        <v>0</v>
      </c>
      <c r="H58" s="781">
        <f t="shared" ca="1" si="38"/>
        <v>0</v>
      </c>
      <c r="I58" s="781">
        <f t="shared" ca="1" si="38"/>
        <v>0</v>
      </c>
      <c r="J58" s="781">
        <f t="shared" ca="1" si="38"/>
        <v>0</v>
      </c>
      <c r="K58" s="781">
        <f t="shared" ca="1" si="38"/>
        <v>0</v>
      </c>
      <c r="L58" s="781">
        <f t="shared" ca="1" si="38"/>
        <v>0</v>
      </c>
      <c r="M58" s="781">
        <f t="shared" ca="1" si="38"/>
        <v>0</v>
      </c>
      <c r="N58" s="781">
        <f t="shared" ca="1" si="38"/>
        <v>0</v>
      </c>
      <c r="O58" s="781">
        <f t="shared" ca="1" si="38"/>
        <v>0</v>
      </c>
      <c r="P58" s="781">
        <f t="shared" ca="1" si="38"/>
        <v>0</v>
      </c>
      <c r="Q58" s="781">
        <f t="shared" ca="1" si="39"/>
        <v>0</v>
      </c>
      <c r="R58" s="781">
        <f t="shared" ca="1" si="39"/>
        <v>0</v>
      </c>
      <c r="S58" s="781">
        <f t="shared" ca="1" si="39"/>
        <v>0</v>
      </c>
      <c r="T58" s="781">
        <f t="shared" ca="1" si="39"/>
        <v>0</v>
      </c>
      <c r="U58" s="781">
        <f t="shared" ca="1" si="39"/>
        <v>0</v>
      </c>
      <c r="V58" s="781">
        <f t="shared" ca="1" si="39"/>
        <v>0</v>
      </c>
      <c r="W58" s="781">
        <f t="shared" ca="1" si="39"/>
        <v>0</v>
      </c>
      <c r="X58" s="781">
        <f t="shared" ca="1" si="39"/>
        <v>0</v>
      </c>
      <c r="Y58" s="781">
        <f t="shared" ca="1" si="39"/>
        <v>0</v>
      </c>
      <c r="Z58" s="781">
        <f t="shared" ca="1" si="39"/>
        <v>0</v>
      </c>
      <c r="AA58" s="781">
        <f t="shared" ca="1" si="40"/>
        <v>0</v>
      </c>
      <c r="AB58" s="781">
        <f t="shared" ca="1" si="40"/>
        <v>0</v>
      </c>
      <c r="AC58" s="781">
        <f t="shared" ca="1" si="40"/>
        <v>0</v>
      </c>
      <c r="AD58" s="781">
        <f t="shared" ca="1" si="40"/>
        <v>0</v>
      </c>
      <c r="AE58" s="781">
        <f t="shared" ca="1" si="40"/>
        <v>0</v>
      </c>
      <c r="AF58" s="781">
        <f t="shared" ca="1" si="40"/>
        <v>0</v>
      </c>
      <c r="AG58" s="781">
        <f t="shared" ca="1" si="40"/>
        <v>0</v>
      </c>
      <c r="AH58" s="781">
        <f t="shared" ca="1" si="40"/>
        <v>0</v>
      </c>
      <c r="AI58" s="781">
        <f t="shared" ca="1" si="40"/>
        <v>0</v>
      </c>
      <c r="AJ58" s="781">
        <f t="shared" ca="1" si="40"/>
        <v>0</v>
      </c>
      <c r="AK58" s="781">
        <f t="shared" ca="1" si="41"/>
        <v>0</v>
      </c>
      <c r="AL58" s="781">
        <f t="shared" ca="1" si="41"/>
        <v>0</v>
      </c>
      <c r="AM58" s="781">
        <f t="shared" ca="1" si="41"/>
        <v>0</v>
      </c>
      <c r="AN58" s="781">
        <f t="shared" ca="1" si="41"/>
        <v>0</v>
      </c>
      <c r="AO58" s="781">
        <f t="shared" ca="1" si="41"/>
        <v>0</v>
      </c>
      <c r="AP58" s="781">
        <f t="shared" ca="1" si="41"/>
        <v>0</v>
      </c>
      <c r="AQ58" s="781">
        <f t="shared" ca="1" si="41"/>
        <v>0</v>
      </c>
      <c r="AR58" s="781">
        <f t="shared" ca="1" si="41"/>
        <v>0</v>
      </c>
      <c r="AS58" s="781">
        <f t="shared" ca="1" si="41"/>
        <v>0</v>
      </c>
      <c r="AT58" s="781">
        <f t="shared" ca="1" si="41"/>
        <v>0</v>
      </c>
      <c r="AV58" s="781">
        <f t="shared" ca="1" si="6"/>
        <v>0</v>
      </c>
      <c r="AX58" s="781">
        <f t="shared" ca="1" si="7"/>
        <v>0</v>
      </c>
      <c r="AZ58" s="781">
        <f t="shared" ca="1" si="8"/>
        <v>0</v>
      </c>
      <c r="BB58" s="781">
        <f t="shared" ca="1" si="9"/>
        <v>0</v>
      </c>
      <c r="BD58" s="781">
        <f t="shared" ca="1" si="10"/>
        <v>0</v>
      </c>
      <c r="BF58" s="781">
        <f t="shared" ca="1" si="11"/>
        <v>0</v>
      </c>
      <c r="BH58" s="781">
        <f t="shared" ca="1" si="12"/>
        <v>0</v>
      </c>
    </row>
    <row r="59" spans="1:60" hidden="1" outlineLevel="1">
      <c r="A59" s="1464">
        <f t="shared" ca="1" si="30"/>
        <v>18</v>
      </c>
      <c r="B59" s="1464">
        <f t="shared" ca="1" si="31"/>
        <v>20</v>
      </c>
      <c r="C59" s="1464">
        <f t="shared" si="32"/>
        <v>26</v>
      </c>
      <c r="D59" s="1271" t="str">
        <f ca="1">IF(OFFSET(PortfolioDashboard!$A$3,C59-1,0)="","Blank",OFFSET(PortfolioDashboard!$A$3,C59-1,0))</f>
        <v>Blank</v>
      </c>
      <c r="E59" s="1464" t="str">
        <f t="shared" si="33"/>
        <v>MTCO2e</v>
      </c>
      <c r="F59" s="1460"/>
      <c r="G59" s="781">
        <f t="shared" ca="1" si="38"/>
        <v>0</v>
      </c>
      <c r="H59" s="781">
        <f t="shared" ca="1" si="38"/>
        <v>0</v>
      </c>
      <c r="I59" s="781">
        <f t="shared" ca="1" si="38"/>
        <v>0</v>
      </c>
      <c r="J59" s="781">
        <f t="shared" ca="1" si="38"/>
        <v>0</v>
      </c>
      <c r="K59" s="781">
        <f t="shared" ca="1" si="38"/>
        <v>0</v>
      </c>
      <c r="L59" s="781">
        <f t="shared" ca="1" si="38"/>
        <v>0</v>
      </c>
      <c r="M59" s="781">
        <f t="shared" ca="1" si="38"/>
        <v>0</v>
      </c>
      <c r="N59" s="781">
        <f t="shared" ca="1" si="38"/>
        <v>0</v>
      </c>
      <c r="O59" s="781">
        <f t="shared" ca="1" si="38"/>
        <v>0</v>
      </c>
      <c r="P59" s="781">
        <f t="shared" ca="1" si="38"/>
        <v>0</v>
      </c>
      <c r="Q59" s="781">
        <f t="shared" ca="1" si="39"/>
        <v>0</v>
      </c>
      <c r="R59" s="781">
        <f t="shared" ca="1" si="39"/>
        <v>0</v>
      </c>
      <c r="S59" s="781">
        <f t="shared" ca="1" si="39"/>
        <v>0</v>
      </c>
      <c r="T59" s="781">
        <f t="shared" ca="1" si="39"/>
        <v>0</v>
      </c>
      <c r="U59" s="781">
        <f t="shared" ca="1" si="39"/>
        <v>0</v>
      </c>
      <c r="V59" s="781">
        <f t="shared" ca="1" si="39"/>
        <v>0</v>
      </c>
      <c r="W59" s="781">
        <f t="shared" ca="1" si="39"/>
        <v>0</v>
      </c>
      <c r="X59" s="781">
        <f t="shared" ca="1" si="39"/>
        <v>0</v>
      </c>
      <c r="Y59" s="781">
        <f t="shared" ca="1" si="39"/>
        <v>0</v>
      </c>
      <c r="Z59" s="781">
        <f t="shared" ca="1" si="39"/>
        <v>0</v>
      </c>
      <c r="AA59" s="781">
        <f t="shared" ca="1" si="40"/>
        <v>0</v>
      </c>
      <c r="AB59" s="781">
        <f t="shared" ca="1" si="40"/>
        <v>0</v>
      </c>
      <c r="AC59" s="781">
        <f t="shared" ca="1" si="40"/>
        <v>0</v>
      </c>
      <c r="AD59" s="781">
        <f t="shared" ca="1" si="40"/>
        <v>0</v>
      </c>
      <c r="AE59" s="781">
        <f t="shared" ca="1" si="40"/>
        <v>0</v>
      </c>
      <c r="AF59" s="781">
        <f t="shared" ca="1" si="40"/>
        <v>0</v>
      </c>
      <c r="AG59" s="781">
        <f t="shared" ca="1" si="40"/>
        <v>0</v>
      </c>
      <c r="AH59" s="781">
        <f t="shared" ca="1" si="40"/>
        <v>0</v>
      </c>
      <c r="AI59" s="781">
        <f t="shared" ca="1" si="40"/>
        <v>0</v>
      </c>
      <c r="AJ59" s="781">
        <f t="shared" ca="1" si="40"/>
        <v>0</v>
      </c>
      <c r="AK59" s="781">
        <f t="shared" ca="1" si="41"/>
        <v>0</v>
      </c>
      <c r="AL59" s="781">
        <f t="shared" ca="1" si="41"/>
        <v>0</v>
      </c>
      <c r="AM59" s="781">
        <f t="shared" ca="1" si="41"/>
        <v>0</v>
      </c>
      <c r="AN59" s="781">
        <f t="shared" ca="1" si="41"/>
        <v>0</v>
      </c>
      <c r="AO59" s="781">
        <f t="shared" ca="1" si="41"/>
        <v>0</v>
      </c>
      <c r="AP59" s="781">
        <f t="shared" ca="1" si="41"/>
        <v>0</v>
      </c>
      <c r="AQ59" s="781">
        <f t="shared" ca="1" si="41"/>
        <v>0</v>
      </c>
      <c r="AR59" s="781">
        <f t="shared" ca="1" si="41"/>
        <v>0</v>
      </c>
      <c r="AS59" s="781">
        <f t="shared" ca="1" si="41"/>
        <v>0</v>
      </c>
      <c r="AT59" s="781">
        <f t="shared" ca="1" si="41"/>
        <v>0</v>
      </c>
      <c r="AV59" s="781">
        <f t="shared" ca="1" si="6"/>
        <v>0</v>
      </c>
      <c r="AX59" s="781">
        <f t="shared" ca="1" si="7"/>
        <v>0</v>
      </c>
      <c r="AZ59" s="781">
        <f t="shared" ca="1" si="8"/>
        <v>0</v>
      </c>
      <c r="BB59" s="781">
        <f t="shared" ca="1" si="9"/>
        <v>0</v>
      </c>
      <c r="BD59" s="781">
        <f t="shared" ca="1" si="10"/>
        <v>0</v>
      </c>
      <c r="BF59" s="781">
        <f t="shared" ca="1" si="11"/>
        <v>0</v>
      </c>
      <c r="BH59" s="781">
        <f t="shared" ca="1" si="12"/>
        <v>0</v>
      </c>
    </row>
    <row r="60" spans="1:60" hidden="1" outlineLevel="1">
      <c r="A60" s="1464">
        <f t="shared" ca="1" si="30"/>
        <v>18</v>
      </c>
      <c r="B60" s="1464">
        <f t="shared" ca="1" si="31"/>
        <v>20</v>
      </c>
      <c r="C60" s="1464">
        <f t="shared" si="32"/>
        <v>27</v>
      </c>
      <c r="D60" s="1271" t="str">
        <f ca="1">IF(OFFSET(PortfolioDashboard!$A$3,C60-1,0)="","Blank",OFFSET(PortfolioDashboard!$A$3,C60-1,0))</f>
        <v>Blank</v>
      </c>
      <c r="E60" s="1464" t="str">
        <f t="shared" si="33"/>
        <v>MTCO2e</v>
      </c>
      <c r="F60" s="1460"/>
      <c r="G60" s="781">
        <f t="shared" ca="1" si="38"/>
        <v>0</v>
      </c>
      <c r="H60" s="781">
        <f t="shared" ca="1" si="38"/>
        <v>0</v>
      </c>
      <c r="I60" s="781">
        <f t="shared" ca="1" si="38"/>
        <v>0</v>
      </c>
      <c r="J60" s="781">
        <f t="shared" ca="1" si="38"/>
        <v>0</v>
      </c>
      <c r="K60" s="781">
        <f t="shared" ca="1" si="38"/>
        <v>0</v>
      </c>
      <c r="L60" s="781">
        <f t="shared" ca="1" si="38"/>
        <v>0</v>
      </c>
      <c r="M60" s="781">
        <f t="shared" ca="1" si="38"/>
        <v>0</v>
      </c>
      <c r="N60" s="781">
        <f t="shared" ca="1" si="38"/>
        <v>0</v>
      </c>
      <c r="O60" s="781">
        <f t="shared" ca="1" si="38"/>
        <v>0</v>
      </c>
      <c r="P60" s="781">
        <f t="shared" ca="1" si="38"/>
        <v>0</v>
      </c>
      <c r="Q60" s="781">
        <f t="shared" ca="1" si="39"/>
        <v>0</v>
      </c>
      <c r="R60" s="781">
        <f t="shared" ca="1" si="39"/>
        <v>0</v>
      </c>
      <c r="S60" s="781">
        <f t="shared" ca="1" si="39"/>
        <v>0</v>
      </c>
      <c r="T60" s="781">
        <f t="shared" ca="1" si="39"/>
        <v>0</v>
      </c>
      <c r="U60" s="781">
        <f t="shared" ca="1" si="39"/>
        <v>0</v>
      </c>
      <c r="V60" s="781">
        <f t="shared" ca="1" si="39"/>
        <v>0</v>
      </c>
      <c r="W60" s="781">
        <f t="shared" ca="1" si="39"/>
        <v>0</v>
      </c>
      <c r="X60" s="781">
        <f t="shared" ca="1" si="39"/>
        <v>0</v>
      </c>
      <c r="Y60" s="781">
        <f t="shared" ca="1" si="39"/>
        <v>0</v>
      </c>
      <c r="Z60" s="781">
        <f t="shared" ca="1" si="39"/>
        <v>0</v>
      </c>
      <c r="AA60" s="781">
        <f t="shared" ca="1" si="40"/>
        <v>0</v>
      </c>
      <c r="AB60" s="781">
        <f t="shared" ca="1" si="40"/>
        <v>0</v>
      </c>
      <c r="AC60" s="781">
        <f t="shared" ca="1" si="40"/>
        <v>0</v>
      </c>
      <c r="AD60" s="781">
        <f t="shared" ca="1" si="40"/>
        <v>0</v>
      </c>
      <c r="AE60" s="781">
        <f t="shared" ca="1" si="40"/>
        <v>0</v>
      </c>
      <c r="AF60" s="781">
        <f t="shared" ca="1" si="40"/>
        <v>0</v>
      </c>
      <c r="AG60" s="781">
        <f t="shared" ca="1" si="40"/>
        <v>0</v>
      </c>
      <c r="AH60" s="781">
        <f t="shared" ca="1" si="40"/>
        <v>0</v>
      </c>
      <c r="AI60" s="781">
        <f t="shared" ca="1" si="40"/>
        <v>0</v>
      </c>
      <c r="AJ60" s="781">
        <f t="shared" ca="1" si="40"/>
        <v>0</v>
      </c>
      <c r="AK60" s="781">
        <f t="shared" ca="1" si="41"/>
        <v>0</v>
      </c>
      <c r="AL60" s="781">
        <f t="shared" ca="1" si="41"/>
        <v>0</v>
      </c>
      <c r="AM60" s="781">
        <f t="shared" ca="1" si="41"/>
        <v>0</v>
      </c>
      <c r="AN60" s="781">
        <f t="shared" ca="1" si="41"/>
        <v>0</v>
      </c>
      <c r="AO60" s="781">
        <f t="shared" ca="1" si="41"/>
        <v>0</v>
      </c>
      <c r="AP60" s="781">
        <f t="shared" ca="1" si="41"/>
        <v>0</v>
      </c>
      <c r="AQ60" s="781">
        <f t="shared" ca="1" si="41"/>
        <v>0</v>
      </c>
      <c r="AR60" s="781">
        <f t="shared" ca="1" si="41"/>
        <v>0</v>
      </c>
      <c r="AS60" s="781">
        <f t="shared" ca="1" si="41"/>
        <v>0</v>
      </c>
      <c r="AT60" s="781">
        <f t="shared" ca="1" si="41"/>
        <v>0</v>
      </c>
      <c r="AV60" s="781">
        <f t="shared" ca="1" si="6"/>
        <v>0</v>
      </c>
      <c r="AX60" s="781">
        <f t="shared" ca="1" si="7"/>
        <v>0</v>
      </c>
      <c r="AZ60" s="781">
        <f t="shared" ca="1" si="8"/>
        <v>0</v>
      </c>
      <c r="BB60" s="781">
        <f t="shared" ca="1" si="9"/>
        <v>0</v>
      </c>
      <c r="BD60" s="781">
        <f t="shared" ca="1" si="10"/>
        <v>0</v>
      </c>
      <c r="BF60" s="781">
        <f t="shared" ca="1" si="11"/>
        <v>0</v>
      </c>
      <c r="BH60" s="781">
        <f t="shared" ca="1" si="12"/>
        <v>0</v>
      </c>
    </row>
    <row r="61" spans="1:60" hidden="1" outlineLevel="1">
      <c r="A61" s="1464">
        <f t="shared" ca="1" si="30"/>
        <v>18</v>
      </c>
      <c r="B61" s="1464">
        <f t="shared" ca="1" si="31"/>
        <v>20</v>
      </c>
      <c r="C61" s="1464">
        <f t="shared" si="32"/>
        <v>28</v>
      </c>
      <c r="D61" s="1271" t="str">
        <f ca="1">IF(OFFSET(PortfolioDashboard!$A$3,C61-1,0)="","Blank",OFFSET(PortfolioDashboard!$A$3,C61-1,0))</f>
        <v>Blank</v>
      </c>
      <c r="E61" s="1464" t="str">
        <f t="shared" si="33"/>
        <v>MTCO2e</v>
      </c>
      <c r="F61" s="1460"/>
      <c r="G61" s="781">
        <f t="shared" ca="1" si="38"/>
        <v>0</v>
      </c>
      <c r="H61" s="781">
        <f t="shared" ca="1" si="38"/>
        <v>0</v>
      </c>
      <c r="I61" s="781">
        <f t="shared" ca="1" si="38"/>
        <v>0</v>
      </c>
      <c r="J61" s="781">
        <f t="shared" ca="1" si="38"/>
        <v>0</v>
      </c>
      <c r="K61" s="781">
        <f t="shared" ca="1" si="38"/>
        <v>0</v>
      </c>
      <c r="L61" s="781">
        <f t="shared" ca="1" si="38"/>
        <v>0</v>
      </c>
      <c r="M61" s="781">
        <f t="shared" ca="1" si="38"/>
        <v>0</v>
      </c>
      <c r="N61" s="781">
        <f t="shared" ca="1" si="38"/>
        <v>0</v>
      </c>
      <c r="O61" s="781">
        <f t="shared" ca="1" si="38"/>
        <v>0</v>
      </c>
      <c r="P61" s="781">
        <f t="shared" ca="1" si="38"/>
        <v>0</v>
      </c>
      <c r="Q61" s="781">
        <f t="shared" ca="1" si="39"/>
        <v>0</v>
      </c>
      <c r="R61" s="781">
        <f t="shared" ca="1" si="39"/>
        <v>0</v>
      </c>
      <c r="S61" s="781">
        <f t="shared" ca="1" si="39"/>
        <v>0</v>
      </c>
      <c r="T61" s="781">
        <f t="shared" ca="1" si="39"/>
        <v>0</v>
      </c>
      <c r="U61" s="781">
        <f t="shared" ca="1" si="39"/>
        <v>0</v>
      </c>
      <c r="V61" s="781">
        <f t="shared" ca="1" si="39"/>
        <v>0</v>
      </c>
      <c r="W61" s="781">
        <f t="shared" ca="1" si="39"/>
        <v>0</v>
      </c>
      <c r="X61" s="781">
        <f t="shared" ca="1" si="39"/>
        <v>0</v>
      </c>
      <c r="Y61" s="781">
        <f t="shared" ca="1" si="39"/>
        <v>0</v>
      </c>
      <c r="Z61" s="781">
        <f t="shared" ca="1" si="39"/>
        <v>0</v>
      </c>
      <c r="AA61" s="781">
        <f t="shared" ca="1" si="40"/>
        <v>0</v>
      </c>
      <c r="AB61" s="781">
        <f t="shared" ca="1" si="40"/>
        <v>0</v>
      </c>
      <c r="AC61" s="781">
        <f t="shared" ca="1" si="40"/>
        <v>0</v>
      </c>
      <c r="AD61" s="781">
        <f t="shared" ca="1" si="40"/>
        <v>0</v>
      </c>
      <c r="AE61" s="781">
        <f t="shared" ca="1" si="40"/>
        <v>0</v>
      </c>
      <c r="AF61" s="781">
        <f t="shared" ca="1" si="40"/>
        <v>0</v>
      </c>
      <c r="AG61" s="781">
        <f t="shared" ca="1" si="40"/>
        <v>0</v>
      </c>
      <c r="AH61" s="781">
        <f t="shared" ca="1" si="40"/>
        <v>0</v>
      </c>
      <c r="AI61" s="781">
        <f t="shared" ca="1" si="40"/>
        <v>0</v>
      </c>
      <c r="AJ61" s="781">
        <f t="shared" ca="1" si="40"/>
        <v>0</v>
      </c>
      <c r="AK61" s="781">
        <f t="shared" ca="1" si="41"/>
        <v>0</v>
      </c>
      <c r="AL61" s="781">
        <f t="shared" ca="1" si="41"/>
        <v>0</v>
      </c>
      <c r="AM61" s="781">
        <f t="shared" ca="1" si="41"/>
        <v>0</v>
      </c>
      <c r="AN61" s="781">
        <f t="shared" ca="1" si="41"/>
        <v>0</v>
      </c>
      <c r="AO61" s="781">
        <f t="shared" ca="1" si="41"/>
        <v>0</v>
      </c>
      <c r="AP61" s="781">
        <f t="shared" ca="1" si="41"/>
        <v>0</v>
      </c>
      <c r="AQ61" s="781">
        <f t="shared" ca="1" si="41"/>
        <v>0</v>
      </c>
      <c r="AR61" s="781">
        <f t="shared" ca="1" si="41"/>
        <v>0</v>
      </c>
      <c r="AS61" s="781">
        <f t="shared" ca="1" si="41"/>
        <v>0</v>
      </c>
      <c r="AT61" s="781">
        <f t="shared" ca="1" si="41"/>
        <v>0</v>
      </c>
      <c r="AV61" s="781">
        <f t="shared" ca="1" si="6"/>
        <v>0</v>
      </c>
      <c r="AX61" s="781">
        <f t="shared" ca="1" si="7"/>
        <v>0</v>
      </c>
      <c r="AZ61" s="781">
        <f t="shared" ca="1" si="8"/>
        <v>0</v>
      </c>
      <c r="BB61" s="781">
        <f t="shared" ca="1" si="9"/>
        <v>0</v>
      </c>
      <c r="BD61" s="781">
        <f t="shared" ca="1" si="10"/>
        <v>0</v>
      </c>
      <c r="BF61" s="781">
        <f t="shared" ca="1" si="11"/>
        <v>0</v>
      </c>
      <c r="BH61" s="781">
        <f t="shared" ca="1" si="12"/>
        <v>0</v>
      </c>
    </row>
    <row r="62" spans="1:60" hidden="1" outlineLevel="1">
      <c r="A62" s="1464">
        <f t="shared" ca="1" si="30"/>
        <v>18</v>
      </c>
      <c r="B62" s="1464">
        <f t="shared" ca="1" si="31"/>
        <v>20</v>
      </c>
      <c r="C62" s="1464">
        <f t="shared" si="32"/>
        <v>29</v>
      </c>
      <c r="D62" s="1271" t="str">
        <f ca="1">IF(OFFSET(PortfolioDashboard!$A$3,C62-1,0)="","Blank",OFFSET(PortfolioDashboard!$A$3,C62-1,0))</f>
        <v>Blank</v>
      </c>
      <c r="E62" s="1464" t="str">
        <f t="shared" si="33"/>
        <v>MTCO2e</v>
      </c>
      <c r="F62" s="1460"/>
      <c r="G62" s="781">
        <f t="shared" ca="1" si="38"/>
        <v>0</v>
      </c>
      <c r="H62" s="781">
        <f t="shared" ca="1" si="38"/>
        <v>0</v>
      </c>
      <c r="I62" s="781">
        <f t="shared" ca="1" si="38"/>
        <v>0</v>
      </c>
      <c r="J62" s="781">
        <f t="shared" ca="1" si="38"/>
        <v>0</v>
      </c>
      <c r="K62" s="781">
        <f t="shared" ca="1" si="38"/>
        <v>0</v>
      </c>
      <c r="L62" s="781">
        <f t="shared" ca="1" si="38"/>
        <v>0</v>
      </c>
      <c r="M62" s="781">
        <f t="shared" ca="1" si="38"/>
        <v>0</v>
      </c>
      <c r="N62" s="781">
        <f t="shared" ca="1" si="38"/>
        <v>0</v>
      </c>
      <c r="O62" s="781">
        <f t="shared" ca="1" si="38"/>
        <v>0</v>
      </c>
      <c r="P62" s="781">
        <f t="shared" ca="1" si="38"/>
        <v>0</v>
      </c>
      <c r="Q62" s="781">
        <f t="shared" ca="1" si="39"/>
        <v>0</v>
      </c>
      <c r="R62" s="781">
        <f t="shared" ca="1" si="39"/>
        <v>0</v>
      </c>
      <c r="S62" s="781">
        <f t="shared" ca="1" si="39"/>
        <v>0</v>
      </c>
      <c r="T62" s="781">
        <f t="shared" ca="1" si="39"/>
        <v>0</v>
      </c>
      <c r="U62" s="781">
        <f t="shared" ca="1" si="39"/>
        <v>0</v>
      </c>
      <c r="V62" s="781">
        <f t="shared" ca="1" si="39"/>
        <v>0</v>
      </c>
      <c r="W62" s="781">
        <f t="shared" ca="1" si="39"/>
        <v>0</v>
      </c>
      <c r="X62" s="781">
        <f t="shared" ca="1" si="39"/>
        <v>0</v>
      </c>
      <c r="Y62" s="781">
        <f t="shared" ca="1" si="39"/>
        <v>0</v>
      </c>
      <c r="Z62" s="781">
        <f t="shared" ca="1" si="39"/>
        <v>0</v>
      </c>
      <c r="AA62" s="781">
        <f t="shared" ca="1" si="40"/>
        <v>0</v>
      </c>
      <c r="AB62" s="781">
        <f t="shared" ca="1" si="40"/>
        <v>0</v>
      </c>
      <c r="AC62" s="781">
        <f t="shared" ca="1" si="40"/>
        <v>0</v>
      </c>
      <c r="AD62" s="781">
        <f t="shared" ca="1" si="40"/>
        <v>0</v>
      </c>
      <c r="AE62" s="781">
        <f t="shared" ca="1" si="40"/>
        <v>0</v>
      </c>
      <c r="AF62" s="781">
        <f t="shared" ca="1" si="40"/>
        <v>0</v>
      </c>
      <c r="AG62" s="781">
        <f t="shared" ca="1" si="40"/>
        <v>0</v>
      </c>
      <c r="AH62" s="781">
        <f t="shared" ca="1" si="40"/>
        <v>0</v>
      </c>
      <c r="AI62" s="781">
        <f t="shared" ca="1" si="40"/>
        <v>0</v>
      </c>
      <c r="AJ62" s="781">
        <f t="shared" ca="1" si="40"/>
        <v>0</v>
      </c>
      <c r="AK62" s="781">
        <f t="shared" ca="1" si="41"/>
        <v>0</v>
      </c>
      <c r="AL62" s="781">
        <f t="shared" ca="1" si="41"/>
        <v>0</v>
      </c>
      <c r="AM62" s="781">
        <f t="shared" ca="1" si="41"/>
        <v>0</v>
      </c>
      <c r="AN62" s="781">
        <f t="shared" ca="1" si="41"/>
        <v>0</v>
      </c>
      <c r="AO62" s="781">
        <f t="shared" ca="1" si="41"/>
        <v>0</v>
      </c>
      <c r="AP62" s="781">
        <f t="shared" ca="1" si="41"/>
        <v>0</v>
      </c>
      <c r="AQ62" s="781">
        <f t="shared" ca="1" si="41"/>
        <v>0</v>
      </c>
      <c r="AR62" s="781">
        <f t="shared" ca="1" si="41"/>
        <v>0</v>
      </c>
      <c r="AS62" s="781">
        <f t="shared" ca="1" si="41"/>
        <v>0</v>
      </c>
      <c r="AT62" s="781">
        <f t="shared" ca="1" si="41"/>
        <v>0</v>
      </c>
      <c r="AV62" s="781">
        <f t="shared" ca="1" si="6"/>
        <v>0</v>
      </c>
      <c r="AX62" s="781">
        <f t="shared" ca="1" si="7"/>
        <v>0</v>
      </c>
      <c r="AZ62" s="781">
        <f t="shared" ca="1" si="8"/>
        <v>0</v>
      </c>
      <c r="BB62" s="781">
        <f t="shared" ca="1" si="9"/>
        <v>0</v>
      </c>
      <c r="BD62" s="781">
        <f t="shared" ca="1" si="10"/>
        <v>0</v>
      </c>
      <c r="BF62" s="781">
        <f t="shared" ca="1" si="11"/>
        <v>0</v>
      </c>
      <c r="BH62" s="781">
        <f t="shared" ca="1" si="12"/>
        <v>0</v>
      </c>
    </row>
    <row r="63" spans="1:60" hidden="1" outlineLevel="1">
      <c r="A63" s="1464">
        <f t="shared" ca="1" si="30"/>
        <v>18</v>
      </c>
      <c r="B63" s="1464">
        <f t="shared" ca="1" si="31"/>
        <v>20</v>
      </c>
      <c r="C63" s="1464">
        <f t="shared" si="32"/>
        <v>30</v>
      </c>
      <c r="D63" s="1271" t="str">
        <f ca="1">IF(OFFSET(PortfolioDashboard!$A$3,C63-1,0)="","Blank",OFFSET(PortfolioDashboard!$A$3,C63-1,0))</f>
        <v>Blank</v>
      </c>
      <c r="E63" s="1464" t="str">
        <f t="shared" si="33"/>
        <v>MTCO2e</v>
      </c>
      <c r="F63" s="1460"/>
      <c r="G63" s="781">
        <f t="shared" ca="1" si="38"/>
        <v>0</v>
      </c>
      <c r="H63" s="781">
        <f t="shared" ca="1" si="38"/>
        <v>0</v>
      </c>
      <c r="I63" s="781">
        <f t="shared" ca="1" si="38"/>
        <v>0</v>
      </c>
      <c r="J63" s="781">
        <f t="shared" ca="1" si="38"/>
        <v>0</v>
      </c>
      <c r="K63" s="781">
        <f t="shared" ca="1" si="38"/>
        <v>0</v>
      </c>
      <c r="L63" s="781">
        <f t="shared" ca="1" si="38"/>
        <v>0</v>
      </c>
      <c r="M63" s="781">
        <f t="shared" ca="1" si="38"/>
        <v>0</v>
      </c>
      <c r="N63" s="781">
        <f t="shared" ca="1" si="38"/>
        <v>0</v>
      </c>
      <c r="O63" s="781">
        <f t="shared" ca="1" si="38"/>
        <v>0</v>
      </c>
      <c r="P63" s="781">
        <f t="shared" ca="1" si="38"/>
        <v>0</v>
      </c>
      <c r="Q63" s="781">
        <f t="shared" ca="1" si="39"/>
        <v>0</v>
      </c>
      <c r="R63" s="781">
        <f t="shared" ca="1" si="39"/>
        <v>0</v>
      </c>
      <c r="S63" s="781">
        <f t="shared" ca="1" si="39"/>
        <v>0</v>
      </c>
      <c r="T63" s="781">
        <f t="shared" ca="1" si="39"/>
        <v>0</v>
      </c>
      <c r="U63" s="781">
        <f t="shared" ca="1" si="39"/>
        <v>0</v>
      </c>
      <c r="V63" s="781">
        <f t="shared" ca="1" si="39"/>
        <v>0</v>
      </c>
      <c r="W63" s="781">
        <f t="shared" ca="1" si="39"/>
        <v>0</v>
      </c>
      <c r="X63" s="781">
        <f t="shared" ca="1" si="39"/>
        <v>0</v>
      </c>
      <c r="Y63" s="781">
        <f t="shared" ca="1" si="39"/>
        <v>0</v>
      </c>
      <c r="Z63" s="781">
        <f t="shared" ca="1" si="39"/>
        <v>0</v>
      </c>
      <c r="AA63" s="781">
        <f t="shared" ca="1" si="40"/>
        <v>0</v>
      </c>
      <c r="AB63" s="781">
        <f t="shared" ca="1" si="40"/>
        <v>0</v>
      </c>
      <c r="AC63" s="781">
        <f t="shared" ca="1" si="40"/>
        <v>0</v>
      </c>
      <c r="AD63" s="781">
        <f t="shared" ca="1" si="40"/>
        <v>0</v>
      </c>
      <c r="AE63" s="781">
        <f t="shared" ca="1" si="40"/>
        <v>0</v>
      </c>
      <c r="AF63" s="781">
        <f t="shared" ca="1" si="40"/>
        <v>0</v>
      </c>
      <c r="AG63" s="781">
        <f t="shared" ca="1" si="40"/>
        <v>0</v>
      </c>
      <c r="AH63" s="781">
        <f t="shared" ca="1" si="40"/>
        <v>0</v>
      </c>
      <c r="AI63" s="781">
        <f t="shared" ca="1" si="40"/>
        <v>0</v>
      </c>
      <c r="AJ63" s="781">
        <f t="shared" ca="1" si="40"/>
        <v>0</v>
      </c>
      <c r="AK63" s="781">
        <f t="shared" ca="1" si="41"/>
        <v>0</v>
      </c>
      <c r="AL63" s="781">
        <f t="shared" ca="1" si="41"/>
        <v>0</v>
      </c>
      <c r="AM63" s="781">
        <f t="shared" ca="1" si="41"/>
        <v>0</v>
      </c>
      <c r="AN63" s="781">
        <f t="shared" ca="1" si="41"/>
        <v>0</v>
      </c>
      <c r="AO63" s="781">
        <f t="shared" ca="1" si="41"/>
        <v>0</v>
      </c>
      <c r="AP63" s="781">
        <f t="shared" ca="1" si="41"/>
        <v>0</v>
      </c>
      <c r="AQ63" s="781">
        <f t="shared" ca="1" si="41"/>
        <v>0</v>
      </c>
      <c r="AR63" s="781">
        <f t="shared" ca="1" si="41"/>
        <v>0</v>
      </c>
      <c r="AS63" s="781">
        <f t="shared" ca="1" si="41"/>
        <v>0</v>
      </c>
      <c r="AT63" s="781">
        <f t="shared" ca="1" si="41"/>
        <v>0</v>
      </c>
      <c r="AV63" s="781">
        <f t="shared" ca="1" si="6"/>
        <v>0</v>
      </c>
      <c r="AX63" s="781">
        <f t="shared" ca="1" si="7"/>
        <v>0</v>
      </c>
      <c r="AZ63" s="781">
        <f t="shared" ca="1" si="8"/>
        <v>0</v>
      </c>
      <c r="BB63" s="781">
        <f t="shared" ca="1" si="9"/>
        <v>0</v>
      </c>
      <c r="BD63" s="781">
        <f t="shared" ca="1" si="10"/>
        <v>0</v>
      </c>
      <c r="BF63" s="781">
        <f t="shared" ca="1" si="11"/>
        <v>0</v>
      </c>
      <c r="BH63" s="781">
        <f t="shared" ca="1" si="12"/>
        <v>0</v>
      </c>
    </row>
    <row r="64" spans="1:60" collapsed="1">
      <c r="A64" s="1464"/>
      <c r="B64" s="1464"/>
      <c r="C64" s="1464"/>
      <c r="D64" s="1272" t="s">
        <v>262</v>
      </c>
      <c r="E64" s="1270" t="s">
        <v>1507</v>
      </c>
      <c r="F64" s="1461"/>
      <c r="G64" s="1273">
        <f t="shared" ref="G64:AT64" ca="1" si="42">SUM(G34:G63)</f>
        <v>-2011.5286795204174</v>
      </c>
      <c r="H64" s="1273">
        <f t="shared" ca="1" si="42"/>
        <v>-7679.2440205578514</v>
      </c>
      <c r="I64" s="1273">
        <f t="shared" ca="1" si="42"/>
        <v>-22894.192607813366</v>
      </c>
      <c r="J64" s="1273">
        <f t="shared" ca="1" si="42"/>
        <v>-31875.504530954327</v>
      </c>
      <c r="K64" s="1273">
        <f t="shared" ca="1" si="42"/>
        <v>-41238.830254631306</v>
      </c>
      <c r="L64" s="1273">
        <f t="shared" ca="1" si="42"/>
        <v>-67942.344894967217</v>
      </c>
      <c r="M64" s="1273">
        <f t="shared" ca="1" si="42"/>
        <v>-73335.327557911834</v>
      </c>
      <c r="N64" s="1273">
        <f t="shared" ca="1" si="42"/>
        <v>-78115.16427892042</v>
      </c>
      <c r="O64" s="1273">
        <f t="shared" ca="1" si="42"/>
        <v>-82804.38742155215</v>
      </c>
      <c r="P64" s="1273">
        <f t="shared" ca="1" si="42"/>
        <v>-87488.158073597064</v>
      </c>
      <c r="Q64" s="1273">
        <f t="shared" ca="1" si="42"/>
        <v>-92166.430467901431</v>
      </c>
      <c r="R64" s="1273">
        <f t="shared" ca="1" si="42"/>
        <v>-96839.1607558369</v>
      </c>
      <c r="S64" s="1273">
        <f t="shared" ca="1" si="42"/>
        <v>-101506.30690781424</v>
      </c>
      <c r="T64" s="1273">
        <f t="shared" ca="1" si="42"/>
        <v>-105849.91609468975</v>
      </c>
      <c r="U64" s="1273">
        <f t="shared" ca="1" si="42"/>
        <v>-109578.44716701463</v>
      </c>
      <c r="V64" s="1273">
        <f t="shared" ca="1" si="42"/>
        <v>-113307.86489657123</v>
      </c>
      <c r="W64" s="1273">
        <f t="shared" ca="1" si="42"/>
        <v>-117038.14279529615</v>
      </c>
      <c r="X64" s="1273">
        <f t="shared" ca="1" si="42"/>
        <v>-120769.2554197982</v>
      </c>
      <c r="Y64" s="1273">
        <f t="shared" ca="1" si="42"/>
        <v>-124501.17832035982</v>
      </c>
      <c r="Z64" s="1273">
        <f t="shared" ca="1" si="42"/>
        <v>-128233.88799289719</v>
      </c>
      <c r="AA64" s="1273">
        <f t="shared" ca="1" si="42"/>
        <v>-131967.36183368025</v>
      </c>
      <c r="AB64" s="1273">
        <f t="shared" ca="1" si="42"/>
        <v>-135650.9254280212</v>
      </c>
      <c r="AC64" s="1273">
        <f t="shared" ca="1" si="42"/>
        <v>-139335.21051580735</v>
      </c>
      <c r="AD64" s="1273">
        <f t="shared" ca="1" si="42"/>
        <v>-143020.19694762852</v>
      </c>
      <c r="AE64" s="1273">
        <f t="shared" ca="1" si="42"/>
        <v>-145707.10177672387</v>
      </c>
      <c r="AF64" s="1273">
        <f t="shared" ca="1" si="42"/>
        <v>-148394.669847185</v>
      </c>
      <c r="AG64" s="1273">
        <f t="shared" ca="1" si="42"/>
        <v>-151082.88313966186</v>
      </c>
      <c r="AH64" s="1273">
        <f t="shared" ca="1" si="42"/>
        <v>-153771.72428169363</v>
      </c>
      <c r="AI64" s="1273">
        <f t="shared" ca="1" si="42"/>
        <v>-156461.17651893845</v>
      </c>
      <c r="AJ64" s="1273">
        <f t="shared" ca="1" si="42"/>
        <v>-159151.22368792401</v>
      </c>
      <c r="AK64" s="1273">
        <f t="shared" ca="1" si="42"/>
        <v>-161841.85019022835</v>
      </c>
      <c r="AL64" s="1273">
        <f t="shared" ca="1" si="42"/>
        <v>-164533.04096800188</v>
      </c>
      <c r="AM64" s="1273">
        <f t="shared" ca="1" si="42"/>
        <v>-167224.781480751</v>
      </c>
      <c r="AN64" s="1273">
        <f t="shared" ca="1" si="42"/>
        <v>-169917.05768330861</v>
      </c>
      <c r="AO64" s="1273">
        <f t="shared" ca="1" si="42"/>
        <v>-172609.85600492035</v>
      </c>
      <c r="AP64" s="1273">
        <f t="shared" ca="1" si="42"/>
        <v>-175303.16332938135</v>
      </c>
      <c r="AQ64" s="1273">
        <f t="shared" ca="1" si="42"/>
        <v>-177996.96697616327</v>
      </c>
      <c r="AR64" s="1273">
        <f t="shared" ca="1" si="42"/>
        <v>-180691.25468247355</v>
      </c>
      <c r="AS64" s="1273">
        <f t="shared" ca="1" si="42"/>
        <v>-183386.01458619413</v>
      </c>
      <c r="AT64" s="1273">
        <f t="shared" ca="1" si="42"/>
        <v>-186081.23520964908</v>
      </c>
      <c r="AV64" s="1273">
        <f t="shared" ca="1" si="6"/>
        <v>-389685.38222694868</v>
      </c>
      <c r="AX64" s="1273">
        <f t="shared" ca="1" si="7"/>
        <v>-505940.26139325695</v>
      </c>
      <c r="AZ64" s="1273">
        <f t="shared" ca="1" si="8"/>
        <v>-603850.32942492259</v>
      </c>
      <c r="BB64" s="1273">
        <f t="shared" ca="1" si="9"/>
        <v>-695680.79650186119</v>
      </c>
      <c r="BD64" s="1273">
        <f t="shared" ca="1" si="10"/>
        <v>-768861.67747540295</v>
      </c>
      <c r="BF64" s="1273">
        <f t="shared" ca="1" si="11"/>
        <v>-836126.58632721019</v>
      </c>
      <c r="BH64" s="1273">
        <f t="shared" ca="1" si="12"/>
        <v>-903458.63478386134</v>
      </c>
    </row>
    <row r="65" spans="1:60" hidden="1" outlineLevel="1">
      <c r="A65" s="1464">
        <f ca="1">OFFSET(Abatement_Scope_3_Commuting,-3,2)</f>
        <v>18</v>
      </c>
      <c r="B65" s="1464">
        <f ca="1">OFFSET(Abatement_Scope_3_Commuting,-2,2)</f>
        <v>21</v>
      </c>
      <c r="C65" s="1464">
        <v>1</v>
      </c>
      <c r="D65" s="1271" t="str">
        <f ca="1">IF(OFFSET(PortfolioDashboard!$A$3,C65-1,0)="","Blank",OFFSET(PortfolioDashboard!$A$3,C65-1,0))</f>
        <v>Behavior Change</v>
      </c>
      <c r="E65" s="1464" t="s">
        <v>1507</v>
      </c>
      <c r="F65" s="1460"/>
      <c r="G65" s="781">
        <f t="shared" ref="G65:P74" ca="1" si="43">IFERROR(OFFSET(INDIRECT(INDEX(List_of_Alternatives,MATCH($D65,NameofAlternatives,0))),$A65+G$1-$G$1,$B65),0)</f>
        <v>0</v>
      </c>
      <c r="H65" s="781">
        <f t="shared" ca="1" si="43"/>
        <v>0</v>
      </c>
      <c r="I65" s="781">
        <f t="shared" ca="1" si="43"/>
        <v>0</v>
      </c>
      <c r="J65" s="781">
        <f t="shared" ca="1" si="43"/>
        <v>0</v>
      </c>
      <c r="K65" s="781">
        <f t="shared" ca="1" si="43"/>
        <v>0</v>
      </c>
      <c r="L65" s="781">
        <f t="shared" ca="1" si="43"/>
        <v>0</v>
      </c>
      <c r="M65" s="781">
        <f t="shared" ca="1" si="43"/>
        <v>0</v>
      </c>
      <c r="N65" s="781">
        <f t="shared" ca="1" si="43"/>
        <v>0</v>
      </c>
      <c r="O65" s="781">
        <f t="shared" ca="1" si="43"/>
        <v>0</v>
      </c>
      <c r="P65" s="781">
        <f t="shared" ca="1" si="43"/>
        <v>0</v>
      </c>
      <c r="Q65" s="781">
        <f t="shared" ref="Q65:Z74" ca="1" si="44">IFERROR(OFFSET(INDIRECT(INDEX(List_of_Alternatives,MATCH($D65,NameofAlternatives,0))),$A65+Q$1-$G$1,$B65),0)</f>
        <v>0</v>
      </c>
      <c r="R65" s="781">
        <f t="shared" ca="1" si="44"/>
        <v>0</v>
      </c>
      <c r="S65" s="781">
        <f t="shared" ca="1" si="44"/>
        <v>0</v>
      </c>
      <c r="T65" s="781">
        <f t="shared" ca="1" si="44"/>
        <v>0</v>
      </c>
      <c r="U65" s="781">
        <f t="shared" ca="1" si="44"/>
        <v>0</v>
      </c>
      <c r="V65" s="781">
        <f t="shared" ca="1" si="44"/>
        <v>0</v>
      </c>
      <c r="W65" s="781">
        <f t="shared" ca="1" si="44"/>
        <v>0</v>
      </c>
      <c r="X65" s="781">
        <f t="shared" ca="1" si="44"/>
        <v>0</v>
      </c>
      <c r="Y65" s="781">
        <f t="shared" ca="1" si="44"/>
        <v>0</v>
      </c>
      <c r="Z65" s="781">
        <f t="shared" ca="1" si="44"/>
        <v>0</v>
      </c>
      <c r="AA65" s="781">
        <f t="shared" ref="AA65:AJ74" ca="1" si="45">IFERROR(OFFSET(INDIRECT(INDEX(List_of_Alternatives,MATCH($D65,NameofAlternatives,0))),$A65+AA$1-$G$1,$B65),0)</f>
        <v>0</v>
      </c>
      <c r="AB65" s="781">
        <f t="shared" ca="1" si="45"/>
        <v>0</v>
      </c>
      <c r="AC65" s="781">
        <f t="shared" ca="1" si="45"/>
        <v>0</v>
      </c>
      <c r="AD65" s="781">
        <f t="shared" ca="1" si="45"/>
        <v>0</v>
      </c>
      <c r="AE65" s="781">
        <f t="shared" ca="1" si="45"/>
        <v>0</v>
      </c>
      <c r="AF65" s="781">
        <f t="shared" ca="1" si="45"/>
        <v>0</v>
      </c>
      <c r="AG65" s="781">
        <f t="shared" ca="1" si="45"/>
        <v>0</v>
      </c>
      <c r="AH65" s="781">
        <f t="shared" ca="1" si="45"/>
        <v>0</v>
      </c>
      <c r="AI65" s="781">
        <f t="shared" ca="1" si="45"/>
        <v>0</v>
      </c>
      <c r="AJ65" s="781">
        <f t="shared" ca="1" si="45"/>
        <v>0</v>
      </c>
      <c r="AK65" s="781">
        <f t="shared" ref="AK65:AT74" ca="1" si="46">IFERROR(OFFSET(INDIRECT(INDEX(List_of_Alternatives,MATCH($D65,NameofAlternatives,0))),$A65+AK$1-$G$1,$B65),0)</f>
        <v>0</v>
      </c>
      <c r="AL65" s="781">
        <f t="shared" ca="1" si="46"/>
        <v>0</v>
      </c>
      <c r="AM65" s="781">
        <f t="shared" ca="1" si="46"/>
        <v>0</v>
      </c>
      <c r="AN65" s="781">
        <f t="shared" ca="1" si="46"/>
        <v>0</v>
      </c>
      <c r="AO65" s="781">
        <f t="shared" ca="1" si="46"/>
        <v>0</v>
      </c>
      <c r="AP65" s="781">
        <f t="shared" ca="1" si="46"/>
        <v>0</v>
      </c>
      <c r="AQ65" s="781">
        <f t="shared" ca="1" si="46"/>
        <v>0</v>
      </c>
      <c r="AR65" s="781">
        <f t="shared" ca="1" si="46"/>
        <v>0</v>
      </c>
      <c r="AS65" s="781">
        <f t="shared" ca="1" si="46"/>
        <v>0</v>
      </c>
      <c r="AT65" s="781">
        <f t="shared" ca="1" si="46"/>
        <v>0</v>
      </c>
      <c r="AV65" s="781">
        <f t="shared" ca="1" si="6"/>
        <v>0</v>
      </c>
      <c r="AX65" s="781">
        <f t="shared" ca="1" si="7"/>
        <v>0</v>
      </c>
      <c r="AZ65" s="781">
        <f t="shared" ca="1" si="8"/>
        <v>0</v>
      </c>
      <c r="BB65" s="781">
        <f t="shared" ca="1" si="9"/>
        <v>0</v>
      </c>
      <c r="BD65" s="781">
        <f t="shared" ca="1" si="10"/>
        <v>0</v>
      </c>
      <c r="BF65" s="781">
        <f t="shared" ca="1" si="11"/>
        <v>0</v>
      </c>
      <c r="BH65" s="781">
        <f t="shared" ca="1" si="12"/>
        <v>0</v>
      </c>
    </row>
    <row r="66" spans="1:60" hidden="1" outlineLevel="1">
      <c r="A66" s="1464">
        <f ca="1">A65</f>
        <v>18</v>
      </c>
      <c r="B66" s="1464">
        <f ca="1">B65</f>
        <v>21</v>
      </c>
      <c r="C66" s="1464">
        <f>C65+1</f>
        <v>2</v>
      </c>
      <c r="D66" s="1271" t="str">
        <f ca="1">IF(OFFSET(PortfolioDashboard!$A$3,C66-1,0)="","Blank",OFFSET(PortfolioDashboard!$A$3,C66-1,0))</f>
        <v>Building Design &amp; Construction Standards</v>
      </c>
      <c r="E66" s="1464" t="str">
        <f>E65</f>
        <v>MTCO2e</v>
      </c>
      <c r="F66" s="1460"/>
      <c r="G66" s="781">
        <f t="shared" ca="1" si="43"/>
        <v>0</v>
      </c>
      <c r="H66" s="781">
        <f t="shared" ca="1" si="43"/>
        <v>0</v>
      </c>
      <c r="I66" s="781">
        <f t="shared" ca="1" si="43"/>
        <v>0</v>
      </c>
      <c r="J66" s="781">
        <f t="shared" ca="1" si="43"/>
        <v>0</v>
      </c>
      <c r="K66" s="781">
        <f t="shared" ca="1" si="43"/>
        <v>0</v>
      </c>
      <c r="L66" s="781">
        <f t="shared" ca="1" si="43"/>
        <v>0</v>
      </c>
      <c r="M66" s="781">
        <f t="shared" ca="1" si="43"/>
        <v>0</v>
      </c>
      <c r="N66" s="781">
        <f t="shared" ca="1" si="43"/>
        <v>0</v>
      </c>
      <c r="O66" s="781">
        <f t="shared" ca="1" si="43"/>
        <v>0</v>
      </c>
      <c r="P66" s="781">
        <f t="shared" ca="1" si="43"/>
        <v>0</v>
      </c>
      <c r="Q66" s="781">
        <f t="shared" ca="1" si="44"/>
        <v>0</v>
      </c>
      <c r="R66" s="781">
        <f t="shared" ca="1" si="44"/>
        <v>0</v>
      </c>
      <c r="S66" s="781">
        <f t="shared" ca="1" si="44"/>
        <v>0</v>
      </c>
      <c r="T66" s="781">
        <f t="shared" ca="1" si="44"/>
        <v>0</v>
      </c>
      <c r="U66" s="781">
        <f t="shared" ca="1" si="44"/>
        <v>0</v>
      </c>
      <c r="V66" s="781">
        <f t="shared" ca="1" si="44"/>
        <v>0</v>
      </c>
      <c r="W66" s="781">
        <f t="shared" ca="1" si="44"/>
        <v>0</v>
      </c>
      <c r="X66" s="781">
        <f t="shared" ca="1" si="44"/>
        <v>0</v>
      </c>
      <c r="Y66" s="781">
        <f t="shared" ca="1" si="44"/>
        <v>0</v>
      </c>
      <c r="Z66" s="781">
        <f t="shared" ca="1" si="44"/>
        <v>0</v>
      </c>
      <c r="AA66" s="781">
        <f t="shared" ca="1" si="45"/>
        <v>0</v>
      </c>
      <c r="AB66" s="781">
        <f t="shared" ca="1" si="45"/>
        <v>0</v>
      </c>
      <c r="AC66" s="781">
        <f t="shared" ca="1" si="45"/>
        <v>0</v>
      </c>
      <c r="AD66" s="781">
        <f t="shared" ca="1" si="45"/>
        <v>0</v>
      </c>
      <c r="AE66" s="781">
        <f t="shared" ca="1" si="45"/>
        <v>0</v>
      </c>
      <c r="AF66" s="781">
        <f t="shared" ca="1" si="45"/>
        <v>0</v>
      </c>
      <c r="AG66" s="781">
        <f t="shared" ca="1" si="45"/>
        <v>0</v>
      </c>
      <c r="AH66" s="781">
        <f t="shared" ca="1" si="45"/>
        <v>0</v>
      </c>
      <c r="AI66" s="781">
        <f t="shared" ca="1" si="45"/>
        <v>0</v>
      </c>
      <c r="AJ66" s="781">
        <f t="shared" ca="1" si="45"/>
        <v>0</v>
      </c>
      <c r="AK66" s="781">
        <f t="shared" ca="1" si="46"/>
        <v>0</v>
      </c>
      <c r="AL66" s="781">
        <f t="shared" ca="1" si="46"/>
        <v>0</v>
      </c>
      <c r="AM66" s="781">
        <f t="shared" ca="1" si="46"/>
        <v>0</v>
      </c>
      <c r="AN66" s="781">
        <f t="shared" ca="1" si="46"/>
        <v>0</v>
      </c>
      <c r="AO66" s="781">
        <f t="shared" ca="1" si="46"/>
        <v>0</v>
      </c>
      <c r="AP66" s="781">
        <f t="shared" ca="1" si="46"/>
        <v>0</v>
      </c>
      <c r="AQ66" s="781">
        <f t="shared" ca="1" si="46"/>
        <v>0</v>
      </c>
      <c r="AR66" s="781">
        <f t="shared" ca="1" si="46"/>
        <v>0</v>
      </c>
      <c r="AS66" s="781">
        <f t="shared" ca="1" si="46"/>
        <v>0</v>
      </c>
      <c r="AT66" s="781">
        <f t="shared" ca="1" si="46"/>
        <v>0</v>
      </c>
      <c r="AV66" s="781">
        <f t="shared" ca="1" si="6"/>
        <v>0</v>
      </c>
      <c r="AX66" s="781">
        <f t="shared" ca="1" si="7"/>
        <v>0</v>
      </c>
      <c r="AZ66" s="781">
        <f t="shared" ca="1" si="8"/>
        <v>0</v>
      </c>
      <c r="BB66" s="781">
        <f t="shared" ca="1" si="9"/>
        <v>0</v>
      </c>
      <c r="BD66" s="781">
        <f t="shared" ca="1" si="10"/>
        <v>0</v>
      </c>
      <c r="BF66" s="781">
        <f t="shared" ca="1" si="11"/>
        <v>0</v>
      </c>
      <c r="BH66" s="781">
        <f t="shared" ca="1" si="12"/>
        <v>0</v>
      </c>
    </row>
    <row r="67" spans="1:60" hidden="1" outlineLevel="1">
      <c r="A67" s="1464">
        <f t="shared" ref="A67:A94" ca="1" si="47">A66</f>
        <v>18</v>
      </c>
      <c r="B67" s="1464">
        <f t="shared" ref="B67:B94" ca="1" si="48">B66</f>
        <v>21</v>
      </c>
      <c r="C67" s="1464">
        <f t="shared" ref="C67:C94" si="49">C66+1</f>
        <v>3</v>
      </c>
      <c r="D67" s="1271" t="str">
        <f ca="1">IF(OFFSET(PortfolioDashboard!$A$3,C67-1,0)="","Blank",OFFSET(PortfolioDashboard!$A$3,C67-1,0))</f>
        <v>Space Planning &amp; Management</v>
      </c>
      <c r="E67" s="1464" t="str">
        <f t="shared" ref="E67:E94" si="50">E66</f>
        <v>MTCO2e</v>
      </c>
      <c r="F67" s="1460"/>
      <c r="G67" s="781">
        <f t="shared" ca="1" si="43"/>
        <v>0</v>
      </c>
      <c r="H67" s="781">
        <f t="shared" ca="1" si="43"/>
        <v>0</v>
      </c>
      <c r="I67" s="781">
        <f t="shared" ca="1" si="43"/>
        <v>0</v>
      </c>
      <c r="J67" s="781">
        <f t="shared" ca="1" si="43"/>
        <v>0</v>
      </c>
      <c r="K67" s="781">
        <f t="shared" ca="1" si="43"/>
        <v>0</v>
      </c>
      <c r="L67" s="781">
        <f t="shared" ca="1" si="43"/>
        <v>0</v>
      </c>
      <c r="M67" s="781">
        <f t="shared" ca="1" si="43"/>
        <v>0</v>
      </c>
      <c r="N67" s="781">
        <f t="shared" ca="1" si="43"/>
        <v>0</v>
      </c>
      <c r="O67" s="781">
        <f t="shared" ca="1" si="43"/>
        <v>0</v>
      </c>
      <c r="P67" s="781">
        <f t="shared" ca="1" si="43"/>
        <v>0</v>
      </c>
      <c r="Q67" s="781">
        <f t="shared" ca="1" si="44"/>
        <v>0</v>
      </c>
      <c r="R67" s="781">
        <f t="shared" ca="1" si="44"/>
        <v>0</v>
      </c>
      <c r="S67" s="781">
        <f t="shared" ca="1" si="44"/>
        <v>0</v>
      </c>
      <c r="T67" s="781">
        <f t="shared" ca="1" si="44"/>
        <v>0</v>
      </c>
      <c r="U67" s="781">
        <f t="shared" ca="1" si="44"/>
        <v>0</v>
      </c>
      <c r="V67" s="781">
        <f t="shared" ca="1" si="44"/>
        <v>0</v>
      </c>
      <c r="W67" s="781">
        <f t="shared" ca="1" si="44"/>
        <v>0</v>
      </c>
      <c r="X67" s="781">
        <f t="shared" ca="1" si="44"/>
        <v>0</v>
      </c>
      <c r="Y67" s="781">
        <f t="shared" ca="1" si="44"/>
        <v>0</v>
      </c>
      <c r="Z67" s="781">
        <f t="shared" ca="1" si="44"/>
        <v>0</v>
      </c>
      <c r="AA67" s="781">
        <f t="shared" ca="1" si="45"/>
        <v>0</v>
      </c>
      <c r="AB67" s="781">
        <f t="shared" ca="1" si="45"/>
        <v>0</v>
      </c>
      <c r="AC67" s="781">
        <f t="shared" ca="1" si="45"/>
        <v>0</v>
      </c>
      <c r="AD67" s="781">
        <f t="shared" ca="1" si="45"/>
        <v>0</v>
      </c>
      <c r="AE67" s="781">
        <f t="shared" ca="1" si="45"/>
        <v>0</v>
      </c>
      <c r="AF67" s="781">
        <f t="shared" ca="1" si="45"/>
        <v>0</v>
      </c>
      <c r="AG67" s="781">
        <f t="shared" ca="1" si="45"/>
        <v>0</v>
      </c>
      <c r="AH67" s="781">
        <f t="shared" ca="1" si="45"/>
        <v>0</v>
      </c>
      <c r="AI67" s="781">
        <f t="shared" ca="1" si="45"/>
        <v>0</v>
      </c>
      <c r="AJ67" s="781">
        <f t="shared" ca="1" si="45"/>
        <v>0</v>
      </c>
      <c r="AK67" s="781">
        <f t="shared" ca="1" si="46"/>
        <v>0</v>
      </c>
      <c r="AL67" s="781">
        <f t="shared" ca="1" si="46"/>
        <v>0</v>
      </c>
      <c r="AM67" s="781">
        <f t="shared" ca="1" si="46"/>
        <v>0</v>
      </c>
      <c r="AN67" s="781">
        <f t="shared" ca="1" si="46"/>
        <v>0</v>
      </c>
      <c r="AO67" s="781">
        <f t="shared" ca="1" si="46"/>
        <v>0</v>
      </c>
      <c r="AP67" s="781">
        <f t="shared" ca="1" si="46"/>
        <v>0</v>
      </c>
      <c r="AQ67" s="781">
        <f t="shared" ca="1" si="46"/>
        <v>0</v>
      </c>
      <c r="AR67" s="781">
        <f t="shared" ca="1" si="46"/>
        <v>0</v>
      </c>
      <c r="AS67" s="781">
        <f t="shared" ca="1" si="46"/>
        <v>0</v>
      </c>
      <c r="AT67" s="781">
        <f t="shared" ca="1" si="46"/>
        <v>0</v>
      </c>
      <c r="AV67" s="781">
        <f t="shared" ca="1" si="6"/>
        <v>0</v>
      </c>
      <c r="AX67" s="781">
        <f t="shared" ca="1" si="7"/>
        <v>0</v>
      </c>
      <c r="AZ67" s="781">
        <f t="shared" ca="1" si="8"/>
        <v>0</v>
      </c>
      <c r="BB67" s="781">
        <f t="shared" ca="1" si="9"/>
        <v>0</v>
      </c>
      <c r="BD67" s="781">
        <f t="shared" ca="1" si="10"/>
        <v>0</v>
      </c>
      <c r="BF67" s="781">
        <f t="shared" ca="1" si="11"/>
        <v>0</v>
      </c>
      <c r="BH67" s="781">
        <f t="shared" ca="1" si="12"/>
        <v>0</v>
      </c>
    </row>
    <row r="68" spans="1:60" hidden="1" outlineLevel="1">
      <c r="A68" s="1464">
        <f t="shared" ca="1" si="47"/>
        <v>18</v>
      </c>
      <c r="B68" s="1464">
        <f t="shared" ca="1" si="48"/>
        <v>21</v>
      </c>
      <c r="C68" s="1464">
        <f t="shared" si="49"/>
        <v>4</v>
      </c>
      <c r="D68" s="1271" t="str">
        <f ca="1">IF(OFFSET(PortfolioDashboard!$A$3,C68-1,0)="","Blank",OFFSET(PortfolioDashboard!$A$3,C68-1,0))</f>
        <v>Central Chiller Expansion</v>
      </c>
      <c r="E68" s="1464" t="str">
        <f t="shared" si="50"/>
        <v>MTCO2e</v>
      </c>
      <c r="F68" s="1460"/>
      <c r="G68" s="781">
        <f t="shared" ca="1" si="43"/>
        <v>0</v>
      </c>
      <c r="H68" s="781">
        <f t="shared" ca="1" si="43"/>
        <v>0</v>
      </c>
      <c r="I68" s="781">
        <f t="shared" ca="1" si="43"/>
        <v>0</v>
      </c>
      <c r="J68" s="781">
        <f t="shared" ca="1" si="43"/>
        <v>0</v>
      </c>
      <c r="K68" s="781">
        <f t="shared" ca="1" si="43"/>
        <v>0</v>
      </c>
      <c r="L68" s="781">
        <f t="shared" ca="1" si="43"/>
        <v>0</v>
      </c>
      <c r="M68" s="781">
        <f t="shared" ca="1" si="43"/>
        <v>0</v>
      </c>
      <c r="N68" s="781">
        <f t="shared" ca="1" si="43"/>
        <v>0</v>
      </c>
      <c r="O68" s="781">
        <f t="shared" ca="1" si="43"/>
        <v>0</v>
      </c>
      <c r="P68" s="781">
        <f t="shared" ca="1" si="43"/>
        <v>0</v>
      </c>
      <c r="Q68" s="781">
        <f t="shared" ca="1" si="44"/>
        <v>0</v>
      </c>
      <c r="R68" s="781">
        <f t="shared" ca="1" si="44"/>
        <v>0</v>
      </c>
      <c r="S68" s="781">
        <f t="shared" ca="1" si="44"/>
        <v>0</v>
      </c>
      <c r="T68" s="781">
        <f t="shared" ca="1" si="44"/>
        <v>0</v>
      </c>
      <c r="U68" s="781">
        <f t="shared" ca="1" si="44"/>
        <v>0</v>
      </c>
      <c r="V68" s="781">
        <f t="shared" ca="1" si="44"/>
        <v>0</v>
      </c>
      <c r="W68" s="781">
        <f t="shared" ca="1" si="44"/>
        <v>0</v>
      </c>
      <c r="X68" s="781">
        <f t="shared" ca="1" si="44"/>
        <v>0</v>
      </c>
      <c r="Y68" s="781">
        <f t="shared" ca="1" si="44"/>
        <v>0</v>
      </c>
      <c r="Z68" s="781">
        <f t="shared" ca="1" si="44"/>
        <v>0</v>
      </c>
      <c r="AA68" s="781">
        <f t="shared" ca="1" si="45"/>
        <v>0</v>
      </c>
      <c r="AB68" s="781">
        <f t="shared" ca="1" si="45"/>
        <v>0</v>
      </c>
      <c r="AC68" s="781">
        <f t="shared" ca="1" si="45"/>
        <v>0</v>
      </c>
      <c r="AD68" s="781">
        <f t="shared" ca="1" si="45"/>
        <v>0</v>
      </c>
      <c r="AE68" s="781">
        <f t="shared" ca="1" si="45"/>
        <v>0</v>
      </c>
      <c r="AF68" s="781">
        <f t="shared" ca="1" si="45"/>
        <v>0</v>
      </c>
      <c r="AG68" s="781">
        <f t="shared" ca="1" si="45"/>
        <v>0</v>
      </c>
      <c r="AH68" s="781">
        <f t="shared" ca="1" si="45"/>
        <v>0</v>
      </c>
      <c r="AI68" s="781">
        <f t="shared" ca="1" si="45"/>
        <v>0</v>
      </c>
      <c r="AJ68" s="781">
        <f t="shared" ca="1" si="45"/>
        <v>0</v>
      </c>
      <c r="AK68" s="781">
        <f t="shared" ca="1" si="46"/>
        <v>0</v>
      </c>
      <c r="AL68" s="781">
        <f t="shared" ca="1" si="46"/>
        <v>0</v>
      </c>
      <c r="AM68" s="781">
        <f t="shared" ca="1" si="46"/>
        <v>0</v>
      </c>
      <c r="AN68" s="781">
        <f t="shared" ca="1" si="46"/>
        <v>0</v>
      </c>
      <c r="AO68" s="781">
        <f t="shared" ca="1" si="46"/>
        <v>0</v>
      </c>
      <c r="AP68" s="781">
        <f t="shared" ca="1" si="46"/>
        <v>0</v>
      </c>
      <c r="AQ68" s="781">
        <f t="shared" ca="1" si="46"/>
        <v>0</v>
      </c>
      <c r="AR68" s="781">
        <f t="shared" ca="1" si="46"/>
        <v>0</v>
      </c>
      <c r="AS68" s="781">
        <f t="shared" ca="1" si="46"/>
        <v>0</v>
      </c>
      <c r="AT68" s="781">
        <f t="shared" ca="1" si="46"/>
        <v>0</v>
      </c>
      <c r="AV68" s="781">
        <f t="shared" ref="AV68:AV126" ca="1" si="51">SUM(L68:P68)</f>
        <v>0</v>
      </c>
      <c r="AX68" s="781">
        <f t="shared" ref="AX68:AX126" ca="1" si="52">SUM(Q68:U68)</f>
        <v>0</v>
      </c>
      <c r="AZ68" s="781">
        <f t="shared" ref="AZ68:AZ126" ca="1" si="53">SUM(V68:Z68)</f>
        <v>0</v>
      </c>
      <c r="BB68" s="781">
        <f t="shared" ref="BB68:BB126" ca="1" si="54">SUM(AA68:AE68)</f>
        <v>0</v>
      </c>
      <c r="BD68" s="781">
        <f t="shared" ref="BD68:BD126" ca="1" si="55">SUM(AF68:AJ68)</f>
        <v>0</v>
      </c>
      <c r="BF68" s="781">
        <f t="shared" ref="BF68:BF126" ca="1" si="56">SUM(AK68:AO68)</f>
        <v>0</v>
      </c>
      <c r="BH68" s="781">
        <f t="shared" ref="BH68:BH126" ca="1" si="57">SUM(AP68:AT68)</f>
        <v>0</v>
      </c>
    </row>
    <row r="69" spans="1:60" hidden="1" outlineLevel="1">
      <c r="A69" s="1464">
        <f t="shared" ca="1" si="47"/>
        <v>18</v>
      </c>
      <c r="B69" s="1464">
        <f t="shared" ca="1" si="48"/>
        <v>21</v>
      </c>
      <c r="C69" s="1464">
        <f t="shared" si="49"/>
        <v>5</v>
      </c>
      <c r="D69" s="1271" t="str">
        <f ca="1">IF(OFFSET(PortfolioDashboard!$A$3,C69-1,0)="","Blank",OFFSET(PortfolioDashboard!$A$3,C69-1,0))</f>
        <v>Short-term Energy Conservation Measures</v>
      </c>
      <c r="E69" s="1464" t="str">
        <f t="shared" si="50"/>
        <v>MTCO2e</v>
      </c>
      <c r="F69" s="1460"/>
      <c r="G69" s="781">
        <f t="shared" ca="1" si="43"/>
        <v>0</v>
      </c>
      <c r="H69" s="781">
        <f t="shared" ca="1" si="43"/>
        <v>0</v>
      </c>
      <c r="I69" s="781">
        <f t="shared" ca="1" si="43"/>
        <v>0</v>
      </c>
      <c r="J69" s="781">
        <f t="shared" ca="1" si="43"/>
        <v>0</v>
      </c>
      <c r="K69" s="781">
        <f t="shared" ca="1" si="43"/>
        <v>0</v>
      </c>
      <c r="L69" s="781">
        <f t="shared" ca="1" si="43"/>
        <v>0</v>
      </c>
      <c r="M69" s="781">
        <f t="shared" ca="1" si="43"/>
        <v>0</v>
      </c>
      <c r="N69" s="781">
        <f t="shared" ca="1" si="43"/>
        <v>0</v>
      </c>
      <c r="O69" s="781">
        <f t="shared" ca="1" si="43"/>
        <v>0</v>
      </c>
      <c r="P69" s="781">
        <f t="shared" ca="1" si="43"/>
        <v>0</v>
      </c>
      <c r="Q69" s="781">
        <f t="shared" ca="1" si="44"/>
        <v>0</v>
      </c>
      <c r="R69" s="781">
        <f t="shared" ca="1" si="44"/>
        <v>0</v>
      </c>
      <c r="S69" s="781">
        <f t="shared" ca="1" si="44"/>
        <v>0</v>
      </c>
      <c r="T69" s="781">
        <f t="shared" ca="1" si="44"/>
        <v>0</v>
      </c>
      <c r="U69" s="781">
        <f t="shared" ca="1" si="44"/>
        <v>0</v>
      </c>
      <c r="V69" s="781">
        <f t="shared" ca="1" si="44"/>
        <v>0</v>
      </c>
      <c r="W69" s="781">
        <f t="shared" ca="1" si="44"/>
        <v>0</v>
      </c>
      <c r="X69" s="781">
        <f t="shared" ca="1" si="44"/>
        <v>0</v>
      </c>
      <c r="Y69" s="781">
        <f t="shared" ca="1" si="44"/>
        <v>0</v>
      </c>
      <c r="Z69" s="781">
        <f t="shared" ca="1" si="44"/>
        <v>0</v>
      </c>
      <c r="AA69" s="781">
        <f t="shared" ca="1" si="45"/>
        <v>0</v>
      </c>
      <c r="AB69" s="781">
        <f t="shared" ca="1" si="45"/>
        <v>0</v>
      </c>
      <c r="AC69" s="781">
        <f t="shared" ca="1" si="45"/>
        <v>0</v>
      </c>
      <c r="AD69" s="781">
        <f t="shared" ca="1" si="45"/>
        <v>0</v>
      </c>
      <c r="AE69" s="781">
        <f t="shared" ca="1" si="45"/>
        <v>0</v>
      </c>
      <c r="AF69" s="781">
        <f t="shared" ca="1" si="45"/>
        <v>0</v>
      </c>
      <c r="AG69" s="781">
        <f t="shared" ca="1" si="45"/>
        <v>0</v>
      </c>
      <c r="AH69" s="781">
        <f t="shared" ca="1" si="45"/>
        <v>0</v>
      </c>
      <c r="AI69" s="781">
        <f t="shared" ca="1" si="45"/>
        <v>0</v>
      </c>
      <c r="AJ69" s="781">
        <f t="shared" ca="1" si="45"/>
        <v>0</v>
      </c>
      <c r="AK69" s="781">
        <f t="shared" ca="1" si="46"/>
        <v>0</v>
      </c>
      <c r="AL69" s="781">
        <f t="shared" ca="1" si="46"/>
        <v>0</v>
      </c>
      <c r="AM69" s="781">
        <f t="shared" ca="1" si="46"/>
        <v>0</v>
      </c>
      <c r="AN69" s="781">
        <f t="shared" ca="1" si="46"/>
        <v>0</v>
      </c>
      <c r="AO69" s="781">
        <f t="shared" ca="1" si="46"/>
        <v>0</v>
      </c>
      <c r="AP69" s="781">
        <f t="shared" ca="1" si="46"/>
        <v>0</v>
      </c>
      <c r="AQ69" s="781">
        <f t="shared" ca="1" si="46"/>
        <v>0</v>
      </c>
      <c r="AR69" s="781">
        <f t="shared" ca="1" si="46"/>
        <v>0</v>
      </c>
      <c r="AS69" s="781">
        <f t="shared" ca="1" si="46"/>
        <v>0</v>
      </c>
      <c r="AT69" s="781">
        <f t="shared" ca="1" si="46"/>
        <v>0</v>
      </c>
      <c r="AV69" s="781">
        <f t="shared" ca="1" si="51"/>
        <v>0</v>
      </c>
      <c r="AX69" s="781">
        <f t="shared" ca="1" si="52"/>
        <v>0</v>
      </c>
      <c r="AZ69" s="781">
        <f t="shared" ca="1" si="53"/>
        <v>0</v>
      </c>
      <c r="BB69" s="781">
        <f t="shared" ca="1" si="54"/>
        <v>0</v>
      </c>
      <c r="BD69" s="781">
        <f t="shared" ca="1" si="55"/>
        <v>0</v>
      </c>
      <c r="BF69" s="781">
        <f t="shared" ca="1" si="56"/>
        <v>0</v>
      </c>
      <c r="BH69" s="781">
        <f t="shared" ca="1" si="57"/>
        <v>0</v>
      </c>
    </row>
    <row r="70" spans="1:60" hidden="1" outlineLevel="1">
      <c r="A70" s="1464">
        <f t="shared" ca="1" si="47"/>
        <v>18</v>
      </c>
      <c r="B70" s="1464">
        <f t="shared" ca="1" si="48"/>
        <v>21</v>
      </c>
      <c r="C70" s="1464">
        <f t="shared" si="49"/>
        <v>6</v>
      </c>
      <c r="D70" s="1271" t="str">
        <f ca="1">IF(OFFSET(PortfolioDashboard!$A$3,C70-1,0)="","Blank",OFFSET(PortfolioDashboard!$A$3,C70-1,0))</f>
        <v>Mid-term Energy Conservation Measures</v>
      </c>
      <c r="E70" s="1464" t="str">
        <f t="shared" si="50"/>
        <v>MTCO2e</v>
      </c>
      <c r="F70" s="1460"/>
      <c r="G70" s="781">
        <f t="shared" ca="1" si="43"/>
        <v>0</v>
      </c>
      <c r="H70" s="781">
        <f t="shared" ca="1" si="43"/>
        <v>0</v>
      </c>
      <c r="I70" s="781">
        <f t="shared" ca="1" si="43"/>
        <v>0</v>
      </c>
      <c r="J70" s="781">
        <f t="shared" ca="1" si="43"/>
        <v>0</v>
      </c>
      <c r="K70" s="781">
        <f t="shared" ca="1" si="43"/>
        <v>0</v>
      </c>
      <c r="L70" s="781">
        <f t="shared" ca="1" si="43"/>
        <v>0</v>
      </c>
      <c r="M70" s="781">
        <f t="shared" ca="1" si="43"/>
        <v>0</v>
      </c>
      <c r="N70" s="781">
        <f t="shared" ca="1" si="43"/>
        <v>0</v>
      </c>
      <c r="O70" s="781">
        <f t="shared" ca="1" si="43"/>
        <v>0</v>
      </c>
      <c r="P70" s="781">
        <f t="shared" ca="1" si="43"/>
        <v>0</v>
      </c>
      <c r="Q70" s="781">
        <f t="shared" ca="1" si="44"/>
        <v>0</v>
      </c>
      <c r="R70" s="781">
        <f t="shared" ca="1" si="44"/>
        <v>0</v>
      </c>
      <c r="S70" s="781">
        <f t="shared" ca="1" si="44"/>
        <v>0</v>
      </c>
      <c r="T70" s="781">
        <f t="shared" ca="1" si="44"/>
        <v>0</v>
      </c>
      <c r="U70" s="781">
        <f t="shared" ca="1" si="44"/>
        <v>0</v>
      </c>
      <c r="V70" s="781">
        <f t="shared" ca="1" si="44"/>
        <v>0</v>
      </c>
      <c r="W70" s="781">
        <f t="shared" ca="1" si="44"/>
        <v>0</v>
      </c>
      <c r="X70" s="781">
        <f t="shared" ca="1" si="44"/>
        <v>0</v>
      </c>
      <c r="Y70" s="781">
        <f t="shared" ca="1" si="44"/>
        <v>0</v>
      </c>
      <c r="Z70" s="781">
        <f t="shared" ca="1" si="44"/>
        <v>0</v>
      </c>
      <c r="AA70" s="781">
        <f t="shared" ca="1" si="45"/>
        <v>0</v>
      </c>
      <c r="AB70" s="781">
        <f t="shared" ca="1" si="45"/>
        <v>0</v>
      </c>
      <c r="AC70" s="781">
        <f t="shared" ca="1" si="45"/>
        <v>0</v>
      </c>
      <c r="AD70" s="781">
        <f t="shared" ca="1" si="45"/>
        <v>0</v>
      </c>
      <c r="AE70" s="781">
        <f t="shared" ca="1" si="45"/>
        <v>0</v>
      </c>
      <c r="AF70" s="781">
        <f t="shared" ca="1" si="45"/>
        <v>0</v>
      </c>
      <c r="AG70" s="781">
        <f t="shared" ca="1" si="45"/>
        <v>0</v>
      </c>
      <c r="AH70" s="781">
        <f t="shared" ca="1" si="45"/>
        <v>0</v>
      </c>
      <c r="AI70" s="781">
        <f t="shared" ca="1" si="45"/>
        <v>0</v>
      </c>
      <c r="AJ70" s="781">
        <f t="shared" ca="1" si="45"/>
        <v>0</v>
      </c>
      <c r="AK70" s="781">
        <f t="shared" ca="1" si="46"/>
        <v>0</v>
      </c>
      <c r="AL70" s="781">
        <f t="shared" ca="1" si="46"/>
        <v>0</v>
      </c>
      <c r="AM70" s="781">
        <f t="shared" ca="1" si="46"/>
        <v>0</v>
      </c>
      <c r="AN70" s="781">
        <f t="shared" ca="1" si="46"/>
        <v>0</v>
      </c>
      <c r="AO70" s="781">
        <f t="shared" ca="1" si="46"/>
        <v>0</v>
      </c>
      <c r="AP70" s="781">
        <f t="shared" ca="1" si="46"/>
        <v>0</v>
      </c>
      <c r="AQ70" s="781">
        <f t="shared" ca="1" si="46"/>
        <v>0</v>
      </c>
      <c r="AR70" s="781">
        <f t="shared" ca="1" si="46"/>
        <v>0</v>
      </c>
      <c r="AS70" s="781">
        <f t="shared" ca="1" si="46"/>
        <v>0</v>
      </c>
      <c r="AT70" s="781">
        <f t="shared" ca="1" si="46"/>
        <v>0</v>
      </c>
      <c r="AV70" s="781">
        <f t="shared" ca="1" si="51"/>
        <v>0</v>
      </c>
      <c r="AX70" s="781">
        <f t="shared" ca="1" si="52"/>
        <v>0</v>
      </c>
      <c r="AZ70" s="781">
        <f t="shared" ca="1" si="53"/>
        <v>0</v>
      </c>
      <c r="BB70" s="781">
        <f t="shared" ca="1" si="54"/>
        <v>0</v>
      </c>
      <c r="BD70" s="781">
        <f t="shared" ca="1" si="55"/>
        <v>0</v>
      </c>
      <c r="BF70" s="781">
        <f t="shared" ca="1" si="56"/>
        <v>0</v>
      </c>
      <c r="BH70" s="781">
        <f t="shared" ca="1" si="57"/>
        <v>0</v>
      </c>
    </row>
    <row r="71" spans="1:60" hidden="1" outlineLevel="1">
      <c r="A71" s="1464">
        <f t="shared" ca="1" si="47"/>
        <v>18</v>
      </c>
      <c r="B71" s="1464">
        <f t="shared" ca="1" si="48"/>
        <v>21</v>
      </c>
      <c r="C71" s="1464">
        <f t="shared" si="49"/>
        <v>7</v>
      </c>
      <c r="D71" s="1271" t="str">
        <f ca="1">IF(OFFSET(PortfolioDashboard!$A$3,C71-1,0)="","Blank",OFFSET(PortfolioDashboard!$A$3,C71-1,0))</f>
        <v>Long-term Energy Conservation Measures</v>
      </c>
      <c r="E71" s="1464" t="str">
        <f t="shared" si="50"/>
        <v>MTCO2e</v>
      </c>
      <c r="F71" s="1460"/>
      <c r="G71" s="781">
        <f t="shared" ca="1" si="43"/>
        <v>0</v>
      </c>
      <c r="H71" s="781">
        <f t="shared" ca="1" si="43"/>
        <v>0</v>
      </c>
      <c r="I71" s="781">
        <f t="shared" ca="1" si="43"/>
        <v>0</v>
      </c>
      <c r="J71" s="781">
        <f t="shared" ca="1" si="43"/>
        <v>0</v>
      </c>
      <c r="K71" s="781">
        <f t="shared" ca="1" si="43"/>
        <v>0</v>
      </c>
      <c r="L71" s="781">
        <f t="shared" ca="1" si="43"/>
        <v>0</v>
      </c>
      <c r="M71" s="781">
        <f t="shared" ca="1" si="43"/>
        <v>0</v>
      </c>
      <c r="N71" s="781">
        <f t="shared" ca="1" si="43"/>
        <v>0</v>
      </c>
      <c r="O71" s="781">
        <f t="shared" ca="1" si="43"/>
        <v>0</v>
      </c>
      <c r="P71" s="781">
        <f t="shared" ca="1" si="43"/>
        <v>0</v>
      </c>
      <c r="Q71" s="781">
        <f t="shared" ca="1" si="44"/>
        <v>0</v>
      </c>
      <c r="R71" s="781">
        <f t="shared" ca="1" si="44"/>
        <v>0</v>
      </c>
      <c r="S71" s="781">
        <f t="shared" ca="1" si="44"/>
        <v>0</v>
      </c>
      <c r="T71" s="781">
        <f t="shared" ca="1" si="44"/>
        <v>0</v>
      </c>
      <c r="U71" s="781">
        <f t="shared" ca="1" si="44"/>
        <v>0</v>
      </c>
      <c r="V71" s="781">
        <f t="shared" ca="1" si="44"/>
        <v>0</v>
      </c>
      <c r="W71" s="781">
        <f t="shared" ca="1" si="44"/>
        <v>0</v>
      </c>
      <c r="X71" s="781">
        <f t="shared" ca="1" si="44"/>
        <v>0</v>
      </c>
      <c r="Y71" s="781">
        <f t="shared" ca="1" si="44"/>
        <v>0</v>
      </c>
      <c r="Z71" s="781">
        <f t="shared" ca="1" si="44"/>
        <v>0</v>
      </c>
      <c r="AA71" s="781">
        <f t="shared" ca="1" si="45"/>
        <v>0</v>
      </c>
      <c r="AB71" s="781">
        <f t="shared" ca="1" si="45"/>
        <v>0</v>
      </c>
      <c r="AC71" s="781">
        <f t="shared" ca="1" si="45"/>
        <v>0</v>
      </c>
      <c r="AD71" s="781">
        <f t="shared" ca="1" si="45"/>
        <v>0</v>
      </c>
      <c r="AE71" s="781">
        <f t="shared" ca="1" si="45"/>
        <v>0</v>
      </c>
      <c r="AF71" s="781">
        <f t="shared" ca="1" si="45"/>
        <v>0</v>
      </c>
      <c r="AG71" s="781">
        <f t="shared" ca="1" si="45"/>
        <v>0</v>
      </c>
      <c r="AH71" s="781">
        <f t="shared" ca="1" si="45"/>
        <v>0</v>
      </c>
      <c r="AI71" s="781">
        <f t="shared" ca="1" si="45"/>
        <v>0</v>
      </c>
      <c r="AJ71" s="781">
        <f t="shared" ca="1" si="45"/>
        <v>0</v>
      </c>
      <c r="AK71" s="781">
        <f t="shared" ca="1" si="46"/>
        <v>0</v>
      </c>
      <c r="AL71" s="781">
        <f t="shared" ca="1" si="46"/>
        <v>0</v>
      </c>
      <c r="AM71" s="781">
        <f t="shared" ca="1" si="46"/>
        <v>0</v>
      </c>
      <c r="AN71" s="781">
        <f t="shared" ca="1" si="46"/>
        <v>0</v>
      </c>
      <c r="AO71" s="781">
        <f t="shared" ca="1" si="46"/>
        <v>0</v>
      </c>
      <c r="AP71" s="781">
        <f t="shared" ca="1" si="46"/>
        <v>0</v>
      </c>
      <c r="AQ71" s="781">
        <f t="shared" ca="1" si="46"/>
        <v>0</v>
      </c>
      <c r="AR71" s="781">
        <f t="shared" ca="1" si="46"/>
        <v>0</v>
      </c>
      <c r="AS71" s="781">
        <f t="shared" ca="1" si="46"/>
        <v>0</v>
      </c>
      <c r="AT71" s="781">
        <f t="shared" ca="1" si="46"/>
        <v>0</v>
      </c>
      <c r="AV71" s="781">
        <f t="shared" ca="1" si="51"/>
        <v>0</v>
      </c>
      <c r="AX71" s="781">
        <f t="shared" ca="1" si="52"/>
        <v>0</v>
      </c>
      <c r="AZ71" s="781">
        <f t="shared" ca="1" si="53"/>
        <v>0</v>
      </c>
      <c r="BB71" s="781">
        <f t="shared" ca="1" si="54"/>
        <v>0</v>
      </c>
      <c r="BD71" s="781">
        <f t="shared" ca="1" si="55"/>
        <v>0</v>
      </c>
      <c r="BF71" s="781">
        <f t="shared" ca="1" si="56"/>
        <v>0</v>
      </c>
      <c r="BH71" s="781">
        <f t="shared" ca="1" si="57"/>
        <v>0</v>
      </c>
    </row>
    <row r="72" spans="1:60" hidden="1" outlineLevel="1">
      <c r="A72" s="1464">
        <f t="shared" ca="1" si="47"/>
        <v>18</v>
      </c>
      <c r="B72" s="1464">
        <f t="shared" ca="1" si="48"/>
        <v>21</v>
      </c>
      <c r="C72" s="1464">
        <f t="shared" si="49"/>
        <v>8</v>
      </c>
      <c r="D72" s="1271" t="str">
        <f ca="1">IF(OFFSET(PortfolioDashboard!$A$3,C72-1,0)="","Blank",OFFSET(PortfolioDashboard!$A$3,C72-1,0))</f>
        <v>Green IT</v>
      </c>
      <c r="E72" s="1464" t="str">
        <f t="shared" si="50"/>
        <v>MTCO2e</v>
      </c>
      <c r="F72" s="1460"/>
      <c r="G72" s="781">
        <f t="shared" ca="1" si="43"/>
        <v>0</v>
      </c>
      <c r="H72" s="781">
        <f t="shared" ca="1" si="43"/>
        <v>0</v>
      </c>
      <c r="I72" s="781">
        <f t="shared" ca="1" si="43"/>
        <v>0</v>
      </c>
      <c r="J72" s="781">
        <f t="shared" ca="1" si="43"/>
        <v>0</v>
      </c>
      <c r="K72" s="781">
        <f t="shared" ca="1" si="43"/>
        <v>0</v>
      </c>
      <c r="L72" s="781">
        <f t="shared" ca="1" si="43"/>
        <v>0</v>
      </c>
      <c r="M72" s="781">
        <f t="shared" ca="1" si="43"/>
        <v>0</v>
      </c>
      <c r="N72" s="781">
        <f t="shared" ca="1" si="43"/>
        <v>0</v>
      </c>
      <c r="O72" s="781">
        <f t="shared" ca="1" si="43"/>
        <v>0</v>
      </c>
      <c r="P72" s="781">
        <f t="shared" ca="1" si="43"/>
        <v>0</v>
      </c>
      <c r="Q72" s="781">
        <f t="shared" ca="1" si="44"/>
        <v>0</v>
      </c>
      <c r="R72" s="781">
        <f t="shared" ca="1" si="44"/>
        <v>0</v>
      </c>
      <c r="S72" s="781">
        <f t="shared" ca="1" si="44"/>
        <v>0</v>
      </c>
      <c r="T72" s="781">
        <f t="shared" ca="1" si="44"/>
        <v>0</v>
      </c>
      <c r="U72" s="781">
        <f t="shared" ca="1" si="44"/>
        <v>0</v>
      </c>
      <c r="V72" s="781">
        <f t="shared" ca="1" si="44"/>
        <v>0</v>
      </c>
      <c r="W72" s="781">
        <f t="shared" ca="1" si="44"/>
        <v>0</v>
      </c>
      <c r="X72" s="781">
        <f t="shared" ca="1" si="44"/>
        <v>0</v>
      </c>
      <c r="Y72" s="781">
        <f t="shared" ca="1" si="44"/>
        <v>0</v>
      </c>
      <c r="Z72" s="781">
        <f t="shared" ca="1" si="44"/>
        <v>0</v>
      </c>
      <c r="AA72" s="781">
        <f t="shared" ca="1" si="45"/>
        <v>0</v>
      </c>
      <c r="AB72" s="781">
        <f t="shared" ca="1" si="45"/>
        <v>0</v>
      </c>
      <c r="AC72" s="781">
        <f t="shared" ca="1" si="45"/>
        <v>0</v>
      </c>
      <c r="AD72" s="781">
        <f t="shared" ca="1" si="45"/>
        <v>0</v>
      </c>
      <c r="AE72" s="781">
        <f t="shared" ca="1" si="45"/>
        <v>0</v>
      </c>
      <c r="AF72" s="781">
        <f t="shared" ca="1" si="45"/>
        <v>0</v>
      </c>
      <c r="AG72" s="781">
        <f t="shared" ca="1" si="45"/>
        <v>0</v>
      </c>
      <c r="AH72" s="781">
        <f t="shared" ca="1" si="45"/>
        <v>0</v>
      </c>
      <c r="AI72" s="781">
        <f t="shared" ca="1" si="45"/>
        <v>0</v>
      </c>
      <c r="AJ72" s="781">
        <f t="shared" ca="1" si="45"/>
        <v>0</v>
      </c>
      <c r="AK72" s="781">
        <f t="shared" ca="1" si="46"/>
        <v>0</v>
      </c>
      <c r="AL72" s="781">
        <f t="shared" ca="1" si="46"/>
        <v>0</v>
      </c>
      <c r="AM72" s="781">
        <f t="shared" ca="1" si="46"/>
        <v>0</v>
      </c>
      <c r="AN72" s="781">
        <f t="shared" ca="1" si="46"/>
        <v>0</v>
      </c>
      <c r="AO72" s="781">
        <f t="shared" ca="1" si="46"/>
        <v>0</v>
      </c>
      <c r="AP72" s="781">
        <f t="shared" ca="1" si="46"/>
        <v>0</v>
      </c>
      <c r="AQ72" s="781">
        <f t="shared" ca="1" si="46"/>
        <v>0</v>
      </c>
      <c r="AR72" s="781">
        <f t="shared" ca="1" si="46"/>
        <v>0</v>
      </c>
      <c r="AS72" s="781">
        <f t="shared" ca="1" si="46"/>
        <v>0</v>
      </c>
      <c r="AT72" s="781">
        <f t="shared" ca="1" si="46"/>
        <v>0</v>
      </c>
      <c r="AV72" s="781">
        <f t="shared" ca="1" si="51"/>
        <v>0</v>
      </c>
      <c r="AX72" s="781">
        <f t="shared" ca="1" si="52"/>
        <v>0</v>
      </c>
      <c r="AZ72" s="781">
        <f t="shared" ca="1" si="53"/>
        <v>0</v>
      </c>
      <c r="BB72" s="781">
        <f t="shared" ca="1" si="54"/>
        <v>0</v>
      </c>
      <c r="BD72" s="781">
        <f t="shared" ca="1" si="55"/>
        <v>0</v>
      </c>
      <c r="BF72" s="781">
        <f t="shared" ca="1" si="56"/>
        <v>0</v>
      </c>
      <c r="BH72" s="781">
        <f t="shared" ca="1" si="57"/>
        <v>0</v>
      </c>
    </row>
    <row r="73" spans="1:60" hidden="1" outlineLevel="1">
      <c r="A73" s="1464">
        <f t="shared" ca="1" si="47"/>
        <v>18</v>
      </c>
      <c r="B73" s="1464">
        <f t="shared" ca="1" si="48"/>
        <v>21</v>
      </c>
      <c r="C73" s="1464">
        <f t="shared" si="49"/>
        <v>9</v>
      </c>
      <c r="D73" s="1271" t="str">
        <f ca="1">IF(OFFSET(PortfolioDashboard!$A$3,C73-1,0)="","Blank",OFFSET(PortfolioDashboard!$A$3,C73-1,0))</f>
        <v>Reduced Air Travel</v>
      </c>
      <c r="E73" s="1464" t="str">
        <f t="shared" si="50"/>
        <v>MTCO2e</v>
      </c>
      <c r="F73" s="1460"/>
      <c r="G73" s="781">
        <f t="shared" ca="1" si="43"/>
        <v>0</v>
      </c>
      <c r="H73" s="781">
        <f t="shared" ca="1" si="43"/>
        <v>0</v>
      </c>
      <c r="I73" s="781">
        <f t="shared" ca="1" si="43"/>
        <v>0</v>
      </c>
      <c r="J73" s="781">
        <f t="shared" ca="1" si="43"/>
        <v>0</v>
      </c>
      <c r="K73" s="781">
        <f t="shared" ca="1" si="43"/>
        <v>0</v>
      </c>
      <c r="L73" s="781">
        <f t="shared" ca="1" si="43"/>
        <v>0</v>
      </c>
      <c r="M73" s="781">
        <f t="shared" ca="1" si="43"/>
        <v>0</v>
      </c>
      <c r="N73" s="781">
        <f t="shared" ca="1" si="43"/>
        <v>0</v>
      </c>
      <c r="O73" s="781">
        <f t="shared" ca="1" si="43"/>
        <v>0</v>
      </c>
      <c r="P73" s="781">
        <f t="shared" ca="1" si="43"/>
        <v>0</v>
      </c>
      <c r="Q73" s="781">
        <f t="shared" ca="1" si="44"/>
        <v>0</v>
      </c>
      <c r="R73" s="781">
        <f t="shared" ca="1" si="44"/>
        <v>0</v>
      </c>
      <c r="S73" s="781">
        <f t="shared" ca="1" si="44"/>
        <v>0</v>
      </c>
      <c r="T73" s="781">
        <f t="shared" ca="1" si="44"/>
        <v>0</v>
      </c>
      <c r="U73" s="781">
        <f t="shared" ca="1" si="44"/>
        <v>0</v>
      </c>
      <c r="V73" s="781">
        <f t="shared" ca="1" si="44"/>
        <v>0</v>
      </c>
      <c r="W73" s="781">
        <f t="shared" ca="1" si="44"/>
        <v>0</v>
      </c>
      <c r="X73" s="781">
        <f t="shared" ca="1" si="44"/>
        <v>0</v>
      </c>
      <c r="Y73" s="781">
        <f t="shared" ca="1" si="44"/>
        <v>0</v>
      </c>
      <c r="Z73" s="781">
        <f t="shared" ca="1" si="44"/>
        <v>0</v>
      </c>
      <c r="AA73" s="781">
        <f t="shared" ca="1" si="45"/>
        <v>0</v>
      </c>
      <c r="AB73" s="781">
        <f t="shared" ca="1" si="45"/>
        <v>0</v>
      </c>
      <c r="AC73" s="781">
        <f t="shared" ca="1" si="45"/>
        <v>0</v>
      </c>
      <c r="AD73" s="781">
        <f t="shared" ca="1" si="45"/>
        <v>0</v>
      </c>
      <c r="AE73" s="781">
        <f t="shared" ca="1" si="45"/>
        <v>0</v>
      </c>
      <c r="AF73" s="781">
        <f t="shared" ca="1" si="45"/>
        <v>0</v>
      </c>
      <c r="AG73" s="781">
        <f t="shared" ca="1" si="45"/>
        <v>0</v>
      </c>
      <c r="AH73" s="781">
        <f t="shared" ca="1" si="45"/>
        <v>0</v>
      </c>
      <c r="AI73" s="781">
        <f t="shared" ca="1" si="45"/>
        <v>0</v>
      </c>
      <c r="AJ73" s="781">
        <f t="shared" ca="1" si="45"/>
        <v>0</v>
      </c>
      <c r="AK73" s="781">
        <f t="shared" ca="1" si="46"/>
        <v>0</v>
      </c>
      <c r="AL73" s="781">
        <f t="shared" ca="1" si="46"/>
        <v>0</v>
      </c>
      <c r="AM73" s="781">
        <f t="shared" ca="1" si="46"/>
        <v>0</v>
      </c>
      <c r="AN73" s="781">
        <f t="shared" ca="1" si="46"/>
        <v>0</v>
      </c>
      <c r="AO73" s="781">
        <f t="shared" ca="1" si="46"/>
        <v>0</v>
      </c>
      <c r="AP73" s="781">
        <f t="shared" ca="1" si="46"/>
        <v>0</v>
      </c>
      <c r="AQ73" s="781">
        <f t="shared" ca="1" si="46"/>
        <v>0</v>
      </c>
      <c r="AR73" s="781">
        <f t="shared" ca="1" si="46"/>
        <v>0</v>
      </c>
      <c r="AS73" s="781">
        <f t="shared" ca="1" si="46"/>
        <v>0</v>
      </c>
      <c r="AT73" s="781">
        <f t="shared" ca="1" si="46"/>
        <v>0</v>
      </c>
      <c r="AV73" s="781">
        <f t="shared" ca="1" si="51"/>
        <v>0</v>
      </c>
      <c r="AX73" s="781">
        <f t="shared" ca="1" si="52"/>
        <v>0</v>
      </c>
      <c r="AZ73" s="781">
        <f t="shared" ca="1" si="53"/>
        <v>0</v>
      </c>
      <c r="BB73" s="781">
        <f t="shared" ca="1" si="54"/>
        <v>0</v>
      </c>
      <c r="BD73" s="781">
        <f t="shared" ca="1" si="55"/>
        <v>0</v>
      </c>
      <c r="BF73" s="781">
        <f t="shared" ca="1" si="56"/>
        <v>0</v>
      </c>
      <c r="BH73" s="781">
        <f t="shared" ca="1" si="57"/>
        <v>0</v>
      </c>
    </row>
    <row r="74" spans="1:60" hidden="1" outlineLevel="1">
      <c r="A74" s="1464">
        <f t="shared" ca="1" si="47"/>
        <v>18</v>
      </c>
      <c r="B74" s="1464">
        <f t="shared" ca="1" si="48"/>
        <v>21</v>
      </c>
      <c r="C74" s="1464">
        <f t="shared" si="49"/>
        <v>10</v>
      </c>
      <c r="D74" s="1271" t="str">
        <f ca="1">IF(OFFSET(PortfolioDashboard!$A$3,C74-1,0)="","Blank",OFFSET(PortfolioDashboard!$A$3,C74-1,0))</f>
        <v>Reduced Automobile Reliance Strategies</v>
      </c>
      <c r="E74" s="1464" t="str">
        <f t="shared" si="50"/>
        <v>MTCO2e</v>
      </c>
      <c r="F74" s="1460"/>
      <c r="G74" s="781">
        <f t="shared" ca="1" si="43"/>
        <v>0</v>
      </c>
      <c r="H74" s="781">
        <f t="shared" ca="1" si="43"/>
        <v>0</v>
      </c>
      <c r="I74" s="781">
        <f t="shared" ca="1" si="43"/>
        <v>-162.81643397406458</v>
      </c>
      <c r="J74" s="781">
        <f t="shared" ca="1" si="43"/>
        <v>-326.1924377394069</v>
      </c>
      <c r="K74" s="781">
        <f t="shared" ca="1" si="43"/>
        <v>-489.99756396934276</v>
      </c>
      <c r="L74" s="781">
        <f t="shared" ca="1" si="43"/>
        <v>-654.16428845085125</v>
      </c>
      <c r="M74" s="781">
        <f t="shared" ca="1" si="43"/>
        <v>-818.64945967225867</v>
      </c>
      <c r="N74" s="781">
        <f t="shared" ca="1" si="43"/>
        <v>-983.42242590882825</v>
      </c>
      <c r="O74" s="781">
        <f t="shared" ca="1" si="43"/>
        <v>-1148.4599608720218</v>
      </c>
      <c r="P74" s="781">
        <f t="shared" ca="1" si="43"/>
        <v>-1313.7436763489204</v>
      </c>
      <c r="Q74" s="781">
        <f t="shared" ca="1" si="44"/>
        <v>-1479.258544660677</v>
      </c>
      <c r="R74" s="781">
        <f t="shared" ca="1" si="44"/>
        <v>-1644.9919849094142</v>
      </c>
      <c r="S74" s="781">
        <f t="shared" ca="1" si="44"/>
        <v>-1644.9919849094142</v>
      </c>
      <c r="T74" s="781">
        <f t="shared" ca="1" si="44"/>
        <v>-1644.9919849094142</v>
      </c>
      <c r="U74" s="781">
        <f t="shared" ca="1" si="44"/>
        <v>-1644.9919849094142</v>
      </c>
      <c r="V74" s="781">
        <f t="shared" ca="1" si="44"/>
        <v>-1644.9919849094142</v>
      </c>
      <c r="W74" s="781">
        <f t="shared" ca="1" si="44"/>
        <v>-1644.9919849094142</v>
      </c>
      <c r="X74" s="781">
        <f t="shared" ca="1" si="44"/>
        <v>-1644.9919849094142</v>
      </c>
      <c r="Y74" s="781">
        <f t="shared" ca="1" si="44"/>
        <v>-1644.9919849094142</v>
      </c>
      <c r="Z74" s="781">
        <f t="shared" ca="1" si="44"/>
        <v>-1644.9919849094142</v>
      </c>
      <c r="AA74" s="781">
        <f t="shared" ca="1" si="45"/>
        <v>-1644.9919849094142</v>
      </c>
      <c r="AB74" s="781">
        <f t="shared" ca="1" si="45"/>
        <v>-1644.9919849094142</v>
      </c>
      <c r="AC74" s="781">
        <f t="shared" ca="1" si="45"/>
        <v>-1644.9919849094142</v>
      </c>
      <c r="AD74" s="781">
        <f t="shared" ca="1" si="45"/>
        <v>-1644.9919849094142</v>
      </c>
      <c r="AE74" s="781">
        <f t="shared" ca="1" si="45"/>
        <v>-1644.9919849094142</v>
      </c>
      <c r="AF74" s="781">
        <f t="shared" ca="1" si="45"/>
        <v>-1644.9919849094142</v>
      </c>
      <c r="AG74" s="781">
        <f t="shared" ca="1" si="45"/>
        <v>-1644.9919849094142</v>
      </c>
      <c r="AH74" s="781">
        <f t="shared" ca="1" si="45"/>
        <v>-1644.9919849094142</v>
      </c>
      <c r="AI74" s="781">
        <f t="shared" ca="1" si="45"/>
        <v>-1644.9919849094142</v>
      </c>
      <c r="AJ74" s="781">
        <f t="shared" ca="1" si="45"/>
        <v>-1644.9919849094142</v>
      </c>
      <c r="AK74" s="781">
        <f t="shared" ca="1" si="46"/>
        <v>-1644.9919849094142</v>
      </c>
      <c r="AL74" s="781">
        <f t="shared" ca="1" si="46"/>
        <v>-1644.9919849094142</v>
      </c>
      <c r="AM74" s="781">
        <f t="shared" ca="1" si="46"/>
        <v>-1644.9919849094142</v>
      </c>
      <c r="AN74" s="781">
        <f t="shared" ca="1" si="46"/>
        <v>-1644.9919849094142</v>
      </c>
      <c r="AO74" s="781">
        <f t="shared" ca="1" si="46"/>
        <v>-1644.9919849094142</v>
      </c>
      <c r="AP74" s="781">
        <f t="shared" ca="1" si="46"/>
        <v>-1644.9919849094142</v>
      </c>
      <c r="AQ74" s="781">
        <f t="shared" ca="1" si="46"/>
        <v>-1644.9919849094142</v>
      </c>
      <c r="AR74" s="781">
        <f t="shared" ca="1" si="46"/>
        <v>-1644.9919849094142</v>
      </c>
      <c r="AS74" s="781">
        <f t="shared" ca="1" si="46"/>
        <v>-1644.9919849094142</v>
      </c>
      <c r="AT74" s="781">
        <f t="shared" ca="1" si="46"/>
        <v>-1644.9919849094142</v>
      </c>
      <c r="AV74" s="781">
        <f t="shared" ca="1" si="51"/>
        <v>-4918.4398112528806</v>
      </c>
      <c r="AX74" s="781">
        <f t="shared" ca="1" si="52"/>
        <v>-8059.2264842983332</v>
      </c>
      <c r="AZ74" s="781">
        <f t="shared" ca="1" si="53"/>
        <v>-8224.9599245470708</v>
      </c>
      <c r="BB74" s="781">
        <f t="shared" ca="1" si="54"/>
        <v>-8224.9599245470708</v>
      </c>
      <c r="BD74" s="781">
        <f t="shared" ca="1" si="55"/>
        <v>-8224.9599245470708</v>
      </c>
      <c r="BF74" s="781">
        <f t="shared" ca="1" si="56"/>
        <v>-8224.9599245470708</v>
      </c>
      <c r="BH74" s="781">
        <f t="shared" ca="1" si="57"/>
        <v>-8224.9599245470708</v>
      </c>
    </row>
    <row r="75" spans="1:60" hidden="1" outlineLevel="1">
      <c r="A75" s="1464">
        <f t="shared" ca="1" si="47"/>
        <v>18</v>
      </c>
      <c r="B75" s="1464">
        <f t="shared" ca="1" si="48"/>
        <v>21</v>
      </c>
      <c r="C75" s="1464">
        <f t="shared" si="49"/>
        <v>11</v>
      </c>
      <c r="D75" s="1271" t="str">
        <f ca="1">IF(OFFSET(PortfolioDashboard!$A$3,C75-1,0)="","Blank",OFFSET(PortfolioDashboard!$A$3,C75-1,0))</f>
        <v>Waste Reduction</v>
      </c>
      <c r="E75" s="1464" t="str">
        <f t="shared" si="50"/>
        <v>MTCO2e</v>
      </c>
      <c r="F75" s="1460"/>
      <c r="G75" s="781">
        <f t="shared" ref="G75:P84" ca="1" si="58">IFERROR(OFFSET(INDIRECT(INDEX(List_of_Alternatives,MATCH($D75,NameofAlternatives,0))),$A75+G$1-$G$1,$B75),0)</f>
        <v>0</v>
      </c>
      <c r="H75" s="781">
        <f t="shared" ca="1" si="58"/>
        <v>0</v>
      </c>
      <c r="I75" s="781">
        <f t="shared" ca="1" si="58"/>
        <v>0</v>
      </c>
      <c r="J75" s="781">
        <f t="shared" ca="1" si="58"/>
        <v>0</v>
      </c>
      <c r="K75" s="781">
        <f t="shared" ca="1" si="58"/>
        <v>0</v>
      </c>
      <c r="L75" s="781">
        <f t="shared" ca="1" si="58"/>
        <v>0</v>
      </c>
      <c r="M75" s="781">
        <f t="shared" ca="1" si="58"/>
        <v>0</v>
      </c>
      <c r="N75" s="781">
        <f t="shared" ca="1" si="58"/>
        <v>0</v>
      </c>
      <c r="O75" s="781">
        <f t="shared" ca="1" si="58"/>
        <v>0</v>
      </c>
      <c r="P75" s="781">
        <f t="shared" ca="1" si="58"/>
        <v>0</v>
      </c>
      <c r="Q75" s="781">
        <f t="shared" ref="Q75:Z84" ca="1" si="59">IFERROR(OFFSET(INDIRECT(INDEX(List_of_Alternatives,MATCH($D75,NameofAlternatives,0))),$A75+Q$1-$G$1,$B75),0)</f>
        <v>0</v>
      </c>
      <c r="R75" s="781">
        <f t="shared" ca="1" si="59"/>
        <v>0</v>
      </c>
      <c r="S75" s="781">
        <f t="shared" ca="1" si="59"/>
        <v>0</v>
      </c>
      <c r="T75" s="781">
        <f t="shared" ca="1" si="59"/>
        <v>0</v>
      </c>
      <c r="U75" s="781">
        <f t="shared" ca="1" si="59"/>
        <v>0</v>
      </c>
      <c r="V75" s="781">
        <f t="shared" ca="1" si="59"/>
        <v>0</v>
      </c>
      <c r="W75" s="781">
        <f t="shared" ca="1" si="59"/>
        <v>0</v>
      </c>
      <c r="X75" s="781">
        <f t="shared" ca="1" si="59"/>
        <v>0</v>
      </c>
      <c r="Y75" s="781">
        <f t="shared" ca="1" si="59"/>
        <v>0</v>
      </c>
      <c r="Z75" s="781">
        <f t="shared" ca="1" si="59"/>
        <v>0</v>
      </c>
      <c r="AA75" s="781">
        <f t="shared" ref="AA75:AJ84" ca="1" si="60">IFERROR(OFFSET(INDIRECT(INDEX(List_of_Alternatives,MATCH($D75,NameofAlternatives,0))),$A75+AA$1-$G$1,$B75),0)</f>
        <v>0</v>
      </c>
      <c r="AB75" s="781">
        <f t="shared" ca="1" si="60"/>
        <v>0</v>
      </c>
      <c r="AC75" s="781">
        <f t="shared" ca="1" si="60"/>
        <v>0</v>
      </c>
      <c r="AD75" s="781">
        <f t="shared" ca="1" si="60"/>
        <v>0</v>
      </c>
      <c r="AE75" s="781">
        <f t="shared" ca="1" si="60"/>
        <v>0</v>
      </c>
      <c r="AF75" s="781">
        <f t="shared" ca="1" si="60"/>
        <v>0</v>
      </c>
      <c r="AG75" s="781">
        <f t="shared" ca="1" si="60"/>
        <v>0</v>
      </c>
      <c r="AH75" s="781">
        <f t="shared" ca="1" si="60"/>
        <v>0</v>
      </c>
      <c r="AI75" s="781">
        <f t="shared" ca="1" si="60"/>
        <v>0</v>
      </c>
      <c r="AJ75" s="781">
        <f t="shared" ca="1" si="60"/>
        <v>0</v>
      </c>
      <c r="AK75" s="781">
        <f t="shared" ref="AK75:AT84" ca="1" si="61">IFERROR(OFFSET(INDIRECT(INDEX(List_of_Alternatives,MATCH($D75,NameofAlternatives,0))),$A75+AK$1-$G$1,$B75),0)</f>
        <v>0</v>
      </c>
      <c r="AL75" s="781">
        <f t="shared" ca="1" si="61"/>
        <v>0</v>
      </c>
      <c r="AM75" s="781">
        <f t="shared" ca="1" si="61"/>
        <v>0</v>
      </c>
      <c r="AN75" s="781">
        <f t="shared" ca="1" si="61"/>
        <v>0</v>
      </c>
      <c r="AO75" s="781">
        <f t="shared" ca="1" si="61"/>
        <v>0</v>
      </c>
      <c r="AP75" s="781">
        <f t="shared" ca="1" si="61"/>
        <v>0</v>
      </c>
      <c r="AQ75" s="781">
        <f t="shared" ca="1" si="61"/>
        <v>0</v>
      </c>
      <c r="AR75" s="781">
        <f t="shared" ca="1" si="61"/>
        <v>0</v>
      </c>
      <c r="AS75" s="781">
        <f t="shared" ca="1" si="61"/>
        <v>0</v>
      </c>
      <c r="AT75" s="781">
        <f t="shared" ca="1" si="61"/>
        <v>0</v>
      </c>
      <c r="AV75" s="781">
        <f t="shared" ca="1" si="51"/>
        <v>0</v>
      </c>
      <c r="AX75" s="781">
        <f t="shared" ca="1" si="52"/>
        <v>0</v>
      </c>
      <c r="AZ75" s="781">
        <f t="shared" ca="1" si="53"/>
        <v>0</v>
      </c>
      <c r="BB75" s="781">
        <f t="shared" ca="1" si="54"/>
        <v>0</v>
      </c>
      <c r="BD75" s="781">
        <f t="shared" ca="1" si="55"/>
        <v>0</v>
      </c>
      <c r="BF75" s="781">
        <f t="shared" ca="1" si="56"/>
        <v>0</v>
      </c>
      <c r="BH75" s="781">
        <f t="shared" ca="1" si="57"/>
        <v>0</v>
      </c>
    </row>
    <row r="76" spans="1:60" hidden="1" outlineLevel="1">
      <c r="A76" s="1464">
        <f t="shared" ca="1" si="47"/>
        <v>18</v>
      </c>
      <c r="B76" s="1464">
        <f t="shared" ca="1" si="48"/>
        <v>21</v>
      </c>
      <c r="C76" s="1464">
        <f t="shared" si="49"/>
        <v>12</v>
      </c>
      <c r="D76" s="1271" t="str">
        <f ca="1">IF(OFFSET(PortfolioDashboard!$A$3,C76-1,0)="","Blank",OFFSET(PortfolioDashboard!$A$3,C76-1,0))</f>
        <v>Steam Line Improvements</v>
      </c>
      <c r="E76" s="1464" t="str">
        <f t="shared" si="50"/>
        <v>MTCO2e</v>
      </c>
      <c r="F76" s="1460"/>
      <c r="G76" s="781">
        <f t="shared" ca="1" si="58"/>
        <v>0</v>
      </c>
      <c r="H76" s="781">
        <f t="shared" ca="1" si="58"/>
        <v>0</v>
      </c>
      <c r="I76" s="781">
        <f t="shared" ca="1" si="58"/>
        <v>0</v>
      </c>
      <c r="J76" s="781">
        <f t="shared" ca="1" si="58"/>
        <v>0</v>
      </c>
      <c r="K76" s="781">
        <f t="shared" ca="1" si="58"/>
        <v>0</v>
      </c>
      <c r="L76" s="781">
        <f t="shared" ca="1" si="58"/>
        <v>0</v>
      </c>
      <c r="M76" s="781">
        <f t="shared" ca="1" si="58"/>
        <v>0</v>
      </c>
      <c r="N76" s="781">
        <f t="shared" ca="1" si="58"/>
        <v>0</v>
      </c>
      <c r="O76" s="781">
        <f t="shared" ca="1" si="58"/>
        <v>0</v>
      </c>
      <c r="P76" s="781">
        <f t="shared" ca="1" si="58"/>
        <v>0</v>
      </c>
      <c r="Q76" s="781">
        <f t="shared" ca="1" si="59"/>
        <v>0</v>
      </c>
      <c r="R76" s="781">
        <f t="shared" ca="1" si="59"/>
        <v>0</v>
      </c>
      <c r="S76" s="781">
        <f t="shared" ca="1" si="59"/>
        <v>0</v>
      </c>
      <c r="T76" s="781">
        <f t="shared" ca="1" si="59"/>
        <v>0</v>
      </c>
      <c r="U76" s="781">
        <f t="shared" ca="1" si="59"/>
        <v>0</v>
      </c>
      <c r="V76" s="781">
        <f t="shared" ca="1" si="59"/>
        <v>0</v>
      </c>
      <c r="W76" s="781">
        <f t="shared" ca="1" si="59"/>
        <v>0</v>
      </c>
      <c r="X76" s="781">
        <f t="shared" ca="1" si="59"/>
        <v>0</v>
      </c>
      <c r="Y76" s="781">
        <f t="shared" ca="1" si="59"/>
        <v>0</v>
      </c>
      <c r="Z76" s="781">
        <f t="shared" ca="1" si="59"/>
        <v>0</v>
      </c>
      <c r="AA76" s="781">
        <f t="shared" ca="1" si="60"/>
        <v>0</v>
      </c>
      <c r="AB76" s="781">
        <f t="shared" ca="1" si="60"/>
        <v>0</v>
      </c>
      <c r="AC76" s="781">
        <f t="shared" ca="1" si="60"/>
        <v>0</v>
      </c>
      <c r="AD76" s="781">
        <f t="shared" ca="1" si="60"/>
        <v>0</v>
      </c>
      <c r="AE76" s="781">
        <f t="shared" ca="1" si="60"/>
        <v>0</v>
      </c>
      <c r="AF76" s="781">
        <f t="shared" ca="1" si="60"/>
        <v>0</v>
      </c>
      <c r="AG76" s="781">
        <f t="shared" ca="1" si="60"/>
        <v>0</v>
      </c>
      <c r="AH76" s="781">
        <f t="shared" ca="1" si="60"/>
        <v>0</v>
      </c>
      <c r="AI76" s="781">
        <f t="shared" ca="1" si="60"/>
        <v>0</v>
      </c>
      <c r="AJ76" s="781">
        <f t="shared" ca="1" si="60"/>
        <v>0</v>
      </c>
      <c r="AK76" s="781">
        <f t="shared" ca="1" si="61"/>
        <v>0</v>
      </c>
      <c r="AL76" s="781">
        <f t="shared" ca="1" si="61"/>
        <v>0</v>
      </c>
      <c r="AM76" s="781">
        <f t="shared" ca="1" si="61"/>
        <v>0</v>
      </c>
      <c r="AN76" s="781">
        <f t="shared" ca="1" si="61"/>
        <v>0</v>
      </c>
      <c r="AO76" s="781">
        <f t="shared" ca="1" si="61"/>
        <v>0</v>
      </c>
      <c r="AP76" s="781">
        <f t="shared" ca="1" si="61"/>
        <v>0</v>
      </c>
      <c r="AQ76" s="781">
        <f t="shared" ca="1" si="61"/>
        <v>0</v>
      </c>
      <c r="AR76" s="781">
        <f t="shared" ca="1" si="61"/>
        <v>0</v>
      </c>
      <c r="AS76" s="781">
        <f t="shared" ca="1" si="61"/>
        <v>0</v>
      </c>
      <c r="AT76" s="781">
        <f t="shared" ca="1" si="61"/>
        <v>0</v>
      </c>
      <c r="AV76" s="781">
        <f t="shared" ca="1" si="51"/>
        <v>0</v>
      </c>
      <c r="AX76" s="781">
        <f t="shared" ca="1" si="52"/>
        <v>0</v>
      </c>
      <c r="AZ76" s="781">
        <f t="shared" ca="1" si="53"/>
        <v>0</v>
      </c>
      <c r="BB76" s="781">
        <f t="shared" ca="1" si="54"/>
        <v>0</v>
      </c>
      <c r="BD76" s="781">
        <f t="shared" ca="1" si="55"/>
        <v>0</v>
      </c>
      <c r="BF76" s="781">
        <f t="shared" ca="1" si="56"/>
        <v>0</v>
      </c>
      <c r="BH76" s="781">
        <f t="shared" ca="1" si="57"/>
        <v>0</v>
      </c>
    </row>
    <row r="77" spans="1:60" hidden="1" outlineLevel="1">
      <c r="A77" s="1464">
        <f t="shared" ca="1" si="47"/>
        <v>18</v>
      </c>
      <c r="B77" s="1464">
        <f t="shared" ca="1" si="48"/>
        <v>21</v>
      </c>
      <c r="C77" s="1464">
        <f t="shared" si="49"/>
        <v>13</v>
      </c>
      <c r="D77" s="1271" t="str">
        <f ca="1">IF(OFFSET(PortfolioDashboard!$A$3,C77-1,0)="","Blank",OFFSET(PortfolioDashboard!$A$3,C77-1,0))</f>
        <v>Coal to Natural Gas Conversion @ Steam Plant</v>
      </c>
      <c r="E77" s="1464" t="str">
        <f t="shared" si="50"/>
        <v>MTCO2e</v>
      </c>
      <c r="F77" s="1460"/>
      <c r="G77" s="781">
        <f t="shared" ca="1" si="58"/>
        <v>0</v>
      </c>
      <c r="H77" s="781">
        <f t="shared" ca="1" si="58"/>
        <v>0</v>
      </c>
      <c r="I77" s="781">
        <f t="shared" ca="1" si="58"/>
        <v>0</v>
      </c>
      <c r="J77" s="781">
        <f t="shared" ca="1" si="58"/>
        <v>0</v>
      </c>
      <c r="K77" s="781">
        <f t="shared" ca="1" si="58"/>
        <v>0</v>
      </c>
      <c r="L77" s="781">
        <f t="shared" ca="1" si="58"/>
        <v>0</v>
      </c>
      <c r="M77" s="781">
        <f t="shared" ca="1" si="58"/>
        <v>0</v>
      </c>
      <c r="N77" s="781">
        <f t="shared" ca="1" si="58"/>
        <v>0</v>
      </c>
      <c r="O77" s="781">
        <f t="shared" ca="1" si="58"/>
        <v>0</v>
      </c>
      <c r="P77" s="781">
        <f t="shared" ca="1" si="58"/>
        <v>0</v>
      </c>
      <c r="Q77" s="781">
        <f t="shared" ca="1" si="59"/>
        <v>0</v>
      </c>
      <c r="R77" s="781">
        <f t="shared" ca="1" si="59"/>
        <v>0</v>
      </c>
      <c r="S77" s="781">
        <f t="shared" ca="1" si="59"/>
        <v>0</v>
      </c>
      <c r="T77" s="781">
        <f t="shared" ca="1" si="59"/>
        <v>0</v>
      </c>
      <c r="U77" s="781">
        <f t="shared" ca="1" si="59"/>
        <v>0</v>
      </c>
      <c r="V77" s="781">
        <f t="shared" ca="1" si="59"/>
        <v>0</v>
      </c>
      <c r="W77" s="781">
        <f t="shared" ca="1" si="59"/>
        <v>0</v>
      </c>
      <c r="X77" s="781">
        <f t="shared" ca="1" si="59"/>
        <v>0</v>
      </c>
      <c r="Y77" s="781">
        <f t="shared" ca="1" si="59"/>
        <v>0</v>
      </c>
      <c r="Z77" s="781">
        <f t="shared" ca="1" si="59"/>
        <v>0</v>
      </c>
      <c r="AA77" s="781">
        <f t="shared" ca="1" si="60"/>
        <v>0</v>
      </c>
      <c r="AB77" s="781">
        <f t="shared" ca="1" si="60"/>
        <v>0</v>
      </c>
      <c r="AC77" s="781">
        <f t="shared" ca="1" si="60"/>
        <v>0</v>
      </c>
      <c r="AD77" s="781">
        <f t="shared" ca="1" si="60"/>
        <v>0</v>
      </c>
      <c r="AE77" s="781">
        <f t="shared" ca="1" si="60"/>
        <v>0</v>
      </c>
      <c r="AF77" s="781">
        <f t="shared" ca="1" si="60"/>
        <v>0</v>
      </c>
      <c r="AG77" s="781">
        <f t="shared" ca="1" si="60"/>
        <v>0</v>
      </c>
      <c r="AH77" s="781">
        <f t="shared" ca="1" si="60"/>
        <v>0</v>
      </c>
      <c r="AI77" s="781">
        <f t="shared" ca="1" si="60"/>
        <v>0</v>
      </c>
      <c r="AJ77" s="781">
        <f t="shared" ca="1" si="60"/>
        <v>0</v>
      </c>
      <c r="AK77" s="781">
        <f t="shared" ca="1" si="61"/>
        <v>0</v>
      </c>
      <c r="AL77" s="781">
        <f t="shared" ca="1" si="61"/>
        <v>0</v>
      </c>
      <c r="AM77" s="781">
        <f t="shared" ca="1" si="61"/>
        <v>0</v>
      </c>
      <c r="AN77" s="781">
        <f t="shared" ca="1" si="61"/>
        <v>0</v>
      </c>
      <c r="AO77" s="781">
        <f t="shared" ca="1" si="61"/>
        <v>0</v>
      </c>
      <c r="AP77" s="781">
        <f t="shared" ca="1" si="61"/>
        <v>0</v>
      </c>
      <c r="AQ77" s="781">
        <f t="shared" ca="1" si="61"/>
        <v>0</v>
      </c>
      <c r="AR77" s="781">
        <f t="shared" ca="1" si="61"/>
        <v>0</v>
      </c>
      <c r="AS77" s="781">
        <f t="shared" ca="1" si="61"/>
        <v>0</v>
      </c>
      <c r="AT77" s="781">
        <f t="shared" ca="1" si="61"/>
        <v>0</v>
      </c>
      <c r="AV77" s="781">
        <f t="shared" ca="1" si="51"/>
        <v>0</v>
      </c>
      <c r="AX77" s="781">
        <f t="shared" ca="1" si="52"/>
        <v>0</v>
      </c>
      <c r="AZ77" s="781">
        <f t="shared" ca="1" si="53"/>
        <v>0</v>
      </c>
      <c r="BB77" s="781">
        <f t="shared" ca="1" si="54"/>
        <v>0</v>
      </c>
      <c r="BD77" s="781">
        <f t="shared" ca="1" si="55"/>
        <v>0</v>
      </c>
      <c r="BF77" s="781">
        <f t="shared" ca="1" si="56"/>
        <v>0</v>
      </c>
      <c r="BH77" s="781">
        <f t="shared" ca="1" si="57"/>
        <v>0</v>
      </c>
    </row>
    <row r="78" spans="1:60" hidden="1" outlineLevel="1">
      <c r="A78" s="1464">
        <f t="shared" ca="1" si="47"/>
        <v>18</v>
      </c>
      <c r="B78" s="1464">
        <f t="shared" ca="1" si="48"/>
        <v>21</v>
      </c>
      <c r="C78" s="1464">
        <f t="shared" si="49"/>
        <v>14</v>
      </c>
      <c r="D78" s="1271" t="str">
        <f ca="1">IF(OFFSET(PortfolioDashboard!$A$3,C78-1,0)="","Blank",OFFSET(PortfolioDashboard!$A$3,C78-1,0))</f>
        <v>On-site Wind</v>
      </c>
      <c r="E78" s="1464" t="str">
        <f t="shared" si="50"/>
        <v>MTCO2e</v>
      </c>
      <c r="F78" s="1460"/>
      <c r="G78" s="781">
        <f t="shared" ca="1" si="58"/>
        <v>0</v>
      </c>
      <c r="H78" s="781">
        <f t="shared" ca="1" si="58"/>
        <v>0</v>
      </c>
      <c r="I78" s="781">
        <f t="shared" ca="1" si="58"/>
        <v>0</v>
      </c>
      <c r="J78" s="781">
        <f t="shared" ca="1" si="58"/>
        <v>0</v>
      </c>
      <c r="K78" s="781">
        <f t="shared" ca="1" si="58"/>
        <v>0</v>
      </c>
      <c r="L78" s="781">
        <f t="shared" ca="1" si="58"/>
        <v>0</v>
      </c>
      <c r="M78" s="781">
        <f t="shared" ca="1" si="58"/>
        <v>0</v>
      </c>
      <c r="N78" s="781">
        <f t="shared" ca="1" si="58"/>
        <v>0</v>
      </c>
      <c r="O78" s="781">
        <f t="shared" ca="1" si="58"/>
        <v>0</v>
      </c>
      <c r="P78" s="781">
        <f t="shared" ca="1" si="58"/>
        <v>0</v>
      </c>
      <c r="Q78" s="781">
        <f t="shared" ca="1" si="59"/>
        <v>0</v>
      </c>
      <c r="R78" s="781">
        <f t="shared" ca="1" si="59"/>
        <v>0</v>
      </c>
      <c r="S78" s="781">
        <f t="shared" ca="1" si="59"/>
        <v>0</v>
      </c>
      <c r="T78" s="781">
        <f t="shared" ca="1" si="59"/>
        <v>0</v>
      </c>
      <c r="U78" s="781">
        <f t="shared" ca="1" si="59"/>
        <v>0</v>
      </c>
      <c r="V78" s="781">
        <f t="shared" ca="1" si="59"/>
        <v>0</v>
      </c>
      <c r="W78" s="781">
        <f t="shared" ca="1" si="59"/>
        <v>0</v>
      </c>
      <c r="X78" s="781">
        <f t="shared" ca="1" si="59"/>
        <v>0</v>
      </c>
      <c r="Y78" s="781">
        <f t="shared" ca="1" si="59"/>
        <v>0</v>
      </c>
      <c r="Z78" s="781">
        <f t="shared" ca="1" si="59"/>
        <v>0</v>
      </c>
      <c r="AA78" s="781">
        <f t="shared" ca="1" si="60"/>
        <v>0</v>
      </c>
      <c r="AB78" s="781">
        <f t="shared" ca="1" si="60"/>
        <v>0</v>
      </c>
      <c r="AC78" s="781">
        <f t="shared" ca="1" si="60"/>
        <v>0</v>
      </c>
      <c r="AD78" s="781">
        <f t="shared" ca="1" si="60"/>
        <v>0</v>
      </c>
      <c r="AE78" s="781">
        <f t="shared" ca="1" si="60"/>
        <v>0</v>
      </c>
      <c r="AF78" s="781">
        <f t="shared" ca="1" si="60"/>
        <v>0</v>
      </c>
      <c r="AG78" s="781">
        <f t="shared" ca="1" si="60"/>
        <v>0</v>
      </c>
      <c r="AH78" s="781">
        <f t="shared" ca="1" si="60"/>
        <v>0</v>
      </c>
      <c r="AI78" s="781">
        <f t="shared" ca="1" si="60"/>
        <v>0</v>
      </c>
      <c r="AJ78" s="781">
        <f t="shared" ca="1" si="60"/>
        <v>0</v>
      </c>
      <c r="AK78" s="781">
        <f t="shared" ca="1" si="61"/>
        <v>0</v>
      </c>
      <c r="AL78" s="781">
        <f t="shared" ca="1" si="61"/>
        <v>0</v>
      </c>
      <c r="AM78" s="781">
        <f t="shared" ca="1" si="61"/>
        <v>0</v>
      </c>
      <c r="AN78" s="781">
        <f t="shared" ca="1" si="61"/>
        <v>0</v>
      </c>
      <c r="AO78" s="781">
        <f t="shared" ca="1" si="61"/>
        <v>0</v>
      </c>
      <c r="AP78" s="781">
        <f t="shared" ca="1" si="61"/>
        <v>0</v>
      </c>
      <c r="AQ78" s="781">
        <f t="shared" ca="1" si="61"/>
        <v>0</v>
      </c>
      <c r="AR78" s="781">
        <f t="shared" ca="1" si="61"/>
        <v>0</v>
      </c>
      <c r="AS78" s="781">
        <f t="shared" ca="1" si="61"/>
        <v>0</v>
      </c>
      <c r="AT78" s="781">
        <f t="shared" ca="1" si="61"/>
        <v>0</v>
      </c>
      <c r="AV78" s="781">
        <f t="shared" ca="1" si="51"/>
        <v>0</v>
      </c>
      <c r="AX78" s="781">
        <f t="shared" ca="1" si="52"/>
        <v>0</v>
      </c>
      <c r="AZ78" s="781">
        <f t="shared" ca="1" si="53"/>
        <v>0</v>
      </c>
      <c r="BB78" s="781">
        <f t="shared" ca="1" si="54"/>
        <v>0</v>
      </c>
      <c r="BD78" s="781">
        <f t="shared" ca="1" si="55"/>
        <v>0</v>
      </c>
      <c r="BF78" s="781">
        <f t="shared" ca="1" si="56"/>
        <v>0</v>
      </c>
      <c r="BH78" s="781">
        <f t="shared" ca="1" si="57"/>
        <v>0</v>
      </c>
    </row>
    <row r="79" spans="1:60" hidden="1" outlineLevel="1">
      <c r="A79" s="1464">
        <f t="shared" ca="1" si="47"/>
        <v>18</v>
      </c>
      <c r="B79" s="1464">
        <f t="shared" ca="1" si="48"/>
        <v>21</v>
      </c>
      <c r="C79" s="1464">
        <f t="shared" si="49"/>
        <v>15</v>
      </c>
      <c r="D79" s="1271" t="str">
        <f ca="1">IF(OFFSET(PortfolioDashboard!$A$3,C79-1,0)="","Blank",OFFSET(PortfolioDashboard!$A$3,C79-1,0))</f>
        <v>Solar DHW</v>
      </c>
      <c r="E79" s="1464" t="str">
        <f t="shared" si="50"/>
        <v>MTCO2e</v>
      </c>
      <c r="F79" s="1460"/>
      <c r="G79" s="781">
        <f t="shared" ca="1" si="58"/>
        <v>0</v>
      </c>
      <c r="H79" s="781">
        <f t="shared" ca="1" si="58"/>
        <v>0</v>
      </c>
      <c r="I79" s="781">
        <f t="shared" ca="1" si="58"/>
        <v>0</v>
      </c>
      <c r="J79" s="781">
        <f t="shared" ca="1" si="58"/>
        <v>0</v>
      </c>
      <c r="K79" s="781">
        <f t="shared" ca="1" si="58"/>
        <v>0</v>
      </c>
      <c r="L79" s="781">
        <f t="shared" ca="1" si="58"/>
        <v>0</v>
      </c>
      <c r="M79" s="781">
        <f t="shared" ca="1" si="58"/>
        <v>0</v>
      </c>
      <c r="N79" s="781">
        <f t="shared" ca="1" si="58"/>
        <v>0</v>
      </c>
      <c r="O79" s="781">
        <f t="shared" ca="1" si="58"/>
        <v>0</v>
      </c>
      <c r="P79" s="781">
        <f t="shared" ca="1" si="58"/>
        <v>0</v>
      </c>
      <c r="Q79" s="781">
        <f t="shared" ca="1" si="59"/>
        <v>0</v>
      </c>
      <c r="R79" s="781">
        <f t="shared" ca="1" si="59"/>
        <v>0</v>
      </c>
      <c r="S79" s="781">
        <f t="shared" ca="1" si="59"/>
        <v>0</v>
      </c>
      <c r="T79" s="781">
        <f t="shared" ca="1" si="59"/>
        <v>0</v>
      </c>
      <c r="U79" s="781">
        <f t="shared" ca="1" si="59"/>
        <v>0</v>
      </c>
      <c r="V79" s="781">
        <f t="shared" ca="1" si="59"/>
        <v>0</v>
      </c>
      <c r="W79" s="781">
        <f t="shared" ca="1" si="59"/>
        <v>0</v>
      </c>
      <c r="X79" s="781">
        <f t="shared" ca="1" si="59"/>
        <v>0</v>
      </c>
      <c r="Y79" s="781">
        <f t="shared" ca="1" si="59"/>
        <v>0</v>
      </c>
      <c r="Z79" s="781">
        <f t="shared" ca="1" si="59"/>
        <v>0</v>
      </c>
      <c r="AA79" s="781">
        <f t="shared" ca="1" si="60"/>
        <v>0</v>
      </c>
      <c r="AB79" s="781">
        <f t="shared" ca="1" si="60"/>
        <v>0</v>
      </c>
      <c r="AC79" s="781">
        <f t="shared" ca="1" si="60"/>
        <v>0</v>
      </c>
      <c r="AD79" s="781">
        <f t="shared" ca="1" si="60"/>
        <v>0</v>
      </c>
      <c r="AE79" s="781">
        <f t="shared" ca="1" si="60"/>
        <v>0</v>
      </c>
      <c r="AF79" s="781">
        <f t="shared" ca="1" si="60"/>
        <v>0</v>
      </c>
      <c r="AG79" s="781">
        <f t="shared" ca="1" si="60"/>
        <v>0</v>
      </c>
      <c r="AH79" s="781">
        <f t="shared" ca="1" si="60"/>
        <v>0</v>
      </c>
      <c r="AI79" s="781">
        <f t="shared" ca="1" si="60"/>
        <v>0</v>
      </c>
      <c r="AJ79" s="781">
        <f t="shared" ca="1" si="60"/>
        <v>0</v>
      </c>
      <c r="AK79" s="781">
        <f t="shared" ca="1" si="61"/>
        <v>0</v>
      </c>
      <c r="AL79" s="781">
        <f t="shared" ca="1" si="61"/>
        <v>0</v>
      </c>
      <c r="AM79" s="781">
        <f t="shared" ca="1" si="61"/>
        <v>0</v>
      </c>
      <c r="AN79" s="781">
        <f t="shared" ca="1" si="61"/>
        <v>0</v>
      </c>
      <c r="AO79" s="781">
        <f t="shared" ca="1" si="61"/>
        <v>0</v>
      </c>
      <c r="AP79" s="781">
        <f t="shared" ca="1" si="61"/>
        <v>0</v>
      </c>
      <c r="AQ79" s="781">
        <f t="shared" ca="1" si="61"/>
        <v>0</v>
      </c>
      <c r="AR79" s="781">
        <f t="shared" ca="1" si="61"/>
        <v>0</v>
      </c>
      <c r="AS79" s="781">
        <f t="shared" ca="1" si="61"/>
        <v>0</v>
      </c>
      <c r="AT79" s="781">
        <f t="shared" ca="1" si="61"/>
        <v>0</v>
      </c>
      <c r="AV79" s="781">
        <f t="shared" ca="1" si="51"/>
        <v>0</v>
      </c>
      <c r="AX79" s="781">
        <f t="shared" ca="1" si="52"/>
        <v>0</v>
      </c>
      <c r="AZ79" s="781">
        <f t="shared" ca="1" si="53"/>
        <v>0</v>
      </c>
      <c r="BB79" s="781">
        <f t="shared" ca="1" si="54"/>
        <v>0</v>
      </c>
      <c r="BD79" s="781">
        <f t="shared" ca="1" si="55"/>
        <v>0</v>
      </c>
      <c r="BF79" s="781">
        <f t="shared" ca="1" si="56"/>
        <v>0</v>
      </c>
      <c r="BH79" s="781">
        <f t="shared" ca="1" si="57"/>
        <v>0</v>
      </c>
    </row>
    <row r="80" spans="1:60" hidden="1" outlineLevel="1">
      <c r="A80" s="1464">
        <f t="shared" ca="1" si="47"/>
        <v>18</v>
      </c>
      <c r="B80" s="1464">
        <f t="shared" ca="1" si="48"/>
        <v>21</v>
      </c>
      <c r="C80" s="1464">
        <f t="shared" si="49"/>
        <v>16</v>
      </c>
      <c r="D80" s="1271" t="str">
        <f ca="1">IF(OFFSET(PortfolioDashboard!$A$3,C80-1,0)="","Blank",OFFSET(PortfolioDashboard!$A$3,C80-1,0))</f>
        <v>Geo Exchange</v>
      </c>
      <c r="E80" s="1464" t="str">
        <f t="shared" si="50"/>
        <v>MTCO2e</v>
      </c>
      <c r="F80" s="1460"/>
      <c r="G80" s="781">
        <f t="shared" ca="1" si="58"/>
        <v>0</v>
      </c>
      <c r="H80" s="781">
        <f t="shared" ca="1" si="58"/>
        <v>0</v>
      </c>
      <c r="I80" s="781">
        <f t="shared" ca="1" si="58"/>
        <v>0</v>
      </c>
      <c r="J80" s="781">
        <f t="shared" ca="1" si="58"/>
        <v>0</v>
      </c>
      <c r="K80" s="781">
        <f t="shared" ca="1" si="58"/>
        <v>0</v>
      </c>
      <c r="L80" s="781">
        <f t="shared" ca="1" si="58"/>
        <v>0</v>
      </c>
      <c r="M80" s="781">
        <f t="shared" ca="1" si="58"/>
        <v>0</v>
      </c>
      <c r="N80" s="781">
        <f t="shared" ca="1" si="58"/>
        <v>0</v>
      </c>
      <c r="O80" s="781">
        <f t="shared" ca="1" si="58"/>
        <v>0</v>
      </c>
      <c r="P80" s="781">
        <f t="shared" ca="1" si="58"/>
        <v>0</v>
      </c>
      <c r="Q80" s="781">
        <f t="shared" ca="1" si="59"/>
        <v>0</v>
      </c>
      <c r="R80" s="781">
        <f t="shared" ca="1" si="59"/>
        <v>0</v>
      </c>
      <c r="S80" s="781">
        <f t="shared" ca="1" si="59"/>
        <v>0</v>
      </c>
      <c r="T80" s="781">
        <f t="shared" ca="1" si="59"/>
        <v>0</v>
      </c>
      <c r="U80" s="781">
        <f t="shared" ca="1" si="59"/>
        <v>0</v>
      </c>
      <c r="V80" s="781">
        <f t="shared" ca="1" si="59"/>
        <v>0</v>
      </c>
      <c r="W80" s="781">
        <f t="shared" ca="1" si="59"/>
        <v>0</v>
      </c>
      <c r="X80" s="781">
        <f t="shared" ca="1" si="59"/>
        <v>0</v>
      </c>
      <c r="Y80" s="781">
        <f t="shared" ca="1" si="59"/>
        <v>0</v>
      </c>
      <c r="Z80" s="781">
        <f t="shared" ca="1" si="59"/>
        <v>0</v>
      </c>
      <c r="AA80" s="781">
        <f t="shared" ca="1" si="60"/>
        <v>0</v>
      </c>
      <c r="AB80" s="781">
        <f t="shared" ca="1" si="60"/>
        <v>0</v>
      </c>
      <c r="AC80" s="781">
        <f t="shared" ca="1" si="60"/>
        <v>0</v>
      </c>
      <c r="AD80" s="781">
        <f t="shared" ca="1" si="60"/>
        <v>0</v>
      </c>
      <c r="AE80" s="781">
        <f t="shared" ca="1" si="60"/>
        <v>0</v>
      </c>
      <c r="AF80" s="781">
        <f t="shared" ca="1" si="60"/>
        <v>0</v>
      </c>
      <c r="AG80" s="781">
        <f t="shared" ca="1" si="60"/>
        <v>0</v>
      </c>
      <c r="AH80" s="781">
        <f t="shared" ca="1" si="60"/>
        <v>0</v>
      </c>
      <c r="AI80" s="781">
        <f t="shared" ca="1" si="60"/>
        <v>0</v>
      </c>
      <c r="AJ80" s="781">
        <f t="shared" ca="1" si="60"/>
        <v>0</v>
      </c>
      <c r="AK80" s="781">
        <f t="shared" ca="1" si="61"/>
        <v>0</v>
      </c>
      <c r="AL80" s="781">
        <f t="shared" ca="1" si="61"/>
        <v>0</v>
      </c>
      <c r="AM80" s="781">
        <f t="shared" ca="1" si="61"/>
        <v>0</v>
      </c>
      <c r="AN80" s="781">
        <f t="shared" ca="1" si="61"/>
        <v>0</v>
      </c>
      <c r="AO80" s="781">
        <f t="shared" ca="1" si="61"/>
        <v>0</v>
      </c>
      <c r="AP80" s="781">
        <f t="shared" ca="1" si="61"/>
        <v>0</v>
      </c>
      <c r="AQ80" s="781">
        <f t="shared" ca="1" si="61"/>
        <v>0</v>
      </c>
      <c r="AR80" s="781">
        <f t="shared" ca="1" si="61"/>
        <v>0</v>
      </c>
      <c r="AS80" s="781">
        <f t="shared" ca="1" si="61"/>
        <v>0</v>
      </c>
      <c r="AT80" s="781">
        <f t="shared" ca="1" si="61"/>
        <v>0</v>
      </c>
      <c r="AV80" s="781">
        <f t="shared" ca="1" si="51"/>
        <v>0</v>
      </c>
      <c r="AX80" s="781">
        <f t="shared" ca="1" si="52"/>
        <v>0</v>
      </c>
      <c r="AZ80" s="781">
        <f t="shared" ca="1" si="53"/>
        <v>0</v>
      </c>
      <c r="BB80" s="781">
        <f t="shared" ca="1" si="54"/>
        <v>0</v>
      </c>
      <c r="BD80" s="781">
        <f t="shared" ca="1" si="55"/>
        <v>0</v>
      </c>
      <c r="BF80" s="781">
        <f t="shared" ca="1" si="56"/>
        <v>0</v>
      </c>
      <c r="BH80" s="781">
        <f t="shared" ca="1" si="57"/>
        <v>0</v>
      </c>
    </row>
    <row r="81" spans="1:60" hidden="1" outlineLevel="1">
      <c r="A81" s="1464">
        <f t="shared" ca="1" si="47"/>
        <v>18</v>
      </c>
      <c r="B81" s="1464">
        <f t="shared" ca="1" si="48"/>
        <v>21</v>
      </c>
      <c r="C81" s="1464">
        <f t="shared" si="49"/>
        <v>17</v>
      </c>
      <c r="D81" s="1271" t="str">
        <f ca="1">IF(OFFSET(PortfolioDashboard!$A$3,C81-1,0)="","Blank",OFFSET(PortfolioDashboard!$A$3,C81-1,0))</f>
        <v>Rooftop Solar PV</v>
      </c>
      <c r="E81" s="1464" t="str">
        <f t="shared" si="50"/>
        <v>MTCO2e</v>
      </c>
      <c r="F81" s="1460"/>
      <c r="G81" s="781">
        <f t="shared" ca="1" si="58"/>
        <v>0</v>
      </c>
      <c r="H81" s="781">
        <f t="shared" ca="1" si="58"/>
        <v>0</v>
      </c>
      <c r="I81" s="781">
        <f t="shared" ca="1" si="58"/>
        <v>0</v>
      </c>
      <c r="J81" s="781">
        <f t="shared" ca="1" si="58"/>
        <v>0</v>
      </c>
      <c r="K81" s="781">
        <f t="shared" ca="1" si="58"/>
        <v>0</v>
      </c>
      <c r="L81" s="781">
        <f t="shared" ca="1" si="58"/>
        <v>0</v>
      </c>
      <c r="M81" s="781">
        <f t="shared" ca="1" si="58"/>
        <v>0</v>
      </c>
      <c r="N81" s="781">
        <f t="shared" ca="1" si="58"/>
        <v>0</v>
      </c>
      <c r="O81" s="781">
        <f t="shared" ca="1" si="58"/>
        <v>0</v>
      </c>
      <c r="P81" s="781">
        <f t="shared" ca="1" si="58"/>
        <v>0</v>
      </c>
      <c r="Q81" s="781">
        <f t="shared" ca="1" si="59"/>
        <v>0</v>
      </c>
      <c r="R81" s="781">
        <f t="shared" ca="1" si="59"/>
        <v>0</v>
      </c>
      <c r="S81" s="781">
        <f t="shared" ca="1" si="59"/>
        <v>0</v>
      </c>
      <c r="T81" s="781">
        <f t="shared" ca="1" si="59"/>
        <v>0</v>
      </c>
      <c r="U81" s="781">
        <f t="shared" ca="1" si="59"/>
        <v>0</v>
      </c>
      <c r="V81" s="781">
        <f t="shared" ca="1" si="59"/>
        <v>0</v>
      </c>
      <c r="W81" s="781">
        <f t="shared" ca="1" si="59"/>
        <v>0</v>
      </c>
      <c r="X81" s="781">
        <f t="shared" ca="1" si="59"/>
        <v>0</v>
      </c>
      <c r="Y81" s="781">
        <f t="shared" ca="1" si="59"/>
        <v>0</v>
      </c>
      <c r="Z81" s="781">
        <f t="shared" ca="1" si="59"/>
        <v>0</v>
      </c>
      <c r="AA81" s="781">
        <f t="shared" ca="1" si="60"/>
        <v>0</v>
      </c>
      <c r="AB81" s="781">
        <f t="shared" ca="1" si="60"/>
        <v>0</v>
      </c>
      <c r="AC81" s="781">
        <f t="shared" ca="1" si="60"/>
        <v>0</v>
      </c>
      <c r="AD81" s="781">
        <f t="shared" ca="1" si="60"/>
        <v>0</v>
      </c>
      <c r="AE81" s="781">
        <f t="shared" ca="1" si="60"/>
        <v>0</v>
      </c>
      <c r="AF81" s="781">
        <f t="shared" ca="1" si="60"/>
        <v>0</v>
      </c>
      <c r="AG81" s="781">
        <f t="shared" ca="1" si="60"/>
        <v>0</v>
      </c>
      <c r="AH81" s="781">
        <f t="shared" ca="1" si="60"/>
        <v>0</v>
      </c>
      <c r="AI81" s="781">
        <f t="shared" ca="1" si="60"/>
        <v>0</v>
      </c>
      <c r="AJ81" s="781">
        <f t="shared" ca="1" si="60"/>
        <v>0</v>
      </c>
      <c r="AK81" s="781">
        <f t="shared" ca="1" si="61"/>
        <v>0</v>
      </c>
      <c r="AL81" s="781">
        <f t="shared" ca="1" si="61"/>
        <v>0</v>
      </c>
      <c r="AM81" s="781">
        <f t="shared" ca="1" si="61"/>
        <v>0</v>
      </c>
      <c r="AN81" s="781">
        <f t="shared" ca="1" si="61"/>
        <v>0</v>
      </c>
      <c r="AO81" s="781">
        <f t="shared" ca="1" si="61"/>
        <v>0</v>
      </c>
      <c r="AP81" s="781">
        <f t="shared" ca="1" si="61"/>
        <v>0</v>
      </c>
      <c r="AQ81" s="781">
        <f t="shared" ca="1" si="61"/>
        <v>0</v>
      </c>
      <c r="AR81" s="781">
        <f t="shared" ca="1" si="61"/>
        <v>0</v>
      </c>
      <c r="AS81" s="781">
        <f t="shared" ca="1" si="61"/>
        <v>0</v>
      </c>
      <c r="AT81" s="781">
        <f t="shared" ca="1" si="61"/>
        <v>0</v>
      </c>
      <c r="AV81" s="781">
        <f t="shared" ca="1" si="51"/>
        <v>0</v>
      </c>
      <c r="AX81" s="781">
        <f t="shared" ca="1" si="52"/>
        <v>0</v>
      </c>
      <c r="AZ81" s="781">
        <f t="shared" ca="1" si="53"/>
        <v>0</v>
      </c>
      <c r="BB81" s="781">
        <f t="shared" ca="1" si="54"/>
        <v>0</v>
      </c>
      <c r="BD81" s="781">
        <f t="shared" ca="1" si="55"/>
        <v>0</v>
      </c>
      <c r="BF81" s="781">
        <f t="shared" ca="1" si="56"/>
        <v>0</v>
      </c>
      <c r="BH81" s="781">
        <f t="shared" ca="1" si="57"/>
        <v>0</v>
      </c>
    </row>
    <row r="82" spans="1:60" hidden="1" outlineLevel="1">
      <c r="A82" s="1464">
        <f t="shared" ca="1" si="47"/>
        <v>18</v>
      </c>
      <c r="B82" s="1464">
        <f t="shared" ca="1" si="48"/>
        <v>21</v>
      </c>
      <c r="C82" s="1464">
        <f t="shared" si="49"/>
        <v>18</v>
      </c>
      <c r="D82" s="1271" t="str">
        <f ca="1">IF(OFFSET(PortfolioDashboard!$A$3,C82-1,0)="","Blank",OFFSET(PortfolioDashboard!$A$3,C82-1,0))</f>
        <v>Blank</v>
      </c>
      <c r="E82" s="1464" t="str">
        <f t="shared" si="50"/>
        <v>MTCO2e</v>
      </c>
      <c r="F82" s="1460"/>
      <c r="G82" s="781">
        <f t="shared" ca="1" si="58"/>
        <v>0</v>
      </c>
      <c r="H82" s="781">
        <f t="shared" ca="1" si="58"/>
        <v>0</v>
      </c>
      <c r="I82" s="781">
        <f t="shared" ca="1" si="58"/>
        <v>0</v>
      </c>
      <c r="J82" s="781">
        <f t="shared" ca="1" si="58"/>
        <v>0</v>
      </c>
      <c r="K82" s="781">
        <f t="shared" ca="1" si="58"/>
        <v>0</v>
      </c>
      <c r="L82" s="781">
        <f t="shared" ca="1" si="58"/>
        <v>0</v>
      </c>
      <c r="M82" s="781">
        <f t="shared" ca="1" si="58"/>
        <v>0</v>
      </c>
      <c r="N82" s="781">
        <f t="shared" ca="1" si="58"/>
        <v>0</v>
      </c>
      <c r="O82" s="781">
        <f t="shared" ca="1" si="58"/>
        <v>0</v>
      </c>
      <c r="P82" s="781">
        <f t="shared" ca="1" si="58"/>
        <v>0</v>
      </c>
      <c r="Q82" s="781">
        <f t="shared" ca="1" si="59"/>
        <v>0</v>
      </c>
      <c r="R82" s="781">
        <f t="shared" ca="1" si="59"/>
        <v>0</v>
      </c>
      <c r="S82" s="781">
        <f t="shared" ca="1" si="59"/>
        <v>0</v>
      </c>
      <c r="T82" s="781">
        <f t="shared" ca="1" si="59"/>
        <v>0</v>
      </c>
      <c r="U82" s="781">
        <f t="shared" ca="1" si="59"/>
        <v>0</v>
      </c>
      <c r="V82" s="781">
        <f t="shared" ca="1" si="59"/>
        <v>0</v>
      </c>
      <c r="W82" s="781">
        <f t="shared" ca="1" si="59"/>
        <v>0</v>
      </c>
      <c r="X82" s="781">
        <f t="shared" ca="1" si="59"/>
        <v>0</v>
      </c>
      <c r="Y82" s="781">
        <f t="shared" ca="1" si="59"/>
        <v>0</v>
      </c>
      <c r="Z82" s="781">
        <f t="shared" ca="1" si="59"/>
        <v>0</v>
      </c>
      <c r="AA82" s="781">
        <f t="shared" ca="1" si="60"/>
        <v>0</v>
      </c>
      <c r="AB82" s="781">
        <f t="shared" ca="1" si="60"/>
        <v>0</v>
      </c>
      <c r="AC82" s="781">
        <f t="shared" ca="1" si="60"/>
        <v>0</v>
      </c>
      <c r="AD82" s="781">
        <f t="shared" ca="1" si="60"/>
        <v>0</v>
      </c>
      <c r="AE82" s="781">
        <f t="shared" ca="1" si="60"/>
        <v>0</v>
      </c>
      <c r="AF82" s="781">
        <f t="shared" ca="1" si="60"/>
        <v>0</v>
      </c>
      <c r="AG82" s="781">
        <f t="shared" ca="1" si="60"/>
        <v>0</v>
      </c>
      <c r="AH82" s="781">
        <f t="shared" ca="1" si="60"/>
        <v>0</v>
      </c>
      <c r="AI82" s="781">
        <f t="shared" ca="1" si="60"/>
        <v>0</v>
      </c>
      <c r="AJ82" s="781">
        <f t="shared" ca="1" si="60"/>
        <v>0</v>
      </c>
      <c r="AK82" s="781">
        <f t="shared" ca="1" si="61"/>
        <v>0</v>
      </c>
      <c r="AL82" s="781">
        <f t="shared" ca="1" si="61"/>
        <v>0</v>
      </c>
      <c r="AM82" s="781">
        <f t="shared" ca="1" si="61"/>
        <v>0</v>
      </c>
      <c r="AN82" s="781">
        <f t="shared" ca="1" si="61"/>
        <v>0</v>
      </c>
      <c r="AO82" s="781">
        <f t="shared" ca="1" si="61"/>
        <v>0</v>
      </c>
      <c r="AP82" s="781">
        <f t="shared" ca="1" si="61"/>
        <v>0</v>
      </c>
      <c r="AQ82" s="781">
        <f t="shared" ca="1" si="61"/>
        <v>0</v>
      </c>
      <c r="AR82" s="781">
        <f t="shared" ca="1" si="61"/>
        <v>0</v>
      </c>
      <c r="AS82" s="781">
        <f t="shared" ca="1" si="61"/>
        <v>0</v>
      </c>
      <c r="AT82" s="781">
        <f t="shared" ca="1" si="61"/>
        <v>0</v>
      </c>
      <c r="AV82" s="781">
        <f t="shared" ca="1" si="51"/>
        <v>0</v>
      </c>
      <c r="AX82" s="781">
        <f t="shared" ca="1" si="52"/>
        <v>0</v>
      </c>
      <c r="AZ82" s="781">
        <f t="shared" ca="1" si="53"/>
        <v>0</v>
      </c>
      <c r="BB82" s="781">
        <f t="shared" ca="1" si="54"/>
        <v>0</v>
      </c>
      <c r="BD82" s="781">
        <f t="shared" ca="1" si="55"/>
        <v>0</v>
      </c>
      <c r="BF82" s="781">
        <f t="shared" ca="1" si="56"/>
        <v>0</v>
      </c>
      <c r="BH82" s="781">
        <f t="shared" ca="1" si="57"/>
        <v>0</v>
      </c>
    </row>
    <row r="83" spans="1:60" hidden="1" outlineLevel="1">
      <c r="A83" s="1464">
        <f t="shared" ca="1" si="47"/>
        <v>18</v>
      </c>
      <c r="B83" s="1464">
        <f t="shared" ca="1" si="48"/>
        <v>21</v>
      </c>
      <c r="C83" s="1464">
        <f t="shared" si="49"/>
        <v>19</v>
      </c>
      <c r="D83" s="1271" t="str">
        <f ca="1">IF(OFFSET(PortfolioDashboard!$A$3,C83-1,0)="","Blank",OFFSET(PortfolioDashboard!$A$3,C83-1,0))</f>
        <v>Blank</v>
      </c>
      <c r="E83" s="1464" t="str">
        <f t="shared" si="50"/>
        <v>MTCO2e</v>
      </c>
      <c r="F83" s="1460"/>
      <c r="G83" s="781">
        <f t="shared" ca="1" si="58"/>
        <v>0</v>
      </c>
      <c r="H83" s="781">
        <f t="shared" ca="1" si="58"/>
        <v>0</v>
      </c>
      <c r="I83" s="781">
        <f t="shared" ca="1" si="58"/>
        <v>0</v>
      </c>
      <c r="J83" s="781">
        <f t="shared" ca="1" si="58"/>
        <v>0</v>
      </c>
      <c r="K83" s="781">
        <f t="shared" ca="1" si="58"/>
        <v>0</v>
      </c>
      <c r="L83" s="781">
        <f t="shared" ca="1" si="58"/>
        <v>0</v>
      </c>
      <c r="M83" s="781">
        <f t="shared" ca="1" si="58"/>
        <v>0</v>
      </c>
      <c r="N83" s="781">
        <f t="shared" ca="1" si="58"/>
        <v>0</v>
      </c>
      <c r="O83" s="781">
        <f t="shared" ca="1" si="58"/>
        <v>0</v>
      </c>
      <c r="P83" s="781">
        <f t="shared" ca="1" si="58"/>
        <v>0</v>
      </c>
      <c r="Q83" s="781">
        <f t="shared" ca="1" si="59"/>
        <v>0</v>
      </c>
      <c r="R83" s="781">
        <f t="shared" ca="1" si="59"/>
        <v>0</v>
      </c>
      <c r="S83" s="781">
        <f t="shared" ca="1" si="59"/>
        <v>0</v>
      </c>
      <c r="T83" s="781">
        <f t="shared" ca="1" si="59"/>
        <v>0</v>
      </c>
      <c r="U83" s="781">
        <f t="shared" ca="1" si="59"/>
        <v>0</v>
      </c>
      <c r="V83" s="781">
        <f t="shared" ca="1" si="59"/>
        <v>0</v>
      </c>
      <c r="W83" s="781">
        <f t="shared" ca="1" si="59"/>
        <v>0</v>
      </c>
      <c r="X83" s="781">
        <f t="shared" ca="1" si="59"/>
        <v>0</v>
      </c>
      <c r="Y83" s="781">
        <f t="shared" ca="1" si="59"/>
        <v>0</v>
      </c>
      <c r="Z83" s="781">
        <f t="shared" ca="1" si="59"/>
        <v>0</v>
      </c>
      <c r="AA83" s="781">
        <f t="shared" ca="1" si="60"/>
        <v>0</v>
      </c>
      <c r="AB83" s="781">
        <f t="shared" ca="1" si="60"/>
        <v>0</v>
      </c>
      <c r="AC83" s="781">
        <f t="shared" ca="1" si="60"/>
        <v>0</v>
      </c>
      <c r="AD83" s="781">
        <f t="shared" ca="1" si="60"/>
        <v>0</v>
      </c>
      <c r="AE83" s="781">
        <f t="shared" ca="1" si="60"/>
        <v>0</v>
      </c>
      <c r="AF83" s="781">
        <f t="shared" ca="1" si="60"/>
        <v>0</v>
      </c>
      <c r="AG83" s="781">
        <f t="shared" ca="1" si="60"/>
        <v>0</v>
      </c>
      <c r="AH83" s="781">
        <f t="shared" ca="1" si="60"/>
        <v>0</v>
      </c>
      <c r="AI83" s="781">
        <f t="shared" ca="1" si="60"/>
        <v>0</v>
      </c>
      <c r="AJ83" s="781">
        <f t="shared" ca="1" si="60"/>
        <v>0</v>
      </c>
      <c r="AK83" s="781">
        <f t="shared" ca="1" si="61"/>
        <v>0</v>
      </c>
      <c r="AL83" s="781">
        <f t="shared" ca="1" si="61"/>
        <v>0</v>
      </c>
      <c r="AM83" s="781">
        <f t="shared" ca="1" si="61"/>
        <v>0</v>
      </c>
      <c r="AN83" s="781">
        <f t="shared" ca="1" si="61"/>
        <v>0</v>
      </c>
      <c r="AO83" s="781">
        <f t="shared" ca="1" si="61"/>
        <v>0</v>
      </c>
      <c r="AP83" s="781">
        <f t="shared" ca="1" si="61"/>
        <v>0</v>
      </c>
      <c r="AQ83" s="781">
        <f t="shared" ca="1" si="61"/>
        <v>0</v>
      </c>
      <c r="AR83" s="781">
        <f t="shared" ca="1" si="61"/>
        <v>0</v>
      </c>
      <c r="AS83" s="781">
        <f t="shared" ca="1" si="61"/>
        <v>0</v>
      </c>
      <c r="AT83" s="781">
        <f t="shared" ca="1" si="61"/>
        <v>0</v>
      </c>
      <c r="AV83" s="781">
        <f t="shared" ca="1" si="51"/>
        <v>0</v>
      </c>
      <c r="AX83" s="781">
        <f t="shared" ca="1" si="52"/>
        <v>0</v>
      </c>
      <c r="AZ83" s="781">
        <f t="shared" ca="1" si="53"/>
        <v>0</v>
      </c>
      <c r="BB83" s="781">
        <f t="shared" ca="1" si="54"/>
        <v>0</v>
      </c>
      <c r="BD83" s="781">
        <f t="shared" ca="1" si="55"/>
        <v>0</v>
      </c>
      <c r="BF83" s="781">
        <f t="shared" ca="1" si="56"/>
        <v>0</v>
      </c>
      <c r="BH83" s="781">
        <f t="shared" ca="1" si="57"/>
        <v>0</v>
      </c>
    </row>
    <row r="84" spans="1:60" hidden="1" outlineLevel="1">
      <c r="A84" s="1464">
        <f t="shared" ca="1" si="47"/>
        <v>18</v>
      </c>
      <c r="B84" s="1464">
        <f t="shared" ca="1" si="48"/>
        <v>21</v>
      </c>
      <c r="C84" s="1464">
        <f t="shared" si="49"/>
        <v>20</v>
      </c>
      <c r="D84" s="1271" t="str">
        <f ca="1">IF(OFFSET(PortfolioDashboard!$A$3,C84-1,0)="","Blank",OFFSET(PortfolioDashboard!$A$3,C84-1,0))</f>
        <v>Blank</v>
      </c>
      <c r="E84" s="1464" t="str">
        <f t="shared" si="50"/>
        <v>MTCO2e</v>
      </c>
      <c r="F84" s="1460"/>
      <c r="G84" s="781">
        <f t="shared" ca="1" si="58"/>
        <v>0</v>
      </c>
      <c r="H84" s="781">
        <f t="shared" ca="1" si="58"/>
        <v>0</v>
      </c>
      <c r="I84" s="781">
        <f t="shared" ca="1" si="58"/>
        <v>0</v>
      </c>
      <c r="J84" s="781">
        <f t="shared" ca="1" si="58"/>
        <v>0</v>
      </c>
      <c r="K84" s="781">
        <f t="shared" ca="1" si="58"/>
        <v>0</v>
      </c>
      <c r="L84" s="781">
        <f t="shared" ca="1" si="58"/>
        <v>0</v>
      </c>
      <c r="M84" s="781">
        <f t="shared" ca="1" si="58"/>
        <v>0</v>
      </c>
      <c r="N84" s="781">
        <f t="shared" ca="1" si="58"/>
        <v>0</v>
      </c>
      <c r="O84" s="781">
        <f t="shared" ca="1" si="58"/>
        <v>0</v>
      </c>
      <c r="P84" s="781">
        <f t="shared" ca="1" si="58"/>
        <v>0</v>
      </c>
      <c r="Q84" s="781">
        <f t="shared" ca="1" si="59"/>
        <v>0</v>
      </c>
      <c r="R84" s="781">
        <f t="shared" ca="1" si="59"/>
        <v>0</v>
      </c>
      <c r="S84" s="781">
        <f t="shared" ca="1" si="59"/>
        <v>0</v>
      </c>
      <c r="T84" s="781">
        <f t="shared" ca="1" si="59"/>
        <v>0</v>
      </c>
      <c r="U84" s="781">
        <f t="shared" ca="1" si="59"/>
        <v>0</v>
      </c>
      <c r="V84" s="781">
        <f t="shared" ca="1" si="59"/>
        <v>0</v>
      </c>
      <c r="W84" s="781">
        <f t="shared" ca="1" si="59"/>
        <v>0</v>
      </c>
      <c r="X84" s="781">
        <f t="shared" ca="1" si="59"/>
        <v>0</v>
      </c>
      <c r="Y84" s="781">
        <f t="shared" ca="1" si="59"/>
        <v>0</v>
      </c>
      <c r="Z84" s="781">
        <f t="shared" ca="1" si="59"/>
        <v>0</v>
      </c>
      <c r="AA84" s="781">
        <f t="shared" ca="1" si="60"/>
        <v>0</v>
      </c>
      <c r="AB84" s="781">
        <f t="shared" ca="1" si="60"/>
        <v>0</v>
      </c>
      <c r="AC84" s="781">
        <f t="shared" ca="1" si="60"/>
        <v>0</v>
      </c>
      <c r="AD84" s="781">
        <f t="shared" ca="1" si="60"/>
        <v>0</v>
      </c>
      <c r="AE84" s="781">
        <f t="shared" ca="1" si="60"/>
        <v>0</v>
      </c>
      <c r="AF84" s="781">
        <f t="shared" ca="1" si="60"/>
        <v>0</v>
      </c>
      <c r="AG84" s="781">
        <f t="shared" ca="1" si="60"/>
        <v>0</v>
      </c>
      <c r="AH84" s="781">
        <f t="shared" ca="1" si="60"/>
        <v>0</v>
      </c>
      <c r="AI84" s="781">
        <f t="shared" ca="1" si="60"/>
        <v>0</v>
      </c>
      <c r="AJ84" s="781">
        <f t="shared" ca="1" si="60"/>
        <v>0</v>
      </c>
      <c r="AK84" s="781">
        <f t="shared" ca="1" si="61"/>
        <v>0</v>
      </c>
      <c r="AL84" s="781">
        <f t="shared" ca="1" si="61"/>
        <v>0</v>
      </c>
      <c r="AM84" s="781">
        <f t="shared" ca="1" si="61"/>
        <v>0</v>
      </c>
      <c r="AN84" s="781">
        <f t="shared" ca="1" si="61"/>
        <v>0</v>
      </c>
      <c r="AO84" s="781">
        <f t="shared" ca="1" si="61"/>
        <v>0</v>
      </c>
      <c r="AP84" s="781">
        <f t="shared" ca="1" si="61"/>
        <v>0</v>
      </c>
      <c r="AQ84" s="781">
        <f t="shared" ca="1" si="61"/>
        <v>0</v>
      </c>
      <c r="AR84" s="781">
        <f t="shared" ca="1" si="61"/>
        <v>0</v>
      </c>
      <c r="AS84" s="781">
        <f t="shared" ca="1" si="61"/>
        <v>0</v>
      </c>
      <c r="AT84" s="781">
        <f t="shared" ca="1" si="61"/>
        <v>0</v>
      </c>
      <c r="AV84" s="781">
        <f t="shared" ca="1" si="51"/>
        <v>0</v>
      </c>
      <c r="AX84" s="781">
        <f t="shared" ca="1" si="52"/>
        <v>0</v>
      </c>
      <c r="AZ84" s="781">
        <f t="shared" ca="1" si="53"/>
        <v>0</v>
      </c>
      <c r="BB84" s="781">
        <f t="shared" ca="1" si="54"/>
        <v>0</v>
      </c>
      <c r="BD84" s="781">
        <f t="shared" ca="1" si="55"/>
        <v>0</v>
      </c>
      <c r="BF84" s="781">
        <f t="shared" ca="1" si="56"/>
        <v>0</v>
      </c>
      <c r="BH84" s="781">
        <f t="shared" ca="1" si="57"/>
        <v>0</v>
      </c>
    </row>
    <row r="85" spans="1:60" hidden="1" outlineLevel="1">
      <c r="A85" s="1464">
        <f t="shared" ca="1" si="47"/>
        <v>18</v>
      </c>
      <c r="B85" s="1464">
        <f t="shared" ca="1" si="48"/>
        <v>21</v>
      </c>
      <c r="C85" s="1464">
        <f t="shared" si="49"/>
        <v>21</v>
      </c>
      <c r="D85" s="1271" t="str">
        <f ca="1">IF(OFFSET(PortfolioDashboard!$A$3,C85-1,0)="","Blank",OFFSET(PortfolioDashboard!$A$3,C85-1,0))</f>
        <v>Blank</v>
      </c>
      <c r="E85" s="1464" t="str">
        <f t="shared" si="50"/>
        <v>MTCO2e</v>
      </c>
      <c r="F85" s="1460"/>
      <c r="G85" s="781">
        <f t="shared" ref="G85:P94" ca="1" si="62">IFERROR(OFFSET(INDIRECT(INDEX(List_of_Alternatives,MATCH($D85,NameofAlternatives,0))),$A85+G$1-$G$1,$B85),0)</f>
        <v>0</v>
      </c>
      <c r="H85" s="781">
        <f t="shared" ca="1" si="62"/>
        <v>0</v>
      </c>
      <c r="I85" s="781">
        <f t="shared" ca="1" si="62"/>
        <v>0</v>
      </c>
      <c r="J85" s="781">
        <f t="shared" ca="1" si="62"/>
        <v>0</v>
      </c>
      <c r="K85" s="781">
        <f t="shared" ca="1" si="62"/>
        <v>0</v>
      </c>
      <c r="L85" s="781">
        <f t="shared" ca="1" si="62"/>
        <v>0</v>
      </c>
      <c r="M85" s="781">
        <f t="shared" ca="1" si="62"/>
        <v>0</v>
      </c>
      <c r="N85" s="781">
        <f t="shared" ca="1" si="62"/>
        <v>0</v>
      </c>
      <c r="O85" s="781">
        <f t="shared" ca="1" si="62"/>
        <v>0</v>
      </c>
      <c r="P85" s="781">
        <f t="shared" ca="1" si="62"/>
        <v>0</v>
      </c>
      <c r="Q85" s="781">
        <f t="shared" ref="Q85:Z94" ca="1" si="63">IFERROR(OFFSET(INDIRECT(INDEX(List_of_Alternatives,MATCH($D85,NameofAlternatives,0))),$A85+Q$1-$G$1,$B85),0)</f>
        <v>0</v>
      </c>
      <c r="R85" s="781">
        <f t="shared" ca="1" si="63"/>
        <v>0</v>
      </c>
      <c r="S85" s="781">
        <f t="shared" ca="1" si="63"/>
        <v>0</v>
      </c>
      <c r="T85" s="781">
        <f t="shared" ca="1" si="63"/>
        <v>0</v>
      </c>
      <c r="U85" s="781">
        <f t="shared" ca="1" si="63"/>
        <v>0</v>
      </c>
      <c r="V85" s="781">
        <f t="shared" ca="1" si="63"/>
        <v>0</v>
      </c>
      <c r="W85" s="781">
        <f t="shared" ca="1" si="63"/>
        <v>0</v>
      </c>
      <c r="X85" s="781">
        <f t="shared" ca="1" si="63"/>
        <v>0</v>
      </c>
      <c r="Y85" s="781">
        <f t="shared" ca="1" si="63"/>
        <v>0</v>
      </c>
      <c r="Z85" s="781">
        <f t="shared" ca="1" si="63"/>
        <v>0</v>
      </c>
      <c r="AA85" s="781">
        <f t="shared" ref="AA85:AJ94" ca="1" si="64">IFERROR(OFFSET(INDIRECT(INDEX(List_of_Alternatives,MATCH($D85,NameofAlternatives,0))),$A85+AA$1-$G$1,$B85),0)</f>
        <v>0</v>
      </c>
      <c r="AB85" s="781">
        <f t="shared" ca="1" si="64"/>
        <v>0</v>
      </c>
      <c r="AC85" s="781">
        <f t="shared" ca="1" si="64"/>
        <v>0</v>
      </c>
      <c r="AD85" s="781">
        <f t="shared" ca="1" si="64"/>
        <v>0</v>
      </c>
      <c r="AE85" s="781">
        <f t="shared" ca="1" si="64"/>
        <v>0</v>
      </c>
      <c r="AF85" s="781">
        <f t="shared" ca="1" si="64"/>
        <v>0</v>
      </c>
      <c r="AG85" s="781">
        <f t="shared" ca="1" si="64"/>
        <v>0</v>
      </c>
      <c r="AH85" s="781">
        <f t="shared" ca="1" si="64"/>
        <v>0</v>
      </c>
      <c r="AI85" s="781">
        <f t="shared" ca="1" si="64"/>
        <v>0</v>
      </c>
      <c r="AJ85" s="781">
        <f t="shared" ca="1" si="64"/>
        <v>0</v>
      </c>
      <c r="AK85" s="781">
        <f t="shared" ref="AK85:AT94" ca="1" si="65">IFERROR(OFFSET(INDIRECT(INDEX(List_of_Alternatives,MATCH($D85,NameofAlternatives,0))),$A85+AK$1-$G$1,$B85),0)</f>
        <v>0</v>
      </c>
      <c r="AL85" s="781">
        <f t="shared" ca="1" si="65"/>
        <v>0</v>
      </c>
      <c r="AM85" s="781">
        <f t="shared" ca="1" si="65"/>
        <v>0</v>
      </c>
      <c r="AN85" s="781">
        <f t="shared" ca="1" si="65"/>
        <v>0</v>
      </c>
      <c r="AO85" s="781">
        <f t="shared" ca="1" si="65"/>
        <v>0</v>
      </c>
      <c r="AP85" s="781">
        <f t="shared" ca="1" si="65"/>
        <v>0</v>
      </c>
      <c r="AQ85" s="781">
        <f t="shared" ca="1" si="65"/>
        <v>0</v>
      </c>
      <c r="AR85" s="781">
        <f t="shared" ca="1" si="65"/>
        <v>0</v>
      </c>
      <c r="AS85" s="781">
        <f t="shared" ca="1" si="65"/>
        <v>0</v>
      </c>
      <c r="AT85" s="781">
        <f t="shared" ca="1" si="65"/>
        <v>0</v>
      </c>
      <c r="AV85" s="781">
        <f t="shared" ca="1" si="51"/>
        <v>0</v>
      </c>
      <c r="AX85" s="781">
        <f t="shared" ca="1" si="52"/>
        <v>0</v>
      </c>
      <c r="AZ85" s="781">
        <f t="shared" ca="1" si="53"/>
        <v>0</v>
      </c>
      <c r="BB85" s="781">
        <f t="shared" ca="1" si="54"/>
        <v>0</v>
      </c>
      <c r="BD85" s="781">
        <f t="shared" ca="1" si="55"/>
        <v>0</v>
      </c>
      <c r="BF85" s="781">
        <f t="shared" ca="1" si="56"/>
        <v>0</v>
      </c>
      <c r="BH85" s="781">
        <f t="shared" ca="1" si="57"/>
        <v>0</v>
      </c>
    </row>
    <row r="86" spans="1:60" hidden="1" outlineLevel="1">
      <c r="A86" s="1464">
        <f t="shared" ca="1" si="47"/>
        <v>18</v>
      </c>
      <c r="B86" s="1464">
        <f t="shared" ca="1" si="48"/>
        <v>21</v>
      </c>
      <c r="C86" s="1464">
        <f t="shared" si="49"/>
        <v>22</v>
      </c>
      <c r="D86" s="1271" t="str">
        <f ca="1">IF(OFFSET(PortfolioDashboard!$A$3,C86-1,0)="","Blank",OFFSET(PortfolioDashboard!$A$3,C86-1,0))</f>
        <v>Blank</v>
      </c>
      <c r="E86" s="1464" t="str">
        <f t="shared" si="50"/>
        <v>MTCO2e</v>
      </c>
      <c r="F86" s="1460"/>
      <c r="G86" s="781">
        <f t="shared" ca="1" si="62"/>
        <v>0</v>
      </c>
      <c r="H86" s="781">
        <f t="shared" ca="1" si="62"/>
        <v>0</v>
      </c>
      <c r="I86" s="781">
        <f t="shared" ca="1" si="62"/>
        <v>0</v>
      </c>
      <c r="J86" s="781">
        <f t="shared" ca="1" si="62"/>
        <v>0</v>
      </c>
      <c r="K86" s="781">
        <f t="shared" ca="1" si="62"/>
        <v>0</v>
      </c>
      <c r="L86" s="781">
        <f t="shared" ca="1" si="62"/>
        <v>0</v>
      </c>
      <c r="M86" s="781">
        <f t="shared" ca="1" si="62"/>
        <v>0</v>
      </c>
      <c r="N86" s="781">
        <f t="shared" ca="1" si="62"/>
        <v>0</v>
      </c>
      <c r="O86" s="781">
        <f t="shared" ca="1" si="62"/>
        <v>0</v>
      </c>
      <c r="P86" s="781">
        <f t="shared" ca="1" si="62"/>
        <v>0</v>
      </c>
      <c r="Q86" s="781">
        <f t="shared" ca="1" si="63"/>
        <v>0</v>
      </c>
      <c r="R86" s="781">
        <f t="shared" ca="1" si="63"/>
        <v>0</v>
      </c>
      <c r="S86" s="781">
        <f t="shared" ca="1" si="63"/>
        <v>0</v>
      </c>
      <c r="T86" s="781">
        <f t="shared" ca="1" si="63"/>
        <v>0</v>
      </c>
      <c r="U86" s="781">
        <f t="shared" ca="1" si="63"/>
        <v>0</v>
      </c>
      <c r="V86" s="781">
        <f t="shared" ca="1" si="63"/>
        <v>0</v>
      </c>
      <c r="W86" s="781">
        <f t="shared" ca="1" si="63"/>
        <v>0</v>
      </c>
      <c r="X86" s="781">
        <f t="shared" ca="1" si="63"/>
        <v>0</v>
      </c>
      <c r="Y86" s="781">
        <f t="shared" ca="1" si="63"/>
        <v>0</v>
      </c>
      <c r="Z86" s="781">
        <f t="shared" ca="1" si="63"/>
        <v>0</v>
      </c>
      <c r="AA86" s="781">
        <f t="shared" ca="1" si="64"/>
        <v>0</v>
      </c>
      <c r="AB86" s="781">
        <f t="shared" ca="1" si="64"/>
        <v>0</v>
      </c>
      <c r="AC86" s="781">
        <f t="shared" ca="1" si="64"/>
        <v>0</v>
      </c>
      <c r="AD86" s="781">
        <f t="shared" ca="1" si="64"/>
        <v>0</v>
      </c>
      <c r="AE86" s="781">
        <f t="shared" ca="1" si="64"/>
        <v>0</v>
      </c>
      <c r="AF86" s="781">
        <f t="shared" ca="1" si="64"/>
        <v>0</v>
      </c>
      <c r="AG86" s="781">
        <f t="shared" ca="1" si="64"/>
        <v>0</v>
      </c>
      <c r="AH86" s="781">
        <f t="shared" ca="1" si="64"/>
        <v>0</v>
      </c>
      <c r="AI86" s="781">
        <f t="shared" ca="1" si="64"/>
        <v>0</v>
      </c>
      <c r="AJ86" s="781">
        <f t="shared" ca="1" si="64"/>
        <v>0</v>
      </c>
      <c r="AK86" s="781">
        <f t="shared" ca="1" si="65"/>
        <v>0</v>
      </c>
      <c r="AL86" s="781">
        <f t="shared" ca="1" si="65"/>
        <v>0</v>
      </c>
      <c r="AM86" s="781">
        <f t="shared" ca="1" si="65"/>
        <v>0</v>
      </c>
      <c r="AN86" s="781">
        <f t="shared" ca="1" si="65"/>
        <v>0</v>
      </c>
      <c r="AO86" s="781">
        <f t="shared" ca="1" si="65"/>
        <v>0</v>
      </c>
      <c r="AP86" s="781">
        <f t="shared" ca="1" si="65"/>
        <v>0</v>
      </c>
      <c r="AQ86" s="781">
        <f t="shared" ca="1" si="65"/>
        <v>0</v>
      </c>
      <c r="AR86" s="781">
        <f t="shared" ca="1" si="65"/>
        <v>0</v>
      </c>
      <c r="AS86" s="781">
        <f t="shared" ca="1" si="65"/>
        <v>0</v>
      </c>
      <c r="AT86" s="781">
        <f t="shared" ca="1" si="65"/>
        <v>0</v>
      </c>
      <c r="AV86" s="781">
        <f t="shared" ca="1" si="51"/>
        <v>0</v>
      </c>
      <c r="AX86" s="781">
        <f t="shared" ca="1" si="52"/>
        <v>0</v>
      </c>
      <c r="AZ86" s="781">
        <f t="shared" ca="1" si="53"/>
        <v>0</v>
      </c>
      <c r="BB86" s="781">
        <f t="shared" ca="1" si="54"/>
        <v>0</v>
      </c>
      <c r="BD86" s="781">
        <f t="shared" ca="1" si="55"/>
        <v>0</v>
      </c>
      <c r="BF86" s="781">
        <f t="shared" ca="1" si="56"/>
        <v>0</v>
      </c>
      <c r="BH86" s="781">
        <f t="shared" ca="1" si="57"/>
        <v>0</v>
      </c>
    </row>
    <row r="87" spans="1:60" hidden="1" outlineLevel="1">
      <c r="A87" s="1464">
        <f t="shared" ca="1" si="47"/>
        <v>18</v>
      </c>
      <c r="B87" s="1464">
        <f t="shared" ca="1" si="48"/>
        <v>21</v>
      </c>
      <c r="C87" s="1464">
        <f t="shared" si="49"/>
        <v>23</v>
      </c>
      <c r="D87" s="1271" t="str">
        <f ca="1">IF(OFFSET(PortfolioDashboard!$A$3,C87-1,0)="","Blank",OFFSET(PortfolioDashboard!$A$3,C87-1,0))</f>
        <v>Blank</v>
      </c>
      <c r="E87" s="1464" t="str">
        <f t="shared" si="50"/>
        <v>MTCO2e</v>
      </c>
      <c r="F87" s="1460"/>
      <c r="G87" s="781">
        <f t="shared" ca="1" si="62"/>
        <v>0</v>
      </c>
      <c r="H87" s="781">
        <f t="shared" ca="1" si="62"/>
        <v>0</v>
      </c>
      <c r="I87" s="781">
        <f t="shared" ca="1" si="62"/>
        <v>0</v>
      </c>
      <c r="J87" s="781">
        <f t="shared" ca="1" si="62"/>
        <v>0</v>
      </c>
      <c r="K87" s="781">
        <f t="shared" ca="1" si="62"/>
        <v>0</v>
      </c>
      <c r="L87" s="781">
        <f t="shared" ca="1" si="62"/>
        <v>0</v>
      </c>
      <c r="M87" s="781">
        <f t="shared" ca="1" si="62"/>
        <v>0</v>
      </c>
      <c r="N87" s="781">
        <f t="shared" ca="1" si="62"/>
        <v>0</v>
      </c>
      <c r="O87" s="781">
        <f t="shared" ca="1" si="62"/>
        <v>0</v>
      </c>
      <c r="P87" s="781">
        <f t="shared" ca="1" si="62"/>
        <v>0</v>
      </c>
      <c r="Q87" s="781">
        <f t="shared" ca="1" si="63"/>
        <v>0</v>
      </c>
      <c r="R87" s="781">
        <f t="shared" ca="1" si="63"/>
        <v>0</v>
      </c>
      <c r="S87" s="781">
        <f t="shared" ca="1" si="63"/>
        <v>0</v>
      </c>
      <c r="T87" s="781">
        <f t="shared" ca="1" si="63"/>
        <v>0</v>
      </c>
      <c r="U87" s="781">
        <f t="shared" ca="1" si="63"/>
        <v>0</v>
      </c>
      <c r="V87" s="781">
        <f t="shared" ca="1" si="63"/>
        <v>0</v>
      </c>
      <c r="W87" s="781">
        <f t="shared" ca="1" si="63"/>
        <v>0</v>
      </c>
      <c r="X87" s="781">
        <f t="shared" ca="1" si="63"/>
        <v>0</v>
      </c>
      <c r="Y87" s="781">
        <f t="shared" ca="1" si="63"/>
        <v>0</v>
      </c>
      <c r="Z87" s="781">
        <f t="shared" ca="1" si="63"/>
        <v>0</v>
      </c>
      <c r="AA87" s="781">
        <f t="shared" ca="1" si="64"/>
        <v>0</v>
      </c>
      <c r="AB87" s="781">
        <f t="shared" ca="1" si="64"/>
        <v>0</v>
      </c>
      <c r="AC87" s="781">
        <f t="shared" ca="1" si="64"/>
        <v>0</v>
      </c>
      <c r="AD87" s="781">
        <f t="shared" ca="1" si="64"/>
        <v>0</v>
      </c>
      <c r="AE87" s="781">
        <f t="shared" ca="1" si="64"/>
        <v>0</v>
      </c>
      <c r="AF87" s="781">
        <f t="shared" ca="1" si="64"/>
        <v>0</v>
      </c>
      <c r="AG87" s="781">
        <f t="shared" ca="1" si="64"/>
        <v>0</v>
      </c>
      <c r="AH87" s="781">
        <f t="shared" ca="1" si="64"/>
        <v>0</v>
      </c>
      <c r="AI87" s="781">
        <f t="shared" ca="1" si="64"/>
        <v>0</v>
      </c>
      <c r="AJ87" s="781">
        <f t="shared" ca="1" si="64"/>
        <v>0</v>
      </c>
      <c r="AK87" s="781">
        <f t="shared" ca="1" si="65"/>
        <v>0</v>
      </c>
      <c r="AL87" s="781">
        <f t="shared" ca="1" si="65"/>
        <v>0</v>
      </c>
      <c r="AM87" s="781">
        <f t="shared" ca="1" si="65"/>
        <v>0</v>
      </c>
      <c r="AN87" s="781">
        <f t="shared" ca="1" si="65"/>
        <v>0</v>
      </c>
      <c r="AO87" s="781">
        <f t="shared" ca="1" si="65"/>
        <v>0</v>
      </c>
      <c r="AP87" s="781">
        <f t="shared" ca="1" si="65"/>
        <v>0</v>
      </c>
      <c r="AQ87" s="781">
        <f t="shared" ca="1" si="65"/>
        <v>0</v>
      </c>
      <c r="AR87" s="781">
        <f t="shared" ca="1" si="65"/>
        <v>0</v>
      </c>
      <c r="AS87" s="781">
        <f t="shared" ca="1" si="65"/>
        <v>0</v>
      </c>
      <c r="AT87" s="781">
        <f t="shared" ca="1" si="65"/>
        <v>0</v>
      </c>
      <c r="AV87" s="781">
        <f t="shared" ca="1" si="51"/>
        <v>0</v>
      </c>
      <c r="AX87" s="781">
        <f t="shared" ca="1" si="52"/>
        <v>0</v>
      </c>
      <c r="AZ87" s="781">
        <f t="shared" ca="1" si="53"/>
        <v>0</v>
      </c>
      <c r="BB87" s="781">
        <f t="shared" ca="1" si="54"/>
        <v>0</v>
      </c>
      <c r="BD87" s="781">
        <f t="shared" ca="1" si="55"/>
        <v>0</v>
      </c>
      <c r="BF87" s="781">
        <f t="shared" ca="1" si="56"/>
        <v>0</v>
      </c>
      <c r="BH87" s="781">
        <f t="shared" ca="1" si="57"/>
        <v>0</v>
      </c>
    </row>
    <row r="88" spans="1:60" hidden="1" outlineLevel="1">
      <c r="A88" s="1464">
        <f t="shared" ca="1" si="47"/>
        <v>18</v>
      </c>
      <c r="B88" s="1464">
        <f t="shared" ca="1" si="48"/>
        <v>21</v>
      </c>
      <c r="C88" s="1464">
        <f t="shared" si="49"/>
        <v>24</v>
      </c>
      <c r="D88" s="1271" t="str">
        <f ca="1">IF(OFFSET(PortfolioDashboard!$A$3,C88-1,0)="","Blank",OFFSET(PortfolioDashboard!$A$3,C88-1,0))</f>
        <v>Blank</v>
      </c>
      <c r="E88" s="1464" t="str">
        <f t="shared" si="50"/>
        <v>MTCO2e</v>
      </c>
      <c r="F88" s="1460"/>
      <c r="G88" s="781">
        <f t="shared" ca="1" si="62"/>
        <v>0</v>
      </c>
      <c r="H88" s="781">
        <f t="shared" ca="1" si="62"/>
        <v>0</v>
      </c>
      <c r="I88" s="781">
        <f t="shared" ca="1" si="62"/>
        <v>0</v>
      </c>
      <c r="J88" s="781">
        <f t="shared" ca="1" si="62"/>
        <v>0</v>
      </c>
      <c r="K88" s="781">
        <f t="shared" ca="1" si="62"/>
        <v>0</v>
      </c>
      <c r="L88" s="781">
        <f t="shared" ca="1" si="62"/>
        <v>0</v>
      </c>
      <c r="M88" s="781">
        <f t="shared" ca="1" si="62"/>
        <v>0</v>
      </c>
      <c r="N88" s="781">
        <f t="shared" ca="1" si="62"/>
        <v>0</v>
      </c>
      <c r="O88" s="781">
        <f t="shared" ca="1" si="62"/>
        <v>0</v>
      </c>
      <c r="P88" s="781">
        <f t="shared" ca="1" si="62"/>
        <v>0</v>
      </c>
      <c r="Q88" s="781">
        <f t="shared" ca="1" si="63"/>
        <v>0</v>
      </c>
      <c r="R88" s="781">
        <f t="shared" ca="1" si="63"/>
        <v>0</v>
      </c>
      <c r="S88" s="781">
        <f t="shared" ca="1" si="63"/>
        <v>0</v>
      </c>
      <c r="T88" s="781">
        <f t="shared" ca="1" si="63"/>
        <v>0</v>
      </c>
      <c r="U88" s="781">
        <f t="shared" ca="1" si="63"/>
        <v>0</v>
      </c>
      <c r="V88" s="781">
        <f t="shared" ca="1" si="63"/>
        <v>0</v>
      </c>
      <c r="W88" s="781">
        <f t="shared" ca="1" si="63"/>
        <v>0</v>
      </c>
      <c r="X88" s="781">
        <f t="shared" ca="1" si="63"/>
        <v>0</v>
      </c>
      <c r="Y88" s="781">
        <f t="shared" ca="1" si="63"/>
        <v>0</v>
      </c>
      <c r="Z88" s="781">
        <f t="shared" ca="1" si="63"/>
        <v>0</v>
      </c>
      <c r="AA88" s="781">
        <f t="shared" ca="1" si="64"/>
        <v>0</v>
      </c>
      <c r="AB88" s="781">
        <f t="shared" ca="1" si="64"/>
        <v>0</v>
      </c>
      <c r="AC88" s="781">
        <f t="shared" ca="1" si="64"/>
        <v>0</v>
      </c>
      <c r="AD88" s="781">
        <f t="shared" ca="1" si="64"/>
        <v>0</v>
      </c>
      <c r="AE88" s="781">
        <f t="shared" ca="1" si="64"/>
        <v>0</v>
      </c>
      <c r="AF88" s="781">
        <f t="shared" ca="1" si="64"/>
        <v>0</v>
      </c>
      <c r="AG88" s="781">
        <f t="shared" ca="1" si="64"/>
        <v>0</v>
      </c>
      <c r="AH88" s="781">
        <f t="shared" ca="1" si="64"/>
        <v>0</v>
      </c>
      <c r="AI88" s="781">
        <f t="shared" ca="1" si="64"/>
        <v>0</v>
      </c>
      <c r="AJ88" s="781">
        <f t="shared" ca="1" si="64"/>
        <v>0</v>
      </c>
      <c r="AK88" s="781">
        <f t="shared" ca="1" si="65"/>
        <v>0</v>
      </c>
      <c r="AL88" s="781">
        <f t="shared" ca="1" si="65"/>
        <v>0</v>
      </c>
      <c r="AM88" s="781">
        <f t="shared" ca="1" si="65"/>
        <v>0</v>
      </c>
      <c r="AN88" s="781">
        <f t="shared" ca="1" si="65"/>
        <v>0</v>
      </c>
      <c r="AO88" s="781">
        <f t="shared" ca="1" si="65"/>
        <v>0</v>
      </c>
      <c r="AP88" s="781">
        <f t="shared" ca="1" si="65"/>
        <v>0</v>
      </c>
      <c r="AQ88" s="781">
        <f t="shared" ca="1" si="65"/>
        <v>0</v>
      </c>
      <c r="AR88" s="781">
        <f t="shared" ca="1" si="65"/>
        <v>0</v>
      </c>
      <c r="AS88" s="781">
        <f t="shared" ca="1" si="65"/>
        <v>0</v>
      </c>
      <c r="AT88" s="781">
        <f t="shared" ca="1" si="65"/>
        <v>0</v>
      </c>
      <c r="AV88" s="781">
        <f t="shared" ca="1" si="51"/>
        <v>0</v>
      </c>
      <c r="AX88" s="781">
        <f t="shared" ca="1" si="52"/>
        <v>0</v>
      </c>
      <c r="AZ88" s="781">
        <f t="shared" ca="1" si="53"/>
        <v>0</v>
      </c>
      <c r="BB88" s="781">
        <f t="shared" ca="1" si="54"/>
        <v>0</v>
      </c>
      <c r="BD88" s="781">
        <f t="shared" ca="1" si="55"/>
        <v>0</v>
      </c>
      <c r="BF88" s="781">
        <f t="shared" ca="1" si="56"/>
        <v>0</v>
      </c>
      <c r="BH88" s="781">
        <f t="shared" ca="1" si="57"/>
        <v>0</v>
      </c>
    </row>
    <row r="89" spans="1:60" hidden="1" outlineLevel="1">
      <c r="A89" s="1464">
        <f t="shared" ca="1" si="47"/>
        <v>18</v>
      </c>
      <c r="B89" s="1464">
        <f t="shared" ca="1" si="48"/>
        <v>21</v>
      </c>
      <c r="C89" s="1464">
        <f t="shared" si="49"/>
        <v>25</v>
      </c>
      <c r="D89" s="1271" t="str">
        <f ca="1">IF(OFFSET(PortfolioDashboard!$A$3,C89-1,0)="","Blank",OFFSET(PortfolioDashboard!$A$3,C89-1,0))</f>
        <v>Blank</v>
      </c>
      <c r="E89" s="1464" t="str">
        <f t="shared" si="50"/>
        <v>MTCO2e</v>
      </c>
      <c r="F89" s="1460"/>
      <c r="G89" s="781">
        <f t="shared" ca="1" si="62"/>
        <v>0</v>
      </c>
      <c r="H89" s="781">
        <f t="shared" ca="1" si="62"/>
        <v>0</v>
      </c>
      <c r="I89" s="781">
        <f t="shared" ca="1" si="62"/>
        <v>0</v>
      </c>
      <c r="J89" s="781">
        <f t="shared" ca="1" si="62"/>
        <v>0</v>
      </c>
      <c r="K89" s="781">
        <f t="shared" ca="1" si="62"/>
        <v>0</v>
      </c>
      <c r="L89" s="781">
        <f t="shared" ca="1" si="62"/>
        <v>0</v>
      </c>
      <c r="M89" s="781">
        <f t="shared" ca="1" si="62"/>
        <v>0</v>
      </c>
      <c r="N89" s="781">
        <f t="shared" ca="1" si="62"/>
        <v>0</v>
      </c>
      <c r="O89" s="781">
        <f t="shared" ca="1" si="62"/>
        <v>0</v>
      </c>
      <c r="P89" s="781">
        <f t="shared" ca="1" si="62"/>
        <v>0</v>
      </c>
      <c r="Q89" s="781">
        <f t="shared" ca="1" si="63"/>
        <v>0</v>
      </c>
      <c r="R89" s="781">
        <f t="shared" ca="1" si="63"/>
        <v>0</v>
      </c>
      <c r="S89" s="781">
        <f t="shared" ca="1" si="63"/>
        <v>0</v>
      </c>
      <c r="T89" s="781">
        <f t="shared" ca="1" si="63"/>
        <v>0</v>
      </c>
      <c r="U89" s="781">
        <f t="shared" ca="1" si="63"/>
        <v>0</v>
      </c>
      <c r="V89" s="781">
        <f t="shared" ca="1" si="63"/>
        <v>0</v>
      </c>
      <c r="W89" s="781">
        <f t="shared" ca="1" si="63"/>
        <v>0</v>
      </c>
      <c r="X89" s="781">
        <f t="shared" ca="1" si="63"/>
        <v>0</v>
      </c>
      <c r="Y89" s="781">
        <f t="shared" ca="1" si="63"/>
        <v>0</v>
      </c>
      <c r="Z89" s="781">
        <f t="shared" ca="1" si="63"/>
        <v>0</v>
      </c>
      <c r="AA89" s="781">
        <f t="shared" ca="1" si="64"/>
        <v>0</v>
      </c>
      <c r="AB89" s="781">
        <f t="shared" ca="1" si="64"/>
        <v>0</v>
      </c>
      <c r="AC89" s="781">
        <f t="shared" ca="1" si="64"/>
        <v>0</v>
      </c>
      <c r="AD89" s="781">
        <f t="shared" ca="1" si="64"/>
        <v>0</v>
      </c>
      <c r="AE89" s="781">
        <f t="shared" ca="1" si="64"/>
        <v>0</v>
      </c>
      <c r="AF89" s="781">
        <f t="shared" ca="1" si="64"/>
        <v>0</v>
      </c>
      <c r="AG89" s="781">
        <f t="shared" ca="1" si="64"/>
        <v>0</v>
      </c>
      <c r="AH89" s="781">
        <f t="shared" ca="1" si="64"/>
        <v>0</v>
      </c>
      <c r="AI89" s="781">
        <f t="shared" ca="1" si="64"/>
        <v>0</v>
      </c>
      <c r="AJ89" s="781">
        <f t="shared" ca="1" si="64"/>
        <v>0</v>
      </c>
      <c r="AK89" s="781">
        <f t="shared" ca="1" si="65"/>
        <v>0</v>
      </c>
      <c r="AL89" s="781">
        <f t="shared" ca="1" si="65"/>
        <v>0</v>
      </c>
      <c r="AM89" s="781">
        <f t="shared" ca="1" si="65"/>
        <v>0</v>
      </c>
      <c r="AN89" s="781">
        <f t="shared" ca="1" si="65"/>
        <v>0</v>
      </c>
      <c r="AO89" s="781">
        <f t="shared" ca="1" si="65"/>
        <v>0</v>
      </c>
      <c r="AP89" s="781">
        <f t="shared" ca="1" si="65"/>
        <v>0</v>
      </c>
      <c r="AQ89" s="781">
        <f t="shared" ca="1" si="65"/>
        <v>0</v>
      </c>
      <c r="AR89" s="781">
        <f t="shared" ca="1" si="65"/>
        <v>0</v>
      </c>
      <c r="AS89" s="781">
        <f t="shared" ca="1" si="65"/>
        <v>0</v>
      </c>
      <c r="AT89" s="781">
        <f t="shared" ca="1" si="65"/>
        <v>0</v>
      </c>
      <c r="AV89" s="781">
        <f t="shared" ca="1" si="51"/>
        <v>0</v>
      </c>
      <c r="AX89" s="781">
        <f t="shared" ca="1" si="52"/>
        <v>0</v>
      </c>
      <c r="AZ89" s="781">
        <f t="shared" ca="1" si="53"/>
        <v>0</v>
      </c>
      <c r="BB89" s="781">
        <f t="shared" ca="1" si="54"/>
        <v>0</v>
      </c>
      <c r="BD89" s="781">
        <f t="shared" ca="1" si="55"/>
        <v>0</v>
      </c>
      <c r="BF89" s="781">
        <f t="shared" ca="1" si="56"/>
        <v>0</v>
      </c>
      <c r="BH89" s="781">
        <f t="shared" ca="1" si="57"/>
        <v>0</v>
      </c>
    </row>
    <row r="90" spans="1:60" hidden="1" outlineLevel="1">
      <c r="A90" s="1464">
        <f t="shared" ca="1" si="47"/>
        <v>18</v>
      </c>
      <c r="B90" s="1464">
        <f t="shared" ca="1" si="48"/>
        <v>21</v>
      </c>
      <c r="C90" s="1464">
        <f t="shared" si="49"/>
        <v>26</v>
      </c>
      <c r="D90" s="1271" t="str">
        <f ca="1">IF(OFFSET(PortfolioDashboard!$A$3,C90-1,0)="","Blank",OFFSET(PortfolioDashboard!$A$3,C90-1,0))</f>
        <v>Blank</v>
      </c>
      <c r="E90" s="1464" t="str">
        <f t="shared" si="50"/>
        <v>MTCO2e</v>
      </c>
      <c r="F90" s="1460"/>
      <c r="G90" s="781">
        <f t="shared" ca="1" si="62"/>
        <v>0</v>
      </c>
      <c r="H90" s="781">
        <f t="shared" ca="1" si="62"/>
        <v>0</v>
      </c>
      <c r="I90" s="781">
        <f t="shared" ca="1" si="62"/>
        <v>0</v>
      </c>
      <c r="J90" s="781">
        <f t="shared" ca="1" si="62"/>
        <v>0</v>
      </c>
      <c r="K90" s="781">
        <f t="shared" ca="1" si="62"/>
        <v>0</v>
      </c>
      <c r="L90" s="781">
        <f t="shared" ca="1" si="62"/>
        <v>0</v>
      </c>
      <c r="M90" s="781">
        <f t="shared" ca="1" si="62"/>
        <v>0</v>
      </c>
      <c r="N90" s="781">
        <f t="shared" ca="1" si="62"/>
        <v>0</v>
      </c>
      <c r="O90" s="781">
        <f t="shared" ca="1" si="62"/>
        <v>0</v>
      </c>
      <c r="P90" s="781">
        <f t="shared" ca="1" si="62"/>
        <v>0</v>
      </c>
      <c r="Q90" s="781">
        <f t="shared" ca="1" si="63"/>
        <v>0</v>
      </c>
      <c r="R90" s="781">
        <f t="shared" ca="1" si="63"/>
        <v>0</v>
      </c>
      <c r="S90" s="781">
        <f t="shared" ca="1" si="63"/>
        <v>0</v>
      </c>
      <c r="T90" s="781">
        <f t="shared" ca="1" si="63"/>
        <v>0</v>
      </c>
      <c r="U90" s="781">
        <f t="shared" ca="1" si="63"/>
        <v>0</v>
      </c>
      <c r="V90" s="781">
        <f t="shared" ca="1" si="63"/>
        <v>0</v>
      </c>
      <c r="W90" s="781">
        <f t="shared" ca="1" si="63"/>
        <v>0</v>
      </c>
      <c r="X90" s="781">
        <f t="shared" ca="1" si="63"/>
        <v>0</v>
      </c>
      <c r="Y90" s="781">
        <f t="shared" ca="1" si="63"/>
        <v>0</v>
      </c>
      <c r="Z90" s="781">
        <f t="shared" ca="1" si="63"/>
        <v>0</v>
      </c>
      <c r="AA90" s="781">
        <f t="shared" ca="1" si="64"/>
        <v>0</v>
      </c>
      <c r="AB90" s="781">
        <f t="shared" ca="1" si="64"/>
        <v>0</v>
      </c>
      <c r="AC90" s="781">
        <f t="shared" ca="1" si="64"/>
        <v>0</v>
      </c>
      <c r="AD90" s="781">
        <f t="shared" ca="1" si="64"/>
        <v>0</v>
      </c>
      <c r="AE90" s="781">
        <f t="shared" ca="1" si="64"/>
        <v>0</v>
      </c>
      <c r="AF90" s="781">
        <f t="shared" ca="1" si="64"/>
        <v>0</v>
      </c>
      <c r="AG90" s="781">
        <f t="shared" ca="1" si="64"/>
        <v>0</v>
      </c>
      <c r="AH90" s="781">
        <f t="shared" ca="1" si="64"/>
        <v>0</v>
      </c>
      <c r="AI90" s="781">
        <f t="shared" ca="1" si="64"/>
        <v>0</v>
      </c>
      <c r="AJ90" s="781">
        <f t="shared" ca="1" si="64"/>
        <v>0</v>
      </c>
      <c r="AK90" s="781">
        <f t="shared" ca="1" si="65"/>
        <v>0</v>
      </c>
      <c r="AL90" s="781">
        <f t="shared" ca="1" si="65"/>
        <v>0</v>
      </c>
      <c r="AM90" s="781">
        <f t="shared" ca="1" si="65"/>
        <v>0</v>
      </c>
      <c r="AN90" s="781">
        <f t="shared" ca="1" si="65"/>
        <v>0</v>
      </c>
      <c r="AO90" s="781">
        <f t="shared" ca="1" si="65"/>
        <v>0</v>
      </c>
      <c r="AP90" s="781">
        <f t="shared" ca="1" si="65"/>
        <v>0</v>
      </c>
      <c r="AQ90" s="781">
        <f t="shared" ca="1" si="65"/>
        <v>0</v>
      </c>
      <c r="AR90" s="781">
        <f t="shared" ca="1" si="65"/>
        <v>0</v>
      </c>
      <c r="AS90" s="781">
        <f t="shared" ca="1" si="65"/>
        <v>0</v>
      </c>
      <c r="AT90" s="781">
        <f t="shared" ca="1" si="65"/>
        <v>0</v>
      </c>
      <c r="AV90" s="781">
        <f t="shared" ca="1" si="51"/>
        <v>0</v>
      </c>
      <c r="AX90" s="781">
        <f t="shared" ca="1" si="52"/>
        <v>0</v>
      </c>
      <c r="AZ90" s="781">
        <f t="shared" ca="1" si="53"/>
        <v>0</v>
      </c>
      <c r="BB90" s="781">
        <f t="shared" ca="1" si="54"/>
        <v>0</v>
      </c>
      <c r="BD90" s="781">
        <f t="shared" ca="1" si="55"/>
        <v>0</v>
      </c>
      <c r="BF90" s="781">
        <f t="shared" ca="1" si="56"/>
        <v>0</v>
      </c>
      <c r="BH90" s="781">
        <f t="shared" ca="1" si="57"/>
        <v>0</v>
      </c>
    </row>
    <row r="91" spans="1:60" hidden="1" outlineLevel="1">
      <c r="A91" s="1464">
        <f t="shared" ca="1" si="47"/>
        <v>18</v>
      </c>
      <c r="B91" s="1464">
        <f t="shared" ca="1" si="48"/>
        <v>21</v>
      </c>
      <c r="C91" s="1464">
        <f t="shared" si="49"/>
        <v>27</v>
      </c>
      <c r="D91" s="1271" t="str">
        <f ca="1">IF(OFFSET(PortfolioDashboard!$A$3,C91-1,0)="","Blank",OFFSET(PortfolioDashboard!$A$3,C91-1,0))</f>
        <v>Blank</v>
      </c>
      <c r="E91" s="1464" t="str">
        <f t="shared" si="50"/>
        <v>MTCO2e</v>
      </c>
      <c r="F91" s="1460"/>
      <c r="G91" s="781">
        <f t="shared" ca="1" si="62"/>
        <v>0</v>
      </c>
      <c r="H91" s="781">
        <f t="shared" ca="1" si="62"/>
        <v>0</v>
      </c>
      <c r="I91" s="781">
        <f t="shared" ca="1" si="62"/>
        <v>0</v>
      </c>
      <c r="J91" s="781">
        <f t="shared" ca="1" si="62"/>
        <v>0</v>
      </c>
      <c r="K91" s="781">
        <f t="shared" ca="1" si="62"/>
        <v>0</v>
      </c>
      <c r="L91" s="781">
        <f t="shared" ca="1" si="62"/>
        <v>0</v>
      </c>
      <c r="M91" s="781">
        <f t="shared" ca="1" si="62"/>
        <v>0</v>
      </c>
      <c r="N91" s="781">
        <f t="shared" ca="1" si="62"/>
        <v>0</v>
      </c>
      <c r="O91" s="781">
        <f t="shared" ca="1" si="62"/>
        <v>0</v>
      </c>
      <c r="P91" s="781">
        <f t="shared" ca="1" si="62"/>
        <v>0</v>
      </c>
      <c r="Q91" s="781">
        <f t="shared" ca="1" si="63"/>
        <v>0</v>
      </c>
      <c r="R91" s="781">
        <f t="shared" ca="1" si="63"/>
        <v>0</v>
      </c>
      <c r="S91" s="781">
        <f t="shared" ca="1" si="63"/>
        <v>0</v>
      </c>
      <c r="T91" s="781">
        <f t="shared" ca="1" si="63"/>
        <v>0</v>
      </c>
      <c r="U91" s="781">
        <f t="shared" ca="1" si="63"/>
        <v>0</v>
      </c>
      <c r="V91" s="781">
        <f t="shared" ca="1" si="63"/>
        <v>0</v>
      </c>
      <c r="W91" s="781">
        <f t="shared" ca="1" si="63"/>
        <v>0</v>
      </c>
      <c r="X91" s="781">
        <f t="shared" ca="1" si="63"/>
        <v>0</v>
      </c>
      <c r="Y91" s="781">
        <f t="shared" ca="1" si="63"/>
        <v>0</v>
      </c>
      <c r="Z91" s="781">
        <f t="shared" ca="1" si="63"/>
        <v>0</v>
      </c>
      <c r="AA91" s="781">
        <f t="shared" ca="1" si="64"/>
        <v>0</v>
      </c>
      <c r="AB91" s="781">
        <f t="shared" ca="1" si="64"/>
        <v>0</v>
      </c>
      <c r="AC91" s="781">
        <f t="shared" ca="1" si="64"/>
        <v>0</v>
      </c>
      <c r="AD91" s="781">
        <f t="shared" ca="1" si="64"/>
        <v>0</v>
      </c>
      <c r="AE91" s="781">
        <f t="shared" ca="1" si="64"/>
        <v>0</v>
      </c>
      <c r="AF91" s="781">
        <f t="shared" ca="1" si="64"/>
        <v>0</v>
      </c>
      <c r="AG91" s="781">
        <f t="shared" ca="1" si="64"/>
        <v>0</v>
      </c>
      <c r="AH91" s="781">
        <f t="shared" ca="1" si="64"/>
        <v>0</v>
      </c>
      <c r="AI91" s="781">
        <f t="shared" ca="1" si="64"/>
        <v>0</v>
      </c>
      <c r="AJ91" s="781">
        <f t="shared" ca="1" si="64"/>
        <v>0</v>
      </c>
      <c r="AK91" s="781">
        <f t="shared" ca="1" si="65"/>
        <v>0</v>
      </c>
      <c r="AL91" s="781">
        <f t="shared" ca="1" si="65"/>
        <v>0</v>
      </c>
      <c r="AM91" s="781">
        <f t="shared" ca="1" si="65"/>
        <v>0</v>
      </c>
      <c r="AN91" s="781">
        <f t="shared" ca="1" si="65"/>
        <v>0</v>
      </c>
      <c r="AO91" s="781">
        <f t="shared" ca="1" si="65"/>
        <v>0</v>
      </c>
      <c r="AP91" s="781">
        <f t="shared" ca="1" si="65"/>
        <v>0</v>
      </c>
      <c r="AQ91" s="781">
        <f t="shared" ca="1" si="65"/>
        <v>0</v>
      </c>
      <c r="AR91" s="781">
        <f t="shared" ca="1" si="65"/>
        <v>0</v>
      </c>
      <c r="AS91" s="781">
        <f t="shared" ca="1" si="65"/>
        <v>0</v>
      </c>
      <c r="AT91" s="781">
        <f t="shared" ca="1" si="65"/>
        <v>0</v>
      </c>
      <c r="AV91" s="781">
        <f t="shared" ca="1" si="51"/>
        <v>0</v>
      </c>
      <c r="AX91" s="781">
        <f t="shared" ca="1" si="52"/>
        <v>0</v>
      </c>
      <c r="AZ91" s="781">
        <f t="shared" ca="1" si="53"/>
        <v>0</v>
      </c>
      <c r="BB91" s="781">
        <f t="shared" ca="1" si="54"/>
        <v>0</v>
      </c>
      <c r="BD91" s="781">
        <f t="shared" ca="1" si="55"/>
        <v>0</v>
      </c>
      <c r="BF91" s="781">
        <f t="shared" ca="1" si="56"/>
        <v>0</v>
      </c>
      <c r="BH91" s="781">
        <f t="shared" ca="1" si="57"/>
        <v>0</v>
      </c>
    </row>
    <row r="92" spans="1:60" hidden="1" outlineLevel="1">
      <c r="A92" s="1464">
        <f t="shared" ca="1" si="47"/>
        <v>18</v>
      </c>
      <c r="B92" s="1464">
        <f t="shared" ca="1" si="48"/>
        <v>21</v>
      </c>
      <c r="C92" s="1464">
        <f t="shared" si="49"/>
        <v>28</v>
      </c>
      <c r="D92" s="1271" t="str">
        <f ca="1">IF(OFFSET(PortfolioDashboard!$A$3,C92-1,0)="","Blank",OFFSET(PortfolioDashboard!$A$3,C92-1,0))</f>
        <v>Blank</v>
      </c>
      <c r="E92" s="1464" t="str">
        <f t="shared" si="50"/>
        <v>MTCO2e</v>
      </c>
      <c r="F92" s="1460"/>
      <c r="G92" s="781">
        <f t="shared" ca="1" si="62"/>
        <v>0</v>
      </c>
      <c r="H92" s="781">
        <f t="shared" ca="1" si="62"/>
        <v>0</v>
      </c>
      <c r="I92" s="781">
        <f t="shared" ca="1" si="62"/>
        <v>0</v>
      </c>
      <c r="J92" s="781">
        <f t="shared" ca="1" si="62"/>
        <v>0</v>
      </c>
      <c r="K92" s="781">
        <f t="shared" ca="1" si="62"/>
        <v>0</v>
      </c>
      <c r="L92" s="781">
        <f t="shared" ca="1" si="62"/>
        <v>0</v>
      </c>
      <c r="M92" s="781">
        <f t="shared" ca="1" si="62"/>
        <v>0</v>
      </c>
      <c r="N92" s="781">
        <f t="shared" ca="1" si="62"/>
        <v>0</v>
      </c>
      <c r="O92" s="781">
        <f t="shared" ca="1" si="62"/>
        <v>0</v>
      </c>
      <c r="P92" s="781">
        <f t="shared" ca="1" si="62"/>
        <v>0</v>
      </c>
      <c r="Q92" s="781">
        <f t="shared" ca="1" si="63"/>
        <v>0</v>
      </c>
      <c r="R92" s="781">
        <f t="shared" ca="1" si="63"/>
        <v>0</v>
      </c>
      <c r="S92" s="781">
        <f t="shared" ca="1" si="63"/>
        <v>0</v>
      </c>
      <c r="T92" s="781">
        <f t="shared" ca="1" si="63"/>
        <v>0</v>
      </c>
      <c r="U92" s="781">
        <f t="shared" ca="1" si="63"/>
        <v>0</v>
      </c>
      <c r="V92" s="781">
        <f t="shared" ca="1" si="63"/>
        <v>0</v>
      </c>
      <c r="W92" s="781">
        <f t="shared" ca="1" si="63"/>
        <v>0</v>
      </c>
      <c r="X92" s="781">
        <f t="shared" ca="1" si="63"/>
        <v>0</v>
      </c>
      <c r="Y92" s="781">
        <f t="shared" ca="1" si="63"/>
        <v>0</v>
      </c>
      <c r="Z92" s="781">
        <f t="shared" ca="1" si="63"/>
        <v>0</v>
      </c>
      <c r="AA92" s="781">
        <f t="shared" ca="1" si="64"/>
        <v>0</v>
      </c>
      <c r="AB92" s="781">
        <f t="shared" ca="1" si="64"/>
        <v>0</v>
      </c>
      <c r="AC92" s="781">
        <f t="shared" ca="1" si="64"/>
        <v>0</v>
      </c>
      <c r="AD92" s="781">
        <f t="shared" ca="1" si="64"/>
        <v>0</v>
      </c>
      <c r="AE92" s="781">
        <f t="shared" ca="1" si="64"/>
        <v>0</v>
      </c>
      <c r="AF92" s="781">
        <f t="shared" ca="1" si="64"/>
        <v>0</v>
      </c>
      <c r="AG92" s="781">
        <f t="shared" ca="1" si="64"/>
        <v>0</v>
      </c>
      <c r="AH92" s="781">
        <f t="shared" ca="1" si="64"/>
        <v>0</v>
      </c>
      <c r="AI92" s="781">
        <f t="shared" ca="1" si="64"/>
        <v>0</v>
      </c>
      <c r="AJ92" s="781">
        <f t="shared" ca="1" si="64"/>
        <v>0</v>
      </c>
      <c r="AK92" s="781">
        <f t="shared" ca="1" si="65"/>
        <v>0</v>
      </c>
      <c r="AL92" s="781">
        <f t="shared" ca="1" si="65"/>
        <v>0</v>
      </c>
      <c r="AM92" s="781">
        <f t="shared" ca="1" si="65"/>
        <v>0</v>
      </c>
      <c r="AN92" s="781">
        <f t="shared" ca="1" si="65"/>
        <v>0</v>
      </c>
      <c r="AO92" s="781">
        <f t="shared" ca="1" si="65"/>
        <v>0</v>
      </c>
      <c r="AP92" s="781">
        <f t="shared" ca="1" si="65"/>
        <v>0</v>
      </c>
      <c r="AQ92" s="781">
        <f t="shared" ca="1" si="65"/>
        <v>0</v>
      </c>
      <c r="AR92" s="781">
        <f t="shared" ca="1" si="65"/>
        <v>0</v>
      </c>
      <c r="AS92" s="781">
        <f t="shared" ca="1" si="65"/>
        <v>0</v>
      </c>
      <c r="AT92" s="781">
        <f t="shared" ca="1" si="65"/>
        <v>0</v>
      </c>
      <c r="AV92" s="781">
        <f t="shared" ca="1" si="51"/>
        <v>0</v>
      </c>
      <c r="AX92" s="781">
        <f t="shared" ca="1" si="52"/>
        <v>0</v>
      </c>
      <c r="AZ92" s="781">
        <f t="shared" ca="1" si="53"/>
        <v>0</v>
      </c>
      <c r="BB92" s="781">
        <f t="shared" ca="1" si="54"/>
        <v>0</v>
      </c>
      <c r="BD92" s="781">
        <f t="shared" ca="1" si="55"/>
        <v>0</v>
      </c>
      <c r="BF92" s="781">
        <f t="shared" ca="1" si="56"/>
        <v>0</v>
      </c>
      <c r="BH92" s="781">
        <f t="shared" ca="1" si="57"/>
        <v>0</v>
      </c>
    </row>
    <row r="93" spans="1:60" hidden="1" outlineLevel="1">
      <c r="A93" s="1464">
        <f t="shared" ca="1" si="47"/>
        <v>18</v>
      </c>
      <c r="B93" s="1464">
        <f t="shared" ca="1" si="48"/>
        <v>21</v>
      </c>
      <c r="C93" s="1464">
        <f t="shared" si="49"/>
        <v>29</v>
      </c>
      <c r="D93" s="1271" t="str">
        <f ca="1">IF(OFFSET(PortfolioDashboard!$A$3,C93-1,0)="","Blank",OFFSET(PortfolioDashboard!$A$3,C93-1,0))</f>
        <v>Blank</v>
      </c>
      <c r="E93" s="1464" t="str">
        <f t="shared" si="50"/>
        <v>MTCO2e</v>
      </c>
      <c r="F93" s="1460"/>
      <c r="G93" s="781">
        <f t="shared" ca="1" si="62"/>
        <v>0</v>
      </c>
      <c r="H93" s="781">
        <f t="shared" ca="1" si="62"/>
        <v>0</v>
      </c>
      <c r="I93" s="781">
        <f t="shared" ca="1" si="62"/>
        <v>0</v>
      </c>
      <c r="J93" s="781">
        <f t="shared" ca="1" si="62"/>
        <v>0</v>
      </c>
      <c r="K93" s="781">
        <f t="shared" ca="1" si="62"/>
        <v>0</v>
      </c>
      <c r="L93" s="781">
        <f t="shared" ca="1" si="62"/>
        <v>0</v>
      </c>
      <c r="M93" s="781">
        <f t="shared" ca="1" si="62"/>
        <v>0</v>
      </c>
      <c r="N93" s="781">
        <f t="shared" ca="1" si="62"/>
        <v>0</v>
      </c>
      <c r="O93" s="781">
        <f t="shared" ca="1" si="62"/>
        <v>0</v>
      </c>
      <c r="P93" s="781">
        <f t="shared" ca="1" si="62"/>
        <v>0</v>
      </c>
      <c r="Q93" s="781">
        <f t="shared" ca="1" si="63"/>
        <v>0</v>
      </c>
      <c r="R93" s="781">
        <f t="shared" ca="1" si="63"/>
        <v>0</v>
      </c>
      <c r="S93" s="781">
        <f t="shared" ca="1" si="63"/>
        <v>0</v>
      </c>
      <c r="T93" s="781">
        <f t="shared" ca="1" si="63"/>
        <v>0</v>
      </c>
      <c r="U93" s="781">
        <f t="shared" ca="1" si="63"/>
        <v>0</v>
      </c>
      <c r="V93" s="781">
        <f t="shared" ca="1" si="63"/>
        <v>0</v>
      </c>
      <c r="W93" s="781">
        <f t="shared" ca="1" si="63"/>
        <v>0</v>
      </c>
      <c r="X93" s="781">
        <f t="shared" ca="1" si="63"/>
        <v>0</v>
      </c>
      <c r="Y93" s="781">
        <f t="shared" ca="1" si="63"/>
        <v>0</v>
      </c>
      <c r="Z93" s="781">
        <f t="shared" ca="1" si="63"/>
        <v>0</v>
      </c>
      <c r="AA93" s="781">
        <f t="shared" ca="1" si="64"/>
        <v>0</v>
      </c>
      <c r="AB93" s="781">
        <f t="shared" ca="1" si="64"/>
        <v>0</v>
      </c>
      <c r="AC93" s="781">
        <f t="shared" ca="1" si="64"/>
        <v>0</v>
      </c>
      <c r="AD93" s="781">
        <f t="shared" ca="1" si="64"/>
        <v>0</v>
      </c>
      <c r="AE93" s="781">
        <f t="shared" ca="1" si="64"/>
        <v>0</v>
      </c>
      <c r="AF93" s="781">
        <f t="shared" ca="1" si="64"/>
        <v>0</v>
      </c>
      <c r="AG93" s="781">
        <f t="shared" ca="1" si="64"/>
        <v>0</v>
      </c>
      <c r="AH93" s="781">
        <f t="shared" ca="1" si="64"/>
        <v>0</v>
      </c>
      <c r="AI93" s="781">
        <f t="shared" ca="1" si="64"/>
        <v>0</v>
      </c>
      <c r="AJ93" s="781">
        <f t="shared" ca="1" si="64"/>
        <v>0</v>
      </c>
      <c r="AK93" s="781">
        <f t="shared" ca="1" si="65"/>
        <v>0</v>
      </c>
      <c r="AL93" s="781">
        <f t="shared" ca="1" si="65"/>
        <v>0</v>
      </c>
      <c r="AM93" s="781">
        <f t="shared" ca="1" si="65"/>
        <v>0</v>
      </c>
      <c r="AN93" s="781">
        <f t="shared" ca="1" si="65"/>
        <v>0</v>
      </c>
      <c r="AO93" s="781">
        <f t="shared" ca="1" si="65"/>
        <v>0</v>
      </c>
      <c r="AP93" s="781">
        <f t="shared" ca="1" si="65"/>
        <v>0</v>
      </c>
      <c r="AQ93" s="781">
        <f t="shared" ca="1" si="65"/>
        <v>0</v>
      </c>
      <c r="AR93" s="781">
        <f t="shared" ca="1" si="65"/>
        <v>0</v>
      </c>
      <c r="AS93" s="781">
        <f t="shared" ca="1" si="65"/>
        <v>0</v>
      </c>
      <c r="AT93" s="781">
        <f t="shared" ca="1" si="65"/>
        <v>0</v>
      </c>
      <c r="AV93" s="781">
        <f t="shared" ca="1" si="51"/>
        <v>0</v>
      </c>
      <c r="AX93" s="781">
        <f t="shared" ca="1" si="52"/>
        <v>0</v>
      </c>
      <c r="AZ93" s="781">
        <f t="shared" ca="1" si="53"/>
        <v>0</v>
      </c>
      <c r="BB93" s="781">
        <f t="shared" ca="1" si="54"/>
        <v>0</v>
      </c>
      <c r="BD93" s="781">
        <f t="shared" ca="1" si="55"/>
        <v>0</v>
      </c>
      <c r="BF93" s="781">
        <f t="shared" ca="1" si="56"/>
        <v>0</v>
      </c>
      <c r="BH93" s="781">
        <f t="shared" ca="1" si="57"/>
        <v>0</v>
      </c>
    </row>
    <row r="94" spans="1:60" hidden="1" outlineLevel="1">
      <c r="A94" s="1464">
        <f t="shared" ca="1" si="47"/>
        <v>18</v>
      </c>
      <c r="B94" s="1464">
        <f t="shared" ca="1" si="48"/>
        <v>21</v>
      </c>
      <c r="C94" s="1464">
        <f t="shared" si="49"/>
        <v>30</v>
      </c>
      <c r="D94" s="1271" t="str">
        <f ca="1">IF(OFFSET(PortfolioDashboard!$A$3,C94-1,0)="","Blank",OFFSET(PortfolioDashboard!$A$3,C94-1,0))</f>
        <v>Blank</v>
      </c>
      <c r="E94" s="1464" t="str">
        <f t="shared" si="50"/>
        <v>MTCO2e</v>
      </c>
      <c r="F94" s="1460"/>
      <c r="G94" s="781">
        <f t="shared" ca="1" si="62"/>
        <v>0</v>
      </c>
      <c r="H94" s="781">
        <f t="shared" ca="1" si="62"/>
        <v>0</v>
      </c>
      <c r="I94" s="781">
        <f t="shared" ca="1" si="62"/>
        <v>0</v>
      </c>
      <c r="J94" s="781">
        <f t="shared" ca="1" si="62"/>
        <v>0</v>
      </c>
      <c r="K94" s="781">
        <f t="shared" ca="1" si="62"/>
        <v>0</v>
      </c>
      <c r="L94" s="781">
        <f t="shared" ca="1" si="62"/>
        <v>0</v>
      </c>
      <c r="M94" s="781">
        <f t="shared" ca="1" si="62"/>
        <v>0</v>
      </c>
      <c r="N94" s="781">
        <f t="shared" ca="1" si="62"/>
        <v>0</v>
      </c>
      <c r="O94" s="781">
        <f t="shared" ca="1" si="62"/>
        <v>0</v>
      </c>
      <c r="P94" s="781">
        <f t="shared" ca="1" si="62"/>
        <v>0</v>
      </c>
      <c r="Q94" s="781">
        <f t="shared" ca="1" si="63"/>
        <v>0</v>
      </c>
      <c r="R94" s="781">
        <f t="shared" ca="1" si="63"/>
        <v>0</v>
      </c>
      <c r="S94" s="781">
        <f t="shared" ca="1" si="63"/>
        <v>0</v>
      </c>
      <c r="T94" s="781">
        <f t="shared" ca="1" si="63"/>
        <v>0</v>
      </c>
      <c r="U94" s="781">
        <f t="shared" ca="1" si="63"/>
        <v>0</v>
      </c>
      <c r="V94" s="781">
        <f t="shared" ca="1" si="63"/>
        <v>0</v>
      </c>
      <c r="W94" s="781">
        <f t="shared" ca="1" si="63"/>
        <v>0</v>
      </c>
      <c r="X94" s="781">
        <f t="shared" ca="1" si="63"/>
        <v>0</v>
      </c>
      <c r="Y94" s="781">
        <f t="shared" ca="1" si="63"/>
        <v>0</v>
      </c>
      <c r="Z94" s="781">
        <f t="shared" ca="1" si="63"/>
        <v>0</v>
      </c>
      <c r="AA94" s="781">
        <f t="shared" ca="1" si="64"/>
        <v>0</v>
      </c>
      <c r="AB94" s="781">
        <f t="shared" ca="1" si="64"/>
        <v>0</v>
      </c>
      <c r="AC94" s="781">
        <f t="shared" ca="1" si="64"/>
        <v>0</v>
      </c>
      <c r="AD94" s="781">
        <f t="shared" ca="1" si="64"/>
        <v>0</v>
      </c>
      <c r="AE94" s="781">
        <f t="shared" ca="1" si="64"/>
        <v>0</v>
      </c>
      <c r="AF94" s="781">
        <f t="shared" ca="1" si="64"/>
        <v>0</v>
      </c>
      <c r="AG94" s="781">
        <f t="shared" ca="1" si="64"/>
        <v>0</v>
      </c>
      <c r="AH94" s="781">
        <f t="shared" ca="1" si="64"/>
        <v>0</v>
      </c>
      <c r="AI94" s="781">
        <f t="shared" ca="1" si="64"/>
        <v>0</v>
      </c>
      <c r="AJ94" s="781">
        <f t="shared" ca="1" si="64"/>
        <v>0</v>
      </c>
      <c r="AK94" s="781">
        <f t="shared" ca="1" si="65"/>
        <v>0</v>
      </c>
      <c r="AL94" s="781">
        <f t="shared" ca="1" si="65"/>
        <v>0</v>
      </c>
      <c r="AM94" s="781">
        <f t="shared" ca="1" si="65"/>
        <v>0</v>
      </c>
      <c r="AN94" s="781">
        <f t="shared" ca="1" si="65"/>
        <v>0</v>
      </c>
      <c r="AO94" s="781">
        <f t="shared" ca="1" si="65"/>
        <v>0</v>
      </c>
      <c r="AP94" s="781">
        <f t="shared" ca="1" si="65"/>
        <v>0</v>
      </c>
      <c r="AQ94" s="781">
        <f t="shared" ca="1" si="65"/>
        <v>0</v>
      </c>
      <c r="AR94" s="781">
        <f t="shared" ca="1" si="65"/>
        <v>0</v>
      </c>
      <c r="AS94" s="781">
        <f t="shared" ca="1" si="65"/>
        <v>0</v>
      </c>
      <c r="AT94" s="781">
        <f t="shared" ca="1" si="65"/>
        <v>0</v>
      </c>
      <c r="AV94" s="781">
        <f t="shared" ca="1" si="51"/>
        <v>0</v>
      </c>
      <c r="AX94" s="781">
        <f t="shared" ca="1" si="52"/>
        <v>0</v>
      </c>
      <c r="AZ94" s="781">
        <f t="shared" ca="1" si="53"/>
        <v>0</v>
      </c>
      <c r="BB94" s="781">
        <f t="shared" ca="1" si="54"/>
        <v>0</v>
      </c>
      <c r="BD94" s="781">
        <f t="shared" ca="1" si="55"/>
        <v>0</v>
      </c>
      <c r="BF94" s="781">
        <f t="shared" ca="1" si="56"/>
        <v>0</v>
      </c>
      <c r="BH94" s="781">
        <f t="shared" ca="1" si="57"/>
        <v>0</v>
      </c>
    </row>
    <row r="95" spans="1:60" collapsed="1">
      <c r="A95" s="1464"/>
      <c r="B95" s="1464"/>
      <c r="C95" s="1464"/>
      <c r="D95" s="1272" t="s">
        <v>263</v>
      </c>
      <c r="E95" s="1270" t="s">
        <v>1507</v>
      </c>
      <c r="F95" s="1461"/>
      <c r="G95" s="1273">
        <f t="shared" ref="G95:AT95" ca="1" si="66">SUM(G65:G94)</f>
        <v>0</v>
      </c>
      <c r="H95" s="1273">
        <f t="shared" ca="1" si="66"/>
        <v>0</v>
      </c>
      <c r="I95" s="1273">
        <f t="shared" ca="1" si="66"/>
        <v>-162.81643397406458</v>
      </c>
      <c r="J95" s="1273">
        <f t="shared" ca="1" si="66"/>
        <v>-326.1924377394069</v>
      </c>
      <c r="K95" s="1273">
        <f t="shared" ca="1" si="66"/>
        <v>-489.99756396934276</v>
      </c>
      <c r="L95" s="1273">
        <f t="shared" ca="1" si="66"/>
        <v>-654.16428845085125</v>
      </c>
      <c r="M95" s="1273">
        <f t="shared" ca="1" si="66"/>
        <v>-818.64945967225867</v>
      </c>
      <c r="N95" s="1273">
        <f t="shared" ca="1" si="66"/>
        <v>-983.42242590882825</v>
      </c>
      <c r="O95" s="1273">
        <f t="shared" ca="1" si="66"/>
        <v>-1148.4599608720218</v>
      </c>
      <c r="P95" s="1273">
        <f t="shared" ca="1" si="66"/>
        <v>-1313.7436763489204</v>
      </c>
      <c r="Q95" s="1273">
        <f t="shared" ca="1" si="66"/>
        <v>-1479.258544660677</v>
      </c>
      <c r="R95" s="1273">
        <f t="shared" ca="1" si="66"/>
        <v>-1644.9919849094142</v>
      </c>
      <c r="S95" s="1273">
        <f t="shared" ca="1" si="66"/>
        <v>-1644.9919849094142</v>
      </c>
      <c r="T95" s="1273">
        <f t="shared" ca="1" si="66"/>
        <v>-1644.9919849094142</v>
      </c>
      <c r="U95" s="1273">
        <f t="shared" ca="1" si="66"/>
        <v>-1644.9919849094142</v>
      </c>
      <c r="V95" s="1273">
        <f t="shared" ca="1" si="66"/>
        <v>-1644.9919849094142</v>
      </c>
      <c r="W95" s="1273">
        <f t="shared" ca="1" si="66"/>
        <v>-1644.9919849094142</v>
      </c>
      <c r="X95" s="1273">
        <f t="shared" ca="1" si="66"/>
        <v>-1644.9919849094142</v>
      </c>
      <c r="Y95" s="1273">
        <f t="shared" ca="1" si="66"/>
        <v>-1644.9919849094142</v>
      </c>
      <c r="Z95" s="1273">
        <f t="shared" ca="1" si="66"/>
        <v>-1644.9919849094142</v>
      </c>
      <c r="AA95" s="1273">
        <f t="shared" ca="1" si="66"/>
        <v>-1644.9919849094142</v>
      </c>
      <c r="AB95" s="1273">
        <f t="shared" ca="1" si="66"/>
        <v>-1644.9919849094142</v>
      </c>
      <c r="AC95" s="1273">
        <f t="shared" ca="1" si="66"/>
        <v>-1644.9919849094142</v>
      </c>
      <c r="AD95" s="1273">
        <f t="shared" ca="1" si="66"/>
        <v>-1644.9919849094142</v>
      </c>
      <c r="AE95" s="1273">
        <f t="shared" ca="1" si="66"/>
        <v>-1644.9919849094142</v>
      </c>
      <c r="AF95" s="1273">
        <f t="shared" ca="1" si="66"/>
        <v>-1644.9919849094142</v>
      </c>
      <c r="AG95" s="1273">
        <f t="shared" ca="1" si="66"/>
        <v>-1644.9919849094142</v>
      </c>
      <c r="AH95" s="1273">
        <f t="shared" ca="1" si="66"/>
        <v>-1644.9919849094142</v>
      </c>
      <c r="AI95" s="1273">
        <f t="shared" ca="1" si="66"/>
        <v>-1644.9919849094142</v>
      </c>
      <c r="AJ95" s="1273">
        <f t="shared" ca="1" si="66"/>
        <v>-1644.9919849094142</v>
      </c>
      <c r="AK95" s="1273">
        <f t="shared" ca="1" si="66"/>
        <v>-1644.9919849094142</v>
      </c>
      <c r="AL95" s="1273">
        <f t="shared" ca="1" si="66"/>
        <v>-1644.9919849094142</v>
      </c>
      <c r="AM95" s="1273">
        <f t="shared" ca="1" si="66"/>
        <v>-1644.9919849094142</v>
      </c>
      <c r="AN95" s="1273">
        <f t="shared" ca="1" si="66"/>
        <v>-1644.9919849094142</v>
      </c>
      <c r="AO95" s="1273">
        <f t="shared" ca="1" si="66"/>
        <v>-1644.9919849094142</v>
      </c>
      <c r="AP95" s="1273">
        <f t="shared" ca="1" si="66"/>
        <v>-1644.9919849094142</v>
      </c>
      <c r="AQ95" s="1273">
        <f t="shared" ca="1" si="66"/>
        <v>-1644.9919849094142</v>
      </c>
      <c r="AR95" s="1273">
        <f t="shared" ca="1" si="66"/>
        <v>-1644.9919849094142</v>
      </c>
      <c r="AS95" s="1273">
        <f t="shared" ca="1" si="66"/>
        <v>-1644.9919849094142</v>
      </c>
      <c r="AT95" s="1273">
        <f t="shared" ca="1" si="66"/>
        <v>-1644.9919849094142</v>
      </c>
      <c r="AV95" s="1273">
        <f t="shared" ca="1" si="51"/>
        <v>-4918.4398112528806</v>
      </c>
      <c r="AX95" s="1273">
        <f t="shared" ca="1" si="52"/>
        <v>-8059.2264842983332</v>
      </c>
      <c r="AZ95" s="1273">
        <f t="shared" ca="1" si="53"/>
        <v>-8224.9599245470708</v>
      </c>
      <c r="BB95" s="1273">
        <f t="shared" ca="1" si="54"/>
        <v>-8224.9599245470708</v>
      </c>
      <c r="BD95" s="1273">
        <f t="shared" ca="1" si="55"/>
        <v>-8224.9599245470708</v>
      </c>
      <c r="BF95" s="1273">
        <f t="shared" ca="1" si="56"/>
        <v>-8224.9599245470708</v>
      </c>
      <c r="BH95" s="1273">
        <f t="shared" ca="1" si="57"/>
        <v>-8224.9599245470708</v>
      </c>
    </row>
    <row r="96" spans="1:60" hidden="1" outlineLevel="1">
      <c r="A96" s="1464">
        <f ca="1">OFFSET(Abatement_Scope_3_Air,-3,2)</f>
        <v>18</v>
      </c>
      <c r="B96" s="1464">
        <f ca="1">OFFSET(Abatement_Scope_3_Air,-2,2)</f>
        <v>22</v>
      </c>
      <c r="C96" s="1464">
        <v>1</v>
      </c>
      <c r="D96" s="1271" t="str">
        <f ca="1">IF(OFFSET(PortfolioDashboard!$A$3,C96-1,0)="","Blank",OFFSET(PortfolioDashboard!$A$3,C96-1,0))</f>
        <v>Behavior Change</v>
      </c>
      <c r="E96" s="1464" t="s">
        <v>1507</v>
      </c>
      <c r="F96" s="1460"/>
      <c r="G96" s="781">
        <f t="shared" ref="G96:P105" ca="1" si="67">IFERROR(OFFSET(INDIRECT(INDEX(List_of_Alternatives,MATCH($D96,NameofAlternatives,0))),$A96+G$1-$G$1,$B96),0)</f>
        <v>0</v>
      </c>
      <c r="H96" s="781">
        <f t="shared" ca="1" si="67"/>
        <v>0</v>
      </c>
      <c r="I96" s="781">
        <f t="shared" ca="1" si="67"/>
        <v>0</v>
      </c>
      <c r="J96" s="781">
        <f t="shared" ca="1" si="67"/>
        <v>0</v>
      </c>
      <c r="K96" s="781">
        <f t="shared" ca="1" si="67"/>
        <v>0</v>
      </c>
      <c r="L96" s="781">
        <f t="shared" ca="1" si="67"/>
        <v>0</v>
      </c>
      <c r="M96" s="781">
        <f t="shared" ca="1" si="67"/>
        <v>0</v>
      </c>
      <c r="N96" s="781">
        <f t="shared" ca="1" si="67"/>
        <v>0</v>
      </c>
      <c r="O96" s="781">
        <f t="shared" ca="1" si="67"/>
        <v>0</v>
      </c>
      <c r="P96" s="781">
        <f t="shared" ca="1" si="67"/>
        <v>0</v>
      </c>
      <c r="Q96" s="781">
        <f t="shared" ref="Q96:Z105" ca="1" si="68">IFERROR(OFFSET(INDIRECT(INDEX(List_of_Alternatives,MATCH($D96,NameofAlternatives,0))),$A96+Q$1-$G$1,$B96),0)</f>
        <v>0</v>
      </c>
      <c r="R96" s="781">
        <f t="shared" ca="1" si="68"/>
        <v>0</v>
      </c>
      <c r="S96" s="781">
        <f t="shared" ca="1" si="68"/>
        <v>0</v>
      </c>
      <c r="T96" s="781">
        <f t="shared" ca="1" si="68"/>
        <v>0</v>
      </c>
      <c r="U96" s="781">
        <f t="shared" ca="1" si="68"/>
        <v>0</v>
      </c>
      <c r="V96" s="781">
        <f t="shared" ca="1" si="68"/>
        <v>0</v>
      </c>
      <c r="W96" s="781">
        <f t="shared" ca="1" si="68"/>
        <v>0</v>
      </c>
      <c r="X96" s="781">
        <f t="shared" ca="1" si="68"/>
        <v>0</v>
      </c>
      <c r="Y96" s="781">
        <f t="shared" ca="1" si="68"/>
        <v>0</v>
      </c>
      <c r="Z96" s="781">
        <f t="shared" ca="1" si="68"/>
        <v>0</v>
      </c>
      <c r="AA96" s="781">
        <f t="shared" ref="AA96:AJ105" ca="1" si="69">IFERROR(OFFSET(INDIRECT(INDEX(List_of_Alternatives,MATCH($D96,NameofAlternatives,0))),$A96+AA$1-$G$1,$B96),0)</f>
        <v>0</v>
      </c>
      <c r="AB96" s="781">
        <f t="shared" ca="1" si="69"/>
        <v>0</v>
      </c>
      <c r="AC96" s="781">
        <f t="shared" ca="1" si="69"/>
        <v>0</v>
      </c>
      <c r="AD96" s="781">
        <f t="shared" ca="1" si="69"/>
        <v>0</v>
      </c>
      <c r="AE96" s="781">
        <f t="shared" ca="1" si="69"/>
        <v>0</v>
      </c>
      <c r="AF96" s="781">
        <f t="shared" ca="1" si="69"/>
        <v>0</v>
      </c>
      <c r="AG96" s="781">
        <f t="shared" ca="1" si="69"/>
        <v>0</v>
      </c>
      <c r="AH96" s="781">
        <f t="shared" ca="1" si="69"/>
        <v>0</v>
      </c>
      <c r="AI96" s="781">
        <f t="shared" ca="1" si="69"/>
        <v>0</v>
      </c>
      <c r="AJ96" s="781">
        <f t="shared" ca="1" si="69"/>
        <v>0</v>
      </c>
      <c r="AK96" s="781">
        <f t="shared" ref="AK96:AT105" ca="1" si="70">IFERROR(OFFSET(INDIRECT(INDEX(List_of_Alternatives,MATCH($D96,NameofAlternatives,0))),$A96+AK$1-$G$1,$B96),0)</f>
        <v>0</v>
      </c>
      <c r="AL96" s="781">
        <f t="shared" ca="1" si="70"/>
        <v>0</v>
      </c>
      <c r="AM96" s="781">
        <f t="shared" ca="1" si="70"/>
        <v>0</v>
      </c>
      <c r="AN96" s="781">
        <f t="shared" ca="1" si="70"/>
        <v>0</v>
      </c>
      <c r="AO96" s="781">
        <f t="shared" ca="1" si="70"/>
        <v>0</v>
      </c>
      <c r="AP96" s="781">
        <f t="shared" ca="1" si="70"/>
        <v>0</v>
      </c>
      <c r="AQ96" s="781">
        <f t="shared" ca="1" si="70"/>
        <v>0</v>
      </c>
      <c r="AR96" s="781">
        <f t="shared" ca="1" si="70"/>
        <v>0</v>
      </c>
      <c r="AS96" s="781">
        <f t="shared" ca="1" si="70"/>
        <v>0</v>
      </c>
      <c r="AT96" s="781">
        <f t="shared" ca="1" si="70"/>
        <v>0</v>
      </c>
      <c r="AV96" s="781">
        <f t="shared" ca="1" si="51"/>
        <v>0</v>
      </c>
      <c r="AX96" s="781">
        <f t="shared" ca="1" si="52"/>
        <v>0</v>
      </c>
      <c r="AZ96" s="781">
        <f t="shared" ca="1" si="53"/>
        <v>0</v>
      </c>
      <c r="BB96" s="781">
        <f t="shared" ca="1" si="54"/>
        <v>0</v>
      </c>
      <c r="BD96" s="781">
        <f t="shared" ca="1" si="55"/>
        <v>0</v>
      </c>
      <c r="BF96" s="781">
        <f t="shared" ca="1" si="56"/>
        <v>0</v>
      </c>
      <c r="BH96" s="781">
        <f t="shared" ca="1" si="57"/>
        <v>0</v>
      </c>
    </row>
    <row r="97" spans="1:60" hidden="1" outlineLevel="1">
      <c r="A97" s="1464">
        <f ca="1">A96</f>
        <v>18</v>
      </c>
      <c r="B97" s="1464">
        <f ca="1">B96</f>
        <v>22</v>
      </c>
      <c r="C97" s="1464">
        <f>C96+1</f>
        <v>2</v>
      </c>
      <c r="D97" s="1271" t="str">
        <f ca="1">IF(OFFSET(PortfolioDashboard!$A$3,C97-1,0)="","Blank",OFFSET(PortfolioDashboard!$A$3,C97-1,0))</f>
        <v>Building Design &amp; Construction Standards</v>
      </c>
      <c r="E97" s="1464" t="str">
        <f>E96</f>
        <v>MTCO2e</v>
      </c>
      <c r="F97" s="1460"/>
      <c r="G97" s="781">
        <f t="shared" ca="1" si="67"/>
        <v>0</v>
      </c>
      <c r="H97" s="781">
        <f t="shared" ca="1" si="67"/>
        <v>0</v>
      </c>
      <c r="I97" s="781">
        <f t="shared" ca="1" si="67"/>
        <v>0</v>
      </c>
      <c r="J97" s="781">
        <f t="shared" ca="1" si="67"/>
        <v>0</v>
      </c>
      <c r="K97" s="781">
        <f t="shared" ca="1" si="67"/>
        <v>0</v>
      </c>
      <c r="L97" s="781">
        <f t="shared" ca="1" si="67"/>
        <v>0</v>
      </c>
      <c r="M97" s="781">
        <f t="shared" ca="1" si="67"/>
        <v>0</v>
      </c>
      <c r="N97" s="781">
        <f t="shared" ca="1" si="67"/>
        <v>0</v>
      </c>
      <c r="O97" s="781">
        <f t="shared" ca="1" si="67"/>
        <v>0</v>
      </c>
      <c r="P97" s="781">
        <f t="shared" ca="1" si="67"/>
        <v>0</v>
      </c>
      <c r="Q97" s="781">
        <f t="shared" ca="1" si="68"/>
        <v>0</v>
      </c>
      <c r="R97" s="781">
        <f t="shared" ca="1" si="68"/>
        <v>0</v>
      </c>
      <c r="S97" s="781">
        <f t="shared" ca="1" si="68"/>
        <v>0</v>
      </c>
      <c r="T97" s="781">
        <f t="shared" ca="1" si="68"/>
        <v>0</v>
      </c>
      <c r="U97" s="781">
        <f t="shared" ca="1" si="68"/>
        <v>0</v>
      </c>
      <c r="V97" s="781">
        <f t="shared" ca="1" si="68"/>
        <v>0</v>
      </c>
      <c r="W97" s="781">
        <f t="shared" ca="1" si="68"/>
        <v>0</v>
      </c>
      <c r="X97" s="781">
        <f t="shared" ca="1" si="68"/>
        <v>0</v>
      </c>
      <c r="Y97" s="781">
        <f t="shared" ca="1" si="68"/>
        <v>0</v>
      </c>
      <c r="Z97" s="781">
        <f t="shared" ca="1" si="68"/>
        <v>0</v>
      </c>
      <c r="AA97" s="781">
        <f t="shared" ca="1" si="69"/>
        <v>0</v>
      </c>
      <c r="AB97" s="781">
        <f t="shared" ca="1" si="69"/>
        <v>0</v>
      </c>
      <c r="AC97" s="781">
        <f t="shared" ca="1" si="69"/>
        <v>0</v>
      </c>
      <c r="AD97" s="781">
        <f t="shared" ca="1" si="69"/>
        <v>0</v>
      </c>
      <c r="AE97" s="781">
        <f t="shared" ca="1" si="69"/>
        <v>0</v>
      </c>
      <c r="AF97" s="781">
        <f t="shared" ca="1" si="69"/>
        <v>0</v>
      </c>
      <c r="AG97" s="781">
        <f t="shared" ca="1" si="69"/>
        <v>0</v>
      </c>
      <c r="AH97" s="781">
        <f t="shared" ca="1" si="69"/>
        <v>0</v>
      </c>
      <c r="AI97" s="781">
        <f t="shared" ca="1" si="69"/>
        <v>0</v>
      </c>
      <c r="AJ97" s="781">
        <f t="shared" ca="1" si="69"/>
        <v>0</v>
      </c>
      <c r="AK97" s="781">
        <f t="shared" ca="1" si="70"/>
        <v>0</v>
      </c>
      <c r="AL97" s="781">
        <f t="shared" ca="1" si="70"/>
        <v>0</v>
      </c>
      <c r="AM97" s="781">
        <f t="shared" ca="1" si="70"/>
        <v>0</v>
      </c>
      <c r="AN97" s="781">
        <f t="shared" ca="1" si="70"/>
        <v>0</v>
      </c>
      <c r="AO97" s="781">
        <f t="shared" ca="1" si="70"/>
        <v>0</v>
      </c>
      <c r="AP97" s="781">
        <f t="shared" ca="1" si="70"/>
        <v>0</v>
      </c>
      <c r="AQ97" s="781">
        <f t="shared" ca="1" si="70"/>
        <v>0</v>
      </c>
      <c r="AR97" s="781">
        <f t="shared" ca="1" si="70"/>
        <v>0</v>
      </c>
      <c r="AS97" s="781">
        <f t="shared" ca="1" si="70"/>
        <v>0</v>
      </c>
      <c r="AT97" s="781">
        <f t="shared" ca="1" si="70"/>
        <v>0</v>
      </c>
      <c r="AV97" s="781">
        <f t="shared" ca="1" si="51"/>
        <v>0</v>
      </c>
      <c r="AX97" s="781">
        <f t="shared" ca="1" si="52"/>
        <v>0</v>
      </c>
      <c r="AZ97" s="781">
        <f t="shared" ca="1" si="53"/>
        <v>0</v>
      </c>
      <c r="BB97" s="781">
        <f t="shared" ca="1" si="54"/>
        <v>0</v>
      </c>
      <c r="BD97" s="781">
        <f t="shared" ca="1" si="55"/>
        <v>0</v>
      </c>
      <c r="BF97" s="781">
        <f t="shared" ca="1" si="56"/>
        <v>0</v>
      </c>
      <c r="BH97" s="781">
        <f t="shared" ca="1" si="57"/>
        <v>0</v>
      </c>
    </row>
    <row r="98" spans="1:60" hidden="1" outlineLevel="1">
      <c r="A98" s="1464">
        <f t="shared" ref="A98:A125" ca="1" si="71">A97</f>
        <v>18</v>
      </c>
      <c r="B98" s="1464">
        <f t="shared" ref="B98:B125" ca="1" si="72">B97</f>
        <v>22</v>
      </c>
      <c r="C98" s="1464">
        <f t="shared" ref="C98:C125" si="73">C97+1</f>
        <v>3</v>
      </c>
      <c r="D98" s="1271" t="str">
        <f ca="1">IF(OFFSET(PortfolioDashboard!$A$3,C98-1,0)="","Blank",OFFSET(PortfolioDashboard!$A$3,C98-1,0))</f>
        <v>Space Planning &amp; Management</v>
      </c>
      <c r="E98" s="1464" t="str">
        <f t="shared" ref="E98:E125" si="74">E97</f>
        <v>MTCO2e</v>
      </c>
      <c r="F98" s="1460"/>
      <c r="G98" s="781">
        <f t="shared" ca="1" si="67"/>
        <v>0</v>
      </c>
      <c r="H98" s="781">
        <f t="shared" ca="1" si="67"/>
        <v>0</v>
      </c>
      <c r="I98" s="781">
        <f t="shared" ca="1" si="67"/>
        <v>0</v>
      </c>
      <c r="J98" s="781">
        <f t="shared" ca="1" si="67"/>
        <v>0</v>
      </c>
      <c r="K98" s="781">
        <f t="shared" ca="1" si="67"/>
        <v>0</v>
      </c>
      <c r="L98" s="781">
        <f t="shared" ca="1" si="67"/>
        <v>0</v>
      </c>
      <c r="M98" s="781">
        <f t="shared" ca="1" si="67"/>
        <v>0</v>
      </c>
      <c r="N98" s="781">
        <f t="shared" ca="1" si="67"/>
        <v>0</v>
      </c>
      <c r="O98" s="781">
        <f t="shared" ca="1" si="67"/>
        <v>0</v>
      </c>
      <c r="P98" s="781">
        <f t="shared" ca="1" si="67"/>
        <v>0</v>
      </c>
      <c r="Q98" s="781">
        <f t="shared" ca="1" si="68"/>
        <v>0</v>
      </c>
      <c r="R98" s="781">
        <f t="shared" ca="1" si="68"/>
        <v>0</v>
      </c>
      <c r="S98" s="781">
        <f t="shared" ca="1" si="68"/>
        <v>0</v>
      </c>
      <c r="T98" s="781">
        <f t="shared" ca="1" si="68"/>
        <v>0</v>
      </c>
      <c r="U98" s="781">
        <f t="shared" ca="1" si="68"/>
        <v>0</v>
      </c>
      <c r="V98" s="781">
        <f t="shared" ca="1" si="68"/>
        <v>0</v>
      </c>
      <c r="W98" s="781">
        <f t="shared" ca="1" si="68"/>
        <v>0</v>
      </c>
      <c r="X98" s="781">
        <f t="shared" ca="1" si="68"/>
        <v>0</v>
      </c>
      <c r="Y98" s="781">
        <f t="shared" ca="1" si="68"/>
        <v>0</v>
      </c>
      <c r="Z98" s="781">
        <f t="shared" ca="1" si="68"/>
        <v>0</v>
      </c>
      <c r="AA98" s="781">
        <f t="shared" ca="1" si="69"/>
        <v>0</v>
      </c>
      <c r="AB98" s="781">
        <f t="shared" ca="1" si="69"/>
        <v>0</v>
      </c>
      <c r="AC98" s="781">
        <f t="shared" ca="1" si="69"/>
        <v>0</v>
      </c>
      <c r="AD98" s="781">
        <f t="shared" ca="1" si="69"/>
        <v>0</v>
      </c>
      <c r="AE98" s="781">
        <f t="shared" ca="1" si="69"/>
        <v>0</v>
      </c>
      <c r="AF98" s="781">
        <f t="shared" ca="1" si="69"/>
        <v>0</v>
      </c>
      <c r="AG98" s="781">
        <f t="shared" ca="1" si="69"/>
        <v>0</v>
      </c>
      <c r="AH98" s="781">
        <f t="shared" ca="1" si="69"/>
        <v>0</v>
      </c>
      <c r="AI98" s="781">
        <f t="shared" ca="1" si="69"/>
        <v>0</v>
      </c>
      <c r="AJ98" s="781">
        <f t="shared" ca="1" si="69"/>
        <v>0</v>
      </c>
      <c r="AK98" s="781">
        <f t="shared" ca="1" si="70"/>
        <v>0</v>
      </c>
      <c r="AL98" s="781">
        <f t="shared" ca="1" si="70"/>
        <v>0</v>
      </c>
      <c r="AM98" s="781">
        <f t="shared" ca="1" si="70"/>
        <v>0</v>
      </c>
      <c r="AN98" s="781">
        <f t="shared" ca="1" si="70"/>
        <v>0</v>
      </c>
      <c r="AO98" s="781">
        <f t="shared" ca="1" si="70"/>
        <v>0</v>
      </c>
      <c r="AP98" s="781">
        <f t="shared" ca="1" si="70"/>
        <v>0</v>
      </c>
      <c r="AQ98" s="781">
        <f t="shared" ca="1" si="70"/>
        <v>0</v>
      </c>
      <c r="AR98" s="781">
        <f t="shared" ca="1" si="70"/>
        <v>0</v>
      </c>
      <c r="AS98" s="781">
        <f t="shared" ca="1" si="70"/>
        <v>0</v>
      </c>
      <c r="AT98" s="781">
        <f t="shared" ca="1" si="70"/>
        <v>0</v>
      </c>
      <c r="AV98" s="781">
        <f t="shared" ca="1" si="51"/>
        <v>0</v>
      </c>
      <c r="AX98" s="781">
        <f t="shared" ca="1" si="52"/>
        <v>0</v>
      </c>
      <c r="AZ98" s="781">
        <f t="shared" ca="1" si="53"/>
        <v>0</v>
      </c>
      <c r="BB98" s="781">
        <f t="shared" ca="1" si="54"/>
        <v>0</v>
      </c>
      <c r="BD98" s="781">
        <f t="shared" ca="1" si="55"/>
        <v>0</v>
      </c>
      <c r="BF98" s="781">
        <f t="shared" ca="1" si="56"/>
        <v>0</v>
      </c>
      <c r="BH98" s="781">
        <f t="shared" ca="1" si="57"/>
        <v>0</v>
      </c>
    </row>
    <row r="99" spans="1:60" hidden="1" outlineLevel="1">
      <c r="A99" s="1464">
        <f t="shared" ca="1" si="71"/>
        <v>18</v>
      </c>
      <c r="B99" s="1464">
        <f t="shared" ca="1" si="72"/>
        <v>22</v>
      </c>
      <c r="C99" s="1464">
        <f t="shared" si="73"/>
        <v>4</v>
      </c>
      <c r="D99" s="1271" t="str">
        <f ca="1">IF(OFFSET(PortfolioDashboard!$A$3,C99-1,0)="","Blank",OFFSET(PortfolioDashboard!$A$3,C99-1,0))</f>
        <v>Central Chiller Expansion</v>
      </c>
      <c r="E99" s="1464" t="str">
        <f t="shared" si="74"/>
        <v>MTCO2e</v>
      </c>
      <c r="F99" s="1460"/>
      <c r="G99" s="781">
        <f t="shared" ca="1" si="67"/>
        <v>0</v>
      </c>
      <c r="H99" s="781">
        <f t="shared" ca="1" si="67"/>
        <v>0</v>
      </c>
      <c r="I99" s="781">
        <f t="shared" ca="1" si="67"/>
        <v>0</v>
      </c>
      <c r="J99" s="781">
        <f t="shared" ca="1" si="67"/>
        <v>0</v>
      </c>
      <c r="K99" s="781">
        <f t="shared" ca="1" si="67"/>
        <v>0</v>
      </c>
      <c r="L99" s="781">
        <f t="shared" ca="1" si="67"/>
        <v>0</v>
      </c>
      <c r="M99" s="781">
        <f t="shared" ca="1" si="67"/>
        <v>0</v>
      </c>
      <c r="N99" s="781">
        <f t="shared" ca="1" si="67"/>
        <v>0</v>
      </c>
      <c r="O99" s="781">
        <f t="shared" ca="1" si="67"/>
        <v>0</v>
      </c>
      <c r="P99" s="781">
        <f t="shared" ca="1" si="67"/>
        <v>0</v>
      </c>
      <c r="Q99" s="781">
        <f t="shared" ca="1" si="68"/>
        <v>0</v>
      </c>
      <c r="R99" s="781">
        <f t="shared" ca="1" si="68"/>
        <v>0</v>
      </c>
      <c r="S99" s="781">
        <f t="shared" ca="1" si="68"/>
        <v>0</v>
      </c>
      <c r="T99" s="781">
        <f t="shared" ca="1" si="68"/>
        <v>0</v>
      </c>
      <c r="U99" s="781">
        <f t="shared" ca="1" si="68"/>
        <v>0</v>
      </c>
      <c r="V99" s="781">
        <f t="shared" ca="1" si="68"/>
        <v>0</v>
      </c>
      <c r="W99" s="781">
        <f t="shared" ca="1" si="68"/>
        <v>0</v>
      </c>
      <c r="X99" s="781">
        <f t="shared" ca="1" si="68"/>
        <v>0</v>
      </c>
      <c r="Y99" s="781">
        <f t="shared" ca="1" si="68"/>
        <v>0</v>
      </c>
      <c r="Z99" s="781">
        <f t="shared" ca="1" si="68"/>
        <v>0</v>
      </c>
      <c r="AA99" s="781">
        <f t="shared" ca="1" si="69"/>
        <v>0</v>
      </c>
      <c r="AB99" s="781">
        <f t="shared" ca="1" si="69"/>
        <v>0</v>
      </c>
      <c r="AC99" s="781">
        <f t="shared" ca="1" si="69"/>
        <v>0</v>
      </c>
      <c r="AD99" s="781">
        <f t="shared" ca="1" si="69"/>
        <v>0</v>
      </c>
      <c r="AE99" s="781">
        <f t="shared" ca="1" si="69"/>
        <v>0</v>
      </c>
      <c r="AF99" s="781">
        <f t="shared" ca="1" si="69"/>
        <v>0</v>
      </c>
      <c r="AG99" s="781">
        <f t="shared" ca="1" si="69"/>
        <v>0</v>
      </c>
      <c r="AH99" s="781">
        <f t="shared" ca="1" si="69"/>
        <v>0</v>
      </c>
      <c r="AI99" s="781">
        <f t="shared" ca="1" si="69"/>
        <v>0</v>
      </c>
      <c r="AJ99" s="781">
        <f t="shared" ca="1" si="69"/>
        <v>0</v>
      </c>
      <c r="AK99" s="781">
        <f t="shared" ca="1" si="70"/>
        <v>0</v>
      </c>
      <c r="AL99" s="781">
        <f t="shared" ca="1" si="70"/>
        <v>0</v>
      </c>
      <c r="AM99" s="781">
        <f t="shared" ca="1" si="70"/>
        <v>0</v>
      </c>
      <c r="AN99" s="781">
        <f t="shared" ca="1" si="70"/>
        <v>0</v>
      </c>
      <c r="AO99" s="781">
        <f t="shared" ca="1" si="70"/>
        <v>0</v>
      </c>
      <c r="AP99" s="781">
        <f t="shared" ca="1" si="70"/>
        <v>0</v>
      </c>
      <c r="AQ99" s="781">
        <f t="shared" ca="1" si="70"/>
        <v>0</v>
      </c>
      <c r="AR99" s="781">
        <f t="shared" ca="1" si="70"/>
        <v>0</v>
      </c>
      <c r="AS99" s="781">
        <f t="shared" ca="1" si="70"/>
        <v>0</v>
      </c>
      <c r="AT99" s="781">
        <f t="shared" ca="1" si="70"/>
        <v>0</v>
      </c>
      <c r="AV99" s="781">
        <f t="shared" ca="1" si="51"/>
        <v>0</v>
      </c>
      <c r="AX99" s="781">
        <f t="shared" ca="1" si="52"/>
        <v>0</v>
      </c>
      <c r="AZ99" s="781">
        <f t="shared" ca="1" si="53"/>
        <v>0</v>
      </c>
      <c r="BB99" s="781">
        <f t="shared" ca="1" si="54"/>
        <v>0</v>
      </c>
      <c r="BD99" s="781">
        <f t="shared" ca="1" si="55"/>
        <v>0</v>
      </c>
      <c r="BF99" s="781">
        <f t="shared" ca="1" si="56"/>
        <v>0</v>
      </c>
      <c r="BH99" s="781">
        <f t="shared" ca="1" si="57"/>
        <v>0</v>
      </c>
    </row>
    <row r="100" spans="1:60" hidden="1" outlineLevel="1">
      <c r="A100" s="1464">
        <f t="shared" ca="1" si="71"/>
        <v>18</v>
      </c>
      <c r="B100" s="1464">
        <f t="shared" ca="1" si="72"/>
        <v>22</v>
      </c>
      <c r="C100" s="1464">
        <f t="shared" si="73"/>
        <v>5</v>
      </c>
      <c r="D100" s="1271" t="str">
        <f ca="1">IF(OFFSET(PortfolioDashboard!$A$3,C100-1,0)="","Blank",OFFSET(PortfolioDashboard!$A$3,C100-1,0))</f>
        <v>Short-term Energy Conservation Measures</v>
      </c>
      <c r="E100" s="1464" t="str">
        <f t="shared" si="74"/>
        <v>MTCO2e</v>
      </c>
      <c r="F100" s="1460"/>
      <c r="G100" s="781">
        <f t="shared" ca="1" si="67"/>
        <v>0</v>
      </c>
      <c r="H100" s="781">
        <f t="shared" ca="1" si="67"/>
        <v>0</v>
      </c>
      <c r="I100" s="781">
        <f t="shared" ca="1" si="67"/>
        <v>0</v>
      </c>
      <c r="J100" s="781">
        <f t="shared" ca="1" si="67"/>
        <v>0</v>
      </c>
      <c r="K100" s="781">
        <f t="shared" ca="1" si="67"/>
        <v>0</v>
      </c>
      <c r="L100" s="781">
        <f t="shared" ca="1" si="67"/>
        <v>0</v>
      </c>
      <c r="M100" s="781">
        <f t="shared" ca="1" si="67"/>
        <v>0</v>
      </c>
      <c r="N100" s="781">
        <f t="shared" ca="1" si="67"/>
        <v>0</v>
      </c>
      <c r="O100" s="781">
        <f t="shared" ca="1" si="67"/>
        <v>0</v>
      </c>
      <c r="P100" s="781">
        <f t="shared" ca="1" si="67"/>
        <v>0</v>
      </c>
      <c r="Q100" s="781">
        <f t="shared" ca="1" si="68"/>
        <v>0</v>
      </c>
      <c r="R100" s="781">
        <f t="shared" ca="1" si="68"/>
        <v>0</v>
      </c>
      <c r="S100" s="781">
        <f t="shared" ca="1" si="68"/>
        <v>0</v>
      </c>
      <c r="T100" s="781">
        <f t="shared" ca="1" si="68"/>
        <v>0</v>
      </c>
      <c r="U100" s="781">
        <f t="shared" ca="1" si="68"/>
        <v>0</v>
      </c>
      <c r="V100" s="781">
        <f t="shared" ca="1" si="68"/>
        <v>0</v>
      </c>
      <c r="W100" s="781">
        <f t="shared" ca="1" si="68"/>
        <v>0</v>
      </c>
      <c r="X100" s="781">
        <f t="shared" ca="1" si="68"/>
        <v>0</v>
      </c>
      <c r="Y100" s="781">
        <f t="shared" ca="1" si="68"/>
        <v>0</v>
      </c>
      <c r="Z100" s="781">
        <f t="shared" ca="1" si="68"/>
        <v>0</v>
      </c>
      <c r="AA100" s="781">
        <f t="shared" ca="1" si="69"/>
        <v>0</v>
      </c>
      <c r="AB100" s="781">
        <f t="shared" ca="1" si="69"/>
        <v>0</v>
      </c>
      <c r="AC100" s="781">
        <f t="shared" ca="1" si="69"/>
        <v>0</v>
      </c>
      <c r="AD100" s="781">
        <f t="shared" ca="1" si="69"/>
        <v>0</v>
      </c>
      <c r="AE100" s="781">
        <f t="shared" ca="1" si="69"/>
        <v>0</v>
      </c>
      <c r="AF100" s="781">
        <f t="shared" ca="1" si="69"/>
        <v>0</v>
      </c>
      <c r="AG100" s="781">
        <f t="shared" ca="1" si="69"/>
        <v>0</v>
      </c>
      <c r="AH100" s="781">
        <f t="shared" ca="1" si="69"/>
        <v>0</v>
      </c>
      <c r="AI100" s="781">
        <f t="shared" ca="1" si="69"/>
        <v>0</v>
      </c>
      <c r="AJ100" s="781">
        <f t="shared" ca="1" si="69"/>
        <v>0</v>
      </c>
      <c r="AK100" s="781">
        <f t="shared" ca="1" si="70"/>
        <v>0</v>
      </c>
      <c r="AL100" s="781">
        <f t="shared" ca="1" si="70"/>
        <v>0</v>
      </c>
      <c r="AM100" s="781">
        <f t="shared" ca="1" si="70"/>
        <v>0</v>
      </c>
      <c r="AN100" s="781">
        <f t="shared" ca="1" si="70"/>
        <v>0</v>
      </c>
      <c r="AO100" s="781">
        <f t="shared" ca="1" si="70"/>
        <v>0</v>
      </c>
      <c r="AP100" s="781">
        <f t="shared" ca="1" si="70"/>
        <v>0</v>
      </c>
      <c r="AQ100" s="781">
        <f t="shared" ca="1" si="70"/>
        <v>0</v>
      </c>
      <c r="AR100" s="781">
        <f t="shared" ca="1" si="70"/>
        <v>0</v>
      </c>
      <c r="AS100" s="781">
        <f t="shared" ca="1" si="70"/>
        <v>0</v>
      </c>
      <c r="AT100" s="781">
        <f t="shared" ca="1" si="70"/>
        <v>0</v>
      </c>
      <c r="AV100" s="781">
        <f t="shared" ca="1" si="51"/>
        <v>0</v>
      </c>
      <c r="AX100" s="781">
        <f t="shared" ca="1" si="52"/>
        <v>0</v>
      </c>
      <c r="AZ100" s="781">
        <f t="shared" ca="1" si="53"/>
        <v>0</v>
      </c>
      <c r="BB100" s="781">
        <f t="shared" ca="1" si="54"/>
        <v>0</v>
      </c>
      <c r="BD100" s="781">
        <f t="shared" ca="1" si="55"/>
        <v>0</v>
      </c>
      <c r="BF100" s="781">
        <f t="shared" ca="1" si="56"/>
        <v>0</v>
      </c>
      <c r="BH100" s="781">
        <f t="shared" ca="1" si="57"/>
        <v>0</v>
      </c>
    </row>
    <row r="101" spans="1:60" hidden="1" outlineLevel="1">
      <c r="A101" s="1464">
        <f t="shared" ca="1" si="71"/>
        <v>18</v>
      </c>
      <c r="B101" s="1464">
        <f t="shared" ca="1" si="72"/>
        <v>22</v>
      </c>
      <c r="C101" s="1464">
        <f t="shared" si="73"/>
        <v>6</v>
      </c>
      <c r="D101" s="1271" t="str">
        <f ca="1">IF(OFFSET(PortfolioDashboard!$A$3,C101-1,0)="","Blank",OFFSET(PortfolioDashboard!$A$3,C101-1,0))</f>
        <v>Mid-term Energy Conservation Measures</v>
      </c>
      <c r="E101" s="1464" t="str">
        <f t="shared" si="74"/>
        <v>MTCO2e</v>
      </c>
      <c r="F101" s="1460"/>
      <c r="G101" s="781">
        <f t="shared" ca="1" si="67"/>
        <v>0</v>
      </c>
      <c r="H101" s="781">
        <f t="shared" ca="1" si="67"/>
        <v>0</v>
      </c>
      <c r="I101" s="781">
        <f t="shared" ca="1" si="67"/>
        <v>0</v>
      </c>
      <c r="J101" s="781">
        <f t="shared" ca="1" si="67"/>
        <v>0</v>
      </c>
      <c r="K101" s="781">
        <f t="shared" ca="1" si="67"/>
        <v>0</v>
      </c>
      <c r="L101" s="781">
        <f t="shared" ca="1" si="67"/>
        <v>0</v>
      </c>
      <c r="M101" s="781">
        <f t="shared" ca="1" si="67"/>
        <v>0</v>
      </c>
      <c r="N101" s="781">
        <f t="shared" ca="1" si="67"/>
        <v>0</v>
      </c>
      <c r="O101" s="781">
        <f t="shared" ca="1" si="67"/>
        <v>0</v>
      </c>
      <c r="P101" s="781">
        <f t="shared" ca="1" si="67"/>
        <v>0</v>
      </c>
      <c r="Q101" s="781">
        <f t="shared" ca="1" si="68"/>
        <v>0</v>
      </c>
      <c r="R101" s="781">
        <f t="shared" ca="1" si="68"/>
        <v>0</v>
      </c>
      <c r="S101" s="781">
        <f t="shared" ca="1" si="68"/>
        <v>0</v>
      </c>
      <c r="T101" s="781">
        <f t="shared" ca="1" si="68"/>
        <v>0</v>
      </c>
      <c r="U101" s="781">
        <f t="shared" ca="1" si="68"/>
        <v>0</v>
      </c>
      <c r="V101" s="781">
        <f t="shared" ca="1" si="68"/>
        <v>0</v>
      </c>
      <c r="W101" s="781">
        <f t="shared" ca="1" si="68"/>
        <v>0</v>
      </c>
      <c r="X101" s="781">
        <f t="shared" ca="1" si="68"/>
        <v>0</v>
      </c>
      <c r="Y101" s="781">
        <f t="shared" ca="1" si="68"/>
        <v>0</v>
      </c>
      <c r="Z101" s="781">
        <f t="shared" ca="1" si="68"/>
        <v>0</v>
      </c>
      <c r="AA101" s="781">
        <f t="shared" ca="1" si="69"/>
        <v>0</v>
      </c>
      <c r="AB101" s="781">
        <f t="shared" ca="1" si="69"/>
        <v>0</v>
      </c>
      <c r="AC101" s="781">
        <f t="shared" ca="1" si="69"/>
        <v>0</v>
      </c>
      <c r="AD101" s="781">
        <f t="shared" ca="1" si="69"/>
        <v>0</v>
      </c>
      <c r="AE101" s="781">
        <f t="shared" ca="1" si="69"/>
        <v>0</v>
      </c>
      <c r="AF101" s="781">
        <f t="shared" ca="1" si="69"/>
        <v>0</v>
      </c>
      <c r="AG101" s="781">
        <f t="shared" ca="1" si="69"/>
        <v>0</v>
      </c>
      <c r="AH101" s="781">
        <f t="shared" ca="1" si="69"/>
        <v>0</v>
      </c>
      <c r="AI101" s="781">
        <f t="shared" ca="1" si="69"/>
        <v>0</v>
      </c>
      <c r="AJ101" s="781">
        <f t="shared" ca="1" si="69"/>
        <v>0</v>
      </c>
      <c r="AK101" s="781">
        <f t="shared" ca="1" si="70"/>
        <v>0</v>
      </c>
      <c r="AL101" s="781">
        <f t="shared" ca="1" si="70"/>
        <v>0</v>
      </c>
      <c r="AM101" s="781">
        <f t="shared" ca="1" si="70"/>
        <v>0</v>
      </c>
      <c r="AN101" s="781">
        <f t="shared" ca="1" si="70"/>
        <v>0</v>
      </c>
      <c r="AO101" s="781">
        <f t="shared" ca="1" si="70"/>
        <v>0</v>
      </c>
      <c r="AP101" s="781">
        <f t="shared" ca="1" si="70"/>
        <v>0</v>
      </c>
      <c r="AQ101" s="781">
        <f t="shared" ca="1" si="70"/>
        <v>0</v>
      </c>
      <c r="AR101" s="781">
        <f t="shared" ca="1" si="70"/>
        <v>0</v>
      </c>
      <c r="AS101" s="781">
        <f t="shared" ca="1" si="70"/>
        <v>0</v>
      </c>
      <c r="AT101" s="781">
        <f t="shared" ca="1" si="70"/>
        <v>0</v>
      </c>
      <c r="AV101" s="781">
        <f t="shared" ca="1" si="51"/>
        <v>0</v>
      </c>
      <c r="AX101" s="781">
        <f t="shared" ca="1" si="52"/>
        <v>0</v>
      </c>
      <c r="AZ101" s="781">
        <f t="shared" ca="1" si="53"/>
        <v>0</v>
      </c>
      <c r="BB101" s="781">
        <f t="shared" ca="1" si="54"/>
        <v>0</v>
      </c>
      <c r="BD101" s="781">
        <f t="shared" ca="1" si="55"/>
        <v>0</v>
      </c>
      <c r="BF101" s="781">
        <f t="shared" ca="1" si="56"/>
        <v>0</v>
      </c>
      <c r="BH101" s="781">
        <f t="shared" ca="1" si="57"/>
        <v>0</v>
      </c>
    </row>
    <row r="102" spans="1:60" hidden="1" outlineLevel="1">
      <c r="A102" s="1464">
        <f t="shared" ca="1" si="71"/>
        <v>18</v>
      </c>
      <c r="B102" s="1464">
        <f t="shared" ca="1" si="72"/>
        <v>22</v>
      </c>
      <c r="C102" s="1464">
        <f t="shared" si="73"/>
        <v>7</v>
      </c>
      <c r="D102" s="1271" t="str">
        <f ca="1">IF(OFFSET(PortfolioDashboard!$A$3,C102-1,0)="","Blank",OFFSET(PortfolioDashboard!$A$3,C102-1,0))</f>
        <v>Long-term Energy Conservation Measures</v>
      </c>
      <c r="E102" s="1464" t="str">
        <f t="shared" si="74"/>
        <v>MTCO2e</v>
      </c>
      <c r="F102" s="1460"/>
      <c r="G102" s="781">
        <f t="shared" ca="1" si="67"/>
        <v>0</v>
      </c>
      <c r="H102" s="781">
        <f t="shared" ca="1" si="67"/>
        <v>0</v>
      </c>
      <c r="I102" s="781">
        <f t="shared" ca="1" si="67"/>
        <v>0</v>
      </c>
      <c r="J102" s="781">
        <f t="shared" ca="1" si="67"/>
        <v>0</v>
      </c>
      <c r="K102" s="781">
        <f t="shared" ca="1" si="67"/>
        <v>0</v>
      </c>
      <c r="L102" s="781">
        <f t="shared" ca="1" si="67"/>
        <v>0</v>
      </c>
      <c r="M102" s="781">
        <f t="shared" ca="1" si="67"/>
        <v>0</v>
      </c>
      <c r="N102" s="781">
        <f t="shared" ca="1" si="67"/>
        <v>0</v>
      </c>
      <c r="O102" s="781">
        <f t="shared" ca="1" si="67"/>
        <v>0</v>
      </c>
      <c r="P102" s="781">
        <f t="shared" ca="1" si="67"/>
        <v>0</v>
      </c>
      <c r="Q102" s="781">
        <f t="shared" ca="1" si="68"/>
        <v>0</v>
      </c>
      <c r="R102" s="781">
        <f t="shared" ca="1" si="68"/>
        <v>0</v>
      </c>
      <c r="S102" s="781">
        <f t="shared" ca="1" si="68"/>
        <v>0</v>
      </c>
      <c r="T102" s="781">
        <f t="shared" ca="1" si="68"/>
        <v>0</v>
      </c>
      <c r="U102" s="781">
        <f t="shared" ca="1" si="68"/>
        <v>0</v>
      </c>
      <c r="V102" s="781">
        <f t="shared" ca="1" si="68"/>
        <v>0</v>
      </c>
      <c r="W102" s="781">
        <f t="shared" ca="1" si="68"/>
        <v>0</v>
      </c>
      <c r="X102" s="781">
        <f t="shared" ca="1" si="68"/>
        <v>0</v>
      </c>
      <c r="Y102" s="781">
        <f t="shared" ca="1" si="68"/>
        <v>0</v>
      </c>
      <c r="Z102" s="781">
        <f t="shared" ca="1" si="68"/>
        <v>0</v>
      </c>
      <c r="AA102" s="781">
        <f t="shared" ca="1" si="69"/>
        <v>0</v>
      </c>
      <c r="AB102" s="781">
        <f t="shared" ca="1" si="69"/>
        <v>0</v>
      </c>
      <c r="AC102" s="781">
        <f t="shared" ca="1" si="69"/>
        <v>0</v>
      </c>
      <c r="AD102" s="781">
        <f t="shared" ca="1" si="69"/>
        <v>0</v>
      </c>
      <c r="AE102" s="781">
        <f t="shared" ca="1" si="69"/>
        <v>0</v>
      </c>
      <c r="AF102" s="781">
        <f t="shared" ca="1" si="69"/>
        <v>0</v>
      </c>
      <c r="AG102" s="781">
        <f t="shared" ca="1" si="69"/>
        <v>0</v>
      </c>
      <c r="AH102" s="781">
        <f t="shared" ca="1" si="69"/>
        <v>0</v>
      </c>
      <c r="AI102" s="781">
        <f t="shared" ca="1" si="69"/>
        <v>0</v>
      </c>
      <c r="AJ102" s="781">
        <f t="shared" ca="1" si="69"/>
        <v>0</v>
      </c>
      <c r="AK102" s="781">
        <f t="shared" ca="1" si="70"/>
        <v>0</v>
      </c>
      <c r="AL102" s="781">
        <f t="shared" ca="1" si="70"/>
        <v>0</v>
      </c>
      <c r="AM102" s="781">
        <f t="shared" ca="1" si="70"/>
        <v>0</v>
      </c>
      <c r="AN102" s="781">
        <f t="shared" ca="1" si="70"/>
        <v>0</v>
      </c>
      <c r="AO102" s="781">
        <f t="shared" ca="1" si="70"/>
        <v>0</v>
      </c>
      <c r="AP102" s="781">
        <f t="shared" ca="1" si="70"/>
        <v>0</v>
      </c>
      <c r="AQ102" s="781">
        <f t="shared" ca="1" si="70"/>
        <v>0</v>
      </c>
      <c r="AR102" s="781">
        <f t="shared" ca="1" si="70"/>
        <v>0</v>
      </c>
      <c r="AS102" s="781">
        <f t="shared" ca="1" si="70"/>
        <v>0</v>
      </c>
      <c r="AT102" s="781">
        <f t="shared" ca="1" si="70"/>
        <v>0</v>
      </c>
      <c r="AV102" s="781">
        <f t="shared" ca="1" si="51"/>
        <v>0</v>
      </c>
      <c r="AX102" s="781">
        <f t="shared" ca="1" si="52"/>
        <v>0</v>
      </c>
      <c r="AZ102" s="781">
        <f t="shared" ca="1" si="53"/>
        <v>0</v>
      </c>
      <c r="BB102" s="781">
        <f t="shared" ca="1" si="54"/>
        <v>0</v>
      </c>
      <c r="BD102" s="781">
        <f t="shared" ca="1" si="55"/>
        <v>0</v>
      </c>
      <c r="BF102" s="781">
        <f t="shared" ca="1" si="56"/>
        <v>0</v>
      </c>
      <c r="BH102" s="781">
        <f t="shared" ca="1" si="57"/>
        <v>0</v>
      </c>
    </row>
    <row r="103" spans="1:60" hidden="1" outlineLevel="1">
      <c r="A103" s="1464">
        <f t="shared" ca="1" si="71"/>
        <v>18</v>
      </c>
      <c r="B103" s="1464">
        <f t="shared" ca="1" si="72"/>
        <v>22</v>
      </c>
      <c r="C103" s="1464">
        <f t="shared" si="73"/>
        <v>8</v>
      </c>
      <c r="D103" s="1271" t="str">
        <f ca="1">IF(OFFSET(PortfolioDashboard!$A$3,C103-1,0)="","Blank",OFFSET(PortfolioDashboard!$A$3,C103-1,0))</f>
        <v>Green IT</v>
      </c>
      <c r="E103" s="1464" t="str">
        <f t="shared" si="74"/>
        <v>MTCO2e</v>
      </c>
      <c r="F103" s="1460"/>
      <c r="G103" s="781">
        <f t="shared" ca="1" si="67"/>
        <v>0</v>
      </c>
      <c r="H103" s="781">
        <f t="shared" ca="1" si="67"/>
        <v>0</v>
      </c>
      <c r="I103" s="781">
        <f t="shared" ca="1" si="67"/>
        <v>0</v>
      </c>
      <c r="J103" s="781">
        <f t="shared" ca="1" si="67"/>
        <v>0</v>
      </c>
      <c r="K103" s="781">
        <f t="shared" ca="1" si="67"/>
        <v>0</v>
      </c>
      <c r="L103" s="781">
        <f t="shared" ca="1" si="67"/>
        <v>0</v>
      </c>
      <c r="M103" s="781">
        <f t="shared" ca="1" si="67"/>
        <v>0</v>
      </c>
      <c r="N103" s="781">
        <f t="shared" ca="1" si="67"/>
        <v>0</v>
      </c>
      <c r="O103" s="781">
        <f t="shared" ca="1" si="67"/>
        <v>0</v>
      </c>
      <c r="P103" s="781">
        <f t="shared" ca="1" si="67"/>
        <v>0</v>
      </c>
      <c r="Q103" s="781">
        <f t="shared" ca="1" si="68"/>
        <v>0</v>
      </c>
      <c r="R103" s="781">
        <f t="shared" ca="1" si="68"/>
        <v>0</v>
      </c>
      <c r="S103" s="781">
        <f t="shared" ca="1" si="68"/>
        <v>0</v>
      </c>
      <c r="T103" s="781">
        <f t="shared" ca="1" si="68"/>
        <v>0</v>
      </c>
      <c r="U103" s="781">
        <f t="shared" ca="1" si="68"/>
        <v>0</v>
      </c>
      <c r="V103" s="781">
        <f t="shared" ca="1" si="68"/>
        <v>0</v>
      </c>
      <c r="W103" s="781">
        <f t="shared" ca="1" si="68"/>
        <v>0</v>
      </c>
      <c r="X103" s="781">
        <f t="shared" ca="1" si="68"/>
        <v>0</v>
      </c>
      <c r="Y103" s="781">
        <f t="shared" ca="1" si="68"/>
        <v>0</v>
      </c>
      <c r="Z103" s="781">
        <f t="shared" ca="1" si="68"/>
        <v>0</v>
      </c>
      <c r="AA103" s="781">
        <f t="shared" ca="1" si="69"/>
        <v>0</v>
      </c>
      <c r="AB103" s="781">
        <f t="shared" ca="1" si="69"/>
        <v>0</v>
      </c>
      <c r="AC103" s="781">
        <f t="shared" ca="1" si="69"/>
        <v>0</v>
      </c>
      <c r="AD103" s="781">
        <f t="shared" ca="1" si="69"/>
        <v>0</v>
      </c>
      <c r="AE103" s="781">
        <f t="shared" ca="1" si="69"/>
        <v>0</v>
      </c>
      <c r="AF103" s="781">
        <f t="shared" ca="1" si="69"/>
        <v>0</v>
      </c>
      <c r="AG103" s="781">
        <f t="shared" ca="1" si="69"/>
        <v>0</v>
      </c>
      <c r="AH103" s="781">
        <f t="shared" ca="1" si="69"/>
        <v>0</v>
      </c>
      <c r="AI103" s="781">
        <f t="shared" ca="1" si="69"/>
        <v>0</v>
      </c>
      <c r="AJ103" s="781">
        <f t="shared" ca="1" si="69"/>
        <v>0</v>
      </c>
      <c r="AK103" s="781">
        <f t="shared" ca="1" si="70"/>
        <v>0</v>
      </c>
      <c r="AL103" s="781">
        <f t="shared" ca="1" si="70"/>
        <v>0</v>
      </c>
      <c r="AM103" s="781">
        <f t="shared" ca="1" si="70"/>
        <v>0</v>
      </c>
      <c r="AN103" s="781">
        <f t="shared" ca="1" si="70"/>
        <v>0</v>
      </c>
      <c r="AO103" s="781">
        <f t="shared" ca="1" si="70"/>
        <v>0</v>
      </c>
      <c r="AP103" s="781">
        <f t="shared" ca="1" si="70"/>
        <v>0</v>
      </c>
      <c r="AQ103" s="781">
        <f t="shared" ca="1" si="70"/>
        <v>0</v>
      </c>
      <c r="AR103" s="781">
        <f t="shared" ca="1" si="70"/>
        <v>0</v>
      </c>
      <c r="AS103" s="781">
        <f t="shared" ca="1" si="70"/>
        <v>0</v>
      </c>
      <c r="AT103" s="781">
        <f t="shared" ca="1" si="70"/>
        <v>0</v>
      </c>
      <c r="AV103" s="781">
        <f t="shared" ca="1" si="51"/>
        <v>0</v>
      </c>
      <c r="AX103" s="781">
        <f t="shared" ca="1" si="52"/>
        <v>0</v>
      </c>
      <c r="AZ103" s="781">
        <f t="shared" ca="1" si="53"/>
        <v>0</v>
      </c>
      <c r="BB103" s="781">
        <f t="shared" ca="1" si="54"/>
        <v>0</v>
      </c>
      <c r="BD103" s="781">
        <f t="shared" ca="1" si="55"/>
        <v>0</v>
      </c>
      <c r="BF103" s="781">
        <f t="shared" ca="1" si="56"/>
        <v>0</v>
      </c>
      <c r="BH103" s="781">
        <f t="shared" ca="1" si="57"/>
        <v>0</v>
      </c>
    </row>
    <row r="104" spans="1:60" hidden="1" outlineLevel="1">
      <c r="A104" s="1464">
        <f t="shared" ca="1" si="71"/>
        <v>18</v>
      </c>
      <c r="B104" s="1464">
        <f t="shared" ca="1" si="72"/>
        <v>22</v>
      </c>
      <c r="C104" s="1464">
        <f t="shared" si="73"/>
        <v>9</v>
      </c>
      <c r="D104" s="1271" t="str">
        <f ca="1">IF(OFFSET(PortfolioDashboard!$A$3,C104-1,0)="","Blank",OFFSET(PortfolioDashboard!$A$3,C104-1,0))</f>
        <v>Reduced Air Travel</v>
      </c>
      <c r="E104" s="1464" t="str">
        <f t="shared" si="74"/>
        <v>MTCO2e</v>
      </c>
      <c r="F104" s="1460"/>
      <c r="G104" s="781">
        <f t="shared" ca="1" si="67"/>
        <v>0</v>
      </c>
      <c r="H104" s="781">
        <f t="shared" ca="1" si="67"/>
        <v>-561.67481273159069</v>
      </c>
      <c r="I104" s="781">
        <f t="shared" ca="1" si="67"/>
        <v>-563.47528677760192</v>
      </c>
      <c r="J104" s="781">
        <f t="shared" ca="1" si="67"/>
        <v>-564.85683910426201</v>
      </c>
      <c r="K104" s="781">
        <f t="shared" ca="1" si="67"/>
        <v>-566.02154159217173</v>
      </c>
      <c r="L104" s="781">
        <f t="shared" ca="1" si="67"/>
        <v>-567.04766508302907</v>
      </c>
      <c r="M104" s="781">
        <f t="shared" ca="1" si="67"/>
        <v>-851.96302744449406</v>
      </c>
      <c r="N104" s="781">
        <f t="shared" ca="1" si="67"/>
        <v>-853.24267117910142</v>
      </c>
      <c r="O104" s="781">
        <f t="shared" ca="1" si="67"/>
        <v>-854.43373452629135</v>
      </c>
      <c r="P104" s="781">
        <f t="shared" ca="1" si="67"/>
        <v>-855.55240567912927</v>
      </c>
      <c r="Q104" s="781">
        <f t="shared" ca="1" si="68"/>
        <v>-856.61047116245152</v>
      </c>
      <c r="R104" s="781">
        <f t="shared" ca="1" si="68"/>
        <v>-857.61682885044911</v>
      </c>
      <c r="S104" s="781">
        <f t="shared" ca="1" si="68"/>
        <v>-858.5783915062716</v>
      </c>
      <c r="T104" s="781">
        <f t="shared" ca="1" si="68"/>
        <v>-859.50065648756083</v>
      </c>
      <c r="U104" s="781">
        <f t="shared" ca="1" si="68"/>
        <v>-860.38808103075951</v>
      </c>
      <c r="V104" s="781">
        <f t="shared" ca="1" si="68"/>
        <v>-861.24433853777907</v>
      </c>
      <c r="W104" s="781">
        <f t="shared" ca="1" si="68"/>
        <v>-862.07249897000111</v>
      </c>
      <c r="X104" s="781">
        <f t="shared" ca="1" si="68"/>
        <v>-862.87515913365939</v>
      </c>
      <c r="Y104" s="781">
        <f t="shared" ca="1" si="68"/>
        <v>-863.65453888617992</v>
      </c>
      <c r="Z104" s="781">
        <f t="shared" ca="1" si="68"/>
        <v>-864.41255356388149</v>
      </c>
      <c r="AA104" s="781">
        <f t="shared" ca="1" si="69"/>
        <v>-865.15086944257303</v>
      </c>
      <c r="AB104" s="781">
        <f t="shared" ca="1" si="69"/>
        <v>-865.87094685010732</v>
      </c>
      <c r="AC104" s="781">
        <f t="shared" ca="1" si="69"/>
        <v>-866.57407413353792</v>
      </c>
      <c r="AD104" s="781">
        <f t="shared" ca="1" si="69"/>
        <v>-867.26139474581635</v>
      </c>
      <c r="AE104" s="781">
        <f t="shared" ca="1" si="69"/>
        <v>-867.93392908247324</v>
      </c>
      <c r="AF104" s="781">
        <f t="shared" ca="1" si="69"/>
        <v>-868.59259226087261</v>
      </c>
      <c r="AG104" s="781">
        <f t="shared" ca="1" si="69"/>
        <v>-869.23820872711428</v>
      </c>
      <c r="AH104" s="781">
        <f t="shared" ca="1" si="69"/>
        <v>-869.8715243561503</v>
      </c>
      <c r="AI104" s="781">
        <f t="shared" ca="1" si="69"/>
        <v>-870.49321655168853</v>
      </c>
      <c r="AJ104" s="781">
        <f t="shared" ca="1" si="69"/>
        <v>-871.10390273575013</v>
      </c>
      <c r="AK104" s="781">
        <f t="shared" ca="1" si="70"/>
        <v>-871.70414753099931</v>
      </c>
      <c r="AL104" s="781">
        <f t="shared" ca="1" si="70"/>
        <v>-872.29446887375661</v>
      </c>
      <c r="AM104" s="781">
        <f t="shared" ca="1" si="70"/>
        <v>-872.87534324606838</v>
      </c>
      <c r="AN104" s="781">
        <f t="shared" ca="1" si="70"/>
        <v>-873.44721017719871</v>
      </c>
      <c r="AO104" s="781">
        <f t="shared" ca="1" si="70"/>
        <v>-874.01047613549053</v>
      </c>
      <c r="AP104" s="781">
        <f t="shared" ca="1" si="70"/>
        <v>-874.56551790856349</v>
      </c>
      <c r="AQ104" s="781">
        <f t="shared" ca="1" si="70"/>
        <v>-875.11268555174433</v>
      </c>
      <c r="AR104" s="781">
        <f t="shared" ca="1" si="70"/>
        <v>-875.65230497027721</v>
      </c>
      <c r="AS104" s="781">
        <f t="shared" ca="1" si="70"/>
        <v>-876.18468018942747</v>
      </c>
      <c r="AT104" s="781">
        <f t="shared" ca="1" si="70"/>
        <v>-876.71009535737846</v>
      </c>
      <c r="AV104" s="781">
        <f t="shared" ca="1" si="51"/>
        <v>-3982.2395039120447</v>
      </c>
      <c r="AX104" s="781">
        <f t="shared" ca="1" si="52"/>
        <v>-4292.6944290374922</v>
      </c>
      <c r="AZ104" s="781">
        <f t="shared" ca="1" si="53"/>
        <v>-4314.2590890915017</v>
      </c>
      <c r="BB104" s="781">
        <f t="shared" ca="1" si="54"/>
        <v>-4332.7912142545083</v>
      </c>
      <c r="BD104" s="781">
        <f t="shared" ca="1" si="55"/>
        <v>-4349.2994446315761</v>
      </c>
      <c r="BF104" s="781">
        <f t="shared" ca="1" si="56"/>
        <v>-4364.3316459635134</v>
      </c>
      <c r="BH104" s="781">
        <f t="shared" ca="1" si="57"/>
        <v>-4378.225283977391</v>
      </c>
    </row>
    <row r="105" spans="1:60" hidden="1" outlineLevel="1">
      <c r="A105" s="1464">
        <f t="shared" ca="1" si="71"/>
        <v>18</v>
      </c>
      <c r="B105" s="1464">
        <f t="shared" ca="1" si="72"/>
        <v>22</v>
      </c>
      <c r="C105" s="1464">
        <f t="shared" si="73"/>
        <v>10</v>
      </c>
      <c r="D105" s="1271" t="str">
        <f ca="1">IF(OFFSET(PortfolioDashboard!$A$3,C105-1,0)="","Blank",OFFSET(PortfolioDashboard!$A$3,C105-1,0))</f>
        <v>Reduced Automobile Reliance Strategies</v>
      </c>
      <c r="E105" s="1464" t="str">
        <f t="shared" si="74"/>
        <v>MTCO2e</v>
      </c>
      <c r="F105" s="1460"/>
      <c r="G105" s="781">
        <f t="shared" ca="1" si="67"/>
        <v>0</v>
      </c>
      <c r="H105" s="781">
        <f t="shared" ca="1" si="67"/>
        <v>0</v>
      </c>
      <c r="I105" s="781">
        <f t="shared" ca="1" si="67"/>
        <v>0</v>
      </c>
      <c r="J105" s="781">
        <f t="shared" ca="1" si="67"/>
        <v>0</v>
      </c>
      <c r="K105" s="781">
        <f t="shared" ca="1" si="67"/>
        <v>0</v>
      </c>
      <c r="L105" s="781">
        <f t="shared" ca="1" si="67"/>
        <v>0</v>
      </c>
      <c r="M105" s="781">
        <f t="shared" ca="1" si="67"/>
        <v>0</v>
      </c>
      <c r="N105" s="781">
        <f t="shared" ca="1" si="67"/>
        <v>0</v>
      </c>
      <c r="O105" s="781">
        <f t="shared" ca="1" si="67"/>
        <v>0</v>
      </c>
      <c r="P105" s="781">
        <f t="shared" ca="1" si="67"/>
        <v>0</v>
      </c>
      <c r="Q105" s="781">
        <f t="shared" ca="1" si="68"/>
        <v>0</v>
      </c>
      <c r="R105" s="781">
        <f t="shared" ca="1" si="68"/>
        <v>0</v>
      </c>
      <c r="S105" s="781">
        <f t="shared" ca="1" si="68"/>
        <v>0</v>
      </c>
      <c r="T105" s="781">
        <f t="shared" ca="1" si="68"/>
        <v>0</v>
      </c>
      <c r="U105" s="781">
        <f t="shared" ca="1" si="68"/>
        <v>0</v>
      </c>
      <c r="V105" s="781">
        <f t="shared" ca="1" si="68"/>
        <v>0</v>
      </c>
      <c r="W105" s="781">
        <f t="shared" ca="1" si="68"/>
        <v>0</v>
      </c>
      <c r="X105" s="781">
        <f t="shared" ca="1" si="68"/>
        <v>0</v>
      </c>
      <c r="Y105" s="781">
        <f t="shared" ca="1" si="68"/>
        <v>0</v>
      </c>
      <c r="Z105" s="781">
        <f t="shared" ca="1" si="68"/>
        <v>0</v>
      </c>
      <c r="AA105" s="781">
        <f t="shared" ca="1" si="69"/>
        <v>0</v>
      </c>
      <c r="AB105" s="781">
        <f t="shared" ca="1" si="69"/>
        <v>0</v>
      </c>
      <c r="AC105" s="781">
        <f t="shared" ca="1" si="69"/>
        <v>0</v>
      </c>
      <c r="AD105" s="781">
        <f t="shared" ca="1" si="69"/>
        <v>0</v>
      </c>
      <c r="AE105" s="781">
        <f t="shared" ca="1" si="69"/>
        <v>0</v>
      </c>
      <c r="AF105" s="781">
        <f t="shared" ca="1" si="69"/>
        <v>0</v>
      </c>
      <c r="AG105" s="781">
        <f t="shared" ca="1" si="69"/>
        <v>0</v>
      </c>
      <c r="AH105" s="781">
        <f t="shared" ca="1" si="69"/>
        <v>0</v>
      </c>
      <c r="AI105" s="781">
        <f t="shared" ca="1" si="69"/>
        <v>0</v>
      </c>
      <c r="AJ105" s="781">
        <f t="shared" ca="1" si="69"/>
        <v>0</v>
      </c>
      <c r="AK105" s="781">
        <f t="shared" ca="1" si="70"/>
        <v>0</v>
      </c>
      <c r="AL105" s="781">
        <f t="shared" ca="1" si="70"/>
        <v>0</v>
      </c>
      <c r="AM105" s="781">
        <f t="shared" ca="1" si="70"/>
        <v>0</v>
      </c>
      <c r="AN105" s="781">
        <f t="shared" ca="1" si="70"/>
        <v>0</v>
      </c>
      <c r="AO105" s="781">
        <f t="shared" ca="1" si="70"/>
        <v>0</v>
      </c>
      <c r="AP105" s="781">
        <f t="shared" ca="1" si="70"/>
        <v>0</v>
      </c>
      <c r="AQ105" s="781">
        <f t="shared" ca="1" si="70"/>
        <v>0</v>
      </c>
      <c r="AR105" s="781">
        <f t="shared" ca="1" si="70"/>
        <v>0</v>
      </c>
      <c r="AS105" s="781">
        <f t="shared" ca="1" si="70"/>
        <v>0</v>
      </c>
      <c r="AT105" s="781">
        <f t="shared" ca="1" si="70"/>
        <v>0</v>
      </c>
      <c r="AV105" s="781">
        <f t="shared" ca="1" si="51"/>
        <v>0</v>
      </c>
      <c r="AX105" s="781">
        <f t="shared" ca="1" si="52"/>
        <v>0</v>
      </c>
      <c r="AZ105" s="781">
        <f t="shared" ca="1" si="53"/>
        <v>0</v>
      </c>
      <c r="BB105" s="781">
        <f t="shared" ca="1" si="54"/>
        <v>0</v>
      </c>
      <c r="BD105" s="781">
        <f t="shared" ca="1" si="55"/>
        <v>0</v>
      </c>
      <c r="BF105" s="781">
        <f t="shared" ca="1" si="56"/>
        <v>0</v>
      </c>
      <c r="BH105" s="781">
        <f t="shared" ca="1" si="57"/>
        <v>0</v>
      </c>
    </row>
    <row r="106" spans="1:60" hidden="1" outlineLevel="1">
      <c r="A106" s="1464">
        <f t="shared" ca="1" si="71"/>
        <v>18</v>
      </c>
      <c r="B106" s="1464">
        <f t="shared" ca="1" si="72"/>
        <v>22</v>
      </c>
      <c r="C106" s="1464">
        <f t="shared" si="73"/>
        <v>11</v>
      </c>
      <c r="D106" s="1271" t="str">
        <f ca="1">IF(OFFSET(PortfolioDashboard!$A$3,C106-1,0)="","Blank",OFFSET(PortfolioDashboard!$A$3,C106-1,0))</f>
        <v>Waste Reduction</v>
      </c>
      <c r="E106" s="1464" t="str">
        <f t="shared" si="74"/>
        <v>MTCO2e</v>
      </c>
      <c r="F106" s="1460"/>
      <c r="G106" s="781">
        <f t="shared" ref="G106:P115" ca="1" si="75">IFERROR(OFFSET(INDIRECT(INDEX(List_of_Alternatives,MATCH($D106,NameofAlternatives,0))),$A106+G$1-$G$1,$B106),0)</f>
        <v>0</v>
      </c>
      <c r="H106" s="781">
        <f t="shared" ca="1" si="75"/>
        <v>0</v>
      </c>
      <c r="I106" s="781">
        <f t="shared" ca="1" si="75"/>
        <v>-40.884638161468658</v>
      </c>
      <c r="J106" s="781">
        <f t="shared" ca="1" si="75"/>
        <v>-81.937879892859442</v>
      </c>
      <c r="K106" s="781">
        <f t="shared" ca="1" si="75"/>
        <v>-123.12963392984285</v>
      </c>
      <c r="L106" s="781">
        <f t="shared" ca="1" si="75"/>
        <v>-164.44143102054525</v>
      </c>
      <c r="M106" s="781">
        <f t="shared" ca="1" si="75"/>
        <v>-205.86052642059221</v>
      </c>
      <c r="N106" s="781">
        <f t="shared" ca="1" si="75"/>
        <v>-206.14789241380251</v>
      </c>
      <c r="O106" s="781">
        <f t="shared" ca="1" si="75"/>
        <v>-206.41779245536574</v>
      </c>
      <c r="P106" s="781">
        <f t="shared" ca="1" si="75"/>
        <v>-206.6730702617173</v>
      </c>
      <c r="Q106" s="781">
        <f t="shared" ref="Q106:Z115" ca="1" si="76">IFERROR(OFFSET(INDIRECT(INDEX(List_of_Alternatives,MATCH($D106,NameofAlternatives,0))),$A106+Q$1-$G$1,$B106),0)</f>
        <v>-206.91587260906391</v>
      </c>
      <c r="R106" s="781">
        <f t="shared" ca="1" si="76"/>
        <v>-207.14786732897221</v>
      </c>
      <c r="S106" s="781">
        <f t="shared" ca="1" si="76"/>
        <v>-207.37038076033295</v>
      </c>
      <c r="T106" s="781">
        <f t="shared" ca="1" si="76"/>
        <v>-207.58448829362001</v>
      </c>
      <c r="U106" s="781">
        <f t="shared" ca="1" si="76"/>
        <v>-207.79107620477433</v>
      </c>
      <c r="V106" s="781">
        <f t="shared" ca="1" si="76"/>
        <v>-207.99088517858286</v>
      </c>
      <c r="W106" s="781">
        <f t="shared" ca="1" si="76"/>
        <v>-208.18454174242908</v>
      </c>
      <c r="X106" s="781">
        <f t="shared" ca="1" si="76"/>
        <v>-208.37258147784658</v>
      </c>
      <c r="Y106" s="781">
        <f t="shared" ca="1" si="76"/>
        <v>-208.555466495037</v>
      </c>
      <c r="Z106" s="781">
        <f t="shared" ca="1" si="76"/>
        <v>-208.73359881376186</v>
      </c>
      <c r="AA106" s="781">
        <f t="shared" ref="AA106:AJ115" ca="1" si="77">IFERROR(OFFSET(INDIRECT(INDEX(List_of_Alternatives,MATCH($D106,NameofAlternatives,0))),$A106+AA$1-$G$1,$B106),0)</f>
        <v>-208.90733076504105</v>
      </c>
      <c r="AB106" s="781">
        <f t="shared" ca="1" si="77"/>
        <v>-209.07697318635553</v>
      </c>
      <c r="AC106" s="781">
        <f t="shared" ca="1" si="77"/>
        <v>-209.24280195681288</v>
      </c>
      <c r="AD106" s="781">
        <f t="shared" ca="1" si="77"/>
        <v>-209.40506326564875</v>
      </c>
      <c r="AE106" s="781">
        <f t="shared" ca="1" si="77"/>
        <v>-209.5639779018</v>
      </c>
      <c r="AF106" s="781">
        <f t="shared" ca="1" si="77"/>
        <v>-209.71974477808931</v>
      </c>
      <c r="AG106" s="781">
        <f t="shared" ca="1" si="77"/>
        <v>-209.87254385060123</v>
      </c>
      <c r="AH106" s="781">
        <f t="shared" ca="1" si="77"/>
        <v>-210.02253855547011</v>
      </c>
      <c r="AI106" s="781">
        <f t="shared" ca="1" si="77"/>
        <v>-210.16987785714261</v>
      </c>
      <c r="AJ106" s="781">
        <f t="shared" ca="1" si="77"/>
        <v>-210.31469798124689</v>
      </c>
      <c r="AK106" s="781">
        <f t="shared" ref="AK106:AT115" ca="1" si="78">IFERROR(OFFSET(INDIRECT(INDEX(List_of_Alternatives,MATCH($D106,NameofAlternatives,0))),$A106+AK$1-$G$1,$B106),0)</f>
        <v>-210.45712388946993</v>
      </c>
      <c r="AL106" s="781">
        <f t="shared" ca="1" si="78"/>
        <v>-210.59727054189074</v>
      </c>
      <c r="AM106" s="781">
        <f t="shared" ca="1" si="78"/>
        <v>-210.73524398304829</v>
      </c>
      <c r="AN106" s="781">
        <f t="shared" ca="1" si="78"/>
        <v>-210.87114228092466</v>
      </c>
      <c r="AO106" s="781">
        <f t="shared" ca="1" si="78"/>
        <v>-211.00505634248034</v>
      </c>
      <c r="AP106" s="781">
        <f t="shared" ca="1" si="78"/>
        <v>-211.13707062501715</v>
      </c>
      <c r="AQ106" s="781">
        <f t="shared" ca="1" si="78"/>
        <v>-211.26726375918435</v>
      </c>
      <c r="AR106" s="781">
        <f t="shared" ca="1" si="78"/>
        <v>-211.39570909668265</v>
      </c>
      <c r="AS106" s="781">
        <f t="shared" ca="1" si="78"/>
        <v>-211.52247519350044</v>
      </c>
      <c r="AT106" s="781">
        <f t="shared" ca="1" si="78"/>
        <v>-211.64762623772032</v>
      </c>
      <c r="AV106" s="781">
        <f t="shared" ca="1" si="51"/>
        <v>-989.54071257202304</v>
      </c>
      <c r="AX106" s="781">
        <f t="shared" ca="1" si="52"/>
        <v>-1036.8096851967634</v>
      </c>
      <c r="AZ106" s="781">
        <f t="shared" ca="1" si="53"/>
        <v>-1041.8370737076573</v>
      </c>
      <c r="BB106" s="781">
        <f t="shared" ca="1" si="54"/>
        <v>-1046.1961470756582</v>
      </c>
      <c r="BD106" s="781">
        <f t="shared" ca="1" si="55"/>
        <v>-1050.0994030225502</v>
      </c>
      <c r="BF106" s="781">
        <f t="shared" ca="1" si="56"/>
        <v>-1053.6658370378141</v>
      </c>
      <c r="BH106" s="781">
        <f t="shared" ca="1" si="57"/>
        <v>-1056.9701449121048</v>
      </c>
    </row>
    <row r="107" spans="1:60" hidden="1" outlineLevel="1">
      <c r="A107" s="1464">
        <f t="shared" ca="1" si="71"/>
        <v>18</v>
      </c>
      <c r="B107" s="1464">
        <f t="shared" ca="1" si="72"/>
        <v>22</v>
      </c>
      <c r="C107" s="1464">
        <f t="shared" si="73"/>
        <v>12</v>
      </c>
      <c r="D107" s="1271" t="str">
        <f ca="1">IF(OFFSET(PortfolioDashboard!$A$3,C107-1,0)="","Blank",OFFSET(PortfolioDashboard!$A$3,C107-1,0))</f>
        <v>Steam Line Improvements</v>
      </c>
      <c r="E107" s="1464" t="str">
        <f t="shared" si="74"/>
        <v>MTCO2e</v>
      </c>
      <c r="F107" s="1460"/>
      <c r="G107" s="781">
        <f t="shared" ca="1" si="75"/>
        <v>0</v>
      </c>
      <c r="H107" s="781">
        <f t="shared" ca="1" si="75"/>
        <v>0</v>
      </c>
      <c r="I107" s="781">
        <f t="shared" ca="1" si="75"/>
        <v>0</v>
      </c>
      <c r="J107" s="781">
        <f t="shared" ca="1" si="75"/>
        <v>0</v>
      </c>
      <c r="K107" s="781">
        <f t="shared" ca="1" si="75"/>
        <v>0</v>
      </c>
      <c r="L107" s="781">
        <f t="shared" ca="1" si="75"/>
        <v>0</v>
      </c>
      <c r="M107" s="781">
        <f t="shared" ca="1" si="75"/>
        <v>0</v>
      </c>
      <c r="N107" s="781">
        <f t="shared" ca="1" si="75"/>
        <v>0</v>
      </c>
      <c r="O107" s="781">
        <f t="shared" ca="1" si="75"/>
        <v>0</v>
      </c>
      <c r="P107" s="781">
        <f t="shared" ca="1" si="75"/>
        <v>0</v>
      </c>
      <c r="Q107" s="781">
        <f t="shared" ca="1" si="76"/>
        <v>0</v>
      </c>
      <c r="R107" s="781">
        <f t="shared" ca="1" si="76"/>
        <v>0</v>
      </c>
      <c r="S107" s="781">
        <f t="shared" ca="1" si="76"/>
        <v>0</v>
      </c>
      <c r="T107" s="781">
        <f t="shared" ca="1" si="76"/>
        <v>0</v>
      </c>
      <c r="U107" s="781">
        <f t="shared" ca="1" si="76"/>
        <v>0</v>
      </c>
      <c r="V107" s="781">
        <f t="shared" ca="1" si="76"/>
        <v>0</v>
      </c>
      <c r="W107" s="781">
        <f t="shared" ca="1" si="76"/>
        <v>0</v>
      </c>
      <c r="X107" s="781">
        <f t="shared" ca="1" si="76"/>
        <v>0</v>
      </c>
      <c r="Y107" s="781">
        <f t="shared" ca="1" si="76"/>
        <v>0</v>
      </c>
      <c r="Z107" s="781">
        <f t="shared" ca="1" si="76"/>
        <v>0</v>
      </c>
      <c r="AA107" s="781">
        <f t="shared" ca="1" si="77"/>
        <v>0</v>
      </c>
      <c r="AB107" s="781">
        <f t="shared" ca="1" si="77"/>
        <v>0</v>
      </c>
      <c r="AC107" s="781">
        <f t="shared" ca="1" si="77"/>
        <v>0</v>
      </c>
      <c r="AD107" s="781">
        <f t="shared" ca="1" si="77"/>
        <v>0</v>
      </c>
      <c r="AE107" s="781">
        <f t="shared" ca="1" si="77"/>
        <v>0</v>
      </c>
      <c r="AF107" s="781">
        <f t="shared" ca="1" si="77"/>
        <v>0</v>
      </c>
      <c r="AG107" s="781">
        <f t="shared" ca="1" si="77"/>
        <v>0</v>
      </c>
      <c r="AH107" s="781">
        <f t="shared" ca="1" si="77"/>
        <v>0</v>
      </c>
      <c r="AI107" s="781">
        <f t="shared" ca="1" si="77"/>
        <v>0</v>
      </c>
      <c r="AJ107" s="781">
        <f t="shared" ca="1" si="77"/>
        <v>0</v>
      </c>
      <c r="AK107" s="781">
        <f t="shared" ca="1" si="78"/>
        <v>0</v>
      </c>
      <c r="AL107" s="781">
        <f t="shared" ca="1" si="78"/>
        <v>0</v>
      </c>
      <c r="AM107" s="781">
        <f t="shared" ca="1" si="78"/>
        <v>0</v>
      </c>
      <c r="AN107" s="781">
        <f t="shared" ca="1" si="78"/>
        <v>0</v>
      </c>
      <c r="AO107" s="781">
        <f t="shared" ca="1" si="78"/>
        <v>0</v>
      </c>
      <c r="AP107" s="781">
        <f t="shared" ca="1" si="78"/>
        <v>0</v>
      </c>
      <c r="AQ107" s="781">
        <f t="shared" ca="1" si="78"/>
        <v>0</v>
      </c>
      <c r="AR107" s="781">
        <f t="shared" ca="1" si="78"/>
        <v>0</v>
      </c>
      <c r="AS107" s="781">
        <f t="shared" ca="1" si="78"/>
        <v>0</v>
      </c>
      <c r="AT107" s="781">
        <f t="shared" ca="1" si="78"/>
        <v>0</v>
      </c>
      <c r="AV107" s="781">
        <f t="shared" ca="1" si="51"/>
        <v>0</v>
      </c>
      <c r="AX107" s="781">
        <f t="shared" ca="1" si="52"/>
        <v>0</v>
      </c>
      <c r="AZ107" s="781">
        <f t="shared" ca="1" si="53"/>
        <v>0</v>
      </c>
      <c r="BB107" s="781">
        <f t="shared" ca="1" si="54"/>
        <v>0</v>
      </c>
      <c r="BD107" s="781">
        <f t="shared" ca="1" si="55"/>
        <v>0</v>
      </c>
      <c r="BF107" s="781">
        <f t="shared" ca="1" si="56"/>
        <v>0</v>
      </c>
      <c r="BH107" s="781">
        <f t="shared" ca="1" si="57"/>
        <v>0</v>
      </c>
    </row>
    <row r="108" spans="1:60" hidden="1" outlineLevel="1">
      <c r="A108" s="1464">
        <f t="shared" ca="1" si="71"/>
        <v>18</v>
      </c>
      <c r="B108" s="1464">
        <f t="shared" ca="1" si="72"/>
        <v>22</v>
      </c>
      <c r="C108" s="1464">
        <f t="shared" si="73"/>
        <v>13</v>
      </c>
      <c r="D108" s="1271" t="str">
        <f ca="1">IF(OFFSET(PortfolioDashboard!$A$3,C108-1,0)="","Blank",OFFSET(PortfolioDashboard!$A$3,C108-1,0))</f>
        <v>Coal to Natural Gas Conversion @ Steam Plant</v>
      </c>
      <c r="E108" s="1464" t="str">
        <f t="shared" si="74"/>
        <v>MTCO2e</v>
      </c>
      <c r="F108" s="1460"/>
      <c r="G108" s="781">
        <f t="shared" ca="1" si="75"/>
        <v>0</v>
      </c>
      <c r="H108" s="781">
        <f t="shared" ca="1" si="75"/>
        <v>0</v>
      </c>
      <c r="I108" s="781">
        <f t="shared" ca="1" si="75"/>
        <v>0</v>
      </c>
      <c r="J108" s="781">
        <f t="shared" ca="1" si="75"/>
        <v>0</v>
      </c>
      <c r="K108" s="781">
        <f t="shared" ca="1" si="75"/>
        <v>0</v>
      </c>
      <c r="L108" s="781">
        <f t="shared" ca="1" si="75"/>
        <v>0</v>
      </c>
      <c r="M108" s="781">
        <f t="shared" ca="1" si="75"/>
        <v>0</v>
      </c>
      <c r="N108" s="781">
        <f t="shared" ca="1" si="75"/>
        <v>0</v>
      </c>
      <c r="O108" s="781">
        <f t="shared" ca="1" si="75"/>
        <v>0</v>
      </c>
      <c r="P108" s="781">
        <f t="shared" ca="1" si="75"/>
        <v>0</v>
      </c>
      <c r="Q108" s="781">
        <f t="shared" ca="1" si="76"/>
        <v>0</v>
      </c>
      <c r="R108" s="781">
        <f t="shared" ca="1" si="76"/>
        <v>0</v>
      </c>
      <c r="S108" s="781">
        <f t="shared" ca="1" si="76"/>
        <v>0</v>
      </c>
      <c r="T108" s="781">
        <f t="shared" ca="1" si="76"/>
        <v>0</v>
      </c>
      <c r="U108" s="781">
        <f t="shared" ca="1" si="76"/>
        <v>0</v>
      </c>
      <c r="V108" s="781">
        <f t="shared" ca="1" si="76"/>
        <v>0</v>
      </c>
      <c r="W108" s="781">
        <f t="shared" ca="1" si="76"/>
        <v>0</v>
      </c>
      <c r="X108" s="781">
        <f t="shared" ca="1" si="76"/>
        <v>0</v>
      </c>
      <c r="Y108" s="781">
        <f t="shared" ca="1" si="76"/>
        <v>0</v>
      </c>
      <c r="Z108" s="781">
        <f t="shared" ca="1" si="76"/>
        <v>0</v>
      </c>
      <c r="AA108" s="781">
        <f t="shared" ca="1" si="77"/>
        <v>0</v>
      </c>
      <c r="AB108" s="781">
        <f t="shared" ca="1" si="77"/>
        <v>0</v>
      </c>
      <c r="AC108" s="781">
        <f t="shared" ca="1" si="77"/>
        <v>0</v>
      </c>
      <c r="AD108" s="781">
        <f t="shared" ca="1" si="77"/>
        <v>0</v>
      </c>
      <c r="AE108" s="781">
        <f t="shared" ca="1" si="77"/>
        <v>0</v>
      </c>
      <c r="AF108" s="781">
        <f t="shared" ca="1" si="77"/>
        <v>0</v>
      </c>
      <c r="AG108" s="781">
        <f t="shared" ca="1" si="77"/>
        <v>0</v>
      </c>
      <c r="AH108" s="781">
        <f t="shared" ca="1" si="77"/>
        <v>0</v>
      </c>
      <c r="AI108" s="781">
        <f t="shared" ca="1" si="77"/>
        <v>0</v>
      </c>
      <c r="AJ108" s="781">
        <f t="shared" ca="1" si="77"/>
        <v>0</v>
      </c>
      <c r="AK108" s="781">
        <f t="shared" ca="1" si="78"/>
        <v>0</v>
      </c>
      <c r="AL108" s="781">
        <f t="shared" ca="1" si="78"/>
        <v>0</v>
      </c>
      <c r="AM108" s="781">
        <f t="shared" ca="1" si="78"/>
        <v>0</v>
      </c>
      <c r="AN108" s="781">
        <f t="shared" ca="1" si="78"/>
        <v>0</v>
      </c>
      <c r="AO108" s="781">
        <f t="shared" ca="1" si="78"/>
        <v>0</v>
      </c>
      <c r="AP108" s="781">
        <f t="shared" ca="1" si="78"/>
        <v>0</v>
      </c>
      <c r="AQ108" s="781">
        <f t="shared" ca="1" si="78"/>
        <v>0</v>
      </c>
      <c r="AR108" s="781">
        <f t="shared" ca="1" si="78"/>
        <v>0</v>
      </c>
      <c r="AS108" s="781">
        <f t="shared" ca="1" si="78"/>
        <v>0</v>
      </c>
      <c r="AT108" s="781">
        <f t="shared" ca="1" si="78"/>
        <v>0</v>
      </c>
      <c r="AV108" s="781">
        <f t="shared" ca="1" si="51"/>
        <v>0</v>
      </c>
      <c r="AX108" s="781">
        <f t="shared" ca="1" si="52"/>
        <v>0</v>
      </c>
      <c r="AZ108" s="781">
        <f t="shared" ca="1" si="53"/>
        <v>0</v>
      </c>
      <c r="BB108" s="781">
        <f t="shared" ca="1" si="54"/>
        <v>0</v>
      </c>
      <c r="BD108" s="781">
        <f t="shared" ca="1" si="55"/>
        <v>0</v>
      </c>
      <c r="BF108" s="781">
        <f t="shared" ca="1" si="56"/>
        <v>0</v>
      </c>
      <c r="BH108" s="781">
        <f t="shared" ca="1" si="57"/>
        <v>0</v>
      </c>
    </row>
    <row r="109" spans="1:60" hidden="1" outlineLevel="1">
      <c r="A109" s="1464">
        <f t="shared" ca="1" si="71"/>
        <v>18</v>
      </c>
      <c r="B109" s="1464">
        <f t="shared" ca="1" si="72"/>
        <v>22</v>
      </c>
      <c r="C109" s="1464">
        <f t="shared" si="73"/>
        <v>14</v>
      </c>
      <c r="D109" s="1271" t="str">
        <f ca="1">IF(OFFSET(PortfolioDashboard!$A$3,C109-1,0)="","Blank",OFFSET(PortfolioDashboard!$A$3,C109-1,0))</f>
        <v>On-site Wind</v>
      </c>
      <c r="E109" s="1464" t="str">
        <f t="shared" si="74"/>
        <v>MTCO2e</v>
      </c>
      <c r="F109" s="1460"/>
      <c r="G109" s="781">
        <f t="shared" ca="1" si="75"/>
        <v>0</v>
      </c>
      <c r="H109" s="781">
        <f t="shared" ca="1" si="75"/>
        <v>0</v>
      </c>
      <c r="I109" s="781">
        <f t="shared" ca="1" si="75"/>
        <v>0</v>
      </c>
      <c r="J109" s="781">
        <f t="shared" ca="1" si="75"/>
        <v>0</v>
      </c>
      <c r="K109" s="781">
        <f t="shared" ca="1" si="75"/>
        <v>0</v>
      </c>
      <c r="L109" s="781">
        <f t="shared" ca="1" si="75"/>
        <v>0</v>
      </c>
      <c r="M109" s="781">
        <f t="shared" ca="1" si="75"/>
        <v>0</v>
      </c>
      <c r="N109" s="781">
        <f t="shared" ca="1" si="75"/>
        <v>0</v>
      </c>
      <c r="O109" s="781">
        <f t="shared" ca="1" si="75"/>
        <v>0</v>
      </c>
      <c r="P109" s="781">
        <f t="shared" ca="1" si="75"/>
        <v>0</v>
      </c>
      <c r="Q109" s="781">
        <f t="shared" ca="1" si="76"/>
        <v>0</v>
      </c>
      <c r="R109" s="781">
        <f t="shared" ca="1" si="76"/>
        <v>0</v>
      </c>
      <c r="S109" s="781">
        <f t="shared" ca="1" si="76"/>
        <v>0</v>
      </c>
      <c r="T109" s="781">
        <f t="shared" ca="1" si="76"/>
        <v>0</v>
      </c>
      <c r="U109" s="781">
        <f t="shared" ca="1" si="76"/>
        <v>0</v>
      </c>
      <c r="V109" s="781">
        <f t="shared" ca="1" si="76"/>
        <v>0</v>
      </c>
      <c r="W109" s="781">
        <f t="shared" ca="1" si="76"/>
        <v>0</v>
      </c>
      <c r="X109" s="781">
        <f t="shared" ca="1" si="76"/>
        <v>0</v>
      </c>
      <c r="Y109" s="781">
        <f t="shared" ca="1" si="76"/>
        <v>0</v>
      </c>
      <c r="Z109" s="781">
        <f t="shared" ca="1" si="76"/>
        <v>0</v>
      </c>
      <c r="AA109" s="781">
        <f t="shared" ca="1" si="77"/>
        <v>0</v>
      </c>
      <c r="AB109" s="781">
        <f t="shared" ca="1" si="77"/>
        <v>0</v>
      </c>
      <c r="AC109" s="781">
        <f t="shared" ca="1" si="77"/>
        <v>0</v>
      </c>
      <c r="AD109" s="781">
        <f t="shared" ca="1" si="77"/>
        <v>0</v>
      </c>
      <c r="AE109" s="781">
        <f t="shared" ca="1" si="77"/>
        <v>0</v>
      </c>
      <c r="AF109" s="781">
        <f t="shared" ca="1" si="77"/>
        <v>0</v>
      </c>
      <c r="AG109" s="781">
        <f t="shared" ca="1" si="77"/>
        <v>0</v>
      </c>
      <c r="AH109" s="781">
        <f t="shared" ca="1" si="77"/>
        <v>0</v>
      </c>
      <c r="AI109" s="781">
        <f t="shared" ca="1" si="77"/>
        <v>0</v>
      </c>
      <c r="AJ109" s="781">
        <f t="shared" ca="1" si="77"/>
        <v>0</v>
      </c>
      <c r="AK109" s="781">
        <f t="shared" ca="1" si="78"/>
        <v>0</v>
      </c>
      <c r="AL109" s="781">
        <f t="shared" ca="1" si="78"/>
        <v>0</v>
      </c>
      <c r="AM109" s="781">
        <f t="shared" ca="1" si="78"/>
        <v>0</v>
      </c>
      <c r="AN109" s="781">
        <f t="shared" ca="1" si="78"/>
        <v>0</v>
      </c>
      <c r="AO109" s="781">
        <f t="shared" ca="1" si="78"/>
        <v>0</v>
      </c>
      <c r="AP109" s="781">
        <f t="shared" ca="1" si="78"/>
        <v>0</v>
      </c>
      <c r="AQ109" s="781">
        <f t="shared" ca="1" si="78"/>
        <v>0</v>
      </c>
      <c r="AR109" s="781">
        <f t="shared" ca="1" si="78"/>
        <v>0</v>
      </c>
      <c r="AS109" s="781">
        <f t="shared" ca="1" si="78"/>
        <v>0</v>
      </c>
      <c r="AT109" s="781">
        <f t="shared" ca="1" si="78"/>
        <v>0</v>
      </c>
      <c r="AV109" s="781">
        <f t="shared" ca="1" si="51"/>
        <v>0</v>
      </c>
      <c r="AX109" s="781">
        <f t="shared" ca="1" si="52"/>
        <v>0</v>
      </c>
      <c r="AZ109" s="781">
        <f t="shared" ca="1" si="53"/>
        <v>0</v>
      </c>
      <c r="BB109" s="781">
        <f t="shared" ca="1" si="54"/>
        <v>0</v>
      </c>
      <c r="BD109" s="781">
        <f t="shared" ca="1" si="55"/>
        <v>0</v>
      </c>
      <c r="BF109" s="781">
        <f t="shared" ca="1" si="56"/>
        <v>0</v>
      </c>
      <c r="BH109" s="781">
        <f t="shared" ca="1" si="57"/>
        <v>0</v>
      </c>
    </row>
    <row r="110" spans="1:60" hidden="1" outlineLevel="1">
      <c r="A110" s="1464">
        <f t="shared" ca="1" si="71"/>
        <v>18</v>
      </c>
      <c r="B110" s="1464">
        <f t="shared" ca="1" si="72"/>
        <v>22</v>
      </c>
      <c r="C110" s="1464">
        <f t="shared" si="73"/>
        <v>15</v>
      </c>
      <c r="D110" s="1271" t="str">
        <f ca="1">IF(OFFSET(PortfolioDashboard!$A$3,C110-1,0)="","Blank",OFFSET(PortfolioDashboard!$A$3,C110-1,0))</f>
        <v>Solar DHW</v>
      </c>
      <c r="E110" s="1464" t="str">
        <f t="shared" si="74"/>
        <v>MTCO2e</v>
      </c>
      <c r="F110" s="1460"/>
      <c r="G110" s="781">
        <f t="shared" ca="1" si="75"/>
        <v>0</v>
      </c>
      <c r="H110" s="781">
        <f t="shared" ca="1" si="75"/>
        <v>0</v>
      </c>
      <c r="I110" s="781">
        <f t="shared" ca="1" si="75"/>
        <v>0</v>
      </c>
      <c r="J110" s="781">
        <f t="shared" ca="1" si="75"/>
        <v>0</v>
      </c>
      <c r="K110" s="781">
        <f t="shared" ca="1" si="75"/>
        <v>0</v>
      </c>
      <c r="L110" s="781">
        <f t="shared" ca="1" si="75"/>
        <v>0</v>
      </c>
      <c r="M110" s="781">
        <f t="shared" ca="1" si="75"/>
        <v>0</v>
      </c>
      <c r="N110" s="781">
        <f t="shared" ca="1" si="75"/>
        <v>0</v>
      </c>
      <c r="O110" s="781">
        <f t="shared" ca="1" si="75"/>
        <v>0</v>
      </c>
      <c r="P110" s="781">
        <f t="shared" ca="1" si="75"/>
        <v>0</v>
      </c>
      <c r="Q110" s="781">
        <f t="shared" ca="1" si="76"/>
        <v>0</v>
      </c>
      <c r="R110" s="781">
        <f t="shared" ca="1" si="76"/>
        <v>0</v>
      </c>
      <c r="S110" s="781">
        <f t="shared" ca="1" si="76"/>
        <v>0</v>
      </c>
      <c r="T110" s="781">
        <f t="shared" ca="1" si="76"/>
        <v>0</v>
      </c>
      <c r="U110" s="781">
        <f t="shared" ca="1" si="76"/>
        <v>0</v>
      </c>
      <c r="V110" s="781">
        <f t="shared" ca="1" si="76"/>
        <v>0</v>
      </c>
      <c r="W110" s="781">
        <f t="shared" ca="1" si="76"/>
        <v>0</v>
      </c>
      <c r="X110" s="781">
        <f t="shared" ca="1" si="76"/>
        <v>0</v>
      </c>
      <c r="Y110" s="781">
        <f t="shared" ca="1" si="76"/>
        <v>0</v>
      </c>
      <c r="Z110" s="781">
        <f t="shared" ca="1" si="76"/>
        <v>0</v>
      </c>
      <c r="AA110" s="781">
        <f t="shared" ca="1" si="77"/>
        <v>0</v>
      </c>
      <c r="AB110" s="781">
        <f t="shared" ca="1" si="77"/>
        <v>0</v>
      </c>
      <c r="AC110" s="781">
        <f t="shared" ca="1" si="77"/>
        <v>0</v>
      </c>
      <c r="AD110" s="781">
        <f t="shared" ca="1" si="77"/>
        <v>0</v>
      </c>
      <c r="AE110" s="781">
        <f t="shared" ca="1" si="77"/>
        <v>0</v>
      </c>
      <c r="AF110" s="781">
        <f t="shared" ca="1" si="77"/>
        <v>0</v>
      </c>
      <c r="AG110" s="781">
        <f t="shared" ca="1" si="77"/>
        <v>0</v>
      </c>
      <c r="AH110" s="781">
        <f t="shared" ca="1" si="77"/>
        <v>0</v>
      </c>
      <c r="AI110" s="781">
        <f t="shared" ca="1" si="77"/>
        <v>0</v>
      </c>
      <c r="AJ110" s="781">
        <f t="shared" ca="1" si="77"/>
        <v>0</v>
      </c>
      <c r="AK110" s="781">
        <f t="shared" ca="1" si="78"/>
        <v>0</v>
      </c>
      <c r="AL110" s="781">
        <f t="shared" ca="1" si="78"/>
        <v>0</v>
      </c>
      <c r="AM110" s="781">
        <f t="shared" ca="1" si="78"/>
        <v>0</v>
      </c>
      <c r="AN110" s="781">
        <f t="shared" ca="1" si="78"/>
        <v>0</v>
      </c>
      <c r="AO110" s="781">
        <f t="shared" ca="1" si="78"/>
        <v>0</v>
      </c>
      <c r="AP110" s="781">
        <f t="shared" ca="1" si="78"/>
        <v>0</v>
      </c>
      <c r="AQ110" s="781">
        <f t="shared" ca="1" si="78"/>
        <v>0</v>
      </c>
      <c r="AR110" s="781">
        <f t="shared" ca="1" si="78"/>
        <v>0</v>
      </c>
      <c r="AS110" s="781">
        <f t="shared" ca="1" si="78"/>
        <v>0</v>
      </c>
      <c r="AT110" s="781">
        <f t="shared" ca="1" si="78"/>
        <v>0</v>
      </c>
      <c r="AV110" s="781">
        <f t="shared" ca="1" si="51"/>
        <v>0</v>
      </c>
      <c r="AX110" s="781">
        <f t="shared" ca="1" si="52"/>
        <v>0</v>
      </c>
      <c r="AZ110" s="781">
        <f t="shared" ca="1" si="53"/>
        <v>0</v>
      </c>
      <c r="BB110" s="781">
        <f t="shared" ca="1" si="54"/>
        <v>0</v>
      </c>
      <c r="BD110" s="781">
        <f t="shared" ca="1" si="55"/>
        <v>0</v>
      </c>
      <c r="BF110" s="781">
        <f t="shared" ca="1" si="56"/>
        <v>0</v>
      </c>
      <c r="BH110" s="781">
        <f t="shared" ca="1" si="57"/>
        <v>0</v>
      </c>
    </row>
    <row r="111" spans="1:60" hidden="1" outlineLevel="1">
      <c r="A111" s="1464">
        <f t="shared" ca="1" si="71"/>
        <v>18</v>
      </c>
      <c r="B111" s="1464">
        <f t="shared" ca="1" si="72"/>
        <v>22</v>
      </c>
      <c r="C111" s="1464">
        <f t="shared" si="73"/>
        <v>16</v>
      </c>
      <c r="D111" s="1271" t="str">
        <f ca="1">IF(OFFSET(PortfolioDashboard!$A$3,C111-1,0)="","Blank",OFFSET(PortfolioDashboard!$A$3,C111-1,0))</f>
        <v>Geo Exchange</v>
      </c>
      <c r="E111" s="1464" t="str">
        <f t="shared" si="74"/>
        <v>MTCO2e</v>
      </c>
      <c r="F111" s="1460"/>
      <c r="G111" s="781">
        <f t="shared" ca="1" si="75"/>
        <v>0</v>
      </c>
      <c r="H111" s="781">
        <f t="shared" ca="1" si="75"/>
        <v>0</v>
      </c>
      <c r="I111" s="781">
        <f t="shared" ca="1" si="75"/>
        <v>0</v>
      </c>
      <c r="J111" s="781">
        <f t="shared" ca="1" si="75"/>
        <v>0</v>
      </c>
      <c r="K111" s="781">
        <f t="shared" ca="1" si="75"/>
        <v>0</v>
      </c>
      <c r="L111" s="781">
        <f t="shared" ca="1" si="75"/>
        <v>0</v>
      </c>
      <c r="M111" s="781">
        <f t="shared" ca="1" si="75"/>
        <v>0</v>
      </c>
      <c r="N111" s="781">
        <f t="shared" ca="1" si="75"/>
        <v>0</v>
      </c>
      <c r="O111" s="781">
        <f t="shared" ca="1" si="75"/>
        <v>0</v>
      </c>
      <c r="P111" s="781">
        <f t="shared" ca="1" si="75"/>
        <v>0</v>
      </c>
      <c r="Q111" s="781">
        <f t="shared" ca="1" si="76"/>
        <v>0</v>
      </c>
      <c r="R111" s="781">
        <f t="shared" ca="1" si="76"/>
        <v>0</v>
      </c>
      <c r="S111" s="781">
        <f t="shared" ca="1" si="76"/>
        <v>0</v>
      </c>
      <c r="T111" s="781">
        <f t="shared" ca="1" si="76"/>
        <v>0</v>
      </c>
      <c r="U111" s="781">
        <f t="shared" ca="1" si="76"/>
        <v>0</v>
      </c>
      <c r="V111" s="781">
        <f t="shared" ca="1" si="76"/>
        <v>0</v>
      </c>
      <c r="W111" s="781">
        <f t="shared" ca="1" si="76"/>
        <v>0</v>
      </c>
      <c r="X111" s="781">
        <f t="shared" ca="1" si="76"/>
        <v>0</v>
      </c>
      <c r="Y111" s="781">
        <f t="shared" ca="1" si="76"/>
        <v>0</v>
      </c>
      <c r="Z111" s="781">
        <f t="shared" ca="1" si="76"/>
        <v>0</v>
      </c>
      <c r="AA111" s="781">
        <f t="shared" ca="1" si="77"/>
        <v>0</v>
      </c>
      <c r="AB111" s="781">
        <f t="shared" ca="1" si="77"/>
        <v>0</v>
      </c>
      <c r="AC111" s="781">
        <f t="shared" ca="1" si="77"/>
        <v>0</v>
      </c>
      <c r="AD111" s="781">
        <f t="shared" ca="1" si="77"/>
        <v>0</v>
      </c>
      <c r="AE111" s="781">
        <f t="shared" ca="1" si="77"/>
        <v>0</v>
      </c>
      <c r="AF111" s="781">
        <f t="shared" ca="1" si="77"/>
        <v>0</v>
      </c>
      <c r="AG111" s="781">
        <f t="shared" ca="1" si="77"/>
        <v>0</v>
      </c>
      <c r="AH111" s="781">
        <f t="shared" ca="1" si="77"/>
        <v>0</v>
      </c>
      <c r="AI111" s="781">
        <f t="shared" ca="1" si="77"/>
        <v>0</v>
      </c>
      <c r="AJ111" s="781">
        <f t="shared" ca="1" si="77"/>
        <v>0</v>
      </c>
      <c r="AK111" s="781">
        <f t="shared" ca="1" si="78"/>
        <v>0</v>
      </c>
      <c r="AL111" s="781">
        <f t="shared" ca="1" si="78"/>
        <v>0</v>
      </c>
      <c r="AM111" s="781">
        <f t="shared" ca="1" si="78"/>
        <v>0</v>
      </c>
      <c r="AN111" s="781">
        <f t="shared" ca="1" si="78"/>
        <v>0</v>
      </c>
      <c r="AO111" s="781">
        <f t="shared" ca="1" si="78"/>
        <v>0</v>
      </c>
      <c r="AP111" s="781">
        <f t="shared" ca="1" si="78"/>
        <v>0</v>
      </c>
      <c r="AQ111" s="781">
        <f t="shared" ca="1" si="78"/>
        <v>0</v>
      </c>
      <c r="AR111" s="781">
        <f t="shared" ca="1" si="78"/>
        <v>0</v>
      </c>
      <c r="AS111" s="781">
        <f t="shared" ca="1" si="78"/>
        <v>0</v>
      </c>
      <c r="AT111" s="781">
        <f t="shared" ca="1" si="78"/>
        <v>0</v>
      </c>
      <c r="AV111" s="781">
        <f t="shared" ca="1" si="51"/>
        <v>0</v>
      </c>
      <c r="AX111" s="781">
        <f t="shared" ca="1" si="52"/>
        <v>0</v>
      </c>
      <c r="AZ111" s="781">
        <f t="shared" ca="1" si="53"/>
        <v>0</v>
      </c>
      <c r="BB111" s="781">
        <f t="shared" ca="1" si="54"/>
        <v>0</v>
      </c>
      <c r="BD111" s="781">
        <f t="shared" ca="1" si="55"/>
        <v>0</v>
      </c>
      <c r="BF111" s="781">
        <f t="shared" ca="1" si="56"/>
        <v>0</v>
      </c>
      <c r="BH111" s="781">
        <f t="shared" ca="1" si="57"/>
        <v>0</v>
      </c>
    </row>
    <row r="112" spans="1:60" hidden="1" outlineLevel="1">
      <c r="A112" s="1464">
        <f t="shared" ca="1" si="71"/>
        <v>18</v>
      </c>
      <c r="B112" s="1464">
        <f t="shared" ca="1" si="72"/>
        <v>22</v>
      </c>
      <c r="C112" s="1464">
        <f t="shared" si="73"/>
        <v>17</v>
      </c>
      <c r="D112" s="1271" t="str">
        <f ca="1">IF(OFFSET(PortfolioDashboard!$A$3,C112-1,0)="","Blank",OFFSET(PortfolioDashboard!$A$3,C112-1,0))</f>
        <v>Rooftop Solar PV</v>
      </c>
      <c r="E112" s="1464" t="str">
        <f t="shared" si="74"/>
        <v>MTCO2e</v>
      </c>
      <c r="F112" s="1460"/>
      <c r="G112" s="781">
        <f t="shared" ca="1" si="75"/>
        <v>0</v>
      </c>
      <c r="H112" s="781">
        <f t="shared" ca="1" si="75"/>
        <v>0</v>
      </c>
      <c r="I112" s="781">
        <f t="shared" ca="1" si="75"/>
        <v>0</v>
      </c>
      <c r="J112" s="781">
        <f t="shared" ca="1" si="75"/>
        <v>0</v>
      </c>
      <c r="K112" s="781">
        <f t="shared" ca="1" si="75"/>
        <v>0</v>
      </c>
      <c r="L112" s="781">
        <f t="shared" ca="1" si="75"/>
        <v>0</v>
      </c>
      <c r="M112" s="781">
        <f t="shared" ca="1" si="75"/>
        <v>0</v>
      </c>
      <c r="N112" s="781">
        <f t="shared" ca="1" si="75"/>
        <v>0</v>
      </c>
      <c r="O112" s="781">
        <f t="shared" ca="1" si="75"/>
        <v>0</v>
      </c>
      <c r="P112" s="781">
        <f t="shared" ca="1" si="75"/>
        <v>0</v>
      </c>
      <c r="Q112" s="781">
        <f t="shared" ca="1" si="76"/>
        <v>0</v>
      </c>
      <c r="R112" s="781">
        <f t="shared" ca="1" si="76"/>
        <v>0</v>
      </c>
      <c r="S112" s="781">
        <f t="shared" ca="1" si="76"/>
        <v>0</v>
      </c>
      <c r="T112" s="781">
        <f t="shared" ca="1" si="76"/>
        <v>0</v>
      </c>
      <c r="U112" s="781">
        <f t="shared" ca="1" si="76"/>
        <v>0</v>
      </c>
      <c r="V112" s="781">
        <f t="shared" ca="1" si="76"/>
        <v>0</v>
      </c>
      <c r="W112" s="781">
        <f t="shared" ca="1" si="76"/>
        <v>0</v>
      </c>
      <c r="X112" s="781">
        <f t="shared" ca="1" si="76"/>
        <v>0</v>
      </c>
      <c r="Y112" s="781">
        <f t="shared" ca="1" si="76"/>
        <v>0</v>
      </c>
      <c r="Z112" s="781">
        <f t="shared" ca="1" si="76"/>
        <v>0</v>
      </c>
      <c r="AA112" s="781">
        <f t="shared" ca="1" si="77"/>
        <v>0</v>
      </c>
      <c r="AB112" s="781">
        <f t="shared" ca="1" si="77"/>
        <v>0</v>
      </c>
      <c r="AC112" s="781">
        <f t="shared" ca="1" si="77"/>
        <v>0</v>
      </c>
      <c r="AD112" s="781">
        <f t="shared" ca="1" si="77"/>
        <v>0</v>
      </c>
      <c r="AE112" s="781">
        <f t="shared" ca="1" si="77"/>
        <v>0</v>
      </c>
      <c r="AF112" s="781">
        <f t="shared" ca="1" si="77"/>
        <v>0</v>
      </c>
      <c r="AG112" s="781">
        <f t="shared" ca="1" si="77"/>
        <v>0</v>
      </c>
      <c r="AH112" s="781">
        <f t="shared" ca="1" si="77"/>
        <v>0</v>
      </c>
      <c r="AI112" s="781">
        <f t="shared" ca="1" si="77"/>
        <v>0</v>
      </c>
      <c r="AJ112" s="781">
        <f t="shared" ca="1" si="77"/>
        <v>0</v>
      </c>
      <c r="AK112" s="781">
        <f t="shared" ca="1" si="78"/>
        <v>0</v>
      </c>
      <c r="AL112" s="781">
        <f t="shared" ca="1" si="78"/>
        <v>0</v>
      </c>
      <c r="AM112" s="781">
        <f t="shared" ca="1" si="78"/>
        <v>0</v>
      </c>
      <c r="AN112" s="781">
        <f t="shared" ca="1" si="78"/>
        <v>0</v>
      </c>
      <c r="AO112" s="781">
        <f t="shared" ca="1" si="78"/>
        <v>0</v>
      </c>
      <c r="AP112" s="781">
        <f t="shared" ca="1" si="78"/>
        <v>0</v>
      </c>
      <c r="AQ112" s="781">
        <f t="shared" ca="1" si="78"/>
        <v>0</v>
      </c>
      <c r="AR112" s="781">
        <f t="shared" ca="1" si="78"/>
        <v>0</v>
      </c>
      <c r="AS112" s="781">
        <f t="shared" ca="1" si="78"/>
        <v>0</v>
      </c>
      <c r="AT112" s="781">
        <f t="shared" ca="1" si="78"/>
        <v>0</v>
      </c>
      <c r="AV112" s="781">
        <f t="shared" ca="1" si="51"/>
        <v>0</v>
      </c>
      <c r="AX112" s="781">
        <f t="shared" ca="1" si="52"/>
        <v>0</v>
      </c>
      <c r="AZ112" s="781">
        <f t="shared" ca="1" si="53"/>
        <v>0</v>
      </c>
      <c r="BB112" s="781">
        <f t="shared" ca="1" si="54"/>
        <v>0</v>
      </c>
      <c r="BD112" s="781">
        <f t="shared" ca="1" si="55"/>
        <v>0</v>
      </c>
      <c r="BF112" s="781">
        <f t="shared" ca="1" si="56"/>
        <v>0</v>
      </c>
      <c r="BH112" s="781">
        <f t="shared" ca="1" si="57"/>
        <v>0</v>
      </c>
    </row>
    <row r="113" spans="1:60" hidden="1" outlineLevel="1">
      <c r="A113" s="1464">
        <f t="shared" ca="1" si="71"/>
        <v>18</v>
      </c>
      <c r="B113" s="1464">
        <f t="shared" ca="1" si="72"/>
        <v>22</v>
      </c>
      <c r="C113" s="1464">
        <f t="shared" si="73"/>
        <v>18</v>
      </c>
      <c r="D113" s="1271" t="str">
        <f ca="1">IF(OFFSET(PortfolioDashboard!$A$3,C113-1,0)="","Blank",OFFSET(PortfolioDashboard!$A$3,C113-1,0))</f>
        <v>Blank</v>
      </c>
      <c r="E113" s="1464" t="str">
        <f t="shared" si="74"/>
        <v>MTCO2e</v>
      </c>
      <c r="F113" s="1460"/>
      <c r="G113" s="781">
        <f t="shared" ca="1" si="75"/>
        <v>0</v>
      </c>
      <c r="H113" s="781">
        <f t="shared" ca="1" si="75"/>
        <v>0</v>
      </c>
      <c r="I113" s="781">
        <f t="shared" ca="1" si="75"/>
        <v>0</v>
      </c>
      <c r="J113" s="781">
        <f t="shared" ca="1" si="75"/>
        <v>0</v>
      </c>
      <c r="K113" s="781">
        <f t="shared" ca="1" si="75"/>
        <v>0</v>
      </c>
      <c r="L113" s="781">
        <f t="shared" ca="1" si="75"/>
        <v>0</v>
      </c>
      <c r="M113" s="781">
        <f t="shared" ca="1" si="75"/>
        <v>0</v>
      </c>
      <c r="N113" s="781">
        <f t="shared" ca="1" si="75"/>
        <v>0</v>
      </c>
      <c r="O113" s="781">
        <f t="shared" ca="1" si="75"/>
        <v>0</v>
      </c>
      <c r="P113" s="781">
        <f t="shared" ca="1" si="75"/>
        <v>0</v>
      </c>
      <c r="Q113" s="781">
        <f t="shared" ca="1" si="76"/>
        <v>0</v>
      </c>
      <c r="R113" s="781">
        <f t="shared" ca="1" si="76"/>
        <v>0</v>
      </c>
      <c r="S113" s="781">
        <f t="shared" ca="1" si="76"/>
        <v>0</v>
      </c>
      <c r="T113" s="781">
        <f t="shared" ca="1" si="76"/>
        <v>0</v>
      </c>
      <c r="U113" s="781">
        <f t="shared" ca="1" si="76"/>
        <v>0</v>
      </c>
      <c r="V113" s="781">
        <f t="shared" ca="1" si="76"/>
        <v>0</v>
      </c>
      <c r="W113" s="781">
        <f t="shared" ca="1" si="76"/>
        <v>0</v>
      </c>
      <c r="X113" s="781">
        <f t="shared" ca="1" si="76"/>
        <v>0</v>
      </c>
      <c r="Y113" s="781">
        <f t="shared" ca="1" si="76"/>
        <v>0</v>
      </c>
      <c r="Z113" s="781">
        <f t="shared" ca="1" si="76"/>
        <v>0</v>
      </c>
      <c r="AA113" s="781">
        <f t="shared" ca="1" si="77"/>
        <v>0</v>
      </c>
      <c r="AB113" s="781">
        <f t="shared" ca="1" si="77"/>
        <v>0</v>
      </c>
      <c r="AC113" s="781">
        <f t="shared" ca="1" si="77"/>
        <v>0</v>
      </c>
      <c r="AD113" s="781">
        <f t="shared" ca="1" si="77"/>
        <v>0</v>
      </c>
      <c r="AE113" s="781">
        <f t="shared" ca="1" si="77"/>
        <v>0</v>
      </c>
      <c r="AF113" s="781">
        <f t="shared" ca="1" si="77"/>
        <v>0</v>
      </c>
      <c r="AG113" s="781">
        <f t="shared" ca="1" si="77"/>
        <v>0</v>
      </c>
      <c r="AH113" s="781">
        <f t="shared" ca="1" si="77"/>
        <v>0</v>
      </c>
      <c r="AI113" s="781">
        <f t="shared" ca="1" si="77"/>
        <v>0</v>
      </c>
      <c r="AJ113" s="781">
        <f t="shared" ca="1" si="77"/>
        <v>0</v>
      </c>
      <c r="AK113" s="781">
        <f t="shared" ca="1" si="78"/>
        <v>0</v>
      </c>
      <c r="AL113" s="781">
        <f t="shared" ca="1" si="78"/>
        <v>0</v>
      </c>
      <c r="AM113" s="781">
        <f t="shared" ca="1" si="78"/>
        <v>0</v>
      </c>
      <c r="AN113" s="781">
        <f t="shared" ca="1" si="78"/>
        <v>0</v>
      </c>
      <c r="AO113" s="781">
        <f t="shared" ca="1" si="78"/>
        <v>0</v>
      </c>
      <c r="AP113" s="781">
        <f t="shared" ca="1" si="78"/>
        <v>0</v>
      </c>
      <c r="AQ113" s="781">
        <f t="shared" ca="1" si="78"/>
        <v>0</v>
      </c>
      <c r="AR113" s="781">
        <f t="shared" ca="1" si="78"/>
        <v>0</v>
      </c>
      <c r="AS113" s="781">
        <f t="shared" ca="1" si="78"/>
        <v>0</v>
      </c>
      <c r="AT113" s="781">
        <f t="shared" ca="1" si="78"/>
        <v>0</v>
      </c>
      <c r="AV113" s="781">
        <f t="shared" ca="1" si="51"/>
        <v>0</v>
      </c>
      <c r="AX113" s="781">
        <f t="shared" ca="1" si="52"/>
        <v>0</v>
      </c>
      <c r="AZ113" s="781">
        <f t="shared" ca="1" si="53"/>
        <v>0</v>
      </c>
      <c r="BB113" s="781">
        <f t="shared" ca="1" si="54"/>
        <v>0</v>
      </c>
      <c r="BD113" s="781">
        <f t="shared" ca="1" si="55"/>
        <v>0</v>
      </c>
      <c r="BF113" s="781">
        <f t="shared" ca="1" si="56"/>
        <v>0</v>
      </c>
      <c r="BH113" s="781">
        <f t="shared" ca="1" si="57"/>
        <v>0</v>
      </c>
    </row>
    <row r="114" spans="1:60" hidden="1" outlineLevel="1">
      <c r="A114" s="1464">
        <f t="shared" ca="1" si="71"/>
        <v>18</v>
      </c>
      <c r="B114" s="1464">
        <f t="shared" ca="1" si="72"/>
        <v>22</v>
      </c>
      <c r="C114" s="1464">
        <f t="shared" si="73"/>
        <v>19</v>
      </c>
      <c r="D114" s="1271" t="str">
        <f ca="1">IF(OFFSET(PortfolioDashboard!$A$3,C114-1,0)="","Blank",OFFSET(PortfolioDashboard!$A$3,C114-1,0))</f>
        <v>Blank</v>
      </c>
      <c r="E114" s="1464" t="str">
        <f t="shared" si="74"/>
        <v>MTCO2e</v>
      </c>
      <c r="F114" s="1460"/>
      <c r="G114" s="781">
        <f t="shared" ca="1" si="75"/>
        <v>0</v>
      </c>
      <c r="H114" s="781">
        <f t="shared" ca="1" si="75"/>
        <v>0</v>
      </c>
      <c r="I114" s="781">
        <f t="shared" ca="1" si="75"/>
        <v>0</v>
      </c>
      <c r="J114" s="781">
        <f t="shared" ca="1" si="75"/>
        <v>0</v>
      </c>
      <c r="K114" s="781">
        <f t="shared" ca="1" si="75"/>
        <v>0</v>
      </c>
      <c r="L114" s="781">
        <f t="shared" ca="1" si="75"/>
        <v>0</v>
      </c>
      <c r="M114" s="781">
        <f t="shared" ca="1" si="75"/>
        <v>0</v>
      </c>
      <c r="N114" s="781">
        <f t="shared" ca="1" si="75"/>
        <v>0</v>
      </c>
      <c r="O114" s="781">
        <f t="shared" ca="1" si="75"/>
        <v>0</v>
      </c>
      <c r="P114" s="781">
        <f t="shared" ca="1" si="75"/>
        <v>0</v>
      </c>
      <c r="Q114" s="781">
        <f t="shared" ca="1" si="76"/>
        <v>0</v>
      </c>
      <c r="R114" s="781">
        <f t="shared" ca="1" si="76"/>
        <v>0</v>
      </c>
      <c r="S114" s="781">
        <f t="shared" ca="1" si="76"/>
        <v>0</v>
      </c>
      <c r="T114" s="781">
        <f t="shared" ca="1" si="76"/>
        <v>0</v>
      </c>
      <c r="U114" s="781">
        <f t="shared" ca="1" si="76"/>
        <v>0</v>
      </c>
      <c r="V114" s="781">
        <f t="shared" ca="1" si="76"/>
        <v>0</v>
      </c>
      <c r="W114" s="781">
        <f t="shared" ca="1" si="76"/>
        <v>0</v>
      </c>
      <c r="X114" s="781">
        <f t="shared" ca="1" si="76"/>
        <v>0</v>
      </c>
      <c r="Y114" s="781">
        <f t="shared" ca="1" si="76"/>
        <v>0</v>
      </c>
      <c r="Z114" s="781">
        <f t="shared" ca="1" si="76"/>
        <v>0</v>
      </c>
      <c r="AA114" s="781">
        <f t="shared" ca="1" si="77"/>
        <v>0</v>
      </c>
      <c r="AB114" s="781">
        <f t="shared" ca="1" si="77"/>
        <v>0</v>
      </c>
      <c r="AC114" s="781">
        <f t="shared" ca="1" si="77"/>
        <v>0</v>
      </c>
      <c r="AD114" s="781">
        <f t="shared" ca="1" si="77"/>
        <v>0</v>
      </c>
      <c r="AE114" s="781">
        <f t="shared" ca="1" si="77"/>
        <v>0</v>
      </c>
      <c r="AF114" s="781">
        <f t="shared" ca="1" si="77"/>
        <v>0</v>
      </c>
      <c r="AG114" s="781">
        <f t="shared" ca="1" si="77"/>
        <v>0</v>
      </c>
      <c r="AH114" s="781">
        <f t="shared" ca="1" si="77"/>
        <v>0</v>
      </c>
      <c r="AI114" s="781">
        <f t="shared" ca="1" si="77"/>
        <v>0</v>
      </c>
      <c r="AJ114" s="781">
        <f t="shared" ca="1" si="77"/>
        <v>0</v>
      </c>
      <c r="AK114" s="781">
        <f t="shared" ca="1" si="78"/>
        <v>0</v>
      </c>
      <c r="AL114" s="781">
        <f t="shared" ca="1" si="78"/>
        <v>0</v>
      </c>
      <c r="AM114" s="781">
        <f t="shared" ca="1" si="78"/>
        <v>0</v>
      </c>
      <c r="AN114" s="781">
        <f t="shared" ca="1" si="78"/>
        <v>0</v>
      </c>
      <c r="AO114" s="781">
        <f t="shared" ca="1" si="78"/>
        <v>0</v>
      </c>
      <c r="AP114" s="781">
        <f t="shared" ca="1" si="78"/>
        <v>0</v>
      </c>
      <c r="AQ114" s="781">
        <f t="shared" ca="1" si="78"/>
        <v>0</v>
      </c>
      <c r="AR114" s="781">
        <f t="shared" ca="1" si="78"/>
        <v>0</v>
      </c>
      <c r="AS114" s="781">
        <f t="shared" ca="1" si="78"/>
        <v>0</v>
      </c>
      <c r="AT114" s="781">
        <f t="shared" ca="1" si="78"/>
        <v>0</v>
      </c>
      <c r="AV114" s="781">
        <f t="shared" ca="1" si="51"/>
        <v>0</v>
      </c>
      <c r="AX114" s="781">
        <f t="shared" ca="1" si="52"/>
        <v>0</v>
      </c>
      <c r="AZ114" s="781">
        <f t="shared" ca="1" si="53"/>
        <v>0</v>
      </c>
      <c r="BB114" s="781">
        <f t="shared" ca="1" si="54"/>
        <v>0</v>
      </c>
      <c r="BD114" s="781">
        <f t="shared" ca="1" si="55"/>
        <v>0</v>
      </c>
      <c r="BF114" s="781">
        <f t="shared" ca="1" si="56"/>
        <v>0</v>
      </c>
      <c r="BH114" s="781">
        <f t="shared" ca="1" si="57"/>
        <v>0</v>
      </c>
    </row>
    <row r="115" spans="1:60" hidden="1" outlineLevel="1">
      <c r="A115" s="1464">
        <f t="shared" ca="1" si="71"/>
        <v>18</v>
      </c>
      <c r="B115" s="1464">
        <f t="shared" ca="1" si="72"/>
        <v>22</v>
      </c>
      <c r="C115" s="1464">
        <f t="shared" si="73"/>
        <v>20</v>
      </c>
      <c r="D115" s="1271" t="str">
        <f ca="1">IF(OFFSET(PortfolioDashboard!$A$3,C115-1,0)="","Blank",OFFSET(PortfolioDashboard!$A$3,C115-1,0))</f>
        <v>Blank</v>
      </c>
      <c r="E115" s="1464" t="str">
        <f t="shared" si="74"/>
        <v>MTCO2e</v>
      </c>
      <c r="F115" s="1460"/>
      <c r="G115" s="781">
        <f t="shared" ca="1" si="75"/>
        <v>0</v>
      </c>
      <c r="H115" s="781">
        <f t="shared" ca="1" si="75"/>
        <v>0</v>
      </c>
      <c r="I115" s="781">
        <f t="shared" ca="1" si="75"/>
        <v>0</v>
      </c>
      <c r="J115" s="781">
        <f t="shared" ca="1" si="75"/>
        <v>0</v>
      </c>
      <c r="K115" s="781">
        <f t="shared" ca="1" si="75"/>
        <v>0</v>
      </c>
      <c r="L115" s="781">
        <f t="shared" ca="1" si="75"/>
        <v>0</v>
      </c>
      <c r="M115" s="781">
        <f t="shared" ca="1" si="75"/>
        <v>0</v>
      </c>
      <c r="N115" s="781">
        <f t="shared" ca="1" si="75"/>
        <v>0</v>
      </c>
      <c r="O115" s="781">
        <f t="shared" ca="1" si="75"/>
        <v>0</v>
      </c>
      <c r="P115" s="781">
        <f t="shared" ca="1" si="75"/>
        <v>0</v>
      </c>
      <c r="Q115" s="781">
        <f t="shared" ca="1" si="76"/>
        <v>0</v>
      </c>
      <c r="R115" s="781">
        <f t="shared" ca="1" si="76"/>
        <v>0</v>
      </c>
      <c r="S115" s="781">
        <f t="shared" ca="1" si="76"/>
        <v>0</v>
      </c>
      <c r="T115" s="781">
        <f t="shared" ca="1" si="76"/>
        <v>0</v>
      </c>
      <c r="U115" s="781">
        <f t="shared" ca="1" si="76"/>
        <v>0</v>
      </c>
      <c r="V115" s="781">
        <f t="shared" ca="1" si="76"/>
        <v>0</v>
      </c>
      <c r="W115" s="781">
        <f t="shared" ca="1" si="76"/>
        <v>0</v>
      </c>
      <c r="X115" s="781">
        <f t="shared" ca="1" si="76"/>
        <v>0</v>
      </c>
      <c r="Y115" s="781">
        <f t="shared" ca="1" si="76"/>
        <v>0</v>
      </c>
      <c r="Z115" s="781">
        <f t="shared" ca="1" si="76"/>
        <v>0</v>
      </c>
      <c r="AA115" s="781">
        <f t="shared" ca="1" si="77"/>
        <v>0</v>
      </c>
      <c r="AB115" s="781">
        <f t="shared" ca="1" si="77"/>
        <v>0</v>
      </c>
      <c r="AC115" s="781">
        <f t="shared" ca="1" si="77"/>
        <v>0</v>
      </c>
      <c r="AD115" s="781">
        <f t="shared" ca="1" si="77"/>
        <v>0</v>
      </c>
      <c r="AE115" s="781">
        <f t="shared" ca="1" si="77"/>
        <v>0</v>
      </c>
      <c r="AF115" s="781">
        <f t="shared" ca="1" si="77"/>
        <v>0</v>
      </c>
      <c r="AG115" s="781">
        <f t="shared" ca="1" si="77"/>
        <v>0</v>
      </c>
      <c r="AH115" s="781">
        <f t="shared" ca="1" si="77"/>
        <v>0</v>
      </c>
      <c r="AI115" s="781">
        <f t="shared" ca="1" si="77"/>
        <v>0</v>
      </c>
      <c r="AJ115" s="781">
        <f t="shared" ca="1" si="77"/>
        <v>0</v>
      </c>
      <c r="AK115" s="781">
        <f t="shared" ca="1" si="78"/>
        <v>0</v>
      </c>
      <c r="AL115" s="781">
        <f t="shared" ca="1" si="78"/>
        <v>0</v>
      </c>
      <c r="AM115" s="781">
        <f t="shared" ca="1" si="78"/>
        <v>0</v>
      </c>
      <c r="AN115" s="781">
        <f t="shared" ca="1" si="78"/>
        <v>0</v>
      </c>
      <c r="AO115" s="781">
        <f t="shared" ca="1" si="78"/>
        <v>0</v>
      </c>
      <c r="AP115" s="781">
        <f t="shared" ca="1" si="78"/>
        <v>0</v>
      </c>
      <c r="AQ115" s="781">
        <f t="shared" ca="1" si="78"/>
        <v>0</v>
      </c>
      <c r="AR115" s="781">
        <f t="shared" ca="1" si="78"/>
        <v>0</v>
      </c>
      <c r="AS115" s="781">
        <f t="shared" ca="1" si="78"/>
        <v>0</v>
      </c>
      <c r="AT115" s="781">
        <f t="shared" ca="1" si="78"/>
        <v>0</v>
      </c>
      <c r="AV115" s="781">
        <f t="shared" ca="1" si="51"/>
        <v>0</v>
      </c>
      <c r="AX115" s="781">
        <f t="shared" ca="1" si="52"/>
        <v>0</v>
      </c>
      <c r="AZ115" s="781">
        <f t="shared" ca="1" si="53"/>
        <v>0</v>
      </c>
      <c r="BB115" s="781">
        <f t="shared" ca="1" si="54"/>
        <v>0</v>
      </c>
      <c r="BD115" s="781">
        <f t="shared" ca="1" si="55"/>
        <v>0</v>
      </c>
      <c r="BF115" s="781">
        <f t="shared" ca="1" si="56"/>
        <v>0</v>
      </c>
      <c r="BH115" s="781">
        <f t="shared" ca="1" si="57"/>
        <v>0</v>
      </c>
    </row>
    <row r="116" spans="1:60" hidden="1" outlineLevel="1">
      <c r="A116" s="1464">
        <f t="shared" ca="1" si="71"/>
        <v>18</v>
      </c>
      <c r="B116" s="1464">
        <f t="shared" ca="1" si="72"/>
        <v>22</v>
      </c>
      <c r="C116" s="1464">
        <f t="shared" si="73"/>
        <v>21</v>
      </c>
      <c r="D116" s="1271" t="str">
        <f ca="1">IF(OFFSET(PortfolioDashboard!$A$3,C116-1,0)="","Blank",OFFSET(PortfolioDashboard!$A$3,C116-1,0))</f>
        <v>Blank</v>
      </c>
      <c r="E116" s="1464" t="str">
        <f t="shared" si="74"/>
        <v>MTCO2e</v>
      </c>
      <c r="F116" s="1460"/>
      <c r="G116" s="781">
        <f t="shared" ref="G116:P125" ca="1" si="79">IFERROR(OFFSET(INDIRECT(INDEX(List_of_Alternatives,MATCH($D116,NameofAlternatives,0))),$A116+G$1-$G$1,$B116),0)</f>
        <v>0</v>
      </c>
      <c r="H116" s="781">
        <f t="shared" ca="1" si="79"/>
        <v>0</v>
      </c>
      <c r="I116" s="781">
        <f t="shared" ca="1" si="79"/>
        <v>0</v>
      </c>
      <c r="J116" s="781">
        <f t="shared" ca="1" si="79"/>
        <v>0</v>
      </c>
      <c r="K116" s="781">
        <f t="shared" ca="1" si="79"/>
        <v>0</v>
      </c>
      <c r="L116" s="781">
        <f t="shared" ca="1" si="79"/>
        <v>0</v>
      </c>
      <c r="M116" s="781">
        <f t="shared" ca="1" si="79"/>
        <v>0</v>
      </c>
      <c r="N116" s="781">
        <f t="shared" ca="1" si="79"/>
        <v>0</v>
      </c>
      <c r="O116" s="781">
        <f t="shared" ca="1" si="79"/>
        <v>0</v>
      </c>
      <c r="P116" s="781">
        <f t="shared" ca="1" si="79"/>
        <v>0</v>
      </c>
      <c r="Q116" s="781">
        <f t="shared" ref="Q116:Z125" ca="1" si="80">IFERROR(OFFSET(INDIRECT(INDEX(List_of_Alternatives,MATCH($D116,NameofAlternatives,0))),$A116+Q$1-$G$1,$B116),0)</f>
        <v>0</v>
      </c>
      <c r="R116" s="781">
        <f t="shared" ca="1" si="80"/>
        <v>0</v>
      </c>
      <c r="S116" s="781">
        <f t="shared" ca="1" si="80"/>
        <v>0</v>
      </c>
      <c r="T116" s="781">
        <f t="shared" ca="1" si="80"/>
        <v>0</v>
      </c>
      <c r="U116" s="781">
        <f t="shared" ca="1" si="80"/>
        <v>0</v>
      </c>
      <c r="V116" s="781">
        <f t="shared" ca="1" si="80"/>
        <v>0</v>
      </c>
      <c r="W116" s="781">
        <f t="shared" ca="1" si="80"/>
        <v>0</v>
      </c>
      <c r="X116" s="781">
        <f t="shared" ca="1" si="80"/>
        <v>0</v>
      </c>
      <c r="Y116" s="781">
        <f t="shared" ca="1" si="80"/>
        <v>0</v>
      </c>
      <c r="Z116" s="781">
        <f t="shared" ca="1" si="80"/>
        <v>0</v>
      </c>
      <c r="AA116" s="781">
        <f t="shared" ref="AA116:AJ125" ca="1" si="81">IFERROR(OFFSET(INDIRECT(INDEX(List_of_Alternatives,MATCH($D116,NameofAlternatives,0))),$A116+AA$1-$G$1,$B116),0)</f>
        <v>0</v>
      </c>
      <c r="AB116" s="781">
        <f t="shared" ca="1" si="81"/>
        <v>0</v>
      </c>
      <c r="AC116" s="781">
        <f t="shared" ca="1" si="81"/>
        <v>0</v>
      </c>
      <c r="AD116" s="781">
        <f t="shared" ca="1" si="81"/>
        <v>0</v>
      </c>
      <c r="AE116" s="781">
        <f t="shared" ca="1" si="81"/>
        <v>0</v>
      </c>
      <c r="AF116" s="781">
        <f t="shared" ca="1" si="81"/>
        <v>0</v>
      </c>
      <c r="AG116" s="781">
        <f t="shared" ca="1" si="81"/>
        <v>0</v>
      </c>
      <c r="AH116" s="781">
        <f t="shared" ca="1" si="81"/>
        <v>0</v>
      </c>
      <c r="AI116" s="781">
        <f t="shared" ca="1" si="81"/>
        <v>0</v>
      </c>
      <c r="AJ116" s="781">
        <f t="shared" ca="1" si="81"/>
        <v>0</v>
      </c>
      <c r="AK116" s="781">
        <f t="shared" ref="AK116:AT125" ca="1" si="82">IFERROR(OFFSET(INDIRECT(INDEX(List_of_Alternatives,MATCH($D116,NameofAlternatives,0))),$A116+AK$1-$G$1,$B116),0)</f>
        <v>0</v>
      </c>
      <c r="AL116" s="781">
        <f t="shared" ca="1" si="82"/>
        <v>0</v>
      </c>
      <c r="AM116" s="781">
        <f t="shared" ca="1" si="82"/>
        <v>0</v>
      </c>
      <c r="AN116" s="781">
        <f t="shared" ca="1" si="82"/>
        <v>0</v>
      </c>
      <c r="AO116" s="781">
        <f t="shared" ca="1" si="82"/>
        <v>0</v>
      </c>
      <c r="AP116" s="781">
        <f t="shared" ca="1" si="82"/>
        <v>0</v>
      </c>
      <c r="AQ116" s="781">
        <f t="shared" ca="1" si="82"/>
        <v>0</v>
      </c>
      <c r="AR116" s="781">
        <f t="shared" ca="1" si="82"/>
        <v>0</v>
      </c>
      <c r="AS116" s="781">
        <f t="shared" ca="1" si="82"/>
        <v>0</v>
      </c>
      <c r="AT116" s="781">
        <f t="shared" ca="1" si="82"/>
        <v>0</v>
      </c>
      <c r="AV116" s="781">
        <f t="shared" ca="1" si="51"/>
        <v>0</v>
      </c>
      <c r="AX116" s="781">
        <f t="shared" ca="1" si="52"/>
        <v>0</v>
      </c>
      <c r="AZ116" s="781">
        <f t="shared" ca="1" si="53"/>
        <v>0</v>
      </c>
      <c r="BB116" s="781">
        <f t="shared" ca="1" si="54"/>
        <v>0</v>
      </c>
      <c r="BD116" s="781">
        <f t="shared" ca="1" si="55"/>
        <v>0</v>
      </c>
      <c r="BF116" s="781">
        <f t="shared" ca="1" si="56"/>
        <v>0</v>
      </c>
      <c r="BH116" s="781">
        <f t="shared" ca="1" si="57"/>
        <v>0</v>
      </c>
    </row>
    <row r="117" spans="1:60" hidden="1" outlineLevel="1">
      <c r="A117" s="1464">
        <f t="shared" ca="1" si="71"/>
        <v>18</v>
      </c>
      <c r="B117" s="1464">
        <f t="shared" ca="1" si="72"/>
        <v>22</v>
      </c>
      <c r="C117" s="1464">
        <f t="shared" si="73"/>
        <v>22</v>
      </c>
      <c r="D117" s="1271" t="str">
        <f ca="1">IF(OFFSET(PortfolioDashboard!$A$3,C117-1,0)="","Blank",OFFSET(PortfolioDashboard!$A$3,C117-1,0))</f>
        <v>Blank</v>
      </c>
      <c r="E117" s="1464" t="str">
        <f t="shared" si="74"/>
        <v>MTCO2e</v>
      </c>
      <c r="F117" s="1460"/>
      <c r="G117" s="781">
        <f t="shared" ca="1" si="79"/>
        <v>0</v>
      </c>
      <c r="H117" s="781">
        <f t="shared" ca="1" si="79"/>
        <v>0</v>
      </c>
      <c r="I117" s="781">
        <f t="shared" ca="1" si="79"/>
        <v>0</v>
      </c>
      <c r="J117" s="781">
        <f t="shared" ca="1" si="79"/>
        <v>0</v>
      </c>
      <c r="K117" s="781">
        <f t="shared" ca="1" si="79"/>
        <v>0</v>
      </c>
      <c r="L117" s="781">
        <f t="shared" ca="1" si="79"/>
        <v>0</v>
      </c>
      <c r="M117" s="781">
        <f t="shared" ca="1" si="79"/>
        <v>0</v>
      </c>
      <c r="N117" s="781">
        <f t="shared" ca="1" si="79"/>
        <v>0</v>
      </c>
      <c r="O117" s="781">
        <f t="shared" ca="1" si="79"/>
        <v>0</v>
      </c>
      <c r="P117" s="781">
        <f t="shared" ca="1" si="79"/>
        <v>0</v>
      </c>
      <c r="Q117" s="781">
        <f t="shared" ca="1" si="80"/>
        <v>0</v>
      </c>
      <c r="R117" s="781">
        <f t="shared" ca="1" si="80"/>
        <v>0</v>
      </c>
      <c r="S117" s="781">
        <f t="shared" ca="1" si="80"/>
        <v>0</v>
      </c>
      <c r="T117" s="781">
        <f t="shared" ca="1" si="80"/>
        <v>0</v>
      </c>
      <c r="U117" s="781">
        <f t="shared" ca="1" si="80"/>
        <v>0</v>
      </c>
      <c r="V117" s="781">
        <f t="shared" ca="1" si="80"/>
        <v>0</v>
      </c>
      <c r="W117" s="781">
        <f t="shared" ca="1" si="80"/>
        <v>0</v>
      </c>
      <c r="X117" s="781">
        <f t="shared" ca="1" si="80"/>
        <v>0</v>
      </c>
      <c r="Y117" s="781">
        <f t="shared" ca="1" si="80"/>
        <v>0</v>
      </c>
      <c r="Z117" s="781">
        <f t="shared" ca="1" si="80"/>
        <v>0</v>
      </c>
      <c r="AA117" s="781">
        <f t="shared" ca="1" si="81"/>
        <v>0</v>
      </c>
      <c r="AB117" s="781">
        <f t="shared" ca="1" si="81"/>
        <v>0</v>
      </c>
      <c r="AC117" s="781">
        <f t="shared" ca="1" si="81"/>
        <v>0</v>
      </c>
      <c r="AD117" s="781">
        <f t="shared" ca="1" si="81"/>
        <v>0</v>
      </c>
      <c r="AE117" s="781">
        <f t="shared" ca="1" si="81"/>
        <v>0</v>
      </c>
      <c r="AF117" s="781">
        <f t="shared" ca="1" si="81"/>
        <v>0</v>
      </c>
      <c r="AG117" s="781">
        <f t="shared" ca="1" si="81"/>
        <v>0</v>
      </c>
      <c r="AH117" s="781">
        <f t="shared" ca="1" si="81"/>
        <v>0</v>
      </c>
      <c r="AI117" s="781">
        <f t="shared" ca="1" si="81"/>
        <v>0</v>
      </c>
      <c r="AJ117" s="781">
        <f t="shared" ca="1" si="81"/>
        <v>0</v>
      </c>
      <c r="AK117" s="781">
        <f t="shared" ca="1" si="82"/>
        <v>0</v>
      </c>
      <c r="AL117" s="781">
        <f t="shared" ca="1" si="82"/>
        <v>0</v>
      </c>
      <c r="AM117" s="781">
        <f t="shared" ca="1" si="82"/>
        <v>0</v>
      </c>
      <c r="AN117" s="781">
        <f t="shared" ca="1" si="82"/>
        <v>0</v>
      </c>
      <c r="AO117" s="781">
        <f t="shared" ca="1" si="82"/>
        <v>0</v>
      </c>
      <c r="AP117" s="781">
        <f t="shared" ca="1" si="82"/>
        <v>0</v>
      </c>
      <c r="AQ117" s="781">
        <f t="shared" ca="1" si="82"/>
        <v>0</v>
      </c>
      <c r="AR117" s="781">
        <f t="shared" ca="1" si="82"/>
        <v>0</v>
      </c>
      <c r="AS117" s="781">
        <f t="shared" ca="1" si="82"/>
        <v>0</v>
      </c>
      <c r="AT117" s="781">
        <f t="shared" ca="1" si="82"/>
        <v>0</v>
      </c>
      <c r="AV117" s="781">
        <f t="shared" ca="1" si="51"/>
        <v>0</v>
      </c>
      <c r="AX117" s="781">
        <f t="shared" ca="1" si="52"/>
        <v>0</v>
      </c>
      <c r="AZ117" s="781">
        <f t="shared" ca="1" si="53"/>
        <v>0</v>
      </c>
      <c r="BB117" s="781">
        <f t="shared" ca="1" si="54"/>
        <v>0</v>
      </c>
      <c r="BD117" s="781">
        <f t="shared" ca="1" si="55"/>
        <v>0</v>
      </c>
      <c r="BF117" s="781">
        <f t="shared" ca="1" si="56"/>
        <v>0</v>
      </c>
      <c r="BH117" s="781">
        <f t="shared" ca="1" si="57"/>
        <v>0</v>
      </c>
    </row>
    <row r="118" spans="1:60" hidden="1" outlineLevel="1">
      <c r="A118" s="1464">
        <f t="shared" ca="1" si="71"/>
        <v>18</v>
      </c>
      <c r="B118" s="1464">
        <f t="shared" ca="1" si="72"/>
        <v>22</v>
      </c>
      <c r="C118" s="1464">
        <f t="shared" si="73"/>
        <v>23</v>
      </c>
      <c r="D118" s="1271" t="str">
        <f ca="1">IF(OFFSET(PortfolioDashboard!$A$3,C118-1,0)="","Blank",OFFSET(PortfolioDashboard!$A$3,C118-1,0))</f>
        <v>Blank</v>
      </c>
      <c r="E118" s="1464" t="str">
        <f t="shared" si="74"/>
        <v>MTCO2e</v>
      </c>
      <c r="F118" s="1460"/>
      <c r="G118" s="781">
        <f t="shared" ca="1" si="79"/>
        <v>0</v>
      </c>
      <c r="H118" s="781">
        <f t="shared" ca="1" si="79"/>
        <v>0</v>
      </c>
      <c r="I118" s="781">
        <f t="shared" ca="1" si="79"/>
        <v>0</v>
      </c>
      <c r="J118" s="781">
        <f t="shared" ca="1" si="79"/>
        <v>0</v>
      </c>
      <c r="K118" s="781">
        <f t="shared" ca="1" si="79"/>
        <v>0</v>
      </c>
      <c r="L118" s="781">
        <f t="shared" ca="1" si="79"/>
        <v>0</v>
      </c>
      <c r="M118" s="781">
        <f t="shared" ca="1" si="79"/>
        <v>0</v>
      </c>
      <c r="N118" s="781">
        <f t="shared" ca="1" si="79"/>
        <v>0</v>
      </c>
      <c r="O118" s="781">
        <f t="shared" ca="1" si="79"/>
        <v>0</v>
      </c>
      <c r="P118" s="781">
        <f t="shared" ca="1" si="79"/>
        <v>0</v>
      </c>
      <c r="Q118" s="781">
        <f t="shared" ca="1" si="80"/>
        <v>0</v>
      </c>
      <c r="R118" s="781">
        <f t="shared" ca="1" si="80"/>
        <v>0</v>
      </c>
      <c r="S118" s="781">
        <f t="shared" ca="1" si="80"/>
        <v>0</v>
      </c>
      <c r="T118" s="781">
        <f t="shared" ca="1" si="80"/>
        <v>0</v>
      </c>
      <c r="U118" s="781">
        <f t="shared" ca="1" si="80"/>
        <v>0</v>
      </c>
      <c r="V118" s="781">
        <f t="shared" ca="1" si="80"/>
        <v>0</v>
      </c>
      <c r="W118" s="781">
        <f t="shared" ca="1" si="80"/>
        <v>0</v>
      </c>
      <c r="X118" s="781">
        <f t="shared" ca="1" si="80"/>
        <v>0</v>
      </c>
      <c r="Y118" s="781">
        <f t="shared" ca="1" si="80"/>
        <v>0</v>
      </c>
      <c r="Z118" s="781">
        <f t="shared" ca="1" si="80"/>
        <v>0</v>
      </c>
      <c r="AA118" s="781">
        <f t="shared" ca="1" si="81"/>
        <v>0</v>
      </c>
      <c r="AB118" s="781">
        <f t="shared" ca="1" si="81"/>
        <v>0</v>
      </c>
      <c r="AC118" s="781">
        <f t="shared" ca="1" si="81"/>
        <v>0</v>
      </c>
      <c r="AD118" s="781">
        <f t="shared" ca="1" si="81"/>
        <v>0</v>
      </c>
      <c r="AE118" s="781">
        <f t="shared" ca="1" si="81"/>
        <v>0</v>
      </c>
      <c r="AF118" s="781">
        <f t="shared" ca="1" si="81"/>
        <v>0</v>
      </c>
      <c r="AG118" s="781">
        <f t="shared" ca="1" si="81"/>
        <v>0</v>
      </c>
      <c r="AH118" s="781">
        <f t="shared" ca="1" si="81"/>
        <v>0</v>
      </c>
      <c r="AI118" s="781">
        <f t="shared" ca="1" si="81"/>
        <v>0</v>
      </c>
      <c r="AJ118" s="781">
        <f t="shared" ca="1" si="81"/>
        <v>0</v>
      </c>
      <c r="AK118" s="781">
        <f t="shared" ca="1" si="82"/>
        <v>0</v>
      </c>
      <c r="AL118" s="781">
        <f t="shared" ca="1" si="82"/>
        <v>0</v>
      </c>
      <c r="AM118" s="781">
        <f t="shared" ca="1" si="82"/>
        <v>0</v>
      </c>
      <c r="AN118" s="781">
        <f t="shared" ca="1" si="82"/>
        <v>0</v>
      </c>
      <c r="AO118" s="781">
        <f t="shared" ca="1" si="82"/>
        <v>0</v>
      </c>
      <c r="AP118" s="781">
        <f t="shared" ca="1" si="82"/>
        <v>0</v>
      </c>
      <c r="AQ118" s="781">
        <f t="shared" ca="1" si="82"/>
        <v>0</v>
      </c>
      <c r="AR118" s="781">
        <f t="shared" ca="1" si="82"/>
        <v>0</v>
      </c>
      <c r="AS118" s="781">
        <f t="shared" ca="1" si="82"/>
        <v>0</v>
      </c>
      <c r="AT118" s="781">
        <f t="shared" ca="1" si="82"/>
        <v>0</v>
      </c>
      <c r="AV118" s="781">
        <f t="shared" ca="1" si="51"/>
        <v>0</v>
      </c>
      <c r="AX118" s="781">
        <f t="shared" ca="1" si="52"/>
        <v>0</v>
      </c>
      <c r="AZ118" s="781">
        <f t="shared" ca="1" si="53"/>
        <v>0</v>
      </c>
      <c r="BB118" s="781">
        <f t="shared" ca="1" si="54"/>
        <v>0</v>
      </c>
      <c r="BD118" s="781">
        <f t="shared" ca="1" si="55"/>
        <v>0</v>
      </c>
      <c r="BF118" s="781">
        <f t="shared" ca="1" si="56"/>
        <v>0</v>
      </c>
      <c r="BH118" s="781">
        <f t="shared" ca="1" si="57"/>
        <v>0</v>
      </c>
    </row>
    <row r="119" spans="1:60" hidden="1" outlineLevel="1">
      <c r="A119" s="1464">
        <f t="shared" ca="1" si="71"/>
        <v>18</v>
      </c>
      <c r="B119" s="1464">
        <f t="shared" ca="1" si="72"/>
        <v>22</v>
      </c>
      <c r="C119" s="1464">
        <f t="shared" si="73"/>
        <v>24</v>
      </c>
      <c r="D119" s="1271" t="str">
        <f ca="1">IF(OFFSET(PortfolioDashboard!$A$3,C119-1,0)="","Blank",OFFSET(PortfolioDashboard!$A$3,C119-1,0))</f>
        <v>Blank</v>
      </c>
      <c r="E119" s="1464" t="str">
        <f t="shared" si="74"/>
        <v>MTCO2e</v>
      </c>
      <c r="F119" s="1460"/>
      <c r="G119" s="781">
        <f t="shared" ca="1" si="79"/>
        <v>0</v>
      </c>
      <c r="H119" s="781">
        <f t="shared" ca="1" si="79"/>
        <v>0</v>
      </c>
      <c r="I119" s="781">
        <f t="shared" ca="1" si="79"/>
        <v>0</v>
      </c>
      <c r="J119" s="781">
        <f t="shared" ca="1" si="79"/>
        <v>0</v>
      </c>
      <c r="K119" s="781">
        <f t="shared" ca="1" si="79"/>
        <v>0</v>
      </c>
      <c r="L119" s="781">
        <f t="shared" ca="1" si="79"/>
        <v>0</v>
      </c>
      <c r="M119" s="781">
        <f t="shared" ca="1" si="79"/>
        <v>0</v>
      </c>
      <c r="N119" s="781">
        <f t="shared" ca="1" si="79"/>
        <v>0</v>
      </c>
      <c r="O119" s="781">
        <f t="shared" ca="1" si="79"/>
        <v>0</v>
      </c>
      <c r="P119" s="781">
        <f t="shared" ca="1" si="79"/>
        <v>0</v>
      </c>
      <c r="Q119" s="781">
        <f t="shared" ca="1" si="80"/>
        <v>0</v>
      </c>
      <c r="R119" s="781">
        <f t="shared" ca="1" si="80"/>
        <v>0</v>
      </c>
      <c r="S119" s="781">
        <f t="shared" ca="1" si="80"/>
        <v>0</v>
      </c>
      <c r="T119" s="781">
        <f t="shared" ca="1" si="80"/>
        <v>0</v>
      </c>
      <c r="U119" s="781">
        <f t="shared" ca="1" si="80"/>
        <v>0</v>
      </c>
      <c r="V119" s="781">
        <f t="shared" ca="1" si="80"/>
        <v>0</v>
      </c>
      <c r="W119" s="781">
        <f t="shared" ca="1" si="80"/>
        <v>0</v>
      </c>
      <c r="X119" s="781">
        <f t="shared" ca="1" si="80"/>
        <v>0</v>
      </c>
      <c r="Y119" s="781">
        <f t="shared" ca="1" si="80"/>
        <v>0</v>
      </c>
      <c r="Z119" s="781">
        <f t="shared" ca="1" si="80"/>
        <v>0</v>
      </c>
      <c r="AA119" s="781">
        <f t="shared" ca="1" si="81"/>
        <v>0</v>
      </c>
      <c r="AB119" s="781">
        <f t="shared" ca="1" si="81"/>
        <v>0</v>
      </c>
      <c r="AC119" s="781">
        <f t="shared" ca="1" si="81"/>
        <v>0</v>
      </c>
      <c r="AD119" s="781">
        <f t="shared" ca="1" si="81"/>
        <v>0</v>
      </c>
      <c r="AE119" s="781">
        <f t="shared" ca="1" si="81"/>
        <v>0</v>
      </c>
      <c r="AF119" s="781">
        <f t="shared" ca="1" si="81"/>
        <v>0</v>
      </c>
      <c r="AG119" s="781">
        <f t="shared" ca="1" si="81"/>
        <v>0</v>
      </c>
      <c r="AH119" s="781">
        <f t="shared" ca="1" si="81"/>
        <v>0</v>
      </c>
      <c r="AI119" s="781">
        <f t="shared" ca="1" si="81"/>
        <v>0</v>
      </c>
      <c r="AJ119" s="781">
        <f t="shared" ca="1" si="81"/>
        <v>0</v>
      </c>
      <c r="AK119" s="781">
        <f t="shared" ca="1" si="82"/>
        <v>0</v>
      </c>
      <c r="AL119" s="781">
        <f t="shared" ca="1" si="82"/>
        <v>0</v>
      </c>
      <c r="AM119" s="781">
        <f t="shared" ca="1" si="82"/>
        <v>0</v>
      </c>
      <c r="AN119" s="781">
        <f t="shared" ca="1" si="82"/>
        <v>0</v>
      </c>
      <c r="AO119" s="781">
        <f t="shared" ca="1" si="82"/>
        <v>0</v>
      </c>
      <c r="AP119" s="781">
        <f t="shared" ca="1" si="82"/>
        <v>0</v>
      </c>
      <c r="AQ119" s="781">
        <f t="shared" ca="1" si="82"/>
        <v>0</v>
      </c>
      <c r="AR119" s="781">
        <f t="shared" ca="1" si="82"/>
        <v>0</v>
      </c>
      <c r="AS119" s="781">
        <f t="shared" ca="1" si="82"/>
        <v>0</v>
      </c>
      <c r="AT119" s="781">
        <f t="shared" ca="1" si="82"/>
        <v>0</v>
      </c>
      <c r="AV119" s="781">
        <f t="shared" ca="1" si="51"/>
        <v>0</v>
      </c>
      <c r="AX119" s="781">
        <f t="shared" ca="1" si="52"/>
        <v>0</v>
      </c>
      <c r="AZ119" s="781">
        <f t="shared" ca="1" si="53"/>
        <v>0</v>
      </c>
      <c r="BB119" s="781">
        <f t="shared" ca="1" si="54"/>
        <v>0</v>
      </c>
      <c r="BD119" s="781">
        <f t="shared" ca="1" si="55"/>
        <v>0</v>
      </c>
      <c r="BF119" s="781">
        <f t="shared" ca="1" si="56"/>
        <v>0</v>
      </c>
      <c r="BH119" s="781">
        <f t="shared" ca="1" si="57"/>
        <v>0</v>
      </c>
    </row>
    <row r="120" spans="1:60" hidden="1" outlineLevel="1">
      <c r="A120" s="1464">
        <f t="shared" ca="1" si="71"/>
        <v>18</v>
      </c>
      <c r="B120" s="1464">
        <f t="shared" ca="1" si="72"/>
        <v>22</v>
      </c>
      <c r="C120" s="1464">
        <f t="shared" si="73"/>
        <v>25</v>
      </c>
      <c r="D120" s="1271" t="str">
        <f ca="1">IF(OFFSET(PortfolioDashboard!$A$3,C120-1,0)="","Blank",OFFSET(PortfolioDashboard!$A$3,C120-1,0))</f>
        <v>Blank</v>
      </c>
      <c r="E120" s="1464" t="str">
        <f t="shared" si="74"/>
        <v>MTCO2e</v>
      </c>
      <c r="F120" s="1460"/>
      <c r="G120" s="781">
        <f t="shared" ca="1" si="79"/>
        <v>0</v>
      </c>
      <c r="H120" s="781">
        <f t="shared" ca="1" si="79"/>
        <v>0</v>
      </c>
      <c r="I120" s="781">
        <f t="shared" ca="1" si="79"/>
        <v>0</v>
      </c>
      <c r="J120" s="781">
        <f t="shared" ca="1" si="79"/>
        <v>0</v>
      </c>
      <c r="K120" s="781">
        <f t="shared" ca="1" si="79"/>
        <v>0</v>
      </c>
      <c r="L120" s="781">
        <f t="shared" ca="1" si="79"/>
        <v>0</v>
      </c>
      <c r="M120" s="781">
        <f t="shared" ca="1" si="79"/>
        <v>0</v>
      </c>
      <c r="N120" s="781">
        <f t="shared" ca="1" si="79"/>
        <v>0</v>
      </c>
      <c r="O120" s="781">
        <f t="shared" ca="1" si="79"/>
        <v>0</v>
      </c>
      <c r="P120" s="781">
        <f t="shared" ca="1" si="79"/>
        <v>0</v>
      </c>
      <c r="Q120" s="781">
        <f t="shared" ca="1" si="80"/>
        <v>0</v>
      </c>
      <c r="R120" s="781">
        <f t="shared" ca="1" si="80"/>
        <v>0</v>
      </c>
      <c r="S120" s="781">
        <f t="shared" ca="1" si="80"/>
        <v>0</v>
      </c>
      <c r="T120" s="781">
        <f t="shared" ca="1" si="80"/>
        <v>0</v>
      </c>
      <c r="U120" s="781">
        <f t="shared" ca="1" si="80"/>
        <v>0</v>
      </c>
      <c r="V120" s="781">
        <f t="shared" ca="1" si="80"/>
        <v>0</v>
      </c>
      <c r="W120" s="781">
        <f t="shared" ca="1" si="80"/>
        <v>0</v>
      </c>
      <c r="X120" s="781">
        <f t="shared" ca="1" si="80"/>
        <v>0</v>
      </c>
      <c r="Y120" s="781">
        <f t="shared" ca="1" si="80"/>
        <v>0</v>
      </c>
      <c r="Z120" s="781">
        <f t="shared" ca="1" si="80"/>
        <v>0</v>
      </c>
      <c r="AA120" s="781">
        <f t="shared" ca="1" si="81"/>
        <v>0</v>
      </c>
      <c r="AB120" s="781">
        <f t="shared" ca="1" si="81"/>
        <v>0</v>
      </c>
      <c r="AC120" s="781">
        <f t="shared" ca="1" si="81"/>
        <v>0</v>
      </c>
      <c r="AD120" s="781">
        <f t="shared" ca="1" si="81"/>
        <v>0</v>
      </c>
      <c r="AE120" s="781">
        <f t="shared" ca="1" si="81"/>
        <v>0</v>
      </c>
      <c r="AF120" s="781">
        <f t="shared" ca="1" si="81"/>
        <v>0</v>
      </c>
      <c r="AG120" s="781">
        <f t="shared" ca="1" si="81"/>
        <v>0</v>
      </c>
      <c r="AH120" s="781">
        <f t="shared" ca="1" si="81"/>
        <v>0</v>
      </c>
      <c r="AI120" s="781">
        <f t="shared" ca="1" si="81"/>
        <v>0</v>
      </c>
      <c r="AJ120" s="781">
        <f t="shared" ca="1" si="81"/>
        <v>0</v>
      </c>
      <c r="AK120" s="781">
        <f t="shared" ca="1" si="82"/>
        <v>0</v>
      </c>
      <c r="AL120" s="781">
        <f t="shared" ca="1" si="82"/>
        <v>0</v>
      </c>
      <c r="AM120" s="781">
        <f t="shared" ca="1" si="82"/>
        <v>0</v>
      </c>
      <c r="AN120" s="781">
        <f t="shared" ca="1" si="82"/>
        <v>0</v>
      </c>
      <c r="AO120" s="781">
        <f t="shared" ca="1" si="82"/>
        <v>0</v>
      </c>
      <c r="AP120" s="781">
        <f t="shared" ca="1" si="82"/>
        <v>0</v>
      </c>
      <c r="AQ120" s="781">
        <f t="shared" ca="1" si="82"/>
        <v>0</v>
      </c>
      <c r="AR120" s="781">
        <f t="shared" ca="1" si="82"/>
        <v>0</v>
      </c>
      <c r="AS120" s="781">
        <f t="shared" ca="1" si="82"/>
        <v>0</v>
      </c>
      <c r="AT120" s="781">
        <f t="shared" ca="1" si="82"/>
        <v>0</v>
      </c>
      <c r="AV120" s="781">
        <f t="shared" ca="1" si="51"/>
        <v>0</v>
      </c>
      <c r="AX120" s="781">
        <f t="shared" ca="1" si="52"/>
        <v>0</v>
      </c>
      <c r="AZ120" s="781">
        <f t="shared" ca="1" si="53"/>
        <v>0</v>
      </c>
      <c r="BB120" s="781">
        <f t="shared" ca="1" si="54"/>
        <v>0</v>
      </c>
      <c r="BD120" s="781">
        <f t="shared" ca="1" si="55"/>
        <v>0</v>
      </c>
      <c r="BF120" s="781">
        <f t="shared" ca="1" si="56"/>
        <v>0</v>
      </c>
      <c r="BH120" s="781">
        <f t="shared" ca="1" si="57"/>
        <v>0</v>
      </c>
    </row>
    <row r="121" spans="1:60" hidden="1" outlineLevel="1">
      <c r="A121" s="1464">
        <f t="shared" ca="1" si="71"/>
        <v>18</v>
      </c>
      <c r="B121" s="1464">
        <f t="shared" ca="1" si="72"/>
        <v>22</v>
      </c>
      <c r="C121" s="1464">
        <f t="shared" si="73"/>
        <v>26</v>
      </c>
      <c r="D121" s="1271" t="str">
        <f ca="1">IF(OFFSET(PortfolioDashboard!$A$3,C121-1,0)="","Blank",OFFSET(PortfolioDashboard!$A$3,C121-1,0))</f>
        <v>Blank</v>
      </c>
      <c r="E121" s="1464" t="str">
        <f t="shared" si="74"/>
        <v>MTCO2e</v>
      </c>
      <c r="F121" s="1460"/>
      <c r="G121" s="781">
        <f t="shared" ca="1" si="79"/>
        <v>0</v>
      </c>
      <c r="H121" s="781">
        <f t="shared" ca="1" si="79"/>
        <v>0</v>
      </c>
      <c r="I121" s="781">
        <f t="shared" ca="1" si="79"/>
        <v>0</v>
      </c>
      <c r="J121" s="781">
        <f t="shared" ca="1" si="79"/>
        <v>0</v>
      </c>
      <c r="K121" s="781">
        <f t="shared" ca="1" si="79"/>
        <v>0</v>
      </c>
      <c r="L121" s="781">
        <f t="shared" ca="1" si="79"/>
        <v>0</v>
      </c>
      <c r="M121" s="781">
        <f t="shared" ca="1" si="79"/>
        <v>0</v>
      </c>
      <c r="N121" s="781">
        <f t="shared" ca="1" si="79"/>
        <v>0</v>
      </c>
      <c r="O121" s="781">
        <f t="shared" ca="1" si="79"/>
        <v>0</v>
      </c>
      <c r="P121" s="781">
        <f t="shared" ca="1" si="79"/>
        <v>0</v>
      </c>
      <c r="Q121" s="781">
        <f t="shared" ca="1" si="80"/>
        <v>0</v>
      </c>
      <c r="R121" s="781">
        <f t="shared" ca="1" si="80"/>
        <v>0</v>
      </c>
      <c r="S121" s="781">
        <f t="shared" ca="1" si="80"/>
        <v>0</v>
      </c>
      <c r="T121" s="781">
        <f t="shared" ca="1" si="80"/>
        <v>0</v>
      </c>
      <c r="U121" s="781">
        <f t="shared" ca="1" si="80"/>
        <v>0</v>
      </c>
      <c r="V121" s="781">
        <f t="shared" ca="1" si="80"/>
        <v>0</v>
      </c>
      <c r="W121" s="781">
        <f t="shared" ca="1" si="80"/>
        <v>0</v>
      </c>
      <c r="X121" s="781">
        <f t="shared" ca="1" si="80"/>
        <v>0</v>
      </c>
      <c r="Y121" s="781">
        <f t="shared" ca="1" si="80"/>
        <v>0</v>
      </c>
      <c r="Z121" s="781">
        <f t="shared" ca="1" si="80"/>
        <v>0</v>
      </c>
      <c r="AA121" s="781">
        <f t="shared" ca="1" si="81"/>
        <v>0</v>
      </c>
      <c r="AB121" s="781">
        <f t="shared" ca="1" si="81"/>
        <v>0</v>
      </c>
      <c r="AC121" s="781">
        <f t="shared" ca="1" si="81"/>
        <v>0</v>
      </c>
      <c r="AD121" s="781">
        <f t="shared" ca="1" si="81"/>
        <v>0</v>
      </c>
      <c r="AE121" s="781">
        <f t="shared" ca="1" si="81"/>
        <v>0</v>
      </c>
      <c r="AF121" s="781">
        <f t="shared" ca="1" si="81"/>
        <v>0</v>
      </c>
      <c r="AG121" s="781">
        <f t="shared" ca="1" si="81"/>
        <v>0</v>
      </c>
      <c r="AH121" s="781">
        <f t="shared" ca="1" si="81"/>
        <v>0</v>
      </c>
      <c r="AI121" s="781">
        <f t="shared" ca="1" si="81"/>
        <v>0</v>
      </c>
      <c r="AJ121" s="781">
        <f t="shared" ca="1" si="81"/>
        <v>0</v>
      </c>
      <c r="AK121" s="781">
        <f t="shared" ca="1" si="82"/>
        <v>0</v>
      </c>
      <c r="AL121" s="781">
        <f t="shared" ca="1" si="82"/>
        <v>0</v>
      </c>
      <c r="AM121" s="781">
        <f t="shared" ca="1" si="82"/>
        <v>0</v>
      </c>
      <c r="AN121" s="781">
        <f t="shared" ca="1" si="82"/>
        <v>0</v>
      </c>
      <c r="AO121" s="781">
        <f t="shared" ca="1" si="82"/>
        <v>0</v>
      </c>
      <c r="AP121" s="781">
        <f t="shared" ca="1" si="82"/>
        <v>0</v>
      </c>
      <c r="AQ121" s="781">
        <f t="shared" ca="1" si="82"/>
        <v>0</v>
      </c>
      <c r="AR121" s="781">
        <f t="shared" ca="1" si="82"/>
        <v>0</v>
      </c>
      <c r="AS121" s="781">
        <f t="shared" ca="1" si="82"/>
        <v>0</v>
      </c>
      <c r="AT121" s="781">
        <f t="shared" ca="1" si="82"/>
        <v>0</v>
      </c>
      <c r="AV121" s="781">
        <f t="shared" ca="1" si="51"/>
        <v>0</v>
      </c>
      <c r="AX121" s="781">
        <f t="shared" ca="1" si="52"/>
        <v>0</v>
      </c>
      <c r="AZ121" s="781">
        <f t="shared" ca="1" si="53"/>
        <v>0</v>
      </c>
      <c r="BB121" s="781">
        <f t="shared" ca="1" si="54"/>
        <v>0</v>
      </c>
      <c r="BD121" s="781">
        <f t="shared" ca="1" si="55"/>
        <v>0</v>
      </c>
      <c r="BF121" s="781">
        <f t="shared" ca="1" si="56"/>
        <v>0</v>
      </c>
      <c r="BH121" s="781">
        <f t="shared" ca="1" si="57"/>
        <v>0</v>
      </c>
    </row>
    <row r="122" spans="1:60" hidden="1" outlineLevel="1">
      <c r="A122" s="1464">
        <f t="shared" ca="1" si="71"/>
        <v>18</v>
      </c>
      <c r="B122" s="1464">
        <f t="shared" ca="1" si="72"/>
        <v>22</v>
      </c>
      <c r="C122" s="1464">
        <f t="shared" si="73"/>
        <v>27</v>
      </c>
      <c r="D122" s="1271" t="str">
        <f ca="1">IF(OFFSET(PortfolioDashboard!$A$3,C122-1,0)="","Blank",OFFSET(PortfolioDashboard!$A$3,C122-1,0))</f>
        <v>Blank</v>
      </c>
      <c r="E122" s="1464" t="str">
        <f t="shared" si="74"/>
        <v>MTCO2e</v>
      </c>
      <c r="F122" s="1460"/>
      <c r="G122" s="781">
        <f t="shared" ca="1" si="79"/>
        <v>0</v>
      </c>
      <c r="H122" s="781">
        <f t="shared" ca="1" si="79"/>
        <v>0</v>
      </c>
      <c r="I122" s="781">
        <f t="shared" ca="1" si="79"/>
        <v>0</v>
      </c>
      <c r="J122" s="781">
        <f t="shared" ca="1" si="79"/>
        <v>0</v>
      </c>
      <c r="K122" s="781">
        <f t="shared" ca="1" si="79"/>
        <v>0</v>
      </c>
      <c r="L122" s="781">
        <f t="shared" ca="1" si="79"/>
        <v>0</v>
      </c>
      <c r="M122" s="781">
        <f t="shared" ca="1" si="79"/>
        <v>0</v>
      </c>
      <c r="N122" s="781">
        <f t="shared" ca="1" si="79"/>
        <v>0</v>
      </c>
      <c r="O122" s="781">
        <f t="shared" ca="1" si="79"/>
        <v>0</v>
      </c>
      <c r="P122" s="781">
        <f t="shared" ca="1" si="79"/>
        <v>0</v>
      </c>
      <c r="Q122" s="781">
        <f t="shared" ca="1" si="80"/>
        <v>0</v>
      </c>
      <c r="R122" s="781">
        <f t="shared" ca="1" si="80"/>
        <v>0</v>
      </c>
      <c r="S122" s="781">
        <f t="shared" ca="1" si="80"/>
        <v>0</v>
      </c>
      <c r="T122" s="781">
        <f t="shared" ca="1" si="80"/>
        <v>0</v>
      </c>
      <c r="U122" s="781">
        <f t="shared" ca="1" si="80"/>
        <v>0</v>
      </c>
      <c r="V122" s="781">
        <f t="shared" ca="1" si="80"/>
        <v>0</v>
      </c>
      <c r="W122" s="781">
        <f t="shared" ca="1" si="80"/>
        <v>0</v>
      </c>
      <c r="X122" s="781">
        <f t="shared" ca="1" si="80"/>
        <v>0</v>
      </c>
      <c r="Y122" s="781">
        <f t="shared" ca="1" si="80"/>
        <v>0</v>
      </c>
      <c r="Z122" s="781">
        <f t="shared" ca="1" si="80"/>
        <v>0</v>
      </c>
      <c r="AA122" s="781">
        <f t="shared" ca="1" si="81"/>
        <v>0</v>
      </c>
      <c r="AB122" s="781">
        <f t="shared" ca="1" si="81"/>
        <v>0</v>
      </c>
      <c r="AC122" s="781">
        <f t="shared" ca="1" si="81"/>
        <v>0</v>
      </c>
      <c r="AD122" s="781">
        <f t="shared" ca="1" si="81"/>
        <v>0</v>
      </c>
      <c r="AE122" s="781">
        <f t="shared" ca="1" si="81"/>
        <v>0</v>
      </c>
      <c r="AF122" s="781">
        <f t="shared" ca="1" si="81"/>
        <v>0</v>
      </c>
      <c r="AG122" s="781">
        <f t="shared" ca="1" si="81"/>
        <v>0</v>
      </c>
      <c r="AH122" s="781">
        <f t="shared" ca="1" si="81"/>
        <v>0</v>
      </c>
      <c r="AI122" s="781">
        <f t="shared" ca="1" si="81"/>
        <v>0</v>
      </c>
      <c r="AJ122" s="781">
        <f t="shared" ca="1" si="81"/>
        <v>0</v>
      </c>
      <c r="AK122" s="781">
        <f t="shared" ca="1" si="82"/>
        <v>0</v>
      </c>
      <c r="AL122" s="781">
        <f t="shared" ca="1" si="82"/>
        <v>0</v>
      </c>
      <c r="AM122" s="781">
        <f t="shared" ca="1" si="82"/>
        <v>0</v>
      </c>
      <c r="AN122" s="781">
        <f t="shared" ca="1" si="82"/>
        <v>0</v>
      </c>
      <c r="AO122" s="781">
        <f t="shared" ca="1" si="82"/>
        <v>0</v>
      </c>
      <c r="AP122" s="781">
        <f t="shared" ca="1" si="82"/>
        <v>0</v>
      </c>
      <c r="AQ122" s="781">
        <f t="shared" ca="1" si="82"/>
        <v>0</v>
      </c>
      <c r="AR122" s="781">
        <f t="shared" ca="1" si="82"/>
        <v>0</v>
      </c>
      <c r="AS122" s="781">
        <f t="shared" ca="1" si="82"/>
        <v>0</v>
      </c>
      <c r="AT122" s="781">
        <f t="shared" ca="1" si="82"/>
        <v>0</v>
      </c>
      <c r="AV122" s="781">
        <f t="shared" ca="1" si="51"/>
        <v>0</v>
      </c>
      <c r="AX122" s="781">
        <f t="shared" ca="1" si="52"/>
        <v>0</v>
      </c>
      <c r="AZ122" s="781">
        <f t="shared" ca="1" si="53"/>
        <v>0</v>
      </c>
      <c r="BB122" s="781">
        <f t="shared" ca="1" si="54"/>
        <v>0</v>
      </c>
      <c r="BD122" s="781">
        <f t="shared" ca="1" si="55"/>
        <v>0</v>
      </c>
      <c r="BF122" s="781">
        <f t="shared" ca="1" si="56"/>
        <v>0</v>
      </c>
      <c r="BH122" s="781">
        <f t="shared" ca="1" si="57"/>
        <v>0</v>
      </c>
    </row>
    <row r="123" spans="1:60" hidden="1" outlineLevel="1">
      <c r="A123" s="1464">
        <f t="shared" ca="1" si="71"/>
        <v>18</v>
      </c>
      <c r="B123" s="1464">
        <f t="shared" ca="1" si="72"/>
        <v>22</v>
      </c>
      <c r="C123" s="1464">
        <f t="shared" si="73"/>
        <v>28</v>
      </c>
      <c r="D123" s="1271" t="str">
        <f ca="1">IF(OFFSET(PortfolioDashboard!$A$3,C123-1,0)="","Blank",OFFSET(PortfolioDashboard!$A$3,C123-1,0))</f>
        <v>Blank</v>
      </c>
      <c r="E123" s="1464" t="str">
        <f t="shared" si="74"/>
        <v>MTCO2e</v>
      </c>
      <c r="F123" s="1460"/>
      <c r="G123" s="781">
        <f t="shared" ca="1" si="79"/>
        <v>0</v>
      </c>
      <c r="H123" s="781">
        <f t="shared" ca="1" si="79"/>
        <v>0</v>
      </c>
      <c r="I123" s="781">
        <f t="shared" ca="1" si="79"/>
        <v>0</v>
      </c>
      <c r="J123" s="781">
        <f t="shared" ca="1" si="79"/>
        <v>0</v>
      </c>
      <c r="K123" s="781">
        <f t="shared" ca="1" si="79"/>
        <v>0</v>
      </c>
      <c r="L123" s="781">
        <f t="shared" ca="1" si="79"/>
        <v>0</v>
      </c>
      <c r="M123" s="781">
        <f t="shared" ca="1" si="79"/>
        <v>0</v>
      </c>
      <c r="N123" s="781">
        <f t="shared" ca="1" si="79"/>
        <v>0</v>
      </c>
      <c r="O123" s="781">
        <f t="shared" ca="1" si="79"/>
        <v>0</v>
      </c>
      <c r="P123" s="781">
        <f t="shared" ca="1" si="79"/>
        <v>0</v>
      </c>
      <c r="Q123" s="781">
        <f t="shared" ca="1" si="80"/>
        <v>0</v>
      </c>
      <c r="R123" s="781">
        <f t="shared" ca="1" si="80"/>
        <v>0</v>
      </c>
      <c r="S123" s="781">
        <f t="shared" ca="1" si="80"/>
        <v>0</v>
      </c>
      <c r="T123" s="781">
        <f t="shared" ca="1" si="80"/>
        <v>0</v>
      </c>
      <c r="U123" s="781">
        <f t="shared" ca="1" si="80"/>
        <v>0</v>
      </c>
      <c r="V123" s="781">
        <f t="shared" ca="1" si="80"/>
        <v>0</v>
      </c>
      <c r="W123" s="781">
        <f t="shared" ca="1" si="80"/>
        <v>0</v>
      </c>
      <c r="X123" s="781">
        <f t="shared" ca="1" si="80"/>
        <v>0</v>
      </c>
      <c r="Y123" s="781">
        <f t="shared" ca="1" si="80"/>
        <v>0</v>
      </c>
      <c r="Z123" s="781">
        <f t="shared" ca="1" si="80"/>
        <v>0</v>
      </c>
      <c r="AA123" s="781">
        <f t="shared" ca="1" si="81"/>
        <v>0</v>
      </c>
      <c r="AB123" s="781">
        <f t="shared" ca="1" si="81"/>
        <v>0</v>
      </c>
      <c r="AC123" s="781">
        <f t="shared" ca="1" si="81"/>
        <v>0</v>
      </c>
      <c r="AD123" s="781">
        <f t="shared" ca="1" si="81"/>
        <v>0</v>
      </c>
      <c r="AE123" s="781">
        <f t="shared" ca="1" si="81"/>
        <v>0</v>
      </c>
      <c r="AF123" s="781">
        <f t="shared" ca="1" si="81"/>
        <v>0</v>
      </c>
      <c r="AG123" s="781">
        <f t="shared" ca="1" si="81"/>
        <v>0</v>
      </c>
      <c r="AH123" s="781">
        <f t="shared" ca="1" si="81"/>
        <v>0</v>
      </c>
      <c r="AI123" s="781">
        <f t="shared" ca="1" si="81"/>
        <v>0</v>
      </c>
      <c r="AJ123" s="781">
        <f t="shared" ca="1" si="81"/>
        <v>0</v>
      </c>
      <c r="AK123" s="781">
        <f t="shared" ca="1" si="82"/>
        <v>0</v>
      </c>
      <c r="AL123" s="781">
        <f t="shared" ca="1" si="82"/>
        <v>0</v>
      </c>
      <c r="AM123" s="781">
        <f t="shared" ca="1" si="82"/>
        <v>0</v>
      </c>
      <c r="AN123" s="781">
        <f t="shared" ca="1" si="82"/>
        <v>0</v>
      </c>
      <c r="AO123" s="781">
        <f t="shared" ca="1" si="82"/>
        <v>0</v>
      </c>
      <c r="AP123" s="781">
        <f t="shared" ca="1" si="82"/>
        <v>0</v>
      </c>
      <c r="AQ123" s="781">
        <f t="shared" ca="1" si="82"/>
        <v>0</v>
      </c>
      <c r="AR123" s="781">
        <f t="shared" ca="1" si="82"/>
        <v>0</v>
      </c>
      <c r="AS123" s="781">
        <f t="shared" ca="1" si="82"/>
        <v>0</v>
      </c>
      <c r="AT123" s="781">
        <f t="shared" ca="1" si="82"/>
        <v>0</v>
      </c>
      <c r="AV123" s="781">
        <f t="shared" ca="1" si="51"/>
        <v>0</v>
      </c>
      <c r="AX123" s="781">
        <f t="shared" ca="1" si="52"/>
        <v>0</v>
      </c>
      <c r="AZ123" s="781">
        <f t="shared" ca="1" si="53"/>
        <v>0</v>
      </c>
      <c r="BB123" s="781">
        <f t="shared" ca="1" si="54"/>
        <v>0</v>
      </c>
      <c r="BD123" s="781">
        <f t="shared" ca="1" si="55"/>
        <v>0</v>
      </c>
      <c r="BF123" s="781">
        <f t="shared" ca="1" si="56"/>
        <v>0</v>
      </c>
      <c r="BH123" s="781">
        <f t="shared" ca="1" si="57"/>
        <v>0</v>
      </c>
    </row>
    <row r="124" spans="1:60" hidden="1" outlineLevel="1">
      <c r="A124" s="1464">
        <f t="shared" ca="1" si="71"/>
        <v>18</v>
      </c>
      <c r="B124" s="1464">
        <f t="shared" ca="1" si="72"/>
        <v>22</v>
      </c>
      <c r="C124" s="1464">
        <f t="shared" si="73"/>
        <v>29</v>
      </c>
      <c r="D124" s="1271" t="str">
        <f ca="1">IF(OFFSET(PortfolioDashboard!$A$3,C124-1,0)="","Blank",OFFSET(PortfolioDashboard!$A$3,C124-1,0))</f>
        <v>Blank</v>
      </c>
      <c r="E124" s="1464" t="str">
        <f t="shared" si="74"/>
        <v>MTCO2e</v>
      </c>
      <c r="F124" s="1460"/>
      <c r="G124" s="781">
        <f t="shared" ca="1" si="79"/>
        <v>0</v>
      </c>
      <c r="H124" s="781">
        <f t="shared" ca="1" si="79"/>
        <v>0</v>
      </c>
      <c r="I124" s="781">
        <f t="shared" ca="1" si="79"/>
        <v>0</v>
      </c>
      <c r="J124" s="781">
        <f t="shared" ca="1" si="79"/>
        <v>0</v>
      </c>
      <c r="K124" s="781">
        <f t="shared" ca="1" si="79"/>
        <v>0</v>
      </c>
      <c r="L124" s="781">
        <f t="shared" ca="1" si="79"/>
        <v>0</v>
      </c>
      <c r="M124" s="781">
        <f t="shared" ca="1" si="79"/>
        <v>0</v>
      </c>
      <c r="N124" s="781">
        <f t="shared" ca="1" si="79"/>
        <v>0</v>
      </c>
      <c r="O124" s="781">
        <f t="shared" ca="1" si="79"/>
        <v>0</v>
      </c>
      <c r="P124" s="781">
        <f t="shared" ca="1" si="79"/>
        <v>0</v>
      </c>
      <c r="Q124" s="781">
        <f t="shared" ca="1" si="80"/>
        <v>0</v>
      </c>
      <c r="R124" s="781">
        <f t="shared" ca="1" si="80"/>
        <v>0</v>
      </c>
      <c r="S124" s="781">
        <f t="shared" ca="1" si="80"/>
        <v>0</v>
      </c>
      <c r="T124" s="781">
        <f t="shared" ca="1" si="80"/>
        <v>0</v>
      </c>
      <c r="U124" s="781">
        <f t="shared" ca="1" si="80"/>
        <v>0</v>
      </c>
      <c r="V124" s="781">
        <f t="shared" ca="1" si="80"/>
        <v>0</v>
      </c>
      <c r="W124" s="781">
        <f t="shared" ca="1" si="80"/>
        <v>0</v>
      </c>
      <c r="X124" s="781">
        <f t="shared" ca="1" si="80"/>
        <v>0</v>
      </c>
      <c r="Y124" s="781">
        <f t="shared" ca="1" si="80"/>
        <v>0</v>
      </c>
      <c r="Z124" s="781">
        <f t="shared" ca="1" si="80"/>
        <v>0</v>
      </c>
      <c r="AA124" s="781">
        <f t="shared" ca="1" si="81"/>
        <v>0</v>
      </c>
      <c r="AB124" s="781">
        <f t="shared" ca="1" si="81"/>
        <v>0</v>
      </c>
      <c r="AC124" s="781">
        <f t="shared" ca="1" si="81"/>
        <v>0</v>
      </c>
      <c r="AD124" s="781">
        <f t="shared" ca="1" si="81"/>
        <v>0</v>
      </c>
      <c r="AE124" s="781">
        <f t="shared" ca="1" si="81"/>
        <v>0</v>
      </c>
      <c r="AF124" s="781">
        <f t="shared" ca="1" si="81"/>
        <v>0</v>
      </c>
      <c r="AG124" s="781">
        <f t="shared" ca="1" si="81"/>
        <v>0</v>
      </c>
      <c r="AH124" s="781">
        <f t="shared" ca="1" si="81"/>
        <v>0</v>
      </c>
      <c r="AI124" s="781">
        <f t="shared" ca="1" si="81"/>
        <v>0</v>
      </c>
      <c r="AJ124" s="781">
        <f t="shared" ca="1" si="81"/>
        <v>0</v>
      </c>
      <c r="AK124" s="781">
        <f t="shared" ca="1" si="82"/>
        <v>0</v>
      </c>
      <c r="AL124" s="781">
        <f t="shared" ca="1" si="82"/>
        <v>0</v>
      </c>
      <c r="AM124" s="781">
        <f t="shared" ca="1" si="82"/>
        <v>0</v>
      </c>
      <c r="AN124" s="781">
        <f t="shared" ca="1" si="82"/>
        <v>0</v>
      </c>
      <c r="AO124" s="781">
        <f t="shared" ca="1" si="82"/>
        <v>0</v>
      </c>
      <c r="AP124" s="781">
        <f t="shared" ca="1" si="82"/>
        <v>0</v>
      </c>
      <c r="AQ124" s="781">
        <f t="shared" ca="1" si="82"/>
        <v>0</v>
      </c>
      <c r="AR124" s="781">
        <f t="shared" ca="1" si="82"/>
        <v>0</v>
      </c>
      <c r="AS124" s="781">
        <f t="shared" ca="1" si="82"/>
        <v>0</v>
      </c>
      <c r="AT124" s="781">
        <f t="shared" ca="1" si="82"/>
        <v>0</v>
      </c>
      <c r="AV124" s="781">
        <f t="shared" ca="1" si="51"/>
        <v>0</v>
      </c>
      <c r="AX124" s="781">
        <f t="shared" ca="1" si="52"/>
        <v>0</v>
      </c>
      <c r="AZ124" s="781">
        <f t="shared" ca="1" si="53"/>
        <v>0</v>
      </c>
      <c r="BB124" s="781">
        <f t="shared" ca="1" si="54"/>
        <v>0</v>
      </c>
      <c r="BD124" s="781">
        <f t="shared" ca="1" si="55"/>
        <v>0</v>
      </c>
      <c r="BF124" s="781">
        <f t="shared" ca="1" si="56"/>
        <v>0</v>
      </c>
      <c r="BH124" s="781">
        <f t="shared" ca="1" si="57"/>
        <v>0</v>
      </c>
    </row>
    <row r="125" spans="1:60" hidden="1" outlineLevel="1">
      <c r="A125" s="1464">
        <f t="shared" ca="1" si="71"/>
        <v>18</v>
      </c>
      <c r="B125" s="1464">
        <f t="shared" ca="1" si="72"/>
        <v>22</v>
      </c>
      <c r="C125" s="1464">
        <f t="shared" si="73"/>
        <v>30</v>
      </c>
      <c r="D125" s="1271" t="str">
        <f ca="1">IF(OFFSET(PortfolioDashboard!$A$3,C125-1,0)="","Blank",OFFSET(PortfolioDashboard!$A$3,C125-1,0))</f>
        <v>Blank</v>
      </c>
      <c r="E125" s="1464" t="str">
        <f t="shared" si="74"/>
        <v>MTCO2e</v>
      </c>
      <c r="F125" s="1460"/>
      <c r="G125" s="781">
        <f t="shared" ca="1" si="79"/>
        <v>0</v>
      </c>
      <c r="H125" s="781">
        <f t="shared" ca="1" si="79"/>
        <v>0</v>
      </c>
      <c r="I125" s="781">
        <f t="shared" ca="1" si="79"/>
        <v>0</v>
      </c>
      <c r="J125" s="781">
        <f t="shared" ca="1" si="79"/>
        <v>0</v>
      </c>
      <c r="K125" s="781">
        <f t="shared" ca="1" si="79"/>
        <v>0</v>
      </c>
      <c r="L125" s="781">
        <f t="shared" ca="1" si="79"/>
        <v>0</v>
      </c>
      <c r="M125" s="781">
        <f t="shared" ca="1" si="79"/>
        <v>0</v>
      </c>
      <c r="N125" s="781">
        <f t="shared" ca="1" si="79"/>
        <v>0</v>
      </c>
      <c r="O125" s="781">
        <f t="shared" ca="1" si="79"/>
        <v>0</v>
      </c>
      <c r="P125" s="781">
        <f t="shared" ca="1" si="79"/>
        <v>0</v>
      </c>
      <c r="Q125" s="781">
        <f t="shared" ca="1" si="80"/>
        <v>0</v>
      </c>
      <c r="R125" s="781">
        <f t="shared" ca="1" si="80"/>
        <v>0</v>
      </c>
      <c r="S125" s="781">
        <f t="shared" ca="1" si="80"/>
        <v>0</v>
      </c>
      <c r="T125" s="781">
        <f t="shared" ca="1" si="80"/>
        <v>0</v>
      </c>
      <c r="U125" s="781">
        <f t="shared" ca="1" si="80"/>
        <v>0</v>
      </c>
      <c r="V125" s="781">
        <f t="shared" ca="1" si="80"/>
        <v>0</v>
      </c>
      <c r="W125" s="781">
        <f t="shared" ca="1" si="80"/>
        <v>0</v>
      </c>
      <c r="X125" s="781">
        <f t="shared" ca="1" si="80"/>
        <v>0</v>
      </c>
      <c r="Y125" s="781">
        <f t="shared" ca="1" si="80"/>
        <v>0</v>
      </c>
      <c r="Z125" s="781">
        <f t="shared" ca="1" si="80"/>
        <v>0</v>
      </c>
      <c r="AA125" s="781">
        <f t="shared" ca="1" si="81"/>
        <v>0</v>
      </c>
      <c r="AB125" s="781">
        <f t="shared" ca="1" si="81"/>
        <v>0</v>
      </c>
      <c r="AC125" s="781">
        <f t="shared" ca="1" si="81"/>
        <v>0</v>
      </c>
      <c r="AD125" s="781">
        <f t="shared" ca="1" si="81"/>
        <v>0</v>
      </c>
      <c r="AE125" s="781">
        <f t="shared" ca="1" si="81"/>
        <v>0</v>
      </c>
      <c r="AF125" s="781">
        <f t="shared" ca="1" si="81"/>
        <v>0</v>
      </c>
      <c r="AG125" s="781">
        <f t="shared" ca="1" si="81"/>
        <v>0</v>
      </c>
      <c r="AH125" s="781">
        <f t="shared" ca="1" si="81"/>
        <v>0</v>
      </c>
      <c r="AI125" s="781">
        <f t="shared" ca="1" si="81"/>
        <v>0</v>
      </c>
      <c r="AJ125" s="781">
        <f t="shared" ca="1" si="81"/>
        <v>0</v>
      </c>
      <c r="AK125" s="781">
        <f t="shared" ca="1" si="82"/>
        <v>0</v>
      </c>
      <c r="AL125" s="781">
        <f t="shared" ca="1" si="82"/>
        <v>0</v>
      </c>
      <c r="AM125" s="781">
        <f t="shared" ca="1" si="82"/>
        <v>0</v>
      </c>
      <c r="AN125" s="781">
        <f t="shared" ca="1" si="82"/>
        <v>0</v>
      </c>
      <c r="AO125" s="781">
        <f t="shared" ca="1" si="82"/>
        <v>0</v>
      </c>
      <c r="AP125" s="781">
        <f t="shared" ca="1" si="82"/>
        <v>0</v>
      </c>
      <c r="AQ125" s="781">
        <f t="shared" ca="1" si="82"/>
        <v>0</v>
      </c>
      <c r="AR125" s="781">
        <f t="shared" ca="1" si="82"/>
        <v>0</v>
      </c>
      <c r="AS125" s="781">
        <f t="shared" ca="1" si="82"/>
        <v>0</v>
      </c>
      <c r="AT125" s="781">
        <f t="shared" ca="1" si="82"/>
        <v>0</v>
      </c>
      <c r="AV125" s="781">
        <f t="shared" ca="1" si="51"/>
        <v>0</v>
      </c>
      <c r="AX125" s="781">
        <f t="shared" ca="1" si="52"/>
        <v>0</v>
      </c>
      <c r="AZ125" s="781">
        <f t="shared" ca="1" si="53"/>
        <v>0</v>
      </c>
      <c r="BB125" s="781">
        <f t="shared" ca="1" si="54"/>
        <v>0</v>
      </c>
      <c r="BD125" s="781">
        <f t="shared" ca="1" si="55"/>
        <v>0</v>
      </c>
      <c r="BF125" s="781">
        <f t="shared" ca="1" si="56"/>
        <v>0</v>
      </c>
      <c r="BH125" s="781">
        <f t="shared" ca="1" si="57"/>
        <v>0</v>
      </c>
    </row>
    <row r="126" spans="1:60" collapsed="1">
      <c r="A126" s="1464"/>
      <c r="B126" s="1464"/>
      <c r="C126" s="1464"/>
      <c r="D126" s="1272" t="s">
        <v>264</v>
      </c>
      <c r="E126" s="1270" t="s">
        <v>1507</v>
      </c>
      <c r="F126" s="1461"/>
      <c r="G126" s="1273">
        <f t="shared" ref="G126:AT126" ca="1" si="83">SUM(G96:G125)</f>
        <v>0</v>
      </c>
      <c r="H126" s="1273">
        <f t="shared" ca="1" si="83"/>
        <v>-561.67481273159069</v>
      </c>
      <c r="I126" s="1273">
        <f t="shared" ca="1" si="83"/>
        <v>-604.35992493907054</v>
      </c>
      <c r="J126" s="1273">
        <f t="shared" ca="1" si="83"/>
        <v>-646.79471899712144</v>
      </c>
      <c r="K126" s="1273">
        <f t="shared" ca="1" si="83"/>
        <v>-689.15117552201457</v>
      </c>
      <c r="L126" s="1273">
        <f t="shared" ca="1" si="83"/>
        <v>-731.4890961035743</v>
      </c>
      <c r="M126" s="1273">
        <f t="shared" ca="1" si="83"/>
        <v>-1057.8235538650863</v>
      </c>
      <c r="N126" s="1273">
        <f t="shared" ca="1" si="83"/>
        <v>-1059.3905635929038</v>
      </c>
      <c r="O126" s="1273">
        <f t="shared" ca="1" si="83"/>
        <v>-1060.8515269816571</v>
      </c>
      <c r="P126" s="1273">
        <f t="shared" ca="1" si="83"/>
        <v>-1062.2254759408465</v>
      </c>
      <c r="Q126" s="1273">
        <f t="shared" ca="1" si="83"/>
        <v>-1063.5263437715155</v>
      </c>
      <c r="R126" s="1273">
        <f t="shared" ca="1" si="83"/>
        <v>-1064.7646961794212</v>
      </c>
      <c r="S126" s="1273">
        <f t="shared" ca="1" si="83"/>
        <v>-1065.9487722666045</v>
      </c>
      <c r="T126" s="1273">
        <f t="shared" ca="1" si="83"/>
        <v>-1067.0851447811808</v>
      </c>
      <c r="U126" s="1273">
        <f t="shared" ca="1" si="83"/>
        <v>-1068.1791572355339</v>
      </c>
      <c r="V126" s="1273">
        <f t="shared" ca="1" si="83"/>
        <v>-1069.2352237163618</v>
      </c>
      <c r="W126" s="1273">
        <f t="shared" ca="1" si="83"/>
        <v>-1070.2570407124301</v>
      </c>
      <c r="X126" s="1273">
        <f t="shared" ca="1" si="83"/>
        <v>-1071.2477406115061</v>
      </c>
      <c r="Y126" s="1273">
        <f t="shared" ca="1" si="83"/>
        <v>-1072.2100053812169</v>
      </c>
      <c r="Z126" s="1273">
        <f t="shared" ca="1" si="83"/>
        <v>-1073.1461523776434</v>
      </c>
      <c r="AA126" s="1273">
        <f t="shared" ca="1" si="83"/>
        <v>-1074.0582002076142</v>
      </c>
      <c r="AB126" s="1273">
        <f t="shared" ca="1" si="83"/>
        <v>-1074.9479200364628</v>
      </c>
      <c r="AC126" s="1273">
        <f t="shared" ca="1" si="83"/>
        <v>-1075.8168760903509</v>
      </c>
      <c r="AD126" s="1273">
        <f t="shared" ca="1" si="83"/>
        <v>-1076.666458011465</v>
      </c>
      <c r="AE126" s="1273">
        <f t="shared" ca="1" si="83"/>
        <v>-1077.4979069842732</v>
      </c>
      <c r="AF126" s="1273">
        <f t="shared" ca="1" si="83"/>
        <v>-1078.3123370389619</v>
      </c>
      <c r="AG126" s="1273">
        <f t="shared" ca="1" si="83"/>
        <v>-1079.1107525777156</v>
      </c>
      <c r="AH126" s="1273">
        <f t="shared" ca="1" si="83"/>
        <v>-1079.8940629116205</v>
      </c>
      <c r="AI126" s="1273">
        <f t="shared" ca="1" si="83"/>
        <v>-1080.6630944088311</v>
      </c>
      <c r="AJ126" s="1273">
        <f t="shared" ca="1" si="83"/>
        <v>-1081.4186007169969</v>
      </c>
      <c r="AK126" s="1273">
        <f t="shared" ca="1" si="83"/>
        <v>-1082.1612714204693</v>
      </c>
      <c r="AL126" s="1273">
        <f t="shared" ca="1" si="83"/>
        <v>-1082.8917394156474</v>
      </c>
      <c r="AM126" s="1273">
        <f t="shared" ca="1" si="83"/>
        <v>-1083.6105872291166</v>
      </c>
      <c r="AN126" s="1273">
        <f t="shared" ca="1" si="83"/>
        <v>-1084.3183524581234</v>
      </c>
      <c r="AO126" s="1273">
        <f t="shared" ca="1" si="83"/>
        <v>-1085.015532477971</v>
      </c>
      <c r="AP126" s="1273">
        <f t="shared" ca="1" si="83"/>
        <v>-1085.7025885335806</v>
      </c>
      <c r="AQ126" s="1273">
        <f t="shared" ca="1" si="83"/>
        <v>-1086.3799493109286</v>
      </c>
      <c r="AR126" s="1273">
        <f t="shared" ca="1" si="83"/>
        <v>-1087.0480140669599</v>
      </c>
      <c r="AS126" s="1273">
        <f t="shared" ca="1" si="83"/>
        <v>-1087.7071553829278</v>
      </c>
      <c r="AT126" s="1273">
        <f t="shared" ca="1" si="83"/>
        <v>-1088.3577215950988</v>
      </c>
      <c r="AV126" s="1273">
        <f t="shared" ca="1" si="51"/>
        <v>-4971.7802164840687</v>
      </c>
      <c r="AX126" s="1273">
        <f t="shared" ca="1" si="52"/>
        <v>-5329.5041142342561</v>
      </c>
      <c r="AZ126" s="1273">
        <f t="shared" ca="1" si="53"/>
        <v>-5356.0961627991583</v>
      </c>
      <c r="BB126" s="1273">
        <f t="shared" ca="1" si="54"/>
        <v>-5378.9873613301661</v>
      </c>
      <c r="BD126" s="1273">
        <f t="shared" ca="1" si="55"/>
        <v>-5399.3988476541253</v>
      </c>
      <c r="BF126" s="1273">
        <f t="shared" ca="1" si="56"/>
        <v>-5417.997483001328</v>
      </c>
      <c r="BH126" s="1273">
        <f t="shared" ca="1" si="57"/>
        <v>-5435.1954288894958</v>
      </c>
    </row>
    <row r="127" spans="1:60" ht="15.75" thickBot="1">
      <c r="A127" s="1464"/>
      <c r="B127" s="1464"/>
      <c r="C127" s="1464"/>
      <c r="D127" s="1274" t="s">
        <v>1521</v>
      </c>
      <c r="E127" s="1275" t="s">
        <v>1507</v>
      </c>
      <c r="F127" s="1462"/>
      <c r="G127" s="1282">
        <f ca="1">SUM(G126,G95,G64,G33)</f>
        <v>-2011.5286795204174</v>
      </c>
      <c r="H127" s="1282">
        <f t="shared" ref="H127:BH127" ca="1" si="84">SUM(H126,H95,H64,H33)</f>
        <v>-8240.9188332894428</v>
      </c>
      <c r="I127" s="1282">
        <f t="shared" ca="1" si="84"/>
        <v>-23661.368966726499</v>
      </c>
      <c r="J127" s="1282">
        <f t="shared" ca="1" si="84"/>
        <v>-32848.491687690854</v>
      </c>
      <c r="K127" s="1282">
        <f t="shared" ca="1" si="84"/>
        <v>-42417.978994122663</v>
      </c>
      <c r="L127" s="1282">
        <f t="shared" ca="1" si="84"/>
        <v>-69327.998279521649</v>
      </c>
      <c r="M127" s="1282">
        <f t="shared" ca="1" si="84"/>
        <v>-75211.800571449174</v>
      </c>
      <c r="N127" s="1282">
        <f t="shared" ca="1" si="84"/>
        <v>-80157.977268422153</v>
      </c>
      <c r="O127" s="1282">
        <f t="shared" ca="1" si="84"/>
        <v>-85013.698909405823</v>
      </c>
      <c r="P127" s="1282">
        <f t="shared" ca="1" si="84"/>
        <v>-89864.127225886827</v>
      </c>
      <c r="Q127" s="1282">
        <f t="shared" ca="1" si="84"/>
        <v>-94709.215356333618</v>
      </c>
      <c r="R127" s="1282">
        <f t="shared" ca="1" si="84"/>
        <v>-99548.917436925738</v>
      </c>
      <c r="S127" s="1282">
        <f t="shared" ca="1" si="84"/>
        <v>-104217.24766499027</v>
      </c>
      <c r="T127" s="1282">
        <f t="shared" ca="1" si="84"/>
        <v>-108561.99322438033</v>
      </c>
      <c r="U127" s="1282">
        <f t="shared" ca="1" si="84"/>
        <v>-112291.61830915957</v>
      </c>
      <c r="V127" s="1282">
        <f t="shared" ca="1" si="84"/>
        <v>-116022.09210519701</v>
      </c>
      <c r="W127" s="1282">
        <f t="shared" ca="1" si="84"/>
        <v>-119753.391820918</v>
      </c>
      <c r="X127" s="1282">
        <f t="shared" ca="1" si="84"/>
        <v>-123485.49514531912</v>
      </c>
      <c r="Y127" s="1282">
        <f t="shared" ca="1" si="84"/>
        <v>-127218.38031065045</v>
      </c>
      <c r="Z127" s="1282">
        <f t="shared" ca="1" si="84"/>
        <v>-130952.02613018424</v>
      </c>
      <c r="AA127" s="1282">
        <f t="shared" ca="1" si="84"/>
        <v>-134686.41201879727</v>
      </c>
      <c r="AB127" s="1282">
        <f t="shared" ca="1" si="84"/>
        <v>-138370.86533296708</v>
      </c>
      <c r="AC127" s="1282">
        <f t="shared" ca="1" si="84"/>
        <v>-142056.01937680712</v>
      </c>
      <c r="AD127" s="1282">
        <f t="shared" ca="1" si="84"/>
        <v>-145741.8553905494</v>
      </c>
      <c r="AE127" s="1282">
        <f t="shared" ca="1" si="84"/>
        <v>-148429.59166861756</v>
      </c>
      <c r="AF127" s="1282">
        <f t="shared" ca="1" si="84"/>
        <v>-151117.97416913338</v>
      </c>
      <c r="AG127" s="1282">
        <f t="shared" ca="1" si="84"/>
        <v>-153806.98587714898</v>
      </c>
      <c r="AH127" s="1282">
        <f t="shared" ca="1" si="84"/>
        <v>-156496.61032951466</v>
      </c>
      <c r="AI127" s="1282">
        <f t="shared" ca="1" si="84"/>
        <v>-159186.83159825669</v>
      </c>
      <c r="AJ127" s="1282">
        <f t="shared" ca="1" si="84"/>
        <v>-161877.63427355041</v>
      </c>
      <c r="AK127" s="1282">
        <f t="shared" ca="1" si="84"/>
        <v>-164569.00344655823</v>
      </c>
      <c r="AL127" s="1282">
        <f t="shared" ca="1" si="84"/>
        <v>-167260.92469232695</v>
      </c>
      <c r="AM127" s="1282">
        <f t="shared" ca="1" si="84"/>
        <v>-169953.38405288954</v>
      </c>
      <c r="AN127" s="1282">
        <f t="shared" ca="1" si="84"/>
        <v>-172646.36802067613</v>
      </c>
      <c r="AO127" s="1282">
        <f t="shared" ca="1" si="84"/>
        <v>-175339.86352230774</v>
      </c>
      <c r="AP127" s="1282">
        <f t="shared" ca="1" si="84"/>
        <v>-178033.85790282435</v>
      </c>
      <c r="AQ127" s="1282">
        <f t="shared" ca="1" si="84"/>
        <v>-180728.33891038361</v>
      </c>
      <c r="AR127" s="1282">
        <f t="shared" ca="1" si="84"/>
        <v>-183423.29468144992</v>
      </c>
      <c r="AS127" s="1282">
        <f t="shared" ca="1" si="84"/>
        <v>-186118.71372648646</v>
      </c>
      <c r="AT127" s="1282">
        <f t="shared" ca="1" si="84"/>
        <v>-188814.5849161536</v>
      </c>
      <c r="AU127" s="1283"/>
      <c r="AV127" s="1282">
        <f t="shared" ca="1" si="84"/>
        <v>-399575.60225468565</v>
      </c>
      <c r="AW127" s="1283"/>
      <c r="AX127" s="1282">
        <f t="shared" ca="1" si="84"/>
        <v>-519328.99199178955</v>
      </c>
      <c r="AY127" s="1283"/>
      <c r="AZ127" s="1282">
        <f t="shared" ca="1" si="84"/>
        <v>-617431.38551226887</v>
      </c>
      <c r="BA127" s="1283"/>
      <c r="BB127" s="1282">
        <f t="shared" ca="1" si="84"/>
        <v>-709284.74378773838</v>
      </c>
      <c r="BC127" s="1283"/>
      <c r="BD127" s="1282">
        <f t="shared" ca="1" si="84"/>
        <v>-782486.03624760418</v>
      </c>
      <c r="BE127" s="1283"/>
      <c r="BF127" s="1282">
        <f t="shared" ca="1" si="84"/>
        <v>-849769.54373475863</v>
      </c>
      <c r="BG127" s="1283"/>
      <c r="BH127" s="1282">
        <f t="shared" ca="1" si="84"/>
        <v>-917118.79013729794</v>
      </c>
    </row>
    <row r="128" spans="1:60" ht="15.75" thickTop="1">
      <c r="A128" s="1464"/>
      <c r="B128" s="1464"/>
      <c r="C128" s="1464"/>
      <c r="D128" s="16" t="s">
        <v>251</v>
      </c>
      <c r="E128" s="1270"/>
      <c r="F128" s="1461"/>
    </row>
    <row r="129" spans="1:60" hidden="1" outlineLevel="1">
      <c r="A129" s="1464">
        <v>18</v>
      </c>
      <c r="B129" s="1464">
        <v>24</v>
      </c>
      <c r="C129" s="1464">
        <v>1</v>
      </c>
      <c r="D129" s="1271" t="str">
        <f ca="1">IF(OFFSET(PortfolioDashboard!$A$3,C129-1,0)="","Blank",OFFSET(PortfolioDashboard!$A$3,C129-1,0))</f>
        <v>Behavior Change</v>
      </c>
      <c r="E129" s="1464" t="s">
        <v>1197</v>
      </c>
      <c r="F129" s="1460">
        <f t="shared" ref="F129:F192" ca="1" si="85">NPV(DiscountRate,G129:AT129)</f>
        <v>5460742.8145088917</v>
      </c>
      <c r="G129" s="358">
        <f t="shared" ref="G129:P138" ca="1" si="86">IFERROR(OFFSET(INDIRECT(INDEX(List_of_Alternatives,MATCH($D129,NameofAlternatives,0))),$A129+G$1-$G$1,$B129),0)</f>
        <v>0</v>
      </c>
      <c r="H129" s="358">
        <f t="shared" ca="1" si="86"/>
        <v>0</v>
      </c>
      <c r="I129" s="358">
        <f t="shared" ca="1" si="86"/>
        <v>53551.203958685095</v>
      </c>
      <c r="J129" s="358">
        <f t="shared" ca="1" si="86"/>
        <v>106568.76063263653</v>
      </c>
      <c r="K129" s="358">
        <f t="shared" ca="1" si="86"/>
        <v>158816.49713506427</v>
      </c>
      <c r="L129" s="358">
        <f t="shared" ca="1" si="86"/>
        <v>211097.00682058392</v>
      </c>
      <c r="M129" s="358">
        <f t="shared" ca="1" si="86"/>
        <v>262678.66776701325</v>
      </c>
      <c r="N129" s="358">
        <f t="shared" ca="1" si="86"/>
        <v>313757.26014464517</v>
      </c>
      <c r="O129" s="358">
        <f t="shared" ca="1" si="86"/>
        <v>353910.49623076181</v>
      </c>
      <c r="P129" s="358">
        <f t="shared" ca="1" si="86"/>
        <v>393634.90475888533</v>
      </c>
      <c r="Q129" s="358">
        <f t="shared" ref="Q129:Z138" ca="1" si="87">IFERROR(OFFSET(INDIRECT(INDEX(List_of_Alternatives,MATCH($D129,NameofAlternatives,0))),$A129+Q$1-$G$1,$B129),0)</f>
        <v>432919.79512423207</v>
      </c>
      <c r="R129" s="358">
        <f t="shared" ca="1" si="87"/>
        <v>471754.40128885041</v>
      </c>
      <c r="S129" s="358">
        <f t="shared" ca="1" si="87"/>
        <v>510127.87908462167</v>
      </c>
      <c r="T129" s="358">
        <f t="shared" ca="1" si="87"/>
        <v>507434.54038558574</v>
      </c>
      <c r="U129" s="358">
        <f t="shared" ca="1" si="87"/>
        <v>508222.41153454722</v>
      </c>
      <c r="V129" s="358">
        <f t="shared" ca="1" si="87"/>
        <v>509000.35785039974</v>
      </c>
      <c r="W129" s="358">
        <f t="shared" ca="1" si="87"/>
        <v>509768.38845003967</v>
      </c>
      <c r="X129" s="358">
        <f t="shared" ca="1" si="87"/>
        <v>510526.50810804113</v>
      </c>
      <c r="Y129" s="358">
        <f t="shared" ca="1" si="87"/>
        <v>511274.71743133484</v>
      </c>
      <c r="Z129" s="358">
        <f t="shared" ca="1" si="87"/>
        <v>512013.0130234505</v>
      </c>
      <c r="AA129" s="358">
        <f t="shared" ref="AA129:AJ138" ca="1" si="88">IFERROR(OFFSET(INDIRECT(INDEX(List_of_Alternatives,MATCH($D129,NameofAlternatives,0))),$A129+AA$1-$G$1,$B129),0)</f>
        <v>512741.38763903326</v>
      </c>
      <c r="AB129" s="358">
        <f t="shared" ca="1" si="88"/>
        <v>513459.83032926579</v>
      </c>
      <c r="AC129" s="358">
        <f t="shared" ca="1" si="88"/>
        <v>514168.32657880191</v>
      </c>
      <c r="AD129" s="358">
        <f t="shared" ca="1" si="88"/>
        <v>514866.85843475343</v>
      </c>
      <c r="AE129" s="358">
        <f t="shared" ca="1" si="88"/>
        <v>516831.57492687076</v>
      </c>
      <c r="AF129" s="358">
        <f t="shared" ca="1" si="88"/>
        <v>518799.04298926884</v>
      </c>
      <c r="AG129" s="358">
        <f t="shared" ca="1" si="88"/>
        <v>520769.33077116887</v>
      </c>
      <c r="AH129" s="358">
        <f t="shared" ca="1" si="88"/>
        <v>522742.50406854681</v>
      </c>
      <c r="AI129" s="358">
        <f t="shared" ca="1" si="88"/>
        <v>524718.62642436032</v>
      </c>
      <c r="AJ129" s="358">
        <f t="shared" ca="1" si="88"/>
        <v>526697.759223414</v>
      </c>
      <c r="AK129" s="358">
        <f t="shared" ref="AK129:AT138" ca="1" si="89">IFERROR(OFFSET(INDIRECT(INDEX(List_of_Alternatives,MATCH($D129,NameofAlternatives,0))),$A129+AK$1-$G$1,$B129),0)</f>
        <v>528679.96178219956</v>
      </c>
      <c r="AL129" s="358">
        <f t="shared" ca="1" si="89"/>
        <v>530665.29143400711</v>
      </c>
      <c r="AM129" s="358">
        <f t="shared" ca="1" si="89"/>
        <v>532653.80360959505</v>
      </c>
      <c r="AN129" s="358">
        <f t="shared" ca="1" si="89"/>
        <v>534645.55191368342</v>
      </c>
      <c r="AO129" s="358">
        <f t="shared" ca="1" si="89"/>
        <v>536640.58819751546</v>
      </c>
      <c r="AP129" s="358">
        <f t="shared" ca="1" si="89"/>
        <v>538638.96262771834</v>
      </c>
      <c r="AQ129" s="358">
        <f t="shared" ca="1" si="89"/>
        <v>540640.72375167708</v>
      </c>
      <c r="AR129" s="358">
        <f t="shared" ca="1" si="89"/>
        <v>542645.91855962179</v>
      </c>
      <c r="AS129" s="358">
        <f t="shared" ca="1" si="89"/>
        <v>544654.59254361899</v>
      </c>
      <c r="AT129" s="358">
        <f t="shared" ca="1" si="89"/>
        <v>546666.78975363541</v>
      </c>
      <c r="AV129" s="358">
        <f t="shared" ref="AV129:AV165" ca="1" si="90">SUM(L129:P129)</f>
        <v>1535078.3357218893</v>
      </c>
      <c r="AX129" s="358">
        <f t="shared" ref="AX129:AX165" ca="1" si="91">SUM(Q129:U129)</f>
        <v>2430459.0274178372</v>
      </c>
      <c r="AZ129" s="358">
        <f t="shared" ref="AZ129:AZ165" ca="1" si="92">SUM(V129:Z129)</f>
        <v>2552582.9848632659</v>
      </c>
      <c r="BB129" s="358">
        <f t="shared" ref="BB129:BB165" ca="1" si="93">SUM(AA129:AE129)</f>
        <v>2572067.9779087254</v>
      </c>
      <c r="BD129" s="358">
        <f t="shared" ref="BD129:BD165" ca="1" si="94">SUM(AF129:AJ129)</f>
        <v>2613727.2634767587</v>
      </c>
      <c r="BF129" s="358">
        <f t="shared" ref="BF129:BF165" ca="1" si="95">SUM(AK129:AO129)</f>
        <v>2663285.1969370004</v>
      </c>
      <c r="BH129" s="358">
        <f t="shared" ref="BH129:BH165" ca="1" si="96">SUM(AP129:AT129)</f>
        <v>2713246.9872362716</v>
      </c>
    </row>
    <row r="130" spans="1:60" hidden="1" outlineLevel="1">
      <c r="A130" s="1464">
        <f>A129</f>
        <v>18</v>
      </c>
      <c r="B130" s="1464">
        <f>B129</f>
        <v>24</v>
      </c>
      <c r="C130" s="1464">
        <f>C129+1</f>
        <v>2</v>
      </c>
      <c r="D130" s="1271" t="str">
        <f ca="1">IF(OFFSET(PortfolioDashboard!$A$3,C130-1,0)="","Blank",OFFSET(PortfolioDashboard!$A$3,C130-1,0))</f>
        <v>Building Design &amp; Construction Standards</v>
      </c>
      <c r="E130" s="1464" t="str">
        <f>E129</f>
        <v>2010$</v>
      </c>
      <c r="F130" s="1460">
        <f t="shared" ca="1" si="85"/>
        <v>9559169.9714132771</v>
      </c>
      <c r="G130" s="358">
        <f t="shared" ca="1" si="86"/>
        <v>0</v>
      </c>
      <c r="H130" s="358">
        <f t="shared" ca="1" si="86"/>
        <v>44181.909101423196</v>
      </c>
      <c r="I130" s="358">
        <f t="shared" ca="1" si="86"/>
        <v>195265.58930865114</v>
      </c>
      <c r="J130" s="358">
        <f t="shared" ca="1" si="86"/>
        <v>255670.393932284</v>
      </c>
      <c r="K130" s="358">
        <f t="shared" ca="1" si="86"/>
        <v>281494.31935861392</v>
      </c>
      <c r="L130" s="358">
        <f t="shared" ca="1" si="86"/>
        <v>404750.10535277845</v>
      </c>
      <c r="M130" s="358">
        <f t="shared" ca="1" si="86"/>
        <v>432619.15477128496</v>
      </c>
      <c r="N130" s="358">
        <f t="shared" ca="1" si="86"/>
        <v>460883.61054635077</v>
      </c>
      <c r="O130" s="358">
        <f t="shared" ca="1" si="86"/>
        <v>489543.22655519855</v>
      </c>
      <c r="P130" s="358">
        <f t="shared" ca="1" si="86"/>
        <v>518597.88416873512</v>
      </c>
      <c r="Q130" s="358">
        <f t="shared" ca="1" si="87"/>
        <v>548047.58643348527</v>
      </c>
      <c r="R130" s="358">
        <f t="shared" ca="1" si="87"/>
        <v>577892.45262615045</v>
      </c>
      <c r="S130" s="358">
        <f t="shared" ca="1" si="87"/>
        <v>608132.71315378277</v>
      </c>
      <c r="T130" s="358">
        <f t="shared" ca="1" si="87"/>
        <v>638768.70477478974</v>
      </c>
      <c r="U130" s="358">
        <f t="shared" ca="1" si="87"/>
        <v>669800.86611798219</v>
      </c>
      <c r="V130" s="358">
        <f t="shared" ca="1" si="87"/>
        <v>701229.73347877059</v>
      </c>
      <c r="W130" s="358">
        <f t="shared" ca="1" si="87"/>
        <v>733055.93687317334</v>
      </c>
      <c r="X130" s="358">
        <f t="shared" ca="1" si="87"/>
        <v>765280.19633194304</v>
      </c>
      <c r="Y130" s="358">
        <f t="shared" ca="1" si="87"/>
        <v>797903.3184184205</v>
      </c>
      <c r="Z130" s="358">
        <f t="shared" ca="1" si="87"/>
        <v>830926.19295501523</v>
      </c>
      <c r="AA130" s="358">
        <f t="shared" ca="1" si="88"/>
        <v>864349.78994438343</v>
      </c>
      <c r="AB130" s="358">
        <f t="shared" ca="1" si="88"/>
        <v>898175.15667242254</v>
      </c>
      <c r="AC130" s="358">
        <f t="shared" ca="1" si="88"/>
        <v>932403.41498115845</v>
      </c>
      <c r="AD130" s="358">
        <f t="shared" ca="1" si="88"/>
        <v>967035.75870049559</v>
      </c>
      <c r="AE130" s="358">
        <f t="shared" ca="1" si="88"/>
        <v>1002073.4512286327</v>
      </c>
      <c r="AF130" s="358">
        <f t="shared" ca="1" si="88"/>
        <v>1037517.8232516731</v>
      </c>
      <c r="AG130" s="358">
        <f t="shared" ca="1" si="88"/>
        <v>1073370.2705936474</v>
      </c>
      <c r="AH130" s="358">
        <f t="shared" ca="1" si="88"/>
        <v>1109632.2521887773</v>
      </c>
      <c r="AI130" s="358">
        <f t="shared" ca="1" si="88"/>
        <v>1146305.288168479</v>
      </c>
      <c r="AJ130" s="358">
        <f t="shared" ca="1" si="88"/>
        <v>1183390.9580559917</v>
      </c>
      <c r="AK130" s="358">
        <f t="shared" ca="1" si="89"/>
        <v>1220890.8990621362</v>
      </c>
      <c r="AL130" s="358">
        <f t="shared" ca="1" si="89"/>
        <v>1258806.8044761012</v>
      </c>
      <c r="AM130" s="358">
        <f t="shared" ca="1" si="89"/>
        <v>1297140.4221455904</v>
      </c>
      <c r="AN130" s="358">
        <f t="shared" ca="1" si="89"/>
        <v>1335893.5530410565</v>
      </c>
      <c r="AO130" s="358">
        <f t="shared" ca="1" si="89"/>
        <v>1375068.0498990589</v>
      </c>
      <c r="AP130" s="358">
        <f t="shared" ca="1" si="89"/>
        <v>1414665.8159402087</v>
      </c>
      <c r="AQ130" s="358">
        <f t="shared" ca="1" si="89"/>
        <v>1454688.803657352</v>
      </c>
      <c r="AR130" s="358">
        <f t="shared" ca="1" si="89"/>
        <v>1495139.01367002</v>
      </c>
      <c r="AS130" s="358">
        <f t="shared" ca="1" si="89"/>
        <v>1536018.4936413935</v>
      </c>
      <c r="AT130" s="358">
        <f t="shared" ca="1" si="89"/>
        <v>1577329.3372542653</v>
      </c>
      <c r="AV130" s="358">
        <f t="shared" ca="1" si="90"/>
        <v>2306393.9813943477</v>
      </c>
      <c r="AX130" s="358">
        <f t="shared" ca="1" si="91"/>
        <v>3042642.3231061902</v>
      </c>
      <c r="AZ130" s="358">
        <f t="shared" ca="1" si="92"/>
        <v>3828395.3780573225</v>
      </c>
      <c r="BB130" s="358">
        <f t="shared" ca="1" si="93"/>
        <v>4664037.5715270927</v>
      </c>
      <c r="BD130" s="358">
        <f t="shared" ca="1" si="94"/>
        <v>5550216.5922585679</v>
      </c>
      <c r="BF130" s="358">
        <f t="shared" ca="1" si="95"/>
        <v>6487799.7286239434</v>
      </c>
      <c r="BH130" s="358">
        <f t="shared" ca="1" si="96"/>
        <v>7477841.4641632391</v>
      </c>
    </row>
    <row r="131" spans="1:60" hidden="1" outlineLevel="1">
      <c r="A131" s="1464">
        <f t="shared" ref="A131:A158" si="97">A130</f>
        <v>18</v>
      </c>
      <c r="B131" s="1464">
        <f t="shared" ref="B131:B158" si="98">B130</f>
        <v>24</v>
      </c>
      <c r="C131" s="1464">
        <f t="shared" ref="C131:C158" si="99">C130+1</f>
        <v>3</v>
      </c>
      <c r="D131" s="1271" t="str">
        <f ca="1">IF(OFFSET(PortfolioDashboard!$A$3,C131-1,0)="","Blank",OFFSET(PortfolioDashboard!$A$3,C131-1,0))</f>
        <v>Space Planning &amp; Management</v>
      </c>
      <c r="E131" s="1464" t="str">
        <f t="shared" ref="E131:E158" si="100">E130</f>
        <v>2010$</v>
      </c>
      <c r="F131" s="1460">
        <f t="shared" ca="1" si="85"/>
        <v>28413659.32665414</v>
      </c>
      <c r="G131" s="358">
        <f t="shared" ca="1" si="86"/>
        <v>118034.82223678647</v>
      </c>
      <c r="H131" s="358">
        <f t="shared" ca="1" si="86"/>
        <v>237249.99269593926</v>
      </c>
      <c r="I131" s="358">
        <f t="shared" ca="1" si="86"/>
        <v>357654.36398912914</v>
      </c>
      <c r="J131" s="358">
        <f t="shared" ca="1" si="86"/>
        <v>479256.84774543199</v>
      </c>
      <c r="K131" s="358">
        <f t="shared" ca="1" si="86"/>
        <v>602066.41498019942</v>
      </c>
      <c r="L131" s="358">
        <f t="shared" ca="1" si="86"/>
        <v>726092.09646612115</v>
      </c>
      <c r="M131" s="358">
        <f t="shared" ca="1" si="86"/>
        <v>851342.98310652585</v>
      </c>
      <c r="N131" s="358">
        <f t="shared" ca="1" si="86"/>
        <v>977828.22631092474</v>
      </c>
      <c r="O131" s="358">
        <f t="shared" ca="1" si="86"/>
        <v>1105557.0383727879</v>
      </c>
      <c r="P131" s="358">
        <f t="shared" ca="1" si="86"/>
        <v>1234538.6928496137</v>
      </c>
      <c r="Q131" s="358">
        <f t="shared" ca="1" si="87"/>
        <v>1364782.524945247</v>
      </c>
      <c r="R131" s="358">
        <f t="shared" ca="1" si="87"/>
        <v>1496297.9318945168</v>
      </c>
      <c r="S131" s="358">
        <f t="shared" ca="1" si="87"/>
        <v>1629094.3733501553</v>
      </c>
      <c r="T131" s="358">
        <f t="shared" ca="1" si="87"/>
        <v>1763181.3717720516</v>
      </c>
      <c r="U131" s="358">
        <f t="shared" ca="1" si="87"/>
        <v>1898568.5128188347</v>
      </c>
      <c r="V131" s="358">
        <f t="shared" ca="1" si="87"/>
        <v>2035265.445741791</v>
      </c>
      <c r="W131" s="358">
        <f t="shared" ca="1" si="87"/>
        <v>2173281.8837811546</v>
      </c>
      <c r="X131" s="358">
        <f t="shared" ca="1" si="87"/>
        <v>2312627.6045647701</v>
      </c>
      <c r="Y131" s="358">
        <f t="shared" ca="1" si="87"/>
        <v>2453312.4505091254</v>
      </c>
      <c r="Z131" s="358">
        <f t="shared" ca="1" si="87"/>
        <v>2595346.3292228119</v>
      </c>
      <c r="AA131" s="358">
        <f t="shared" ca="1" si="88"/>
        <v>2738739.2139123715</v>
      </c>
      <c r="AB131" s="358">
        <f t="shared" ca="1" si="88"/>
        <v>2883501.1437905962</v>
      </c>
      <c r="AC131" s="358">
        <f t="shared" ca="1" si="88"/>
        <v>3029642.2244872567</v>
      </c>
      <c r="AD131" s="358">
        <f t="shared" ca="1" si="88"/>
        <v>3177172.6284622867</v>
      </c>
      <c r="AE131" s="358">
        <f t="shared" ca="1" si="88"/>
        <v>3326102.5954214577</v>
      </c>
      <c r="AF131" s="358">
        <f t="shared" ca="1" si="88"/>
        <v>3476442.4327345071</v>
      </c>
      <c r="AG131" s="358">
        <f t="shared" ca="1" si="88"/>
        <v>3628202.5158558008</v>
      </c>
      <c r="AH131" s="358">
        <f t="shared" ca="1" si="88"/>
        <v>3781393.2887474881</v>
      </c>
      <c r="AI131" s="358">
        <f t="shared" ca="1" si="88"/>
        <v>3936025.2643051976</v>
      </c>
      <c r="AJ131" s="358">
        <f t="shared" ca="1" si="88"/>
        <v>4092109.0247862665</v>
      </c>
      <c r="AK131" s="358">
        <f t="shared" ca="1" si="89"/>
        <v>4249655.2222405365</v>
      </c>
      <c r="AL131" s="358">
        <f t="shared" ca="1" si="89"/>
        <v>4408674.5789437294</v>
      </c>
      <c r="AM131" s="358">
        <f t="shared" ca="1" si="89"/>
        <v>4569177.8878333997</v>
      </c>
      <c r="AN131" s="358">
        <f t="shared" ca="1" si="89"/>
        <v>4731176.0129474914</v>
      </c>
      <c r="AO131" s="358">
        <f t="shared" ca="1" si="89"/>
        <v>4894679.8898655297</v>
      </c>
      <c r="AP131" s="358">
        <f t="shared" ca="1" si="89"/>
        <v>5059700.5261524254</v>
      </c>
      <c r="AQ131" s="358">
        <f t="shared" ca="1" si="89"/>
        <v>5226249.0018049395</v>
      </c>
      <c r="AR131" s="358">
        <f t="shared" ca="1" si="89"/>
        <v>5394336.4697008254</v>
      </c>
      <c r="AS131" s="358">
        <f t="shared" ca="1" si="89"/>
        <v>5563974.1560506281</v>
      </c>
      <c r="AT131" s="358">
        <f t="shared" ca="1" si="89"/>
        <v>5735173.3608521856</v>
      </c>
      <c r="AV131" s="358">
        <f t="shared" ca="1" si="90"/>
        <v>4895359.0371059729</v>
      </c>
      <c r="AX131" s="358">
        <f t="shared" ca="1" si="91"/>
        <v>8151924.7147808056</v>
      </c>
      <c r="AZ131" s="358">
        <f t="shared" ca="1" si="92"/>
        <v>11569833.713819653</v>
      </c>
      <c r="BB131" s="358">
        <f t="shared" ca="1" si="93"/>
        <v>15155157.806073969</v>
      </c>
      <c r="BD131" s="358">
        <f t="shared" ca="1" si="94"/>
        <v>18914172.526429262</v>
      </c>
      <c r="BF131" s="358">
        <f t="shared" ca="1" si="95"/>
        <v>22853363.591830686</v>
      </c>
      <c r="BH131" s="358">
        <f t="shared" ca="1" si="96"/>
        <v>26979433.514561001</v>
      </c>
    </row>
    <row r="132" spans="1:60" hidden="1" outlineLevel="1">
      <c r="A132" s="1464">
        <f t="shared" si="97"/>
        <v>18</v>
      </c>
      <c r="B132" s="1464">
        <f t="shared" si="98"/>
        <v>24</v>
      </c>
      <c r="C132" s="1464">
        <f t="shared" si="99"/>
        <v>4</v>
      </c>
      <c r="D132" s="1271" t="str">
        <f ca="1">IF(OFFSET(PortfolioDashboard!$A$3,C132-1,0)="","Blank",OFFSET(PortfolioDashboard!$A$3,C132-1,0))</f>
        <v>Central Chiller Expansion</v>
      </c>
      <c r="E132" s="1464" t="str">
        <f t="shared" si="100"/>
        <v>2010$</v>
      </c>
      <c r="F132" s="1460">
        <f t="shared" ca="1" si="85"/>
        <v>21754307.609112911</v>
      </c>
      <c r="G132" s="358">
        <f t="shared" ca="1" si="86"/>
        <v>0</v>
      </c>
      <c r="H132" s="358">
        <f t="shared" ca="1" si="86"/>
        <v>0</v>
      </c>
      <c r="I132" s="358">
        <f t="shared" ca="1" si="86"/>
        <v>661258.47897899977</v>
      </c>
      <c r="J132" s="358">
        <f t="shared" ca="1" si="86"/>
        <v>683024.50126559229</v>
      </c>
      <c r="K132" s="358">
        <f t="shared" ca="1" si="86"/>
        <v>1234772.1296956481</v>
      </c>
      <c r="L132" s="358">
        <f t="shared" ca="1" si="86"/>
        <v>1259590.779027988</v>
      </c>
      <c r="M132" s="358">
        <f t="shared" ca="1" si="86"/>
        <v>1471491.8891440243</v>
      </c>
      <c r="N132" s="358">
        <f t="shared" ca="1" si="86"/>
        <v>1497681.0512801618</v>
      </c>
      <c r="O132" s="358">
        <f t="shared" ca="1" si="86"/>
        <v>1524095.317740432</v>
      </c>
      <c r="P132" s="358">
        <f t="shared" ca="1" si="86"/>
        <v>1550736.2848390231</v>
      </c>
      <c r="Q132" s="358">
        <f t="shared" ca="1" si="87"/>
        <v>1577605.5592256561</v>
      </c>
      <c r="R132" s="358">
        <f t="shared" ca="1" si="87"/>
        <v>1604704.7579490347</v>
      </c>
      <c r="S132" s="358">
        <f t="shared" ca="1" si="87"/>
        <v>1632035.508520666</v>
      </c>
      <c r="T132" s="358">
        <f t="shared" ca="1" si="87"/>
        <v>1659599.4489790655</v>
      </c>
      <c r="U132" s="358">
        <f t="shared" ca="1" si="87"/>
        <v>1687398.2279543357</v>
      </c>
      <c r="V132" s="358">
        <f t="shared" ca="1" si="87"/>
        <v>1715433.5047331341</v>
      </c>
      <c r="W132" s="358">
        <f t="shared" ca="1" si="87"/>
        <v>1743706.9493240218</v>
      </c>
      <c r="X132" s="358">
        <f t="shared" ca="1" si="87"/>
        <v>1772220.2425232001</v>
      </c>
      <c r="Y132" s="358">
        <f t="shared" ca="1" si="87"/>
        <v>1800975.0759806368</v>
      </c>
      <c r="Z132" s="358">
        <f t="shared" ca="1" si="87"/>
        <v>1829973.1522665848</v>
      </c>
      <c r="AA132" s="358">
        <f t="shared" ca="1" si="88"/>
        <v>1859216.1849384932</v>
      </c>
      <c r="AB132" s="358">
        <f t="shared" ca="1" si="88"/>
        <v>1868512.265863185</v>
      </c>
      <c r="AC132" s="358">
        <f t="shared" ca="1" si="88"/>
        <v>1877854.8271925009</v>
      </c>
      <c r="AD132" s="358">
        <f t="shared" ca="1" si="88"/>
        <v>1887244.1013284628</v>
      </c>
      <c r="AE132" s="358">
        <f t="shared" ca="1" si="88"/>
        <v>1896680.3218351053</v>
      </c>
      <c r="AF132" s="358">
        <f t="shared" ca="1" si="88"/>
        <v>1906163.7234442804</v>
      </c>
      <c r="AG132" s="358">
        <f t="shared" ca="1" si="88"/>
        <v>1915694.5420615016</v>
      </c>
      <c r="AH132" s="358">
        <f t="shared" ca="1" si="88"/>
        <v>1925273.0147718086</v>
      </c>
      <c r="AI132" s="358">
        <f t="shared" ca="1" si="88"/>
        <v>1934899.3798456674</v>
      </c>
      <c r="AJ132" s="358">
        <f t="shared" ca="1" si="88"/>
        <v>1944573.8767448955</v>
      </c>
      <c r="AK132" s="358">
        <f t="shared" ca="1" si="89"/>
        <v>1954296.7461286199</v>
      </c>
      <c r="AL132" s="358">
        <f t="shared" ca="1" si="89"/>
        <v>1964068.2298592622</v>
      </c>
      <c r="AM132" s="358">
        <f t="shared" ca="1" si="89"/>
        <v>1973888.5710085582</v>
      </c>
      <c r="AN132" s="358">
        <f t="shared" ca="1" si="89"/>
        <v>1983758.0138636008</v>
      </c>
      <c r="AO132" s="358">
        <f t="shared" ca="1" si="89"/>
        <v>1993676.8039329187</v>
      </c>
      <c r="AP132" s="358">
        <f t="shared" ca="1" si="89"/>
        <v>2003645.187952583</v>
      </c>
      <c r="AQ132" s="358">
        <f t="shared" ca="1" si="89"/>
        <v>2013663.4138923453</v>
      </c>
      <c r="AR132" s="358">
        <f t="shared" ca="1" si="89"/>
        <v>2023731.7309618066</v>
      </c>
      <c r="AS132" s="358">
        <f t="shared" ca="1" si="89"/>
        <v>2033850.3896166154</v>
      </c>
      <c r="AT132" s="358">
        <f t="shared" ca="1" si="89"/>
        <v>2044019.6415646982</v>
      </c>
      <c r="AV132" s="358">
        <f t="shared" ca="1" si="90"/>
        <v>7303595.3220316293</v>
      </c>
      <c r="AX132" s="358">
        <f t="shared" ca="1" si="91"/>
        <v>8161343.5026287576</v>
      </c>
      <c r="AZ132" s="358">
        <f t="shared" ca="1" si="92"/>
        <v>8862308.9248275775</v>
      </c>
      <c r="BB132" s="358">
        <f t="shared" ca="1" si="93"/>
        <v>9389507.7011577487</v>
      </c>
      <c r="BD132" s="358">
        <f t="shared" ca="1" si="94"/>
        <v>9626604.536868155</v>
      </c>
      <c r="BF132" s="358">
        <f t="shared" ca="1" si="95"/>
        <v>9869688.3647929598</v>
      </c>
      <c r="BH132" s="358">
        <f t="shared" ca="1" si="96"/>
        <v>10118910.363988047</v>
      </c>
    </row>
    <row r="133" spans="1:60" hidden="1" outlineLevel="1">
      <c r="A133" s="1464">
        <f t="shared" si="97"/>
        <v>18</v>
      </c>
      <c r="B133" s="1464">
        <f t="shared" si="98"/>
        <v>24</v>
      </c>
      <c r="C133" s="1464">
        <f t="shared" si="99"/>
        <v>5</v>
      </c>
      <c r="D133" s="1271" t="str">
        <f ca="1">IF(OFFSET(PortfolioDashboard!$A$3,C133-1,0)="","Blank",OFFSET(PortfolioDashboard!$A$3,C133-1,0))</f>
        <v>Short-term Energy Conservation Measures</v>
      </c>
      <c r="E133" s="1464" t="str">
        <f t="shared" si="100"/>
        <v>2010$</v>
      </c>
      <c r="F133" s="1460">
        <f t="shared" ca="1" si="85"/>
        <v>7941603.621026027</v>
      </c>
      <c r="G133" s="358">
        <f t="shared" ca="1" si="86"/>
        <v>0</v>
      </c>
      <c r="H133" s="358">
        <f t="shared" ca="1" si="86"/>
        <v>112453.47</v>
      </c>
      <c r="I133" s="358">
        <f t="shared" ca="1" si="86"/>
        <v>226031.47469999993</v>
      </c>
      <c r="J133" s="358">
        <f t="shared" ca="1" si="86"/>
        <v>340742.44811024988</v>
      </c>
      <c r="K133" s="358">
        <f t="shared" ca="1" si="86"/>
        <v>456594.88046773471</v>
      </c>
      <c r="L133" s="358">
        <f t="shared" ca="1" si="86"/>
        <v>573597.31858759164</v>
      </c>
      <c r="M133" s="358">
        <f t="shared" ca="1" si="86"/>
        <v>576465.30518052948</v>
      </c>
      <c r="N133" s="358">
        <f t="shared" ca="1" si="86"/>
        <v>579347.63170643209</v>
      </c>
      <c r="O133" s="358">
        <f t="shared" ca="1" si="86"/>
        <v>582244.36986496416</v>
      </c>
      <c r="P133" s="358">
        <f t="shared" ca="1" si="86"/>
        <v>585155.59171428904</v>
      </c>
      <c r="Q133" s="358">
        <f t="shared" ca="1" si="87"/>
        <v>588081.36967286025</v>
      </c>
      <c r="R133" s="358">
        <f t="shared" ca="1" si="87"/>
        <v>591021.77652122453</v>
      </c>
      <c r="S133" s="358">
        <f t="shared" ca="1" si="87"/>
        <v>593976.88540383044</v>
      </c>
      <c r="T133" s="358">
        <f t="shared" ca="1" si="87"/>
        <v>596946.7698308496</v>
      </c>
      <c r="U133" s="358">
        <f t="shared" ca="1" si="87"/>
        <v>599931.50368000381</v>
      </c>
      <c r="V133" s="358">
        <f t="shared" ca="1" si="87"/>
        <v>602931.16119840369</v>
      </c>
      <c r="W133" s="358">
        <f t="shared" ca="1" si="87"/>
        <v>605945.81700439565</v>
      </c>
      <c r="X133" s="358">
        <f t="shared" ca="1" si="87"/>
        <v>608975.54608941753</v>
      </c>
      <c r="Y133" s="358">
        <f t="shared" ca="1" si="87"/>
        <v>612020.4238198644</v>
      </c>
      <c r="Z133" s="358">
        <f t="shared" ca="1" si="87"/>
        <v>615080.52593896363</v>
      </c>
      <c r="AA133" s="358">
        <f t="shared" ca="1" si="88"/>
        <v>618155.92856865842</v>
      </c>
      <c r="AB133" s="358">
        <f t="shared" ca="1" si="88"/>
        <v>621246.70821150148</v>
      </c>
      <c r="AC133" s="358">
        <f t="shared" ca="1" si="88"/>
        <v>624352.94175255904</v>
      </c>
      <c r="AD133" s="358">
        <f t="shared" ca="1" si="88"/>
        <v>627474.70646132168</v>
      </c>
      <c r="AE133" s="358">
        <f t="shared" ca="1" si="88"/>
        <v>630612.07999362831</v>
      </c>
      <c r="AF133" s="358">
        <f t="shared" ca="1" si="88"/>
        <v>633765.14039359626</v>
      </c>
      <c r="AG133" s="358">
        <f t="shared" ca="1" si="88"/>
        <v>636933.96609556419</v>
      </c>
      <c r="AH133" s="358">
        <f t="shared" ca="1" si="88"/>
        <v>640118.63592604187</v>
      </c>
      <c r="AI133" s="358">
        <f t="shared" ca="1" si="88"/>
        <v>643319.22910567198</v>
      </c>
      <c r="AJ133" s="358">
        <f t="shared" ca="1" si="88"/>
        <v>646535.82525120024</v>
      </c>
      <c r="AK133" s="358">
        <f t="shared" ca="1" si="89"/>
        <v>649768.50437745627</v>
      </c>
      <c r="AL133" s="358">
        <f t="shared" ca="1" si="89"/>
        <v>653017.34689934331</v>
      </c>
      <c r="AM133" s="358">
        <f t="shared" ca="1" si="89"/>
        <v>656282.43363383994</v>
      </c>
      <c r="AN133" s="358">
        <f t="shared" ca="1" si="89"/>
        <v>659563.84580200899</v>
      </c>
      <c r="AO133" s="358">
        <f t="shared" ca="1" si="89"/>
        <v>662861.66503101902</v>
      </c>
      <c r="AP133" s="358">
        <f t="shared" ca="1" si="89"/>
        <v>666175.97335617407</v>
      </c>
      <c r="AQ133" s="358">
        <f t="shared" ca="1" si="89"/>
        <v>669506.85322295467</v>
      </c>
      <c r="AR133" s="358">
        <f t="shared" ca="1" si="89"/>
        <v>672854.38748906937</v>
      </c>
      <c r="AS133" s="358">
        <f t="shared" ca="1" si="89"/>
        <v>676218.65942651464</v>
      </c>
      <c r="AT133" s="358">
        <f t="shared" ca="1" si="89"/>
        <v>679599.75272364705</v>
      </c>
      <c r="AV133" s="358">
        <f t="shared" ca="1" si="90"/>
        <v>2896810.2170538064</v>
      </c>
      <c r="AX133" s="358">
        <f t="shared" ca="1" si="91"/>
        <v>2969958.3051087684</v>
      </c>
      <c r="AZ133" s="358">
        <f t="shared" ca="1" si="92"/>
        <v>3044953.4740510448</v>
      </c>
      <c r="BB133" s="358">
        <f t="shared" ca="1" si="93"/>
        <v>3121842.364987669</v>
      </c>
      <c r="BD133" s="358">
        <f t="shared" ca="1" si="94"/>
        <v>3200672.7967720744</v>
      </c>
      <c r="BF133" s="358">
        <f t="shared" ca="1" si="95"/>
        <v>3281493.7957436675</v>
      </c>
      <c r="BH133" s="358">
        <f t="shared" ca="1" si="96"/>
        <v>3364355.6262183599</v>
      </c>
    </row>
    <row r="134" spans="1:60" hidden="1" outlineLevel="1">
      <c r="A134" s="1464">
        <f t="shared" si="97"/>
        <v>18</v>
      </c>
      <c r="B134" s="1464">
        <f t="shared" si="98"/>
        <v>24</v>
      </c>
      <c r="C134" s="1464">
        <f t="shared" si="99"/>
        <v>6</v>
      </c>
      <c r="D134" s="1271" t="str">
        <f ca="1">IF(OFFSET(PortfolioDashboard!$A$3,C134-1,0)="","Blank",OFFSET(PortfolioDashboard!$A$3,C134-1,0))</f>
        <v>Mid-term Energy Conservation Measures</v>
      </c>
      <c r="E134" s="1464" t="str">
        <f t="shared" si="100"/>
        <v>2010$</v>
      </c>
      <c r="F134" s="1460">
        <f t="shared" ca="1" si="85"/>
        <v>6781203.7732661581</v>
      </c>
      <c r="G134" s="358">
        <f t="shared" ca="1" si="86"/>
        <v>0</v>
      </c>
      <c r="H134" s="358">
        <f t="shared" ca="1" si="86"/>
        <v>0</v>
      </c>
      <c r="I134" s="358">
        <f t="shared" ca="1" si="86"/>
        <v>0</v>
      </c>
      <c r="J134" s="358">
        <f t="shared" ca="1" si="86"/>
        <v>0</v>
      </c>
      <c r="K134" s="358">
        <f t="shared" ca="1" si="86"/>
        <v>0</v>
      </c>
      <c r="L134" s="358">
        <f t="shared" ca="1" si="86"/>
        <v>0</v>
      </c>
      <c r="M134" s="358">
        <f t="shared" ca="1" si="86"/>
        <v>91096.31959144611</v>
      </c>
      <c r="N134" s="358">
        <f t="shared" ca="1" si="86"/>
        <v>183103.60237880665</v>
      </c>
      <c r="O134" s="358">
        <f t="shared" ca="1" si="86"/>
        <v>276028.68058605096</v>
      </c>
      <c r="P134" s="358">
        <f t="shared" ca="1" si="86"/>
        <v>369878.43198530836</v>
      </c>
      <c r="Q134" s="358">
        <f t="shared" ca="1" si="87"/>
        <v>464659.78018154344</v>
      </c>
      <c r="R134" s="358">
        <f t="shared" ca="1" si="87"/>
        <v>560379.69489894144</v>
      </c>
      <c r="S134" s="358">
        <f t="shared" ca="1" si="87"/>
        <v>657045.19226900849</v>
      </c>
      <c r="T134" s="358">
        <f t="shared" ca="1" si="87"/>
        <v>754663.33512040402</v>
      </c>
      <c r="U134" s="358">
        <f t="shared" ca="1" si="87"/>
        <v>758436.65179600602</v>
      </c>
      <c r="V134" s="358">
        <f t="shared" ca="1" si="87"/>
        <v>762228.83505498583</v>
      </c>
      <c r="W134" s="358">
        <f t="shared" ca="1" si="87"/>
        <v>766039.97923026071</v>
      </c>
      <c r="X134" s="358">
        <f t="shared" ca="1" si="87"/>
        <v>769870.17912641191</v>
      </c>
      <c r="Y134" s="358">
        <f t="shared" ca="1" si="87"/>
        <v>773719.53002204373</v>
      </c>
      <c r="Z134" s="358">
        <f t="shared" ca="1" si="87"/>
        <v>777588.12767215387</v>
      </c>
      <c r="AA134" s="358">
        <f t="shared" ca="1" si="88"/>
        <v>781476.06831051456</v>
      </c>
      <c r="AB134" s="358">
        <f t="shared" ca="1" si="88"/>
        <v>785383.44865206687</v>
      </c>
      <c r="AC134" s="358">
        <f t="shared" ca="1" si="88"/>
        <v>789310.36589532718</v>
      </c>
      <c r="AD134" s="358">
        <f t="shared" ca="1" si="88"/>
        <v>793256.91772480367</v>
      </c>
      <c r="AE134" s="358">
        <f t="shared" ca="1" si="88"/>
        <v>797223.2023134277</v>
      </c>
      <c r="AF134" s="358">
        <f t="shared" ca="1" si="88"/>
        <v>801209.31832499465</v>
      </c>
      <c r="AG134" s="358">
        <f t="shared" ca="1" si="88"/>
        <v>805215.36491661961</v>
      </c>
      <c r="AH134" s="358">
        <f t="shared" ca="1" si="88"/>
        <v>809241.44174120249</v>
      </c>
      <c r="AI134" s="358">
        <f t="shared" ca="1" si="88"/>
        <v>813287.64894990833</v>
      </c>
      <c r="AJ134" s="358">
        <f t="shared" ca="1" si="88"/>
        <v>817354.08719465777</v>
      </c>
      <c r="AK134" s="358">
        <f t="shared" ca="1" si="89"/>
        <v>821440.85763063096</v>
      </c>
      <c r="AL134" s="358">
        <f t="shared" ca="1" si="89"/>
        <v>825548.06191878382</v>
      </c>
      <c r="AM134" s="358">
        <f t="shared" ca="1" si="89"/>
        <v>829675.80222837767</v>
      </c>
      <c r="AN134" s="358">
        <f t="shared" ca="1" si="89"/>
        <v>833824.1812395195</v>
      </c>
      <c r="AO134" s="358">
        <f t="shared" ca="1" si="89"/>
        <v>837993.30214571697</v>
      </c>
      <c r="AP134" s="358">
        <f t="shared" ca="1" si="89"/>
        <v>842183.26865644543</v>
      </c>
      <c r="AQ134" s="358">
        <f t="shared" ca="1" si="89"/>
        <v>846394.18499972741</v>
      </c>
      <c r="AR134" s="358">
        <f t="shared" ca="1" si="89"/>
        <v>850626.15592472593</v>
      </c>
      <c r="AS134" s="358">
        <f t="shared" ca="1" si="89"/>
        <v>854879.28670434945</v>
      </c>
      <c r="AT134" s="358">
        <f t="shared" ca="1" si="89"/>
        <v>859153.68313787109</v>
      </c>
      <c r="AV134" s="358">
        <f t="shared" ca="1" si="90"/>
        <v>920107.03454161203</v>
      </c>
      <c r="AX134" s="358">
        <f t="shared" ca="1" si="91"/>
        <v>3195184.6542659034</v>
      </c>
      <c r="AZ134" s="358">
        <f t="shared" ca="1" si="92"/>
        <v>3849446.6511058561</v>
      </c>
      <c r="BB134" s="358">
        <f t="shared" ca="1" si="93"/>
        <v>3946650.0028961399</v>
      </c>
      <c r="BD134" s="358">
        <f t="shared" ca="1" si="94"/>
        <v>4046307.8611273831</v>
      </c>
      <c r="BF134" s="358">
        <f t="shared" ca="1" si="95"/>
        <v>4148482.205163029</v>
      </c>
      <c r="BH134" s="358">
        <f t="shared" ca="1" si="96"/>
        <v>4253236.5794231193</v>
      </c>
    </row>
    <row r="135" spans="1:60" hidden="1" outlineLevel="1">
      <c r="A135" s="1464">
        <f t="shared" si="97"/>
        <v>18</v>
      </c>
      <c r="B135" s="1464">
        <f t="shared" si="98"/>
        <v>24</v>
      </c>
      <c r="C135" s="1464">
        <f t="shared" si="99"/>
        <v>7</v>
      </c>
      <c r="D135" s="1271" t="str">
        <f ca="1">IF(OFFSET(PortfolioDashboard!$A$3,C135-1,0)="","Blank",OFFSET(PortfolioDashboard!$A$3,C135-1,0))</f>
        <v>Long-term Energy Conservation Measures</v>
      </c>
      <c r="E135" s="1464" t="str">
        <f t="shared" si="100"/>
        <v>2010$</v>
      </c>
      <c r="F135" s="1460">
        <f t="shared" ca="1" si="85"/>
        <v>1176257.0944922788</v>
      </c>
      <c r="G135" s="358">
        <f t="shared" ca="1" si="86"/>
        <v>0</v>
      </c>
      <c r="H135" s="358">
        <f t="shared" ca="1" si="86"/>
        <v>0</v>
      </c>
      <c r="I135" s="358">
        <f t="shared" ca="1" si="86"/>
        <v>0</v>
      </c>
      <c r="J135" s="358">
        <f t="shared" ca="1" si="86"/>
        <v>0</v>
      </c>
      <c r="K135" s="358">
        <f t="shared" ca="1" si="86"/>
        <v>0</v>
      </c>
      <c r="L135" s="358">
        <f t="shared" ca="1" si="86"/>
        <v>0</v>
      </c>
      <c r="M135" s="358">
        <f t="shared" ca="1" si="86"/>
        <v>0</v>
      </c>
      <c r="N135" s="358">
        <f t="shared" ca="1" si="86"/>
        <v>0</v>
      </c>
      <c r="O135" s="358">
        <f t="shared" ca="1" si="86"/>
        <v>0</v>
      </c>
      <c r="P135" s="358">
        <f t="shared" ca="1" si="86"/>
        <v>0</v>
      </c>
      <c r="Q135" s="358">
        <f t="shared" ca="1" si="87"/>
        <v>0</v>
      </c>
      <c r="R135" s="358">
        <f t="shared" ca="1" si="87"/>
        <v>0</v>
      </c>
      <c r="S135" s="358">
        <f t="shared" ca="1" si="87"/>
        <v>0</v>
      </c>
      <c r="T135" s="358">
        <f t="shared" ca="1" si="87"/>
        <v>0</v>
      </c>
      <c r="U135" s="358">
        <f t="shared" ca="1" si="87"/>
        <v>24281.639711387572</v>
      </c>
      <c r="V135" s="358">
        <f t="shared" ca="1" si="87"/>
        <v>48806.095819889008</v>
      </c>
      <c r="W135" s="358">
        <f t="shared" ca="1" si="87"/>
        <v>73575.189448482663</v>
      </c>
      <c r="X135" s="358">
        <f t="shared" ca="1" si="87"/>
        <v>98590.753860966768</v>
      </c>
      <c r="Y135" s="358">
        <f t="shared" ca="1" si="87"/>
        <v>123854.63453783948</v>
      </c>
      <c r="Z135" s="358">
        <f t="shared" ca="1" si="87"/>
        <v>149368.68925263439</v>
      </c>
      <c r="AA135" s="358">
        <f t="shared" ca="1" si="88"/>
        <v>175134.78814871382</v>
      </c>
      <c r="AB135" s="358">
        <f t="shared" ca="1" si="88"/>
        <v>201154.81381652266</v>
      </c>
      <c r="AC135" s="358">
        <f t="shared" ca="1" si="88"/>
        <v>227430.66137130593</v>
      </c>
      <c r="AD135" s="358">
        <f t="shared" ca="1" si="88"/>
        <v>253964.23853129157</v>
      </c>
      <c r="AE135" s="358">
        <f t="shared" ca="1" si="88"/>
        <v>255234.05972394807</v>
      </c>
      <c r="AF135" s="358">
        <f t="shared" ca="1" si="88"/>
        <v>256510.23002256773</v>
      </c>
      <c r="AG135" s="358">
        <f t="shared" ca="1" si="88"/>
        <v>257792.78117268055</v>
      </c>
      <c r="AH135" s="358">
        <f t="shared" ca="1" si="88"/>
        <v>259081.7450785439</v>
      </c>
      <c r="AI135" s="358">
        <f t="shared" ca="1" si="88"/>
        <v>260377.15380393656</v>
      </c>
      <c r="AJ135" s="358">
        <f t="shared" ca="1" si="88"/>
        <v>261679.03957295622</v>
      </c>
      <c r="AK135" s="358">
        <f t="shared" ca="1" si="89"/>
        <v>262987.43477082095</v>
      </c>
      <c r="AL135" s="358">
        <f t="shared" ca="1" si="89"/>
        <v>264302.37194467499</v>
      </c>
      <c r="AM135" s="358">
        <f t="shared" ca="1" si="89"/>
        <v>265623.8838043983</v>
      </c>
      <c r="AN135" s="358">
        <f t="shared" ca="1" si="89"/>
        <v>266952.0032234203</v>
      </c>
      <c r="AO135" s="358">
        <f t="shared" ca="1" si="89"/>
        <v>268286.76323953737</v>
      </c>
      <c r="AP135" s="358">
        <f t="shared" ca="1" si="89"/>
        <v>269628.19705573504</v>
      </c>
      <c r="AQ135" s="358">
        <f t="shared" ca="1" si="89"/>
        <v>270976.33804101363</v>
      </c>
      <c r="AR135" s="358">
        <f t="shared" ca="1" si="89"/>
        <v>272331.21973121865</v>
      </c>
      <c r="AS135" s="358">
        <f t="shared" ca="1" si="89"/>
        <v>273692.87582987471</v>
      </c>
      <c r="AT135" s="358">
        <f t="shared" ca="1" si="89"/>
        <v>275061.34020902403</v>
      </c>
      <c r="AV135" s="358">
        <f t="shared" ca="1" si="90"/>
        <v>0</v>
      </c>
      <c r="AX135" s="358">
        <f t="shared" ca="1" si="91"/>
        <v>24281.639711387572</v>
      </c>
      <c r="AZ135" s="358">
        <f t="shared" ca="1" si="92"/>
        <v>494195.36291981232</v>
      </c>
      <c r="BB135" s="358">
        <f t="shared" ca="1" si="93"/>
        <v>1112918.5615917821</v>
      </c>
      <c r="BD135" s="358">
        <f t="shared" ca="1" si="94"/>
        <v>1295440.9496506848</v>
      </c>
      <c r="BF135" s="358">
        <f t="shared" ca="1" si="95"/>
        <v>1328152.456982852</v>
      </c>
      <c r="BH135" s="358">
        <f t="shared" ca="1" si="96"/>
        <v>1361689.9708668662</v>
      </c>
    </row>
    <row r="136" spans="1:60" hidden="1" outlineLevel="1">
      <c r="A136" s="1464">
        <f t="shared" si="97"/>
        <v>18</v>
      </c>
      <c r="B136" s="1464">
        <f t="shared" si="98"/>
        <v>24</v>
      </c>
      <c r="C136" s="1464">
        <f t="shared" si="99"/>
        <v>8</v>
      </c>
      <c r="D136" s="1271" t="str">
        <f ca="1">IF(OFFSET(PortfolioDashboard!$A$3,C136-1,0)="","Blank",OFFSET(PortfolioDashboard!$A$3,C136-1,0))</f>
        <v>Green IT</v>
      </c>
      <c r="E136" s="1464" t="str">
        <f t="shared" si="100"/>
        <v>2010$</v>
      </c>
      <c r="F136" s="1460">
        <f t="shared" ca="1" si="85"/>
        <v>9910631.3744825535</v>
      </c>
      <c r="G136" s="358">
        <f t="shared" ca="1" si="86"/>
        <v>0</v>
      </c>
      <c r="H136" s="358">
        <f t="shared" ca="1" si="86"/>
        <v>0</v>
      </c>
      <c r="I136" s="358">
        <f t="shared" ca="1" si="86"/>
        <v>235520.99624999994</v>
      </c>
      <c r="J136" s="358">
        <f t="shared" ca="1" si="86"/>
        <v>473397.20246249984</v>
      </c>
      <c r="K136" s="358">
        <f t="shared" ca="1" si="86"/>
        <v>713646.28271221824</v>
      </c>
      <c r="L136" s="358">
        <f t="shared" ca="1" si="86"/>
        <v>717214.51412577927</v>
      </c>
      <c r="M136" s="358">
        <f t="shared" ca="1" si="86"/>
        <v>720800.58669640811</v>
      </c>
      <c r="N136" s="358">
        <f t="shared" ca="1" si="86"/>
        <v>724404.58962989005</v>
      </c>
      <c r="O136" s="358">
        <f t="shared" ca="1" si="86"/>
        <v>728026.61257803941</v>
      </c>
      <c r="P136" s="358">
        <f t="shared" ca="1" si="86"/>
        <v>731666.74564092956</v>
      </c>
      <c r="Q136" s="358">
        <f t="shared" ca="1" si="87"/>
        <v>735325.07936913404</v>
      </c>
      <c r="R136" s="358">
        <f t="shared" ca="1" si="87"/>
        <v>739001.70476597967</v>
      </c>
      <c r="S136" s="358">
        <f t="shared" ca="1" si="87"/>
        <v>742696.7132898093</v>
      </c>
      <c r="T136" s="358">
        <f t="shared" ca="1" si="87"/>
        <v>746410.19685625832</v>
      </c>
      <c r="U136" s="358">
        <f t="shared" ca="1" si="87"/>
        <v>750142.24784053955</v>
      </c>
      <c r="V136" s="358">
        <f t="shared" ca="1" si="87"/>
        <v>753892.95907974197</v>
      </c>
      <c r="W136" s="358">
        <f t="shared" ca="1" si="87"/>
        <v>757662.42387514061</v>
      </c>
      <c r="X136" s="358">
        <f t="shared" ca="1" si="87"/>
        <v>761450.73599451629</v>
      </c>
      <c r="Y136" s="358">
        <f t="shared" ca="1" si="87"/>
        <v>765257.98967448866</v>
      </c>
      <c r="Z136" s="358">
        <f t="shared" ca="1" si="87"/>
        <v>769084.27962286095</v>
      </c>
      <c r="AA136" s="358">
        <f t="shared" ca="1" si="88"/>
        <v>772929.70102097525</v>
      </c>
      <c r="AB136" s="358">
        <f t="shared" ca="1" si="88"/>
        <v>776794.34952607984</v>
      </c>
      <c r="AC136" s="358">
        <f t="shared" ca="1" si="88"/>
        <v>780678.32127371023</v>
      </c>
      <c r="AD136" s="358">
        <f t="shared" ca="1" si="88"/>
        <v>784581.71288007859</v>
      </c>
      <c r="AE136" s="358">
        <f t="shared" ca="1" si="88"/>
        <v>788504.6214444791</v>
      </c>
      <c r="AF136" s="358">
        <f t="shared" ca="1" si="88"/>
        <v>792447.14455170126</v>
      </c>
      <c r="AG136" s="358">
        <f t="shared" ca="1" si="88"/>
        <v>796409.38027445972</v>
      </c>
      <c r="AH136" s="358">
        <f t="shared" ca="1" si="88"/>
        <v>800391.42717583175</v>
      </c>
      <c r="AI136" s="358">
        <f t="shared" ca="1" si="88"/>
        <v>804393.38431171083</v>
      </c>
      <c r="AJ136" s="358">
        <f t="shared" ca="1" si="88"/>
        <v>808415.35123326932</v>
      </c>
      <c r="AK136" s="358">
        <f t="shared" ca="1" si="89"/>
        <v>812457.4279894355</v>
      </c>
      <c r="AL136" s="358">
        <f t="shared" ca="1" si="89"/>
        <v>816519.71512938244</v>
      </c>
      <c r="AM136" s="358">
        <f t="shared" ca="1" si="89"/>
        <v>820602.3137050292</v>
      </c>
      <c r="AN136" s="358">
        <f t="shared" ca="1" si="89"/>
        <v>824705.32527355431</v>
      </c>
      <c r="AO136" s="358">
        <f t="shared" ca="1" si="89"/>
        <v>828828.85189992201</v>
      </c>
      <c r="AP136" s="358">
        <f t="shared" ca="1" si="89"/>
        <v>832972.99615942151</v>
      </c>
      <c r="AQ136" s="358">
        <f t="shared" ca="1" si="89"/>
        <v>837137.86114021833</v>
      </c>
      <c r="AR136" s="358">
        <f t="shared" ca="1" si="89"/>
        <v>841323.55044591927</v>
      </c>
      <c r="AS136" s="358">
        <f t="shared" ca="1" si="89"/>
        <v>845530.16819814884</v>
      </c>
      <c r="AT136" s="358">
        <f t="shared" ca="1" si="89"/>
        <v>849757.81903913943</v>
      </c>
      <c r="AV136" s="358">
        <f t="shared" ca="1" si="90"/>
        <v>3622113.0486710463</v>
      </c>
      <c r="AX136" s="358">
        <f t="shared" ca="1" si="91"/>
        <v>3713575.9421217209</v>
      </c>
      <c r="AZ136" s="358">
        <f t="shared" ca="1" si="92"/>
        <v>3807348.3882467486</v>
      </c>
      <c r="BB136" s="358">
        <f t="shared" ca="1" si="93"/>
        <v>3903488.7061453229</v>
      </c>
      <c r="BD136" s="358">
        <f t="shared" ca="1" si="94"/>
        <v>4002056.6875469731</v>
      </c>
      <c r="BF136" s="358">
        <f t="shared" ca="1" si="95"/>
        <v>4103113.6339973235</v>
      </c>
      <c r="BH136" s="358">
        <f t="shared" ca="1" si="96"/>
        <v>4206722.3949828474</v>
      </c>
    </row>
    <row r="137" spans="1:60" hidden="1" outlineLevel="1">
      <c r="A137" s="1464">
        <f t="shared" si="97"/>
        <v>18</v>
      </c>
      <c r="B137" s="1464">
        <f t="shared" si="98"/>
        <v>24</v>
      </c>
      <c r="C137" s="1464">
        <f t="shared" si="99"/>
        <v>9</v>
      </c>
      <c r="D137" s="1271" t="str">
        <f ca="1">IF(OFFSET(PortfolioDashboard!$A$3,C137-1,0)="","Blank",OFFSET(PortfolioDashboard!$A$3,C137-1,0))</f>
        <v>Reduced Air Travel</v>
      </c>
      <c r="E137" s="1464" t="str">
        <f t="shared" si="100"/>
        <v>2010$</v>
      </c>
      <c r="F137" s="1460">
        <f t="shared" ca="1" si="85"/>
        <v>0</v>
      </c>
      <c r="G137" s="358">
        <f t="shared" ca="1" si="86"/>
        <v>0</v>
      </c>
      <c r="H137" s="358">
        <f t="shared" ca="1" si="86"/>
        <v>0</v>
      </c>
      <c r="I137" s="358">
        <f t="shared" ca="1" si="86"/>
        <v>0</v>
      </c>
      <c r="J137" s="358">
        <f t="shared" ca="1" si="86"/>
        <v>0</v>
      </c>
      <c r="K137" s="358">
        <f t="shared" ca="1" si="86"/>
        <v>0</v>
      </c>
      <c r="L137" s="358">
        <f t="shared" ca="1" si="86"/>
        <v>0</v>
      </c>
      <c r="M137" s="358">
        <f t="shared" ca="1" si="86"/>
        <v>0</v>
      </c>
      <c r="N137" s="358">
        <f t="shared" ca="1" si="86"/>
        <v>0</v>
      </c>
      <c r="O137" s="358">
        <f t="shared" ca="1" si="86"/>
        <v>0</v>
      </c>
      <c r="P137" s="358">
        <f t="shared" ca="1" si="86"/>
        <v>0</v>
      </c>
      <c r="Q137" s="358">
        <f t="shared" ca="1" si="87"/>
        <v>0</v>
      </c>
      <c r="R137" s="358">
        <f t="shared" ca="1" si="87"/>
        <v>0</v>
      </c>
      <c r="S137" s="358">
        <f t="shared" ca="1" si="87"/>
        <v>0</v>
      </c>
      <c r="T137" s="358">
        <f t="shared" ca="1" si="87"/>
        <v>0</v>
      </c>
      <c r="U137" s="358">
        <f t="shared" ca="1" si="87"/>
        <v>0</v>
      </c>
      <c r="V137" s="358">
        <f t="shared" ca="1" si="87"/>
        <v>0</v>
      </c>
      <c r="W137" s="358">
        <f t="shared" ca="1" si="87"/>
        <v>0</v>
      </c>
      <c r="X137" s="358">
        <f t="shared" ca="1" si="87"/>
        <v>0</v>
      </c>
      <c r="Y137" s="358">
        <f t="shared" ca="1" si="87"/>
        <v>0</v>
      </c>
      <c r="Z137" s="358">
        <f t="shared" ca="1" si="87"/>
        <v>0</v>
      </c>
      <c r="AA137" s="358">
        <f t="shared" ca="1" si="88"/>
        <v>0</v>
      </c>
      <c r="AB137" s="358">
        <f t="shared" ca="1" si="88"/>
        <v>0</v>
      </c>
      <c r="AC137" s="358">
        <f t="shared" ca="1" si="88"/>
        <v>0</v>
      </c>
      <c r="AD137" s="358">
        <f t="shared" ca="1" si="88"/>
        <v>0</v>
      </c>
      <c r="AE137" s="358">
        <f t="shared" ca="1" si="88"/>
        <v>0</v>
      </c>
      <c r="AF137" s="358">
        <f t="shared" ca="1" si="88"/>
        <v>0</v>
      </c>
      <c r="AG137" s="358">
        <f t="shared" ca="1" si="88"/>
        <v>0</v>
      </c>
      <c r="AH137" s="358">
        <f t="shared" ca="1" si="88"/>
        <v>0</v>
      </c>
      <c r="AI137" s="358">
        <f t="shared" ca="1" si="88"/>
        <v>0</v>
      </c>
      <c r="AJ137" s="358">
        <f t="shared" ca="1" si="88"/>
        <v>0</v>
      </c>
      <c r="AK137" s="358">
        <f t="shared" ca="1" si="89"/>
        <v>0</v>
      </c>
      <c r="AL137" s="358">
        <f t="shared" ca="1" si="89"/>
        <v>0</v>
      </c>
      <c r="AM137" s="358">
        <f t="shared" ca="1" si="89"/>
        <v>0</v>
      </c>
      <c r="AN137" s="358">
        <f t="shared" ca="1" si="89"/>
        <v>0</v>
      </c>
      <c r="AO137" s="358">
        <f t="shared" ca="1" si="89"/>
        <v>0</v>
      </c>
      <c r="AP137" s="358">
        <f t="shared" ca="1" si="89"/>
        <v>0</v>
      </c>
      <c r="AQ137" s="358">
        <f t="shared" ca="1" si="89"/>
        <v>0</v>
      </c>
      <c r="AR137" s="358">
        <f t="shared" ca="1" si="89"/>
        <v>0</v>
      </c>
      <c r="AS137" s="358">
        <f t="shared" ca="1" si="89"/>
        <v>0</v>
      </c>
      <c r="AT137" s="358">
        <f t="shared" ca="1" si="89"/>
        <v>0</v>
      </c>
      <c r="AV137" s="358">
        <f t="shared" ca="1" si="90"/>
        <v>0</v>
      </c>
      <c r="AX137" s="358">
        <f t="shared" ca="1" si="91"/>
        <v>0</v>
      </c>
      <c r="AZ137" s="358">
        <f t="shared" ca="1" si="92"/>
        <v>0</v>
      </c>
      <c r="BB137" s="358">
        <f t="shared" ca="1" si="93"/>
        <v>0</v>
      </c>
      <c r="BD137" s="358">
        <f t="shared" ca="1" si="94"/>
        <v>0</v>
      </c>
      <c r="BF137" s="358">
        <f t="shared" ca="1" si="95"/>
        <v>0</v>
      </c>
      <c r="BH137" s="358">
        <f t="shared" ca="1" si="96"/>
        <v>0</v>
      </c>
    </row>
    <row r="138" spans="1:60" hidden="1" outlineLevel="1">
      <c r="A138" s="1464">
        <f t="shared" si="97"/>
        <v>18</v>
      </c>
      <c r="B138" s="1464">
        <f t="shared" si="98"/>
        <v>24</v>
      </c>
      <c r="C138" s="1464">
        <f t="shared" si="99"/>
        <v>10</v>
      </c>
      <c r="D138" s="1271" t="str">
        <f ca="1">IF(OFFSET(PortfolioDashboard!$A$3,C138-1,0)="","Blank",OFFSET(PortfolioDashboard!$A$3,C138-1,0))</f>
        <v>Reduced Automobile Reliance Strategies</v>
      </c>
      <c r="E138" s="1464" t="str">
        <f t="shared" si="100"/>
        <v>2010$</v>
      </c>
      <c r="F138" s="1460">
        <f t="shared" ca="1" si="85"/>
        <v>0</v>
      </c>
      <c r="G138" s="358">
        <f t="shared" ca="1" si="86"/>
        <v>0</v>
      </c>
      <c r="H138" s="358">
        <f t="shared" ca="1" si="86"/>
        <v>0</v>
      </c>
      <c r="I138" s="358">
        <f t="shared" ca="1" si="86"/>
        <v>0</v>
      </c>
      <c r="J138" s="358">
        <f t="shared" ca="1" si="86"/>
        <v>0</v>
      </c>
      <c r="K138" s="358">
        <f t="shared" ca="1" si="86"/>
        <v>0</v>
      </c>
      <c r="L138" s="358">
        <f t="shared" ca="1" si="86"/>
        <v>0</v>
      </c>
      <c r="M138" s="358">
        <f t="shared" ca="1" si="86"/>
        <v>0</v>
      </c>
      <c r="N138" s="358">
        <f t="shared" ca="1" si="86"/>
        <v>0</v>
      </c>
      <c r="O138" s="358">
        <f t="shared" ca="1" si="86"/>
        <v>0</v>
      </c>
      <c r="P138" s="358">
        <f t="shared" ca="1" si="86"/>
        <v>0</v>
      </c>
      <c r="Q138" s="358">
        <f t="shared" ca="1" si="87"/>
        <v>0</v>
      </c>
      <c r="R138" s="358">
        <f t="shared" ca="1" si="87"/>
        <v>0</v>
      </c>
      <c r="S138" s="358">
        <f t="shared" ca="1" si="87"/>
        <v>0</v>
      </c>
      <c r="T138" s="358">
        <f t="shared" ca="1" si="87"/>
        <v>0</v>
      </c>
      <c r="U138" s="358">
        <f t="shared" ca="1" si="87"/>
        <v>0</v>
      </c>
      <c r="V138" s="358">
        <f t="shared" ca="1" si="87"/>
        <v>0</v>
      </c>
      <c r="W138" s="358">
        <f t="shared" ca="1" si="87"/>
        <v>0</v>
      </c>
      <c r="X138" s="358">
        <f t="shared" ca="1" si="87"/>
        <v>0</v>
      </c>
      <c r="Y138" s="358">
        <f t="shared" ca="1" si="87"/>
        <v>0</v>
      </c>
      <c r="Z138" s="358">
        <f t="shared" ca="1" si="87"/>
        <v>0</v>
      </c>
      <c r="AA138" s="358">
        <f t="shared" ca="1" si="88"/>
        <v>0</v>
      </c>
      <c r="AB138" s="358">
        <f t="shared" ca="1" si="88"/>
        <v>0</v>
      </c>
      <c r="AC138" s="358">
        <f t="shared" ca="1" si="88"/>
        <v>0</v>
      </c>
      <c r="AD138" s="358">
        <f t="shared" ca="1" si="88"/>
        <v>0</v>
      </c>
      <c r="AE138" s="358">
        <f t="shared" ca="1" si="88"/>
        <v>0</v>
      </c>
      <c r="AF138" s="358">
        <f t="shared" ca="1" si="88"/>
        <v>0</v>
      </c>
      <c r="AG138" s="358">
        <f t="shared" ca="1" si="88"/>
        <v>0</v>
      </c>
      <c r="AH138" s="358">
        <f t="shared" ca="1" si="88"/>
        <v>0</v>
      </c>
      <c r="AI138" s="358">
        <f t="shared" ca="1" si="88"/>
        <v>0</v>
      </c>
      <c r="AJ138" s="358">
        <f t="shared" ca="1" si="88"/>
        <v>0</v>
      </c>
      <c r="AK138" s="358">
        <f t="shared" ca="1" si="89"/>
        <v>0</v>
      </c>
      <c r="AL138" s="358">
        <f t="shared" ca="1" si="89"/>
        <v>0</v>
      </c>
      <c r="AM138" s="358">
        <f t="shared" ca="1" si="89"/>
        <v>0</v>
      </c>
      <c r="AN138" s="358">
        <f t="shared" ca="1" si="89"/>
        <v>0</v>
      </c>
      <c r="AO138" s="358">
        <f t="shared" ca="1" si="89"/>
        <v>0</v>
      </c>
      <c r="AP138" s="358">
        <f t="shared" ca="1" si="89"/>
        <v>0</v>
      </c>
      <c r="AQ138" s="358">
        <f t="shared" ca="1" si="89"/>
        <v>0</v>
      </c>
      <c r="AR138" s="358">
        <f t="shared" ca="1" si="89"/>
        <v>0</v>
      </c>
      <c r="AS138" s="358">
        <f t="shared" ca="1" si="89"/>
        <v>0</v>
      </c>
      <c r="AT138" s="358">
        <f t="shared" ca="1" si="89"/>
        <v>0</v>
      </c>
      <c r="AV138" s="358">
        <f t="shared" ca="1" si="90"/>
        <v>0</v>
      </c>
      <c r="AX138" s="358">
        <f t="shared" ca="1" si="91"/>
        <v>0</v>
      </c>
      <c r="AZ138" s="358">
        <f t="shared" ca="1" si="92"/>
        <v>0</v>
      </c>
      <c r="BB138" s="358">
        <f t="shared" ca="1" si="93"/>
        <v>0</v>
      </c>
      <c r="BD138" s="358">
        <f t="shared" ca="1" si="94"/>
        <v>0</v>
      </c>
      <c r="BF138" s="358">
        <f t="shared" ca="1" si="95"/>
        <v>0</v>
      </c>
      <c r="BH138" s="358">
        <f t="shared" ca="1" si="96"/>
        <v>0</v>
      </c>
    </row>
    <row r="139" spans="1:60" hidden="1" outlineLevel="1">
      <c r="A139" s="1464">
        <f t="shared" si="97"/>
        <v>18</v>
      </c>
      <c r="B139" s="1464">
        <f t="shared" si="98"/>
        <v>24</v>
      </c>
      <c r="C139" s="1464">
        <f t="shared" si="99"/>
        <v>11</v>
      </c>
      <c r="D139" s="1271" t="str">
        <f ca="1">IF(OFFSET(PortfolioDashboard!$A$3,C139-1,0)="","Blank",OFFSET(PortfolioDashboard!$A$3,C139-1,0))</f>
        <v>Waste Reduction</v>
      </c>
      <c r="E139" s="1464" t="str">
        <f t="shared" si="100"/>
        <v>2010$</v>
      </c>
      <c r="F139" s="1460">
        <f t="shared" ca="1" si="85"/>
        <v>0</v>
      </c>
      <c r="G139" s="358">
        <f t="shared" ref="G139:P148" ca="1" si="101">IFERROR(OFFSET(INDIRECT(INDEX(List_of_Alternatives,MATCH($D139,NameofAlternatives,0))),$A139+G$1-$G$1,$B139),0)</f>
        <v>0</v>
      </c>
      <c r="H139" s="358">
        <f t="shared" ca="1" si="101"/>
        <v>0</v>
      </c>
      <c r="I139" s="358">
        <f t="shared" ca="1" si="101"/>
        <v>0</v>
      </c>
      <c r="J139" s="358">
        <f t="shared" ca="1" si="101"/>
        <v>0</v>
      </c>
      <c r="K139" s="358">
        <f t="shared" ca="1" si="101"/>
        <v>0</v>
      </c>
      <c r="L139" s="358">
        <f t="shared" ca="1" si="101"/>
        <v>0</v>
      </c>
      <c r="M139" s="358">
        <f t="shared" ca="1" si="101"/>
        <v>0</v>
      </c>
      <c r="N139" s="358">
        <f t="shared" ca="1" si="101"/>
        <v>0</v>
      </c>
      <c r="O139" s="358">
        <f t="shared" ca="1" si="101"/>
        <v>0</v>
      </c>
      <c r="P139" s="358">
        <f t="shared" ca="1" si="101"/>
        <v>0</v>
      </c>
      <c r="Q139" s="358">
        <f t="shared" ref="Q139:Z148" ca="1" si="102">IFERROR(OFFSET(INDIRECT(INDEX(List_of_Alternatives,MATCH($D139,NameofAlternatives,0))),$A139+Q$1-$G$1,$B139),0)</f>
        <v>0</v>
      </c>
      <c r="R139" s="358">
        <f t="shared" ca="1" si="102"/>
        <v>0</v>
      </c>
      <c r="S139" s="358">
        <f t="shared" ca="1" si="102"/>
        <v>0</v>
      </c>
      <c r="T139" s="358">
        <f t="shared" ca="1" si="102"/>
        <v>0</v>
      </c>
      <c r="U139" s="358">
        <f t="shared" ca="1" si="102"/>
        <v>0</v>
      </c>
      <c r="V139" s="358">
        <f t="shared" ca="1" si="102"/>
        <v>0</v>
      </c>
      <c r="W139" s="358">
        <f t="shared" ca="1" si="102"/>
        <v>0</v>
      </c>
      <c r="X139" s="358">
        <f t="shared" ca="1" si="102"/>
        <v>0</v>
      </c>
      <c r="Y139" s="358">
        <f t="shared" ca="1" si="102"/>
        <v>0</v>
      </c>
      <c r="Z139" s="358">
        <f t="shared" ca="1" si="102"/>
        <v>0</v>
      </c>
      <c r="AA139" s="358">
        <f t="shared" ref="AA139:AJ148" ca="1" si="103">IFERROR(OFFSET(INDIRECT(INDEX(List_of_Alternatives,MATCH($D139,NameofAlternatives,0))),$A139+AA$1-$G$1,$B139),0)</f>
        <v>0</v>
      </c>
      <c r="AB139" s="358">
        <f t="shared" ca="1" si="103"/>
        <v>0</v>
      </c>
      <c r="AC139" s="358">
        <f t="shared" ca="1" si="103"/>
        <v>0</v>
      </c>
      <c r="AD139" s="358">
        <f t="shared" ca="1" si="103"/>
        <v>0</v>
      </c>
      <c r="AE139" s="358">
        <f t="shared" ca="1" si="103"/>
        <v>0</v>
      </c>
      <c r="AF139" s="358">
        <f t="shared" ca="1" si="103"/>
        <v>0</v>
      </c>
      <c r="AG139" s="358">
        <f t="shared" ca="1" si="103"/>
        <v>0</v>
      </c>
      <c r="AH139" s="358">
        <f t="shared" ca="1" si="103"/>
        <v>0</v>
      </c>
      <c r="AI139" s="358">
        <f t="shared" ca="1" si="103"/>
        <v>0</v>
      </c>
      <c r="AJ139" s="358">
        <f t="shared" ca="1" si="103"/>
        <v>0</v>
      </c>
      <c r="AK139" s="358">
        <f t="shared" ref="AK139:AT148" ca="1" si="104">IFERROR(OFFSET(INDIRECT(INDEX(List_of_Alternatives,MATCH($D139,NameofAlternatives,0))),$A139+AK$1-$G$1,$B139),0)</f>
        <v>0</v>
      </c>
      <c r="AL139" s="358">
        <f t="shared" ca="1" si="104"/>
        <v>0</v>
      </c>
      <c r="AM139" s="358">
        <f t="shared" ca="1" si="104"/>
        <v>0</v>
      </c>
      <c r="AN139" s="358">
        <f t="shared" ca="1" si="104"/>
        <v>0</v>
      </c>
      <c r="AO139" s="358">
        <f t="shared" ca="1" si="104"/>
        <v>0</v>
      </c>
      <c r="AP139" s="358">
        <f t="shared" ca="1" si="104"/>
        <v>0</v>
      </c>
      <c r="AQ139" s="358">
        <f t="shared" ca="1" si="104"/>
        <v>0</v>
      </c>
      <c r="AR139" s="358">
        <f t="shared" ca="1" si="104"/>
        <v>0</v>
      </c>
      <c r="AS139" s="358">
        <f t="shared" ca="1" si="104"/>
        <v>0</v>
      </c>
      <c r="AT139" s="358">
        <f t="shared" ca="1" si="104"/>
        <v>0</v>
      </c>
      <c r="AV139" s="358">
        <f t="shared" ca="1" si="90"/>
        <v>0</v>
      </c>
      <c r="AX139" s="358">
        <f t="shared" ca="1" si="91"/>
        <v>0</v>
      </c>
      <c r="AZ139" s="358">
        <f t="shared" ca="1" si="92"/>
        <v>0</v>
      </c>
      <c r="BB139" s="358">
        <f t="shared" ca="1" si="93"/>
        <v>0</v>
      </c>
      <c r="BD139" s="358">
        <f t="shared" ca="1" si="94"/>
        <v>0</v>
      </c>
      <c r="BF139" s="358">
        <f t="shared" ca="1" si="95"/>
        <v>0</v>
      </c>
      <c r="BH139" s="358">
        <f t="shared" ca="1" si="96"/>
        <v>0</v>
      </c>
    </row>
    <row r="140" spans="1:60" hidden="1" outlineLevel="1">
      <c r="A140" s="1464">
        <f t="shared" si="97"/>
        <v>18</v>
      </c>
      <c r="B140" s="1464">
        <f t="shared" si="98"/>
        <v>24</v>
      </c>
      <c r="C140" s="1464">
        <f t="shared" si="99"/>
        <v>12</v>
      </c>
      <c r="D140" s="1271" t="str">
        <f ca="1">IF(OFFSET(PortfolioDashboard!$A$3,C140-1,0)="","Blank",OFFSET(PortfolioDashboard!$A$3,C140-1,0))</f>
        <v>Steam Line Improvements</v>
      </c>
      <c r="E140" s="1464" t="str">
        <f t="shared" si="100"/>
        <v>2010$</v>
      </c>
      <c r="F140" s="1460">
        <f t="shared" ca="1" si="85"/>
        <v>0</v>
      </c>
      <c r="G140" s="358">
        <f t="shared" ca="1" si="101"/>
        <v>0</v>
      </c>
      <c r="H140" s="358">
        <f t="shared" ca="1" si="101"/>
        <v>0</v>
      </c>
      <c r="I140" s="358">
        <f t="shared" ca="1" si="101"/>
        <v>0</v>
      </c>
      <c r="J140" s="358">
        <f t="shared" ca="1" si="101"/>
        <v>0</v>
      </c>
      <c r="K140" s="358">
        <f t="shared" ca="1" si="101"/>
        <v>0</v>
      </c>
      <c r="L140" s="358">
        <f t="shared" ca="1" si="101"/>
        <v>0</v>
      </c>
      <c r="M140" s="358">
        <f t="shared" ca="1" si="101"/>
        <v>0</v>
      </c>
      <c r="N140" s="358">
        <f t="shared" ca="1" si="101"/>
        <v>0</v>
      </c>
      <c r="O140" s="358">
        <f t="shared" ca="1" si="101"/>
        <v>0</v>
      </c>
      <c r="P140" s="358">
        <f t="shared" ca="1" si="101"/>
        <v>0</v>
      </c>
      <c r="Q140" s="358">
        <f t="shared" ca="1" si="102"/>
        <v>0</v>
      </c>
      <c r="R140" s="358">
        <f t="shared" ca="1" si="102"/>
        <v>0</v>
      </c>
      <c r="S140" s="358">
        <f t="shared" ca="1" si="102"/>
        <v>0</v>
      </c>
      <c r="T140" s="358">
        <f t="shared" ca="1" si="102"/>
        <v>0</v>
      </c>
      <c r="U140" s="358">
        <f t="shared" ca="1" si="102"/>
        <v>0</v>
      </c>
      <c r="V140" s="358">
        <f t="shared" ca="1" si="102"/>
        <v>0</v>
      </c>
      <c r="W140" s="358">
        <f t="shared" ca="1" si="102"/>
        <v>0</v>
      </c>
      <c r="X140" s="358">
        <f t="shared" ca="1" si="102"/>
        <v>0</v>
      </c>
      <c r="Y140" s="358">
        <f t="shared" ca="1" si="102"/>
        <v>0</v>
      </c>
      <c r="Z140" s="358">
        <f t="shared" ca="1" si="102"/>
        <v>0</v>
      </c>
      <c r="AA140" s="358">
        <f t="shared" ca="1" si="103"/>
        <v>0</v>
      </c>
      <c r="AB140" s="358">
        <f t="shared" ca="1" si="103"/>
        <v>0</v>
      </c>
      <c r="AC140" s="358">
        <f t="shared" ca="1" si="103"/>
        <v>0</v>
      </c>
      <c r="AD140" s="358">
        <f t="shared" ca="1" si="103"/>
        <v>0</v>
      </c>
      <c r="AE140" s="358">
        <f t="shared" ca="1" si="103"/>
        <v>0</v>
      </c>
      <c r="AF140" s="358">
        <f t="shared" ca="1" si="103"/>
        <v>0</v>
      </c>
      <c r="AG140" s="358">
        <f t="shared" ca="1" si="103"/>
        <v>0</v>
      </c>
      <c r="AH140" s="358">
        <f t="shared" ca="1" si="103"/>
        <v>0</v>
      </c>
      <c r="AI140" s="358">
        <f t="shared" ca="1" si="103"/>
        <v>0</v>
      </c>
      <c r="AJ140" s="358">
        <f t="shared" ca="1" si="103"/>
        <v>0</v>
      </c>
      <c r="AK140" s="358">
        <f t="shared" ca="1" si="104"/>
        <v>0</v>
      </c>
      <c r="AL140" s="358">
        <f t="shared" ca="1" si="104"/>
        <v>0</v>
      </c>
      <c r="AM140" s="358">
        <f t="shared" ca="1" si="104"/>
        <v>0</v>
      </c>
      <c r="AN140" s="358">
        <f t="shared" ca="1" si="104"/>
        <v>0</v>
      </c>
      <c r="AO140" s="358">
        <f t="shared" ca="1" si="104"/>
        <v>0</v>
      </c>
      <c r="AP140" s="358">
        <f t="shared" ca="1" si="104"/>
        <v>0</v>
      </c>
      <c r="AQ140" s="358">
        <f t="shared" ca="1" si="104"/>
        <v>0</v>
      </c>
      <c r="AR140" s="358">
        <f t="shared" ca="1" si="104"/>
        <v>0</v>
      </c>
      <c r="AS140" s="358">
        <f t="shared" ca="1" si="104"/>
        <v>0</v>
      </c>
      <c r="AT140" s="358">
        <f t="shared" ca="1" si="104"/>
        <v>0</v>
      </c>
      <c r="AV140" s="358">
        <f t="shared" ca="1" si="90"/>
        <v>0</v>
      </c>
      <c r="AX140" s="358">
        <f t="shared" ca="1" si="91"/>
        <v>0</v>
      </c>
      <c r="AZ140" s="358">
        <f t="shared" ca="1" si="92"/>
        <v>0</v>
      </c>
      <c r="BB140" s="358">
        <f t="shared" ca="1" si="93"/>
        <v>0</v>
      </c>
      <c r="BD140" s="358">
        <f t="shared" ca="1" si="94"/>
        <v>0</v>
      </c>
      <c r="BF140" s="358">
        <f t="shared" ca="1" si="95"/>
        <v>0</v>
      </c>
      <c r="BH140" s="358">
        <f t="shared" ca="1" si="96"/>
        <v>0</v>
      </c>
    </row>
    <row r="141" spans="1:60" hidden="1" outlineLevel="1">
      <c r="A141" s="1464">
        <f t="shared" si="97"/>
        <v>18</v>
      </c>
      <c r="B141" s="1464">
        <f t="shared" si="98"/>
        <v>24</v>
      </c>
      <c r="C141" s="1464">
        <f t="shared" si="99"/>
        <v>13</v>
      </c>
      <c r="D141" s="1271" t="str">
        <f ca="1">IF(OFFSET(PortfolioDashboard!$A$3,C141-1,0)="","Blank",OFFSET(PortfolioDashboard!$A$3,C141-1,0))</f>
        <v>Coal to Natural Gas Conversion @ Steam Plant</v>
      </c>
      <c r="E141" s="1464" t="str">
        <f t="shared" si="100"/>
        <v>2010$</v>
      </c>
      <c r="F141" s="1460">
        <f t="shared" ca="1" si="85"/>
        <v>0</v>
      </c>
      <c r="G141" s="358">
        <f t="shared" ca="1" si="101"/>
        <v>0</v>
      </c>
      <c r="H141" s="358">
        <f t="shared" ca="1" si="101"/>
        <v>0</v>
      </c>
      <c r="I141" s="358">
        <f t="shared" ca="1" si="101"/>
        <v>0</v>
      </c>
      <c r="J141" s="358">
        <f t="shared" ca="1" si="101"/>
        <v>0</v>
      </c>
      <c r="K141" s="358">
        <f t="shared" ca="1" si="101"/>
        <v>0</v>
      </c>
      <c r="L141" s="358">
        <f t="shared" ca="1" si="101"/>
        <v>0</v>
      </c>
      <c r="M141" s="358">
        <f t="shared" ca="1" si="101"/>
        <v>0</v>
      </c>
      <c r="N141" s="358">
        <f t="shared" ca="1" si="101"/>
        <v>0</v>
      </c>
      <c r="O141" s="358">
        <f t="shared" ca="1" si="101"/>
        <v>0</v>
      </c>
      <c r="P141" s="358">
        <f t="shared" ca="1" si="101"/>
        <v>0</v>
      </c>
      <c r="Q141" s="358">
        <f t="shared" ca="1" si="102"/>
        <v>0</v>
      </c>
      <c r="R141" s="358">
        <f t="shared" ca="1" si="102"/>
        <v>0</v>
      </c>
      <c r="S141" s="358">
        <f t="shared" ca="1" si="102"/>
        <v>0</v>
      </c>
      <c r="T141" s="358">
        <f t="shared" ca="1" si="102"/>
        <v>0</v>
      </c>
      <c r="U141" s="358">
        <f t="shared" ca="1" si="102"/>
        <v>0</v>
      </c>
      <c r="V141" s="358">
        <f t="shared" ca="1" si="102"/>
        <v>0</v>
      </c>
      <c r="W141" s="358">
        <f t="shared" ca="1" si="102"/>
        <v>0</v>
      </c>
      <c r="X141" s="358">
        <f t="shared" ca="1" si="102"/>
        <v>0</v>
      </c>
      <c r="Y141" s="358">
        <f t="shared" ca="1" si="102"/>
        <v>0</v>
      </c>
      <c r="Z141" s="358">
        <f t="shared" ca="1" si="102"/>
        <v>0</v>
      </c>
      <c r="AA141" s="358">
        <f t="shared" ca="1" si="103"/>
        <v>0</v>
      </c>
      <c r="AB141" s="358">
        <f t="shared" ca="1" si="103"/>
        <v>0</v>
      </c>
      <c r="AC141" s="358">
        <f t="shared" ca="1" si="103"/>
        <v>0</v>
      </c>
      <c r="AD141" s="358">
        <f t="shared" ca="1" si="103"/>
        <v>0</v>
      </c>
      <c r="AE141" s="358">
        <f t="shared" ca="1" si="103"/>
        <v>0</v>
      </c>
      <c r="AF141" s="358">
        <f t="shared" ca="1" si="103"/>
        <v>0</v>
      </c>
      <c r="AG141" s="358">
        <f t="shared" ca="1" si="103"/>
        <v>0</v>
      </c>
      <c r="AH141" s="358">
        <f t="shared" ca="1" si="103"/>
        <v>0</v>
      </c>
      <c r="AI141" s="358">
        <f t="shared" ca="1" si="103"/>
        <v>0</v>
      </c>
      <c r="AJ141" s="358">
        <f t="shared" ca="1" si="103"/>
        <v>0</v>
      </c>
      <c r="AK141" s="358">
        <f t="shared" ca="1" si="104"/>
        <v>0</v>
      </c>
      <c r="AL141" s="358">
        <f t="shared" ca="1" si="104"/>
        <v>0</v>
      </c>
      <c r="AM141" s="358">
        <f t="shared" ca="1" si="104"/>
        <v>0</v>
      </c>
      <c r="AN141" s="358">
        <f t="shared" ca="1" si="104"/>
        <v>0</v>
      </c>
      <c r="AO141" s="358">
        <f t="shared" ca="1" si="104"/>
        <v>0</v>
      </c>
      <c r="AP141" s="358">
        <f t="shared" ca="1" si="104"/>
        <v>0</v>
      </c>
      <c r="AQ141" s="358">
        <f t="shared" ca="1" si="104"/>
        <v>0</v>
      </c>
      <c r="AR141" s="358">
        <f t="shared" ca="1" si="104"/>
        <v>0</v>
      </c>
      <c r="AS141" s="358">
        <f t="shared" ca="1" si="104"/>
        <v>0</v>
      </c>
      <c r="AT141" s="358">
        <f t="shared" ca="1" si="104"/>
        <v>0</v>
      </c>
      <c r="AV141" s="358">
        <f t="shared" ca="1" si="90"/>
        <v>0</v>
      </c>
      <c r="AX141" s="358">
        <f t="shared" ca="1" si="91"/>
        <v>0</v>
      </c>
      <c r="AZ141" s="358">
        <f t="shared" ca="1" si="92"/>
        <v>0</v>
      </c>
      <c r="BB141" s="358">
        <f t="shared" ca="1" si="93"/>
        <v>0</v>
      </c>
      <c r="BD141" s="358">
        <f t="shared" ca="1" si="94"/>
        <v>0</v>
      </c>
      <c r="BF141" s="358">
        <f t="shared" ca="1" si="95"/>
        <v>0</v>
      </c>
      <c r="BH141" s="358">
        <f t="shared" ca="1" si="96"/>
        <v>0</v>
      </c>
    </row>
    <row r="142" spans="1:60" hidden="1" outlineLevel="1">
      <c r="A142" s="1464">
        <f t="shared" si="97"/>
        <v>18</v>
      </c>
      <c r="B142" s="1464">
        <f t="shared" si="98"/>
        <v>24</v>
      </c>
      <c r="C142" s="1464">
        <f t="shared" si="99"/>
        <v>14</v>
      </c>
      <c r="D142" s="1271" t="str">
        <f ca="1">IF(OFFSET(PortfolioDashboard!$A$3,C142-1,0)="","Blank",OFFSET(PortfolioDashboard!$A$3,C142-1,0))</f>
        <v>On-site Wind</v>
      </c>
      <c r="E142" s="1464" t="str">
        <f t="shared" si="100"/>
        <v>2010$</v>
      </c>
      <c r="F142" s="1460">
        <f t="shared" ca="1" si="85"/>
        <v>236953.76386988963</v>
      </c>
      <c r="G142" s="358">
        <f t="shared" ca="1" si="101"/>
        <v>0</v>
      </c>
      <c r="H142" s="358">
        <f t="shared" ca="1" si="101"/>
        <v>14966.46</v>
      </c>
      <c r="I142" s="358">
        <f t="shared" ca="1" si="101"/>
        <v>15041.292299999994</v>
      </c>
      <c r="J142" s="358">
        <f t="shared" ca="1" si="101"/>
        <v>15116.498761499994</v>
      </c>
      <c r="K142" s="358">
        <f t="shared" ca="1" si="101"/>
        <v>15192.081255307488</v>
      </c>
      <c r="L142" s="358">
        <f t="shared" ca="1" si="101"/>
        <v>15268.041661584026</v>
      </c>
      <c r="M142" s="358">
        <f t="shared" ca="1" si="101"/>
        <v>15344.381869891942</v>
      </c>
      <c r="N142" s="358">
        <f t="shared" ca="1" si="101"/>
        <v>15421.103779241399</v>
      </c>
      <c r="O142" s="358">
        <f t="shared" ca="1" si="101"/>
        <v>15498.209298137604</v>
      </c>
      <c r="P142" s="358">
        <f t="shared" ca="1" si="101"/>
        <v>15575.700344628294</v>
      </c>
      <c r="Q142" s="358">
        <f t="shared" ca="1" si="102"/>
        <v>15653.578846351431</v>
      </c>
      <c r="R142" s="358">
        <f t="shared" ca="1" si="102"/>
        <v>15731.846740583187</v>
      </c>
      <c r="S142" s="358">
        <f t="shared" ca="1" si="102"/>
        <v>15810.505974286096</v>
      </c>
      <c r="T142" s="358">
        <f t="shared" ca="1" si="102"/>
        <v>15889.558504157527</v>
      </c>
      <c r="U142" s="358">
        <f t="shared" ca="1" si="102"/>
        <v>15969.006296678312</v>
      </c>
      <c r="V142" s="358">
        <f t="shared" ca="1" si="102"/>
        <v>16048.8513281617</v>
      </c>
      <c r="W142" s="358">
        <f t="shared" ca="1" si="102"/>
        <v>16129.095584802508</v>
      </c>
      <c r="X142" s="358">
        <f t="shared" ca="1" si="102"/>
        <v>16209.741062726518</v>
      </c>
      <c r="Y142" s="358">
        <f t="shared" ca="1" si="102"/>
        <v>16290.789768040146</v>
      </c>
      <c r="Z142" s="358">
        <f t="shared" ca="1" si="102"/>
        <v>16372.243716880344</v>
      </c>
      <c r="AA142" s="358">
        <f t="shared" ca="1" si="103"/>
        <v>16454.104935464744</v>
      </c>
      <c r="AB142" s="358">
        <f t="shared" ca="1" si="103"/>
        <v>16536.375460142062</v>
      </c>
      <c r="AC142" s="358">
        <f t="shared" ca="1" si="103"/>
        <v>16619.057337442773</v>
      </c>
      <c r="AD142" s="358">
        <f t="shared" ca="1" si="103"/>
        <v>16702.152624129983</v>
      </c>
      <c r="AE142" s="358">
        <f t="shared" ca="1" si="103"/>
        <v>16785.663387250635</v>
      </c>
      <c r="AF142" s="358">
        <f t="shared" ca="1" si="103"/>
        <v>16869.591704186882</v>
      </c>
      <c r="AG142" s="358">
        <f t="shared" ca="1" si="103"/>
        <v>16953.939662707817</v>
      </c>
      <c r="AH142" s="358">
        <f t="shared" ca="1" si="103"/>
        <v>17038.709361021352</v>
      </c>
      <c r="AI142" s="358">
        <f t="shared" ca="1" si="103"/>
        <v>17123.902907826454</v>
      </c>
      <c r="AJ142" s="358">
        <f t="shared" ca="1" si="103"/>
        <v>17209.522422365586</v>
      </c>
      <c r="AK142" s="358">
        <f t="shared" ca="1" si="104"/>
        <v>17295.570034477412</v>
      </c>
      <c r="AL142" s="358">
        <f t="shared" ca="1" si="104"/>
        <v>17382.047884649794</v>
      </c>
      <c r="AM142" s="358">
        <f t="shared" ca="1" si="104"/>
        <v>17468.95812407304</v>
      </c>
      <c r="AN142" s="358">
        <f t="shared" ca="1" si="104"/>
        <v>17556.302914693402</v>
      </c>
      <c r="AO142" s="358">
        <f t="shared" ca="1" si="104"/>
        <v>17644.084429266866</v>
      </c>
      <c r="AP142" s="358">
        <f t="shared" ca="1" si="104"/>
        <v>17732.304851413199</v>
      </c>
      <c r="AQ142" s="358">
        <f t="shared" ca="1" si="104"/>
        <v>17820.966375670261</v>
      </c>
      <c r="AR142" s="358">
        <f t="shared" ca="1" si="104"/>
        <v>17910.071207548608</v>
      </c>
      <c r="AS142" s="358">
        <f t="shared" ca="1" si="104"/>
        <v>17999.621563586348</v>
      </c>
      <c r="AT142" s="358">
        <f t="shared" ca="1" si="104"/>
        <v>18089.619671404278</v>
      </c>
      <c r="AV142" s="358">
        <f t="shared" ca="1" si="90"/>
        <v>77107.436953483266</v>
      </c>
      <c r="AX142" s="358">
        <f t="shared" ca="1" si="91"/>
        <v>79054.496362056554</v>
      </c>
      <c r="AZ142" s="358">
        <f t="shared" ca="1" si="92"/>
        <v>81050.72146061121</v>
      </c>
      <c r="BB142" s="358">
        <f t="shared" ca="1" si="93"/>
        <v>83097.353744430206</v>
      </c>
      <c r="BD142" s="358">
        <f t="shared" ca="1" si="94"/>
        <v>85195.666058108094</v>
      </c>
      <c r="BF142" s="358">
        <f t="shared" ca="1" si="95"/>
        <v>87346.963387160518</v>
      </c>
      <c r="BH142" s="358">
        <f t="shared" ca="1" si="96"/>
        <v>89552.583669622691</v>
      </c>
    </row>
    <row r="143" spans="1:60" hidden="1" outlineLevel="1">
      <c r="A143" s="1464">
        <f t="shared" si="97"/>
        <v>18</v>
      </c>
      <c r="B143" s="1464">
        <f t="shared" si="98"/>
        <v>24</v>
      </c>
      <c r="C143" s="1464">
        <f t="shared" si="99"/>
        <v>15</v>
      </c>
      <c r="D143" s="1271" t="str">
        <f ca="1">IF(OFFSET(PortfolioDashboard!$A$3,C143-1,0)="","Blank",OFFSET(PortfolioDashboard!$A$3,C143-1,0))</f>
        <v>Solar DHW</v>
      </c>
      <c r="E143" s="1464" t="str">
        <f t="shared" si="100"/>
        <v>2010$</v>
      </c>
      <c r="F143" s="1460">
        <f t="shared" ca="1" si="85"/>
        <v>0</v>
      </c>
      <c r="G143" s="358">
        <f t="shared" ca="1" si="101"/>
        <v>0</v>
      </c>
      <c r="H143" s="358">
        <f t="shared" ca="1" si="101"/>
        <v>0</v>
      </c>
      <c r="I143" s="358">
        <f t="shared" ca="1" si="101"/>
        <v>0</v>
      </c>
      <c r="J143" s="358">
        <f t="shared" ca="1" si="101"/>
        <v>0</v>
      </c>
      <c r="K143" s="358">
        <f t="shared" ca="1" si="101"/>
        <v>0</v>
      </c>
      <c r="L143" s="358">
        <f t="shared" ca="1" si="101"/>
        <v>0</v>
      </c>
      <c r="M143" s="358">
        <f t="shared" ca="1" si="101"/>
        <v>0</v>
      </c>
      <c r="N143" s="358">
        <f t="shared" ca="1" si="101"/>
        <v>0</v>
      </c>
      <c r="O143" s="358">
        <f t="shared" ca="1" si="101"/>
        <v>0</v>
      </c>
      <c r="P143" s="358">
        <f t="shared" ca="1" si="101"/>
        <v>0</v>
      </c>
      <c r="Q143" s="358">
        <f t="shared" ca="1" si="102"/>
        <v>0</v>
      </c>
      <c r="R143" s="358">
        <f t="shared" ca="1" si="102"/>
        <v>0</v>
      </c>
      <c r="S143" s="358">
        <f t="shared" ca="1" si="102"/>
        <v>0</v>
      </c>
      <c r="T143" s="358">
        <f t="shared" ca="1" si="102"/>
        <v>0</v>
      </c>
      <c r="U143" s="358">
        <f t="shared" ca="1" si="102"/>
        <v>0</v>
      </c>
      <c r="V143" s="358">
        <f t="shared" ca="1" si="102"/>
        <v>0</v>
      </c>
      <c r="W143" s="358">
        <f t="shared" ca="1" si="102"/>
        <v>0</v>
      </c>
      <c r="X143" s="358">
        <f t="shared" ca="1" si="102"/>
        <v>0</v>
      </c>
      <c r="Y143" s="358">
        <f t="shared" ca="1" si="102"/>
        <v>0</v>
      </c>
      <c r="Z143" s="358">
        <f t="shared" ca="1" si="102"/>
        <v>0</v>
      </c>
      <c r="AA143" s="358">
        <f t="shared" ca="1" si="103"/>
        <v>0</v>
      </c>
      <c r="AB143" s="358">
        <f t="shared" ca="1" si="103"/>
        <v>0</v>
      </c>
      <c r="AC143" s="358">
        <f t="shared" ca="1" si="103"/>
        <v>0</v>
      </c>
      <c r="AD143" s="358">
        <f t="shared" ca="1" si="103"/>
        <v>0</v>
      </c>
      <c r="AE143" s="358">
        <f t="shared" ca="1" si="103"/>
        <v>0</v>
      </c>
      <c r="AF143" s="358">
        <f t="shared" ca="1" si="103"/>
        <v>0</v>
      </c>
      <c r="AG143" s="358">
        <f t="shared" ca="1" si="103"/>
        <v>0</v>
      </c>
      <c r="AH143" s="358">
        <f t="shared" ca="1" si="103"/>
        <v>0</v>
      </c>
      <c r="AI143" s="358">
        <f t="shared" ca="1" si="103"/>
        <v>0</v>
      </c>
      <c r="AJ143" s="358">
        <f t="shared" ca="1" si="103"/>
        <v>0</v>
      </c>
      <c r="AK143" s="358">
        <f t="shared" ca="1" si="104"/>
        <v>0</v>
      </c>
      <c r="AL143" s="358">
        <f t="shared" ca="1" si="104"/>
        <v>0</v>
      </c>
      <c r="AM143" s="358">
        <f t="shared" ca="1" si="104"/>
        <v>0</v>
      </c>
      <c r="AN143" s="358">
        <f t="shared" ca="1" si="104"/>
        <v>0</v>
      </c>
      <c r="AO143" s="358">
        <f t="shared" ca="1" si="104"/>
        <v>0</v>
      </c>
      <c r="AP143" s="358">
        <f t="shared" ca="1" si="104"/>
        <v>0</v>
      </c>
      <c r="AQ143" s="358">
        <f t="shared" ca="1" si="104"/>
        <v>0</v>
      </c>
      <c r="AR143" s="358">
        <f t="shared" ca="1" si="104"/>
        <v>0</v>
      </c>
      <c r="AS143" s="358">
        <f t="shared" ca="1" si="104"/>
        <v>0</v>
      </c>
      <c r="AT143" s="358">
        <f t="shared" ca="1" si="104"/>
        <v>0</v>
      </c>
      <c r="AV143" s="358">
        <f t="shared" ca="1" si="90"/>
        <v>0</v>
      </c>
      <c r="AX143" s="358">
        <f t="shared" ca="1" si="91"/>
        <v>0</v>
      </c>
      <c r="AZ143" s="358">
        <f t="shared" ca="1" si="92"/>
        <v>0</v>
      </c>
      <c r="BB143" s="358">
        <f t="shared" ca="1" si="93"/>
        <v>0</v>
      </c>
      <c r="BD143" s="358">
        <f t="shared" ca="1" si="94"/>
        <v>0</v>
      </c>
      <c r="BF143" s="358">
        <f t="shared" ca="1" si="95"/>
        <v>0</v>
      </c>
      <c r="BH143" s="358">
        <f t="shared" ca="1" si="96"/>
        <v>0</v>
      </c>
    </row>
    <row r="144" spans="1:60" hidden="1" outlineLevel="1">
      <c r="A144" s="1464">
        <f t="shared" si="97"/>
        <v>18</v>
      </c>
      <c r="B144" s="1464">
        <f t="shared" si="98"/>
        <v>24</v>
      </c>
      <c r="C144" s="1464">
        <f t="shared" si="99"/>
        <v>16</v>
      </c>
      <c r="D144" s="1271" t="str">
        <f ca="1">IF(OFFSET(PortfolioDashboard!$A$3,C144-1,0)="","Blank",OFFSET(PortfolioDashboard!$A$3,C144-1,0))</f>
        <v>Geo Exchange</v>
      </c>
      <c r="E144" s="1464" t="str">
        <f t="shared" si="100"/>
        <v>2010$</v>
      </c>
      <c r="F144" s="1460">
        <f t="shared" ca="1" si="85"/>
        <v>0</v>
      </c>
      <c r="G144" s="358">
        <f t="shared" ca="1" si="101"/>
        <v>0</v>
      </c>
      <c r="H144" s="358">
        <f t="shared" ca="1" si="101"/>
        <v>0</v>
      </c>
      <c r="I144" s="358">
        <f t="shared" ca="1" si="101"/>
        <v>0</v>
      </c>
      <c r="J144" s="358">
        <f t="shared" ca="1" si="101"/>
        <v>0</v>
      </c>
      <c r="K144" s="358">
        <f t="shared" ca="1" si="101"/>
        <v>0</v>
      </c>
      <c r="L144" s="358">
        <f t="shared" ca="1" si="101"/>
        <v>0</v>
      </c>
      <c r="M144" s="358">
        <f t="shared" ca="1" si="101"/>
        <v>0</v>
      </c>
      <c r="N144" s="358">
        <f t="shared" ca="1" si="101"/>
        <v>0</v>
      </c>
      <c r="O144" s="358">
        <f t="shared" ca="1" si="101"/>
        <v>0</v>
      </c>
      <c r="P144" s="358">
        <f t="shared" ca="1" si="101"/>
        <v>0</v>
      </c>
      <c r="Q144" s="358">
        <f t="shared" ca="1" si="102"/>
        <v>0</v>
      </c>
      <c r="R144" s="358">
        <f t="shared" ca="1" si="102"/>
        <v>0</v>
      </c>
      <c r="S144" s="358">
        <f t="shared" ca="1" si="102"/>
        <v>0</v>
      </c>
      <c r="T144" s="358">
        <f t="shared" ca="1" si="102"/>
        <v>0</v>
      </c>
      <c r="U144" s="358">
        <f t="shared" ca="1" si="102"/>
        <v>0</v>
      </c>
      <c r="V144" s="358">
        <f t="shared" ca="1" si="102"/>
        <v>0</v>
      </c>
      <c r="W144" s="358">
        <f t="shared" ca="1" si="102"/>
        <v>0</v>
      </c>
      <c r="X144" s="358">
        <f t="shared" ca="1" si="102"/>
        <v>0</v>
      </c>
      <c r="Y144" s="358">
        <f t="shared" ca="1" si="102"/>
        <v>0</v>
      </c>
      <c r="Z144" s="358">
        <f t="shared" ca="1" si="102"/>
        <v>0</v>
      </c>
      <c r="AA144" s="358">
        <f t="shared" ca="1" si="103"/>
        <v>0</v>
      </c>
      <c r="AB144" s="358">
        <f t="shared" ca="1" si="103"/>
        <v>0</v>
      </c>
      <c r="AC144" s="358">
        <f t="shared" ca="1" si="103"/>
        <v>0</v>
      </c>
      <c r="AD144" s="358">
        <f t="shared" ca="1" si="103"/>
        <v>0</v>
      </c>
      <c r="AE144" s="358">
        <f t="shared" ca="1" si="103"/>
        <v>0</v>
      </c>
      <c r="AF144" s="358">
        <f t="shared" ca="1" si="103"/>
        <v>0</v>
      </c>
      <c r="AG144" s="358">
        <f t="shared" ca="1" si="103"/>
        <v>0</v>
      </c>
      <c r="AH144" s="358">
        <f t="shared" ca="1" si="103"/>
        <v>0</v>
      </c>
      <c r="AI144" s="358">
        <f t="shared" ca="1" si="103"/>
        <v>0</v>
      </c>
      <c r="AJ144" s="358">
        <f t="shared" ca="1" si="103"/>
        <v>0</v>
      </c>
      <c r="AK144" s="358">
        <f t="shared" ca="1" si="104"/>
        <v>0</v>
      </c>
      <c r="AL144" s="358">
        <f t="shared" ca="1" si="104"/>
        <v>0</v>
      </c>
      <c r="AM144" s="358">
        <f t="shared" ca="1" si="104"/>
        <v>0</v>
      </c>
      <c r="AN144" s="358">
        <f t="shared" ca="1" si="104"/>
        <v>0</v>
      </c>
      <c r="AO144" s="358">
        <f t="shared" ca="1" si="104"/>
        <v>0</v>
      </c>
      <c r="AP144" s="358">
        <f t="shared" ca="1" si="104"/>
        <v>0</v>
      </c>
      <c r="AQ144" s="358">
        <f t="shared" ca="1" si="104"/>
        <v>0</v>
      </c>
      <c r="AR144" s="358">
        <f t="shared" ca="1" si="104"/>
        <v>0</v>
      </c>
      <c r="AS144" s="358">
        <f t="shared" ca="1" si="104"/>
        <v>0</v>
      </c>
      <c r="AT144" s="358">
        <f t="shared" ca="1" si="104"/>
        <v>0</v>
      </c>
      <c r="AV144" s="358">
        <f t="shared" ca="1" si="90"/>
        <v>0</v>
      </c>
      <c r="AX144" s="358">
        <f t="shared" ca="1" si="91"/>
        <v>0</v>
      </c>
      <c r="AZ144" s="358">
        <f t="shared" ca="1" si="92"/>
        <v>0</v>
      </c>
      <c r="BB144" s="358">
        <f t="shared" ca="1" si="93"/>
        <v>0</v>
      </c>
      <c r="BD144" s="358">
        <f t="shared" ca="1" si="94"/>
        <v>0</v>
      </c>
      <c r="BF144" s="358">
        <f t="shared" ca="1" si="95"/>
        <v>0</v>
      </c>
      <c r="BH144" s="358">
        <f t="shared" ca="1" si="96"/>
        <v>0</v>
      </c>
    </row>
    <row r="145" spans="1:60" hidden="1" outlineLevel="1">
      <c r="A145" s="1464">
        <f t="shared" si="97"/>
        <v>18</v>
      </c>
      <c r="B145" s="1464">
        <f t="shared" si="98"/>
        <v>24</v>
      </c>
      <c r="C145" s="1464">
        <f t="shared" si="99"/>
        <v>17</v>
      </c>
      <c r="D145" s="1271" t="str">
        <f ca="1">IF(OFFSET(PortfolioDashboard!$A$3,C145-1,0)="","Blank",OFFSET(PortfolioDashboard!$A$3,C145-1,0))</f>
        <v>Rooftop Solar PV</v>
      </c>
      <c r="E145" s="1464" t="str">
        <f t="shared" si="100"/>
        <v>2010$</v>
      </c>
      <c r="F145" s="1460">
        <f t="shared" ca="1" si="85"/>
        <v>747925.0966664661</v>
      </c>
      <c r="G145" s="358">
        <f t="shared" ca="1" si="101"/>
        <v>0</v>
      </c>
      <c r="H145" s="358">
        <f t="shared" ca="1" si="101"/>
        <v>0</v>
      </c>
      <c r="I145" s="358">
        <f t="shared" ca="1" si="101"/>
        <v>0</v>
      </c>
      <c r="J145" s="358">
        <f t="shared" ca="1" si="101"/>
        <v>0</v>
      </c>
      <c r="K145" s="358">
        <f t="shared" ca="1" si="101"/>
        <v>0</v>
      </c>
      <c r="L145" s="358">
        <f t="shared" ca="1" si="101"/>
        <v>61044.988312129492</v>
      </c>
      <c r="M145" s="358">
        <f t="shared" ca="1" si="101"/>
        <v>61350.213253690126</v>
      </c>
      <c r="N145" s="358">
        <f t="shared" ca="1" si="101"/>
        <v>61656.96431995857</v>
      </c>
      <c r="O145" s="358">
        <f t="shared" ca="1" si="101"/>
        <v>61965.249141558357</v>
      </c>
      <c r="P145" s="358">
        <f t="shared" ca="1" si="101"/>
        <v>62275.075387266144</v>
      </c>
      <c r="Q145" s="358">
        <f t="shared" ca="1" si="102"/>
        <v>62586.450764202462</v>
      </c>
      <c r="R145" s="358">
        <f t="shared" ca="1" si="102"/>
        <v>62899.383018023473</v>
      </c>
      <c r="S145" s="358">
        <f t="shared" ca="1" si="102"/>
        <v>63213.87993311356</v>
      </c>
      <c r="T145" s="358">
        <f t="shared" ca="1" si="102"/>
        <v>63529.949332779128</v>
      </c>
      <c r="U145" s="358">
        <f t="shared" ca="1" si="102"/>
        <v>63847.599079443018</v>
      </c>
      <c r="V145" s="358">
        <f t="shared" ca="1" si="102"/>
        <v>64166.837074840216</v>
      </c>
      <c r="W145" s="358">
        <f t="shared" ca="1" si="102"/>
        <v>64487.671260214411</v>
      </c>
      <c r="X145" s="358">
        <f t="shared" ca="1" si="102"/>
        <v>64810.109616515474</v>
      </c>
      <c r="Y145" s="358">
        <f t="shared" ca="1" si="102"/>
        <v>65134.160164598034</v>
      </c>
      <c r="Z145" s="358">
        <f t="shared" ca="1" si="102"/>
        <v>65459.830965421017</v>
      </c>
      <c r="AA145" s="358">
        <f t="shared" ca="1" si="103"/>
        <v>65787.130120248112</v>
      </c>
      <c r="AB145" s="358">
        <f t="shared" ca="1" si="103"/>
        <v>66116.065770849338</v>
      </c>
      <c r="AC145" s="358">
        <f t="shared" ca="1" si="103"/>
        <v>66446.646099703576</v>
      </c>
      <c r="AD145" s="358">
        <f t="shared" ca="1" si="103"/>
        <v>66778.879330202079</v>
      </c>
      <c r="AE145" s="358">
        <f t="shared" ca="1" si="103"/>
        <v>67112.773726853091</v>
      </c>
      <c r="AF145" s="358">
        <f t="shared" ca="1" si="103"/>
        <v>67448.337595487348</v>
      </c>
      <c r="AG145" s="358">
        <f t="shared" ca="1" si="103"/>
        <v>67785.579283464773</v>
      </c>
      <c r="AH145" s="358">
        <f t="shared" ca="1" si="103"/>
        <v>68124.507179882086</v>
      </c>
      <c r="AI145" s="358">
        <f t="shared" ca="1" si="103"/>
        <v>68465.129715781484</v>
      </c>
      <c r="AJ145" s="358">
        <f t="shared" ca="1" si="103"/>
        <v>68807.455364360387</v>
      </c>
      <c r="AK145" s="358">
        <f t="shared" ca="1" si="104"/>
        <v>69151.49264118218</v>
      </c>
      <c r="AL145" s="358">
        <f t="shared" ca="1" si="104"/>
        <v>69497.250104388062</v>
      </c>
      <c r="AM145" s="358">
        <f t="shared" ca="1" si="104"/>
        <v>69844.736354909997</v>
      </c>
      <c r="AN145" s="358">
        <f t="shared" ca="1" si="104"/>
        <v>70193.960036684541</v>
      </c>
      <c r="AO145" s="358">
        <f t="shared" ca="1" si="104"/>
        <v>70544.929836867959</v>
      </c>
      <c r="AP145" s="358">
        <f t="shared" ca="1" si="104"/>
        <v>70897.654486052284</v>
      </c>
      <c r="AQ145" s="358">
        <f t="shared" ca="1" si="104"/>
        <v>71252.142758482529</v>
      </c>
      <c r="AR145" s="358">
        <f t="shared" ca="1" si="104"/>
        <v>71608.40347227492</v>
      </c>
      <c r="AS145" s="358">
        <f t="shared" ca="1" si="104"/>
        <v>71966.445489636288</v>
      </c>
      <c r="AT145" s="358">
        <f t="shared" ca="1" si="104"/>
        <v>72326.277717084464</v>
      </c>
      <c r="AV145" s="358">
        <f t="shared" ca="1" si="90"/>
        <v>308292.49041460268</v>
      </c>
      <c r="AX145" s="358">
        <f t="shared" ca="1" si="91"/>
        <v>316077.26212756161</v>
      </c>
      <c r="AZ145" s="358">
        <f t="shared" ca="1" si="92"/>
        <v>324058.60908158915</v>
      </c>
      <c r="BB145" s="358">
        <f t="shared" ca="1" si="93"/>
        <v>332241.49504785618</v>
      </c>
      <c r="BD145" s="358">
        <f t="shared" ca="1" si="94"/>
        <v>340631.00913897611</v>
      </c>
      <c r="BF145" s="358">
        <f t="shared" ca="1" si="95"/>
        <v>349232.36897403275</v>
      </c>
      <c r="BH145" s="358">
        <f t="shared" ca="1" si="96"/>
        <v>358050.9239235305</v>
      </c>
    </row>
    <row r="146" spans="1:60" hidden="1" outlineLevel="1">
      <c r="A146" s="1464">
        <f t="shared" si="97"/>
        <v>18</v>
      </c>
      <c r="B146" s="1464">
        <f t="shared" si="98"/>
        <v>24</v>
      </c>
      <c r="C146" s="1464">
        <f t="shared" si="99"/>
        <v>18</v>
      </c>
      <c r="D146" s="1271" t="str">
        <f ca="1">IF(OFFSET(PortfolioDashboard!$A$3,C146-1,0)="","Blank",OFFSET(PortfolioDashboard!$A$3,C146-1,0))</f>
        <v>Blank</v>
      </c>
      <c r="E146" s="1464" t="str">
        <f t="shared" si="100"/>
        <v>2010$</v>
      </c>
      <c r="F146" s="1460">
        <f t="shared" ca="1" si="85"/>
        <v>0</v>
      </c>
      <c r="G146" s="358">
        <f t="shared" ca="1" si="101"/>
        <v>0</v>
      </c>
      <c r="H146" s="358">
        <f t="shared" ca="1" si="101"/>
        <v>0</v>
      </c>
      <c r="I146" s="358">
        <f t="shared" ca="1" si="101"/>
        <v>0</v>
      </c>
      <c r="J146" s="358">
        <f t="shared" ca="1" si="101"/>
        <v>0</v>
      </c>
      <c r="K146" s="358">
        <f t="shared" ca="1" si="101"/>
        <v>0</v>
      </c>
      <c r="L146" s="358">
        <f t="shared" ca="1" si="101"/>
        <v>0</v>
      </c>
      <c r="M146" s="358">
        <f t="shared" ca="1" si="101"/>
        <v>0</v>
      </c>
      <c r="N146" s="358">
        <f t="shared" ca="1" si="101"/>
        <v>0</v>
      </c>
      <c r="O146" s="358">
        <f t="shared" ca="1" si="101"/>
        <v>0</v>
      </c>
      <c r="P146" s="358">
        <f t="shared" ca="1" si="101"/>
        <v>0</v>
      </c>
      <c r="Q146" s="358">
        <f t="shared" ca="1" si="102"/>
        <v>0</v>
      </c>
      <c r="R146" s="358">
        <f t="shared" ca="1" si="102"/>
        <v>0</v>
      </c>
      <c r="S146" s="358">
        <f t="shared" ca="1" si="102"/>
        <v>0</v>
      </c>
      <c r="T146" s="358">
        <f t="shared" ca="1" si="102"/>
        <v>0</v>
      </c>
      <c r="U146" s="358">
        <f t="shared" ca="1" si="102"/>
        <v>0</v>
      </c>
      <c r="V146" s="358">
        <f t="shared" ca="1" si="102"/>
        <v>0</v>
      </c>
      <c r="W146" s="358">
        <f t="shared" ca="1" si="102"/>
        <v>0</v>
      </c>
      <c r="X146" s="358">
        <f t="shared" ca="1" si="102"/>
        <v>0</v>
      </c>
      <c r="Y146" s="358">
        <f t="shared" ca="1" si="102"/>
        <v>0</v>
      </c>
      <c r="Z146" s="358">
        <f t="shared" ca="1" si="102"/>
        <v>0</v>
      </c>
      <c r="AA146" s="358">
        <f t="shared" ca="1" si="103"/>
        <v>0</v>
      </c>
      <c r="AB146" s="358">
        <f t="shared" ca="1" si="103"/>
        <v>0</v>
      </c>
      <c r="AC146" s="358">
        <f t="shared" ca="1" si="103"/>
        <v>0</v>
      </c>
      <c r="AD146" s="358">
        <f t="shared" ca="1" si="103"/>
        <v>0</v>
      </c>
      <c r="AE146" s="358">
        <f t="shared" ca="1" si="103"/>
        <v>0</v>
      </c>
      <c r="AF146" s="358">
        <f t="shared" ca="1" si="103"/>
        <v>0</v>
      </c>
      <c r="AG146" s="358">
        <f t="shared" ca="1" si="103"/>
        <v>0</v>
      </c>
      <c r="AH146" s="358">
        <f t="shared" ca="1" si="103"/>
        <v>0</v>
      </c>
      <c r="AI146" s="358">
        <f t="shared" ca="1" si="103"/>
        <v>0</v>
      </c>
      <c r="AJ146" s="358">
        <f t="shared" ca="1" si="103"/>
        <v>0</v>
      </c>
      <c r="AK146" s="358">
        <f t="shared" ca="1" si="104"/>
        <v>0</v>
      </c>
      <c r="AL146" s="358">
        <f t="shared" ca="1" si="104"/>
        <v>0</v>
      </c>
      <c r="AM146" s="358">
        <f t="shared" ca="1" si="104"/>
        <v>0</v>
      </c>
      <c r="AN146" s="358">
        <f t="shared" ca="1" si="104"/>
        <v>0</v>
      </c>
      <c r="AO146" s="358">
        <f t="shared" ca="1" si="104"/>
        <v>0</v>
      </c>
      <c r="AP146" s="358">
        <f t="shared" ca="1" si="104"/>
        <v>0</v>
      </c>
      <c r="AQ146" s="358">
        <f t="shared" ca="1" si="104"/>
        <v>0</v>
      </c>
      <c r="AR146" s="358">
        <f t="shared" ca="1" si="104"/>
        <v>0</v>
      </c>
      <c r="AS146" s="358">
        <f t="shared" ca="1" si="104"/>
        <v>0</v>
      </c>
      <c r="AT146" s="358">
        <f t="shared" ca="1" si="104"/>
        <v>0</v>
      </c>
      <c r="AV146" s="358">
        <f t="shared" ca="1" si="90"/>
        <v>0</v>
      </c>
      <c r="AX146" s="358">
        <f t="shared" ca="1" si="91"/>
        <v>0</v>
      </c>
      <c r="AZ146" s="358">
        <f t="shared" ca="1" si="92"/>
        <v>0</v>
      </c>
      <c r="BB146" s="358">
        <f t="shared" ca="1" si="93"/>
        <v>0</v>
      </c>
      <c r="BD146" s="358">
        <f t="shared" ca="1" si="94"/>
        <v>0</v>
      </c>
      <c r="BF146" s="358">
        <f t="shared" ca="1" si="95"/>
        <v>0</v>
      </c>
      <c r="BH146" s="358">
        <f t="shared" ca="1" si="96"/>
        <v>0</v>
      </c>
    </row>
    <row r="147" spans="1:60" hidden="1" outlineLevel="1">
      <c r="A147" s="1464">
        <f t="shared" si="97"/>
        <v>18</v>
      </c>
      <c r="B147" s="1464">
        <f t="shared" si="98"/>
        <v>24</v>
      </c>
      <c r="C147" s="1464">
        <f t="shared" si="99"/>
        <v>19</v>
      </c>
      <c r="D147" s="1271" t="str">
        <f ca="1">IF(OFFSET(PortfolioDashboard!$A$3,C147-1,0)="","Blank",OFFSET(PortfolioDashboard!$A$3,C147-1,0))</f>
        <v>Blank</v>
      </c>
      <c r="E147" s="1464" t="str">
        <f t="shared" si="100"/>
        <v>2010$</v>
      </c>
      <c r="F147" s="1460">
        <f t="shared" ca="1" si="85"/>
        <v>0</v>
      </c>
      <c r="G147" s="358">
        <f t="shared" ca="1" si="101"/>
        <v>0</v>
      </c>
      <c r="H147" s="358">
        <f t="shared" ca="1" si="101"/>
        <v>0</v>
      </c>
      <c r="I147" s="358">
        <f t="shared" ca="1" si="101"/>
        <v>0</v>
      </c>
      <c r="J147" s="358">
        <f t="shared" ca="1" si="101"/>
        <v>0</v>
      </c>
      <c r="K147" s="358">
        <f t="shared" ca="1" si="101"/>
        <v>0</v>
      </c>
      <c r="L147" s="358">
        <f t="shared" ca="1" si="101"/>
        <v>0</v>
      </c>
      <c r="M147" s="358">
        <f t="shared" ca="1" si="101"/>
        <v>0</v>
      </c>
      <c r="N147" s="358">
        <f t="shared" ca="1" si="101"/>
        <v>0</v>
      </c>
      <c r="O147" s="358">
        <f t="shared" ca="1" si="101"/>
        <v>0</v>
      </c>
      <c r="P147" s="358">
        <f t="shared" ca="1" si="101"/>
        <v>0</v>
      </c>
      <c r="Q147" s="358">
        <f t="shared" ca="1" si="102"/>
        <v>0</v>
      </c>
      <c r="R147" s="358">
        <f t="shared" ca="1" si="102"/>
        <v>0</v>
      </c>
      <c r="S147" s="358">
        <f t="shared" ca="1" si="102"/>
        <v>0</v>
      </c>
      <c r="T147" s="358">
        <f t="shared" ca="1" si="102"/>
        <v>0</v>
      </c>
      <c r="U147" s="358">
        <f t="shared" ca="1" si="102"/>
        <v>0</v>
      </c>
      <c r="V147" s="358">
        <f t="shared" ca="1" si="102"/>
        <v>0</v>
      </c>
      <c r="W147" s="358">
        <f t="shared" ca="1" si="102"/>
        <v>0</v>
      </c>
      <c r="X147" s="358">
        <f t="shared" ca="1" si="102"/>
        <v>0</v>
      </c>
      <c r="Y147" s="358">
        <f t="shared" ca="1" si="102"/>
        <v>0</v>
      </c>
      <c r="Z147" s="358">
        <f t="shared" ca="1" si="102"/>
        <v>0</v>
      </c>
      <c r="AA147" s="358">
        <f t="shared" ca="1" si="103"/>
        <v>0</v>
      </c>
      <c r="AB147" s="358">
        <f t="shared" ca="1" si="103"/>
        <v>0</v>
      </c>
      <c r="AC147" s="358">
        <f t="shared" ca="1" si="103"/>
        <v>0</v>
      </c>
      <c r="AD147" s="358">
        <f t="shared" ca="1" si="103"/>
        <v>0</v>
      </c>
      <c r="AE147" s="358">
        <f t="shared" ca="1" si="103"/>
        <v>0</v>
      </c>
      <c r="AF147" s="358">
        <f t="shared" ca="1" si="103"/>
        <v>0</v>
      </c>
      <c r="AG147" s="358">
        <f t="shared" ca="1" si="103"/>
        <v>0</v>
      </c>
      <c r="AH147" s="358">
        <f t="shared" ca="1" si="103"/>
        <v>0</v>
      </c>
      <c r="AI147" s="358">
        <f t="shared" ca="1" si="103"/>
        <v>0</v>
      </c>
      <c r="AJ147" s="358">
        <f t="shared" ca="1" si="103"/>
        <v>0</v>
      </c>
      <c r="AK147" s="358">
        <f t="shared" ca="1" si="104"/>
        <v>0</v>
      </c>
      <c r="AL147" s="358">
        <f t="shared" ca="1" si="104"/>
        <v>0</v>
      </c>
      <c r="AM147" s="358">
        <f t="shared" ca="1" si="104"/>
        <v>0</v>
      </c>
      <c r="AN147" s="358">
        <f t="shared" ca="1" si="104"/>
        <v>0</v>
      </c>
      <c r="AO147" s="358">
        <f t="shared" ca="1" si="104"/>
        <v>0</v>
      </c>
      <c r="AP147" s="358">
        <f t="shared" ca="1" si="104"/>
        <v>0</v>
      </c>
      <c r="AQ147" s="358">
        <f t="shared" ca="1" si="104"/>
        <v>0</v>
      </c>
      <c r="AR147" s="358">
        <f t="shared" ca="1" si="104"/>
        <v>0</v>
      </c>
      <c r="AS147" s="358">
        <f t="shared" ca="1" si="104"/>
        <v>0</v>
      </c>
      <c r="AT147" s="358">
        <f t="shared" ca="1" si="104"/>
        <v>0</v>
      </c>
      <c r="AV147" s="358">
        <f t="shared" ca="1" si="90"/>
        <v>0</v>
      </c>
      <c r="AX147" s="358">
        <f t="shared" ca="1" si="91"/>
        <v>0</v>
      </c>
      <c r="AZ147" s="358">
        <f t="shared" ca="1" si="92"/>
        <v>0</v>
      </c>
      <c r="BB147" s="358">
        <f t="shared" ca="1" si="93"/>
        <v>0</v>
      </c>
      <c r="BD147" s="358">
        <f t="shared" ca="1" si="94"/>
        <v>0</v>
      </c>
      <c r="BF147" s="358">
        <f t="shared" ca="1" si="95"/>
        <v>0</v>
      </c>
      <c r="BH147" s="358">
        <f t="shared" ca="1" si="96"/>
        <v>0</v>
      </c>
    </row>
    <row r="148" spans="1:60" hidden="1" outlineLevel="1">
      <c r="A148" s="1464">
        <f t="shared" si="97"/>
        <v>18</v>
      </c>
      <c r="B148" s="1464">
        <f t="shared" si="98"/>
        <v>24</v>
      </c>
      <c r="C148" s="1464">
        <f t="shared" si="99"/>
        <v>20</v>
      </c>
      <c r="D148" s="1271" t="str">
        <f ca="1">IF(OFFSET(PortfolioDashboard!$A$3,C148-1,0)="","Blank",OFFSET(PortfolioDashboard!$A$3,C148-1,0))</f>
        <v>Blank</v>
      </c>
      <c r="E148" s="1464" t="str">
        <f t="shared" si="100"/>
        <v>2010$</v>
      </c>
      <c r="F148" s="1460">
        <f t="shared" ca="1" si="85"/>
        <v>0</v>
      </c>
      <c r="G148" s="358">
        <f t="shared" ca="1" si="101"/>
        <v>0</v>
      </c>
      <c r="H148" s="358">
        <f t="shared" ca="1" si="101"/>
        <v>0</v>
      </c>
      <c r="I148" s="358">
        <f t="shared" ca="1" si="101"/>
        <v>0</v>
      </c>
      <c r="J148" s="358">
        <f t="shared" ca="1" si="101"/>
        <v>0</v>
      </c>
      <c r="K148" s="358">
        <f t="shared" ca="1" si="101"/>
        <v>0</v>
      </c>
      <c r="L148" s="358">
        <f t="shared" ca="1" si="101"/>
        <v>0</v>
      </c>
      <c r="M148" s="358">
        <f t="shared" ca="1" si="101"/>
        <v>0</v>
      </c>
      <c r="N148" s="358">
        <f t="shared" ca="1" si="101"/>
        <v>0</v>
      </c>
      <c r="O148" s="358">
        <f t="shared" ca="1" si="101"/>
        <v>0</v>
      </c>
      <c r="P148" s="358">
        <f t="shared" ca="1" si="101"/>
        <v>0</v>
      </c>
      <c r="Q148" s="358">
        <f t="shared" ca="1" si="102"/>
        <v>0</v>
      </c>
      <c r="R148" s="358">
        <f t="shared" ca="1" si="102"/>
        <v>0</v>
      </c>
      <c r="S148" s="358">
        <f t="shared" ca="1" si="102"/>
        <v>0</v>
      </c>
      <c r="T148" s="358">
        <f t="shared" ca="1" si="102"/>
        <v>0</v>
      </c>
      <c r="U148" s="358">
        <f t="shared" ca="1" si="102"/>
        <v>0</v>
      </c>
      <c r="V148" s="358">
        <f t="shared" ca="1" si="102"/>
        <v>0</v>
      </c>
      <c r="W148" s="358">
        <f t="shared" ca="1" si="102"/>
        <v>0</v>
      </c>
      <c r="X148" s="358">
        <f t="shared" ca="1" si="102"/>
        <v>0</v>
      </c>
      <c r="Y148" s="358">
        <f t="shared" ca="1" si="102"/>
        <v>0</v>
      </c>
      <c r="Z148" s="358">
        <f t="shared" ca="1" si="102"/>
        <v>0</v>
      </c>
      <c r="AA148" s="358">
        <f t="shared" ca="1" si="103"/>
        <v>0</v>
      </c>
      <c r="AB148" s="358">
        <f t="shared" ca="1" si="103"/>
        <v>0</v>
      </c>
      <c r="AC148" s="358">
        <f t="shared" ca="1" si="103"/>
        <v>0</v>
      </c>
      <c r="AD148" s="358">
        <f t="shared" ca="1" si="103"/>
        <v>0</v>
      </c>
      <c r="AE148" s="358">
        <f t="shared" ca="1" si="103"/>
        <v>0</v>
      </c>
      <c r="AF148" s="358">
        <f t="shared" ca="1" si="103"/>
        <v>0</v>
      </c>
      <c r="AG148" s="358">
        <f t="shared" ca="1" si="103"/>
        <v>0</v>
      </c>
      <c r="AH148" s="358">
        <f t="shared" ca="1" si="103"/>
        <v>0</v>
      </c>
      <c r="AI148" s="358">
        <f t="shared" ca="1" si="103"/>
        <v>0</v>
      </c>
      <c r="AJ148" s="358">
        <f t="shared" ca="1" si="103"/>
        <v>0</v>
      </c>
      <c r="AK148" s="358">
        <f t="shared" ca="1" si="104"/>
        <v>0</v>
      </c>
      <c r="AL148" s="358">
        <f t="shared" ca="1" si="104"/>
        <v>0</v>
      </c>
      <c r="AM148" s="358">
        <f t="shared" ca="1" si="104"/>
        <v>0</v>
      </c>
      <c r="AN148" s="358">
        <f t="shared" ca="1" si="104"/>
        <v>0</v>
      </c>
      <c r="AO148" s="358">
        <f t="shared" ca="1" si="104"/>
        <v>0</v>
      </c>
      <c r="AP148" s="358">
        <f t="shared" ca="1" si="104"/>
        <v>0</v>
      </c>
      <c r="AQ148" s="358">
        <f t="shared" ca="1" si="104"/>
        <v>0</v>
      </c>
      <c r="AR148" s="358">
        <f t="shared" ca="1" si="104"/>
        <v>0</v>
      </c>
      <c r="AS148" s="358">
        <f t="shared" ca="1" si="104"/>
        <v>0</v>
      </c>
      <c r="AT148" s="358">
        <f t="shared" ca="1" si="104"/>
        <v>0</v>
      </c>
      <c r="AV148" s="358">
        <f t="shared" ca="1" si="90"/>
        <v>0</v>
      </c>
      <c r="AX148" s="358">
        <f t="shared" ca="1" si="91"/>
        <v>0</v>
      </c>
      <c r="AZ148" s="358">
        <f t="shared" ca="1" si="92"/>
        <v>0</v>
      </c>
      <c r="BB148" s="358">
        <f t="shared" ca="1" si="93"/>
        <v>0</v>
      </c>
      <c r="BD148" s="358">
        <f t="shared" ca="1" si="94"/>
        <v>0</v>
      </c>
      <c r="BF148" s="358">
        <f t="shared" ca="1" si="95"/>
        <v>0</v>
      </c>
      <c r="BH148" s="358">
        <f t="shared" ca="1" si="96"/>
        <v>0</v>
      </c>
    </row>
    <row r="149" spans="1:60" hidden="1" outlineLevel="1">
      <c r="A149" s="1464">
        <f t="shared" si="97"/>
        <v>18</v>
      </c>
      <c r="B149" s="1464">
        <f t="shared" si="98"/>
        <v>24</v>
      </c>
      <c r="C149" s="1464">
        <f t="shared" si="99"/>
        <v>21</v>
      </c>
      <c r="D149" s="1271" t="str">
        <f ca="1">IF(OFFSET(PortfolioDashboard!$A$3,C149-1,0)="","Blank",OFFSET(PortfolioDashboard!$A$3,C149-1,0))</f>
        <v>Blank</v>
      </c>
      <c r="E149" s="1464" t="str">
        <f t="shared" si="100"/>
        <v>2010$</v>
      </c>
      <c r="F149" s="1460">
        <f t="shared" ca="1" si="85"/>
        <v>0</v>
      </c>
      <c r="G149" s="358">
        <f t="shared" ref="G149:P158" ca="1" si="105">IFERROR(OFFSET(INDIRECT(INDEX(List_of_Alternatives,MATCH($D149,NameofAlternatives,0))),$A149+G$1-$G$1,$B149),0)</f>
        <v>0</v>
      </c>
      <c r="H149" s="358">
        <f t="shared" ca="1" si="105"/>
        <v>0</v>
      </c>
      <c r="I149" s="358">
        <f t="shared" ca="1" si="105"/>
        <v>0</v>
      </c>
      <c r="J149" s="358">
        <f t="shared" ca="1" si="105"/>
        <v>0</v>
      </c>
      <c r="K149" s="358">
        <f t="shared" ca="1" si="105"/>
        <v>0</v>
      </c>
      <c r="L149" s="358">
        <f t="shared" ca="1" si="105"/>
        <v>0</v>
      </c>
      <c r="M149" s="358">
        <f t="shared" ca="1" si="105"/>
        <v>0</v>
      </c>
      <c r="N149" s="358">
        <f t="shared" ca="1" si="105"/>
        <v>0</v>
      </c>
      <c r="O149" s="358">
        <f t="shared" ca="1" si="105"/>
        <v>0</v>
      </c>
      <c r="P149" s="358">
        <f t="shared" ca="1" si="105"/>
        <v>0</v>
      </c>
      <c r="Q149" s="358">
        <f t="shared" ref="Q149:Z158" ca="1" si="106">IFERROR(OFFSET(INDIRECT(INDEX(List_of_Alternatives,MATCH($D149,NameofAlternatives,0))),$A149+Q$1-$G$1,$B149),0)</f>
        <v>0</v>
      </c>
      <c r="R149" s="358">
        <f t="shared" ca="1" si="106"/>
        <v>0</v>
      </c>
      <c r="S149" s="358">
        <f t="shared" ca="1" si="106"/>
        <v>0</v>
      </c>
      <c r="T149" s="358">
        <f t="shared" ca="1" si="106"/>
        <v>0</v>
      </c>
      <c r="U149" s="358">
        <f t="shared" ca="1" si="106"/>
        <v>0</v>
      </c>
      <c r="V149" s="358">
        <f t="shared" ca="1" si="106"/>
        <v>0</v>
      </c>
      <c r="W149" s="358">
        <f t="shared" ca="1" si="106"/>
        <v>0</v>
      </c>
      <c r="X149" s="358">
        <f t="shared" ca="1" si="106"/>
        <v>0</v>
      </c>
      <c r="Y149" s="358">
        <f t="shared" ca="1" si="106"/>
        <v>0</v>
      </c>
      <c r="Z149" s="358">
        <f t="shared" ca="1" si="106"/>
        <v>0</v>
      </c>
      <c r="AA149" s="358">
        <f t="shared" ref="AA149:AJ158" ca="1" si="107">IFERROR(OFFSET(INDIRECT(INDEX(List_of_Alternatives,MATCH($D149,NameofAlternatives,0))),$A149+AA$1-$G$1,$B149),0)</f>
        <v>0</v>
      </c>
      <c r="AB149" s="358">
        <f t="shared" ca="1" si="107"/>
        <v>0</v>
      </c>
      <c r="AC149" s="358">
        <f t="shared" ca="1" si="107"/>
        <v>0</v>
      </c>
      <c r="AD149" s="358">
        <f t="shared" ca="1" si="107"/>
        <v>0</v>
      </c>
      <c r="AE149" s="358">
        <f t="shared" ca="1" si="107"/>
        <v>0</v>
      </c>
      <c r="AF149" s="358">
        <f t="shared" ca="1" si="107"/>
        <v>0</v>
      </c>
      <c r="AG149" s="358">
        <f t="shared" ca="1" si="107"/>
        <v>0</v>
      </c>
      <c r="AH149" s="358">
        <f t="shared" ca="1" si="107"/>
        <v>0</v>
      </c>
      <c r="AI149" s="358">
        <f t="shared" ca="1" si="107"/>
        <v>0</v>
      </c>
      <c r="AJ149" s="358">
        <f t="shared" ca="1" si="107"/>
        <v>0</v>
      </c>
      <c r="AK149" s="358">
        <f t="shared" ref="AK149:AT158" ca="1" si="108">IFERROR(OFFSET(INDIRECT(INDEX(List_of_Alternatives,MATCH($D149,NameofAlternatives,0))),$A149+AK$1-$G$1,$B149),0)</f>
        <v>0</v>
      </c>
      <c r="AL149" s="358">
        <f t="shared" ca="1" si="108"/>
        <v>0</v>
      </c>
      <c r="AM149" s="358">
        <f t="shared" ca="1" si="108"/>
        <v>0</v>
      </c>
      <c r="AN149" s="358">
        <f t="shared" ca="1" si="108"/>
        <v>0</v>
      </c>
      <c r="AO149" s="358">
        <f t="shared" ca="1" si="108"/>
        <v>0</v>
      </c>
      <c r="AP149" s="358">
        <f t="shared" ca="1" si="108"/>
        <v>0</v>
      </c>
      <c r="AQ149" s="358">
        <f t="shared" ca="1" si="108"/>
        <v>0</v>
      </c>
      <c r="AR149" s="358">
        <f t="shared" ca="1" si="108"/>
        <v>0</v>
      </c>
      <c r="AS149" s="358">
        <f t="shared" ca="1" si="108"/>
        <v>0</v>
      </c>
      <c r="AT149" s="358">
        <f t="shared" ca="1" si="108"/>
        <v>0</v>
      </c>
      <c r="AV149" s="358">
        <f t="shared" ca="1" si="90"/>
        <v>0</v>
      </c>
      <c r="AX149" s="358">
        <f t="shared" ca="1" si="91"/>
        <v>0</v>
      </c>
      <c r="AZ149" s="358">
        <f t="shared" ca="1" si="92"/>
        <v>0</v>
      </c>
      <c r="BB149" s="358">
        <f t="shared" ca="1" si="93"/>
        <v>0</v>
      </c>
      <c r="BD149" s="358">
        <f t="shared" ca="1" si="94"/>
        <v>0</v>
      </c>
      <c r="BF149" s="358">
        <f t="shared" ca="1" si="95"/>
        <v>0</v>
      </c>
      <c r="BH149" s="358">
        <f t="shared" ca="1" si="96"/>
        <v>0</v>
      </c>
    </row>
    <row r="150" spans="1:60" hidden="1" outlineLevel="1">
      <c r="A150" s="1464">
        <f t="shared" si="97"/>
        <v>18</v>
      </c>
      <c r="B150" s="1464">
        <f t="shared" si="98"/>
        <v>24</v>
      </c>
      <c r="C150" s="1464">
        <f t="shared" si="99"/>
        <v>22</v>
      </c>
      <c r="D150" s="1271" t="str">
        <f ca="1">IF(OFFSET(PortfolioDashboard!$A$3,C150-1,0)="","Blank",OFFSET(PortfolioDashboard!$A$3,C150-1,0))</f>
        <v>Blank</v>
      </c>
      <c r="E150" s="1464" t="str">
        <f t="shared" si="100"/>
        <v>2010$</v>
      </c>
      <c r="F150" s="1460">
        <f t="shared" ca="1" si="85"/>
        <v>0</v>
      </c>
      <c r="G150" s="358">
        <f t="shared" ca="1" si="105"/>
        <v>0</v>
      </c>
      <c r="H150" s="358">
        <f t="shared" ca="1" si="105"/>
        <v>0</v>
      </c>
      <c r="I150" s="358">
        <f t="shared" ca="1" si="105"/>
        <v>0</v>
      </c>
      <c r="J150" s="358">
        <f t="shared" ca="1" si="105"/>
        <v>0</v>
      </c>
      <c r="K150" s="358">
        <f t="shared" ca="1" si="105"/>
        <v>0</v>
      </c>
      <c r="L150" s="358">
        <f t="shared" ca="1" si="105"/>
        <v>0</v>
      </c>
      <c r="M150" s="358">
        <f t="shared" ca="1" si="105"/>
        <v>0</v>
      </c>
      <c r="N150" s="358">
        <f t="shared" ca="1" si="105"/>
        <v>0</v>
      </c>
      <c r="O150" s="358">
        <f t="shared" ca="1" si="105"/>
        <v>0</v>
      </c>
      <c r="P150" s="358">
        <f t="shared" ca="1" si="105"/>
        <v>0</v>
      </c>
      <c r="Q150" s="358">
        <f t="shared" ca="1" si="106"/>
        <v>0</v>
      </c>
      <c r="R150" s="358">
        <f t="shared" ca="1" si="106"/>
        <v>0</v>
      </c>
      <c r="S150" s="358">
        <f t="shared" ca="1" si="106"/>
        <v>0</v>
      </c>
      <c r="T150" s="358">
        <f t="shared" ca="1" si="106"/>
        <v>0</v>
      </c>
      <c r="U150" s="358">
        <f t="shared" ca="1" si="106"/>
        <v>0</v>
      </c>
      <c r="V150" s="358">
        <f t="shared" ca="1" si="106"/>
        <v>0</v>
      </c>
      <c r="W150" s="358">
        <f t="shared" ca="1" si="106"/>
        <v>0</v>
      </c>
      <c r="X150" s="358">
        <f t="shared" ca="1" si="106"/>
        <v>0</v>
      </c>
      <c r="Y150" s="358">
        <f t="shared" ca="1" si="106"/>
        <v>0</v>
      </c>
      <c r="Z150" s="358">
        <f t="shared" ca="1" si="106"/>
        <v>0</v>
      </c>
      <c r="AA150" s="358">
        <f t="shared" ca="1" si="107"/>
        <v>0</v>
      </c>
      <c r="AB150" s="358">
        <f t="shared" ca="1" si="107"/>
        <v>0</v>
      </c>
      <c r="AC150" s="358">
        <f t="shared" ca="1" si="107"/>
        <v>0</v>
      </c>
      <c r="AD150" s="358">
        <f t="shared" ca="1" si="107"/>
        <v>0</v>
      </c>
      <c r="AE150" s="358">
        <f t="shared" ca="1" si="107"/>
        <v>0</v>
      </c>
      <c r="AF150" s="358">
        <f t="shared" ca="1" si="107"/>
        <v>0</v>
      </c>
      <c r="AG150" s="358">
        <f t="shared" ca="1" si="107"/>
        <v>0</v>
      </c>
      <c r="AH150" s="358">
        <f t="shared" ca="1" si="107"/>
        <v>0</v>
      </c>
      <c r="AI150" s="358">
        <f t="shared" ca="1" si="107"/>
        <v>0</v>
      </c>
      <c r="AJ150" s="358">
        <f t="shared" ca="1" si="107"/>
        <v>0</v>
      </c>
      <c r="AK150" s="358">
        <f t="shared" ca="1" si="108"/>
        <v>0</v>
      </c>
      <c r="AL150" s="358">
        <f t="shared" ca="1" si="108"/>
        <v>0</v>
      </c>
      <c r="AM150" s="358">
        <f t="shared" ca="1" si="108"/>
        <v>0</v>
      </c>
      <c r="AN150" s="358">
        <f t="shared" ca="1" si="108"/>
        <v>0</v>
      </c>
      <c r="AO150" s="358">
        <f t="shared" ca="1" si="108"/>
        <v>0</v>
      </c>
      <c r="AP150" s="358">
        <f t="shared" ca="1" si="108"/>
        <v>0</v>
      </c>
      <c r="AQ150" s="358">
        <f t="shared" ca="1" si="108"/>
        <v>0</v>
      </c>
      <c r="AR150" s="358">
        <f t="shared" ca="1" si="108"/>
        <v>0</v>
      </c>
      <c r="AS150" s="358">
        <f t="shared" ca="1" si="108"/>
        <v>0</v>
      </c>
      <c r="AT150" s="358">
        <f t="shared" ca="1" si="108"/>
        <v>0</v>
      </c>
      <c r="AV150" s="358">
        <f t="shared" ca="1" si="90"/>
        <v>0</v>
      </c>
      <c r="AX150" s="358">
        <f t="shared" ca="1" si="91"/>
        <v>0</v>
      </c>
      <c r="AZ150" s="358">
        <f t="shared" ca="1" si="92"/>
        <v>0</v>
      </c>
      <c r="BB150" s="358">
        <f t="shared" ca="1" si="93"/>
        <v>0</v>
      </c>
      <c r="BD150" s="358">
        <f t="shared" ca="1" si="94"/>
        <v>0</v>
      </c>
      <c r="BF150" s="358">
        <f t="shared" ca="1" si="95"/>
        <v>0</v>
      </c>
      <c r="BH150" s="358">
        <f t="shared" ca="1" si="96"/>
        <v>0</v>
      </c>
    </row>
    <row r="151" spans="1:60" hidden="1" outlineLevel="1">
      <c r="A151" s="1464">
        <f t="shared" si="97"/>
        <v>18</v>
      </c>
      <c r="B151" s="1464">
        <f t="shared" si="98"/>
        <v>24</v>
      </c>
      <c r="C151" s="1464">
        <f t="shared" si="99"/>
        <v>23</v>
      </c>
      <c r="D151" s="1271" t="str">
        <f ca="1">IF(OFFSET(PortfolioDashboard!$A$3,C151-1,0)="","Blank",OFFSET(PortfolioDashboard!$A$3,C151-1,0))</f>
        <v>Blank</v>
      </c>
      <c r="E151" s="1464" t="str">
        <f t="shared" si="100"/>
        <v>2010$</v>
      </c>
      <c r="F151" s="1460">
        <f t="shared" ca="1" si="85"/>
        <v>0</v>
      </c>
      <c r="G151" s="358">
        <f t="shared" ca="1" si="105"/>
        <v>0</v>
      </c>
      <c r="H151" s="358">
        <f t="shared" ca="1" si="105"/>
        <v>0</v>
      </c>
      <c r="I151" s="358">
        <f t="shared" ca="1" si="105"/>
        <v>0</v>
      </c>
      <c r="J151" s="358">
        <f t="shared" ca="1" si="105"/>
        <v>0</v>
      </c>
      <c r="K151" s="358">
        <f t="shared" ca="1" si="105"/>
        <v>0</v>
      </c>
      <c r="L151" s="358">
        <f t="shared" ca="1" si="105"/>
        <v>0</v>
      </c>
      <c r="M151" s="358">
        <f t="shared" ca="1" si="105"/>
        <v>0</v>
      </c>
      <c r="N151" s="358">
        <f t="shared" ca="1" si="105"/>
        <v>0</v>
      </c>
      <c r="O151" s="358">
        <f t="shared" ca="1" si="105"/>
        <v>0</v>
      </c>
      <c r="P151" s="358">
        <f t="shared" ca="1" si="105"/>
        <v>0</v>
      </c>
      <c r="Q151" s="358">
        <f t="shared" ca="1" si="106"/>
        <v>0</v>
      </c>
      <c r="R151" s="358">
        <f t="shared" ca="1" si="106"/>
        <v>0</v>
      </c>
      <c r="S151" s="358">
        <f t="shared" ca="1" si="106"/>
        <v>0</v>
      </c>
      <c r="T151" s="358">
        <f t="shared" ca="1" si="106"/>
        <v>0</v>
      </c>
      <c r="U151" s="358">
        <f t="shared" ca="1" si="106"/>
        <v>0</v>
      </c>
      <c r="V151" s="358">
        <f t="shared" ca="1" si="106"/>
        <v>0</v>
      </c>
      <c r="W151" s="358">
        <f t="shared" ca="1" si="106"/>
        <v>0</v>
      </c>
      <c r="X151" s="358">
        <f t="shared" ca="1" si="106"/>
        <v>0</v>
      </c>
      <c r="Y151" s="358">
        <f t="shared" ca="1" si="106"/>
        <v>0</v>
      </c>
      <c r="Z151" s="358">
        <f t="shared" ca="1" si="106"/>
        <v>0</v>
      </c>
      <c r="AA151" s="358">
        <f t="shared" ca="1" si="107"/>
        <v>0</v>
      </c>
      <c r="AB151" s="358">
        <f t="shared" ca="1" si="107"/>
        <v>0</v>
      </c>
      <c r="AC151" s="358">
        <f t="shared" ca="1" si="107"/>
        <v>0</v>
      </c>
      <c r="AD151" s="358">
        <f t="shared" ca="1" si="107"/>
        <v>0</v>
      </c>
      <c r="AE151" s="358">
        <f t="shared" ca="1" si="107"/>
        <v>0</v>
      </c>
      <c r="AF151" s="358">
        <f t="shared" ca="1" si="107"/>
        <v>0</v>
      </c>
      <c r="AG151" s="358">
        <f t="shared" ca="1" si="107"/>
        <v>0</v>
      </c>
      <c r="AH151" s="358">
        <f t="shared" ca="1" si="107"/>
        <v>0</v>
      </c>
      <c r="AI151" s="358">
        <f t="shared" ca="1" si="107"/>
        <v>0</v>
      </c>
      <c r="AJ151" s="358">
        <f t="shared" ca="1" si="107"/>
        <v>0</v>
      </c>
      <c r="AK151" s="358">
        <f t="shared" ca="1" si="108"/>
        <v>0</v>
      </c>
      <c r="AL151" s="358">
        <f t="shared" ca="1" si="108"/>
        <v>0</v>
      </c>
      <c r="AM151" s="358">
        <f t="shared" ca="1" si="108"/>
        <v>0</v>
      </c>
      <c r="AN151" s="358">
        <f t="shared" ca="1" si="108"/>
        <v>0</v>
      </c>
      <c r="AO151" s="358">
        <f t="shared" ca="1" si="108"/>
        <v>0</v>
      </c>
      <c r="AP151" s="358">
        <f t="shared" ca="1" si="108"/>
        <v>0</v>
      </c>
      <c r="AQ151" s="358">
        <f t="shared" ca="1" si="108"/>
        <v>0</v>
      </c>
      <c r="AR151" s="358">
        <f t="shared" ca="1" si="108"/>
        <v>0</v>
      </c>
      <c r="AS151" s="358">
        <f t="shared" ca="1" si="108"/>
        <v>0</v>
      </c>
      <c r="AT151" s="358">
        <f t="shared" ca="1" si="108"/>
        <v>0</v>
      </c>
      <c r="AV151" s="358">
        <f t="shared" ca="1" si="90"/>
        <v>0</v>
      </c>
      <c r="AX151" s="358">
        <f t="shared" ca="1" si="91"/>
        <v>0</v>
      </c>
      <c r="AZ151" s="358">
        <f t="shared" ca="1" si="92"/>
        <v>0</v>
      </c>
      <c r="BB151" s="358">
        <f t="shared" ca="1" si="93"/>
        <v>0</v>
      </c>
      <c r="BD151" s="358">
        <f t="shared" ca="1" si="94"/>
        <v>0</v>
      </c>
      <c r="BF151" s="358">
        <f t="shared" ca="1" si="95"/>
        <v>0</v>
      </c>
      <c r="BH151" s="358">
        <f t="shared" ca="1" si="96"/>
        <v>0</v>
      </c>
    </row>
    <row r="152" spans="1:60" hidden="1" outlineLevel="1">
      <c r="A152" s="1464">
        <f t="shared" si="97"/>
        <v>18</v>
      </c>
      <c r="B152" s="1464">
        <f t="shared" si="98"/>
        <v>24</v>
      </c>
      <c r="C152" s="1464">
        <f t="shared" si="99"/>
        <v>24</v>
      </c>
      <c r="D152" s="1271" t="str">
        <f ca="1">IF(OFFSET(PortfolioDashboard!$A$3,C152-1,0)="","Blank",OFFSET(PortfolioDashboard!$A$3,C152-1,0))</f>
        <v>Blank</v>
      </c>
      <c r="E152" s="1464" t="str">
        <f t="shared" si="100"/>
        <v>2010$</v>
      </c>
      <c r="F152" s="1460">
        <f t="shared" ca="1" si="85"/>
        <v>0</v>
      </c>
      <c r="G152" s="358">
        <f t="shared" ca="1" si="105"/>
        <v>0</v>
      </c>
      <c r="H152" s="358">
        <f t="shared" ca="1" si="105"/>
        <v>0</v>
      </c>
      <c r="I152" s="358">
        <f t="shared" ca="1" si="105"/>
        <v>0</v>
      </c>
      <c r="J152" s="358">
        <f t="shared" ca="1" si="105"/>
        <v>0</v>
      </c>
      <c r="K152" s="358">
        <f t="shared" ca="1" si="105"/>
        <v>0</v>
      </c>
      <c r="L152" s="358">
        <f t="shared" ca="1" si="105"/>
        <v>0</v>
      </c>
      <c r="M152" s="358">
        <f t="shared" ca="1" si="105"/>
        <v>0</v>
      </c>
      <c r="N152" s="358">
        <f t="shared" ca="1" si="105"/>
        <v>0</v>
      </c>
      <c r="O152" s="358">
        <f t="shared" ca="1" si="105"/>
        <v>0</v>
      </c>
      <c r="P152" s="358">
        <f t="shared" ca="1" si="105"/>
        <v>0</v>
      </c>
      <c r="Q152" s="358">
        <f t="shared" ca="1" si="106"/>
        <v>0</v>
      </c>
      <c r="R152" s="358">
        <f t="shared" ca="1" si="106"/>
        <v>0</v>
      </c>
      <c r="S152" s="358">
        <f t="shared" ca="1" si="106"/>
        <v>0</v>
      </c>
      <c r="T152" s="358">
        <f t="shared" ca="1" si="106"/>
        <v>0</v>
      </c>
      <c r="U152" s="358">
        <f t="shared" ca="1" si="106"/>
        <v>0</v>
      </c>
      <c r="V152" s="358">
        <f t="shared" ca="1" si="106"/>
        <v>0</v>
      </c>
      <c r="W152" s="358">
        <f t="shared" ca="1" si="106"/>
        <v>0</v>
      </c>
      <c r="X152" s="358">
        <f t="shared" ca="1" si="106"/>
        <v>0</v>
      </c>
      <c r="Y152" s="358">
        <f t="shared" ca="1" si="106"/>
        <v>0</v>
      </c>
      <c r="Z152" s="358">
        <f t="shared" ca="1" si="106"/>
        <v>0</v>
      </c>
      <c r="AA152" s="358">
        <f t="shared" ca="1" si="107"/>
        <v>0</v>
      </c>
      <c r="AB152" s="358">
        <f t="shared" ca="1" si="107"/>
        <v>0</v>
      </c>
      <c r="AC152" s="358">
        <f t="shared" ca="1" si="107"/>
        <v>0</v>
      </c>
      <c r="AD152" s="358">
        <f t="shared" ca="1" si="107"/>
        <v>0</v>
      </c>
      <c r="AE152" s="358">
        <f t="shared" ca="1" si="107"/>
        <v>0</v>
      </c>
      <c r="AF152" s="358">
        <f t="shared" ca="1" si="107"/>
        <v>0</v>
      </c>
      <c r="AG152" s="358">
        <f t="shared" ca="1" si="107"/>
        <v>0</v>
      </c>
      <c r="AH152" s="358">
        <f t="shared" ca="1" si="107"/>
        <v>0</v>
      </c>
      <c r="AI152" s="358">
        <f t="shared" ca="1" si="107"/>
        <v>0</v>
      </c>
      <c r="AJ152" s="358">
        <f t="shared" ca="1" si="107"/>
        <v>0</v>
      </c>
      <c r="AK152" s="358">
        <f t="shared" ca="1" si="108"/>
        <v>0</v>
      </c>
      <c r="AL152" s="358">
        <f t="shared" ca="1" si="108"/>
        <v>0</v>
      </c>
      <c r="AM152" s="358">
        <f t="shared" ca="1" si="108"/>
        <v>0</v>
      </c>
      <c r="AN152" s="358">
        <f t="shared" ca="1" si="108"/>
        <v>0</v>
      </c>
      <c r="AO152" s="358">
        <f t="shared" ca="1" si="108"/>
        <v>0</v>
      </c>
      <c r="AP152" s="358">
        <f t="shared" ca="1" si="108"/>
        <v>0</v>
      </c>
      <c r="AQ152" s="358">
        <f t="shared" ca="1" si="108"/>
        <v>0</v>
      </c>
      <c r="AR152" s="358">
        <f t="shared" ca="1" si="108"/>
        <v>0</v>
      </c>
      <c r="AS152" s="358">
        <f t="shared" ca="1" si="108"/>
        <v>0</v>
      </c>
      <c r="AT152" s="358">
        <f t="shared" ca="1" si="108"/>
        <v>0</v>
      </c>
      <c r="AV152" s="358">
        <f t="shared" ca="1" si="90"/>
        <v>0</v>
      </c>
      <c r="AX152" s="358">
        <f t="shared" ca="1" si="91"/>
        <v>0</v>
      </c>
      <c r="AZ152" s="358">
        <f t="shared" ca="1" si="92"/>
        <v>0</v>
      </c>
      <c r="BB152" s="358">
        <f t="shared" ca="1" si="93"/>
        <v>0</v>
      </c>
      <c r="BD152" s="358">
        <f t="shared" ca="1" si="94"/>
        <v>0</v>
      </c>
      <c r="BF152" s="358">
        <f t="shared" ca="1" si="95"/>
        <v>0</v>
      </c>
      <c r="BH152" s="358">
        <f t="shared" ca="1" si="96"/>
        <v>0</v>
      </c>
    </row>
    <row r="153" spans="1:60" hidden="1" outlineLevel="1">
      <c r="A153" s="1464">
        <f t="shared" si="97"/>
        <v>18</v>
      </c>
      <c r="B153" s="1464">
        <f t="shared" si="98"/>
        <v>24</v>
      </c>
      <c r="C153" s="1464">
        <f t="shared" si="99"/>
        <v>25</v>
      </c>
      <c r="D153" s="1271" t="str">
        <f ca="1">IF(OFFSET(PortfolioDashboard!$A$3,C153-1,0)="","Blank",OFFSET(PortfolioDashboard!$A$3,C153-1,0))</f>
        <v>Blank</v>
      </c>
      <c r="E153" s="1464" t="str">
        <f t="shared" si="100"/>
        <v>2010$</v>
      </c>
      <c r="F153" s="1460">
        <f t="shared" ca="1" si="85"/>
        <v>0</v>
      </c>
      <c r="G153" s="358">
        <f t="shared" ca="1" si="105"/>
        <v>0</v>
      </c>
      <c r="H153" s="358">
        <f t="shared" ca="1" si="105"/>
        <v>0</v>
      </c>
      <c r="I153" s="358">
        <f t="shared" ca="1" si="105"/>
        <v>0</v>
      </c>
      <c r="J153" s="358">
        <f t="shared" ca="1" si="105"/>
        <v>0</v>
      </c>
      <c r="K153" s="358">
        <f t="shared" ca="1" si="105"/>
        <v>0</v>
      </c>
      <c r="L153" s="358">
        <f t="shared" ca="1" si="105"/>
        <v>0</v>
      </c>
      <c r="M153" s="358">
        <f t="shared" ca="1" si="105"/>
        <v>0</v>
      </c>
      <c r="N153" s="358">
        <f t="shared" ca="1" si="105"/>
        <v>0</v>
      </c>
      <c r="O153" s="358">
        <f t="shared" ca="1" si="105"/>
        <v>0</v>
      </c>
      <c r="P153" s="358">
        <f t="shared" ca="1" si="105"/>
        <v>0</v>
      </c>
      <c r="Q153" s="358">
        <f t="shared" ca="1" si="106"/>
        <v>0</v>
      </c>
      <c r="R153" s="358">
        <f t="shared" ca="1" si="106"/>
        <v>0</v>
      </c>
      <c r="S153" s="358">
        <f t="shared" ca="1" si="106"/>
        <v>0</v>
      </c>
      <c r="T153" s="358">
        <f t="shared" ca="1" si="106"/>
        <v>0</v>
      </c>
      <c r="U153" s="358">
        <f t="shared" ca="1" si="106"/>
        <v>0</v>
      </c>
      <c r="V153" s="358">
        <f t="shared" ca="1" si="106"/>
        <v>0</v>
      </c>
      <c r="W153" s="358">
        <f t="shared" ca="1" si="106"/>
        <v>0</v>
      </c>
      <c r="X153" s="358">
        <f t="shared" ca="1" si="106"/>
        <v>0</v>
      </c>
      <c r="Y153" s="358">
        <f t="shared" ca="1" si="106"/>
        <v>0</v>
      </c>
      <c r="Z153" s="358">
        <f t="shared" ca="1" si="106"/>
        <v>0</v>
      </c>
      <c r="AA153" s="358">
        <f t="shared" ca="1" si="107"/>
        <v>0</v>
      </c>
      <c r="AB153" s="358">
        <f t="shared" ca="1" si="107"/>
        <v>0</v>
      </c>
      <c r="AC153" s="358">
        <f t="shared" ca="1" si="107"/>
        <v>0</v>
      </c>
      <c r="AD153" s="358">
        <f t="shared" ca="1" si="107"/>
        <v>0</v>
      </c>
      <c r="AE153" s="358">
        <f t="shared" ca="1" si="107"/>
        <v>0</v>
      </c>
      <c r="AF153" s="358">
        <f t="shared" ca="1" si="107"/>
        <v>0</v>
      </c>
      <c r="AG153" s="358">
        <f t="shared" ca="1" si="107"/>
        <v>0</v>
      </c>
      <c r="AH153" s="358">
        <f t="shared" ca="1" si="107"/>
        <v>0</v>
      </c>
      <c r="AI153" s="358">
        <f t="shared" ca="1" si="107"/>
        <v>0</v>
      </c>
      <c r="AJ153" s="358">
        <f t="shared" ca="1" si="107"/>
        <v>0</v>
      </c>
      <c r="AK153" s="358">
        <f t="shared" ca="1" si="108"/>
        <v>0</v>
      </c>
      <c r="AL153" s="358">
        <f t="shared" ca="1" si="108"/>
        <v>0</v>
      </c>
      <c r="AM153" s="358">
        <f t="shared" ca="1" si="108"/>
        <v>0</v>
      </c>
      <c r="AN153" s="358">
        <f t="shared" ca="1" si="108"/>
        <v>0</v>
      </c>
      <c r="AO153" s="358">
        <f t="shared" ca="1" si="108"/>
        <v>0</v>
      </c>
      <c r="AP153" s="358">
        <f t="shared" ca="1" si="108"/>
        <v>0</v>
      </c>
      <c r="AQ153" s="358">
        <f t="shared" ca="1" si="108"/>
        <v>0</v>
      </c>
      <c r="AR153" s="358">
        <f t="shared" ca="1" si="108"/>
        <v>0</v>
      </c>
      <c r="AS153" s="358">
        <f t="shared" ca="1" si="108"/>
        <v>0</v>
      </c>
      <c r="AT153" s="358">
        <f t="shared" ca="1" si="108"/>
        <v>0</v>
      </c>
      <c r="AV153" s="358">
        <f t="shared" ca="1" si="90"/>
        <v>0</v>
      </c>
      <c r="AX153" s="358">
        <f t="shared" ca="1" si="91"/>
        <v>0</v>
      </c>
      <c r="AZ153" s="358">
        <f t="shared" ca="1" si="92"/>
        <v>0</v>
      </c>
      <c r="BB153" s="358">
        <f t="shared" ca="1" si="93"/>
        <v>0</v>
      </c>
      <c r="BD153" s="358">
        <f t="shared" ca="1" si="94"/>
        <v>0</v>
      </c>
      <c r="BF153" s="358">
        <f t="shared" ca="1" si="95"/>
        <v>0</v>
      </c>
      <c r="BH153" s="358">
        <f t="shared" ca="1" si="96"/>
        <v>0</v>
      </c>
    </row>
    <row r="154" spans="1:60" hidden="1" outlineLevel="1">
      <c r="A154" s="1464">
        <f t="shared" si="97"/>
        <v>18</v>
      </c>
      <c r="B154" s="1464">
        <f t="shared" si="98"/>
        <v>24</v>
      </c>
      <c r="C154" s="1464">
        <f t="shared" si="99"/>
        <v>26</v>
      </c>
      <c r="D154" s="1271" t="str">
        <f ca="1">IF(OFFSET(PortfolioDashboard!$A$3,C154-1,0)="","Blank",OFFSET(PortfolioDashboard!$A$3,C154-1,0))</f>
        <v>Blank</v>
      </c>
      <c r="E154" s="1464" t="str">
        <f t="shared" si="100"/>
        <v>2010$</v>
      </c>
      <c r="F154" s="1460">
        <f t="shared" ca="1" si="85"/>
        <v>0</v>
      </c>
      <c r="G154" s="358">
        <f t="shared" ca="1" si="105"/>
        <v>0</v>
      </c>
      <c r="H154" s="358">
        <f t="shared" ca="1" si="105"/>
        <v>0</v>
      </c>
      <c r="I154" s="358">
        <f t="shared" ca="1" si="105"/>
        <v>0</v>
      </c>
      <c r="J154" s="358">
        <f t="shared" ca="1" si="105"/>
        <v>0</v>
      </c>
      <c r="K154" s="358">
        <f t="shared" ca="1" si="105"/>
        <v>0</v>
      </c>
      <c r="L154" s="358">
        <f t="shared" ca="1" si="105"/>
        <v>0</v>
      </c>
      <c r="M154" s="358">
        <f t="shared" ca="1" si="105"/>
        <v>0</v>
      </c>
      <c r="N154" s="358">
        <f t="shared" ca="1" si="105"/>
        <v>0</v>
      </c>
      <c r="O154" s="358">
        <f t="shared" ca="1" si="105"/>
        <v>0</v>
      </c>
      <c r="P154" s="358">
        <f t="shared" ca="1" si="105"/>
        <v>0</v>
      </c>
      <c r="Q154" s="358">
        <f t="shared" ca="1" si="106"/>
        <v>0</v>
      </c>
      <c r="R154" s="358">
        <f t="shared" ca="1" si="106"/>
        <v>0</v>
      </c>
      <c r="S154" s="358">
        <f t="shared" ca="1" si="106"/>
        <v>0</v>
      </c>
      <c r="T154" s="358">
        <f t="shared" ca="1" si="106"/>
        <v>0</v>
      </c>
      <c r="U154" s="358">
        <f t="shared" ca="1" si="106"/>
        <v>0</v>
      </c>
      <c r="V154" s="358">
        <f t="shared" ca="1" si="106"/>
        <v>0</v>
      </c>
      <c r="W154" s="358">
        <f t="shared" ca="1" si="106"/>
        <v>0</v>
      </c>
      <c r="X154" s="358">
        <f t="shared" ca="1" si="106"/>
        <v>0</v>
      </c>
      <c r="Y154" s="358">
        <f t="shared" ca="1" si="106"/>
        <v>0</v>
      </c>
      <c r="Z154" s="358">
        <f t="shared" ca="1" si="106"/>
        <v>0</v>
      </c>
      <c r="AA154" s="358">
        <f t="shared" ca="1" si="107"/>
        <v>0</v>
      </c>
      <c r="AB154" s="358">
        <f t="shared" ca="1" si="107"/>
        <v>0</v>
      </c>
      <c r="AC154" s="358">
        <f t="shared" ca="1" si="107"/>
        <v>0</v>
      </c>
      <c r="AD154" s="358">
        <f t="shared" ca="1" si="107"/>
        <v>0</v>
      </c>
      <c r="AE154" s="358">
        <f t="shared" ca="1" si="107"/>
        <v>0</v>
      </c>
      <c r="AF154" s="358">
        <f t="shared" ca="1" si="107"/>
        <v>0</v>
      </c>
      <c r="AG154" s="358">
        <f t="shared" ca="1" si="107"/>
        <v>0</v>
      </c>
      <c r="AH154" s="358">
        <f t="shared" ca="1" si="107"/>
        <v>0</v>
      </c>
      <c r="AI154" s="358">
        <f t="shared" ca="1" si="107"/>
        <v>0</v>
      </c>
      <c r="AJ154" s="358">
        <f t="shared" ca="1" si="107"/>
        <v>0</v>
      </c>
      <c r="AK154" s="358">
        <f t="shared" ca="1" si="108"/>
        <v>0</v>
      </c>
      <c r="AL154" s="358">
        <f t="shared" ca="1" si="108"/>
        <v>0</v>
      </c>
      <c r="AM154" s="358">
        <f t="shared" ca="1" si="108"/>
        <v>0</v>
      </c>
      <c r="AN154" s="358">
        <f t="shared" ca="1" si="108"/>
        <v>0</v>
      </c>
      <c r="AO154" s="358">
        <f t="shared" ca="1" si="108"/>
        <v>0</v>
      </c>
      <c r="AP154" s="358">
        <f t="shared" ca="1" si="108"/>
        <v>0</v>
      </c>
      <c r="AQ154" s="358">
        <f t="shared" ca="1" si="108"/>
        <v>0</v>
      </c>
      <c r="AR154" s="358">
        <f t="shared" ca="1" si="108"/>
        <v>0</v>
      </c>
      <c r="AS154" s="358">
        <f t="shared" ca="1" si="108"/>
        <v>0</v>
      </c>
      <c r="AT154" s="358">
        <f t="shared" ca="1" si="108"/>
        <v>0</v>
      </c>
      <c r="AV154" s="358">
        <f t="shared" ca="1" si="90"/>
        <v>0</v>
      </c>
      <c r="AX154" s="358">
        <f t="shared" ca="1" si="91"/>
        <v>0</v>
      </c>
      <c r="AZ154" s="358">
        <f t="shared" ca="1" si="92"/>
        <v>0</v>
      </c>
      <c r="BB154" s="358">
        <f t="shared" ca="1" si="93"/>
        <v>0</v>
      </c>
      <c r="BD154" s="358">
        <f t="shared" ca="1" si="94"/>
        <v>0</v>
      </c>
      <c r="BF154" s="358">
        <f t="shared" ca="1" si="95"/>
        <v>0</v>
      </c>
      <c r="BH154" s="358">
        <f t="shared" ca="1" si="96"/>
        <v>0</v>
      </c>
    </row>
    <row r="155" spans="1:60" hidden="1" outlineLevel="1">
      <c r="A155" s="1464">
        <f t="shared" si="97"/>
        <v>18</v>
      </c>
      <c r="B155" s="1464">
        <f t="shared" si="98"/>
        <v>24</v>
      </c>
      <c r="C155" s="1464">
        <f t="shared" si="99"/>
        <v>27</v>
      </c>
      <c r="D155" s="1271" t="str">
        <f ca="1">IF(OFFSET(PortfolioDashboard!$A$3,C155-1,0)="","Blank",OFFSET(PortfolioDashboard!$A$3,C155-1,0))</f>
        <v>Blank</v>
      </c>
      <c r="E155" s="1464" t="str">
        <f t="shared" si="100"/>
        <v>2010$</v>
      </c>
      <c r="F155" s="1460">
        <f t="shared" ca="1" si="85"/>
        <v>0</v>
      </c>
      <c r="G155" s="358">
        <f t="shared" ca="1" si="105"/>
        <v>0</v>
      </c>
      <c r="H155" s="358">
        <f t="shared" ca="1" si="105"/>
        <v>0</v>
      </c>
      <c r="I155" s="358">
        <f t="shared" ca="1" si="105"/>
        <v>0</v>
      </c>
      <c r="J155" s="358">
        <f t="shared" ca="1" si="105"/>
        <v>0</v>
      </c>
      <c r="K155" s="358">
        <f t="shared" ca="1" si="105"/>
        <v>0</v>
      </c>
      <c r="L155" s="358">
        <f t="shared" ca="1" si="105"/>
        <v>0</v>
      </c>
      <c r="M155" s="358">
        <f t="shared" ca="1" si="105"/>
        <v>0</v>
      </c>
      <c r="N155" s="358">
        <f t="shared" ca="1" si="105"/>
        <v>0</v>
      </c>
      <c r="O155" s="358">
        <f t="shared" ca="1" si="105"/>
        <v>0</v>
      </c>
      <c r="P155" s="358">
        <f t="shared" ca="1" si="105"/>
        <v>0</v>
      </c>
      <c r="Q155" s="358">
        <f t="shared" ca="1" si="106"/>
        <v>0</v>
      </c>
      <c r="R155" s="358">
        <f t="shared" ca="1" si="106"/>
        <v>0</v>
      </c>
      <c r="S155" s="358">
        <f t="shared" ca="1" si="106"/>
        <v>0</v>
      </c>
      <c r="T155" s="358">
        <f t="shared" ca="1" si="106"/>
        <v>0</v>
      </c>
      <c r="U155" s="358">
        <f t="shared" ca="1" si="106"/>
        <v>0</v>
      </c>
      <c r="V155" s="358">
        <f t="shared" ca="1" si="106"/>
        <v>0</v>
      </c>
      <c r="W155" s="358">
        <f t="shared" ca="1" si="106"/>
        <v>0</v>
      </c>
      <c r="X155" s="358">
        <f t="shared" ca="1" si="106"/>
        <v>0</v>
      </c>
      <c r="Y155" s="358">
        <f t="shared" ca="1" si="106"/>
        <v>0</v>
      </c>
      <c r="Z155" s="358">
        <f t="shared" ca="1" si="106"/>
        <v>0</v>
      </c>
      <c r="AA155" s="358">
        <f t="shared" ca="1" si="107"/>
        <v>0</v>
      </c>
      <c r="AB155" s="358">
        <f t="shared" ca="1" si="107"/>
        <v>0</v>
      </c>
      <c r="AC155" s="358">
        <f t="shared" ca="1" si="107"/>
        <v>0</v>
      </c>
      <c r="AD155" s="358">
        <f t="shared" ca="1" si="107"/>
        <v>0</v>
      </c>
      <c r="AE155" s="358">
        <f t="shared" ca="1" si="107"/>
        <v>0</v>
      </c>
      <c r="AF155" s="358">
        <f t="shared" ca="1" si="107"/>
        <v>0</v>
      </c>
      <c r="AG155" s="358">
        <f t="shared" ca="1" si="107"/>
        <v>0</v>
      </c>
      <c r="AH155" s="358">
        <f t="shared" ca="1" si="107"/>
        <v>0</v>
      </c>
      <c r="AI155" s="358">
        <f t="shared" ca="1" si="107"/>
        <v>0</v>
      </c>
      <c r="AJ155" s="358">
        <f t="shared" ca="1" si="107"/>
        <v>0</v>
      </c>
      <c r="AK155" s="358">
        <f t="shared" ca="1" si="108"/>
        <v>0</v>
      </c>
      <c r="AL155" s="358">
        <f t="shared" ca="1" si="108"/>
        <v>0</v>
      </c>
      <c r="AM155" s="358">
        <f t="shared" ca="1" si="108"/>
        <v>0</v>
      </c>
      <c r="AN155" s="358">
        <f t="shared" ca="1" si="108"/>
        <v>0</v>
      </c>
      <c r="AO155" s="358">
        <f t="shared" ca="1" si="108"/>
        <v>0</v>
      </c>
      <c r="AP155" s="358">
        <f t="shared" ca="1" si="108"/>
        <v>0</v>
      </c>
      <c r="AQ155" s="358">
        <f t="shared" ca="1" si="108"/>
        <v>0</v>
      </c>
      <c r="AR155" s="358">
        <f t="shared" ca="1" si="108"/>
        <v>0</v>
      </c>
      <c r="AS155" s="358">
        <f t="shared" ca="1" si="108"/>
        <v>0</v>
      </c>
      <c r="AT155" s="358">
        <f t="shared" ca="1" si="108"/>
        <v>0</v>
      </c>
      <c r="AV155" s="358">
        <f t="shared" ca="1" si="90"/>
        <v>0</v>
      </c>
      <c r="AX155" s="358">
        <f t="shared" ca="1" si="91"/>
        <v>0</v>
      </c>
      <c r="AZ155" s="358">
        <f t="shared" ca="1" si="92"/>
        <v>0</v>
      </c>
      <c r="BB155" s="358">
        <f t="shared" ca="1" si="93"/>
        <v>0</v>
      </c>
      <c r="BD155" s="358">
        <f t="shared" ca="1" si="94"/>
        <v>0</v>
      </c>
      <c r="BF155" s="358">
        <f t="shared" ca="1" si="95"/>
        <v>0</v>
      </c>
      <c r="BH155" s="358">
        <f t="shared" ca="1" si="96"/>
        <v>0</v>
      </c>
    </row>
    <row r="156" spans="1:60" hidden="1" outlineLevel="1">
      <c r="A156" s="1464">
        <f t="shared" si="97"/>
        <v>18</v>
      </c>
      <c r="B156" s="1464">
        <f t="shared" si="98"/>
        <v>24</v>
      </c>
      <c r="C156" s="1464">
        <f t="shared" si="99"/>
        <v>28</v>
      </c>
      <c r="D156" s="1271" t="str">
        <f ca="1">IF(OFFSET(PortfolioDashboard!$A$3,C156-1,0)="","Blank",OFFSET(PortfolioDashboard!$A$3,C156-1,0))</f>
        <v>Blank</v>
      </c>
      <c r="E156" s="1464" t="str">
        <f t="shared" si="100"/>
        <v>2010$</v>
      </c>
      <c r="F156" s="1460">
        <f t="shared" ca="1" si="85"/>
        <v>0</v>
      </c>
      <c r="G156" s="358">
        <f t="shared" ca="1" si="105"/>
        <v>0</v>
      </c>
      <c r="H156" s="358">
        <f t="shared" ca="1" si="105"/>
        <v>0</v>
      </c>
      <c r="I156" s="358">
        <f t="shared" ca="1" si="105"/>
        <v>0</v>
      </c>
      <c r="J156" s="358">
        <f t="shared" ca="1" si="105"/>
        <v>0</v>
      </c>
      <c r="K156" s="358">
        <f t="shared" ca="1" si="105"/>
        <v>0</v>
      </c>
      <c r="L156" s="358">
        <f t="shared" ca="1" si="105"/>
        <v>0</v>
      </c>
      <c r="M156" s="358">
        <f t="shared" ca="1" si="105"/>
        <v>0</v>
      </c>
      <c r="N156" s="358">
        <f t="shared" ca="1" si="105"/>
        <v>0</v>
      </c>
      <c r="O156" s="358">
        <f t="shared" ca="1" si="105"/>
        <v>0</v>
      </c>
      <c r="P156" s="358">
        <f t="shared" ca="1" si="105"/>
        <v>0</v>
      </c>
      <c r="Q156" s="358">
        <f t="shared" ca="1" si="106"/>
        <v>0</v>
      </c>
      <c r="R156" s="358">
        <f t="shared" ca="1" si="106"/>
        <v>0</v>
      </c>
      <c r="S156" s="358">
        <f t="shared" ca="1" si="106"/>
        <v>0</v>
      </c>
      <c r="T156" s="358">
        <f t="shared" ca="1" si="106"/>
        <v>0</v>
      </c>
      <c r="U156" s="358">
        <f t="shared" ca="1" si="106"/>
        <v>0</v>
      </c>
      <c r="V156" s="358">
        <f t="shared" ca="1" si="106"/>
        <v>0</v>
      </c>
      <c r="W156" s="358">
        <f t="shared" ca="1" si="106"/>
        <v>0</v>
      </c>
      <c r="X156" s="358">
        <f t="shared" ca="1" si="106"/>
        <v>0</v>
      </c>
      <c r="Y156" s="358">
        <f t="shared" ca="1" si="106"/>
        <v>0</v>
      </c>
      <c r="Z156" s="358">
        <f t="shared" ca="1" si="106"/>
        <v>0</v>
      </c>
      <c r="AA156" s="358">
        <f t="shared" ca="1" si="107"/>
        <v>0</v>
      </c>
      <c r="AB156" s="358">
        <f t="shared" ca="1" si="107"/>
        <v>0</v>
      </c>
      <c r="AC156" s="358">
        <f t="shared" ca="1" si="107"/>
        <v>0</v>
      </c>
      <c r="AD156" s="358">
        <f t="shared" ca="1" si="107"/>
        <v>0</v>
      </c>
      <c r="AE156" s="358">
        <f t="shared" ca="1" si="107"/>
        <v>0</v>
      </c>
      <c r="AF156" s="358">
        <f t="shared" ca="1" si="107"/>
        <v>0</v>
      </c>
      <c r="AG156" s="358">
        <f t="shared" ca="1" si="107"/>
        <v>0</v>
      </c>
      <c r="AH156" s="358">
        <f t="shared" ca="1" si="107"/>
        <v>0</v>
      </c>
      <c r="AI156" s="358">
        <f t="shared" ca="1" si="107"/>
        <v>0</v>
      </c>
      <c r="AJ156" s="358">
        <f t="shared" ca="1" si="107"/>
        <v>0</v>
      </c>
      <c r="AK156" s="358">
        <f t="shared" ca="1" si="108"/>
        <v>0</v>
      </c>
      <c r="AL156" s="358">
        <f t="shared" ca="1" si="108"/>
        <v>0</v>
      </c>
      <c r="AM156" s="358">
        <f t="shared" ca="1" si="108"/>
        <v>0</v>
      </c>
      <c r="AN156" s="358">
        <f t="shared" ca="1" si="108"/>
        <v>0</v>
      </c>
      <c r="AO156" s="358">
        <f t="shared" ca="1" si="108"/>
        <v>0</v>
      </c>
      <c r="AP156" s="358">
        <f t="shared" ca="1" si="108"/>
        <v>0</v>
      </c>
      <c r="AQ156" s="358">
        <f t="shared" ca="1" si="108"/>
        <v>0</v>
      </c>
      <c r="AR156" s="358">
        <f t="shared" ca="1" si="108"/>
        <v>0</v>
      </c>
      <c r="AS156" s="358">
        <f t="shared" ca="1" si="108"/>
        <v>0</v>
      </c>
      <c r="AT156" s="358">
        <f t="shared" ca="1" si="108"/>
        <v>0</v>
      </c>
      <c r="AV156" s="358">
        <f t="shared" ca="1" si="90"/>
        <v>0</v>
      </c>
      <c r="AX156" s="358">
        <f t="shared" ca="1" si="91"/>
        <v>0</v>
      </c>
      <c r="AZ156" s="358">
        <f t="shared" ca="1" si="92"/>
        <v>0</v>
      </c>
      <c r="BB156" s="358">
        <f t="shared" ca="1" si="93"/>
        <v>0</v>
      </c>
      <c r="BD156" s="358">
        <f t="shared" ca="1" si="94"/>
        <v>0</v>
      </c>
      <c r="BF156" s="358">
        <f t="shared" ca="1" si="95"/>
        <v>0</v>
      </c>
      <c r="BH156" s="358">
        <f t="shared" ca="1" si="96"/>
        <v>0</v>
      </c>
    </row>
    <row r="157" spans="1:60" hidden="1" outlineLevel="1">
      <c r="A157" s="1464">
        <f t="shared" si="97"/>
        <v>18</v>
      </c>
      <c r="B157" s="1464">
        <f t="shared" si="98"/>
        <v>24</v>
      </c>
      <c r="C157" s="1464">
        <f t="shared" si="99"/>
        <v>29</v>
      </c>
      <c r="D157" s="1271" t="str">
        <f ca="1">IF(OFFSET(PortfolioDashboard!$A$3,C157-1,0)="","Blank",OFFSET(PortfolioDashboard!$A$3,C157-1,0))</f>
        <v>Blank</v>
      </c>
      <c r="E157" s="1464" t="str">
        <f t="shared" si="100"/>
        <v>2010$</v>
      </c>
      <c r="F157" s="1460">
        <f t="shared" ca="1" si="85"/>
        <v>0</v>
      </c>
      <c r="G157" s="358">
        <f t="shared" ca="1" si="105"/>
        <v>0</v>
      </c>
      <c r="H157" s="358">
        <f t="shared" ca="1" si="105"/>
        <v>0</v>
      </c>
      <c r="I157" s="358">
        <f t="shared" ca="1" si="105"/>
        <v>0</v>
      </c>
      <c r="J157" s="358">
        <f t="shared" ca="1" si="105"/>
        <v>0</v>
      </c>
      <c r="K157" s="358">
        <f t="shared" ca="1" si="105"/>
        <v>0</v>
      </c>
      <c r="L157" s="358">
        <f t="shared" ca="1" si="105"/>
        <v>0</v>
      </c>
      <c r="M157" s="358">
        <f t="shared" ca="1" si="105"/>
        <v>0</v>
      </c>
      <c r="N157" s="358">
        <f t="shared" ca="1" si="105"/>
        <v>0</v>
      </c>
      <c r="O157" s="358">
        <f t="shared" ca="1" si="105"/>
        <v>0</v>
      </c>
      <c r="P157" s="358">
        <f t="shared" ca="1" si="105"/>
        <v>0</v>
      </c>
      <c r="Q157" s="358">
        <f t="shared" ca="1" si="106"/>
        <v>0</v>
      </c>
      <c r="R157" s="358">
        <f t="shared" ca="1" si="106"/>
        <v>0</v>
      </c>
      <c r="S157" s="358">
        <f t="shared" ca="1" si="106"/>
        <v>0</v>
      </c>
      <c r="T157" s="358">
        <f t="shared" ca="1" si="106"/>
        <v>0</v>
      </c>
      <c r="U157" s="358">
        <f t="shared" ca="1" si="106"/>
        <v>0</v>
      </c>
      <c r="V157" s="358">
        <f t="shared" ca="1" si="106"/>
        <v>0</v>
      </c>
      <c r="W157" s="358">
        <f t="shared" ca="1" si="106"/>
        <v>0</v>
      </c>
      <c r="X157" s="358">
        <f t="shared" ca="1" si="106"/>
        <v>0</v>
      </c>
      <c r="Y157" s="358">
        <f t="shared" ca="1" si="106"/>
        <v>0</v>
      </c>
      <c r="Z157" s="358">
        <f t="shared" ca="1" si="106"/>
        <v>0</v>
      </c>
      <c r="AA157" s="358">
        <f t="shared" ca="1" si="107"/>
        <v>0</v>
      </c>
      <c r="AB157" s="358">
        <f t="shared" ca="1" si="107"/>
        <v>0</v>
      </c>
      <c r="AC157" s="358">
        <f t="shared" ca="1" si="107"/>
        <v>0</v>
      </c>
      <c r="AD157" s="358">
        <f t="shared" ca="1" si="107"/>
        <v>0</v>
      </c>
      <c r="AE157" s="358">
        <f t="shared" ca="1" si="107"/>
        <v>0</v>
      </c>
      <c r="AF157" s="358">
        <f t="shared" ca="1" si="107"/>
        <v>0</v>
      </c>
      <c r="AG157" s="358">
        <f t="shared" ca="1" si="107"/>
        <v>0</v>
      </c>
      <c r="AH157" s="358">
        <f t="shared" ca="1" si="107"/>
        <v>0</v>
      </c>
      <c r="AI157" s="358">
        <f t="shared" ca="1" si="107"/>
        <v>0</v>
      </c>
      <c r="AJ157" s="358">
        <f t="shared" ca="1" si="107"/>
        <v>0</v>
      </c>
      <c r="AK157" s="358">
        <f t="shared" ca="1" si="108"/>
        <v>0</v>
      </c>
      <c r="AL157" s="358">
        <f t="shared" ca="1" si="108"/>
        <v>0</v>
      </c>
      <c r="AM157" s="358">
        <f t="shared" ca="1" si="108"/>
        <v>0</v>
      </c>
      <c r="AN157" s="358">
        <f t="shared" ca="1" si="108"/>
        <v>0</v>
      </c>
      <c r="AO157" s="358">
        <f t="shared" ca="1" si="108"/>
        <v>0</v>
      </c>
      <c r="AP157" s="358">
        <f t="shared" ca="1" si="108"/>
        <v>0</v>
      </c>
      <c r="AQ157" s="358">
        <f t="shared" ca="1" si="108"/>
        <v>0</v>
      </c>
      <c r="AR157" s="358">
        <f t="shared" ca="1" si="108"/>
        <v>0</v>
      </c>
      <c r="AS157" s="358">
        <f t="shared" ca="1" si="108"/>
        <v>0</v>
      </c>
      <c r="AT157" s="358">
        <f t="shared" ca="1" si="108"/>
        <v>0</v>
      </c>
      <c r="AV157" s="358">
        <f t="shared" ca="1" si="90"/>
        <v>0</v>
      </c>
      <c r="AX157" s="358">
        <f t="shared" ca="1" si="91"/>
        <v>0</v>
      </c>
      <c r="AZ157" s="358">
        <f t="shared" ca="1" si="92"/>
        <v>0</v>
      </c>
      <c r="BB157" s="358">
        <f t="shared" ca="1" si="93"/>
        <v>0</v>
      </c>
      <c r="BD157" s="358">
        <f t="shared" ca="1" si="94"/>
        <v>0</v>
      </c>
      <c r="BF157" s="358">
        <f t="shared" ca="1" si="95"/>
        <v>0</v>
      </c>
      <c r="BH157" s="358">
        <f t="shared" ca="1" si="96"/>
        <v>0</v>
      </c>
    </row>
    <row r="158" spans="1:60" hidden="1" outlineLevel="1">
      <c r="A158" s="1464">
        <f t="shared" si="97"/>
        <v>18</v>
      </c>
      <c r="B158" s="1464">
        <f t="shared" si="98"/>
        <v>24</v>
      </c>
      <c r="C158" s="1464">
        <f t="shared" si="99"/>
        <v>30</v>
      </c>
      <c r="D158" s="1271" t="str">
        <f ca="1">IF(OFFSET(PortfolioDashboard!$A$3,C158-1,0)="","Blank",OFFSET(PortfolioDashboard!$A$3,C158-1,0))</f>
        <v>Blank</v>
      </c>
      <c r="E158" s="1464" t="str">
        <f t="shared" si="100"/>
        <v>2010$</v>
      </c>
      <c r="F158" s="1460">
        <f t="shared" ca="1" si="85"/>
        <v>0</v>
      </c>
      <c r="G158" s="358">
        <f t="shared" ca="1" si="105"/>
        <v>0</v>
      </c>
      <c r="H158" s="358">
        <f t="shared" ca="1" si="105"/>
        <v>0</v>
      </c>
      <c r="I158" s="358">
        <f t="shared" ca="1" si="105"/>
        <v>0</v>
      </c>
      <c r="J158" s="358">
        <f t="shared" ca="1" si="105"/>
        <v>0</v>
      </c>
      <c r="K158" s="358">
        <f t="shared" ca="1" si="105"/>
        <v>0</v>
      </c>
      <c r="L158" s="358">
        <f t="shared" ca="1" si="105"/>
        <v>0</v>
      </c>
      <c r="M158" s="358">
        <f t="shared" ca="1" si="105"/>
        <v>0</v>
      </c>
      <c r="N158" s="358">
        <f t="shared" ca="1" si="105"/>
        <v>0</v>
      </c>
      <c r="O158" s="358">
        <f t="shared" ca="1" si="105"/>
        <v>0</v>
      </c>
      <c r="P158" s="358">
        <f t="shared" ca="1" si="105"/>
        <v>0</v>
      </c>
      <c r="Q158" s="358">
        <f t="shared" ca="1" si="106"/>
        <v>0</v>
      </c>
      <c r="R158" s="358">
        <f t="shared" ca="1" si="106"/>
        <v>0</v>
      </c>
      <c r="S158" s="358">
        <f t="shared" ca="1" si="106"/>
        <v>0</v>
      </c>
      <c r="T158" s="358">
        <f t="shared" ca="1" si="106"/>
        <v>0</v>
      </c>
      <c r="U158" s="358">
        <f t="shared" ca="1" si="106"/>
        <v>0</v>
      </c>
      <c r="V158" s="358">
        <f t="shared" ca="1" si="106"/>
        <v>0</v>
      </c>
      <c r="W158" s="358">
        <f t="shared" ca="1" si="106"/>
        <v>0</v>
      </c>
      <c r="X158" s="358">
        <f t="shared" ca="1" si="106"/>
        <v>0</v>
      </c>
      <c r="Y158" s="358">
        <f t="shared" ca="1" si="106"/>
        <v>0</v>
      </c>
      <c r="Z158" s="358">
        <f t="shared" ca="1" si="106"/>
        <v>0</v>
      </c>
      <c r="AA158" s="358">
        <f t="shared" ca="1" si="107"/>
        <v>0</v>
      </c>
      <c r="AB158" s="358">
        <f t="shared" ca="1" si="107"/>
        <v>0</v>
      </c>
      <c r="AC158" s="358">
        <f t="shared" ca="1" si="107"/>
        <v>0</v>
      </c>
      <c r="AD158" s="358">
        <f t="shared" ca="1" si="107"/>
        <v>0</v>
      </c>
      <c r="AE158" s="358">
        <f t="shared" ca="1" si="107"/>
        <v>0</v>
      </c>
      <c r="AF158" s="358">
        <f t="shared" ca="1" si="107"/>
        <v>0</v>
      </c>
      <c r="AG158" s="358">
        <f t="shared" ca="1" si="107"/>
        <v>0</v>
      </c>
      <c r="AH158" s="358">
        <f t="shared" ca="1" si="107"/>
        <v>0</v>
      </c>
      <c r="AI158" s="358">
        <f t="shared" ca="1" si="107"/>
        <v>0</v>
      </c>
      <c r="AJ158" s="358">
        <f t="shared" ca="1" si="107"/>
        <v>0</v>
      </c>
      <c r="AK158" s="358">
        <f t="shared" ca="1" si="108"/>
        <v>0</v>
      </c>
      <c r="AL158" s="358">
        <f t="shared" ca="1" si="108"/>
        <v>0</v>
      </c>
      <c r="AM158" s="358">
        <f t="shared" ca="1" si="108"/>
        <v>0</v>
      </c>
      <c r="AN158" s="358">
        <f t="shared" ca="1" si="108"/>
        <v>0</v>
      </c>
      <c r="AO158" s="358">
        <f t="shared" ca="1" si="108"/>
        <v>0</v>
      </c>
      <c r="AP158" s="358">
        <f t="shared" ca="1" si="108"/>
        <v>0</v>
      </c>
      <c r="AQ158" s="358">
        <f t="shared" ca="1" si="108"/>
        <v>0</v>
      </c>
      <c r="AR158" s="358">
        <f t="shared" ca="1" si="108"/>
        <v>0</v>
      </c>
      <c r="AS158" s="358">
        <f t="shared" ca="1" si="108"/>
        <v>0</v>
      </c>
      <c r="AT158" s="358">
        <f t="shared" ca="1" si="108"/>
        <v>0</v>
      </c>
      <c r="AV158" s="358">
        <f t="shared" ca="1" si="90"/>
        <v>0</v>
      </c>
      <c r="AX158" s="358">
        <f t="shared" ca="1" si="91"/>
        <v>0</v>
      </c>
      <c r="AZ158" s="358">
        <f t="shared" ca="1" si="92"/>
        <v>0</v>
      </c>
      <c r="BB158" s="358">
        <f t="shared" ca="1" si="93"/>
        <v>0</v>
      </c>
      <c r="BD158" s="358">
        <f t="shared" ca="1" si="94"/>
        <v>0</v>
      </c>
      <c r="BF158" s="358">
        <f t="shared" ca="1" si="95"/>
        <v>0</v>
      </c>
      <c r="BH158" s="358">
        <f t="shared" ca="1" si="96"/>
        <v>0</v>
      </c>
    </row>
    <row r="159" spans="1:60" collapsed="1">
      <c r="A159" s="1464"/>
      <c r="B159" s="1464"/>
      <c r="C159" s="1464"/>
      <c r="D159" s="1272" t="s">
        <v>266</v>
      </c>
      <c r="E159" s="1270" t="str">
        <f>E129</f>
        <v>2010$</v>
      </c>
      <c r="F159" s="1461">
        <f t="shared" ca="1" si="85"/>
        <v>91982454.445492595</v>
      </c>
      <c r="G159" s="1277">
        <f t="shared" ref="G159:AT159" ca="1" si="109">SUM(G129:G158)</f>
        <v>118034.82223678647</v>
      </c>
      <c r="H159" s="1277">
        <f t="shared" ca="1" si="109"/>
        <v>408851.83179736248</v>
      </c>
      <c r="I159" s="1277">
        <f t="shared" ca="1" si="109"/>
        <v>1744323.3994854651</v>
      </c>
      <c r="J159" s="1277">
        <f t="shared" ca="1" si="109"/>
        <v>2353776.6529101944</v>
      </c>
      <c r="K159" s="1277">
        <f t="shared" ca="1" si="109"/>
        <v>3462582.605604786</v>
      </c>
      <c r="L159" s="1277">
        <f t="shared" ca="1" si="109"/>
        <v>3968654.8503545555</v>
      </c>
      <c r="M159" s="1277">
        <f t="shared" ca="1" si="109"/>
        <v>4483189.5013808142</v>
      </c>
      <c r="N159" s="1277">
        <f t="shared" ca="1" si="109"/>
        <v>4814084.0400964115</v>
      </c>
      <c r="O159" s="1277">
        <f t="shared" ca="1" si="109"/>
        <v>5136869.2003679303</v>
      </c>
      <c r="P159" s="1277">
        <f t="shared" ca="1" si="109"/>
        <v>5462059.3116886793</v>
      </c>
      <c r="Q159" s="1277">
        <f t="shared" ca="1" si="109"/>
        <v>5789661.7245627129</v>
      </c>
      <c r="R159" s="1277">
        <f t="shared" ca="1" si="109"/>
        <v>6119683.949703305</v>
      </c>
      <c r="S159" s="1277">
        <f t="shared" ca="1" si="109"/>
        <v>6452133.650979273</v>
      </c>
      <c r="T159" s="1277">
        <f t="shared" ca="1" si="109"/>
        <v>6746423.8755559418</v>
      </c>
      <c r="U159" s="1277">
        <f t="shared" ca="1" si="109"/>
        <v>6976598.6668297583</v>
      </c>
      <c r="V159" s="1277">
        <f t="shared" ca="1" si="109"/>
        <v>7209003.7813601186</v>
      </c>
      <c r="W159" s="1277">
        <f t="shared" ca="1" si="109"/>
        <v>7443653.3348316858</v>
      </c>
      <c r="X159" s="1277">
        <f t="shared" ca="1" si="109"/>
        <v>7680561.6172785079</v>
      </c>
      <c r="Y159" s="1277">
        <f t="shared" ca="1" si="109"/>
        <v>7919743.090326393</v>
      </c>
      <c r="Z159" s="1277">
        <f t="shared" ca="1" si="109"/>
        <v>8161212.3846367765</v>
      </c>
      <c r="AA159" s="1277">
        <f t="shared" ca="1" si="109"/>
        <v>8404984.297538856</v>
      </c>
      <c r="AB159" s="1277">
        <f t="shared" ca="1" si="109"/>
        <v>8630880.158092631</v>
      </c>
      <c r="AC159" s="1277">
        <f t="shared" ca="1" si="109"/>
        <v>8858906.786969766</v>
      </c>
      <c r="AD159" s="1277">
        <f t="shared" ca="1" si="109"/>
        <v>9089077.9544778261</v>
      </c>
      <c r="AE159" s="1277">
        <f t="shared" ca="1" si="109"/>
        <v>9297160.3440016508</v>
      </c>
      <c r="AF159" s="1277">
        <f t="shared" ca="1" si="109"/>
        <v>9507172.7850122619</v>
      </c>
      <c r="AG159" s="1277">
        <f t="shared" ca="1" si="109"/>
        <v>9719127.670687614</v>
      </c>
      <c r="AH159" s="1277">
        <f t="shared" ca="1" si="109"/>
        <v>9933037.5262391418</v>
      </c>
      <c r="AI159" s="1277">
        <f t="shared" ca="1" si="109"/>
        <v>10148915.00753854</v>
      </c>
      <c r="AJ159" s="1277">
        <f t="shared" ca="1" si="109"/>
        <v>10366772.899849376</v>
      </c>
      <c r="AK159" s="1277">
        <f t="shared" ca="1" si="109"/>
        <v>10586624.116657495</v>
      </c>
      <c r="AL159" s="1277">
        <f t="shared" ca="1" si="109"/>
        <v>10808481.698594324</v>
      </c>
      <c r="AM159" s="1277">
        <f t="shared" ca="1" si="109"/>
        <v>11032358.812447771</v>
      </c>
      <c r="AN159" s="1277">
        <f t="shared" ca="1" si="109"/>
        <v>11258268.750255713</v>
      </c>
      <c r="AO159" s="1277">
        <f t="shared" ca="1" si="109"/>
        <v>11486224.928477352</v>
      </c>
      <c r="AP159" s="1277">
        <f t="shared" ca="1" si="109"/>
        <v>11716240.887238177</v>
      </c>
      <c r="AQ159" s="1277">
        <f t="shared" ca="1" si="109"/>
        <v>11948330.289644379</v>
      </c>
      <c r="AR159" s="1277">
        <f t="shared" ca="1" si="109"/>
        <v>12182506.921163032</v>
      </c>
      <c r="AS159" s="1277">
        <f t="shared" ca="1" si="109"/>
        <v>12418784.689064367</v>
      </c>
      <c r="AT159" s="1277">
        <f t="shared" ca="1" si="109"/>
        <v>12657177.621922955</v>
      </c>
      <c r="AV159" s="1277">
        <f t="shared" ca="1" si="90"/>
        <v>23864856.903888393</v>
      </c>
      <c r="AX159" s="1277">
        <f t="shared" ca="1" si="91"/>
        <v>32084501.867630988</v>
      </c>
      <c r="AZ159" s="1277">
        <f t="shared" ca="1" si="92"/>
        <v>38414174.208433479</v>
      </c>
      <c r="BB159" s="1277">
        <f t="shared" ca="1" si="93"/>
        <v>44281009.541080728</v>
      </c>
      <c r="BD159" s="1277">
        <f t="shared" ca="1" si="94"/>
        <v>49675025.889326937</v>
      </c>
      <c r="BF159" s="1277">
        <f t="shared" ca="1" si="95"/>
        <v>55171958.306432657</v>
      </c>
      <c r="BH159" s="1277">
        <f t="shared" ca="1" si="96"/>
        <v>60923040.409032911</v>
      </c>
    </row>
    <row r="160" spans="1:60" hidden="1" outlineLevel="1">
      <c r="A160" s="1464">
        <v>18</v>
      </c>
      <c r="B160" s="1464">
        <v>25</v>
      </c>
      <c r="C160" s="1464">
        <v>1</v>
      </c>
      <c r="D160" s="1271" t="str">
        <f ca="1">IF(OFFSET(PortfolioDashboard!$A$3,C160-1,0)="","Blank",OFFSET(PortfolioDashboard!$A$3,C160-1,0))</f>
        <v>Behavior Change</v>
      </c>
      <c r="E160" s="1464" t="s">
        <v>1197</v>
      </c>
      <c r="F160" s="1460">
        <f t="shared" ca="1" si="85"/>
        <v>0</v>
      </c>
      <c r="G160" s="358">
        <f t="shared" ref="G160:P169" ca="1" si="110">IFERROR(OFFSET(INDIRECT(INDEX(List_of_Alternatives,MATCH($D160,NameofAlternatives,0))),$A160+G$1-$G$1,$B160),0)</f>
        <v>0</v>
      </c>
      <c r="H160" s="358">
        <f t="shared" ca="1" si="110"/>
        <v>0</v>
      </c>
      <c r="I160" s="358">
        <f t="shared" ca="1" si="110"/>
        <v>0</v>
      </c>
      <c r="J160" s="358">
        <f t="shared" ca="1" si="110"/>
        <v>0</v>
      </c>
      <c r="K160" s="358">
        <f t="shared" ca="1" si="110"/>
        <v>0</v>
      </c>
      <c r="L160" s="358">
        <f t="shared" ca="1" si="110"/>
        <v>0</v>
      </c>
      <c r="M160" s="358">
        <f t="shared" ca="1" si="110"/>
        <v>0</v>
      </c>
      <c r="N160" s="358">
        <f t="shared" ca="1" si="110"/>
        <v>0</v>
      </c>
      <c r="O160" s="358">
        <f t="shared" ca="1" si="110"/>
        <v>0</v>
      </c>
      <c r="P160" s="358">
        <f t="shared" ca="1" si="110"/>
        <v>0</v>
      </c>
      <c r="Q160" s="358">
        <f t="shared" ref="Q160:Z169" ca="1" si="111">IFERROR(OFFSET(INDIRECT(INDEX(List_of_Alternatives,MATCH($D160,NameofAlternatives,0))),$A160+Q$1-$G$1,$B160),0)</f>
        <v>0</v>
      </c>
      <c r="R160" s="358">
        <f t="shared" ca="1" si="111"/>
        <v>0</v>
      </c>
      <c r="S160" s="358">
        <f t="shared" ca="1" si="111"/>
        <v>0</v>
      </c>
      <c r="T160" s="358">
        <f t="shared" ca="1" si="111"/>
        <v>0</v>
      </c>
      <c r="U160" s="358">
        <f t="shared" ca="1" si="111"/>
        <v>0</v>
      </c>
      <c r="V160" s="358">
        <f t="shared" ca="1" si="111"/>
        <v>0</v>
      </c>
      <c r="W160" s="358">
        <f t="shared" ca="1" si="111"/>
        <v>0</v>
      </c>
      <c r="X160" s="358">
        <f t="shared" ca="1" si="111"/>
        <v>0</v>
      </c>
      <c r="Y160" s="358">
        <f t="shared" ca="1" si="111"/>
        <v>0</v>
      </c>
      <c r="Z160" s="358">
        <f t="shared" ca="1" si="111"/>
        <v>0</v>
      </c>
      <c r="AA160" s="358">
        <f t="shared" ref="AA160:AJ169" ca="1" si="112">IFERROR(OFFSET(INDIRECT(INDEX(List_of_Alternatives,MATCH($D160,NameofAlternatives,0))),$A160+AA$1-$G$1,$B160),0)</f>
        <v>0</v>
      </c>
      <c r="AB160" s="358">
        <f t="shared" ca="1" si="112"/>
        <v>0</v>
      </c>
      <c r="AC160" s="358">
        <f t="shared" ca="1" si="112"/>
        <v>0</v>
      </c>
      <c r="AD160" s="358">
        <f t="shared" ca="1" si="112"/>
        <v>0</v>
      </c>
      <c r="AE160" s="358">
        <f t="shared" ca="1" si="112"/>
        <v>0</v>
      </c>
      <c r="AF160" s="358">
        <f t="shared" ca="1" si="112"/>
        <v>0</v>
      </c>
      <c r="AG160" s="358">
        <f t="shared" ca="1" si="112"/>
        <v>0</v>
      </c>
      <c r="AH160" s="358">
        <f t="shared" ca="1" si="112"/>
        <v>0</v>
      </c>
      <c r="AI160" s="358">
        <f t="shared" ca="1" si="112"/>
        <v>0</v>
      </c>
      <c r="AJ160" s="358">
        <f t="shared" ca="1" si="112"/>
        <v>0</v>
      </c>
      <c r="AK160" s="358">
        <f t="shared" ref="AK160:AT169" ca="1" si="113">IFERROR(OFFSET(INDIRECT(INDEX(List_of_Alternatives,MATCH($D160,NameofAlternatives,0))),$A160+AK$1-$G$1,$B160),0)</f>
        <v>0</v>
      </c>
      <c r="AL160" s="358">
        <f t="shared" ca="1" si="113"/>
        <v>0</v>
      </c>
      <c r="AM160" s="358">
        <f t="shared" ca="1" si="113"/>
        <v>0</v>
      </c>
      <c r="AN160" s="358">
        <f t="shared" ca="1" si="113"/>
        <v>0</v>
      </c>
      <c r="AO160" s="358">
        <f t="shared" ca="1" si="113"/>
        <v>0</v>
      </c>
      <c r="AP160" s="358">
        <f t="shared" ca="1" si="113"/>
        <v>0</v>
      </c>
      <c r="AQ160" s="358">
        <f t="shared" ca="1" si="113"/>
        <v>0</v>
      </c>
      <c r="AR160" s="358">
        <f t="shared" ca="1" si="113"/>
        <v>0</v>
      </c>
      <c r="AS160" s="358">
        <f t="shared" ca="1" si="113"/>
        <v>0</v>
      </c>
      <c r="AT160" s="358">
        <f t="shared" ca="1" si="113"/>
        <v>0</v>
      </c>
      <c r="AV160" s="358">
        <f t="shared" ca="1" si="90"/>
        <v>0</v>
      </c>
      <c r="AX160" s="358">
        <f t="shared" ca="1" si="91"/>
        <v>0</v>
      </c>
      <c r="AZ160" s="358">
        <f t="shared" ca="1" si="92"/>
        <v>0</v>
      </c>
      <c r="BB160" s="358">
        <f t="shared" ca="1" si="93"/>
        <v>0</v>
      </c>
      <c r="BD160" s="358">
        <f t="shared" ca="1" si="94"/>
        <v>0</v>
      </c>
      <c r="BF160" s="358">
        <f t="shared" ca="1" si="95"/>
        <v>0</v>
      </c>
      <c r="BH160" s="358">
        <f t="shared" ca="1" si="96"/>
        <v>0</v>
      </c>
    </row>
    <row r="161" spans="1:60" hidden="1" outlineLevel="1">
      <c r="A161" s="1464">
        <f>A160</f>
        <v>18</v>
      </c>
      <c r="B161" s="1464">
        <f>B160</f>
        <v>25</v>
      </c>
      <c r="C161" s="1464">
        <f>C160+1</f>
        <v>2</v>
      </c>
      <c r="D161" s="1271" t="str">
        <f ca="1">IF(OFFSET(PortfolioDashboard!$A$3,C161-1,0)="","Blank",OFFSET(PortfolioDashboard!$A$3,C161-1,0))</f>
        <v>Building Design &amp; Construction Standards</v>
      </c>
      <c r="E161" s="1464" t="str">
        <f>E160</f>
        <v>2010$</v>
      </c>
      <c r="F161" s="1460">
        <f t="shared" ca="1" si="85"/>
        <v>0</v>
      </c>
      <c r="G161" s="358">
        <f t="shared" ca="1" si="110"/>
        <v>0</v>
      </c>
      <c r="H161" s="358">
        <f t="shared" ca="1" si="110"/>
        <v>0</v>
      </c>
      <c r="I161" s="358">
        <f t="shared" ca="1" si="110"/>
        <v>0</v>
      </c>
      <c r="J161" s="358">
        <f t="shared" ca="1" si="110"/>
        <v>0</v>
      </c>
      <c r="K161" s="358">
        <f t="shared" ca="1" si="110"/>
        <v>0</v>
      </c>
      <c r="L161" s="358">
        <f t="shared" ca="1" si="110"/>
        <v>0</v>
      </c>
      <c r="M161" s="358">
        <f t="shared" ca="1" si="110"/>
        <v>0</v>
      </c>
      <c r="N161" s="358">
        <f t="shared" ca="1" si="110"/>
        <v>0</v>
      </c>
      <c r="O161" s="358">
        <f t="shared" ca="1" si="110"/>
        <v>0</v>
      </c>
      <c r="P161" s="358">
        <f t="shared" ca="1" si="110"/>
        <v>0</v>
      </c>
      <c r="Q161" s="358">
        <f t="shared" ca="1" si="111"/>
        <v>0</v>
      </c>
      <c r="R161" s="358">
        <f t="shared" ca="1" si="111"/>
        <v>0</v>
      </c>
      <c r="S161" s="358">
        <f t="shared" ca="1" si="111"/>
        <v>0</v>
      </c>
      <c r="T161" s="358">
        <f t="shared" ca="1" si="111"/>
        <v>0</v>
      </c>
      <c r="U161" s="358">
        <f t="shared" ca="1" si="111"/>
        <v>0</v>
      </c>
      <c r="V161" s="358">
        <f t="shared" ca="1" si="111"/>
        <v>0</v>
      </c>
      <c r="W161" s="358">
        <f t="shared" ca="1" si="111"/>
        <v>0</v>
      </c>
      <c r="X161" s="358">
        <f t="shared" ca="1" si="111"/>
        <v>0</v>
      </c>
      <c r="Y161" s="358">
        <f t="shared" ca="1" si="111"/>
        <v>0</v>
      </c>
      <c r="Z161" s="358">
        <f t="shared" ca="1" si="111"/>
        <v>0</v>
      </c>
      <c r="AA161" s="358">
        <f t="shared" ca="1" si="112"/>
        <v>0</v>
      </c>
      <c r="AB161" s="358">
        <f t="shared" ca="1" si="112"/>
        <v>0</v>
      </c>
      <c r="AC161" s="358">
        <f t="shared" ca="1" si="112"/>
        <v>0</v>
      </c>
      <c r="AD161" s="358">
        <f t="shared" ca="1" si="112"/>
        <v>0</v>
      </c>
      <c r="AE161" s="358">
        <f t="shared" ca="1" si="112"/>
        <v>0</v>
      </c>
      <c r="AF161" s="358">
        <f t="shared" ca="1" si="112"/>
        <v>0</v>
      </c>
      <c r="AG161" s="358">
        <f t="shared" ca="1" si="112"/>
        <v>0</v>
      </c>
      <c r="AH161" s="358">
        <f t="shared" ca="1" si="112"/>
        <v>0</v>
      </c>
      <c r="AI161" s="358">
        <f t="shared" ca="1" si="112"/>
        <v>0</v>
      </c>
      <c r="AJ161" s="358">
        <f t="shared" ca="1" si="112"/>
        <v>0</v>
      </c>
      <c r="AK161" s="358">
        <f t="shared" ca="1" si="113"/>
        <v>0</v>
      </c>
      <c r="AL161" s="358">
        <f t="shared" ca="1" si="113"/>
        <v>0</v>
      </c>
      <c r="AM161" s="358">
        <f t="shared" ca="1" si="113"/>
        <v>0</v>
      </c>
      <c r="AN161" s="358">
        <f t="shared" ca="1" si="113"/>
        <v>0</v>
      </c>
      <c r="AO161" s="358">
        <f t="shared" ca="1" si="113"/>
        <v>0</v>
      </c>
      <c r="AP161" s="358">
        <f t="shared" ca="1" si="113"/>
        <v>0</v>
      </c>
      <c r="AQ161" s="358">
        <f t="shared" ca="1" si="113"/>
        <v>0</v>
      </c>
      <c r="AR161" s="358">
        <f t="shared" ca="1" si="113"/>
        <v>0</v>
      </c>
      <c r="AS161" s="358">
        <f t="shared" ca="1" si="113"/>
        <v>0</v>
      </c>
      <c r="AT161" s="358">
        <f t="shared" ca="1" si="113"/>
        <v>0</v>
      </c>
      <c r="AV161" s="358">
        <f t="shared" ca="1" si="90"/>
        <v>0</v>
      </c>
      <c r="AX161" s="358">
        <f t="shared" ca="1" si="91"/>
        <v>0</v>
      </c>
      <c r="AZ161" s="358">
        <f t="shared" ca="1" si="92"/>
        <v>0</v>
      </c>
      <c r="BB161" s="358">
        <f t="shared" ca="1" si="93"/>
        <v>0</v>
      </c>
      <c r="BD161" s="358">
        <f t="shared" ca="1" si="94"/>
        <v>0</v>
      </c>
      <c r="BF161" s="358">
        <f t="shared" ca="1" si="95"/>
        <v>0</v>
      </c>
      <c r="BH161" s="358">
        <f t="shared" ca="1" si="96"/>
        <v>0</v>
      </c>
    </row>
    <row r="162" spans="1:60" hidden="1" outlineLevel="1">
      <c r="A162" s="1464">
        <f t="shared" ref="A162:A189" si="114">A161</f>
        <v>18</v>
      </c>
      <c r="B162" s="1464">
        <f t="shared" ref="B162:B189" si="115">B161</f>
        <v>25</v>
      </c>
      <c r="C162" s="1464">
        <f t="shared" ref="C162:C189" si="116">C161+1</f>
        <v>3</v>
      </c>
      <c r="D162" s="1271" t="str">
        <f ca="1">IF(OFFSET(PortfolioDashboard!$A$3,C162-1,0)="","Blank",OFFSET(PortfolioDashboard!$A$3,C162-1,0))</f>
        <v>Space Planning &amp; Management</v>
      </c>
      <c r="E162" s="1464" t="str">
        <f t="shared" ref="E162:E189" si="117">E161</f>
        <v>2010$</v>
      </c>
      <c r="F162" s="1460">
        <f t="shared" ca="1" si="85"/>
        <v>0</v>
      </c>
      <c r="G162" s="358">
        <f t="shared" ca="1" si="110"/>
        <v>0</v>
      </c>
      <c r="H162" s="358">
        <f t="shared" ca="1" si="110"/>
        <v>0</v>
      </c>
      <c r="I162" s="358">
        <f t="shared" ca="1" si="110"/>
        <v>0</v>
      </c>
      <c r="J162" s="358">
        <f t="shared" ca="1" si="110"/>
        <v>0</v>
      </c>
      <c r="K162" s="358">
        <f t="shared" ca="1" si="110"/>
        <v>0</v>
      </c>
      <c r="L162" s="358">
        <f t="shared" ca="1" si="110"/>
        <v>0</v>
      </c>
      <c r="M162" s="358">
        <f t="shared" ca="1" si="110"/>
        <v>0</v>
      </c>
      <c r="N162" s="358">
        <f t="shared" ca="1" si="110"/>
        <v>0</v>
      </c>
      <c r="O162" s="358">
        <f t="shared" ca="1" si="110"/>
        <v>0</v>
      </c>
      <c r="P162" s="358">
        <f t="shared" ca="1" si="110"/>
        <v>0</v>
      </c>
      <c r="Q162" s="358">
        <f t="shared" ca="1" si="111"/>
        <v>0</v>
      </c>
      <c r="R162" s="358">
        <f t="shared" ca="1" si="111"/>
        <v>0</v>
      </c>
      <c r="S162" s="358">
        <f t="shared" ca="1" si="111"/>
        <v>0</v>
      </c>
      <c r="T162" s="358">
        <f t="shared" ca="1" si="111"/>
        <v>0</v>
      </c>
      <c r="U162" s="358">
        <f t="shared" ca="1" si="111"/>
        <v>0</v>
      </c>
      <c r="V162" s="358">
        <f t="shared" ca="1" si="111"/>
        <v>0</v>
      </c>
      <c r="W162" s="358">
        <f t="shared" ca="1" si="111"/>
        <v>0</v>
      </c>
      <c r="X162" s="358">
        <f t="shared" ca="1" si="111"/>
        <v>0</v>
      </c>
      <c r="Y162" s="358">
        <f t="shared" ca="1" si="111"/>
        <v>0</v>
      </c>
      <c r="Z162" s="358">
        <f t="shared" ca="1" si="111"/>
        <v>0</v>
      </c>
      <c r="AA162" s="358">
        <f t="shared" ca="1" si="112"/>
        <v>0</v>
      </c>
      <c r="AB162" s="358">
        <f t="shared" ca="1" si="112"/>
        <v>0</v>
      </c>
      <c r="AC162" s="358">
        <f t="shared" ca="1" si="112"/>
        <v>0</v>
      </c>
      <c r="AD162" s="358">
        <f t="shared" ca="1" si="112"/>
        <v>0</v>
      </c>
      <c r="AE162" s="358">
        <f t="shared" ca="1" si="112"/>
        <v>0</v>
      </c>
      <c r="AF162" s="358">
        <f t="shared" ca="1" si="112"/>
        <v>0</v>
      </c>
      <c r="AG162" s="358">
        <f t="shared" ca="1" si="112"/>
        <v>0</v>
      </c>
      <c r="AH162" s="358">
        <f t="shared" ca="1" si="112"/>
        <v>0</v>
      </c>
      <c r="AI162" s="358">
        <f t="shared" ca="1" si="112"/>
        <v>0</v>
      </c>
      <c r="AJ162" s="358">
        <f t="shared" ca="1" si="112"/>
        <v>0</v>
      </c>
      <c r="AK162" s="358">
        <f t="shared" ca="1" si="113"/>
        <v>0</v>
      </c>
      <c r="AL162" s="358">
        <f t="shared" ca="1" si="113"/>
        <v>0</v>
      </c>
      <c r="AM162" s="358">
        <f t="shared" ca="1" si="113"/>
        <v>0</v>
      </c>
      <c r="AN162" s="358">
        <f t="shared" ca="1" si="113"/>
        <v>0</v>
      </c>
      <c r="AO162" s="358">
        <f t="shared" ca="1" si="113"/>
        <v>0</v>
      </c>
      <c r="AP162" s="358">
        <f t="shared" ca="1" si="113"/>
        <v>0</v>
      </c>
      <c r="AQ162" s="358">
        <f t="shared" ca="1" si="113"/>
        <v>0</v>
      </c>
      <c r="AR162" s="358">
        <f t="shared" ca="1" si="113"/>
        <v>0</v>
      </c>
      <c r="AS162" s="358">
        <f t="shared" ca="1" si="113"/>
        <v>0</v>
      </c>
      <c r="AT162" s="358">
        <f t="shared" ca="1" si="113"/>
        <v>0</v>
      </c>
      <c r="AV162" s="358">
        <f t="shared" ca="1" si="90"/>
        <v>0</v>
      </c>
      <c r="AX162" s="358">
        <f t="shared" ca="1" si="91"/>
        <v>0</v>
      </c>
      <c r="AZ162" s="358">
        <f t="shared" ca="1" si="92"/>
        <v>0</v>
      </c>
      <c r="BB162" s="358">
        <f t="shared" ca="1" si="93"/>
        <v>0</v>
      </c>
      <c r="BD162" s="358">
        <f t="shared" ca="1" si="94"/>
        <v>0</v>
      </c>
      <c r="BF162" s="358">
        <f t="shared" ca="1" si="95"/>
        <v>0</v>
      </c>
      <c r="BH162" s="358">
        <f t="shared" ca="1" si="96"/>
        <v>0</v>
      </c>
    </row>
    <row r="163" spans="1:60" hidden="1" outlineLevel="1">
      <c r="A163" s="1464">
        <f t="shared" si="114"/>
        <v>18</v>
      </c>
      <c r="B163" s="1464">
        <f t="shared" si="115"/>
        <v>25</v>
      </c>
      <c r="C163" s="1464">
        <f t="shared" si="116"/>
        <v>4</v>
      </c>
      <c r="D163" s="1271" t="str">
        <f ca="1">IF(OFFSET(PortfolioDashboard!$A$3,C163-1,0)="","Blank",OFFSET(PortfolioDashboard!$A$3,C163-1,0))</f>
        <v>Central Chiller Expansion</v>
      </c>
      <c r="E163" s="1464" t="str">
        <f t="shared" si="117"/>
        <v>2010$</v>
      </c>
      <c r="F163" s="1460">
        <f t="shared" ca="1" si="85"/>
        <v>0</v>
      </c>
      <c r="G163" s="358">
        <f t="shared" ca="1" si="110"/>
        <v>0</v>
      </c>
      <c r="H163" s="358">
        <f t="shared" ca="1" si="110"/>
        <v>0</v>
      </c>
      <c r="I163" s="358">
        <f t="shared" ca="1" si="110"/>
        <v>0</v>
      </c>
      <c r="J163" s="358">
        <f t="shared" ca="1" si="110"/>
        <v>0</v>
      </c>
      <c r="K163" s="358">
        <f t="shared" ca="1" si="110"/>
        <v>0</v>
      </c>
      <c r="L163" s="358">
        <f t="shared" ca="1" si="110"/>
        <v>0</v>
      </c>
      <c r="M163" s="358">
        <f t="shared" ca="1" si="110"/>
        <v>0</v>
      </c>
      <c r="N163" s="358">
        <f t="shared" ca="1" si="110"/>
        <v>0</v>
      </c>
      <c r="O163" s="358">
        <f t="shared" ca="1" si="110"/>
        <v>0</v>
      </c>
      <c r="P163" s="358">
        <f t="shared" ca="1" si="110"/>
        <v>0</v>
      </c>
      <c r="Q163" s="358">
        <f t="shared" ca="1" si="111"/>
        <v>0</v>
      </c>
      <c r="R163" s="358">
        <f t="shared" ca="1" si="111"/>
        <v>0</v>
      </c>
      <c r="S163" s="358">
        <f t="shared" ca="1" si="111"/>
        <v>0</v>
      </c>
      <c r="T163" s="358">
        <f t="shared" ca="1" si="111"/>
        <v>0</v>
      </c>
      <c r="U163" s="358">
        <f t="shared" ca="1" si="111"/>
        <v>0</v>
      </c>
      <c r="V163" s="358">
        <f t="shared" ca="1" si="111"/>
        <v>0</v>
      </c>
      <c r="W163" s="358">
        <f t="shared" ca="1" si="111"/>
        <v>0</v>
      </c>
      <c r="X163" s="358">
        <f t="shared" ca="1" si="111"/>
        <v>0</v>
      </c>
      <c r="Y163" s="358">
        <f t="shared" ca="1" si="111"/>
        <v>0</v>
      </c>
      <c r="Z163" s="358">
        <f t="shared" ca="1" si="111"/>
        <v>0</v>
      </c>
      <c r="AA163" s="358">
        <f t="shared" ca="1" si="112"/>
        <v>0</v>
      </c>
      <c r="AB163" s="358">
        <f t="shared" ca="1" si="112"/>
        <v>0</v>
      </c>
      <c r="AC163" s="358">
        <f t="shared" ca="1" si="112"/>
        <v>0</v>
      </c>
      <c r="AD163" s="358">
        <f t="shared" ca="1" si="112"/>
        <v>0</v>
      </c>
      <c r="AE163" s="358">
        <f t="shared" ca="1" si="112"/>
        <v>0</v>
      </c>
      <c r="AF163" s="358">
        <f t="shared" ca="1" si="112"/>
        <v>0</v>
      </c>
      <c r="AG163" s="358">
        <f t="shared" ca="1" si="112"/>
        <v>0</v>
      </c>
      <c r="AH163" s="358">
        <f t="shared" ca="1" si="112"/>
        <v>0</v>
      </c>
      <c r="AI163" s="358">
        <f t="shared" ca="1" si="112"/>
        <v>0</v>
      </c>
      <c r="AJ163" s="358">
        <f t="shared" ca="1" si="112"/>
        <v>0</v>
      </c>
      <c r="AK163" s="358">
        <f t="shared" ca="1" si="113"/>
        <v>0</v>
      </c>
      <c r="AL163" s="358">
        <f t="shared" ca="1" si="113"/>
        <v>0</v>
      </c>
      <c r="AM163" s="358">
        <f t="shared" ca="1" si="113"/>
        <v>0</v>
      </c>
      <c r="AN163" s="358">
        <f t="shared" ca="1" si="113"/>
        <v>0</v>
      </c>
      <c r="AO163" s="358">
        <f t="shared" ca="1" si="113"/>
        <v>0</v>
      </c>
      <c r="AP163" s="358">
        <f t="shared" ca="1" si="113"/>
        <v>0</v>
      </c>
      <c r="AQ163" s="358">
        <f t="shared" ca="1" si="113"/>
        <v>0</v>
      </c>
      <c r="AR163" s="358">
        <f t="shared" ca="1" si="113"/>
        <v>0</v>
      </c>
      <c r="AS163" s="358">
        <f t="shared" ca="1" si="113"/>
        <v>0</v>
      </c>
      <c r="AT163" s="358">
        <f t="shared" ca="1" si="113"/>
        <v>0</v>
      </c>
      <c r="AV163" s="358">
        <f t="shared" ca="1" si="90"/>
        <v>0</v>
      </c>
      <c r="AX163" s="358">
        <f t="shared" ca="1" si="91"/>
        <v>0</v>
      </c>
      <c r="AZ163" s="358">
        <f t="shared" ca="1" si="92"/>
        <v>0</v>
      </c>
      <c r="BB163" s="358">
        <f t="shared" ca="1" si="93"/>
        <v>0</v>
      </c>
      <c r="BD163" s="358">
        <f t="shared" ca="1" si="94"/>
        <v>0</v>
      </c>
      <c r="BF163" s="358">
        <f t="shared" ca="1" si="95"/>
        <v>0</v>
      </c>
      <c r="BH163" s="358">
        <f t="shared" ca="1" si="96"/>
        <v>0</v>
      </c>
    </row>
    <row r="164" spans="1:60" hidden="1" outlineLevel="1">
      <c r="A164" s="1464">
        <f t="shared" si="114"/>
        <v>18</v>
      </c>
      <c r="B164" s="1464">
        <f t="shared" si="115"/>
        <v>25</v>
      </c>
      <c r="C164" s="1464">
        <f t="shared" si="116"/>
        <v>5</v>
      </c>
      <c r="D164" s="1271" t="str">
        <f ca="1">IF(OFFSET(PortfolioDashboard!$A$3,C164-1,0)="","Blank",OFFSET(PortfolioDashboard!$A$3,C164-1,0))</f>
        <v>Short-term Energy Conservation Measures</v>
      </c>
      <c r="E164" s="1464" t="str">
        <f t="shared" si="117"/>
        <v>2010$</v>
      </c>
      <c r="F164" s="1460">
        <f t="shared" ca="1" si="85"/>
        <v>0</v>
      </c>
      <c r="G164" s="358">
        <f t="shared" ca="1" si="110"/>
        <v>0</v>
      </c>
      <c r="H164" s="358">
        <f t="shared" ca="1" si="110"/>
        <v>0</v>
      </c>
      <c r="I164" s="358">
        <f t="shared" ca="1" si="110"/>
        <v>0</v>
      </c>
      <c r="J164" s="358">
        <f t="shared" ca="1" si="110"/>
        <v>0</v>
      </c>
      <c r="K164" s="358">
        <f t="shared" ca="1" si="110"/>
        <v>0</v>
      </c>
      <c r="L164" s="358">
        <f t="shared" ca="1" si="110"/>
        <v>0</v>
      </c>
      <c r="M164" s="358">
        <f t="shared" ca="1" si="110"/>
        <v>0</v>
      </c>
      <c r="N164" s="358">
        <f t="shared" ca="1" si="110"/>
        <v>0</v>
      </c>
      <c r="O164" s="358">
        <f t="shared" ca="1" si="110"/>
        <v>0</v>
      </c>
      <c r="P164" s="358">
        <f t="shared" ca="1" si="110"/>
        <v>0</v>
      </c>
      <c r="Q164" s="358">
        <f t="shared" ca="1" si="111"/>
        <v>0</v>
      </c>
      <c r="R164" s="358">
        <f t="shared" ca="1" si="111"/>
        <v>0</v>
      </c>
      <c r="S164" s="358">
        <f t="shared" ca="1" si="111"/>
        <v>0</v>
      </c>
      <c r="T164" s="358">
        <f t="shared" ca="1" si="111"/>
        <v>0</v>
      </c>
      <c r="U164" s="358">
        <f t="shared" ca="1" si="111"/>
        <v>0</v>
      </c>
      <c r="V164" s="358">
        <f t="shared" ca="1" si="111"/>
        <v>0</v>
      </c>
      <c r="W164" s="358">
        <f t="shared" ca="1" si="111"/>
        <v>0</v>
      </c>
      <c r="X164" s="358">
        <f t="shared" ca="1" si="111"/>
        <v>0</v>
      </c>
      <c r="Y164" s="358">
        <f t="shared" ca="1" si="111"/>
        <v>0</v>
      </c>
      <c r="Z164" s="358">
        <f t="shared" ca="1" si="111"/>
        <v>0</v>
      </c>
      <c r="AA164" s="358">
        <f t="shared" ca="1" si="112"/>
        <v>0</v>
      </c>
      <c r="AB164" s="358">
        <f t="shared" ca="1" si="112"/>
        <v>0</v>
      </c>
      <c r="AC164" s="358">
        <f t="shared" ca="1" si="112"/>
        <v>0</v>
      </c>
      <c r="AD164" s="358">
        <f t="shared" ca="1" si="112"/>
        <v>0</v>
      </c>
      <c r="AE164" s="358">
        <f t="shared" ca="1" si="112"/>
        <v>0</v>
      </c>
      <c r="AF164" s="358">
        <f t="shared" ca="1" si="112"/>
        <v>0</v>
      </c>
      <c r="AG164" s="358">
        <f t="shared" ca="1" si="112"/>
        <v>0</v>
      </c>
      <c r="AH164" s="358">
        <f t="shared" ca="1" si="112"/>
        <v>0</v>
      </c>
      <c r="AI164" s="358">
        <f t="shared" ca="1" si="112"/>
        <v>0</v>
      </c>
      <c r="AJ164" s="358">
        <f t="shared" ca="1" si="112"/>
        <v>0</v>
      </c>
      <c r="AK164" s="358">
        <f t="shared" ca="1" si="113"/>
        <v>0</v>
      </c>
      <c r="AL164" s="358">
        <f t="shared" ca="1" si="113"/>
        <v>0</v>
      </c>
      <c r="AM164" s="358">
        <f t="shared" ca="1" si="113"/>
        <v>0</v>
      </c>
      <c r="AN164" s="358">
        <f t="shared" ca="1" si="113"/>
        <v>0</v>
      </c>
      <c r="AO164" s="358">
        <f t="shared" ca="1" si="113"/>
        <v>0</v>
      </c>
      <c r="AP164" s="358">
        <f t="shared" ca="1" si="113"/>
        <v>0</v>
      </c>
      <c r="AQ164" s="358">
        <f t="shared" ca="1" si="113"/>
        <v>0</v>
      </c>
      <c r="AR164" s="358">
        <f t="shared" ca="1" si="113"/>
        <v>0</v>
      </c>
      <c r="AS164" s="358">
        <f t="shared" ca="1" si="113"/>
        <v>0</v>
      </c>
      <c r="AT164" s="358">
        <f t="shared" ca="1" si="113"/>
        <v>0</v>
      </c>
      <c r="AV164" s="358">
        <f t="shared" ca="1" si="90"/>
        <v>0</v>
      </c>
      <c r="AX164" s="358">
        <f t="shared" ca="1" si="91"/>
        <v>0</v>
      </c>
      <c r="AZ164" s="358">
        <f t="shared" ca="1" si="92"/>
        <v>0</v>
      </c>
      <c r="BB164" s="358">
        <f t="shared" ca="1" si="93"/>
        <v>0</v>
      </c>
      <c r="BD164" s="358">
        <f t="shared" ca="1" si="94"/>
        <v>0</v>
      </c>
      <c r="BF164" s="358">
        <f t="shared" ca="1" si="95"/>
        <v>0</v>
      </c>
      <c r="BH164" s="358">
        <f t="shared" ca="1" si="96"/>
        <v>0</v>
      </c>
    </row>
    <row r="165" spans="1:60" hidden="1" outlineLevel="1">
      <c r="A165" s="1464">
        <f t="shared" si="114"/>
        <v>18</v>
      </c>
      <c r="B165" s="1464">
        <f t="shared" si="115"/>
        <v>25</v>
      </c>
      <c r="C165" s="1464">
        <f t="shared" si="116"/>
        <v>6</v>
      </c>
      <c r="D165" s="1271" t="str">
        <f ca="1">IF(OFFSET(PortfolioDashboard!$A$3,C165-1,0)="","Blank",OFFSET(PortfolioDashboard!$A$3,C165-1,0))</f>
        <v>Mid-term Energy Conservation Measures</v>
      </c>
      <c r="E165" s="1464" t="str">
        <f t="shared" si="117"/>
        <v>2010$</v>
      </c>
      <c r="F165" s="1460">
        <f t="shared" ca="1" si="85"/>
        <v>0</v>
      </c>
      <c r="G165" s="358">
        <f t="shared" ca="1" si="110"/>
        <v>0</v>
      </c>
      <c r="H165" s="358">
        <f t="shared" ca="1" si="110"/>
        <v>0</v>
      </c>
      <c r="I165" s="358">
        <f t="shared" ca="1" si="110"/>
        <v>0</v>
      </c>
      <c r="J165" s="358">
        <f t="shared" ca="1" si="110"/>
        <v>0</v>
      </c>
      <c r="K165" s="358">
        <f t="shared" ca="1" si="110"/>
        <v>0</v>
      </c>
      <c r="L165" s="358">
        <f t="shared" ca="1" si="110"/>
        <v>0</v>
      </c>
      <c r="M165" s="358">
        <f t="shared" ca="1" si="110"/>
        <v>0</v>
      </c>
      <c r="N165" s="358">
        <f t="shared" ca="1" si="110"/>
        <v>0</v>
      </c>
      <c r="O165" s="358">
        <f t="shared" ca="1" si="110"/>
        <v>0</v>
      </c>
      <c r="P165" s="358">
        <f t="shared" ca="1" si="110"/>
        <v>0</v>
      </c>
      <c r="Q165" s="358">
        <f t="shared" ca="1" si="111"/>
        <v>0</v>
      </c>
      <c r="R165" s="358">
        <f t="shared" ca="1" si="111"/>
        <v>0</v>
      </c>
      <c r="S165" s="358">
        <f t="shared" ca="1" si="111"/>
        <v>0</v>
      </c>
      <c r="T165" s="358">
        <f t="shared" ca="1" si="111"/>
        <v>0</v>
      </c>
      <c r="U165" s="358">
        <f t="shared" ca="1" si="111"/>
        <v>0</v>
      </c>
      <c r="V165" s="358">
        <f t="shared" ca="1" si="111"/>
        <v>0</v>
      </c>
      <c r="W165" s="358">
        <f t="shared" ca="1" si="111"/>
        <v>0</v>
      </c>
      <c r="X165" s="358">
        <f t="shared" ca="1" si="111"/>
        <v>0</v>
      </c>
      <c r="Y165" s="358">
        <f t="shared" ca="1" si="111"/>
        <v>0</v>
      </c>
      <c r="Z165" s="358">
        <f t="shared" ca="1" si="111"/>
        <v>0</v>
      </c>
      <c r="AA165" s="358">
        <f t="shared" ca="1" si="112"/>
        <v>0</v>
      </c>
      <c r="AB165" s="358">
        <f t="shared" ca="1" si="112"/>
        <v>0</v>
      </c>
      <c r="AC165" s="358">
        <f t="shared" ca="1" si="112"/>
        <v>0</v>
      </c>
      <c r="AD165" s="358">
        <f t="shared" ca="1" si="112"/>
        <v>0</v>
      </c>
      <c r="AE165" s="358">
        <f t="shared" ca="1" si="112"/>
        <v>0</v>
      </c>
      <c r="AF165" s="358">
        <f t="shared" ca="1" si="112"/>
        <v>0</v>
      </c>
      <c r="AG165" s="358">
        <f t="shared" ca="1" si="112"/>
        <v>0</v>
      </c>
      <c r="AH165" s="358">
        <f t="shared" ca="1" si="112"/>
        <v>0</v>
      </c>
      <c r="AI165" s="358">
        <f t="shared" ca="1" si="112"/>
        <v>0</v>
      </c>
      <c r="AJ165" s="358">
        <f t="shared" ca="1" si="112"/>
        <v>0</v>
      </c>
      <c r="AK165" s="358">
        <f t="shared" ca="1" si="113"/>
        <v>0</v>
      </c>
      <c r="AL165" s="358">
        <f t="shared" ca="1" si="113"/>
        <v>0</v>
      </c>
      <c r="AM165" s="358">
        <f t="shared" ca="1" si="113"/>
        <v>0</v>
      </c>
      <c r="AN165" s="358">
        <f t="shared" ca="1" si="113"/>
        <v>0</v>
      </c>
      <c r="AO165" s="358">
        <f t="shared" ca="1" si="113"/>
        <v>0</v>
      </c>
      <c r="AP165" s="358">
        <f t="shared" ca="1" si="113"/>
        <v>0</v>
      </c>
      <c r="AQ165" s="358">
        <f t="shared" ca="1" si="113"/>
        <v>0</v>
      </c>
      <c r="AR165" s="358">
        <f t="shared" ca="1" si="113"/>
        <v>0</v>
      </c>
      <c r="AS165" s="358">
        <f t="shared" ca="1" si="113"/>
        <v>0</v>
      </c>
      <c r="AT165" s="358">
        <f t="shared" ca="1" si="113"/>
        <v>0</v>
      </c>
      <c r="AV165" s="358">
        <f t="shared" ca="1" si="90"/>
        <v>0</v>
      </c>
      <c r="AX165" s="358">
        <f t="shared" ca="1" si="91"/>
        <v>0</v>
      </c>
      <c r="AZ165" s="358">
        <f t="shared" ca="1" si="92"/>
        <v>0</v>
      </c>
      <c r="BB165" s="358">
        <f t="shared" ca="1" si="93"/>
        <v>0</v>
      </c>
      <c r="BD165" s="358">
        <f t="shared" ca="1" si="94"/>
        <v>0</v>
      </c>
      <c r="BF165" s="358">
        <f t="shared" ca="1" si="95"/>
        <v>0</v>
      </c>
      <c r="BH165" s="358">
        <f t="shared" ca="1" si="96"/>
        <v>0</v>
      </c>
    </row>
    <row r="166" spans="1:60" hidden="1" outlineLevel="1">
      <c r="A166" s="1464">
        <f t="shared" si="114"/>
        <v>18</v>
      </c>
      <c r="B166" s="1464">
        <f t="shared" si="115"/>
        <v>25</v>
      </c>
      <c r="C166" s="1464">
        <f t="shared" si="116"/>
        <v>7</v>
      </c>
      <c r="D166" s="1271" t="str">
        <f ca="1">IF(OFFSET(PortfolioDashboard!$A$3,C166-1,0)="","Blank",OFFSET(PortfolioDashboard!$A$3,C166-1,0))</f>
        <v>Long-term Energy Conservation Measures</v>
      </c>
      <c r="E166" s="1464" t="str">
        <f t="shared" si="117"/>
        <v>2010$</v>
      </c>
      <c r="F166" s="1460">
        <f t="shared" ca="1" si="85"/>
        <v>0</v>
      </c>
      <c r="G166" s="358">
        <f t="shared" ca="1" si="110"/>
        <v>0</v>
      </c>
      <c r="H166" s="358">
        <f t="shared" ca="1" si="110"/>
        <v>0</v>
      </c>
      <c r="I166" s="358">
        <f t="shared" ca="1" si="110"/>
        <v>0</v>
      </c>
      <c r="J166" s="358">
        <f t="shared" ca="1" si="110"/>
        <v>0</v>
      </c>
      <c r="K166" s="358">
        <f t="shared" ca="1" si="110"/>
        <v>0</v>
      </c>
      <c r="L166" s="358">
        <f t="shared" ca="1" si="110"/>
        <v>0</v>
      </c>
      <c r="M166" s="358">
        <f t="shared" ca="1" si="110"/>
        <v>0</v>
      </c>
      <c r="N166" s="358">
        <f t="shared" ca="1" si="110"/>
        <v>0</v>
      </c>
      <c r="O166" s="358">
        <f t="shared" ca="1" si="110"/>
        <v>0</v>
      </c>
      <c r="P166" s="358">
        <f t="shared" ca="1" si="110"/>
        <v>0</v>
      </c>
      <c r="Q166" s="358">
        <f t="shared" ca="1" si="111"/>
        <v>0</v>
      </c>
      <c r="R166" s="358">
        <f t="shared" ca="1" si="111"/>
        <v>0</v>
      </c>
      <c r="S166" s="358">
        <f t="shared" ca="1" si="111"/>
        <v>0</v>
      </c>
      <c r="T166" s="358">
        <f t="shared" ca="1" si="111"/>
        <v>0</v>
      </c>
      <c r="U166" s="358">
        <f t="shared" ca="1" si="111"/>
        <v>0</v>
      </c>
      <c r="V166" s="358">
        <f t="shared" ca="1" si="111"/>
        <v>0</v>
      </c>
      <c r="W166" s="358">
        <f t="shared" ca="1" si="111"/>
        <v>0</v>
      </c>
      <c r="X166" s="358">
        <f t="shared" ca="1" si="111"/>
        <v>0</v>
      </c>
      <c r="Y166" s="358">
        <f t="shared" ca="1" si="111"/>
        <v>0</v>
      </c>
      <c r="Z166" s="358">
        <f t="shared" ca="1" si="111"/>
        <v>0</v>
      </c>
      <c r="AA166" s="358">
        <f t="shared" ca="1" si="112"/>
        <v>0</v>
      </c>
      <c r="AB166" s="358">
        <f t="shared" ca="1" si="112"/>
        <v>0</v>
      </c>
      <c r="AC166" s="358">
        <f t="shared" ca="1" si="112"/>
        <v>0</v>
      </c>
      <c r="AD166" s="358">
        <f t="shared" ca="1" si="112"/>
        <v>0</v>
      </c>
      <c r="AE166" s="358">
        <f t="shared" ca="1" si="112"/>
        <v>0</v>
      </c>
      <c r="AF166" s="358">
        <f t="shared" ca="1" si="112"/>
        <v>0</v>
      </c>
      <c r="AG166" s="358">
        <f t="shared" ca="1" si="112"/>
        <v>0</v>
      </c>
      <c r="AH166" s="358">
        <f t="shared" ca="1" si="112"/>
        <v>0</v>
      </c>
      <c r="AI166" s="358">
        <f t="shared" ca="1" si="112"/>
        <v>0</v>
      </c>
      <c r="AJ166" s="358">
        <f t="shared" ca="1" si="112"/>
        <v>0</v>
      </c>
      <c r="AK166" s="358">
        <f t="shared" ca="1" si="113"/>
        <v>0</v>
      </c>
      <c r="AL166" s="358">
        <f t="shared" ca="1" si="113"/>
        <v>0</v>
      </c>
      <c r="AM166" s="358">
        <f t="shared" ca="1" si="113"/>
        <v>0</v>
      </c>
      <c r="AN166" s="358">
        <f t="shared" ca="1" si="113"/>
        <v>0</v>
      </c>
      <c r="AO166" s="358">
        <f t="shared" ca="1" si="113"/>
        <v>0</v>
      </c>
      <c r="AP166" s="358">
        <f t="shared" ca="1" si="113"/>
        <v>0</v>
      </c>
      <c r="AQ166" s="358">
        <f t="shared" ca="1" si="113"/>
        <v>0</v>
      </c>
      <c r="AR166" s="358">
        <f t="shared" ca="1" si="113"/>
        <v>0</v>
      </c>
      <c r="AS166" s="358">
        <f t="shared" ca="1" si="113"/>
        <v>0</v>
      </c>
      <c r="AT166" s="358">
        <f t="shared" ca="1" si="113"/>
        <v>0</v>
      </c>
      <c r="AV166" s="358">
        <f t="shared" ref="AV166:AV229" ca="1" si="118">SUM(L166:P166)</f>
        <v>0</v>
      </c>
      <c r="AX166" s="358">
        <f t="shared" ref="AX166:AX229" ca="1" si="119">SUM(Q166:U166)</f>
        <v>0</v>
      </c>
      <c r="AZ166" s="358">
        <f t="shared" ref="AZ166:AZ229" ca="1" si="120">SUM(V166:Z166)</f>
        <v>0</v>
      </c>
      <c r="BB166" s="358">
        <f t="shared" ref="BB166:BB229" ca="1" si="121">SUM(AA166:AE166)</f>
        <v>0</v>
      </c>
      <c r="BD166" s="358">
        <f t="shared" ref="BD166:BD229" ca="1" si="122">SUM(AF166:AJ166)</f>
        <v>0</v>
      </c>
      <c r="BF166" s="358">
        <f t="shared" ref="BF166:BF229" ca="1" si="123">SUM(AK166:AO166)</f>
        <v>0</v>
      </c>
      <c r="BH166" s="358">
        <f t="shared" ref="BH166:BH229" ca="1" si="124">SUM(AP166:AT166)</f>
        <v>0</v>
      </c>
    </row>
    <row r="167" spans="1:60" hidden="1" outlineLevel="1">
      <c r="A167" s="1464">
        <f t="shared" si="114"/>
        <v>18</v>
      </c>
      <c r="B167" s="1464">
        <f t="shared" si="115"/>
        <v>25</v>
      </c>
      <c r="C167" s="1464">
        <f t="shared" si="116"/>
        <v>8</v>
      </c>
      <c r="D167" s="1271" t="str">
        <f ca="1">IF(OFFSET(PortfolioDashboard!$A$3,C167-1,0)="","Blank",OFFSET(PortfolioDashboard!$A$3,C167-1,0))</f>
        <v>Green IT</v>
      </c>
      <c r="E167" s="1464" t="str">
        <f t="shared" si="117"/>
        <v>2010$</v>
      </c>
      <c r="F167" s="1460">
        <f t="shared" ca="1" si="85"/>
        <v>0</v>
      </c>
      <c r="G167" s="358">
        <f t="shared" ca="1" si="110"/>
        <v>0</v>
      </c>
      <c r="H167" s="358">
        <f t="shared" ca="1" si="110"/>
        <v>0</v>
      </c>
      <c r="I167" s="358">
        <f t="shared" ca="1" si="110"/>
        <v>0</v>
      </c>
      <c r="J167" s="358">
        <f t="shared" ca="1" si="110"/>
        <v>0</v>
      </c>
      <c r="K167" s="358">
        <f t="shared" ca="1" si="110"/>
        <v>0</v>
      </c>
      <c r="L167" s="358">
        <f t="shared" ca="1" si="110"/>
        <v>0</v>
      </c>
      <c r="M167" s="358">
        <f t="shared" ca="1" si="110"/>
        <v>0</v>
      </c>
      <c r="N167" s="358">
        <f t="shared" ca="1" si="110"/>
        <v>0</v>
      </c>
      <c r="O167" s="358">
        <f t="shared" ca="1" si="110"/>
        <v>0</v>
      </c>
      <c r="P167" s="358">
        <f t="shared" ca="1" si="110"/>
        <v>0</v>
      </c>
      <c r="Q167" s="358">
        <f t="shared" ca="1" si="111"/>
        <v>0</v>
      </c>
      <c r="R167" s="358">
        <f t="shared" ca="1" si="111"/>
        <v>0</v>
      </c>
      <c r="S167" s="358">
        <f t="shared" ca="1" si="111"/>
        <v>0</v>
      </c>
      <c r="T167" s="358">
        <f t="shared" ca="1" si="111"/>
        <v>0</v>
      </c>
      <c r="U167" s="358">
        <f t="shared" ca="1" si="111"/>
        <v>0</v>
      </c>
      <c r="V167" s="358">
        <f t="shared" ca="1" si="111"/>
        <v>0</v>
      </c>
      <c r="W167" s="358">
        <f t="shared" ca="1" si="111"/>
        <v>0</v>
      </c>
      <c r="X167" s="358">
        <f t="shared" ca="1" si="111"/>
        <v>0</v>
      </c>
      <c r="Y167" s="358">
        <f t="shared" ca="1" si="111"/>
        <v>0</v>
      </c>
      <c r="Z167" s="358">
        <f t="shared" ca="1" si="111"/>
        <v>0</v>
      </c>
      <c r="AA167" s="358">
        <f t="shared" ca="1" si="112"/>
        <v>0</v>
      </c>
      <c r="AB167" s="358">
        <f t="shared" ca="1" si="112"/>
        <v>0</v>
      </c>
      <c r="AC167" s="358">
        <f t="shared" ca="1" si="112"/>
        <v>0</v>
      </c>
      <c r="AD167" s="358">
        <f t="shared" ca="1" si="112"/>
        <v>0</v>
      </c>
      <c r="AE167" s="358">
        <f t="shared" ca="1" si="112"/>
        <v>0</v>
      </c>
      <c r="AF167" s="358">
        <f t="shared" ca="1" si="112"/>
        <v>0</v>
      </c>
      <c r="AG167" s="358">
        <f t="shared" ca="1" si="112"/>
        <v>0</v>
      </c>
      <c r="AH167" s="358">
        <f t="shared" ca="1" si="112"/>
        <v>0</v>
      </c>
      <c r="AI167" s="358">
        <f t="shared" ca="1" si="112"/>
        <v>0</v>
      </c>
      <c r="AJ167" s="358">
        <f t="shared" ca="1" si="112"/>
        <v>0</v>
      </c>
      <c r="AK167" s="358">
        <f t="shared" ca="1" si="113"/>
        <v>0</v>
      </c>
      <c r="AL167" s="358">
        <f t="shared" ca="1" si="113"/>
        <v>0</v>
      </c>
      <c r="AM167" s="358">
        <f t="shared" ca="1" si="113"/>
        <v>0</v>
      </c>
      <c r="AN167" s="358">
        <f t="shared" ca="1" si="113"/>
        <v>0</v>
      </c>
      <c r="AO167" s="358">
        <f t="shared" ca="1" si="113"/>
        <v>0</v>
      </c>
      <c r="AP167" s="358">
        <f t="shared" ca="1" si="113"/>
        <v>0</v>
      </c>
      <c r="AQ167" s="358">
        <f t="shared" ca="1" si="113"/>
        <v>0</v>
      </c>
      <c r="AR167" s="358">
        <f t="shared" ca="1" si="113"/>
        <v>0</v>
      </c>
      <c r="AS167" s="358">
        <f t="shared" ca="1" si="113"/>
        <v>0</v>
      </c>
      <c r="AT167" s="358">
        <f t="shared" ca="1" si="113"/>
        <v>0</v>
      </c>
      <c r="AV167" s="358">
        <f t="shared" ca="1" si="118"/>
        <v>0</v>
      </c>
      <c r="AX167" s="358">
        <f t="shared" ca="1" si="119"/>
        <v>0</v>
      </c>
      <c r="AZ167" s="358">
        <f t="shared" ca="1" si="120"/>
        <v>0</v>
      </c>
      <c r="BB167" s="358">
        <f t="shared" ca="1" si="121"/>
        <v>0</v>
      </c>
      <c r="BD167" s="358">
        <f t="shared" ca="1" si="122"/>
        <v>0</v>
      </c>
      <c r="BF167" s="358">
        <f t="shared" ca="1" si="123"/>
        <v>0</v>
      </c>
      <c r="BH167" s="358">
        <f t="shared" ca="1" si="124"/>
        <v>0</v>
      </c>
    </row>
    <row r="168" spans="1:60" hidden="1" outlineLevel="1">
      <c r="A168" s="1464">
        <f t="shared" si="114"/>
        <v>18</v>
      </c>
      <c r="B168" s="1464">
        <f t="shared" si="115"/>
        <v>25</v>
      </c>
      <c r="C168" s="1464">
        <f t="shared" si="116"/>
        <v>9</v>
      </c>
      <c r="D168" s="1271" t="str">
        <f ca="1">IF(OFFSET(PortfolioDashboard!$A$3,C168-1,0)="","Blank",OFFSET(PortfolioDashboard!$A$3,C168-1,0))</f>
        <v>Reduced Air Travel</v>
      </c>
      <c r="E168" s="1464" t="str">
        <f t="shared" si="117"/>
        <v>2010$</v>
      </c>
      <c r="F168" s="1460">
        <f t="shared" ca="1" si="85"/>
        <v>0</v>
      </c>
      <c r="G168" s="358">
        <f t="shared" ca="1" si="110"/>
        <v>0</v>
      </c>
      <c r="H168" s="358">
        <f t="shared" ca="1" si="110"/>
        <v>0</v>
      </c>
      <c r="I168" s="358">
        <f t="shared" ca="1" si="110"/>
        <v>0</v>
      </c>
      <c r="J168" s="358">
        <f t="shared" ca="1" si="110"/>
        <v>0</v>
      </c>
      <c r="K168" s="358">
        <f t="shared" ca="1" si="110"/>
        <v>0</v>
      </c>
      <c r="L168" s="358">
        <f t="shared" ca="1" si="110"/>
        <v>0</v>
      </c>
      <c r="M168" s="358">
        <f t="shared" ca="1" si="110"/>
        <v>0</v>
      </c>
      <c r="N168" s="358">
        <f t="shared" ca="1" si="110"/>
        <v>0</v>
      </c>
      <c r="O168" s="358">
        <f t="shared" ca="1" si="110"/>
        <v>0</v>
      </c>
      <c r="P168" s="358">
        <f t="shared" ca="1" si="110"/>
        <v>0</v>
      </c>
      <c r="Q168" s="358">
        <f t="shared" ca="1" si="111"/>
        <v>0</v>
      </c>
      <c r="R168" s="358">
        <f t="shared" ca="1" si="111"/>
        <v>0</v>
      </c>
      <c r="S168" s="358">
        <f t="shared" ca="1" si="111"/>
        <v>0</v>
      </c>
      <c r="T168" s="358">
        <f t="shared" ca="1" si="111"/>
        <v>0</v>
      </c>
      <c r="U168" s="358">
        <f t="shared" ca="1" si="111"/>
        <v>0</v>
      </c>
      <c r="V168" s="358">
        <f t="shared" ca="1" si="111"/>
        <v>0</v>
      </c>
      <c r="W168" s="358">
        <f t="shared" ca="1" si="111"/>
        <v>0</v>
      </c>
      <c r="X168" s="358">
        <f t="shared" ca="1" si="111"/>
        <v>0</v>
      </c>
      <c r="Y168" s="358">
        <f t="shared" ca="1" si="111"/>
        <v>0</v>
      </c>
      <c r="Z168" s="358">
        <f t="shared" ca="1" si="111"/>
        <v>0</v>
      </c>
      <c r="AA168" s="358">
        <f t="shared" ca="1" si="112"/>
        <v>0</v>
      </c>
      <c r="AB168" s="358">
        <f t="shared" ca="1" si="112"/>
        <v>0</v>
      </c>
      <c r="AC168" s="358">
        <f t="shared" ca="1" si="112"/>
        <v>0</v>
      </c>
      <c r="AD168" s="358">
        <f t="shared" ca="1" si="112"/>
        <v>0</v>
      </c>
      <c r="AE168" s="358">
        <f t="shared" ca="1" si="112"/>
        <v>0</v>
      </c>
      <c r="AF168" s="358">
        <f t="shared" ca="1" si="112"/>
        <v>0</v>
      </c>
      <c r="AG168" s="358">
        <f t="shared" ca="1" si="112"/>
        <v>0</v>
      </c>
      <c r="AH168" s="358">
        <f t="shared" ca="1" si="112"/>
        <v>0</v>
      </c>
      <c r="AI168" s="358">
        <f t="shared" ca="1" si="112"/>
        <v>0</v>
      </c>
      <c r="AJ168" s="358">
        <f t="shared" ca="1" si="112"/>
        <v>0</v>
      </c>
      <c r="AK168" s="358">
        <f t="shared" ca="1" si="113"/>
        <v>0</v>
      </c>
      <c r="AL168" s="358">
        <f t="shared" ca="1" si="113"/>
        <v>0</v>
      </c>
      <c r="AM168" s="358">
        <f t="shared" ca="1" si="113"/>
        <v>0</v>
      </c>
      <c r="AN168" s="358">
        <f t="shared" ca="1" si="113"/>
        <v>0</v>
      </c>
      <c r="AO168" s="358">
        <f t="shared" ca="1" si="113"/>
        <v>0</v>
      </c>
      <c r="AP168" s="358">
        <f t="shared" ca="1" si="113"/>
        <v>0</v>
      </c>
      <c r="AQ168" s="358">
        <f t="shared" ca="1" si="113"/>
        <v>0</v>
      </c>
      <c r="AR168" s="358">
        <f t="shared" ca="1" si="113"/>
        <v>0</v>
      </c>
      <c r="AS168" s="358">
        <f t="shared" ca="1" si="113"/>
        <v>0</v>
      </c>
      <c r="AT168" s="358">
        <f t="shared" ca="1" si="113"/>
        <v>0</v>
      </c>
      <c r="AV168" s="358">
        <f t="shared" ca="1" si="118"/>
        <v>0</v>
      </c>
      <c r="AX168" s="358">
        <f t="shared" ca="1" si="119"/>
        <v>0</v>
      </c>
      <c r="AZ168" s="358">
        <f t="shared" ca="1" si="120"/>
        <v>0</v>
      </c>
      <c r="BB168" s="358">
        <f t="shared" ca="1" si="121"/>
        <v>0</v>
      </c>
      <c r="BD168" s="358">
        <f t="shared" ca="1" si="122"/>
        <v>0</v>
      </c>
      <c r="BF168" s="358">
        <f t="shared" ca="1" si="123"/>
        <v>0</v>
      </c>
      <c r="BH168" s="358">
        <f t="shared" ca="1" si="124"/>
        <v>0</v>
      </c>
    </row>
    <row r="169" spans="1:60" hidden="1" outlineLevel="1">
      <c r="A169" s="1464">
        <f t="shared" si="114"/>
        <v>18</v>
      </c>
      <c r="B169" s="1464">
        <f t="shared" si="115"/>
        <v>25</v>
      </c>
      <c r="C169" s="1464">
        <f t="shared" si="116"/>
        <v>10</v>
      </c>
      <c r="D169" s="1271" t="str">
        <f ca="1">IF(OFFSET(PortfolioDashboard!$A$3,C169-1,0)="","Blank",OFFSET(PortfolioDashboard!$A$3,C169-1,0))</f>
        <v>Reduced Automobile Reliance Strategies</v>
      </c>
      <c r="E169" s="1464" t="str">
        <f t="shared" si="117"/>
        <v>2010$</v>
      </c>
      <c r="F169" s="1460">
        <f t="shared" ca="1" si="85"/>
        <v>0</v>
      </c>
      <c r="G169" s="358">
        <f t="shared" ca="1" si="110"/>
        <v>0</v>
      </c>
      <c r="H169" s="358">
        <f t="shared" ca="1" si="110"/>
        <v>0</v>
      </c>
      <c r="I169" s="358">
        <f t="shared" ca="1" si="110"/>
        <v>0</v>
      </c>
      <c r="J169" s="358">
        <f t="shared" ca="1" si="110"/>
        <v>0</v>
      </c>
      <c r="K169" s="358">
        <f t="shared" ca="1" si="110"/>
        <v>0</v>
      </c>
      <c r="L169" s="358">
        <f t="shared" ca="1" si="110"/>
        <v>0</v>
      </c>
      <c r="M169" s="358">
        <f t="shared" ca="1" si="110"/>
        <v>0</v>
      </c>
      <c r="N169" s="358">
        <f t="shared" ca="1" si="110"/>
        <v>0</v>
      </c>
      <c r="O169" s="358">
        <f t="shared" ca="1" si="110"/>
        <v>0</v>
      </c>
      <c r="P169" s="358">
        <f t="shared" ca="1" si="110"/>
        <v>0</v>
      </c>
      <c r="Q169" s="358">
        <f t="shared" ca="1" si="111"/>
        <v>0</v>
      </c>
      <c r="R169" s="358">
        <f t="shared" ca="1" si="111"/>
        <v>0</v>
      </c>
      <c r="S169" s="358">
        <f t="shared" ca="1" si="111"/>
        <v>0</v>
      </c>
      <c r="T169" s="358">
        <f t="shared" ca="1" si="111"/>
        <v>0</v>
      </c>
      <c r="U169" s="358">
        <f t="shared" ca="1" si="111"/>
        <v>0</v>
      </c>
      <c r="V169" s="358">
        <f t="shared" ca="1" si="111"/>
        <v>0</v>
      </c>
      <c r="W169" s="358">
        <f t="shared" ca="1" si="111"/>
        <v>0</v>
      </c>
      <c r="X169" s="358">
        <f t="shared" ca="1" si="111"/>
        <v>0</v>
      </c>
      <c r="Y169" s="358">
        <f t="shared" ca="1" si="111"/>
        <v>0</v>
      </c>
      <c r="Z169" s="358">
        <f t="shared" ca="1" si="111"/>
        <v>0</v>
      </c>
      <c r="AA169" s="358">
        <f t="shared" ca="1" si="112"/>
        <v>0</v>
      </c>
      <c r="AB169" s="358">
        <f t="shared" ca="1" si="112"/>
        <v>0</v>
      </c>
      <c r="AC169" s="358">
        <f t="shared" ca="1" si="112"/>
        <v>0</v>
      </c>
      <c r="AD169" s="358">
        <f t="shared" ca="1" si="112"/>
        <v>0</v>
      </c>
      <c r="AE169" s="358">
        <f t="shared" ca="1" si="112"/>
        <v>0</v>
      </c>
      <c r="AF169" s="358">
        <f t="shared" ca="1" si="112"/>
        <v>0</v>
      </c>
      <c r="AG169" s="358">
        <f t="shared" ca="1" si="112"/>
        <v>0</v>
      </c>
      <c r="AH169" s="358">
        <f t="shared" ca="1" si="112"/>
        <v>0</v>
      </c>
      <c r="AI169" s="358">
        <f t="shared" ca="1" si="112"/>
        <v>0</v>
      </c>
      <c r="AJ169" s="358">
        <f t="shared" ca="1" si="112"/>
        <v>0</v>
      </c>
      <c r="AK169" s="358">
        <f t="shared" ca="1" si="113"/>
        <v>0</v>
      </c>
      <c r="AL169" s="358">
        <f t="shared" ca="1" si="113"/>
        <v>0</v>
      </c>
      <c r="AM169" s="358">
        <f t="shared" ca="1" si="113"/>
        <v>0</v>
      </c>
      <c r="AN169" s="358">
        <f t="shared" ca="1" si="113"/>
        <v>0</v>
      </c>
      <c r="AO169" s="358">
        <f t="shared" ca="1" si="113"/>
        <v>0</v>
      </c>
      <c r="AP169" s="358">
        <f t="shared" ca="1" si="113"/>
        <v>0</v>
      </c>
      <c r="AQ169" s="358">
        <f t="shared" ca="1" si="113"/>
        <v>0</v>
      </c>
      <c r="AR169" s="358">
        <f t="shared" ca="1" si="113"/>
        <v>0</v>
      </c>
      <c r="AS169" s="358">
        <f t="shared" ca="1" si="113"/>
        <v>0</v>
      </c>
      <c r="AT169" s="358">
        <f t="shared" ca="1" si="113"/>
        <v>0</v>
      </c>
      <c r="AV169" s="358">
        <f t="shared" ca="1" si="118"/>
        <v>0</v>
      </c>
      <c r="AX169" s="358">
        <f t="shared" ca="1" si="119"/>
        <v>0</v>
      </c>
      <c r="AZ169" s="358">
        <f t="shared" ca="1" si="120"/>
        <v>0</v>
      </c>
      <c r="BB169" s="358">
        <f t="shared" ca="1" si="121"/>
        <v>0</v>
      </c>
      <c r="BD169" s="358">
        <f t="shared" ca="1" si="122"/>
        <v>0</v>
      </c>
      <c r="BF169" s="358">
        <f t="shared" ca="1" si="123"/>
        <v>0</v>
      </c>
      <c r="BH169" s="358">
        <f t="shared" ca="1" si="124"/>
        <v>0</v>
      </c>
    </row>
    <row r="170" spans="1:60" hidden="1" outlineLevel="1">
      <c r="A170" s="1464">
        <f t="shared" si="114"/>
        <v>18</v>
      </c>
      <c r="B170" s="1464">
        <f t="shared" si="115"/>
        <v>25</v>
      </c>
      <c r="C170" s="1464">
        <f t="shared" si="116"/>
        <v>11</v>
      </c>
      <c r="D170" s="1271" t="str">
        <f ca="1">IF(OFFSET(PortfolioDashboard!$A$3,C170-1,0)="","Blank",OFFSET(PortfolioDashboard!$A$3,C170-1,0))</f>
        <v>Waste Reduction</v>
      </c>
      <c r="E170" s="1464" t="str">
        <f t="shared" si="117"/>
        <v>2010$</v>
      </c>
      <c r="F170" s="1460">
        <f t="shared" ca="1" si="85"/>
        <v>0</v>
      </c>
      <c r="G170" s="358">
        <f t="shared" ref="G170:P179" ca="1" si="125">IFERROR(OFFSET(INDIRECT(INDEX(List_of_Alternatives,MATCH($D170,NameofAlternatives,0))),$A170+G$1-$G$1,$B170),0)</f>
        <v>0</v>
      </c>
      <c r="H170" s="358">
        <f t="shared" ca="1" si="125"/>
        <v>0</v>
      </c>
      <c r="I170" s="358">
        <f t="shared" ca="1" si="125"/>
        <v>0</v>
      </c>
      <c r="J170" s="358">
        <f t="shared" ca="1" si="125"/>
        <v>0</v>
      </c>
      <c r="K170" s="358">
        <f t="shared" ca="1" si="125"/>
        <v>0</v>
      </c>
      <c r="L170" s="358">
        <f t="shared" ca="1" si="125"/>
        <v>0</v>
      </c>
      <c r="M170" s="358">
        <f t="shared" ca="1" si="125"/>
        <v>0</v>
      </c>
      <c r="N170" s="358">
        <f t="shared" ca="1" si="125"/>
        <v>0</v>
      </c>
      <c r="O170" s="358">
        <f t="shared" ca="1" si="125"/>
        <v>0</v>
      </c>
      <c r="P170" s="358">
        <f t="shared" ca="1" si="125"/>
        <v>0</v>
      </c>
      <c r="Q170" s="358">
        <f t="shared" ref="Q170:Z179" ca="1" si="126">IFERROR(OFFSET(INDIRECT(INDEX(List_of_Alternatives,MATCH($D170,NameofAlternatives,0))),$A170+Q$1-$G$1,$B170),0)</f>
        <v>0</v>
      </c>
      <c r="R170" s="358">
        <f t="shared" ca="1" si="126"/>
        <v>0</v>
      </c>
      <c r="S170" s="358">
        <f t="shared" ca="1" si="126"/>
        <v>0</v>
      </c>
      <c r="T170" s="358">
        <f t="shared" ca="1" si="126"/>
        <v>0</v>
      </c>
      <c r="U170" s="358">
        <f t="shared" ca="1" si="126"/>
        <v>0</v>
      </c>
      <c r="V170" s="358">
        <f t="shared" ca="1" si="126"/>
        <v>0</v>
      </c>
      <c r="W170" s="358">
        <f t="shared" ca="1" si="126"/>
        <v>0</v>
      </c>
      <c r="X170" s="358">
        <f t="shared" ca="1" si="126"/>
        <v>0</v>
      </c>
      <c r="Y170" s="358">
        <f t="shared" ca="1" si="126"/>
        <v>0</v>
      </c>
      <c r="Z170" s="358">
        <f t="shared" ca="1" si="126"/>
        <v>0</v>
      </c>
      <c r="AA170" s="358">
        <f t="shared" ref="AA170:AJ179" ca="1" si="127">IFERROR(OFFSET(INDIRECT(INDEX(List_of_Alternatives,MATCH($D170,NameofAlternatives,0))),$A170+AA$1-$G$1,$B170),0)</f>
        <v>0</v>
      </c>
      <c r="AB170" s="358">
        <f t="shared" ca="1" si="127"/>
        <v>0</v>
      </c>
      <c r="AC170" s="358">
        <f t="shared" ca="1" si="127"/>
        <v>0</v>
      </c>
      <c r="AD170" s="358">
        <f t="shared" ca="1" si="127"/>
        <v>0</v>
      </c>
      <c r="AE170" s="358">
        <f t="shared" ca="1" si="127"/>
        <v>0</v>
      </c>
      <c r="AF170" s="358">
        <f t="shared" ca="1" si="127"/>
        <v>0</v>
      </c>
      <c r="AG170" s="358">
        <f t="shared" ca="1" si="127"/>
        <v>0</v>
      </c>
      <c r="AH170" s="358">
        <f t="shared" ca="1" si="127"/>
        <v>0</v>
      </c>
      <c r="AI170" s="358">
        <f t="shared" ca="1" si="127"/>
        <v>0</v>
      </c>
      <c r="AJ170" s="358">
        <f t="shared" ca="1" si="127"/>
        <v>0</v>
      </c>
      <c r="AK170" s="358">
        <f t="shared" ref="AK170:AT179" ca="1" si="128">IFERROR(OFFSET(INDIRECT(INDEX(List_of_Alternatives,MATCH($D170,NameofAlternatives,0))),$A170+AK$1-$G$1,$B170),0)</f>
        <v>0</v>
      </c>
      <c r="AL170" s="358">
        <f t="shared" ca="1" si="128"/>
        <v>0</v>
      </c>
      <c r="AM170" s="358">
        <f t="shared" ca="1" si="128"/>
        <v>0</v>
      </c>
      <c r="AN170" s="358">
        <f t="shared" ca="1" si="128"/>
        <v>0</v>
      </c>
      <c r="AO170" s="358">
        <f t="shared" ca="1" si="128"/>
        <v>0</v>
      </c>
      <c r="AP170" s="358">
        <f t="shared" ca="1" si="128"/>
        <v>0</v>
      </c>
      <c r="AQ170" s="358">
        <f t="shared" ca="1" si="128"/>
        <v>0</v>
      </c>
      <c r="AR170" s="358">
        <f t="shared" ca="1" si="128"/>
        <v>0</v>
      </c>
      <c r="AS170" s="358">
        <f t="shared" ca="1" si="128"/>
        <v>0</v>
      </c>
      <c r="AT170" s="358">
        <f t="shared" ca="1" si="128"/>
        <v>0</v>
      </c>
      <c r="AV170" s="358">
        <f t="shared" ca="1" si="118"/>
        <v>0</v>
      </c>
      <c r="AX170" s="358">
        <f t="shared" ca="1" si="119"/>
        <v>0</v>
      </c>
      <c r="AZ170" s="358">
        <f t="shared" ca="1" si="120"/>
        <v>0</v>
      </c>
      <c r="BB170" s="358">
        <f t="shared" ca="1" si="121"/>
        <v>0</v>
      </c>
      <c r="BD170" s="358">
        <f t="shared" ca="1" si="122"/>
        <v>0</v>
      </c>
      <c r="BF170" s="358">
        <f t="shared" ca="1" si="123"/>
        <v>0</v>
      </c>
      <c r="BH170" s="358">
        <f t="shared" ca="1" si="124"/>
        <v>0</v>
      </c>
    </row>
    <row r="171" spans="1:60" hidden="1" outlineLevel="1">
      <c r="A171" s="1464">
        <f t="shared" si="114"/>
        <v>18</v>
      </c>
      <c r="B171" s="1464">
        <f t="shared" si="115"/>
        <v>25</v>
      </c>
      <c r="C171" s="1464">
        <f t="shared" si="116"/>
        <v>12</v>
      </c>
      <c r="D171" s="1271" t="str">
        <f ca="1">IF(OFFSET(PortfolioDashboard!$A$3,C171-1,0)="","Blank",OFFSET(PortfolioDashboard!$A$3,C171-1,0))</f>
        <v>Steam Line Improvements</v>
      </c>
      <c r="E171" s="1464" t="str">
        <f t="shared" si="117"/>
        <v>2010$</v>
      </c>
      <c r="F171" s="1460">
        <f t="shared" ca="1" si="85"/>
        <v>0</v>
      </c>
      <c r="G171" s="358">
        <f t="shared" ca="1" si="125"/>
        <v>0</v>
      </c>
      <c r="H171" s="358">
        <f t="shared" ca="1" si="125"/>
        <v>0</v>
      </c>
      <c r="I171" s="358">
        <f t="shared" ca="1" si="125"/>
        <v>0</v>
      </c>
      <c r="J171" s="358">
        <f t="shared" ca="1" si="125"/>
        <v>0</v>
      </c>
      <c r="K171" s="358">
        <f t="shared" ca="1" si="125"/>
        <v>0</v>
      </c>
      <c r="L171" s="358">
        <f t="shared" ca="1" si="125"/>
        <v>0</v>
      </c>
      <c r="M171" s="358">
        <f t="shared" ca="1" si="125"/>
        <v>0</v>
      </c>
      <c r="N171" s="358">
        <f t="shared" ca="1" si="125"/>
        <v>0</v>
      </c>
      <c r="O171" s="358">
        <f t="shared" ca="1" si="125"/>
        <v>0</v>
      </c>
      <c r="P171" s="358">
        <f t="shared" ca="1" si="125"/>
        <v>0</v>
      </c>
      <c r="Q171" s="358">
        <f t="shared" ca="1" si="126"/>
        <v>0</v>
      </c>
      <c r="R171" s="358">
        <f t="shared" ca="1" si="126"/>
        <v>0</v>
      </c>
      <c r="S171" s="358">
        <f t="shared" ca="1" si="126"/>
        <v>0</v>
      </c>
      <c r="T171" s="358">
        <f t="shared" ca="1" si="126"/>
        <v>0</v>
      </c>
      <c r="U171" s="358">
        <f t="shared" ca="1" si="126"/>
        <v>0</v>
      </c>
      <c r="V171" s="358">
        <f t="shared" ca="1" si="126"/>
        <v>0</v>
      </c>
      <c r="W171" s="358">
        <f t="shared" ca="1" si="126"/>
        <v>0</v>
      </c>
      <c r="X171" s="358">
        <f t="shared" ca="1" si="126"/>
        <v>0</v>
      </c>
      <c r="Y171" s="358">
        <f t="shared" ca="1" si="126"/>
        <v>0</v>
      </c>
      <c r="Z171" s="358">
        <f t="shared" ca="1" si="126"/>
        <v>0</v>
      </c>
      <c r="AA171" s="358">
        <f t="shared" ca="1" si="127"/>
        <v>0</v>
      </c>
      <c r="AB171" s="358">
        <f t="shared" ca="1" si="127"/>
        <v>0</v>
      </c>
      <c r="AC171" s="358">
        <f t="shared" ca="1" si="127"/>
        <v>0</v>
      </c>
      <c r="AD171" s="358">
        <f t="shared" ca="1" si="127"/>
        <v>0</v>
      </c>
      <c r="AE171" s="358">
        <f t="shared" ca="1" si="127"/>
        <v>0</v>
      </c>
      <c r="AF171" s="358">
        <f t="shared" ca="1" si="127"/>
        <v>0</v>
      </c>
      <c r="AG171" s="358">
        <f t="shared" ca="1" si="127"/>
        <v>0</v>
      </c>
      <c r="AH171" s="358">
        <f t="shared" ca="1" si="127"/>
        <v>0</v>
      </c>
      <c r="AI171" s="358">
        <f t="shared" ca="1" si="127"/>
        <v>0</v>
      </c>
      <c r="AJ171" s="358">
        <f t="shared" ca="1" si="127"/>
        <v>0</v>
      </c>
      <c r="AK171" s="358">
        <f t="shared" ca="1" si="128"/>
        <v>0</v>
      </c>
      <c r="AL171" s="358">
        <f t="shared" ca="1" si="128"/>
        <v>0</v>
      </c>
      <c r="AM171" s="358">
        <f t="shared" ca="1" si="128"/>
        <v>0</v>
      </c>
      <c r="AN171" s="358">
        <f t="shared" ca="1" si="128"/>
        <v>0</v>
      </c>
      <c r="AO171" s="358">
        <f t="shared" ca="1" si="128"/>
        <v>0</v>
      </c>
      <c r="AP171" s="358">
        <f t="shared" ca="1" si="128"/>
        <v>0</v>
      </c>
      <c r="AQ171" s="358">
        <f t="shared" ca="1" si="128"/>
        <v>0</v>
      </c>
      <c r="AR171" s="358">
        <f t="shared" ca="1" si="128"/>
        <v>0</v>
      </c>
      <c r="AS171" s="358">
        <f t="shared" ca="1" si="128"/>
        <v>0</v>
      </c>
      <c r="AT171" s="358">
        <f t="shared" ca="1" si="128"/>
        <v>0</v>
      </c>
      <c r="AV171" s="358">
        <f t="shared" ca="1" si="118"/>
        <v>0</v>
      </c>
      <c r="AX171" s="358">
        <f t="shared" ca="1" si="119"/>
        <v>0</v>
      </c>
      <c r="AZ171" s="358">
        <f t="shared" ca="1" si="120"/>
        <v>0</v>
      </c>
      <c r="BB171" s="358">
        <f t="shared" ca="1" si="121"/>
        <v>0</v>
      </c>
      <c r="BD171" s="358">
        <f t="shared" ca="1" si="122"/>
        <v>0</v>
      </c>
      <c r="BF171" s="358">
        <f t="shared" ca="1" si="123"/>
        <v>0</v>
      </c>
      <c r="BH171" s="358">
        <f t="shared" ca="1" si="124"/>
        <v>0</v>
      </c>
    </row>
    <row r="172" spans="1:60" hidden="1" outlineLevel="1">
      <c r="A172" s="1464">
        <f t="shared" si="114"/>
        <v>18</v>
      </c>
      <c r="B172" s="1464">
        <f t="shared" si="115"/>
        <v>25</v>
      </c>
      <c r="C172" s="1464">
        <f t="shared" si="116"/>
        <v>13</v>
      </c>
      <c r="D172" s="1271" t="str">
        <f ca="1">IF(OFFSET(PortfolioDashboard!$A$3,C172-1,0)="","Blank",OFFSET(PortfolioDashboard!$A$3,C172-1,0))</f>
        <v>Coal to Natural Gas Conversion @ Steam Plant</v>
      </c>
      <c r="E172" s="1464" t="str">
        <f t="shared" si="117"/>
        <v>2010$</v>
      </c>
      <c r="F172" s="1460">
        <f t="shared" ca="1" si="85"/>
        <v>0</v>
      </c>
      <c r="G172" s="358">
        <f t="shared" ca="1" si="125"/>
        <v>0</v>
      </c>
      <c r="H172" s="358">
        <f t="shared" ca="1" si="125"/>
        <v>0</v>
      </c>
      <c r="I172" s="358">
        <f t="shared" ca="1" si="125"/>
        <v>0</v>
      </c>
      <c r="J172" s="358">
        <f t="shared" ca="1" si="125"/>
        <v>0</v>
      </c>
      <c r="K172" s="358">
        <f t="shared" ca="1" si="125"/>
        <v>0</v>
      </c>
      <c r="L172" s="358">
        <f t="shared" ca="1" si="125"/>
        <v>0</v>
      </c>
      <c r="M172" s="358">
        <f t="shared" ca="1" si="125"/>
        <v>0</v>
      </c>
      <c r="N172" s="358">
        <f t="shared" ca="1" si="125"/>
        <v>0</v>
      </c>
      <c r="O172" s="358">
        <f t="shared" ca="1" si="125"/>
        <v>0</v>
      </c>
      <c r="P172" s="358">
        <f t="shared" ca="1" si="125"/>
        <v>0</v>
      </c>
      <c r="Q172" s="358">
        <f t="shared" ca="1" si="126"/>
        <v>0</v>
      </c>
      <c r="R172" s="358">
        <f t="shared" ca="1" si="126"/>
        <v>0</v>
      </c>
      <c r="S172" s="358">
        <f t="shared" ca="1" si="126"/>
        <v>0</v>
      </c>
      <c r="T172" s="358">
        <f t="shared" ca="1" si="126"/>
        <v>0</v>
      </c>
      <c r="U172" s="358">
        <f t="shared" ca="1" si="126"/>
        <v>0</v>
      </c>
      <c r="V172" s="358">
        <f t="shared" ca="1" si="126"/>
        <v>0</v>
      </c>
      <c r="W172" s="358">
        <f t="shared" ca="1" si="126"/>
        <v>0</v>
      </c>
      <c r="X172" s="358">
        <f t="shared" ca="1" si="126"/>
        <v>0</v>
      </c>
      <c r="Y172" s="358">
        <f t="shared" ca="1" si="126"/>
        <v>0</v>
      </c>
      <c r="Z172" s="358">
        <f t="shared" ca="1" si="126"/>
        <v>0</v>
      </c>
      <c r="AA172" s="358">
        <f t="shared" ca="1" si="127"/>
        <v>0</v>
      </c>
      <c r="AB172" s="358">
        <f t="shared" ca="1" si="127"/>
        <v>0</v>
      </c>
      <c r="AC172" s="358">
        <f t="shared" ca="1" si="127"/>
        <v>0</v>
      </c>
      <c r="AD172" s="358">
        <f t="shared" ca="1" si="127"/>
        <v>0</v>
      </c>
      <c r="AE172" s="358">
        <f t="shared" ca="1" si="127"/>
        <v>0</v>
      </c>
      <c r="AF172" s="358">
        <f t="shared" ca="1" si="127"/>
        <v>0</v>
      </c>
      <c r="AG172" s="358">
        <f t="shared" ca="1" si="127"/>
        <v>0</v>
      </c>
      <c r="AH172" s="358">
        <f t="shared" ca="1" si="127"/>
        <v>0</v>
      </c>
      <c r="AI172" s="358">
        <f t="shared" ca="1" si="127"/>
        <v>0</v>
      </c>
      <c r="AJ172" s="358">
        <f t="shared" ca="1" si="127"/>
        <v>0</v>
      </c>
      <c r="AK172" s="358">
        <f t="shared" ca="1" si="128"/>
        <v>0</v>
      </c>
      <c r="AL172" s="358">
        <f t="shared" ca="1" si="128"/>
        <v>0</v>
      </c>
      <c r="AM172" s="358">
        <f t="shared" ca="1" si="128"/>
        <v>0</v>
      </c>
      <c r="AN172" s="358">
        <f t="shared" ca="1" si="128"/>
        <v>0</v>
      </c>
      <c r="AO172" s="358">
        <f t="shared" ca="1" si="128"/>
        <v>0</v>
      </c>
      <c r="AP172" s="358">
        <f t="shared" ca="1" si="128"/>
        <v>0</v>
      </c>
      <c r="AQ172" s="358">
        <f t="shared" ca="1" si="128"/>
        <v>0</v>
      </c>
      <c r="AR172" s="358">
        <f t="shared" ca="1" si="128"/>
        <v>0</v>
      </c>
      <c r="AS172" s="358">
        <f t="shared" ca="1" si="128"/>
        <v>0</v>
      </c>
      <c r="AT172" s="358">
        <f t="shared" ca="1" si="128"/>
        <v>0</v>
      </c>
      <c r="AV172" s="358">
        <f t="shared" ca="1" si="118"/>
        <v>0</v>
      </c>
      <c r="AX172" s="358">
        <f t="shared" ca="1" si="119"/>
        <v>0</v>
      </c>
      <c r="AZ172" s="358">
        <f t="shared" ca="1" si="120"/>
        <v>0</v>
      </c>
      <c r="BB172" s="358">
        <f t="shared" ca="1" si="121"/>
        <v>0</v>
      </c>
      <c r="BD172" s="358">
        <f t="shared" ca="1" si="122"/>
        <v>0</v>
      </c>
      <c r="BF172" s="358">
        <f t="shared" ca="1" si="123"/>
        <v>0</v>
      </c>
      <c r="BH172" s="358">
        <f t="shared" ca="1" si="124"/>
        <v>0</v>
      </c>
    </row>
    <row r="173" spans="1:60" hidden="1" outlineLevel="1">
      <c r="A173" s="1464">
        <f t="shared" si="114"/>
        <v>18</v>
      </c>
      <c r="B173" s="1464">
        <f t="shared" si="115"/>
        <v>25</v>
      </c>
      <c r="C173" s="1464">
        <f t="shared" si="116"/>
        <v>14</v>
      </c>
      <c r="D173" s="1271" t="str">
        <f ca="1">IF(OFFSET(PortfolioDashboard!$A$3,C173-1,0)="","Blank",OFFSET(PortfolioDashboard!$A$3,C173-1,0))</f>
        <v>On-site Wind</v>
      </c>
      <c r="E173" s="1464" t="str">
        <f t="shared" si="117"/>
        <v>2010$</v>
      </c>
      <c r="F173" s="1460">
        <f t="shared" ca="1" si="85"/>
        <v>-312260.38940851751</v>
      </c>
      <c r="G173" s="358">
        <f t="shared" ca="1" si="125"/>
        <v>0</v>
      </c>
      <c r="H173" s="358">
        <f t="shared" ca="1" si="125"/>
        <v>-21024</v>
      </c>
      <c r="I173" s="358">
        <f t="shared" ca="1" si="125"/>
        <v>-21024</v>
      </c>
      <c r="J173" s="358">
        <f t="shared" ca="1" si="125"/>
        <v>-21024</v>
      </c>
      <c r="K173" s="358">
        <f t="shared" ca="1" si="125"/>
        <v>-21024</v>
      </c>
      <c r="L173" s="358">
        <f t="shared" ca="1" si="125"/>
        <v>-21024</v>
      </c>
      <c r="M173" s="358">
        <f t="shared" ca="1" si="125"/>
        <v>-21024</v>
      </c>
      <c r="N173" s="358">
        <f t="shared" ca="1" si="125"/>
        <v>-21024</v>
      </c>
      <c r="O173" s="358">
        <f t="shared" ca="1" si="125"/>
        <v>-21024</v>
      </c>
      <c r="P173" s="358">
        <f t="shared" ca="1" si="125"/>
        <v>-21024</v>
      </c>
      <c r="Q173" s="358">
        <f t="shared" ca="1" si="126"/>
        <v>-21024</v>
      </c>
      <c r="R173" s="358">
        <f t="shared" ca="1" si="126"/>
        <v>-21024</v>
      </c>
      <c r="S173" s="358">
        <f t="shared" ca="1" si="126"/>
        <v>-21024</v>
      </c>
      <c r="T173" s="358">
        <f t="shared" ca="1" si="126"/>
        <v>-21024</v>
      </c>
      <c r="U173" s="358">
        <f t="shared" ca="1" si="126"/>
        <v>-21024</v>
      </c>
      <c r="V173" s="358">
        <f t="shared" ca="1" si="126"/>
        <v>-21024</v>
      </c>
      <c r="W173" s="358">
        <f t="shared" ca="1" si="126"/>
        <v>-21024</v>
      </c>
      <c r="X173" s="358">
        <f t="shared" ca="1" si="126"/>
        <v>-21024</v>
      </c>
      <c r="Y173" s="358">
        <f t="shared" ca="1" si="126"/>
        <v>-21024</v>
      </c>
      <c r="Z173" s="358">
        <f t="shared" ca="1" si="126"/>
        <v>-21024</v>
      </c>
      <c r="AA173" s="358">
        <f t="shared" ca="1" si="127"/>
        <v>-21024</v>
      </c>
      <c r="AB173" s="358">
        <f t="shared" ca="1" si="127"/>
        <v>-21024</v>
      </c>
      <c r="AC173" s="358">
        <f t="shared" ca="1" si="127"/>
        <v>-21024</v>
      </c>
      <c r="AD173" s="358">
        <f t="shared" ca="1" si="127"/>
        <v>-21024</v>
      </c>
      <c r="AE173" s="358">
        <f t="shared" ca="1" si="127"/>
        <v>-21024</v>
      </c>
      <c r="AF173" s="358">
        <f t="shared" ca="1" si="127"/>
        <v>-21024</v>
      </c>
      <c r="AG173" s="358">
        <f t="shared" ca="1" si="127"/>
        <v>-21024</v>
      </c>
      <c r="AH173" s="358">
        <f t="shared" ca="1" si="127"/>
        <v>-21024</v>
      </c>
      <c r="AI173" s="358">
        <f t="shared" ca="1" si="127"/>
        <v>-21024</v>
      </c>
      <c r="AJ173" s="358">
        <f t="shared" ca="1" si="127"/>
        <v>-21024</v>
      </c>
      <c r="AK173" s="358">
        <f t="shared" ca="1" si="128"/>
        <v>-21024</v>
      </c>
      <c r="AL173" s="358">
        <f t="shared" ca="1" si="128"/>
        <v>-21024</v>
      </c>
      <c r="AM173" s="358">
        <f t="shared" ca="1" si="128"/>
        <v>-21024</v>
      </c>
      <c r="AN173" s="358">
        <f t="shared" ca="1" si="128"/>
        <v>-21024</v>
      </c>
      <c r="AO173" s="358">
        <f t="shared" ca="1" si="128"/>
        <v>-21024</v>
      </c>
      <c r="AP173" s="358">
        <f t="shared" ca="1" si="128"/>
        <v>-21024</v>
      </c>
      <c r="AQ173" s="358">
        <f t="shared" ca="1" si="128"/>
        <v>-21024</v>
      </c>
      <c r="AR173" s="358">
        <f t="shared" ca="1" si="128"/>
        <v>-21024</v>
      </c>
      <c r="AS173" s="358">
        <f t="shared" ca="1" si="128"/>
        <v>-21024</v>
      </c>
      <c r="AT173" s="358">
        <f t="shared" ca="1" si="128"/>
        <v>-21024</v>
      </c>
      <c r="AV173" s="358">
        <f t="shared" ca="1" si="118"/>
        <v>-105120</v>
      </c>
      <c r="AX173" s="358">
        <f t="shared" ca="1" si="119"/>
        <v>-105120</v>
      </c>
      <c r="AZ173" s="358">
        <f t="shared" ca="1" si="120"/>
        <v>-105120</v>
      </c>
      <c r="BB173" s="358">
        <f t="shared" ca="1" si="121"/>
        <v>-105120</v>
      </c>
      <c r="BD173" s="358">
        <f t="shared" ca="1" si="122"/>
        <v>-105120</v>
      </c>
      <c r="BF173" s="358">
        <f t="shared" ca="1" si="123"/>
        <v>-105120</v>
      </c>
      <c r="BH173" s="358">
        <f t="shared" ca="1" si="124"/>
        <v>-105120</v>
      </c>
    </row>
    <row r="174" spans="1:60" hidden="1" outlineLevel="1">
      <c r="A174" s="1464">
        <f t="shared" si="114"/>
        <v>18</v>
      </c>
      <c r="B174" s="1464">
        <f t="shared" si="115"/>
        <v>25</v>
      </c>
      <c r="C174" s="1464">
        <f t="shared" si="116"/>
        <v>15</v>
      </c>
      <c r="D174" s="1271" t="str">
        <f ca="1">IF(OFFSET(PortfolioDashboard!$A$3,C174-1,0)="","Blank",OFFSET(PortfolioDashboard!$A$3,C174-1,0))</f>
        <v>Solar DHW</v>
      </c>
      <c r="E174" s="1464" t="str">
        <f t="shared" si="117"/>
        <v>2010$</v>
      </c>
      <c r="F174" s="1460">
        <f t="shared" ca="1" si="85"/>
        <v>0</v>
      </c>
      <c r="G174" s="358">
        <f t="shared" ca="1" si="125"/>
        <v>0</v>
      </c>
      <c r="H174" s="358">
        <f t="shared" ca="1" si="125"/>
        <v>0</v>
      </c>
      <c r="I174" s="358">
        <f t="shared" ca="1" si="125"/>
        <v>0</v>
      </c>
      <c r="J174" s="358">
        <f t="shared" ca="1" si="125"/>
        <v>0</v>
      </c>
      <c r="K174" s="358">
        <f t="shared" ca="1" si="125"/>
        <v>0</v>
      </c>
      <c r="L174" s="358">
        <f t="shared" ca="1" si="125"/>
        <v>0</v>
      </c>
      <c r="M174" s="358">
        <f t="shared" ca="1" si="125"/>
        <v>0</v>
      </c>
      <c r="N174" s="358">
        <f t="shared" ca="1" si="125"/>
        <v>0</v>
      </c>
      <c r="O174" s="358">
        <f t="shared" ca="1" si="125"/>
        <v>0</v>
      </c>
      <c r="P174" s="358">
        <f t="shared" ca="1" si="125"/>
        <v>0</v>
      </c>
      <c r="Q174" s="358">
        <f t="shared" ca="1" si="126"/>
        <v>0</v>
      </c>
      <c r="R174" s="358">
        <f t="shared" ca="1" si="126"/>
        <v>0</v>
      </c>
      <c r="S174" s="358">
        <f t="shared" ca="1" si="126"/>
        <v>0</v>
      </c>
      <c r="T174" s="358">
        <f t="shared" ca="1" si="126"/>
        <v>0</v>
      </c>
      <c r="U174" s="358">
        <f t="shared" ca="1" si="126"/>
        <v>0</v>
      </c>
      <c r="V174" s="358">
        <f t="shared" ca="1" si="126"/>
        <v>0</v>
      </c>
      <c r="W174" s="358">
        <f t="shared" ca="1" si="126"/>
        <v>0</v>
      </c>
      <c r="X174" s="358">
        <f t="shared" ca="1" si="126"/>
        <v>0</v>
      </c>
      <c r="Y174" s="358">
        <f t="shared" ca="1" si="126"/>
        <v>0</v>
      </c>
      <c r="Z174" s="358">
        <f t="shared" ca="1" si="126"/>
        <v>0</v>
      </c>
      <c r="AA174" s="358">
        <f t="shared" ca="1" si="127"/>
        <v>0</v>
      </c>
      <c r="AB174" s="358">
        <f t="shared" ca="1" si="127"/>
        <v>0</v>
      </c>
      <c r="AC174" s="358">
        <f t="shared" ca="1" si="127"/>
        <v>0</v>
      </c>
      <c r="AD174" s="358">
        <f t="shared" ca="1" si="127"/>
        <v>0</v>
      </c>
      <c r="AE174" s="358">
        <f t="shared" ca="1" si="127"/>
        <v>0</v>
      </c>
      <c r="AF174" s="358">
        <f t="shared" ca="1" si="127"/>
        <v>0</v>
      </c>
      <c r="AG174" s="358">
        <f t="shared" ca="1" si="127"/>
        <v>0</v>
      </c>
      <c r="AH174" s="358">
        <f t="shared" ca="1" si="127"/>
        <v>0</v>
      </c>
      <c r="AI174" s="358">
        <f t="shared" ca="1" si="127"/>
        <v>0</v>
      </c>
      <c r="AJ174" s="358">
        <f t="shared" ca="1" si="127"/>
        <v>0</v>
      </c>
      <c r="AK174" s="358">
        <f t="shared" ca="1" si="128"/>
        <v>0</v>
      </c>
      <c r="AL174" s="358">
        <f t="shared" ca="1" si="128"/>
        <v>0</v>
      </c>
      <c r="AM174" s="358">
        <f t="shared" ca="1" si="128"/>
        <v>0</v>
      </c>
      <c r="AN174" s="358">
        <f t="shared" ca="1" si="128"/>
        <v>0</v>
      </c>
      <c r="AO174" s="358">
        <f t="shared" ca="1" si="128"/>
        <v>0</v>
      </c>
      <c r="AP174" s="358">
        <f t="shared" ca="1" si="128"/>
        <v>0</v>
      </c>
      <c r="AQ174" s="358">
        <f t="shared" ca="1" si="128"/>
        <v>0</v>
      </c>
      <c r="AR174" s="358">
        <f t="shared" ca="1" si="128"/>
        <v>0</v>
      </c>
      <c r="AS174" s="358">
        <f t="shared" ca="1" si="128"/>
        <v>0</v>
      </c>
      <c r="AT174" s="358">
        <f t="shared" ca="1" si="128"/>
        <v>0</v>
      </c>
      <c r="AV174" s="358">
        <f t="shared" ca="1" si="118"/>
        <v>0</v>
      </c>
      <c r="AX174" s="358">
        <f t="shared" ca="1" si="119"/>
        <v>0</v>
      </c>
      <c r="AZ174" s="358">
        <f t="shared" ca="1" si="120"/>
        <v>0</v>
      </c>
      <c r="BB174" s="358">
        <f t="shared" ca="1" si="121"/>
        <v>0</v>
      </c>
      <c r="BD174" s="358">
        <f t="shared" ca="1" si="122"/>
        <v>0</v>
      </c>
      <c r="BF174" s="358">
        <f t="shared" ca="1" si="123"/>
        <v>0</v>
      </c>
      <c r="BH174" s="358">
        <f t="shared" ca="1" si="124"/>
        <v>0</v>
      </c>
    </row>
    <row r="175" spans="1:60" hidden="1" outlineLevel="1">
      <c r="A175" s="1464">
        <f t="shared" si="114"/>
        <v>18</v>
      </c>
      <c r="B175" s="1464">
        <f t="shared" si="115"/>
        <v>25</v>
      </c>
      <c r="C175" s="1464">
        <f t="shared" si="116"/>
        <v>16</v>
      </c>
      <c r="D175" s="1271" t="str">
        <f ca="1">IF(OFFSET(PortfolioDashboard!$A$3,C175-1,0)="","Blank",OFFSET(PortfolioDashboard!$A$3,C175-1,0))</f>
        <v>Geo Exchange</v>
      </c>
      <c r="E175" s="1464" t="str">
        <f t="shared" si="117"/>
        <v>2010$</v>
      </c>
      <c r="F175" s="1460">
        <f t="shared" ca="1" si="85"/>
        <v>-1176930.091251089</v>
      </c>
      <c r="G175" s="358">
        <f t="shared" ca="1" si="125"/>
        <v>0</v>
      </c>
      <c r="H175" s="358">
        <f t="shared" ca="1" si="125"/>
        <v>0</v>
      </c>
      <c r="I175" s="358">
        <f t="shared" ca="1" si="125"/>
        <v>0</v>
      </c>
      <c r="J175" s="358">
        <f t="shared" ca="1" si="125"/>
        <v>-44719.64216943748</v>
      </c>
      <c r="K175" s="358">
        <f t="shared" ca="1" si="125"/>
        <v>-44943.240380284653</v>
      </c>
      <c r="L175" s="358">
        <f t="shared" ca="1" si="125"/>
        <v>-90335.913164372148</v>
      </c>
      <c r="M175" s="358">
        <f t="shared" ca="1" si="125"/>
        <v>-90787.592730193996</v>
      </c>
      <c r="N175" s="358">
        <f t="shared" ca="1" si="125"/>
        <v>-91241.53069384495</v>
      </c>
      <c r="O175" s="358">
        <f t="shared" ca="1" si="125"/>
        <v>-91697.738347314167</v>
      </c>
      <c r="P175" s="358">
        <f t="shared" ca="1" si="125"/>
        <v>-92156.227039050733</v>
      </c>
      <c r="Q175" s="358">
        <f t="shared" ca="1" si="126"/>
        <v>-92617.008174245959</v>
      </c>
      <c r="R175" s="358">
        <f t="shared" ca="1" si="126"/>
        <v>-93080.093215117187</v>
      </c>
      <c r="S175" s="358">
        <f t="shared" ca="1" si="126"/>
        <v>-93545.493681192733</v>
      </c>
      <c r="T175" s="358">
        <f t="shared" ca="1" si="126"/>
        <v>-94013.221149598699</v>
      </c>
      <c r="U175" s="358">
        <f t="shared" ca="1" si="126"/>
        <v>-94483.287255346673</v>
      </c>
      <c r="V175" s="358">
        <f t="shared" ca="1" si="126"/>
        <v>-94955.703691623392</v>
      </c>
      <c r="W175" s="358">
        <f t="shared" ca="1" si="126"/>
        <v>-95430.482210081493</v>
      </c>
      <c r="X175" s="358">
        <f t="shared" ca="1" si="126"/>
        <v>-95907.634621131889</v>
      </c>
      <c r="Y175" s="358">
        <f t="shared" ca="1" si="126"/>
        <v>-96387.172794237529</v>
      </c>
      <c r="Z175" s="358">
        <f t="shared" ca="1" si="126"/>
        <v>-96869.108658208701</v>
      </c>
      <c r="AA175" s="358">
        <f t="shared" ca="1" si="127"/>
        <v>-97353.454201499742</v>
      </c>
      <c r="AB175" s="358">
        <f t="shared" ca="1" si="127"/>
        <v>-97840.221472507197</v>
      </c>
      <c r="AC175" s="358">
        <f t="shared" ca="1" si="127"/>
        <v>-98329.422579869744</v>
      </c>
      <c r="AD175" s="358">
        <f t="shared" ca="1" si="127"/>
        <v>-98821.069692769059</v>
      </c>
      <c r="AE175" s="358">
        <f t="shared" ca="1" si="127"/>
        <v>-99315.175041232913</v>
      </c>
      <c r="AF175" s="358">
        <f t="shared" ca="1" si="127"/>
        <v>-99811.75091643905</v>
      </c>
      <c r="AG175" s="358">
        <f t="shared" ca="1" si="127"/>
        <v>-100310.80967102124</v>
      </c>
      <c r="AH175" s="358">
        <f t="shared" ca="1" si="127"/>
        <v>-100812.36371937633</v>
      </c>
      <c r="AI175" s="358">
        <f t="shared" ca="1" si="127"/>
        <v>-101316.42553797319</v>
      </c>
      <c r="AJ175" s="358">
        <f t="shared" ca="1" si="127"/>
        <v>-101823.00766566304</v>
      </c>
      <c r="AK175" s="358">
        <f t="shared" ca="1" si="128"/>
        <v>-102332.12270399135</v>
      </c>
      <c r="AL175" s="358">
        <f t="shared" ca="1" si="128"/>
        <v>-102843.78331751128</v>
      </c>
      <c r="AM175" s="358">
        <f t="shared" ca="1" si="128"/>
        <v>-103358.00223409881</v>
      </c>
      <c r="AN175" s="358">
        <f t="shared" ca="1" si="128"/>
        <v>-103874.7922452693</v>
      </c>
      <c r="AO175" s="358">
        <f t="shared" ca="1" si="128"/>
        <v>-104394.16620649563</v>
      </c>
      <c r="AP175" s="358">
        <f t="shared" ca="1" si="128"/>
        <v>-104916.1370375281</v>
      </c>
      <c r="AQ175" s="358">
        <f t="shared" ca="1" si="128"/>
        <v>-105440.71772271571</v>
      </c>
      <c r="AR175" s="358">
        <f t="shared" ca="1" si="128"/>
        <v>-105967.92131132926</v>
      </c>
      <c r="AS175" s="358">
        <f t="shared" ca="1" si="128"/>
        <v>-106497.7609178859</v>
      </c>
      <c r="AT175" s="358">
        <f t="shared" ca="1" si="128"/>
        <v>-107030.24972247532</v>
      </c>
      <c r="AV175" s="358">
        <f t="shared" ca="1" si="118"/>
        <v>-456219.00197477598</v>
      </c>
      <c r="AX175" s="358">
        <f t="shared" ca="1" si="119"/>
        <v>-467739.10347550124</v>
      </c>
      <c r="AZ175" s="358">
        <f t="shared" ca="1" si="120"/>
        <v>-479550.10197528295</v>
      </c>
      <c r="BB175" s="358">
        <f t="shared" ca="1" si="121"/>
        <v>-491659.34298787866</v>
      </c>
      <c r="BD175" s="358">
        <f t="shared" ca="1" si="122"/>
        <v>-504074.35751047282</v>
      </c>
      <c r="BF175" s="358">
        <f t="shared" ca="1" si="123"/>
        <v>-516802.86670736631</v>
      </c>
      <c r="BH175" s="358">
        <f t="shared" ca="1" si="124"/>
        <v>-529852.78671193426</v>
      </c>
    </row>
    <row r="176" spans="1:60" hidden="1" outlineLevel="1">
      <c r="A176" s="1464">
        <f t="shared" si="114"/>
        <v>18</v>
      </c>
      <c r="B176" s="1464">
        <f t="shared" si="115"/>
        <v>25</v>
      </c>
      <c r="C176" s="1464">
        <f t="shared" si="116"/>
        <v>17</v>
      </c>
      <c r="D176" s="1271" t="str">
        <f ca="1">IF(OFFSET(PortfolioDashboard!$A$3,C176-1,0)="","Blank",OFFSET(PortfolioDashboard!$A$3,C176-1,0))</f>
        <v>Rooftop Solar PV</v>
      </c>
      <c r="E176" s="1464" t="str">
        <f t="shared" si="117"/>
        <v>2010$</v>
      </c>
      <c r="F176" s="1460">
        <f t="shared" ca="1" si="85"/>
        <v>0</v>
      </c>
      <c r="G176" s="358">
        <f t="shared" ca="1" si="125"/>
        <v>0</v>
      </c>
      <c r="H176" s="358">
        <f t="shared" ca="1" si="125"/>
        <v>0</v>
      </c>
      <c r="I176" s="358">
        <f t="shared" ca="1" si="125"/>
        <v>0</v>
      </c>
      <c r="J176" s="358">
        <f t="shared" ca="1" si="125"/>
        <v>0</v>
      </c>
      <c r="K176" s="358">
        <f t="shared" ca="1" si="125"/>
        <v>0</v>
      </c>
      <c r="L176" s="358">
        <f t="shared" ca="1" si="125"/>
        <v>0</v>
      </c>
      <c r="M176" s="358">
        <f t="shared" ca="1" si="125"/>
        <v>0</v>
      </c>
      <c r="N176" s="358">
        <f t="shared" ca="1" si="125"/>
        <v>0</v>
      </c>
      <c r="O176" s="358">
        <f t="shared" ca="1" si="125"/>
        <v>0</v>
      </c>
      <c r="P176" s="358">
        <f t="shared" ca="1" si="125"/>
        <v>0</v>
      </c>
      <c r="Q176" s="358">
        <f t="shared" ca="1" si="126"/>
        <v>0</v>
      </c>
      <c r="R176" s="358">
        <f t="shared" ca="1" si="126"/>
        <v>0</v>
      </c>
      <c r="S176" s="358">
        <f t="shared" ca="1" si="126"/>
        <v>0</v>
      </c>
      <c r="T176" s="358">
        <f t="shared" ca="1" si="126"/>
        <v>0</v>
      </c>
      <c r="U176" s="358">
        <f t="shared" ca="1" si="126"/>
        <v>0</v>
      </c>
      <c r="V176" s="358">
        <f t="shared" ca="1" si="126"/>
        <v>0</v>
      </c>
      <c r="W176" s="358">
        <f t="shared" ca="1" si="126"/>
        <v>0</v>
      </c>
      <c r="X176" s="358">
        <f t="shared" ca="1" si="126"/>
        <v>0</v>
      </c>
      <c r="Y176" s="358">
        <f t="shared" ca="1" si="126"/>
        <v>0</v>
      </c>
      <c r="Z176" s="358">
        <f t="shared" ca="1" si="126"/>
        <v>0</v>
      </c>
      <c r="AA176" s="358">
        <f t="shared" ca="1" si="127"/>
        <v>0</v>
      </c>
      <c r="AB176" s="358">
        <f t="shared" ca="1" si="127"/>
        <v>0</v>
      </c>
      <c r="AC176" s="358">
        <f t="shared" ca="1" si="127"/>
        <v>0</v>
      </c>
      <c r="AD176" s="358">
        <f t="shared" ca="1" si="127"/>
        <v>0</v>
      </c>
      <c r="AE176" s="358">
        <f t="shared" ca="1" si="127"/>
        <v>0</v>
      </c>
      <c r="AF176" s="358">
        <f t="shared" ca="1" si="127"/>
        <v>0</v>
      </c>
      <c r="AG176" s="358">
        <f t="shared" ca="1" si="127"/>
        <v>0</v>
      </c>
      <c r="AH176" s="358">
        <f t="shared" ca="1" si="127"/>
        <v>0</v>
      </c>
      <c r="AI176" s="358">
        <f t="shared" ca="1" si="127"/>
        <v>0</v>
      </c>
      <c r="AJ176" s="358">
        <f t="shared" ca="1" si="127"/>
        <v>0</v>
      </c>
      <c r="AK176" s="358">
        <f t="shared" ca="1" si="128"/>
        <v>0</v>
      </c>
      <c r="AL176" s="358">
        <f t="shared" ca="1" si="128"/>
        <v>0</v>
      </c>
      <c r="AM176" s="358">
        <f t="shared" ca="1" si="128"/>
        <v>0</v>
      </c>
      <c r="AN176" s="358">
        <f t="shared" ca="1" si="128"/>
        <v>0</v>
      </c>
      <c r="AO176" s="358">
        <f t="shared" ca="1" si="128"/>
        <v>0</v>
      </c>
      <c r="AP176" s="358">
        <f t="shared" ca="1" si="128"/>
        <v>0</v>
      </c>
      <c r="AQ176" s="358">
        <f t="shared" ca="1" si="128"/>
        <v>0</v>
      </c>
      <c r="AR176" s="358">
        <f t="shared" ca="1" si="128"/>
        <v>0</v>
      </c>
      <c r="AS176" s="358">
        <f t="shared" ca="1" si="128"/>
        <v>0</v>
      </c>
      <c r="AT176" s="358">
        <f t="shared" ca="1" si="128"/>
        <v>0</v>
      </c>
      <c r="AV176" s="358">
        <f t="shared" ca="1" si="118"/>
        <v>0</v>
      </c>
      <c r="AX176" s="358">
        <f t="shared" ca="1" si="119"/>
        <v>0</v>
      </c>
      <c r="AZ176" s="358">
        <f t="shared" ca="1" si="120"/>
        <v>0</v>
      </c>
      <c r="BB176" s="358">
        <f t="shared" ca="1" si="121"/>
        <v>0</v>
      </c>
      <c r="BD176" s="358">
        <f t="shared" ca="1" si="122"/>
        <v>0</v>
      </c>
      <c r="BF176" s="358">
        <f t="shared" ca="1" si="123"/>
        <v>0</v>
      </c>
      <c r="BH176" s="358">
        <f t="shared" ca="1" si="124"/>
        <v>0</v>
      </c>
    </row>
    <row r="177" spans="1:60" hidden="1" outlineLevel="1">
      <c r="A177" s="1464">
        <f t="shared" si="114"/>
        <v>18</v>
      </c>
      <c r="B177" s="1464">
        <f t="shared" si="115"/>
        <v>25</v>
      </c>
      <c r="C177" s="1464">
        <f t="shared" si="116"/>
        <v>18</v>
      </c>
      <c r="D177" s="1271" t="str">
        <f ca="1">IF(OFFSET(PortfolioDashboard!$A$3,C177-1,0)="","Blank",OFFSET(PortfolioDashboard!$A$3,C177-1,0))</f>
        <v>Blank</v>
      </c>
      <c r="E177" s="1464" t="str">
        <f t="shared" si="117"/>
        <v>2010$</v>
      </c>
      <c r="F177" s="1460">
        <f t="shared" ca="1" si="85"/>
        <v>0</v>
      </c>
      <c r="G177" s="358">
        <f t="shared" ca="1" si="125"/>
        <v>0</v>
      </c>
      <c r="H177" s="358">
        <f t="shared" ca="1" si="125"/>
        <v>0</v>
      </c>
      <c r="I177" s="358">
        <f t="shared" ca="1" si="125"/>
        <v>0</v>
      </c>
      <c r="J177" s="358">
        <f t="shared" ca="1" si="125"/>
        <v>0</v>
      </c>
      <c r="K177" s="358">
        <f t="shared" ca="1" si="125"/>
        <v>0</v>
      </c>
      <c r="L177" s="358">
        <f t="shared" ca="1" si="125"/>
        <v>0</v>
      </c>
      <c r="M177" s="358">
        <f t="shared" ca="1" si="125"/>
        <v>0</v>
      </c>
      <c r="N177" s="358">
        <f t="shared" ca="1" si="125"/>
        <v>0</v>
      </c>
      <c r="O177" s="358">
        <f t="shared" ca="1" si="125"/>
        <v>0</v>
      </c>
      <c r="P177" s="358">
        <f t="shared" ca="1" si="125"/>
        <v>0</v>
      </c>
      <c r="Q177" s="358">
        <f t="shared" ca="1" si="126"/>
        <v>0</v>
      </c>
      <c r="R177" s="358">
        <f t="shared" ca="1" si="126"/>
        <v>0</v>
      </c>
      <c r="S177" s="358">
        <f t="shared" ca="1" si="126"/>
        <v>0</v>
      </c>
      <c r="T177" s="358">
        <f t="shared" ca="1" si="126"/>
        <v>0</v>
      </c>
      <c r="U177" s="358">
        <f t="shared" ca="1" si="126"/>
        <v>0</v>
      </c>
      <c r="V177" s="358">
        <f t="shared" ca="1" si="126"/>
        <v>0</v>
      </c>
      <c r="W177" s="358">
        <f t="shared" ca="1" si="126"/>
        <v>0</v>
      </c>
      <c r="X177" s="358">
        <f t="shared" ca="1" si="126"/>
        <v>0</v>
      </c>
      <c r="Y177" s="358">
        <f t="shared" ca="1" si="126"/>
        <v>0</v>
      </c>
      <c r="Z177" s="358">
        <f t="shared" ca="1" si="126"/>
        <v>0</v>
      </c>
      <c r="AA177" s="358">
        <f t="shared" ca="1" si="127"/>
        <v>0</v>
      </c>
      <c r="AB177" s="358">
        <f t="shared" ca="1" si="127"/>
        <v>0</v>
      </c>
      <c r="AC177" s="358">
        <f t="shared" ca="1" si="127"/>
        <v>0</v>
      </c>
      <c r="AD177" s="358">
        <f t="shared" ca="1" si="127"/>
        <v>0</v>
      </c>
      <c r="AE177" s="358">
        <f t="shared" ca="1" si="127"/>
        <v>0</v>
      </c>
      <c r="AF177" s="358">
        <f t="shared" ca="1" si="127"/>
        <v>0</v>
      </c>
      <c r="AG177" s="358">
        <f t="shared" ca="1" si="127"/>
        <v>0</v>
      </c>
      <c r="AH177" s="358">
        <f t="shared" ca="1" si="127"/>
        <v>0</v>
      </c>
      <c r="AI177" s="358">
        <f t="shared" ca="1" si="127"/>
        <v>0</v>
      </c>
      <c r="AJ177" s="358">
        <f t="shared" ca="1" si="127"/>
        <v>0</v>
      </c>
      <c r="AK177" s="358">
        <f t="shared" ca="1" si="128"/>
        <v>0</v>
      </c>
      <c r="AL177" s="358">
        <f t="shared" ca="1" si="128"/>
        <v>0</v>
      </c>
      <c r="AM177" s="358">
        <f t="shared" ca="1" si="128"/>
        <v>0</v>
      </c>
      <c r="AN177" s="358">
        <f t="shared" ca="1" si="128"/>
        <v>0</v>
      </c>
      <c r="AO177" s="358">
        <f t="shared" ca="1" si="128"/>
        <v>0</v>
      </c>
      <c r="AP177" s="358">
        <f t="shared" ca="1" si="128"/>
        <v>0</v>
      </c>
      <c r="AQ177" s="358">
        <f t="shared" ca="1" si="128"/>
        <v>0</v>
      </c>
      <c r="AR177" s="358">
        <f t="shared" ca="1" si="128"/>
        <v>0</v>
      </c>
      <c r="AS177" s="358">
        <f t="shared" ca="1" si="128"/>
        <v>0</v>
      </c>
      <c r="AT177" s="358">
        <f t="shared" ca="1" si="128"/>
        <v>0</v>
      </c>
      <c r="AV177" s="358">
        <f t="shared" ca="1" si="118"/>
        <v>0</v>
      </c>
      <c r="AX177" s="358">
        <f t="shared" ca="1" si="119"/>
        <v>0</v>
      </c>
      <c r="AZ177" s="358">
        <f t="shared" ca="1" si="120"/>
        <v>0</v>
      </c>
      <c r="BB177" s="358">
        <f t="shared" ca="1" si="121"/>
        <v>0</v>
      </c>
      <c r="BD177" s="358">
        <f t="shared" ca="1" si="122"/>
        <v>0</v>
      </c>
      <c r="BF177" s="358">
        <f t="shared" ca="1" si="123"/>
        <v>0</v>
      </c>
      <c r="BH177" s="358">
        <f t="shared" ca="1" si="124"/>
        <v>0</v>
      </c>
    </row>
    <row r="178" spans="1:60" hidden="1" outlineLevel="1">
      <c r="A178" s="1464">
        <f t="shared" si="114"/>
        <v>18</v>
      </c>
      <c r="B178" s="1464">
        <f t="shared" si="115"/>
        <v>25</v>
      </c>
      <c r="C178" s="1464">
        <f t="shared" si="116"/>
        <v>19</v>
      </c>
      <c r="D178" s="1271" t="str">
        <f ca="1">IF(OFFSET(PortfolioDashboard!$A$3,C178-1,0)="","Blank",OFFSET(PortfolioDashboard!$A$3,C178-1,0))</f>
        <v>Blank</v>
      </c>
      <c r="E178" s="1464" t="str">
        <f t="shared" si="117"/>
        <v>2010$</v>
      </c>
      <c r="F178" s="1460">
        <f t="shared" ca="1" si="85"/>
        <v>0</v>
      </c>
      <c r="G178" s="358">
        <f t="shared" ca="1" si="125"/>
        <v>0</v>
      </c>
      <c r="H178" s="358">
        <f t="shared" ca="1" si="125"/>
        <v>0</v>
      </c>
      <c r="I178" s="358">
        <f t="shared" ca="1" si="125"/>
        <v>0</v>
      </c>
      <c r="J178" s="358">
        <f t="shared" ca="1" si="125"/>
        <v>0</v>
      </c>
      <c r="K178" s="358">
        <f t="shared" ca="1" si="125"/>
        <v>0</v>
      </c>
      <c r="L178" s="358">
        <f t="shared" ca="1" si="125"/>
        <v>0</v>
      </c>
      <c r="M178" s="358">
        <f t="shared" ca="1" si="125"/>
        <v>0</v>
      </c>
      <c r="N178" s="358">
        <f t="shared" ca="1" si="125"/>
        <v>0</v>
      </c>
      <c r="O178" s="358">
        <f t="shared" ca="1" si="125"/>
        <v>0</v>
      </c>
      <c r="P178" s="358">
        <f t="shared" ca="1" si="125"/>
        <v>0</v>
      </c>
      <c r="Q178" s="358">
        <f t="shared" ca="1" si="126"/>
        <v>0</v>
      </c>
      <c r="R178" s="358">
        <f t="shared" ca="1" si="126"/>
        <v>0</v>
      </c>
      <c r="S178" s="358">
        <f t="shared" ca="1" si="126"/>
        <v>0</v>
      </c>
      <c r="T178" s="358">
        <f t="shared" ca="1" si="126"/>
        <v>0</v>
      </c>
      <c r="U178" s="358">
        <f t="shared" ca="1" si="126"/>
        <v>0</v>
      </c>
      <c r="V178" s="358">
        <f t="shared" ca="1" si="126"/>
        <v>0</v>
      </c>
      <c r="W178" s="358">
        <f t="shared" ca="1" si="126"/>
        <v>0</v>
      </c>
      <c r="X178" s="358">
        <f t="shared" ca="1" si="126"/>
        <v>0</v>
      </c>
      <c r="Y178" s="358">
        <f t="shared" ca="1" si="126"/>
        <v>0</v>
      </c>
      <c r="Z178" s="358">
        <f t="shared" ca="1" si="126"/>
        <v>0</v>
      </c>
      <c r="AA178" s="358">
        <f t="shared" ca="1" si="127"/>
        <v>0</v>
      </c>
      <c r="AB178" s="358">
        <f t="shared" ca="1" si="127"/>
        <v>0</v>
      </c>
      <c r="AC178" s="358">
        <f t="shared" ca="1" si="127"/>
        <v>0</v>
      </c>
      <c r="AD178" s="358">
        <f t="shared" ca="1" si="127"/>
        <v>0</v>
      </c>
      <c r="AE178" s="358">
        <f t="shared" ca="1" si="127"/>
        <v>0</v>
      </c>
      <c r="AF178" s="358">
        <f t="shared" ca="1" si="127"/>
        <v>0</v>
      </c>
      <c r="AG178" s="358">
        <f t="shared" ca="1" si="127"/>
        <v>0</v>
      </c>
      <c r="AH178" s="358">
        <f t="shared" ca="1" si="127"/>
        <v>0</v>
      </c>
      <c r="AI178" s="358">
        <f t="shared" ca="1" si="127"/>
        <v>0</v>
      </c>
      <c r="AJ178" s="358">
        <f t="shared" ca="1" si="127"/>
        <v>0</v>
      </c>
      <c r="AK178" s="358">
        <f t="shared" ca="1" si="128"/>
        <v>0</v>
      </c>
      <c r="AL178" s="358">
        <f t="shared" ca="1" si="128"/>
        <v>0</v>
      </c>
      <c r="AM178" s="358">
        <f t="shared" ca="1" si="128"/>
        <v>0</v>
      </c>
      <c r="AN178" s="358">
        <f t="shared" ca="1" si="128"/>
        <v>0</v>
      </c>
      <c r="AO178" s="358">
        <f t="shared" ca="1" si="128"/>
        <v>0</v>
      </c>
      <c r="AP178" s="358">
        <f t="shared" ca="1" si="128"/>
        <v>0</v>
      </c>
      <c r="AQ178" s="358">
        <f t="shared" ca="1" si="128"/>
        <v>0</v>
      </c>
      <c r="AR178" s="358">
        <f t="shared" ca="1" si="128"/>
        <v>0</v>
      </c>
      <c r="AS178" s="358">
        <f t="shared" ca="1" si="128"/>
        <v>0</v>
      </c>
      <c r="AT178" s="358">
        <f t="shared" ca="1" si="128"/>
        <v>0</v>
      </c>
      <c r="AV178" s="358">
        <f t="shared" ca="1" si="118"/>
        <v>0</v>
      </c>
      <c r="AX178" s="358">
        <f t="shared" ca="1" si="119"/>
        <v>0</v>
      </c>
      <c r="AZ178" s="358">
        <f t="shared" ca="1" si="120"/>
        <v>0</v>
      </c>
      <c r="BB178" s="358">
        <f t="shared" ca="1" si="121"/>
        <v>0</v>
      </c>
      <c r="BD178" s="358">
        <f t="shared" ca="1" si="122"/>
        <v>0</v>
      </c>
      <c r="BF178" s="358">
        <f t="shared" ca="1" si="123"/>
        <v>0</v>
      </c>
      <c r="BH178" s="358">
        <f t="shared" ca="1" si="124"/>
        <v>0</v>
      </c>
    </row>
    <row r="179" spans="1:60" hidden="1" outlineLevel="1">
      <c r="A179" s="1464">
        <f t="shared" si="114"/>
        <v>18</v>
      </c>
      <c r="B179" s="1464">
        <f t="shared" si="115"/>
        <v>25</v>
      </c>
      <c r="C179" s="1464">
        <f t="shared" si="116"/>
        <v>20</v>
      </c>
      <c r="D179" s="1271" t="str">
        <f ca="1">IF(OFFSET(PortfolioDashboard!$A$3,C179-1,0)="","Blank",OFFSET(PortfolioDashboard!$A$3,C179-1,0))</f>
        <v>Blank</v>
      </c>
      <c r="E179" s="1464" t="str">
        <f t="shared" si="117"/>
        <v>2010$</v>
      </c>
      <c r="F179" s="1460">
        <f t="shared" ca="1" si="85"/>
        <v>0</v>
      </c>
      <c r="G179" s="358">
        <f t="shared" ca="1" si="125"/>
        <v>0</v>
      </c>
      <c r="H179" s="358">
        <f t="shared" ca="1" si="125"/>
        <v>0</v>
      </c>
      <c r="I179" s="358">
        <f t="shared" ca="1" si="125"/>
        <v>0</v>
      </c>
      <c r="J179" s="358">
        <f t="shared" ca="1" si="125"/>
        <v>0</v>
      </c>
      <c r="K179" s="358">
        <f t="shared" ca="1" si="125"/>
        <v>0</v>
      </c>
      <c r="L179" s="358">
        <f t="shared" ca="1" si="125"/>
        <v>0</v>
      </c>
      <c r="M179" s="358">
        <f t="shared" ca="1" si="125"/>
        <v>0</v>
      </c>
      <c r="N179" s="358">
        <f t="shared" ca="1" si="125"/>
        <v>0</v>
      </c>
      <c r="O179" s="358">
        <f t="shared" ca="1" si="125"/>
        <v>0</v>
      </c>
      <c r="P179" s="358">
        <f t="shared" ca="1" si="125"/>
        <v>0</v>
      </c>
      <c r="Q179" s="358">
        <f t="shared" ca="1" si="126"/>
        <v>0</v>
      </c>
      <c r="R179" s="358">
        <f t="shared" ca="1" si="126"/>
        <v>0</v>
      </c>
      <c r="S179" s="358">
        <f t="shared" ca="1" si="126"/>
        <v>0</v>
      </c>
      <c r="T179" s="358">
        <f t="shared" ca="1" si="126"/>
        <v>0</v>
      </c>
      <c r="U179" s="358">
        <f t="shared" ca="1" si="126"/>
        <v>0</v>
      </c>
      <c r="V179" s="358">
        <f t="shared" ca="1" si="126"/>
        <v>0</v>
      </c>
      <c r="W179" s="358">
        <f t="shared" ca="1" si="126"/>
        <v>0</v>
      </c>
      <c r="X179" s="358">
        <f t="shared" ca="1" si="126"/>
        <v>0</v>
      </c>
      <c r="Y179" s="358">
        <f t="shared" ca="1" si="126"/>
        <v>0</v>
      </c>
      <c r="Z179" s="358">
        <f t="shared" ca="1" si="126"/>
        <v>0</v>
      </c>
      <c r="AA179" s="358">
        <f t="shared" ca="1" si="127"/>
        <v>0</v>
      </c>
      <c r="AB179" s="358">
        <f t="shared" ca="1" si="127"/>
        <v>0</v>
      </c>
      <c r="AC179" s="358">
        <f t="shared" ca="1" si="127"/>
        <v>0</v>
      </c>
      <c r="AD179" s="358">
        <f t="shared" ca="1" si="127"/>
        <v>0</v>
      </c>
      <c r="AE179" s="358">
        <f t="shared" ca="1" si="127"/>
        <v>0</v>
      </c>
      <c r="AF179" s="358">
        <f t="shared" ca="1" si="127"/>
        <v>0</v>
      </c>
      <c r="AG179" s="358">
        <f t="shared" ca="1" si="127"/>
        <v>0</v>
      </c>
      <c r="AH179" s="358">
        <f t="shared" ca="1" si="127"/>
        <v>0</v>
      </c>
      <c r="AI179" s="358">
        <f t="shared" ca="1" si="127"/>
        <v>0</v>
      </c>
      <c r="AJ179" s="358">
        <f t="shared" ca="1" si="127"/>
        <v>0</v>
      </c>
      <c r="AK179" s="358">
        <f t="shared" ca="1" si="128"/>
        <v>0</v>
      </c>
      <c r="AL179" s="358">
        <f t="shared" ca="1" si="128"/>
        <v>0</v>
      </c>
      <c r="AM179" s="358">
        <f t="shared" ca="1" si="128"/>
        <v>0</v>
      </c>
      <c r="AN179" s="358">
        <f t="shared" ca="1" si="128"/>
        <v>0</v>
      </c>
      <c r="AO179" s="358">
        <f t="shared" ca="1" si="128"/>
        <v>0</v>
      </c>
      <c r="AP179" s="358">
        <f t="shared" ca="1" si="128"/>
        <v>0</v>
      </c>
      <c r="AQ179" s="358">
        <f t="shared" ca="1" si="128"/>
        <v>0</v>
      </c>
      <c r="AR179" s="358">
        <f t="shared" ca="1" si="128"/>
        <v>0</v>
      </c>
      <c r="AS179" s="358">
        <f t="shared" ca="1" si="128"/>
        <v>0</v>
      </c>
      <c r="AT179" s="358">
        <f t="shared" ca="1" si="128"/>
        <v>0</v>
      </c>
      <c r="AV179" s="358">
        <f t="shared" ca="1" si="118"/>
        <v>0</v>
      </c>
      <c r="AX179" s="358">
        <f t="shared" ca="1" si="119"/>
        <v>0</v>
      </c>
      <c r="AZ179" s="358">
        <f t="shared" ca="1" si="120"/>
        <v>0</v>
      </c>
      <c r="BB179" s="358">
        <f t="shared" ca="1" si="121"/>
        <v>0</v>
      </c>
      <c r="BD179" s="358">
        <f t="shared" ca="1" si="122"/>
        <v>0</v>
      </c>
      <c r="BF179" s="358">
        <f t="shared" ca="1" si="123"/>
        <v>0</v>
      </c>
      <c r="BH179" s="358">
        <f t="shared" ca="1" si="124"/>
        <v>0</v>
      </c>
    </row>
    <row r="180" spans="1:60" hidden="1" outlineLevel="1">
      <c r="A180" s="1464">
        <f t="shared" si="114"/>
        <v>18</v>
      </c>
      <c r="B180" s="1464">
        <f t="shared" si="115"/>
        <v>25</v>
      </c>
      <c r="C180" s="1464">
        <f t="shared" si="116"/>
        <v>21</v>
      </c>
      <c r="D180" s="1271" t="str">
        <f ca="1">IF(OFFSET(PortfolioDashboard!$A$3,C180-1,0)="","Blank",OFFSET(PortfolioDashboard!$A$3,C180-1,0))</f>
        <v>Blank</v>
      </c>
      <c r="E180" s="1464" t="str">
        <f t="shared" si="117"/>
        <v>2010$</v>
      </c>
      <c r="F180" s="1460">
        <f t="shared" ca="1" si="85"/>
        <v>0</v>
      </c>
      <c r="G180" s="358">
        <f t="shared" ref="G180:P189" ca="1" si="129">IFERROR(OFFSET(INDIRECT(INDEX(List_of_Alternatives,MATCH($D180,NameofAlternatives,0))),$A180+G$1-$G$1,$B180),0)</f>
        <v>0</v>
      </c>
      <c r="H180" s="358">
        <f t="shared" ca="1" si="129"/>
        <v>0</v>
      </c>
      <c r="I180" s="358">
        <f t="shared" ca="1" si="129"/>
        <v>0</v>
      </c>
      <c r="J180" s="358">
        <f t="shared" ca="1" si="129"/>
        <v>0</v>
      </c>
      <c r="K180" s="358">
        <f t="shared" ca="1" si="129"/>
        <v>0</v>
      </c>
      <c r="L180" s="358">
        <f t="shared" ca="1" si="129"/>
        <v>0</v>
      </c>
      <c r="M180" s="358">
        <f t="shared" ca="1" si="129"/>
        <v>0</v>
      </c>
      <c r="N180" s="358">
        <f t="shared" ca="1" si="129"/>
        <v>0</v>
      </c>
      <c r="O180" s="358">
        <f t="shared" ca="1" si="129"/>
        <v>0</v>
      </c>
      <c r="P180" s="358">
        <f t="shared" ca="1" si="129"/>
        <v>0</v>
      </c>
      <c r="Q180" s="358">
        <f t="shared" ref="Q180:Z189" ca="1" si="130">IFERROR(OFFSET(INDIRECT(INDEX(List_of_Alternatives,MATCH($D180,NameofAlternatives,0))),$A180+Q$1-$G$1,$B180),0)</f>
        <v>0</v>
      </c>
      <c r="R180" s="358">
        <f t="shared" ca="1" si="130"/>
        <v>0</v>
      </c>
      <c r="S180" s="358">
        <f t="shared" ca="1" si="130"/>
        <v>0</v>
      </c>
      <c r="T180" s="358">
        <f t="shared" ca="1" si="130"/>
        <v>0</v>
      </c>
      <c r="U180" s="358">
        <f t="shared" ca="1" si="130"/>
        <v>0</v>
      </c>
      <c r="V180" s="358">
        <f t="shared" ca="1" si="130"/>
        <v>0</v>
      </c>
      <c r="W180" s="358">
        <f t="shared" ca="1" si="130"/>
        <v>0</v>
      </c>
      <c r="X180" s="358">
        <f t="shared" ca="1" si="130"/>
        <v>0</v>
      </c>
      <c r="Y180" s="358">
        <f t="shared" ca="1" si="130"/>
        <v>0</v>
      </c>
      <c r="Z180" s="358">
        <f t="shared" ca="1" si="130"/>
        <v>0</v>
      </c>
      <c r="AA180" s="358">
        <f t="shared" ref="AA180:AJ189" ca="1" si="131">IFERROR(OFFSET(INDIRECT(INDEX(List_of_Alternatives,MATCH($D180,NameofAlternatives,0))),$A180+AA$1-$G$1,$B180),0)</f>
        <v>0</v>
      </c>
      <c r="AB180" s="358">
        <f t="shared" ca="1" si="131"/>
        <v>0</v>
      </c>
      <c r="AC180" s="358">
        <f t="shared" ca="1" si="131"/>
        <v>0</v>
      </c>
      <c r="AD180" s="358">
        <f t="shared" ca="1" si="131"/>
        <v>0</v>
      </c>
      <c r="AE180" s="358">
        <f t="shared" ca="1" si="131"/>
        <v>0</v>
      </c>
      <c r="AF180" s="358">
        <f t="shared" ca="1" si="131"/>
        <v>0</v>
      </c>
      <c r="AG180" s="358">
        <f t="shared" ca="1" si="131"/>
        <v>0</v>
      </c>
      <c r="AH180" s="358">
        <f t="shared" ca="1" si="131"/>
        <v>0</v>
      </c>
      <c r="AI180" s="358">
        <f t="shared" ca="1" si="131"/>
        <v>0</v>
      </c>
      <c r="AJ180" s="358">
        <f t="shared" ca="1" si="131"/>
        <v>0</v>
      </c>
      <c r="AK180" s="358">
        <f t="shared" ref="AK180:AT189" ca="1" si="132">IFERROR(OFFSET(INDIRECT(INDEX(List_of_Alternatives,MATCH($D180,NameofAlternatives,0))),$A180+AK$1-$G$1,$B180),0)</f>
        <v>0</v>
      </c>
      <c r="AL180" s="358">
        <f t="shared" ca="1" si="132"/>
        <v>0</v>
      </c>
      <c r="AM180" s="358">
        <f t="shared" ca="1" si="132"/>
        <v>0</v>
      </c>
      <c r="AN180" s="358">
        <f t="shared" ca="1" si="132"/>
        <v>0</v>
      </c>
      <c r="AO180" s="358">
        <f t="shared" ca="1" si="132"/>
        <v>0</v>
      </c>
      <c r="AP180" s="358">
        <f t="shared" ca="1" si="132"/>
        <v>0</v>
      </c>
      <c r="AQ180" s="358">
        <f t="shared" ca="1" si="132"/>
        <v>0</v>
      </c>
      <c r="AR180" s="358">
        <f t="shared" ca="1" si="132"/>
        <v>0</v>
      </c>
      <c r="AS180" s="358">
        <f t="shared" ca="1" si="132"/>
        <v>0</v>
      </c>
      <c r="AT180" s="358">
        <f t="shared" ca="1" si="132"/>
        <v>0</v>
      </c>
      <c r="AV180" s="358">
        <f t="shared" ca="1" si="118"/>
        <v>0</v>
      </c>
      <c r="AX180" s="358">
        <f t="shared" ca="1" si="119"/>
        <v>0</v>
      </c>
      <c r="AZ180" s="358">
        <f t="shared" ca="1" si="120"/>
        <v>0</v>
      </c>
      <c r="BB180" s="358">
        <f t="shared" ca="1" si="121"/>
        <v>0</v>
      </c>
      <c r="BD180" s="358">
        <f t="shared" ca="1" si="122"/>
        <v>0</v>
      </c>
      <c r="BF180" s="358">
        <f t="shared" ca="1" si="123"/>
        <v>0</v>
      </c>
      <c r="BH180" s="358">
        <f t="shared" ca="1" si="124"/>
        <v>0</v>
      </c>
    </row>
    <row r="181" spans="1:60" hidden="1" outlineLevel="1">
      <c r="A181" s="1464">
        <f t="shared" si="114"/>
        <v>18</v>
      </c>
      <c r="B181" s="1464">
        <f t="shared" si="115"/>
        <v>25</v>
      </c>
      <c r="C181" s="1464">
        <f t="shared" si="116"/>
        <v>22</v>
      </c>
      <c r="D181" s="1271" t="str">
        <f ca="1">IF(OFFSET(PortfolioDashboard!$A$3,C181-1,0)="","Blank",OFFSET(PortfolioDashboard!$A$3,C181-1,0))</f>
        <v>Blank</v>
      </c>
      <c r="E181" s="1464" t="str">
        <f t="shared" si="117"/>
        <v>2010$</v>
      </c>
      <c r="F181" s="1460">
        <f t="shared" ca="1" si="85"/>
        <v>0</v>
      </c>
      <c r="G181" s="358">
        <f t="shared" ca="1" si="129"/>
        <v>0</v>
      </c>
      <c r="H181" s="358">
        <f t="shared" ca="1" si="129"/>
        <v>0</v>
      </c>
      <c r="I181" s="358">
        <f t="shared" ca="1" si="129"/>
        <v>0</v>
      </c>
      <c r="J181" s="358">
        <f t="shared" ca="1" si="129"/>
        <v>0</v>
      </c>
      <c r="K181" s="358">
        <f t="shared" ca="1" si="129"/>
        <v>0</v>
      </c>
      <c r="L181" s="358">
        <f t="shared" ca="1" si="129"/>
        <v>0</v>
      </c>
      <c r="M181" s="358">
        <f t="shared" ca="1" si="129"/>
        <v>0</v>
      </c>
      <c r="N181" s="358">
        <f t="shared" ca="1" si="129"/>
        <v>0</v>
      </c>
      <c r="O181" s="358">
        <f t="shared" ca="1" si="129"/>
        <v>0</v>
      </c>
      <c r="P181" s="358">
        <f t="shared" ca="1" si="129"/>
        <v>0</v>
      </c>
      <c r="Q181" s="358">
        <f t="shared" ca="1" si="130"/>
        <v>0</v>
      </c>
      <c r="R181" s="358">
        <f t="shared" ca="1" si="130"/>
        <v>0</v>
      </c>
      <c r="S181" s="358">
        <f t="shared" ca="1" si="130"/>
        <v>0</v>
      </c>
      <c r="T181" s="358">
        <f t="shared" ca="1" si="130"/>
        <v>0</v>
      </c>
      <c r="U181" s="358">
        <f t="shared" ca="1" si="130"/>
        <v>0</v>
      </c>
      <c r="V181" s="358">
        <f t="shared" ca="1" si="130"/>
        <v>0</v>
      </c>
      <c r="W181" s="358">
        <f t="shared" ca="1" si="130"/>
        <v>0</v>
      </c>
      <c r="X181" s="358">
        <f t="shared" ca="1" si="130"/>
        <v>0</v>
      </c>
      <c r="Y181" s="358">
        <f t="shared" ca="1" si="130"/>
        <v>0</v>
      </c>
      <c r="Z181" s="358">
        <f t="shared" ca="1" si="130"/>
        <v>0</v>
      </c>
      <c r="AA181" s="358">
        <f t="shared" ca="1" si="131"/>
        <v>0</v>
      </c>
      <c r="AB181" s="358">
        <f t="shared" ca="1" si="131"/>
        <v>0</v>
      </c>
      <c r="AC181" s="358">
        <f t="shared" ca="1" si="131"/>
        <v>0</v>
      </c>
      <c r="AD181" s="358">
        <f t="shared" ca="1" si="131"/>
        <v>0</v>
      </c>
      <c r="AE181" s="358">
        <f t="shared" ca="1" si="131"/>
        <v>0</v>
      </c>
      <c r="AF181" s="358">
        <f t="shared" ca="1" si="131"/>
        <v>0</v>
      </c>
      <c r="AG181" s="358">
        <f t="shared" ca="1" si="131"/>
        <v>0</v>
      </c>
      <c r="AH181" s="358">
        <f t="shared" ca="1" si="131"/>
        <v>0</v>
      </c>
      <c r="AI181" s="358">
        <f t="shared" ca="1" si="131"/>
        <v>0</v>
      </c>
      <c r="AJ181" s="358">
        <f t="shared" ca="1" si="131"/>
        <v>0</v>
      </c>
      <c r="AK181" s="358">
        <f t="shared" ca="1" si="132"/>
        <v>0</v>
      </c>
      <c r="AL181" s="358">
        <f t="shared" ca="1" si="132"/>
        <v>0</v>
      </c>
      <c r="AM181" s="358">
        <f t="shared" ca="1" si="132"/>
        <v>0</v>
      </c>
      <c r="AN181" s="358">
        <f t="shared" ca="1" si="132"/>
        <v>0</v>
      </c>
      <c r="AO181" s="358">
        <f t="shared" ca="1" si="132"/>
        <v>0</v>
      </c>
      <c r="AP181" s="358">
        <f t="shared" ca="1" si="132"/>
        <v>0</v>
      </c>
      <c r="AQ181" s="358">
        <f t="shared" ca="1" si="132"/>
        <v>0</v>
      </c>
      <c r="AR181" s="358">
        <f t="shared" ca="1" si="132"/>
        <v>0</v>
      </c>
      <c r="AS181" s="358">
        <f t="shared" ca="1" si="132"/>
        <v>0</v>
      </c>
      <c r="AT181" s="358">
        <f t="shared" ca="1" si="132"/>
        <v>0</v>
      </c>
      <c r="AV181" s="358">
        <f t="shared" ca="1" si="118"/>
        <v>0</v>
      </c>
      <c r="AX181" s="358">
        <f t="shared" ca="1" si="119"/>
        <v>0</v>
      </c>
      <c r="AZ181" s="358">
        <f t="shared" ca="1" si="120"/>
        <v>0</v>
      </c>
      <c r="BB181" s="358">
        <f t="shared" ca="1" si="121"/>
        <v>0</v>
      </c>
      <c r="BD181" s="358">
        <f t="shared" ca="1" si="122"/>
        <v>0</v>
      </c>
      <c r="BF181" s="358">
        <f t="shared" ca="1" si="123"/>
        <v>0</v>
      </c>
      <c r="BH181" s="358">
        <f t="shared" ca="1" si="124"/>
        <v>0</v>
      </c>
    </row>
    <row r="182" spans="1:60" hidden="1" outlineLevel="1">
      <c r="A182" s="1464">
        <f t="shared" si="114"/>
        <v>18</v>
      </c>
      <c r="B182" s="1464">
        <f t="shared" si="115"/>
        <v>25</v>
      </c>
      <c r="C182" s="1464">
        <f t="shared" si="116"/>
        <v>23</v>
      </c>
      <c r="D182" s="1271" t="str">
        <f ca="1">IF(OFFSET(PortfolioDashboard!$A$3,C182-1,0)="","Blank",OFFSET(PortfolioDashboard!$A$3,C182-1,0))</f>
        <v>Blank</v>
      </c>
      <c r="E182" s="1464" t="str">
        <f t="shared" si="117"/>
        <v>2010$</v>
      </c>
      <c r="F182" s="1460">
        <f t="shared" ca="1" si="85"/>
        <v>0</v>
      </c>
      <c r="G182" s="358">
        <f t="shared" ca="1" si="129"/>
        <v>0</v>
      </c>
      <c r="H182" s="358">
        <f t="shared" ca="1" si="129"/>
        <v>0</v>
      </c>
      <c r="I182" s="358">
        <f t="shared" ca="1" si="129"/>
        <v>0</v>
      </c>
      <c r="J182" s="358">
        <f t="shared" ca="1" si="129"/>
        <v>0</v>
      </c>
      <c r="K182" s="358">
        <f t="shared" ca="1" si="129"/>
        <v>0</v>
      </c>
      <c r="L182" s="358">
        <f t="shared" ca="1" si="129"/>
        <v>0</v>
      </c>
      <c r="M182" s="358">
        <f t="shared" ca="1" si="129"/>
        <v>0</v>
      </c>
      <c r="N182" s="358">
        <f t="shared" ca="1" si="129"/>
        <v>0</v>
      </c>
      <c r="O182" s="358">
        <f t="shared" ca="1" si="129"/>
        <v>0</v>
      </c>
      <c r="P182" s="358">
        <f t="shared" ca="1" si="129"/>
        <v>0</v>
      </c>
      <c r="Q182" s="358">
        <f t="shared" ca="1" si="130"/>
        <v>0</v>
      </c>
      <c r="R182" s="358">
        <f t="shared" ca="1" si="130"/>
        <v>0</v>
      </c>
      <c r="S182" s="358">
        <f t="shared" ca="1" si="130"/>
        <v>0</v>
      </c>
      <c r="T182" s="358">
        <f t="shared" ca="1" si="130"/>
        <v>0</v>
      </c>
      <c r="U182" s="358">
        <f t="shared" ca="1" si="130"/>
        <v>0</v>
      </c>
      <c r="V182" s="358">
        <f t="shared" ca="1" si="130"/>
        <v>0</v>
      </c>
      <c r="W182" s="358">
        <f t="shared" ca="1" si="130"/>
        <v>0</v>
      </c>
      <c r="X182" s="358">
        <f t="shared" ca="1" si="130"/>
        <v>0</v>
      </c>
      <c r="Y182" s="358">
        <f t="shared" ca="1" si="130"/>
        <v>0</v>
      </c>
      <c r="Z182" s="358">
        <f t="shared" ca="1" si="130"/>
        <v>0</v>
      </c>
      <c r="AA182" s="358">
        <f t="shared" ca="1" si="131"/>
        <v>0</v>
      </c>
      <c r="AB182" s="358">
        <f t="shared" ca="1" si="131"/>
        <v>0</v>
      </c>
      <c r="AC182" s="358">
        <f t="shared" ca="1" si="131"/>
        <v>0</v>
      </c>
      <c r="AD182" s="358">
        <f t="shared" ca="1" si="131"/>
        <v>0</v>
      </c>
      <c r="AE182" s="358">
        <f t="shared" ca="1" si="131"/>
        <v>0</v>
      </c>
      <c r="AF182" s="358">
        <f t="shared" ca="1" si="131"/>
        <v>0</v>
      </c>
      <c r="AG182" s="358">
        <f t="shared" ca="1" si="131"/>
        <v>0</v>
      </c>
      <c r="AH182" s="358">
        <f t="shared" ca="1" si="131"/>
        <v>0</v>
      </c>
      <c r="AI182" s="358">
        <f t="shared" ca="1" si="131"/>
        <v>0</v>
      </c>
      <c r="AJ182" s="358">
        <f t="shared" ca="1" si="131"/>
        <v>0</v>
      </c>
      <c r="AK182" s="358">
        <f t="shared" ca="1" si="132"/>
        <v>0</v>
      </c>
      <c r="AL182" s="358">
        <f t="shared" ca="1" si="132"/>
        <v>0</v>
      </c>
      <c r="AM182" s="358">
        <f t="shared" ca="1" si="132"/>
        <v>0</v>
      </c>
      <c r="AN182" s="358">
        <f t="shared" ca="1" si="132"/>
        <v>0</v>
      </c>
      <c r="AO182" s="358">
        <f t="shared" ca="1" si="132"/>
        <v>0</v>
      </c>
      <c r="AP182" s="358">
        <f t="shared" ca="1" si="132"/>
        <v>0</v>
      </c>
      <c r="AQ182" s="358">
        <f t="shared" ca="1" si="132"/>
        <v>0</v>
      </c>
      <c r="AR182" s="358">
        <f t="shared" ca="1" si="132"/>
        <v>0</v>
      </c>
      <c r="AS182" s="358">
        <f t="shared" ca="1" si="132"/>
        <v>0</v>
      </c>
      <c r="AT182" s="358">
        <f t="shared" ca="1" si="132"/>
        <v>0</v>
      </c>
      <c r="AV182" s="358">
        <f t="shared" ca="1" si="118"/>
        <v>0</v>
      </c>
      <c r="AX182" s="358">
        <f t="shared" ca="1" si="119"/>
        <v>0</v>
      </c>
      <c r="AZ182" s="358">
        <f t="shared" ca="1" si="120"/>
        <v>0</v>
      </c>
      <c r="BB182" s="358">
        <f t="shared" ca="1" si="121"/>
        <v>0</v>
      </c>
      <c r="BD182" s="358">
        <f t="shared" ca="1" si="122"/>
        <v>0</v>
      </c>
      <c r="BF182" s="358">
        <f t="shared" ca="1" si="123"/>
        <v>0</v>
      </c>
      <c r="BH182" s="358">
        <f t="shared" ca="1" si="124"/>
        <v>0</v>
      </c>
    </row>
    <row r="183" spans="1:60" hidden="1" outlineLevel="1">
      <c r="A183" s="1464">
        <f t="shared" si="114"/>
        <v>18</v>
      </c>
      <c r="B183" s="1464">
        <f t="shared" si="115"/>
        <v>25</v>
      </c>
      <c r="C183" s="1464">
        <f t="shared" si="116"/>
        <v>24</v>
      </c>
      <c r="D183" s="1271" t="str">
        <f ca="1">IF(OFFSET(PortfolioDashboard!$A$3,C183-1,0)="","Blank",OFFSET(PortfolioDashboard!$A$3,C183-1,0))</f>
        <v>Blank</v>
      </c>
      <c r="E183" s="1464" t="str">
        <f t="shared" si="117"/>
        <v>2010$</v>
      </c>
      <c r="F183" s="1460">
        <f t="shared" ca="1" si="85"/>
        <v>0</v>
      </c>
      <c r="G183" s="358">
        <f t="shared" ca="1" si="129"/>
        <v>0</v>
      </c>
      <c r="H183" s="358">
        <f t="shared" ca="1" si="129"/>
        <v>0</v>
      </c>
      <c r="I183" s="358">
        <f t="shared" ca="1" si="129"/>
        <v>0</v>
      </c>
      <c r="J183" s="358">
        <f t="shared" ca="1" si="129"/>
        <v>0</v>
      </c>
      <c r="K183" s="358">
        <f t="shared" ca="1" si="129"/>
        <v>0</v>
      </c>
      <c r="L183" s="358">
        <f t="shared" ca="1" si="129"/>
        <v>0</v>
      </c>
      <c r="M183" s="358">
        <f t="shared" ca="1" si="129"/>
        <v>0</v>
      </c>
      <c r="N183" s="358">
        <f t="shared" ca="1" si="129"/>
        <v>0</v>
      </c>
      <c r="O183" s="358">
        <f t="shared" ca="1" si="129"/>
        <v>0</v>
      </c>
      <c r="P183" s="358">
        <f t="shared" ca="1" si="129"/>
        <v>0</v>
      </c>
      <c r="Q183" s="358">
        <f t="shared" ca="1" si="130"/>
        <v>0</v>
      </c>
      <c r="R183" s="358">
        <f t="shared" ca="1" si="130"/>
        <v>0</v>
      </c>
      <c r="S183" s="358">
        <f t="shared" ca="1" si="130"/>
        <v>0</v>
      </c>
      <c r="T183" s="358">
        <f t="shared" ca="1" si="130"/>
        <v>0</v>
      </c>
      <c r="U183" s="358">
        <f t="shared" ca="1" si="130"/>
        <v>0</v>
      </c>
      <c r="V183" s="358">
        <f t="shared" ca="1" si="130"/>
        <v>0</v>
      </c>
      <c r="W183" s="358">
        <f t="shared" ca="1" si="130"/>
        <v>0</v>
      </c>
      <c r="X183" s="358">
        <f t="shared" ca="1" si="130"/>
        <v>0</v>
      </c>
      <c r="Y183" s="358">
        <f t="shared" ca="1" si="130"/>
        <v>0</v>
      </c>
      <c r="Z183" s="358">
        <f t="shared" ca="1" si="130"/>
        <v>0</v>
      </c>
      <c r="AA183" s="358">
        <f t="shared" ca="1" si="131"/>
        <v>0</v>
      </c>
      <c r="AB183" s="358">
        <f t="shared" ca="1" si="131"/>
        <v>0</v>
      </c>
      <c r="AC183" s="358">
        <f t="shared" ca="1" si="131"/>
        <v>0</v>
      </c>
      <c r="AD183" s="358">
        <f t="shared" ca="1" si="131"/>
        <v>0</v>
      </c>
      <c r="AE183" s="358">
        <f t="shared" ca="1" si="131"/>
        <v>0</v>
      </c>
      <c r="AF183" s="358">
        <f t="shared" ca="1" si="131"/>
        <v>0</v>
      </c>
      <c r="AG183" s="358">
        <f t="shared" ca="1" si="131"/>
        <v>0</v>
      </c>
      <c r="AH183" s="358">
        <f t="shared" ca="1" si="131"/>
        <v>0</v>
      </c>
      <c r="AI183" s="358">
        <f t="shared" ca="1" si="131"/>
        <v>0</v>
      </c>
      <c r="AJ183" s="358">
        <f t="shared" ca="1" si="131"/>
        <v>0</v>
      </c>
      <c r="AK183" s="358">
        <f t="shared" ca="1" si="132"/>
        <v>0</v>
      </c>
      <c r="AL183" s="358">
        <f t="shared" ca="1" si="132"/>
        <v>0</v>
      </c>
      <c r="AM183" s="358">
        <f t="shared" ca="1" si="132"/>
        <v>0</v>
      </c>
      <c r="AN183" s="358">
        <f t="shared" ca="1" si="132"/>
        <v>0</v>
      </c>
      <c r="AO183" s="358">
        <f t="shared" ca="1" si="132"/>
        <v>0</v>
      </c>
      <c r="AP183" s="358">
        <f t="shared" ca="1" si="132"/>
        <v>0</v>
      </c>
      <c r="AQ183" s="358">
        <f t="shared" ca="1" si="132"/>
        <v>0</v>
      </c>
      <c r="AR183" s="358">
        <f t="shared" ca="1" si="132"/>
        <v>0</v>
      </c>
      <c r="AS183" s="358">
        <f t="shared" ca="1" si="132"/>
        <v>0</v>
      </c>
      <c r="AT183" s="358">
        <f t="shared" ca="1" si="132"/>
        <v>0</v>
      </c>
      <c r="AV183" s="358">
        <f t="shared" ca="1" si="118"/>
        <v>0</v>
      </c>
      <c r="AX183" s="358">
        <f t="shared" ca="1" si="119"/>
        <v>0</v>
      </c>
      <c r="AZ183" s="358">
        <f t="shared" ca="1" si="120"/>
        <v>0</v>
      </c>
      <c r="BB183" s="358">
        <f t="shared" ca="1" si="121"/>
        <v>0</v>
      </c>
      <c r="BD183" s="358">
        <f t="shared" ca="1" si="122"/>
        <v>0</v>
      </c>
      <c r="BF183" s="358">
        <f t="shared" ca="1" si="123"/>
        <v>0</v>
      </c>
      <c r="BH183" s="358">
        <f t="shared" ca="1" si="124"/>
        <v>0</v>
      </c>
    </row>
    <row r="184" spans="1:60" hidden="1" outlineLevel="1">
      <c r="A184" s="1464">
        <f t="shared" si="114"/>
        <v>18</v>
      </c>
      <c r="B184" s="1464">
        <f t="shared" si="115"/>
        <v>25</v>
      </c>
      <c r="C184" s="1464">
        <f t="shared" si="116"/>
        <v>25</v>
      </c>
      <c r="D184" s="1271" t="str">
        <f ca="1">IF(OFFSET(PortfolioDashboard!$A$3,C184-1,0)="","Blank",OFFSET(PortfolioDashboard!$A$3,C184-1,0))</f>
        <v>Blank</v>
      </c>
      <c r="E184" s="1464" t="str">
        <f t="shared" si="117"/>
        <v>2010$</v>
      </c>
      <c r="F184" s="1460">
        <f t="shared" ca="1" si="85"/>
        <v>0</v>
      </c>
      <c r="G184" s="358">
        <f t="shared" ca="1" si="129"/>
        <v>0</v>
      </c>
      <c r="H184" s="358">
        <f t="shared" ca="1" si="129"/>
        <v>0</v>
      </c>
      <c r="I184" s="358">
        <f t="shared" ca="1" si="129"/>
        <v>0</v>
      </c>
      <c r="J184" s="358">
        <f t="shared" ca="1" si="129"/>
        <v>0</v>
      </c>
      <c r="K184" s="358">
        <f t="shared" ca="1" si="129"/>
        <v>0</v>
      </c>
      <c r="L184" s="358">
        <f t="shared" ca="1" si="129"/>
        <v>0</v>
      </c>
      <c r="M184" s="358">
        <f t="shared" ca="1" si="129"/>
        <v>0</v>
      </c>
      <c r="N184" s="358">
        <f t="shared" ca="1" si="129"/>
        <v>0</v>
      </c>
      <c r="O184" s="358">
        <f t="shared" ca="1" si="129"/>
        <v>0</v>
      </c>
      <c r="P184" s="358">
        <f t="shared" ca="1" si="129"/>
        <v>0</v>
      </c>
      <c r="Q184" s="358">
        <f t="shared" ca="1" si="130"/>
        <v>0</v>
      </c>
      <c r="R184" s="358">
        <f t="shared" ca="1" si="130"/>
        <v>0</v>
      </c>
      <c r="S184" s="358">
        <f t="shared" ca="1" si="130"/>
        <v>0</v>
      </c>
      <c r="T184" s="358">
        <f t="shared" ca="1" si="130"/>
        <v>0</v>
      </c>
      <c r="U184" s="358">
        <f t="shared" ca="1" si="130"/>
        <v>0</v>
      </c>
      <c r="V184" s="358">
        <f t="shared" ca="1" si="130"/>
        <v>0</v>
      </c>
      <c r="W184" s="358">
        <f t="shared" ca="1" si="130"/>
        <v>0</v>
      </c>
      <c r="X184" s="358">
        <f t="shared" ca="1" si="130"/>
        <v>0</v>
      </c>
      <c r="Y184" s="358">
        <f t="shared" ca="1" si="130"/>
        <v>0</v>
      </c>
      <c r="Z184" s="358">
        <f t="shared" ca="1" si="130"/>
        <v>0</v>
      </c>
      <c r="AA184" s="358">
        <f t="shared" ca="1" si="131"/>
        <v>0</v>
      </c>
      <c r="AB184" s="358">
        <f t="shared" ca="1" si="131"/>
        <v>0</v>
      </c>
      <c r="AC184" s="358">
        <f t="shared" ca="1" si="131"/>
        <v>0</v>
      </c>
      <c r="AD184" s="358">
        <f t="shared" ca="1" si="131"/>
        <v>0</v>
      </c>
      <c r="AE184" s="358">
        <f t="shared" ca="1" si="131"/>
        <v>0</v>
      </c>
      <c r="AF184" s="358">
        <f t="shared" ca="1" si="131"/>
        <v>0</v>
      </c>
      <c r="AG184" s="358">
        <f t="shared" ca="1" si="131"/>
        <v>0</v>
      </c>
      <c r="AH184" s="358">
        <f t="shared" ca="1" si="131"/>
        <v>0</v>
      </c>
      <c r="AI184" s="358">
        <f t="shared" ca="1" si="131"/>
        <v>0</v>
      </c>
      <c r="AJ184" s="358">
        <f t="shared" ca="1" si="131"/>
        <v>0</v>
      </c>
      <c r="AK184" s="358">
        <f t="shared" ca="1" si="132"/>
        <v>0</v>
      </c>
      <c r="AL184" s="358">
        <f t="shared" ca="1" si="132"/>
        <v>0</v>
      </c>
      <c r="AM184" s="358">
        <f t="shared" ca="1" si="132"/>
        <v>0</v>
      </c>
      <c r="AN184" s="358">
        <f t="shared" ca="1" si="132"/>
        <v>0</v>
      </c>
      <c r="AO184" s="358">
        <f t="shared" ca="1" si="132"/>
        <v>0</v>
      </c>
      <c r="AP184" s="358">
        <f t="shared" ca="1" si="132"/>
        <v>0</v>
      </c>
      <c r="AQ184" s="358">
        <f t="shared" ca="1" si="132"/>
        <v>0</v>
      </c>
      <c r="AR184" s="358">
        <f t="shared" ca="1" si="132"/>
        <v>0</v>
      </c>
      <c r="AS184" s="358">
        <f t="shared" ca="1" si="132"/>
        <v>0</v>
      </c>
      <c r="AT184" s="358">
        <f t="shared" ca="1" si="132"/>
        <v>0</v>
      </c>
      <c r="AV184" s="358">
        <f t="shared" ca="1" si="118"/>
        <v>0</v>
      </c>
      <c r="AX184" s="358">
        <f t="shared" ca="1" si="119"/>
        <v>0</v>
      </c>
      <c r="AZ184" s="358">
        <f t="shared" ca="1" si="120"/>
        <v>0</v>
      </c>
      <c r="BB184" s="358">
        <f t="shared" ca="1" si="121"/>
        <v>0</v>
      </c>
      <c r="BD184" s="358">
        <f t="shared" ca="1" si="122"/>
        <v>0</v>
      </c>
      <c r="BF184" s="358">
        <f t="shared" ca="1" si="123"/>
        <v>0</v>
      </c>
      <c r="BH184" s="358">
        <f t="shared" ca="1" si="124"/>
        <v>0</v>
      </c>
    </row>
    <row r="185" spans="1:60" hidden="1" outlineLevel="1">
      <c r="A185" s="1464">
        <f t="shared" si="114"/>
        <v>18</v>
      </c>
      <c r="B185" s="1464">
        <f t="shared" si="115"/>
        <v>25</v>
      </c>
      <c r="C185" s="1464">
        <f t="shared" si="116"/>
        <v>26</v>
      </c>
      <c r="D185" s="1271" t="str">
        <f ca="1">IF(OFFSET(PortfolioDashboard!$A$3,C185-1,0)="","Blank",OFFSET(PortfolioDashboard!$A$3,C185-1,0))</f>
        <v>Blank</v>
      </c>
      <c r="E185" s="1464" t="str">
        <f t="shared" si="117"/>
        <v>2010$</v>
      </c>
      <c r="F185" s="1460">
        <f t="shared" ca="1" si="85"/>
        <v>0</v>
      </c>
      <c r="G185" s="358">
        <f t="shared" ca="1" si="129"/>
        <v>0</v>
      </c>
      <c r="H185" s="358">
        <f t="shared" ca="1" si="129"/>
        <v>0</v>
      </c>
      <c r="I185" s="358">
        <f t="shared" ca="1" si="129"/>
        <v>0</v>
      </c>
      <c r="J185" s="358">
        <f t="shared" ca="1" si="129"/>
        <v>0</v>
      </c>
      <c r="K185" s="358">
        <f t="shared" ca="1" si="129"/>
        <v>0</v>
      </c>
      <c r="L185" s="358">
        <f t="shared" ca="1" si="129"/>
        <v>0</v>
      </c>
      <c r="M185" s="358">
        <f t="shared" ca="1" si="129"/>
        <v>0</v>
      </c>
      <c r="N185" s="358">
        <f t="shared" ca="1" si="129"/>
        <v>0</v>
      </c>
      <c r="O185" s="358">
        <f t="shared" ca="1" si="129"/>
        <v>0</v>
      </c>
      <c r="P185" s="358">
        <f t="shared" ca="1" si="129"/>
        <v>0</v>
      </c>
      <c r="Q185" s="358">
        <f t="shared" ca="1" si="130"/>
        <v>0</v>
      </c>
      <c r="R185" s="358">
        <f t="shared" ca="1" si="130"/>
        <v>0</v>
      </c>
      <c r="S185" s="358">
        <f t="shared" ca="1" si="130"/>
        <v>0</v>
      </c>
      <c r="T185" s="358">
        <f t="shared" ca="1" si="130"/>
        <v>0</v>
      </c>
      <c r="U185" s="358">
        <f t="shared" ca="1" si="130"/>
        <v>0</v>
      </c>
      <c r="V185" s="358">
        <f t="shared" ca="1" si="130"/>
        <v>0</v>
      </c>
      <c r="W185" s="358">
        <f t="shared" ca="1" si="130"/>
        <v>0</v>
      </c>
      <c r="X185" s="358">
        <f t="shared" ca="1" si="130"/>
        <v>0</v>
      </c>
      <c r="Y185" s="358">
        <f t="shared" ca="1" si="130"/>
        <v>0</v>
      </c>
      <c r="Z185" s="358">
        <f t="shared" ca="1" si="130"/>
        <v>0</v>
      </c>
      <c r="AA185" s="358">
        <f t="shared" ca="1" si="131"/>
        <v>0</v>
      </c>
      <c r="AB185" s="358">
        <f t="shared" ca="1" si="131"/>
        <v>0</v>
      </c>
      <c r="AC185" s="358">
        <f t="shared" ca="1" si="131"/>
        <v>0</v>
      </c>
      <c r="AD185" s="358">
        <f t="shared" ca="1" si="131"/>
        <v>0</v>
      </c>
      <c r="AE185" s="358">
        <f t="shared" ca="1" si="131"/>
        <v>0</v>
      </c>
      <c r="AF185" s="358">
        <f t="shared" ca="1" si="131"/>
        <v>0</v>
      </c>
      <c r="AG185" s="358">
        <f t="shared" ca="1" si="131"/>
        <v>0</v>
      </c>
      <c r="AH185" s="358">
        <f t="shared" ca="1" si="131"/>
        <v>0</v>
      </c>
      <c r="AI185" s="358">
        <f t="shared" ca="1" si="131"/>
        <v>0</v>
      </c>
      <c r="AJ185" s="358">
        <f t="shared" ca="1" si="131"/>
        <v>0</v>
      </c>
      <c r="AK185" s="358">
        <f t="shared" ca="1" si="132"/>
        <v>0</v>
      </c>
      <c r="AL185" s="358">
        <f t="shared" ca="1" si="132"/>
        <v>0</v>
      </c>
      <c r="AM185" s="358">
        <f t="shared" ca="1" si="132"/>
        <v>0</v>
      </c>
      <c r="AN185" s="358">
        <f t="shared" ca="1" si="132"/>
        <v>0</v>
      </c>
      <c r="AO185" s="358">
        <f t="shared" ca="1" si="132"/>
        <v>0</v>
      </c>
      <c r="AP185" s="358">
        <f t="shared" ca="1" si="132"/>
        <v>0</v>
      </c>
      <c r="AQ185" s="358">
        <f t="shared" ca="1" si="132"/>
        <v>0</v>
      </c>
      <c r="AR185" s="358">
        <f t="shared" ca="1" si="132"/>
        <v>0</v>
      </c>
      <c r="AS185" s="358">
        <f t="shared" ca="1" si="132"/>
        <v>0</v>
      </c>
      <c r="AT185" s="358">
        <f t="shared" ca="1" si="132"/>
        <v>0</v>
      </c>
      <c r="AV185" s="358">
        <f t="shared" ca="1" si="118"/>
        <v>0</v>
      </c>
      <c r="AX185" s="358">
        <f t="shared" ca="1" si="119"/>
        <v>0</v>
      </c>
      <c r="AZ185" s="358">
        <f t="shared" ca="1" si="120"/>
        <v>0</v>
      </c>
      <c r="BB185" s="358">
        <f t="shared" ca="1" si="121"/>
        <v>0</v>
      </c>
      <c r="BD185" s="358">
        <f t="shared" ca="1" si="122"/>
        <v>0</v>
      </c>
      <c r="BF185" s="358">
        <f t="shared" ca="1" si="123"/>
        <v>0</v>
      </c>
      <c r="BH185" s="358">
        <f t="shared" ca="1" si="124"/>
        <v>0</v>
      </c>
    </row>
    <row r="186" spans="1:60" hidden="1" outlineLevel="1">
      <c r="A186" s="1464">
        <f t="shared" si="114"/>
        <v>18</v>
      </c>
      <c r="B186" s="1464">
        <f t="shared" si="115"/>
        <v>25</v>
      </c>
      <c r="C186" s="1464">
        <f t="shared" si="116"/>
        <v>27</v>
      </c>
      <c r="D186" s="1271" t="str">
        <f ca="1">IF(OFFSET(PortfolioDashboard!$A$3,C186-1,0)="","Blank",OFFSET(PortfolioDashboard!$A$3,C186-1,0))</f>
        <v>Blank</v>
      </c>
      <c r="E186" s="1464" t="str">
        <f t="shared" si="117"/>
        <v>2010$</v>
      </c>
      <c r="F186" s="1460">
        <f t="shared" ca="1" si="85"/>
        <v>0</v>
      </c>
      <c r="G186" s="358">
        <f t="shared" ca="1" si="129"/>
        <v>0</v>
      </c>
      <c r="H186" s="358">
        <f t="shared" ca="1" si="129"/>
        <v>0</v>
      </c>
      <c r="I186" s="358">
        <f t="shared" ca="1" si="129"/>
        <v>0</v>
      </c>
      <c r="J186" s="358">
        <f t="shared" ca="1" si="129"/>
        <v>0</v>
      </c>
      <c r="K186" s="358">
        <f t="shared" ca="1" si="129"/>
        <v>0</v>
      </c>
      <c r="L186" s="358">
        <f t="shared" ca="1" si="129"/>
        <v>0</v>
      </c>
      <c r="M186" s="358">
        <f t="shared" ca="1" si="129"/>
        <v>0</v>
      </c>
      <c r="N186" s="358">
        <f t="shared" ca="1" si="129"/>
        <v>0</v>
      </c>
      <c r="O186" s="358">
        <f t="shared" ca="1" si="129"/>
        <v>0</v>
      </c>
      <c r="P186" s="358">
        <f t="shared" ca="1" si="129"/>
        <v>0</v>
      </c>
      <c r="Q186" s="358">
        <f t="shared" ca="1" si="130"/>
        <v>0</v>
      </c>
      <c r="R186" s="358">
        <f t="shared" ca="1" si="130"/>
        <v>0</v>
      </c>
      <c r="S186" s="358">
        <f t="shared" ca="1" si="130"/>
        <v>0</v>
      </c>
      <c r="T186" s="358">
        <f t="shared" ca="1" si="130"/>
        <v>0</v>
      </c>
      <c r="U186" s="358">
        <f t="shared" ca="1" si="130"/>
        <v>0</v>
      </c>
      <c r="V186" s="358">
        <f t="shared" ca="1" si="130"/>
        <v>0</v>
      </c>
      <c r="W186" s="358">
        <f t="shared" ca="1" si="130"/>
        <v>0</v>
      </c>
      <c r="X186" s="358">
        <f t="shared" ca="1" si="130"/>
        <v>0</v>
      </c>
      <c r="Y186" s="358">
        <f t="shared" ca="1" si="130"/>
        <v>0</v>
      </c>
      <c r="Z186" s="358">
        <f t="shared" ca="1" si="130"/>
        <v>0</v>
      </c>
      <c r="AA186" s="358">
        <f t="shared" ca="1" si="131"/>
        <v>0</v>
      </c>
      <c r="AB186" s="358">
        <f t="shared" ca="1" si="131"/>
        <v>0</v>
      </c>
      <c r="AC186" s="358">
        <f t="shared" ca="1" si="131"/>
        <v>0</v>
      </c>
      <c r="AD186" s="358">
        <f t="shared" ca="1" si="131"/>
        <v>0</v>
      </c>
      <c r="AE186" s="358">
        <f t="shared" ca="1" si="131"/>
        <v>0</v>
      </c>
      <c r="AF186" s="358">
        <f t="shared" ca="1" si="131"/>
        <v>0</v>
      </c>
      <c r="AG186" s="358">
        <f t="shared" ca="1" si="131"/>
        <v>0</v>
      </c>
      <c r="AH186" s="358">
        <f t="shared" ca="1" si="131"/>
        <v>0</v>
      </c>
      <c r="AI186" s="358">
        <f t="shared" ca="1" si="131"/>
        <v>0</v>
      </c>
      <c r="AJ186" s="358">
        <f t="shared" ca="1" si="131"/>
        <v>0</v>
      </c>
      <c r="AK186" s="358">
        <f t="shared" ca="1" si="132"/>
        <v>0</v>
      </c>
      <c r="AL186" s="358">
        <f t="shared" ca="1" si="132"/>
        <v>0</v>
      </c>
      <c r="AM186" s="358">
        <f t="shared" ca="1" si="132"/>
        <v>0</v>
      </c>
      <c r="AN186" s="358">
        <f t="shared" ca="1" si="132"/>
        <v>0</v>
      </c>
      <c r="AO186" s="358">
        <f t="shared" ca="1" si="132"/>
        <v>0</v>
      </c>
      <c r="AP186" s="358">
        <f t="shared" ca="1" si="132"/>
        <v>0</v>
      </c>
      <c r="AQ186" s="358">
        <f t="shared" ca="1" si="132"/>
        <v>0</v>
      </c>
      <c r="AR186" s="358">
        <f t="shared" ca="1" si="132"/>
        <v>0</v>
      </c>
      <c r="AS186" s="358">
        <f t="shared" ca="1" si="132"/>
        <v>0</v>
      </c>
      <c r="AT186" s="358">
        <f t="shared" ca="1" si="132"/>
        <v>0</v>
      </c>
      <c r="AV186" s="358">
        <f t="shared" ca="1" si="118"/>
        <v>0</v>
      </c>
      <c r="AX186" s="358">
        <f t="shared" ca="1" si="119"/>
        <v>0</v>
      </c>
      <c r="AZ186" s="358">
        <f t="shared" ca="1" si="120"/>
        <v>0</v>
      </c>
      <c r="BB186" s="358">
        <f t="shared" ca="1" si="121"/>
        <v>0</v>
      </c>
      <c r="BD186" s="358">
        <f t="shared" ca="1" si="122"/>
        <v>0</v>
      </c>
      <c r="BF186" s="358">
        <f t="shared" ca="1" si="123"/>
        <v>0</v>
      </c>
      <c r="BH186" s="358">
        <f t="shared" ca="1" si="124"/>
        <v>0</v>
      </c>
    </row>
    <row r="187" spans="1:60" hidden="1" outlineLevel="1">
      <c r="A187" s="1464">
        <f t="shared" si="114"/>
        <v>18</v>
      </c>
      <c r="B187" s="1464">
        <f t="shared" si="115"/>
        <v>25</v>
      </c>
      <c r="C187" s="1464">
        <f t="shared" si="116"/>
        <v>28</v>
      </c>
      <c r="D187" s="1271" t="str">
        <f ca="1">IF(OFFSET(PortfolioDashboard!$A$3,C187-1,0)="","Blank",OFFSET(PortfolioDashboard!$A$3,C187-1,0))</f>
        <v>Blank</v>
      </c>
      <c r="E187" s="1464" t="str">
        <f t="shared" si="117"/>
        <v>2010$</v>
      </c>
      <c r="F187" s="1460">
        <f t="shared" ca="1" si="85"/>
        <v>0</v>
      </c>
      <c r="G187" s="358">
        <f t="shared" ca="1" si="129"/>
        <v>0</v>
      </c>
      <c r="H187" s="358">
        <f t="shared" ca="1" si="129"/>
        <v>0</v>
      </c>
      <c r="I187" s="358">
        <f t="shared" ca="1" si="129"/>
        <v>0</v>
      </c>
      <c r="J187" s="358">
        <f t="shared" ca="1" si="129"/>
        <v>0</v>
      </c>
      <c r="K187" s="358">
        <f t="shared" ca="1" si="129"/>
        <v>0</v>
      </c>
      <c r="L187" s="358">
        <f t="shared" ca="1" si="129"/>
        <v>0</v>
      </c>
      <c r="M187" s="358">
        <f t="shared" ca="1" si="129"/>
        <v>0</v>
      </c>
      <c r="N187" s="358">
        <f t="shared" ca="1" si="129"/>
        <v>0</v>
      </c>
      <c r="O187" s="358">
        <f t="shared" ca="1" si="129"/>
        <v>0</v>
      </c>
      <c r="P187" s="358">
        <f t="shared" ca="1" si="129"/>
        <v>0</v>
      </c>
      <c r="Q187" s="358">
        <f t="shared" ca="1" si="130"/>
        <v>0</v>
      </c>
      <c r="R187" s="358">
        <f t="shared" ca="1" si="130"/>
        <v>0</v>
      </c>
      <c r="S187" s="358">
        <f t="shared" ca="1" si="130"/>
        <v>0</v>
      </c>
      <c r="T187" s="358">
        <f t="shared" ca="1" si="130"/>
        <v>0</v>
      </c>
      <c r="U187" s="358">
        <f t="shared" ca="1" si="130"/>
        <v>0</v>
      </c>
      <c r="V187" s="358">
        <f t="shared" ca="1" si="130"/>
        <v>0</v>
      </c>
      <c r="W187" s="358">
        <f t="shared" ca="1" si="130"/>
        <v>0</v>
      </c>
      <c r="X187" s="358">
        <f t="shared" ca="1" si="130"/>
        <v>0</v>
      </c>
      <c r="Y187" s="358">
        <f t="shared" ca="1" si="130"/>
        <v>0</v>
      </c>
      <c r="Z187" s="358">
        <f t="shared" ca="1" si="130"/>
        <v>0</v>
      </c>
      <c r="AA187" s="358">
        <f t="shared" ca="1" si="131"/>
        <v>0</v>
      </c>
      <c r="AB187" s="358">
        <f t="shared" ca="1" si="131"/>
        <v>0</v>
      </c>
      <c r="AC187" s="358">
        <f t="shared" ca="1" si="131"/>
        <v>0</v>
      </c>
      <c r="AD187" s="358">
        <f t="shared" ca="1" si="131"/>
        <v>0</v>
      </c>
      <c r="AE187" s="358">
        <f t="shared" ca="1" si="131"/>
        <v>0</v>
      </c>
      <c r="AF187" s="358">
        <f t="shared" ca="1" si="131"/>
        <v>0</v>
      </c>
      <c r="AG187" s="358">
        <f t="shared" ca="1" si="131"/>
        <v>0</v>
      </c>
      <c r="AH187" s="358">
        <f t="shared" ca="1" si="131"/>
        <v>0</v>
      </c>
      <c r="AI187" s="358">
        <f t="shared" ca="1" si="131"/>
        <v>0</v>
      </c>
      <c r="AJ187" s="358">
        <f t="shared" ca="1" si="131"/>
        <v>0</v>
      </c>
      <c r="AK187" s="358">
        <f t="shared" ca="1" si="132"/>
        <v>0</v>
      </c>
      <c r="AL187" s="358">
        <f t="shared" ca="1" si="132"/>
        <v>0</v>
      </c>
      <c r="AM187" s="358">
        <f t="shared" ca="1" si="132"/>
        <v>0</v>
      </c>
      <c r="AN187" s="358">
        <f t="shared" ca="1" si="132"/>
        <v>0</v>
      </c>
      <c r="AO187" s="358">
        <f t="shared" ca="1" si="132"/>
        <v>0</v>
      </c>
      <c r="AP187" s="358">
        <f t="shared" ca="1" si="132"/>
        <v>0</v>
      </c>
      <c r="AQ187" s="358">
        <f t="shared" ca="1" si="132"/>
        <v>0</v>
      </c>
      <c r="AR187" s="358">
        <f t="shared" ca="1" si="132"/>
        <v>0</v>
      </c>
      <c r="AS187" s="358">
        <f t="shared" ca="1" si="132"/>
        <v>0</v>
      </c>
      <c r="AT187" s="358">
        <f t="shared" ca="1" si="132"/>
        <v>0</v>
      </c>
      <c r="AV187" s="358">
        <f t="shared" ca="1" si="118"/>
        <v>0</v>
      </c>
      <c r="AX187" s="358">
        <f t="shared" ca="1" si="119"/>
        <v>0</v>
      </c>
      <c r="AZ187" s="358">
        <f t="shared" ca="1" si="120"/>
        <v>0</v>
      </c>
      <c r="BB187" s="358">
        <f t="shared" ca="1" si="121"/>
        <v>0</v>
      </c>
      <c r="BD187" s="358">
        <f t="shared" ca="1" si="122"/>
        <v>0</v>
      </c>
      <c r="BF187" s="358">
        <f t="shared" ca="1" si="123"/>
        <v>0</v>
      </c>
      <c r="BH187" s="358">
        <f t="shared" ca="1" si="124"/>
        <v>0</v>
      </c>
    </row>
    <row r="188" spans="1:60" hidden="1" outlineLevel="1">
      <c r="A188" s="1464">
        <f t="shared" si="114"/>
        <v>18</v>
      </c>
      <c r="B188" s="1464">
        <f t="shared" si="115"/>
        <v>25</v>
      </c>
      <c r="C188" s="1464">
        <f t="shared" si="116"/>
        <v>29</v>
      </c>
      <c r="D188" s="1271" t="str">
        <f ca="1">IF(OFFSET(PortfolioDashboard!$A$3,C188-1,0)="","Blank",OFFSET(PortfolioDashboard!$A$3,C188-1,0))</f>
        <v>Blank</v>
      </c>
      <c r="E188" s="1464" t="str">
        <f t="shared" si="117"/>
        <v>2010$</v>
      </c>
      <c r="F188" s="1460">
        <f t="shared" ca="1" si="85"/>
        <v>0</v>
      </c>
      <c r="G188" s="358">
        <f t="shared" ca="1" si="129"/>
        <v>0</v>
      </c>
      <c r="H188" s="358">
        <f t="shared" ca="1" si="129"/>
        <v>0</v>
      </c>
      <c r="I188" s="358">
        <f t="shared" ca="1" si="129"/>
        <v>0</v>
      </c>
      <c r="J188" s="358">
        <f t="shared" ca="1" si="129"/>
        <v>0</v>
      </c>
      <c r="K188" s="358">
        <f t="shared" ca="1" si="129"/>
        <v>0</v>
      </c>
      <c r="L188" s="358">
        <f t="shared" ca="1" si="129"/>
        <v>0</v>
      </c>
      <c r="M188" s="358">
        <f t="shared" ca="1" si="129"/>
        <v>0</v>
      </c>
      <c r="N188" s="358">
        <f t="shared" ca="1" si="129"/>
        <v>0</v>
      </c>
      <c r="O188" s="358">
        <f t="shared" ca="1" si="129"/>
        <v>0</v>
      </c>
      <c r="P188" s="358">
        <f t="shared" ca="1" si="129"/>
        <v>0</v>
      </c>
      <c r="Q188" s="358">
        <f t="shared" ca="1" si="130"/>
        <v>0</v>
      </c>
      <c r="R188" s="358">
        <f t="shared" ca="1" si="130"/>
        <v>0</v>
      </c>
      <c r="S188" s="358">
        <f t="shared" ca="1" si="130"/>
        <v>0</v>
      </c>
      <c r="T188" s="358">
        <f t="shared" ca="1" si="130"/>
        <v>0</v>
      </c>
      <c r="U188" s="358">
        <f t="shared" ca="1" si="130"/>
        <v>0</v>
      </c>
      <c r="V188" s="358">
        <f t="shared" ca="1" si="130"/>
        <v>0</v>
      </c>
      <c r="W188" s="358">
        <f t="shared" ca="1" si="130"/>
        <v>0</v>
      </c>
      <c r="X188" s="358">
        <f t="shared" ca="1" si="130"/>
        <v>0</v>
      </c>
      <c r="Y188" s="358">
        <f t="shared" ca="1" si="130"/>
        <v>0</v>
      </c>
      <c r="Z188" s="358">
        <f t="shared" ca="1" si="130"/>
        <v>0</v>
      </c>
      <c r="AA188" s="358">
        <f t="shared" ca="1" si="131"/>
        <v>0</v>
      </c>
      <c r="AB188" s="358">
        <f t="shared" ca="1" si="131"/>
        <v>0</v>
      </c>
      <c r="AC188" s="358">
        <f t="shared" ca="1" si="131"/>
        <v>0</v>
      </c>
      <c r="AD188" s="358">
        <f t="shared" ca="1" si="131"/>
        <v>0</v>
      </c>
      <c r="AE188" s="358">
        <f t="shared" ca="1" si="131"/>
        <v>0</v>
      </c>
      <c r="AF188" s="358">
        <f t="shared" ca="1" si="131"/>
        <v>0</v>
      </c>
      <c r="AG188" s="358">
        <f t="shared" ca="1" si="131"/>
        <v>0</v>
      </c>
      <c r="AH188" s="358">
        <f t="shared" ca="1" si="131"/>
        <v>0</v>
      </c>
      <c r="AI188" s="358">
        <f t="shared" ca="1" si="131"/>
        <v>0</v>
      </c>
      <c r="AJ188" s="358">
        <f t="shared" ca="1" si="131"/>
        <v>0</v>
      </c>
      <c r="AK188" s="358">
        <f t="shared" ca="1" si="132"/>
        <v>0</v>
      </c>
      <c r="AL188" s="358">
        <f t="shared" ca="1" si="132"/>
        <v>0</v>
      </c>
      <c r="AM188" s="358">
        <f t="shared" ca="1" si="132"/>
        <v>0</v>
      </c>
      <c r="AN188" s="358">
        <f t="shared" ca="1" si="132"/>
        <v>0</v>
      </c>
      <c r="AO188" s="358">
        <f t="shared" ca="1" si="132"/>
        <v>0</v>
      </c>
      <c r="AP188" s="358">
        <f t="shared" ca="1" si="132"/>
        <v>0</v>
      </c>
      <c r="AQ188" s="358">
        <f t="shared" ca="1" si="132"/>
        <v>0</v>
      </c>
      <c r="AR188" s="358">
        <f t="shared" ca="1" si="132"/>
        <v>0</v>
      </c>
      <c r="AS188" s="358">
        <f t="shared" ca="1" si="132"/>
        <v>0</v>
      </c>
      <c r="AT188" s="358">
        <f t="shared" ca="1" si="132"/>
        <v>0</v>
      </c>
      <c r="AV188" s="358">
        <f t="shared" ca="1" si="118"/>
        <v>0</v>
      </c>
      <c r="AX188" s="358">
        <f t="shared" ca="1" si="119"/>
        <v>0</v>
      </c>
      <c r="AZ188" s="358">
        <f t="shared" ca="1" si="120"/>
        <v>0</v>
      </c>
      <c r="BB188" s="358">
        <f t="shared" ca="1" si="121"/>
        <v>0</v>
      </c>
      <c r="BD188" s="358">
        <f t="shared" ca="1" si="122"/>
        <v>0</v>
      </c>
      <c r="BF188" s="358">
        <f t="shared" ca="1" si="123"/>
        <v>0</v>
      </c>
      <c r="BH188" s="358">
        <f t="shared" ca="1" si="124"/>
        <v>0</v>
      </c>
    </row>
    <row r="189" spans="1:60" hidden="1" outlineLevel="1">
      <c r="A189" s="1464">
        <f t="shared" si="114"/>
        <v>18</v>
      </c>
      <c r="B189" s="1464">
        <f t="shared" si="115"/>
        <v>25</v>
      </c>
      <c r="C189" s="1464">
        <f t="shared" si="116"/>
        <v>30</v>
      </c>
      <c r="D189" s="1271" t="str">
        <f ca="1">IF(OFFSET(PortfolioDashboard!$A$3,C189-1,0)="","Blank",OFFSET(PortfolioDashboard!$A$3,C189-1,0))</f>
        <v>Blank</v>
      </c>
      <c r="E189" s="1464" t="str">
        <f t="shared" si="117"/>
        <v>2010$</v>
      </c>
      <c r="F189" s="1460">
        <f t="shared" ca="1" si="85"/>
        <v>0</v>
      </c>
      <c r="G189" s="358">
        <f t="shared" ca="1" si="129"/>
        <v>0</v>
      </c>
      <c r="H189" s="358">
        <f t="shared" ca="1" si="129"/>
        <v>0</v>
      </c>
      <c r="I189" s="358">
        <f t="shared" ca="1" si="129"/>
        <v>0</v>
      </c>
      <c r="J189" s="358">
        <f t="shared" ca="1" si="129"/>
        <v>0</v>
      </c>
      <c r="K189" s="358">
        <f t="shared" ca="1" si="129"/>
        <v>0</v>
      </c>
      <c r="L189" s="358">
        <f t="shared" ca="1" si="129"/>
        <v>0</v>
      </c>
      <c r="M189" s="358">
        <f t="shared" ca="1" si="129"/>
        <v>0</v>
      </c>
      <c r="N189" s="358">
        <f t="shared" ca="1" si="129"/>
        <v>0</v>
      </c>
      <c r="O189" s="358">
        <f t="shared" ca="1" si="129"/>
        <v>0</v>
      </c>
      <c r="P189" s="358">
        <f t="shared" ca="1" si="129"/>
        <v>0</v>
      </c>
      <c r="Q189" s="358">
        <f t="shared" ca="1" si="130"/>
        <v>0</v>
      </c>
      <c r="R189" s="358">
        <f t="shared" ca="1" si="130"/>
        <v>0</v>
      </c>
      <c r="S189" s="358">
        <f t="shared" ca="1" si="130"/>
        <v>0</v>
      </c>
      <c r="T189" s="358">
        <f t="shared" ca="1" si="130"/>
        <v>0</v>
      </c>
      <c r="U189" s="358">
        <f t="shared" ca="1" si="130"/>
        <v>0</v>
      </c>
      <c r="V189" s="358">
        <f t="shared" ca="1" si="130"/>
        <v>0</v>
      </c>
      <c r="W189" s="358">
        <f t="shared" ca="1" si="130"/>
        <v>0</v>
      </c>
      <c r="X189" s="358">
        <f t="shared" ca="1" si="130"/>
        <v>0</v>
      </c>
      <c r="Y189" s="358">
        <f t="shared" ca="1" si="130"/>
        <v>0</v>
      </c>
      <c r="Z189" s="358">
        <f t="shared" ca="1" si="130"/>
        <v>0</v>
      </c>
      <c r="AA189" s="358">
        <f t="shared" ca="1" si="131"/>
        <v>0</v>
      </c>
      <c r="AB189" s="358">
        <f t="shared" ca="1" si="131"/>
        <v>0</v>
      </c>
      <c r="AC189" s="358">
        <f t="shared" ca="1" si="131"/>
        <v>0</v>
      </c>
      <c r="AD189" s="358">
        <f t="shared" ca="1" si="131"/>
        <v>0</v>
      </c>
      <c r="AE189" s="358">
        <f t="shared" ca="1" si="131"/>
        <v>0</v>
      </c>
      <c r="AF189" s="358">
        <f t="shared" ca="1" si="131"/>
        <v>0</v>
      </c>
      <c r="AG189" s="358">
        <f t="shared" ca="1" si="131"/>
        <v>0</v>
      </c>
      <c r="AH189" s="358">
        <f t="shared" ca="1" si="131"/>
        <v>0</v>
      </c>
      <c r="AI189" s="358">
        <f t="shared" ca="1" si="131"/>
        <v>0</v>
      </c>
      <c r="AJ189" s="358">
        <f t="shared" ca="1" si="131"/>
        <v>0</v>
      </c>
      <c r="AK189" s="358">
        <f t="shared" ca="1" si="132"/>
        <v>0</v>
      </c>
      <c r="AL189" s="358">
        <f t="shared" ca="1" si="132"/>
        <v>0</v>
      </c>
      <c r="AM189" s="358">
        <f t="shared" ca="1" si="132"/>
        <v>0</v>
      </c>
      <c r="AN189" s="358">
        <f t="shared" ca="1" si="132"/>
        <v>0</v>
      </c>
      <c r="AO189" s="358">
        <f t="shared" ca="1" si="132"/>
        <v>0</v>
      </c>
      <c r="AP189" s="358">
        <f t="shared" ca="1" si="132"/>
        <v>0</v>
      </c>
      <c r="AQ189" s="358">
        <f t="shared" ca="1" si="132"/>
        <v>0</v>
      </c>
      <c r="AR189" s="358">
        <f t="shared" ca="1" si="132"/>
        <v>0</v>
      </c>
      <c r="AS189" s="358">
        <f t="shared" ca="1" si="132"/>
        <v>0</v>
      </c>
      <c r="AT189" s="358">
        <f t="shared" ca="1" si="132"/>
        <v>0</v>
      </c>
      <c r="AV189" s="358">
        <f t="shared" ca="1" si="118"/>
        <v>0</v>
      </c>
      <c r="AX189" s="358">
        <f t="shared" ca="1" si="119"/>
        <v>0</v>
      </c>
      <c r="AZ189" s="358">
        <f t="shared" ca="1" si="120"/>
        <v>0</v>
      </c>
      <c r="BB189" s="358">
        <f t="shared" ca="1" si="121"/>
        <v>0</v>
      </c>
      <c r="BD189" s="358">
        <f t="shared" ca="1" si="122"/>
        <v>0</v>
      </c>
      <c r="BF189" s="358">
        <f t="shared" ca="1" si="123"/>
        <v>0</v>
      </c>
      <c r="BH189" s="358">
        <f t="shared" ca="1" si="124"/>
        <v>0</v>
      </c>
    </row>
    <row r="190" spans="1:60" collapsed="1">
      <c r="A190" s="1464"/>
      <c r="B190" s="1464"/>
      <c r="C190" s="1464"/>
      <c r="D190" s="1272" t="s">
        <v>267</v>
      </c>
      <c r="E190" s="1270" t="str">
        <f>E160</f>
        <v>2010$</v>
      </c>
      <c r="F190" s="1461">
        <f t="shared" ca="1" si="85"/>
        <v>-1489190.4806596066</v>
      </c>
      <c r="G190" s="1277">
        <f t="shared" ref="G190:AT190" ca="1" si="133">SUM(G160:G189)</f>
        <v>0</v>
      </c>
      <c r="H190" s="1277">
        <f t="shared" ca="1" si="133"/>
        <v>-21024</v>
      </c>
      <c r="I190" s="1277">
        <f t="shared" ca="1" si="133"/>
        <v>-21024</v>
      </c>
      <c r="J190" s="1277">
        <f t="shared" ca="1" si="133"/>
        <v>-65743.642169437488</v>
      </c>
      <c r="K190" s="1277">
        <f t="shared" ca="1" si="133"/>
        <v>-65967.240380284653</v>
      </c>
      <c r="L190" s="1277">
        <f t="shared" ca="1" si="133"/>
        <v>-111359.91316437215</v>
      </c>
      <c r="M190" s="1277">
        <f t="shared" ca="1" si="133"/>
        <v>-111811.592730194</v>
      </c>
      <c r="N190" s="1277">
        <f t="shared" ca="1" si="133"/>
        <v>-112265.53069384495</v>
      </c>
      <c r="O190" s="1277">
        <f t="shared" ca="1" si="133"/>
        <v>-112721.73834731417</v>
      </c>
      <c r="P190" s="1277">
        <f t="shared" ca="1" si="133"/>
        <v>-113180.22703905073</v>
      </c>
      <c r="Q190" s="1277">
        <f t="shared" ca="1" si="133"/>
        <v>-113641.00817424596</v>
      </c>
      <c r="R190" s="1277">
        <f t="shared" ca="1" si="133"/>
        <v>-114104.09321511719</v>
      </c>
      <c r="S190" s="1277">
        <f t="shared" ca="1" si="133"/>
        <v>-114569.49368119273</v>
      </c>
      <c r="T190" s="1277">
        <f t="shared" ca="1" si="133"/>
        <v>-115037.2211495987</v>
      </c>
      <c r="U190" s="1277">
        <f t="shared" ca="1" si="133"/>
        <v>-115507.28725534667</v>
      </c>
      <c r="V190" s="1277">
        <f t="shared" ca="1" si="133"/>
        <v>-115979.70369162339</v>
      </c>
      <c r="W190" s="1277">
        <f t="shared" ca="1" si="133"/>
        <v>-116454.48221008149</v>
      </c>
      <c r="X190" s="1277">
        <f t="shared" ca="1" si="133"/>
        <v>-116931.63462113189</v>
      </c>
      <c r="Y190" s="1277">
        <f t="shared" ca="1" si="133"/>
        <v>-117411.17279423753</v>
      </c>
      <c r="Z190" s="1277">
        <f t="shared" ca="1" si="133"/>
        <v>-117893.1086582087</v>
      </c>
      <c r="AA190" s="1277">
        <f t="shared" ca="1" si="133"/>
        <v>-118377.45420149974</v>
      </c>
      <c r="AB190" s="1277">
        <f t="shared" ca="1" si="133"/>
        <v>-118864.2214725072</v>
      </c>
      <c r="AC190" s="1277">
        <f t="shared" ca="1" si="133"/>
        <v>-119353.42257986974</v>
      </c>
      <c r="AD190" s="1277">
        <f t="shared" ca="1" si="133"/>
        <v>-119845.06969276906</v>
      </c>
      <c r="AE190" s="1277">
        <f t="shared" ca="1" si="133"/>
        <v>-120339.17504123291</v>
      </c>
      <c r="AF190" s="1277">
        <f t="shared" ca="1" si="133"/>
        <v>-120835.75091643905</v>
      </c>
      <c r="AG190" s="1277">
        <f t="shared" ca="1" si="133"/>
        <v>-121334.80967102124</v>
      </c>
      <c r="AH190" s="1277">
        <f t="shared" ca="1" si="133"/>
        <v>-121836.36371937633</v>
      </c>
      <c r="AI190" s="1277">
        <f t="shared" ca="1" si="133"/>
        <v>-122340.42553797319</v>
      </c>
      <c r="AJ190" s="1277">
        <f t="shared" ca="1" si="133"/>
        <v>-122847.00766566304</v>
      </c>
      <c r="AK190" s="1277">
        <f t="shared" ca="1" si="133"/>
        <v>-123356.12270399135</v>
      </c>
      <c r="AL190" s="1277">
        <f t="shared" ca="1" si="133"/>
        <v>-123867.78331751128</v>
      </c>
      <c r="AM190" s="1277">
        <f t="shared" ca="1" si="133"/>
        <v>-124382.00223409881</v>
      </c>
      <c r="AN190" s="1277">
        <f t="shared" ca="1" si="133"/>
        <v>-124898.7922452693</v>
      </c>
      <c r="AO190" s="1277">
        <f t="shared" ca="1" si="133"/>
        <v>-125418.16620649563</v>
      </c>
      <c r="AP190" s="1277">
        <f t="shared" ca="1" si="133"/>
        <v>-125940.1370375281</v>
      </c>
      <c r="AQ190" s="1277">
        <f t="shared" ca="1" si="133"/>
        <v>-126464.71772271571</v>
      </c>
      <c r="AR190" s="1277">
        <f t="shared" ca="1" si="133"/>
        <v>-126991.92131132926</v>
      </c>
      <c r="AS190" s="1277">
        <f t="shared" ca="1" si="133"/>
        <v>-127521.7609178859</v>
      </c>
      <c r="AT190" s="1277">
        <f t="shared" ca="1" si="133"/>
        <v>-128054.24972247532</v>
      </c>
      <c r="AV190" s="1277">
        <f t="shared" ca="1" si="118"/>
        <v>-561339.00197477604</v>
      </c>
      <c r="AX190" s="1277">
        <f t="shared" ca="1" si="119"/>
        <v>-572859.1034755013</v>
      </c>
      <c r="AZ190" s="1277">
        <f t="shared" ca="1" si="120"/>
        <v>-584670.101975283</v>
      </c>
      <c r="BB190" s="1277">
        <f t="shared" ca="1" si="121"/>
        <v>-596779.34298787871</v>
      </c>
      <c r="BD190" s="1277">
        <f t="shared" ca="1" si="122"/>
        <v>-609194.35751047288</v>
      </c>
      <c r="BF190" s="1277">
        <f t="shared" ca="1" si="123"/>
        <v>-621922.86670736631</v>
      </c>
      <c r="BH190" s="1277">
        <f t="shared" ca="1" si="124"/>
        <v>-634972.78671193426</v>
      </c>
    </row>
    <row r="191" spans="1:60" hidden="1" outlineLevel="1">
      <c r="A191" s="1464">
        <v>18</v>
      </c>
      <c r="B191" s="1464">
        <v>26</v>
      </c>
      <c r="C191" s="1464">
        <v>1</v>
      </c>
      <c r="D191" s="1271" t="str">
        <f ca="1">IF(OFFSET(PortfolioDashboard!$A$3,C191-1,0)="","Blank",OFFSET(PortfolioDashboard!$A$3,C191-1,0))</f>
        <v>Behavior Change</v>
      </c>
      <c r="E191" s="1464" t="s">
        <v>1197</v>
      </c>
      <c r="F191" s="1460">
        <f t="shared" ca="1" si="85"/>
        <v>0</v>
      </c>
      <c r="G191" s="358">
        <f t="shared" ref="G191:P200" ca="1" si="134">IFERROR(OFFSET(INDIRECT(INDEX(List_of_Alternatives,MATCH($D191,NameofAlternatives,0))),$A191+G$1-$G$1,$B191),0)</f>
        <v>0</v>
      </c>
      <c r="H191" s="358">
        <f t="shared" ca="1" si="134"/>
        <v>0</v>
      </c>
      <c r="I191" s="358">
        <f t="shared" ca="1" si="134"/>
        <v>0</v>
      </c>
      <c r="J191" s="358">
        <f t="shared" ca="1" si="134"/>
        <v>0</v>
      </c>
      <c r="K191" s="358">
        <f t="shared" ca="1" si="134"/>
        <v>0</v>
      </c>
      <c r="L191" s="358">
        <f t="shared" ca="1" si="134"/>
        <v>0</v>
      </c>
      <c r="M191" s="358">
        <f t="shared" ca="1" si="134"/>
        <v>0</v>
      </c>
      <c r="N191" s="358">
        <f t="shared" ca="1" si="134"/>
        <v>0</v>
      </c>
      <c r="O191" s="358">
        <f t="shared" ca="1" si="134"/>
        <v>0</v>
      </c>
      <c r="P191" s="358">
        <f t="shared" ca="1" si="134"/>
        <v>0</v>
      </c>
      <c r="Q191" s="358">
        <f t="shared" ref="Q191:Z200" ca="1" si="135">IFERROR(OFFSET(INDIRECT(INDEX(List_of_Alternatives,MATCH($D191,NameofAlternatives,0))),$A191+Q$1-$G$1,$B191),0)</f>
        <v>0</v>
      </c>
      <c r="R191" s="358">
        <f t="shared" ca="1" si="135"/>
        <v>0</v>
      </c>
      <c r="S191" s="358">
        <f t="shared" ca="1" si="135"/>
        <v>0</v>
      </c>
      <c r="T191" s="358">
        <f t="shared" ca="1" si="135"/>
        <v>0</v>
      </c>
      <c r="U191" s="358">
        <f t="shared" ca="1" si="135"/>
        <v>0</v>
      </c>
      <c r="V191" s="358">
        <f t="shared" ca="1" si="135"/>
        <v>0</v>
      </c>
      <c r="W191" s="358">
        <f t="shared" ca="1" si="135"/>
        <v>0</v>
      </c>
      <c r="X191" s="358">
        <f t="shared" ca="1" si="135"/>
        <v>0</v>
      </c>
      <c r="Y191" s="358">
        <f t="shared" ca="1" si="135"/>
        <v>0</v>
      </c>
      <c r="Z191" s="358">
        <f t="shared" ca="1" si="135"/>
        <v>0</v>
      </c>
      <c r="AA191" s="358">
        <f t="shared" ref="AA191:AJ200" ca="1" si="136">IFERROR(OFFSET(INDIRECT(INDEX(List_of_Alternatives,MATCH($D191,NameofAlternatives,0))),$A191+AA$1-$G$1,$B191),0)</f>
        <v>0</v>
      </c>
      <c r="AB191" s="358">
        <f t="shared" ca="1" si="136"/>
        <v>0</v>
      </c>
      <c r="AC191" s="358">
        <f t="shared" ca="1" si="136"/>
        <v>0</v>
      </c>
      <c r="AD191" s="358">
        <f t="shared" ca="1" si="136"/>
        <v>0</v>
      </c>
      <c r="AE191" s="358">
        <f t="shared" ca="1" si="136"/>
        <v>0</v>
      </c>
      <c r="AF191" s="358">
        <f t="shared" ca="1" si="136"/>
        <v>0</v>
      </c>
      <c r="AG191" s="358">
        <f t="shared" ca="1" si="136"/>
        <v>0</v>
      </c>
      <c r="AH191" s="358">
        <f t="shared" ca="1" si="136"/>
        <v>0</v>
      </c>
      <c r="AI191" s="358">
        <f t="shared" ca="1" si="136"/>
        <v>0</v>
      </c>
      <c r="AJ191" s="358">
        <f t="shared" ca="1" si="136"/>
        <v>0</v>
      </c>
      <c r="AK191" s="358">
        <f t="shared" ref="AK191:AT200" ca="1" si="137">IFERROR(OFFSET(INDIRECT(INDEX(List_of_Alternatives,MATCH($D191,NameofAlternatives,0))),$A191+AK$1-$G$1,$B191),0)</f>
        <v>0</v>
      </c>
      <c r="AL191" s="358">
        <f t="shared" ca="1" si="137"/>
        <v>0</v>
      </c>
      <c r="AM191" s="358">
        <f t="shared" ca="1" si="137"/>
        <v>0</v>
      </c>
      <c r="AN191" s="358">
        <f t="shared" ca="1" si="137"/>
        <v>0</v>
      </c>
      <c r="AO191" s="358">
        <f t="shared" ca="1" si="137"/>
        <v>0</v>
      </c>
      <c r="AP191" s="358">
        <f t="shared" ca="1" si="137"/>
        <v>0</v>
      </c>
      <c r="AQ191" s="358">
        <f t="shared" ca="1" si="137"/>
        <v>0</v>
      </c>
      <c r="AR191" s="358">
        <f t="shared" ca="1" si="137"/>
        <v>0</v>
      </c>
      <c r="AS191" s="358">
        <f t="shared" ca="1" si="137"/>
        <v>0</v>
      </c>
      <c r="AT191" s="358">
        <f t="shared" ca="1" si="137"/>
        <v>0</v>
      </c>
      <c r="AV191" s="358">
        <f t="shared" ca="1" si="118"/>
        <v>0</v>
      </c>
      <c r="AX191" s="358">
        <f t="shared" ca="1" si="119"/>
        <v>0</v>
      </c>
      <c r="AZ191" s="358">
        <f t="shared" ca="1" si="120"/>
        <v>0</v>
      </c>
      <c r="BB191" s="358">
        <f t="shared" ca="1" si="121"/>
        <v>0</v>
      </c>
      <c r="BD191" s="358">
        <f t="shared" ca="1" si="122"/>
        <v>0</v>
      </c>
      <c r="BF191" s="358">
        <f t="shared" ca="1" si="123"/>
        <v>0</v>
      </c>
      <c r="BH191" s="358">
        <f t="shared" ca="1" si="124"/>
        <v>0</v>
      </c>
    </row>
    <row r="192" spans="1:60" hidden="1" outlineLevel="1">
      <c r="A192" s="1464">
        <f>A191</f>
        <v>18</v>
      </c>
      <c r="B192" s="1464">
        <f>B191</f>
        <v>26</v>
      </c>
      <c r="C192" s="1464">
        <f>C191+1</f>
        <v>2</v>
      </c>
      <c r="D192" s="1271" t="str">
        <f ca="1">IF(OFFSET(PortfolioDashboard!$A$3,C192-1,0)="","Blank",OFFSET(PortfolioDashboard!$A$3,C192-1,0))</f>
        <v>Building Design &amp; Construction Standards</v>
      </c>
      <c r="E192" s="1464" t="str">
        <f>E191</f>
        <v>2010$</v>
      </c>
      <c r="F192" s="1460">
        <f t="shared" ca="1" si="85"/>
        <v>7940559.7070501661</v>
      </c>
      <c r="G192" s="358">
        <f t="shared" ca="1" si="134"/>
        <v>0</v>
      </c>
      <c r="H192" s="358">
        <f t="shared" ca="1" si="134"/>
        <v>37279.967053830267</v>
      </c>
      <c r="I192" s="358">
        <f t="shared" ca="1" si="134"/>
        <v>182186.21501440863</v>
      </c>
      <c r="J192" s="358">
        <f t="shared" ca="1" si="134"/>
        <v>236455.79490693426</v>
      </c>
      <c r="K192" s="358">
        <f t="shared" ca="1" si="134"/>
        <v>256559.05749005021</v>
      </c>
      <c r="L192" s="358">
        <f t="shared" ca="1" si="134"/>
        <v>369865.38995805522</v>
      </c>
      <c r="M192" s="358">
        <f t="shared" ca="1" si="134"/>
        <v>390825.38337710284</v>
      </c>
      <c r="N192" s="358">
        <f t="shared" ca="1" si="134"/>
        <v>411985.73009559198</v>
      </c>
      <c r="O192" s="358">
        <f t="shared" ca="1" si="134"/>
        <v>433347.90964668151</v>
      </c>
      <c r="P192" s="358">
        <f t="shared" ca="1" si="134"/>
        <v>454913.41135002958</v>
      </c>
      <c r="Q192" s="358">
        <f t="shared" ca="1" si="135"/>
        <v>476683.73437266989</v>
      </c>
      <c r="R192" s="358">
        <f t="shared" ca="1" si="135"/>
        <v>498660.38779025181</v>
      </c>
      <c r="S192" s="358">
        <f t="shared" ca="1" si="135"/>
        <v>520844.89064865018</v>
      </c>
      <c r="T192" s="358">
        <f t="shared" ca="1" si="135"/>
        <v>543238.77202594001</v>
      </c>
      <c r="U192" s="358">
        <f t="shared" ca="1" si="135"/>
        <v>565843.57109473436</v>
      </c>
      <c r="V192" s="358">
        <f t="shared" ca="1" si="135"/>
        <v>588660.83718491683</v>
      </c>
      <c r="W192" s="358">
        <f t="shared" ca="1" si="135"/>
        <v>611692.12984672398</v>
      </c>
      <c r="X192" s="358">
        <f t="shared" ca="1" si="135"/>
        <v>634939.01891421853</v>
      </c>
      <c r="Y192" s="358">
        <f t="shared" ca="1" si="135"/>
        <v>658403.08456914278</v>
      </c>
      <c r="Z192" s="358">
        <f t="shared" ca="1" si="135"/>
        <v>682085.91740514478</v>
      </c>
      <c r="AA192" s="358">
        <f t="shared" ca="1" si="136"/>
        <v>705989.11849239131</v>
      </c>
      <c r="AB192" s="358">
        <f t="shared" ca="1" si="136"/>
        <v>730114.2994425738</v>
      </c>
      <c r="AC192" s="358">
        <f t="shared" ca="1" si="136"/>
        <v>754463.08247429598</v>
      </c>
      <c r="AD192" s="358">
        <f t="shared" ca="1" si="136"/>
        <v>779037.10047885077</v>
      </c>
      <c r="AE192" s="358">
        <f t="shared" ca="1" si="136"/>
        <v>803837.99708638771</v>
      </c>
      <c r="AF192" s="358">
        <f t="shared" ca="1" si="136"/>
        <v>828867.42673248821</v>
      </c>
      <c r="AG192" s="358">
        <f t="shared" ca="1" si="136"/>
        <v>854127.05472512625</v>
      </c>
      <c r="AH192" s="358">
        <f t="shared" ca="1" si="136"/>
        <v>879618.55731201963</v>
      </c>
      <c r="AI192" s="358">
        <f t="shared" ca="1" si="136"/>
        <v>905343.62174841249</v>
      </c>
      <c r="AJ192" s="358">
        <f t="shared" ca="1" si="136"/>
        <v>931303.94636523689</v>
      </c>
      <c r="AK192" s="358">
        <f t="shared" ca="1" si="137"/>
        <v>957501.24063768692</v>
      </c>
      <c r="AL192" s="358">
        <f t="shared" ca="1" si="137"/>
        <v>983937.22525420308</v>
      </c>
      <c r="AM192" s="358">
        <f t="shared" ca="1" si="137"/>
        <v>1010613.6321858662</v>
      </c>
      <c r="AN192" s="358">
        <f t="shared" ca="1" si="137"/>
        <v>1037532.2047562165</v>
      </c>
      <c r="AO192" s="358">
        <f t="shared" ca="1" si="137"/>
        <v>1064694.6977114638</v>
      </c>
      <c r="AP192" s="358">
        <f t="shared" ca="1" si="137"/>
        <v>1092102.8772911448</v>
      </c>
      <c r="AQ192" s="358">
        <f t="shared" ca="1" si="137"/>
        <v>1119758.5212991808</v>
      </c>
      <c r="AR192" s="358">
        <f t="shared" ca="1" si="137"/>
        <v>1147663.4191753645</v>
      </c>
      <c r="AS192" s="358">
        <f t="shared" ca="1" si="137"/>
        <v>1175819.3720672799</v>
      </c>
      <c r="AT192" s="358">
        <f t="shared" ca="1" si="137"/>
        <v>1204228.1929026323</v>
      </c>
      <c r="AV192" s="358">
        <f t="shared" ca="1" si="118"/>
        <v>2060937.8244274613</v>
      </c>
      <c r="AX192" s="358">
        <f t="shared" ca="1" si="119"/>
        <v>2605271.355932246</v>
      </c>
      <c r="AZ192" s="358">
        <f t="shared" ca="1" si="120"/>
        <v>3175780.9879201469</v>
      </c>
      <c r="BB192" s="358">
        <f t="shared" ca="1" si="121"/>
        <v>3773441.5979744997</v>
      </c>
      <c r="BD192" s="358">
        <f t="shared" ca="1" si="122"/>
        <v>4399260.6068832837</v>
      </c>
      <c r="BF192" s="358">
        <f t="shared" ca="1" si="123"/>
        <v>5054279.0005454365</v>
      </c>
      <c r="BH192" s="358">
        <f t="shared" ca="1" si="124"/>
        <v>5739572.3827356016</v>
      </c>
    </row>
    <row r="193" spans="1:60" hidden="1" outlineLevel="1">
      <c r="A193" s="1464">
        <f t="shared" ref="A193:A220" si="138">A192</f>
        <v>18</v>
      </c>
      <c r="B193" s="1464">
        <f t="shared" ref="B193:B220" si="139">B192</f>
        <v>26</v>
      </c>
      <c r="C193" s="1464">
        <f t="shared" ref="C193:C220" si="140">C192+1</f>
        <v>3</v>
      </c>
      <c r="D193" s="1271" t="str">
        <f ca="1">IF(OFFSET(PortfolioDashboard!$A$3,C193-1,0)="","Blank",OFFSET(PortfolioDashboard!$A$3,C193-1,0))</f>
        <v>Space Planning &amp; Management</v>
      </c>
      <c r="E193" s="1464" t="str">
        <f t="shared" ref="E193:E220" si="141">E192</f>
        <v>2010$</v>
      </c>
      <c r="F193" s="1460">
        <f t="shared" ref="F193:F256" ca="1" si="142">NPV(DiscountRate,G193:AT193)</f>
        <v>19673020.273725994</v>
      </c>
      <c r="G193" s="358">
        <f t="shared" ca="1" si="134"/>
        <v>81724.829039941309</v>
      </c>
      <c r="H193" s="358">
        <f t="shared" ca="1" si="134"/>
        <v>164266.90637028095</v>
      </c>
      <c r="I193" s="358">
        <f t="shared" ca="1" si="134"/>
        <v>247632.361353199</v>
      </c>
      <c r="J193" s="358">
        <f t="shared" ca="1" si="134"/>
        <v>331827.36421328597</v>
      </c>
      <c r="K193" s="358">
        <f t="shared" ca="1" si="134"/>
        <v>416858.12629294087</v>
      </c>
      <c r="L193" s="358">
        <f t="shared" ca="1" si="134"/>
        <v>502730.90030928701</v>
      </c>
      <c r="M193" s="358">
        <f t="shared" ca="1" si="134"/>
        <v>589451.98061263829</v>
      </c>
      <c r="N193" s="358">
        <f t="shared" ca="1" si="134"/>
        <v>677027.70344651642</v>
      </c>
      <c r="O193" s="358">
        <f t="shared" ca="1" si="134"/>
        <v>765464.44720921677</v>
      </c>
      <c r="P193" s="358">
        <f t="shared" ca="1" si="134"/>
        <v>854768.63271695923</v>
      </c>
      <c r="Q193" s="358">
        <f t="shared" ca="1" si="135"/>
        <v>944946.72346859763</v>
      </c>
      <c r="R193" s="358">
        <f t="shared" ca="1" si="135"/>
        <v>1036005.2259119358</v>
      </c>
      <c r="S193" s="358">
        <f t="shared" ca="1" si="135"/>
        <v>1127950.6897116201</v>
      </c>
      <c r="T193" s="358">
        <f t="shared" ca="1" si="135"/>
        <v>1220789.7080186526</v>
      </c>
      <c r="U193" s="358">
        <f t="shared" ca="1" si="135"/>
        <v>1314528.9177415138</v>
      </c>
      <c r="V193" s="358">
        <f t="shared" ca="1" si="135"/>
        <v>1409174.9998189029</v>
      </c>
      <c r="W193" s="358">
        <f t="shared" ca="1" si="135"/>
        <v>1504734.6794941211</v>
      </c>
      <c r="X193" s="358">
        <f t="shared" ca="1" si="135"/>
        <v>1601214.7265910977</v>
      </c>
      <c r="Y193" s="358">
        <f t="shared" ca="1" si="135"/>
        <v>1698621.9557920548</v>
      </c>
      <c r="Z193" s="358">
        <f t="shared" ca="1" si="135"/>
        <v>1796963.2269168582</v>
      </c>
      <c r="AA193" s="358">
        <f t="shared" ca="1" si="136"/>
        <v>1896245.445204014</v>
      </c>
      <c r="AB193" s="358">
        <f t="shared" ca="1" si="136"/>
        <v>1996475.5615933686</v>
      </c>
      <c r="AC193" s="358">
        <f t="shared" ca="1" si="136"/>
        <v>2097660.5730104875</v>
      </c>
      <c r="AD193" s="358">
        <f t="shared" ca="1" si="136"/>
        <v>2199807.5226527364</v>
      </c>
      <c r="AE193" s="358">
        <f t="shared" ca="1" si="136"/>
        <v>2302923.5002770843</v>
      </c>
      <c r="AF193" s="358">
        <f t="shared" ca="1" si="136"/>
        <v>2407015.6424896084</v>
      </c>
      <c r="AG193" s="358">
        <f t="shared" ca="1" si="136"/>
        <v>2512091.1330367494</v>
      </c>
      <c r="AH193" s="358">
        <f t="shared" ca="1" si="136"/>
        <v>2618157.2030983004</v>
      </c>
      <c r="AI193" s="358">
        <f t="shared" ca="1" si="136"/>
        <v>2725221.1315821409</v>
      </c>
      <c r="AJ193" s="358">
        <f t="shared" ca="1" si="136"/>
        <v>2833290.2454207437</v>
      </c>
      <c r="AK193" s="358">
        <f t="shared" ca="1" si="137"/>
        <v>2942371.9198694411</v>
      </c>
      <c r="AL193" s="358">
        <f t="shared" ca="1" si="137"/>
        <v>3052473.5788064906</v>
      </c>
      <c r="AM193" s="358">
        <f t="shared" ca="1" si="137"/>
        <v>3163602.6950349142</v>
      </c>
      <c r="AN193" s="358">
        <f t="shared" ca="1" si="137"/>
        <v>3275766.7905861512</v>
      </c>
      <c r="AO193" s="358">
        <f t="shared" ca="1" si="137"/>
        <v>3388973.4370255261</v>
      </c>
      <c r="AP193" s="358">
        <f t="shared" ca="1" si="137"/>
        <v>3503230.2557595293</v>
      </c>
      <c r="AQ193" s="358">
        <f t="shared" ca="1" si="137"/>
        <v>3618544.9183449447</v>
      </c>
      <c r="AR193" s="358">
        <f t="shared" ca="1" si="137"/>
        <v>3734925.1467998209</v>
      </c>
      <c r="AS193" s="358">
        <f t="shared" ca="1" si="137"/>
        <v>3852378.7139162901</v>
      </c>
      <c r="AT193" s="358">
        <f t="shared" ca="1" si="137"/>
        <v>3970913.4435752523</v>
      </c>
      <c r="AV193" s="358">
        <f t="shared" ca="1" si="118"/>
        <v>3389443.6642946177</v>
      </c>
      <c r="AX193" s="358">
        <f t="shared" ca="1" si="119"/>
        <v>5644221.2648523198</v>
      </c>
      <c r="AZ193" s="358">
        <f t="shared" ca="1" si="120"/>
        <v>8010709.5886130342</v>
      </c>
      <c r="BB193" s="358">
        <f t="shared" ca="1" si="121"/>
        <v>10493112.602737691</v>
      </c>
      <c r="BD193" s="358">
        <f t="shared" ca="1" si="122"/>
        <v>13095775.355627544</v>
      </c>
      <c r="BF193" s="358">
        <f t="shared" ca="1" si="123"/>
        <v>15823188.421322523</v>
      </c>
      <c r="BH193" s="358">
        <f t="shared" ca="1" si="124"/>
        <v>18679992.478395838</v>
      </c>
    </row>
    <row r="194" spans="1:60" hidden="1" outlineLevel="1">
      <c r="A194" s="1464">
        <f t="shared" si="138"/>
        <v>18</v>
      </c>
      <c r="B194" s="1464">
        <f t="shared" si="139"/>
        <v>26</v>
      </c>
      <c r="C194" s="1464">
        <f t="shared" si="140"/>
        <v>4</v>
      </c>
      <c r="D194" s="1271" t="str">
        <f ca="1">IF(OFFSET(PortfolioDashboard!$A$3,C194-1,0)="","Blank",OFFSET(PortfolioDashboard!$A$3,C194-1,0))</f>
        <v>Central Chiller Expansion</v>
      </c>
      <c r="E194" s="1464" t="str">
        <f t="shared" si="141"/>
        <v>2010$</v>
      </c>
      <c r="F194" s="1460">
        <f t="shared" ca="1" si="142"/>
        <v>0</v>
      </c>
      <c r="G194" s="358">
        <f t="shared" ca="1" si="134"/>
        <v>0</v>
      </c>
      <c r="H194" s="358">
        <f t="shared" ca="1" si="134"/>
        <v>0</v>
      </c>
      <c r="I194" s="358">
        <f t="shared" ca="1" si="134"/>
        <v>0</v>
      </c>
      <c r="J194" s="358">
        <f t="shared" ca="1" si="134"/>
        <v>0</v>
      </c>
      <c r="K194" s="358">
        <f t="shared" ca="1" si="134"/>
        <v>0</v>
      </c>
      <c r="L194" s="358">
        <f t="shared" ca="1" si="134"/>
        <v>0</v>
      </c>
      <c r="M194" s="358">
        <f t="shared" ca="1" si="134"/>
        <v>0</v>
      </c>
      <c r="N194" s="358">
        <f t="shared" ca="1" si="134"/>
        <v>0</v>
      </c>
      <c r="O194" s="358">
        <f t="shared" ca="1" si="134"/>
        <v>0</v>
      </c>
      <c r="P194" s="358">
        <f t="shared" ca="1" si="134"/>
        <v>0</v>
      </c>
      <c r="Q194" s="358">
        <f t="shared" ca="1" si="135"/>
        <v>0</v>
      </c>
      <c r="R194" s="358">
        <f t="shared" ca="1" si="135"/>
        <v>0</v>
      </c>
      <c r="S194" s="358">
        <f t="shared" ca="1" si="135"/>
        <v>0</v>
      </c>
      <c r="T194" s="358">
        <f t="shared" ca="1" si="135"/>
        <v>0</v>
      </c>
      <c r="U194" s="358">
        <f t="shared" ca="1" si="135"/>
        <v>0</v>
      </c>
      <c r="V194" s="358">
        <f t="shared" ca="1" si="135"/>
        <v>0</v>
      </c>
      <c r="W194" s="358">
        <f t="shared" ca="1" si="135"/>
        <v>0</v>
      </c>
      <c r="X194" s="358">
        <f t="shared" ca="1" si="135"/>
        <v>0</v>
      </c>
      <c r="Y194" s="358">
        <f t="shared" ca="1" si="135"/>
        <v>0</v>
      </c>
      <c r="Z194" s="358">
        <f t="shared" ca="1" si="135"/>
        <v>0</v>
      </c>
      <c r="AA194" s="358">
        <f t="shared" ca="1" si="136"/>
        <v>0</v>
      </c>
      <c r="AB194" s="358">
        <f t="shared" ca="1" si="136"/>
        <v>0</v>
      </c>
      <c r="AC194" s="358">
        <f t="shared" ca="1" si="136"/>
        <v>0</v>
      </c>
      <c r="AD194" s="358">
        <f t="shared" ca="1" si="136"/>
        <v>0</v>
      </c>
      <c r="AE194" s="358">
        <f t="shared" ca="1" si="136"/>
        <v>0</v>
      </c>
      <c r="AF194" s="358">
        <f t="shared" ca="1" si="136"/>
        <v>0</v>
      </c>
      <c r="AG194" s="358">
        <f t="shared" ca="1" si="136"/>
        <v>0</v>
      </c>
      <c r="AH194" s="358">
        <f t="shared" ca="1" si="136"/>
        <v>0</v>
      </c>
      <c r="AI194" s="358">
        <f t="shared" ca="1" si="136"/>
        <v>0</v>
      </c>
      <c r="AJ194" s="358">
        <f t="shared" ca="1" si="136"/>
        <v>0</v>
      </c>
      <c r="AK194" s="358">
        <f t="shared" ca="1" si="137"/>
        <v>0</v>
      </c>
      <c r="AL194" s="358">
        <f t="shared" ca="1" si="137"/>
        <v>0</v>
      </c>
      <c r="AM194" s="358">
        <f t="shared" ca="1" si="137"/>
        <v>0</v>
      </c>
      <c r="AN194" s="358">
        <f t="shared" ca="1" si="137"/>
        <v>0</v>
      </c>
      <c r="AO194" s="358">
        <f t="shared" ca="1" si="137"/>
        <v>0</v>
      </c>
      <c r="AP194" s="358">
        <f t="shared" ca="1" si="137"/>
        <v>0</v>
      </c>
      <c r="AQ194" s="358">
        <f t="shared" ca="1" si="137"/>
        <v>0</v>
      </c>
      <c r="AR194" s="358">
        <f t="shared" ca="1" si="137"/>
        <v>0</v>
      </c>
      <c r="AS194" s="358">
        <f t="shared" ca="1" si="137"/>
        <v>0</v>
      </c>
      <c r="AT194" s="358">
        <f t="shared" ca="1" si="137"/>
        <v>0</v>
      </c>
      <c r="AV194" s="358">
        <f t="shared" ca="1" si="118"/>
        <v>0</v>
      </c>
      <c r="AX194" s="358">
        <f t="shared" ca="1" si="119"/>
        <v>0</v>
      </c>
      <c r="AZ194" s="358">
        <f t="shared" ca="1" si="120"/>
        <v>0</v>
      </c>
      <c r="BB194" s="358">
        <f t="shared" ca="1" si="121"/>
        <v>0</v>
      </c>
      <c r="BD194" s="358">
        <f t="shared" ca="1" si="122"/>
        <v>0</v>
      </c>
      <c r="BF194" s="358">
        <f t="shared" ca="1" si="123"/>
        <v>0</v>
      </c>
      <c r="BH194" s="358">
        <f t="shared" ca="1" si="124"/>
        <v>0</v>
      </c>
    </row>
    <row r="195" spans="1:60" hidden="1" outlineLevel="1">
      <c r="A195" s="1464">
        <f t="shared" si="138"/>
        <v>18</v>
      </c>
      <c r="B195" s="1464">
        <f t="shared" si="139"/>
        <v>26</v>
      </c>
      <c r="C195" s="1464">
        <f t="shared" si="140"/>
        <v>5</v>
      </c>
      <c r="D195" s="1271" t="str">
        <f ca="1">IF(OFFSET(PortfolioDashboard!$A$3,C195-1,0)="","Blank",OFFSET(PortfolioDashboard!$A$3,C195-1,0))</f>
        <v>Short-term Energy Conservation Measures</v>
      </c>
      <c r="E195" s="1464" t="str">
        <f t="shared" si="141"/>
        <v>2010$</v>
      </c>
      <c r="F195" s="1460">
        <f t="shared" ca="1" si="142"/>
        <v>10391254.829654412</v>
      </c>
      <c r="G195" s="358">
        <f t="shared" ca="1" si="134"/>
        <v>0</v>
      </c>
      <c r="H195" s="358">
        <f t="shared" ca="1" si="134"/>
        <v>147140.64299999995</v>
      </c>
      <c r="I195" s="358">
        <f t="shared" ca="1" si="134"/>
        <v>295752.69242999988</v>
      </c>
      <c r="J195" s="358">
        <f t="shared" ca="1" si="134"/>
        <v>445847.18383822474</v>
      </c>
      <c r="K195" s="358">
        <f t="shared" ca="1" si="134"/>
        <v>597435.22634322103</v>
      </c>
      <c r="L195" s="358">
        <f t="shared" ca="1" si="134"/>
        <v>750528.00309367117</v>
      </c>
      <c r="M195" s="358">
        <f t="shared" ca="1" si="134"/>
        <v>754280.6431091394</v>
      </c>
      <c r="N195" s="358">
        <f t="shared" ca="1" si="134"/>
        <v>758052.0463246851</v>
      </c>
      <c r="O195" s="358">
        <f t="shared" ca="1" si="134"/>
        <v>761842.30655630841</v>
      </c>
      <c r="P195" s="358">
        <f t="shared" ca="1" si="134"/>
        <v>765651.51808909001</v>
      </c>
      <c r="Q195" s="358">
        <f t="shared" ca="1" si="135"/>
        <v>769479.77567953523</v>
      </c>
      <c r="R195" s="358">
        <f t="shared" ca="1" si="135"/>
        <v>773327.174557933</v>
      </c>
      <c r="S195" s="358">
        <f t="shared" ca="1" si="135"/>
        <v>777193.81043072231</v>
      </c>
      <c r="T195" s="358">
        <f t="shared" ca="1" si="135"/>
        <v>781079.77948287583</v>
      </c>
      <c r="U195" s="358">
        <f t="shared" ca="1" si="135"/>
        <v>784985.17838029005</v>
      </c>
      <c r="V195" s="358">
        <f t="shared" ca="1" si="135"/>
        <v>788910.10427219141</v>
      </c>
      <c r="W195" s="358">
        <f t="shared" ca="1" si="135"/>
        <v>792854.65479355212</v>
      </c>
      <c r="X195" s="358">
        <f t="shared" ca="1" si="135"/>
        <v>796818.92806751991</v>
      </c>
      <c r="Y195" s="358">
        <f t="shared" ca="1" si="135"/>
        <v>800803.02270785731</v>
      </c>
      <c r="Z195" s="358">
        <f t="shared" ca="1" si="135"/>
        <v>804807.03782139649</v>
      </c>
      <c r="AA195" s="358">
        <f t="shared" ca="1" si="136"/>
        <v>808831.07301050343</v>
      </c>
      <c r="AB195" s="358">
        <f t="shared" ca="1" si="136"/>
        <v>812875.22837555571</v>
      </c>
      <c r="AC195" s="358">
        <f t="shared" ca="1" si="136"/>
        <v>816939.60451743333</v>
      </c>
      <c r="AD195" s="358">
        <f t="shared" ca="1" si="136"/>
        <v>821024.30254002044</v>
      </c>
      <c r="AE195" s="358">
        <f t="shared" ca="1" si="136"/>
        <v>825129.42405272066</v>
      </c>
      <c r="AF195" s="358">
        <f t="shared" ca="1" si="136"/>
        <v>829255.07117298408</v>
      </c>
      <c r="AG195" s="358">
        <f t="shared" ca="1" si="136"/>
        <v>833401.34652884887</v>
      </c>
      <c r="AH195" s="358">
        <f t="shared" ca="1" si="136"/>
        <v>837568.35326149291</v>
      </c>
      <c r="AI195" s="358">
        <f t="shared" ca="1" si="136"/>
        <v>841756.19502780016</v>
      </c>
      <c r="AJ195" s="358">
        <f t="shared" ca="1" si="136"/>
        <v>845964.97600293905</v>
      </c>
      <c r="AK195" s="358">
        <f t="shared" ca="1" si="137"/>
        <v>850194.80088295357</v>
      </c>
      <c r="AL195" s="358">
        <f t="shared" ca="1" si="137"/>
        <v>854445.7748873682</v>
      </c>
      <c r="AM195" s="358">
        <f t="shared" ca="1" si="137"/>
        <v>858718.0037618049</v>
      </c>
      <c r="AN195" s="358">
        <f t="shared" ca="1" si="137"/>
        <v>863011.59378061385</v>
      </c>
      <c r="AO195" s="358">
        <f t="shared" ca="1" si="137"/>
        <v>867326.65174951684</v>
      </c>
      <c r="AP195" s="358">
        <f t="shared" ca="1" si="137"/>
        <v>871663.28500826424</v>
      </c>
      <c r="AQ195" s="358">
        <f t="shared" ca="1" si="137"/>
        <v>876021.60143330519</v>
      </c>
      <c r="AR195" s="358">
        <f t="shared" ca="1" si="137"/>
        <v>880401.70944047149</v>
      </c>
      <c r="AS195" s="358">
        <f t="shared" ca="1" si="137"/>
        <v>884803.71798767406</v>
      </c>
      <c r="AT195" s="358">
        <f t="shared" ca="1" si="137"/>
        <v>889227.73657761223</v>
      </c>
      <c r="AV195" s="358">
        <f t="shared" ca="1" si="118"/>
        <v>3790354.517172894</v>
      </c>
      <c r="AX195" s="358">
        <f t="shared" ca="1" si="119"/>
        <v>3886065.7185313567</v>
      </c>
      <c r="AZ195" s="358">
        <f t="shared" ca="1" si="120"/>
        <v>3984193.7476625172</v>
      </c>
      <c r="BB195" s="358">
        <f t="shared" ca="1" si="121"/>
        <v>4084799.632496234</v>
      </c>
      <c r="BD195" s="358">
        <f t="shared" ca="1" si="122"/>
        <v>4187945.9419940654</v>
      </c>
      <c r="BF195" s="358">
        <f t="shared" ca="1" si="123"/>
        <v>4293696.8250622582</v>
      </c>
      <c r="BH195" s="358">
        <f t="shared" ca="1" si="124"/>
        <v>4402118.0504473271</v>
      </c>
    </row>
    <row r="196" spans="1:60" hidden="1" outlineLevel="1">
      <c r="A196" s="1464">
        <f t="shared" si="138"/>
        <v>18</v>
      </c>
      <c r="B196" s="1464">
        <f t="shared" si="139"/>
        <v>26</v>
      </c>
      <c r="C196" s="1464">
        <f t="shared" si="140"/>
        <v>6</v>
      </c>
      <c r="D196" s="1271" t="str">
        <f ca="1">IF(OFFSET(PortfolioDashboard!$A$3,C196-1,0)="","Blank",OFFSET(PortfolioDashboard!$A$3,C196-1,0))</f>
        <v>Mid-term Energy Conservation Measures</v>
      </c>
      <c r="E196" s="1464" t="str">
        <f t="shared" si="141"/>
        <v>2010$</v>
      </c>
      <c r="F196" s="1460">
        <f t="shared" ca="1" si="142"/>
        <v>6378675.7128424142</v>
      </c>
      <c r="G196" s="358">
        <f t="shared" ca="1" si="134"/>
        <v>0</v>
      </c>
      <c r="H196" s="358">
        <f t="shared" ca="1" si="134"/>
        <v>0</v>
      </c>
      <c r="I196" s="358">
        <f t="shared" ca="1" si="134"/>
        <v>0</v>
      </c>
      <c r="J196" s="358">
        <f t="shared" ca="1" si="134"/>
        <v>0</v>
      </c>
      <c r="K196" s="358">
        <f t="shared" ca="1" si="134"/>
        <v>0</v>
      </c>
      <c r="L196" s="358">
        <f t="shared" ca="1" si="134"/>
        <v>0</v>
      </c>
      <c r="M196" s="358">
        <f t="shared" ca="1" si="134"/>
        <v>85688.898422147613</v>
      </c>
      <c r="N196" s="358">
        <f t="shared" ca="1" si="134"/>
        <v>172234.6858285167</v>
      </c>
      <c r="O196" s="358">
        <f t="shared" ca="1" si="134"/>
        <v>259643.78888648888</v>
      </c>
      <c r="P196" s="358">
        <f t="shared" ca="1" si="134"/>
        <v>347922.67710789514</v>
      </c>
      <c r="Q196" s="358">
        <f t="shared" ca="1" si="135"/>
        <v>437077.86311679316</v>
      </c>
      <c r="R196" s="358">
        <f t="shared" ca="1" si="135"/>
        <v>527115.90291885252</v>
      </c>
      <c r="S196" s="358">
        <f t="shared" ca="1" si="135"/>
        <v>618043.39617235435</v>
      </c>
      <c r="T196" s="358">
        <f t="shared" ca="1" si="135"/>
        <v>709866.98646081833</v>
      </c>
      <c r="U196" s="358">
        <f t="shared" ca="1" si="135"/>
        <v>713416.3213931222</v>
      </c>
      <c r="V196" s="358">
        <f t="shared" ca="1" si="135"/>
        <v>716983.40300008783</v>
      </c>
      <c r="W196" s="358">
        <f t="shared" ca="1" si="135"/>
        <v>720568.32001508796</v>
      </c>
      <c r="X196" s="358">
        <f t="shared" ca="1" si="135"/>
        <v>724171.16161516344</v>
      </c>
      <c r="Y196" s="358">
        <f t="shared" ca="1" si="135"/>
        <v>727792.01742323907</v>
      </c>
      <c r="Z196" s="358">
        <f t="shared" ca="1" si="135"/>
        <v>731430.97751035518</v>
      </c>
      <c r="AA196" s="358">
        <f t="shared" ca="1" si="136"/>
        <v>735088.13239790685</v>
      </c>
      <c r="AB196" s="358">
        <f t="shared" ca="1" si="136"/>
        <v>738763.57305989624</v>
      </c>
      <c r="AC196" s="358">
        <f t="shared" ca="1" si="136"/>
        <v>742457.39092519553</v>
      </c>
      <c r="AD196" s="358">
        <f t="shared" ca="1" si="136"/>
        <v>746169.67787982151</v>
      </c>
      <c r="AE196" s="358">
        <f t="shared" ca="1" si="136"/>
        <v>749900.52626922063</v>
      </c>
      <c r="AF196" s="358">
        <f t="shared" ca="1" si="136"/>
        <v>753650.02890056663</v>
      </c>
      <c r="AG196" s="358">
        <f t="shared" ca="1" si="136"/>
        <v>757418.27904506924</v>
      </c>
      <c r="AH196" s="358">
        <f t="shared" ca="1" si="136"/>
        <v>761205.3704402945</v>
      </c>
      <c r="AI196" s="358">
        <f t="shared" ca="1" si="136"/>
        <v>765011.39729249571</v>
      </c>
      <c r="AJ196" s="358">
        <f t="shared" ca="1" si="136"/>
        <v>768836.45427895826</v>
      </c>
      <c r="AK196" s="358">
        <f t="shared" ca="1" si="137"/>
        <v>772680.63655035279</v>
      </c>
      <c r="AL196" s="358">
        <f t="shared" ca="1" si="137"/>
        <v>776544.03973310441</v>
      </c>
      <c r="AM196" s="358">
        <f t="shared" ca="1" si="137"/>
        <v>780426.7599317698</v>
      </c>
      <c r="AN196" s="358">
        <f t="shared" ca="1" si="137"/>
        <v>784328.89373142866</v>
      </c>
      <c r="AO196" s="358">
        <f t="shared" ca="1" si="137"/>
        <v>788250.53820008563</v>
      </c>
      <c r="AP196" s="358">
        <f t="shared" ca="1" si="137"/>
        <v>792191.79089108598</v>
      </c>
      <c r="AQ196" s="358">
        <f t="shared" ca="1" si="137"/>
        <v>796152.74984554108</v>
      </c>
      <c r="AR196" s="358">
        <f t="shared" ca="1" si="137"/>
        <v>800133.51359476859</v>
      </c>
      <c r="AS196" s="358">
        <f t="shared" ca="1" si="137"/>
        <v>804134.18116274255</v>
      </c>
      <c r="AT196" s="358">
        <f t="shared" ca="1" si="137"/>
        <v>808154.85206855612</v>
      </c>
      <c r="AV196" s="358">
        <f t="shared" ca="1" si="118"/>
        <v>865490.05024504836</v>
      </c>
      <c r="AX196" s="358">
        <f t="shared" ca="1" si="119"/>
        <v>3005520.4700619411</v>
      </c>
      <c r="AZ196" s="358">
        <f t="shared" ca="1" si="120"/>
        <v>3620945.8795639332</v>
      </c>
      <c r="BB196" s="358">
        <f t="shared" ca="1" si="121"/>
        <v>3712379.3005320411</v>
      </c>
      <c r="BD196" s="358">
        <f t="shared" ca="1" si="122"/>
        <v>3806121.5299573839</v>
      </c>
      <c r="BF196" s="358">
        <f t="shared" ca="1" si="123"/>
        <v>3902230.8681467413</v>
      </c>
      <c r="BH196" s="358">
        <f t="shared" ca="1" si="124"/>
        <v>4000767.0875626942</v>
      </c>
    </row>
    <row r="197" spans="1:60" hidden="1" outlineLevel="1">
      <c r="A197" s="1464">
        <f t="shared" si="138"/>
        <v>18</v>
      </c>
      <c r="B197" s="1464">
        <f t="shared" si="139"/>
        <v>26</v>
      </c>
      <c r="C197" s="1464">
        <f t="shared" si="140"/>
        <v>7</v>
      </c>
      <c r="D197" s="1271" t="str">
        <f ca="1">IF(OFFSET(PortfolioDashboard!$A$3,C197-1,0)="","Blank",OFFSET(PortfolioDashboard!$A$3,C197-1,0))</f>
        <v>Long-term Energy Conservation Measures</v>
      </c>
      <c r="E197" s="1464" t="str">
        <f t="shared" si="141"/>
        <v>2010$</v>
      </c>
      <c r="F197" s="1460">
        <f t="shared" ca="1" si="142"/>
        <v>3292257.585502414</v>
      </c>
      <c r="G197" s="358">
        <f t="shared" ca="1" si="134"/>
        <v>0</v>
      </c>
      <c r="H197" s="358">
        <f t="shared" ca="1" si="134"/>
        <v>0</v>
      </c>
      <c r="I197" s="358">
        <f t="shared" ca="1" si="134"/>
        <v>0</v>
      </c>
      <c r="J197" s="358">
        <f t="shared" ca="1" si="134"/>
        <v>0</v>
      </c>
      <c r="K197" s="358">
        <f t="shared" ca="1" si="134"/>
        <v>0</v>
      </c>
      <c r="L197" s="358">
        <f t="shared" ca="1" si="134"/>
        <v>0</v>
      </c>
      <c r="M197" s="358">
        <f t="shared" ca="1" si="134"/>
        <v>0</v>
      </c>
      <c r="N197" s="358">
        <f t="shared" ca="1" si="134"/>
        <v>0</v>
      </c>
      <c r="O197" s="358">
        <f t="shared" ca="1" si="134"/>
        <v>0</v>
      </c>
      <c r="P197" s="358">
        <f t="shared" ca="1" si="134"/>
        <v>0</v>
      </c>
      <c r="Q197" s="358">
        <f t="shared" ca="1" si="135"/>
        <v>0</v>
      </c>
      <c r="R197" s="358">
        <f t="shared" ca="1" si="135"/>
        <v>0</v>
      </c>
      <c r="S197" s="358">
        <f t="shared" ca="1" si="135"/>
        <v>0</v>
      </c>
      <c r="T197" s="358">
        <f t="shared" ca="1" si="135"/>
        <v>0</v>
      </c>
      <c r="U197" s="358">
        <f t="shared" ca="1" si="135"/>
        <v>67962.53378837934</v>
      </c>
      <c r="V197" s="358">
        <f t="shared" ca="1" si="135"/>
        <v>136604.69291464245</v>
      </c>
      <c r="W197" s="358">
        <f t="shared" ca="1" si="135"/>
        <v>205931.57456882342</v>
      </c>
      <c r="X197" s="358">
        <f t="shared" ca="1" si="135"/>
        <v>275948.30992222339</v>
      </c>
      <c r="Y197" s="358">
        <f t="shared" ca="1" si="135"/>
        <v>346660.06433979305</v>
      </c>
      <c r="Z197" s="358">
        <f t="shared" ca="1" si="135"/>
        <v>418072.03759379039</v>
      </c>
      <c r="AA197" s="358">
        <f t="shared" ca="1" si="136"/>
        <v>490189.46407871915</v>
      </c>
      <c r="AB197" s="358">
        <f t="shared" ca="1" si="136"/>
        <v>563017.61302755727</v>
      </c>
      <c r="AC197" s="358">
        <f t="shared" ca="1" si="136"/>
        <v>636561.78872928186</v>
      </c>
      <c r="AD197" s="358">
        <f t="shared" ca="1" si="136"/>
        <v>710827.33074769808</v>
      </c>
      <c r="AE197" s="358">
        <f t="shared" ca="1" si="136"/>
        <v>714381.46740143665</v>
      </c>
      <c r="AF197" s="358">
        <f t="shared" ca="1" si="136"/>
        <v>717953.37473844364</v>
      </c>
      <c r="AG197" s="358">
        <f t="shared" ca="1" si="136"/>
        <v>721543.14161213569</v>
      </c>
      <c r="AH197" s="358">
        <f t="shared" ca="1" si="136"/>
        <v>725150.85732019634</v>
      </c>
      <c r="AI197" s="358">
        <f t="shared" ca="1" si="136"/>
        <v>728776.61160679709</v>
      </c>
      <c r="AJ197" s="358">
        <f t="shared" ca="1" si="136"/>
        <v>732420.49466483097</v>
      </c>
      <c r="AK197" s="358">
        <f t="shared" ca="1" si="137"/>
        <v>736082.59713815502</v>
      </c>
      <c r="AL197" s="358">
        <f t="shared" ca="1" si="137"/>
        <v>739763.01012384566</v>
      </c>
      <c r="AM197" s="358">
        <f t="shared" ca="1" si="137"/>
        <v>743461.82517446473</v>
      </c>
      <c r="AN197" s="358">
        <f t="shared" ca="1" si="137"/>
        <v>747179.13430033706</v>
      </c>
      <c r="AO197" s="358">
        <f t="shared" ca="1" si="137"/>
        <v>750915.02997183858</v>
      </c>
      <c r="AP197" s="358">
        <f t="shared" ca="1" si="137"/>
        <v>754669.60512169765</v>
      </c>
      <c r="AQ197" s="358">
        <f t="shared" ca="1" si="137"/>
        <v>758442.95314730587</v>
      </c>
      <c r="AR197" s="358">
        <f t="shared" ca="1" si="137"/>
        <v>762235.16791304213</v>
      </c>
      <c r="AS197" s="358">
        <f t="shared" ca="1" si="137"/>
        <v>766046.34375260747</v>
      </c>
      <c r="AT197" s="358">
        <f t="shared" ca="1" si="137"/>
        <v>769876.57547137036</v>
      </c>
      <c r="AV197" s="358">
        <f t="shared" ca="1" si="118"/>
        <v>0</v>
      </c>
      <c r="AX197" s="358">
        <f t="shared" ca="1" si="119"/>
        <v>67962.53378837934</v>
      </c>
      <c r="AZ197" s="358">
        <f t="shared" ca="1" si="120"/>
        <v>1383216.6793392727</v>
      </c>
      <c r="BB197" s="358">
        <f t="shared" ca="1" si="121"/>
        <v>3114977.6639846931</v>
      </c>
      <c r="BD197" s="358">
        <f t="shared" ca="1" si="122"/>
        <v>3625844.4799424042</v>
      </c>
      <c r="BF197" s="358">
        <f t="shared" ca="1" si="123"/>
        <v>3717401.5967086409</v>
      </c>
      <c r="BH197" s="358">
        <f t="shared" ca="1" si="124"/>
        <v>3811270.6454060236</v>
      </c>
    </row>
    <row r="198" spans="1:60" hidden="1" outlineLevel="1">
      <c r="A198" s="1464">
        <f t="shared" si="138"/>
        <v>18</v>
      </c>
      <c r="B198" s="1464">
        <f t="shared" si="139"/>
        <v>26</v>
      </c>
      <c r="C198" s="1464">
        <f t="shared" si="140"/>
        <v>8</v>
      </c>
      <c r="D198" s="1271" t="str">
        <f ca="1">IF(OFFSET(PortfolioDashboard!$A$3,C198-1,0)="","Blank",OFFSET(PortfolioDashboard!$A$3,C198-1,0))</f>
        <v>Green IT</v>
      </c>
      <c r="E198" s="1464" t="str">
        <f t="shared" si="141"/>
        <v>2010$</v>
      </c>
      <c r="F198" s="1460">
        <f t="shared" ca="1" si="142"/>
        <v>0</v>
      </c>
      <c r="G198" s="358">
        <f t="shared" ca="1" si="134"/>
        <v>0</v>
      </c>
      <c r="H198" s="358">
        <f t="shared" ca="1" si="134"/>
        <v>0</v>
      </c>
      <c r="I198" s="358">
        <f t="shared" ca="1" si="134"/>
        <v>0</v>
      </c>
      <c r="J198" s="358">
        <f t="shared" ca="1" si="134"/>
        <v>0</v>
      </c>
      <c r="K198" s="358">
        <f t="shared" ca="1" si="134"/>
        <v>0</v>
      </c>
      <c r="L198" s="358">
        <f t="shared" ca="1" si="134"/>
        <v>0</v>
      </c>
      <c r="M198" s="358">
        <f t="shared" ca="1" si="134"/>
        <v>0</v>
      </c>
      <c r="N198" s="358">
        <f t="shared" ca="1" si="134"/>
        <v>0</v>
      </c>
      <c r="O198" s="358">
        <f t="shared" ca="1" si="134"/>
        <v>0</v>
      </c>
      <c r="P198" s="358">
        <f t="shared" ca="1" si="134"/>
        <v>0</v>
      </c>
      <c r="Q198" s="358">
        <f t="shared" ca="1" si="135"/>
        <v>0</v>
      </c>
      <c r="R198" s="358">
        <f t="shared" ca="1" si="135"/>
        <v>0</v>
      </c>
      <c r="S198" s="358">
        <f t="shared" ca="1" si="135"/>
        <v>0</v>
      </c>
      <c r="T198" s="358">
        <f t="shared" ca="1" si="135"/>
        <v>0</v>
      </c>
      <c r="U198" s="358">
        <f t="shared" ca="1" si="135"/>
        <v>0</v>
      </c>
      <c r="V198" s="358">
        <f t="shared" ca="1" si="135"/>
        <v>0</v>
      </c>
      <c r="W198" s="358">
        <f t="shared" ca="1" si="135"/>
        <v>0</v>
      </c>
      <c r="X198" s="358">
        <f t="shared" ca="1" si="135"/>
        <v>0</v>
      </c>
      <c r="Y198" s="358">
        <f t="shared" ca="1" si="135"/>
        <v>0</v>
      </c>
      <c r="Z198" s="358">
        <f t="shared" ca="1" si="135"/>
        <v>0</v>
      </c>
      <c r="AA198" s="358">
        <f t="shared" ca="1" si="136"/>
        <v>0</v>
      </c>
      <c r="AB198" s="358">
        <f t="shared" ca="1" si="136"/>
        <v>0</v>
      </c>
      <c r="AC198" s="358">
        <f t="shared" ca="1" si="136"/>
        <v>0</v>
      </c>
      <c r="AD198" s="358">
        <f t="shared" ca="1" si="136"/>
        <v>0</v>
      </c>
      <c r="AE198" s="358">
        <f t="shared" ca="1" si="136"/>
        <v>0</v>
      </c>
      <c r="AF198" s="358">
        <f t="shared" ca="1" si="136"/>
        <v>0</v>
      </c>
      <c r="AG198" s="358">
        <f t="shared" ca="1" si="136"/>
        <v>0</v>
      </c>
      <c r="AH198" s="358">
        <f t="shared" ca="1" si="136"/>
        <v>0</v>
      </c>
      <c r="AI198" s="358">
        <f t="shared" ca="1" si="136"/>
        <v>0</v>
      </c>
      <c r="AJ198" s="358">
        <f t="shared" ca="1" si="136"/>
        <v>0</v>
      </c>
      <c r="AK198" s="358">
        <f t="shared" ca="1" si="137"/>
        <v>0</v>
      </c>
      <c r="AL198" s="358">
        <f t="shared" ca="1" si="137"/>
        <v>0</v>
      </c>
      <c r="AM198" s="358">
        <f t="shared" ca="1" si="137"/>
        <v>0</v>
      </c>
      <c r="AN198" s="358">
        <f t="shared" ca="1" si="137"/>
        <v>0</v>
      </c>
      <c r="AO198" s="358">
        <f t="shared" ca="1" si="137"/>
        <v>0</v>
      </c>
      <c r="AP198" s="358">
        <f t="shared" ca="1" si="137"/>
        <v>0</v>
      </c>
      <c r="AQ198" s="358">
        <f t="shared" ca="1" si="137"/>
        <v>0</v>
      </c>
      <c r="AR198" s="358">
        <f t="shared" ca="1" si="137"/>
        <v>0</v>
      </c>
      <c r="AS198" s="358">
        <f t="shared" ca="1" si="137"/>
        <v>0</v>
      </c>
      <c r="AT198" s="358">
        <f t="shared" ca="1" si="137"/>
        <v>0</v>
      </c>
      <c r="AV198" s="358">
        <f t="shared" ca="1" si="118"/>
        <v>0</v>
      </c>
      <c r="AX198" s="358">
        <f t="shared" ca="1" si="119"/>
        <v>0</v>
      </c>
      <c r="AZ198" s="358">
        <f t="shared" ca="1" si="120"/>
        <v>0</v>
      </c>
      <c r="BB198" s="358">
        <f t="shared" ca="1" si="121"/>
        <v>0</v>
      </c>
      <c r="BD198" s="358">
        <f t="shared" ca="1" si="122"/>
        <v>0</v>
      </c>
      <c r="BF198" s="358">
        <f t="shared" ca="1" si="123"/>
        <v>0</v>
      </c>
      <c r="BH198" s="358">
        <f t="shared" ca="1" si="124"/>
        <v>0</v>
      </c>
    </row>
    <row r="199" spans="1:60" hidden="1" outlineLevel="1">
      <c r="A199" s="1464">
        <f t="shared" si="138"/>
        <v>18</v>
      </c>
      <c r="B199" s="1464">
        <f t="shared" si="139"/>
        <v>26</v>
      </c>
      <c r="C199" s="1464">
        <f t="shared" si="140"/>
        <v>9</v>
      </c>
      <c r="D199" s="1271" t="str">
        <f ca="1">IF(OFFSET(PortfolioDashboard!$A$3,C199-1,0)="","Blank",OFFSET(PortfolioDashboard!$A$3,C199-1,0))</f>
        <v>Reduced Air Travel</v>
      </c>
      <c r="E199" s="1464" t="str">
        <f t="shared" si="141"/>
        <v>2010$</v>
      </c>
      <c r="F199" s="1460">
        <f t="shared" ca="1" si="142"/>
        <v>0</v>
      </c>
      <c r="G199" s="358">
        <f t="shared" ca="1" si="134"/>
        <v>0</v>
      </c>
      <c r="H199" s="358">
        <f t="shared" ca="1" si="134"/>
        <v>0</v>
      </c>
      <c r="I199" s="358">
        <f t="shared" ca="1" si="134"/>
        <v>0</v>
      </c>
      <c r="J199" s="358">
        <f t="shared" ca="1" si="134"/>
        <v>0</v>
      </c>
      <c r="K199" s="358">
        <f t="shared" ca="1" si="134"/>
        <v>0</v>
      </c>
      <c r="L199" s="358">
        <f t="shared" ca="1" si="134"/>
        <v>0</v>
      </c>
      <c r="M199" s="358">
        <f t="shared" ca="1" si="134"/>
        <v>0</v>
      </c>
      <c r="N199" s="358">
        <f t="shared" ca="1" si="134"/>
        <v>0</v>
      </c>
      <c r="O199" s="358">
        <f t="shared" ca="1" si="134"/>
        <v>0</v>
      </c>
      <c r="P199" s="358">
        <f t="shared" ca="1" si="134"/>
        <v>0</v>
      </c>
      <c r="Q199" s="358">
        <f t="shared" ca="1" si="135"/>
        <v>0</v>
      </c>
      <c r="R199" s="358">
        <f t="shared" ca="1" si="135"/>
        <v>0</v>
      </c>
      <c r="S199" s="358">
        <f t="shared" ca="1" si="135"/>
        <v>0</v>
      </c>
      <c r="T199" s="358">
        <f t="shared" ca="1" si="135"/>
        <v>0</v>
      </c>
      <c r="U199" s="358">
        <f t="shared" ca="1" si="135"/>
        <v>0</v>
      </c>
      <c r="V199" s="358">
        <f t="shared" ca="1" si="135"/>
        <v>0</v>
      </c>
      <c r="W199" s="358">
        <f t="shared" ca="1" si="135"/>
        <v>0</v>
      </c>
      <c r="X199" s="358">
        <f t="shared" ca="1" si="135"/>
        <v>0</v>
      </c>
      <c r="Y199" s="358">
        <f t="shared" ca="1" si="135"/>
        <v>0</v>
      </c>
      <c r="Z199" s="358">
        <f t="shared" ca="1" si="135"/>
        <v>0</v>
      </c>
      <c r="AA199" s="358">
        <f t="shared" ca="1" si="136"/>
        <v>0</v>
      </c>
      <c r="AB199" s="358">
        <f t="shared" ca="1" si="136"/>
        <v>0</v>
      </c>
      <c r="AC199" s="358">
        <f t="shared" ca="1" si="136"/>
        <v>0</v>
      </c>
      <c r="AD199" s="358">
        <f t="shared" ca="1" si="136"/>
        <v>0</v>
      </c>
      <c r="AE199" s="358">
        <f t="shared" ca="1" si="136"/>
        <v>0</v>
      </c>
      <c r="AF199" s="358">
        <f t="shared" ca="1" si="136"/>
        <v>0</v>
      </c>
      <c r="AG199" s="358">
        <f t="shared" ca="1" si="136"/>
        <v>0</v>
      </c>
      <c r="AH199" s="358">
        <f t="shared" ca="1" si="136"/>
        <v>0</v>
      </c>
      <c r="AI199" s="358">
        <f t="shared" ca="1" si="136"/>
        <v>0</v>
      </c>
      <c r="AJ199" s="358">
        <f t="shared" ca="1" si="136"/>
        <v>0</v>
      </c>
      <c r="AK199" s="358">
        <f t="shared" ca="1" si="137"/>
        <v>0</v>
      </c>
      <c r="AL199" s="358">
        <f t="shared" ca="1" si="137"/>
        <v>0</v>
      </c>
      <c r="AM199" s="358">
        <f t="shared" ca="1" si="137"/>
        <v>0</v>
      </c>
      <c r="AN199" s="358">
        <f t="shared" ca="1" si="137"/>
        <v>0</v>
      </c>
      <c r="AO199" s="358">
        <f t="shared" ca="1" si="137"/>
        <v>0</v>
      </c>
      <c r="AP199" s="358">
        <f t="shared" ca="1" si="137"/>
        <v>0</v>
      </c>
      <c r="AQ199" s="358">
        <f t="shared" ca="1" si="137"/>
        <v>0</v>
      </c>
      <c r="AR199" s="358">
        <f t="shared" ca="1" si="137"/>
        <v>0</v>
      </c>
      <c r="AS199" s="358">
        <f t="shared" ca="1" si="137"/>
        <v>0</v>
      </c>
      <c r="AT199" s="358">
        <f t="shared" ca="1" si="137"/>
        <v>0</v>
      </c>
      <c r="AV199" s="358">
        <f t="shared" ca="1" si="118"/>
        <v>0</v>
      </c>
      <c r="AX199" s="358">
        <f t="shared" ca="1" si="119"/>
        <v>0</v>
      </c>
      <c r="AZ199" s="358">
        <f t="shared" ca="1" si="120"/>
        <v>0</v>
      </c>
      <c r="BB199" s="358">
        <f t="shared" ca="1" si="121"/>
        <v>0</v>
      </c>
      <c r="BD199" s="358">
        <f t="shared" ca="1" si="122"/>
        <v>0</v>
      </c>
      <c r="BF199" s="358">
        <f t="shared" ca="1" si="123"/>
        <v>0</v>
      </c>
      <c r="BH199" s="358">
        <f t="shared" ca="1" si="124"/>
        <v>0</v>
      </c>
    </row>
    <row r="200" spans="1:60" hidden="1" outlineLevel="1">
      <c r="A200" s="1464">
        <f t="shared" si="138"/>
        <v>18</v>
      </c>
      <c r="B200" s="1464">
        <f t="shared" si="139"/>
        <v>26</v>
      </c>
      <c r="C200" s="1464">
        <f t="shared" si="140"/>
        <v>10</v>
      </c>
      <c r="D200" s="1271" t="str">
        <f ca="1">IF(OFFSET(PortfolioDashboard!$A$3,C200-1,0)="","Blank",OFFSET(PortfolioDashboard!$A$3,C200-1,0))</f>
        <v>Reduced Automobile Reliance Strategies</v>
      </c>
      <c r="E200" s="1464" t="str">
        <f t="shared" si="141"/>
        <v>2010$</v>
      </c>
      <c r="F200" s="1460">
        <f t="shared" ca="1" si="142"/>
        <v>0</v>
      </c>
      <c r="G200" s="358">
        <f t="shared" ca="1" si="134"/>
        <v>0</v>
      </c>
      <c r="H200" s="358">
        <f t="shared" ca="1" si="134"/>
        <v>0</v>
      </c>
      <c r="I200" s="358">
        <f t="shared" ca="1" si="134"/>
        <v>0</v>
      </c>
      <c r="J200" s="358">
        <f t="shared" ca="1" si="134"/>
        <v>0</v>
      </c>
      <c r="K200" s="358">
        <f t="shared" ca="1" si="134"/>
        <v>0</v>
      </c>
      <c r="L200" s="358">
        <f t="shared" ca="1" si="134"/>
        <v>0</v>
      </c>
      <c r="M200" s="358">
        <f t="shared" ca="1" si="134"/>
        <v>0</v>
      </c>
      <c r="N200" s="358">
        <f t="shared" ca="1" si="134"/>
        <v>0</v>
      </c>
      <c r="O200" s="358">
        <f t="shared" ca="1" si="134"/>
        <v>0</v>
      </c>
      <c r="P200" s="358">
        <f t="shared" ca="1" si="134"/>
        <v>0</v>
      </c>
      <c r="Q200" s="358">
        <f t="shared" ca="1" si="135"/>
        <v>0</v>
      </c>
      <c r="R200" s="358">
        <f t="shared" ca="1" si="135"/>
        <v>0</v>
      </c>
      <c r="S200" s="358">
        <f t="shared" ca="1" si="135"/>
        <v>0</v>
      </c>
      <c r="T200" s="358">
        <f t="shared" ca="1" si="135"/>
        <v>0</v>
      </c>
      <c r="U200" s="358">
        <f t="shared" ca="1" si="135"/>
        <v>0</v>
      </c>
      <c r="V200" s="358">
        <f t="shared" ca="1" si="135"/>
        <v>0</v>
      </c>
      <c r="W200" s="358">
        <f t="shared" ca="1" si="135"/>
        <v>0</v>
      </c>
      <c r="X200" s="358">
        <f t="shared" ca="1" si="135"/>
        <v>0</v>
      </c>
      <c r="Y200" s="358">
        <f t="shared" ca="1" si="135"/>
        <v>0</v>
      </c>
      <c r="Z200" s="358">
        <f t="shared" ca="1" si="135"/>
        <v>0</v>
      </c>
      <c r="AA200" s="358">
        <f t="shared" ca="1" si="136"/>
        <v>0</v>
      </c>
      <c r="AB200" s="358">
        <f t="shared" ca="1" si="136"/>
        <v>0</v>
      </c>
      <c r="AC200" s="358">
        <f t="shared" ca="1" si="136"/>
        <v>0</v>
      </c>
      <c r="AD200" s="358">
        <f t="shared" ca="1" si="136"/>
        <v>0</v>
      </c>
      <c r="AE200" s="358">
        <f t="shared" ca="1" si="136"/>
        <v>0</v>
      </c>
      <c r="AF200" s="358">
        <f t="shared" ca="1" si="136"/>
        <v>0</v>
      </c>
      <c r="AG200" s="358">
        <f t="shared" ca="1" si="136"/>
        <v>0</v>
      </c>
      <c r="AH200" s="358">
        <f t="shared" ca="1" si="136"/>
        <v>0</v>
      </c>
      <c r="AI200" s="358">
        <f t="shared" ca="1" si="136"/>
        <v>0</v>
      </c>
      <c r="AJ200" s="358">
        <f t="shared" ca="1" si="136"/>
        <v>0</v>
      </c>
      <c r="AK200" s="358">
        <f t="shared" ca="1" si="137"/>
        <v>0</v>
      </c>
      <c r="AL200" s="358">
        <f t="shared" ca="1" si="137"/>
        <v>0</v>
      </c>
      <c r="AM200" s="358">
        <f t="shared" ca="1" si="137"/>
        <v>0</v>
      </c>
      <c r="AN200" s="358">
        <f t="shared" ca="1" si="137"/>
        <v>0</v>
      </c>
      <c r="AO200" s="358">
        <f t="shared" ca="1" si="137"/>
        <v>0</v>
      </c>
      <c r="AP200" s="358">
        <f t="shared" ca="1" si="137"/>
        <v>0</v>
      </c>
      <c r="AQ200" s="358">
        <f t="shared" ca="1" si="137"/>
        <v>0</v>
      </c>
      <c r="AR200" s="358">
        <f t="shared" ca="1" si="137"/>
        <v>0</v>
      </c>
      <c r="AS200" s="358">
        <f t="shared" ca="1" si="137"/>
        <v>0</v>
      </c>
      <c r="AT200" s="358">
        <f t="shared" ca="1" si="137"/>
        <v>0</v>
      </c>
      <c r="AV200" s="358">
        <f t="shared" ca="1" si="118"/>
        <v>0</v>
      </c>
      <c r="AX200" s="358">
        <f t="shared" ca="1" si="119"/>
        <v>0</v>
      </c>
      <c r="AZ200" s="358">
        <f t="shared" ca="1" si="120"/>
        <v>0</v>
      </c>
      <c r="BB200" s="358">
        <f t="shared" ca="1" si="121"/>
        <v>0</v>
      </c>
      <c r="BD200" s="358">
        <f t="shared" ca="1" si="122"/>
        <v>0</v>
      </c>
      <c r="BF200" s="358">
        <f t="shared" ca="1" si="123"/>
        <v>0</v>
      </c>
      <c r="BH200" s="358">
        <f t="shared" ca="1" si="124"/>
        <v>0</v>
      </c>
    </row>
    <row r="201" spans="1:60" hidden="1" outlineLevel="1">
      <c r="A201" s="1464">
        <f t="shared" si="138"/>
        <v>18</v>
      </c>
      <c r="B201" s="1464">
        <f t="shared" si="139"/>
        <v>26</v>
      </c>
      <c r="C201" s="1464">
        <f t="shared" si="140"/>
        <v>11</v>
      </c>
      <c r="D201" s="1271" t="str">
        <f ca="1">IF(OFFSET(PortfolioDashboard!$A$3,C201-1,0)="","Blank",OFFSET(PortfolioDashboard!$A$3,C201-1,0))</f>
        <v>Waste Reduction</v>
      </c>
      <c r="E201" s="1464" t="str">
        <f t="shared" si="141"/>
        <v>2010$</v>
      </c>
      <c r="F201" s="1460">
        <f t="shared" ca="1" si="142"/>
        <v>0</v>
      </c>
      <c r="G201" s="358">
        <f t="shared" ref="G201:P210" ca="1" si="143">IFERROR(OFFSET(INDIRECT(INDEX(List_of_Alternatives,MATCH($D201,NameofAlternatives,0))),$A201+G$1-$G$1,$B201),0)</f>
        <v>0</v>
      </c>
      <c r="H201" s="358">
        <f t="shared" ca="1" si="143"/>
        <v>0</v>
      </c>
      <c r="I201" s="358">
        <f t="shared" ca="1" si="143"/>
        <v>0</v>
      </c>
      <c r="J201" s="358">
        <f t="shared" ca="1" si="143"/>
        <v>0</v>
      </c>
      <c r="K201" s="358">
        <f t="shared" ca="1" si="143"/>
        <v>0</v>
      </c>
      <c r="L201" s="358">
        <f t="shared" ca="1" si="143"/>
        <v>0</v>
      </c>
      <c r="M201" s="358">
        <f t="shared" ca="1" si="143"/>
        <v>0</v>
      </c>
      <c r="N201" s="358">
        <f t="shared" ca="1" si="143"/>
        <v>0</v>
      </c>
      <c r="O201" s="358">
        <f t="shared" ca="1" si="143"/>
        <v>0</v>
      </c>
      <c r="P201" s="358">
        <f t="shared" ca="1" si="143"/>
        <v>0</v>
      </c>
      <c r="Q201" s="358">
        <f t="shared" ref="Q201:Z210" ca="1" si="144">IFERROR(OFFSET(INDIRECT(INDEX(List_of_Alternatives,MATCH($D201,NameofAlternatives,0))),$A201+Q$1-$G$1,$B201),0)</f>
        <v>0</v>
      </c>
      <c r="R201" s="358">
        <f t="shared" ca="1" si="144"/>
        <v>0</v>
      </c>
      <c r="S201" s="358">
        <f t="shared" ca="1" si="144"/>
        <v>0</v>
      </c>
      <c r="T201" s="358">
        <f t="shared" ca="1" si="144"/>
        <v>0</v>
      </c>
      <c r="U201" s="358">
        <f t="shared" ca="1" si="144"/>
        <v>0</v>
      </c>
      <c r="V201" s="358">
        <f t="shared" ca="1" si="144"/>
        <v>0</v>
      </c>
      <c r="W201" s="358">
        <f t="shared" ca="1" si="144"/>
        <v>0</v>
      </c>
      <c r="X201" s="358">
        <f t="shared" ca="1" si="144"/>
        <v>0</v>
      </c>
      <c r="Y201" s="358">
        <f t="shared" ca="1" si="144"/>
        <v>0</v>
      </c>
      <c r="Z201" s="358">
        <f t="shared" ca="1" si="144"/>
        <v>0</v>
      </c>
      <c r="AA201" s="358">
        <f t="shared" ref="AA201:AJ210" ca="1" si="145">IFERROR(OFFSET(INDIRECT(INDEX(List_of_Alternatives,MATCH($D201,NameofAlternatives,0))),$A201+AA$1-$G$1,$B201),0)</f>
        <v>0</v>
      </c>
      <c r="AB201" s="358">
        <f t="shared" ca="1" si="145"/>
        <v>0</v>
      </c>
      <c r="AC201" s="358">
        <f t="shared" ca="1" si="145"/>
        <v>0</v>
      </c>
      <c r="AD201" s="358">
        <f t="shared" ca="1" si="145"/>
        <v>0</v>
      </c>
      <c r="AE201" s="358">
        <f t="shared" ca="1" si="145"/>
        <v>0</v>
      </c>
      <c r="AF201" s="358">
        <f t="shared" ca="1" si="145"/>
        <v>0</v>
      </c>
      <c r="AG201" s="358">
        <f t="shared" ca="1" si="145"/>
        <v>0</v>
      </c>
      <c r="AH201" s="358">
        <f t="shared" ca="1" si="145"/>
        <v>0</v>
      </c>
      <c r="AI201" s="358">
        <f t="shared" ca="1" si="145"/>
        <v>0</v>
      </c>
      <c r="AJ201" s="358">
        <f t="shared" ca="1" si="145"/>
        <v>0</v>
      </c>
      <c r="AK201" s="358">
        <f t="shared" ref="AK201:AT210" ca="1" si="146">IFERROR(OFFSET(INDIRECT(INDEX(List_of_Alternatives,MATCH($D201,NameofAlternatives,0))),$A201+AK$1-$G$1,$B201),0)</f>
        <v>0</v>
      </c>
      <c r="AL201" s="358">
        <f t="shared" ca="1" si="146"/>
        <v>0</v>
      </c>
      <c r="AM201" s="358">
        <f t="shared" ca="1" si="146"/>
        <v>0</v>
      </c>
      <c r="AN201" s="358">
        <f t="shared" ca="1" si="146"/>
        <v>0</v>
      </c>
      <c r="AO201" s="358">
        <f t="shared" ca="1" si="146"/>
        <v>0</v>
      </c>
      <c r="AP201" s="358">
        <f t="shared" ca="1" si="146"/>
        <v>0</v>
      </c>
      <c r="AQ201" s="358">
        <f t="shared" ca="1" si="146"/>
        <v>0</v>
      </c>
      <c r="AR201" s="358">
        <f t="shared" ca="1" si="146"/>
        <v>0</v>
      </c>
      <c r="AS201" s="358">
        <f t="shared" ca="1" si="146"/>
        <v>0</v>
      </c>
      <c r="AT201" s="358">
        <f t="shared" ca="1" si="146"/>
        <v>0</v>
      </c>
      <c r="AV201" s="358">
        <f t="shared" ca="1" si="118"/>
        <v>0</v>
      </c>
      <c r="AX201" s="358">
        <f t="shared" ca="1" si="119"/>
        <v>0</v>
      </c>
      <c r="AZ201" s="358">
        <f t="shared" ca="1" si="120"/>
        <v>0</v>
      </c>
      <c r="BB201" s="358">
        <f t="shared" ca="1" si="121"/>
        <v>0</v>
      </c>
      <c r="BD201" s="358">
        <f t="shared" ca="1" si="122"/>
        <v>0</v>
      </c>
      <c r="BF201" s="358">
        <f t="shared" ca="1" si="123"/>
        <v>0</v>
      </c>
      <c r="BH201" s="358">
        <f t="shared" ca="1" si="124"/>
        <v>0</v>
      </c>
    </row>
    <row r="202" spans="1:60" hidden="1" outlineLevel="1">
      <c r="A202" s="1464">
        <f t="shared" si="138"/>
        <v>18</v>
      </c>
      <c r="B202" s="1464">
        <f t="shared" si="139"/>
        <v>26</v>
      </c>
      <c r="C202" s="1464">
        <f t="shared" si="140"/>
        <v>12</v>
      </c>
      <c r="D202" s="1271" t="str">
        <f ca="1">IF(OFFSET(PortfolioDashboard!$A$3,C202-1,0)="","Blank",OFFSET(PortfolioDashboard!$A$3,C202-1,0))</f>
        <v>Steam Line Improvements</v>
      </c>
      <c r="E202" s="1464" t="str">
        <f t="shared" si="141"/>
        <v>2010$</v>
      </c>
      <c r="F202" s="1460">
        <f t="shared" ca="1" si="142"/>
        <v>5520765.9617507318</v>
      </c>
      <c r="G202" s="358">
        <f t="shared" ca="1" si="143"/>
        <v>0</v>
      </c>
      <c r="H202" s="358">
        <f t="shared" ca="1" si="143"/>
        <v>0</v>
      </c>
      <c r="I202" s="358">
        <f t="shared" ca="1" si="143"/>
        <v>318930.98821845633</v>
      </c>
      <c r="J202" s="358">
        <f t="shared" ca="1" si="143"/>
        <v>325674.38291916944</v>
      </c>
      <c r="K202" s="358">
        <f t="shared" ca="1" si="143"/>
        <v>331089.05995406612</v>
      </c>
      <c r="L202" s="358">
        <f t="shared" ca="1" si="143"/>
        <v>340270.05984589568</v>
      </c>
      <c r="M202" s="358">
        <f t="shared" ca="1" si="143"/>
        <v>345795.67297425686</v>
      </c>
      <c r="N202" s="358">
        <f t="shared" ca="1" si="143"/>
        <v>351368.03548240557</v>
      </c>
      <c r="O202" s="358">
        <f t="shared" ca="1" si="143"/>
        <v>356987.47672381124</v>
      </c>
      <c r="P202" s="358">
        <f t="shared" ca="1" si="143"/>
        <v>362654.32817674411</v>
      </c>
      <c r="Q202" s="358">
        <f t="shared" ca="1" si="144"/>
        <v>368368.92345728818</v>
      </c>
      <c r="R202" s="358">
        <f t="shared" ca="1" si="144"/>
        <v>374131.59833243315</v>
      </c>
      <c r="S202" s="358">
        <f t="shared" ca="1" si="144"/>
        <v>379942.69073324307</v>
      </c>
      <c r="T202" s="358">
        <f t="shared" ca="1" si="144"/>
        <v>385802.54076810298</v>
      </c>
      <c r="U202" s="358">
        <f t="shared" ca="1" si="144"/>
        <v>391711.49073604314</v>
      </c>
      <c r="V202" s="358">
        <f t="shared" ca="1" si="144"/>
        <v>397669.88514014328</v>
      </c>
      <c r="W202" s="358">
        <f t="shared" ca="1" si="144"/>
        <v>403678.07070101617</v>
      </c>
      <c r="X202" s="358">
        <f t="shared" ca="1" si="144"/>
        <v>409736.39637036924</v>
      </c>
      <c r="Y202" s="358">
        <f t="shared" ca="1" si="144"/>
        <v>415845.21334464825</v>
      </c>
      <c r="Z202" s="358">
        <f t="shared" ca="1" si="144"/>
        <v>422004.87507876102</v>
      </c>
      <c r="AA202" s="358">
        <f t="shared" ca="1" si="145"/>
        <v>428215.73729988118</v>
      </c>
      <c r="AB202" s="358">
        <f t="shared" ca="1" si="145"/>
        <v>434478.15802133561</v>
      </c>
      <c r="AC202" s="358">
        <f t="shared" ca="1" si="145"/>
        <v>440792.49755657191</v>
      </c>
      <c r="AD202" s="358">
        <f t="shared" ca="1" si="145"/>
        <v>447159.11853321025</v>
      </c>
      <c r="AE202" s="358">
        <f t="shared" ca="1" si="145"/>
        <v>453578.38590717589</v>
      </c>
      <c r="AF202" s="358">
        <f t="shared" ca="1" si="145"/>
        <v>460050.66697691794</v>
      </c>
      <c r="AG202" s="358">
        <f t="shared" ca="1" si="145"/>
        <v>466576.33139770979</v>
      </c>
      <c r="AH202" s="358">
        <f t="shared" ca="1" si="145"/>
        <v>473155.75119603518</v>
      </c>
      <c r="AI202" s="358">
        <f t="shared" ca="1" si="145"/>
        <v>479789.30078405864</v>
      </c>
      <c r="AJ202" s="358">
        <f t="shared" ca="1" si="145"/>
        <v>486477.35697418259</v>
      </c>
      <c r="AK202" s="358">
        <f t="shared" ca="1" si="146"/>
        <v>493220.29899368808</v>
      </c>
      <c r="AL202" s="358">
        <f t="shared" ca="1" si="146"/>
        <v>500018.50849946431</v>
      </c>
      <c r="AM202" s="358">
        <f t="shared" ca="1" si="146"/>
        <v>506872.36959282338</v>
      </c>
      <c r="AN202" s="358">
        <f t="shared" ca="1" si="146"/>
        <v>513782.26883440372</v>
      </c>
      <c r="AO202" s="358">
        <f t="shared" ca="1" si="146"/>
        <v>520748.59525915998</v>
      </c>
      <c r="AP202" s="358">
        <f t="shared" ca="1" si="146"/>
        <v>527771.74039144302</v>
      </c>
      <c r="AQ202" s="358">
        <f t="shared" ca="1" si="146"/>
        <v>534852.09826016694</v>
      </c>
      <c r="AR202" s="358">
        <f t="shared" ca="1" si="146"/>
        <v>541990.06541406864</v>
      </c>
      <c r="AS202" s="358">
        <f t="shared" ca="1" si="146"/>
        <v>549186.04093705327</v>
      </c>
      <c r="AT202" s="358">
        <f t="shared" ca="1" si="146"/>
        <v>556440.42646363203</v>
      </c>
      <c r="AV202" s="358">
        <f t="shared" ca="1" si="118"/>
        <v>1757075.5732031134</v>
      </c>
      <c r="AX202" s="358">
        <f t="shared" ca="1" si="119"/>
        <v>1899957.2440271105</v>
      </c>
      <c r="AZ202" s="358">
        <f t="shared" ca="1" si="120"/>
        <v>2048934.440634938</v>
      </c>
      <c r="BB202" s="358">
        <f t="shared" ca="1" si="121"/>
        <v>2204223.8973181751</v>
      </c>
      <c r="BD202" s="358">
        <f t="shared" ca="1" si="122"/>
        <v>2366049.4073289041</v>
      </c>
      <c r="BF202" s="358">
        <f t="shared" ca="1" si="123"/>
        <v>2534642.0411795392</v>
      </c>
      <c r="BH202" s="358">
        <f t="shared" ca="1" si="124"/>
        <v>2710240.3714663638</v>
      </c>
    </row>
    <row r="203" spans="1:60" hidden="1" outlineLevel="1">
      <c r="A203" s="1464">
        <f t="shared" si="138"/>
        <v>18</v>
      </c>
      <c r="B203" s="1464">
        <f t="shared" si="139"/>
        <v>26</v>
      </c>
      <c r="C203" s="1464">
        <f t="shared" si="140"/>
        <v>13</v>
      </c>
      <c r="D203" s="1271" t="str">
        <f ca="1">IF(OFFSET(PortfolioDashboard!$A$3,C203-1,0)="","Blank",OFFSET(PortfolioDashboard!$A$3,C203-1,0))</f>
        <v>Coal to Natural Gas Conversion @ Steam Plant</v>
      </c>
      <c r="E203" s="1464" t="str">
        <f t="shared" si="141"/>
        <v>2010$</v>
      </c>
      <c r="F203" s="1460">
        <f t="shared" ca="1" si="142"/>
        <v>0</v>
      </c>
      <c r="G203" s="358">
        <f t="shared" ca="1" si="143"/>
        <v>0</v>
      </c>
      <c r="H203" s="358">
        <f t="shared" ca="1" si="143"/>
        <v>0</v>
      </c>
      <c r="I203" s="358">
        <f t="shared" ca="1" si="143"/>
        <v>0</v>
      </c>
      <c r="J203" s="358">
        <f t="shared" ca="1" si="143"/>
        <v>0</v>
      </c>
      <c r="K203" s="358">
        <f t="shared" ca="1" si="143"/>
        <v>0</v>
      </c>
      <c r="L203" s="358">
        <f t="shared" ca="1" si="143"/>
        <v>0</v>
      </c>
      <c r="M203" s="358">
        <f t="shared" ca="1" si="143"/>
        <v>0</v>
      </c>
      <c r="N203" s="358">
        <f t="shared" ca="1" si="143"/>
        <v>0</v>
      </c>
      <c r="O203" s="358">
        <f t="shared" ca="1" si="143"/>
        <v>0</v>
      </c>
      <c r="P203" s="358">
        <f t="shared" ca="1" si="143"/>
        <v>0</v>
      </c>
      <c r="Q203" s="358">
        <f t="shared" ca="1" si="144"/>
        <v>0</v>
      </c>
      <c r="R203" s="358">
        <f t="shared" ca="1" si="144"/>
        <v>0</v>
      </c>
      <c r="S203" s="358">
        <f t="shared" ca="1" si="144"/>
        <v>0</v>
      </c>
      <c r="T203" s="358">
        <f t="shared" ca="1" si="144"/>
        <v>0</v>
      </c>
      <c r="U203" s="358">
        <f t="shared" ca="1" si="144"/>
        <v>0</v>
      </c>
      <c r="V203" s="358">
        <f t="shared" ca="1" si="144"/>
        <v>0</v>
      </c>
      <c r="W203" s="358">
        <f t="shared" ca="1" si="144"/>
        <v>0</v>
      </c>
      <c r="X203" s="358">
        <f t="shared" ca="1" si="144"/>
        <v>0</v>
      </c>
      <c r="Y203" s="358">
        <f t="shared" ca="1" si="144"/>
        <v>0</v>
      </c>
      <c r="Z203" s="358">
        <f t="shared" ca="1" si="144"/>
        <v>0</v>
      </c>
      <c r="AA203" s="358">
        <f t="shared" ca="1" si="145"/>
        <v>0</v>
      </c>
      <c r="AB203" s="358">
        <f t="shared" ca="1" si="145"/>
        <v>0</v>
      </c>
      <c r="AC203" s="358">
        <f t="shared" ca="1" si="145"/>
        <v>0</v>
      </c>
      <c r="AD203" s="358">
        <f t="shared" ca="1" si="145"/>
        <v>0</v>
      </c>
      <c r="AE203" s="358">
        <f t="shared" ca="1" si="145"/>
        <v>0</v>
      </c>
      <c r="AF203" s="358">
        <f t="shared" ca="1" si="145"/>
        <v>0</v>
      </c>
      <c r="AG203" s="358">
        <f t="shared" ca="1" si="145"/>
        <v>0</v>
      </c>
      <c r="AH203" s="358">
        <f t="shared" ca="1" si="145"/>
        <v>0</v>
      </c>
      <c r="AI203" s="358">
        <f t="shared" ca="1" si="145"/>
        <v>0</v>
      </c>
      <c r="AJ203" s="358">
        <f t="shared" ca="1" si="145"/>
        <v>0</v>
      </c>
      <c r="AK203" s="358">
        <f t="shared" ca="1" si="146"/>
        <v>0</v>
      </c>
      <c r="AL203" s="358">
        <f t="shared" ca="1" si="146"/>
        <v>0</v>
      </c>
      <c r="AM203" s="358">
        <f t="shared" ca="1" si="146"/>
        <v>0</v>
      </c>
      <c r="AN203" s="358">
        <f t="shared" ca="1" si="146"/>
        <v>0</v>
      </c>
      <c r="AO203" s="358">
        <f t="shared" ca="1" si="146"/>
        <v>0</v>
      </c>
      <c r="AP203" s="358">
        <f t="shared" ca="1" si="146"/>
        <v>0</v>
      </c>
      <c r="AQ203" s="358">
        <f t="shared" ca="1" si="146"/>
        <v>0</v>
      </c>
      <c r="AR203" s="358">
        <f t="shared" ca="1" si="146"/>
        <v>0</v>
      </c>
      <c r="AS203" s="358">
        <f t="shared" ca="1" si="146"/>
        <v>0</v>
      </c>
      <c r="AT203" s="358">
        <f t="shared" ca="1" si="146"/>
        <v>0</v>
      </c>
      <c r="AV203" s="358">
        <f t="shared" ca="1" si="118"/>
        <v>0</v>
      </c>
      <c r="AX203" s="358">
        <f t="shared" ca="1" si="119"/>
        <v>0</v>
      </c>
      <c r="AZ203" s="358">
        <f t="shared" ca="1" si="120"/>
        <v>0</v>
      </c>
      <c r="BB203" s="358">
        <f t="shared" ca="1" si="121"/>
        <v>0</v>
      </c>
      <c r="BD203" s="358">
        <f t="shared" ca="1" si="122"/>
        <v>0</v>
      </c>
      <c r="BF203" s="358">
        <f t="shared" ca="1" si="123"/>
        <v>0</v>
      </c>
      <c r="BH203" s="358">
        <f t="shared" ca="1" si="124"/>
        <v>0</v>
      </c>
    </row>
    <row r="204" spans="1:60" hidden="1" outlineLevel="1">
      <c r="A204" s="1464">
        <f t="shared" si="138"/>
        <v>18</v>
      </c>
      <c r="B204" s="1464">
        <f t="shared" si="139"/>
        <v>26</v>
      </c>
      <c r="C204" s="1464">
        <f t="shared" si="140"/>
        <v>14</v>
      </c>
      <c r="D204" s="1271" t="str">
        <f ca="1">IF(OFFSET(PortfolioDashboard!$A$3,C204-1,0)="","Blank",OFFSET(PortfolioDashboard!$A$3,C204-1,0))</f>
        <v>On-site Wind</v>
      </c>
      <c r="E204" s="1464" t="str">
        <f t="shared" si="141"/>
        <v>2010$</v>
      </c>
      <c r="F204" s="1460">
        <f t="shared" ca="1" si="142"/>
        <v>0</v>
      </c>
      <c r="G204" s="358">
        <f t="shared" ca="1" si="143"/>
        <v>0</v>
      </c>
      <c r="H204" s="358">
        <f t="shared" ca="1" si="143"/>
        <v>0</v>
      </c>
      <c r="I204" s="358">
        <f t="shared" ca="1" si="143"/>
        <v>0</v>
      </c>
      <c r="J204" s="358">
        <f t="shared" ca="1" si="143"/>
        <v>0</v>
      </c>
      <c r="K204" s="358">
        <f t="shared" ca="1" si="143"/>
        <v>0</v>
      </c>
      <c r="L204" s="358">
        <f t="shared" ca="1" si="143"/>
        <v>0</v>
      </c>
      <c r="M204" s="358">
        <f t="shared" ca="1" si="143"/>
        <v>0</v>
      </c>
      <c r="N204" s="358">
        <f t="shared" ca="1" si="143"/>
        <v>0</v>
      </c>
      <c r="O204" s="358">
        <f t="shared" ca="1" si="143"/>
        <v>0</v>
      </c>
      <c r="P204" s="358">
        <f t="shared" ca="1" si="143"/>
        <v>0</v>
      </c>
      <c r="Q204" s="358">
        <f t="shared" ca="1" si="144"/>
        <v>0</v>
      </c>
      <c r="R204" s="358">
        <f t="shared" ca="1" si="144"/>
        <v>0</v>
      </c>
      <c r="S204" s="358">
        <f t="shared" ca="1" si="144"/>
        <v>0</v>
      </c>
      <c r="T204" s="358">
        <f t="shared" ca="1" si="144"/>
        <v>0</v>
      </c>
      <c r="U204" s="358">
        <f t="shared" ca="1" si="144"/>
        <v>0</v>
      </c>
      <c r="V204" s="358">
        <f t="shared" ca="1" si="144"/>
        <v>0</v>
      </c>
      <c r="W204" s="358">
        <f t="shared" ca="1" si="144"/>
        <v>0</v>
      </c>
      <c r="X204" s="358">
        <f t="shared" ca="1" si="144"/>
        <v>0</v>
      </c>
      <c r="Y204" s="358">
        <f t="shared" ca="1" si="144"/>
        <v>0</v>
      </c>
      <c r="Z204" s="358">
        <f t="shared" ca="1" si="144"/>
        <v>0</v>
      </c>
      <c r="AA204" s="358">
        <f t="shared" ca="1" si="145"/>
        <v>0</v>
      </c>
      <c r="AB204" s="358">
        <f t="shared" ca="1" si="145"/>
        <v>0</v>
      </c>
      <c r="AC204" s="358">
        <f t="shared" ca="1" si="145"/>
        <v>0</v>
      </c>
      <c r="AD204" s="358">
        <f t="shared" ca="1" si="145"/>
        <v>0</v>
      </c>
      <c r="AE204" s="358">
        <f t="shared" ca="1" si="145"/>
        <v>0</v>
      </c>
      <c r="AF204" s="358">
        <f t="shared" ca="1" si="145"/>
        <v>0</v>
      </c>
      <c r="AG204" s="358">
        <f t="shared" ca="1" si="145"/>
        <v>0</v>
      </c>
      <c r="AH204" s="358">
        <f t="shared" ca="1" si="145"/>
        <v>0</v>
      </c>
      <c r="AI204" s="358">
        <f t="shared" ca="1" si="145"/>
        <v>0</v>
      </c>
      <c r="AJ204" s="358">
        <f t="shared" ca="1" si="145"/>
        <v>0</v>
      </c>
      <c r="AK204" s="358">
        <f t="shared" ca="1" si="146"/>
        <v>0</v>
      </c>
      <c r="AL204" s="358">
        <f t="shared" ca="1" si="146"/>
        <v>0</v>
      </c>
      <c r="AM204" s="358">
        <f t="shared" ca="1" si="146"/>
        <v>0</v>
      </c>
      <c r="AN204" s="358">
        <f t="shared" ca="1" si="146"/>
        <v>0</v>
      </c>
      <c r="AO204" s="358">
        <f t="shared" ca="1" si="146"/>
        <v>0</v>
      </c>
      <c r="AP204" s="358">
        <f t="shared" ca="1" si="146"/>
        <v>0</v>
      </c>
      <c r="AQ204" s="358">
        <f t="shared" ca="1" si="146"/>
        <v>0</v>
      </c>
      <c r="AR204" s="358">
        <f t="shared" ca="1" si="146"/>
        <v>0</v>
      </c>
      <c r="AS204" s="358">
        <f t="shared" ca="1" si="146"/>
        <v>0</v>
      </c>
      <c r="AT204" s="358">
        <f t="shared" ca="1" si="146"/>
        <v>0</v>
      </c>
      <c r="AV204" s="358">
        <f t="shared" ca="1" si="118"/>
        <v>0</v>
      </c>
      <c r="AX204" s="358">
        <f t="shared" ca="1" si="119"/>
        <v>0</v>
      </c>
      <c r="AZ204" s="358">
        <f t="shared" ca="1" si="120"/>
        <v>0</v>
      </c>
      <c r="BB204" s="358">
        <f t="shared" ca="1" si="121"/>
        <v>0</v>
      </c>
      <c r="BD204" s="358">
        <f t="shared" ca="1" si="122"/>
        <v>0</v>
      </c>
      <c r="BF204" s="358">
        <f t="shared" ca="1" si="123"/>
        <v>0</v>
      </c>
      <c r="BH204" s="358">
        <f t="shared" ca="1" si="124"/>
        <v>0</v>
      </c>
    </row>
    <row r="205" spans="1:60" hidden="1" outlineLevel="1">
      <c r="A205" s="1464">
        <f t="shared" si="138"/>
        <v>18</v>
      </c>
      <c r="B205" s="1464">
        <f t="shared" si="139"/>
        <v>26</v>
      </c>
      <c r="C205" s="1464">
        <f t="shared" si="140"/>
        <v>15</v>
      </c>
      <c r="D205" s="1271" t="str">
        <f ca="1">IF(OFFSET(PortfolioDashboard!$A$3,C205-1,0)="","Blank",OFFSET(PortfolioDashboard!$A$3,C205-1,0))</f>
        <v>Solar DHW</v>
      </c>
      <c r="E205" s="1464" t="str">
        <f t="shared" si="141"/>
        <v>2010$</v>
      </c>
      <c r="F205" s="1460">
        <f t="shared" ca="1" si="142"/>
        <v>64882.291036694667</v>
      </c>
      <c r="G205" s="358">
        <f t="shared" ca="1" si="143"/>
        <v>0</v>
      </c>
      <c r="H205" s="358">
        <f t="shared" ca="1" si="143"/>
        <v>0</v>
      </c>
      <c r="I205" s="358">
        <f t="shared" ca="1" si="143"/>
        <v>4365.7750911300864</v>
      </c>
      <c r="J205" s="358">
        <f t="shared" ca="1" si="143"/>
        <v>4387.6039665857361</v>
      </c>
      <c r="K205" s="358">
        <f t="shared" ca="1" si="143"/>
        <v>4409.5419864186642</v>
      </c>
      <c r="L205" s="358">
        <f t="shared" ca="1" si="143"/>
        <v>4431.5896963507566</v>
      </c>
      <c r="M205" s="358">
        <f t="shared" ca="1" si="143"/>
        <v>4453.7476448325096</v>
      </c>
      <c r="N205" s="358">
        <f t="shared" ca="1" si="143"/>
        <v>4476.0163830566726</v>
      </c>
      <c r="O205" s="358">
        <f t="shared" ca="1" si="143"/>
        <v>4498.3964649719546</v>
      </c>
      <c r="P205" s="358">
        <f t="shared" ca="1" si="143"/>
        <v>4520.8884472968148</v>
      </c>
      <c r="Q205" s="358">
        <f t="shared" ca="1" si="144"/>
        <v>4543.4928895332978</v>
      </c>
      <c r="R205" s="358">
        <f t="shared" ca="1" si="144"/>
        <v>4566.210353980965</v>
      </c>
      <c r="S205" s="358">
        <f t="shared" ca="1" si="144"/>
        <v>4589.0414057508669</v>
      </c>
      <c r="T205" s="358">
        <f t="shared" ca="1" si="144"/>
        <v>4611.9866127796213</v>
      </c>
      <c r="U205" s="358">
        <f t="shared" ca="1" si="144"/>
        <v>4635.0465458435183</v>
      </c>
      <c r="V205" s="358">
        <f t="shared" ca="1" si="144"/>
        <v>4658.2217785727362</v>
      </c>
      <c r="W205" s="358">
        <f t="shared" ca="1" si="144"/>
        <v>4681.5128874655975</v>
      </c>
      <c r="X205" s="358">
        <f t="shared" ca="1" si="144"/>
        <v>4704.9204519029254</v>
      </c>
      <c r="Y205" s="358">
        <f t="shared" ca="1" si="144"/>
        <v>4728.4450541624392</v>
      </c>
      <c r="Z205" s="358">
        <f t="shared" ca="1" si="144"/>
        <v>4752.0872794332508</v>
      </c>
      <c r="AA205" s="358">
        <f t="shared" ca="1" si="145"/>
        <v>4775.8477158304167</v>
      </c>
      <c r="AB205" s="358">
        <f t="shared" ca="1" si="145"/>
        <v>4799.726954409568</v>
      </c>
      <c r="AC205" s="358">
        <f t="shared" ca="1" si="145"/>
        <v>4823.7255891816149</v>
      </c>
      <c r="AD205" s="358">
        <f t="shared" ca="1" si="145"/>
        <v>4847.8442171275219</v>
      </c>
      <c r="AE205" s="358">
        <f t="shared" ca="1" si="145"/>
        <v>4872.0834382131607</v>
      </c>
      <c r="AF205" s="358">
        <f t="shared" ca="1" si="145"/>
        <v>4896.4438554042254</v>
      </c>
      <c r="AG205" s="358">
        <f t="shared" ca="1" si="145"/>
        <v>4920.9260746812452</v>
      </c>
      <c r="AH205" s="358">
        <f t="shared" ca="1" si="145"/>
        <v>4945.5307050546508</v>
      </c>
      <c r="AI205" s="358">
        <f t="shared" ca="1" si="145"/>
        <v>4970.2583585799221</v>
      </c>
      <c r="AJ205" s="358">
        <f t="shared" ca="1" si="145"/>
        <v>4995.1096503728222</v>
      </c>
      <c r="AK205" s="358">
        <f t="shared" ca="1" si="146"/>
        <v>5020.0851986246853</v>
      </c>
      <c r="AL205" s="358">
        <f t="shared" ca="1" si="146"/>
        <v>5045.1856246178077</v>
      </c>
      <c r="AM205" s="358">
        <f t="shared" ca="1" si="146"/>
        <v>5070.4115527408958</v>
      </c>
      <c r="AN205" s="358">
        <f t="shared" ca="1" si="146"/>
        <v>5095.7636105045995</v>
      </c>
      <c r="AO205" s="358">
        <f t="shared" ca="1" si="146"/>
        <v>5121.2424285571224</v>
      </c>
      <c r="AP205" s="358">
        <f t="shared" ca="1" si="146"/>
        <v>5146.8486406999073</v>
      </c>
      <c r="AQ205" s="358">
        <f t="shared" ca="1" si="146"/>
        <v>5172.5828839034039</v>
      </c>
      <c r="AR205" s="358">
        <f t="shared" ca="1" si="146"/>
        <v>5198.4457983229195</v>
      </c>
      <c r="AS205" s="358">
        <f t="shared" ca="1" si="146"/>
        <v>5224.4380273145352</v>
      </c>
      <c r="AT205" s="358">
        <f t="shared" ca="1" si="146"/>
        <v>5250.5602174511068</v>
      </c>
      <c r="AV205" s="358">
        <f t="shared" ca="1" si="118"/>
        <v>22380.638636508709</v>
      </c>
      <c r="AX205" s="358">
        <f t="shared" ca="1" si="119"/>
        <v>22945.777807888266</v>
      </c>
      <c r="AZ205" s="358">
        <f t="shared" ca="1" si="120"/>
        <v>23525.187451536949</v>
      </c>
      <c r="BB205" s="358">
        <f t="shared" ca="1" si="121"/>
        <v>24119.227914762283</v>
      </c>
      <c r="BD205" s="358">
        <f t="shared" ca="1" si="122"/>
        <v>24728.268644092866</v>
      </c>
      <c r="BF205" s="358">
        <f t="shared" ca="1" si="123"/>
        <v>25352.688415045108</v>
      </c>
      <c r="BH205" s="358">
        <f t="shared" ca="1" si="124"/>
        <v>25992.875567691874</v>
      </c>
    </row>
    <row r="206" spans="1:60" hidden="1" outlineLevel="1">
      <c r="A206" s="1464">
        <f t="shared" si="138"/>
        <v>18</v>
      </c>
      <c r="B206" s="1464">
        <f t="shared" si="139"/>
        <v>26</v>
      </c>
      <c r="C206" s="1464">
        <f t="shared" si="140"/>
        <v>16</v>
      </c>
      <c r="D206" s="1271" t="str">
        <f ca="1">IF(OFFSET(PortfolioDashboard!$A$3,C206-1,0)="","Blank",OFFSET(PortfolioDashboard!$A$3,C206-1,0))</f>
        <v>Geo Exchange</v>
      </c>
      <c r="E206" s="1464" t="str">
        <f t="shared" si="141"/>
        <v>2010$</v>
      </c>
      <c r="F206" s="1460">
        <f t="shared" ca="1" si="142"/>
        <v>2876606.3207084471</v>
      </c>
      <c r="G206" s="358">
        <f t="shared" ca="1" si="143"/>
        <v>0</v>
      </c>
      <c r="H206" s="358">
        <f t="shared" ca="1" si="143"/>
        <v>0</v>
      </c>
      <c r="I206" s="358">
        <f t="shared" ca="1" si="143"/>
        <v>0</v>
      </c>
      <c r="J206" s="358">
        <f t="shared" ca="1" si="143"/>
        <v>109301.99361941483</v>
      </c>
      <c r="K206" s="358">
        <f t="shared" ca="1" si="143"/>
        <v>109848.50358751189</v>
      </c>
      <c r="L206" s="358">
        <f t="shared" ca="1" si="143"/>
        <v>220795.49221089884</v>
      </c>
      <c r="M206" s="358">
        <f t="shared" ca="1" si="143"/>
        <v>221899.46967195329</v>
      </c>
      <c r="N206" s="358">
        <f t="shared" ca="1" si="143"/>
        <v>223008.96702031308</v>
      </c>
      <c r="O206" s="358">
        <f t="shared" ca="1" si="143"/>
        <v>224124.0118554146</v>
      </c>
      <c r="P206" s="358">
        <f t="shared" ca="1" si="143"/>
        <v>225244.63191469168</v>
      </c>
      <c r="Q206" s="358">
        <f t="shared" ca="1" si="144"/>
        <v>226370.8550742651</v>
      </c>
      <c r="R206" s="358">
        <f t="shared" ca="1" si="144"/>
        <v>227502.70934963643</v>
      </c>
      <c r="S206" s="358">
        <f t="shared" ca="1" si="144"/>
        <v>228640.22289638451</v>
      </c>
      <c r="T206" s="358">
        <f t="shared" ca="1" si="144"/>
        <v>229783.42401086641</v>
      </c>
      <c r="U206" s="358">
        <f t="shared" ca="1" si="144"/>
        <v>230932.34113092071</v>
      </c>
      <c r="V206" s="358">
        <f t="shared" ca="1" si="144"/>
        <v>232087.0028365753</v>
      </c>
      <c r="W206" s="358">
        <f t="shared" ca="1" si="144"/>
        <v>233247.43785075808</v>
      </c>
      <c r="X206" s="358">
        <f t="shared" ca="1" si="144"/>
        <v>234413.67504001185</v>
      </c>
      <c r="Y206" s="358">
        <f t="shared" ca="1" si="144"/>
        <v>235585.74341521188</v>
      </c>
      <c r="Z206" s="358">
        <f t="shared" ca="1" si="144"/>
        <v>236763.67213228793</v>
      </c>
      <c r="AA206" s="358">
        <f t="shared" ca="1" si="145"/>
        <v>237947.49049294932</v>
      </c>
      <c r="AB206" s="358">
        <f t="shared" ca="1" si="145"/>
        <v>239137.22794541399</v>
      </c>
      <c r="AC206" s="358">
        <f t="shared" ca="1" si="145"/>
        <v>240332.91408514103</v>
      </c>
      <c r="AD206" s="358">
        <f t="shared" ca="1" si="145"/>
        <v>241534.57865556673</v>
      </c>
      <c r="AE206" s="358">
        <f t="shared" ca="1" si="145"/>
        <v>242742.25154884456</v>
      </c>
      <c r="AF206" s="358">
        <f t="shared" ca="1" si="145"/>
        <v>243955.96280658874</v>
      </c>
      <c r="AG206" s="358">
        <f t="shared" ca="1" si="145"/>
        <v>245175.74262062163</v>
      </c>
      <c r="AH206" s="358">
        <f t="shared" ca="1" si="145"/>
        <v>246401.62133372473</v>
      </c>
      <c r="AI206" s="358">
        <f t="shared" ca="1" si="145"/>
        <v>247633.62944039327</v>
      </c>
      <c r="AJ206" s="358">
        <f t="shared" ca="1" si="145"/>
        <v>248871.79758759521</v>
      </c>
      <c r="AK206" s="358">
        <f t="shared" ca="1" si="146"/>
        <v>250116.15657553315</v>
      </c>
      <c r="AL206" s="358">
        <f t="shared" ca="1" si="146"/>
        <v>251366.73735841076</v>
      </c>
      <c r="AM206" s="358">
        <f t="shared" ca="1" si="146"/>
        <v>252623.57104520276</v>
      </c>
      <c r="AN206" s="358">
        <f t="shared" ca="1" si="146"/>
        <v>253886.68890042877</v>
      </c>
      <c r="AO206" s="358">
        <f t="shared" ca="1" si="146"/>
        <v>255156.12234493089</v>
      </c>
      <c r="AP206" s="358">
        <f t="shared" ca="1" si="146"/>
        <v>256431.90295665548</v>
      </c>
      <c r="AQ206" s="358">
        <f t="shared" ca="1" si="146"/>
        <v>257714.06247143866</v>
      </c>
      <c r="AR206" s="358">
        <f t="shared" ca="1" si="146"/>
        <v>259002.63278379579</v>
      </c>
      <c r="AS206" s="358">
        <f t="shared" ca="1" si="146"/>
        <v>260297.6459477148</v>
      </c>
      <c r="AT206" s="358">
        <f t="shared" ca="1" si="146"/>
        <v>261599.13417745332</v>
      </c>
      <c r="AV206" s="358">
        <f t="shared" ca="1" si="118"/>
        <v>1115072.5726732716</v>
      </c>
      <c r="AX206" s="358">
        <f t="shared" ca="1" si="119"/>
        <v>1143229.5524620733</v>
      </c>
      <c r="AZ206" s="358">
        <f t="shared" ca="1" si="120"/>
        <v>1172097.5312748451</v>
      </c>
      <c r="BB206" s="358">
        <f t="shared" ca="1" si="121"/>
        <v>1201694.4627279157</v>
      </c>
      <c r="BD206" s="358">
        <f t="shared" ca="1" si="122"/>
        <v>1232038.7537889236</v>
      </c>
      <c r="BF206" s="358">
        <f t="shared" ca="1" si="123"/>
        <v>1263149.2762245063</v>
      </c>
      <c r="BH206" s="358">
        <f t="shared" ca="1" si="124"/>
        <v>1295045.378337058</v>
      </c>
    </row>
    <row r="207" spans="1:60" hidden="1" outlineLevel="1">
      <c r="A207" s="1464">
        <f t="shared" si="138"/>
        <v>18</v>
      </c>
      <c r="B207" s="1464">
        <f t="shared" si="139"/>
        <v>26</v>
      </c>
      <c r="C207" s="1464">
        <f t="shared" si="140"/>
        <v>17</v>
      </c>
      <c r="D207" s="1271" t="str">
        <f ca="1">IF(OFFSET(PortfolioDashboard!$A$3,C207-1,0)="","Blank",OFFSET(PortfolioDashboard!$A$3,C207-1,0))</f>
        <v>Rooftop Solar PV</v>
      </c>
      <c r="E207" s="1464" t="str">
        <f t="shared" si="141"/>
        <v>2010$</v>
      </c>
      <c r="F207" s="1460">
        <f t="shared" ca="1" si="142"/>
        <v>0</v>
      </c>
      <c r="G207" s="358">
        <f t="shared" ca="1" si="143"/>
        <v>0</v>
      </c>
      <c r="H207" s="358">
        <f t="shared" ca="1" si="143"/>
        <v>0</v>
      </c>
      <c r="I207" s="358">
        <f t="shared" ca="1" si="143"/>
        <v>0</v>
      </c>
      <c r="J207" s="358">
        <f t="shared" ca="1" si="143"/>
        <v>0</v>
      </c>
      <c r="K207" s="358">
        <f t="shared" ca="1" si="143"/>
        <v>0</v>
      </c>
      <c r="L207" s="358">
        <f t="shared" ca="1" si="143"/>
        <v>0</v>
      </c>
      <c r="M207" s="358">
        <f t="shared" ca="1" si="143"/>
        <v>0</v>
      </c>
      <c r="N207" s="358">
        <f t="shared" ca="1" si="143"/>
        <v>0</v>
      </c>
      <c r="O207" s="358">
        <f t="shared" ca="1" si="143"/>
        <v>0</v>
      </c>
      <c r="P207" s="358">
        <f t="shared" ca="1" si="143"/>
        <v>0</v>
      </c>
      <c r="Q207" s="358">
        <f t="shared" ca="1" si="144"/>
        <v>0</v>
      </c>
      <c r="R207" s="358">
        <f t="shared" ca="1" si="144"/>
        <v>0</v>
      </c>
      <c r="S207" s="358">
        <f t="shared" ca="1" si="144"/>
        <v>0</v>
      </c>
      <c r="T207" s="358">
        <f t="shared" ca="1" si="144"/>
        <v>0</v>
      </c>
      <c r="U207" s="358">
        <f t="shared" ca="1" si="144"/>
        <v>0</v>
      </c>
      <c r="V207" s="358">
        <f t="shared" ca="1" si="144"/>
        <v>0</v>
      </c>
      <c r="W207" s="358">
        <f t="shared" ca="1" si="144"/>
        <v>0</v>
      </c>
      <c r="X207" s="358">
        <f t="shared" ca="1" si="144"/>
        <v>0</v>
      </c>
      <c r="Y207" s="358">
        <f t="shared" ca="1" si="144"/>
        <v>0</v>
      </c>
      <c r="Z207" s="358">
        <f t="shared" ca="1" si="144"/>
        <v>0</v>
      </c>
      <c r="AA207" s="358">
        <f t="shared" ca="1" si="145"/>
        <v>0</v>
      </c>
      <c r="AB207" s="358">
        <f t="shared" ca="1" si="145"/>
        <v>0</v>
      </c>
      <c r="AC207" s="358">
        <f t="shared" ca="1" si="145"/>
        <v>0</v>
      </c>
      <c r="AD207" s="358">
        <f t="shared" ca="1" si="145"/>
        <v>0</v>
      </c>
      <c r="AE207" s="358">
        <f t="shared" ca="1" si="145"/>
        <v>0</v>
      </c>
      <c r="AF207" s="358">
        <f t="shared" ca="1" si="145"/>
        <v>0</v>
      </c>
      <c r="AG207" s="358">
        <f t="shared" ca="1" si="145"/>
        <v>0</v>
      </c>
      <c r="AH207" s="358">
        <f t="shared" ca="1" si="145"/>
        <v>0</v>
      </c>
      <c r="AI207" s="358">
        <f t="shared" ca="1" si="145"/>
        <v>0</v>
      </c>
      <c r="AJ207" s="358">
        <f t="shared" ca="1" si="145"/>
        <v>0</v>
      </c>
      <c r="AK207" s="358">
        <f t="shared" ca="1" si="146"/>
        <v>0</v>
      </c>
      <c r="AL207" s="358">
        <f t="shared" ca="1" si="146"/>
        <v>0</v>
      </c>
      <c r="AM207" s="358">
        <f t="shared" ca="1" si="146"/>
        <v>0</v>
      </c>
      <c r="AN207" s="358">
        <f t="shared" ca="1" si="146"/>
        <v>0</v>
      </c>
      <c r="AO207" s="358">
        <f t="shared" ca="1" si="146"/>
        <v>0</v>
      </c>
      <c r="AP207" s="358">
        <f t="shared" ca="1" si="146"/>
        <v>0</v>
      </c>
      <c r="AQ207" s="358">
        <f t="shared" ca="1" si="146"/>
        <v>0</v>
      </c>
      <c r="AR207" s="358">
        <f t="shared" ca="1" si="146"/>
        <v>0</v>
      </c>
      <c r="AS207" s="358">
        <f t="shared" ca="1" si="146"/>
        <v>0</v>
      </c>
      <c r="AT207" s="358">
        <f t="shared" ca="1" si="146"/>
        <v>0</v>
      </c>
      <c r="AV207" s="358">
        <f t="shared" ca="1" si="118"/>
        <v>0</v>
      </c>
      <c r="AX207" s="358">
        <f t="shared" ca="1" si="119"/>
        <v>0</v>
      </c>
      <c r="AZ207" s="358">
        <f t="shared" ca="1" si="120"/>
        <v>0</v>
      </c>
      <c r="BB207" s="358">
        <f t="shared" ca="1" si="121"/>
        <v>0</v>
      </c>
      <c r="BD207" s="358">
        <f t="shared" ca="1" si="122"/>
        <v>0</v>
      </c>
      <c r="BF207" s="358">
        <f t="shared" ca="1" si="123"/>
        <v>0</v>
      </c>
      <c r="BH207" s="358">
        <f t="shared" ca="1" si="124"/>
        <v>0</v>
      </c>
    </row>
    <row r="208" spans="1:60" hidden="1" outlineLevel="1">
      <c r="A208" s="1464">
        <f t="shared" si="138"/>
        <v>18</v>
      </c>
      <c r="B208" s="1464">
        <f t="shared" si="139"/>
        <v>26</v>
      </c>
      <c r="C208" s="1464">
        <f t="shared" si="140"/>
        <v>18</v>
      </c>
      <c r="D208" s="1271" t="str">
        <f ca="1">IF(OFFSET(PortfolioDashboard!$A$3,C208-1,0)="","Blank",OFFSET(PortfolioDashboard!$A$3,C208-1,0))</f>
        <v>Blank</v>
      </c>
      <c r="E208" s="1464" t="str">
        <f t="shared" si="141"/>
        <v>2010$</v>
      </c>
      <c r="F208" s="1460">
        <f t="shared" ca="1" si="142"/>
        <v>0</v>
      </c>
      <c r="G208" s="358">
        <f t="shared" ca="1" si="143"/>
        <v>0</v>
      </c>
      <c r="H208" s="358">
        <f t="shared" ca="1" si="143"/>
        <v>0</v>
      </c>
      <c r="I208" s="358">
        <f t="shared" ca="1" si="143"/>
        <v>0</v>
      </c>
      <c r="J208" s="358">
        <f t="shared" ca="1" si="143"/>
        <v>0</v>
      </c>
      <c r="K208" s="358">
        <f t="shared" ca="1" si="143"/>
        <v>0</v>
      </c>
      <c r="L208" s="358">
        <f t="shared" ca="1" si="143"/>
        <v>0</v>
      </c>
      <c r="M208" s="358">
        <f t="shared" ca="1" si="143"/>
        <v>0</v>
      </c>
      <c r="N208" s="358">
        <f t="shared" ca="1" si="143"/>
        <v>0</v>
      </c>
      <c r="O208" s="358">
        <f t="shared" ca="1" si="143"/>
        <v>0</v>
      </c>
      <c r="P208" s="358">
        <f t="shared" ca="1" si="143"/>
        <v>0</v>
      </c>
      <c r="Q208" s="358">
        <f t="shared" ca="1" si="144"/>
        <v>0</v>
      </c>
      <c r="R208" s="358">
        <f t="shared" ca="1" si="144"/>
        <v>0</v>
      </c>
      <c r="S208" s="358">
        <f t="shared" ca="1" si="144"/>
        <v>0</v>
      </c>
      <c r="T208" s="358">
        <f t="shared" ca="1" si="144"/>
        <v>0</v>
      </c>
      <c r="U208" s="358">
        <f t="shared" ca="1" si="144"/>
        <v>0</v>
      </c>
      <c r="V208" s="358">
        <f t="shared" ca="1" si="144"/>
        <v>0</v>
      </c>
      <c r="W208" s="358">
        <f t="shared" ca="1" si="144"/>
        <v>0</v>
      </c>
      <c r="X208" s="358">
        <f t="shared" ca="1" si="144"/>
        <v>0</v>
      </c>
      <c r="Y208" s="358">
        <f t="shared" ca="1" si="144"/>
        <v>0</v>
      </c>
      <c r="Z208" s="358">
        <f t="shared" ca="1" si="144"/>
        <v>0</v>
      </c>
      <c r="AA208" s="358">
        <f t="shared" ca="1" si="145"/>
        <v>0</v>
      </c>
      <c r="AB208" s="358">
        <f t="shared" ca="1" si="145"/>
        <v>0</v>
      </c>
      <c r="AC208" s="358">
        <f t="shared" ca="1" si="145"/>
        <v>0</v>
      </c>
      <c r="AD208" s="358">
        <f t="shared" ca="1" si="145"/>
        <v>0</v>
      </c>
      <c r="AE208" s="358">
        <f t="shared" ca="1" si="145"/>
        <v>0</v>
      </c>
      <c r="AF208" s="358">
        <f t="shared" ca="1" si="145"/>
        <v>0</v>
      </c>
      <c r="AG208" s="358">
        <f t="shared" ca="1" si="145"/>
        <v>0</v>
      </c>
      <c r="AH208" s="358">
        <f t="shared" ca="1" si="145"/>
        <v>0</v>
      </c>
      <c r="AI208" s="358">
        <f t="shared" ca="1" si="145"/>
        <v>0</v>
      </c>
      <c r="AJ208" s="358">
        <f t="shared" ca="1" si="145"/>
        <v>0</v>
      </c>
      <c r="AK208" s="358">
        <f t="shared" ca="1" si="146"/>
        <v>0</v>
      </c>
      <c r="AL208" s="358">
        <f t="shared" ca="1" si="146"/>
        <v>0</v>
      </c>
      <c r="AM208" s="358">
        <f t="shared" ca="1" si="146"/>
        <v>0</v>
      </c>
      <c r="AN208" s="358">
        <f t="shared" ca="1" si="146"/>
        <v>0</v>
      </c>
      <c r="AO208" s="358">
        <f t="shared" ca="1" si="146"/>
        <v>0</v>
      </c>
      <c r="AP208" s="358">
        <f t="shared" ca="1" si="146"/>
        <v>0</v>
      </c>
      <c r="AQ208" s="358">
        <f t="shared" ca="1" si="146"/>
        <v>0</v>
      </c>
      <c r="AR208" s="358">
        <f t="shared" ca="1" si="146"/>
        <v>0</v>
      </c>
      <c r="AS208" s="358">
        <f t="shared" ca="1" si="146"/>
        <v>0</v>
      </c>
      <c r="AT208" s="358">
        <f t="shared" ca="1" si="146"/>
        <v>0</v>
      </c>
      <c r="AV208" s="358">
        <f t="shared" ca="1" si="118"/>
        <v>0</v>
      </c>
      <c r="AX208" s="358">
        <f t="shared" ca="1" si="119"/>
        <v>0</v>
      </c>
      <c r="AZ208" s="358">
        <f t="shared" ca="1" si="120"/>
        <v>0</v>
      </c>
      <c r="BB208" s="358">
        <f t="shared" ca="1" si="121"/>
        <v>0</v>
      </c>
      <c r="BD208" s="358">
        <f t="shared" ca="1" si="122"/>
        <v>0</v>
      </c>
      <c r="BF208" s="358">
        <f t="shared" ca="1" si="123"/>
        <v>0</v>
      </c>
      <c r="BH208" s="358">
        <f t="shared" ca="1" si="124"/>
        <v>0</v>
      </c>
    </row>
    <row r="209" spans="1:60" hidden="1" outlineLevel="1">
      <c r="A209" s="1464">
        <f t="shared" si="138"/>
        <v>18</v>
      </c>
      <c r="B209" s="1464">
        <f t="shared" si="139"/>
        <v>26</v>
      </c>
      <c r="C209" s="1464">
        <f t="shared" si="140"/>
        <v>19</v>
      </c>
      <c r="D209" s="1271" t="str">
        <f ca="1">IF(OFFSET(PortfolioDashboard!$A$3,C209-1,0)="","Blank",OFFSET(PortfolioDashboard!$A$3,C209-1,0))</f>
        <v>Blank</v>
      </c>
      <c r="E209" s="1464" t="str">
        <f t="shared" si="141"/>
        <v>2010$</v>
      </c>
      <c r="F209" s="1460">
        <f t="shared" ca="1" si="142"/>
        <v>0</v>
      </c>
      <c r="G209" s="358">
        <f t="shared" ca="1" si="143"/>
        <v>0</v>
      </c>
      <c r="H209" s="358">
        <f t="shared" ca="1" si="143"/>
        <v>0</v>
      </c>
      <c r="I209" s="358">
        <f t="shared" ca="1" si="143"/>
        <v>0</v>
      </c>
      <c r="J209" s="358">
        <f t="shared" ca="1" si="143"/>
        <v>0</v>
      </c>
      <c r="K209" s="358">
        <f t="shared" ca="1" si="143"/>
        <v>0</v>
      </c>
      <c r="L209" s="358">
        <f t="shared" ca="1" si="143"/>
        <v>0</v>
      </c>
      <c r="M209" s="358">
        <f t="shared" ca="1" si="143"/>
        <v>0</v>
      </c>
      <c r="N209" s="358">
        <f t="shared" ca="1" si="143"/>
        <v>0</v>
      </c>
      <c r="O209" s="358">
        <f t="shared" ca="1" si="143"/>
        <v>0</v>
      </c>
      <c r="P209" s="358">
        <f t="shared" ca="1" si="143"/>
        <v>0</v>
      </c>
      <c r="Q209" s="358">
        <f t="shared" ca="1" si="144"/>
        <v>0</v>
      </c>
      <c r="R209" s="358">
        <f t="shared" ca="1" si="144"/>
        <v>0</v>
      </c>
      <c r="S209" s="358">
        <f t="shared" ca="1" si="144"/>
        <v>0</v>
      </c>
      <c r="T209" s="358">
        <f t="shared" ca="1" si="144"/>
        <v>0</v>
      </c>
      <c r="U209" s="358">
        <f t="shared" ca="1" si="144"/>
        <v>0</v>
      </c>
      <c r="V209" s="358">
        <f t="shared" ca="1" si="144"/>
        <v>0</v>
      </c>
      <c r="W209" s="358">
        <f t="shared" ca="1" si="144"/>
        <v>0</v>
      </c>
      <c r="X209" s="358">
        <f t="shared" ca="1" si="144"/>
        <v>0</v>
      </c>
      <c r="Y209" s="358">
        <f t="shared" ca="1" si="144"/>
        <v>0</v>
      </c>
      <c r="Z209" s="358">
        <f t="shared" ca="1" si="144"/>
        <v>0</v>
      </c>
      <c r="AA209" s="358">
        <f t="shared" ca="1" si="145"/>
        <v>0</v>
      </c>
      <c r="AB209" s="358">
        <f t="shared" ca="1" si="145"/>
        <v>0</v>
      </c>
      <c r="AC209" s="358">
        <f t="shared" ca="1" si="145"/>
        <v>0</v>
      </c>
      <c r="AD209" s="358">
        <f t="shared" ca="1" si="145"/>
        <v>0</v>
      </c>
      <c r="AE209" s="358">
        <f t="shared" ca="1" si="145"/>
        <v>0</v>
      </c>
      <c r="AF209" s="358">
        <f t="shared" ca="1" si="145"/>
        <v>0</v>
      </c>
      <c r="AG209" s="358">
        <f t="shared" ca="1" si="145"/>
        <v>0</v>
      </c>
      <c r="AH209" s="358">
        <f t="shared" ca="1" si="145"/>
        <v>0</v>
      </c>
      <c r="AI209" s="358">
        <f t="shared" ca="1" si="145"/>
        <v>0</v>
      </c>
      <c r="AJ209" s="358">
        <f t="shared" ca="1" si="145"/>
        <v>0</v>
      </c>
      <c r="AK209" s="358">
        <f t="shared" ca="1" si="146"/>
        <v>0</v>
      </c>
      <c r="AL209" s="358">
        <f t="shared" ca="1" si="146"/>
        <v>0</v>
      </c>
      <c r="AM209" s="358">
        <f t="shared" ca="1" si="146"/>
        <v>0</v>
      </c>
      <c r="AN209" s="358">
        <f t="shared" ca="1" si="146"/>
        <v>0</v>
      </c>
      <c r="AO209" s="358">
        <f t="shared" ca="1" si="146"/>
        <v>0</v>
      </c>
      <c r="AP209" s="358">
        <f t="shared" ca="1" si="146"/>
        <v>0</v>
      </c>
      <c r="AQ209" s="358">
        <f t="shared" ca="1" si="146"/>
        <v>0</v>
      </c>
      <c r="AR209" s="358">
        <f t="shared" ca="1" si="146"/>
        <v>0</v>
      </c>
      <c r="AS209" s="358">
        <f t="shared" ca="1" si="146"/>
        <v>0</v>
      </c>
      <c r="AT209" s="358">
        <f t="shared" ca="1" si="146"/>
        <v>0</v>
      </c>
      <c r="AV209" s="358">
        <f t="shared" ca="1" si="118"/>
        <v>0</v>
      </c>
      <c r="AX209" s="358">
        <f t="shared" ca="1" si="119"/>
        <v>0</v>
      </c>
      <c r="AZ209" s="358">
        <f t="shared" ca="1" si="120"/>
        <v>0</v>
      </c>
      <c r="BB209" s="358">
        <f t="shared" ca="1" si="121"/>
        <v>0</v>
      </c>
      <c r="BD209" s="358">
        <f t="shared" ca="1" si="122"/>
        <v>0</v>
      </c>
      <c r="BF209" s="358">
        <f t="shared" ca="1" si="123"/>
        <v>0</v>
      </c>
      <c r="BH209" s="358">
        <f t="shared" ca="1" si="124"/>
        <v>0</v>
      </c>
    </row>
    <row r="210" spans="1:60" hidden="1" outlineLevel="1">
      <c r="A210" s="1464">
        <f t="shared" si="138"/>
        <v>18</v>
      </c>
      <c r="B210" s="1464">
        <f t="shared" si="139"/>
        <v>26</v>
      </c>
      <c r="C210" s="1464">
        <f t="shared" si="140"/>
        <v>20</v>
      </c>
      <c r="D210" s="1271" t="str">
        <f ca="1">IF(OFFSET(PortfolioDashboard!$A$3,C210-1,0)="","Blank",OFFSET(PortfolioDashboard!$A$3,C210-1,0))</f>
        <v>Blank</v>
      </c>
      <c r="E210" s="1464" t="str">
        <f t="shared" si="141"/>
        <v>2010$</v>
      </c>
      <c r="F210" s="1460">
        <f t="shared" ca="1" si="142"/>
        <v>0</v>
      </c>
      <c r="G210" s="358">
        <f t="shared" ca="1" si="143"/>
        <v>0</v>
      </c>
      <c r="H210" s="358">
        <f t="shared" ca="1" si="143"/>
        <v>0</v>
      </c>
      <c r="I210" s="358">
        <f t="shared" ca="1" si="143"/>
        <v>0</v>
      </c>
      <c r="J210" s="358">
        <f t="shared" ca="1" si="143"/>
        <v>0</v>
      </c>
      <c r="K210" s="358">
        <f t="shared" ca="1" si="143"/>
        <v>0</v>
      </c>
      <c r="L210" s="358">
        <f t="shared" ca="1" si="143"/>
        <v>0</v>
      </c>
      <c r="M210" s="358">
        <f t="shared" ca="1" si="143"/>
        <v>0</v>
      </c>
      <c r="N210" s="358">
        <f t="shared" ca="1" si="143"/>
        <v>0</v>
      </c>
      <c r="O210" s="358">
        <f t="shared" ca="1" si="143"/>
        <v>0</v>
      </c>
      <c r="P210" s="358">
        <f t="shared" ca="1" si="143"/>
        <v>0</v>
      </c>
      <c r="Q210" s="358">
        <f t="shared" ca="1" si="144"/>
        <v>0</v>
      </c>
      <c r="R210" s="358">
        <f t="shared" ca="1" si="144"/>
        <v>0</v>
      </c>
      <c r="S210" s="358">
        <f t="shared" ca="1" si="144"/>
        <v>0</v>
      </c>
      <c r="T210" s="358">
        <f t="shared" ca="1" si="144"/>
        <v>0</v>
      </c>
      <c r="U210" s="358">
        <f t="shared" ca="1" si="144"/>
        <v>0</v>
      </c>
      <c r="V210" s="358">
        <f t="shared" ca="1" si="144"/>
        <v>0</v>
      </c>
      <c r="W210" s="358">
        <f t="shared" ca="1" si="144"/>
        <v>0</v>
      </c>
      <c r="X210" s="358">
        <f t="shared" ca="1" si="144"/>
        <v>0</v>
      </c>
      <c r="Y210" s="358">
        <f t="shared" ca="1" si="144"/>
        <v>0</v>
      </c>
      <c r="Z210" s="358">
        <f t="shared" ca="1" si="144"/>
        <v>0</v>
      </c>
      <c r="AA210" s="358">
        <f t="shared" ca="1" si="145"/>
        <v>0</v>
      </c>
      <c r="AB210" s="358">
        <f t="shared" ca="1" si="145"/>
        <v>0</v>
      </c>
      <c r="AC210" s="358">
        <f t="shared" ca="1" si="145"/>
        <v>0</v>
      </c>
      <c r="AD210" s="358">
        <f t="shared" ca="1" si="145"/>
        <v>0</v>
      </c>
      <c r="AE210" s="358">
        <f t="shared" ca="1" si="145"/>
        <v>0</v>
      </c>
      <c r="AF210" s="358">
        <f t="shared" ca="1" si="145"/>
        <v>0</v>
      </c>
      <c r="AG210" s="358">
        <f t="shared" ca="1" si="145"/>
        <v>0</v>
      </c>
      <c r="AH210" s="358">
        <f t="shared" ca="1" si="145"/>
        <v>0</v>
      </c>
      <c r="AI210" s="358">
        <f t="shared" ca="1" si="145"/>
        <v>0</v>
      </c>
      <c r="AJ210" s="358">
        <f t="shared" ca="1" si="145"/>
        <v>0</v>
      </c>
      <c r="AK210" s="358">
        <f t="shared" ca="1" si="146"/>
        <v>0</v>
      </c>
      <c r="AL210" s="358">
        <f t="shared" ca="1" si="146"/>
        <v>0</v>
      </c>
      <c r="AM210" s="358">
        <f t="shared" ca="1" si="146"/>
        <v>0</v>
      </c>
      <c r="AN210" s="358">
        <f t="shared" ca="1" si="146"/>
        <v>0</v>
      </c>
      <c r="AO210" s="358">
        <f t="shared" ca="1" si="146"/>
        <v>0</v>
      </c>
      <c r="AP210" s="358">
        <f t="shared" ca="1" si="146"/>
        <v>0</v>
      </c>
      <c r="AQ210" s="358">
        <f t="shared" ca="1" si="146"/>
        <v>0</v>
      </c>
      <c r="AR210" s="358">
        <f t="shared" ca="1" si="146"/>
        <v>0</v>
      </c>
      <c r="AS210" s="358">
        <f t="shared" ca="1" si="146"/>
        <v>0</v>
      </c>
      <c r="AT210" s="358">
        <f t="shared" ca="1" si="146"/>
        <v>0</v>
      </c>
      <c r="AV210" s="358">
        <f t="shared" ca="1" si="118"/>
        <v>0</v>
      </c>
      <c r="AX210" s="358">
        <f t="shared" ca="1" si="119"/>
        <v>0</v>
      </c>
      <c r="AZ210" s="358">
        <f t="shared" ca="1" si="120"/>
        <v>0</v>
      </c>
      <c r="BB210" s="358">
        <f t="shared" ca="1" si="121"/>
        <v>0</v>
      </c>
      <c r="BD210" s="358">
        <f t="shared" ca="1" si="122"/>
        <v>0</v>
      </c>
      <c r="BF210" s="358">
        <f t="shared" ca="1" si="123"/>
        <v>0</v>
      </c>
      <c r="BH210" s="358">
        <f t="shared" ca="1" si="124"/>
        <v>0</v>
      </c>
    </row>
    <row r="211" spans="1:60" hidden="1" outlineLevel="1">
      <c r="A211" s="1464">
        <f t="shared" si="138"/>
        <v>18</v>
      </c>
      <c r="B211" s="1464">
        <f t="shared" si="139"/>
        <v>26</v>
      </c>
      <c r="C211" s="1464">
        <f t="shared" si="140"/>
        <v>21</v>
      </c>
      <c r="D211" s="1271" t="str">
        <f ca="1">IF(OFFSET(PortfolioDashboard!$A$3,C211-1,0)="","Blank",OFFSET(PortfolioDashboard!$A$3,C211-1,0))</f>
        <v>Blank</v>
      </c>
      <c r="E211" s="1464" t="str">
        <f t="shared" si="141"/>
        <v>2010$</v>
      </c>
      <c r="F211" s="1460">
        <f t="shared" ca="1" si="142"/>
        <v>0</v>
      </c>
      <c r="G211" s="358">
        <f t="shared" ref="G211:P220" ca="1" si="147">IFERROR(OFFSET(INDIRECT(INDEX(List_of_Alternatives,MATCH($D211,NameofAlternatives,0))),$A211+G$1-$G$1,$B211),0)</f>
        <v>0</v>
      </c>
      <c r="H211" s="358">
        <f t="shared" ca="1" si="147"/>
        <v>0</v>
      </c>
      <c r="I211" s="358">
        <f t="shared" ca="1" si="147"/>
        <v>0</v>
      </c>
      <c r="J211" s="358">
        <f t="shared" ca="1" si="147"/>
        <v>0</v>
      </c>
      <c r="K211" s="358">
        <f t="shared" ca="1" si="147"/>
        <v>0</v>
      </c>
      <c r="L211" s="358">
        <f t="shared" ca="1" si="147"/>
        <v>0</v>
      </c>
      <c r="M211" s="358">
        <f t="shared" ca="1" si="147"/>
        <v>0</v>
      </c>
      <c r="N211" s="358">
        <f t="shared" ca="1" si="147"/>
        <v>0</v>
      </c>
      <c r="O211" s="358">
        <f t="shared" ca="1" si="147"/>
        <v>0</v>
      </c>
      <c r="P211" s="358">
        <f t="shared" ca="1" si="147"/>
        <v>0</v>
      </c>
      <c r="Q211" s="358">
        <f t="shared" ref="Q211:Z220" ca="1" si="148">IFERROR(OFFSET(INDIRECT(INDEX(List_of_Alternatives,MATCH($D211,NameofAlternatives,0))),$A211+Q$1-$G$1,$B211),0)</f>
        <v>0</v>
      </c>
      <c r="R211" s="358">
        <f t="shared" ca="1" si="148"/>
        <v>0</v>
      </c>
      <c r="S211" s="358">
        <f t="shared" ca="1" si="148"/>
        <v>0</v>
      </c>
      <c r="T211" s="358">
        <f t="shared" ca="1" si="148"/>
        <v>0</v>
      </c>
      <c r="U211" s="358">
        <f t="shared" ca="1" si="148"/>
        <v>0</v>
      </c>
      <c r="V211" s="358">
        <f t="shared" ca="1" si="148"/>
        <v>0</v>
      </c>
      <c r="W211" s="358">
        <f t="shared" ca="1" si="148"/>
        <v>0</v>
      </c>
      <c r="X211" s="358">
        <f t="shared" ca="1" si="148"/>
        <v>0</v>
      </c>
      <c r="Y211" s="358">
        <f t="shared" ca="1" si="148"/>
        <v>0</v>
      </c>
      <c r="Z211" s="358">
        <f t="shared" ca="1" si="148"/>
        <v>0</v>
      </c>
      <c r="AA211" s="358">
        <f t="shared" ref="AA211:AJ220" ca="1" si="149">IFERROR(OFFSET(INDIRECT(INDEX(List_of_Alternatives,MATCH($D211,NameofAlternatives,0))),$A211+AA$1-$G$1,$B211),0)</f>
        <v>0</v>
      </c>
      <c r="AB211" s="358">
        <f t="shared" ca="1" si="149"/>
        <v>0</v>
      </c>
      <c r="AC211" s="358">
        <f t="shared" ca="1" si="149"/>
        <v>0</v>
      </c>
      <c r="AD211" s="358">
        <f t="shared" ca="1" si="149"/>
        <v>0</v>
      </c>
      <c r="AE211" s="358">
        <f t="shared" ca="1" si="149"/>
        <v>0</v>
      </c>
      <c r="AF211" s="358">
        <f t="shared" ca="1" si="149"/>
        <v>0</v>
      </c>
      <c r="AG211" s="358">
        <f t="shared" ca="1" si="149"/>
        <v>0</v>
      </c>
      <c r="AH211" s="358">
        <f t="shared" ca="1" si="149"/>
        <v>0</v>
      </c>
      <c r="AI211" s="358">
        <f t="shared" ca="1" si="149"/>
        <v>0</v>
      </c>
      <c r="AJ211" s="358">
        <f t="shared" ca="1" si="149"/>
        <v>0</v>
      </c>
      <c r="AK211" s="358">
        <f t="shared" ref="AK211:AT220" ca="1" si="150">IFERROR(OFFSET(INDIRECT(INDEX(List_of_Alternatives,MATCH($D211,NameofAlternatives,0))),$A211+AK$1-$G$1,$B211),0)</f>
        <v>0</v>
      </c>
      <c r="AL211" s="358">
        <f t="shared" ca="1" si="150"/>
        <v>0</v>
      </c>
      <c r="AM211" s="358">
        <f t="shared" ca="1" si="150"/>
        <v>0</v>
      </c>
      <c r="AN211" s="358">
        <f t="shared" ca="1" si="150"/>
        <v>0</v>
      </c>
      <c r="AO211" s="358">
        <f t="shared" ca="1" si="150"/>
        <v>0</v>
      </c>
      <c r="AP211" s="358">
        <f t="shared" ca="1" si="150"/>
        <v>0</v>
      </c>
      <c r="AQ211" s="358">
        <f t="shared" ca="1" si="150"/>
        <v>0</v>
      </c>
      <c r="AR211" s="358">
        <f t="shared" ca="1" si="150"/>
        <v>0</v>
      </c>
      <c r="AS211" s="358">
        <f t="shared" ca="1" si="150"/>
        <v>0</v>
      </c>
      <c r="AT211" s="358">
        <f t="shared" ca="1" si="150"/>
        <v>0</v>
      </c>
      <c r="AV211" s="358">
        <f t="shared" ca="1" si="118"/>
        <v>0</v>
      </c>
      <c r="AX211" s="358">
        <f t="shared" ca="1" si="119"/>
        <v>0</v>
      </c>
      <c r="AZ211" s="358">
        <f t="shared" ca="1" si="120"/>
        <v>0</v>
      </c>
      <c r="BB211" s="358">
        <f t="shared" ca="1" si="121"/>
        <v>0</v>
      </c>
      <c r="BD211" s="358">
        <f t="shared" ca="1" si="122"/>
        <v>0</v>
      </c>
      <c r="BF211" s="358">
        <f t="shared" ca="1" si="123"/>
        <v>0</v>
      </c>
      <c r="BH211" s="358">
        <f t="shared" ca="1" si="124"/>
        <v>0</v>
      </c>
    </row>
    <row r="212" spans="1:60" hidden="1" outlineLevel="1">
      <c r="A212" s="1464">
        <f t="shared" si="138"/>
        <v>18</v>
      </c>
      <c r="B212" s="1464">
        <f t="shared" si="139"/>
        <v>26</v>
      </c>
      <c r="C212" s="1464">
        <f t="shared" si="140"/>
        <v>22</v>
      </c>
      <c r="D212" s="1271" t="str">
        <f ca="1">IF(OFFSET(PortfolioDashboard!$A$3,C212-1,0)="","Blank",OFFSET(PortfolioDashboard!$A$3,C212-1,0))</f>
        <v>Blank</v>
      </c>
      <c r="E212" s="1464" t="str">
        <f t="shared" si="141"/>
        <v>2010$</v>
      </c>
      <c r="F212" s="1460">
        <f t="shared" ca="1" si="142"/>
        <v>0</v>
      </c>
      <c r="G212" s="358">
        <f t="shared" ca="1" si="147"/>
        <v>0</v>
      </c>
      <c r="H212" s="358">
        <f t="shared" ca="1" si="147"/>
        <v>0</v>
      </c>
      <c r="I212" s="358">
        <f t="shared" ca="1" si="147"/>
        <v>0</v>
      </c>
      <c r="J212" s="358">
        <f t="shared" ca="1" si="147"/>
        <v>0</v>
      </c>
      <c r="K212" s="358">
        <f t="shared" ca="1" si="147"/>
        <v>0</v>
      </c>
      <c r="L212" s="358">
        <f t="shared" ca="1" si="147"/>
        <v>0</v>
      </c>
      <c r="M212" s="358">
        <f t="shared" ca="1" si="147"/>
        <v>0</v>
      </c>
      <c r="N212" s="358">
        <f t="shared" ca="1" si="147"/>
        <v>0</v>
      </c>
      <c r="O212" s="358">
        <f t="shared" ca="1" si="147"/>
        <v>0</v>
      </c>
      <c r="P212" s="358">
        <f t="shared" ca="1" si="147"/>
        <v>0</v>
      </c>
      <c r="Q212" s="358">
        <f t="shared" ca="1" si="148"/>
        <v>0</v>
      </c>
      <c r="R212" s="358">
        <f t="shared" ca="1" si="148"/>
        <v>0</v>
      </c>
      <c r="S212" s="358">
        <f t="shared" ca="1" si="148"/>
        <v>0</v>
      </c>
      <c r="T212" s="358">
        <f t="shared" ca="1" si="148"/>
        <v>0</v>
      </c>
      <c r="U212" s="358">
        <f t="shared" ca="1" si="148"/>
        <v>0</v>
      </c>
      <c r="V212" s="358">
        <f t="shared" ca="1" si="148"/>
        <v>0</v>
      </c>
      <c r="W212" s="358">
        <f t="shared" ca="1" si="148"/>
        <v>0</v>
      </c>
      <c r="X212" s="358">
        <f t="shared" ca="1" si="148"/>
        <v>0</v>
      </c>
      <c r="Y212" s="358">
        <f t="shared" ca="1" si="148"/>
        <v>0</v>
      </c>
      <c r="Z212" s="358">
        <f t="shared" ca="1" si="148"/>
        <v>0</v>
      </c>
      <c r="AA212" s="358">
        <f t="shared" ca="1" si="149"/>
        <v>0</v>
      </c>
      <c r="AB212" s="358">
        <f t="shared" ca="1" si="149"/>
        <v>0</v>
      </c>
      <c r="AC212" s="358">
        <f t="shared" ca="1" si="149"/>
        <v>0</v>
      </c>
      <c r="AD212" s="358">
        <f t="shared" ca="1" si="149"/>
        <v>0</v>
      </c>
      <c r="AE212" s="358">
        <f t="shared" ca="1" si="149"/>
        <v>0</v>
      </c>
      <c r="AF212" s="358">
        <f t="shared" ca="1" si="149"/>
        <v>0</v>
      </c>
      <c r="AG212" s="358">
        <f t="shared" ca="1" si="149"/>
        <v>0</v>
      </c>
      <c r="AH212" s="358">
        <f t="shared" ca="1" si="149"/>
        <v>0</v>
      </c>
      <c r="AI212" s="358">
        <f t="shared" ca="1" si="149"/>
        <v>0</v>
      </c>
      <c r="AJ212" s="358">
        <f t="shared" ca="1" si="149"/>
        <v>0</v>
      </c>
      <c r="AK212" s="358">
        <f t="shared" ca="1" si="150"/>
        <v>0</v>
      </c>
      <c r="AL212" s="358">
        <f t="shared" ca="1" si="150"/>
        <v>0</v>
      </c>
      <c r="AM212" s="358">
        <f t="shared" ca="1" si="150"/>
        <v>0</v>
      </c>
      <c r="AN212" s="358">
        <f t="shared" ca="1" si="150"/>
        <v>0</v>
      </c>
      <c r="AO212" s="358">
        <f t="shared" ca="1" si="150"/>
        <v>0</v>
      </c>
      <c r="AP212" s="358">
        <f t="shared" ca="1" si="150"/>
        <v>0</v>
      </c>
      <c r="AQ212" s="358">
        <f t="shared" ca="1" si="150"/>
        <v>0</v>
      </c>
      <c r="AR212" s="358">
        <f t="shared" ca="1" si="150"/>
        <v>0</v>
      </c>
      <c r="AS212" s="358">
        <f t="shared" ca="1" si="150"/>
        <v>0</v>
      </c>
      <c r="AT212" s="358">
        <f t="shared" ca="1" si="150"/>
        <v>0</v>
      </c>
      <c r="AV212" s="358">
        <f t="shared" ca="1" si="118"/>
        <v>0</v>
      </c>
      <c r="AX212" s="358">
        <f t="shared" ca="1" si="119"/>
        <v>0</v>
      </c>
      <c r="AZ212" s="358">
        <f t="shared" ca="1" si="120"/>
        <v>0</v>
      </c>
      <c r="BB212" s="358">
        <f t="shared" ca="1" si="121"/>
        <v>0</v>
      </c>
      <c r="BD212" s="358">
        <f t="shared" ca="1" si="122"/>
        <v>0</v>
      </c>
      <c r="BF212" s="358">
        <f t="shared" ca="1" si="123"/>
        <v>0</v>
      </c>
      <c r="BH212" s="358">
        <f t="shared" ca="1" si="124"/>
        <v>0</v>
      </c>
    </row>
    <row r="213" spans="1:60" hidden="1" outlineLevel="1">
      <c r="A213" s="1464">
        <f t="shared" si="138"/>
        <v>18</v>
      </c>
      <c r="B213" s="1464">
        <f t="shared" si="139"/>
        <v>26</v>
      </c>
      <c r="C213" s="1464">
        <f t="shared" si="140"/>
        <v>23</v>
      </c>
      <c r="D213" s="1271" t="str">
        <f ca="1">IF(OFFSET(PortfolioDashboard!$A$3,C213-1,0)="","Blank",OFFSET(PortfolioDashboard!$A$3,C213-1,0))</f>
        <v>Blank</v>
      </c>
      <c r="E213" s="1464" t="str">
        <f t="shared" si="141"/>
        <v>2010$</v>
      </c>
      <c r="F213" s="1460">
        <f t="shared" ca="1" si="142"/>
        <v>0</v>
      </c>
      <c r="G213" s="358">
        <f t="shared" ca="1" si="147"/>
        <v>0</v>
      </c>
      <c r="H213" s="358">
        <f t="shared" ca="1" si="147"/>
        <v>0</v>
      </c>
      <c r="I213" s="358">
        <f t="shared" ca="1" si="147"/>
        <v>0</v>
      </c>
      <c r="J213" s="358">
        <f t="shared" ca="1" si="147"/>
        <v>0</v>
      </c>
      <c r="K213" s="358">
        <f t="shared" ca="1" si="147"/>
        <v>0</v>
      </c>
      <c r="L213" s="358">
        <f t="shared" ca="1" si="147"/>
        <v>0</v>
      </c>
      <c r="M213" s="358">
        <f t="shared" ca="1" si="147"/>
        <v>0</v>
      </c>
      <c r="N213" s="358">
        <f t="shared" ca="1" si="147"/>
        <v>0</v>
      </c>
      <c r="O213" s="358">
        <f t="shared" ca="1" si="147"/>
        <v>0</v>
      </c>
      <c r="P213" s="358">
        <f t="shared" ca="1" si="147"/>
        <v>0</v>
      </c>
      <c r="Q213" s="358">
        <f t="shared" ca="1" si="148"/>
        <v>0</v>
      </c>
      <c r="R213" s="358">
        <f t="shared" ca="1" si="148"/>
        <v>0</v>
      </c>
      <c r="S213" s="358">
        <f t="shared" ca="1" si="148"/>
        <v>0</v>
      </c>
      <c r="T213" s="358">
        <f t="shared" ca="1" si="148"/>
        <v>0</v>
      </c>
      <c r="U213" s="358">
        <f t="shared" ca="1" si="148"/>
        <v>0</v>
      </c>
      <c r="V213" s="358">
        <f t="shared" ca="1" si="148"/>
        <v>0</v>
      </c>
      <c r="W213" s="358">
        <f t="shared" ca="1" si="148"/>
        <v>0</v>
      </c>
      <c r="X213" s="358">
        <f t="shared" ca="1" si="148"/>
        <v>0</v>
      </c>
      <c r="Y213" s="358">
        <f t="shared" ca="1" si="148"/>
        <v>0</v>
      </c>
      <c r="Z213" s="358">
        <f t="shared" ca="1" si="148"/>
        <v>0</v>
      </c>
      <c r="AA213" s="358">
        <f t="shared" ca="1" si="149"/>
        <v>0</v>
      </c>
      <c r="AB213" s="358">
        <f t="shared" ca="1" si="149"/>
        <v>0</v>
      </c>
      <c r="AC213" s="358">
        <f t="shared" ca="1" si="149"/>
        <v>0</v>
      </c>
      <c r="AD213" s="358">
        <f t="shared" ca="1" si="149"/>
        <v>0</v>
      </c>
      <c r="AE213" s="358">
        <f t="shared" ca="1" si="149"/>
        <v>0</v>
      </c>
      <c r="AF213" s="358">
        <f t="shared" ca="1" si="149"/>
        <v>0</v>
      </c>
      <c r="AG213" s="358">
        <f t="shared" ca="1" si="149"/>
        <v>0</v>
      </c>
      <c r="AH213" s="358">
        <f t="shared" ca="1" si="149"/>
        <v>0</v>
      </c>
      <c r="AI213" s="358">
        <f t="shared" ca="1" si="149"/>
        <v>0</v>
      </c>
      <c r="AJ213" s="358">
        <f t="shared" ca="1" si="149"/>
        <v>0</v>
      </c>
      <c r="AK213" s="358">
        <f t="shared" ca="1" si="150"/>
        <v>0</v>
      </c>
      <c r="AL213" s="358">
        <f t="shared" ca="1" si="150"/>
        <v>0</v>
      </c>
      <c r="AM213" s="358">
        <f t="shared" ca="1" si="150"/>
        <v>0</v>
      </c>
      <c r="AN213" s="358">
        <f t="shared" ca="1" si="150"/>
        <v>0</v>
      </c>
      <c r="AO213" s="358">
        <f t="shared" ca="1" si="150"/>
        <v>0</v>
      </c>
      <c r="AP213" s="358">
        <f t="shared" ca="1" si="150"/>
        <v>0</v>
      </c>
      <c r="AQ213" s="358">
        <f t="shared" ca="1" si="150"/>
        <v>0</v>
      </c>
      <c r="AR213" s="358">
        <f t="shared" ca="1" si="150"/>
        <v>0</v>
      </c>
      <c r="AS213" s="358">
        <f t="shared" ca="1" si="150"/>
        <v>0</v>
      </c>
      <c r="AT213" s="358">
        <f t="shared" ca="1" si="150"/>
        <v>0</v>
      </c>
      <c r="AV213" s="358">
        <f t="shared" ca="1" si="118"/>
        <v>0</v>
      </c>
      <c r="AX213" s="358">
        <f t="shared" ca="1" si="119"/>
        <v>0</v>
      </c>
      <c r="AZ213" s="358">
        <f t="shared" ca="1" si="120"/>
        <v>0</v>
      </c>
      <c r="BB213" s="358">
        <f t="shared" ca="1" si="121"/>
        <v>0</v>
      </c>
      <c r="BD213" s="358">
        <f t="shared" ca="1" si="122"/>
        <v>0</v>
      </c>
      <c r="BF213" s="358">
        <f t="shared" ca="1" si="123"/>
        <v>0</v>
      </c>
      <c r="BH213" s="358">
        <f t="shared" ca="1" si="124"/>
        <v>0</v>
      </c>
    </row>
    <row r="214" spans="1:60" hidden="1" outlineLevel="1">
      <c r="A214" s="1464">
        <f t="shared" si="138"/>
        <v>18</v>
      </c>
      <c r="B214" s="1464">
        <f t="shared" si="139"/>
        <v>26</v>
      </c>
      <c r="C214" s="1464">
        <f t="shared" si="140"/>
        <v>24</v>
      </c>
      <c r="D214" s="1271" t="str">
        <f ca="1">IF(OFFSET(PortfolioDashboard!$A$3,C214-1,0)="","Blank",OFFSET(PortfolioDashboard!$A$3,C214-1,0))</f>
        <v>Blank</v>
      </c>
      <c r="E214" s="1464" t="str">
        <f t="shared" si="141"/>
        <v>2010$</v>
      </c>
      <c r="F214" s="1460">
        <f t="shared" ca="1" si="142"/>
        <v>0</v>
      </c>
      <c r="G214" s="358">
        <f t="shared" ca="1" si="147"/>
        <v>0</v>
      </c>
      <c r="H214" s="358">
        <f t="shared" ca="1" si="147"/>
        <v>0</v>
      </c>
      <c r="I214" s="358">
        <f t="shared" ca="1" si="147"/>
        <v>0</v>
      </c>
      <c r="J214" s="358">
        <f t="shared" ca="1" si="147"/>
        <v>0</v>
      </c>
      <c r="K214" s="358">
        <f t="shared" ca="1" si="147"/>
        <v>0</v>
      </c>
      <c r="L214" s="358">
        <f t="shared" ca="1" si="147"/>
        <v>0</v>
      </c>
      <c r="M214" s="358">
        <f t="shared" ca="1" si="147"/>
        <v>0</v>
      </c>
      <c r="N214" s="358">
        <f t="shared" ca="1" si="147"/>
        <v>0</v>
      </c>
      <c r="O214" s="358">
        <f t="shared" ca="1" si="147"/>
        <v>0</v>
      </c>
      <c r="P214" s="358">
        <f t="shared" ca="1" si="147"/>
        <v>0</v>
      </c>
      <c r="Q214" s="358">
        <f t="shared" ca="1" si="148"/>
        <v>0</v>
      </c>
      <c r="R214" s="358">
        <f t="shared" ca="1" si="148"/>
        <v>0</v>
      </c>
      <c r="S214" s="358">
        <f t="shared" ca="1" si="148"/>
        <v>0</v>
      </c>
      <c r="T214" s="358">
        <f t="shared" ca="1" si="148"/>
        <v>0</v>
      </c>
      <c r="U214" s="358">
        <f t="shared" ca="1" si="148"/>
        <v>0</v>
      </c>
      <c r="V214" s="358">
        <f t="shared" ca="1" si="148"/>
        <v>0</v>
      </c>
      <c r="W214" s="358">
        <f t="shared" ca="1" si="148"/>
        <v>0</v>
      </c>
      <c r="X214" s="358">
        <f t="shared" ca="1" si="148"/>
        <v>0</v>
      </c>
      <c r="Y214" s="358">
        <f t="shared" ca="1" si="148"/>
        <v>0</v>
      </c>
      <c r="Z214" s="358">
        <f t="shared" ca="1" si="148"/>
        <v>0</v>
      </c>
      <c r="AA214" s="358">
        <f t="shared" ca="1" si="149"/>
        <v>0</v>
      </c>
      <c r="AB214" s="358">
        <f t="shared" ca="1" si="149"/>
        <v>0</v>
      </c>
      <c r="AC214" s="358">
        <f t="shared" ca="1" si="149"/>
        <v>0</v>
      </c>
      <c r="AD214" s="358">
        <f t="shared" ca="1" si="149"/>
        <v>0</v>
      </c>
      <c r="AE214" s="358">
        <f t="shared" ca="1" si="149"/>
        <v>0</v>
      </c>
      <c r="AF214" s="358">
        <f t="shared" ca="1" si="149"/>
        <v>0</v>
      </c>
      <c r="AG214" s="358">
        <f t="shared" ca="1" si="149"/>
        <v>0</v>
      </c>
      <c r="AH214" s="358">
        <f t="shared" ca="1" si="149"/>
        <v>0</v>
      </c>
      <c r="AI214" s="358">
        <f t="shared" ca="1" si="149"/>
        <v>0</v>
      </c>
      <c r="AJ214" s="358">
        <f t="shared" ca="1" si="149"/>
        <v>0</v>
      </c>
      <c r="AK214" s="358">
        <f t="shared" ca="1" si="150"/>
        <v>0</v>
      </c>
      <c r="AL214" s="358">
        <f t="shared" ca="1" si="150"/>
        <v>0</v>
      </c>
      <c r="AM214" s="358">
        <f t="shared" ca="1" si="150"/>
        <v>0</v>
      </c>
      <c r="AN214" s="358">
        <f t="shared" ca="1" si="150"/>
        <v>0</v>
      </c>
      <c r="AO214" s="358">
        <f t="shared" ca="1" si="150"/>
        <v>0</v>
      </c>
      <c r="AP214" s="358">
        <f t="shared" ca="1" si="150"/>
        <v>0</v>
      </c>
      <c r="AQ214" s="358">
        <f t="shared" ca="1" si="150"/>
        <v>0</v>
      </c>
      <c r="AR214" s="358">
        <f t="shared" ca="1" si="150"/>
        <v>0</v>
      </c>
      <c r="AS214" s="358">
        <f t="shared" ca="1" si="150"/>
        <v>0</v>
      </c>
      <c r="AT214" s="358">
        <f t="shared" ca="1" si="150"/>
        <v>0</v>
      </c>
      <c r="AV214" s="358">
        <f t="shared" ca="1" si="118"/>
        <v>0</v>
      </c>
      <c r="AX214" s="358">
        <f t="shared" ca="1" si="119"/>
        <v>0</v>
      </c>
      <c r="AZ214" s="358">
        <f t="shared" ca="1" si="120"/>
        <v>0</v>
      </c>
      <c r="BB214" s="358">
        <f t="shared" ca="1" si="121"/>
        <v>0</v>
      </c>
      <c r="BD214" s="358">
        <f t="shared" ca="1" si="122"/>
        <v>0</v>
      </c>
      <c r="BF214" s="358">
        <f t="shared" ca="1" si="123"/>
        <v>0</v>
      </c>
      <c r="BH214" s="358">
        <f t="shared" ca="1" si="124"/>
        <v>0</v>
      </c>
    </row>
    <row r="215" spans="1:60" hidden="1" outlineLevel="1">
      <c r="A215" s="1464">
        <f t="shared" si="138"/>
        <v>18</v>
      </c>
      <c r="B215" s="1464">
        <f t="shared" si="139"/>
        <v>26</v>
      </c>
      <c r="C215" s="1464">
        <f t="shared" si="140"/>
        <v>25</v>
      </c>
      <c r="D215" s="1271" t="str">
        <f ca="1">IF(OFFSET(PortfolioDashboard!$A$3,C215-1,0)="","Blank",OFFSET(PortfolioDashboard!$A$3,C215-1,0))</f>
        <v>Blank</v>
      </c>
      <c r="E215" s="1464" t="str">
        <f t="shared" si="141"/>
        <v>2010$</v>
      </c>
      <c r="F215" s="1460">
        <f t="shared" ca="1" si="142"/>
        <v>0</v>
      </c>
      <c r="G215" s="358">
        <f t="shared" ca="1" si="147"/>
        <v>0</v>
      </c>
      <c r="H215" s="358">
        <f t="shared" ca="1" si="147"/>
        <v>0</v>
      </c>
      <c r="I215" s="358">
        <f t="shared" ca="1" si="147"/>
        <v>0</v>
      </c>
      <c r="J215" s="358">
        <f t="shared" ca="1" si="147"/>
        <v>0</v>
      </c>
      <c r="K215" s="358">
        <f t="shared" ca="1" si="147"/>
        <v>0</v>
      </c>
      <c r="L215" s="358">
        <f t="shared" ca="1" si="147"/>
        <v>0</v>
      </c>
      <c r="M215" s="358">
        <f t="shared" ca="1" si="147"/>
        <v>0</v>
      </c>
      <c r="N215" s="358">
        <f t="shared" ca="1" si="147"/>
        <v>0</v>
      </c>
      <c r="O215" s="358">
        <f t="shared" ca="1" si="147"/>
        <v>0</v>
      </c>
      <c r="P215" s="358">
        <f t="shared" ca="1" si="147"/>
        <v>0</v>
      </c>
      <c r="Q215" s="358">
        <f t="shared" ca="1" si="148"/>
        <v>0</v>
      </c>
      <c r="R215" s="358">
        <f t="shared" ca="1" si="148"/>
        <v>0</v>
      </c>
      <c r="S215" s="358">
        <f t="shared" ca="1" si="148"/>
        <v>0</v>
      </c>
      <c r="T215" s="358">
        <f t="shared" ca="1" si="148"/>
        <v>0</v>
      </c>
      <c r="U215" s="358">
        <f t="shared" ca="1" si="148"/>
        <v>0</v>
      </c>
      <c r="V215" s="358">
        <f t="shared" ca="1" si="148"/>
        <v>0</v>
      </c>
      <c r="W215" s="358">
        <f t="shared" ca="1" si="148"/>
        <v>0</v>
      </c>
      <c r="X215" s="358">
        <f t="shared" ca="1" si="148"/>
        <v>0</v>
      </c>
      <c r="Y215" s="358">
        <f t="shared" ca="1" si="148"/>
        <v>0</v>
      </c>
      <c r="Z215" s="358">
        <f t="shared" ca="1" si="148"/>
        <v>0</v>
      </c>
      <c r="AA215" s="358">
        <f t="shared" ca="1" si="149"/>
        <v>0</v>
      </c>
      <c r="AB215" s="358">
        <f t="shared" ca="1" si="149"/>
        <v>0</v>
      </c>
      <c r="AC215" s="358">
        <f t="shared" ca="1" si="149"/>
        <v>0</v>
      </c>
      <c r="AD215" s="358">
        <f t="shared" ca="1" si="149"/>
        <v>0</v>
      </c>
      <c r="AE215" s="358">
        <f t="shared" ca="1" si="149"/>
        <v>0</v>
      </c>
      <c r="AF215" s="358">
        <f t="shared" ca="1" si="149"/>
        <v>0</v>
      </c>
      <c r="AG215" s="358">
        <f t="shared" ca="1" si="149"/>
        <v>0</v>
      </c>
      <c r="AH215" s="358">
        <f t="shared" ca="1" si="149"/>
        <v>0</v>
      </c>
      <c r="AI215" s="358">
        <f t="shared" ca="1" si="149"/>
        <v>0</v>
      </c>
      <c r="AJ215" s="358">
        <f t="shared" ca="1" si="149"/>
        <v>0</v>
      </c>
      <c r="AK215" s="358">
        <f t="shared" ca="1" si="150"/>
        <v>0</v>
      </c>
      <c r="AL215" s="358">
        <f t="shared" ca="1" si="150"/>
        <v>0</v>
      </c>
      <c r="AM215" s="358">
        <f t="shared" ca="1" si="150"/>
        <v>0</v>
      </c>
      <c r="AN215" s="358">
        <f t="shared" ca="1" si="150"/>
        <v>0</v>
      </c>
      <c r="AO215" s="358">
        <f t="shared" ca="1" si="150"/>
        <v>0</v>
      </c>
      <c r="AP215" s="358">
        <f t="shared" ca="1" si="150"/>
        <v>0</v>
      </c>
      <c r="AQ215" s="358">
        <f t="shared" ca="1" si="150"/>
        <v>0</v>
      </c>
      <c r="AR215" s="358">
        <f t="shared" ca="1" si="150"/>
        <v>0</v>
      </c>
      <c r="AS215" s="358">
        <f t="shared" ca="1" si="150"/>
        <v>0</v>
      </c>
      <c r="AT215" s="358">
        <f t="shared" ca="1" si="150"/>
        <v>0</v>
      </c>
      <c r="AV215" s="358">
        <f t="shared" ca="1" si="118"/>
        <v>0</v>
      </c>
      <c r="AX215" s="358">
        <f t="shared" ca="1" si="119"/>
        <v>0</v>
      </c>
      <c r="AZ215" s="358">
        <f t="shared" ca="1" si="120"/>
        <v>0</v>
      </c>
      <c r="BB215" s="358">
        <f t="shared" ca="1" si="121"/>
        <v>0</v>
      </c>
      <c r="BD215" s="358">
        <f t="shared" ca="1" si="122"/>
        <v>0</v>
      </c>
      <c r="BF215" s="358">
        <f t="shared" ca="1" si="123"/>
        <v>0</v>
      </c>
      <c r="BH215" s="358">
        <f t="shared" ca="1" si="124"/>
        <v>0</v>
      </c>
    </row>
    <row r="216" spans="1:60" hidden="1" outlineLevel="1">
      <c r="A216" s="1464">
        <f t="shared" si="138"/>
        <v>18</v>
      </c>
      <c r="B216" s="1464">
        <f t="shared" si="139"/>
        <v>26</v>
      </c>
      <c r="C216" s="1464">
        <f t="shared" si="140"/>
        <v>26</v>
      </c>
      <c r="D216" s="1271" t="str">
        <f ca="1">IF(OFFSET(PortfolioDashboard!$A$3,C216-1,0)="","Blank",OFFSET(PortfolioDashboard!$A$3,C216-1,0))</f>
        <v>Blank</v>
      </c>
      <c r="E216" s="1464" t="str">
        <f t="shared" si="141"/>
        <v>2010$</v>
      </c>
      <c r="F216" s="1460">
        <f t="shared" ca="1" si="142"/>
        <v>0</v>
      </c>
      <c r="G216" s="358">
        <f t="shared" ca="1" si="147"/>
        <v>0</v>
      </c>
      <c r="H216" s="358">
        <f t="shared" ca="1" si="147"/>
        <v>0</v>
      </c>
      <c r="I216" s="358">
        <f t="shared" ca="1" si="147"/>
        <v>0</v>
      </c>
      <c r="J216" s="358">
        <f t="shared" ca="1" si="147"/>
        <v>0</v>
      </c>
      <c r="K216" s="358">
        <f t="shared" ca="1" si="147"/>
        <v>0</v>
      </c>
      <c r="L216" s="358">
        <f t="shared" ca="1" si="147"/>
        <v>0</v>
      </c>
      <c r="M216" s="358">
        <f t="shared" ca="1" si="147"/>
        <v>0</v>
      </c>
      <c r="N216" s="358">
        <f t="shared" ca="1" si="147"/>
        <v>0</v>
      </c>
      <c r="O216" s="358">
        <f t="shared" ca="1" si="147"/>
        <v>0</v>
      </c>
      <c r="P216" s="358">
        <f t="shared" ca="1" si="147"/>
        <v>0</v>
      </c>
      <c r="Q216" s="358">
        <f t="shared" ca="1" si="148"/>
        <v>0</v>
      </c>
      <c r="R216" s="358">
        <f t="shared" ca="1" si="148"/>
        <v>0</v>
      </c>
      <c r="S216" s="358">
        <f t="shared" ca="1" si="148"/>
        <v>0</v>
      </c>
      <c r="T216" s="358">
        <f t="shared" ca="1" si="148"/>
        <v>0</v>
      </c>
      <c r="U216" s="358">
        <f t="shared" ca="1" si="148"/>
        <v>0</v>
      </c>
      <c r="V216" s="358">
        <f t="shared" ca="1" si="148"/>
        <v>0</v>
      </c>
      <c r="W216" s="358">
        <f t="shared" ca="1" si="148"/>
        <v>0</v>
      </c>
      <c r="X216" s="358">
        <f t="shared" ca="1" si="148"/>
        <v>0</v>
      </c>
      <c r="Y216" s="358">
        <f t="shared" ca="1" si="148"/>
        <v>0</v>
      </c>
      <c r="Z216" s="358">
        <f t="shared" ca="1" si="148"/>
        <v>0</v>
      </c>
      <c r="AA216" s="358">
        <f t="shared" ca="1" si="149"/>
        <v>0</v>
      </c>
      <c r="AB216" s="358">
        <f t="shared" ca="1" si="149"/>
        <v>0</v>
      </c>
      <c r="AC216" s="358">
        <f t="shared" ca="1" si="149"/>
        <v>0</v>
      </c>
      <c r="AD216" s="358">
        <f t="shared" ca="1" si="149"/>
        <v>0</v>
      </c>
      <c r="AE216" s="358">
        <f t="shared" ca="1" si="149"/>
        <v>0</v>
      </c>
      <c r="AF216" s="358">
        <f t="shared" ca="1" si="149"/>
        <v>0</v>
      </c>
      <c r="AG216" s="358">
        <f t="shared" ca="1" si="149"/>
        <v>0</v>
      </c>
      <c r="AH216" s="358">
        <f t="shared" ca="1" si="149"/>
        <v>0</v>
      </c>
      <c r="AI216" s="358">
        <f t="shared" ca="1" si="149"/>
        <v>0</v>
      </c>
      <c r="AJ216" s="358">
        <f t="shared" ca="1" si="149"/>
        <v>0</v>
      </c>
      <c r="AK216" s="358">
        <f t="shared" ca="1" si="150"/>
        <v>0</v>
      </c>
      <c r="AL216" s="358">
        <f t="shared" ca="1" si="150"/>
        <v>0</v>
      </c>
      <c r="AM216" s="358">
        <f t="shared" ca="1" si="150"/>
        <v>0</v>
      </c>
      <c r="AN216" s="358">
        <f t="shared" ca="1" si="150"/>
        <v>0</v>
      </c>
      <c r="AO216" s="358">
        <f t="shared" ca="1" si="150"/>
        <v>0</v>
      </c>
      <c r="AP216" s="358">
        <f t="shared" ca="1" si="150"/>
        <v>0</v>
      </c>
      <c r="AQ216" s="358">
        <f t="shared" ca="1" si="150"/>
        <v>0</v>
      </c>
      <c r="AR216" s="358">
        <f t="shared" ca="1" si="150"/>
        <v>0</v>
      </c>
      <c r="AS216" s="358">
        <f t="shared" ca="1" si="150"/>
        <v>0</v>
      </c>
      <c r="AT216" s="358">
        <f t="shared" ca="1" si="150"/>
        <v>0</v>
      </c>
      <c r="AV216" s="358">
        <f t="shared" ca="1" si="118"/>
        <v>0</v>
      </c>
      <c r="AX216" s="358">
        <f t="shared" ca="1" si="119"/>
        <v>0</v>
      </c>
      <c r="AZ216" s="358">
        <f t="shared" ca="1" si="120"/>
        <v>0</v>
      </c>
      <c r="BB216" s="358">
        <f t="shared" ca="1" si="121"/>
        <v>0</v>
      </c>
      <c r="BD216" s="358">
        <f t="shared" ca="1" si="122"/>
        <v>0</v>
      </c>
      <c r="BF216" s="358">
        <f t="shared" ca="1" si="123"/>
        <v>0</v>
      </c>
      <c r="BH216" s="358">
        <f t="shared" ca="1" si="124"/>
        <v>0</v>
      </c>
    </row>
    <row r="217" spans="1:60" hidden="1" outlineLevel="1">
      <c r="A217" s="1464">
        <f t="shared" si="138"/>
        <v>18</v>
      </c>
      <c r="B217" s="1464">
        <f t="shared" si="139"/>
        <v>26</v>
      </c>
      <c r="C217" s="1464">
        <f t="shared" si="140"/>
        <v>27</v>
      </c>
      <c r="D217" s="1271" t="str">
        <f ca="1">IF(OFFSET(PortfolioDashboard!$A$3,C217-1,0)="","Blank",OFFSET(PortfolioDashboard!$A$3,C217-1,0))</f>
        <v>Blank</v>
      </c>
      <c r="E217" s="1464" t="str">
        <f t="shared" si="141"/>
        <v>2010$</v>
      </c>
      <c r="F217" s="1460">
        <f t="shared" ca="1" si="142"/>
        <v>0</v>
      </c>
      <c r="G217" s="358">
        <f t="shared" ca="1" si="147"/>
        <v>0</v>
      </c>
      <c r="H217" s="358">
        <f t="shared" ca="1" si="147"/>
        <v>0</v>
      </c>
      <c r="I217" s="358">
        <f t="shared" ca="1" si="147"/>
        <v>0</v>
      </c>
      <c r="J217" s="358">
        <f t="shared" ca="1" si="147"/>
        <v>0</v>
      </c>
      <c r="K217" s="358">
        <f t="shared" ca="1" si="147"/>
        <v>0</v>
      </c>
      <c r="L217" s="358">
        <f t="shared" ca="1" si="147"/>
        <v>0</v>
      </c>
      <c r="M217" s="358">
        <f t="shared" ca="1" si="147"/>
        <v>0</v>
      </c>
      <c r="N217" s="358">
        <f t="shared" ca="1" si="147"/>
        <v>0</v>
      </c>
      <c r="O217" s="358">
        <f t="shared" ca="1" si="147"/>
        <v>0</v>
      </c>
      <c r="P217" s="358">
        <f t="shared" ca="1" si="147"/>
        <v>0</v>
      </c>
      <c r="Q217" s="358">
        <f t="shared" ca="1" si="148"/>
        <v>0</v>
      </c>
      <c r="R217" s="358">
        <f t="shared" ca="1" si="148"/>
        <v>0</v>
      </c>
      <c r="S217" s="358">
        <f t="shared" ca="1" si="148"/>
        <v>0</v>
      </c>
      <c r="T217" s="358">
        <f t="shared" ca="1" si="148"/>
        <v>0</v>
      </c>
      <c r="U217" s="358">
        <f t="shared" ca="1" si="148"/>
        <v>0</v>
      </c>
      <c r="V217" s="358">
        <f t="shared" ca="1" si="148"/>
        <v>0</v>
      </c>
      <c r="W217" s="358">
        <f t="shared" ca="1" si="148"/>
        <v>0</v>
      </c>
      <c r="X217" s="358">
        <f t="shared" ca="1" si="148"/>
        <v>0</v>
      </c>
      <c r="Y217" s="358">
        <f t="shared" ca="1" si="148"/>
        <v>0</v>
      </c>
      <c r="Z217" s="358">
        <f t="shared" ca="1" si="148"/>
        <v>0</v>
      </c>
      <c r="AA217" s="358">
        <f t="shared" ca="1" si="149"/>
        <v>0</v>
      </c>
      <c r="AB217" s="358">
        <f t="shared" ca="1" si="149"/>
        <v>0</v>
      </c>
      <c r="AC217" s="358">
        <f t="shared" ca="1" si="149"/>
        <v>0</v>
      </c>
      <c r="AD217" s="358">
        <f t="shared" ca="1" si="149"/>
        <v>0</v>
      </c>
      <c r="AE217" s="358">
        <f t="shared" ca="1" si="149"/>
        <v>0</v>
      </c>
      <c r="AF217" s="358">
        <f t="shared" ca="1" si="149"/>
        <v>0</v>
      </c>
      <c r="AG217" s="358">
        <f t="shared" ca="1" si="149"/>
        <v>0</v>
      </c>
      <c r="AH217" s="358">
        <f t="shared" ca="1" si="149"/>
        <v>0</v>
      </c>
      <c r="AI217" s="358">
        <f t="shared" ca="1" si="149"/>
        <v>0</v>
      </c>
      <c r="AJ217" s="358">
        <f t="shared" ca="1" si="149"/>
        <v>0</v>
      </c>
      <c r="AK217" s="358">
        <f t="shared" ca="1" si="150"/>
        <v>0</v>
      </c>
      <c r="AL217" s="358">
        <f t="shared" ca="1" si="150"/>
        <v>0</v>
      </c>
      <c r="AM217" s="358">
        <f t="shared" ca="1" si="150"/>
        <v>0</v>
      </c>
      <c r="AN217" s="358">
        <f t="shared" ca="1" si="150"/>
        <v>0</v>
      </c>
      <c r="AO217" s="358">
        <f t="shared" ca="1" si="150"/>
        <v>0</v>
      </c>
      <c r="AP217" s="358">
        <f t="shared" ca="1" si="150"/>
        <v>0</v>
      </c>
      <c r="AQ217" s="358">
        <f t="shared" ca="1" si="150"/>
        <v>0</v>
      </c>
      <c r="AR217" s="358">
        <f t="shared" ca="1" si="150"/>
        <v>0</v>
      </c>
      <c r="AS217" s="358">
        <f t="shared" ca="1" si="150"/>
        <v>0</v>
      </c>
      <c r="AT217" s="358">
        <f t="shared" ca="1" si="150"/>
        <v>0</v>
      </c>
      <c r="AV217" s="358">
        <f t="shared" ca="1" si="118"/>
        <v>0</v>
      </c>
      <c r="AX217" s="358">
        <f t="shared" ca="1" si="119"/>
        <v>0</v>
      </c>
      <c r="AZ217" s="358">
        <f t="shared" ca="1" si="120"/>
        <v>0</v>
      </c>
      <c r="BB217" s="358">
        <f t="shared" ca="1" si="121"/>
        <v>0</v>
      </c>
      <c r="BD217" s="358">
        <f t="shared" ca="1" si="122"/>
        <v>0</v>
      </c>
      <c r="BF217" s="358">
        <f t="shared" ca="1" si="123"/>
        <v>0</v>
      </c>
      <c r="BH217" s="358">
        <f t="shared" ca="1" si="124"/>
        <v>0</v>
      </c>
    </row>
    <row r="218" spans="1:60" hidden="1" outlineLevel="1">
      <c r="A218" s="1464">
        <f t="shared" si="138"/>
        <v>18</v>
      </c>
      <c r="B218" s="1464">
        <f t="shared" si="139"/>
        <v>26</v>
      </c>
      <c r="C218" s="1464">
        <f t="shared" si="140"/>
        <v>28</v>
      </c>
      <c r="D218" s="1271" t="str">
        <f ca="1">IF(OFFSET(PortfolioDashboard!$A$3,C218-1,0)="","Blank",OFFSET(PortfolioDashboard!$A$3,C218-1,0))</f>
        <v>Blank</v>
      </c>
      <c r="E218" s="1464" t="str">
        <f t="shared" si="141"/>
        <v>2010$</v>
      </c>
      <c r="F218" s="1460">
        <f t="shared" ca="1" si="142"/>
        <v>0</v>
      </c>
      <c r="G218" s="358">
        <f t="shared" ca="1" si="147"/>
        <v>0</v>
      </c>
      <c r="H218" s="358">
        <f t="shared" ca="1" si="147"/>
        <v>0</v>
      </c>
      <c r="I218" s="358">
        <f t="shared" ca="1" si="147"/>
        <v>0</v>
      </c>
      <c r="J218" s="358">
        <f t="shared" ca="1" si="147"/>
        <v>0</v>
      </c>
      <c r="K218" s="358">
        <f t="shared" ca="1" si="147"/>
        <v>0</v>
      </c>
      <c r="L218" s="358">
        <f t="shared" ca="1" si="147"/>
        <v>0</v>
      </c>
      <c r="M218" s="358">
        <f t="shared" ca="1" si="147"/>
        <v>0</v>
      </c>
      <c r="N218" s="358">
        <f t="shared" ca="1" si="147"/>
        <v>0</v>
      </c>
      <c r="O218" s="358">
        <f t="shared" ca="1" si="147"/>
        <v>0</v>
      </c>
      <c r="P218" s="358">
        <f t="shared" ca="1" si="147"/>
        <v>0</v>
      </c>
      <c r="Q218" s="358">
        <f t="shared" ca="1" si="148"/>
        <v>0</v>
      </c>
      <c r="R218" s="358">
        <f t="shared" ca="1" si="148"/>
        <v>0</v>
      </c>
      <c r="S218" s="358">
        <f t="shared" ca="1" si="148"/>
        <v>0</v>
      </c>
      <c r="T218" s="358">
        <f t="shared" ca="1" si="148"/>
        <v>0</v>
      </c>
      <c r="U218" s="358">
        <f t="shared" ca="1" si="148"/>
        <v>0</v>
      </c>
      <c r="V218" s="358">
        <f t="shared" ca="1" si="148"/>
        <v>0</v>
      </c>
      <c r="W218" s="358">
        <f t="shared" ca="1" si="148"/>
        <v>0</v>
      </c>
      <c r="X218" s="358">
        <f t="shared" ca="1" si="148"/>
        <v>0</v>
      </c>
      <c r="Y218" s="358">
        <f t="shared" ca="1" si="148"/>
        <v>0</v>
      </c>
      <c r="Z218" s="358">
        <f t="shared" ca="1" si="148"/>
        <v>0</v>
      </c>
      <c r="AA218" s="358">
        <f t="shared" ca="1" si="149"/>
        <v>0</v>
      </c>
      <c r="AB218" s="358">
        <f t="shared" ca="1" si="149"/>
        <v>0</v>
      </c>
      <c r="AC218" s="358">
        <f t="shared" ca="1" si="149"/>
        <v>0</v>
      </c>
      <c r="AD218" s="358">
        <f t="shared" ca="1" si="149"/>
        <v>0</v>
      </c>
      <c r="AE218" s="358">
        <f t="shared" ca="1" si="149"/>
        <v>0</v>
      </c>
      <c r="AF218" s="358">
        <f t="shared" ca="1" si="149"/>
        <v>0</v>
      </c>
      <c r="AG218" s="358">
        <f t="shared" ca="1" si="149"/>
        <v>0</v>
      </c>
      <c r="AH218" s="358">
        <f t="shared" ca="1" si="149"/>
        <v>0</v>
      </c>
      <c r="AI218" s="358">
        <f t="shared" ca="1" si="149"/>
        <v>0</v>
      </c>
      <c r="AJ218" s="358">
        <f t="shared" ca="1" si="149"/>
        <v>0</v>
      </c>
      <c r="AK218" s="358">
        <f t="shared" ca="1" si="150"/>
        <v>0</v>
      </c>
      <c r="AL218" s="358">
        <f t="shared" ca="1" si="150"/>
        <v>0</v>
      </c>
      <c r="AM218" s="358">
        <f t="shared" ca="1" si="150"/>
        <v>0</v>
      </c>
      <c r="AN218" s="358">
        <f t="shared" ca="1" si="150"/>
        <v>0</v>
      </c>
      <c r="AO218" s="358">
        <f t="shared" ca="1" si="150"/>
        <v>0</v>
      </c>
      <c r="AP218" s="358">
        <f t="shared" ca="1" si="150"/>
        <v>0</v>
      </c>
      <c r="AQ218" s="358">
        <f t="shared" ca="1" si="150"/>
        <v>0</v>
      </c>
      <c r="AR218" s="358">
        <f t="shared" ca="1" si="150"/>
        <v>0</v>
      </c>
      <c r="AS218" s="358">
        <f t="shared" ca="1" si="150"/>
        <v>0</v>
      </c>
      <c r="AT218" s="358">
        <f t="shared" ca="1" si="150"/>
        <v>0</v>
      </c>
      <c r="AV218" s="358">
        <f t="shared" ca="1" si="118"/>
        <v>0</v>
      </c>
      <c r="AX218" s="358">
        <f t="shared" ca="1" si="119"/>
        <v>0</v>
      </c>
      <c r="AZ218" s="358">
        <f t="shared" ca="1" si="120"/>
        <v>0</v>
      </c>
      <c r="BB218" s="358">
        <f t="shared" ca="1" si="121"/>
        <v>0</v>
      </c>
      <c r="BD218" s="358">
        <f t="shared" ca="1" si="122"/>
        <v>0</v>
      </c>
      <c r="BF218" s="358">
        <f t="shared" ca="1" si="123"/>
        <v>0</v>
      </c>
      <c r="BH218" s="358">
        <f t="shared" ca="1" si="124"/>
        <v>0</v>
      </c>
    </row>
    <row r="219" spans="1:60" hidden="1" outlineLevel="1">
      <c r="A219" s="1464">
        <f t="shared" si="138"/>
        <v>18</v>
      </c>
      <c r="B219" s="1464">
        <f t="shared" si="139"/>
        <v>26</v>
      </c>
      <c r="C219" s="1464">
        <f t="shared" si="140"/>
        <v>29</v>
      </c>
      <c r="D219" s="1271" t="str">
        <f ca="1">IF(OFFSET(PortfolioDashboard!$A$3,C219-1,0)="","Blank",OFFSET(PortfolioDashboard!$A$3,C219-1,0))</f>
        <v>Blank</v>
      </c>
      <c r="E219" s="1464" t="str">
        <f t="shared" si="141"/>
        <v>2010$</v>
      </c>
      <c r="F219" s="1460">
        <f t="shared" ca="1" si="142"/>
        <v>0</v>
      </c>
      <c r="G219" s="358">
        <f t="shared" ca="1" si="147"/>
        <v>0</v>
      </c>
      <c r="H219" s="358">
        <f t="shared" ca="1" si="147"/>
        <v>0</v>
      </c>
      <c r="I219" s="358">
        <f t="shared" ca="1" si="147"/>
        <v>0</v>
      </c>
      <c r="J219" s="358">
        <f t="shared" ca="1" si="147"/>
        <v>0</v>
      </c>
      <c r="K219" s="358">
        <f t="shared" ca="1" si="147"/>
        <v>0</v>
      </c>
      <c r="L219" s="358">
        <f t="shared" ca="1" si="147"/>
        <v>0</v>
      </c>
      <c r="M219" s="358">
        <f t="shared" ca="1" si="147"/>
        <v>0</v>
      </c>
      <c r="N219" s="358">
        <f t="shared" ca="1" si="147"/>
        <v>0</v>
      </c>
      <c r="O219" s="358">
        <f t="shared" ca="1" si="147"/>
        <v>0</v>
      </c>
      <c r="P219" s="358">
        <f t="shared" ca="1" si="147"/>
        <v>0</v>
      </c>
      <c r="Q219" s="358">
        <f t="shared" ca="1" si="148"/>
        <v>0</v>
      </c>
      <c r="R219" s="358">
        <f t="shared" ca="1" si="148"/>
        <v>0</v>
      </c>
      <c r="S219" s="358">
        <f t="shared" ca="1" si="148"/>
        <v>0</v>
      </c>
      <c r="T219" s="358">
        <f t="shared" ca="1" si="148"/>
        <v>0</v>
      </c>
      <c r="U219" s="358">
        <f t="shared" ca="1" si="148"/>
        <v>0</v>
      </c>
      <c r="V219" s="358">
        <f t="shared" ca="1" si="148"/>
        <v>0</v>
      </c>
      <c r="W219" s="358">
        <f t="shared" ca="1" si="148"/>
        <v>0</v>
      </c>
      <c r="X219" s="358">
        <f t="shared" ca="1" si="148"/>
        <v>0</v>
      </c>
      <c r="Y219" s="358">
        <f t="shared" ca="1" si="148"/>
        <v>0</v>
      </c>
      <c r="Z219" s="358">
        <f t="shared" ca="1" si="148"/>
        <v>0</v>
      </c>
      <c r="AA219" s="358">
        <f t="shared" ca="1" si="149"/>
        <v>0</v>
      </c>
      <c r="AB219" s="358">
        <f t="shared" ca="1" si="149"/>
        <v>0</v>
      </c>
      <c r="AC219" s="358">
        <f t="shared" ca="1" si="149"/>
        <v>0</v>
      </c>
      <c r="AD219" s="358">
        <f t="shared" ca="1" si="149"/>
        <v>0</v>
      </c>
      <c r="AE219" s="358">
        <f t="shared" ca="1" si="149"/>
        <v>0</v>
      </c>
      <c r="AF219" s="358">
        <f t="shared" ca="1" si="149"/>
        <v>0</v>
      </c>
      <c r="AG219" s="358">
        <f t="shared" ca="1" si="149"/>
        <v>0</v>
      </c>
      <c r="AH219" s="358">
        <f t="shared" ca="1" si="149"/>
        <v>0</v>
      </c>
      <c r="AI219" s="358">
        <f t="shared" ca="1" si="149"/>
        <v>0</v>
      </c>
      <c r="AJ219" s="358">
        <f t="shared" ca="1" si="149"/>
        <v>0</v>
      </c>
      <c r="AK219" s="358">
        <f t="shared" ca="1" si="150"/>
        <v>0</v>
      </c>
      <c r="AL219" s="358">
        <f t="shared" ca="1" si="150"/>
        <v>0</v>
      </c>
      <c r="AM219" s="358">
        <f t="shared" ca="1" si="150"/>
        <v>0</v>
      </c>
      <c r="AN219" s="358">
        <f t="shared" ca="1" si="150"/>
        <v>0</v>
      </c>
      <c r="AO219" s="358">
        <f t="shared" ca="1" si="150"/>
        <v>0</v>
      </c>
      <c r="AP219" s="358">
        <f t="shared" ca="1" si="150"/>
        <v>0</v>
      </c>
      <c r="AQ219" s="358">
        <f t="shared" ca="1" si="150"/>
        <v>0</v>
      </c>
      <c r="AR219" s="358">
        <f t="shared" ca="1" si="150"/>
        <v>0</v>
      </c>
      <c r="AS219" s="358">
        <f t="shared" ca="1" si="150"/>
        <v>0</v>
      </c>
      <c r="AT219" s="358">
        <f t="shared" ca="1" si="150"/>
        <v>0</v>
      </c>
      <c r="AV219" s="358">
        <f t="shared" ca="1" si="118"/>
        <v>0</v>
      </c>
      <c r="AX219" s="358">
        <f t="shared" ca="1" si="119"/>
        <v>0</v>
      </c>
      <c r="AZ219" s="358">
        <f t="shared" ca="1" si="120"/>
        <v>0</v>
      </c>
      <c r="BB219" s="358">
        <f t="shared" ca="1" si="121"/>
        <v>0</v>
      </c>
      <c r="BD219" s="358">
        <f t="shared" ca="1" si="122"/>
        <v>0</v>
      </c>
      <c r="BF219" s="358">
        <f t="shared" ca="1" si="123"/>
        <v>0</v>
      </c>
      <c r="BH219" s="358">
        <f t="shared" ca="1" si="124"/>
        <v>0</v>
      </c>
    </row>
    <row r="220" spans="1:60" hidden="1" outlineLevel="1">
      <c r="A220" s="1464">
        <f t="shared" si="138"/>
        <v>18</v>
      </c>
      <c r="B220" s="1464">
        <f t="shared" si="139"/>
        <v>26</v>
      </c>
      <c r="C220" s="1464">
        <f t="shared" si="140"/>
        <v>30</v>
      </c>
      <c r="D220" s="1271" t="str">
        <f ca="1">IF(OFFSET(PortfolioDashboard!$A$3,C220-1,0)="","Blank",OFFSET(PortfolioDashboard!$A$3,C220-1,0))</f>
        <v>Blank</v>
      </c>
      <c r="E220" s="1464" t="str">
        <f t="shared" si="141"/>
        <v>2010$</v>
      </c>
      <c r="F220" s="1460">
        <f t="shared" ca="1" si="142"/>
        <v>0</v>
      </c>
      <c r="G220" s="358">
        <f t="shared" ca="1" si="147"/>
        <v>0</v>
      </c>
      <c r="H220" s="358">
        <f t="shared" ca="1" si="147"/>
        <v>0</v>
      </c>
      <c r="I220" s="358">
        <f t="shared" ca="1" si="147"/>
        <v>0</v>
      </c>
      <c r="J220" s="358">
        <f t="shared" ca="1" si="147"/>
        <v>0</v>
      </c>
      <c r="K220" s="358">
        <f t="shared" ca="1" si="147"/>
        <v>0</v>
      </c>
      <c r="L220" s="358">
        <f t="shared" ca="1" si="147"/>
        <v>0</v>
      </c>
      <c r="M220" s="358">
        <f t="shared" ca="1" si="147"/>
        <v>0</v>
      </c>
      <c r="N220" s="358">
        <f t="shared" ca="1" si="147"/>
        <v>0</v>
      </c>
      <c r="O220" s="358">
        <f t="shared" ca="1" si="147"/>
        <v>0</v>
      </c>
      <c r="P220" s="358">
        <f t="shared" ca="1" si="147"/>
        <v>0</v>
      </c>
      <c r="Q220" s="358">
        <f t="shared" ca="1" si="148"/>
        <v>0</v>
      </c>
      <c r="R220" s="358">
        <f t="shared" ca="1" si="148"/>
        <v>0</v>
      </c>
      <c r="S220" s="358">
        <f t="shared" ca="1" si="148"/>
        <v>0</v>
      </c>
      <c r="T220" s="358">
        <f t="shared" ca="1" si="148"/>
        <v>0</v>
      </c>
      <c r="U220" s="358">
        <f t="shared" ca="1" si="148"/>
        <v>0</v>
      </c>
      <c r="V220" s="358">
        <f t="shared" ca="1" si="148"/>
        <v>0</v>
      </c>
      <c r="W220" s="358">
        <f t="shared" ca="1" si="148"/>
        <v>0</v>
      </c>
      <c r="X220" s="358">
        <f t="shared" ca="1" si="148"/>
        <v>0</v>
      </c>
      <c r="Y220" s="358">
        <f t="shared" ca="1" si="148"/>
        <v>0</v>
      </c>
      <c r="Z220" s="358">
        <f t="shared" ca="1" si="148"/>
        <v>0</v>
      </c>
      <c r="AA220" s="358">
        <f t="shared" ca="1" si="149"/>
        <v>0</v>
      </c>
      <c r="AB220" s="358">
        <f t="shared" ca="1" si="149"/>
        <v>0</v>
      </c>
      <c r="AC220" s="358">
        <f t="shared" ca="1" si="149"/>
        <v>0</v>
      </c>
      <c r="AD220" s="358">
        <f t="shared" ca="1" si="149"/>
        <v>0</v>
      </c>
      <c r="AE220" s="358">
        <f t="shared" ca="1" si="149"/>
        <v>0</v>
      </c>
      <c r="AF220" s="358">
        <f t="shared" ca="1" si="149"/>
        <v>0</v>
      </c>
      <c r="AG220" s="358">
        <f t="shared" ca="1" si="149"/>
        <v>0</v>
      </c>
      <c r="AH220" s="358">
        <f t="shared" ca="1" si="149"/>
        <v>0</v>
      </c>
      <c r="AI220" s="358">
        <f t="shared" ca="1" si="149"/>
        <v>0</v>
      </c>
      <c r="AJ220" s="358">
        <f t="shared" ca="1" si="149"/>
        <v>0</v>
      </c>
      <c r="AK220" s="358">
        <f t="shared" ca="1" si="150"/>
        <v>0</v>
      </c>
      <c r="AL220" s="358">
        <f t="shared" ca="1" si="150"/>
        <v>0</v>
      </c>
      <c r="AM220" s="358">
        <f t="shared" ca="1" si="150"/>
        <v>0</v>
      </c>
      <c r="AN220" s="358">
        <f t="shared" ca="1" si="150"/>
        <v>0</v>
      </c>
      <c r="AO220" s="358">
        <f t="shared" ca="1" si="150"/>
        <v>0</v>
      </c>
      <c r="AP220" s="358">
        <f t="shared" ca="1" si="150"/>
        <v>0</v>
      </c>
      <c r="AQ220" s="358">
        <f t="shared" ca="1" si="150"/>
        <v>0</v>
      </c>
      <c r="AR220" s="358">
        <f t="shared" ca="1" si="150"/>
        <v>0</v>
      </c>
      <c r="AS220" s="358">
        <f t="shared" ca="1" si="150"/>
        <v>0</v>
      </c>
      <c r="AT220" s="358">
        <f t="shared" ca="1" si="150"/>
        <v>0</v>
      </c>
      <c r="AV220" s="358">
        <f t="shared" ca="1" si="118"/>
        <v>0</v>
      </c>
      <c r="AX220" s="358">
        <f t="shared" ca="1" si="119"/>
        <v>0</v>
      </c>
      <c r="AZ220" s="358">
        <f t="shared" ca="1" si="120"/>
        <v>0</v>
      </c>
      <c r="BB220" s="358">
        <f t="shared" ca="1" si="121"/>
        <v>0</v>
      </c>
      <c r="BD220" s="358">
        <f t="shared" ca="1" si="122"/>
        <v>0</v>
      </c>
      <c r="BF220" s="358">
        <f t="shared" ca="1" si="123"/>
        <v>0</v>
      </c>
      <c r="BH220" s="358">
        <f t="shared" ca="1" si="124"/>
        <v>0</v>
      </c>
    </row>
    <row r="221" spans="1:60" collapsed="1">
      <c r="A221" s="1464"/>
      <c r="B221" s="1464"/>
      <c r="C221" s="1464"/>
      <c r="D221" s="1272" t="s">
        <v>666</v>
      </c>
      <c r="E221" s="1270" t="str">
        <f>E191</f>
        <v>2010$</v>
      </c>
      <c r="F221" s="1461">
        <f t="shared" ca="1" si="142"/>
        <v>56138022.682271279</v>
      </c>
      <c r="G221" s="1277">
        <f t="shared" ref="G221:AT221" ca="1" si="151">SUM(G191:G220)</f>
        <v>81724.829039941309</v>
      </c>
      <c r="H221" s="1277">
        <f t="shared" ca="1" si="151"/>
        <v>348687.51642411121</v>
      </c>
      <c r="I221" s="1277">
        <f t="shared" ca="1" si="151"/>
        <v>1048868.032107194</v>
      </c>
      <c r="J221" s="1277">
        <f t="shared" ca="1" si="151"/>
        <v>1453494.323463615</v>
      </c>
      <c r="K221" s="1277">
        <f t="shared" ca="1" si="151"/>
        <v>1716199.5156542086</v>
      </c>
      <c r="L221" s="1277">
        <f t="shared" ca="1" si="151"/>
        <v>2188621.4351141588</v>
      </c>
      <c r="M221" s="1277">
        <f t="shared" ca="1" si="151"/>
        <v>2392395.7958120708</v>
      </c>
      <c r="N221" s="1277">
        <f t="shared" ca="1" si="151"/>
        <v>2598153.1845810856</v>
      </c>
      <c r="O221" s="1277">
        <f t="shared" ca="1" si="151"/>
        <v>2805908.3373428928</v>
      </c>
      <c r="P221" s="1277">
        <f t="shared" ca="1" si="151"/>
        <v>3015676.0878027068</v>
      </c>
      <c r="Q221" s="1277">
        <f t="shared" ca="1" si="151"/>
        <v>3227471.3680586829</v>
      </c>
      <c r="R221" s="1277">
        <f t="shared" ca="1" si="151"/>
        <v>3441309.2092150231</v>
      </c>
      <c r="S221" s="1277">
        <f t="shared" ca="1" si="151"/>
        <v>3657204.7419987256</v>
      </c>
      <c r="T221" s="1277">
        <f t="shared" ca="1" si="151"/>
        <v>3875173.1973800356</v>
      </c>
      <c r="U221" s="1277">
        <f t="shared" ca="1" si="151"/>
        <v>4074015.4008108471</v>
      </c>
      <c r="V221" s="1277">
        <f t="shared" ca="1" si="151"/>
        <v>4274749.1469460325</v>
      </c>
      <c r="W221" s="1277">
        <f t="shared" ca="1" si="151"/>
        <v>4477388.3801575489</v>
      </c>
      <c r="X221" s="1277">
        <f t="shared" ca="1" si="151"/>
        <v>4681947.1369725075</v>
      </c>
      <c r="Y221" s="1277">
        <f t="shared" ca="1" si="151"/>
        <v>4888439.5466461098</v>
      </c>
      <c r="Z221" s="1277">
        <f t="shared" ca="1" si="151"/>
        <v>5096879.8317380277</v>
      </c>
      <c r="AA221" s="1277">
        <f t="shared" ca="1" si="151"/>
        <v>5307282.3086921955</v>
      </c>
      <c r="AB221" s="1277">
        <f t="shared" ca="1" si="151"/>
        <v>5519661.3884201106</v>
      </c>
      <c r="AC221" s="1277">
        <f t="shared" ca="1" si="151"/>
        <v>5734031.5768875889</v>
      </c>
      <c r="AD221" s="1277">
        <f t="shared" ca="1" si="151"/>
        <v>5950407.4757050313</v>
      </c>
      <c r="AE221" s="1277">
        <f t="shared" ca="1" si="151"/>
        <v>6097365.6359810829</v>
      </c>
      <c r="AF221" s="1277">
        <f t="shared" ca="1" si="151"/>
        <v>6245644.6176730013</v>
      </c>
      <c r="AG221" s="1277">
        <f t="shared" ca="1" si="151"/>
        <v>6395253.9550409419</v>
      </c>
      <c r="AH221" s="1277">
        <f t="shared" ca="1" si="151"/>
        <v>6546203.2446671184</v>
      </c>
      <c r="AI221" s="1277">
        <f t="shared" ca="1" si="151"/>
        <v>6698502.1458406784</v>
      </c>
      <c r="AJ221" s="1277">
        <f t="shared" ca="1" si="151"/>
        <v>6852160.3809448583</v>
      </c>
      <c r="AK221" s="1277">
        <f t="shared" ca="1" si="151"/>
        <v>7007187.7358464366</v>
      </c>
      <c r="AL221" s="1277">
        <f t="shared" ca="1" si="151"/>
        <v>7163594.0602875045</v>
      </c>
      <c r="AM221" s="1277">
        <f t="shared" ca="1" si="151"/>
        <v>7321389.2682795878</v>
      </c>
      <c r="AN221" s="1277">
        <f t="shared" ca="1" si="151"/>
        <v>7480583.3385000834</v>
      </c>
      <c r="AO221" s="1277">
        <f t="shared" ca="1" si="151"/>
        <v>7641186.3146910788</v>
      </c>
      <c r="AP221" s="1277">
        <f t="shared" ca="1" si="151"/>
        <v>7803208.30606052</v>
      </c>
      <c r="AQ221" s="1277">
        <f t="shared" ca="1" si="151"/>
        <v>7966659.4876857866</v>
      </c>
      <c r="AR221" s="1277">
        <f t="shared" ca="1" si="151"/>
        <v>8131550.1009196546</v>
      </c>
      <c r="AS221" s="1277">
        <f t="shared" ca="1" si="151"/>
        <v>8297890.4537986778</v>
      </c>
      <c r="AT221" s="1277">
        <f t="shared" ca="1" si="151"/>
        <v>8465690.9214539602</v>
      </c>
      <c r="AV221" s="1277">
        <f t="shared" ca="1" si="118"/>
        <v>13000754.840652915</v>
      </c>
      <c r="AX221" s="1277">
        <f t="shared" ca="1" si="119"/>
        <v>18275173.917463318</v>
      </c>
      <c r="AZ221" s="1277">
        <f t="shared" ca="1" si="120"/>
        <v>23419404.042460226</v>
      </c>
      <c r="BB221" s="1277">
        <f t="shared" ca="1" si="121"/>
        <v>28608748.38568601</v>
      </c>
      <c r="BD221" s="1277">
        <f t="shared" ca="1" si="122"/>
        <v>32737764.344166599</v>
      </c>
      <c r="BF221" s="1277">
        <f t="shared" ca="1" si="123"/>
        <v>36613940.717604689</v>
      </c>
      <c r="BH221" s="1277">
        <f t="shared" ca="1" si="124"/>
        <v>40664999.269918606</v>
      </c>
    </row>
    <row r="222" spans="1:60" hidden="1" outlineLevel="1">
      <c r="A222" s="1464">
        <v>18</v>
      </c>
      <c r="B222" s="1464">
        <v>27</v>
      </c>
      <c r="C222" s="1464">
        <v>1</v>
      </c>
      <c r="D222" s="1271" t="str">
        <f ca="1">IF(OFFSET(PortfolioDashboard!$A$3,C222-1,0)="","Blank",OFFSET(PortfolioDashboard!$A$3,C222-1,0))</f>
        <v>Behavior Change</v>
      </c>
      <c r="E222" s="1464" t="s">
        <v>1197</v>
      </c>
      <c r="F222" s="1460">
        <f t="shared" ca="1" si="142"/>
        <v>0</v>
      </c>
      <c r="G222" s="358">
        <f t="shared" ref="G222:P231" ca="1" si="152">IFERROR(OFFSET(INDIRECT(INDEX(List_of_Alternatives,MATCH($D222,NameofAlternatives,0))),$A222+G$1-$G$1,$B222),0)</f>
        <v>0</v>
      </c>
      <c r="H222" s="358">
        <f t="shared" ca="1" si="152"/>
        <v>0</v>
      </c>
      <c r="I222" s="358">
        <f t="shared" ca="1" si="152"/>
        <v>0</v>
      </c>
      <c r="J222" s="358">
        <f t="shared" ca="1" si="152"/>
        <v>0</v>
      </c>
      <c r="K222" s="358">
        <f t="shared" ca="1" si="152"/>
        <v>0</v>
      </c>
      <c r="L222" s="358">
        <f t="shared" ca="1" si="152"/>
        <v>0</v>
      </c>
      <c r="M222" s="358">
        <f t="shared" ca="1" si="152"/>
        <v>0</v>
      </c>
      <c r="N222" s="358">
        <f t="shared" ca="1" si="152"/>
        <v>0</v>
      </c>
      <c r="O222" s="358">
        <f t="shared" ca="1" si="152"/>
        <v>0</v>
      </c>
      <c r="P222" s="358">
        <f t="shared" ca="1" si="152"/>
        <v>0</v>
      </c>
      <c r="Q222" s="358">
        <f t="shared" ref="Q222:Z231" ca="1" si="153">IFERROR(OFFSET(INDIRECT(INDEX(List_of_Alternatives,MATCH($D222,NameofAlternatives,0))),$A222+Q$1-$G$1,$B222),0)</f>
        <v>0</v>
      </c>
      <c r="R222" s="358">
        <f t="shared" ca="1" si="153"/>
        <v>0</v>
      </c>
      <c r="S222" s="358">
        <f t="shared" ca="1" si="153"/>
        <v>0</v>
      </c>
      <c r="T222" s="358">
        <f t="shared" ca="1" si="153"/>
        <v>0</v>
      </c>
      <c r="U222" s="358">
        <f t="shared" ca="1" si="153"/>
        <v>0</v>
      </c>
      <c r="V222" s="358">
        <f t="shared" ca="1" si="153"/>
        <v>0</v>
      </c>
      <c r="W222" s="358">
        <f t="shared" ca="1" si="153"/>
        <v>0</v>
      </c>
      <c r="X222" s="358">
        <f t="shared" ca="1" si="153"/>
        <v>0</v>
      </c>
      <c r="Y222" s="358">
        <f t="shared" ca="1" si="153"/>
        <v>0</v>
      </c>
      <c r="Z222" s="358">
        <f t="shared" ca="1" si="153"/>
        <v>0</v>
      </c>
      <c r="AA222" s="358">
        <f t="shared" ref="AA222:AJ231" ca="1" si="154">IFERROR(OFFSET(INDIRECT(INDEX(List_of_Alternatives,MATCH($D222,NameofAlternatives,0))),$A222+AA$1-$G$1,$B222),0)</f>
        <v>0</v>
      </c>
      <c r="AB222" s="358">
        <f t="shared" ca="1" si="154"/>
        <v>0</v>
      </c>
      <c r="AC222" s="358">
        <f t="shared" ca="1" si="154"/>
        <v>0</v>
      </c>
      <c r="AD222" s="358">
        <f t="shared" ca="1" si="154"/>
        <v>0</v>
      </c>
      <c r="AE222" s="358">
        <f t="shared" ca="1" si="154"/>
        <v>0</v>
      </c>
      <c r="AF222" s="358">
        <f t="shared" ca="1" si="154"/>
        <v>0</v>
      </c>
      <c r="AG222" s="358">
        <f t="shared" ca="1" si="154"/>
        <v>0</v>
      </c>
      <c r="AH222" s="358">
        <f t="shared" ca="1" si="154"/>
        <v>0</v>
      </c>
      <c r="AI222" s="358">
        <f t="shared" ca="1" si="154"/>
        <v>0</v>
      </c>
      <c r="AJ222" s="358">
        <f t="shared" ca="1" si="154"/>
        <v>0</v>
      </c>
      <c r="AK222" s="358">
        <f t="shared" ref="AK222:AT231" ca="1" si="155">IFERROR(OFFSET(INDIRECT(INDEX(List_of_Alternatives,MATCH($D222,NameofAlternatives,0))),$A222+AK$1-$G$1,$B222),0)</f>
        <v>0</v>
      </c>
      <c r="AL222" s="358">
        <f t="shared" ca="1" si="155"/>
        <v>0</v>
      </c>
      <c r="AM222" s="358">
        <f t="shared" ca="1" si="155"/>
        <v>0</v>
      </c>
      <c r="AN222" s="358">
        <f t="shared" ca="1" si="155"/>
        <v>0</v>
      </c>
      <c r="AO222" s="358">
        <f t="shared" ca="1" si="155"/>
        <v>0</v>
      </c>
      <c r="AP222" s="358">
        <f t="shared" ca="1" si="155"/>
        <v>0</v>
      </c>
      <c r="AQ222" s="358">
        <f t="shared" ca="1" si="155"/>
        <v>0</v>
      </c>
      <c r="AR222" s="358">
        <f t="shared" ca="1" si="155"/>
        <v>0</v>
      </c>
      <c r="AS222" s="358">
        <f t="shared" ca="1" si="155"/>
        <v>0</v>
      </c>
      <c r="AT222" s="358">
        <f t="shared" ca="1" si="155"/>
        <v>0</v>
      </c>
      <c r="AV222" s="358">
        <f t="shared" ca="1" si="118"/>
        <v>0</v>
      </c>
      <c r="AX222" s="358">
        <f t="shared" ca="1" si="119"/>
        <v>0</v>
      </c>
      <c r="AZ222" s="358">
        <f t="shared" ca="1" si="120"/>
        <v>0</v>
      </c>
      <c r="BB222" s="358">
        <f t="shared" ca="1" si="121"/>
        <v>0</v>
      </c>
      <c r="BD222" s="358">
        <f t="shared" ca="1" si="122"/>
        <v>0</v>
      </c>
      <c r="BF222" s="358">
        <f t="shared" ca="1" si="123"/>
        <v>0</v>
      </c>
      <c r="BH222" s="358">
        <f t="shared" ca="1" si="124"/>
        <v>0</v>
      </c>
    </row>
    <row r="223" spans="1:60" hidden="1" outlineLevel="1">
      <c r="A223" s="1464">
        <f>A222</f>
        <v>18</v>
      </c>
      <c r="B223" s="1464">
        <f>B222</f>
        <v>27</v>
      </c>
      <c r="C223" s="1464">
        <f>C222+1</f>
        <v>2</v>
      </c>
      <c r="D223" s="1271" t="str">
        <f ca="1">IF(OFFSET(PortfolioDashboard!$A$3,C223-1,0)="","Blank",OFFSET(PortfolioDashboard!$A$3,C223-1,0))</f>
        <v>Building Design &amp; Construction Standards</v>
      </c>
      <c r="E223" s="1464" t="str">
        <f>E222</f>
        <v>2010$</v>
      </c>
      <c r="F223" s="1460">
        <f t="shared" ca="1" si="142"/>
        <v>0</v>
      </c>
      <c r="G223" s="358">
        <f t="shared" ca="1" si="152"/>
        <v>0</v>
      </c>
      <c r="H223" s="358">
        <f t="shared" ca="1" si="152"/>
        <v>0</v>
      </c>
      <c r="I223" s="358">
        <f t="shared" ca="1" si="152"/>
        <v>0</v>
      </c>
      <c r="J223" s="358">
        <f t="shared" ca="1" si="152"/>
        <v>0</v>
      </c>
      <c r="K223" s="358">
        <f t="shared" ca="1" si="152"/>
        <v>0</v>
      </c>
      <c r="L223" s="358">
        <f t="shared" ca="1" si="152"/>
        <v>0</v>
      </c>
      <c r="M223" s="358">
        <f t="shared" ca="1" si="152"/>
        <v>0</v>
      </c>
      <c r="N223" s="358">
        <f t="shared" ca="1" si="152"/>
        <v>0</v>
      </c>
      <c r="O223" s="358">
        <f t="shared" ca="1" si="152"/>
        <v>0</v>
      </c>
      <c r="P223" s="358">
        <f t="shared" ca="1" si="152"/>
        <v>0</v>
      </c>
      <c r="Q223" s="358">
        <f t="shared" ca="1" si="153"/>
        <v>0</v>
      </c>
      <c r="R223" s="358">
        <f t="shared" ca="1" si="153"/>
        <v>0</v>
      </c>
      <c r="S223" s="358">
        <f t="shared" ca="1" si="153"/>
        <v>0</v>
      </c>
      <c r="T223" s="358">
        <f t="shared" ca="1" si="153"/>
        <v>0</v>
      </c>
      <c r="U223" s="358">
        <f t="shared" ca="1" si="153"/>
        <v>0</v>
      </c>
      <c r="V223" s="358">
        <f t="shared" ca="1" si="153"/>
        <v>0</v>
      </c>
      <c r="W223" s="358">
        <f t="shared" ca="1" si="153"/>
        <v>0</v>
      </c>
      <c r="X223" s="358">
        <f t="shared" ca="1" si="153"/>
        <v>0</v>
      </c>
      <c r="Y223" s="358">
        <f t="shared" ca="1" si="153"/>
        <v>0</v>
      </c>
      <c r="Z223" s="358">
        <f t="shared" ca="1" si="153"/>
        <v>0</v>
      </c>
      <c r="AA223" s="358">
        <f t="shared" ca="1" si="154"/>
        <v>0</v>
      </c>
      <c r="AB223" s="358">
        <f t="shared" ca="1" si="154"/>
        <v>0</v>
      </c>
      <c r="AC223" s="358">
        <f t="shared" ca="1" si="154"/>
        <v>0</v>
      </c>
      <c r="AD223" s="358">
        <f t="shared" ca="1" si="154"/>
        <v>0</v>
      </c>
      <c r="AE223" s="358">
        <f t="shared" ca="1" si="154"/>
        <v>0</v>
      </c>
      <c r="AF223" s="358">
        <f t="shared" ca="1" si="154"/>
        <v>0</v>
      </c>
      <c r="AG223" s="358">
        <f t="shared" ca="1" si="154"/>
        <v>0</v>
      </c>
      <c r="AH223" s="358">
        <f t="shared" ca="1" si="154"/>
        <v>0</v>
      </c>
      <c r="AI223" s="358">
        <f t="shared" ca="1" si="154"/>
        <v>0</v>
      </c>
      <c r="AJ223" s="358">
        <f t="shared" ca="1" si="154"/>
        <v>0</v>
      </c>
      <c r="AK223" s="358">
        <f t="shared" ca="1" si="155"/>
        <v>0</v>
      </c>
      <c r="AL223" s="358">
        <f t="shared" ca="1" si="155"/>
        <v>0</v>
      </c>
      <c r="AM223" s="358">
        <f t="shared" ca="1" si="155"/>
        <v>0</v>
      </c>
      <c r="AN223" s="358">
        <f t="shared" ca="1" si="155"/>
        <v>0</v>
      </c>
      <c r="AO223" s="358">
        <f t="shared" ca="1" si="155"/>
        <v>0</v>
      </c>
      <c r="AP223" s="358">
        <f t="shared" ca="1" si="155"/>
        <v>0</v>
      </c>
      <c r="AQ223" s="358">
        <f t="shared" ca="1" si="155"/>
        <v>0</v>
      </c>
      <c r="AR223" s="358">
        <f t="shared" ca="1" si="155"/>
        <v>0</v>
      </c>
      <c r="AS223" s="358">
        <f t="shared" ca="1" si="155"/>
        <v>0</v>
      </c>
      <c r="AT223" s="358">
        <f t="shared" ca="1" si="155"/>
        <v>0</v>
      </c>
      <c r="AV223" s="358">
        <f t="shared" ca="1" si="118"/>
        <v>0</v>
      </c>
      <c r="AX223" s="358">
        <f t="shared" ca="1" si="119"/>
        <v>0</v>
      </c>
      <c r="AZ223" s="358">
        <f t="shared" ca="1" si="120"/>
        <v>0</v>
      </c>
      <c r="BB223" s="358">
        <f t="shared" ca="1" si="121"/>
        <v>0</v>
      </c>
      <c r="BD223" s="358">
        <f t="shared" ca="1" si="122"/>
        <v>0</v>
      </c>
      <c r="BF223" s="358">
        <f t="shared" ca="1" si="123"/>
        <v>0</v>
      </c>
      <c r="BH223" s="358">
        <f t="shared" ca="1" si="124"/>
        <v>0</v>
      </c>
    </row>
    <row r="224" spans="1:60" hidden="1" outlineLevel="1">
      <c r="A224" s="1464">
        <f t="shared" ref="A224:A251" si="156">A223</f>
        <v>18</v>
      </c>
      <c r="B224" s="1464">
        <f t="shared" ref="B224:B251" si="157">B223</f>
        <v>27</v>
      </c>
      <c r="C224" s="1464">
        <f t="shared" ref="C224:C251" si="158">C223+1</f>
        <v>3</v>
      </c>
      <c r="D224" s="1271" t="str">
        <f ca="1">IF(OFFSET(PortfolioDashboard!$A$3,C224-1,0)="","Blank",OFFSET(PortfolioDashboard!$A$3,C224-1,0))</f>
        <v>Space Planning &amp; Management</v>
      </c>
      <c r="E224" s="1464" t="str">
        <f t="shared" ref="E224:E251" si="159">E223</f>
        <v>2010$</v>
      </c>
      <c r="F224" s="1460">
        <f t="shared" ca="1" si="142"/>
        <v>0</v>
      </c>
      <c r="G224" s="358">
        <f t="shared" ca="1" si="152"/>
        <v>0</v>
      </c>
      <c r="H224" s="358">
        <f t="shared" ca="1" si="152"/>
        <v>0</v>
      </c>
      <c r="I224" s="358">
        <f t="shared" ca="1" si="152"/>
        <v>0</v>
      </c>
      <c r="J224" s="358">
        <f t="shared" ca="1" si="152"/>
        <v>0</v>
      </c>
      <c r="K224" s="358">
        <f t="shared" ca="1" si="152"/>
        <v>0</v>
      </c>
      <c r="L224" s="358">
        <f t="shared" ca="1" si="152"/>
        <v>0</v>
      </c>
      <c r="M224" s="358">
        <f t="shared" ca="1" si="152"/>
        <v>0</v>
      </c>
      <c r="N224" s="358">
        <f t="shared" ca="1" si="152"/>
        <v>0</v>
      </c>
      <c r="O224" s="358">
        <f t="shared" ca="1" si="152"/>
        <v>0</v>
      </c>
      <c r="P224" s="358">
        <f t="shared" ca="1" si="152"/>
        <v>0</v>
      </c>
      <c r="Q224" s="358">
        <f t="shared" ca="1" si="153"/>
        <v>0</v>
      </c>
      <c r="R224" s="358">
        <f t="shared" ca="1" si="153"/>
        <v>0</v>
      </c>
      <c r="S224" s="358">
        <f t="shared" ca="1" si="153"/>
        <v>0</v>
      </c>
      <c r="T224" s="358">
        <f t="shared" ca="1" si="153"/>
        <v>0</v>
      </c>
      <c r="U224" s="358">
        <f t="shared" ca="1" si="153"/>
        <v>0</v>
      </c>
      <c r="V224" s="358">
        <f t="shared" ca="1" si="153"/>
        <v>0</v>
      </c>
      <c r="W224" s="358">
        <f t="shared" ca="1" si="153"/>
        <v>0</v>
      </c>
      <c r="X224" s="358">
        <f t="shared" ca="1" si="153"/>
        <v>0</v>
      </c>
      <c r="Y224" s="358">
        <f t="shared" ca="1" si="153"/>
        <v>0</v>
      </c>
      <c r="Z224" s="358">
        <f t="shared" ca="1" si="153"/>
        <v>0</v>
      </c>
      <c r="AA224" s="358">
        <f t="shared" ca="1" si="154"/>
        <v>0</v>
      </c>
      <c r="AB224" s="358">
        <f t="shared" ca="1" si="154"/>
        <v>0</v>
      </c>
      <c r="AC224" s="358">
        <f t="shared" ca="1" si="154"/>
        <v>0</v>
      </c>
      <c r="AD224" s="358">
        <f t="shared" ca="1" si="154"/>
        <v>0</v>
      </c>
      <c r="AE224" s="358">
        <f t="shared" ca="1" si="154"/>
        <v>0</v>
      </c>
      <c r="AF224" s="358">
        <f t="shared" ca="1" si="154"/>
        <v>0</v>
      </c>
      <c r="AG224" s="358">
        <f t="shared" ca="1" si="154"/>
        <v>0</v>
      </c>
      <c r="AH224" s="358">
        <f t="shared" ca="1" si="154"/>
        <v>0</v>
      </c>
      <c r="AI224" s="358">
        <f t="shared" ca="1" si="154"/>
        <v>0</v>
      </c>
      <c r="AJ224" s="358">
        <f t="shared" ca="1" si="154"/>
        <v>0</v>
      </c>
      <c r="AK224" s="358">
        <f t="shared" ca="1" si="155"/>
        <v>0</v>
      </c>
      <c r="AL224" s="358">
        <f t="shared" ca="1" si="155"/>
        <v>0</v>
      </c>
      <c r="AM224" s="358">
        <f t="shared" ca="1" si="155"/>
        <v>0</v>
      </c>
      <c r="AN224" s="358">
        <f t="shared" ca="1" si="155"/>
        <v>0</v>
      </c>
      <c r="AO224" s="358">
        <f t="shared" ca="1" si="155"/>
        <v>0</v>
      </c>
      <c r="AP224" s="358">
        <f t="shared" ca="1" si="155"/>
        <v>0</v>
      </c>
      <c r="AQ224" s="358">
        <f t="shared" ca="1" si="155"/>
        <v>0</v>
      </c>
      <c r="AR224" s="358">
        <f t="shared" ca="1" si="155"/>
        <v>0</v>
      </c>
      <c r="AS224" s="358">
        <f t="shared" ca="1" si="155"/>
        <v>0</v>
      </c>
      <c r="AT224" s="358">
        <f t="shared" ca="1" si="155"/>
        <v>0</v>
      </c>
      <c r="AV224" s="358">
        <f t="shared" ca="1" si="118"/>
        <v>0</v>
      </c>
      <c r="AX224" s="358">
        <f t="shared" ca="1" si="119"/>
        <v>0</v>
      </c>
      <c r="AZ224" s="358">
        <f t="shared" ca="1" si="120"/>
        <v>0</v>
      </c>
      <c r="BB224" s="358">
        <f t="shared" ca="1" si="121"/>
        <v>0</v>
      </c>
      <c r="BD224" s="358">
        <f t="shared" ca="1" si="122"/>
        <v>0</v>
      </c>
      <c r="BF224" s="358">
        <f t="shared" ca="1" si="123"/>
        <v>0</v>
      </c>
      <c r="BH224" s="358">
        <f t="shared" ca="1" si="124"/>
        <v>0</v>
      </c>
    </row>
    <row r="225" spans="1:60" hidden="1" outlineLevel="1">
      <c r="A225" s="1464">
        <f t="shared" si="156"/>
        <v>18</v>
      </c>
      <c r="B225" s="1464">
        <f t="shared" si="157"/>
        <v>27</v>
      </c>
      <c r="C225" s="1464">
        <f t="shared" si="158"/>
        <v>4</v>
      </c>
      <c r="D225" s="1271" t="str">
        <f ca="1">IF(OFFSET(PortfolioDashboard!$A$3,C225-1,0)="","Blank",OFFSET(PortfolioDashboard!$A$3,C225-1,0))</f>
        <v>Central Chiller Expansion</v>
      </c>
      <c r="E225" s="1464" t="str">
        <f t="shared" si="159"/>
        <v>2010$</v>
      </c>
      <c r="F225" s="1460">
        <f t="shared" ca="1" si="142"/>
        <v>0</v>
      </c>
      <c r="G225" s="358">
        <f t="shared" ca="1" si="152"/>
        <v>0</v>
      </c>
      <c r="H225" s="358">
        <f t="shared" ca="1" si="152"/>
        <v>0</v>
      </c>
      <c r="I225" s="358">
        <f t="shared" ca="1" si="152"/>
        <v>0</v>
      </c>
      <c r="J225" s="358">
        <f t="shared" ca="1" si="152"/>
        <v>0</v>
      </c>
      <c r="K225" s="358">
        <f t="shared" ca="1" si="152"/>
        <v>0</v>
      </c>
      <c r="L225" s="358">
        <f t="shared" ca="1" si="152"/>
        <v>0</v>
      </c>
      <c r="M225" s="358">
        <f t="shared" ca="1" si="152"/>
        <v>0</v>
      </c>
      <c r="N225" s="358">
        <f t="shared" ca="1" si="152"/>
        <v>0</v>
      </c>
      <c r="O225" s="358">
        <f t="shared" ca="1" si="152"/>
        <v>0</v>
      </c>
      <c r="P225" s="358">
        <f t="shared" ca="1" si="152"/>
        <v>0</v>
      </c>
      <c r="Q225" s="358">
        <f t="shared" ca="1" si="153"/>
        <v>0</v>
      </c>
      <c r="R225" s="358">
        <f t="shared" ca="1" si="153"/>
        <v>0</v>
      </c>
      <c r="S225" s="358">
        <f t="shared" ca="1" si="153"/>
        <v>0</v>
      </c>
      <c r="T225" s="358">
        <f t="shared" ca="1" si="153"/>
        <v>0</v>
      </c>
      <c r="U225" s="358">
        <f t="shared" ca="1" si="153"/>
        <v>0</v>
      </c>
      <c r="V225" s="358">
        <f t="shared" ca="1" si="153"/>
        <v>0</v>
      </c>
      <c r="W225" s="358">
        <f t="shared" ca="1" si="153"/>
        <v>0</v>
      </c>
      <c r="X225" s="358">
        <f t="shared" ca="1" si="153"/>
        <v>0</v>
      </c>
      <c r="Y225" s="358">
        <f t="shared" ca="1" si="153"/>
        <v>0</v>
      </c>
      <c r="Z225" s="358">
        <f t="shared" ca="1" si="153"/>
        <v>0</v>
      </c>
      <c r="AA225" s="358">
        <f t="shared" ca="1" si="154"/>
        <v>0</v>
      </c>
      <c r="AB225" s="358">
        <f t="shared" ca="1" si="154"/>
        <v>0</v>
      </c>
      <c r="AC225" s="358">
        <f t="shared" ca="1" si="154"/>
        <v>0</v>
      </c>
      <c r="AD225" s="358">
        <f t="shared" ca="1" si="154"/>
        <v>0</v>
      </c>
      <c r="AE225" s="358">
        <f t="shared" ca="1" si="154"/>
        <v>0</v>
      </c>
      <c r="AF225" s="358">
        <f t="shared" ca="1" si="154"/>
        <v>0</v>
      </c>
      <c r="AG225" s="358">
        <f t="shared" ca="1" si="154"/>
        <v>0</v>
      </c>
      <c r="AH225" s="358">
        <f t="shared" ca="1" si="154"/>
        <v>0</v>
      </c>
      <c r="AI225" s="358">
        <f t="shared" ca="1" si="154"/>
        <v>0</v>
      </c>
      <c r="AJ225" s="358">
        <f t="shared" ca="1" si="154"/>
        <v>0</v>
      </c>
      <c r="AK225" s="358">
        <f t="shared" ca="1" si="155"/>
        <v>0</v>
      </c>
      <c r="AL225" s="358">
        <f t="shared" ca="1" si="155"/>
        <v>0</v>
      </c>
      <c r="AM225" s="358">
        <f t="shared" ca="1" si="155"/>
        <v>0</v>
      </c>
      <c r="AN225" s="358">
        <f t="shared" ca="1" si="155"/>
        <v>0</v>
      </c>
      <c r="AO225" s="358">
        <f t="shared" ca="1" si="155"/>
        <v>0</v>
      </c>
      <c r="AP225" s="358">
        <f t="shared" ca="1" si="155"/>
        <v>0</v>
      </c>
      <c r="AQ225" s="358">
        <f t="shared" ca="1" si="155"/>
        <v>0</v>
      </c>
      <c r="AR225" s="358">
        <f t="shared" ca="1" si="155"/>
        <v>0</v>
      </c>
      <c r="AS225" s="358">
        <f t="shared" ca="1" si="155"/>
        <v>0</v>
      </c>
      <c r="AT225" s="358">
        <f t="shared" ca="1" si="155"/>
        <v>0</v>
      </c>
      <c r="AV225" s="358">
        <f t="shared" ca="1" si="118"/>
        <v>0</v>
      </c>
      <c r="AX225" s="358">
        <f t="shared" ca="1" si="119"/>
        <v>0</v>
      </c>
      <c r="AZ225" s="358">
        <f t="shared" ca="1" si="120"/>
        <v>0</v>
      </c>
      <c r="BB225" s="358">
        <f t="shared" ca="1" si="121"/>
        <v>0</v>
      </c>
      <c r="BD225" s="358">
        <f t="shared" ca="1" si="122"/>
        <v>0</v>
      </c>
      <c r="BF225" s="358">
        <f t="shared" ca="1" si="123"/>
        <v>0</v>
      </c>
      <c r="BH225" s="358">
        <f t="shared" ca="1" si="124"/>
        <v>0</v>
      </c>
    </row>
    <row r="226" spans="1:60" hidden="1" outlineLevel="1">
      <c r="A226" s="1464">
        <f t="shared" si="156"/>
        <v>18</v>
      </c>
      <c r="B226" s="1464">
        <f t="shared" si="157"/>
        <v>27</v>
      </c>
      <c r="C226" s="1464">
        <f t="shared" si="158"/>
        <v>5</v>
      </c>
      <c r="D226" s="1271" t="str">
        <f ca="1">IF(OFFSET(PortfolioDashboard!$A$3,C226-1,0)="","Blank",OFFSET(PortfolioDashboard!$A$3,C226-1,0))</f>
        <v>Short-term Energy Conservation Measures</v>
      </c>
      <c r="E226" s="1464" t="str">
        <f t="shared" si="159"/>
        <v>2010$</v>
      </c>
      <c r="F226" s="1460">
        <f t="shared" ca="1" si="142"/>
        <v>0</v>
      </c>
      <c r="G226" s="358">
        <f t="shared" ca="1" si="152"/>
        <v>0</v>
      </c>
      <c r="H226" s="358">
        <f t="shared" ca="1" si="152"/>
        <v>0</v>
      </c>
      <c r="I226" s="358">
        <f t="shared" ca="1" si="152"/>
        <v>0</v>
      </c>
      <c r="J226" s="358">
        <f t="shared" ca="1" si="152"/>
        <v>0</v>
      </c>
      <c r="K226" s="358">
        <f t="shared" ca="1" si="152"/>
        <v>0</v>
      </c>
      <c r="L226" s="358">
        <f t="shared" ca="1" si="152"/>
        <v>0</v>
      </c>
      <c r="M226" s="358">
        <f t="shared" ca="1" si="152"/>
        <v>0</v>
      </c>
      <c r="N226" s="358">
        <f t="shared" ca="1" si="152"/>
        <v>0</v>
      </c>
      <c r="O226" s="358">
        <f t="shared" ca="1" si="152"/>
        <v>0</v>
      </c>
      <c r="P226" s="358">
        <f t="shared" ca="1" si="152"/>
        <v>0</v>
      </c>
      <c r="Q226" s="358">
        <f t="shared" ca="1" si="153"/>
        <v>0</v>
      </c>
      <c r="R226" s="358">
        <f t="shared" ca="1" si="153"/>
        <v>0</v>
      </c>
      <c r="S226" s="358">
        <f t="shared" ca="1" si="153"/>
        <v>0</v>
      </c>
      <c r="T226" s="358">
        <f t="shared" ca="1" si="153"/>
        <v>0</v>
      </c>
      <c r="U226" s="358">
        <f t="shared" ca="1" si="153"/>
        <v>0</v>
      </c>
      <c r="V226" s="358">
        <f t="shared" ca="1" si="153"/>
        <v>0</v>
      </c>
      <c r="W226" s="358">
        <f t="shared" ca="1" si="153"/>
        <v>0</v>
      </c>
      <c r="X226" s="358">
        <f t="shared" ca="1" si="153"/>
        <v>0</v>
      </c>
      <c r="Y226" s="358">
        <f t="shared" ca="1" si="153"/>
        <v>0</v>
      </c>
      <c r="Z226" s="358">
        <f t="shared" ca="1" si="153"/>
        <v>0</v>
      </c>
      <c r="AA226" s="358">
        <f t="shared" ca="1" si="154"/>
        <v>0</v>
      </c>
      <c r="AB226" s="358">
        <f t="shared" ca="1" si="154"/>
        <v>0</v>
      </c>
      <c r="AC226" s="358">
        <f t="shared" ca="1" si="154"/>
        <v>0</v>
      </c>
      <c r="AD226" s="358">
        <f t="shared" ca="1" si="154"/>
        <v>0</v>
      </c>
      <c r="AE226" s="358">
        <f t="shared" ca="1" si="154"/>
        <v>0</v>
      </c>
      <c r="AF226" s="358">
        <f t="shared" ca="1" si="154"/>
        <v>0</v>
      </c>
      <c r="AG226" s="358">
        <f t="shared" ca="1" si="154"/>
        <v>0</v>
      </c>
      <c r="AH226" s="358">
        <f t="shared" ca="1" si="154"/>
        <v>0</v>
      </c>
      <c r="AI226" s="358">
        <f t="shared" ca="1" si="154"/>
        <v>0</v>
      </c>
      <c r="AJ226" s="358">
        <f t="shared" ca="1" si="154"/>
        <v>0</v>
      </c>
      <c r="AK226" s="358">
        <f t="shared" ca="1" si="155"/>
        <v>0</v>
      </c>
      <c r="AL226" s="358">
        <f t="shared" ca="1" si="155"/>
        <v>0</v>
      </c>
      <c r="AM226" s="358">
        <f t="shared" ca="1" si="155"/>
        <v>0</v>
      </c>
      <c r="AN226" s="358">
        <f t="shared" ca="1" si="155"/>
        <v>0</v>
      </c>
      <c r="AO226" s="358">
        <f t="shared" ca="1" si="155"/>
        <v>0</v>
      </c>
      <c r="AP226" s="358">
        <f t="shared" ca="1" si="155"/>
        <v>0</v>
      </c>
      <c r="AQ226" s="358">
        <f t="shared" ca="1" si="155"/>
        <v>0</v>
      </c>
      <c r="AR226" s="358">
        <f t="shared" ca="1" si="155"/>
        <v>0</v>
      </c>
      <c r="AS226" s="358">
        <f t="shared" ca="1" si="155"/>
        <v>0</v>
      </c>
      <c r="AT226" s="358">
        <f t="shared" ca="1" si="155"/>
        <v>0</v>
      </c>
      <c r="AV226" s="358">
        <f t="shared" ca="1" si="118"/>
        <v>0</v>
      </c>
      <c r="AX226" s="358">
        <f t="shared" ca="1" si="119"/>
        <v>0</v>
      </c>
      <c r="AZ226" s="358">
        <f t="shared" ca="1" si="120"/>
        <v>0</v>
      </c>
      <c r="BB226" s="358">
        <f t="shared" ca="1" si="121"/>
        <v>0</v>
      </c>
      <c r="BD226" s="358">
        <f t="shared" ca="1" si="122"/>
        <v>0</v>
      </c>
      <c r="BF226" s="358">
        <f t="shared" ca="1" si="123"/>
        <v>0</v>
      </c>
      <c r="BH226" s="358">
        <f t="shared" ca="1" si="124"/>
        <v>0</v>
      </c>
    </row>
    <row r="227" spans="1:60" hidden="1" outlineLevel="1">
      <c r="A227" s="1464">
        <f t="shared" si="156"/>
        <v>18</v>
      </c>
      <c r="B227" s="1464">
        <f t="shared" si="157"/>
        <v>27</v>
      </c>
      <c r="C227" s="1464">
        <f t="shared" si="158"/>
        <v>6</v>
      </c>
      <c r="D227" s="1271" t="str">
        <f ca="1">IF(OFFSET(PortfolioDashboard!$A$3,C227-1,0)="","Blank",OFFSET(PortfolioDashboard!$A$3,C227-1,0))</f>
        <v>Mid-term Energy Conservation Measures</v>
      </c>
      <c r="E227" s="1464" t="str">
        <f t="shared" si="159"/>
        <v>2010$</v>
      </c>
      <c r="F227" s="1460">
        <f t="shared" ca="1" si="142"/>
        <v>0</v>
      </c>
      <c r="G227" s="358">
        <f t="shared" ca="1" si="152"/>
        <v>0</v>
      </c>
      <c r="H227" s="358">
        <f t="shared" ca="1" si="152"/>
        <v>0</v>
      </c>
      <c r="I227" s="358">
        <f t="shared" ca="1" si="152"/>
        <v>0</v>
      </c>
      <c r="J227" s="358">
        <f t="shared" ca="1" si="152"/>
        <v>0</v>
      </c>
      <c r="K227" s="358">
        <f t="shared" ca="1" si="152"/>
        <v>0</v>
      </c>
      <c r="L227" s="358">
        <f t="shared" ca="1" si="152"/>
        <v>0</v>
      </c>
      <c r="M227" s="358">
        <f t="shared" ca="1" si="152"/>
        <v>0</v>
      </c>
      <c r="N227" s="358">
        <f t="shared" ca="1" si="152"/>
        <v>0</v>
      </c>
      <c r="O227" s="358">
        <f t="shared" ca="1" si="152"/>
        <v>0</v>
      </c>
      <c r="P227" s="358">
        <f t="shared" ca="1" si="152"/>
        <v>0</v>
      </c>
      <c r="Q227" s="358">
        <f t="shared" ca="1" si="153"/>
        <v>0</v>
      </c>
      <c r="R227" s="358">
        <f t="shared" ca="1" si="153"/>
        <v>0</v>
      </c>
      <c r="S227" s="358">
        <f t="shared" ca="1" si="153"/>
        <v>0</v>
      </c>
      <c r="T227" s="358">
        <f t="shared" ca="1" si="153"/>
        <v>0</v>
      </c>
      <c r="U227" s="358">
        <f t="shared" ca="1" si="153"/>
        <v>0</v>
      </c>
      <c r="V227" s="358">
        <f t="shared" ca="1" si="153"/>
        <v>0</v>
      </c>
      <c r="W227" s="358">
        <f t="shared" ca="1" si="153"/>
        <v>0</v>
      </c>
      <c r="X227" s="358">
        <f t="shared" ca="1" si="153"/>
        <v>0</v>
      </c>
      <c r="Y227" s="358">
        <f t="shared" ca="1" si="153"/>
        <v>0</v>
      </c>
      <c r="Z227" s="358">
        <f t="shared" ca="1" si="153"/>
        <v>0</v>
      </c>
      <c r="AA227" s="358">
        <f t="shared" ca="1" si="154"/>
        <v>0</v>
      </c>
      <c r="AB227" s="358">
        <f t="shared" ca="1" si="154"/>
        <v>0</v>
      </c>
      <c r="AC227" s="358">
        <f t="shared" ca="1" si="154"/>
        <v>0</v>
      </c>
      <c r="AD227" s="358">
        <f t="shared" ca="1" si="154"/>
        <v>0</v>
      </c>
      <c r="AE227" s="358">
        <f t="shared" ca="1" si="154"/>
        <v>0</v>
      </c>
      <c r="AF227" s="358">
        <f t="shared" ca="1" si="154"/>
        <v>0</v>
      </c>
      <c r="AG227" s="358">
        <f t="shared" ca="1" si="154"/>
        <v>0</v>
      </c>
      <c r="AH227" s="358">
        <f t="shared" ca="1" si="154"/>
        <v>0</v>
      </c>
      <c r="AI227" s="358">
        <f t="shared" ca="1" si="154"/>
        <v>0</v>
      </c>
      <c r="AJ227" s="358">
        <f t="shared" ca="1" si="154"/>
        <v>0</v>
      </c>
      <c r="AK227" s="358">
        <f t="shared" ca="1" si="155"/>
        <v>0</v>
      </c>
      <c r="AL227" s="358">
        <f t="shared" ca="1" si="155"/>
        <v>0</v>
      </c>
      <c r="AM227" s="358">
        <f t="shared" ca="1" si="155"/>
        <v>0</v>
      </c>
      <c r="AN227" s="358">
        <f t="shared" ca="1" si="155"/>
        <v>0</v>
      </c>
      <c r="AO227" s="358">
        <f t="shared" ca="1" si="155"/>
        <v>0</v>
      </c>
      <c r="AP227" s="358">
        <f t="shared" ca="1" si="155"/>
        <v>0</v>
      </c>
      <c r="AQ227" s="358">
        <f t="shared" ca="1" si="155"/>
        <v>0</v>
      </c>
      <c r="AR227" s="358">
        <f t="shared" ca="1" si="155"/>
        <v>0</v>
      </c>
      <c r="AS227" s="358">
        <f t="shared" ca="1" si="155"/>
        <v>0</v>
      </c>
      <c r="AT227" s="358">
        <f t="shared" ca="1" si="155"/>
        <v>0</v>
      </c>
      <c r="AV227" s="358">
        <f t="shared" ca="1" si="118"/>
        <v>0</v>
      </c>
      <c r="AX227" s="358">
        <f t="shared" ca="1" si="119"/>
        <v>0</v>
      </c>
      <c r="AZ227" s="358">
        <f t="shared" ca="1" si="120"/>
        <v>0</v>
      </c>
      <c r="BB227" s="358">
        <f t="shared" ca="1" si="121"/>
        <v>0</v>
      </c>
      <c r="BD227" s="358">
        <f t="shared" ca="1" si="122"/>
        <v>0</v>
      </c>
      <c r="BF227" s="358">
        <f t="shared" ca="1" si="123"/>
        <v>0</v>
      </c>
      <c r="BH227" s="358">
        <f t="shared" ca="1" si="124"/>
        <v>0</v>
      </c>
    </row>
    <row r="228" spans="1:60" hidden="1" outlineLevel="1">
      <c r="A228" s="1464">
        <f t="shared" si="156"/>
        <v>18</v>
      </c>
      <c r="B228" s="1464">
        <f t="shared" si="157"/>
        <v>27</v>
      </c>
      <c r="C228" s="1464">
        <f t="shared" si="158"/>
        <v>7</v>
      </c>
      <c r="D228" s="1271" t="str">
        <f ca="1">IF(OFFSET(PortfolioDashboard!$A$3,C228-1,0)="","Blank",OFFSET(PortfolioDashboard!$A$3,C228-1,0))</f>
        <v>Long-term Energy Conservation Measures</v>
      </c>
      <c r="E228" s="1464" t="str">
        <f t="shared" si="159"/>
        <v>2010$</v>
      </c>
      <c r="F228" s="1460">
        <f t="shared" ca="1" si="142"/>
        <v>0</v>
      </c>
      <c r="G228" s="358">
        <f t="shared" ca="1" si="152"/>
        <v>0</v>
      </c>
      <c r="H228" s="358">
        <f t="shared" ca="1" si="152"/>
        <v>0</v>
      </c>
      <c r="I228" s="358">
        <f t="shared" ca="1" si="152"/>
        <v>0</v>
      </c>
      <c r="J228" s="358">
        <f t="shared" ca="1" si="152"/>
        <v>0</v>
      </c>
      <c r="K228" s="358">
        <f t="shared" ca="1" si="152"/>
        <v>0</v>
      </c>
      <c r="L228" s="358">
        <f t="shared" ca="1" si="152"/>
        <v>0</v>
      </c>
      <c r="M228" s="358">
        <f t="shared" ca="1" si="152"/>
        <v>0</v>
      </c>
      <c r="N228" s="358">
        <f t="shared" ca="1" si="152"/>
        <v>0</v>
      </c>
      <c r="O228" s="358">
        <f t="shared" ca="1" si="152"/>
        <v>0</v>
      </c>
      <c r="P228" s="358">
        <f t="shared" ca="1" si="152"/>
        <v>0</v>
      </c>
      <c r="Q228" s="358">
        <f t="shared" ca="1" si="153"/>
        <v>0</v>
      </c>
      <c r="R228" s="358">
        <f t="shared" ca="1" si="153"/>
        <v>0</v>
      </c>
      <c r="S228" s="358">
        <f t="shared" ca="1" si="153"/>
        <v>0</v>
      </c>
      <c r="T228" s="358">
        <f t="shared" ca="1" si="153"/>
        <v>0</v>
      </c>
      <c r="U228" s="358">
        <f t="shared" ca="1" si="153"/>
        <v>0</v>
      </c>
      <c r="V228" s="358">
        <f t="shared" ca="1" si="153"/>
        <v>0</v>
      </c>
      <c r="W228" s="358">
        <f t="shared" ca="1" si="153"/>
        <v>0</v>
      </c>
      <c r="X228" s="358">
        <f t="shared" ca="1" si="153"/>
        <v>0</v>
      </c>
      <c r="Y228" s="358">
        <f t="shared" ca="1" si="153"/>
        <v>0</v>
      </c>
      <c r="Z228" s="358">
        <f t="shared" ca="1" si="153"/>
        <v>0</v>
      </c>
      <c r="AA228" s="358">
        <f t="shared" ca="1" si="154"/>
        <v>0</v>
      </c>
      <c r="AB228" s="358">
        <f t="shared" ca="1" si="154"/>
        <v>0</v>
      </c>
      <c r="AC228" s="358">
        <f t="shared" ca="1" si="154"/>
        <v>0</v>
      </c>
      <c r="AD228" s="358">
        <f t="shared" ca="1" si="154"/>
        <v>0</v>
      </c>
      <c r="AE228" s="358">
        <f t="shared" ca="1" si="154"/>
        <v>0</v>
      </c>
      <c r="AF228" s="358">
        <f t="shared" ca="1" si="154"/>
        <v>0</v>
      </c>
      <c r="AG228" s="358">
        <f t="shared" ca="1" si="154"/>
        <v>0</v>
      </c>
      <c r="AH228" s="358">
        <f t="shared" ca="1" si="154"/>
        <v>0</v>
      </c>
      <c r="AI228" s="358">
        <f t="shared" ca="1" si="154"/>
        <v>0</v>
      </c>
      <c r="AJ228" s="358">
        <f t="shared" ca="1" si="154"/>
        <v>0</v>
      </c>
      <c r="AK228" s="358">
        <f t="shared" ca="1" si="155"/>
        <v>0</v>
      </c>
      <c r="AL228" s="358">
        <f t="shared" ca="1" si="155"/>
        <v>0</v>
      </c>
      <c r="AM228" s="358">
        <f t="shared" ca="1" si="155"/>
        <v>0</v>
      </c>
      <c r="AN228" s="358">
        <f t="shared" ca="1" si="155"/>
        <v>0</v>
      </c>
      <c r="AO228" s="358">
        <f t="shared" ca="1" si="155"/>
        <v>0</v>
      </c>
      <c r="AP228" s="358">
        <f t="shared" ca="1" si="155"/>
        <v>0</v>
      </c>
      <c r="AQ228" s="358">
        <f t="shared" ca="1" si="155"/>
        <v>0</v>
      </c>
      <c r="AR228" s="358">
        <f t="shared" ca="1" si="155"/>
        <v>0</v>
      </c>
      <c r="AS228" s="358">
        <f t="shared" ca="1" si="155"/>
        <v>0</v>
      </c>
      <c r="AT228" s="358">
        <f t="shared" ca="1" si="155"/>
        <v>0</v>
      </c>
      <c r="AV228" s="358">
        <f t="shared" ca="1" si="118"/>
        <v>0</v>
      </c>
      <c r="AX228" s="358">
        <f t="shared" ca="1" si="119"/>
        <v>0</v>
      </c>
      <c r="AZ228" s="358">
        <f t="shared" ca="1" si="120"/>
        <v>0</v>
      </c>
      <c r="BB228" s="358">
        <f t="shared" ca="1" si="121"/>
        <v>0</v>
      </c>
      <c r="BD228" s="358">
        <f t="shared" ca="1" si="122"/>
        <v>0</v>
      </c>
      <c r="BF228" s="358">
        <f t="shared" ca="1" si="123"/>
        <v>0</v>
      </c>
      <c r="BH228" s="358">
        <f t="shared" ca="1" si="124"/>
        <v>0</v>
      </c>
    </row>
    <row r="229" spans="1:60" hidden="1" outlineLevel="1">
      <c r="A229" s="1464">
        <f t="shared" si="156"/>
        <v>18</v>
      </c>
      <c r="B229" s="1464">
        <f t="shared" si="157"/>
        <v>27</v>
      </c>
      <c r="C229" s="1464">
        <f t="shared" si="158"/>
        <v>8</v>
      </c>
      <c r="D229" s="1271" t="str">
        <f ca="1">IF(OFFSET(PortfolioDashboard!$A$3,C229-1,0)="","Blank",OFFSET(PortfolioDashboard!$A$3,C229-1,0))</f>
        <v>Green IT</v>
      </c>
      <c r="E229" s="1464" t="str">
        <f t="shared" si="159"/>
        <v>2010$</v>
      </c>
      <c r="F229" s="1460">
        <f t="shared" ca="1" si="142"/>
        <v>0</v>
      </c>
      <c r="G229" s="358">
        <f t="shared" ca="1" si="152"/>
        <v>0</v>
      </c>
      <c r="H229" s="358">
        <f t="shared" ca="1" si="152"/>
        <v>0</v>
      </c>
      <c r="I229" s="358">
        <f t="shared" ca="1" si="152"/>
        <v>0</v>
      </c>
      <c r="J229" s="358">
        <f t="shared" ca="1" si="152"/>
        <v>0</v>
      </c>
      <c r="K229" s="358">
        <f t="shared" ca="1" si="152"/>
        <v>0</v>
      </c>
      <c r="L229" s="358">
        <f t="shared" ca="1" si="152"/>
        <v>0</v>
      </c>
      <c r="M229" s="358">
        <f t="shared" ca="1" si="152"/>
        <v>0</v>
      </c>
      <c r="N229" s="358">
        <f t="shared" ca="1" si="152"/>
        <v>0</v>
      </c>
      <c r="O229" s="358">
        <f t="shared" ca="1" si="152"/>
        <v>0</v>
      </c>
      <c r="P229" s="358">
        <f t="shared" ca="1" si="152"/>
        <v>0</v>
      </c>
      <c r="Q229" s="358">
        <f t="shared" ca="1" si="153"/>
        <v>0</v>
      </c>
      <c r="R229" s="358">
        <f t="shared" ca="1" si="153"/>
        <v>0</v>
      </c>
      <c r="S229" s="358">
        <f t="shared" ca="1" si="153"/>
        <v>0</v>
      </c>
      <c r="T229" s="358">
        <f t="shared" ca="1" si="153"/>
        <v>0</v>
      </c>
      <c r="U229" s="358">
        <f t="shared" ca="1" si="153"/>
        <v>0</v>
      </c>
      <c r="V229" s="358">
        <f t="shared" ca="1" si="153"/>
        <v>0</v>
      </c>
      <c r="W229" s="358">
        <f t="shared" ca="1" si="153"/>
        <v>0</v>
      </c>
      <c r="X229" s="358">
        <f t="shared" ca="1" si="153"/>
        <v>0</v>
      </c>
      <c r="Y229" s="358">
        <f t="shared" ca="1" si="153"/>
        <v>0</v>
      </c>
      <c r="Z229" s="358">
        <f t="shared" ca="1" si="153"/>
        <v>0</v>
      </c>
      <c r="AA229" s="358">
        <f t="shared" ca="1" si="154"/>
        <v>0</v>
      </c>
      <c r="AB229" s="358">
        <f t="shared" ca="1" si="154"/>
        <v>0</v>
      </c>
      <c r="AC229" s="358">
        <f t="shared" ca="1" si="154"/>
        <v>0</v>
      </c>
      <c r="AD229" s="358">
        <f t="shared" ca="1" si="154"/>
        <v>0</v>
      </c>
      <c r="AE229" s="358">
        <f t="shared" ca="1" si="154"/>
        <v>0</v>
      </c>
      <c r="AF229" s="358">
        <f t="shared" ca="1" si="154"/>
        <v>0</v>
      </c>
      <c r="AG229" s="358">
        <f t="shared" ca="1" si="154"/>
        <v>0</v>
      </c>
      <c r="AH229" s="358">
        <f t="shared" ca="1" si="154"/>
        <v>0</v>
      </c>
      <c r="AI229" s="358">
        <f t="shared" ca="1" si="154"/>
        <v>0</v>
      </c>
      <c r="AJ229" s="358">
        <f t="shared" ca="1" si="154"/>
        <v>0</v>
      </c>
      <c r="AK229" s="358">
        <f t="shared" ca="1" si="155"/>
        <v>0</v>
      </c>
      <c r="AL229" s="358">
        <f t="shared" ca="1" si="155"/>
        <v>0</v>
      </c>
      <c r="AM229" s="358">
        <f t="shared" ca="1" si="155"/>
        <v>0</v>
      </c>
      <c r="AN229" s="358">
        <f t="shared" ca="1" si="155"/>
        <v>0</v>
      </c>
      <c r="AO229" s="358">
        <f t="shared" ca="1" si="155"/>
        <v>0</v>
      </c>
      <c r="AP229" s="358">
        <f t="shared" ca="1" si="155"/>
        <v>0</v>
      </c>
      <c r="AQ229" s="358">
        <f t="shared" ca="1" si="155"/>
        <v>0</v>
      </c>
      <c r="AR229" s="358">
        <f t="shared" ca="1" si="155"/>
        <v>0</v>
      </c>
      <c r="AS229" s="358">
        <f t="shared" ca="1" si="155"/>
        <v>0</v>
      </c>
      <c r="AT229" s="358">
        <f t="shared" ca="1" si="155"/>
        <v>0</v>
      </c>
      <c r="AV229" s="358">
        <f t="shared" ca="1" si="118"/>
        <v>0</v>
      </c>
      <c r="AX229" s="358">
        <f t="shared" ca="1" si="119"/>
        <v>0</v>
      </c>
      <c r="AZ229" s="358">
        <f t="shared" ca="1" si="120"/>
        <v>0</v>
      </c>
      <c r="BB229" s="358">
        <f t="shared" ca="1" si="121"/>
        <v>0</v>
      </c>
      <c r="BD229" s="358">
        <f t="shared" ca="1" si="122"/>
        <v>0</v>
      </c>
      <c r="BF229" s="358">
        <f t="shared" ca="1" si="123"/>
        <v>0</v>
      </c>
      <c r="BH229" s="358">
        <f t="shared" ca="1" si="124"/>
        <v>0</v>
      </c>
    </row>
    <row r="230" spans="1:60" hidden="1" outlineLevel="1">
      <c r="A230" s="1464">
        <f t="shared" si="156"/>
        <v>18</v>
      </c>
      <c r="B230" s="1464">
        <f t="shared" si="157"/>
        <v>27</v>
      </c>
      <c r="C230" s="1464">
        <f t="shared" si="158"/>
        <v>9</v>
      </c>
      <c r="D230" s="1271" t="str">
        <f ca="1">IF(OFFSET(PortfolioDashboard!$A$3,C230-1,0)="","Blank",OFFSET(PortfolioDashboard!$A$3,C230-1,0))</f>
        <v>Reduced Air Travel</v>
      </c>
      <c r="E230" s="1464" t="str">
        <f t="shared" si="159"/>
        <v>2010$</v>
      </c>
      <c r="F230" s="1460">
        <f t="shared" ca="1" si="142"/>
        <v>0</v>
      </c>
      <c r="G230" s="358">
        <f t="shared" ca="1" si="152"/>
        <v>0</v>
      </c>
      <c r="H230" s="358">
        <f t="shared" ca="1" si="152"/>
        <v>0</v>
      </c>
      <c r="I230" s="358">
        <f t="shared" ca="1" si="152"/>
        <v>0</v>
      </c>
      <c r="J230" s="358">
        <f t="shared" ca="1" si="152"/>
        <v>0</v>
      </c>
      <c r="K230" s="358">
        <f t="shared" ca="1" si="152"/>
        <v>0</v>
      </c>
      <c r="L230" s="358">
        <f t="shared" ca="1" si="152"/>
        <v>0</v>
      </c>
      <c r="M230" s="358">
        <f t="shared" ca="1" si="152"/>
        <v>0</v>
      </c>
      <c r="N230" s="358">
        <f t="shared" ca="1" si="152"/>
        <v>0</v>
      </c>
      <c r="O230" s="358">
        <f t="shared" ca="1" si="152"/>
        <v>0</v>
      </c>
      <c r="P230" s="358">
        <f t="shared" ca="1" si="152"/>
        <v>0</v>
      </c>
      <c r="Q230" s="358">
        <f t="shared" ca="1" si="153"/>
        <v>0</v>
      </c>
      <c r="R230" s="358">
        <f t="shared" ca="1" si="153"/>
        <v>0</v>
      </c>
      <c r="S230" s="358">
        <f t="shared" ca="1" si="153"/>
        <v>0</v>
      </c>
      <c r="T230" s="358">
        <f t="shared" ca="1" si="153"/>
        <v>0</v>
      </c>
      <c r="U230" s="358">
        <f t="shared" ca="1" si="153"/>
        <v>0</v>
      </c>
      <c r="V230" s="358">
        <f t="shared" ca="1" si="153"/>
        <v>0</v>
      </c>
      <c r="W230" s="358">
        <f t="shared" ca="1" si="153"/>
        <v>0</v>
      </c>
      <c r="X230" s="358">
        <f t="shared" ca="1" si="153"/>
        <v>0</v>
      </c>
      <c r="Y230" s="358">
        <f t="shared" ca="1" si="153"/>
        <v>0</v>
      </c>
      <c r="Z230" s="358">
        <f t="shared" ca="1" si="153"/>
        <v>0</v>
      </c>
      <c r="AA230" s="358">
        <f t="shared" ca="1" si="154"/>
        <v>0</v>
      </c>
      <c r="AB230" s="358">
        <f t="shared" ca="1" si="154"/>
        <v>0</v>
      </c>
      <c r="AC230" s="358">
        <f t="shared" ca="1" si="154"/>
        <v>0</v>
      </c>
      <c r="AD230" s="358">
        <f t="shared" ca="1" si="154"/>
        <v>0</v>
      </c>
      <c r="AE230" s="358">
        <f t="shared" ca="1" si="154"/>
        <v>0</v>
      </c>
      <c r="AF230" s="358">
        <f t="shared" ca="1" si="154"/>
        <v>0</v>
      </c>
      <c r="AG230" s="358">
        <f t="shared" ca="1" si="154"/>
        <v>0</v>
      </c>
      <c r="AH230" s="358">
        <f t="shared" ca="1" si="154"/>
        <v>0</v>
      </c>
      <c r="AI230" s="358">
        <f t="shared" ca="1" si="154"/>
        <v>0</v>
      </c>
      <c r="AJ230" s="358">
        <f t="shared" ca="1" si="154"/>
        <v>0</v>
      </c>
      <c r="AK230" s="358">
        <f t="shared" ca="1" si="155"/>
        <v>0</v>
      </c>
      <c r="AL230" s="358">
        <f t="shared" ca="1" si="155"/>
        <v>0</v>
      </c>
      <c r="AM230" s="358">
        <f t="shared" ca="1" si="155"/>
        <v>0</v>
      </c>
      <c r="AN230" s="358">
        <f t="shared" ca="1" si="155"/>
        <v>0</v>
      </c>
      <c r="AO230" s="358">
        <f t="shared" ca="1" si="155"/>
        <v>0</v>
      </c>
      <c r="AP230" s="358">
        <f t="shared" ca="1" si="155"/>
        <v>0</v>
      </c>
      <c r="AQ230" s="358">
        <f t="shared" ca="1" si="155"/>
        <v>0</v>
      </c>
      <c r="AR230" s="358">
        <f t="shared" ca="1" si="155"/>
        <v>0</v>
      </c>
      <c r="AS230" s="358">
        <f t="shared" ca="1" si="155"/>
        <v>0</v>
      </c>
      <c r="AT230" s="358">
        <f t="shared" ca="1" si="155"/>
        <v>0</v>
      </c>
      <c r="AV230" s="358">
        <f t="shared" ref="AV230:AV293" ca="1" si="160">SUM(L230:P230)</f>
        <v>0</v>
      </c>
      <c r="AX230" s="358">
        <f t="shared" ref="AX230:AX293" ca="1" si="161">SUM(Q230:U230)</f>
        <v>0</v>
      </c>
      <c r="AZ230" s="358">
        <f t="shared" ref="AZ230:AZ293" ca="1" si="162">SUM(V230:Z230)</f>
        <v>0</v>
      </c>
      <c r="BB230" s="358">
        <f t="shared" ref="BB230:BB293" ca="1" si="163">SUM(AA230:AE230)</f>
        <v>0</v>
      </c>
      <c r="BD230" s="358">
        <f t="shared" ref="BD230:BD293" ca="1" si="164">SUM(AF230:AJ230)</f>
        <v>0</v>
      </c>
      <c r="BF230" s="358">
        <f t="shared" ref="BF230:BF293" ca="1" si="165">SUM(AK230:AO230)</f>
        <v>0</v>
      </c>
      <c r="BH230" s="358">
        <f t="shared" ref="BH230:BH293" ca="1" si="166">SUM(AP230:AT230)</f>
        <v>0</v>
      </c>
    </row>
    <row r="231" spans="1:60" hidden="1" outlineLevel="1">
      <c r="A231" s="1464">
        <f t="shared" si="156"/>
        <v>18</v>
      </c>
      <c r="B231" s="1464">
        <f t="shared" si="157"/>
        <v>27</v>
      </c>
      <c r="C231" s="1464">
        <f t="shared" si="158"/>
        <v>10</v>
      </c>
      <c r="D231" s="1271" t="str">
        <f ca="1">IF(OFFSET(PortfolioDashboard!$A$3,C231-1,0)="","Blank",OFFSET(PortfolioDashboard!$A$3,C231-1,0))</f>
        <v>Reduced Automobile Reliance Strategies</v>
      </c>
      <c r="E231" s="1464" t="str">
        <f t="shared" si="159"/>
        <v>2010$</v>
      </c>
      <c r="F231" s="1460">
        <f t="shared" ca="1" si="142"/>
        <v>0</v>
      </c>
      <c r="G231" s="358">
        <f t="shared" ca="1" si="152"/>
        <v>0</v>
      </c>
      <c r="H231" s="358">
        <f t="shared" ca="1" si="152"/>
        <v>0</v>
      </c>
      <c r="I231" s="358">
        <f t="shared" ca="1" si="152"/>
        <v>0</v>
      </c>
      <c r="J231" s="358">
        <f t="shared" ca="1" si="152"/>
        <v>0</v>
      </c>
      <c r="K231" s="358">
        <f t="shared" ca="1" si="152"/>
        <v>0</v>
      </c>
      <c r="L231" s="358">
        <f t="shared" ca="1" si="152"/>
        <v>0</v>
      </c>
      <c r="M231" s="358">
        <f t="shared" ca="1" si="152"/>
        <v>0</v>
      </c>
      <c r="N231" s="358">
        <f t="shared" ca="1" si="152"/>
        <v>0</v>
      </c>
      <c r="O231" s="358">
        <f t="shared" ca="1" si="152"/>
        <v>0</v>
      </c>
      <c r="P231" s="358">
        <f t="shared" ca="1" si="152"/>
        <v>0</v>
      </c>
      <c r="Q231" s="358">
        <f t="shared" ca="1" si="153"/>
        <v>0</v>
      </c>
      <c r="R231" s="358">
        <f t="shared" ca="1" si="153"/>
        <v>0</v>
      </c>
      <c r="S231" s="358">
        <f t="shared" ca="1" si="153"/>
        <v>0</v>
      </c>
      <c r="T231" s="358">
        <f t="shared" ca="1" si="153"/>
        <v>0</v>
      </c>
      <c r="U231" s="358">
        <f t="shared" ca="1" si="153"/>
        <v>0</v>
      </c>
      <c r="V231" s="358">
        <f t="shared" ca="1" si="153"/>
        <v>0</v>
      </c>
      <c r="W231" s="358">
        <f t="shared" ca="1" si="153"/>
        <v>0</v>
      </c>
      <c r="X231" s="358">
        <f t="shared" ca="1" si="153"/>
        <v>0</v>
      </c>
      <c r="Y231" s="358">
        <f t="shared" ca="1" si="153"/>
        <v>0</v>
      </c>
      <c r="Z231" s="358">
        <f t="shared" ca="1" si="153"/>
        <v>0</v>
      </c>
      <c r="AA231" s="358">
        <f t="shared" ca="1" si="154"/>
        <v>0</v>
      </c>
      <c r="AB231" s="358">
        <f t="shared" ca="1" si="154"/>
        <v>0</v>
      </c>
      <c r="AC231" s="358">
        <f t="shared" ca="1" si="154"/>
        <v>0</v>
      </c>
      <c r="AD231" s="358">
        <f t="shared" ca="1" si="154"/>
        <v>0</v>
      </c>
      <c r="AE231" s="358">
        <f t="shared" ca="1" si="154"/>
        <v>0</v>
      </c>
      <c r="AF231" s="358">
        <f t="shared" ca="1" si="154"/>
        <v>0</v>
      </c>
      <c r="AG231" s="358">
        <f t="shared" ca="1" si="154"/>
        <v>0</v>
      </c>
      <c r="AH231" s="358">
        <f t="shared" ca="1" si="154"/>
        <v>0</v>
      </c>
      <c r="AI231" s="358">
        <f t="shared" ca="1" si="154"/>
        <v>0</v>
      </c>
      <c r="AJ231" s="358">
        <f t="shared" ca="1" si="154"/>
        <v>0</v>
      </c>
      <c r="AK231" s="358">
        <f t="shared" ca="1" si="155"/>
        <v>0</v>
      </c>
      <c r="AL231" s="358">
        <f t="shared" ca="1" si="155"/>
        <v>0</v>
      </c>
      <c r="AM231" s="358">
        <f t="shared" ca="1" si="155"/>
        <v>0</v>
      </c>
      <c r="AN231" s="358">
        <f t="shared" ca="1" si="155"/>
        <v>0</v>
      </c>
      <c r="AO231" s="358">
        <f t="shared" ca="1" si="155"/>
        <v>0</v>
      </c>
      <c r="AP231" s="358">
        <f t="shared" ca="1" si="155"/>
        <v>0</v>
      </c>
      <c r="AQ231" s="358">
        <f t="shared" ca="1" si="155"/>
        <v>0</v>
      </c>
      <c r="AR231" s="358">
        <f t="shared" ca="1" si="155"/>
        <v>0</v>
      </c>
      <c r="AS231" s="358">
        <f t="shared" ca="1" si="155"/>
        <v>0</v>
      </c>
      <c r="AT231" s="358">
        <f t="shared" ca="1" si="155"/>
        <v>0</v>
      </c>
      <c r="AV231" s="358">
        <f t="shared" ca="1" si="160"/>
        <v>0</v>
      </c>
      <c r="AX231" s="358">
        <f t="shared" ca="1" si="161"/>
        <v>0</v>
      </c>
      <c r="AZ231" s="358">
        <f t="shared" ca="1" si="162"/>
        <v>0</v>
      </c>
      <c r="BB231" s="358">
        <f t="shared" ca="1" si="163"/>
        <v>0</v>
      </c>
      <c r="BD231" s="358">
        <f t="shared" ca="1" si="164"/>
        <v>0</v>
      </c>
      <c r="BF231" s="358">
        <f t="shared" ca="1" si="165"/>
        <v>0</v>
      </c>
      <c r="BH231" s="358">
        <f t="shared" ca="1" si="166"/>
        <v>0</v>
      </c>
    </row>
    <row r="232" spans="1:60" hidden="1" outlineLevel="1">
      <c r="A232" s="1464">
        <f t="shared" si="156"/>
        <v>18</v>
      </c>
      <c r="B232" s="1464">
        <f t="shared" si="157"/>
        <v>27</v>
      </c>
      <c r="C232" s="1464">
        <f t="shared" si="158"/>
        <v>11</v>
      </c>
      <c r="D232" s="1271" t="str">
        <f ca="1">IF(OFFSET(PortfolioDashboard!$A$3,C232-1,0)="","Blank",OFFSET(PortfolioDashboard!$A$3,C232-1,0))</f>
        <v>Waste Reduction</v>
      </c>
      <c r="E232" s="1464" t="str">
        <f t="shared" si="159"/>
        <v>2010$</v>
      </c>
      <c r="F232" s="1460">
        <f t="shared" ca="1" si="142"/>
        <v>0</v>
      </c>
      <c r="G232" s="358">
        <f t="shared" ref="G232:P241" ca="1" si="167">IFERROR(OFFSET(INDIRECT(INDEX(List_of_Alternatives,MATCH($D232,NameofAlternatives,0))),$A232+G$1-$G$1,$B232),0)</f>
        <v>0</v>
      </c>
      <c r="H232" s="358">
        <f t="shared" ca="1" si="167"/>
        <v>0</v>
      </c>
      <c r="I232" s="358">
        <f t="shared" ca="1" si="167"/>
        <v>0</v>
      </c>
      <c r="J232" s="358">
        <f t="shared" ca="1" si="167"/>
        <v>0</v>
      </c>
      <c r="K232" s="358">
        <f t="shared" ca="1" si="167"/>
        <v>0</v>
      </c>
      <c r="L232" s="358">
        <f t="shared" ca="1" si="167"/>
        <v>0</v>
      </c>
      <c r="M232" s="358">
        <f t="shared" ca="1" si="167"/>
        <v>0</v>
      </c>
      <c r="N232" s="358">
        <f t="shared" ca="1" si="167"/>
        <v>0</v>
      </c>
      <c r="O232" s="358">
        <f t="shared" ca="1" si="167"/>
        <v>0</v>
      </c>
      <c r="P232" s="358">
        <f t="shared" ca="1" si="167"/>
        <v>0</v>
      </c>
      <c r="Q232" s="358">
        <f t="shared" ref="Q232:Z241" ca="1" si="168">IFERROR(OFFSET(INDIRECT(INDEX(List_of_Alternatives,MATCH($D232,NameofAlternatives,0))),$A232+Q$1-$G$1,$B232),0)</f>
        <v>0</v>
      </c>
      <c r="R232" s="358">
        <f t="shared" ca="1" si="168"/>
        <v>0</v>
      </c>
      <c r="S232" s="358">
        <f t="shared" ca="1" si="168"/>
        <v>0</v>
      </c>
      <c r="T232" s="358">
        <f t="shared" ca="1" si="168"/>
        <v>0</v>
      </c>
      <c r="U232" s="358">
        <f t="shared" ca="1" si="168"/>
        <v>0</v>
      </c>
      <c r="V232" s="358">
        <f t="shared" ca="1" si="168"/>
        <v>0</v>
      </c>
      <c r="W232" s="358">
        <f t="shared" ca="1" si="168"/>
        <v>0</v>
      </c>
      <c r="X232" s="358">
        <f t="shared" ca="1" si="168"/>
        <v>0</v>
      </c>
      <c r="Y232" s="358">
        <f t="shared" ca="1" si="168"/>
        <v>0</v>
      </c>
      <c r="Z232" s="358">
        <f t="shared" ca="1" si="168"/>
        <v>0</v>
      </c>
      <c r="AA232" s="358">
        <f t="shared" ref="AA232:AJ241" ca="1" si="169">IFERROR(OFFSET(INDIRECT(INDEX(List_of_Alternatives,MATCH($D232,NameofAlternatives,0))),$A232+AA$1-$G$1,$B232),0)</f>
        <v>0</v>
      </c>
      <c r="AB232" s="358">
        <f t="shared" ca="1" si="169"/>
        <v>0</v>
      </c>
      <c r="AC232" s="358">
        <f t="shared" ca="1" si="169"/>
        <v>0</v>
      </c>
      <c r="AD232" s="358">
        <f t="shared" ca="1" si="169"/>
        <v>0</v>
      </c>
      <c r="AE232" s="358">
        <f t="shared" ca="1" si="169"/>
        <v>0</v>
      </c>
      <c r="AF232" s="358">
        <f t="shared" ca="1" si="169"/>
        <v>0</v>
      </c>
      <c r="AG232" s="358">
        <f t="shared" ca="1" si="169"/>
        <v>0</v>
      </c>
      <c r="AH232" s="358">
        <f t="shared" ca="1" si="169"/>
        <v>0</v>
      </c>
      <c r="AI232" s="358">
        <f t="shared" ca="1" si="169"/>
        <v>0</v>
      </c>
      <c r="AJ232" s="358">
        <f t="shared" ca="1" si="169"/>
        <v>0</v>
      </c>
      <c r="AK232" s="358">
        <f t="shared" ref="AK232:AT241" ca="1" si="170">IFERROR(OFFSET(INDIRECT(INDEX(List_of_Alternatives,MATCH($D232,NameofAlternatives,0))),$A232+AK$1-$G$1,$B232),0)</f>
        <v>0</v>
      </c>
      <c r="AL232" s="358">
        <f t="shared" ca="1" si="170"/>
        <v>0</v>
      </c>
      <c r="AM232" s="358">
        <f t="shared" ca="1" si="170"/>
        <v>0</v>
      </c>
      <c r="AN232" s="358">
        <f t="shared" ca="1" si="170"/>
        <v>0</v>
      </c>
      <c r="AO232" s="358">
        <f t="shared" ca="1" si="170"/>
        <v>0</v>
      </c>
      <c r="AP232" s="358">
        <f t="shared" ca="1" si="170"/>
        <v>0</v>
      </c>
      <c r="AQ232" s="358">
        <f t="shared" ca="1" si="170"/>
        <v>0</v>
      </c>
      <c r="AR232" s="358">
        <f t="shared" ca="1" si="170"/>
        <v>0</v>
      </c>
      <c r="AS232" s="358">
        <f t="shared" ca="1" si="170"/>
        <v>0</v>
      </c>
      <c r="AT232" s="358">
        <f t="shared" ca="1" si="170"/>
        <v>0</v>
      </c>
      <c r="AV232" s="358">
        <f t="shared" ca="1" si="160"/>
        <v>0</v>
      </c>
      <c r="AX232" s="358">
        <f t="shared" ca="1" si="161"/>
        <v>0</v>
      </c>
      <c r="AZ232" s="358">
        <f t="shared" ca="1" si="162"/>
        <v>0</v>
      </c>
      <c r="BB232" s="358">
        <f t="shared" ca="1" si="163"/>
        <v>0</v>
      </c>
      <c r="BD232" s="358">
        <f t="shared" ca="1" si="164"/>
        <v>0</v>
      </c>
      <c r="BF232" s="358">
        <f t="shared" ca="1" si="165"/>
        <v>0</v>
      </c>
      <c r="BH232" s="358">
        <f t="shared" ca="1" si="166"/>
        <v>0</v>
      </c>
    </row>
    <row r="233" spans="1:60" hidden="1" outlineLevel="1">
      <c r="A233" s="1464">
        <f t="shared" si="156"/>
        <v>18</v>
      </c>
      <c r="B233" s="1464">
        <f t="shared" si="157"/>
        <v>27</v>
      </c>
      <c r="C233" s="1464">
        <f t="shared" si="158"/>
        <v>12</v>
      </c>
      <c r="D233" s="1271" t="str">
        <f ca="1">IF(OFFSET(PortfolioDashboard!$A$3,C233-1,0)="","Blank",OFFSET(PortfolioDashboard!$A$3,C233-1,0))</f>
        <v>Steam Line Improvements</v>
      </c>
      <c r="E233" s="1464" t="str">
        <f t="shared" si="159"/>
        <v>2010$</v>
      </c>
      <c r="F233" s="1460">
        <f t="shared" ca="1" si="142"/>
        <v>0</v>
      </c>
      <c r="G233" s="358">
        <f t="shared" ca="1" si="167"/>
        <v>0</v>
      </c>
      <c r="H233" s="358">
        <f t="shared" ca="1" si="167"/>
        <v>0</v>
      </c>
      <c r="I233" s="358">
        <f t="shared" ca="1" si="167"/>
        <v>0</v>
      </c>
      <c r="J233" s="358">
        <f t="shared" ca="1" si="167"/>
        <v>0</v>
      </c>
      <c r="K233" s="358">
        <f t="shared" ca="1" si="167"/>
        <v>0</v>
      </c>
      <c r="L233" s="358">
        <f t="shared" ca="1" si="167"/>
        <v>0</v>
      </c>
      <c r="M233" s="358">
        <f t="shared" ca="1" si="167"/>
        <v>0</v>
      </c>
      <c r="N233" s="358">
        <f t="shared" ca="1" si="167"/>
        <v>0</v>
      </c>
      <c r="O233" s="358">
        <f t="shared" ca="1" si="167"/>
        <v>0</v>
      </c>
      <c r="P233" s="358">
        <f t="shared" ca="1" si="167"/>
        <v>0</v>
      </c>
      <c r="Q233" s="358">
        <f t="shared" ca="1" si="168"/>
        <v>0</v>
      </c>
      <c r="R233" s="358">
        <f t="shared" ca="1" si="168"/>
        <v>0</v>
      </c>
      <c r="S233" s="358">
        <f t="shared" ca="1" si="168"/>
        <v>0</v>
      </c>
      <c r="T233" s="358">
        <f t="shared" ca="1" si="168"/>
        <v>0</v>
      </c>
      <c r="U233" s="358">
        <f t="shared" ca="1" si="168"/>
        <v>0</v>
      </c>
      <c r="V233" s="358">
        <f t="shared" ca="1" si="168"/>
        <v>0</v>
      </c>
      <c r="W233" s="358">
        <f t="shared" ca="1" si="168"/>
        <v>0</v>
      </c>
      <c r="X233" s="358">
        <f t="shared" ca="1" si="168"/>
        <v>0</v>
      </c>
      <c r="Y233" s="358">
        <f t="shared" ca="1" si="168"/>
        <v>0</v>
      </c>
      <c r="Z233" s="358">
        <f t="shared" ca="1" si="168"/>
        <v>0</v>
      </c>
      <c r="AA233" s="358">
        <f t="shared" ca="1" si="169"/>
        <v>0</v>
      </c>
      <c r="AB233" s="358">
        <f t="shared" ca="1" si="169"/>
        <v>0</v>
      </c>
      <c r="AC233" s="358">
        <f t="shared" ca="1" si="169"/>
        <v>0</v>
      </c>
      <c r="AD233" s="358">
        <f t="shared" ca="1" si="169"/>
        <v>0</v>
      </c>
      <c r="AE233" s="358">
        <f t="shared" ca="1" si="169"/>
        <v>0</v>
      </c>
      <c r="AF233" s="358">
        <f t="shared" ca="1" si="169"/>
        <v>0</v>
      </c>
      <c r="AG233" s="358">
        <f t="shared" ca="1" si="169"/>
        <v>0</v>
      </c>
      <c r="AH233" s="358">
        <f t="shared" ca="1" si="169"/>
        <v>0</v>
      </c>
      <c r="AI233" s="358">
        <f t="shared" ca="1" si="169"/>
        <v>0</v>
      </c>
      <c r="AJ233" s="358">
        <f t="shared" ca="1" si="169"/>
        <v>0</v>
      </c>
      <c r="AK233" s="358">
        <f t="shared" ca="1" si="170"/>
        <v>0</v>
      </c>
      <c r="AL233" s="358">
        <f t="shared" ca="1" si="170"/>
        <v>0</v>
      </c>
      <c r="AM233" s="358">
        <f t="shared" ca="1" si="170"/>
        <v>0</v>
      </c>
      <c r="AN233" s="358">
        <f t="shared" ca="1" si="170"/>
        <v>0</v>
      </c>
      <c r="AO233" s="358">
        <f t="shared" ca="1" si="170"/>
        <v>0</v>
      </c>
      <c r="AP233" s="358">
        <f t="shared" ca="1" si="170"/>
        <v>0</v>
      </c>
      <c r="AQ233" s="358">
        <f t="shared" ca="1" si="170"/>
        <v>0</v>
      </c>
      <c r="AR233" s="358">
        <f t="shared" ca="1" si="170"/>
        <v>0</v>
      </c>
      <c r="AS233" s="358">
        <f t="shared" ca="1" si="170"/>
        <v>0</v>
      </c>
      <c r="AT233" s="358">
        <f t="shared" ca="1" si="170"/>
        <v>0</v>
      </c>
      <c r="AV233" s="358">
        <f t="shared" ca="1" si="160"/>
        <v>0</v>
      </c>
      <c r="AX233" s="358">
        <f t="shared" ca="1" si="161"/>
        <v>0</v>
      </c>
      <c r="AZ233" s="358">
        <f t="shared" ca="1" si="162"/>
        <v>0</v>
      </c>
      <c r="BB233" s="358">
        <f t="shared" ca="1" si="163"/>
        <v>0</v>
      </c>
      <c r="BD233" s="358">
        <f t="shared" ca="1" si="164"/>
        <v>0</v>
      </c>
      <c r="BF233" s="358">
        <f t="shared" ca="1" si="165"/>
        <v>0</v>
      </c>
      <c r="BH233" s="358">
        <f t="shared" ca="1" si="166"/>
        <v>0</v>
      </c>
    </row>
    <row r="234" spans="1:60" hidden="1" outlineLevel="1">
      <c r="A234" s="1464">
        <f t="shared" si="156"/>
        <v>18</v>
      </c>
      <c r="B234" s="1464">
        <f t="shared" si="157"/>
        <v>27</v>
      </c>
      <c r="C234" s="1464">
        <f t="shared" si="158"/>
        <v>13</v>
      </c>
      <c r="D234" s="1271" t="str">
        <f ca="1">IF(OFFSET(PortfolioDashboard!$A$3,C234-1,0)="","Blank",OFFSET(PortfolioDashboard!$A$3,C234-1,0))</f>
        <v>Coal to Natural Gas Conversion @ Steam Plant</v>
      </c>
      <c r="E234" s="1464" t="str">
        <f t="shared" si="159"/>
        <v>2010$</v>
      </c>
      <c r="F234" s="1460">
        <f t="shared" ca="1" si="142"/>
        <v>-4228976.1405559285</v>
      </c>
      <c r="G234" s="358">
        <f t="shared" ca="1" si="167"/>
        <v>0</v>
      </c>
      <c r="H234" s="358">
        <f t="shared" ca="1" si="167"/>
        <v>0</v>
      </c>
      <c r="I234" s="358">
        <f t="shared" ca="1" si="167"/>
        <v>0</v>
      </c>
      <c r="J234" s="358">
        <f t="shared" ca="1" si="167"/>
        <v>0</v>
      </c>
      <c r="K234" s="358">
        <f t="shared" ca="1" si="167"/>
        <v>0</v>
      </c>
      <c r="L234" s="358">
        <f t="shared" ca="1" si="167"/>
        <v>-303812.55343383551</v>
      </c>
      <c r="M234" s="358">
        <f t="shared" ca="1" si="167"/>
        <v>-308746.13658415806</v>
      </c>
      <c r="N234" s="358">
        <f t="shared" ca="1" si="167"/>
        <v>-313721.4602521481</v>
      </c>
      <c r="O234" s="358">
        <f t="shared" ca="1" si="167"/>
        <v>-318738.8185034031</v>
      </c>
      <c r="P234" s="358">
        <f t="shared" ca="1" si="167"/>
        <v>-323798.50730066467</v>
      </c>
      <c r="Q234" s="358">
        <f t="shared" ca="1" si="168"/>
        <v>-328900.82451543584</v>
      </c>
      <c r="R234" s="358">
        <f t="shared" ca="1" si="168"/>
        <v>-334046.06993967295</v>
      </c>
      <c r="S234" s="358">
        <f t="shared" ca="1" si="168"/>
        <v>-339234.54529753793</v>
      </c>
      <c r="T234" s="358">
        <f t="shared" ca="1" si="168"/>
        <v>-344466.55425723549</v>
      </c>
      <c r="U234" s="358">
        <f t="shared" ca="1" si="168"/>
        <v>-349742.40244289581</v>
      </c>
      <c r="V234" s="358">
        <f t="shared" ca="1" si="168"/>
        <v>-355062.39744655695</v>
      </c>
      <c r="W234" s="358">
        <f t="shared" ca="1" si="168"/>
        <v>-360426.84884019289</v>
      </c>
      <c r="X234" s="358">
        <f t="shared" ca="1" si="168"/>
        <v>-365836.06818782911</v>
      </c>
      <c r="Y234" s="358">
        <f t="shared" ca="1" si="168"/>
        <v>-371290.36905772146</v>
      </c>
      <c r="Z234" s="358">
        <f t="shared" ca="1" si="168"/>
        <v>-376790.06703460775</v>
      </c>
      <c r="AA234" s="358">
        <f t="shared" ca="1" si="169"/>
        <v>-382335.47973203566</v>
      </c>
      <c r="AB234" s="358">
        <f t="shared" ca="1" si="169"/>
        <v>-387926.9268047642</v>
      </c>
      <c r="AC234" s="358">
        <f t="shared" ca="1" si="169"/>
        <v>-393564.72996122483</v>
      </c>
      <c r="AD234" s="358">
        <f t="shared" ca="1" si="169"/>
        <v>-399249.21297608037</v>
      </c>
      <c r="AE234" s="358">
        <f t="shared" ca="1" si="169"/>
        <v>-404980.70170283597</v>
      </c>
      <c r="AF234" s="358">
        <f t="shared" ca="1" si="169"/>
        <v>-410759.52408653311</v>
      </c>
      <c r="AG234" s="358">
        <f t="shared" ca="1" si="169"/>
        <v>-416586.01017652731</v>
      </c>
      <c r="AH234" s="358">
        <f t="shared" ca="1" si="169"/>
        <v>-422460.49213931803</v>
      </c>
      <c r="AI234" s="358">
        <f t="shared" ca="1" si="169"/>
        <v>-428383.304271481</v>
      </c>
      <c r="AJ234" s="358">
        <f t="shared" ca="1" si="169"/>
        <v>-434354.78301266301</v>
      </c>
      <c r="AK234" s="358">
        <f t="shared" ca="1" si="170"/>
        <v>-440375.2669586502</v>
      </c>
      <c r="AL234" s="358">
        <f t="shared" ca="1" si="170"/>
        <v>-446445.09687452111</v>
      </c>
      <c r="AM234" s="358">
        <f t="shared" ca="1" si="170"/>
        <v>-452564.61570787802</v>
      </c>
      <c r="AN234" s="358">
        <f t="shared" ca="1" si="170"/>
        <v>-458734.16860214621</v>
      </c>
      <c r="AO234" s="358">
        <f t="shared" ca="1" si="170"/>
        <v>-464954.10290996451</v>
      </c>
      <c r="AP234" s="358">
        <f t="shared" ca="1" si="170"/>
        <v>-471224.7682066448</v>
      </c>
      <c r="AQ234" s="358">
        <f t="shared" ca="1" si="170"/>
        <v>-477546.51630371995</v>
      </c>
      <c r="AR234" s="358">
        <f t="shared" ca="1" si="170"/>
        <v>-483919.70126256067</v>
      </c>
      <c r="AS234" s="358">
        <f t="shared" ca="1" si="170"/>
        <v>-490344.67940808367</v>
      </c>
      <c r="AT234" s="358">
        <f t="shared" ca="1" si="170"/>
        <v>-496821.80934252869</v>
      </c>
      <c r="AV234" s="358">
        <f t="shared" ca="1" si="160"/>
        <v>-1568817.4760742094</v>
      </c>
      <c r="AX234" s="358">
        <f t="shared" ca="1" si="161"/>
        <v>-1696390.396452778</v>
      </c>
      <c r="AZ234" s="358">
        <f t="shared" ca="1" si="162"/>
        <v>-1829405.7505669082</v>
      </c>
      <c r="BB234" s="358">
        <f t="shared" ca="1" si="163"/>
        <v>-1968057.051176941</v>
      </c>
      <c r="BD234" s="358">
        <f t="shared" ca="1" si="164"/>
        <v>-2112544.1136865225</v>
      </c>
      <c r="BF234" s="358">
        <f t="shared" ca="1" si="165"/>
        <v>-2263073.2510531601</v>
      </c>
      <c r="BH234" s="358">
        <f t="shared" ca="1" si="166"/>
        <v>-2419857.4745235378</v>
      </c>
    </row>
    <row r="235" spans="1:60" hidden="1" outlineLevel="1">
      <c r="A235" s="1464">
        <f t="shared" si="156"/>
        <v>18</v>
      </c>
      <c r="B235" s="1464">
        <f t="shared" si="157"/>
        <v>27</v>
      </c>
      <c r="C235" s="1464">
        <f t="shared" si="158"/>
        <v>14</v>
      </c>
      <c r="D235" s="1271" t="str">
        <f ca="1">IF(OFFSET(PortfolioDashboard!$A$3,C235-1,0)="","Blank",OFFSET(PortfolioDashboard!$A$3,C235-1,0))</f>
        <v>On-site Wind</v>
      </c>
      <c r="E235" s="1464" t="str">
        <f t="shared" si="159"/>
        <v>2010$</v>
      </c>
      <c r="F235" s="1460">
        <f t="shared" ca="1" si="142"/>
        <v>0</v>
      </c>
      <c r="G235" s="358">
        <f t="shared" ca="1" si="167"/>
        <v>0</v>
      </c>
      <c r="H235" s="358">
        <f t="shared" ca="1" si="167"/>
        <v>0</v>
      </c>
      <c r="I235" s="358">
        <f t="shared" ca="1" si="167"/>
        <v>0</v>
      </c>
      <c r="J235" s="358">
        <f t="shared" ca="1" si="167"/>
        <v>0</v>
      </c>
      <c r="K235" s="358">
        <f t="shared" ca="1" si="167"/>
        <v>0</v>
      </c>
      <c r="L235" s="358">
        <f t="shared" ca="1" si="167"/>
        <v>0</v>
      </c>
      <c r="M235" s="358">
        <f t="shared" ca="1" si="167"/>
        <v>0</v>
      </c>
      <c r="N235" s="358">
        <f t="shared" ca="1" si="167"/>
        <v>0</v>
      </c>
      <c r="O235" s="358">
        <f t="shared" ca="1" si="167"/>
        <v>0</v>
      </c>
      <c r="P235" s="358">
        <f t="shared" ca="1" si="167"/>
        <v>0</v>
      </c>
      <c r="Q235" s="358">
        <f t="shared" ca="1" si="168"/>
        <v>0</v>
      </c>
      <c r="R235" s="358">
        <f t="shared" ca="1" si="168"/>
        <v>0</v>
      </c>
      <c r="S235" s="358">
        <f t="shared" ca="1" si="168"/>
        <v>0</v>
      </c>
      <c r="T235" s="358">
        <f t="shared" ca="1" si="168"/>
        <v>0</v>
      </c>
      <c r="U235" s="358">
        <f t="shared" ca="1" si="168"/>
        <v>0</v>
      </c>
      <c r="V235" s="358">
        <f t="shared" ca="1" si="168"/>
        <v>0</v>
      </c>
      <c r="W235" s="358">
        <f t="shared" ca="1" si="168"/>
        <v>0</v>
      </c>
      <c r="X235" s="358">
        <f t="shared" ca="1" si="168"/>
        <v>0</v>
      </c>
      <c r="Y235" s="358">
        <f t="shared" ca="1" si="168"/>
        <v>0</v>
      </c>
      <c r="Z235" s="358">
        <f t="shared" ca="1" si="168"/>
        <v>0</v>
      </c>
      <c r="AA235" s="358">
        <f t="shared" ca="1" si="169"/>
        <v>0</v>
      </c>
      <c r="AB235" s="358">
        <f t="shared" ca="1" si="169"/>
        <v>0</v>
      </c>
      <c r="AC235" s="358">
        <f t="shared" ca="1" si="169"/>
        <v>0</v>
      </c>
      <c r="AD235" s="358">
        <f t="shared" ca="1" si="169"/>
        <v>0</v>
      </c>
      <c r="AE235" s="358">
        <f t="shared" ca="1" si="169"/>
        <v>0</v>
      </c>
      <c r="AF235" s="358">
        <f t="shared" ca="1" si="169"/>
        <v>0</v>
      </c>
      <c r="AG235" s="358">
        <f t="shared" ca="1" si="169"/>
        <v>0</v>
      </c>
      <c r="AH235" s="358">
        <f t="shared" ca="1" si="169"/>
        <v>0</v>
      </c>
      <c r="AI235" s="358">
        <f t="shared" ca="1" si="169"/>
        <v>0</v>
      </c>
      <c r="AJ235" s="358">
        <f t="shared" ca="1" si="169"/>
        <v>0</v>
      </c>
      <c r="AK235" s="358">
        <f t="shared" ca="1" si="170"/>
        <v>0</v>
      </c>
      <c r="AL235" s="358">
        <f t="shared" ca="1" si="170"/>
        <v>0</v>
      </c>
      <c r="AM235" s="358">
        <f t="shared" ca="1" si="170"/>
        <v>0</v>
      </c>
      <c r="AN235" s="358">
        <f t="shared" ca="1" si="170"/>
        <v>0</v>
      </c>
      <c r="AO235" s="358">
        <f t="shared" ca="1" si="170"/>
        <v>0</v>
      </c>
      <c r="AP235" s="358">
        <f t="shared" ca="1" si="170"/>
        <v>0</v>
      </c>
      <c r="AQ235" s="358">
        <f t="shared" ca="1" si="170"/>
        <v>0</v>
      </c>
      <c r="AR235" s="358">
        <f t="shared" ca="1" si="170"/>
        <v>0</v>
      </c>
      <c r="AS235" s="358">
        <f t="shared" ca="1" si="170"/>
        <v>0</v>
      </c>
      <c r="AT235" s="358">
        <f t="shared" ca="1" si="170"/>
        <v>0</v>
      </c>
      <c r="AV235" s="358">
        <f t="shared" ca="1" si="160"/>
        <v>0</v>
      </c>
      <c r="AX235" s="358">
        <f t="shared" ca="1" si="161"/>
        <v>0</v>
      </c>
      <c r="AZ235" s="358">
        <f t="shared" ca="1" si="162"/>
        <v>0</v>
      </c>
      <c r="BB235" s="358">
        <f t="shared" ca="1" si="163"/>
        <v>0</v>
      </c>
      <c r="BD235" s="358">
        <f t="shared" ca="1" si="164"/>
        <v>0</v>
      </c>
      <c r="BF235" s="358">
        <f t="shared" ca="1" si="165"/>
        <v>0</v>
      </c>
      <c r="BH235" s="358">
        <f t="shared" ca="1" si="166"/>
        <v>0</v>
      </c>
    </row>
    <row r="236" spans="1:60" hidden="1" outlineLevel="1">
      <c r="A236" s="1464">
        <f t="shared" si="156"/>
        <v>18</v>
      </c>
      <c r="B236" s="1464">
        <f t="shared" si="157"/>
        <v>27</v>
      </c>
      <c r="C236" s="1464">
        <f t="shared" si="158"/>
        <v>15</v>
      </c>
      <c r="D236" s="1271" t="str">
        <f ca="1">IF(OFFSET(PortfolioDashboard!$A$3,C236-1,0)="","Blank",OFFSET(PortfolioDashboard!$A$3,C236-1,0))</f>
        <v>Solar DHW</v>
      </c>
      <c r="E236" s="1464" t="str">
        <f t="shared" si="159"/>
        <v>2010$</v>
      </c>
      <c r="F236" s="1460">
        <f t="shared" ca="1" si="142"/>
        <v>0</v>
      </c>
      <c r="G236" s="358">
        <f t="shared" ca="1" si="167"/>
        <v>0</v>
      </c>
      <c r="H236" s="358">
        <f t="shared" ca="1" si="167"/>
        <v>0</v>
      </c>
      <c r="I236" s="358">
        <f t="shared" ca="1" si="167"/>
        <v>0</v>
      </c>
      <c r="J236" s="358">
        <f t="shared" ca="1" si="167"/>
        <v>0</v>
      </c>
      <c r="K236" s="358">
        <f t="shared" ca="1" si="167"/>
        <v>0</v>
      </c>
      <c r="L236" s="358">
        <f t="shared" ca="1" si="167"/>
        <v>0</v>
      </c>
      <c r="M236" s="358">
        <f t="shared" ca="1" si="167"/>
        <v>0</v>
      </c>
      <c r="N236" s="358">
        <f t="shared" ca="1" si="167"/>
        <v>0</v>
      </c>
      <c r="O236" s="358">
        <f t="shared" ca="1" si="167"/>
        <v>0</v>
      </c>
      <c r="P236" s="358">
        <f t="shared" ca="1" si="167"/>
        <v>0</v>
      </c>
      <c r="Q236" s="358">
        <f t="shared" ca="1" si="168"/>
        <v>0</v>
      </c>
      <c r="R236" s="358">
        <f t="shared" ca="1" si="168"/>
        <v>0</v>
      </c>
      <c r="S236" s="358">
        <f t="shared" ca="1" si="168"/>
        <v>0</v>
      </c>
      <c r="T236" s="358">
        <f t="shared" ca="1" si="168"/>
        <v>0</v>
      </c>
      <c r="U236" s="358">
        <f t="shared" ca="1" si="168"/>
        <v>0</v>
      </c>
      <c r="V236" s="358">
        <f t="shared" ca="1" si="168"/>
        <v>0</v>
      </c>
      <c r="W236" s="358">
        <f t="shared" ca="1" si="168"/>
        <v>0</v>
      </c>
      <c r="X236" s="358">
        <f t="shared" ca="1" si="168"/>
        <v>0</v>
      </c>
      <c r="Y236" s="358">
        <f t="shared" ca="1" si="168"/>
        <v>0</v>
      </c>
      <c r="Z236" s="358">
        <f t="shared" ca="1" si="168"/>
        <v>0</v>
      </c>
      <c r="AA236" s="358">
        <f t="shared" ca="1" si="169"/>
        <v>0</v>
      </c>
      <c r="AB236" s="358">
        <f t="shared" ca="1" si="169"/>
        <v>0</v>
      </c>
      <c r="AC236" s="358">
        <f t="shared" ca="1" si="169"/>
        <v>0</v>
      </c>
      <c r="AD236" s="358">
        <f t="shared" ca="1" si="169"/>
        <v>0</v>
      </c>
      <c r="AE236" s="358">
        <f t="shared" ca="1" si="169"/>
        <v>0</v>
      </c>
      <c r="AF236" s="358">
        <f t="shared" ca="1" si="169"/>
        <v>0</v>
      </c>
      <c r="AG236" s="358">
        <f t="shared" ca="1" si="169"/>
        <v>0</v>
      </c>
      <c r="AH236" s="358">
        <f t="shared" ca="1" si="169"/>
        <v>0</v>
      </c>
      <c r="AI236" s="358">
        <f t="shared" ca="1" si="169"/>
        <v>0</v>
      </c>
      <c r="AJ236" s="358">
        <f t="shared" ca="1" si="169"/>
        <v>0</v>
      </c>
      <c r="AK236" s="358">
        <f t="shared" ca="1" si="170"/>
        <v>0</v>
      </c>
      <c r="AL236" s="358">
        <f t="shared" ca="1" si="170"/>
        <v>0</v>
      </c>
      <c r="AM236" s="358">
        <f t="shared" ca="1" si="170"/>
        <v>0</v>
      </c>
      <c r="AN236" s="358">
        <f t="shared" ca="1" si="170"/>
        <v>0</v>
      </c>
      <c r="AO236" s="358">
        <f t="shared" ca="1" si="170"/>
        <v>0</v>
      </c>
      <c r="AP236" s="358">
        <f t="shared" ca="1" si="170"/>
        <v>0</v>
      </c>
      <c r="AQ236" s="358">
        <f t="shared" ca="1" si="170"/>
        <v>0</v>
      </c>
      <c r="AR236" s="358">
        <f t="shared" ca="1" si="170"/>
        <v>0</v>
      </c>
      <c r="AS236" s="358">
        <f t="shared" ca="1" si="170"/>
        <v>0</v>
      </c>
      <c r="AT236" s="358">
        <f t="shared" ca="1" si="170"/>
        <v>0</v>
      </c>
      <c r="AV236" s="358">
        <f t="shared" ca="1" si="160"/>
        <v>0</v>
      </c>
      <c r="AX236" s="358">
        <f t="shared" ca="1" si="161"/>
        <v>0</v>
      </c>
      <c r="AZ236" s="358">
        <f t="shared" ca="1" si="162"/>
        <v>0</v>
      </c>
      <c r="BB236" s="358">
        <f t="shared" ca="1" si="163"/>
        <v>0</v>
      </c>
      <c r="BD236" s="358">
        <f t="shared" ca="1" si="164"/>
        <v>0</v>
      </c>
      <c r="BF236" s="358">
        <f t="shared" ca="1" si="165"/>
        <v>0</v>
      </c>
      <c r="BH236" s="358">
        <f t="shared" ca="1" si="166"/>
        <v>0</v>
      </c>
    </row>
    <row r="237" spans="1:60" hidden="1" outlineLevel="1">
      <c r="A237" s="1464">
        <f t="shared" si="156"/>
        <v>18</v>
      </c>
      <c r="B237" s="1464">
        <f t="shared" si="157"/>
        <v>27</v>
      </c>
      <c r="C237" s="1464">
        <f t="shared" si="158"/>
        <v>16</v>
      </c>
      <c r="D237" s="1271" t="str">
        <f ca="1">IF(OFFSET(PortfolioDashboard!$A$3,C237-1,0)="","Blank",OFFSET(PortfolioDashboard!$A$3,C237-1,0))</f>
        <v>Geo Exchange</v>
      </c>
      <c r="E237" s="1464" t="str">
        <f t="shared" si="159"/>
        <v>2010$</v>
      </c>
      <c r="F237" s="1460">
        <f t="shared" ca="1" si="142"/>
        <v>0</v>
      </c>
      <c r="G237" s="358">
        <f t="shared" ca="1" si="167"/>
        <v>0</v>
      </c>
      <c r="H237" s="358">
        <f t="shared" ca="1" si="167"/>
        <v>0</v>
      </c>
      <c r="I237" s="358">
        <f t="shared" ca="1" si="167"/>
        <v>0</v>
      </c>
      <c r="J237" s="358">
        <f t="shared" ca="1" si="167"/>
        <v>0</v>
      </c>
      <c r="K237" s="358">
        <f t="shared" ca="1" si="167"/>
        <v>0</v>
      </c>
      <c r="L237" s="358">
        <f t="shared" ca="1" si="167"/>
        <v>0</v>
      </c>
      <c r="M237" s="358">
        <f t="shared" ca="1" si="167"/>
        <v>0</v>
      </c>
      <c r="N237" s="358">
        <f t="shared" ca="1" si="167"/>
        <v>0</v>
      </c>
      <c r="O237" s="358">
        <f t="shared" ca="1" si="167"/>
        <v>0</v>
      </c>
      <c r="P237" s="358">
        <f t="shared" ca="1" si="167"/>
        <v>0</v>
      </c>
      <c r="Q237" s="358">
        <f t="shared" ca="1" si="168"/>
        <v>0</v>
      </c>
      <c r="R237" s="358">
        <f t="shared" ca="1" si="168"/>
        <v>0</v>
      </c>
      <c r="S237" s="358">
        <f t="shared" ca="1" si="168"/>
        <v>0</v>
      </c>
      <c r="T237" s="358">
        <f t="shared" ca="1" si="168"/>
        <v>0</v>
      </c>
      <c r="U237" s="358">
        <f t="shared" ca="1" si="168"/>
        <v>0</v>
      </c>
      <c r="V237" s="358">
        <f t="shared" ca="1" si="168"/>
        <v>0</v>
      </c>
      <c r="W237" s="358">
        <f t="shared" ca="1" si="168"/>
        <v>0</v>
      </c>
      <c r="X237" s="358">
        <f t="shared" ca="1" si="168"/>
        <v>0</v>
      </c>
      <c r="Y237" s="358">
        <f t="shared" ca="1" si="168"/>
        <v>0</v>
      </c>
      <c r="Z237" s="358">
        <f t="shared" ca="1" si="168"/>
        <v>0</v>
      </c>
      <c r="AA237" s="358">
        <f t="shared" ca="1" si="169"/>
        <v>0</v>
      </c>
      <c r="AB237" s="358">
        <f t="shared" ca="1" si="169"/>
        <v>0</v>
      </c>
      <c r="AC237" s="358">
        <f t="shared" ca="1" si="169"/>
        <v>0</v>
      </c>
      <c r="AD237" s="358">
        <f t="shared" ca="1" si="169"/>
        <v>0</v>
      </c>
      <c r="AE237" s="358">
        <f t="shared" ca="1" si="169"/>
        <v>0</v>
      </c>
      <c r="AF237" s="358">
        <f t="shared" ca="1" si="169"/>
        <v>0</v>
      </c>
      <c r="AG237" s="358">
        <f t="shared" ca="1" si="169"/>
        <v>0</v>
      </c>
      <c r="AH237" s="358">
        <f t="shared" ca="1" si="169"/>
        <v>0</v>
      </c>
      <c r="AI237" s="358">
        <f t="shared" ca="1" si="169"/>
        <v>0</v>
      </c>
      <c r="AJ237" s="358">
        <f t="shared" ca="1" si="169"/>
        <v>0</v>
      </c>
      <c r="AK237" s="358">
        <f t="shared" ca="1" si="170"/>
        <v>0</v>
      </c>
      <c r="AL237" s="358">
        <f t="shared" ca="1" si="170"/>
        <v>0</v>
      </c>
      <c r="AM237" s="358">
        <f t="shared" ca="1" si="170"/>
        <v>0</v>
      </c>
      <c r="AN237" s="358">
        <f t="shared" ca="1" si="170"/>
        <v>0</v>
      </c>
      <c r="AO237" s="358">
        <f t="shared" ca="1" si="170"/>
        <v>0</v>
      </c>
      <c r="AP237" s="358">
        <f t="shared" ca="1" si="170"/>
        <v>0</v>
      </c>
      <c r="AQ237" s="358">
        <f t="shared" ca="1" si="170"/>
        <v>0</v>
      </c>
      <c r="AR237" s="358">
        <f t="shared" ca="1" si="170"/>
        <v>0</v>
      </c>
      <c r="AS237" s="358">
        <f t="shared" ca="1" si="170"/>
        <v>0</v>
      </c>
      <c r="AT237" s="358">
        <f t="shared" ca="1" si="170"/>
        <v>0</v>
      </c>
      <c r="AV237" s="358">
        <f t="shared" ca="1" si="160"/>
        <v>0</v>
      </c>
      <c r="AX237" s="358">
        <f t="shared" ca="1" si="161"/>
        <v>0</v>
      </c>
      <c r="AZ237" s="358">
        <f t="shared" ca="1" si="162"/>
        <v>0</v>
      </c>
      <c r="BB237" s="358">
        <f t="shared" ca="1" si="163"/>
        <v>0</v>
      </c>
      <c r="BD237" s="358">
        <f t="shared" ca="1" si="164"/>
        <v>0</v>
      </c>
      <c r="BF237" s="358">
        <f t="shared" ca="1" si="165"/>
        <v>0</v>
      </c>
      <c r="BH237" s="358">
        <f t="shared" ca="1" si="166"/>
        <v>0</v>
      </c>
    </row>
    <row r="238" spans="1:60" hidden="1" outlineLevel="1">
      <c r="A238" s="1464">
        <f t="shared" si="156"/>
        <v>18</v>
      </c>
      <c r="B238" s="1464">
        <f t="shared" si="157"/>
        <v>27</v>
      </c>
      <c r="C238" s="1464">
        <f t="shared" si="158"/>
        <v>17</v>
      </c>
      <c r="D238" s="1271" t="str">
        <f ca="1">IF(OFFSET(PortfolioDashboard!$A$3,C238-1,0)="","Blank",OFFSET(PortfolioDashboard!$A$3,C238-1,0))</f>
        <v>Rooftop Solar PV</v>
      </c>
      <c r="E238" s="1464" t="str">
        <f t="shared" si="159"/>
        <v>2010$</v>
      </c>
      <c r="F238" s="1460">
        <f t="shared" ca="1" si="142"/>
        <v>0</v>
      </c>
      <c r="G238" s="358">
        <f t="shared" ca="1" si="167"/>
        <v>0</v>
      </c>
      <c r="H238" s="358">
        <f t="shared" ca="1" si="167"/>
        <v>0</v>
      </c>
      <c r="I238" s="358">
        <f t="shared" ca="1" si="167"/>
        <v>0</v>
      </c>
      <c r="J238" s="358">
        <f t="shared" ca="1" si="167"/>
        <v>0</v>
      </c>
      <c r="K238" s="358">
        <f t="shared" ca="1" si="167"/>
        <v>0</v>
      </c>
      <c r="L238" s="358">
        <f t="shared" ca="1" si="167"/>
        <v>0</v>
      </c>
      <c r="M238" s="358">
        <f t="shared" ca="1" si="167"/>
        <v>0</v>
      </c>
      <c r="N238" s="358">
        <f t="shared" ca="1" si="167"/>
        <v>0</v>
      </c>
      <c r="O238" s="358">
        <f t="shared" ca="1" si="167"/>
        <v>0</v>
      </c>
      <c r="P238" s="358">
        <f t="shared" ca="1" si="167"/>
        <v>0</v>
      </c>
      <c r="Q238" s="358">
        <f t="shared" ca="1" si="168"/>
        <v>0</v>
      </c>
      <c r="R238" s="358">
        <f t="shared" ca="1" si="168"/>
        <v>0</v>
      </c>
      <c r="S238" s="358">
        <f t="shared" ca="1" si="168"/>
        <v>0</v>
      </c>
      <c r="T238" s="358">
        <f t="shared" ca="1" si="168"/>
        <v>0</v>
      </c>
      <c r="U238" s="358">
        <f t="shared" ca="1" si="168"/>
        <v>0</v>
      </c>
      <c r="V238" s="358">
        <f t="shared" ca="1" si="168"/>
        <v>0</v>
      </c>
      <c r="W238" s="358">
        <f t="shared" ca="1" si="168"/>
        <v>0</v>
      </c>
      <c r="X238" s="358">
        <f t="shared" ca="1" si="168"/>
        <v>0</v>
      </c>
      <c r="Y238" s="358">
        <f t="shared" ca="1" si="168"/>
        <v>0</v>
      </c>
      <c r="Z238" s="358">
        <f t="shared" ca="1" si="168"/>
        <v>0</v>
      </c>
      <c r="AA238" s="358">
        <f t="shared" ca="1" si="169"/>
        <v>0</v>
      </c>
      <c r="AB238" s="358">
        <f t="shared" ca="1" si="169"/>
        <v>0</v>
      </c>
      <c r="AC238" s="358">
        <f t="shared" ca="1" si="169"/>
        <v>0</v>
      </c>
      <c r="AD238" s="358">
        <f t="shared" ca="1" si="169"/>
        <v>0</v>
      </c>
      <c r="AE238" s="358">
        <f t="shared" ca="1" si="169"/>
        <v>0</v>
      </c>
      <c r="AF238" s="358">
        <f t="shared" ca="1" si="169"/>
        <v>0</v>
      </c>
      <c r="AG238" s="358">
        <f t="shared" ca="1" si="169"/>
        <v>0</v>
      </c>
      <c r="AH238" s="358">
        <f t="shared" ca="1" si="169"/>
        <v>0</v>
      </c>
      <c r="AI238" s="358">
        <f t="shared" ca="1" si="169"/>
        <v>0</v>
      </c>
      <c r="AJ238" s="358">
        <f t="shared" ca="1" si="169"/>
        <v>0</v>
      </c>
      <c r="AK238" s="358">
        <f t="shared" ca="1" si="170"/>
        <v>0</v>
      </c>
      <c r="AL238" s="358">
        <f t="shared" ca="1" si="170"/>
        <v>0</v>
      </c>
      <c r="AM238" s="358">
        <f t="shared" ca="1" si="170"/>
        <v>0</v>
      </c>
      <c r="AN238" s="358">
        <f t="shared" ca="1" si="170"/>
        <v>0</v>
      </c>
      <c r="AO238" s="358">
        <f t="shared" ca="1" si="170"/>
        <v>0</v>
      </c>
      <c r="AP238" s="358">
        <f t="shared" ca="1" si="170"/>
        <v>0</v>
      </c>
      <c r="AQ238" s="358">
        <f t="shared" ca="1" si="170"/>
        <v>0</v>
      </c>
      <c r="AR238" s="358">
        <f t="shared" ca="1" si="170"/>
        <v>0</v>
      </c>
      <c r="AS238" s="358">
        <f t="shared" ca="1" si="170"/>
        <v>0</v>
      </c>
      <c r="AT238" s="358">
        <f t="shared" ca="1" si="170"/>
        <v>0</v>
      </c>
      <c r="AV238" s="358">
        <f t="shared" ca="1" si="160"/>
        <v>0</v>
      </c>
      <c r="AX238" s="358">
        <f t="shared" ca="1" si="161"/>
        <v>0</v>
      </c>
      <c r="AZ238" s="358">
        <f t="shared" ca="1" si="162"/>
        <v>0</v>
      </c>
      <c r="BB238" s="358">
        <f t="shared" ca="1" si="163"/>
        <v>0</v>
      </c>
      <c r="BD238" s="358">
        <f t="shared" ca="1" si="164"/>
        <v>0</v>
      </c>
      <c r="BF238" s="358">
        <f t="shared" ca="1" si="165"/>
        <v>0</v>
      </c>
      <c r="BH238" s="358">
        <f t="shared" ca="1" si="166"/>
        <v>0</v>
      </c>
    </row>
    <row r="239" spans="1:60" hidden="1" outlineLevel="1">
      <c r="A239" s="1464">
        <f t="shared" si="156"/>
        <v>18</v>
      </c>
      <c r="B239" s="1464">
        <f t="shared" si="157"/>
        <v>27</v>
      </c>
      <c r="C239" s="1464">
        <f t="shared" si="158"/>
        <v>18</v>
      </c>
      <c r="D239" s="1271" t="str">
        <f ca="1">IF(OFFSET(PortfolioDashboard!$A$3,C239-1,0)="","Blank",OFFSET(PortfolioDashboard!$A$3,C239-1,0))</f>
        <v>Blank</v>
      </c>
      <c r="E239" s="1464" t="str">
        <f t="shared" si="159"/>
        <v>2010$</v>
      </c>
      <c r="F239" s="1460">
        <f t="shared" ca="1" si="142"/>
        <v>0</v>
      </c>
      <c r="G239" s="358">
        <f t="shared" ca="1" si="167"/>
        <v>0</v>
      </c>
      <c r="H239" s="358">
        <f t="shared" ca="1" si="167"/>
        <v>0</v>
      </c>
      <c r="I239" s="358">
        <f t="shared" ca="1" si="167"/>
        <v>0</v>
      </c>
      <c r="J239" s="358">
        <f t="shared" ca="1" si="167"/>
        <v>0</v>
      </c>
      <c r="K239" s="358">
        <f t="shared" ca="1" si="167"/>
        <v>0</v>
      </c>
      <c r="L239" s="358">
        <f t="shared" ca="1" si="167"/>
        <v>0</v>
      </c>
      <c r="M239" s="358">
        <f t="shared" ca="1" si="167"/>
        <v>0</v>
      </c>
      <c r="N239" s="358">
        <f t="shared" ca="1" si="167"/>
        <v>0</v>
      </c>
      <c r="O239" s="358">
        <f t="shared" ca="1" si="167"/>
        <v>0</v>
      </c>
      <c r="P239" s="358">
        <f t="shared" ca="1" si="167"/>
        <v>0</v>
      </c>
      <c r="Q239" s="358">
        <f t="shared" ca="1" si="168"/>
        <v>0</v>
      </c>
      <c r="R239" s="358">
        <f t="shared" ca="1" si="168"/>
        <v>0</v>
      </c>
      <c r="S239" s="358">
        <f t="shared" ca="1" si="168"/>
        <v>0</v>
      </c>
      <c r="T239" s="358">
        <f t="shared" ca="1" si="168"/>
        <v>0</v>
      </c>
      <c r="U239" s="358">
        <f t="shared" ca="1" si="168"/>
        <v>0</v>
      </c>
      <c r="V239" s="358">
        <f t="shared" ca="1" si="168"/>
        <v>0</v>
      </c>
      <c r="W239" s="358">
        <f t="shared" ca="1" si="168"/>
        <v>0</v>
      </c>
      <c r="X239" s="358">
        <f t="shared" ca="1" si="168"/>
        <v>0</v>
      </c>
      <c r="Y239" s="358">
        <f t="shared" ca="1" si="168"/>
        <v>0</v>
      </c>
      <c r="Z239" s="358">
        <f t="shared" ca="1" si="168"/>
        <v>0</v>
      </c>
      <c r="AA239" s="358">
        <f t="shared" ca="1" si="169"/>
        <v>0</v>
      </c>
      <c r="AB239" s="358">
        <f t="shared" ca="1" si="169"/>
        <v>0</v>
      </c>
      <c r="AC239" s="358">
        <f t="shared" ca="1" si="169"/>
        <v>0</v>
      </c>
      <c r="AD239" s="358">
        <f t="shared" ca="1" si="169"/>
        <v>0</v>
      </c>
      <c r="AE239" s="358">
        <f t="shared" ca="1" si="169"/>
        <v>0</v>
      </c>
      <c r="AF239" s="358">
        <f t="shared" ca="1" si="169"/>
        <v>0</v>
      </c>
      <c r="AG239" s="358">
        <f t="shared" ca="1" si="169"/>
        <v>0</v>
      </c>
      <c r="AH239" s="358">
        <f t="shared" ca="1" si="169"/>
        <v>0</v>
      </c>
      <c r="AI239" s="358">
        <f t="shared" ca="1" si="169"/>
        <v>0</v>
      </c>
      <c r="AJ239" s="358">
        <f t="shared" ca="1" si="169"/>
        <v>0</v>
      </c>
      <c r="AK239" s="358">
        <f t="shared" ca="1" si="170"/>
        <v>0</v>
      </c>
      <c r="AL239" s="358">
        <f t="shared" ca="1" si="170"/>
        <v>0</v>
      </c>
      <c r="AM239" s="358">
        <f t="shared" ca="1" si="170"/>
        <v>0</v>
      </c>
      <c r="AN239" s="358">
        <f t="shared" ca="1" si="170"/>
        <v>0</v>
      </c>
      <c r="AO239" s="358">
        <f t="shared" ca="1" si="170"/>
        <v>0</v>
      </c>
      <c r="AP239" s="358">
        <f t="shared" ca="1" si="170"/>
        <v>0</v>
      </c>
      <c r="AQ239" s="358">
        <f t="shared" ca="1" si="170"/>
        <v>0</v>
      </c>
      <c r="AR239" s="358">
        <f t="shared" ca="1" si="170"/>
        <v>0</v>
      </c>
      <c r="AS239" s="358">
        <f t="shared" ca="1" si="170"/>
        <v>0</v>
      </c>
      <c r="AT239" s="358">
        <f t="shared" ca="1" si="170"/>
        <v>0</v>
      </c>
      <c r="AV239" s="358">
        <f t="shared" ca="1" si="160"/>
        <v>0</v>
      </c>
      <c r="AX239" s="358">
        <f t="shared" ca="1" si="161"/>
        <v>0</v>
      </c>
      <c r="AZ239" s="358">
        <f t="shared" ca="1" si="162"/>
        <v>0</v>
      </c>
      <c r="BB239" s="358">
        <f t="shared" ca="1" si="163"/>
        <v>0</v>
      </c>
      <c r="BD239" s="358">
        <f t="shared" ca="1" si="164"/>
        <v>0</v>
      </c>
      <c r="BF239" s="358">
        <f t="shared" ca="1" si="165"/>
        <v>0</v>
      </c>
      <c r="BH239" s="358">
        <f t="shared" ca="1" si="166"/>
        <v>0</v>
      </c>
    </row>
    <row r="240" spans="1:60" hidden="1" outlineLevel="1">
      <c r="A240" s="1464">
        <f t="shared" si="156"/>
        <v>18</v>
      </c>
      <c r="B240" s="1464">
        <f t="shared" si="157"/>
        <v>27</v>
      </c>
      <c r="C240" s="1464">
        <f t="shared" si="158"/>
        <v>19</v>
      </c>
      <c r="D240" s="1271" t="str">
        <f ca="1">IF(OFFSET(PortfolioDashboard!$A$3,C240-1,0)="","Blank",OFFSET(PortfolioDashboard!$A$3,C240-1,0))</f>
        <v>Blank</v>
      </c>
      <c r="E240" s="1464" t="str">
        <f t="shared" si="159"/>
        <v>2010$</v>
      </c>
      <c r="F240" s="1460">
        <f t="shared" ca="1" si="142"/>
        <v>0</v>
      </c>
      <c r="G240" s="358">
        <f t="shared" ca="1" si="167"/>
        <v>0</v>
      </c>
      <c r="H240" s="358">
        <f t="shared" ca="1" si="167"/>
        <v>0</v>
      </c>
      <c r="I240" s="358">
        <f t="shared" ca="1" si="167"/>
        <v>0</v>
      </c>
      <c r="J240" s="358">
        <f t="shared" ca="1" si="167"/>
        <v>0</v>
      </c>
      <c r="K240" s="358">
        <f t="shared" ca="1" si="167"/>
        <v>0</v>
      </c>
      <c r="L240" s="358">
        <f t="shared" ca="1" si="167"/>
        <v>0</v>
      </c>
      <c r="M240" s="358">
        <f t="shared" ca="1" si="167"/>
        <v>0</v>
      </c>
      <c r="N240" s="358">
        <f t="shared" ca="1" si="167"/>
        <v>0</v>
      </c>
      <c r="O240" s="358">
        <f t="shared" ca="1" si="167"/>
        <v>0</v>
      </c>
      <c r="P240" s="358">
        <f t="shared" ca="1" si="167"/>
        <v>0</v>
      </c>
      <c r="Q240" s="358">
        <f t="shared" ca="1" si="168"/>
        <v>0</v>
      </c>
      <c r="R240" s="358">
        <f t="shared" ca="1" si="168"/>
        <v>0</v>
      </c>
      <c r="S240" s="358">
        <f t="shared" ca="1" si="168"/>
        <v>0</v>
      </c>
      <c r="T240" s="358">
        <f t="shared" ca="1" si="168"/>
        <v>0</v>
      </c>
      <c r="U240" s="358">
        <f t="shared" ca="1" si="168"/>
        <v>0</v>
      </c>
      <c r="V240" s="358">
        <f t="shared" ca="1" si="168"/>
        <v>0</v>
      </c>
      <c r="W240" s="358">
        <f t="shared" ca="1" si="168"/>
        <v>0</v>
      </c>
      <c r="X240" s="358">
        <f t="shared" ca="1" si="168"/>
        <v>0</v>
      </c>
      <c r="Y240" s="358">
        <f t="shared" ca="1" si="168"/>
        <v>0</v>
      </c>
      <c r="Z240" s="358">
        <f t="shared" ca="1" si="168"/>
        <v>0</v>
      </c>
      <c r="AA240" s="358">
        <f t="shared" ca="1" si="169"/>
        <v>0</v>
      </c>
      <c r="AB240" s="358">
        <f t="shared" ca="1" si="169"/>
        <v>0</v>
      </c>
      <c r="AC240" s="358">
        <f t="shared" ca="1" si="169"/>
        <v>0</v>
      </c>
      <c r="AD240" s="358">
        <f t="shared" ca="1" si="169"/>
        <v>0</v>
      </c>
      <c r="AE240" s="358">
        <f t="shared" ca="1" si="169"/>
        <v>0</v>
      </c>
      <c r="AF240" s="358">
        <f t="shared" ca="1" si="169"/>
        <v>0</v>
      </c>
      <c r="AG240" s="358">
        <f t="shared" ca="1" si="169"/>
        <v>0</v>
      </c>
      <c r="AH240" s="358">
        <f t="shared" ca="1" si="169"/>
        <v>0</v>
      </c>
      <c r="AI240" s="358">
        <f t="shared" ca="1" si="169"/>
        <v>0</v>
      </c>
      <c r="AJ240" s="358">
        <f t="shared" ca="1" si="169"/>
        <v>0</v>
      </c>
      <c r="AK240" s="358">
        <f t="shared" ca="1" si="170"/>
        <v>0</v>
      </c>
      <c r="AL240" s="358">
        <f t="shared" ca="1" si="170"/>
        <v>0</v>
      </c>
      <c r="AM240" s="358">
        <f t="shared" ca="1" si="170"/>
        <v>0</v>
      </c>
      <c r="AN240" s="358">
        <f t="shared" ca="1" si="170"/>
        <v>0</v>
      </c>
      <c r="AO240" s="358">
        <f t="shared" ca="1" si="170"/>
        <v>0</v>
      </c>
      <c r="AP240" s="358">
        <f t="shared" ca="1" si="170"/>
        <v>0</v>
      </c>
      <c r="AQ240" s="358">
        <f t="shared" ca="1" si="170"/>
        <v>0</v>
      </c>
      <c r="AR240" s="358">
        <f t="shared" ca="1" si="170"/>
        <v>0</v>
      </c>
      <c r="AS240" s="358">
        <f t="shared" ca="1" si="170"/>
        <v>0</v>
      </c>
      <c r="AT240" s="358">
        <f t="shared" ca="1" si="170"/>
        <v>0</v>
      </c>
      <c r="AV240" s="358">
        <f t="shared" ca="1" si="160"/>
        <v>0</v>
      </c>
      <c r="AX240" s="358">
        <f t="shared" ca="1" si="161"/>
        <v>0</v>
      </c>
      <c r="AZ240" s="358">
        <f t="shared" ca="1" si="162"/>
        <v>0</v>
      </c>
      <c r="BB240" s="358">
        <f t="shared" ca="1" si="163"/>
        <v>0</v>
      </c>
      <c r="BD240" s="358">
        <f t="shared" ca="1" si="164"/>
        <v>0</v>
      </c>
      <c r="BF240" s="358">
        <f t="shared" ca="1" si="165"/>
        <v>0</v>
      </c>
      <c r="BH240" s="358">
        <f t="shared" ca="1" si="166"/>
        <v>0</v>
      </c>
    </row>
    <row r="241" spans="1:60" hidden="1" outlineLevel="1">
      <c r="A241" s="1464">
        <f t="shared" si="156"/>
        <v>18</v>
      </c>
      <c r="B241" s="1464">
        <f t="shared" si="157"/>
        <v>27</v>
      </c>
      <c r="C241" s="1464">
        <f t="shared" si="158"/>
        <v>20</v>
      </c>
      <c r="D241" s="1271" t="str">
        <f ca="1">IF(OFFSET(PortfolioDashboard!$A$3,C241-1,0)="","Blank",OFFSET(PortfolioDashboard!$A$3,C241-1,0))</f>
        <v>Blank</v>
      </c>
      <c r="E241" s="1464" t="str">
        <f t="shared" si="159"/>
        <v>2010$</v>
      </c>
      <c r="F241" s="1460">
        <f t="shared" ca="1" si="142"/>
        <v>0</v>
      </c>
      <c r="G241" s="358">
        <f t="shared" ca="1" si="167"/>
        <v>0</v>
      </c>
      <c r="H241" s="358">
        <f t="shared" ca="1" si="167"/>
        <v>0</v>
      </c>
      <c r="I241" s="358">
        <f t="shared" ca="1" si="167"/>
        <v>0</v>
      </c>
      <c r="J241" s="358">
        <f t="shared" ca="1" si="167"/>
        <v>0</v>
      </c>
      <c r="K241" s="358">
        <f t="shared" ca="1" si="167"/>
        <v>0</v>
      </c>
      <c r="L241" s="358">
        <f t="shared" ca="1" si="167"/>
        <v>0</v>
      </c>
      <c r="M241" s="358">
        <f t="shared" ca="1" si="167"/>
        <v>0</v>
      </c>
      <c r="N241" s="358">
        <f t="shared" ca="1" si="167"/>
        <v>0</v>
      </c>
      <c r="O241" s="358">
        <f t="shared" ca="1" si="167"/>
        <v>0</v>
      </c>
      <c r="P241" s="358">
        <f t="shared" ca="1" si="167"/>
        <v>0</v>
      </c>
      <c r="Q241" s="358">
        <f t="shared" ca="1" si="168"/>
        <v>0</v>
      </c>
      <c r="R241" s="358">
        <f t="shared" ca="1" si="168"/>
        <v>0</v>
      </c>
      <c r="S241" s="358">
        <f t="shared" ca="1" si="168"/>
        <v>0</v>
      </c>
      <c r="T241" s="358">
        <f t="shared" ca="1" si="168"/>
        <v>0</v>
      </c>
      <c r="U241" s="358">
        <f t="shared" ca="1" si="168"/>
        <v>0</v>
      </c>
      <c r="V241" s="358">
        <f t="shared" ca="1" si="168"/>
        <v>0</v>
      </c>
      <c r="W241" s="358">
        <f t="shared" ca="1" si="168"/>
        <v>0</v>
      </c>
      <c r="X241" s="358">
        <f t="shared" ca="1" si="168"/>
        <v>0</v>
      </c>
      <c r="Y241" s="358">
        <f t="shared" ca="1" si="168"/>
        <v>0</v>
      </c>
      <c r="Z241" s="358">
        <f t="shared" ca="1" si="168"/>
        <v>0</v>
      </c>
      <c r="AA241" s="358">
        <f t="shared" ca="1" si="169"/>
        <v>0</v>
      </c>
      <c r="AB241" s="358">
        <f t="shared" ca="1" si="169"/>
        <v>0</v>
      </c>
      <c r="AC241" s="358">
        <f t="shared" ca="1" si="169"/>
        <v>0</v>
      </c>
      <c r="AD241" s="358">
        <f t="shared" ca="1" si="169"/>
        <v>0</v>
      </c>
      <c r="AE241" s="358">
        <f t="shared" ca="1" si="169"/>
        <v>0</v>
      </c>
      <c r="AF241" s="358">
        <f t="shared" ca="1" si="169"/>
        <v>0</v>
      </c>
      <c r="AG241" s="358">
        <f t="shared" ca="1" si="169"/>
        <v>0</v>
      </c>
      <c r="AH241" s="358">
        <f t="shared" ca="1" si="169"/>
        <v>0</v>
      </c>
      <c r="AI241" s="358">
        <f t="shared" ca="1" si="169"/>
        <v>0</v>
      </c>
      <c r="AJ241" s="358">
        <f t="shared" ca="1" si="169"/>
        <v>0</v>
      </c>
      <c r="AK241" s="358">
        <f t="shared" ca="1" si="170"/>
        <v>0</v>
      </c>
      <c r="AL241" s="358">
        <f t="shared" ca="1" si="170"/>
        <v>0</v>
      </c>
      <c r="AM241" s="358">
        <f t="shared" ca="1" si="170"/>
        <v>0</v>
      </c>
      <c r="AN241" s="358">
        <f t="shared" ca="1" si="170"/>
        <v>0</v>
      </c>
      <c r="AO241" s="358">
        <f t="shared" ca="1" si="170"/>
        <v>0</v>
      </c>
      <c r="AP241" s="358">
        <f t="shared" ca="1" si="170"/>
        <v>0</v>
      </c>
      <c r="AQ241" s="358">
        <f t="shared" ca="1" si="170"/>
        <v>0</v>
      </c>
      <c r="AR241" s="358">
        <f t="shared" ca="1" si="170"/>
        <v>0</v>
      </c>
      <c r="AS241" s="358">
        <f t="shared" ca="1" si="170"/>
        <v>0</v>
      </c>
      <c r="AT241" s="358">
        <f t="shared" ca="1" si="170"/>
        <v>0</v>
      </c>
      <c r="AV241" s="358">
        <f t="shared" ca="1" si="160"/>
        <v>0</v>
      </c>
      <c r="AX241" s="358">
        <f t="shared" ca="1" si="161"/>
        <v>0</v>
      </c>
      <c r="AZ241" s="358">
        <f t="shared" ca="1" si="162"/>
        <v>0</v>
      </c>
      <c r="BB241" s="358">
        <f t="shared" ca="1" si="163"/>
        <v>0</v>
      </c>
      <c r="BD241" s="358">
        <f t="shared" ca="1" si="164"/>
        <v>0</v>
      </c>
      <c r="BF241" s="358">
        <f t="shared" ca="1" si="165"/>
        <v>0</v>
      </c>
      <c r="BH241" s="358">
        <f t="shared" ca="1" si="166"/>
        <v>0</v>
      </c>
    </row>
    <row r="242" spans="1:60" hidden="1" outlineLevel="1">
      <c r="A242" s="1464">
        <f t="shared" si="156"/>
        <v>18</v>
      </c>
      <c r="B242" s="1464">
        <f t="shared" si="157"/>
        <v>27</v>
      </c>
      <c r="C242" s="1464">
        <f t="shared" si="158"/>
        <v>21</v>
      </c>
      <c r="D242" s="1271" t="str">
        <f ca="1">IF(OFFSET(PortfolioDashboard!$A$3,C242-1,0)="","Blank",OFFSET(PortfolioDashboard!$A$3,C242-1,0))</f>
        <v>Blank</v>
      </c>
      <c r="E242" s="1464" t="str">
        <f t="shared" si="159"/>
        <v>2010$</v>
      </c>
      <c r="F242" s="1460">
        <f t="shared" ca="1" si="142"/>
        <v>0</v>
      </c>
      <c r="G242" s="358">
        <f t="shared" ref="G242:P251" ca="1" si="171">IFERROR(OFFSET(INDIRECT(INDEX(List_of_Alternatives,MATCH($D242,NameofAlternatives,0))),$A242+G$1-$G$1,$B242),0)</f>
        <v>0</v>
      </c>
      <c r="H242" s="358">
        <f t="shared" ca="1" si="171"/>
        <v>0</v>
      </c>
      <c r="I242" s="358">
        <f t="shared" ca="1" si="171"/>
        <v>0</v>
      </c>
      <c r="J242" s="358">
        <f t="shared" ca="1" si="171"/>
        <v>0</v>
      </c>
      <c r="K242" s="358">
        <f t="shared" ca="1" si="171"/>
        <v>0</v>
      </c>
      <c r="L242" s="358">
        <f t="shared" ca="1" si="171"/>
        <v>0</v>
      </c>
      <c r="M242" s="358">
        <f t="shared" ca="1" si="171"/>
        <v>0</v>
      </c>
      <c r="N242" s="358">
        <f t="shared" ca="1" si="171"/>
        <v>0</v>
      </c>
      <c r="O242" s="358">
        <f t="shared" ca="1" si="171"/>
        <v>0</v>
      </c>
      <c r="P242" s="358">
        <f t="shared" ca="1" si="171"/>
        <v>0</v>
      </c>
      <c r="Q242" s="358">
        <f t="shared" ref="Q242:Z251" ca="1" si="172">IFERROR(OFFSET(INDIRECT(INDEX(List_of_Alternatives,MATCH($D242,NameofAlternatives,0))),$A242+Q$1-$G$1,$B242),0)</f>
        <v>0</v>
      </c>
      <c r="R242" s="358">
        <f t="shared" ca="1" si="172"/>
        <v>0</v>
      </c>
      <c r="S242" s="358">
        <f t="shared" ca="1" si="172"/>
        <v>0</v>
      </c>
      <c r="T242" s="358">
        <f t="shared" ca="1" si="172"/>
        <v>0</v>
      </c>
      <c r="U242" s="358">
        <f t="shared" ca="1" si="172"/>
        <v>0</v>
      </c>
      <c r="V242" s="358">
        <f t="shared" ca="1" si="172"/>
        <v>0</v>
      </c>
      <c r="W242" s="358">
        <f t="shared" ca="1" si="172"/>
        <v>0</v>
      </c>
      <c r="X242" s="358">
        <f t="shared" ca="1" si="172"/>
        <v>0</v>
      </c>
      <c r="Y242" s="358">
        <f t="shared" ca="1" si="172"/>
        <v>0</v>
      </c>
      <c r="Z242" s="358">
        <f t="shared" ca="1" si="172"/>
        <v>0</v>
      </c>
      <c r="AA242" s="358">
        <f t="shared" ref="AA242:AJ251" ca="1" si="173">IFERROR(OFFSET(INDIRECT(INDEX(List_of_Alternatives,MATCH($D242,NameofAlternatives,0))),$A242+AA$1-$G$1,$B242),0)</f>
        <v>0</v>
      </c>
      <c r="AB242" s="358">
        <f t="shared" ca="1" si="173"/>
        <v>0</v>
      </c>
      <c r="AC242" s="358">
        <f t="shared" ca="1" si="173"/>
        <v>0</v>
      </c>
      <c r="AD242" s="358">
        <f t="shared" ca="1" si="173"/>
        <v>0</v>
      </c>
      <c r="AE242" s="358">
        <f t="shared" ca="1" si="173"/>
        <v>0</v>
      </c>
      <c r="AF242" s="358">
        <f t="shared" ca="1" si="173"/>
        <v>0</v>
      </c>
      <c r="AG242" s="358">
        <f t="shared" ca="1" si="173"/>
        <v>0</v>
      </c>
      <c r="AH242" s="358">
        <f t="shared" ca="1" si="173"/>
        <v>0</v>
      </c>
      <c r="AI242" s="358">
        <f t="shared" ca="1" si="173"/>
        <v>0</v>
      </c>
      <c r="AJ242" s="358">
        <f t="shared" ca="1" si="173"/>
        <v>0</v>
      </c>
      <c r="AK242" s="358">
        <f t="shared" ref="AK242:AT251" ca="1" si="174">IFERROR(OFFSET(INDIRECT(INDEX(List_of_Alternatives,MATCH($D242,NameofAlternatives,0))),$A242+AK$1-$G$1,$B242),0)</f>
        <v>0</v>
      </c>
      <c r="AL242" s="358">
        <f t="shared" ca="1" si="174"/>
        <v>0</v>
      </c>
      <c r="AM242" s="358">
        <f t="shared" ca="1" si="174"/>
        <v>0</v>
      </c>
      <c r="AN242" s="358">
        <f t="shared" ca="1" si="174"/>
        <v>0</v>
      </c>
      <c r="AO242" s="358">
        <f t="shared" ca="1" si="174"/>
        <v>0</v>
      </c>
      <c r="AP242" s="358">
        <f t="shared" ca="1" si="174"/>
        <v>0</v>
      </c>
      <c r="AQ242" s="358">
        <f t="shared" ca="1" si="174"/>
        <v>0</v>
      </c>
      <c r="AR242" s="358">
        <f t="shared" ca="1" si="174"/>
        <v>0</v>
      </c>
      <c r="AS242" s="358">
        <f t="shared" ca="1" si="174"/>
        <v>0</v>
      </c>
      <c r="AT242" s="358">
        <f t="shared" ca="1" si="174"/>
        <v>0</v>
      </c>
      <c r="AV242" s="358">
        <f t="shared" ca="1" si="160"/>
        <v>0</v>
      </c>
      <c r="AX242" s="358">
        <f t="shared" ca="1" si="161"/>
        <v>0</v>
      </c>
      <c r="AZ242" s="358">
        <f t="shared" ca="1" si="162"/>
        <v>0</v>
      </c>
      <c r="BB242" s="358">
        <f t="shared" ca="1" si="163"/>
        <v>0</v>
      </c>
      <c r="BD242" s="358">
        <f t="shared" ca="1" si="164"/>
        <v>0</v>
      </c>
      <c r="BF242" s="358">
        <f t="shared" ca="1" si="165"/>
        <v>0</v>
      </c>
      <c r="BH242" s="358">
        <f t="shared" ca="1" si="166"/>
        <v>0</v>
      </c>
    </row>
    <row r="243" spans="1:60" hidden="1" outlineLevel="1">
      <c r="A243" s="1464">
        <f t="shared" si="156"/>
        <v>18</v>
      </c>
      <c r="B243" s="1464">
        <f t="shared" si="157"/>
        <v>27</v>
      </c>
      <c r="C243" s="1464">
        <f t="shared" si="158"/>
        <v>22</v>
      </c>
      <c r="D243" s="1271" t="str">
        <f ca="1">IF(OFFSET(PortfolioDashboard!$A$3,C243-1,0)="","Blank",OFFSET(PortfolioDashboard!$A$3,C243-1,0))</f>
        <v>Blank</v>
      </c>
      <c r="E243" s="1464" t="str">
        <f t="shared" si="159"/>
        <v>2010$</v>
      </c>
      <c r="F243" s="1460">
        <f t="shared" ca="1" si="142"/>
        <v>0</v>
      </c>
      <c r="G243" s="358">
        <f t="shared" ca="1" si="171"/>
        <v>0</v>
      </c>
      <c r="H243" s="358">
        <f t="shared" ca="1" si="171"/>
        <v>0</v>
      </c>
      <c r="I243" s="358">
        <f t="shared" ca="1" si="171"/>
        <v>0</v>
      </c>
      <c r="J243" s="358">
        <f t="shared" ca="1" si="171"/>
        <v>0</v>
      </c>
      <c r="K243" s="358">
        <f t="shared" ca="1" si="171"/>
        <v>0</v>
      </c>
      <c r="L243" s="358">
        <f t="shared" ca="1" si="171"/>
        <v>0</v>
      </c>
      <c r="M243" s="358">
        <f t="shared" ca="1" si="171"/>
        <v>0</v>
      </c>
      <c r="N243" s="358">
        <f t="shared" ca="1" si="171"/>
        <v>0</v>
      </c>
      <c r="O243" s="358">
        <f t="shared" ca="1" si="171"/>
        <v>0</v>
      </c>
      <c r="P243" s="358">
        <f t="shared" ca="1" si="171"/>
        <v>0</v>
      </c>
      <c r="Q243" s="358">
        <f t="shared" ca="1" si="172"/>
        <v>0</v>
      </c>
      <c r="R243" s="358">
        <f t="shared" ca="1" si="172"/>
        <v>0</v>
      </c>
      <c r="S243" s="358">
        <f t="shared" ca="1" si="172"/>
        <v>0</v>
      </c>
      <c r="T243" s="358">
        <f t="shared" ca="1" si="172"/>
        <v>0</v>
      </c>
      <c r="U243" s="358">
        <f t="shared" ca="1" si="172"/>
        <v>0</v>
      </c>
      <c r="V243" s="358">
        <f t="shared" ca="1" si="172"/>
        <v>0</v>
      </c>
      <c r="W243" s="358">
        <f t="shared" ca="1" si="172"/>
        <v>0</v>
      </c>
      <c r="X243" s="358">
        <f t="shared" ca="1" si="172"/>
        <v>0</v>
      </c>
      <c r="Y243" s="358">
        <f t="shared" ca="1" si="172"/>
        <v>0</v>
      </c>
      <c r="Z243" s="358">
        <f t="shared" ca="1" si="172"/>
        <v>0</v>
      </c>
      <c r="AA243" s="358">
        <f t="shared" ca="1" si="173"/>
        <v>0</v>
      </c>
      <c r="AB243" s="358">
        <f t="shared" ca="1" si="173"/>
        <v>0</v>
      </c>
      <c r="AC243" s="358">
        <f t="shared" ca="1" si="173"/>
        <v>0</v>
      </c>
      <c r="AD243" s="358">
        <f t="shared" ca="1" si="173"/>
        <v>0</v>
      </c>
      <c r="AE243" s="358">
        <f t="shared" ca="1" si="173"/>
        <v>0</v>
      </c>
      <c r="AF243" s="358">
        <f t="shared" ca="1" si="173"/>
        <v>0</v>
      </c>
      <c r="AG243" s="358">
        <f t="shared" ca="1" si="173"/>
        <v>0</v>
      </c>
      <c r="AH243" s="358">
        <f t="shared" ca="1" si="173"/>
        <v>0</v>
      </c>
      <c r="AI243" s="358">
        <f t="shared" ca="1" si="173"/>
        <v>0</v>
      </c>
      <c r="AJ243" s="358">
        <f t="shared" ca="1" si="173"/>
        <v>0</v>
      </c>
      <c r="AK243" s="358">
        <f t="shared" ca="1" si="174"/>
        <v>0</v>
      </c>
      <c r="AL243" s="358">
        <f t="shared" ca="1" si="174"/>
        <v>0</v>
      </c>
      <c r="AM243" s="358">
        <f t="shared" ca="1" si="174"/>
        <v>0</v>
      </c>
      <c r="AN243" s="358">
        <f t="shared" ca="1" si="174"/>
        <v>0</v>
      </c>
      <c r="AO243" s="358">
        <f t="shared" ca="1" si="174"/>
        <v>0</v>
      </c>
      <c r="AP243" s="358">
        <f t="shared" ca="1" si="174"/>
        <v>0</v>
      </c>
      <c r="AQ243" s="358">
        <f t="shared" ca="1" si="174"/>
        <v>0</v>
      </c>
      <c r="AR243" s="358">
        <f t="shared" ca="1" si="174"/>
        <v>0</v>
      </c>
      <c r="AS243" s="358">
        <f t="shared" ca="1" si="174"/>
        <v>0</v>
      </c>
      <c r="AT243" s="358">
        <f t="shared" ca="1" si="174"/>
        <v>0</v>
      </c>
      <c r="AV243" s="358">
        <f t="shared" ca="1" si="160"/>
        <v>0</v>
      </c>
      <c r="AX243" s="358">
        <f t="shared" ca="1" si="161"/>
        <v>0</v>
      </c>
      <c r="AZ243" s="358">
        <f t="shared" ca="1" si="162"/>
        <v>0</v>
      </c>
      <c r="BB243" s="358">
        <f t="shared" ca="1" si="163"/>
        <v>0</v>
      </c>
      <c r="BD243" s="358">
        <f t="shared" ca="1" si="164"/>
        <v>0</v>
      </c>
      <c r="BF243" s="358">
        <f t="shared" ca="1" si="165"/>
        <v>0</v>
      </c>
      <c r="BH243" s="358">
        <f t="shared" ca="1" si="166"/>
        <v>0</v>
      </c>
    </row>
    <row r="244" spans="1:60" hidden="1" outlineLevel="1">
      <c r="A244" s="1464">
        <f t="shared" si="156"/>
        <v>18</v>
      </c>
      <c r="B244" s="1464">
        <f t="shared" si="157"/>
        <v>27</v>
      </c>
      <c r="C244" s="1464">
        <f t="shared" si="158"/>
        <v>23</v>
      </c>
      <c r="D244" s="1271" t="str">
        <f ca="1">IF(OFFSET(PortfolioDashboard!$A$3,C244-1,0)="","Blank",OFFSET(PortfolioDashboard!$A$3,C244-1,0))</f>
        <v>Blank</v>
      </c>
      <c r="E244" s="1464" t="str">
        <f t="shared" si="159"/>
        <v>2010$</v>
      </c>
      <c r="F244" s="1460">
        <f t="shared" ca="1" si="142"/>
        <v>0</v>
      </c>
      <c r="G244" s="358">
        <f t="shared" ca="1" si="171"/>
        <v>0</v>
      </c>
      <c r="H244" s="358">
        <f t="shared" ca="1" si="171"/>
        <v>0</v>
      </c>
      <c r="I244" s="358">
        <f t="shared" ca="1" si="171"/>
        <v>0</v>
      </c>
      <c r="J244" s="358">
        <f t="shared" ca="1" si="171"/>
        <v>0</v>
      </c>
      <c r="K244" s="358">
        <f t="shared" ca="1" si="171"/>
        <v>0</v>
      </c>
      <c r="L244" s="358">
        <f t="shared" ca="1" si="171"/>
        <v>0</v>
      </c>
      <c r="M244" s="358">
        <f t="shared" ca="1" si="171"/>
        <v>0</v>
      </c>
      <c r="N244" s="358">
        <f t="shared" ca="1" si="171"/>
        <v>0</v>
      </c>
      <c r="O244" s="358">
        <f t="shared" ca="1" si="171"/>
        <v>0</v>
      </c>
      <c r="P244" s="358">
        <f t="shared" ca="1" si="171"/>
        <v>0</v>
      </c>
      <c r="Q244" s="358">
        <f t="shared" ca="1" si="172"/>
        <v>0</v>
      </c>
      <c r="R244" s="358">
        <f t="shared" ca="1" si="172"/>
        <v>0</v>
      </c>
      <c r="S244" s="358">
        <f t="shared" ca="1" si="172"/>
        <v>0</v>
      </c>
      <c r="T244" s="358">
        <f t="shared" ca="1" si="172"/>
        <v>0</v>
      </c>
      <c r="U244" s="358">
        <f t="shared" ca="1" si="172"/>
        <v>0</v>
      </c>
      <c r="V244" s="358">
        <f t="shared" ca="1" si="172"/>
        <v>0</v>
      </c>
      <c r="W244" s="358">
        <f t="shared" ca="1" si="172"/>
        <v>0</v>
      </c>
      <c r="X244" s="358">
        <f t="shared" ca="1" si="172"/>
        <v>0</v>
      </c>
      <c r="Y244" s="358">
        <f t="shared" ca="1" si="172"/>
        <v>0</v>
      </c>
      <c r="Z244" s="358">
        <f t="shared" ca="1" si="172"/>
        <v>0</v>
      </c>
      <c r="AA244" s="358">
        <f t="shared" ca="1" si="173"/>
        <v>0</v>
      </c>
      <c r="AB244" s="358">
        <f t="shared" ca="1" si="173"/>
        <v>0</v>
      </c>
      <c r="AC244" s="358">
        <f t="shared" ca="1" si="173"/>
        <v>0</v>
      </c>
      <c r="AD244" s="358">
        <f t="shared" ca="1" si="173"/>
        <v>0</v>
      </c>
      <c r="AE244" s="358">
        <f t="shared" ca="1" si="173"/>
        <v>0</v>
      </c>
      <c r="AF244" s="358">
        <f t="shared" ca="1" si="173"/>
        <v>0</v>
      </c>
      <c r="AG244" s="358">
        <f t="shared" ca="1" si="173"/>
        <v>0</v>
      </c>
      <c r="AH244" s="358">
        <f t="shared" ca="1" si="173"/>
        <v>0</v>
      </c>
      <c r="AI244" s="358">
        <f t="shared" ca="1" si="173"/>
        <v>0</v>
      </c>
      <c r="AJ244" s="358">
        <f t="shared" ca="1" si="173"/>
        <v>0</v>
      </c>
      <c r="AK244" s="358">
        <f t="shared" ca="1" si="174"/>
        <v>0</v>
      </c>
      <c r="AL244" s="358">
        <f t="shared" ca="1" si="174"/>
        <v>0</v>
      </c>
      <c r="AM244" s="358">
        <f t="shared" ca="1" si="174"/>
        <v>0</v>
      </c>
      <c r="AN244" s="358">
        <f t="shared" ca="1" si="174"/>
        <v>0</v>
      </c>
      <c r="AO244" s="358">
        <f t="shared" ca="1" si="174"/>
        <v>0</v>
      </c>
      <c r="AP244" s="358">
        <f t="shared" ca="1" si="174"/>
        <v>0</v>
      </c>
      <c r="AQ244" s="358">
        <f t="shared" ca="1" si="174"/>
        <v>0</v>
      </c>
      <c r="AR244" s="358">
        <f t="shared" ca="1" si="174"/>
        <v>0</v>
      </c>
      <c r="AS244" s="358">
        <f t="shared" ca="1" si="174"/>
        <v>0</v>
      </c>
      <c r="AT244" s="358">
        <f t="shared" ca="1" si="174"/>
        <v>0</v>
      </c>
      <c r="AV244" s="358">
        <f t="shared" ca="1" si="160"/>
        <v>0</v>
      </c>
      <c r="AX244" s="358">
        <f t="shared" ca="1" si="161"/>
        <v>0</v>
      </c>
      <c r="AZ244" s="358">
        <f t="shared" ca="1" si="162"/>
        <v>0</v>
      </c>
      <c r="BB244" s="358">
        <f t="shared" ca="1" si="163"/>
        <v>0</v>
      </c>
      <c r="BD244" s="358">
        <f t="shared" ca="1" si="164"/>
        <v>0</v>
      </c>
      <c r="BF244" s="358">
        <f t="shared" ca="1" si="165"/>
        <v>0</v>
      </c>
      <c r="BH244" s="358">
        <f t="shared" ca="1" si="166"/>
        <v>0</v>
      </c>
    </row>
    <row r="245" spans="1:60" hidden="1" outlineLevel="1">
      <c r="A245" s="1464">
        <f t="shared" si="156"/>
        <v>18</v>
      </c>
      <c r="B245" s="1464">
        <f t="shared" si="157"/>
        <v>27</v>
      </c>
      <c r="C245" s="1464">
        <f t="shared" si="158"/>
        <v>24</v>
      </c>
      <c r="D245" s="1271" t="str">
        <f ca="1">IF(OFFSET(PortfolioDashboard!$A$3,C245-1,0)="","Blank",OFFSET(PortfolioDashboard!$A$3,C245-1,0))</f>
        <v>Blank</v>
      </c>
      <c r="E245" s="1464" t="str">
        <f t="shared" si="159"/>
        <v>2010$</v>
      </c>
      <c r="F245" s="1460">
        <f t="shared" ca="1" si="142"/>
        <v>0</v>
      </c>
      <c r="G245" s="358">
        <f t="shared" ca="1" si="171"/>
        <v>0</v>
      </c>
      <c r="H245" s="358">
        <f t="shared" ca="1" si="171"/>
        <v>0</v>
      </c>
      <c r="I245" s="358">
        <f t="shared" ca="1" si="171"/>
        <v>0</v>
      </c>
      <c r="J245" s="358">
        <f t="shared" ca="1" si="171"/>
        <v>0</v>
      </c>
      <c r="K245" s="358">
        <f t="shared" ca="1" si="171"/>
        <v>0</v>
      </c>
      <c r="L245" s="358">
        <f t="shared" ca="1" si="171"/>
        <v>0</v>
      </c>
      <c r="M245" s="358">
        <f t="shared" ca="1" si="171"/>
        <v>0</v>
      </c>
      <c r="N245" s="358">
        <f t="shared" ca="1" si="171"/>
        <v>0</v>
      </c>
      <c r="O245" s="358">
        <f t="shared" ca="1" si="171"/>
        <v>0</v>
      </c>
      <c r="P245" s="358">
        <f t="shared" ca="1" si="171"/>
        <v>0</v>
      </c>
      <c r="Q245" s="358">
        <f t="shared" ca="1" si="172"/>
        <v>0</v>
      </c>
      <c r="R245" s="358">
        <f t="shared" ca="1" si="172"/>
        <v>0</v>
      </c>
      <c r="S245" s="358">
        <f t="shared" ca="1" si="172"/>
        <v>0</v>
      </c>
      <c r="T245" s="358">
        <f t="shared" ca="1" si="172"/>
        <v>0</v>
      </c>
      <c r="U245" s="358">
        <f t="shared" ca="1" si="172"/>
        <v>0</v>
      </c>
      <c r="V245" s="358">
        <f t="shared" ca="1" si="172"/>
        <v>0</v>
      </c>
      <c r="W245" s="358">
        <f t="shared" ca="1" si="172"/>
        <v>0</v>
      </c>
      <c r="X245" s="358">
        <f t="shared" ca="1" si="172"/>
        <v>0</v>
      </c>
      <c r="Y245" s="358">
        <f t="shared" ca="1" si="172"/>
        <v>0</v>
      </c>
      <c r="Z245" s="358">
        <f t="shared" ca="1" si="172"/>
        <v>0</v>
      </c>
      <c r="AA245" s="358">
        <f t="shared" ca="1" si="173"/>
        <v>0</v>
      </c>
      <c r="AB245" s="358">
        <f t="shared" ca="1" si="173"/>
        <v>0</v>
      </c>
      <c r="AC245" s="358">
        <f t="shared" ca="1" si="173"/>
        <v>0</v>
      </c>
      <c r="AD245" s="358">
        <f t="shared" ca="1" si="173"/>
        <v>0</v>
      </c>
      <c r="AE245" s="358">
        <f t="shared" ca="1" si="173"/>
        <v>0</v>
      </c>
      <c r="AF245" s="358">
        <f t="shared" ca="1" si="173"/>
        <v>0</v>
      </c>
      <c r="AG245" s="358">
        <f t="shared" ca="1" si="173"/>
        <v>0</v>
      </c>
      <c r="AH245" s="358">
        <f t="shared" ca="1" si="173"/>
        <v>0</v>
      </c>
      <c r="AI245" s="358">
        <f t="shared" ca="1" si="173"/>
        <v>0</v>
      </c>
      <c r="AJ245" s="358">
        <f t="shared" ca="1" si="173"/>
        <v>0</v>
      </c>
      <c r="AK245" s="358">
        <f t="shared" ca="1" si="174"/>
        <v>0</v>
      </c>
      <c r="AL245" s="358">
        <f t="shared" ca="1" si="174"/>
        <v>0</v>
      </c>
      <c r="AM245" s="358">
        <f t="shared" ca="1" si="174"/>
        <v>0</v>
      </c>
      <c r="AN245" s="358">
        <f t="shared" ca="1" si="174"/>
        <v>0</v>
      </c>
      <c r="AO245" s="358">
        <f t="shared" ca="1" si="174"/>
        <v>0</v>
      </c>
      <c r="AP245" s="358">
        <f t="shared" ca="1" si="174"/>
        <v>0</v>
      </c>
      <c r="AQ245" s="358">
        <f t="shared" ca="1" si="174"/>
        <v>0</v>
      </c>
      <c r="AR245" s="358">
        <f t="shared" ca="1" si="174"/>
        <v>0</v>
      </c>
      <c r="AS245" s="358">
        <f t="shared" ca="1" si="174"/>
        <v>0</v>
      </c>
      <c r="AT245" s="358">
        <f t="shared" ca="1" si="174"/>
        <v>0</v>
      </c>
      <c r="AV245" s="358">
        <f t="shared" ca="1" si="160"/>
        <v>0</v>
      </c>
      <c r="AX245" s="358">
        <f t="shared" ca="1" si="161"/>
        <v>0</v>
      </c>
      <c r="AZ245" s="358">
        <f t="shared" ca="1" si="162"/>
        <v>0</v>
      </c>
      <c r="BB245" s="358">
        <f t="shared" ca="1" si="163"/>
        <v>0</v>
      </c>
      <c r="BD245" s="358">
        <f t="shared" ca="1" si="164"/>
        <v>0</v>
      </c>
      <c r="BF245" s="358">
        <f t="shared" ca="1" si="165"/>
        <v>0</v>
      </c>
      <c r="BH245" s="358">
        <f t="shared" ca="1" si="166"/>
        <v>0</v>
      </c>
    </row>
    <row r="246" spans="1:60" hidden="1" outlineLevel="1">
      <c r="A246" s="1464">
        <f t="shared" si="156"/>
        <v>18</v>
      </c>
      <c r="B246" s="1464">
        <f t="shared" si="157"/>
        <v>27</v>
      </c>
      <c r="C246" s="1464">
        <f t="shared" si="158"/>
        <v>25</v>
      </c>
      <c r="D246" s="1271" t="str">
        <f ca="1">IF(OFFSET(PortfolioDashboard!$A$3,C246-1,0)="","Blank",OFFSET(PortfolioDashboard!$A$3,C246-1,0))</f>
        <v>Blank</v>
      </c>
      <c r="E246" s="1464" t="str">
        <f t="shared" si="159"/>
        <v>2010$</v>
      </c>
      <c r="F246" s="1460">
        <f t="shared" ca="1" si="142"/>
        <v>0</v>
      </c>
      <c r="G246" s="358">
        <f t="shared" ca="1" si="171"/>
        <v>0</v>
      </c>
      <c r="H246" s="358">
        <f t="shared" ca="1" si="171"/>
        <v>0</v>
      </c>
      <c r="I246" s="358">
        <f t="shared" ca="1" si="171"/>
        <v>0</v>
      </c>
      <c r="J246" s="358">
        <f t="shared" ca="1" si="171"/>
        <v>0</v>
      </c>
      <c r="K246" s="358">
        <f t="shared" ca="1" si="171"/>
        <v>0</v>
      </c>
      <c r="L246" s="358">
        <f t="shared" ca="1" si="171"/>
        <v>0</v>
      </c>
      <c r="M246" s="358">
        <f t="shared" ca="1" si="171"/>
        <v>0</v>
      </c>
      <c r="N246" s="358">
        <f t="shared" ca="1" si="171"/>
        <v>0</v>
      </c>
      <c r="O246" s="358">
        <f t="shared" ca="1" si="171"/>
        <v>0</v>
      </c>
      <c r="P246" s="358">
        <f t="shared" ca="1" si="171"/>
        <v>0</v>
      </c>
      <c r="Q246" s="358">
        <f t="shared" ca="1" si="172"/>
        <v>0</v>
      </c>
      <c r="R246" s="358">
        <f t="shared" ca="1" si="172"/>
        <v>0</v>
      </c>
      <c r="S246" s="358">
        <f t="shared" ca="1" si="172"/>
        <v>0</v>
      </c>
      <c r="T246" s="358">
        <f t="shared" ca="1" si="172"/>
        <v>0</v>
      </c>
      <c r="U246" s="358">
        <f t="shared" ca="1" si="172"/>
        <v>0</v>
      </c>
      <c r="V246" s="358">
        <f t="shared" ca="1" si="172"/>
        <v>0</v>
      </c>
      <c r="W246" s="358">
        <f t="shared" ca="1" si="172"/>
        <v>0</v>
      </c>
      <c r="X246" s="358">
        <f t="shared" ca="1" si="172"/>
        <v>0</v>
      </c>
      <c r="Y246" s="358">
        <f t="shared" ca="1" si="172"/>
        <v>0</v>
      </c>
      <c r="Z246" s="358">
        <f t="shared" ca="1" si="172"/>
        <v>0</v>
      </c>
      <c r="AA246" s="358">
        <f t="shared" ca="1" si="173"/>
        <v>0</v>
      </c>
      <c r="AB246" s="358">
        <f t="shared" ca="1" si="173"/>
        <v>0</v>
      </c>
      <c r="AC246" s="358">
        <f t="shared" ca="1" si="173"/>
        <v>0</v>
      </c>
      <c r="AD246" s="358">
        <f t="shared" ca="1" si="173"/>
        <v>0</v>
      </c>
      <c r="AE246" s="358">
        <f t="shared" ca="1" si="173"/>
        <v>0</v>
      </c>
      <c r="AF246" s="358">
        <f t="shared" ca="1" si="173"/>
        <v>0</v>
      </c>
      <c r="AG246" s="358">
        <f t="shared" ca="1" si="173"/>
        <v>0</v>
      </c>
      <c r="AH246" s="358">
        <f t="shared" ca="1" si="173"/>
        <v>0</v>
      </c>
      <c r="AI246" s="358">
        <f t="shared" ca="1" si="173"/>
        <v>0</v>
      </c>
      <c r="AJ246" s="358">
        <f t="shared" ca="1" si="173"/>
        <v>0</v>
      </c>
      <c r="AK246" s="358">
        <f t="shared" ca="1" si="174"/>
        <v>0</v>
      </c>
      <c r="AL246" s="358">
        <f t="shared" ca="1" si="174"/>
        <v>0</v>
      </c>
      <c r="AM246" s="358">
        <f t="shared" ca="1" si="174"/>
        <v>0</v>
      </c>
      <c r="AN246" s="358">
        <f t="shared" ca="1" si="174"/>
        <v>0</v>
      </c>
      <c r="AO246" s="358">
        <f t="shared" ca="1" si="174"/>
        <v>0</v>
      </c>
      <c r="AP246" s="358">
        <f t="shared" ca="1" si="174"/>
        <v>0</v>
      </c>
      <c r="AQ246" s="358">
        <f t="shared" ca="1" si="174"/>
        <v>0</v>
      </c>
      <c r="AR246" s="358">
        <f t="shared" ca="1" si="174"/>
        <v>0</v>
      </c>
      <c r="AS246" s="358">
        <f t="shared" ca="1" si="174"/>
        <v>0</v>
      </c>
      <c r="AT246" s="358">
        <f t="shared" ca="1" si="174"/>
        <v>0</v>
      </c>
      <c r="AV246" s="358">
        <f t="shared" ca="1" si="160"/>
        <v>0</v>
      </c>
      <c r="AX246" s="358">
        <f t="shared" ca="1" si="161"/>
        <v>0</v>
      </c>
      <c r="AZ246" s="358">
        <f t="shared" ca="1" si="162"/>
        <v>0</v>
      </c>
      <c r="BB246" s="358">
        <f t="shared" ca="1" si="163"/>
        <v>0</v>
      </c>
      <c r="BD246" s="358">
        <f t="shared" ca="1" si="164"/>
        <v>0</v>
      </c>
      <c r="BF246" s="358">
        <f t="shared" ca="1" si="165"/>
        <v>0</v>
      </c>
      <c r="BH246" s="358">
        <f t="shared" ca="1" si="166"/>
        <v>0</v>
      </c>
    </row>
    <row r="247" spans="1:60" hidden="1" outlineLevel="1">
      <c r="A247" s="1464">
        <f t="shared" si="156"/>
        <v>18</v>
      </c>
      <c r="B247" s="1464">
        <f t="shared" si="157"/>
        <v>27</v>
      </c>
      <c r="C247" s="1464">
        <f t="shared" si="158"/>
        <v>26</v>
      </c>
      <c r="D247" s="1271" t="str">
        <f ca="1">IF(OFFSET(PortfolioDashboard!$A$3,C247-1,0)="","Blank",OFFSET(PortfolioDashboard!$A$3,C247-1,0))</f>
        <v>Blank</v>
      </c>
      <c r="E247" s="1464" t="str">
        <f t="shared" si="159"/>
        <v>2010$</v>
      </c>
      <c r="F247" s="1460">
        <f t="shared" ca="1" si="142"/>
        <v>0</v>
      </c>
      <c r="G247" s="358">
        <f t="shared" ca="1" si="171"/>
        <v>0</v>
      </c>
      <c r="H247" s="358">
        <f t="shared" ca="1" si="171"/>
        <v>0</v>
      </c>
      <c r="I247" s="358">
        <f t="shared" ca="1" si="171"/>
        <v>0</v>
      </c>
      <c r="J247" s="358">
        <f t="shared" ca="1" si="171"/>
        <v>0</v>
      </c>
      <c r="K247" s="358">
        <f t="shared" ca="1" si="171"/>
        <v>0</v>
      </c>
      <c r="L247" s="358">
        <f t="shared" ca="1" si="171"/>
        <v>0</v>
      </c>
      <c r="M247" s="358">
        <f t="shared" ca="1" si="171"/>
        <v>0</v>
      </c>
      <c r="N247" s="358">
        <f t="shared" ca="1" si="171"/>
        <v>0</v>
      </c>
      <c r="O247" s="358">
        <f t="shared" ca="1" si="171"/>
        <v>0</v>
      </c>
      <c r="P247" s="358">
        <f t="shared" ca="1" si="171"/>
        <v>0</v>
      </c>
      <c r="Q247" s="358">
        <f t="shared" ca="1" si="172"/>
        <v>0</v>
      </c>
      <c r="R247" s="358">
        <f t="shared" ca="1" si="172"/>
        <v>0</v>
      </c>
      <c r="S247" s="358">
        <f t="shared" ca="1" si="172"/>
        <v>0</v>
      </c>
      <c r="T247" s="358">
        <f t="shared" ca="1" si="172"/>
        <v>0</v>
      </c>
      <c r="U247" s="358">
        <f t="shared" ca="1" si="172"/>
        <v>0</v>
      </c>
      <c r="V247" s="358">
        <f t="shared" ca="1" si="172"/>
        <v>0</v>
      </c>
      <c r="W247" s="358">
        <f t="shared" ca="1" si="172"/>
        <v>0</v>
      </c>
      <c r="X247" s="358">
        <f t="shared" ca="1" si="172"/>
        <v>0</v>
      </c>
      <c r="Y247" s="358">
        <f t="shared" ca="1" si="172"/>
        <v>0</v>
      </c>
      <c r="Z247" s="358">
        <f t="shared" ca="1" si="172"/>
        <v>0</v>
      </c>
      <c r="AA247" s="358">
        <f t="shared" ca="1" si="173"/>
        <v>0</v>
      </c>
      <c r="AB247" s="358">
        <f t="shared" ca="1" si="173"/>
        <v>0</v>
      </c>
      <c r="AC247" s="358">
        <f t="shared" ca="1" si="173"/>
        <v>0</v>
      </c>
      <c r="AD247" s="358">
        <f t="shared" ca="1" si="173"/>
        <v>0</v>
      </c>
      <c r="AE247" s="358">
        <f t="shared" ca="1" si="173"/>
        <v>0</v>
      </c>
      <c r="AF247" s="358">
        <f t="shared" ca="1" si="173"/>
        <v>0</v>
      </c>
      <c r="AG247" s="358">
        <f t="shared" ca="1" si="173"/>
        <v>0</v>
      </c>
      <c r="AH247" s="358">
        <f t="shared" ca="1" si="173"/>
        <v>0</v>
      </c>
      <c r="AI247" s="358">
        <f t="shared" ca="1" si="173"/>
        <v>0</v>
      </c>
      <c r="AJ247" s="358">
        <f t="shared" ca="1" si="173"/>
        <v>0</v>
      </c>
      <c r="AK247" s="358">
        <f t="shared" ca="1" si="174"/>
        <v>0</v>
      </c>
      <c r="AL247" s="358">
        <f t="shared" ca="1" si="174"/>
        <v>0</v>
      </c>
      <c r="AM247" s="358">
        <f t="shared" ca="1" si="174"/>
        <v>0</v>
      </c>
      <c r="AN247" s="358">
        <f t="shared" ca="1" si="174"/>
        <v>0</v>
      </c>
      <c r="AO247" s="358">
        <f t="shared" ca="1" si="174"/>
        <v>0</v>
      </c>
      <c r="AP247" s="358">
        <f t="shared" ca="1" si="174"/>
        <v>0</v>
      </c>
      <c r="AQ247" s="358">
        <f t="shared" ca="1" si="174"/>
        <v>0</v>
      </c>
      <c r="AR247" s="358">
        <f t="shared" ca="1" si="174"/>
        <v>0</v>
      </c>
      <c r="AS247" s="358">
        <f t="shared" ca="1" si="174"/>
        <v>0</v>
      </c>
      <c r="AT247" s="358">
        <f t="shared" ca="1" si="174"/>
        <v>0</v>
      </c>
      <c r="AV247" s="358">
        <f t="shared" ca="1" si="160"/>
        <v>0</v>
      </c>
      <c r="AX247" s="358">
        <f t="shared" ca="1" si="161"/>
        <v>0</v>
      </c>
      <c r="AZ247" s="358">
        <f t="shared" ca="1" si="162"/>
        <v>0</v>
      </c>
      <c r="BB247" s="358">
        <f t="shared" ca="1" si="163"/>
        <v>0</v>
      </c>
      <c r="BD247" s="358">
        <f t="shared" ca="1" si="164"/>
        <v>0</v>
      </c>
      <c r="BF247" s="358">
        <f t="shared" ca="1" si="165"/>
        <v>0</v>
      </c>
      <c r="BH247" s="358">
        <f t="shared" ca="1" si="166"/>
        <v>0</v>
      </c>
    </row>
    <row r="248" spans="1:60" hidden="1" outlineLevel="1">
      <c r="A248" s="1464">
        <f t="shared" si="156"/>
        <v>18</v>
      </c>
      <c r="B248" s="1464">
        <f t="shared" si="157"/>
        <v>27</v>
      </c>
      <c r="C248" s="1464">
        <f t="shared" si="158"/>
        <v>27</v>
      </c>
      <c r="D248" s="1271" t="str">
        <f ca="1">IF(OFFSET(PortfolioDashboard!$A$3,C248-1,0)="","Blank",OFFSET(PortfolioDashboard!$A$3,C248-1,0))</f>
        <v>Blank</v>
      </c>
      <c r="E248" s="1464" t="str">
        <f t="shared" si="159"/>
        <v>2010$</v>
      </c>
      <c r="F248" s="1460">
        <f t="shared" ca="1" si="142"/>
        <v>0</v>
      </c>
      <c r="G248" s="358">
        <f t="shared" ca="1" si="171"/>
        <v>0</v>
      </c>
      <c r="H248" s="358">
        <f t="shared" ca="1" si="171"/>
        <v>0</v>
      </c>
      <c r="I248" s="358">
        <f t="shared" ca="1" si="171"/>
        <v>0</v>
      </c>
      <c r="J248" s="358">
        <f t="shared" ca="1" si="171"/>
        <v>0</v>
      </c>
      <c r="K248" s="358">
        <f t="shared" ca="1" si="171"/>
        <v>0</v>
      </c>
      <c r="L248" s="358">
        <f t="shared" ca="1" si="171"/>
        <v>0</v>
      </c>
      <c r="M248" s="358">
        <f t="shared" ca="1" si="171"/>
        <v>0</v>
      </c>
      <c r="N248" s="358">
        <f t="shared" ca="1" si="171"/>
        <v>0</v>
      </c>
      <c r="O248" s="358">
        <f t="shared" ca="1" si="171"/>
        <v>0</v>
      </c>
      <c r="P248" s="358">
        <f t="shared" ca="1" si="171"/>
        <v>0</v>
      </c>
      <c r="Q248" s="358">
        <f t="shared" ca="1" si="172"/>
        <v>0</v>
      </c>
      <c r="R248" s="358">
        <f t="shared" ca="1" si="172"/>
        <v>0</v>
      </c>
      <c r="S248" s="358">
        <f t="shared" ca="1" si="172"/>
        <v>0</v>
      </c>
      <c r="T248" s="358">
        <f t="shared" ca="1" si="172"/>
        <v>0</v>
      </c>
      <c r="U248" s="358">
        <f t="shared" ca="1" si="172"/>
        <v>0</v>
      </c>
      <c r="V248" s="358">
        <f t="shared" ca="1" si="172"/>
        <v>0</v>
      </c>
      <c r="W248" s="358">
        <f t="shared" ca="1" si="172"/>
        <v>0</v>
      </c>
      <c r="X248" s="358">
        <f t="shared" ca="1" si="172"/>
        <v>0</v>
      </c>
      <c r="Y248" s="358">
        <f t="shared" ca="1" si="172"/>
        <v>0</v>
      </c>
      <c r="Z248" s="358">
        <f t="shared" ca="1" si="172"/>
        <v>0</v>
      </c>
      <c r="AA248" s="358">
        <f t="shared" ca="1" si="173"/>
        <v>0</v>
      </c>
      <c r="AB248" s="358">
        <f t="shared" ca="1" si="173"/>
        <v>0</v>
      </c>
      <c r="AC248" s="358">
        <f t="shared" ca="1" si="173"/>
        <v>0</v>
      </c>
      <c r="AD248" s="358">
        <f t="shared" ca="1" si="173"/>
        <v>0</v>
      </c>
      <c r="AE248" s="358">
        <f t="shared" ca="1" si="173"/>
        <v>0</v>
      </c>
      <c r="AF248" s="358">
        <f t="shared" ca="1" si="173"/>
        <v>0</v>
      </c>
      <c r="AG248" s="358">
        <f t="shared" ca="1" si="173"/>
        <v>0</v>
      </c>
      <c r="AH248" s="358">
        <f t="shared" ca="1" si="173"/>
        <v>0</v>
      </c>
      <c r="AI248" s="358">
        <f t="shared" ca="1" si="173"/>
        <v>0</v>
      </c>
      <c r="AJ248" s="358">
        <f t="shared" ca="1" si="173"/>
        <v>0</v>
      </c>
      <c r="AK248" s="358">
        <f t="shared" ca="1" si="174"/>
        <v>0</v>
      </c>
      <c r="AL248" s="358">
        <f t="shared" ca="1" si="174"/>
        <v>0</v>
      </c>
      <c r="AM248" s="358">
        <f t="shared" ca="1" si="174"/>
        <v>0</v>
      </c>
      <c r="AN248" s="358">
        <f t="shared" ca="1" si="174"/>
        <v>0</v>
      </c>
      <c r="AO248" s="358">
        <f t="shared" ca="1" si="174"/>
        <v>0</v>
      </c>
      <c r="AP248" s="358">
        <f t="shared" ca="1" si="174"/>
        <v>0</v>
      </c>
      <c r="AQ248" s="358">
        <f t="shared" ca="1" si="174"/>
        <v>0</v>
      </c>
      <c r="AR248" s="358">
        <f t="shared" ca="1" si="174"/>
        <v>0</v>
      </c>
      <c r="AS248" s="358">
        <f t="shared" ca="1" si="174"/>
        <v>0</v>
      </c>
      <c r="AT248" s="358">
        <f t="shared" ca="1" si="174"/>
        <v>0</v>
      </c>
      <c r="AV248" s="358">
        <f t="shared" ca="1" si="160"/>
        <v>0</v>
      </c>
      <c r="AX248" s="358">
        <f t="shared" ca="1" si="161"/>
        <v>0</v>
      </c>
      <c r="AZ248" s="358">
        <f t="shared" ca="1" si="162"/>
        <v>0</v>
      </c>
      <c r="BB248" s="358">
        <f t="shared" ca="1" si="163"/>
        <v>0</v>
      </c>
      <c r="BD248" s="358">
        <f t="shared" ca="1" si="164"/>
        <v>0</v>
      </c>
      <c r="BF248" s="358">
        <f t="shared" ca="1" si="165"/>
        <v>0</v>
      </c>
      <c r="BH248" s="358">
        <f t="shared" ca="1" si="166"/>
        <v>0</v>
      </c>
    </row>
    <row r="249" spans="1:60" hidden="1" outlineLevel="1">
      <c r="A249" s="1464">
        <f t="shared" si="156"/>
        <v>18</v>
      </c>
      <c r="B249" s="1464">
        <f t="shared" si="157"/>
        <v>27</v>
      </c>
      <c r="C249" s="1464">
        <f t="shared" si="158"/>
        <v>28</v>
      </c>
      <c r="D249" s="1271" t="str">
        <f ca="1">IF(OFFSET(PortfolioDashboard!$A$3,C249-1,0)="","Blank",OFFSET(PortfolioDashboard!$A$3,C249-1,0))</f>
        <v>Blank</v>
      </c>
      <c r="E249" s="1464" t="str">
        <f t="shared" si="159"/>
        <v>2010$</v>
      </c>
      <c r="F249" s="1460">
        <f t="shared" ca="1" si="142"/>
        <v>0</v>
      </c>
      <c r="G249" s="358">
        <f t="shared" ca="1" si="171"/>
        <v>0</v>
      </c>
      <c r="H249" s="358">
        <f t="shared" ca="1" si="171"/>
        <v>0</v>
      </c>
      <c r="I249" s="358">
        <f t="shared" ca="1" si="171"/>
        <v>0</v>
      </c>
      <c r="J249" s="358">
        <f t="shared" ca="1" si="171"/>
        <v>0</v>
      </c>
      <c r="K249" s="358">
        <f t="shared" ca="1" si="171"/>
        <v>0</v>
      </c>
      <c r="L249" s="358">
        <f t="shared" ca="1" si="171"/>
        <v>0</v>
      </c>
      <c r="M249" s="358">
        <f t="shared" ca="1" si="171"/>
        <v>0</v>
      </c>
      <c r="N249" s="358">
        <f t="shared" ca="1" si="171"/>
        <v>0</v>
      </c>
      <c r="O249" s="358">
        <f t="shared" ca="1" si="171"/>
        <v>0</v>
      </c>
      <c r="P249" s="358">
        <f t="shared" ca="1" si="171"/>
        <v>0</v>
      </c>
      <c r="Q249" s="358">
        <f t="shared" ca="1" si="172"/>
        <v>0</v>
      </c>
      <c r="R249" s="358">
        <f t="shared" ca="1" si="172"/>
        <v>0</v>
      </c>
      <c r="S249" s="358">
        <f t="shared" ca="1" si="172"/>
        <v>0</v>
      </c>
      <c r="T249" s="358">
        <f t="shared" ca="1" si="172"/>
        <v>0</v>
      </c>
      <c r="U249" s="358">
        <f t="shared" ca="1" si="172"/>
        <v>0</v>
      </c>
      <c r="V249" s="358">
        <f t="shared" ca="1" si="172"/>
        <v>0</v>
      </c>
      <c r="W249" s="358">
        <f t="shared" ca="1" si="172"/>
        <v>0</v>
      </c>
      <c r="X249" s="358">
        <f t="shared" ca="1" si="172"/>
        <v>0</v>
      </c>
      <c r="Y249" s="358">
        <f t="shared" ca="1" si="172"/>
        <v>0</v>
      </c>
      <c r="Z249" s="358">
        <f t="shared" ca="1" si="172"/>
        <v>0</v>
      </c>
      <c r="AA249" s="358">
        <f t="shared" ca="1" si="173"/>
        <v>0</v>
      </c>
      <c r="AB249" s="358">
        <f t="shared" ca="1" si="173"/>
        <v>0</v>
      </c>
      <c r="AC249" s="358">
        <f t="shared" ca="1" si="173"/>
        <v>0</v>
      </c>
      <c r="AD249" s="358">
        <f t="shared" ca="1" si="173"/>
        <v>0</v>
      </c>
      <c r="AE249" s="358">
        <f t="shared" ca="1" si="173"/>
        <v>0</v>
      </c>
      <c r="AF249" s="358">
        <f t="shared" ca="1" si="173"/>
        <v>0</v>
      </c>
      <c r="AG249" s="358">
        <f t="shared" ca="1" si="173"/>
        <v>0</v>
      </c>
      <c r="AH249" s="358">
        <f t="shared" ca="1" si="173"/>
        <v>0</v>
      </c>
      <c r="AI249" s="358">
        <f t="shared" ca="1" si="173"/>
        <v>0</v>
      </c>
      <c r="AJ249" s="358">
        <f t="shared" ca="1" si="173"/>
        <v>0</v>
      </c>
      <c r="AK249" s="358">
        <f t="shared" ca="1" si="174"/>
        <v>0</v>
      </c>
      <c r="AL249" s="358">
        <f t="shared" ca="1" si="174"/>
        <v>0</v>
      </c>
      <c r="AM249" s="358">
        <f t="shared" ca="1" si="174"/>
        <v>0</v>
      </c>
      <c r="AN249" s="358">
        <f t="shared" ca="1" si="174"/>
        <v>0</v>
      </c>
      <c r="AO249" s="358">
        <f t="shared" ca="1" si="174"/>
        <v>0</v>
      </c>
      <c r="AP249" s="358">
        <f t="shared" ca="1" si="174"/>
        <v>0</v>
      </c>
      <c r="AQ249" s="358">
        <f t="shared" ca="1" si="174"/>
        <v>0</v>
      </c>
      <c r="AR249" s="358">
        <f t="shared" ca="1" si="174"/>
        <v>0</v>
      </c>
      <c r="AS249" s="358">
        <f t="shared" ca="1" si="174"/>
        <v>0</v>
      </c>
      <c r="AT249" s="358">
        <f t="shared" ca="1" si="174"/>
        <v>0</v>
      </c>
      <c r="AV249" s="358">
        <f t="shared" ca="1" si="160"/>
        <v>0</v>
      </c>
      <c r="AX249" s="358">
        <f t="shared" ca="1" si="161"/>
        <v>0</v>
      </c>
      <c r="AZ249" s="358">
        <f t="shared" ca="1" si="162"/>
        <v>0</v>
      </c>
      <c r="BB249" s="358">
        <f t="shared" ca="1" si="163"/>
        <v>0</v>
      </c>
      <c r="BD249" s="358">
        <f t="shared" ca="1" si="164"/>
        <v>0</v>
      </c>
      <c r="BF249" s="358">
        <f t="shared" ca="1" si="165"/>
        <v>0</v>
      </c>
      <c r="BH249" s="358">
        <f t="shared" ca="1" si="166"/>
        <v>0</v>
      </c>
    </row>
    <row r="250" spans="1:60" hidden="1" outlineLevel="1">
      <c r="A250" s="1464">
        <f t="shared" si="156"/>
        <v>18</v>
      </c>
      <c r="B250" s="1464">
        <f t="shared" si="157"/>
        <v>27</v>
      </c>
      <c r="C250" s="1464">
        <f t="shared" si="158"/>
        <v>29</v>
      </c>
      <c r="D250" s="1271" t="str">
        <f ca="1">IF(OFFSET(PortfolioDashboard!$A$3,C250-1,0)="","Blank",OFFSET(PortfolioDashboard!$A$3,C250-1,0))</f>
        <v>Blank</v>
      </c>
      <c r="E250" s="1464" t="str">
        <f t="shared" si="159"/>
        <v>2010$</v>
      </c>
      <c r="F250" s="1460">
        <f t="shared" ca="1" si="142"/>
        <v>0</v>
      </c>
      <c r="G250" s="358">
        <f t="shared" ca="1" si="171"/>
        <v>0</v>
      </c>
      <c r="H250" s="358">
        <f t="shared" ca="1" si="171"/>
        <v>0</v>
      </c>
      <c r="I250" s="358">
        <f t="shared" ca="1" si="171"/>
        <v>0</v>
      </c>
      <c r="J250" s="358">
        <f t="shared" ca="1" si="171"/>
        <v>0</v>
      </c>
      <c r="K250" s="358">
        <f t="shared" ca="1" si="171"/>
        <v>0</v>
      </c>
      <c r="L250" s="358">
        <f t="shared" ca="1" si="171"/>
        <v>0</v>
      </c>
      <c r="M250" s="358">
        <f t="shared" ca="1" si="171"/>
        <v>0</v>
      </c>
      <c r="N250" s="358">
        <f t="shared" ca="1" si="171"/>
        <v>0</v>
      </c>
      <c r="O250" s="358">
        <f t="shared" ca="1" si="171"/>
        <v>0</v>
      </c>
      <c r="P250" s="358">
        <f t="shared" ca="1" si="171"/>
        <v>0</v>
      </c>
      <c r="Q250" s="358">
        <f t="shared" ca="1" si="172"/>
        <v>0</v>
      </c>
      <c r="R250" s="358">
        <f t="shared" ca="1" si="172"/>
        <v>0</v>
      </c>
      <c r="S250" s="358">
        <f t="shared" ca="1" si="172"/>
        <v>0</v>
      </c>
      <c r="T250" s="358">
        <f t="shared" ca="1" si="172"/>
        <v>0</v>
      </c>
      <c r="U250" s="358">
        <f t="shared" ca="1" si="172"/>
        <v>0</v>
      </c>
      <c r="V250" s="358">
        <f t="shared" ca="1" si="172"/>
        <v>0</v>
      </c>
      <c r="W250" s="358">
        <f t="shared" ca="1" si="172"/>
        <v>0</v>
      </c>
      <c r="X250" s="358">
        <f t="shared" ca="1" si="172"/>
        <v>0</v>
      </c>
      <c r="Y250" s="358">
        <f t="shared" ca="1" si="172"/>
        <v>0</v>
      </c>
      <c r="Z250" s="358">
        <f t="shared" ca="1" si="172"/>
        <v>0</v>
      </c>
      <c r="AA250" s="358">
        <f t="shared" ca="1" si="173"/>
        <v>0</v>
      </c>
      <c r="AB250" s="358">
        <f t="shared" ca="1" si="173"/>
        <v>0</v>
      </c>
      <c r="AC250" s="358">
        <f t="shared" ca="1" si="173"/>
        <v>0</v>
      </c>
      <c r="AD250" s="358">
        <f t="shared" ca="1" si="173"/>
        <v>0</v>
      </c>
      <c r="AE250" s="358">
        <f t="shared" ca="1" si="173"/>
        <v>0</v>
      </c>
      <c r="AF250" s="358">
        <f t="shared" ca="1" si="173"/>
        <v>0</v>
      </c>
      <c r="AG250" s="358">
        <f t="shared" ca="1" si="173"/>
        <v>0</v>
      </c>
      <c r="AH250" s="358">
        <f t="shared" ca="1" si="173"/>
        <v>0</v>
      </c>
      <c r="AI250" s="358">
        <f t="shared" ca="1" si="173"/>
        <v>0</v>
      </c>
      <c r="AJ250" s="358">
        <f t="shared" ca="1" si="173"/>
        <v>0</v>
      </c>
      <c r="AK250" s="358">
        <f t="shared" ca="1" si="174"/>
        <v>0</v>
      </c>
      <c r="AL250" s="358">
        <f t="shared" ca="1" si="174"/>
        <v>0</v>
      </c>
      <c r="AM250" s="358">
        <f t="shared" ca="1" si="174"/>
        <v>0</v>
      </c>
      <c r="AN250" s="358">
        <f t="shared" ca="1" si="174"/>
        <v>0</v>
      </c>
      <c r="AO250" s="358">
        <f t="shared" ca="1" si="174"/>
        <v>0</v>
      </c>
      <c r="AP250" s="358">
        <f t="shared" ca="1" si="174"/>
        <v>0</v>
      </c>
      <c r="AQ250" s="358">
        <f t="shared" ca="1" si="174"/>
        <v>0</v>
      </c>
      <c r="AR250" s="358">
        <f t="shared" ca="1" si="174"/>
        <v>0</v>
      </c>
      <c r="AS250" s="358">
        <f t="shared" ca="1" si="174"/>
        <v>0</v>
      </c>
      <c r="AT250" s="358">
        <f t="shared" ca="1" si="174"/>
        <v>0</v>
      </c>
      <c r="AV250" s="358">
        <f t="shared" ca="1" si="160"/>
        <v>0</v>
      </c>
      <c r="AX250" s="358">
        <f t="shared" ca="1" si="161"/>
        <v>0</v>
      </c>
      <c r="AZ250" s="358">
        <f t="shared" ca="1" si="162"/>
        <v>0</v>
      </c>
      <c r="BB250" s="358">
        <f t="shared" ca="1" si="163"/>
        <v>0</v>
      </c>
      <c r="BD250" s="358">
        <f t="shared" ca="1" si="164"/>
        <v>0</v>
      </c>
      <c r="BF250" s="358">
        <f t="shared" ca="1" si="165"/>
        <v>0</v>
      </c>
      <c r="BH250" s="358">
        <f t="shared" ca="1" si="166"/>
        <v>0</v>
      </c>
    </row>
    <row r="251" spans="1:60" hidden="1" outlineLevel="1">
      <c r="A251" s="1464">
        <f t="shared" si="156"/>
        <v>18</v>
      </c>
      <c r="B251" s="1464">
        <f t="shared" si="157"/>
        <v>27</v>
      </c>
      <c r="C251" s="1464">
        <f t="shared" si="158"/>
        <v>30</v>
      </c>
      <c r="D251" s="1271" t="str">
        <f ca="1">IF(OFFSET(PortfolioDashboard!$A$3,C251-1,0)="","Blank",OFFSET(PortfolioDashboard!$A$3,C251-1,0))</f>
        <v>Blank</v>
      </c>
      <c r="E251" s="1464" t="str">
        <f t="shared" si="159"/>
        <v>2010$</v>
      </c>
      <c r="F251" s="1460">
        <f t="shared" ca="1" si="142"/>
        <v>0</v>
      </c>
      <c r="G251" s="358">
        <f t="shared" ca="1" si="171"/>
        <v>0</v>
      </c>
      <c r="H251" s="358">
        <f t="shared" ca="1" si="171"/>
        <v>0</v>
      </c>
      <c r="I251" s="358">
        <f t="shared" ca="1" si="171"/>
        <v>0</v>
      </c>
      <c r="J251" s="358">
        <f t="shared" ca="1" si="171"/>
        <v>0</v>
      </c>
      <c r="K251" s="358">
        <f t="shared" ca="1" si="171"/>
        <v>0</v>
      </c>
      <c r="L251" s="358">
        <f t="shared" ca="1" si="171"/>
        <v>0</v>
      </c>
      <c r="M251" s="358">
        <f t="shared" ca="1" si="171"/>
        <v>0</v>
      </c>
      <c r="N251" s="358">
        <f t="shared" ca="1" si="171"/>
        <v>0</v>
      </c>
      <c r="O251" s="358">
        <f t="shared" ca="1" si="171"/>
        <v>0</v>
      </c>
      <c r="P251" s="358">
        <f t="shared" ca="1" si="171"/>
        <v>0</v>
      </c>
      <c r="Q251" s="358">
        <f t="shared" ca="1" si="172"/>
        <v>0</v>
      </c>
      <c r="R251" s="358">
        <f t="shared" ca="1" si="172"/>
        <v>0</v>
      </c>
      <c r="S251" s="358">
        <f t="shared" ca="1" si="172"/>
        <v>0</v>
      </c>
      <c r="T251" s="358">
        <f t="shared" ca="1" si="172"/>
        <v>0</v>
      </c>
      <c r="U251" s="358">
        <f t="shared" ca="1" si="172"/>
        <v>0</v>
      </c>
      <c r="V251" s="358">
        <f t="shared" ca="1" si="172"/>
        <v>0</v>
      </c>
      <c r="W251" s="358">
        <f t="shared" ca="1" si="172"/>
        <v>0</v>
      </c>
      <c r="X251" s="358">
        <f t="shared" ca="1" si="172"/>
        <v>0</v>
      </c>
      <c r="Y251" s="358">
        <f t="shared" ca="1" si="172"/>
        <v>0</v>
      </c>
      <c r="Z251" s="358">
        <f t="shared" ca="1" si="172"/>
        <v>0</v>
      </c>
      <c r="AA251" s="358">
        <f t="shared" ca="1" si="173"/>
        <v>0</v>
      </c>
      <c r="AB251" s="358">
        <f t="shared" ca="1" si="173"/>
        <v>0</v>
      </c>
      <c r="AC251" s="358">
        <f t="shared" ca="1" si="173"/>
        <v>0</v>
      </c>
      <c r="AD251" s="358">
        <f t="shared" ca="1" si="173"/>
        <v>0</v>
      </c>
      <c r="AE251" s="358">
        <f t="shared" ca="1" si="173"/>
        <v>0</v>
      </c>
      <c r="AF251" s="358">
        <f t="shared" ca="1" si="173"/>
        <v>0</v>
      </c>
      <c r="AG251" s="358">
        <f t="shared" ca="1" si="173"/>
        <v>0</v>
      </c>
      <c r="AH251" s="358">
        <f t="shared" ca="1" si="173"/>
        <v>0</v>
      </c>
      <c r="AI251" s="358">
        <f t="shared" ca="1" si="173"/>
        <v>0</v>
      </c>
      <c r="AJ251" s="358">
        <f t="shared" ca="1" si="173"/>
        <v>0</v>
      </c>
      <c r="AK251" s="358">
        <f t="shared" ca="1" si="174"/>
        <v>0</v>
      </c>
      <c r="AL251" s="358">
        <f t="shared" ca="1" si="174"/>
        <v>0</v>
      </c>
      <c r="AM251" s="358">
        <f t="shared" ca="1" si="174"/>
        <v>0</v>
      </c>
      <c r="AN251" s="358">
        <f t="shared" ca="1" si="174"/>
        <v>0</v>
      </c>
      <c r="AO251" s="358">
        <f t="shared" ca="1" si="174"/>
        <v>0</v>
      </c>
      <c r="AP251" s="358">
        <f t="shared" ca="1" si="174"/>
        <v>0</v>
      </c>
      <c r="AQ251" s="358">
        <f t="shared" ca="1" si="174"/>
        <v>0</v>
      </c>
      <c r="AR251" s="358">
        <f t="shared" ca="1" si="174"/>
        <v>0</v>
      </c>
      <c r="AS251" s="358">
        <f t="shared" ca="1" si="174"/>
        <v>0</v>
      </c>
      <c r="AT251" s="358">
        <f t="shared" ca="1" si="174"/>
        <v>0</v>
      </c>
      <c r="AV251" s="358">
        <f t="shared" ca="1" si="160"/>
        <v>0</v>
      </c>
      <c r="AX251" s="358">
        <f t="shared" ca="1" si="161"/>
        <v>0</v>
      </c>
      <c r="AZ251" s="358">
        <f t="shared" ca="1" si="162"/>
        <v>0</v>
      </c>
      <c r="BB251" s="358">
        <f t="shared" ca="1" si="163"/>
        <v>0</v>
      </c>
      <c r="BD251" s="358">
        <f t="shared" ca="1" si="164"/>
        <v>0</v>
      </c>
      <c r="BF251" s="358">
        <f t="shared" ca="1" si="165"/>
        <v>0</v>
      </c>
      <c r="BH251" s="358">
        <f t="shared" ca="1" si="166"/>
        <v>0</v>
      </c>
    </row>
    <row r="252" spans="1:60" collapsed="1">
      <c r="A252" s="1464"/>
      <c r="B252" s="1464"/>
      <c r="C252" s="1464"/>
      <c r="D252" s="1272" t="s">
        <v>667</v>
      </c>
      <c r="E252" s="1270" t="str">
        <f>E222</f>
        <v>2010$</v>
      </c>
      <c r="F252" s="1461">
        <f t="shared" ca="1" si="142"/>
        <v>-4228976.1405559285</v>
      </c>
      <c r="G252" s="1277">
        <f t="shared" ref="G252:AT252" ca="1" si="175">SUM(G222:G251)</f>
        <v>0</v>
      </c>
      <c r="H252" s="1277">
        <f t="shared" ca="1" si="175"/>
        <v>0</v>
      </c>
      <c r="I252" s="1277">
        <f t="shared" ca="1" si="175"/>
        <v>0</v>
      </c>
      <c r="J252" s="1277">
        <f t="shared" ca="1" si="175"/>
        <v>0</v>
      </c>
      <c r="K252" s="1277">
        <f t="shared" ca="1" si="175"/>
        <v>0</v>
      </c>
      <c r="L252" s="1277">
        <f t="shared" ca="1" si="175"/>
        <v>-303812.55343383551</v>
      </c>
      <c r="M252" s="1277">
        <f t="shared" ca="1" si="175"/>
        <v>-308746.13658415806</v>
      </c>
      <c r="N252" s="1277">
        <f t="shared" ca="1" si="175"/>
        <v>-313721.4602521481</v>
      </c>
      <c r="O252" s="1277">
        <f t="shared" ca="1" si="175"/>
        <v>-318738.8185034031</v>
      </c>
      <c r="P252" s="1277">
        <f t="shared" ca="1" si="175"/>
        <v>-323798.50730066467</v>
      </c>
      <c r="Q252" s="1277">
        <f t="shared" ca="1" si="175"/>
        <v>-328900.82451543584</v>
      </c>
      <c r="R252" s="1277">
        <f t="shared" ca="1" si="175"/>
        <v>-334046.06993967295</v>
      </c>
      <c r="S252" s="1277">
        <f t="shared" ca="1" si="175"/>
        <v>-339234.54529753793</v>
      </c>
      <c r="T252" s="1277">
        <f t="shared" ca="1" si="175"/>
        <v>-344466.55425723549</v>
      </c>
      <c r="U252" s="1277">
        <f t="shared" ca="1" si="175"/>
        <v>-349742.40244289581</v>
      </c>
      <c r="V252" s="1277">
        <f t="shared" ca="1" si="175"/>
        <v>-355062.39744655695</v>
      </c>
      <c r="W252" s="1277">
        <f t="shared" ca="1" si="175"/>
        <v>-360426.84884019289</v>
      </c>
      <c r="X252" s="1277">
        <f t="shared" ca="1" si="175"/>
        <v>-365836.06818782911</v>
      </c>
      <c r="Y252" s="1277">
        <f t="shared" ca="1" si="175"/>
        <v>-371290.36905772146</v>
      </c>
      <c r="Z252" s="1277">
        <f t="shared" ca="1" si="175"/>
        <v>-376790.06703460775</v>
      </c>
      <c r="AA252" s="1277">
        <f t="shared" ca="1" si="175"/>
        <v>-382335.47973203566</v>
      </c>
      <c r="AB252" s="1277">
        <f t="shared" ca="1" si="175"/>
        <v>-387926.9268047642</v>
      </c>
      <c r="AC252" s="1277">
        <f t="shared" ca="1" si="175"/>
        <v>-393564.72996122483</v>
      </c>
      <c r="AD252" s="1277">
        <f t="shared" ca="1" si="175"/>
        <v>-399249.21297608037</v>
      </c>
      <c r="AE252" s="1277">
        <f t="shared" ca="1" si="175"/>
        <v>-404980.70170283597</v>
      </c>
      <c r="AF252" s="1277">
        <f t="shared" ca="1" si="175"/>
        <v>-410759.52408653311</v>
      </c>
      <c r="AG252" s="1277">
        <f t="shared" ca="1" si="175"/>
        <v>-416586.01017652731</v>
      </c>
      <c r="AH252" s="1277">
        <f t="shared" ca="1" si="175"/>
        <v>-422460.49213931803</v>
      </c>
      <c r="AI252" s="1277">
        <f t="shared" ca="1" si="175"/>
        <v>-428383.304271481</v>
      </c>
      <c r="AJ252" s="1277">
        <f t="shared" ca="1" si="175"/>
        <v>-434354.78301266301</v>
      </c>
      <c r="AK252" s="1277">
        <f t="shared" ca="1" si="175"/>
        <v>-440375.2669586502</v>
      </c>
      <c r="AL252" s="1277">
        <f t="shared" ca="1" si="175"/>
        <v>-446445.09687452111</v>
      </c>
      <c r="AM252" s="1277">
        <f t="shared" ca="1" si="175"/>
        <v>-452564.61570787802</v>
      </c>
      <c r="AN252" s="1277">
        <f t="shared" ca="1" si="175"/>
        <v>-458734.16860214621</v>
      </c>
      <c r="AO252" s="1277">
        <f t="shared" ca="1" si="175"/>
        <v>-464954.10290996451</v>
      </c>
      <c r="AP252" s="1277">
        <f t="shared" ca="1" si="175"/>
        <v>-471224.7682066448</v>
      </c>
      <c r="AQ252" s="1277">
        <f t="shared" ca="1" si="175"/>
        <v>-477546.51630371995</v>
      </c>
      <c r="AR252" s="1277">
        <f t="shared" ca="1" si="175"/>
        <v>-483919.70126256067</v>
      </c>
      <c r="AS252" s="1277">
        <f t="shared" ca="1" si="175"/>
        <v>-490344.67940808367</v>
      </c>
      <c r="AT252" s="1277">
        <f t="shared" ca="1" si="175"/>
        <v>-496821.80934252869</v>
      </c>
      <c r="AV252" s="1277">
        <f t="shared" ca="1" si="160"/>
        <v>-1568817.4760742094</v>
      </c>
      <c r="AX252" s="1277">
        <f t="shared" ca="1" si="161"/>
        <v>-1696390.396452778</v>
      </c>
      <c r="AZ252" s="1277">
        <f t="shared" ca="1" si="162"/>
        <v>-1829405.7505669082</v>
      </c>
      <c r="BB252" s="1277">
        <f t="shared" ca="1" si="163"/>
        <v>-1968057.051176941</v>
      </c>
      <c r="BD252" s="1277">
        <f t="shared" ca="1" si="164"/>
        <v>-2112544.1136865225</v>
      </c>
      <c r="BF252" s="1277">
        <f t="shared" ca="1" si="165"/>
        <v>-2263073.2510531601</v>
      </c>
      <c r="BH252" s="1277">
        <f t="shared" ca="1" si="166"/>
        <v>-2419857.4745235378</v>
      </c>
    </row>
    <row r="253" spans="1:60" hidden="1" outlineLevel="1">
      <c r="A253" s="1464">
        <v>18</v>
      </c>
      <c r="B253" s="1464">
        <v>28</v>
      </c>
      <c r="C253" s="1464">
        <v>1</v>
      </c>
      <c r="D253" s="1271" t="str">
        <f ca="1">IF(OFFSET(PortfolioDashboard!$A$3,C253-1,0)="","Blank",OFFSET(PortfolioDashboard!$A$3,C253-1,0))</f>
        <v>Behavior Change</v>
      </c>
      <c r="E253" s="1464" t="s">
        <v>1197</v>
      </c>
      <c r="F253" s="1460">
        <f t="shared" ca="1" si="142"/>
        <v>0</v>
      </c>
      <c r="G253" s="358">
        <f t="shared" ref="G253:P262" ca="1" si="176">IFERROR(OFFSET(INDIRECT(INDEX(List_of_Alternatives,MATCH($D253,NameofAlternatives,0))),$A253+G$1-$G$1,$B253),0)</f>
        <v>0</v>
      </c>
      <c r="H253" s="358">
        <f t="shared" ca="1" si="176"/>
        <v>0</v>
      </c>
      <c r="I253" s="358">
        <f t="shared" ca="1" si="176"/>
        <v>0</v>
      </c>
      <c r="J253" s="358">
        <f t="shared" ca="1" si="176"/>
        <v>0</v>
      </c>
      <c r="K253" s="358">
        <f t="shared" ca="1" si="176"/>
        <v>0</v>
      </c>
      <c r="L253" s="358">
        <f t="shared" ca="1" si="176"/>
        <v>0</v>
      </c>
      <c r="M253" s="358">
        <f t="shared" ca="1" si="176"/>
        <v>0</v>
      </c>
      <c r="N253" s="358">
        <f t="shared" ca="1" si="176"/>
        <v>0</v>
      </c>
      <c r="O253" s="358">
        <f t="shared" ca="1" si="176"/>
        <v>0</v>
      </c>
      <c r="P253" s="358">
        <f t="shared" ca="1" si="176"/>
        <v>0</v>
      </c>
      <c r="Q253" s="358">
        <f t="shared" ref="Q253:Z262" ca="1" si="177">IFERROR(OFFSET(INDIRECT(INDEX(List_of_Alternatives,MATCH($D253,NameofAlternatives,0))),$A253+Q$1-$G$1,$B253),0)</f>
        <v>0</v>
      </c>
      <c r="R253" s="358">
        <f t="shared" ca="1" si="177"/>
        <v>0</v>
      </c>
      <c r="S253" s="358">
        <f t="shared" ca="1" si="177"/>
        <v>0</v>
      </c>
      <c r="T253" s="358">
        <f t="shared" ca="1" si="177"/>
        <v>0</v>
      </c>
      <c r="U253" s="358">
        <f t="shared" ca="1" si="177"/>
        <v>0</v>
      </c>
      <c r="V253" s="358">
        <f t="shared" ca="1" si="177"/>
        <v>0</v>
      </c>
      <c r="W253" s="358">
        <f t="shared" ca="1" si="177"/>
        <v>0</v>
      </c>
      <c r="X253" s="358">
        <f t="shared" ca="1" si="177"/>
        <v>0</v>
      </c>
      <c r="Y253" s="358">
        <f t="shared" ca="1" si="177"/>
        <v>0</v>
      </c>
      <c r="Z253" s="358">
        <f t="shared" ca="1" si="177"/>
        <v>0</v>
      </c>
      <c r="AA253" s="358">
        <f t="shared" ref="AA253:AJ262" ca="1" si="178">IFERROR(OFFSET(INDIRECT(INDEX(List_of_Alternatives,MATCH($D253,NameofAlternatives,0))),$A253+AA$1-$G$1,$B253),0)</f>
        <v>0</v>
      </c>
      <c r="AB253" s="358">
        <f t="shared" ca="1" si="178"/>
        <v>0</v>
      </c>
      <c r="AC253" s="358">
        <f t="shared" ca="1" si="178"/>
        <v>0</v>
      </c>
      <c r="AD253" s="358">
        <f t="shared" ca="1" si="178"/>
        <v>0</v>
      </c>
      <c r="AE253" s="358">
        <f t="shared" ca="1" si="178"/>
        <v>0</v>
      </c>
      <c r="AF253" s="358">
        <f t="shared" ca="1" si="178"/>
        <v>0</v>
      </c>
      <c r="AG253" s="358">
        <f t="shared" ca="1" si="178"/>
        <v>0</v>
      </c>
      <c r="AH253" s="358">
        <f t="shared" ca="1" si="178"/>
        <v>0</v>
      </c>
      <c r="AI253" s="358">
        <f t="shared" ca="1" si="178"/>
        <v>0</v>
      </c>
      <c r="AJ253" s="358">
        <f t="shared" ca="1" si="178"/>
        <v>0</v>
      </c>
      <c r="AK253" s="358">
        <f t="shared" ref="AK253:AT262" ca="1" si="179">IFERROR(OFFSET(INDIRECT(INDEX(List_of_Alternatives,MATCH($D253,NameofAlternatives,0))),$A253+AK$1-$G$1,$B253),0)</f>
        <v>0</v>
      </c>
      <c r="AL253" s="358">
        <f t="shared" ca="1" si="179"/>
        <v>0</v>
      </c>
      <c r="AM253" s="358">
        <f t="shared" ca="1" si="179"/>
        <v>0</v>
      </c>
      <c r="AN253" s="358">
        <f t="shared" ca="1" si="179"/>
        <v>0</v>
      </c>
      <c r="AO253" s="358">
        <f t="shared" ca="1" si="179"/>
        <v>0</v>
      </c>
      <c r="AP253" s="358">
        <f t="shared" ca="1" si="179"/>
        <v>0</v>
      </c>
      <c r="AQ253" s="358">
        <f t="shared" ca="1" si="179"/>
        <v>0</v>
      </c>
      <c r="AR253" s="358">
        <f t="shared" ca="1" si="179"/>
        <v>0</v>
      </c>
      <c r="AS253" s="358">
        <f t="shared" ca="1" si="179"/>
        <v>0</v>
      </c>
      <c r="AT253" s="358">
        <f t="shared" ca="1" si="179"/>
        <v>0</v>
      </c>
      <c r="AV253" s="358">
        <f t="shared" ca="1" si="160"/>
        <v>0</v>
      </c>
      <c r="AX253" s="358">
        <f t="shared" ca="1" si="161"/>
        <v>0</v>
      </c>
      <c r="AZ253" s="358">
        <f t="shared" ca="1" si="162"/>
        <v>0</v>
      </c>
      <c r="BB253" s="358">
        <f t="shared" ca="1" si="163"/>
        <v>0</v>
      </c>
      <c r="BD253" s="358">
        <f t="shared" ca="1" si="164"/>
        <v>0</v>
      </c>
      <c r="BF253" s="358">
        <f t="shared" ca="1" si="165"/>
        <v>0</v>
      </c>
      <c r="BH253" s="358">
        <f t="shared" ca="1" si="166"/>
        <v>0</v>
      </c>
    </row>
    <row r="254" spans="1:60" hidden="1" outlineLevel="1">
      <c r="A254" s="1464">
        <f>A253</f>
        <v>18</v>
      </c>
      <c r="B254" s="1464">
        <f>B253</f>
        <v>28</v>
      </c>
      <c r="C254" s="1464">
        <f>C253+1</f>
        <v>2</v>
      </c>
      <c r="D254" s="1271" t="str">
        <f ca="1">IF(OFFSET(PortfolioDashboard!$A$3,C254-1,0)="","Blank",OFFSET(PortfolioDashboard!$A$3,C254-1,0))</f>
        <v>Building Design &amp; Construction Standards</v>
      </c>
      <c r="E254" s="1464" t="str">
        <f>E253</f>
        <v>2010$</v>
      </c>
      <c r="F254" s="1460">
        <f t="shared" ca="1" si="142"/>
        <v>1680768.294313048</v>
      </c>
      <c r="G254" s="358">
        <f t="shared" ca="1" si="176"/>
        <v>0</v>
      </c>
      <c r="H254" s="358">
        <f t="shared" ca="1" si="176"/>
        <v>9932.7656557793871</v>
      </c>
      <c r="I254" s="358">
        <f t="shared" ca="1" si="176"/>
        <v>32713.051080475136</v>
      </c>
      <c r="J254" s="358">
        <f t="shared" ca="1" si="176"/>
        <v>42952.563990989373</v>
      </c>
      <c r="K254" s="358">
        <f t="shared" ca="1" si="176"/>
        <v>48391.973949215811</v>
      </c>
      <c r="L254" s="358">
        <f t="shared" ca="1" si="176"/>
        <v>67274.463938394663</v>
      </c>
      <c r="M254" s="358">
        <f t="shared" ca="1" si="176"/>
        <v>72946.463507637105</v>
      </c>
      <c r="N254" s="358">
        <f t="shared" ca="1" si="176"/>
        <v>78646.321926291654</v>
      </c>
      <c r="O254" s="358">
        <f t="shared" ca="1" si="176"/>
        <v>84373.134896910415</v>
      </c>
      <c r="P254" s="358">
        <f t="shared" ca="1" si="176"/>
        <v>90126.036841064924</v>
      </c>
      <c r="Q254" s="358">
        <f t="shared" ca="1" si="177"/>
        <v>95904.198849017717</v>
      </c>
      <c r="R254" s="358">
        <f t="shared" ca="1" si="177"/>
        <v>101706.82675831708</v>
      </c>
      <c r="S254" s="358">
        <f t="shared" ca="1" si="177"/>
        <v>107533.15935195431</v>
      </c>
      <c r="T254" s="358">
        <f t="shared" ca="1" si="177"/>
        <v>113382.46666749311</v>
      </c>
      <c r="U254" s="358">
        <f t="shared" ca="1" si="177"/>
        <v>119254.04840927634</v>
      </c>
      <c r="V254" s="358">
        <f t="shared" ca="1" si="177"/>
        <v>125147.23245645918</v>
      </c>
      <c r="W254" s="358">
        <f t="shared" ca="1" si="177"/>
        <v>131061.37346017935</v>
      </c>
      <c r="X254" s="358">
        <f t="shared" ca="1" si="177"/>
        <v>136995.8515237208</v>
      </c>
      <c r="Y254" s="358">
        <f t="shared" ca="1" si="177"/>
        <v>142950.07095999477</v>
      </c>
      <c r="Z254" s="358">
        <f t="shared" ca="1" si="177"/>
        <v>148923.45912110416</v>
      </c>
      <c r="AA254" s="358">
        <f t="shared" ca="1" si="178"/>
        <v>154915.46529516159</v>
      </c>
      <c r="AB254" s="358">
        <f t="shared" ca="1" si="178"/>
        <v>160925.55966589457</v>
      </c>
      <c r="AC254" s="358">
        <f t="shared" ca="1" si="178"/>
        <v>166953.23233090757</v>
      </c>
      <c r="AD254" s="358">
        <f t="shared" ca="1" si="178"/>
        <v>172997.992374778</v>
      </c>
      <c r="AE254" s="358">
        <f t="shared" ca="1" si="178"/>
        <v>179059.36699344666</v>
      </c>
      <c r="AF254" s="358">
        <f t="shared" ca="1" si="178"/>
        <v>185136.90066662314</v>
      </c>
      <c r="AG254" s="358">
        <f t="shared" ca="1" si="178"/>
        <v>191230.1543751586</v>
      </c>
      <c r="AH254" s="358">
        <f t="shared" ca="1" si="178"/>
        <v>197338.70486056121</v>
      </c>
      <c r="AI254" s="358">
        <f t="shared" ca="1" si="178"/>
        <v>203462.14392403603</v>
      </c>
      <c r="AJ254" s="358">
        <f t="shared" ca="1" si="178"/>
        <v>209600.07776260265</v>
      </c>
      <c r="AK254" s="358">
        <f t="shared" ca="1" si="179"/>
        <v>215752.12634002516</v>
      </c>
      <c r="AL254" s="358">
        <f t="shared" ca="1" si="179"/>
        <v>221917.92279044422</v>
      </c>
      <c r="AM254" s="358">
        <f t="shared" ca="1" si="179"/>
        <v>228097.11285274342</v>
      </c>
      <c r="AN254" s="358">
        <f t="shared" ca="1" si="179"/>
        <v>234289.35433382029</v>
      </c>
      <c r="AO254" s="358">
        <f t="shared" ca="1" si="179"/>
        <v>240494.31659904792</v>
      </c>
      <c r="AP254" s="358">
        <f t="shared" ca="1" si="179"/>
        <v>246711.68008834065</v>
      </c>
      <c r="AQ254" s="358">
        <f t="shared" ca="1" si="179"/>
        <v>252941.13585632941</v>
      </c>
      <c r="AR254" s="358">
        <f t="shared" ca="1" si="179"/>
        <v>259182.38513525901</v>
      </c>
      <c r="AS254" s="358">
        <f t="shared" ca="1" si="179"/>
        <v>265435.13891931035</v>
      </c>
      <c r="AT254" s="358">
        <f t="shared" ca="1" si="179"/>
        <v>271699.11756912805</v>
      </c>
      <c r="AV254" s="358">
        <f t="shared" ca="1" si="160"/>
        <v>393366.42111029878</v>
      </c>
      <c r="AX254" s="358">
        <f t="shared" ca="1" si="161"/>
        <v>537780.70003605855</v>
      </c>
      <c r="AZ254" s="358">
        <f t="shared" ca="1" si="162"/>
        <v>685077.98752145818</v>
      </c>
      <c r="BB254" s="358">
        <f t="shared" ca="1" si="163"/>
        <v>834851.61666018842</v>
      </c>
      <c r="BD254" s="358">
        <f t="shared" ca="1" si="164"/>
        <v>986767.98158898158</v>
      </c>
      <c r="BF254" s="358">
        <f t="shared" ca="1" si="165"/>
        <v>1140550.832916081</v>
      </c>
      <c r="BH254" s="358">
        <f t="shared" ca="1" si="166"/>
        <v>1295969.4575683675</v>
      </c>
    </row>
    <row r="255" spans="1:60" hidden="1" outlineLevel="1">
      <c r="A255" s="1464">
        <f t="shared" ref="A255:A282" si="180">A254</f>
        <v>18</v>
      </c>
      <c r="B255" s="1464">
        <f t="shared" ref="B255:B282" si="181">B254</f>
        <v>28</v>
      </c>
      <c r="C255" s="1464">
        <f t="shared" ref="C255:C282" si="182">C254+1</f>
        <v>3</v>
      </c>
      <c r="D255" s="1271" t="str">
        <f ca="1">IF(OFFSET(PortfolioDashboard!$A$3,C255-1,0)="","Blank",OFFSET(PortfolioDashboard!$A$3,C255-1,0))</f>
        <v>Space Planning &amp; Management</v>
      </c>
      <c r="E255" s="1464" t="str">
        <f t="shared" ref="E255:E282" si="183">E254</f>
        <v>2010$</v>
      </c>
      <c r="F255" s="1460">
        <f t="shared" ca="1" si="142"/>
        <v>8094232.496338902</v>
      </c>
      <c r="G255" s="358">
        <f t="shared" ca="1" si="176"/>
        <v>37292.402076145081</v>
      </c>
      <c r="H255" s="358">
        <f t="shared" ca="1" si="176"/>
        <v>74584.804152289682</v>
      </c>
      <c r="I255" s="358">
        <f t="shared" ca="1" si="176"/>
        <v>111877.20622843476</v>
      </c>
      <c r="J255" s="358">
        <f t="shared" ca="1" si="176"/>
        <v>149169.60830457936</v>
      </c>
      <c r="K255" s="358">
        <f t="shared" ca="1" si="176"/>
        <v>186462.01038072444</v>
      </c>
      <c r="L255" s="358">
        <f t="shared" ca="1" si="176"/>
        <v>223754.41245686953</v>
      </c>
      <c r="M255" s="358">
        <f t="shared" ca="1" si="176"/>
        <v>261046.81453301414</v>
      </c>
      <c r="N255" s="358">
        <f t="shared" ca="1" si="176"/>
        <v>298339.21660915919</v>
      </c>
      <c r="O255" s="358">
        <f t="shared" ca="1" si="176"/>
        <v>335631.61868530384</v>
      </c>
      <c r="P255" s="358">
        <f t="shared" ca="1" si="176"/>
        <v>372924.02076144889</v>
      </c>
      <c r="Q255" s="358">
        <f t="shared" ca="1" si="177"/>
        <v>410216.42283759348</v>
      </c>
      <c r="R255" s="358">
        <f t="shared" ca="1" si="177"/>
        <v>447508.82491373859</v>
      </c>
      <c r="S255" s="358">
        <f t="shared" ca="1" si="177"/>
        <v>484801.22698988364</v>
      </c>
      <c r="T255" s="358">
        <f t="shared" ca="1" si="177"/>
        <v>522093.62906602828</v>
      </c>
      <c r="U255" s="358">
        <f t="shared" ca="1" si="177"/>
        <v>559386.03114217333</v>
      </c>
      <c r="V255" s="358">
        <f t="shared" ca="1" si="177"/>
        <v>596678.43321831839</v>
      </c>
      <c r="W255" s="358">
        <f t="shared" ca="1" si="177"/>
        <v>633970.83529446297</v>
      </c>
      <c r="X255" s="358">
        <f t="shared" ca="1" si="177"/>
        <v>671263.23737060814</v>
      </c>
      <c r="Y255" s="358">
        <f t="shared" ca="1" si="177"/>
        <v>708555.63944675273</v>
      </c>
      <c r="Z255" s="358">
        <f t="shared" ca="1" si="177"/>
        <v>745848.04152289778</v>
      </c>
      <c r="AA255" s="358">
        <f t="shared" ca="1" si="178"/>
        <v>783140.44359904248</v>
      </c>
      <c r="AB255" s="358">
        <f t="shared" ca="1" si="178"/>
        <v>820432.84567518753</v>
      </c>
      <c r="AC255" s="358">
        <f t="shared" ca="1" si="178"/>
        <v>857725.24775133259</v>
      </c>
      <c r="AD255" s="358">
        <f t="shared" ca="1" si="178"/>
        <v>895017.64982747717</v>
      </c>
      <c r="AE255" s="358">
        <f t="shared" ca="1" si="178"/>
        <v>932310.05190362222</v>
      </c>
      <c r="AF255" s="358">
        <f t="shared" ca="1" si="178"/>
        <v>969602.45397976728</v>
      </c>
      <c r="AG255" s="358">
        <f t="shared" ca="1" si="178"/>
        <v>1006894.856055912</v>
      </c>
      <c r="AH255" s="358">
        <f t="shared" ca="1" si="178"/>
        <v>1044187.2581320566</v>
      </c>
      <c r="AI255" s="358">
        <f t="shared" ca="1" si="178"/>
        <v>1081479.6602082017</v>
      </c>
      <c r="AJ255" s="358">
        <f t="shared" ca="1" si="178"/>
        <v>1118772.0622843467</v>
      </c>
      <c r="AK255" s="358">
        <f t="shared" ca="1" si="179"/>
        <v>1156064.4643604911</v>
      </c>
      <c r="AL255" s="358">
        <f t="shared" ca="1" si="179"/>
        <v>1193356.8664366363</v>
      </c>
      <c r="AM255" s="358">
        <f t="shared" ca="1" si="179"/>
        <v>1230649.2685127815</v>
      </c>
      <c r="AN255" s="358">
        <f t="shared" ca="1" si="179"/>
        <v>1267941.6705889259</v>
      </c>
      <c r="AO255" s="358">
        <f t="shared" ca="1" si="179"/>
        <v>1305234.0726650713</v>
      </c>
      <c r="AP255" s="358">
        <f t="shared" ca="1" si="179"/>
        <v>1342526.4747412163</v>
      </c>
      <c r="AQ255" s="358">
        <f t="shared" ca="1" si="179"/>
        <v>1379818.8768173608</v>
      </c>
      <c r="AR255" s="358">
        <f t="shared" ca="1" si="179"/>
        <v>1417111.2788935055</v>
      </c>
      <c r="AS255" s="358">
        <f t="shared" ca="1" si="179"/>
        <v>1454403.6809696504</v>
      </c>
      <c r="AT255" s="358">
        <f t="shared" ca="1" si="179"/>
        <v>1491696.0830457956</v>
      </c>
      <c r="AV255" s="358">
        <f t="shared" ca="1" si="160"/>
        <v>1491696.0830457956</v>
      </c>
      <c r="AX255" s="358">
        <f t="shared" ca="1" si="161"/>
        <v>2424006.1349494173</v>
      </c>
      <c r="AZ255" s="358">
        <f t="shared" ca="1" si="162"/>
        <v>3356316.18685304</v>
      </c>
      <c r="BB255" s="358">
        <f t="shared" ca="1" si="163"/>
        <v>4288626.2387566622</v>
      </c>
      <c r="BD255" s="358">
        <f t="shared" ca="1" si="164"/>
        <v>5220936.2906602845</v>
      </c>
      <c r="BF255" s="358">
        <f t="shared" ca="1" si="165"/>
        <v>6153246.3425639067</v>
      </c>
      <c r="BH255" s="358">
        <f t="shared" ca="1" si="166"/>
        <v>7085556.3944675289</v>
      </c>
    </row>
    <row r="256" spans="1:60" hidden="1" outlineLevel="1">
      <c r="A256" s="1464">
        <f t="shared" si="180"/>
        <v>18</v>
      </c>
      <c r="B256" s="1464">
        <f t="shared" si="181"/>
        <v>28</v>
      </c>
      <c r="C256" s="1464">
        <f t="shared" si="182"/>
        <v>4</v>
      </c>
      <c r="D256" s="1271" t="str">
        <f ca="1">IF(OFFSET(PortfolioDashboard!$A$3,C256-1,0)="","Blank",OFFSET(PortfolioDashboard!$A$3,C256-1,0))</f>
        <v>Central Chiller Expansion</v>
      </c>
      <c r="E256" s="1464" t="str">
        <f t="shared" si="183"/>
        <v>2010$</v>
      </c>
      <c r="F256" s="1460">
        <f t="shared" ca="1" si="142"/>
        <v>0</v>
      </c>
      <c r="G256" s="358">
        <f t="shared" ca="1" si="176"/>
        <v>0</v>
      </c>
      <c r="H256" s="358">
        <f t="shared" ca="1" si="176"/>
        <v>0</v>
      </c>
      <c r="I256" s="358">
        <f t="shared" ca="1" si="176"/>
        <v>0</v>
      </c>
      <c r="J256" s="358">
        <f t="shared" ca="1" si="176"/>
        <v>0</v>
      </c>
      <c r="K256" s="358">
        <f t="shared" ca="1" si="176"/>
        <v>0</v>
      </c>
      <c r="L256" s="358">
        <f t="shared" ca="1" si="176"/>
        <v>0</v>
      </c>
      <c r="M256" s="358">
        <f t="shared" ca="1" si="176"/>
        <v>0</v>
      </c>
      <c r="N256" s="358">
        <f t="shared" ca="1" si="176"/>
        <v>0</v>
      </c>
      <c r="O256" s="358">
        <f t="shared" ca="1" si="176"/>
        <v>0</v>
      </c>
      <c r="P256" s="358">
        <f t="shared" ca="1" si="176"/>
        <v>0</v>
      </c>
      <c r="Q256" s="358">
        <f t="shared" ca="1" si="177"/>
        <v>0</v>
      </c>
      <c r="R256" s="358">
        <f t="shared" ca="1" si="177"/>
        <v>0</v>
      </c>
      <c r="S256" s="358">
        <f t="shared" ca="1" si="177"/>
        <v>0</v>
      </c>
      <c r="T256" s="358">
        <f t="shared" ca="1" si="177"/>
        <v>0</v>
      </c>
      <c r="U256" s="358">
        <f t="shared" ca="1" si="177"/>
        <v>0</v>
      </c>
      <c r="V256" s="358">
        <f t="shared" ca="1" si="177"/>
        <v>0</v>
      </c>
      <c r="W256" s="358">
        <f t="shared" ca="1" si="177"/>
        <v>0</v>
      </c>
      <c r="X256" s="358">
        <f t="shared" ca="1" si="177"/>
        <v>0</v>
      </c>
      <c r="Y256" s="358">
        <f t="shared" ca="1" si="177"/>
        <v>0</v>
      </c>
      <c r="Z256" s="358">
        <f t="shared" ca="1" si="177"/>
        <v>0</v>
      </c>
      <c r="AA256" s="358">
        <f t="shared" ca="1" si="178"/>
        <v>0</v>
      </c>
      <c r="AB256" s="358">
        <f t="shared" ca="1" si="178"/>
        <v>0</v>
      </c>
      <c r="AC256" s="358">
        <f t="shared" ca="1" si="178"/>
        <v>0</v>
      </c>
      <c r="AD256" s="358">
        <f t="shared" ca="1" si="178"/>
        <v>0</v>
      </c>
      <c r="AE256" s="358">
        <f t="shared" ca="1" si="178"/>
        <v>0</v>
      </c>
      <c r="AF256" s="358">
        <f t="shared" ca="1" si="178"/>
        <v>0</v>
      </c>
      <c r="AG256" s="358">
        <f t="shared" ca="1" si="178"/>
        <v>0</v>
      </c>
      <c r="AH256" s="358">
        <f t="shared" ca="1" si="178"/>
        <v>0</v>
      </c>
      <c r="AI256" s="358">
        <f t="shared" ca="1" si="178"/>
        <v>0</v>
      </c>
      <c r="AJ256" s="358">
        <f t="shared" ca="1" si="178"/>
        <v>0</v>
      </c>
      <c r="AK256" s="358">
        <f t="shared" ca="1" si="179"/>
        <v>0</v>
      </c>
      <c r="AL256" s="358">
        <f t="shared" ca="1" si="179"/>
        <v>0</v>
      </c>
      <c r="AM256" s="358">
        <f t="shared" ca="1" si="179"/>
        <v>0</v>
      </c>
      <c r="AN256" s="358">
        <f t="shared" ca="1" si="179"/>
        <v>0</v>
      </c>
      <c r="AO256" s="358">
        <f t="shared" ca="1" si="179"/>
        <v>0</v>
      </c>
      <c r="AP256" s="358">
        <f t="shared" ca="1" si="179"/>
        <v>0</v>
      </c>
      <c r="AQ256" s="358">
        <f t="shared" ca="1" si="179"/>
        <v>0</v>
      </c>
      <c r="AR256" s="358">
        <f t="shared" ca="1" si="179"/>
        <v>0</v>
      </c>
      <c r="AS256" s="358">
        <f t="shared" ca="1" si="179"/>
        <v>0</v>
      </c>
      <c r="AT256" s="358">
        <f t="shared" ca="1" si="179"/>
        <v>0</v>
      </c>
      <c r="AV256" s="358">
        <f t="shared" ca="1" si="160"/>
        <v>0</v>
      </c>
      <c r="AX256" s="358">
        <f t="shared" ca="1" si="161"/>
        <v>0</v>
      </c>
      <c r="AZ256" s="358">
        <f t="shared" ca="1" si="162"/>
        <v>0</v>
      </c>
      <c r="BB256" s="358">
        <f t="shared" ca="1" si="163"/>
        <v>0</v>
      </c>
      <c r="BD256" s="358">
        <f t="shared" ca="1" si="164"/>
        <v>0</v>
      </c>
      <c r="BF256" s="358">
        <f t="shared" ca="1" si="165"/>
        <v>0</v>
      </c>
      <c r="BH256" s="358">
        <f t="shared" ca="1" si="166"/>
        <v>0</v>
      </c>
    </row>
    <row r="257" spans="1:60" hidden="1" outlineLevel="1">
      <c r="A257" s="1464">
        <f t="shared" si="180"/>
        <v>18</v>
      </c>
      <c r="B257" s="1464">
        <f t="shared" si="181"/>
        <v>28</v>
      </c>
      <c r="C257" s="1464">
        <f t="shared" si="182"/>
        <v>5</v>
      </c>
      <c r="D257" s="1271" t="str">
        <f ca="1">IF(OFFSET(PortfolioDashboard!$A$3,C257-1,0)="","Blank",OFFSET(PortfolioDashboard!$A$3,C257-1,0))</f>
        <v>Short-term Energy Conservation Measures</v>
      </c>
      <c r="E257" s="1464" t="str">
        <f t="shared" si="183"/>
        <v>2010$</v>
      </c>
      <c r="F257" s="1460">
        <f t="shared" ref="F257:F320" ca="1" si="184">NPV(DiscountRate,G257:AT257)</f>
        <v>4076229.0462620496</v>
      </c>
      <c r="G257" s="358">
        <f t="shared" ca="1" si="176"/>
        <v>0</v>
      </c>
      <c r="H257" s="358">
        <f t="shared" ca="1" si="176"/>
        <v>61983.811199999989</v>
      </c>
      <c r="I257" s="358">
        <f t="shared" ca="1" si="176"/>
        <v>123967.62239999998</v>
      </c>
      <c r="J257" s="358">
        <f t="shared" ca="1" si="176"/>
        <v>185951.43359999996</v>
      </c>
      <c r="K257" s="358">
        <f t="shared" ca="1" si="176"/>
        <v>247935.24479999996</v>
      </c>
      <c r="L257" s="358">
        <f t="shared" ca="1" si="176"/>
        <v>309919.05599999992</v>
      </c>
      <c r="M257" s="358">
        <f t="shared" ca="1" si="176"/>
        <v>309919.05599999992</v>
      </c>
      <c r="N257" s="358">
        <f t="shared" ca="1" si="176"/>
        <v>309919.05599999992</v>
      </c>
      <c r="O257" s="358">
        <f t="shared" ca="1" si="176"/>
        <v>309919.05599999992</v>
      </c>
      <c r="P257" s="358">
        <f t="shared" ca="1" si="176"/>
        <v>309919.05599999992</v>
      </c>
      <c r="Q257" s="358">
        <f t="shared" ca="1" si="177"/>
        <v>309919.05599999992</v>
      </c>
      <c r="R257" s="358">
        <f t="shared" ca="1" si="177"/>
        <v>309919.05599999992</v>
      </c>
      <c r="S257" s="358">
        <f t="shared" ca="1" si="177"/>
        <v>309919.05599999992</v>
      </c>
      <c r="T257" s="358">
        <f t="shared" ca="1" si="177"/>
        <v>309919.05599999992</v>
      </c>
      <c r="U257" s="358">
        <f t="shared" ca="1" si="177"/>
        <v>309919.05599999992</v>
      </c>
      <c r="V257" s="358">
        <f t="shared" ca="1" si="177"/>
        <v>309919.05599999992</v>
      </c>
      <c r="W257" s="358">
        <f t="shared" ca="1" si="177"/>
        <v>309919.05599999992</v>
      </c>
      <c r="X257" s="358">
        <f t="shared" ca="1" si="177"/>
        <v>309919.05599999992</v>
      </c>
      <c r="Y257" s="358">
        <f t="shared" ca="1" si="177"/>
        <v>309919.05599999992</v>
      </c>
      <c r="Z257" s="358">
        <f t="shared" ca="1" si="177"/>
        <v>309919.05599999992</v>
      </c>
      <c r="AA257" s="358">
        <f t="shared" ca="1" si="178"/>
        <v>309919.05599999992</v>
      </c>
      <c r="AB257" s="358">
        <f t="shared" ca="1" si="178"/>
        <v>309919.05599999992</v>
      </c>
      <c r="AC257" s="358">
        <f t="shared" ca="1" si="178"/>
        <v>309919.05599999992</v>
      </c>
      <c r="AD257" s="358">
        <f t="shared" ca="1" si="178"/>
        <v>309919.05599999992</v>
      </c>
      <c r="AE257" s="358">
        <f t="shared" ca="1" si="178"/>
        <v>309919.05599999992</v>
      </c>
      <c r="AF257" s="358">
        <f t="shared" ca="1" si="178"/>
        <v>309919.05599999992</v>
      </c>
      <c r="AG257" s="358">
        <f t="shared" ca="1" si="178"/>
        <v>309919.05599999992</v>
      </c>
      <c r="AH257" s="358">
        <f t="shared" ca="1" si="178"/>
        <v>309919.05599999992</v>
      </c>
      <c r="AI257" s="358">
        <f t="shared" ca="1" si="178"/>
        <v>309919.05599999992</v>
      </c>
      <c r="AJ257" s="358">
        <f t="shared" ca="1" si="178"/>
        <v>309919.05599999992</v>
      </c>
      <c r="AK257" s="358">
        <f t="shared" ca="1" si="179"/>
        <v>309919.05599999992</v>
      </c>
      <c r="AL257" s="358">
        <f t="shared" ca="1" si="179"/>
        <v>309919.05599999992</v>
      </c>
      <c r="AM257" s="358">
        <f t="shared" ca="1" si="179"/>
        <v>309919.05599999992</v>
      </c>
      <c r="AN257" s="358">
        <f t="shared" ca="1" si="179"/>
        <v>309919.05599999992</v>
      </c>
      <c r="AO257" s="358">
        <f t="shared" ca="1" si="179"/>
        <v>309919.05599999992</v>
      </c>
      <c r="AP257" s="358">
        <f t="shared" ca="1" si="179"/>
        <v>309919.05599999992</v>
      </c>
      <c r="AQ257" s="358">
        <f t="shared" ca="1" si="179"/>
        <v>309919.05599999992</v>
      </c>
      <c r="AR257" s="358">
        <f t="shared" ca="1" si="179"/>
        <v>309919.05599999992</v>
      </c>
      <c r="AS257" s="358">
        <f t="shared" ca="1" si="179"/>
        <v>309919.05599999992</v>
      </c>
      <c r="AT257" s="358">
        <f t="shared" ca="1" si="179"/>
        <v>309919.05599999992</v>
      </c>
      <c r="AV257" s="358">
        <f t="shared" ca="1" si="160"/>
        <v>1549595.2799999996</v>
      </c>
      <c r="AX257" s="358">
        <f t="shared" ca="1" si="161"/>
        <v>1549595.2799999996</v>
      </c>
      <c r="AZ257" s="358">
        <f t="shared" ca="1" si="162"/>
        <v>1549595.2799999996</v>
      </c>
      <c r="BB257" s="358">
        <f t="shared" ca="1" si="163"/>
        <v>1549595.2799999996</v>
      </c>
      <c r="BD257" s="358">
        <f t="shared" ca="1" si="164"/>
        <v>1549595.2799999996</v>
      </c>
      <c r="BF257" s="358">
        <f t="shared" ca="1" si="165"/>
        <v>1549595.2799999996</v>
      </c>
      <c r="BH257" s="358">
        <f t="shared" ca="1" si="166"/>
        <v>1549595.2799999996</v>
      </c>
    </row>
    <row r="258" spans="1:60" hidden="1" outlineLevel="1">
      <c r="A258" s="1464">
        <f t="shared" si="180"/>
        <v>18</v>
      </c>
      <c r="B258" s="1464">
        <f t="shared" si="181"/>
        <v>28</v>
      </c>
      <c r="C258" s="1464">
        <f t="shared" si="182"/>
        <v>6</v>
      </c>
      <c r="D258" s="1271" t="str">
        <f ca="1">IF(OFFSET(PortfolioDashboard!$A$3,C258-1,0)="","Blank",OFFSET(PortfolioDashboard!$A$3,C258-1,0))</f>
        <v>Mid-term Energy Conservation Measures</v>
      </c>
      <c r="E258" s="1464" t="str">
        <f t="shared" si="183"/>
        <v>2010$</v>
      </c>
      <c r="F258" s="1460">
        <f t="shared" ca="1" si="184"/>
        <v>1161193.6833334821</v>
      </c>
      <c r="G258" s="358">
        <f t="shared" ca="1" si="176"/>
        <v>0</v>
      </c>
      <c r="H258" s="358">
        <f t="shared" ca="1" si="176"/>
        <v>0</v>
      </c>
      <c r="I258" s="358">
        <f t="shared" ca="1" si="176"/>
        <v>0</v>
      </c>
      <c r="J258" s="358">
        <f t="shared" ca="1" si="176"/>
        <v>0</v>
      </c>
      <c r="K258" s="358">
        <f t="shared" ca="1" si="176"/>
        <v>0</v>
      </c>
      <c r="L258" s="358">
        <f t="shared" ca="1" si="176"/>
        <v>0</v>
      </c>
      <c r="M258" s="358">
        <f t="shared" ca="1" si="176"/>
        <v>16735.435999999998</v>
      </c>
      <c r="N258" s="358">
        <f t="shared" ca="1" si="176"/>
        <v>33470.871999999996</v>
      </c>
      <c r="O258" s="358">
        <f t="shared" ca="1" si="176"/>
        <v>50206.30799999999</v>
      </c>
      <c r="P258" s="358">
        <f t="shared" ca="1" si="176"/>
        <v>66941.743999999992</v>
      </c>
      <c r="Q258" s="358">
        <f t="shared" ca="1" si="177"/>
        <v>83677.179999999993</v>
      </c>
      <c r="R258" s="358">
        <f t="shared" ca="1" si="177"/>
        <v>100412.61599999999</v>
      </c>
      <c r="S258" s="358">
        <f t="shared" ca="1" si="177"/>
        <v>117148.052</v>
      </c>
      <c r="T258" s="358">
        <f t="shared" ca="1" si="177"/>
        <v>133883.48800000001</v>
      </c>
      <c r="U258" s="358">
        <f t="shared" ca="1" si="177"/>
        <v>133883.48800000001</v>
      </c>
      <c r="V258" s="358">
        <f t="shared" ca="1" si="177"/>
        <v>133883.48800000001</v>
      </c>
      <c r="W258" s="358">
        <f t="shared" ca="1" si="177"/>
        <v>133883.48800000001</v>
      </c>
      <c r="X258" s="358">
        <f t="shared" ca="1" si="177"/>
        <v>133883.48800000001</v>
      </c>
      <c r="Y258" s="358">
        <f t="shared" ca="1" si="177"/>
        <v>133883.48800000001</v>
      </c>
      <c r="Z258" s="358">
        <f t="shared" ca="1" si="177"/>
        <v>133883.48800000001</v>
      </c>
      <c r="AA258" s="358">
        <f t="shared" ca="1" si="178"/>
        <v>133883.48800000001</v>
      </c>
      <c r="AB258" s="358">
        <f t="shared" ca="1" si="178"/>
        <v>133883.48800000001</v>
      </c>
      <c r="AC258" s="358">
        <f t="shared" ca="1" si="178"/>
        <v>133883.48800000001</v>
      </c>
      <c r="AD258" s="358">
        <f t="shared" ca="1" si="178"/>
        <v>133883.48800000001</v>
      </c>
      <c r="AE258" s="358">
        <f t="shared" ca="1" si="178"/>
        <v>133883.48800000001</v>
      </c>
      <c r="AF258" s="358">
        <f t="shared" ca="1" si="178"/>
        <v>133883.48800000001</v>
      </c>
      <c r="AG258" s="358">
        <f t="shared" ca="1" si="178"/>
        <v>133883.48800000001</v>
      </c>
      <c r="AH258" s="358">
        <f t="shared" ca="1" si="178"/>
        <v>133883.48800000001</v>
      </c>
      <c r="AI258" s="358">
        <f t="shared" ca="1" si="178"/>
        <v>133883.48800000001</v>
      </c>
      <c r="AJ258" s="358">
        <f t="shared" ca="1" si="178"/>
        <v>133883.48800000001</v>
      </c>
      <c r="AK258" s="358">
        <f t="shared" ca="1" si="179"/>
        <v>133883.48800000001</v>
      </c>
      <c r="AL258" s="358">
        <f t="shared" ca="1" si="179"/>
        <v>133883.48800000001</v>
      </c>
      <c r="AM258" s="358">
        <f t="shared" ca="1" si="179"/>
        <v>133883.48800000001</v>
      </c>
      <c r="AN258" s="358">
        <f t="shared" ca="1" si="179"/>
        <v>133883.48800000001</v>
      </c>
      <c r="AO258" s="358">
        <f t="shared" ca="1" si="179"/>
        <v>133883.48800000001</v>
      </c>
      <c r="AP258" s="358">
        <f t="shared" ca="1" si="179"/>
        <v>133883.48800000001</v>
      </c>
      <c r="AQ258" s="358">
        <f t="shared" ca="1" si="179"/>
        <v>133883.48800000001</v>
      </c>
      <c r="AR258" s="358">
        <f t="shared" ca="1" si="179"/>
        <v>133883.48800000001</v>
      </c>
      <c r="AS258" s="358">
        <f t="shared" ca="1" si="179"/>
        <v>133883.48800000001</v>
      </c>
      <c r="AT258" s="358">
        <f t="shared" ca="1" si="179"/>
        <v>133883.48800000001</v>
      </c>
      <c r="AV258" s="358">
        <f t="shared" ca="1" si="160"/>
        <v>167354.35999999999</v>
      </c>
      <c r="AX258" s="358">
        <f t="shared" ca="1" si="161"/>
        <v>569004.82400000002</v>
      </c>
      <c r="AZ258" s="358">
        <f t="shared" ca="1" si="162"/>
        <v>669417.44000000006</v>
      </c>
      <c r="BB258" s="358">
        <f t="shared" ca="1" si="163"/>
        <v>669417.44000000006</v>
      </c>
      <c r="BD258" s="358">
        <f t="shared" ca="1" si="164"/>
        <v>669417.44000000006</v>
      </c>
      <c r="BF258" s="358">
        <f t="shared" ca="1" si="165"/>
        <v>669417.44000000006</v>
      </c>
      <c r="BH258" s="358">
        <f t="shared" ca="1" si="166"/>
        <v>669417.44000000006</v>
      </c>
    </row>
    <row r="259" spans="1:60" hidden="1" outlineLevel="1">
      <c r="A259" s="1464">
        <f t="shared" si="180"/>
        <v>18</v>
      </c>
      <c r="B259" s="1464">
        <f t="shared" si="181"/>
        <v>28</v>
      </c>
      <c r="C259" s="1464">
        <f t="shared" si="182"/>
        <v>7</v>
      </c>
      <c r="D259" s="1271" t="str">
        <f ca="1">IF(OFFSET(PortfolioDashboard!$A$3,C259-1,0)="","Blank",OFFSET(PortfolioDashboard!$A$3,C259-1,0))</f>
        <v>Long-term Energy Conservation Measures</v>
      </c>
      <c r="E259" s="1464" t="str">
        <f t="shared" si="183"/>
        <v>2010$</v>
      </c>
      <c r="F259" s="1460">
        <f t="shared" ca="1" si="184"/>
        <v>1494867.6337153567</v>
      </c>
      <c r="G259" s="358">
        <f t="shared" ca="1" si="176"/>
        <v>0</v>
      </c>
      <c r="H259" s="358">
        <f t="shared" ca="1" si="176"/>
        <v>0</v>
      </c>
      <c r="I259" s="358">
        <f t="shared" ca="1" si="176"/>
        <v>0</v>
      </c>
      <c r="J259" s="358">
        <f t="shared" ca="1" si="176"/>
        <v>0</v>
      </c>
      <c r="K259" s="358">
        <f t="shared" ca="1" si="176"/>
        <v>0</v>
      </c>
      <c r="L259" s="358">
        <f t="shared" ca="1" si="176"/>
        <v>0</v>
      </c>
      <c r="M259" s="358">
        <f t="shared" ca="1" si="176"/>
        <v>0</v>
      </c>
      <c r="N259" s="358">
        <f t="shared" ca="1" si="176"/>
        <v>0</v>
      </c>
      <c r="O259" s="358">
        <f t="shared" ca="1" si="176"/>
        <v>0</v>
      </c>
      <c r="P259" s="358">
        <f t="shared" ca="1" si="176"/>
        <v>0</v>
      </c>
      <c r="Q259" s="358">
        <f t="shared" ca="1" si="177"/>
        <v>0</v>
      </c>
      <c r="R259" s="358">
        <f t="shared" ca="1" si="177"/>
        <v>0</v>
      </c>
      <c r="S259" s="358">
        <f t="shared" ca="1" si="177"/>
        <v>0</v>
      </c>
      <c r="T259" s="358">
        <f t="shared" ca="1" si="177"/>
        <v>0</v>
      </c>
      <c r="U259" s="358">
        <f t="shared" ca="1" si="177"/>
        <v>32815.100799999993</v>
      </c>
      <c r="V259" s="358">
        <f t="shared" ca="1" si="177"/>
        <v>65630.201599999986</v>
      </c>
      <c r="W259" s="358">
        <f t="shared" ca="1" si="177"/>
        <v>98445.302399999986</v>
      </c>
      <c r="X259" s="358">
        <f t="shared" ca="1" si="177"/>
        <v>131260.40319999997</v>
      </c>
      <c r="Y259" s="358">
        <f t="shared" ca="1" si="177"/>
        <v>164075.50399999996</v>
      </c>
      <c r="Z259" s="358">
        <f t="shared" ca="1" si="177"/>
        <v>196890.60479999997</v>
      </c>
      <c r="AA259" s="358">
        <f t="shared" ca="1" si="178"/>
        <v>229705.70559999996</v>
      </c>
      <c r="AB259" s="358">
        <f t="shared" ca="1" si="178"/>
        <v>262520.80639999994</v>
      </c>
      <c r="AC259" s="358">
        <f t="shared" ca="1" si="178"/>
        <v>295335.90719999996</v>
      </c>
      <c r="AD259" s="358">
        <f t="shared" ca="1" si="178"/>
        <v>328151.00799999991</v>
      </c>
      <c r="AE259" s="358">
        <f t="shared" ca="1" si="178"/>
        <v>328151.00799999991</v>
      </c>
      <c r="AF259" s="358">
        <f t="shared" ca="1" si="178"/>
        <v>328151.00799999991</v>
      </c>
      <c r="AG259" s="358">
        <f t="shared" ca="1" si="178"/>
        <v>328151.00799999991</v>
      </c>
      <c r="AH259" s="358">
        <f t="shared" ca="1" si="178"/>
        <v>328151.00799999991</v>
      </c>
      <c r="AI259" s="358">
        <f t="shared" ca="1" si="178"/>
        <v>328151.00799999991</v>
      </c>
      <c r="AJ259" s="358">
        <f t="shared" ca="1" si="178"/>
        <v>328151.00799999991</v>
      </c>
      <c r="AK259" s="358">
        <f t="shared" ca="1" si="179"/>
        <v>328151.00799999991</v>
      </c>
      <c r="AL259" s="358">
        <f t="shared" ca="1" si="179"/>
        <v>328151.00799999991</v>
      </c>
      <c r="AM259" s="358">
        <f t="shared" ca="1" si="179"/>
        <v>328151.00799999991</v>
      </c>
      <c r="AN259" s="358">
        <f t="shared" ca="1" si="179"/>
        <v>328151.00799999991</v>
      </c>
      <c r="AO259" s="358">
        <f t="shared" ca="1" si="179"/>
        <v>328151.00799999991</v>
      </c>
      <c r="AP259" s="358">
        <f t="shared" ca="1" si="179"/>
        <v>328151.00799999991</v>
      </c>
      <c r="AQ259" s="358">
        <f t="shared" ca="1" si="179"/>
        <v>328151.00799999991</v>
      </c>
      <c r="AR259" s="358">
        <f t="shared" ca="1" si="179"/>
        <v>328151.00799999991</v>
      </c>
      <c r="AS259" s="358">
        <f t="shared" ca="1" si="179"/>
        <v>328151.00799999991</v>
      </c>
      <c r="AT259" s="358">
        <f t="shared" ca="1" si="179"/>
        <v>328151.00799999991</v>
      </c>
      <c r="AV259" s="358">
        <f t="shared" ca="1" si="160"/>
        <v>0</v>
      </c>
      <c r="AX259" s="358">
        <f t="shared" ca="1" si="161"/>
        <v>32815.100799999993</v>
      </c>
      <c r="AZ259" s="358">
        <f t="shared" ca="1" si="162"/>
        <v>656302.01599999983</v>
      </c>
      <c r="BB259" s="358">
        <f t="shared" ca="1" si="163"/>
        <v>1443864.4351999997</v>
      </c>
      <c r="BD259" s="358">
        <f t="shared" ca="1" si="164"/>
        <v>1640755.0399999996</v>
      </c>
      <c r="BF259" s="358">
        <f t="shared" ca="1" si="165"/>
        <v>1640755.0399999996</v>
      </c>
      <c r="BH259" s="358">
        <f t="shared" ca="1" si="166"/>
        <v>1640755.0399999996</v>
      </c>
    </row>
    <row r="260" spans="1:60" hidden="1" outlineLevel="1">
      <c r="A260" s="1464">
        <f t="shared" si="180"/>
        <v>18</v>
      </c>
      <c r="B260" s="1464">
        <f t="shared" si="181"/>
        <v>28</v>
      </c>
      <c r="C260" s="1464">
        <f t="shared" si="182"/>
        <v>8</v>
      </c>
      <c r="D260" s="1271" t="str">
        <f ca="1">IF(OFFSET(PortfolioDashboard!$A$3,C260-1,0)="","Blank",OFFSET(PortfolioDashboard!$A$3,C260-1,0))</f>
        <v>Green IT</v>
      </c>
      <c r="E260" s="1464" t="str">
        <f t="shared" si="183"/>
        <v>2010$</v>
      </c>
      <c r="F260" s="1460">
        <f t="shared" ca="1" si="184"/>
        <v>0</v>
      </c>
      <c r="G260" s="358">
        <f t="shared" ca="1" si="176"/>
        <v>0</v>
      </c>
      <c r="H260" s="358">
        <f t="shared" ca="1" si="176"/>
        <v>0</v>
      </c>
      <c r="I260" s="358">
        <f t="shared" ca="1" si="176"/>
        <v>0</v>
      </c>
      <c r="J260" s="358">
        <f t="shared" ca="1" si="176"/>
        <v>0</v>
      </c>
      <c r="K260" s="358">
        <f t="shared" ca="1" si="176"/>
        <v>0</v>
      </c>
      <c r="L260" s="358">
        <f t="shared" ca="1" si="176"/>
        <v>0</v>
      </c>
      <c r="M260" s="358">
        <f t="shared" ca="1" si="176"/>
        <v>0</v>
      </c>
      <c r="N260" s="358">
        <f t="shared" ca="1" si="176"/>
        <v>0</v>
      </c>
      <c r="O260" s="358">
        <f t="shared" ca="1" si="176"/>
        <v>0</v>
      </c>
      <c r="P260" s="358">
        <f t="shared" ca="1" si="176"/>
        <v>0</v>
      </c>
      <c r="Q260" s="358">
        <f t="shared" ca="1" si="177"/>
        <v>0</v>
      </c>
      <c r="R260" s="358">
        <f t="shared" ca="1" si="177"/>
        <v>0</v>
      </c>
      <c r="S260" s="358">
        <f t="shared" ca="1" si="177"/>
        <v>0</v>
      </c>
      <c r="T260" s="358">
        <f t="shared" ca="1" si="177"/>
        <v>0</v>
      </c>
      <c r="U260" s="358">
        <f t="shared" ca="1" si="177"/>
        <v>0</v>
      </c>
      <c r="V260" s="358">
        <f t="shared" ca="1" si="177"/>
        <v>0</v>
      </c>
      <c r="W260" s="358">
        <f t="shared" ca="1" si="177"/>
        <v>0</v>
      </c>
      <c r="X260" s="358">
        <f t="shared" ca="1" si="177"/>
        <v>0</v>
      </c>
      <c r="Y260" s="358">
        <f t="shared" ca="1" si="177"/>
        <v>0</v>
      </c>
      <c r="Z260" s="358">
        <f t="shared" ca="1" si="177"/>
        <v>0</v>
      </c>
      <c r="AA260" s="358">
        <f t="shared" ca="1" si="178"/>
        <v>0</v>
      </c>
      <c r="AB260" s="358">
        <f t="shared" ca="1" si="178"/>
        <v>0</v>
      </c>
      <c r="AC260" s="358">
        <f t="shared" ca="1" si="178"/>
        <v>0</v>
      </c>
      <c r="AD260" s="358">
        <f t="shared" ca="1" si="178"/>
        <v>0</v>
      </c>
      <c r="AE260" s="358">
        <f t="shared" ca="1" si="178"/>
        <v>0</v>
      </c>
      <c r="AF260" s="358">
        <f t="shared" ca="1" si="178"/>
        <v>0</v>
      </c>
      <c r="AG260" s="358">
        <f t="shared" ca="1" si="178"/>
        <v>0</v>
      </c>
      <c r="AH260" s="358">
        <f t="shared" ca="1" si="178"/>
        <v>0</v>
      </c>
      <c r="AI260" s="358">
        <f t="shared" ca="1" si="178"/>
        <v>0</v>
      </c>
      <c r="AJ260" s="358">
        <f t="shared" ca="1" si="178"/>
        <v>0</v>
      </c>
      <c r="AK260" s="358">
        <f t="shared" ca="1" si="179"/>
        <v>0</v>
      </c>
      <c r="AL260" s="358">
        <f t="shared" ca="1" si="179"/>
        <v>0</v>
      </c>
      <c r="AM260" s="358">
        <f t="shared" ca="1" si="179"/>
        <v>0</v>
      </c>
      <c r="AN260" s="358">
        <f t="shared" ca="1" si="179"/>
        <v>0</v>
      </c>
      <c r="AO260" s="358">
        <f t="shared" ca="1" si="179"/>
        <v>0</v>
      </c>
      <c r="AP260" s="358">
        <f t="shared" ca="1" si="179"/>
        <v>0</v>
      </c>
      <c r="AQ260" s="358">
        <f t="shared" ca="1" si="179"/>
        <v>0</v>
      </c>
      <c r="AR260" s="358">
        <f t="shared" ca="1" si="179"/>
        <v>0</v>
      </c>
      <c r="AS260" s="358">
        <f t="shared" ca="1" si="179"/>
        <v>0</v>
      </c>
      <c r="AT260" s="358">
        <f t="shared" ca="1" si="179"/>
        <v>0</v>
      </c>
      <c r="AV260" s="358">
        <f t="shared" ca="1" si="160"/>
        <v>0</v>
      </c>
      <c r="AX260" s="358">
        <f t="shared" ca="1" si="161"/>
        <v>0</v>
      </c>
      <c r="AZ260" s="358">
        <f t="shared" ca="1" si="162"/>
        <v>0</v>
      </c>
      <c r="BB260" s="358">
        <f t="shared" ca="1" si="163"/>
        <v>0</v>
      </c>
      <c r="BD260" s="358">
        <f t="shared" ca="1" si="164"/>
        <v>0</v>
      </c>
      <c r="BF260" s="358">
        <f t="shared" ca="1" si="165"/>
        <v>0</v>
      </c>
      <c r="BH260" s="358">
        <f t="shared" ca="1" si="166"/>
        <v>0</v>
      </c>
    </row>
    <row r="261" spans="1:60" hidden="1" outlineLevel="1">
      <c r="A261" s="1464">
        <f t="shared" si="180"/>
        <v>18</v>
      </c>
      <c r="B261" s="1464">
        <f t="shared" si="181"/>
        <v>28</v>
      </c>
      <c r="C261" s="1464">
        <f t="shared" si="182"/>
        <v>9</v>
      </c>
      <c r="D261" s="1271" t="str">
        <f ca="1">IF(OFFSET(PortfolioDashboard!$A$3,C261-1,0)="","Blank",OFFSET(PortfolioDashboard!$A$3,C261-1,0))</f>
        <v>Reduced Air Travel</v>
      </c>
      <c r="E261" s="1464" t="str">
        <f t="shared" si="183"/>
        <v>2010$</v>
      </c>
      <c r="F261" s="1460">
        <f t="shared" ca="1" si="184"/>
        <v>0</v>
      </c>
      <c r="G261" s="358">
        <f t="shared" ca="1" si="176"/>
        <v>0</v>
      </c>
      <c r="H261" s="358">
        <f t="shared" ca="1" si="176"/>
        <v>0</v>
      </c>
      <c r="I261" s="358">
        <f t="shared" ca="1" si="176"/>
        <v>0</v>
      </c>
      <c r="J261" s="358">
        <f t="shared" ca="1" si="176"/>
        <v>0</v>
      </c>
      <c r="K261" s="358">
        <f t="shared" ca="1" si="176"/>
        <v>0</v>
      </c>
      <c r="L261" s="358">
        <f t="shared" ca="1" si="176"/>
        <v>0</v>
      </c>
      <c r="M261" s="358">
        <f t="shared" ca="1" si="176"/>
        <v>0</v>
      </c>
      <c r="N261" s="358">
        <f t="shared" ca="1" si="176"/>
        <v>0</v>
      </c>
      <c r="O261" s="358">
        <f t="shared" ca="1" si="176"/>
        <v>0</v>
      </c>
      <c r="P261" s="358">
        <f t="shared" ca="1" si="176"/>
        <v>0</v>
      </c>
      <c r="Q261" s="358">
        <f t="shared" ca="1" si="177"/>
        <v>0</v>
      </c>
      <c r="R261" s="358">
        <f t="shared" ca="1" si="177"/>
        <v>0</v>
      </c>
      <c r="S261" s="358">
        <f t="shared" ca="1" si="177"/>
        <v>0</v>
      </c>
      <c r="T261" s="358">
        <f t="shared" ca="1" si="177"/>
        <v>0</v>
      </c>
      <c r="U261" s="358">
        <f t="shared" ca="1" si="177"/>
        <v>0</v>
      </c>
      <c r="V261" s="358">
        <f t="shared" ca="1" si="177"/>
        <v>0</v>
      </c>
      <c r="W261" s="358">
        <f t="shared" ca="1" si="177"/>
        <v>0</v>
      </c>
      <c r="X261" s="358">
        <f t="shared" ca="1" si="177"/>
        <v>0</v>
      </c>
      <c r="Y261" s="358">
        <f t="shared" ca="1" si="177"/>
        <v>0</v>
      </c>
      <c r="Z261" s="358">
        <f t="shared" ca="1" si="177"/>
        <v>0</v>
      </c>
      <c r="AA261" s="358">
        <f t="shared" ca="1" si="178"/>
        <v>0</v>
      </c>
      <c r="AB261" s="358">
        <f t="shared" ca="1" si="178"/>
        <v>0</v>
      </c>
      <c r="AC261" s="358">
        <f t="shared" ca="1" si="178"/>
        <v>0</v>
      </c>
      <c r="AD261" s="358">
        <f t="shared" ca="1" si="178"/>
        <v>0</v>
      </c>
      <c r="AE261" s="358">
        <f t="shared" ca="1" si="178"/>
        <v>0</v>
      </c>
      <c r="AF261" s="358">
        <f t="shared" ca="1" si="178"/>
        <v>0</v>
      </c>
      <c r="AG261" s="358">
        <f t="shared" ca="1" si="178"/>
        <v>0</v>
      </c>
      <c r="AH261" s="358">
        <f t="shared" ca="1" si="178"/>
        <v>0</v>
      </c>
      <c r="AI261" s="358">
        <f t="shared" ca="1" si="178"/>
        <v>0</v>
      </c>
      <c r="AJ261" s="358">
        <f t="shared" ca="1" si="178"/>
        <v>0</v>
      </c>
      <c r="AK261" s="358">
        <f t="shared" ca="1" si="179"/>
        <v>0</v>
      </c>
      <c r="AL261" s="358">
        <f t="shared" ca="1" si="179"/>
        <v>0</v>
      </c>
      <c r="AM261" s="358">
        <f t="shared" ca="1" si="179"/>
        <v>0</v>
      </c>
      <c r="AN261" s="358">
        <f t="shared" ca="1" si="179"/>
        <v>0</v>
      </c>
      <c r="AO261" s="358">
        <f t="shared" ca="1" si="179"/>
        <v>0</v>
      </c>
      <c r="AP261" s="358">
        <f t="shared" ca="1" si="179"/>
        <v>0</v>
      </c>
      <c r="AQ261" s="358">
        <f t="shared" ca="1" si="179"/>
        <v>0</v>
      </c>
      <c r="AR261" s="358">
        <f t="shared" ca="1" si="179"/>
        <v>0</v>
      </c>
      <c r="AS261" s="358">
        <f t="shared" ca="1" si="179"/>
        <v>0</v>
      </c>
      <c r="AT261" s="358">
        <f t="shared" ca="1" si="179"/>
        <v>0</v>
      </c>
      <c r="AV261" s="358">
        <f t="shared" ca="1" si="160"/>
        <v>0</v>
      </c>
      <c r="AX261" s="358">
        <f t="shared" ca="1" si="161"/>
        <v>0</v>
      </c>
      <c r="AZ261" s="358">
        <f t="shared" ca="1" si="162"/>
        <v>0</v>
      </c>
      <c r="BB261" s="358">
        <f t="shared" ca="1" si="163"/>
        <v>0</v>
      </c>
      <c r="BD261" s="358">
        <f t="shared" ca="1" si="164"/>
        <v>0</v>
      </c>
      <c r="BF261" s="358">
        <f t="shared" ca="1" si="165"/>
        <v>0</v>
      </c>
      <c r="BH261" s="358">
        <f t="shared" ca="1" si="166"/>
        <v>0</v>
      </c>
    </row>
    <row r="262" spans="1:60" hidden="1" outlineLevel="1">
      <c r="A262" s="1464">
        <f t="shared" si="180"/>
        <v>18</v>
      </c>
      <c r="B262" s="1464">
        <f t="shared" si="181"/>
        <v>28</v>
      </c>
      <c r="C262" s="1464">
        <f t="shared" si="182"/>
        <v>10</v>
      </c>
      <c r="D262" s="1271" t="str">
        <f ca="1">IF(OFFSET(PortfolioDashboard!$A$3,C262-1,0)="","Blank",OFFSET(PortfolioDashboard!$A$3,C262-1,0))</f>
        <v>Reduced Automobile Reliance Strategies</v>
      </c>
      <c r="E262" s="1464" t="str">
        <f t="shared" si="183"/>
        <v>2010$</v>
      </c>
      <c r="F262" s="1460">
        <f t="shared" ca="1" si="184"/>
        <v>0</v>
      </c>
      <c r="G262" s="358">
        <f t="shared" ca="1" si="176"/>
        <v>0</v>
      </c>
      <c r="H262" s="358">
        <f t="shared" ca="1" si="176"/>
        <v>0</v>
      </c>
      <c r="I262" s="358">
        <f t="shared" ca="1" si="176"/>
        <v>0</v>
      </c>
      <c r="J262" s="358">
        <f t="shared" ca="1" si="176"/>
        <v>0</v>
      </c>
      <c r="K262" s="358">
        <f t="shared" ca="1" si="176"/>
        <v>0</v>
      </c>
      <c r="L262" s="358">
        <f t="shared" ca="1" si="176"/>
        <v>0</v>
      </c>
      <c r="M262" s="358">
        <f t="shared" ca="1" si="176"/>
        <v>0</v>
      </c>
      <c r="N262" s="358">
        <f t="shared" ca="1" si="176"/>
        <v>0</v>
      </c>
      <c r="O262" s="358">
        <f t="shared" ca="1" si="176"/>
        <v>0</v>
      </c>
      <c r="P262" s="358">
        <f t="shared" ca="1" si="176"/>
        <v>0</v>
      </c>
      <c r="Q262" s="358">
        <f t="shared" ca="1" si="177"/>
        <v>0</v>
      </c>
      <c r="R262" s="358">
        <f t="shared" ca="1" si="177"/>
        <v>0</v>
      </c>
      <c r="S262" s="358">
        <f t="shared" ca="1" si="177"/>
        <v>0</v>
      </c>
      <c r="T262" s="358">
        <f t="shared" ca="1" si="177"/>
        <v>0</v>
      </c>
      <c r="U262" s="358">
        <f t="shared" ca="1" si="177"/>
        <v>0</v>
      </c>
      <c r="V262" s="358">
        <f t="shared" ca="1" si="177"/>
        <v>0</v>
      </c>
      <c r="W262" s="358">
        <f t="shared" ca="1" si="177"/>
        <v>0</v>
      </c>
      <c r="X262" s="358">
        <f t="shared" ca="1" si="177"/>
        <v>0</v>
      </c>
      <c r="Y262" s="358">
        <f t="shared" ca="1" si="177"/>
        <v>0</v>
      </c>
      <c r="Z262" s="358">
        <f t="shared" ca="1" si="177"/>
        <v>0</v>
      </c>
      <c r="AA262" s="358">
        <f t="shared" ca="1" si="178"/>
        <v>0</v>
      </c>
      <c r="AB262" s="358">
        <f t="shared" ca="1" si="178"/>
        <v>0</v>
      </c>
      <c r="AC262" s="358">
        <f t="shared" ca="1" si="178"/>
        <v>0</v>
      </c>
      <c r="AD262" s="358">
        <f t="shared" ca="1" si="178"/>
        <v>0</v>
      </c>
      <c r="AE262" s="358">
        <f t="shared" ca="1" si="178"/>
        <v>0</v>
      </c>
      <c r="AF262" s="358">
        <f t="shared" ca="1" si="178"/>
        <v>0</v>
      </c>
      <c r="AG262" s="358">
        <f t="shared" ca="1" si="178"/>
        <v>0</v>
      </c>
      <c r="AH262" s="358">
        <f t="shared" ca="1" si="178"/>
        <v>0</v>
      </c>
      <c r="AI262" s="358">
        <f t="shared" ca="1" si="178"/>
        <v>0</v>
      </c>
      <c r="AJ262" s="358">
        <f t="shared" ca="1" si="178"/>
        <v>0</v>
      </c>
      <c r="AK262" s="358">
        <f t="shared" ca="1" si="179"/>
        <v>0</v>
      </c>
      <c r="AL262" s="358">
        <f t="shared" ca="1" si="179"/>
        <v>0</v>
      </c>
      <c r="AM262" s="358">
        <f t="shared" ca="1" si="179"/>
        <v>0</v>
      </c>
      <c r="AN262" s="358">
        <f t="shared" ca="1" si="179"/>
        <v>0</v>
      </c>
      <c r="AO262" s="358">
        <f t="shared" ca="1" si="179"/>
        <v>0</v>
      </c>
      <c r="AP262" s="358">
        <f t="shared" ca="1" si="179"/>
        <v>0</v>
      </c>
      <c r="AQ262" s="358">
        <f t="shared" ca="1" si="179"/>
        <v>0</v>
      </c>
      <c r="AR262" s="358">
        <f t="shared" ca="1" si="179"/>
        <v>0</v>
      </c>
      <c r="AS262" s="358">
        <f t="shared" ca="1" si="179"/>
        <v>0</v>
      </c>
      <c r="AT262" s="358">
        <f t="shared" ca="1" si="179"/>
        <v>0</v>
      </c>
      <c r="AV262" s="358">
        <f t="shared" ca="1" si="160"/>
        <v>0</v>
      </c>
      <c r="AX262" s="358">
        <f t="shared" ca="1" si="161"/>
        <v>0</v>
      </c>
      <c r="AZ262" s="358">
        <f t="shared" ca="1" si="162"/>
        <v>0</v>
      </c>
      <c r="BB262" s="358">
        <f t="shared" ca="1" si="163"/>
        <v>0</v>
      </c>
      <c r="BD262" s="358">
        <f t="shared" ca="1" si="164"/>
        <v>0</v>
      </c>
      <c r="BF262" s="358">
        <f t="shared" ca="1" si="165"/>
        <v>0</v>
      </c>
      <c r="BH262" s="358">
        <f t="shared" ca="1" si="166"/>
        <v>0</v>
      </c>
    </row>
    <row r="263" spans="1:60" hidden="1" outlineLevel="1">
      <c r="A263" s="1464">
        <f t="shared" si="180"/>
        <v>18</v>
      </c>
      <c r="B263" s="1464">
        <f t="shared" si="181"/>
        <v>28</v>
      </c>
      <c r="C263" s="1464">
        <f t="shared" si="182"/>
        <v>11</v>
      </c>
      <c r="D263" s="1271" t="str">
        <f ca="1">IF(OFFSET(PortfolioDashboard!$A$3,C263-1,0)="","Blank",OFFSET(PortfolioDashboard!$A$3,C263-1,0))</f>
        <v>Waste Reduction</v>
      </c>
      <c r="E263" s="1464" t="str">
        <f t="shared" si="183"/>
        <v>2010$</v>
      </c>
      <c r="F263" s="1460">
        <f t="shared" ca="1" si="184"/>
        <v>0</v>
      </c>
      <c r="G263" s="358">
        <f t="shared" ref="G263:P272" ca="1" si="185">IFERROR(OFFSET(INDIRECT(INDEX(List_of_Alternatives,MATCH($D263,NameofAlternatives,0))),$A263+G$1-$G$1,$B263),0)</f>
        <v>0</v>
      </c>
      <c r="H263" s="358">
        <f t="shared" ca="1" si="185"/>
        <v>0</v>
      </c>
      <c r="I263" s="358">
        <f t="shared" ca="1" si="185"/>
        <v>0</v>
      </c>
      <c r="J263" s="358">
        <f t="shared" ca="1" si="185"/>
        <v>0</v>
      </c>
      <c r="K263" s="358">
        <f t="shared" ca="1" si="185"/>
        <v>0</v>
      </c>
      <c r="L263" s="358">
        <f t="shared" ca="1" si="185"/>
        <v>0</v>
      </c>
      <c r="M263" s="358">
        <f t="shared" ca="1" si="185"/>
        <v>0</v>
      </c>
      <c r="N263" s="358">
        <f t="shared" ca="1" si="185"/>
        <v>0</v>
      </c>
      <c r="O263" s="358">
        <f t="shared" ca="1" si="185"/>
        <v>0</v>
      </c>
      <c r="P263" s="358">
        <f t="shared" ca="1" si="185"/>
        <v>0</v>
      </c>
      <c r="Q263" s="358">
        <f t="shared" ref="Q263:Z272" ca="1" si="186">IFERROR(OFFSET(INDIRECT(INDEX(List_of_Alternatives,MATCH($D263,NameofAlternatives,0))),$A263+Q$1-$G$1,$B263),0)</f>
        <v>0</v>
      </c>
      <c r="R263" s="358">
        <f t="shared" ca="1" si="186"/>
        <v>0</v>
      </c>
      <c r="S263" s="358">
        <f t="shared" ca="1" si="186"/>
        <v>0</v>
      </c>
      <c r="T263" s="358">
        <f t="shared" ca="1" si="186"/>
        <v>0</v>
      </c>
      <c r="U263" s="358">
        <f t="shared" ca="1" si="186"/>
        <v>0</v>
      </c>
      <c r="V263" s="358">
        <f t="shared" ca="1" si="186"/>
        <v>0</v>
      </c>
      <c r="W263" s="358">
        <f t="shared" ca="1" si="186"/>
        <v>0</v>
      </c>
      <c r="X263" s="358">
        <f t="shared" ca="1" si="186"/>
        <v>0</v>
      </c>
      <c r="Y263" s="358">
        <f t="shared" ca="1" si="186"/>
        <v>0</v>
      </c>
      <c r="Z263" s="358">
        <f t="shared" ca="1" si="186"/>
        <v>0</v>
      </c>
      <c r="AA263" s="358">
        <f t="shared" ref="AA263:AJ272" ca="1" si="187">IFERROR(OFFSET(INDIRECT(INDEX(List_of_Alternatives,MATCH($D263,NameofAlternatives,0))),$A263+AA$1-$G$1,$B263),0)</f>
        <v>0</v>
      </c>
      <c r="AB263" s="358">
        <f t="shared" ca="1" si="187"/>
        <v>0</v>
      </c>
      <c r="AC263" s="358">
        <f t="shared" ca="1" si="187"/>
        <v>0</v>
      </c>
      <c r="AD263" s="358">
        <f t="shared" ca="1" si="187"/>
        <v>0</v>
      </c>
      <c r="AE263" s="358">
        <f t="shared" ca="1" si="187"/>
        <v>0</v>
      </c>
      <c r="AF263" s="358">
        <f t="shared" ca="1" si="187"/>
        <v>0</v>
      </c>
      <c r="AG263" s="358">
        <f t="shared" ca="1" si="187"/>
        <v>0</v>
      </c>
      <c r="AH263" s="358">
        <f t="shared" ca="1" si="187"/>
        <v>0</v>
      </c>
      <c r="AI263" s="358">
        <f t="shared" ca="1" si="187"/>
        <v>0</v>
      </c>
      <c r="AJ263" s="358">
        <f t="shared" ca="1" si="187"/>
        <v>0</v>
      </c>
      <c r="AK263" s="358">
        <f t="shared" ref="AK263:AT272" ca="1" si="188">IFERROR(OFFSET(INDIRECT(INDEX(List_of_Alternatives,MATCH($D263,NameofAlternatives,0))),$A263+AK$1-$G$1,$B263),0)</f>
        <v>0</v>
      </c>
      <c r="AL263" s="358">
        <f t="shared" ca="1" si="188"/>
        <v>0</v>
      </c>
      <c r="AM263" s="358">
        <f t="shared" ca="1" si="188"/>
        <v>0</v>
      </c>
      <c r="AN263" s="358">
        <f t="shared" ca="1" si="188"/>
        <v>0</v>
      </c>
      <c r="AO263" s="358">
        <f t="shared" ca="1" si="188"/>
        <v>0</v>
      </c>
      <c r="AP263" s="358">
        <f t="shared" ca="1" si="188"/>
        <v>0</v>
      </c>
      <c r="AQ263" s="358">
        <f t="shared" ca="1" si="188"/>
        <v>0</v>
      </c>
      <c r="AR263" s="358">
        <f t="shared" ca="1" si="188"/>
        <v>0</v>
      </c>
      <c r="AS263" s="358">
        <f t="shared" ca="1" si="188"/>
        <v>0</v>
      </c>
      <c r="AT263" s="358">
        <f t="shared" ca="1" si="188"/>
        <v>0</v>
      </c>
      <c r="AV263" s="358">
        <f t="shared" ca="1" si="160"/>
        <v>0</v>
      </c>
      <c r="AX263" s="358">
        <f t="shared" ca="1" si="161"/>
        <v>0</v>
      </c>
      <c r="AZ263" s="358">
        <f t="shared" ca="1" si="162"/>
        <v>0</v>
      </c>
      <c r="BB263" s="358">
        <f t="shared" ca="1" si="163"/>
        <v>0</v>
      </c>
      <c r="BD263" s="358">
        <f t="shared" ca="1" si="164"/>
        <v>0</v>
      </c>
      <c r="BF263" s="358">
        <f t="shared" ca="1" si="165"/>
        <v>0</v>
      </c>
      <c r="BH263" s="358">
        <f t="shared" ca="1" si="166"/>
        <v>0</v>
      </c>
    </row>
    <row r="264" spans="1:60" hidden="1" outlineLevel="1">
      <c r="A264" s="1464">
        <f t="shared" si="180"/>
        <v>18</v>
      </c>
      <c r="B264" s="1464">
        <f t="shared" si="181"/>
        <v>28</v>
      </c>
      <c r="C264" s="1464">
        <f t="shared" si="182"/>
        <v>12</v>
      </c>
      <c r="D264" s="1271" t="str">
        <f ca="1">IF(OFFSET(PortfolioDashboard!$A$3,C264-1,0)="","Blank",OFFSET(PortfolioDashboard!$A$3,C264-1,0))</f>
        <v>Steam Line Improvements</v>
      </c>
      <c r="E264" s="1464" t="str">
        <f t="shared" si="183"/>
        <v>2010$</v>
      </c>
      <c r="F264" s="1460">
        <f t="shared" ca="1" si="184"/>
        <v>0</v>
      </c>
      <c r="G264" s="358">
        <f t="shared" ca="1" si="185"/>
        <v>0</v>
      </c>
      <c r="H264" s="358">
        <f t="shared" ca="1" si="185"/>
        <v>0</v>
      </c>
      <c r="I264" s="358">
        <f t="shared" ca="1" si="185"/>
        <v>0</v>
      </c>
      <c r="J264" s="358">
        <f t="shared" ca="1" si="185"/>
        <v>0</v>
      </c>
      <c r="K264" s="358">
        <f t="shared" ca="1" si="185"/>
        <v>0</v>
      </c>
      <c r="L264" s="358">
        <f t="shared" ca="1" si="185"/>
        <v>0</v>
      </c>
      <c r="M264" s="358">
        <f t="shared" ca="1" si="185"/>
        <v>0</v>
      </c>
      <c r="N264" s="358">
        <f t="shared" ca="1" si="185"/>
        <v>0</v>
      </c>
      <c r="O264" s="358">
        <f t="shared" ca="1" si="185"/>
        <v>0</v>
      </c>
      <c r="P264" s="358">
        <f t="shared" ca="1" si="185"/>
        <v>0</v>
      </c>
      <c r="Q264" s="358">
        <f t="shared" ca="1" si="186"/>
        <v>0</v>
      </c>
      <c r="R264" s="358">
        <f t="shared" ca="1" si="186"/>
        <v>0</v>
      </c>
      <c r="S264" s="358">
        <f t="shared" ca="1" si="186"/>
        <v>0</v>
      </c>
      <c r="T264" s="358">
        <f t="shared" ca="1" si="186"/>
        <v>0</v>
      </c>
      <c r="U264" s="358">
        <f t="shared" ca="1" si="186"/>
        <v>0</v>
      </c>
      <c r="V264" s="358">
        <f t="shared" ca="1" si="186"/>
        <v>0</v>
      </c>
      <c r="W264" s="358">
        <f t="shared" ca="1" si="186"/>
        <v>0</v>
      </c>
      <c r="X264" s="358">
        <f t="shared" ca="1" si="186"/>
        <v>0</v>
      </c>
      <c r="Y264" s="358">
        <f t="shared" ca="1" si="186"/>
        <v>0</v>
      </c>
      <c r="Z264" s="358">
        <f t="shared" ca="1" si="186"/>
        <v>0</v>
      </c>
      <c r="AA264" s="358">
        <f t="shared" ca="1" si="187"/>
        <v>0</v>
      </c>
      <c r="AB264" s="358">
        <f t="shared" ca="1" si="187"/>
        <v>0</v>
      </c>
      <c r="AC264" s="358">
        <f t="shared" ca="1" si="187"/>
        <v>0</v>
      </c>
      <c r="AD264" s="358">
        <f t="shared" ca="1" si="187"/>
        <v>0</v>
      </c>
      <c r="AE264" s="358">
        <f t="shared" ca="1" si="187"/>
        <v>0</v>
      </c>
      <c r="AF264" s="358">
        <f t="shared" ca="1" si="187"/>
        <v>0</v>
      </c>
      <c r="AG264" s="358">
        <f t="shared" ca="1" si="187"/>
        <v>0</v>
      </c>
      <c r="AH264" s="358">
        <f t="shared" ca="1" si="187"/>
        <v>0</v>
      </c>
      <c r="AI264" s="358">
        <f t="shared" ca="1" si="187"/>
        <v>0</v>
      </c>
      <c r="AJ264" s="358">
        <f t="shared" ca="1" si="187"/>
        <v>0</v>
      </c>
      <c r="AK264" s="358">
        <f t="shared" ca="1" si="188"/>
        <v>0</v>
      </c>
      <c r="AL264" s="358">
        <f t="shared" ca="1" si="188"/>
        <v>0</v>
      </c>
      <c r="AM264" s="358">
        <f t="shared" ca="1" si="188"/>
        <v>0</v>
      </c>
      <c r="AN264" s="358">
        <f t="shared" ca="1" si="188"/>
        <v>0</v>
      </c>
      <c r="AO264" s="358">
        <f t="shared" ca="1" si="188"/>
        <v>0</v>
      </c>
      <c r="AP264" s="358">
        <f t="shared" ca="1" si="188"/>
        <v>0</v>
      </c>
      <c r="AQ264" s="358">
        <f t="shared" ca="1" si="188"/>
        <v>0</v>
      </c>
      <c r="AR264" s="358">
        <f t="shared" ca="1" si="188"/>
        <v>0</v>
      </c>
      <c r="AS264" s="358">
        <f t="shared" ca="1" si="188"/>
        <v>0</v>
      </c>
      <c r="AT264" s="358">
        <f t="shared" ca="1" si="188"/>
        <v>0</v>
      </c>
      <c r="AV264" s="358">
        <f t="shared" ca="1" si="160"/>
        <v>0</v>
      </c>
      <c r="AX264" s="358">
        <f t="shared" ca="1" si="161"/>
        <v>0</v>
      </c>
      <c r="AZ264" s="358">
        <f t="shared" ca="1" si="162"/>
        <v>0</v>
      </c>
      <c r="BB264" s="358">
        <f t="shared" ca="1" si="163"/>
        <v>0</v>
      </c>
      <c r="BD264" s="358">
        <f t="shared" ca="1" si="164"/>
        <v>0</v>
      </c>
      <c r="BF264" s="358">
        <f t="shared" ca="1" si="165"/>
        <v>0</v>
      </c>
      <c r="BH264" s="358">
        <f t="shared" ca="1" si="166"/>
        <v>0</v>
      </c>
    </row>
    <row r="265" spans="1:60" hidden="1" outlineLevel="1">
      <c r="A265" s="1464">
        <f t="shared" si="180"/>
        <v>18</v>
      </c>
      <c r="B265" s="1464">
        <f t="shared" si="181"/>
        <v>28</v>
      </c>
      <c r="C265" s="1464">
        <f t="shared" si="182"/>
        <v>13</v>
      </c>
      <c r="D265" s="1271" t="str">
        <f ca="1">IF(OFFSET(PortfolioDashboard!$A$3,C265-1,0)="","Blank",OFFSET(PortfolioDashboard!$A$3,C265-1,0))</f>
        <v>Coal to Natural Gas Conversion @ Steam Plant</v>
      </c>
      <c r="E265" s="1464" t="str">
        <f t="shared" si="183"/>
        <v>2010$</v>
      </c>
      <c r="F265" s="1460">
        <f t="shared" ca="1" si="184"/>
        <v>0</v>
      </c>
      <c r="G265" s="358">
        <f t="shared" ca="1" si="185"/>
        <v>0</v>
      </c>
      <c r="H265" s="358">
        <f t="shared" ca="1" si="185"/>
        <v>0</v>
      </c>
      <c r="I265" s="358">
        <f t="shared" ca="1" si="185"/>
        <v>0</v>
      </c>
      <c r="J265" s="358">
        <f t="shared" ca="1" si="185"/>
        <v>0</v>
      </c>
      <c r="K265" s="358">
        <f t="shared" ca="1" si="185"/>
        <v>0</v>
      </c>
      <c r="L265" s="358">
        <f t="shared" ca="1" si="185"/>
        <v>0</v>
      </c>
      <c r="M265" s="358">
        <f t="shared" ca="1" si="185"/>
        <v>0</v>
      </c>
      <c r="N265" s="358">
        <f t="shared" ca="1" si="185"/>
        <v>0</v>
      </c>
      <c r="O265" s="358">
        <f t="shared" ca="1" si="185"/>
        <v>0</v>
      </c>
      <c r="P265" s="358">
        <f t="shared" ca="1" si="185"/>
        <v>0</v>
      </c>
      <c r="Q265" s="358">
        <f t="shared" ca="1" si="186"/>
        <v>0</v>
      </c>
      <c r="R265" s="358">
        <f t="shared" ca="1" si="186"/>
        <v>0</v>
      </c>
      <c r="S265" s="358">
        <f t="shared" ca="1" si="186"/>
        <v>0</v>
      </c>
      <c r="T265" s="358">
        <f t="shared" ca="1" si="186"/>
        <v>0</v>
      </c>
      <c r="U265" s="358">
        <f t="shared" ca="1" si="186"/>
        <v>0</v>
      </c>
      <c r="V265" s="358">
        <f t="shared" ca="1" si="186"/>
        <v>0</v>
      </c>
      <c r="W265" s="358">
        <f t="shared" ca="1" si="186"/>
        <v>0</v>
      </c>
      <c r="X265" s="358">
        <f t="shared" ca="1" si="186"/>
        <v>0</v>
      </c>
      <c r="Y265" s="358">
        <f t="shared" ca="1" si="186"/>
        <v>0</v>
      </c>
      <c r="Z265" s="358">
        <f t="shared" ca="1" si="186"/>
        <v>0</v>
      </c>
      <c r="AA265" s="358">
        <f t="shared" ca="1" si="187"/>
        <v>0</v>
      </c>
      <c r="AB265" s="358">
        <f t="shared" ca="1" si="187"/>
        <v>0</v>
      </c>
      <c r="AC265" s="358">
        <f t="shared" ca="1" si="187"/>
        <v>0</v>
      </c>
      <c r="AD265" s="358">
        <f t="shared" ca="1" si="187"/>
        <v>0</v>
      </c>
      <c r="AE265" s="358">
        <f t="shared" ca="1" si="187"/>
        <v>0</v>
      </c>
      <c r="AF265" s="358">
        <f t="shared" ca="1" si="187"/>
        <v>0</v>
      </c>
      <c r="AG265" s="358">
        <f t="shared" ca="1" si="187"/>
        <v>0</v>
      </c>
      <c r="AH265" s="358">
        <f t="shared" ca="1" si="187"/>
        <v>0</v>
      </c>
      <c r="AI265" s="358">
        <f t="shared" ca="1" si="187"/>
        <v>0</v>
      </c>
      <c r="AJ265" s="358">
        <f t="shared" ca="1" si="187"/>
        <v>0</v>
      </c>
      <c r="AK265" s="358">
        <f t="shared" ca="1" si="188"/>
        <v>0</v>
      </c>
      <c r="AL265" s="358">
        <f t="shared" ca="1" si="188"/>
        <v>0</v>
      </c>
      <c r="AM265" s="358">
        <f t="shared" ca="1" si="188"/>
        <v>0</v>
      </c>
      <c r="AN265" s="358">
        <f t="shared" ca="1" si="188"/>
        <v>0</v>
      </c>
      <c r="AO265" s="358">
        <f t="shared" ca="1" si="188"/>
        <v>0</v>
      </c>
      <c r="AP265" s="358">
        <f t="shared" ca="1" si="188"/>
        <v>0</v>
      </c>
      <c r="AQ265" s="358">
        <f t="shared" ca="1" si="188"/>
        <v>0</v>
      </c>
      <c r="AR265" s="358">
        <f t="shared" ca="1" si="188"/>
        <v>0</v>
      </c>
      <c r="AS265" s="358">
        <f t="shared" ca="1" si="188"/>
        <v>0</v>
      </c>
      <c r="AT265" s="358">
        <f t="shared" ca="1" si="188"/>
        <v>0</v>
      </c>
      <c r="AV265" s="358">
        <f t="shared" ca="1" si="160"/>
        <v>0</v>
      </c>
      <c r="AX265" s="358">
        <f t="shared" ca="1" si="161"/>
        <v>0</v>
      </c>
      <c r="AZ265" s="358">
        <f t="shared" ca="1" si="162"/>
        <v>0</v>
      </c>
      <c r="BB265" s="358">
        <f t="shared" ca="1" si="163"/>
        <v>0</v>
      </c>
      <c r="BD265" s="358">
        <f t="shared" ca="1" si="164"/>
        <v>0</v>
      </c>
      <c r="BF265" s="358">
        <f t="shared" ca="1" si="165"/>
        <v>0</v>
      </c>
      <c r="BH265" s="358">
        <f t="shared" ca="1" si="166"/>
        <v>0</v>
      </c>
    </row>
    <row r="266" spans="1:60" hidden="1" outlineLevel="1">
      <c r="A266" s="1464">
        <f t="shared" si="180"/>
        <v>18</v>
      </c>
      <c r="B266" s="1464">
        <f t="shared" si="181"/>
        <v>28</v>
      </c>
      <c r="C266" s="1464">
        <f t="shared" si="182"/>
        <v>14</v>
      </c>
      <c r="D266" s="1271" t="str">
        <f ca="1">IF(OFFSET(PortfolioDashboard!$A$3,C266-1,0)="","Blank",OFFSET(PortfolioDashboard!$A$3,C266-1,0))</f>
        <v>On-site Wind</v>
      </c>
      <c r="E266" s="1464" t="str">
        <f t="shared" si="183"/>
        <v>2010$</v>
      </c>
      <c r="F266" s="1460">
        <f t="shared" ca="1" si="184"/>
        <v>0</v>
      </c>
      <c r="G266" s="358">
        <f t="shared" ca="1" si="185"/>
        <v>0</v>
      </c>
      <c r="H266" s="358">
        <f t="shared" ca="1" si="185"/>
        <v>0</v>
      </c>
      <c r="I266" s="358">
        <f t="shared" ca="1" si="185"/>
        <v>0</v>
      </c>
      <c r="J266" s="358">
        <f t="shared" ca="1" si="185"/>
        <v>0</v>
      </c>
      <c r="K266" s="358">
        <f t="shared" ca="1" si="185"/>
        <v>0</v>
      </c>
      <c r="L266" s="358">
        <f t="shared" ca="1" si="185"/>
        <v>0</v>
      </c>
      <c r="M266" s="358">
        <f t="shared" ca="1" si="185"/>
        <v>0</v>
      </c>
      <c r="N266" s="358">
        <f t="shared" ca="1" si="185"/>
        <v>0</v>
      </c>
      <c r="O266" s="358">
        <f t="shared" ca="1" si="185"/>
        <v>0</v>
      </c>
      <c r="P266" s="358">
        <f t="shared" ca="1" si="185"/>
        <v>0</v>
      </c>
      <c r="Q266" s="358">
        <f t="shared" ca="1" si="186"/>
        <v>0</v>
      </c>
      <c r="R266" s="358">
        <f t="shared" ca="1" si="186"/>
        <v>0</v>
      </c>
      <c r="S266" s="358">
        <f t="shared" ca="1" si="186"/>
        <v>0</v>
      </c>
      <c r="T266" s="358">
        <f t="shared" ca="1" si="186"/>
        <v>0</v>
      </c>
      <c r="U266" s="358">
        <f t="shared" ca="1" si="186"/>
        <v>0</v>
      </c>
      <c r="V266" s="358">
        <f t="shared" ca="1" si="186"/>
        <v>0</v>
      </c>
      <c r="W266" s="358">
        <f t="shared" ca="1" si="186"/>
        <v>0</v>
      </c>
      <c r="X266" s="358">
        <f t="shared" ca="1" si="186"/>
        <v>0</v>
      </c>
      <c r="Y266" s="358">
        <f t="shared" ca="1" si="186"/>
        <v>0</v>
      </c>
      <c r="Z266" s="358">
        <f t="shared" ca="1" si="186"/>
        <v>0</v>
      </c>
      <c r="AA266" s="358">
        <f t="shared" ca="1" si="187"/>
        <v>0</v>
      </c>
      <c r="AB266" s="358">
        <f t="shared" ca="1" si="187"/>
        <v>0</v>
      </c>
      <c r="AC266" s="358">
        <f t="shared" ca="1" si="187"/>
        <v>0</v>
      </c>
      <c r="AD266" s="358">
        <f t="shared" ca="1" si="187"/>
        <v>0</v>
      </c>
      <c r="AE266" s="358">
        <f t="shared" ca="1" si="187"/>
        <v>0</v>
      </c>
      <c r="AF266" s="358">
        <f t="shared" ca="1" si="187"/>
        <v>0</v>
      </c>
      <c r="AG266" s="358">
        <f t="shared" ca="1" si="187"/>
        <v>0</v>
      </c>
      <c r="AH266" s="358">
        <f t="shared" ca="1" si="187"/>
        <v>0</v>
      </c>
      <c r="AI266" s="358">
        <f t="shared" ca="1" si="187"/>
        <v>0</v>
      </c>
      <c r="AJ266" s="358">
        <f t="shared" ca="1" si="187"/>
        <v>0</v>
      </c>
      <c r="AK266" s="358">
        <f t="shared" ca="1" si="188"/>
        <v>0</v>
      </c>
      <c r="AL266" s="358">
        <f t="shared" ca="1" si="188"/>
        <v>0</v>
      </c>
      <c r="AM266" s="358">
        <f t="shared" ca="1" si="188"/>
        <v>0</v>
      </c>
      <c r="AN266" s="358">
        <f t="shared" ca="1" si="188"/>
        <v>0</v>
      </c>
      <c r="AO266" s="358">
        <f t="shared" ca="1" si="188"/>
        <v>0</v>
      </c>
      <c r="AP266" s="358">
        <f t="shared" ca="1" si="188"/>
        <v>0</v>
      </c>
      <c r="AQ266" s="358">
        <f t="shared" ca="1" si="188"/>
        <v>0</v>
      </c>
      <c r="AR266" s="358">
        <f t="shared" ca="1" si="188"/>
        <v>0</v>
      </c>
      <c r="AS266" s="358">
        <f t="shared" ca="1" si="188"/>
        <v>0</v>
      </c>
      <c r="AT266" s="358">
        <f t="shared" ca="1" si="188"/>
        <v>0</v>
      </c>
      <c r="AV266" s="358">
        <f t="shared" ca="1" si="160"/>
        <v>0</v>
      </c>
      <c r="AX266" s="358">
        <f t="shared" ca="1" si="161"/>
        <v>0</v>
      </c>
      <c r="AZ266" s="358">
        <f t="shared" ca="1" si="162"/>
        <v>0</v>
      </c>
      <c r="BB266" s="358">
        <f t="shared" ca="1" si="163"/>
        <v>0</v>
      </c>
      <c r="BD266" s="358">
        <f t="shared" ca="1" si="164"/>
        <v>0</v>
      </c>
      <c r="BF266" s="358">
        <f t="shared" ca="1" si="165"/>
        <v>0</v>
      </c>
      <c r="BH266" s="358">
        <f t="shared" ca="1" si="166"/>
        <v>0</v>
      </c>
    </row>
    <row r="267" spans="1:60" hidden="1" outlineLevel="1">
      <c r="A267" s="1464">
        <f t="shared" si="180"/>
        <v>18</v>
      </c>
      <c r="B267" s="1464">
        <f t="shared" si="181"/>
        <v>28</v>
      </c>
      <c r="C267" s="1464">
        <f t="shared" si="182"/>
        <v>15</v>
      </c>
      <c r="D267" s="1271" t="str">
        <f ca="1">IF(OFFSET(PortfolioDashboard!$A$3,C267-1,0)="","Blank",OFFSET(PortfolioDashboard!$A$3,C267-1,0))</f>
        <v>Solar DHW</v>
      </c>
      <c r="E267" s="1464" t="str">
        <f t="shared" si="183"/>
        <v>2010$</v>
      </c>
      <c r="F267" s="1460">
        <f t="shared" ca="1" si="184"/>
        <v>0</v>
      </c>
      <c r="G267" s="358">
        <f t="shared" ca="1" si="185"/>
        <v>0</v>
      </c>
      <c r="H267" s="358">
        <f t="shared" ca="1" si="185"/>
        <v>0</v>
      </c>
      <c r="I267" s="358">
        <f t="shared" ca="1" si="185"/>
        <v>0</v>
      </c>
      <c r="J267" s="358">
        <f t="shared" ca="1" si="185"/>
        <v>0</v>
      </c>
      <c r="K267" s="358">
        <f t="shared" ca="1" si="185"/>
        <v>0</v>
      </c>
      <c r="L267" s="358">
        <f t="shared" ca="1" si="185"/>
        <v>0</v>
      </c>
      <c r="M267" s="358">
        <f t="shared" ca="1" si="185"/>
        <v>0</v>
      </c>
      <c r="N267" s="358">
        <f t="shared" ca="1" si="185"/>
        <v>0</v>
      </c>
      <c r="O267" s="358">
        <f t="shared" ca="1" si="185"/>
        <v>0</v>
      </c>
      <c r="P267" s="358">
        <f t="shared" ca="1" si="185"/>
        <v>0</v>
      </c>
      <c r="Q267" s="358">
        <f t="shared" ca="1" si="186"/>
        <v>0</v>
      </c>
      <c r="R267" s="358">
        <f t="shared" ca="1" si="186"/>
        <v>0</v>
      </c>
      <c r="S267" s="358">
        <f t="shared" ca="1" si="186"/>
        <v>0</v>
      </c>
      <c r="T267" s="358">
        <f t="shared" ca="1" si="186"/>
        <v>0</v>
      </c>
      <c r="U267" s="358">
        <f t="shared" ca="1" si="186"/>
        <v>0</v>
      </c>
      <c r="V267" s="358">
        <f t="shared" ca="1" si="186"/>
        <v>0</v>
      </c>
      <c r="W267" s="358">
        <f t="shared" ca="1" si="186"/>
        <v>0</v>
      </c>
      <c r="X267" s="358">
        <f t="shared" ca="1" si="186"/>
        <v>0</v>
      </c>
      <c r="Y267" s="358">
        <f t="shared" ca="1" si="186"/>
        <v>0</v>
      </c>
      <c r="Z267" s="358">
        <f t="shared" ca="1" si="186"/>
        <v>0</v>
      </c>
      <c r="AA267" s="358">
        <f t="shared" ca="1" si="187"/>
        <v>0</v>
      </c>
      <c r="AB267" s="358">
        <f t="shared" ca="1" si="187"/>
        <v>0</v>
      </c>
      <c r="AC267" s="358">
        <f t="shared" ca="1" si="187"/>
        <v>0</v>
      </c>
      <c r="AD267" s="358">
        <f t="shared" ca="1" si="187"/>
        <v>0</v>
      </c>
      <c r="AE267" s="358">
        <f t="shared" ca="1" si="187"/>
        <v>0</v>
      </c>
      <c r="AF267" s="358">
        <f t="shared" ca="1" si="187"/>
        <v>0</v>
      </c>
      <c r="AG267" s="358">
        <f t="shared" ca="1" si="187"/>
        <v>0</v>
      </c>
      <c r="AH267" s="358">
        <f t="shared" ca="1" si="187"/>
        <v>0</v>
      </c>
      <c r="AI267" s="358">
        <f t="shared" ca="1" si="187"/>
        <v>0</v>
      </c>
      <c r="AJ267" s="358">
        <f t="shared" ca="1" si="187"/>
        <v>0</v>
      </c>
      <c r="AK267" s="358">
        <f t="shared" ca="1" si="188"/>
        <v>0</v>
      </c>
      <c r="AL267" s="358">
        <f t="shared" ca="1" si="188"/>
        <v>0</v>
      </c>
      <c r="AM267" s="358">
        <f t="shared" ca="1" si="188"/>
        <v>0</v>
      </c>
      <c r="AN267" s="358">
        <f t="shared" ca="1" si="188"/>
        <v>0</v>
      </c>
      <c r="AO267" s="358">
        <f t="shared" ca="1" si="188"/>
        <v>0</v>
      </c>
      <c r="AP267" s="358">
        <f t="shared" ca="1" si="188"/>
        <v>0</v>
      </c>
      <c r="AQ267" s="358">
        <f t="shared" ca="1" si="188"/>
        <v>0</v>
      </c>
      <c r="AR267" s="358">
        <f t="shared" ca="1" si="188"/>
        <v>0</v>
      </c>
      <c r="AS267" s="358">
        <f t="shared" ca="1" si="188"/>
        <v>0</v>
      </c>
      <c r="AT267" s="358">
        <f t="shared" ca="1" si="188"/>
        <v>0</v>
      </c>
      <c r="AV267" s="358">
        <f t="shared" ca="1" si="160"/>
        <v>0</v>
      </c>
      <c r="AX267" s="358">
        <f t="shared" ca="1" si="161"/>
        <v>0</v>
      </c>
      <c r="AZ267" s="358">
        <f t="shared" ca="1" si="162"/>
        <v>0</v>
      </c>
      <c r="BB267" s="358">
        <f t="shared" ca="1" si="163"/>
        <v>0</v>
      </c>
      <c r="BD267" s="358">
        <f t="shared" ca="1" si="164"/>
        <v>0</v>
      </c>
      <c r="BF267" s="358">
        <f t="shared" ca="1" si="165"/>
        <v>0</v>
      </c>
      <c r="BH267" s="358">
        <f t="shared" ca="1" si="166"/>
        <v>0</v>
      </c>
    </row>
    <row r="268" spans="1:60" hidden="1" outlineLevel="1">
      <c r="A268" s="1464">
        <f t="shared" si="180"/>
        <v>18</v>
      </c>
      <c r="B268" s="1464">
        <f t="shared" si="181"/>
        <v>28</v>
      </c>
      <c r="C268" s="1464">
        <f t="shared" si="182"/>
        <v>16</v>
      </c>
      <c r="D268" s="1271" t="str">
        <f ca="1">IF(OFFSET(PortfolioDashboard!$A$3,C268-1,0)="","Blank",OFFSET(PortfolioDashboard!$A$3,C268-1,0))</f>
        <v>Geo Exchange</v>
      </c>
      <c r="E268" s="1464" t="str">
        <f t="shared" si="183"/>
        <v>2010$</v>
      </c>
      <c r="F268" s="1460">
        <f t="shared" ca="1" si="184"/>
        <v>0</v>
      </c>
      <c r="G268" s="358">
        <f t="shared" ca="1" si="185"/>
        <v>0</v>
      </c>
      <c r="H268" s="358">
        <f t="shared" ca="1" si="185"/>
        <v>0</v>
      </c>
      <c r="I268" s="358">
        <f t="shared" ca="1" si="185"/>
        <v>0</v>
      </c>
      <c r="J268" s="358">
        <f t="shared" ca="1" si="185"/>
        <v>0</v>
      </c>
      <c r="K268" s="358">
        <f t="shared" ca="1" si="185"/>
        <v>0</v>
      </c>
      <c r="L268" s="358">
        <f t="shared" ca="1" si="185"/>
        <v>0</v>
      </c>
      <c r="M268" s="358">
        <f t="shared" ca="1" si="185"/>
        <v>0</v>
      </c>
      <c r="N268" s="358">
        <f t="shared" ca="1" si="185"/>
        <v>0</v>
      </c>
      <c r="O268" s="358">
        <f t="shared" ca="1" si="185"/>
        <v>0</v>
      </c>
      <c r="P268" s="358">
        <f t="shared" ca="1" si="185"/>
        <v>0</v>
      </c>
      <c r="Q268" s="358">
        <f t="shared" ca="1" si="186"/>
        <v>0</v>
      </c>
      <c r="R268" s="358">
        <f t="shared" ca="1" si="186"/>
        <v>0</v>
      </c>
      <c r="S268" s="358">
        <f t="shared" ca="1" si="186"/>
        <v>0</v>
      </c>
      <c r="T268" s="358">
        <f t="shared" ca="1" si="186"/>
        <v>0</v>
      </c>
      <c r="U268" s="358">
        <f t="shared" ca="1" si="186"/>
        <v>0</v>
      </c>
      <c r="V268" s="358">
        <f t="shared" ca="1" si="186"/>
        <v>0</v>
      </c>
      <c r="W268" s="358">
        <f t="shared" ca="1" si="186"/>
        <v>0</v>
      </c>
      <c r="X268" s="358">
        <f t="shared" ca="1" si="186"/>
        <v>0</v>
      </c>
      <c r="Y268" s="358">
        <f t="shared" ca="1" si="186"/>
        <v>0</v>
      </c>
      <c r="Z268" s="358">
        <f t="shared" ca="1" si="186"/>
        <v>0</v>
      </c>
      <c r="AA268" s="358">
        <f t="shared" ca="1" si="187"/>
        <v>0</v>
      </c>
      <c r="AB268" s="358">
        <f t="shared" ca="1" si="187"/>
        <v>0</v>
      </c>
      <c r="AC268" s="358">
        <f t="shared" ca="1" si="187"/>
        <v>0</v>
      </c>
      <c r="AD268" s="358">
        <f t="shared" ca="1" si="187"/>
        <v>0</v>
      </c>
      <c r="AE268" s="358">
        <f t="shared" ca="1" si="187"/>
        <v>0</v>
      </c>
      <c r="AF268" s="358">
        <f t="shared" ca="1" si="187"/>
        <v>0</v>
      </c>
      <c r="AG268" s="358">
        <f t="shared" ca="1" si="187"/>
        <v>0</v>
      </c>
      <c r="AH268" s="358">
        <f t="shared" ca="1" si="187"/>
        <v>0</v>
      </c>
      <c r="AI268" s="358">
        <f t="shared" ca="1" si="187"/>
        <v>0</v>
      </c>
      <c r="AJ268" s="358">
        <f t="shared" ca="1" si="187"/>
        <v>0</v>
      </c>
      <c r="AK268" s="358">
        <f t="shared" ca="1" si="188"/>
        <v>0</v>
      </c>
      <c r="AL268" s="358">
        <f t="shared" ca="1" si="188"/>
        <v>0</v>
      </c>
      <c r="AM268" s="358">
        <f t="shared" ca="1" si="188"/>
        <v>0</v>
      </c>
      <c r="AN268" s="358">
        <f t="shared" ca="1" si="188"/>
        <v>0</v>
      </c>
      <c r="AO268" s="358">
        <f t="shared" ca="1" si="188"/>
        <v>0</v>
      </c>
      <c r="AP268" s="358">
        <f t="shared" ca="1" si="188"/>
        <v>0</v>
      </c>
      <c r="AQ268" s="358">
        <f t="shared" ca="1" si="188"/>
        <v>0</v>
      </c>
      <c r="AR268" s="358">
        <f t="shared" ca="1" si="188"/>
        <v>0</v>
      </c>
      <c r="AS268" s="358">
        <f t="shared" ca="1" si="188"/>
        <v>0</v>
      </c>
      <c r="AT268" s="358">
        <f t="shared" ca="1" si="188"/>
        <v>0</v>
      </c>
      <c r="AV268" s="358">
        <f t="shared" ca="1" si="160"/>
        <v>0</v>
      </c>
      <c r="AX268" s="358">
        <f t="shared" ca="1" si="161"/>
        <v>0</v>
      </c>
      <c r="AZ268" s="358">
        <f t="shared" ca="1" si="162"/>
        <v>0</v>
      </c>
      <c r="BB268" s="358">
        <f t="shared" ca="1" si="163"/>
        <v>0</v>
      </c>
      <c r="BD268" s="358">
        <f t="shared" ca="1" si="164"/>
        <v>0</v>
      </c>
      <c r="BF268" s="358">
        <f t="shared" ca="1" si="165"/>
        <v>0</v>
      </c>
      <c r="BH268" s="358">
        <f t="shared" ca="1" si="166"/>
        <v>0</v>
      </c>
    </row>
    <row r="269" spans="1:60" hidden="1" outlineLevel="1">
      <c r="A269" s="1464">
        <f t="shared" si="180"/>
        <v>18</v>
      </c>
      <c r="B269" s="1464">
        <f t="shared" si="181"/>
        <v>28</v>
      </c>
      <c r="C269" s="1464">
        <f t="shared" si="182"/>
        <v>17</v>
      </c>
      <c r="D269" s="1271" t="str">
        <f ca="1">IF(OFFSET(PortfolioDashboard!$A$3,C269-1,0)="","Blank",OFFSET(PortfolioDashboard!$A$3,C269-1,0))</f>
        <v>Rooftop Solar PV</v>
      </c>
      <c r="E269" s="1464" t="str">
        <f t="shared" si="183"/>
        <v>2010$</v>
      </c>
      <c r="F269" s="1460">
        <f t="shared" ca="1" si="184"/>
        <v>0</v>
      </c>
      <c r="G269" s="358">
        <f t="shared" ca="1" si="185"/>
        <v>0</v>
      </c>
      <c r="H269" s="358">
        <f t="shared" ca="1" si="185"/>
        <v>0</v>
      </c>
      <c r="I269" s="358">
        <f t="shared" ca="1" si="185"/>
        <v>0</v>
      </c>
      <c r="J269" s="358">
        <f t="shared" ca="1" si="185"/>
        <v>0</v>
      </c>
      <c r="K269" s="358">
        <f t="shared" ca="1" si="185"/>
        <v>0</v>
      </c>
      <c r="L269" s="358">
        <f t="shared" ca="1" si="185"/>
        <v>0</v>
      </c>
      <c r="M269" s="358">
        <f t="shared" ca="1" si="185"/>
        <v>0</v>
      </c>
      <c r="N269" s="358">
        <f t="shared" ca="1" si="185"/>
        <v>0</v>
      </c>
      <c r="O269" s="358">
        <f t="shared" ca="1" si="185"/>
        <v>0</v>
      </c>
      <c r="P269" s="358">
        <f t="shared" ca="1" si="185"/>
        <v>0</v>
      </c>
      <c r="Q269" s="358">
        <f t="shared" ca="1" si="186"/>
        <v>0</v>
      </c>
      <c r="R269" s="358">
        <f t="shared" ca="1" si="186"/>
        <v>0</v>
      </c>
      <c r="S269" s="358">
        <f t="shared" ca="1" si="186"/>
        <v>0</v>
      </c>
      <c r="T269" s="358">
        <f t="shared" ca="1" si="186"/>
        <v>0</v>
      </c>
      <c r="U269" s="358">
        <f t="shared" ca="1" si="186"/>
        <v>0</v>
      </c>
      <c r="V269" s="358">
        <f t="shared" ca="1" si="186"/>
        <v>0</v>
      </c>
      <c r="W269" s="358">
        <f t="shared" ca="1" si="186"/>
        <v>0</v>
      </c>
      <c r="X269" s="358">
        <f t="shared" ca="1" si="186"/>
        <v>0</v>
      </c>
      <c r="Y269" s="358">
        <f t="shared" ca="1" si="186"/>
        <v>0</v>
      </c>
      <c r="Z269" s="358">
        <f t="shared" ca="1" si="186"/>
        <v>0</v>
      </c>
      <c r="AA269" s="358">
        <f t="shared" ca="1" si="187"/>
        <v>0</v>
      </c>
      <c r="AB269" s="358">
        <f t="shared" ca="1" si="187"/>
        <v>0</v>
      </c>
      <c r="AC269" s="358">
        <f t="shared" ca="1" si="187"/>
        <v>0</v>
      </c>
      <c r="AD269" s="358">
        <f t="shared" ca="1" si="187"/>
        <v>0</v>
      </c>
      <c r="AE269" s="358">
        <f t="shared" ca="1" si="187"/>
        <v>0</v>
      </c>
      <c r="AF269" s="358">
        <f t="shared" ca="1" si="187"/>
        <v>0</v>
      </c>
      <c r="AG269" s="358">
        <f t="shared" ca="1" si="187"/>
        <v>0</v>
      </c>
      <c r="AH269" s="358">
        <f t="shared" ca="1" si="187"/>
        <v>0</v>
      </c>
      <c r="AI269" s="358">
        <f t="shared" ca="1" si="187"/>
        <v>0</v>
      </c>
      <c r="AJ269" s="358">
        <f t="shared" ca="1" si="187"/>
        <v>0</v>
      </c>
      <c r="AK269" s="358">
        <f t="shared" ca="1" si="188"/>
        <v>0</v>
      </c>
      <c r="AL269" s="358">
        <f t="shared" ca="1" si="188"/>
        <v>0</v>
      </c>
      <c r="AM269" s="358">
        <f t="shared" ca="1" si="188"/>
        <v>0</v>
      </c>
      <c r="AN269" s="358">
        <f t="shared" ca="1" si="188"/>
        <v>0</v>
      </c>
      <c r="AO269" s="358">
        <f t="shared" ca="1" si="188"/>
        <v>0</v>
      </c>
      <c r="AP269" s="358">
        <f t="shared" ca="1" si="188"/>
        <v>0</v>
      </c>
      <c r="AQ269" s="358">
        <f t="shared" ca="1" si="188"/>
        <v>0</v>
      </c>
      <c r="AR269" s="358">
        <f t="shared" ca="1" si="188"/>
        <v>0</v>
      </c>
      <c r="AS269" s="358">
        <f t="shared" ca="1" si="188"/>
        <v>0</v>
      </c>
      <c r="AT269" s="358">
        <f t="shared" ca="1" si="188"/>
        <v>0</v>
      </c>
      <c r="AV269" s="358">
        <f t="shared" ca="1" si="160"/>
        <v>0</v>
      </c>
      <c r="AX269" s="358">
        <f t="shared" ca="1" si="161"/>
        <v>0</v>
      </c>
      <c r="AZ269" s="358">
        <f t="shared" ca="1" si="162"/>
        <v>0</v>
      </c>
      <c r="BB269" s="358">
        <f t="shared" ca="1" si="163"/>
        <v>0</v>
      </c>
      <c r="BD269" s="358">
        <f t="shared" ca="1" si="164"/>
        <v>0</v>
      </c>
      <c r="BF269" s="358">
        <f t="shared" ca="1" si="165"/>
        <v>0</v>
      </c>
      <c r="BH269" s="358">
        <f t="shared" ca="1" si="166"/>
        <v>0</v>
      </c>
    </row>
    <row r="270" spans="1:60" hidden="1" outlineLevel="1">
      <c r="A270" s="1464">
        <f t="shared" si="180"/>
        <v>18</v>
      </c>
      <c r="B270" s="1464">
        <f t="shared" si="181"/>
        <v>28</v>
      </c>
      <c r="C270" s="1464">
        <f t="shared" si="182"/>
        <v>18</v>
      </c>
      <c r="D270" s="1271" t="str">
        <f ca="1">IF(OFFSET(PortfolioDashboard!$A$3,C270-1,0)="","Blank",OFFSET(PortfolioDashboard!$A$3,C270-1,0))</f>
        <v>Blank</v>
      </c>
      <c r="E270" s="1464" t="str">
        <f t="shared" si="183"/>
        <v>2010$</v>
      </c>
      <c r="F270" s="1460">
        <f t="shared" ca="1" si="184"/>
        <v>0</v>
      </c>
      <c r="G270" s="358">
        <f t="shared" ca="1" si="185"/>
        <v>0</v>
      </c>
      <c r="H270" s="358">
        <f t="shared" ca="1" si="185"/>
        <v>0</v>
      </c>
      <c r="I270" s="358">
        <f t="shared" ca="1" si="185"/>
        <v>0</v>
      </c>
      <c r="J270" s="358">
        <f t="shared" ca="1" si="185"/>
        <v>0</v>
      </c>
      <c r="K270" s="358">
        <f t="shared" ca="1" si="185"/>
        <v>0</v>
      </c>
      <c r="L270" s="358">
        <f t="shared" ca="1" si="185"/>
        <v>0</v>
      </c>
      <c r="M270" s="358">
        <f t="shared" ca="1" si="185"/>
        <v>0</v>
      </c>
      <c r="N270" s="358">
        <f t="shared" ca="1" si="185"/>
        <v>0</v>
      </c>
      <c r="O270" s="358">
        <f t="shared" ca="1" si="185"/>
        <v>0</v>
      </c>
      <c r="P270" s="358">
        <f t="shared" ca="1" si="185"/>
        <v>0</v>
      </c>
      <c r="Q270" s="358">
        <f t="shared" ca="1" si="186"/>
        <v>0</v>
      </c>
      <c r="R270" s="358">
        <f t="shared" ca="1" si="186"/>
        <v>0</v>
      </c>
      <c r="S270" s="358">
        <f t="shared" ca="1" si="186"/>
        <v>0</v>
      </c>
      <c r="T270" s="358">
        <f t="shared" ca="1" si="186"/>
        <v>0</v>
      </c>
      <c r="U270" s="358">
        <f t="shared" ca="1" si="186"/>
        <v>0</v>
      </c>
      <c r="V270" s="358">
        <f t="shared" ca="1" si="186"/>
        <v>0</v>
      </c>
      <c r="W270" s="358">
        <f t="shared" ca="1" si="186"/>
        <v>0</v>
      </c>
      <c r="X270" s="358">
        <f t="shared" ca="1" si="186"/>
        <v>0</v>
      </c>
      <c r="Y270" s="358">
        <f t="shared" ca="1" si="186"/>
        <v>0</v>
      </c>
      <c r="Z270" s="358">
        <f t="shared" ca="1" si="186"/>
        <v>0</v>
      </c>
      <c r="AA270" s="358">
        <f t="shared" ca="1" si="187"/>
        <v>0</v>
      </c>
      <c r="AB270" s="358">
        <f t="shared" ca="1" si="187"/>
        <v>0</v>
      </c>
      <c r="AC270" s="358">
        <f t="shared" ca="1" si="187"/>
        <v>0</v>
      </c>
      <c r="AD270" s="358">
        <f t="shared" ca="1" si="187"/>
        <v>0</v>
      </c>
      <c r="AE270" s="358">
        <f t="shared" ca="1" si="187"/>
        <v>0</v>
      </c>
      <c r="AF270" s="358">
        <f t="shared" ca="1" si="187"/>
        <v>0</v>
      </c>
      <c r="AG270" s="358">
        <f t="shared" ca="1" si="187"/>
        <v>0</v>
      </c>
      <c r="AH270" s="358">
        <f t="shared" ca="1" si="187"/>
        <v>0</v>
      </c>
      <c r="AI270" s="358">
        <f t="shared" ca="1" si="187"/>
        <v>0</v>
      </c>
      <c r="AJ270" s="358">
        <f t="shared" ca="1" si="187"/>
        <v>0</v>
      </c>
      <c r="AK270" s="358">
        <f t="shared" ca="1" si="188"/>
        <v>0</v>
      </c>
      <c r="AL270" s="358">
        <f t="shared" ca="1" si="188"/>
        <v>0</v>
      </c>
      <c r="AM270" s="358">
        <f t="shared" ca="1" si="188"/>
        <v>0</v>
      </c>
      <c r="AN270" s="358">
        <f t="shared" ca="1" si="188"/>
        <v>0</v>
      </c>
      <c r="AO270" s="358">
        <f t="shared" ca="1" si="188"/>
        <v>0</v>
      </c>
      <c r="AP270" s="358">
        <f t="shared" ca="1" si="188"/>
        <v>0</v>
      </c>
      <c r="AQ270" s="358">
        <f t="shared" ca="1" si="188"/>
        <v>0</v>
      </c>
      <c r="AR270" s="358">
        <f t="shared" ca="1" si="188"/>
        <v>0</v>
      </c>
      <c r="AS270" s="358">
        <f t="shared" ca="1" si="188"/>
        <v>0</v>
      </c>
      <c r="AT270" s="358">
        <f t="shared" ca="1" si="188"/>
        <v>0</v>
      </c>
      <c r="AV270" s="358">
        <f t="shared" ca="1" si="160"/>
        <v>0</v>
      </c>
      <c r="AX270" s="358">
        <f t="shared" ca="1" si="161"/>
        <v>0</v>
      </c>
      <c r="AZ270" s="358">
        <f t="shared" ca="1" si="162"/>
        <v>0</v>
      </c>
      <c r="BB270" s="358">
        <f t="shared" ca="1" si="163"/>
        <v>0</v>
      </c>
      <c r="BD270" s="358">
        <f t="shared" ca="1" si="164"/>
        <v>0</v>
      </c>
      <c r="BF270" s="358">
        <f t="shared" ca="1" si="165"/>
        <v>0</v>
      </c>
      <c r="BH270" s="358">
        <f t="shared" ca="1" si="166"/>
        <v>0</v>
      </c>
    </row>
    <row r="271" spans="1:60" hidden="1" outlineLevel="1">
      <c r="A271" s="1464">
        <f t="shared" si="180"/>
        <v>18</v>
      </c>
      <c r="B271" s="1464">
        <f t="shared" si="181"/>
        <v>28</v>
      </c>
      <c r="C271" s="1464">
        <f t="shared" si="182"/>
        <v>19</v>
      </c>
      <c r="D271" s="1271" t="str">
        <f ca="1">IF(OFFSET(PortfolioDashboard!$A$3,C271-1,0)="","Blank",OFFSET(PortfolioDashboard!$A$3,C271-1,0))</f>
        <v>Blank</v>
      </c>
      <c r="E271" s="1464" t="str">
        <f t="shared" si="183"/>
        <v>2010$</v>
      </c>
      <c r="F271" s="1460">
        <f t="shared" ca="1" si="184"/>
        <v>0</v>
      </c>
      <c r="G271" s="358">
        <f t="shared" ca="1" si="185"/>
        <v>0</v>
      </c>
      <c r="H271" s="358">
        <f t="shared" ca="1" si="185"/>
        <v>0</v>
      </c>
      <c r="I271" s="358">
        <f t="shared" ca="1" si="185"/>
        <v>0</v>
      </c>
      <c r="J271" s="358">
        <f t="shared" ca="1" si="185"/>
        <v>0</v>
      </c>
      <c r="K271" s="358">
        <f t="shared" ca="1" si="185"/>
        <v>0</v>
      </c>
      <c r="L271" s="358">
        <f t="shared" ca="1" si="185"/>
        <v>0</v>
      </c>
      <c r="M271" s="358">
        <f t="shared" ca="1" si="185"/>
        <v>0</v>
      </c>
      <c r="N271" s="358">
        <f t="shared" ca="1" si="185"/>
        <v>0</v>
      </c>
      <c r="O271" s="358">
        <f t="shared" ca="1" si="185"/>
        <v>0</v>
      </c>
      <c r="P271" s="358">
        <f t="shared" ca="1" si="185"/>
        <v>0</v>
      </c>
      <c r="Q271" s="358">
        <f t="shared" ca="1" si="186"/>
        <v>0</v>
      </c>
      <c r="R271" s="358">
        <f t="shared" ca="1" si="186"/>
        <v>0</v>
      </c>
      <c r="S271" s="358">
        <f t="shared" ca="1" si="186"/>
        <v>0</v>
      </c>
      <c r="T271" s="358">
        <f t="shared" ca="1" si="186"/>
        <v>0</v>
      </c>
      <c r="U271" s="358">
        <f t="shared" ca="1" si="186"/>
        <v>0</v>
      </c>
      <c r="V271" s="358">
        <f t="shared" ca="1" si="186"/>
        <v>0</v>
      </c>
      <c r="W271" s="358">
        <f t="shared" ca="1" si="186"/>
        <v>0</v>
      </c>
      <c r="X271" s="358">
        <f t="shared" ca="1" si="186"/>
        <v>0</v>
      </c>
      <c r="Y271" s="358">
        <f t="shared" ca="1" si="186"/>
        <v>0</v>
      </c>
      <c r="Z271" s="358">
        <f t="shared" ca="1" si="186"/>
        <v>0</v>
      </c>
      <c r="AA271" s="358">
        <f t="shared" ca="1" si="187"/>
        <v>0</v>
      </c>
      <c r="AB271" s="358">
        <f t="shared" ca="1" si="187"/>
        <v>0</v>
      </c>
      <c r="AC271" s="358">
        <f t="shared" ca="1" si="187"/>
        <v>0</v>
      </c>
      <c r="AD271" s="358">
        <f t="shared" ca="1" si="187"/>
        <v>0</v>
      </c>
      <c r="AE271" s="358">
        <f t="shared" ca="1" si="187"/>
        <v>0</v>
      </c>
      <c r="AF271" s="358">
        <f t="shared" ca="1" si="187"/>
        <v>0</v>
      </c>
      <c r="AG271" s="358">
        <f t="shared" ca="1" si="187"/>
        <v>0</v>
      </c>
      <c r="AH271" s="358">
        <f t="shared" ca="1" si="187"/>
        <v>0</v>
      </c>
      <c r="AI271" s="358">
        <f t="shared" ca="1" si="187"/>
        <v>0</v>
      </c>
      <c r="AJ271" s="358">
        <f t="shared" ca="1" si="187"/>
        <v>0</v>
      </c>
      <c r="AK271" s="358">
        <f t="shared" ca="1" si="188"/>
        <v>0</v>
      </c>
      <c r="AL271" s="358">
        <f t="shared" ca="1" si="188"/>
        <v>0</v>
      </c>
      <c r="AM271" s="358">
        <f t="shared" ca="1" si="188"/>
        <v>0</v>
      </c>
      <c r="AN271" s="358">
        <f t="shared" ca="1" si="188"/>
        <v>0</v>
      </c>
      <c r="AO271" s="358">
        <f t="shared" ca="1" si="188"/>
        <v>0</v>
      </c>
      <c r="AP271" s="358">
        <f t="shared" ca="1" si="188"/>
        <v>0</v>
      </c>
      <c r="AQ271" s="358">
        <f t="shared" ca="1" si="188"/>
        <v>0</v>
      </c>
      <c r="AR271" s="358">
        <f t="shared" ca="1" si="188"/>
        <v>0</v>
      </c>
      <c r="AS271" s="358">
        <f t="shared" ca="1" si="188"/>
        <v>0</v>
      </c>
      <c r="AT271" s="358">
        <f t="shared" ca="1" si="188"/>
        <v>0</v>
      </c>
      <c r="AV271" s="358">
        <f t="shared" ca="1" si="160"/>
        <v>0</v>
      </c>
      <c r="AX271" s="358">
        <f t="shared" ca="1" si="161"/>
        <v>0</v>
      </c>
      <c r="AZ271" s="358">
        <f t="shared" ca="1" si="162"/>
        <v>0</v>
      </c>
      <c r="BB271" s="358">
        <f t="shared" ca="1" si="163"/>
        <v>0</v>
      </c>
      <c r="BD271" s="358">
        <f t="shared" ca="1" si="164"/>
        <v>0</v>
      </c>
      <c r="BF271" s="358">
        <f t="shared" ca="1" si="165"/>
        <v>0</v>
      </c>
      <c r="BH271" s="358">
        <f t="shared" ca="1" si="166"/>
        <v>0</v>
      </c>
    </row>
    <row r="272" spans="1:60" hidden="1" outlineLevel="1">
      <c r="A272" s="1464">
        <f t="shared" si="180"/>
        <v>18</v>
      </c>
      <c r="B272" s="1464">
        <f t="shared" si="181"/>
        <v>28</v>
      </c>
      <c r="C272" s="1464">
        <f t="shared" si="182"/>
        <v>20</v>
      </c>
      <c r="D272" s="1271" t="str">
        <f ca="1">IF(OFFSET(PortfolioDashboard!$A$3,C272-1,0)="","Blank",OFFSET(PortfolioDashboard!$A$3,C272-1,0))</f>
        <v>Blank</v>
      </c>
      <c r="E272" s="1464" t="str">
        <f t="shared" si="183"/>
        <v>2010$</v>
      </c>
      <c r="F272" s="1460">
        <f t="shared" ca="1" si="184"/>
        <v>0</v>
      </c>
      <c r="G272" s="358">
        <f t="shared" ca="1" si="185"/>
        <v>0</v>
      </c>
      <c r="H272" s="358">
        <f t="shared" ca="1" si="185"/>
        <v>0</v>
      </c>
      <c r="I272" s="358">
        <f t="shared" ca="1" si="185"/>
        <v>0</v>
      </c>
      <c r="J272" s="358">
        <f t="shared" ca="1" si="185"/>
        <v>0</v>
      </c>
      <c r="K272" s="358">
        <f t="shared" ca="1" si="185"/>
        <v>0</v>
      </c>
      <c r="L272" s="358">
        <f t="shared" ca="1" si="185"/>
        <v>0</v>
      </c>
      <c r="M272" s="358">
        <f t="shared" ca="1" si="185"/>
        <v>0</v>
      </c>
      <c r="N272" s="358">
        <f t="shared" ca="1" si="185"/>
        <v>0</v>
      </c>
      <c r="O272" s="358">
        <f t="shared" ca="1" si="185"/>
        <v>0</v>
      </c>
      <c r="P272" s="358">
        <f t="shared" ca="1" si="185"/>
        <v>0</v>
      </c>
      <c r="Q272" s="358">
        <f t="shared" ca="1" si="186"/>
        <v>0</v>
      </c>
      <c r="R272" s="358">
        <f t="shared" ca="1" si="186"/>
        <v>0</v>
      </c>
      <c r="S272" s="358">
        <f t="shared" ca="1" si="186"/>
        <v>0</v>
      </c>
      <c r="T272" s="358">
        <f t="shared" ca="1" si="186"/>
        <v>0</v>
      </c>
      <c r="U272" s="358">
        <f t="shared" ca="1" si="186"/>
        <v>0</v>
      </c>
      <c r="V272" s="358">
        <f t="shared" ca="1" si="186"/>
        <v>0</v>
      </c>
      <c r="W272" s="358">
        <f t="shared" ca="1" si="186"/>
        <v>0</v>
      </c>
      <c r="X272" s="358">
        <f t="shared" ca="1" si="186"/>
        <v>0</v>
      </c>
      <c r="Y272" s="358">
        <f t="shared" ca="1" si="186"/>
        <v>0</v>
      </c>
      <c r="Z272" s="358">
        <f t="shared" ca="1" si="186"/>
        <v>0</v>
      </c>
      <c r="AA272" s="358">
        <f t="shared" ca="1" si="187"/>
        <v>0</v>
      </c>
      <c r="AB272" s="358">
        <f t="shared" ca="1" si="187"/>
        <v>0</v>
      </c>
      <c r="AC272" s="358">
        <f t="shared" ca="1" si="187"/>
        <v>0</v>
      </c>
      <c r="AD272" s="358">
        <f t="shared" ca="1" si="187"/>
        <v>0</v>
      </c>
      <c r="AE272" s="358">
        <f t="shared" ca="1" si="187"/>
        <v>0</v>
      </c>
      <c r="AF272" s="358">
        <f t="shared" ca="1" si="187"/>
        <v>0</v>
      </c>
      <c r="AG272" s="358">
        <f t="shared" ca="1" si="187"/>
        <v>0</v>
      </c>
      <c r="AH272" s="358">
        <f t="shared" ca="1" si="187"/>
        <v>0</v>
      </c>
      <c r="AI272" s="358">
        <f t="shared" ca="1" si="187"/>
        <v>0</v>
      </c>
      <c r="AJ272" s="358">
        <f t="shared" ca="1" si="187"/>
        <v>0</v>
      </c>
      <c r="AK272" s="358">
        <f t="shared" ca="1" si="188"/>
        <v>0</v>
      </c>
      <c r="AL272" s="358">
        <f t="shared" ca="1" si="188"/>
        <v>0</v>
      </c>
      <c r="AM272" s="358">
        <f t="shared" ca="1" si="188"/>
        <v>0</v>
      </c>
      <c r="AN272" s="358">
        <f t="shared" ca="1" si="188"/>
        <v>0</v>
      </c>
      <c r="AO272" s="358">
        <f t="shared" ca="1" si="188"/>
        <v>0</v>
      </c>
      <c r="AP272" s="358">
        <f t="shared" ca="1" si="188"/>
        <v>0</v>
      </c>
      <c r="AQ272" s="358">
        <f t="shared" ca="1" si="188"/>
        <v>0</v>
      </c>
      <c r="AR272" s="358">
        <f t="shared" ca="1" si="188"/>
        <v>0</v>
      </c>
      <c r="AS272" s="358">
        <f t="shared" ca="1" si="188"/>
        <v>0</v>
      </c>
      <c r="AT272" s="358">
        <f t="shared" ca="1" si="188"/>
        <v>0</v>
      </c>
      <c r="AV272" s="358">
        <f t="shared" ca="1" si="160"/>
        <v>0</v>
      </c>
      <c r="AX272" s="358">
        <f t="shared" ca="1" si="161"/>
        <v>0</v>
      </c>
      <c r="AZ272" s="358">
        <f t="shared" ca="1" si="162"/>
        <v>0</v>
      </c>
      <c r="BB272" s="358">
        <f t="shared" ca="1" si="163"/>
        <v>0</v>
      </c>
      <c r="BD272" s="358">
        <f t="shared" ca="1" si="164"/>
        <v>0</v>
      </c>
      <c r="BF272" s="358">
        <f t="shared" ca="1" si="165"/>
        <v>0</v>
      </c>
      <c r="BH272" s="358">
        <f t="shared" ca="1" si="166"/>
        <v>0</v>
      </c>
    </row>
    <row r="273" spans="1:60" hidden="1" outlineLevel="1">
      <c r="A273" s="1464">
        <f t="shared" si="180"/>
        <v>18</v>
      </c>
      <c r="B273" s="1464">
        <f t="shared" si="181"/>
        <v>28</v>
      </c>
      <c r="C273" s="1464">
        <f t="shared" si="182"/>
        <v>21</v>
      </c>
      <c r="D273" s="1271" t="str">
        <f ca="1">IF(OFFSET(PortfolioDashboard!$A$3,C273-1,0)="","Blank",OFFSET(PortfolioDashboard!$A$3,C273-1,0))</f>
        <v>Blank</v>
      </c>
      <c r="E273" s="1464" t="str">
        <f t="shared" si="183"/>
        <v>2010$</v>
      </c>
      <c r="F273" s="1460">
        <f t="shared" ca="1" si="184"/>
        <v>0</v>
      </c>
      <c r="G273" s="358">
        <f t="shared" ref="G273:P282" ca="1" si="189">IFERROR(OFFSET(INDIRECT(INDEX(List_of_Alternatives,MATCH($D273,NameofAlternatives,0))),$A273+G$1-$G$1,$B273),0)</f>
        <v>0</v>
      </c>
      <c r="H273" s="358">
        <f t="shared" ca="1" si="189"/>
        <v>0</v>
      </c>
      <c r="I273" s="358">
        <f t="shared" ca="1" si="189"/>
        <v>0</v>
      </c>
      <c r="J273" s="358">
        <f t="shared" ca="1" si="189"/>
        <v>0</v>
      </c>
      <c r="K273" s="358">
        <f t="shared" ca="1" si="189"/>
        <v>0</v>
      </c>
      <c r="L273" s="358">
        <f t="shared" ca="1" si="189"/>
        <v>0</v>
      </c>
      <c r="M273" s="358">
        <f t="shared" ca="1" si="189"/>
        <v>0</v>
      </c>
      <c r="N273" s="358">
        <f t="shared" ca="1" si="189"/>
        <v>0</v>
      </c>
      <c r="O273" s="358">
        <f t="shared" ca="1" si="189"/>
        <v>0</v>
      </c>
      <c r="P273" s="358">
        <f t="shared" ca="1" si="189"/>
        <v>0</v>
      </c>
      <c r="Q273" s="358">
        <f t="shared" ref="Q273:Z282" ca="1" si="190">IFERROR(OFFSET(INDIRECT(INDEX(List_of_Alternatives,MATCH($D273,NameofAlternatives,0))),$A273+Q$1-$G$1,$B273),0)</f>
        <v>0</v>
      </c>
      <c r="R273" s="358">
        <f t="shared" ca="1" si="190"/>
        <v>0</v>
      </c>
      <c r="S273" s="358">
        <f t="shared" ca="1" si="190"/>
        <v>0</v>
      </c>
      <c r="T273" s="358">
        <f t="shared" ca="1" si="190"/>
        <v>0</v>
      </c>
      <c r="U273" s="358">
        <f t="shared" ca="1" si="190"/>
        <v>0</v>
      </c>
      <c r="V273" s="358">
        <f t="shared" ca="1" si="190"/>
        <v>0</v>
      </c>
      <c r="W273" s="358">
        <f t="shared" ca="1" si="190"/>
        <v>0</v>
      </c>
      <c r="X273" s="358">
        <f t="shared" ca="1" si="190"/>
        <v>0</v>
      </c>
      <c r="Y273" s="358">
        <f t="shared" ca="1" si="190"/>
        <v>0</v>
      </c>
      <c r="Z273" s="358">
        <f t="shared" ca="1" si="190"/>
        <v>0</v>
      </c>
      <c r="AA273" s="358">
        <f t="shared" ref="AA273:AJ282" ca="1" si="191">IFERROR(OFFSET(INDIRECT(INDEX(List_of_Alternatives,MATCH($D273,NameofAlternatives,0))),$A273+AA$1-$G$1,$B273),0)</f>
        <v>0</v>
      </c>
      <c r="AB273" s="358">
        <f t="shared" ca="1" si="191"/>
        <v>0</v>
      </c>
      <c r="AC273" s="358">
        <f t="shared" ca="1" si="191"/>
        <v>0</v>
      </c>
      <c r="AD273" s="358">
        <f t="shared" ca="1" si="191"/>
        <v>0</v>
      </c>
      <c r="AE273" s="358">
        <f t="shared" ca="1" si="191"/>
        <v>0</v>
      </c>
      <c r="AF273" s="358">
        <f t="shared" ca="1" si="191"/>
        <v>0</v>
      </c>
      <c r="AG273" s="358">
        <f t="shared" ca="1" si="191"/>
        <v>0</v>
      </c>
      <c r="AH273" s="358">
        <f t="shared" ca="1" si="191"/>
        <v>0</v>
      </c>
      <c r="AI273" s="358">
        <f t="shared" ca="1" si="191"/>
        <v>0</v>
      </c>
      <c r="AJ273" s="358">
        <f t="shared" ca="1" si="191"/>
        <v>0</v>
      </c>
      <c r="AK273" s="358">
        <f t="shared" ref="AK273:AT282" ca="1" si="192">IFERROR(OFFSET(INDIRECT(INDEX(List_of_Alternatives,MATCH($D273,NameofAlternatives,0))),$A273+AK$1-$G$1,$B273),0)</f>
        <v>0</v>
      </c>
      <c r="AL273" s="358">
        <f t="shared" ca="1" si="192"/>
        <v>0</v>
      </c>
      <c r="AM273" s="358">
        <f t="shared" ca="1" si="192"/>
        <v>0</v>
      </c>
      <c r="AN273" s="358">
        <f t="shared" ca="1" si="192"/>
        <v>0</v>
      </c>
      <c r="AO273" s="358">
        <f t="shared" ca="1" si="192"/>
        <v>0</v>
      </c>
      <c r="AP273" s="358">
        <f t="shared" ca="1" si="192"/>
        <v>0</v>
      </c>
      <c r="AQ273" s="358">
        <f t="shared" ca="1" si="192"/>
        <v>0</v>
      </c>
      <c r="AR273" s="358">
        <f t="shared" ca="1" si="192"/>
        <v>0</v>
      </c>
      <c r="AS273" s="358">
        <f t="shared" ca="1" si="192"/>
        <v>0</v>
      </c>
      <c r="AT273" s="358">
        <f t="shared" ca="1" si="192"/>
        <v>0</v>
      </c>
      <c r="AV273" s="358">
        <f t="shared" ca="1" si="160"/>
        <v>0</v>
      </c>
      <c r="AX273" s="358">
        <f t="shared" ca="1" si="161"/>
        <v>0</v>
      </c>
      <c r="AZ273" s="358">
        <f t="shared" ca="1" si="162"/>
        <v>0</v>
      </c>
      <c r="BB273" s="358">
        <f t="shared" ca="1" si="163"/>
        <v>0</v>
      </c>
      <c r="BD273" s="358">
        <f t="shared" ca="1" si="164"/>
        <v>0</v>
      </c>
      <c r="BF273" s="358">
        <f t="shared" ca="1" si="165"/>
        <v>0</v>
      </c>
      <c r="BH273" s="358">
        <f t="shared" ca="1" si="166"/>
        <v>0</v>
      </c>
    </row>
    <row r="274" spans="1:60" hidden="1" outlineLevel="1">
      <c r="A274" s="1464">
        <f t="shared" si="180"/>
        <v>18</v>
      </c>
      <c r="B274" s="1464">
        <f t="shared" si="181"/>
        <v>28</v>
      </c>
      <c r="C274" s="1464">
        <f t="shared" si="182"/>
        <v>22</v>
      </c>
      <c r="D274" s="1271" t="str">
        <f ca="1">IF(OFFSET(PortfolioDashboard!$A$3,C274-1,0)="","Blank",OFFSET(PortfolioDashboard!$A$3,C274-1,0))</f>
        <v>Blank</v>
      </c>
      <c r="E274" s="1464" t="str">
        <f t="shared" si="183"/>
        <v>2010$</v>
      </c>
      <c r="F274" s="1460">
        <f t="shared" ca="1" si="184"/>
        <v>0</v>
      </c>
      <c r="G274" s="358">
        <f t="shared" ca="1" si="189"/>
        <v>0</v>
      </c>
      <c r="H274" s="358">
        <f t="shared" ca="1" si="189"/>
        <v>0</v>
      </c>
      <c r="I274" s="358">
        <f t="shared" ca="1" si="189"/>
        <v>0</v>
      </c>
      <c r="J274" s="358">
        <f t="shared" ca="1" si="189"/>
        <v>0</v>
      </c>
      <c r="K274" s="358">
        <f t="shared" ca="1" si="189"/>
        <v>0</v>
      </c>
      <c r="L274" s="358">
        <f t="shared" ca="1" si="189"/>
        <v>0</v>
      </c>
      <c r="M274" s="358">
        <f t="shared" ca="1" si="189"/>
        <v>0</v>
      </c>
      <c r="N274" s="358">
        <f t="shared" ca="1" si="189"/>
        <v>0</v>
      </c>
      <c r="O274" s="358">
        <f t="shared" ca="1" si="189"/>
        <v>0</v>
      </c>
      <c r="P274" s="358">
        <f t="shared" ca="1" si="189"/>
        <v>0</v>
      </c>
      <c r="Q274" s="358">
        <f t="shared" ca="1" si="190"/>
        <v>0</v>
      </c>
      <c r="R274" s="358">
        <f t="shared" ca="1" si="190"/>
        <v>0</v>
      </c>
      <c r="S274" s="358">
        <f t="shared" ca="1" si="190"/>
        <v>0</v>
      </c>
      <c r="T274" s="358">
        <f t="shared" ca="1" si="190"/>
        <v>0</v>
      </c>
      <c r="U274" s="358">
        <f t="shared" ca="1" si="190"/>
        <v>0</v>
      </c>
      <c r="V274" s="358">
        <f t="shared" ca="1" si="190"/>
        <v>0</v>
      </c>
      <c r="W274" s="358">
        <f t="shared" ca="1" si="190"/>
        <v>0</v>
      </c>
      <c r="X274" s="358">
        <f t="shared" ca="1" si="190"/>
        <v>0</v>
      </c>
      <c r="Y274" s="358">
        <f t="shared" ca="1" si="190"/>
        <v>0</v>
      </c>
      <c r="Z274" s="358">
        <f t="shared" ca="1" si="190"/>
        <v>0</v>
      </c>
      <c r="AA274" s="358">
        <f t="shared" ca="1" si="191"/>
        <v>0</v>
      </c>
      <c r="AB274" s="358">
        <f t="shared" ca="1" si="191"/>
        <v>0</v>
      </c>
      <c r="AC274" s="358">
        <f t="shared" ca="1" si="191"/>
        <v>0</v>
      </c>
      <c r="AD274" s="358">
        <f t="shared" ca="1" si="191"/>
        <v>0</v>
      </c>
      <c r="AE274" s="358">
        <f t="shared" ca="1" si="191"/>
        <v>0</v>
      </c>
      <c r="AF274" s="358">
        <f t="shared" ca="1" si="191"/>
        <v>0</v>
      </c>
      <c r="AG274" s="358">
        <f t="shared" ca="1" si="191"/>
        <v>0</v>
      </c>
      <c r="AH274" s="358">
        <f t="shared" ca="1" si="191"/>
        <v>0</v>
      </c>
      <c r="AI274" s="358">
        <f t="shared" ca="1" si="191"/>
        <v>0</v>
      </c>
      <c r="AJ274" s="358">
        <f t="shared" ca="1" si="191"/>
        <v>0</v>
      </c>
      <c r="AK274" s="358">
        <f t="shared" ca="1" si="192"/>
        <v>0</v>
      </c>
      <c r="AL274" s="358">
        <f t="shared" ca="1" si="192"/>
        <v>0</v>
      </c>
      <c r="AM274" s="358">
        <f t="shared" ca="1" si="192"/>
        <v>0</v>
      </c>
      <c r="AN274" s="358">
        <f t="shared" ca="1" si="192"/>
        <v>0</v>
      </c>
      <c r="AO274" s="358">
        <f t="shared" ca="1" si="192"/>
        <v>0</v>
      </c>
      <c r="AP274" s="358">
        <f t="shared" ca="1" si="192"/>
        <v>0</v>
      </c>
      <c r="AQ274" s="358">
        <f t="shared" ca="1" si="192"/>
        <v>0</v>
      </c>
      <c r="AR274" s="358">
        <f t="shared" ca="1" si="192"/>
        <v>0</v>
      </c>
      <c r="AS274" s="358">
        <f t="shared" ca="1" si="192"/>
        <v>0</v>
      </c>
      <c r="AT274" s="358">
        <f t="shared" ca="1" si="192"/>
        <v>0</v>
      </c>
      <c r="AV274" s="358">
        <f t="shared" ca="1" si="160"/>
        <v>0</v>
      </c>
      <c r="AX274" s="358">
        <f t="shared" ca="1" si="161"/>
        <v>0</v>
      </c>
      <c r="AZ274" s="358">
        <f t="shared" ca="1" si="162"/>
        <v>0</v>
      </c>
      <c r="BB274" s="358">
        <f t="shared" ca="1" si="163"/>
        <v>0</v>
      </c>
      <c r="BD274" s="358">
        <f t="shared" ca="1" si="164"/>
        <v>0</v>
      </c>
      <c r="BF274" s="358">
        <f t="shared" ca="1" si="165"/>
        <v>0</v>
      </c>
      <c r="BH274" s="358">
        <f t="shared" ca="1" si="166"/>
        <v>0</v>
      </c>
    </row>
    <row r="275" spans="1:60" hidden="1" outlineLevel="1">
      <c r="A275" s="1464">
        <f t="shared" si="180"/>
        <v>18</v>
      </c>
      <c r="B275" s="1464">
        <f t="shared" si="181"/>
        <v>28</v>
      </c>
      <c r="C275" s="1464">
        <f t="shared" si="182"/>
        <v>23</v>
      </c>
      <c r="D275" s="1271" t="str">
        <f ca="1">IF(OFFSET(PortfolioDashboard!$A$3,C275-1,0)="","Blank",OFFSET(PortfolioDashboard!$A$3,C275-1,0))</f>
        <v>Blank</v>
      </c>
      <c r="E275" s="1464" t="str">
        <f t="shared" si="183"/>
        <v>2010$</v>
      </c>
      <c r="F275" s="1460">
        <f t="shared" ca="1" si="184"/>
        <v>0</v>
      </c>
      <c r="G275" s="358">
        <f t="shared" ca="1" si="189"/>
        <v>0</v>
      </c>
      <c r="H275" s="358">
        <f t="shared" ca="1" si="189"/>
        <v>0</v>
      </c>
      <c r="I275" s="358">
        <f t="shared" ca="1" si="189"/>
        <v>0</v>
      </c>
      <c r="J275" s="358">
        <f t="shared" ca="1" si="189"/>
        <v>0</v>
      </c>
      <c r="K275" s="358">
        <f t="shared" ca="1" si="189"/>
        <v>0</v>
      </c>
      <c r="L275" s="358">
        <f t="shared" ca="1" si="189"/>
        <v>0</v>
      </c>
      <c r="M275" s="358">
        <f t="shared" ca="1" si="189"/>
        <v>0</v>
      </c>
      <c r="N275" s="358">
        <f t="shared" ca="1" si="189"/>
        <v>0</v>
      </c>
      <c r="O275" s="358">
        <f t="shared" ca="1" si="189"/>
        <v>0</v>
      </c>
      <c r="P275" s="358">
        <f t="shared" ca="1" si="189"/>
        <v>0</v>
      </c>
      <c r="Q275" s="358">
        <f t="shared" ca="1" si="190"/>
        <v>0</v>
      </c>
      <c r="R275" s="358">
        <f t="shared" ca="1" si="190"/>
        <v>0</v>
      </c>
      <c r="S275" s="358">
        <f t="shared" ca="1" si="190"/>
        <v>0</v>
      </c>
      <c r="T275" s="358">
        <f t="shared" ca="1" si="190"/>
        <v>0</v>
      </c>
      <c r="U275" s="358">
        <f t="shared" ca="1" si="190"/>
        <v>0</v>
      </c>
      <c r="V275" s="358">
        <f t="shared" ca="1" si="190"/>
        <v>0</v>
      </c>
      <c r="W275" s="358">
        <f t="shared" ca="1" si="190"/>
        <v>0</v>
      </c>
      <c r="X275" s="358">
        <f t="shared" ca="1" si="190"/>
        <v>0</v>
      </c>
      <c r="Y275" s="358">
        <f t="shared" ca="1" si="190"/>
        <v>0</v>
      </c>
      <c r="Z275" s="358">
        <f t="shared" ca="1" si="190"/>
        <v>0</v>
      </c>
      <c r="AA275" s="358">
        <f t="shared" ca="1" si="191"/>
        <v>0</v>
      </c>
      <c r="AB275" s="358">
        <f t="shared" ca="1" si="191"/>
        <v>0</v>
      </c>
      <c r="AC275" s="358">
        <f t="shared" ca="1" si="191"/>
        <v>0</v>
      </c>
      <c r="AD275" s="358">
        <f t="shared" ca="1" si="191"/>
        <v>0</v>
      </c>
      <c r="AE275" s="358">
        <f t="shared" ca="1" si="191"/>
        <v>0</v>
      </c>
      <c r="AF275" s="358">
        <f t="shared" ca="1" si="191"/>
        <v>0</v>
      </c>
      <c r="AG275" s="358">
        <f t="shared" ca="1" si="191"/>
        <v>0</v>
      </c>
      <c r="AH275" s="358">
        <f t="shared" ca="1" si="191"/>
        <v>0</v>
      </c>
      <c r="AI275" s="358">
        <f t="shared" ca="1" si="191"/>
        <v>0</v>
      </c>
      <c r="AJ275" s="358">
        <f t="shared" ca="1" si="191"/>
        <v>0</v>
      </c>
      <c r="AK275" s="358">
        <f t="shared" ca="1" si="192"/>
        <v>0</v>
      </c>
      <c r="AL275" s="358">
        <f t="shared" ca="1" si="192"/>
        <v>0</v>
      </c>
      <c r="AM275" s="358">
        <f t="shared" ca="1" si="192"/>
        <v>0</v>
      </c>
      <c r="AN275" s="358">
        <f t="shared" ca="1" si="192"/>
        <v>0</v>
      </c>
      <c r="AO275" s="358">
        <f t="shared" ca="1" si="192"/>
        <v>0</v>
      </c>
      <c r="AP275" s="358">
        <f t="shared" ca="1" si="192"/>
        <v>0</v>
      </c>
      <c r="AQ275" s="358">
        <f t="shared" ca="1" si="192"/>
        <v>0</v>
      </c>
      <c r="AR275" s="358">
        <f t="shared" ca="1" si="192"/>
        <v>0</v>
      </c>
      <c r="AS275" s="358">
        <f t="shared" ca="1" si="192"/>
        <v>0</v>
      </c>
      <c r="AT275" s="358">
        <f t="shared" ca="1" si="192"/>
        <v>0</v>
      </c>
      <c r="AV275" s="358">
        <f t="shared" ca="1" si="160"/>
        <v>0</v>
      </c>
      <c r="AX275" s="358">
        <f t="shared" ca="1" si="161"/>
        <v>0</v>
      </c>
      <c r="AZ275" s="358">
        <f t="shared" ca="1" si="162"/>
        <v>0</v>
      </c>
      <c r="BB275" s="358">
        <f t="shared" ca="1" si="163"/>
        <v>0</v>
      </c>
      <c r="BD275" s="358">
        <f t="shared" ca="1" si="164"/>
        <v>0</v>
      </c>
      <c r="BF275" s="358">
        <f t="shared" ca="1" si="165"/>
        <v>0</v>
      </c>
      <c r="BH275" s="358">
        <f t="shared" ca="1" si="166"/>
        <v>0</v>
      </c>
    </row>
    <row r="276" spans="1:60" hidden="1" outlineLevel="1">
      <c r="A276" s="1464">
        <f t="shared" si="180"/>
        <v>18</v>
      </c>
      <c r="B276" s="1464">
        <f t="shared" si="181"/>
        <v>28</v>
      </c>
      <c r="C276" s="1464">
        <f t="shared" si="182"/>
        <v>24</v>
      </c>
      <c r="D276" s="1271" t="str">
        <f ca="1">IF(OFFSET(PortfolioDashboard!$A$3,C276-1,0)="","Blank",OFFSET(PortfolioDashboard!$A$3,C276-1,0))</f>
        <v>Blank</v>
      </c>
      <c r="E276" s="1464" t="str">
        <f t="shared" si="183"/>
        <v>2010$</v>
      </c>
      <c r="F276" s="1460">
        <f t="shared" ca="1" si="184"/>
        <v>0</v>
      </c>
      <c r="G276" s="358">
        <f t="shared" ca="1" si="189"/>
        <v>0</v>
      </c>
      <c r="H276" s="358">
        <f t="shared" ca="1" si="189"/>
        <v>0</v>
      </c>
      <c r="I276" s="358">
        <f t="shared" ca="1" si="189"/>
        <v>0</v>
      </c>
      <c r="J276" s="358">
        <f t="shared" ca="1" si="189"/>
        <v>0</v>
      </c>
      <c r="K276" s="358">
        <f t="shared" ca="1" si="189"/>
        <v>0</v>
      </c>
      <c r="L276" s="358">
        <f t="shared" ca="1" si="189"/>
        <v>0</v>
      </c>
      <c r="M276" s="358">
        <f t="shared" ca="1" si="189"/>
        <v>0</v>
      </c>
      <c r="N276" s="358">
        <f t="shared" ca="1" si="189"/>
        <v>0</v>
      </c>
      <c r="O276" s="358">
        <f t="shared" ca="1" si="189"/>
        <v>0</v>
      </c>
      <c r="P276" s="358">
        <f t="shared" ca="1" si="189"/>
        <v>0</v>
      </c>
      <c r="Q276" s="358">
        <f t="shared" ca="1" si="190"/>
        <v>0</v>
      </c>
      <c r="R276" s="358">
        <f t="shared" ca="1" si="190"/>
        <v>0</v>
      </c>
      <c r="S276" s="358">
        <f t="shared" ca="1" si="190"/>
        <v>0</v>
      </c>
      <c r="T276" s="358">
        <f t="shared" ca="1" si="190"/>
        <v>0</v>
      </c>
      <c r="U276" s="358">
        <f t="shared" ca="1" si="190"/>
        <v>0</v>
      </c>
      <c r="V276" s="358">
        <f t="shared" ca="1" si="190"/>
        <v>0</v>
      </c>
      <c r="W276" s="358">
        <f t="shared" ca="1" si="190"/>
        <v>0</v>
      </c>
      <c r="X276" s="358">
        <f t="shared" ca="1" si="190"/>
        <v>0</v>
      </c>
      <c r="Y276" s="358">
        <f t="shared" ca="1" si="190"/>
        <v>0</v>
      </c>
      <c r="Z276" s="358">
        <f t="shared" ca="1" si="190"/>
        <v>0</v>
      </c>
      <c r="AA276" s="358">
        <f t="shared" ca="1" si="191"/>
        <v>0</v>
      </c>
      <c r="AB276" s="358">
        <f t="shared" ca="1" si="191"/>
        <v>0</v>
      </c>
      <c r="AC276" s="358">
        <f t="shared" ca="1" si="191"/>
        <v>0</v>
      </c>
      <c r="AD276" s="358">
        <f t="shared" ca="1" si="191"/>
        <v>0</v>
      </c>
      <c r="AE276" s="358">
        <f t="shared" ca="1" si="191"/>
        <v>0</v>
      </c>
      <c r="AF276" s="358">
        <f t="shared" ca="1" si="191"/>
        <v>0</v>
      </c>
      <c r="AG276" s="358">
        <f t="shared" ca="1" si="191"/>
        <v>0</v>
      </c>
      <c r="AH276" s="358">
        <f t="shared" ca="1" si="191"/>
        <v>0</v>
      </c>
      <c r="AI276" s="358">
        <f t="shared" ca="1" si="191"/>
        <v>0</v>
      </c>
      <c r="AJ276" s="358">
        <f t="shared" ca="1" si="191"/>
        <v>0</v>
      </c>
      <c r="AK276" s="358">
        <f t="shared" ca="1" si="192"/>
        <v>0</v>
      </c>
      <c r="AL276" s="358">
        <f t="shared" ca="1" si="192"/>
        <v>0</v>
      </c>
      <c r="AM276" s="358">
        <f t="shared" ca="1" si="192"/>
        <v>0</v>
      </c>
      <c r="AN276" s="358">
        <f t="shared" ca="1" si="192"/>
        <v>0</v>
      </c>
      <c r="AO276" s="358">
        <f t="shared" ca="1" si="192"/>
        <v>0</v>
      </c>
      <c r="AP276" s="358">
        <f t="shared" ca="1" si="192"/>
        <v>0</v>
      </c>
      <c r="AQ276" s="358">
        <f t="shared" ca="1" si="192"/>
        <v>0</v>
      </c>
      <c r="AR276" s="358">
        <f t="shared" ca="1" si="192"/>
        <v>0</v>
      </c>
      <c r="AS276" s="358">
        <f t="shared" ca="1" si="192"/>
        <v>0</v>
      </c>
      <c r="AT276" s="358">
        <f t="shared" ca="1" si="192"/>
        <v>0</v>
      </c>
      <c r="AV276" s="358">
        <f t="shared" ca="1" si="160"/>
        <v>0</v>
      </c>
      <c r="AX276" s="358">
        <f t="shared" ca="1" si="161"/>
        <v>0</v>
      </c>
      <c r="AZ276" s="358">
        <f t="shared" ca="1" si="162"/>
        <v>0</v>
      </c>
      <c r="BB276" s="358">
        <f t="shared" ca="1" si="163"/>
        <v>0</v>
      </c>
      <c r="BD276" s="358">
        <f t="shared" ca="1" si="164"/>
        <v>0</v>
      </c>
      <c r="BF276" s="358">
        <f t="shared" ca="1" si="165"/>
        <v>0</v>
      </c>
      <c r="BH276" s="358">
        <f t="shared" ca="1" si="166"/>
        <v>0</v>
      </c>
    </row>
    <row r="277" spans="1:60" hidden="1" outlineLevel="1">
      <c r="A277" s="1464">
        <f t="shared" si="180"/>
        <v>18</v>
      </c>
      <c r="B277" s="1464">
        <f t="shared" si="181"/>
        <v>28</v>
      </c>
      <c r="C277" s="1464">
        <f t="shared" si="182"/>
        <v>25</v>
      </c>
      <c r="D277" s="1271" t="str">
        <f ca="1">IF(OFFSET(PortfolioDashboard!$A$3,C277-1,0)="","Blank",OFFSET(PortfolioDashboard!$A$3,C277-1,0))</f>
        <v>Blank</v>
      </c>
      <c r="E277" s="1464" t="str">
        <f t="shared" si="183"/>
        <v>2010$</v>
      </c>
      <c r="F277" s="1460">
        <f t="shared" ca="1" si="184"/>
        <v>0</v>
      </c>
      <c r="G277" s="358">
        <f t="shared" ca="1" si="189"/>
        <v>0</v>
      </c>
      <c r="H277" s="358">
        <f t="shared" ca="1" si="189"/>
        <v>0</v>
      </c>
      <c r="I277" s="358">
        <f t="shared" ca="1" si="189"/>
        <v>0</v>
      </c>
      <c r="J277" s="358">
        <f t="shared" ca="1" si="189"/>
        <v>0</v>
      </c>
      <c r="K277" s="358">
        <f t="shared" ca="1" si="189"/>
        <v>0</v>
      </c>
      <c r="L277" s="358">
        <f t="shared" ca="1" si="189"/>
        <v>0</v>
      </c>
      <c r="M277" s="358">
        <f t="shared" ca="1" si="189"/>
        <v>0</v>
      </c>
      <c r="N277" s="358">
        <f t="shared" ca="1" si="189"/>
        <v>0</v>
      </c>
      <c r="O277" s="358">
        <f t="shared" ca="1" si="189"/>
        <v>0</v>
      </c>
      <c r="P277" s="358">
        <f t="shared" ca="1" si="189"/>
        <v>0</v>
      </c>
      <c r="Q277" s="358">
        <f t="shared" ca="1" si="190"/>
        <v>0</v>
      </c>
      <c r="R277" s="358">
        <f t="shared" ca="1" si="190"/>
        <v>0</v>
      </c>
      <c r="S277" s="358">
        <f t="shared" ca="1" si="190"/>
        <v>0</v>
      </c>
      <c r="T277" s="358">
        <f t="shared" ca="1" si="190"/>
        <v>0</v>
      </c>
      <c r="U277" s="358">
        <f t="shared" ca="1" si="190"/>
        <v>0</v>
      </c>
      <c r="V277" s="358">
        <f t="shared" ca="1" si="190"/>
        <v>0</v>
      </c>
      <c r="W277" s="358">
        <f t="shared" ca="1" si="190"/>
        <v>0</v>
      </c>
      <c r="X277" s="358">
        <f t="shared" ca="1" si="190"/>
        <v>0</v>
      </c>
      <c r="Y277" s="358">
        <f t="shared" ca="1" si="190"/>
        <v>0</v>
      </c>
      <c r="Z277" s="358">
        <f t="shared" ca="1" si="190"/>
        <v>0</v>
      </c>
      <c r="AA277" s="358">
        <f t="shared" ca="1" si="191"/>
        <v>0</v>
      </c>
      <c r="AB277" s="358">
        <f t="shared" ca="1" si="191"/>
        <v>0</v>
      </c>
      <c r="AC277" s="358">
        <f t="shared" ca="1" si="191"/>
        <v>0</v>
      </c>
      <c r="AD277" s="358">
        <f t="shared" ca="1" si="191"/>
        <v>0</v>
      </c>
      <c r="AE277" s="358">
        <f t="shared" ca="1" si="191"/>
        <v>0</v>
      </c>
      <c r="AF277" s="358">
        <f t="shared" ca="1" si="191"/>
        <v>0</v>
      </c>
      <c r="AG277" s="358">
        <f t="shared" ca="1" si="191"/>
        <v>0</v>
      </c>
      <c r="AH277" s="358">
        <f t="shared" ca="1" si="191"/>
        <v>0</v>
      </c>
      <c r="AI277" s="358">
        <f t="shared" ca="1" si="191"/>
        <v>0</v>
      </c>
      <c r="AJ277" s="358">
        <f t="shared" ca="1" si="191"/>
        <v>0</v>
      </c>
      <c r="AK277" s="358">
        <f t="shared" ca="1" si="192"/>
        <v>0</v>
      </c>
      <c r="AL277" s="358">
        <f t="shared" ca="1" si="192"/>
        <v>0</v>
      </c>
      <c r="AM277" s="358">
        <f t="shared" ca="1" si="192"/>
        <v>0</v>
      </c>
      <c r="AN277" s="358">
        <f t="shared" ca="1" si="192"/>
        <v>0</v>
      </c>
      <c r="AO277" s="358">
        <f t="shared" ca="1" si="192"/>
        <v>0</v>
      </c>
      <c r="AP277" s="358">
        <f t="shared" ca="1" si="192"/>
        <v>0</v>
      </c>
      <c r="AQ277" s="358">
        <f t="shared" ca="1" si="192"/>
        <v>0</v>
      </c>
      <c r="AR277" s="358">
        <f t="shared" ca="1" si="192"/>
        <v>0</v>
      </c>
      <c r="AS277" s="358">
        <f t="shared" ca="1" si="192"/>
        <v>0</v>
      </c>
      <c r="AT277" s="358">
        <f t="shared" ca="1" si="192"/>
        <v>0</v>
      </c>
      <c r="AV277" s="358">
        <f t="shared" ca="1" si="160"/>
        <v>0</v>
      </c>
      <c r="AX277" s="358">
        <f t="shared" ca="1" si="161"/>
        <v>0</v>
      </c>
      <c r="AZ277" s="358">
        <f t="shared" ca="1" si="162"/>
        <v>0</v>
      </c>
      <c r="BB277" s="358">
        <f t="shared" ca="1" si="163"/>
        <v>0</v>
      </c>
      <c r="BD277" s="358">
        <f t="shared" ca="1" si="164"/>
        <v>0</v>
      </c>
      <c r="BF277" s="358">
        <f t="shared" ca="1" si="165"/>
        <v>0</v>
      </c>
      <c r="BH277" s="358">
        <f t="shared" ca="1" si="166"/>
        <v>0</v>
      </c>
    </row>
    <row r="278" spans="1:60" hidden="1" outlineLevel="1">
      <c r="A278" s="1464">
        <f t="shared" si="180"/>
        <v>18</v>
      </c>
      <c r="B278" s="1464">
        <f t="shared" si="181"/>
        <v>28</v>
      </c>
      <c r="C278" s="1464">
        <f t="shared" si="182"/>
        <v>26</v>
      </c>
      <c r="D278" s="1271" t="str">
        <f ca="1">IF(OFFSET(PortfolioDashboard!$A$3,C278-1,0)="","Blank",OFFSET(PortfolioDashboard!$A$3,C278-1,0))</f>
        <v>Blank</v>
      </c>
      <c r="E278" s="1464" t="str">
        <f t="shared" si="183"/>
        <v>2010$</v>
      </c>
      <c r="F278" s="1460">
        <f t="shared" ca="1" si="184"/>
        <v>0</v>
      </c>
      <c r="G278" s="358">
        <f t="shared" ca="1" si="189"/>
        <v>0</v>
      </c>
      <c r="H278" s="358">
        <f t="shared" ca="1" si="189"/>
        <v>0</v>
      </c>
      <c r="I278" s="358">
        <f t="shared" ca="1" si="189"/>
        <v>0</v>
      </c>
      <c r="J278" s="358">
        <f t="shared" ca="1" si="189"/>
        <v>0</v>
      </c>
      <c r="K278" s="358">
        <f t="shared" ca="1" si="189"/>
        <v>0</v>
      </c>
      <c r="L278" s="358">
        <f t="shared" ca="1" si="189"/>
        <v>0</v>
      </c>
      <c r="M278" s="358">
        <f t="shared" ca="1" si="189"/>
        <v>0</v>
      </c>
      <c r="N278" s="358">
        <f t="shared" ca="1" si="189"/>
        <v>0</v>
      </c>
      <c r="O278" s="358">
        <f t="shared" ca="1" si="189"/>
        <v>0</v>
      </c>
      <c r="P278" s="358">
        <f t="shared" ca="1" si="189"/>
        <v>0</v>
      </c>
      <c r="Q278" s="358">
        <f t="shared" ca="1" si="190"/>
        <v>0</v>
      </c>
      <c r="R278" s="358">
        <f t="shared" ca="1" si="190"/>
        <v>0</v>
      </c>
      <c r="S278" s="358">
        <f t="shared" ca="1" si="190"/>
        <v>0</v>
      </c>
      <c r="T278" s="358">
        <f t="shared" ca="1" si="190"/>
        <v>0</v>
      </c>
      <c r="U278" s="358">
        <f t="shared" ca="1" si="190"/>
        <v>0</v>
      </c>
      <c r="V278" s="358">
        <f t="shared" ca="1" si="190"/>
        <v>0</v>
      </c>
      <c r="W278" s="358">
        <f t="shared" ca="1" si="190"/>
        <v>0</v>
      </c>
      <c r="X278" s="358">
        <f t="shared" ca="1" si="190"/>
        <v>0</v>
      </c>
      <c r="Y278" s="358">
        <f t="shared" ca="1" si="190"/>
        <v>0</v>
      </c>
      <c r="Z278" s="358">
        <f t="shared" ca="1" si="190"/>
        <v>0</v>
      </c>
      <c r="AA278" s="358">
        <f t="shared" ca="1" si="191"/>
        <v>0</v>
      </c>
      <c r="AB278" s="358">
        <f t="shared" ca="1" si="191"/>
        <v>0</v>
      </c>
      <c r="AC278" s="358">
        <f t="shared" ca="1" si="191"/>
        <v>0</v>
      </c>
      <c r="AD278" s="358">
        <f t="shared" ca="1" si="191"/>
        <v>0</v>
      </c>
      <c r="AE278" s="358">
        <f t="shared" ca="1" si="191"/>
        <v>0</v>
      </c>
      <c r="AF278" s="358">
        <f t="shared" ca="1" si="191"/>
        <v>0</v>
      </c>
      <c r="AG278" s="358">
        <f t="shared" ca="1" si="191"/>
        <v>0</v>
      </c>
      <c r="AH278" s="358">
        <f t="shared" ca="1" si="191"/>
        <v>0</v>
      </c>
      <c r="AI278" s="358">
        <f t="shared" ca="1" si="191"/>
        <v>0</v>
      </c>
      <c r="AJ278" s="358">
        <f t="shared" ca="1" si="191"/>
        <v>0</v>
      </c>
      <c r="AK278" s="358">
        <f t="shared" ca="1" si="192"/>
        <v>0</v>
      </c>
      <c r="AL278" s="358">
        <f t="shared" ca="1" si="192"/>
        <v>0</v>
      </c>
      <c r="AM278" s="358">
        <f t="shared" ca="1" si="192"/>
        <v>0</v>
      </c>
      <c r="AN278" s="358">
        <f t="shared" ca="1" si="192"/>
        <v>0</v>
      </c>
      <c r="AO278" s="358">
        <f t="shared" ca="1" si="192"/>
        <v>0</v>
      </c>
      <c r="AP278" s="358">
        <f t="shared" ca="1" si="192"/>
        <v>0</v>
      </c>
      <c r="AQ278" s="358">
        <f t="shared" ca="1" si="192"/>
        <v>0</v>
      </c>
      <c r="AR278" s="358">
        <f t="shared" ca="1" si="192"/>
        <v>0</v>
      </c>
      <c r="AS278" s="358">
        <f t="shared" ca="1" si="192"/>
        <v>0</v>
      </c>
      <c r="AT278" s="358">
        <f t="shared" ca="1" si="192"/>
        <v>0</v>
      </c>
      <c r="AV278" s="358">
        <f t="shared" ca="1" si="160"/>
        <v>0</v>
      </c>
      <c r="AX278" s="358">
        <f t="shared" ca="1" si="161"/>
        <v>0</v>
      </c>
      <c r="AZ278" s="358">
        <f t="shared" ca="1" si="162"/>
        <v>0</v>
      </c>
      <c r="BB278" s="358">
        <f t="shared" ca="1" si="163"/>
        <v>0</v>
      </c>
      <c r="BD278" s="358">
        <f t="shared" ca="1" si="164"/>
        <v>0</v>
      </c>
      <c r="BF278" s="358">
        <f t="shared" ca="1" si="165"/>
        <v>0</v>
      </c>
      <c r="BH278" s="358">
        <f t="shared" ca="1" si="166"/>
        <v>0</v>
      </c>
    </row>
    <row r="279" spans="1:60" hidden="1" outlineLevel="1">
      <c r="A279" s="1464">
        <f t="shared" si="180"/>
        <v>18</v>
      </c>
      <c r="B279" s="1464">
        <f t="shared" si="181"/>
        <v>28</v>
      </c>
      <c r="C279" s="1464">
        <f t="shared" si="182"/>
        <v>27</v>
      </c>
      <c r="D279" s="1271" t="str">
        <f ca="1">IF(OFFSET(PortfolioDashboard!$A$3,C279-1,0)="","Blank",OFFSET(PortfolioDashboard!$A$3,C279-1,0))</f>
        <v>Blank</v>
      </c>
      <c r="E279" s="1464" t="str">
        <f t="shared" si="183"/>
        <v>2010$</v>
      </c>
      <c r="F279" s="1460">
        <f t="shared" ca="1" si="184"/>
        <v>0</v>
      </c>
      <c r="G279" s="358">
        <f t="shared" ca="1" si="189"/>
        <v>0</v>
      </c>
      <c r="H279" s="358">
        <f t="shared" ca="1" si="189"/>
        <v>0</v>
      </c>
      <c r="I279" s="358">
        <f t="shared" ca="1" si="189"/>
        <v>0</v>
      </c>
      <c r="J279" s="358">
        <f t="shared" ca="1" si="189"/>
        <v>0</v>
      </c>
      <c r="K279" s="358">
        <f t="shared" ca="1" si="189"/>
        <v>0</v>
      </c>
      <c r="L279" s="358">
        <f t="shared" ca="1" si="189"/>
        <v>0</v>
      </c>
      <c r="M279" s="358">
        <f t="shared" ca="1" si="189"/>
        <v>0</v>
      </c>
      <c r="N279" s="358">
        <f t="shared" ca="1" si="189"/>
        <v>0</v>
      </c>
      <c r="O279" s="358">
        <f t="shared" ca="1" si="189"/>
        <v>0</v>
      </c>
      <c r="P279" s="358">
        <f t="shared" ca="1" si="189"/>
        <v>0</v>
      </c>
      <c r="Q279" s="358">
        <f t="shared" ca="1" si="190"/>
        <v>0</v>
      </c>
      <c r="R279" s="358">
        <f t="shared" ca="1" si="190"/>
        <v>0</v>
      </c>
      <c r="S279" s="358">
        <f t="shared" ca="1" si="190"/>
        <v>0</v>
      </c>
      <c r="T279" s="358">
        <f t="shared" ca="1" si="190"/>
        <v>0</v>
      </c>
      <c r="U279" s="358">
        <f t="shared" ca="1" si="190"/>
        <v>0</v>
      </c>
      <c r="V279" s="358">
        <f t="shared" ca="1" si="190"/>
        <v>0</v>
      </c>
      <c r="W279" s="358">
        <f t="shared" ca="1" si="190"/>
        <v>0</v>
      </c>
      <c r="X279" s="358">
        <f t="shared" ca="1" si="190"/>
        <v>0</v>
      </c>
      <c r="Y279" s="358">
        <f t="shared" ca="1" si="190"/>
        <v>0</v>
      </c>
      <c r="Z279" s="358">
        <f t="shared" ca="1" si="190"/>
        <v>0</v>
      </c>
      <c r="AA279" s="358">
        <f t="shared" ca="1" si="191"/>
        <v>0</v>
      </c>
      <c r="AB279" s="358">
        <f t="shared" ca="1" si="191"/>
        <v>0</v>
      </c>
      <c r="AC279" s="358">
        <f t="shared" ca="1" si="191"/>
        <v>0</v>
      </c>
      <c r="AD279" s="358">
        <f t="shared" ca="1" si="191"/>
        <v>0</v>
      </c>
      <c r="AE279" s="358">
        <f t="shared" ca="1" si="191"/>
        <v>0</v>
      </c>
      <c r="AF279" s="358">
        <f t="shared" ca="1" si="191"/>
        <v>0</v>
      </c>
      <c r="AG279" s="358">
        <f t="shared" ca="1" si="191"/>
        <v>0</v>
      </c>
      <c r="AH279" s="358">
        <f t="shared" ca="1" si="191"/>
        <v>0</v>
      </c>
      <c r="AI279" s="358">
        <f t="shared" ca="1" si="191"/>
        <v>0</v>
      </c>
      <c r="AJ279" s="358">
        <f t="shared" ca="1" si="191"/>
        <v>0</v>
      </c>
      <c r="AK279" s="358">
        <f t="shared" ca="1" si="192"/>
        <v>0</v>
      </c>
      <c r="AL279" s="358">
        <f t="shared" ca="1" si="192"/>
        <v>0</v>
      </c>
      <c r="AM279" s="358">
        <f t="shared" ca="1" si="192"/>
        <v>0</v>
      </c>
      <c r="AN279" s="358">
        <f t="shared" ca="1" si="192"/>
        <v>0</v>
      </c>
      <c r="AO279" s="358">
        <f t="shared" ca="1" si="192"/>
        <v>0</v>
      </c>
      <c r="AP279" s="358">
        <f t="shared" ca="1" si="192"/>
        <v>0</v>
      </c>
      <c r="AQ279" s="358">
        <f t="shared" ca="1" si="192"/>
        <v>0</v>
      </c>
      <c r="AR279" s="358">
        <f t="shared" ca="1" si="192"/>
        <v>0</v>
      </c>
      <c r="AS279" s="358">
        <f t="shared" ca="1" si="192"/>
        <v>0</v>
      </c>
      <c r="AT279" s="358">
        <f t="shared" ca="1" si="192"/>
        <v>0</v>
      </c>
      <c r="AV279" s="358">
        <f t="shared" ca="1" si="160"/>
        <v>0</v>
      </c>
      <c r="AX279" s="358">
        <f t="shared" ca="1" si="161"/>
        <v>0</v>
      </c>
      <c r="AZ279" s="358">
        <f t="shared" ca="1" si="162"/>
        <v>0</v>
      </c>
      <c r="BB279" s="358">
        <f t="shared" ca="1" si="163"/>
        <v>0</v>
      </c>
      <c r="BD279" s="358">
        <f t="shared" ca="1" si="164"/>
        <v>0</v>
      </c>
      <c r="BF279" s="358">
        <f t="shared" ca="1" si="165"/>
        <v>0</v>
      </c>
      <c r="BH279" s="358">
        <f t="shared" ca="1" si="166"/>
        <v>0</v>
      </c>
    </row>
    <row r="280" spans="1:60" hidden="1" outlineLevel="1">
      <c r="A280" s="1464">
        <f t="shared" si="180"/>
        <v>18</v>
      </c>
      <c r="B280" s="1464">
        <f t="shared" si="181"/>
        <v>28</v>
      </c>
      <c r="C280" s="1464">
        <f t="shared" si="182"/>
        <v>28</v>
      </c>
      <c r="D280" s="1271" t="str">
        <f ca="1">IF(OFFSET(PortfolioDashboard!$A$3,C280-1,0)="","Blank",OFFSET(PortfolioDashboard!$A$3,C280-1,0))</f>
        <v>Blank</v>
      </c>
      <c r="E280" s="1464" t="str">
        <f t="shared" si="183"/>
        <v>2010$</v>
      </c>
      <c r="F280" s="1460">
        <f t="shared" ca="1" si="184"/>
        <v>0</v>
      </c>
      <c r="G280" s="358">
        <f t="shared" ca="1" si="189"/>
        <v>0</v>
      </c>
      <c r="H280" s="358">
        <f t="shared" ca="1" si="189"/>
        <v>0</v>
      </c>
      <c r="I280" s="358">
        <f t="shared" ca="1" si="189"/>
        <v>0</v>
      </c>
      <c r="J280" s="358">
        <f t="shared" ca="1" si="189"/>
        <v>0</v>
      </c>
      <c r="K280" s="358">
        <f t="shared" ca="1" si="189"/>
        <v>0</v>
      </c>
      <c r="L280" s="358">
        <f t="shared" ca="1" si="189"/>
        <v>0</v>
      </c>
      <c r="M280" s="358">
        <f t="shared" ca="1" si="189"/>
        <v>0</v>
      </c>
      <c r="N280" s="358">
        <f t="shared" ca="1" si="189"/>
        <v>0</v>
      </c>
      <c r="O280" s="358">
        <f t="shared" ca="1" si="189"/>
        <v>0</v>
      </c>
      <c r="P280" s="358">
        <f t="shared" ca="1" si="189"/>
        <v>0</v>
      </c>
      <c r="Q280" s="358">
        <f t="shared" ca="1" si="190"/>
        <v>0</v>
      </c>
      <c r="R280" s="358">
        <f t="shared" ca="1" si="190"/>
        <v>0</v>
      </c>
      <c r="S280" s="358">
        <f t="shared" ca="1" si="190"/>
        <v>0</v>
      </c>
      <c r="T280" s="358">
        <f t="shared" ca="1" si="190"/>
        <v>0</v>
      </c>
      <c r="U280" s="358">
        <f t="shared" ca="1" si="190"/>
        <v>0</v>
      </c>
      <c r="V280" s="358">
        <f t="shared" ca="1" si="190"/>
        <v>0</v>
      </c>
      <c r="W280" s="358">
        <f t="shared" ca="1" si="190"/>
        <v>0</v>
      </c>
      <c r="X280" s="358">
        <f t="shared" ca="1" si="190"/>
        <v>0</v>
      </c>
      <c r="Y280" s="358">
        <f t="shared" ca="1" si="190"/>
        <v>0</v>
      </c>
      <c r="Z280" s="358">
        <f t="shared" ca="1" si="190"/>
        <v>0</v>
      </c>
      <c r="AA280" s="358">
        <f t="shared" ca="1" si="191"/>
        <v>0</v>
      </c>
      <c r="AB280" s="358">
        <f t="shared" ca="1" si="191"/>
        <v>0</v>
      </c>
      <c r="AC280" s="358">
        <f t="shared" ca="1" si="191"/>
        <v>0</v>
      </c>
      <c r="AD280" s="358">
        <f t="shared" ca="1" si="191"/>
        <v>0</v>
      </c>
      <c r="AE280" s="358">
        <f t="shared" ca="1" si="191"/>
        <v>0</v>
      </c>
      <c r="AF280" s="358">
        <f t="shared" ca="1" si="191"/>
        <v>0</v>
      </c>
      <c r="AG280" s="358">
        <f t="shared" ca="1" si="191"/>
        <v>0</v>
      </c>
      <c r="AH280" s="358">
        <f t="shared" ca="1" si="191"/>
        <v>0</v>
      </c>
      <c r="AI280" s="358">
        <f t="shared" ca="1" si="191"/>
        <v>0</v>
      </c>
      <c r="AJ280" s="358">
        <f t="shared" ca="1" si="191"/>
        <v>0</v>
      </c>
      <c r="AK280" s="358">
        <f t="shared" ca="1" si="192"/>
        <v>0</v>
      </c>
      <c r="AL280" s="358">
        <f t="shared" ca="1" si="192"/>
        <v>0</v>
      </c>
      <c r="AM280" s="358">
        <f t="shared" ca="1" si="192"/>
        <v>0</v>
      </c>
      <c r="AN280" s="358">
        <f t="shared" ca="1" si="192"/>
        <v>0</v>
      </c>
      <c r="AO280" s="358">
        <f t="shared" ca="1" si="192"/>
        <v>0</v>
      </c>
      <c r="AP280" s="358">
        <f t="shared" ca="1" si="192"/>
        <v>0</v>
      </c>
      <c r="AQ280" s="358">
        <f t="shared" ca="1" si="192"/>
        <v>0</v>
      </c>
      <c r="AR280" s="358">
        <f t="shared" ca="1" si="192"/>
        <v>0</v>
      </c>
      <c r="AS280" s="358">
        <f t="shared" ca="1" si="192"/>
        <v>0</v>
      </c>
      <c r="AT280" s="358">
        <f t="shared" ca="1" si="192"/>
        <v>0</v>
      </c>
      <c r="AV280" s="358">
        <f t="shared" ca="1" si="160"/>
        <v>0</v>
      </c>
      <c r="AX280" s="358">
        <f t="shared" ca="1" si="161"/>
        <v>0</v>
      </c>
      <c r="AZ280" s="358">
        <f t="shared" ca="1" si="162"/>
        <v>0</v>
      </c>
      <c r="BB280" s="358">
        <f t="shared" ca="1" si="163"/>
        <v>0</v>
      </c>
      <c r="BD280" s="358">
        <f t="shared" ca="1" si="164"/>
        <v>0</v>
      </c>
      <c r="BF280" s="358">
        <f t="shared" ca="1" si="165"/>
        <v>0</v>
      </c>
      <c r="BH280" s="358">
        <f t="shared" ca="1" si="166"/>
        <v>0</v>
      </c>
    </row>
    <row r="281" spans="1:60" hidden="1" outlineLevel="1">
      <c r="A281" s="1464">
        <f t="shared" si="180"/>
        <v>18</v>
      </c>
      <c r="B281" s="1464">
        <f t="shared" si="181"/>
        <v>28</v>
      </c>
      <c r="C281" s="1464">
        <f t="shared" si="182"/>
        <v>29</v>
      </c>
      <c r="D281" s="1271" t="str">
        <f ca="1">IF(OFFSET(PortfolioDashboard!$A$3,C281-1,0)="","Blank",OFFSET(PortfolioDashboard!$A$3,C281-1,0))</f>
        <v>Blank</v>
      </c>
      <c r="E281" s="1464" t="str">
        <f t="shared" si="183"/>
        <v>2010$</v>
      </c>
      <c r="F281" s="1460">
        <f t="shared" ca="1" si="184"/>
        <v>0</v>
      </c>
      <c r="G281" s="358">
        <f t="shared" ca="1" si="189"/>
        <v>0</v>
      </c>
      <c r="H281" s="358">
        <f t="shared" ca="1" si="189"/>
        <v>0</v>
      </c>
      <c r="I281" s="358">
        <f t="shared" ca="1" si="189"/>
        <v>0</v>
      </c>
      <c r="J281" s="358">
        <f t="shared" ca="1" si="189"/>
        <v>0</v>
      </c>
      <c r="K281" s="358">
        <f t="shared" ca="1" si="189"/>
        <v>0</v>
      </c>
      <c r="L281" s="358">
        <f t="shared" ca="1" si="189"/>
        <v>0</v>
      </c>
      <c r="M281" s="358">
        <f t="shared" ca="1" si="189"/>
        <v>0</v>
      </c>
      <c r="N281" s="358">
        <f t="shared" ca="1" si="189"/>
        <v>0</v>
      </c>
      <c r="O281" s="358">
        <f t="shared" ca="1" si="189"/>
        <v>0</v>
      </c>
      <c r="P281" s="358">
        <f t="shared" ca="1" si="189"/>
        <v>0</v>
      </c>
      <c r="Q281" s="358">
        <f t="shared" ca="1" si="190"/>
        <v>0</v>
      </c>
      <c r="R281" s="358">
        <f t="shared" ca="1" si="190"/>
        <v>0</v>
      </c>
      <c r="S281" s="358">
        <f t="shared" ca="1" si="190"/>
        <v>0</v>
      </c>
      <c r="T281" s="358">
        <f t="shared" ca="1" si="190"/>
        <v>0</v>
      </c>
      <c r="U281" s="358">
        <f t="shared" ca="1" si="190"/>
        <v>0</v>
      </c>
      <c r="V281" s="358">
        <f t="shared" ca="1" si="190"/>
        <v>0</v>
      </c>
      <c r="W281" s="358">
        <f t="shared" ca="1" si="190"/>
        <v>0</v>
      </c>
      <c r="X281" s="358">
        <f t="shared" ca="1" si="190"/>
        <v>0</v>
      </c>
      <c r="Y281" s="358">
        <f t="shared" ca="1" si="190"/>
        <v>0</v>
      </c>
      <c r="Z281" s="358">
        <f t="shared" ca="1" si="190"/>
        <v>0</v>
      </c>
      <c r="AA281" s="358">
        <f t="shared" ca="1" si="191"/>
        <v>0</v>
      </c>
      <c r="AB281" s="358">
        <f t="shared" ca="1" si="191"/>
        <v>0</v>
      </c>
      <c r="AC281" s="358">
        <f t="shared" ca="1" si="191"/>
        <v>0</v>
      </c>
      <c r="AD281" s="358">
        <f t="shared" ca="1" si="191"/>
        <v>0</v>
      </c>
      <c r="AE281" s="358">
        <f t="shared" ca="1" si="191"/>
        <v>0</v>
      </c>
      <c r="AF281" s="358">
        <f t="shared" ca="1" si="191"/>
        <v>0</v>
      </c>
      <c r="AG281" s="358">
        <f t="shared" ca="1" si="191"/>
        <v>0</v>
      </c>
      <c r="AH281" s="358">
        <f t="shared" ca="1" si="191"/>
        <v>0</v>
      </c>
      <c r="AI281" s="358">
        <f t="shared" ca="1" si="191"/>
        <v>0</v>
      </c>
      <c r="AJ281" s="358">
        <f t="shared" ca="1" si="191"/>
        <v>0</v>
      </c>
      <c r="AK281" s="358">
        <f t="shared" ca="1" si="192"/>
        <v>0</v>
      </c>
      <c r="AL281" s="358">
        <f t="shared" ca="1" si="192"/>
        <v>0</v>
      </c>
      <c r="AM281" s="358">
        <f t="shared" ca="1" si="192"/>
        <v>0</v>
      </c>
      <c r="AN281" s="358">
        <f t="shared" ca="1" si="192"/>
        <v>0</v>
      </c>
      <c r="AO281" s="358">
        <f t="shared" ca="1" si="192"/>
        <v>0</v>
      </c>
      <c r="AP281" s="358">
        <f t="shared" ca="1" si="192"/>
        <v>0</v>
      </c>
      <c r="AQ281" s="358">
        <f t="shared" ca="1" si="192"/>
        <v>0</v>
      </c>
      <c r="AR281" s="358">
        <f t="shared" ca="1" si="192"/>
        <v>0</v>
      </c>
      <c r="AS281" s="358">
        <f t="shared" ca="1" si="192"/>
        <v>0</v>
      </c>
      <c r="AT281" s="358">
        <f t="shared" ca="1" si="192"/>
        <v>0</v>
      </c>
      <c r="AV281" s="358">
        <f t="shared" ca="1" si="160"/>
        <v>0</v>
      </c>
      <c r="AX281" s="358">
        <f t="shared" ca="1" si="161"/>
        <v>0</v>
      </c>
      <c r="AZ281" s="358">
        <f t="shared" ca="1" si="162"/>
        <v>0</v>
      </c>
      <c r="BB281" s="358">
        <f t="shared" ca="1" si="163"/>
        <v>0</v>
      </c>
      <c r="BD281" s="358">
        <f t="shared" ca="1" si="164"/>
        <v>0</v>
      </c>
      <c r="BF281" s="358">
        <f t="shared" ca="1" si="165"/>
        <v>0</v>
      </c>
      <c r="BH281" s="358">
        <f t="shared" ca="1" si="166"/>
        <v>0</v>
      </c>
    </row>
    <row r="282" spans="1:60" hidden="1" outlineLevel="1">
      <c r="A282" s="1464">
        <f t="shared" si="180"/>
        <v>18</v>
      </c>
      <c r="B282" s="1464">
        <f t="shared" si="181"/>
        <v>28</v>
      </c>
      <c r="C282" s="1464">
        <f t="shared" si="182"/>
        <v>30</v>
      </c>
      <c r="D282" s="1271" t="str">
        <f ca="1">IF(OFFSET(PortfolioDashboard!$A$3,C282-1,0)="","Blank",OFFSET(PortfolioDashboard!$A$3,C282-1,0))</f>
        <v>Blank</v>
      </c>
      <c r="E282" s="1464" t="str">
        <f t="shared" si="183"/>
        <v>2010$</v>
      </c>
      <c r="F282" s="1460">
        <f t="shared" ca="1" si="184"/>
        <v>0</v>
      </c>
      <c r="G282" s="358">
        <f t="shared" ca="1" si="189"/>
        <v>0</v>
      </c>
      <c r="H282" s="358">
        <f t="shared" ca="1" si="189"/>
        <v>0</v>
      </c>
      <c r="I282" s="358">
        <f t="shared" ca="1" si="189"/>
        <v>0</v>
      </c>
      <c r="J282" s="358">
        <f t="shared" ca="1" si="189"/>
        <v>0</v>
      </c>
      <c r="K282" s="358">
        <f t="shared" ca="1" si="189"/>
        <v>0</v>
      </c>
      <c r="L282" s="358">
        <f t="shared" ca="1" si="189"/>
        <v>0</v>
      </c>
      <c r="M282" s="358">
        <f t="shared" ca="1" si="189"/>
        <v>0</v>
      </c>
      <c r="N282" s="358">
        <f t="shared" ca="1" si="189"/>
        <v>0</v>
      </c>
      <c r="O282" s="358">
        <f t="shared" ca="1" si="189"/>
        <v>0</v>
      </c>
      <c r="P282" s="358">
        <f t="shared" ca="1" si="189"/>
        <v>0</v>
      </c>
      <c r="Q282" s="358">
        <f t="shared" ca="1" si="190"/>
        <v>0</v>
      </c>
      <c r="R282" s="358">
        <f t="shared" ca="1" si="190"/>
        <v>0</v>
      </c>
      <c r="S282" s="358">
        <f t="shared" ca="1" si="190"/>
        <v>0</v>
      </c>
      <c r="T282" s="358">
        <f t="shared" ca="1" si="190"/>
        <v>0</v>
      </c>
      <c r="U282" s="358">
        <f t="shared" ca="1" si="190"/>
        <v>0</v>
      </c>
      <c r="V282" s="358">
        <f t="shared" ca="1" si="190"/>
        <v>0</v>
      </c>
      <c r="W282" s="358">
        <f t="shared" ca="1" si="190"/>
        <v>0</v>
      </c>
      <c r="X282" s="358">
        <f t="shared" ca="1" si="190"/>
        <v>0</v>
      </c>
      <c r="Y282" s="358">
        <f t="shared" ca="1" si="190"/>
        <v>0</v>
      </c>
      <c r="Z282" s="358">
        <f t="shared" ca="1" si="190"/>
        <v>0</v>
      </c>
      <c r="AA282" s="358">
        <f t="shared" ca="1" si="191"/>
        <v>0</v>
      </c>
      <c r="AB282" s="358">
        <f t="shared" ca="1" si="191"/>
        <v>0</v>
      </c>
      <c r="AC282" s="358">
        <f t="shared" ca="1" si="191"/>
        <v>0</v>
      </c>
      <c r="AD282" s="358">
        <f t="shared" ca="1" si="191"/>
        <v>0</v>
      </c>
      <c r="AE282" s="358">
        <f t="shared" ca="1" si="191"/>
        <v>0</v>
      </c>
      <c r="AF282" s="358">
        <f t="shared" ca="1" si="191"/>
        <v>0</v>
      </c>
      <c r="AG282" s="358">
        <f t="shared" ca="1" si="191"/>
        <v>0</v>
      </c>
      <c r="AH282" s="358">
        <f t="shared" ca="1" si="191"/>
        <v>0</v>
      </c>
      <c r="AI282" s="358">
        <f t="shared" ca="1" si="191"/>
        <v>0</v>
      </c>
      <c r="AJ282" s="358">
        <f t="shared" ca="1" si="191"/>
        <v>0</v>
      </c>
      <c r="AK282" s="358">
        <f t="shared" ca="1" si="192"/>
        <v>0</v>
      </c>
      <c r="AL282" s="358">
        <f t="shared" ca="1" si="192"/>
        <v>0</v>
      </c>
      <c r="AM282" s="358">
        <f t="shared" ca="1" si="192"/>
        <v>0</v>
      </c>
      <c r="AN282" s="358">
        <f t="shared" ca="1" si="192"/>
        <v>0</v>
      </c>
      <c r="AO282" s="358">
        <f t="shared" ca="1" si="192"/>
        <v>0</v>
      </c>
      <c r="AP282" s="358">
        <f t="shared" ca="1" si="192"/>
        <v>0</v>
      </c>
      <c r="AQ282" s="358">
        <f t="shared" ca="1" si="192"/>
        <v>0</v>
      </c>
      <c r="AR282" s="358">
        <f t="shared" ca="1" si="192"/>
        <v>0</v>
      </c>
      <c r="AS282" s="358">
        <f t="shared" ca="1" si="192"/>
        <v>0</v>
      </c>
      <c r="AT282" s="358">
        <f t="shared" ca="1" si="192"/>
        <v>0</v>
      </c>
      <c r="AV282" s="358">
        <f t="shared" ca="1" si="160"/>
        <v>0</v>
      </c>
      <c r="AX282" s="358">
        <f t="shared" ca="1" si="161"/>
        <v>0</v>
      </c>
      <c r="AZ282" s="358">
        <f t="shared" ca="1" si="162"/>
        <v>0</v>
      </c>
      <c r="BB282" s="358">
        <f t="shared" ca="1" si="163"/>
        <v>0</v>
      </c>
      <c r="BD282" s="358">
        <f t="shared" ca="1" si="164"/>
        <v>0</v>
      </c>
      <c r="BF282" s="358">
        <f t="shared" ca="1" si="165"/>
        <v>0</v>
      </c>
      <c r="BH282" s="358">
        <f t="shared" ca="1" si="166"/>
        <v>0</v>
      </c>
    </row>
    <row r="283" spans="1:60" collapsed="1">
      <c r="A283" s="1464"/>
      <c r="B283" s="1464"/>
      <c r="C283" s="1464"/>
      <c r="D283" s="1272" t="s">
        <v>668</v>
      </c>
      <c r="E283" s="1270" t="str">
        <f>E253</f>
        <v>2010$</v>
      </c>
      <c r="F283" s="1461">
        <f t="shared" ca="1" si="184"/>
        <v>16507291.153962836</v>
      </c>
      <c r="G283" s="1277">
        <f t="shared" ref="G283:AT283" ca="1" si="193">SUM(G253:G282)</f>
        <v>37292.402076145081</v>
      </c>
      <c r="H283" s="1277">
        <f t="shared" ca="1" si="193"/>
        <v>146501.38100806906</v>
      </c>
      <c r="I283" s="1277">
        <f t="shared" ca="1" si="193"/>
        <v>268557.8797089099</v>
      </c>
      <c r="J283" s="1277">
        <f t="shared" ca="1" si="193"/>
        <v>378073.60589556873</v>
      </c>
      <c r="K283" s="1277">
        <f t="shared" ca="1" si="193"/>
        <v>482789.22912994021</v>
      </c>
      <c r="L283" s="1277">
        <f t="shared" ca="1" si="193"/>
        <v>600947.93239526404</v>
      </c>
      <c r="M283" s="1277">
        <f t="shared" ca="1" si="193"/>
        <v>660647.77004065108</v>
      </c>
      <c r="N283" s="1277">
        <f t="shared" ca="1" si="193"/>
        <v>720375.46653545066</v>
      </c>
      <c r="O283" s="1277">
        <f t="shared" ca="1" si="193"/>
        <v>780130.11758221406</v>
      </c>
      <c r="P283" s="1277">
        <f t="shared" ca="1" si="193"/>
        <v>839910.85760251363</v>
      </c>
      <c r="Q283" s="1277">
        <f t="shared" ca="1" si="193"/>
        <v>899716.85768661113</v>
      </c>
      <c r="R283" s="1277">
        <f t="shared" ca="1" si="193"/>
        <v>959547.32367205562</v>
      </c>
      <c r="S283" s="1277">
        <f t="shared" ca="1" si="193"/>
        <v>1019401.4943418378</v>
      </c>
      <c r="T283" s="1277">
        <f t="shared" ca="1" si="193"/>
        <v>1079278.6397335213</v>
      </c>
      <c r="U283" s="1277">
        <f t="shared" ca="1" si="193"/>
        <v>1155257.7243514496</v>
      </c>
      <c r="V283" s="1277">
        <f t="shared" ca="1" si="193"/>
        <v>1231258.4112747775</v>
      </c>
      <c r="W283" s="1277">
        <f t="shared" ca="1" si="193"/>
        <v>1307280.0551546421</v>
      </c>
      <c r="X283" s="1277">
        <f t="shared" ca="1" si="193"/>
        <v>1383322.0360943289</v>
      </c>
      <c r="Y283" s="1277">
        <f t="shared" ca="1" si="193"/>
        <v>1459383.7584067474</v>
      </c>
      <c r="Z283" s="1277">
        <f t="shared" ca="1" si="193"/>
        <v>1535464.6494440017</v>
      </c>
      <c r="AA283" s="1277">
        <f t="shared" ca="1" si="193"/>
        <v>1611564.1584942038</v>
      </c>
      <c r="AB283" s="1277">
        <f t="shared" ca="1" si="193"/>
        <v>1687681.7557410819</v>
      </c>
      <c r="AC283" s="1277">
        <f t="shared" ca="1" si="193"/>
        <v>1763816.9312822402</v>
      </c>
      <c r="AD283" s="1277">
        <f t="shared" ca="1" si="193"/>
        <v>1839969.194202255</v>
      </c>
      <c r="AE283" s="1277">
        <f t="shared" ca="1" si="193"/>
        <v>1883322.9708970687</v>
      </c>
      <c r="AF283" s="1277">
        <f t="shared" ca="1" si="193"/>
        <v>1926692.90664639</v>
      </c>
      <c r="AG283" s="1277">
        <f t="shared" ca="1" si="193"/>
        <v>1970078.5624310705</v>
      </c>
      <c r="AH283" s="1277">
        <f t="shared" ca="1" si="193"/>
        <v>2013479.5149926175</v>
      </c>
      <c r="AI283" s="1277">
        <f t="shared" ca="1" si="193"/>
        <v>2056895.3561322377</v>
      </c>
      <c r="AJ283" s="1277">
        <f t="shared" ca="1" si="193"/>
        <v>2100325.6920469492</v>
      </c>
      <c r="AK283" s="1277">
        <f t="shared" ca="1" si="193"/>
        <v>2143770.1427005162</v>
      </c>
      <c r="AL283" s="1277">
        <f t="shared" ca="1" si="193"/>
        <v>2187228.3412270802</v>
      </c>
      <c r="AM283" s="1277">
        <f t="shared" ca="1" si="193"/>
        <v>2230699.9333655247</v>
      </c>
      <c r="AN283" s="1277">
        <f t="shared" ca="1" si="193"/>
        <v>2274184.5769227459</v>
      </c>
      <c r="AO283" s="1277">
        <f t="shared" ca="1" si="193"/>
        <v>2317681.941264119</v>
      </c>
      <c r="AP283" s="1277">
        <f t="shared" ca="1" si="193"/>
        <v>2361191.7068295567</v>
      </c>
      <c r="AQ283" s="1277">
        <f t="shared" ca="1" si="193"/>
        <v>2404713.5646736901</v>
      </c>
      <c r="AR283" s="1277">
        <f t="shared" ca="1" si="193"/>
        <v>2448247.2160287644</v>
      </c>
      <c r="AS283" s="1277">
        <f t="shared" ca="1" si="193"/>
        <v>2491792.3718889607</v>
      </c>
      <c r="AT283" s="1277">
        <f t="shared" ca="1" si="193"/>
        <v>2535348.7526149233</v>
      </c>
      <c r="AV283" s="1277">
        <f t="shared" ca="1" si="160"/>
        <v>3602012.1441560937</v>
      </c>
      <c r="AX283" s="1277">
        <f t="shared" ca="1" si="161"/>
        <v>5113202.0397854755</v>
      </c>
      <c r="AZ283" s="1277">
        <f t="shared" ca="1" si="162"/>
        <v>6916708.910374498</v>
      </c>
      <c r="BB283" s="1277">
        <f t="shared" ca="1" si="163"/>
        <v>8786355.0106168501</v>
      </c>
      <c r="BD283" s="1277">
        <f t="shared" ca="1" si="164"/>
        <v>10067472.032249264</v>
      </c>
      <c r="BF283" s="1277">
        <f t="shared" ca="1" si="165"/>
        <v>11153564.935479986</v>
      </c>
      <c r="BH283" s="1277">
        <f t="shared" ca="1" si="166"/>
        <v>12241293.612035897</v>
      </c>
    </row>
    <row r="284" spans="1:60" hidden="1" outlineLevel="1">
      <c r="A284" s="1464">
        <v>18</v>
      </c>
      <c r="B284" s="1464">
        <v>29</v>
      </c>
      <c r="C284" s="1464">
        <v>1</v>
      </c>
      <c r="D284" s="1271" t="str">
        <f ca="1">IF(OFFSET(PortfolioDashboard!$A$3,C284-1,0)="","Blank",OFFSET(PortfolioDashboard!$A$3,C284-1,0))</f>
        <v>Behavior Change</v>
      </c>
      <c r="E284" s="1464" t="s">
        <v>1197</v>
      </c>
      <c r="F284" s="1460">
        <f t="shared" ca="1" si="184"/>
        <v>0</v>
      </c>
      <c r="G284" s="358">
        <f t="shared" ref="G284:P293" ca="1" si="194">IFERROR(OFFSET(INDIRECT(INDEX(List_of_Alternatives,MATCH($D284,NameofAlternatives,0))),$A284+G$1-$G$1,$B284),0)</f>
        <v>0</v>
      </c>
      <c r="H284" s="358">
        <f t="shared" ca="1" si="194"/>
        <v>0</v>
      </c>
      <c r="I284" s="358">
        <f t="shared" ca="1" si="194"/>
        <v>0</v>
      </c>
      <c r="J284" s="358">
        <f t="shared" ca="1" si="194"/>
        <v>0</v>
      </c>
      <c r="K284" s="358">
        <f t="shared" ca="1" si="194"/>
        <v>0</v>
      </c>
      <c r="L284" s="358">
        <f t="shared" ca="1" si="194"/>
        <v>0</v>
      </c>
      <c r="M284" s="358">
        <f t="shared" ca="1" si="194"/>
        <v>0</v>
      </c>
      <c r="N284" s="358">
        <f t="shared" ca="1" si="194"/>
        <v>0</v>
      </c>
      <c r="O284" s="358">
        <f t="shared" ca="1" si="194"/>
        <v>0</v>
      </c>
      <c r="P284" s="358">
        <f t="shared" ca="1" si="194"/>
        <v>0</v>
      </c>
      <c r="Q284" s="358">
        <f t="shared" ref="Q284:Z293" ca="1" si="195">IFERROR(OFFSET(INDIRECT(INDEX(List_of_Alternatives,MATCH($D284,NameofAlternatives,0))),$A284+Q$1-$G$1,$B284),0)</f>
        <v>0</v>
      </c>
      <c r="R284" s="358">
        <f t="shared" ca="1" si="195"/>
        <v>0</v>
      </c>
      <c r="S284" s="358">
        <f t="shared" ca="1" si="195"/>
        <v>0</v>
      </c>
      <c r="T284" s="358">
        <f t="shared" ca="1" si="195"/>
        <v>0</v>
      </c>
      <c r="U284" s="358">
        <f t="shared" ca="1" si="195"/>
        <v>0</v>
      </c>
      <c r="V284" s="358">
        <f t="shared" ca="1" si="195"/>
        <v>0</v>
      </c>
      <c r="W284" s="358">
        <f t="shared" ca="1" si="195"/>
        <v>0</v>
      </c>
      <c r="X284" s="358">
        <f t="shared" ca="1" si="195"/>
        <v>0</v>
      </c>
      <c r="Y284" s="358">
        <f t="shared" ca="1" si="195"/>
        <v>0</v>
      </c>
      <c r="Z284" s="358">
        <f t="shared" ca="1" si="195"/>
        <v>0</v>
      </c>
      <c r="AA284" s="358">
        <f t="shared" ref="AA284:AJ293" ca="1" si="196">IFERROR(OFFSET(INDIRECT(INDEX(List_of_Alternatives,MATCH($D284,NameofAlternatives,0))),$A284+AA$1-$G$1,$B284),0)</f>
        <v>0</v>
      </c>
      <c r="AB284" s="358">
        <f t="shared" ca="1" si="196"/>
        <v>0</v>
      </c>
      <c r="AC284" s="358">
        <f t="shared" ca="1" si="196"/>
        <v>0</v>
      </c>
      <c r="AD284" s="358">
        <f t="shared" ca="1" si="196"/>
        <v>0</v>
      </c>
      <c r="AE284" s="358">
        <f t="shared" ca="1" si="196"/>
        <v>0</v>
      </c>
      <c r="AF284" s="358">
        <f t="shared" ca="1" si="196"/>
        <v>0</v>
      </c>
      <c r="AG284" s="358">
        <f t="shared" ca="1" si="196"/>
        <v>0</v>
      </c>
      <c r="AH284" s="358">
        <f t="shared" ca="1" si="196"/>
        <v>0</v>
      </c>
      <c r="AI284" s="358">
        <f t="shared" ca="1" si="196"/>
        <v>0</v>
      </c>
      <c r="AJ284" s="358">
        <f t="shared" ca="1" si="196"/>
        <v>0</v>
      </c>
      <c r="AK284" s="358">
        <f t="shared" ref="AK284:AT293" ca="1" si="197">IFERROR(OFFSET(INDIRECT(INDEX(List_of_Alternatives,MATCH($D284,NameofAlternatives,0))),$A284+AK$1-$G$1,$B284),0)</f>
        <v>0</v>
      </c>
      <c r="AL284" s="358">
        <f t="shared" ca="1" si="197"/>
        <v>0</v>
      </c>
      <c r="AM284" s="358">
        <f t="shared" ca="1" si="197"/>
        <v>0</v>
      </c>
      <c r="AN284" s="358">
        <f t="shared" ca="1" si="197"/>
        <v>0</v>
      </c>
      <c r="AO284" s="358">
        <f t="shared" ca="1" si="197"/>
        <v>0</v>
      </c>
      <c r="AP284" s="358">
        <f t="shared" ca="1" si="197"/>
        <v>0</v>
      </c>
      <c r="AQ284" s="358">
        <f t="shared" ca="1" si="197"/>
        <v>0</v>
      </c>
      <c r="AR284" s="358">
        <f t="shared" ca="1" si="197"/>
        <v>0</v>
      </c>
      <c r="AS284" s="358">
        <f t="shared" ca="1" si="197"/>
        <v>0</v>
      </c>
      <c r="AT284" s="358">
        <f t="shared" ca="1" si="197"/>
        <v>0</v>
      </c>
      <c r="AV284" s="358">
        <f t="shared" ca="1" si="160"/>
        <v>0</v>
      </c>
      <c r="AX284" s="358">
        <f t="shared" ca="1" si="161"/>
        <v>0</v>
      </c>
      <c r="AZ284" s="358">
        <f t="shared" ca="1" si="162"/>
        <v>0</v>
      </c>
      <c r="BB284" s="358">
        <f t="shared" ca="1" si="163"/>
        <v>0</v>
      </c>
      <c r="BD284" s="358">
        <f t="shared" ca="1" si="164"/>
        <v>0</v>
      </c>
      <c r="BF284" s="358">
        <f t="shared" ca="1" si="165"/>
        <v>0</v>
      </c>
      <c r="BH284" s="358">
        <f t="shared" ca="1" si="166"/>
        <v>0</v>
      </c>
    </row>
    <row r="285" spans="1:60" hidden="1" outlineLevel="1">
      <c r="A285" s="1464">
        <f>A284</f>
        <v>18</v>
      </c>
      <c r="B285" s="1464">
        <f>B284</f>
        <v>29</v>
      </c>
      <c r="C285" s="1464">
        <f>C284+1</f>
        <v>2</v>
      </c>
      <c r="D285" s="1271" t="str">
        <f ca="1">IF(OFFSET(PortfolioDashboard!$A$3,C285-1,0)="","Blank",OFFSET(PortfolioDashboard!$A$3,C285-1,0))</f>
        <v>Building Design &amp; Construction Standards</v>
      </c>
      <c r="E285" s="1464" t="str">
        <f>E284</f>
        <v>2010$</v>
      </c>
      <c r="F285" s="1460">
        <f t="shared" ca="1" si="184"/>
        <v>0</v>
      </c>
      <c r="G285" s="358">
        <f t="shared" ca="1" si="194"/>
        <v>0</v>
      </c>
      <c r="H285" s="358">
        <f t="shared" ca="1" si="194"/>
        <v>0</v>
      </c>
      <c r="I285" s="358">
        <f t="shared" ca="1" si="194"/>
        <v>0</v>
      </c>
      <c r="J285" s="358">
        <f t="shared" ca="1" si="194"/>
        <v>0</v>
      </c>
      <c r="K285" s="358">
        <f t="shared" ca="1" si="194"/>
        <v>0</v>
      </c>
      <c r="L285" s="358">
        <f t="shared" ca="1" si="194"/>
        <v>0</v>
      </c>
      <c r="M285" s="358">
        <f t="shared" ca="1" si="194"/>
        <v>0</v>
      </c>
      <c r="N285" s="358">
        <f t="shared" ca="1" si="194"/>
        <v>0</v>
      </c>
      <c r="O285" s="358">
        <f t="shared" ca="1" si="194"/>
        <v>0</v>
      </c>
      <c r="P285" s="358">
        <f t="shared" ca="1" si="194"/>
        <v>0</v>
      </c>
      <c r="Q285" s="358">
        <f t="shared" ca="1" si="195"/>
        <v>0</v>
      </c>
      <c r="R285" s="358">
        <f t="shared" ca="1" si="195"/>
        <v>0</v>
      </c>
      <c r="S285" s="358">
        <f t="shared" ca="1" si="195"/>
        <v>0</v>
      </c>
      <c r="T285" s="358">
        <f t="shared" ca="1" si="195"/>
        <v>0</v>
      </c>
      <c r="U285" s="358">
        <f t="shared" ca="1" si="195"/>
        <v>0</v>
      </c>
      <c r="V285" s="358">
        <f t="shared" ca="1" si="195"/>
        <v>0</v>
      </c>
      <c r="W285" s="358">
        <f t="shared" ca="1" si="195"/>
        <v>0</v>
      </c>
      <c r="X285" s="358">
        <f t="shared" ca="1" si="195"/>
        <v>0</v>
      </c>
      <c r="Y285" s="358">
        <f t="shared" ca="1" si="195"/>
        <v>0</v>
      </c>
      <c r="Z285" s="358">
        <f t="shared" ca="1" si="195"/>
        <v>0</v>
      </c>
      <c r="AA285" s="358">
        <f t="shared" ca="1" si="196"/>
        <v>0</v>
      </c>
      <c r="AB285" s="358">
        <f t="shared" ca="1" si="196"/>
        <v>0</v>
      </c>
      <c r="AC285" s="358">
        <f t="shared" ca="1" si="196"/>
        <v>0</v>
      </c>
      <c r="AD285" s="358">
        <f t="shared" ca="1" si="196"/>
        <v>0</v>
      </c>
      <c r="AE285" s="358">
        <f t="shared" ca="1" si="196"/>
        <v>0</v>
      </c>
      <c r="AF285" s="358">
        <f t="shared" ca="1" si="196"/>
        <v>0</v>
      </c>
      <c r="AG285" s="358">
        <f t="shared" ca="1" si="196"/>
        <v>0</v>
      </c>
      <c r="AH285" s="358">
        <f t="shared" ca="1" si="196"/>
        <v>0</v>
      </c>
      <c r="AI285" s="358">
        <f t="shared" ca="1" si="196"/>
        <v>0</v>
      </c>
      <c r="AJ285" s="358">
        <f t="shared" ca="1" si="196"/>
        <v>0</v>
      </c>
      <c r="AK285" s="358">
        <f t="shared" ca="1" si="197"/>
        <v>0</v>
      </c>
      <c r="AL285" s="358">
        <f t="shared" ca="1" si="197"/>
        <v>0</v>
      </c>
      <c r="AM285" s="358">
        <f t="shared" ca="1" si="197"/>
        <v>0</v>
      </c>
      <c r="AN285" s="358">
        <f t="shared" ca="1" si="197"/>
        <v>0</v>
      </c>
      <c r="AO285" s="358">
        <f t="shared" ca="1" si="197"/>
        <v>0</v>
      </c>
      <c r="AP285" s="358">
        <f t="shared" ca="1" si="197"/>
        <v>0</v>
      </c>
      <c r="AQ285" s="358">
        <f t="shared" ca="1" si="197"/>
        <v>0</v>
      </c>
      <c r="AR285" s="358">
        <f t="shared" ca="1" si="197"/>
        <v>0</v>
      </c>
      <c r="AS285" s="358">
        <f t="shared" ca="1" si="197"/>
        <v>0</v>
      </c>
      <c r="AT285" s="358">
        <f t="shared" ca="1" si="197"/>
        <v>0</v>
      </c>
      <c r="AV285" s="358">
        <f t="shared" ca="1" si="160"/>
        <v>0</v>
      </c>
      <c r="AX285" s="358">
        <f t="shared" ca="1" si="161"/>
        <v>0</v>
      </c>
      <c r="AZ285" s="358">
        <f t="shared" ca="1" si="162"/>
        <v>0</v>
      </c>
      <c r="BB285" s="358">
        <f t="shared" ca="1" si="163"/>
        <v>0</v>
      </c>
      <c r="BD285" s="358">
        <f t="shared" ca="1" si="164"/>
        <v>0</v>
      </c>
      <c r="BF285" s="358">
        <f t="shared" ca="1" si="165"/>
        <v>0</v>
      </c>
      <c r="BH285" s="358">
        <f t="shared" ca="1" si="166"/>
        <v>0</v>
      </c>
    </row>
    <row r="286" spans="1:60" hidden="1" outlineLevel="1">
      <c r="A286" s="1464">
        <f t="shared" ref="A286:A313" si="198">A285</f>
        <v>18</v>
      </c>
      <c r="B286" s="1464">
        <f t="shared" ref="B286:B313" si="199">B285</f>
        <v>29</v>
      </c>
      <c r="C286" s="1464">
        <f t="shared" ref="C286:C313" si="200">C285+1</f>
        <v>3</v>
      </c>
      <c r="D286" s="1271" t="str">
        <f ca="1">IF(OFFSET(PortfolioDashboard!$A$3,C286-1,0)="","Blank",OFFSET(PortfolioDashboard!$A$3,C286-1,0))</f>
        <v>Space Planning &amp; Management</v>
      </c>
      <c r="E286" s="1464" t="str">
        <f t="shared" ref="E286:E313" si="201">E285</f>
        <v>2010$</v>
      </c>
      <c r="F286" s="1460">
        <f t="shared" ca="1" si="184"/>
        <v>0</v>
      </c>
      <c r="G286" s="358">
        <f t="shared" ca="1" si="194"/>
        <v>0</v>
      </c>
      <c r="H286" s="358">
        <f t="shared" ca="1" si="194"/>
        <v>0</v>
      </c>
      <c r="I286" s="358">
        <f t="shared" ca="1" si="194"/>
        <v>0</v>
      </c>
      <c r="J286" s="358">
        <f t="shared" ca="1" si="194"/>
        <v>0</v>
      </c>
      <c r="K286" s="358">
        <f t="shared" ca="1" si="194"/>
        <v>0</v>
      </c>
      <c r="L286" s="358">
        <f t="shared" ca="1" si="194"/>
        <v>0</v>
      </c>
      <c r="M286" s="358">
        <f t="shared" ca="1" si="194"/>
        <v>0</v>
      </c>
      <c r="N286" s="358">
        <f t="shared" ca="1" si="194"/>
        <v>0</v>
      </c>
      <c r="O286" s="358">
        <f t="shared" ca="1" si="194"/>
        <v>0</v>
      </c>
      <c r="P286" s="358">
        <f t="shared" ca="1" si="194"/>
        <v>0</v>
      </c>
      <c r="Q286" s="358">
        <f t="shared" ca="1" si="195"/>
        <v>0</v>
      </c>
      <c r="R286" s="358">
        <f t="shared" ca="1" si="195"/>
        <v>0</v>
      </c>
      <c r="S286" s="358">
        <f t="shared" ca="1" si="195"/>
        <v>0</v>
      </c>
      <c r="T286" s="358">
        <f t="shared" ca="1" si="195"/>
        <v>0</v>
      </c>
      <c r="U286" s="358">
        <f t="shared" ca="1" si="195"/>
        <v>0</v>
      </c>
      <c r="V286" s="358">
        <f t="shared" ca="1" si="195"/>
        <v>0</v>
      </c>
      <c r="W286" s="358">
        <f t="shared" ca="1" si="195"/>
        <v>0</v>
      </c>
      <c r="X286" s="358">
        <f t="shared" ca="1" si="195"/>
        <v>0</v>
      </c>
      <c r="Y286" s="358">
        <f t="shared" ca="1" si="195"/>
        <v>0</v>
      </c>
      <c r="Z286" s="358">
        <f t="shared" ca="1" si="195"/>
        <v>0</v>
      </c>
      <c r="AA286" s="358">
        <f t="shared" ca="1" si="196"/>
        <v>0</v>
      </c>
      <c r="AB286" s="358">
        <f t="shared" ca="1" si="196"/>
        <v>0</v>
      </c>
      <c r="AC286" s="358">
        <f t="shared" ca="1" si="196"/>
        <v>0</v>
      </c>
      <c r="AD286" s="358">
        <f t="shared" ca="1" si="196"/>
        <v>0</v>
      </c>
      <c r="AE286" s="358">
        <f t="shared" ca="1" si="196"/>
        <v>0</v>
      </c>
      <c r="AF286" s="358">
        <f t="shared" ca="1" si="196"/>
        <v>0</v>
      </c>
      <c r="AG286" s="358">
        <f t="shared" ca="1" si="196"/>
        <v>0</v>
      </c>
      <c r="AH286" s="358">
        <f t="shared" ca="1" si="196"/>
        <v>0</v>
      </c>
      <c r="AI286" s="358">
        <f t="shared" ca="1" si="196"/>
        <v>0</v>
      </c>
      <c r="AJ286" s="358">
        <f t="shared" ca="1" si="196"/>
        <v>0</v>
      </c>
      <c r="AK286" s="358">
        <f t="shared" ca="1" si="197"/>
        <v>0</v>
      </c>
      <c r="AL286" s="358">
        <f t="shared" ca="1" si="197"/>
        <v>0</v>
      </c>
      <c r="AM286" s="358">
        <f t="shared" ca="1" si="197"/>
        <v>0</v>
      </c>
      <c r="AN286" s="358">
        <f t="shared" ca="1" si="197"/>
        <v>0</v>
      </c>
      <c r="AO286" s="358">
        <f t="shared" ca="1" si="197"/>
        <v>0</v>
      </c>
      <c r="AP286" s="358">
        <f t="shared" ca="1" si="197"/>
        <v>0</v>
      </c>
      <c r="AQ286" s="358">
        <f t="shared" ca="1" si="197"/>
        <v>0</v>
      </c>
      <c r="AR286" s="358">
        <f t="shared" ca="1" si="197"/>
        <v>0</v>
      </c>
      <c r="AS286" s="358">
        <f t="shared" ca="1" si="197"/>
        <v>0</v>
      </c>
      <c r="AT286" s="358">
        <f t="shared" ca="1" si="197"/>
        <v>0</v>
      </c>
      <c r="AV286" s="358">
        <f t="shared" ca="1" si="160"/>
        <v>0</v>
      </c>
      <c r="AX286" s="358">
        <f t="shared" ca="1" si="161"/>
        <v>0</v>
      </c>
      <c r="AZ286" s="358">
        <f t="shared" ca="1" si="162"/>
        <v>0</v>
      </c>
      <c r="BB286" s="358">
        <f t="shared" ca="1" si="163"/>
        <v>0</v>
      </c>
      <c r="BD286" s="358">
        <f t="shared" ca="1" si="164"/>
        <v>0</v>
      </c>
      <c r="BF286" s="358">
        <f t="shared" ca="1" si="165"/>
        <v>0</v>
      </c>
      <c r="BH286" s="358">
        <f t="shared" ca="1" si="166"/>
        <v>0</v>
      </c>
    </row>
    <row r="287" spans="1:60" hidden="1" outlineLevel="1">
      <c r="A287" s="1464">
        <f t="shared" si="198"/>
        <v>18</v>
      </c>
      <c r="B287" s="1464">
        <f t="shared" si="199"/>
        <v>29</v>
      </c>
      <c r="C287" s="1464">
        <f t="shared" si="200"/>
        <v>4</v>
      </c>
      <c r="D287" s="1271" t="str">
        <f ca="1">IF(OFFSET(PortfolioDashboard!$A$3,C287-1,0)="","Blank",OFFSET(PortfolioDashboard!$A$3,C287-1,0))</f>
        <v>Central Chiller Expansion</v>
      </c>
      <c r="E287" s="1464" t="str">
        <f t="shared" si="201"/>
        <v>2010$</v>
      </c>
      <c r="F287" s="1460">
        <f t="shared" ca="1" si="184"/>
        <v>-9782110.2226704974</v>
      </c>
      <c r="G287" s="358">
        <f t="shared" ca="1" si="194"/>
        <v>0</v>
      </c>
      <c r="H287" s="358">
        <f t="shared" ca="1" si="194"/>
        <v>0</v>
      </c>
      <c r="I287" s="358">
        <f t="shared" ca="1" si="194"/>
        <v>-147237.08240758628</v>
      </c>
      <c r="J287" s="358">
        <f t="shared" ca="1" si="194"/>
        <v>-147237.08240758628</v>
      </c>
      <c r="K287" s="358">
        <f t="shared" ca="1" si="194"/>
        <v>-347744.75162369892</v>
      </c>
      <c r="L287" s="358">
        <f t="shared" ca="1" si="194"/>
        <v>-347744.75162369892</v>
      </c>
      <c r="M287" s="358">
        <f t="shared" ca="1" si="194"/>
        <v>-1009198.2927315125</v>
      </c>
      <c r="N287" s="358">
        <f t="shared" ca="1" si="194"/>
        <v>-1009198.2927315125</v>
      </c>
      <c r="O287" s="358">
        <f t="shared" ca="1" si="194"/>
        <v>-1097496.393125867</v>
      </c>
      <c r="P287" s="358">
        <f t="shared" ca="1" si="194"/>
        <v>-1097496.393125867</v>
      </c>
      <c r="Q287" s="358">
        <f t="shared" ca="1" si="195"/>
        <v>-1097496.393125867</v>
      </c>
      <c r="R287" s="358">
        <f t="shared" ca="1" si="195"/>
        <v>-1097496.393125867</v>
      </c>
      <c r="S287" s="358">
        <f t="shared" ca="1" si="195"/>
        <v>-1097496.393125867</v>
      </c>
      <c r="T287" s="358">
        <f t="shared" ca="1" si="195"/>
        <v>-1097496.393125867</v>
      </c>
      <c r="U287" s="358">
        <f t="shared" ca="1" si="195"/>
        <v>-1097496.393125867</v>
      </c>
      <c r="V287" s="358">
        <f t="shared" ca="1" si="195"/>
        <v>-1097496.393125867</v>
      </c>
      <c r="W287" s="358">
        <f t="shared" ca="1" si="195"/>
        <v>-1097496.393125867</v>
      </c>
      <c r="X287" s="358">
        <f t="shared" ca="1" si="195"/>
        <v>-1097496.393125867</v>
      </c>
      <c r="Y287" s="358">
        <f t="shared" ca="1" si="195"/>
        <v>-1097496.393125867</v>
      </c>
      <c r="Z287" s="358">
        <f t="shared" ca="1" si="195"/>
        <v>-1097496.393125867</v>
      </c>
      <c r="AA287" s="358">
        <f t="shared" ca="1" si="196"/>
        <v>-1097496.393125867</v>
      </c>
      <c r="AB287" s="358">
        <f t="shared" ca="1" si="196"/>
        <v>-1097496.393125867</v>
      </c>
      <c r="AC287" s="358">
        <f t="shared" ca="1" si="196"/>
        <v>-950259.31071828073</v>
      </c>
      <c r="AD287" s="358">
        <f t="shared" ca="1" si="196"/>
        <v>-950259.31071828073</v>
      </c>
      <c r="AE287" s="358">
        <f t="shared" ca="1" si="196"/>
        <v>-749751.64150216815</v>
      </c>
      <c r="AF287" s="358">
        <f t="shared" ca="1" si="196"/>
        <v>-749751.64150216815</v>
      </c>
      <c r="AG287" s="358">
        <f t="shared" ca="1" si="196"/>
        <v>-88298.100394354595</v>
      </c>
      <c r="AH287" s="358">
        <f t="shared" ca="1" si="196"/>
        <v>-88298.100394354595</v>
      </c>
      <c r="AI287" s="358">
        <f t="shared" ca="1" si="196"/>
        <v>0</v>
      </c>
      <c r="AJ287" s="358">
        <f t="shared" ca="1" si="196"/>
        <v>0</v>
      </c>
      <c r="AK287" s="358">
        <f t="shared" ca="1" si="197"/>
        <v>0</v>
      </c>
      <c r="AL287" s="358">
        <f t="shared" ca="1" si="197"/>
        <v>0</v>
      </c>
      <c r="AM287" s="358">
        <f t="shared" ca="1" si="197"/>
        <v>0</v>
      </c>
      <c r="AN287" s="358">
        <f t="shared" ca="1" si="197"/>
        <v>0</v>
      </c>
      <c r="AO287" s="358">
        <f t="shared" ca="1" si="197"/>
        <v>0</v>
      </c>
      <c r="AP287" s="358">
        <f t="shared" ca="1" si="197"/>
        <v>0</v>
      </c>
      <c r="AQ287" s="358">
        <f t="shared" ca="1" si="197"/>
        <v>0</v>
      </c>
      <c r="AR287" s="358">
        <f t="shared" ca="1" si="197"/>
        <v>0</v>
      </c>
      <c r="AS287" s="358">
        <f t="shared" ca="1" si="197"/>
        <v>0</v>
      </c>
      <c r="AT287" s="358">
        <f t="shared" ca="1" si="197"/>
        <v>0</v>
      </c>
      <c r="AV287" s="358">
        <f t="shared" ca="1" si="160"/>
        <v>-4561134.1233384572</v>
      </c>
      <c r="AX287" s="358">
        <f t="shared" ca="1" si="161"/>
        <v>-5487481.9656293355</v>
      </c>
      <c r="AZ287" s="358">
        <f t="shared" ca="1" si="162"/>
        <v>-5487481.9656293355</v>
      </c>
      <c r="BB287" s="358">
        <f t="shared" ca="1" si="163"/>
        <v>-4845263.0491904635</v>
      </c>
      <c r="BD287" s="358">
        <f t="shared" ca="1" si="164"/>
        <v>-926347.84229087725</v>
      </c>
      <c r="BF287" s="358">
        <f t="shared" ca="1" si="165"/>
        <v>0</v>
      </c>
      <c r="BH287" s="358">
        <f t="shared" ca="1" si="166"/>
        <v>0</v>
      </c>
    </row>
    <row r="288" spans="1:60" hidden="1" outlineLevel="1">
      <c r="A288" s="1464">
        <f t="shared" si="198"/>
        <v>18</v>
      </c>
      <c r="B288" s="1464">
        <f t="shared" si="199"/>
        <v>29</v>
      </c>
      <c r="C288" s="1464">
        <f t="shared" si="200"/>
        <v>5</v>
      </c>
      <c r="D288" s="1271" t="str">
        <f ca="1">IF(OFFSET(PortfolioDashboard!$A$3,C288-1,0)="","Blank",OFFSET(PortfolioDashboard!$A$3,C288-1,0))</f>
        <v>Short-term Energy Conservation Measures</v>
      </c>
      <c r="E288" s="1464" t="str">
        <f t="shared" si="201"/>
        <v>2010$</v>
      </c>
      <c r="F288" s="1460">
        <f t="shared" ca="1" si="184"/>
        <v>0</v>
      </c>
      <c r="G288" s="358">
        <f t="shared" ca="1" si="194"/>
        <v>0</v>
      </c>
      <c r="H288" s="358">
        <f t="shared" ca="1" si="194"/>
        <v>0</v>
      </c>
      <c r="I288" s="358">
        <f t="shared" ca="1" si="194"/>
        <v>0</v>
      </c>
      <c r="J288" s="358">
        <f t="shared" ca="1" si="194"/>
        <v>0</v>
      </c>
      <c r="K288" s="358">
        <f t="shared" ca="1" si="194"/>
        <v>0</v>
      </c>
      <c r="L288" s="358">
        <f t="shared" ca="1" si="194"/>
        <v>0</v>
      </c>
      <c r="M288" s="358">
        <f t="shared" ca="1" si="194"/>
        <v>0</v>
      </c>
      <c r="N288" s="358">
        <f t="shared" ca="1" si="194"/>
        <v>0</v>
      </c>
      <c r="O288" s="358">
        <f t="shared" ca="1" si="194"/>
        <v>0</v>
      </c>
      <c r="P288" s="358">
        <f t="shared" ca="1" si="194"/>
        <v>0</v>
      </c>
      <c r="Q288" s="358">
        <f t="shared" ca="1" si="195"/>
        <v>0</v>
      </c>
      <c r="R288" s="358">
        <f t="shared" ca="1" si="195"/>
        <v>0</v>
      </c>
      <c r="S288" s="358">
        <f t="shared" ca="1" si="195"/>
        <v>0</v>
      </c>
      <c r="T288" s="358">
        <f t="shared" ca="1" si="195"/>
        <v>0</v>
      </c>
      <c r="U288" s="358">
        <f t="shared" ca="1" si="195"/>
        <v>0</v>
      </c>
      <c r="V288" s="358">
        <f t="shared" ca="1" si="195"/>
        <v>0</v>
      </c>
      <c r="W288" s="358">
        <f t="shared" ca="1" si="195"/>
        <v>0</v>
      </c>
      <c r="X288" s="358">
        <f t="shared" ca="1" si="195"/>
        <v>0</v>
      </c>
      <c r="Y288" s="358">
        <f t="shared" ca="1" si="195"/>
        <v>0</v>
      </c>
      <c r="Z288" s="358">
        <f t="shared" ca="1" si="195"/>
        <v>0</v>
      </c>
      <c r="AA288" s="358">
        <f t="shared" ca="1" si="196"/>
        <v>0</v>
      </c>
      <c r="AB288" s="358">
        <f t="shared" ca="1" si="196"/>
        <v>0</v>
      </c>
      <c r="AC288" s="358">
        <f t="shared" ca="1" si="196"/>
        <v>0</v>
      </c>
      <c r="AD288" s="358">
        <f t="shared" ca="1" si="196"/>
        <v>0</v>
      </c>
      <c r="AE288" s="358">
        <f t="shared" ca="1" si="196"/>
        <v>0</v>
      </c>
      <c r="AF288" s="358">
        <f t="shared" ca="1" si="196"/>
        <v>0</v>
      </c>
      <c r="AG288" s="358">
        <f t="shared" ca="1" si="196"/>
        <v>0</v>
      </c>
      <c r="AH288" s="358">
        <f t="shared" ca="1" si="196"/>
        <v>0</v>
      </c>
      <c r="AI288" s="358">
        <f t="shared" ca="1" si="196"/>
        <v>0</v>
      </c>
      <c r="AJ288" s="358">
        <f t="shared" ca="1" si="196"/>
        <v>0</v>
      </c>
      <c r="AK288" s="358">
        <f t="shared" ca="1" si="197"/>
        <v>0</v>
      </c>
      <c r="AL288" s="358">
        <f t="shared" ca="1" si="197"/>
        <v>0</v>
      </c>
      <c r="AM288" s="358">
        <f t="shared" ca="1" si="197"/>
        <v>0</v>
      </c>
      <c r="AN288" s="358">
        <f t="shared" ca="1" si="197"/>
        <v>0</v>
      </c>
      <c r="AO288" s="358">
        <f t="shared" ca="1" si="197"/>
        <v>0</v>
      </c>
      <c r="AP288" s="358">
        <f t="shared" ca="1" si="197"/>
        <v>0</v>
      </c>
      <c r="AQ288" s="358">
        <f t="shared" ca="1" si="197"/>
        <v>0</v>
      </c>
      <c r="AR288" s="358">
        <f t="shared" ca="1" si="197"/>
        <v>0</v>
      </c>
      <c r="AS288" s="358">
        <f t="shared" ca="1" si="197"/>
        <v>0</v>
      </c>
      <c r="AT288" s="358">
        <f t="shared" ca="1" si="197"/>
        <v>0</v>
      </c>
      <c r="AV288" s="358">
        <f t="shared" ca="1" si="160"/>
        <v>0</v>
      </c>
      <c r="AX288" s="358">
        <f t="shared" ca="1" si="161"/>
        <v>0</v>
      </c>
      <c r="AZ288" s="358">
        <f t="shared" ca="1" si="162"/>
        <v>0</v>
      </c>
      <c r="BB288" s="358">
        <f t="shared" ca="1" si="163"/>
        <v>0</v>
      </c>
      <c r="BD288" s="358">
        <f t="shared" ca="1" si="164"/>
        <v>0</v>
      </c>
      <c r="BF288" s="358">
        <f t="shared" ca="1" si="165"/>
        <v>0</v>
      </c>
      <c r="BH288" s="358">
        <f t="shared" ca="1" si="166"/>
        <v>0</v>
      </c>
    </row>
    <row r="289" spans="1:60" hidden="1" outlineLevel="1">
      <c r="A289" s="1464">
        <f t="shared" si="198"/>
        <v>18</v>
      </c>
      <c r="B289" s="1464">
        <f t="shared" si="199"/>
        <v>29</v>
      </c>
      <c r="C289" s="1464">
        <f t="shared" si="200"/>
        <v>6</v>
      </c>
      <c r="D289" s="1271" t="str">
        <f ca="1">IF(OFFSET(PortfolioDashboard!$A$3,C289-1,0)="","Blank",OFFSET(PortfolioDashboard!$A$3,C289-1,0))</f>
        <v>Mid-term Energy Conservation Measures</v>
      </c>
      <c r="E289" s="1464" t="str">
        <f t="shared" si="201"/>
        <v>2010$</v>
      </c>
      <c r="F289" s="1460">
        <f t="shared" ca="1" si="184"/>
        <v>0</v>
      </c>
      <c r="G289" s="358">
        <f t="shared" ca="1" si="194"/>
        <v>0</v>
      </c>
      <c r="H289" s="358">
        <f t="shared" ca="1" si="194"/>
        <v>0</v>
      </c>
      <c r="I289" s="358">
        <f t="shared" ca="1" si="194"/>
        <v>0</v>
      </c>
      <c r="J289" s="358">
        <f t="shared" ca="1" si="194"/>
        <v>0</v>
      </c>
      <c r="K289" s="358">
        <f t="shared" ca="1" si="194"/>
        <v>0</v>
      </c>
      <c r="L289" s="358">
        <f t="shared" ca="1" si="194"/>
        <v>0</v>
      </c>
      <c r="M289" s="358">
        <f t="shared" ca="1" si="194"/>
        <v>0</v>
      </c>
      <c r="N289" s="358">
        <f t="shared" ca="1" si="194"/>
        <v>0</v>
      </c>
      <c r="O289" s="358">
        <f t="shared" ca="1" si="194"/>
        <v>0</v>
      </c>
      <c r="P289" s="358">
        <f t="shared" ca="1" si="194"/>
        <v>0</v>
      </c>
      <c r="Q289" s="358">
        <f t="shared" ca="1" si="195"/>
        <v>0</v>
      </c>
      <c r="R289" s="358">
        <f t="shared" ca="1" si="195"/>
        <v>0</v>
      </c>
      <c r="S289" s="358">
        <f t="shared" ca="1" si="195"/>
        <v>0</v>
      </c>
      <c r="T289" s="358">
        <f t="shared" ca="1" si="195"/>
        <v>0</v>
      </c>
      <c r="U289" s="358">
        <f t="shared" ca="1" si="195"/>
        <v>0</v>
      </c>
      <c r="V289" s="358">
        <f t="shared" ca="1" si="195"/>
        <v>0</v>
      </c>
      <c r="W289" s="358">
        <f t="shared" ca="1" si="195"/>
        <v>0</v>
      </c>
      <c r="X289" s="358">
        <f t="shared" ca="1" si="195"/>
        <v>0</v>
      </c>
      <c r="Y289" s="358">
        <f t="shared" ca="1" si="195"/>
        <v>0</v>
      </c>
      <c r="Z289" s="358">
        <f t="shared" ca="1" si="195"/>
        <v>0</v>
      </c>
      <c r="AA289" s="358">
        <f t="shared" ca="1" si="196"/>
        <v>0</v>
      </c>
      <c r="AB289" s="358">
        <f t="shared" ca="1" si="196"/>
        <v>0</v>
      </c>
      <c r="AC289" s="358">
        <f t="shared" ca="1" si="196"/>
        <v>0</v>
      </c>
      <c r="AD289" s="358">
        <f t="shared" ca="1" si="196"/>
        <v>0</v>
      </c>
      <c r="AE289" s="358">
        <f t="shared" ca="1" si="196"/>
        <v>0</v>
      </c>
      <c r="AF289" s="358">
        <f t="shared" ca="1" si="196"/>
        <v>0</v>
      </c>
      <c r="AG289" s="358">
        <f t="shared" ca="1" si="196"/>
        <v>0</v>
      </c>
      <c r="AH289" s="358">
        <f t="shared" ca="1" si="196"/>
        <v>0</v>
      </c>
      <c r="AI289" s="358">
        <f t="shared" ca="1" si="196"/>
        <v>0</v>
      </c>
      <c r="AJ289" s="358">
        <f t="shared" ca="1" si="196"/>
        <v>0</v>
      </c>
      <c r="AK289" s="358">
        <f t="shared" ca="1" si="197"/>
        <v>0</v>
      </c>
      <c r="AL289" s="358">
        <f t="shared" ca="1" si="197"/>
        <v>0</v>
      </c>
      <c r="AM289" s="358">
        <f t="shared" ca="1" si="197"/>
        <v>0</v>
      </c>
      <c r="AN289" s="358">
        <f t="shared" ca="1" si="197"/>
        <v>0</v>
      </c>
      <c r="AO289" s="358">
        <f t="shared" ca="1" si="197"/>
        <v>0</v>
      </c>
      <c r="AP289" s="358">
        <f t="shared" ca="1" si="197"/>
        <v>0</v>
      </c>
      <c r="AQ289" s="358">
        <f t="shared" ca="1" si="197"/>
        <v>0</v>
      </c>
      <c r="AR289" s="358">
        <f t="shared" ca="1" si="197"/>
        <v>0</v>
      </c>
      <c r="AS289" s="358">
        <f t="shared" ca="1" si="197"/>
        <v>0</v>
      </c>
      <c r="AT289" s="358">
        <f t="shared" ca="1" si="197"/>
        <v>0</v>
      </c>
      <c r="AV289" s="358">
        <f t="shared" ca="1" si="160"/>
        <v>0</v>
      </c>
      <c r="AX289" s="358">
        <f t="shared" ca="1" si="161"/>
        <v>0</v>
      </c>
      <c r="AZ289" s="358">
        <f t="shared" ca="1" si="162"/>
        <v>0</v>
      </c>
      <c r="BB289" s="358">
        <f t="shared" ca="1" si="163"/>
        <v>0</v>
      </c>
      <c r="BD289" s="358">
        <f t="shared" ca="1" si="164"/>
        <v>0</v>
      </c>
      <c r="BF289" s="358">
        <f t="shared" ca="1" si="165"/>
        <v>0</v>
      </c>
      <c r="BH289" s="358">
        <f t="shared" ca="1" si="166"/>
        <v>0</v>
      </c>
    </row>
    <row r="290" spans="1:60" hidden="1" outlineLevel="1">
      <c r="A290" s="1464">
        <f t="shared" si="198"/>
        <v>18</v>
      </c>
      <c r="B290" s="1464">
        <f t="shared" si="199"/>
        <v>29</v>
      </c>
      <c r="C290" s="1464">
        <f t="shared" si="200"/>
        <v>7</v>
      </c>
      <c r="D290" s="1271" t="str">
        <f ca="1">IF(OFFSET(PortfolioDashboard!$A$3,C290-1,0)="","Blank",OFFSET(PortfolioDashboard!$A$3,C290-1,0))</f>
        <v>Long-term Energy Conservation Measures</v>
      </c>
      <c r="E290" s="1464" t="str">
        <f t="shared" si="201"/>
        <v>2010$</v>
      </c>
      <c r="F290" s="1460">
        <f t="shared" ca="1" si="184"/>
        <v>0</v>
      </c>
      <c r="G290" s="358">
        <f t="shared" ca="1" si="194"/>
        <v>0</v>
      </c>
      <c r="H290" s="358">
        <f t="shared" ca="1" si="194"/>
        <v>0</v>
      </c>
      <c r="I290" s="358">
        <f t="shared" ca="1" si="194"/>
        <v>0</v>
      </c>
      <c r="J290" s="358">
        <f t="shared" ca="1" si="194"/>
        <v>0</v>
      </c>
      <c r="K290" s="358">
        <f t="shared" ca="1" si="194"/>
        <v>0</v>
      </c>
      <c r="L290" s="358">
        <f t="shared" ca="1" si="194"/>
        <v>0</v>
      </c>
      <c r="M290" s="358">
        <f t="shared" ca="1" si="194"/>
        <v>0</v>
      </c>
      <c r="N290" s="358">
        <f t="shared" ca="1" si="194"/>
        <v>0</v>
      </c>
      <c r="O290" s="358">
        <f t="shared" ca="1" si="194"/>
        <v>0</v>
      </c>
      <c r="P290" s="358">
        <f t="shared" ca="1" si="194"/>
        <v>0</v>
      </c>
      <c r="Q290" s="358">
        <f t="shared" ca="1" si="195"/>
        <v>0</v>
      </c>
      <c r="R290" s="358">
        <f t="shared" ca="1" si="195"/>
        <v>0</v>
      </c>
      <c r="S290" s="358">
        <f t="shared" ca="1" si="195"/>
        <v>0</v>
      </c>
      <c r="T290" s="358">
        <f t="shared" ca="1" si="195"/>
        <v>0</v>
      </c>
      <c r="U290" s="358">
        <f t="shared" ca="1" si="195"/>
        <v>0</v>
      </c>
      <c r="V290" s="358">
        <f t="shared" ca="1" si="195"/>
        <v>0</v>
      </c>
      <c r="W290" s="358">
        <f t="shared" ca="1" si="195"/>
        <v>0</v>
      </c>
      <c r="X290" s="358">
        <f t="shared" ca="1" si="195"/>
        <v>0</v>
      </c>
      <c r="Y290" s="358">
        <f t="shared" ca="1" si="195"/>
        <v>0</v>
      </c>
      <c r="Z290" s="358">
        <f t="shared" ca="1" si="195"/>
        <v>0</v>
      </c>
      <c r="AA290" s="358">
        <f t="shared" ca="1" si="196"/>
        <v>0</v>
      </c>
      <c r="AB290" s="358">
        <f t="shared" ca="1" si="196"/>
        <v>0</v>
      </c>
      <c r="AC290" s="358">
        <f t="shared" ca="1" si="196"/>
        <v>0</v>
      </c>
      <c r="AD290" s="358">
        <f t="shared" ca="1" si="196"/>
        <v>0</v>
      </c>
      <c r="AE290" s="358">
        <f t="shared" ca="1" si="196"/>
        <v>0</v>
      </c>
      <c r="AF290" s="358">
        <f t="shared" ca="1" si="196"/>
        <v>0</v>
      </c>
      <c r="AG290" s="358">
        <f t="shared" ca="1" si="196"/>
        <v>0</v>
      </c>
      <c r="AH290" s="358">
        <f t="shared" ca="1" si="196"/>
        <v>0</v>
      </c>
      <c r="AI290" s="358">
        <f t="shared" ca="1" si="196"/>
        <v>0</v>
      </c>
      <c r="AJ290" s="358">
        <f t="shared" ca="1" si="196"/>
        <v>0</v>
      </c>
      <c r="AK290" s="358">
        <f t="shared" ca="1" si="197"/>
        <v>0</v>
      </c>
      <c r="AL290" s="358">
        <f t="shared" ca="1" si="197"/>
        <v>0</v>
      </c>
      <c r="AM290" s="358">
        <f t="shared" ca="1" si="197"/>
        <v>0</v>
      </c>
      <c r="AN290" s="358">
        <f t="shared" ca="1" si="197"/>
        <v>0</v>
      </c>
      <c r="AO290" s="358">
        <f t="shared" ca="1" si="197"/>
        <v>0</v>
      </c>
      <c r="AP290" s="358">
        <f t="shared" ca="1" si="197"/>
        <v>0</v>
      </c>
      <c r="AQ290" s="358">
        <f t="shared" ca="1" si="197"/>
        <v>0</v>
      </c>
      <c r="AR290" s="358">
        <f t="shared" ca="1" si="197"/>
        <v>0</v>
      </c>
      <c r="AS290" s="358">
        <f t="shared" ca="1" si="197"/>
        <v>0</v>
      </c>
      <c r="AT290" s="358">
        <f t="shared" ca="1" si="197"/>
        <v>0</v>
      </c>
      <c r="AV290" s="358">
        <f t="shared" ca="1" si="160"/>
        <v>0</v>
      </c>
      <c r="AX290" s="358">
        <f t="shared" ca="1" si="161"/>
        <v>0</v>
      </c>
      <c r="AZ290" s="358">
        <f t="shared" ca="1" si="162"/>
        <v>0</v>
      </c>
      <c r="BB290" s="358">
        <f t="shared" ca="1" si="163"/>
        <v>0</v>
      </c>
      <c r="BD290" s="358">
        <f t="shared" ca="1" si="164"/>
        <v>0</v>
      </c>
      <c r="BF290" s="358">
        <f t="shared" ca="1" si="165"/>
        <v>0</v>
      </c>
      <c r="BH290" s="358">
        <f t="shared" ca="1" si="166"/>
        <v>0</v>
      </c>
    </row>
    <row r="291" spans="1:60" hidden="1" outlineLevel="1">
      <c r="A291" s="1464">
        <f t="shared" si="198"/>
        <v>18</v>
      </c>
      <c r="B291" s="1464">
        <f t="shared" si="199"/>
        <v>29</v>
      </c>
      <c r="C291" s="1464">
        <f t="shared" si="200"/>
        <v>8</v>
      </c>
      <c r="D291" s="1271" t="str">
        <f ca="1">IF(OFFSET(PortfolioDashboard!$A$3,C291-1,0)="","Blank",OFFSET(PortfolioDashboard!$A$3,C291-1,0))</f>
        <v>Green IT</v>
      </c>
      <c r="E291" s="1464" t="str">
        <f t="shared" si="201"/>
        <v>2010$</v>
      </c>
      <c r="F291" s="1460">
        <f t="shared" ca="1" si="184"/>
        <v>0</v>
      </c>
      <c r="G291" s="358">
        <f t="shared" ca="1" si="194"/>
        <v>0</v>
      </c>
      <c r="H291" s="358">
        <f t="shared" ca="1" si="194"/>
        <v>0</v>
      </c>
      <c r="I291" s="358">
        <f t="shared" ca="1" si="194"/>
        <v>0</v>
      </c>
      <c r="J291" s="358">
        <f t="shared" ca="1" si="194"/>
        <v>0</v>
      </c>
      <c r="K291" s="358">
        <f t="shared" ca="1" si="194"/>
        <v>0</v>
      </c>
      <c r="L291" s="358">
        <f t="shared" ca="1" si="194"/>
        <v>0</v>
      </c>
      <c r="M291" s="358">
        <f t="shared" ca="1" si="194"/>
        <v>0</v>
      </c>
      <c r="N291" s="358">
        <f t="shared" ca="1" si="194"/>
        <v>0</v>
      </c>
      <c r="O291" s="358">
        <f t="shared" ca="1" si="194"/>
        <v>0</v>
      </c>
      <c r="P291" s="358">
        <f t="shared" ca="1" si="194"/>
        <v>0</v>
      </c>
      <c r="Q291" s="358">
        <f t="shared" ca="1" si="195"/>
        <v>0</v>
      </c>
      <c r="R291" s="358">
        <f t="shared" ca="1" si="195"/>
        <v>0</v>
      </c>
      <c r="S291" s="358">
        <f t="shared" ca="1" si="195"/>
        <v>0</v>
      </c>
      <c r="T291" s="358">
        <f t="shared" ca="1" si="195"/>
        <v>0</v>
      </c>
      <c r="U291" s="358">
        <f t="shared" ca="1" si="195"/>
        <v>0</v>
      </c>
      <c r="V291" s="358">
        <f t="shared" ca="1" si="195"/>
        <v>0</v>
      </c>
      <c r="W291" s="358">
        <f t="shared" ca="1" si="195"/>
        <v>0</v>
      </c>
      <c r="X291" s="358">
        <f t="shared" ca="1" si="195"/>
        <v>0</v>
      </c>
      <c r="Y291" s="358">
        <f t="shared" ca="1" si="195"/>
        <v>0</v>
      </c>
      <c r="Z291" s="358">
        <f t="shared" ca="1" si="195"/>
        <v>0</v>
      </c>
      <c r="AA291" s="358">
        <f t="shared" ca="1" si="196"/>
        <v>0</v>
      </c>
      <c r="AB291" s="358">
        <f t="shared" ca="1" si="196"/>
        <v>0</v>
      </c>
      <c r="AC291" s="358">
        <f t="shared" ca="1" si="196"/>
        <v>0</v>
      </c>
      <c r="AD291" s="358">
        <f t="shared" ca="1" si="196"/>
        <v>0</v>
      </c>
      <c r="AE291" s="358">
        <f t="shared" ca="1" si="196"/>
        <v>0</v>
      </c>
      <c r="AF291" s="358">
        <f t="shared" ca="1" si="196"/>
        <v>0</v>
      </c>
      <c r="AG291" s="358">
        <f t="shared" ca="1" si="196"/>
        <v>0</v>
      </c>
      <c r="AH291" s="358">
        <f t="shared" ca="1" si="196"/>
        <v>0</v>
      </c>
      <c r="AI291" s="358">
        <f t="shared" ca="1" si="196"/>
        <v>0</v>
      </c>
      <c r="AJ291" s="358">
        <f t="shared" ca="1" si="196"/>
        <v>0</v>
      </c>
      <c r="AK291" s="358">
        <f t="shared" ca="1" si="197"/>
        <v>0</v>
      </c>
      <c r="AL291" s="358">
        <f t="shared" ca="1" si="197"/>
        <v>0</v>
      </c>
      <c r="AM291" s="358">
        <f t="shared" ca="1" si="197"/>
        <v>0</v>
      </c>
      <c r="AN291" s="358">
        <f t="shared" ca="1" si="197"/>
        <v>0</v>
      </c>
      <c r="AO291" s="358">
        <f t="shared" ca="1" si="197"/>
        <v>0</v>
      </c>
      <c r="AP291" s="358">
        <f t="shared" ca="1" si="197"/>
        <v>0</v>
      </c>
      <c r="AQ291" s="358">
        <f t="shared" ca="1" si="197"/>
        <v>0</v>
      </c>
      <c r="AR291" s="358">
        <f t="shared" ca="1" si="197"/>
        <v>0</v>
      </c>
      <c r="AS291" s="358">
        <f t="shared" ca="1" si="197"/>
        <v>0</v>
      </c>
      <c r="AT291" s="358">
        <f t="shared" ca="1" si="197"/>
        <v>0</v>
      </c>
      <c r="AV291" s="358">
        <f t="shared" ca="1" si="160"/>
        <v>0</v>
      </c>
      <c r="AX291" s="358">
        <f t="shared" ca="1" si="161"/>
        <v>0</v>
      </c>
      <c r="AZ291" s="358">
        <f t="shared" ca="1" si="162"/>
        <v>0</v>
      </c>
      <c r="BB291" s="358">
        <f t="shared" ca="1" si="163"/>
        <v>0</v>
      </c>
      <c r="BD291" s="358">
        <f t="shared" ca="1" si="164"/>
        <v>0</v>
      </c>
      <c r="BF291" s="358">
        <f t="shared" ca="1" si="165"/>
        <v>0</v>
      </c>
      <c r="BH291" s="358">
        <f t="shared" ca="1" si="166"/>
        <v>0</v>
      </c>
    </row>
    <row r="292" spans="1:60" hidden="1" outlineLevel="1">
      <c r="A292" s="1464">
        <f t="shared" si="198"/>
        <v>18</v>
      </c>
      <c r="B292" s="1464">
        <f t="shared" si="199"/>
        <v>29</v>
      </c>
      <c r="C292" s="1464">
        <f t="shared" si="200"/>
        <v>9</v>
      </c>
      <c r="D292" s="1271" t="str">
        <f ca="1">IF(OFFSET(PortfolioDashboard!$A$3,C292-1,0)="","Blank",OFFSET(PortfolioDashboard!$A$3,C292-1,0))</f>
        <v>Reduced Air Travel</v>
      </c>
      <c r="E292" s="1464" t="str">
        <f t="shared" si="201"/>
        <v>2010$</v>
      </c>
      <c r="F292" s="1460">
        <f t="shared" ca="1" si="184"/>
        <v>0</v>
      </c>
      <c r="G292" s="358">
        <f t="shared" ca="1" si="194"/>
        <v>0</v>
      </c>
      <c r="H292" s="358">
        <f t="shared" ca="1" si="194"/>
        <v>0</v>
      </c>
      <c r="I292" s="358">
        <f t="shared" ca="1" si="194"/>
        <v>0</v>
      </c>
      <c r="J292" s="358">
        <f t="shared" ca="1" si="194"/>
        <v>0</v>
      </c>
      <c r="K292" s="358">
        <f t="shared" ca="1" si="194"/>
        <v>0</v>
      </c>
      <c r="L292" s="358">
        <f t="shared" ca="1" si="194"/>
        <v>0</v>
      </c>
      <c r="M292" s="358">
        <f t="shared" ca="1" si="194"/>
        <v>0</v>
      </c>
      <c r="N292" s="358">
        <f t="shared" ca="1" si="194"/>
        <v>0</v>
      </c>
      <c r="O292" s="358">
        <f t="shared" ca="1" si="194"/>
        <v>0</v>
      </c>
      <c r="P292" s="358">
        <f t="shared" ca="1" si="194"/>
        <v>0</v>
      </c>
      <c r="Q292" s="358">
        <f t="shared" ca="1" si="195"/>
        <v>0</v>
      </c>
      <c r="R292" s="358">
        <f t="shared" ca="1" si="195"/>
        <v>0</v>
      </c>
      <c r="S292" s="358">
        <f t="shared" ca="1" si="195"/>
        <v>0</v>
      </c>
      <c r="T292" s="358">
        <f t="shared" ca="1" si="195"/>
        <v>0</v>
      </c>
      <c r="U292" s="358">
        <f t="shared" ca="1" si="195"/>
        <v>0</v>
      </c>
      <c r="V292" s="358">
        <f t="shared" ca="1" si="195"/>
        <v>0</v>
      </c>
      <c r="W292" s="358">
        <f t="shared" ca="1" si="195"/>
        <v>0</v>
      </c>
      <c r="X292" s="358">
        <f t="shared" ca="1" si="195"/>
        <v>0</v>
      </c>
      <c r="Y292" s="358">
        <f t="shared" ca="1" si="195"/>
        <v>0</v>
      </c>
      <c r="Z292" s="358">
        <f t="shared" ca="1" si="195"/>
        <v>0</v>
      </c>
      <c r="AA292" s="358">
        <f t="shared" ca="1" si="196"/>
        <v>0</v>
      </c>
      <c r="AB292" s="358">
        <f t="shared" ca="1" si="196"/>
        <v>0</v>
      </c>
      <c r="AC292" s="358">
        <f t="shared" ca="1" si="196"/>
        <v>0</v>
      </c>
      <c r="AD292" s="358">
        <f t="shared" ca="1" si="196"/>
        <v>0</v>
      </c>
      <c r="AE292" s="358">
        <f t="shared" ca="1" si="196"/>
        <v>0</v>
      </c>
      <c r="AF292" s="358">
        <f t="shared" ca="1" si="196"/>
        <v>0</v>
      </c>
      <c r="AG292" s="358">
        <f t="shared" ca="1" si="196"/>
        <v>0</v>
      </c>
      <c r="AH292" s="358">
        <f t="shared" ca="1" si="196"/>
        <v>0</v>
      </c>
      <c r="AI292" s="358">
        <f t="shared" ca="1" si="196"/>
        <v>0</v>
      </c>
      <c r="AJ292" s="358">
        <f t="shared" ca="1" si="196"/>
        <v>0</v>
      </c>
      <c r="AK292" s="358">
        <f t="shared" ca="1" si="197"/>
        <v>0</v>
      </c>
      <c r="AL292" s="358">
        <f t="shared" ca="1" si="197"/>
        <v>0</v>
      </c>
      <c r="AM292" s="358">
        <f t="shared" ca="1" si="197"/>
        <v>0</v>
      </c>
      <c r="AN292" s="358">
        <f t="shared" ca="1" si="197"/>
        <v>0</v>
      </c>
      <c r="AO292" s="358">
        <f t="shared" ca="1" si="197"/>
        <v>0</v>
      </c>
      <c r="AP292" s="358">
        <f t="shared" ca="1" si="197"/>
        <v>0</v>
      </c>
      <c r="AQ292" s="358">
        <f t="shared" ca="1" si="197"/>
        <v>0</v>
      </c>
      <c r="AR292" s="358">
        <f t="shared" ca="1" si="197"/>
        <v>0</v>
      </c>
      <c r="AS292" s="358">
        <f t="shared" ca="1" si="197"/>
        <v>0</v>
      </c>
      <c r="AT292" s="358">
        <f t="shared" ca="1" si="197"/>
        <v>0</v>
      </c>
      <c r="AV292" s="358">
        <f t="shared" ca="1" si="160"/>
        <v>0</v>
      </c>
      <c r="AX292" s="358">
        <f t="shared" ca="1" si="161"/>
        <v>0</v>
      </c>
      <c r="AZ292" s="358">
        <f t="shared" ca="1" si="162"/>
        <v>0</v>
      </c>
      <c r="BB292" s="358">
        <f t="shared" ca="1" si="163"/>
        <v>0</v>
      </c>
      <c r="BD292" s="358">
        <f t="shared" ca="1" si="164"/>
        <v>0</v>
      </c>
      <c r="BF292" s="358">
        <f t="shared" ca="1" si="165"/>
        <v>0</v>
      </c>
      <c r="BH292" s="358">
        <f t="shared" ca="1" si="166"/>
        <v>0</v>
      </c>
    </row>
    <row r="293" spans="1:60" hidden="1" outlineLevel="1">
      <c r="A293" s="1464">
        <f t="shared" si="198"/>
        <v>18</v>
      </c>
      <c r="B293" s="1464">
        <f t="shared" si="199"/>
        <v>29</v>
      </c>
      <c r="C293" s="1464">
        <f t="shared" si="200"/>
        <v>10</v>
      </c>
      <c r="D293" s="1271" t="str">
        <f ca="1">IF(OFFSET(PortfolioDashboard!$A$3,C293-1,0)="","Blank",OFFSET(PortfolioDashboard!$A$3,C293-1,0))</f>
        <v>Reduced Automobile Reliance Strategies</v>
      </c>
      <c r="E293" s="1464" t="str">
        <f t="shared" si="201"/>
        <v>2010$</v>
      </c>
      <c r="F293" s="1460">
        <f t="shared" ca="1" si="184"/>
        <v>0</v>
      </c>
      <c r="G293" s="358">
        <f t="shared" ca="1" si="194"/>
        <v>0</v>
      </c>
      <c r="H293" s="358">
        <f t="shared" ca="1" si="194"/>
        <v>0</v>
      </c>
      <c r="I293" s="358">
        <f t="shared" ca="1" si="194"/>
        <v>0</v>
      </c>
      <c r="J293" s="358">
        <f t="shared" ca="1" si="194"/>
        <v>0</v>
      </c>
      <c r="K293" s="358">
        <f t="shared" ca="1" si="194"/>
        <v>0</v>
      </c>
      <c r="L293" s="358">
        <f t="shared" ca="1" si="194"/>
        <v>0</v>
      </c>
      <c r="M293" s="358">
        <f t="shared" ca="1" si="194"/>
        <v>0</v>
      </c>
      <c r="N293" s="358">
        <f t="shared" ca="1" si="194"/>
        <v>0</v>
      </c>
      <c r="O293" s="358">
        <f t="shared" ca="1" si="194"/>
        <v>0</v>
      </c>
      <c r="P293" s="358">
        <f t="shared" ca="1" si="194"/>
        <v>0</v>
      </c>
      <c r="Q293" s="358">
        <f t="shared" ca="1" si="195"/>
        <v>0</v>
      </c>
      <c r="R293" s="358">
        <f t="shared" ca="1" si="195"/>
        <v>0</v>
      </c>
      <c r="S293" s="358">
        <f t="shared" ca="1" si="195"/>
        <v>0</v>
      </c>
      <c r="T293" s="358">
        <f t="shared" ca="1" si="195"/>
        <v>0</v>
      </c>
      <c r="U293" s="358">
        <f t="shared" ca="1" si="195"/>
        <v>0</v>
      </c>
      <c r="V293" s="358">
        <f t="shared" ca="1" si="195"/>
        <v>0</v>
      </c>
      <c r="W293" s="358">
        <f t="shared" ca="1" si="195"/>
        <v>0</v>
      </c>
      <c r="X293" s="358">
        <f t="shared" ca="1" si="195"/>
        <v>0</v>
      </c>
      <c r="Y293" s="358">
        <f t="shared" ca="1" si="195"/>
        <v>0</v>
      </c>
      <c r="Z293" s="358">
        <f t="shared" ca="1" si="195"/>
        <v>0</v>
      </c>
      <c r="AA293" s="358">
        <f t="shared" ca="1" si="196"/>
        <v>0</v>
      </c>
      <c r="AB293" s="358">
        <f t="shared" ca="1" si="196"/>
        <v>0</v>
      </c>
      <c r="AC293" s="358">
        <f t="shared" ca="1" si="196"/>
        <v>0</v>
      </c>
      <c r="AD293" s="358">
        <f t="shared" ca="1" si="196"/>
        <v>0</v>
      </c>
      <c r="AE293" s="358">
        <f t="shared" ca="1" si="196"/>
        <v>0</v>
      </c>
      <c r="AF293" s="358">
        <f t="shared" ca="1" si="196"/>
        <v>0</v>
      </c>
      <c r="AG293" s="358">
        <f t="shared" ca="1" si="196"/>
        <v>0</v>
      </c>
      <c r="AH293" s="358">
        <f t="shared" ca="1" si="196"/>
        <v>0</v>
      </c>
      <c r="AI293" s="358">
        <f t="shared" ca="1" si="196"/>
        <v>0</v>
      </c>
      <c r="AJ293" s="358">
        <f t="shared" ca="1" si="196"/>
        <v>0</v>
      </c>
      <c r="AK293" s="358">
        <f t="shared" ca="1" si="197"/>
        <v>0</v>
      </c>
      <c r="AL293" s="358">
        <f t="shared" ca="1" si="197"/>
        <v>0</v>
      </c>
      <c r="AM293" s="358">
        <f t="shared" ca="1" si="197"/>
        <v>0</v>
      </c>
      <c r="AN293" s="358">
        <f t="shared" ca="1" si="197"/>
        <v>0</v>
      </c>
      <c r="AO293" s="358">
        <f t="shared" ca="1" si="197"/>
        <v>0</v>
      </c>
      <c r="AP293" s="358">
        <f t="shared" ca="1" si="197"/>
        <v>0</v>
      </c>
      <c r="AQ293" s="358">
        <f t="shared" ca="1" si="197"/>
        <v>0</v>
      </c>
      <c r="AR293" s="358">
        <f t="shared" ca="1" si="197"/>
        <v>0</v>
      </c>
      <c r="AS293" s="358">
        <f t="shared" ca="1" si="197"/>
        <v>0</v>
      </c>
      <c r="AT293" s="358">
        <f t="shared" ca="1" si="197"/>
        <v>0</v>
      </c>
      <c r="AV293" s="358">
        <f t="shared" ca="1" si="160"/>
        <v>0</v>
      </c>
      <c r="AX293" s="358">
        <f t="shared" ca="1" si="161"/>
        <v>0</v>
      </c>
      <c r="AZ293" s="358">
        <f t="shared" ca="1" si="162"/>
        <v>0</v>
      </c>
      <c r="BB293" s="358">
        <f t="shared" ca="1" si="163"/>
        <v>0</v>
      </c>
      <c r="BD293" s="358">
        <f t="shared" ca="1" si="164"/>
        <v>0</v>
      </c>
      <c r="BF293" s="358">
        <f t="shared" ca="1" si="165"/>
        <v>0</v>
      </c>
      <c r="BH293" s="358">
        <f t="shared" ca="1" si="166"/>
        <v>0</v>
      </c>
    </row>
    <row r="294" spans="1:60" hidden="1" outlineLevel="1">
      <c r="A294" s="1464">
        <f t="shared" si="198"/>
        <v>18</v>
      </c>
      <c r="B294" s="1464">
        <f t="shared" si="199"/>
        <v>29</v>
      </c>
      <c r="C294" s="1464">
        <f t="shared" si="200"/>
        <v>11</v>
      </c>
      <c r="D294" s="1271" t="str">
        <f ca="1">IF(OFFSET(PortfolioDashboard!$A$3,C294-1,0)="","Blank",OFFSET(PortfolioDashboard!$A$3,C294-1,0))</f>
        <v>Waste Reduction</v>
      </c>
      <c r="E294" s="1464" t="str">
        <f t="shared" si="201"/>
        <v>2010$</v>
      </c>
      <c r="F294" s="1460">
        <f t="shared" ca="1" si="184"/>
        <v>0</v>
      </c>
      <c r="G294" s="358">
        <f t="shared" ref="G294:P303" ca="1" si="202">IFERROR(OFFSET(INDIRECT(INDEX(List_of_Alternatives,MATCH($D294,NameofAlternatives,0))),$A294+G$1-$G$1,$B294),0)</f>
        <v>0</v>
      </c>
      <c r="H294" s="358">
        <f t="shared" ca="1" si="202"/>
        <v>0</v>
      </c>
      <c r="I294" s="358">
        <f t="shared" ca="1" si="202"/>
        <v>0</v>
      </c>
      <c r="J294" s="358">
        <f t="shared" ca="1" si="202"/>
        <v>0</v>
      </c>
      <c r="K294" s="358">
        <f t="shared" ca="1" si="202"/>
        <v>0</v>
      </c>
      <c r="L294" s="358">
        <f t="shared" ca="1" si="202"/>
        <v>0</v>
      </c>
      <c r="M294" s="358">
        <f t="shared" ca="1" si="202"/>
        <v>0</v>
      </c>
      <c r="N294" s="358">
        <f t="shared" ca="1" si="202"/>
        <v>0</v>
      </c>
      <c r="O294" s="358">
        <f t="shared" ca="1" si="202"/>
        <v>0</v>
      </c>
      <c r="P294" s="358">
        <f t="shared" ca="1" si="202"/>
        <v>0</v>
      </c>
      <c r="Q294" s="358">
        <f t="shared" ref="Q294:Z303" ca="1" si="203">IFERROR(OFFSET(INDIRECT(INDEX(List_of_Alternatives,MATCH($D294,NameofAlternatives,0))),$A294+Q$1-$G$1,$B294),0)</f>
        <v>0</v>
      </c>
      <c r="R294" s="358">
        <f t="shared" ca="1" si="203"/>
        <v>0</v>
      </c>
      <c r="S294" s="358">
        <f t="shared" ca="1" si="203"/>
        <v>0</v>
      </c>
      <c r="T294" s="358">
        <f t="shared" ca="1" si="203"/>
        <v>0</v>
      </c>
      <c r="U294" s="358">
        <f t="shared" ca="1" si="203"/>
        <v>0</v>
      </c>
      <c r="V294" s="358">
        <f t="shared" ca="1" si="203"/>
        <v>0</v>
      </c>
      <c r="W294" s="358">
        <f t="shared" ca="1" si="203"/>
        <v>0</v>
      </c>
      <c r="X294" s="358">
        <f t="shared" ca="1" si="203"/>
        <v>0</v>
      </c>
      <c r="Y294" s="358">
        <f t="shared" ca="1" si="203"/>
        <v>0</v>
      </c>
      <c r="Z294" s="358">
        <f t="shared" ca="1" si="203"/>
        <v>0</v>
      </c>
      <c r="AA294" s="358">
        <f t="shared" ref="AA294:AJ303" ca="1" si="204">IFERROR(OFFSET(INDIRECT(INDEX(List_of_Alternatives,MATCH($D294,NameofAlternatives,0))),$A294+AA$1-$G$1,$B294),0)</f>
        <v>0</v>
      </c>
      <c r="AB294" s="358">
        <f t="shared" ca="1" si="204"/>
        <v>0</v>
      </c>
      <c r="AC294" s="358">
        <f t="shared" ca="1" si="204"/>
        <v>0</v>
      </c>
      <c r="AD294" s="358">
        <f t="shared" ca="1" si="204"/>
        <v>0</v>
      </c>
      <c r="AE294" s="358">
        <f t="shared" ca="1" si="204"/>
        <v>0</v>
      </c>
      <c r="AF294" s="358">
        <f t="shared" ca="1" si="204"/>
        <v>0</v>
      </c>
      <c r="AG294" s="358">
        <f t="shared" ca="1" si="204"/>
        <v>0</v>
      </c>
      <c r="AH294" s="358">
        <f t="shared" ca="1" si="204"/>
        <v>0</v>
      </c>
      <c r="AI294" s="358">
        <f t="shared" ca="1" si="204"/>
        <v>0</v>
      </c>
      <c r="AJ294" s="358">
        <f t="shared" ca="1" si="204"/>
        <v>0</v>
      </c>
      <c r="AK294" s="358">
        <f t="shared" ref="AK294:AT303" ca="1" si="205">IFERROR(OFFSET(INDIRECT(INDEX(List_of_Alternatives,MATCH($D294,NameofAlternatives,0))),$A294+AK$1-$G$1,$B294),0)</f>
        <v>0</v>
      </c>
      <c r="AL294" s="358">
        <f t="shared" ca="1" si="205"/>
        <v>0</v>
      </c>
      <c r="AM294" s="358">
        <f t="shared" ca="1" si="205"/>
        <v>0</v>
      </c>
      <c r="AN294" s="358">
        <f t="shared" ca="1" si="205"/>
        <v>0</v>
      </c>
      <c r="AO294" s="358">
        <f t="shared" ca="1" si="205"/>
        <v>0</v>
      </c>
      <c r="AP294" s="358">
        <f t="shared" ca="1" si="205"/>
        <v>0</v>
      </c>
      <c r="AQ294" s="358">
        <f t="shared" ca="1" si="205"/>
        <v>0</v>
      </c>
      <c r="AR294" s="358">
        <f t="shared" ca="1" si="205"/>
        <v>0</v>
      </c>
      <c r="AS294" s="358">
        <f t="shared" ca="1" si="205"/>
        <v>0</v>
      </c>
      <c r="AT294" s="358">
        <f t="shared" ca="1" si="205"/>
        <v>0</v>
      </c>
      <c r="AV294" s="358">
        <f t="shared" ref="AV294:AV357" ca="1" si="206">SUM(L294:P294)</f>
        <v>0</v>
      </c>
      <c r="AX294" s="358">
        <f t="shared" ref="AX294:AX357" ca="1" si="207">SUM(Q294:U294)</f>
        <v>0</v>
      </c>
      <c r="AZ294" s="358">
        <f t="shared" ref="AZ294:AZ357" ca="1" si="208">SUM(V294:Z294)</f>
        <v>0</v>
      </c>
      <c r="BB294" s="358">
        <f t="shared" ref="BB294:BB357" ca="1" si="209">SUM(AA294:AE294)</f>
        <v>0</v>
      </c>
      <c r="BD294" s="358">
        <f t="shared" ref="BD294:BD357" ca="1" si="210">SUM(AF294:AJ294)</f>
        <v>0</v>
      </c>
      <c r="BF294" s="358">
        <f t="shared" ref="BF294:BF357" ca="1" si="211">SUM(AK294:AO294)</f>
        <v>0</v>
      </c>
      <c r="BH294" s="358">
        <f t="shared" ref="BH294:BH357" ca="1" si="212">SUM(AP294:AT294)</f>
        <v>0</v>
      </c>
    </row>
    <row r="295" spans="1:60" hidden="1" outlineLevel="1">
      <c r="A295" s="1464">
        <f t="shared" si="198"/>
        <v>18</v>
      </c>
      <c r="B295" s="1464">
        <f t="shared" si="199"/>
        <v>29</v>
      </c>
      <c r="C295" s="1464">
        <f t="shared" si="200"/>
        <v>12</v>
      </c>
      <c r="D295" s="1271" t="str">
        <f ca="1">IF(OFFSET(PortfolioDashboard!$A$3,C295-1,0)="","Blank",OFFSET(PortfolioDashboard!$A$3,C295-1,0))</f>
        <v>Steam Line Improvements</v>
      </c>
      <c r="E295" s="1464" t="str">
        <f t="shared" si="201"/>
        <v>2010$</v>
      </c>
      <c r="F295" s="1460">
        <f t="shared" ca="1" si="184"/>
        <v>0</v>
      </c>
      <c r="G295" s="358">
        <f t="shared" ca="1" si="202"/>
        <v>0</v>
      </c>
      <c r="H295" s="358">
        <f t="shared" ca="1" si="202"/>
        <v>0</v>
      </c>
      <c r="I295" s="358">
        <f t="shared" ca="1" si="202"/>
        <v>0</v>
      </c>
      <c r="J295" s="358">
        <f t="shared" ca="1" si="202"/>
        <v>0</v>
      </c>
      <c r="K295" s="358">
        <f t="shared" ca="1" si="202"/>
        <v>0</v>
      </c>
      <c r="L295" s="358">
        <f t="shared" ca="1" si="202"/>
        <v>0</v>
      </c>
      <c r="M295" s="358">
        <f t="shared" ca="1" si="202"/>
        <v>0</v>
      </c>
      <c r="N295" s="358">
        <f t="shared" ca="1" si="202"/>
        <v>0</v>
      </c>
      <c r="O295" s="358">
        <f t="shared" ca="1" si="202"/>
        <v>0</v>
      </c>
      <c r="P295" s="358">
        <f t="shared" ca="1" si="202"/>
        <v>0</v>
      </c>
      <c r="Q295" s="358">
        <f t="shared" ca="1" si="203"/>
        <v>0</v>
      </c>
      <c r="R295" s="358">
        <f t="shared" ca="1" si="203"/>
        <v>0</v>
      </c>
      <c r="S295" s="358">
        <f t="shared" ca="1" si="203"/>
        <v>0</v>
      </c>
      <c r="T295" s="358">
        <f t="shared" ca="1" si="203"/>
        <v>0</v>
      </c>
      <c r="U295" s="358">
        <f t="shared" ca="1" si="203"/>
        <v>0</v>
      </c>
      <c r="V295" s="358">
        <f t="shared" ca="1" si="203"/>
        <v>0</v>
      </c>
      <c r="W295" s="358">
        <f t="shared" ca="1" si="203"/>
        <v>0</v>
      </c>
      <c r="X295" s="358">
        <f t="shared" ca="1" si="203"/>
        <v>0</v>
      </c>
      <c r="Y295" s="358">
        <f t="shared" ca="1" si="203"/>
        <v>0</v>
      </c>
      <c r="Z295" s="358">
        <f t="shared" ca="1" si="203"/>
        <v>0</v>
      </c>
      <c r="AA295" s="358">
        <f t="shared" ca="1" si="204"/>
        <v>0</v>
      </c>
      <c r="AB295" s="358">
        <f t="shared" ca="1" si="204"/>
        <v>0</v>
      </c>
      <c r="AC295" s="358">
        <f t="shared" ca="1" si="204"/>
        <v>0</v>
      </c>
      <c r="AD295" s="358">
        <f t="shared" ca="1" si="204"/>
        <v>0</v>
      </c>
      <c r="AE295" s="358">
        <f t="shared" ca="1" si="204"/>
        <v>0</v>
      </c>
      <c r="AF295" s="358">
        <f t="shared" ca="1" si="204"/>
        <v>0</v>
      </c>
      <c r="AG295" s="358">
        <f t="shared" ca="1" si="204"/>
        <v>0</v>
      </c>
      <c r="AH295" s="358">
        <f t="shared" ca="1" si="204"/>
        <v>0</v>
      </c>
      <c r="AI295" s="358">
        <f t="shared" ca="1" si="204"/>
        <v>0</v>
      </c>
      <c r="AJ295" s="358">
        <f t="shared" ca="1" si="204"/>
        <v>0</v>
      </c>
      <c r="AK295" s="358">
        <f t="shared" ca="1" si="205"/>
        <v>0</v>
      </c>
      <c r="AL295" s="358">
        <f t="shared" ca="1" si="205"/>
        <v>0</v>
      </c>
      <c r="AM295" s="358">
        <f t="shared" ca="1" si="205"/>
        <v>0</v>
      </c>
      <c r="AN295" s="358">
        <f t="shared" ca="1" si="205"/>
        <v>0</v>
      </c>
      <c r="AO295" s="358">
        <f t="shared" ca="1" si="205"/>
        <v>0</v>
      </c>
      <c r="AP295" s="358">
        <f t="shared" ca="1" si="205"/>
        <v>0</v>
      </c>
      <c r="AQ295" s="358">
        <f t="shared" ca="1" si="205"/>
        <v>0</v>
      </c>
      <c r="AR295" s="358">
        <f t="shared" ca="1" si="205"/>
        <v>0</v>
      </c>
      <c r="AS295" s="358">
        <f t="shared" ca="1" si="205"/>
        <v>0</v>
      </c>
      <c r="AT295" s="358">
        <f t="shared" ca="1" si="205"/>
        <v>0</v>
      </c>
      <c r="AV295" s="358">
        <f t="shared" ca="1" si="206"/>
        <v>0</v>
      </c>
      <c r="AX295" s="358">
        <f t="shared" ca="1" si="207"/>
        <v>0</v>
      </c>
      <c r="AZ295" s="358">
        <f t="shared" ca="1" si="208"/>
        <v>0</v>
      </c>
      <c r="BB295" s="358">
        <f t="shared" ca="1" si="209"/>
        <v>0</v>
      </c>
      <c r="BD295" s="358">
        <f t="shared" ca="1" si="210"/>
        <v>0</v>
      </c>
      <c r="BF295" s="358">
        <f t="shared" ca="1" si="211"/>
        <v>0</v>
      </c>
      <c r="BH295" s="358">
        <f t="shared" ca="1" si="212"/>
        <v>0</v>
      </c>
    </row>
    <row r="296" spans="1:60" hidden="1" outlineLevel="1">
      <c r="A296" s="1464">
        <f t="shared" si="198"/>
        <v>18</v>
      </c>
      <c r="B296" s="1464">
        <f t="shared" si="199"/>
        <v>29</v>
      </c>
      <c r="C296" s="1464">
        <f t="shared" si="200"/>
        <v>13</v>
      </c>
      <c r="D296" s="1271" t="str">
        <f ca="1">IF(OFFSET(PortfolioDashboard!$A$3,C296-1,0)="","Blank",OFFSET(PortfolioDashboard!$A$3,C296-1,0))</f>
        <v>Coal to Natural Gas Conversion @ Steam Plant</v>
      </c>
      <c r="E296" s="1464" t="str">
        <f t="shared" si="201"/>
        <v>2010$</v>
      </c>
      <c r="F296" s="1460">
        <f t="shared" ca="1" si="184"/>
        <v>0</v>
      </c>
      <c r="G296" s="358">
        <f t="shared" ca="1" si="202"/>
        <v>0</v>
      </c>
      <c r="H296" s="358">
        <f t="shared" ca="1" si="202"/>
        <v>0</v>
      </c>
      <c r="I296" s="358">
        <f t="shared" ca="1" si="202"/>
        <v>0</v>
      </c>
      <c r="J296" s="358">
        <f t="shared" ca="1" si="202"/>
        <v>0</v>
      </c>
      <c r="K296" s="358">
        <f t="shared" ca="1" si="202"/>
        <v>0</v>
      </c>
      <c r="L296" s="358">
        <f t="shared" ca="1" si="202"/>
        <v>0</v>
      </c>
      <c r="M296" s="358">
        <f t="shared" ca="1" si="202"/>
        <v>0</v>
      </c>
      <c r="N296" s="358">
        <f t="shared" ca="1" si="202"/>
        <v>0</v>
      </c>
      <c r="O296" s="358">
        <f t="shared" ca="1" si="202"/>
        <v>0</v>
      </c>
      <c r="P296" s="358">
        <f t="shared" ca="1" si="202"/>
        <v>0</v>
      </c>
      <c r="Q296" s="358">
        <f t="shared" ca="1" si="203"/>
        <v>0</v>
      </c>
      <c r="R296" s="358">
        <f t="shared" ca="1" si="203"/>
        <v>0</v>
      </c>
      <c r="S296" s="358">
        <f t="shared" ca="1" si="203"/>
        <v>0</v>
      </c>
      <c r="T296" s="358">
        <f t="shared" ca="1" si="203"/>
        <v>0</v>
      </c>
      <c r="U296" s="358">
        <f t="shared" ca="1" si="203"/>
        <v>0</v>
      </c>
      <c r="V296" s="358">
        <f t="shared" ca="1" si="203"/>
        <v>0</v>
      </c>
      <c r="W296" s="358">
        <f t="shared" ca="1" si="203"/>
        <v>0</v>
      </c>
      <c r="X296" s="358">
        <f t="shared" ca="1" si="203"/>
        <v>0</v>
      </c>
      <c r="Y296" s="358">
        <f t="shared" ca="1" si="203"/>
        <v>0</v>
      </c>
      <c r="Z296" s="358">
        <f t="shared" ca="1" si="203"/>
        <v>0</v>
      </c>
      <c r="AA296" s="358">
        <f t="shared" ca="1" si="204"/>
        <v>0</v>
      </c>
      <c r="AB296" s="358">
        <f t="shared" ca="1" si="204"/>
        <v>0</v>
      </c>
      <c r="AC296" s="358">
        <f t="shared" ca="1" si="204"/>
        <v>0</v>
      </c>
      <c r="AD296" s="358">
        <f t="shared" ca="1" si="204"/>
        <v>0</v>
      </c>
      <c r="AE296" s="358">
        <f t="shared" ca="1" si="204"/>
        <v>0</v>
      </c>
      <c r="AF296" s="358">
        <f t="shared" ca="1" si="204"/>
        <v>0</v>
      </c>
      <c r="AG296" s="358">
        <f t="shared" ca="1" si="204"/>
        <v>0</v>
      </c>
      <c r="AH296" s="358">
        <f t="shared" ca="1" si="204"/>
        <v>0</v>
      </c>
      <c r="AI296" s="358">
        <f t="shared" ca="1" si="204"/>
        <v>0</v>
      </c>
      <c r="AJ296" s="358">
        <f t="shared" ca="1" si="204"/>
        <v>0</v>
      </c>
      <c r="AK296" s="358">
        <f t="shared" ca="1" si="205"/>
        <v>0</v>
      </c>
      <c r="AL296" s="358">
        <f t="shared" ca="1" si="205"/>
        <v>0</v>
      </c>
      <c r="AM296" s="358">
        <f t="shared" ca="1" si="205"/>
        <v>0</v>
      </c>
      <c r="AN296" s="358">
        <f t="shared" ca="1" si="205"/>
        <v>0</v>
      </c>
      <c r="AO296" s="358">
        <f t="shared" ca="1" si="205"/>
        <v>0</v>
      </c>
      <c r="AP296" s="358">
        <f t="shared" ca="1" si="205"/>
        <v>0</v>
      </c>
      <c r="AQ296" s="358">
        <f t="shared" ca="1" si="205"/>
        <v>0</v>
      </c>
      <c r="AR296" s="358">
        <f t="shared" ca="1" si="205"/>
        <v>0</v>
      </c>
      <c r="AS296" s="358">
        <f t="shared" ca="1" si="205"/>
        <v>0</v>
      </c>
      <c r="AT296" s="358">
        <f t="shared" ca="1" si="205"/>
        <v>0</v>
      </c>
      <c r="AV296" s="358">
        <f t="shared" ca="1" si="206"/>
        <v>0</v>
      </c>
      <c r="AX296" s="358">
        <f t="shared" ca="1" si="207"/>
        <v>0</v>
      </c>
      <c r="AZ296" s="358">
        <f t="shared" ca="1" si="208"/>
        <v>0</v>
      </c>
      <c r="BB296" s="358">
        <f t="shared" ca="1" si="209"/>
        <v>0</v>
      </c>
      <c r="BD296" s="358">
        <f t="shared" ca="1" si="210"/>
        <v>0</v>
      </c>
      <c r="BF296" s="358">
        <f t="shared" ca="1" si="211"/>
        <v>0</v>
      </c>
      <c r="BH296" s="358">
        <f t="shared" ca="1" si="212"/>
        <v>0</v>
      </c>
    </row>
    <row r="297" spans="1:60" hidden="1" outlineLevel="1">
      <c r="A297" s="1464">
        <f t="shared" si="198"/>
        <v>18</v>
      </c>
      <c r="B297" s="1464">
        <f t="shared" si="199"/>
        <v>29</v>
      </c>
      <c r="C297" s="1464">
        <f t="shared" si="200"/>
        <v>14</v>
      </c>
      <c r="D297" s="1271" t="str">
        <f ca="1">IF(OFFSET(PortfolioDashboard!$A$3,C297-1,0)="","Blank",OFFSET(PortfolioDashboard!$A$3,C297-1,0))</f>
        <v>On-site Wind</v>
      </c>
      <c r="E297" s="1464" t="str">
        <f t="shared" si="201"/>
        <v>2010$</v>
      </c>
      <c r="F297" s="1460">
        <f t="shared" ca="1" si="184"/>
        <v>0</v>
      </c>
      <c r="G297" s="358">
        <f t="shared" ca="1" si="202"/>
        <v>0</v>
      </c>
      <c r="H297" s="358">
        <f t="shared" ca="1" si="202"/>
        <v>0</v>
      </c>
      <c r="I297" s="358">
        <f t="shared" ca="1" si="202"/>
        <v>0</v>
      </c>
      <c r="J297" s="358">
        <f t="shared" ca="1" si="202"/>
        <v>0</v>
      </c>
      <c r="K297" s="358">
        <f t="shared" ca="1" si="202"/>
        <v>0</v>
      </c>
      <c r="L297" s="358">
        <f t="shared" ca="1" si="202"/>
        <v>0</v>
      </c>
      <c r="M297" s="358">
        <f t="shared" ca="1" si="202"/>
        <v>0</v>
      </c>
      <c r="N297" s="358">
        <f t="shared" ca="1" si="202"/>
        <v>0</v>
      </c>
      <c r="O297" s="358">
        <f t="shared" ca="1" si="202"/>
        <v>0</v>
      </c>
      <c r="P297" s="358">
        <f t="shared" ca="1" si="202"/>
        <v>0</v>
      </c>
      <c r="Q297" s="358">
        <f t="shared" ca="1" si="203"/>
        <v>0</v>
      </c>
      <c r="R297" s="358">
        <f t="shared" ca="1" si="203"/>
        <v>0</v>
      </c>
      <c r="S297" s="358">
        <f t="shared" ca="1" si="203"/>
        <v>0</v>
      </c>
      <c r="T297" s="358">
        <f t="shared" ca="1" si="203"/>
        <v>0</v>
      </c>
      <c r="U297" s="358">
        <f t="shared" ca="1" si="203"/>
        <v>0</v>
      </c>
      <c r="V297" s="358">
        <f t="shared" ca="1" si="203"/>
        <v>0</v>
      </c>
      <c r="W297" s="358">
        <f t="shared" ca="1" si="203"/>
        <v>0</v>
      </c>
      <c r="X297" s="358">
        <f t="shared" ca="1" si="203"/>
        <v>0</v>
      </c>
      <c r="Y297" s="358">
        <f t="shared" ca="1" si="203"/>
        <v>0</v>
      </c>
      <c r="Z297" s="358">
        <f t="shared" ca="1" si="203"/>
        <v>0</v>
      </c>
      <c r="AA297" s="358">
        <f t="shared" ca="1" si="204"/>
        <v>0</v>
      </c>
      <c r="AB297" s="358">
        <f t="shared" ca="1" si="204"/>
        <v>0</v>
      </c>
      <c r="AC297" s="358">
        <f t="shared" ca="1" si="204"/>
        <v>0</v>
      </c>
      <c r="AD297" s="358">
        <f t="shared" ca="1" si="204"/>
        <v>0</v>
      </c>
      <c r="AE297" s="358">
        <f t="shared" ca="1" si="204"/>
        <v>0</v>
      </c>
      <c r="AF297" s="358">
        <f t="shared" ca="1" si="204"/>
        <v>0</v>
      </c>
      <c r="AG297" s="358">
        <f t="shared" ca="1" si="204"/>
        <v>0</v>
      </c>
      <c r="AH297" s="358">
        <f t="shared" ca="1" si="204"/>
        <v>0</v>
      </c>
      <c r="AI297" s="358">
        <f t="shared" ca="1" si="204"/>
        <v>0</v>
      </c>
      <c r="AJ297" s="358">
        <f t="shared" ca="1" si="204"/>
        <v>0</v>
      </c>
      <c r="AK297" s="358">
        <f t="shared" ca="1" si="205"/>
        <v>0</v>
      </c>
      <c r="AL297" s="358">
        <f t="shared" ca="1" si="205"/>
        <v>0</v>
      </c>
      <c r="AM297" s="358">
        <f t="shared" ca="1" si="205"/>
        <v>0</v>
      </c>
      <c r="AN297" s="358">
        <f t="shared" ca="1" si="205"/>
        <v>0</v>
      </c>
      <c r="AO297" s="358">
        <f t="shared" ca="1" si="205"/>
        <v>0</v>
      </c>
      <c r="AP297" s="358">
        <f t="shared" ca="1" si="205"/>
        <v>0</v>
      </c>
      <c r="AQ297" s="358">
        <f t="shared" ca="1" si="205"/>
        <v>0</v>
      </c>
      <c r="AR297" s="358">
        <f t="shared" ca="1" si="205"/>
        <v>0</v>
      </c>
      <c r="AS297" s="358">
        <f t="shared" ca="1" si="205"/>
        <v>0</v>
      </c>
      <c r="AT297" s="358">
        <f t="shared" ca="1" si="205"/>
        <v>0</v>
      </c>
      <c r="AV297" s="358">
        <f t="shared" ca="1" si="206"/>
        <v>0</v>
      </c>
      <c r="AX297" s="358">
        <f t="shared" ca="1" si="207"/>
        <v>0</v>
      </c>
      <c r="AZ297" s="358">
        <f t="shared" ca="1" si="208"/>
        <v>0</v>
      </c>
      <c r="BB297" s="358">
        <f t="shared" ca="1" si="209"/>
        <v>0</v>
      </c>
      <c r="BD297" s="358">
        <f t="shared" ca="1" si="210"/>
        <v>0</v>
      </c>
      <c r="BF297" s="358">
        <f t="shared" ca="1" si="211"/>
        <v>0</v>
      </c>
      <c r="BH297" s="358">
        <f t="shared" ca="1" si="212"/>
        <v>0</v>
      </c>
    </row>
    <row r="298" spans="1:60" hidden="1" outlineLevel="1">
      <c r="A298" s="1464">
        <f t="shared" si="198"/>
        <v>18</v>
      </c>
      <c r="B298" s="1464">
        <f t="shared" si="199"/>
        <v>29</v>
      </c>
      <c r="C298" s="1464">
        <f t="shared" si="200"/>
        <v>15</v>
      </c>
      <c r="D298" s="1271" t="str">
        <f ca="1">IF(OFFSET(PortfolioDashboard!$A$3,C298-1,0)="","Blank",OFFSET(PortfolioDashboard!$A$3,C298-1,0))</f>
        <v>Solar DHW</v>
      </c>
      <c r="E298" s="1464" t="str">
        <f t="shared" si="201"/>
        <v>2010$</v>
      </c>
      <c r="F298" s="1460">
        <f t="shared" ca="1" si="184"/>
        <v>0</v>
      </c>
      <c r="G298" s="358">
        <f t="shared" ca="1" si="202"/>
        <v>0</v>
      </c>
      <c r="H298" s="358">
        <f t="shared" ca="1" si="202"/>
        <v>0</v>
      </c>
      <c r="I298" s="358">
        <f t="shared" ca="1" si="202"/>
        <v>0</v>
      </c>
      <c r="J298" s="358">
        <f t="shared" ca="1" si="202"/>
        <v>0</v>
      </c>
      <c r="K298" s="358">
        <f t="shared" ca="1" si="202"/>
        <v>0</v>
      </c>
      <c r="L298" s="358">
        <f t="shared" ca="1" si="202"/>
        <v>0</v>
      </c>
      <c r="M298" s="358">
        <f t="shared" ca="1" si="202"/>
        <v>0</v>
      </c>
      <c r="N298" s="358">
        <f t="shared" ca="1" si="202"/>
        <v>0</v>
      </c>
      <c r="O298" s="358">
        <f t="shared" ca="1" si="202"/>
        <v>0</v>
      </c>
      <c r="P298" s="358">
        <f t="shared" ca="1" si="202"/>
        <v>0</v>
      </c>
      <c r="Q298" s="358">
        <f t="shared" ca="1" si="203"/>
        <v>0</v>
      </c>
      <c r="R298" s="358">
        <f t="shared" ca="1" si="203"/>
        <v>0</v>
      </c>
      <c r="S298" s="358">
        <f t="shared" ca="1" si="203"/>
        <v>0</v>
      </c>
      <c r="T298" s="358">
        <f t="shared" ca="1" si="203"/>
        <v>0</v>
      </c>
      <c r="U298" s="358">
        <f t="shared" ca="1" si="203"/>
        <v>0</v>
      </c>
      <c r="V298" s="358">
        <f t="shared" ca="1" si="203"/>
        <v>0</v>
      </c>
      <c r="W298" s="358">
        <f t="shared" ca="1" si="203"/>
        <v>0</v>
      </c>
      <c r="X298" s="358">
        <f t="shared" ca="1" si="203"/>
        <v>0</v>
      </c>
      <c r="Y298" s="358">
        <f t="shared" ca="1" si="203"/>
        <v>0</v>
      </c>
      <c r="Z298" s="358">
        <f t="shared" ca="1" si="203"/>
        <v>0</v>
      </c>
      <c r="AA298" s="358">
        <f t="shared" ca="1" si="204"/>
        <v>0</v>
      </c>
      <c r="AB298" s="358">
        <f t="shared" ca="1" si="204"/>
        <v>0</v>
      </c>
      <c r="AC298" s="358">
        <f t="shared" ca="1" si="204"/>
        <v>0</v>
      </c>
      <c r="AD298" s="358">
        <f t="shared" ca="1" si="204"/>
        <v>0</v>
      </c>
      <c r="AE298" s="358">
        <f t="shared" ca="1" si="204"/>
        <v>0</v>
      </c>
      <c r="AF298" s="358">
        <f t="shared" ca="1" si="204"/>
        <v>0</v>
      </c>
      <c r="AG298" s="358">
        <f t="shared" ca="1" si="204"/>
        <v>0</v>
      </c>
      <c r="AH298" s="358">
        <f t="shared" ca="1" si="204"/>
        <v>0</v>
      </c>
      <c r="AI298" s="358">
        <f t="shared" ca="1" si="204"/>
        <v>0</v>
      </c>
      <c r="AJ298" s="358">
        <f t="shared" ca="1" si="204"/>
        <v>0</v>
      </c>
      <c r="AK298" s="358">
        <f t="shared" ca="1" si="205"/>
        <v>0</v>
      </c>
      <c r="AL298" s="358">
        <f t="shared" ca="1" si="205"/>
        <v>0</v>
      </c>
      <c r="AM298" s="358">
        <f t="shared" ca="1" si="205"/>
        <v>0</v>
      </c>
      <c r="AN298" s="358">
        <f t="shared" ca="1" si="205"/>
        <v>0</v>
      </c>
      <c r="AO298" s="358">
        <f t="shared" ca="1" si="205"/>
        <v>0</v>
      </c>
      <c r="AP298" s="358">
        <f t="shared" ca="1" si="205"/>
        <v>0</v>
      </c>
      <c r="AQ298" s="358">
        <f t="shared" ca="1" si="205"/>
        <v>0</v>
      </c>
      <c r="AR298" s="358">
        <f t="shared" ca="1" si="205"/>
        <v>0</v>
      </c>
      <c r="AS298" s="358">
        <f t="shared" ca="1" si="205"/>
        <v>0</v>
      </c>
      <c r="AT298" s="358">
        <f t="shared" ca="1" si="205"/>
        <v>0</v>
      </c>
      <c r="AV298" s="358">
        <f t="shared" ca="1" si="206"/>
        <v>0</v>
      </c>
      <c r="AX298" s="358">
        <f t="shared" ca="1" si="207"/>
        <v>0</v>
      </c>
      <c r="AZ298" s="358">
        <f t="shared" ca="1" si="208"/>
        <v>0</v>
      </c>
      <c r="BB298" s="358">
        <f t="shared" ca="1" si="209"/>
        <v>0</v>
      </c>
      <c r="BD298" s="358">
        <f t="shared" ca="1" si="210"/>
        <v>0</v>
      </c>
      <c r="BF298" s="358">
        <f t="shared" ca="1" si="211"/>
        <v>0</v>
      </c>
      <c r="BH298" s="358">
        <f t="shared" ca="1" si="212"/>
        <v>0</v>
      </c>
    </row>
    <row r="299" spans="1:60" hidden="1" outlineLevel="1">
      <c r="A299" s="1464">
        <f t="shared" si="198"/>
        <v>18</v>
      </c>
      <c r="B299" s="1464">
        <f t="shared" si="199"/>
        <v>29</v>
      </c>
      <c r="C299" s="1464">
        <f t="shared" si="200"/>
        <v>16</v>
      </c>
      <c r="D299" s="1271" t="str">
        <f ca="1">IF(OFFSET(PortfolioDashboard!$A$3,C299-1,0)="","Blank",OFFSET(PortfolioDashboard!$A$3,C299-1,0))</f>
        <v>Geo Exchange</v>
      </c>
      <c r="E299" s="1464" t="str">
        <f t="shared" si="201"/>
        <v>2010$</v>
      </c>
      <c r="F299" s="1460">
        <f t="shared" ca="1" si="184"/>
        <v>0</v>
      </c>
      <c r="G299" s="358">
        <f t="shared" ca="1" si="202"/>
        <v>0</v>
      </c>
      <c r="H299" s="358">
        <f t="shared" ca="1" si="202"/>
        <v>0</v>
      </c>
      <c r="I299" s="358">
        <f t="shared" ca="1" si="202"/>
        <v>0</v>
      </c>
      <c r="J299" s="358">
        <f t="shared" ca="1" si="202"/>
        <v>0</v>
      </c>
      <c r="K299" s="358">
        <f t="shared" ca="1" si="202"/>
        <v>0</v>
      </c>
      <c r="L299" s="358">
        <f t="shared" ca="1" si="202"/>
        <v>0</v>
      </c>
      <c r="M299" s="358">
        <f t="shared" ca="1" si="202"/>
        <v>0</v>
      </c>
      <c r="N299" s="358">
        <f t="shared" ca="1" si="202"/>
        <v>0</v>
      </c>
      <c r="O299" s="358">
        <f t="shared" ca="1" si="202"/>
        <v>0</v>
      </c>
      <c r="P299" s="358">
        <f t="shared" ca="1" si="202"/>
        <v>0</v>
      </c>
      <c r="Q299" s="358">
        <f t="shared" ca="1" si="203"/>
        <v>0</v>
      </c>
      <c r="R299" s="358">
        <f t="shared" ca="1" si="203"/>
        <v>0</v>
      </c>
      <c r="S299" s="358">
        <f t="shared" ca="1" si="203"/>
        <v>0</v>
      </c>
      <c r="T299" s="358">
        <f t="shared" ca="1" si="203"/>
        <v>0</v>
      </c>
      <c r="U299" s="358">
        <f t="shared" ca="1" si="203"/>
        <v>0</v>
      </c>
      <c r="V299" s="358">
        <f t="shared" ca="1" si="203"/>
        <v>0</v>
      </c>
      <c r="W299" s="358">
        <f t="shared" ca="1" si="203"/>
        <v>0</v>
      </c>
      <c r="X299" s="358">
        <f t="shared" ca="1" si="203"/>
        <v>0</v>
      </c>
      <c r="Y299" s="358">
        <f t="shared" ca="1" si="203"/>
        <v>0</v>
      </c>
      <c r="Z299" s="358">
        <f t="shared" ca="1" si="203"/>
        <v>0</v>
      </c>
      <c r="AA299" s="358">
        <f t="shared" ca="1" si="204"/>
        <v>0</v>
      </c>
      <c r="AB299" s="358">
        <f t="shared" ca="1" si="204"/>
        <v>0</v>
      </c>
      <c r="AC299" s="358">
        <f t="shared" ca="1" si="204"/>
        <v>0</v>
      </c>
      <c r="AD299" s="358">
        <f t="shared" ca="1" si="204"/>
        <v>0</v>
      </c>
      <c r="AE299" s="358">
        <f t="shared" ca="1" si="204"/>
        <v>0</v>
      </c>
      <c r="AF299" s="358">
        <f t="shared" ca="1" si="204"/>
        <v>0</v>
      </c>
      <c r="AG299" s="358">
        <f t="shared" ca="1" si="204"/>
        <v>0</v>
      </c>
      <c r="AH299" s="358">
        <f t="shared" ca="1" si="204"/>
        <v>0</v>
      </c>
      <c r="AI299" s="358">
        <f t="shared" ca="1" si="204"/>
        <v>0</v>
      </c>
      <c r="AJ299" s="358">
        <f t="shared" ca="1" si="204"/>
        <v>0</v>
      </c>
      <c r="AK299" s="358">
        <f t="shared" ca="1" si="205"/>
        <v>0</v>
      </c>
      <c r="AL299" s="358">
        <f t="shared" ca="1" si="205"/>
        <v>0</v>
      </c>
      <c r="AM299" s="358">
        <f t="shared" ca="1" si="205"/>
        <v>0</v>
      </c>
      <c r="AN299" s="358">
        <f t="shared" ca="1" si="205"/>
        <v>0</v>
      </c>
      <c r="AO299" s="358">
        <f t="shared" ca="1" si="205"/>
        <v>0</v>
      </c>
      <c r="AP299" s="358">
        <f t="shared" ca="1" si="205"/>
        <v>0</v>
      </c>
      <c r="AQ299" s="358">
        <f t="shared" ca="1" si="205"/>
        <v>0</v>
      </c>
      <c r="AR299" s="358">
        <f t="shared" ca="1" si="205"/>
        <v>0</v>
      </c>
      <c r="AS299" s="358">
        <f t="shared" ca="1" si="205"/>
        <v>0</v>
      </c>
      <c r="AT299" s="358">
        <f t="shared" ca="1" si="205"/>
        <v>0</v>
      </c>
      <c r="AV299" s="358">
        <f t="shared" ca="1" si="206"/>
        <v>0</v>
      </c>
      <c r="AX299" s="358">
        <f t="shared" ca="1" si="207"/>
        <v>0</v>
      </c>
      <c r="AZ299" s="358">
        <f t="shared" ca="1" si="208"/>
        <v>0</v>
      </c>
      <c r="BB299" s="358">
        <f t="shared" ca="1" si="209"/>
        <v>0</v>
      </c>
      <c r="BD299" s="358">
        <f t="shared" ca="1" si="210"/>
        <v>0</v>
      </c>
      <c r="BF299" s="358">
        <f t="shared" ca="1" si="211"/>
        <v>0</v>
      </c>
      <c r="BH299" s="358">
        <f t="shared" ca="1" si="212"/>
        <v>0</v>
      </c>
    </row>
    <row r="300" spans="1:60" hidden="1" outlineLevel="1">
      <c r="A300" s="1464">
        <f t="shared" si="198"/>
        <v>18</v>
      </c>
      <c r="B300" s="1464">
        <f t="shared" si="199"/>
        <v>29</v>
      </c>
      <c r="C300" s="1464">
        <f t="shared" si="200"/>
        <v>17</v>
      </c>
      <c r="D300" s="1271" t="str">
        <f ca="1">IF(OFFSET(PortfolioDashboard!$A$3,C300-1,0)="","Blank",OFFSET(PortfolioDashboard!$A$3,C300-1,0))</f>
        <v>Rooftop Solar PV</v>
      </c>
      <c r="E300" s="1464" t="str">
        <f t="shared" si="201"/>
        <v>2010$</v>
      </c>
      <c r="F300" s="1460">
        <f t="shared" ca="1" si="184"/>
        <v>0</v>
      </c>
      <c r="G300" s="358">
        <f t="shared" ca="1" si="202"/>
        <v>0</v>
      </c>
      <c r="H300" s="358">
        <f t="shared" ca="1" si="202"/>
        <v>0</v>
      </c>
      <c r="I300" s="358">
        <f t="shared" ca="1" si="202"/>
        <v>0</v>
      </c>
      <c r="J300" s="358">
        <f t="shared" ca="1" si="202"/>
        <v>0</v>
      </c>
      <c r="K300" s="358">
        <f t="shared" ca="1" si="202"/>
        <v>0</v>
      </c>
      <c r="L300" s="358">
        <f t="shared" ca="1" si="202"/>
        <v>0</v>
      </c>
      <c r="M300" s="358">
        <f t="shared" ca="1" si="202"/>
        <v>0</v>
      </c>
      <c r="N300" s="358">
        <f t="shared" ca="1" si="202"/>
        <v>0</v>
      </c>
      <c r="O300" s="358">
        <f t="shared" ca="1" si="202"/>
        <v>0</v>
      </c>
      <c r="P300" s="358">
        <f t="shared" ca="1" si="202"/>
        <v>0</v>
      </c>
      <c r="Q300" s="358">
        <f t="shared" ca="1" si="203"/>
        <v>0</v>
      </c>
      <c r="R300" s="358">
        <f t="shared" ca="1" si="203"/>
        <v>0</v>
      </c>
      <c r="S300" s="358">
        <f t="shared" ca="1" si="203"/>
        <v>0</v>
      </c>
      <c r="T300" s="358">
        <f t="shared" ca="1" si="203"/>
        <v>0</v>
      </c>
      <c r="U300" s="358">
        <f t="shared" ca="1" si="203"/>
        <v>0</v>
      </c>
      <c r="V300" s="358">
        <f t="shared" ca="1" si="203"/>
        <v>0</v>
      </c>
      <c r="W300" s="358">
        <f t="shared" ca="1" si="203"/>
        <v>0</v>
      </c>
      <c r="X300" s="358">
        <f t="shared" ca="1" si="203"/>
        <v>0</v>
      </c>
      <c r="Y300" s="358">
        <f t="shared" ca="1" si="203"/>
        <v>0</v>
      </c>
      <c r="Z300" s="358">
        <f t="shared" ca="1" si="203"/>
        <v>0</v>
      </c>
      <c r="AA300" s="358">
        <f t="shared" ca="1" si="204"/>
        <v>0</v>
      </c>
      <c r="AB300" s="358">
        <f t="shared" ca="1" si="204"/>
        <v>0</v>
      </c>
      <c r="AC300" s="358">
        <f t="shared" ca="1" si="204"/>
        <v>0</v>
      </c>
      <c r="AD300" s="358">
        <f t="shared" ca="1" si="204"/>
        <v>0</v>
      </c>
      <c r="AE300" s="358">
        <f t="shared" ca="1" si="204"/>
        <v>0</v>
      </c>
      <c r="AF300" s="358">
        <f t="shared" ca="1" si="204"/>
        <v>0</v>
      </c>
      <c r="AG300" s="358">
        <f t="shared" ca="1" si="204"/>
        <v>0</v>
      </c>
      <c r="AH300" s="358">
        <f t="shared" ca="1" si="204"/>
        <v>0</v>
      </c>
      <c r="AI300" s="358">
        <f t="shared" ca="1" si="204"/>
        <v>0</v>
      </c>
      <c r="AJ300" s="358">
        <f t="shared" ca="1" si="204"/>
        <v>0</v>
      </c>
      <c r="AK300" s="358">
        <f t="shared" ca="1" si="205"/>
        <v>0</v>
      </c>
      <c r="AL300" s="358">
        <f t="shared" ca="1" si="205"/>
        <v>0</v>
      </c>
      <c r="AM300" s="358">
        <f t="shared" ca="1" si="205"/>
        <v>0</v>
      </c>
      <c r="AN300" s="358">
        <f t="shared" ca="1" si="205"/>
        <v>0</v>
      </c>
      <c r="AO300" s="358">
        <f t="shared" ca="1" si="205"/>
        <v>0</v>
      </c>
      <c r="AP300" s="358">
        <f t="shared" ca="1" si="205"/>
        <v>0</v>
      </c>
      <c r="AQ300" s="358">
        <f t="shared" ca="1" si="205"/>
        <v>0</v>
      </c>
      <c r="AR300" s="358">
        <f t="shared" ca="1" si="205"/>
        <v>0</v>
      </c>
      <c r="AS300" s="358">
        <f t="shared" ca="1" si="205"/>
        <v>0</v>
      </c>
      <c r="AT300" s="358">
        <f t="shared" ca="1" si="205"/>
        <v>0</v>
      </c>
      <c r="AV300" s="358">
        <f t="shared" ca="1" si="206"/>
        <v>0</v>
      </c>
      <c r="AX300" s="358">
        <f t="shared" ca="1" si="207"/>
        <v>0</v>
      </c>
      <c r="AZ300" s="358">
        <f t="shared" ca="1" si="208"/>
        <v>0</v>
      </c>
      <c r="BB300" s="358">
        <f t="shared" ca="1" si="209"/>
        <v>0</v>
      </c>
      <c r="BD300" s="358">
        <f t="shared" ca="1" si="210"/>
        <v>0</v>
      </c>
      <c r="BF300" s="358">
        <f t="shared" ca="1" si="211"/>
        <v>0</v>
      </c>
      <c r="BH300" s="358">
        <f t="shared" ca="1" si="212"/>
        <v>0</v>
      </c>
    </row>
    <row r="301" spans="1:60" hidden="1" outlineLevel="1">
      <c r="A301" s="1464">
        <f t="shared" si="198"/>
        <v>18</v>
      </c>
      <c r="B301" s="1464">
        <f t="shared" si="199"/>
        <v>29</v>
      </c>
      <c r="C301" s="1464">
        <f t="shared" si="200"/>
        <v>18</v>
      </c>
      <c r="D301" s="1271" t="str">
        <f ca="1">IF(OFFSET(PortfolioDashboard!$A$3,C301-1,0)="","Blank",OFFSET(PortfolioDashboard!$A$3,C301-1,0))</f>
        <v>Blank</v>
      </c>
      <c r="E301" s="1464" t="str">
        <f t="shared" si="201"/>
        <v>2010$</v>
      </c>
      <c r="F301" s="1460">
        <f t="shared" ca="1" si="184"/>
        <v>0</v>
      </c>
      <c r="G301" s="358">
        <f t="shared" ca="1" si="202"/>
        <v>0</v>
      </c>
      <c r="H301" s="358">
        <f t="shared" ca="1" si="202"/>
        <v>0</v>
      </c>
      <c r="I301" s="358">
        <f t="shared" ca="1" si="202"/>
        <v>0</v>
      </c>
      <c r="J301" s="358">
        <f t="shared" ca="1" si="202"/>
        <v>0</v>
      </c>
      <c r="K301" s="358">
        <f t="shared" ca="1" si="202"/>
        <v>0</v>
      </c>
      <c r="L301" s="358">
        <f t="shared" ca="1" si="202"/>
        <v>0</v>
      </c>
      <c r="M301" s="358">
        <f t="shared" ca="1" si="202"/>
        <v>0</v>
      </c>
      <c r="N301" s="358">
        <f t="shared" ca="1" si="202"/>
        <v>0</v>
      </c>
      <c r="O301" s="358">
        <f t="shared" ca="1" si="202"/>
        <v>0</v>
      </c>
      <c r="P301" s="358">
        <f t="shared" ca="1" si="202"/>
        <v>0</v>
      </c>
      <c r="Q301" s="358">
        <f t="shared" ca="1" si="203"/>
        <v>0</v>
      </c>
      <c r="R301" s="358">
        <f t="shared" ca="1" si="203"/>
        <v>0</v>
      </c>
      <c r="S301" s="358">
        <f t="shared" ca="1" si="203"/>
        <v>0</v>
      </c>
      <c r="T301" s="358">
        <f t="shared" ca="1" si="203"/>
        <v>0</v>
      </c>
      <c r="U301" s="358">
        <f t="shared" ca="1" si="203"/>
        <v>0</v>
      </c>
      <c r="V301" s="358">
        <f t="shared" ca="1" si="203"/>
        <v>0</v>
      </c>
      <c r="W301" s="358">
        <f t="shared" ca="1" si="203"/>
        <v>0</v>
      </c>
      <c r="X301" s="358">
        <f t="shared" ca="1" si="203"/>
        <v>0</v>
      </c>
      <c r="Y301" s="358">
        <f t="shared" ca="1" si="203"/>
        <v>0</v>
      </c>
      <c r="Z301" s="358">
        <f t="shared" ca="1" si="203"/>
        <v>0</v>
      </c>
      <c r="AA301" s="358">
        <f t="shared" ca="1" si="204"/>
        <v>0</v>
      </c>
      <c r="AB301" s="358">
        <f t="shared" ca="1" si="204"/>
        <v>0</v>
      </c>
      <c r="AC301" s="358">
        <f t="shared" ca="1" si="204"/>
        <v>0</v>
      </c>
      <c r="AD301" s="358">
        <f t="shared" ca="1" si="204"/>
        <v>0</v>
      </c>
      <c r="AE301" s="358">
        <f t="shared" ca="1" si="204"/>
        <v>0</v>
      </c>
      <c r="AF301" s="358">
        <f t="shared" ca="1" si="204"/>
        <v>0</v>
      </c>
      <c r="AG301" s="358">
        <f t="shared" ca="1" si="204"/>
        <v>0</v>
      </c>
      <c r="AH301" s="358">
        <f t="shared" ca="1" si="204"/>
        <v>0</v>
      </c>
      <c r="AI301" s="358">
        <f t="shared" ca="1" si="204"/>
        <v>0</v>
      </c>
      <c r="AJ301" s="358">
        <f t="shared" ca="1" si="204"/>
        <v>0</v>
      </c>
      <c r="AK301" s="358">
        <f t="shared" ca="1" si="205"/>
        <v>0</v>
      </c>
      <c r="AL301" s="358">
        <f t="shared" ca="1" si="205"/>
        <v>0</v>
      </c>
      <c r="AM301" s="358">
        <f t="shared" ca="1" si="205"/>
        <v>0</v>
      </c>
      <c r="AN301" s="358">
        <f t="shared" ca="1" si="205"/>
        <v>0</v>
      </c>
      <c r="AO301" s="358">
        <f t="shared" ca="1" si="205"/>
        <v>0</v>
      </c>
      <c r="AP301" s="358">
        <f t="shared" ca="1" si="205"/>
        <v>0</v>
      </c>
      <c r="AQ301" s="358">
        <f t="shared" ca="1" si="205"/>
        <v>0</v>
      </c>
      <c r="AR301" s="358">
        <f t="shared" ca="1" si="205"/>
        <v>0</v>
      </c>
      <c r="AS301" s="358">
        <f t="shared" ca="1" si="205"/>
        <v>0</v>
      </c>
      <c r="AT301" s="358">
        <f t="shared" ca="1" si="205"/>
        <v>0</v>
      </c>
      <c r="AV301" s="358">
        <f t="shared" ca="1" si="206"/>
        <v>0</v>
      </c>
      <c r="AX301" s="358">
        <f t="shared" ca="1" si="207"/>
        <v>0</v>
      </c>
      <c r="AZ301" s="358">
        <f t="shared" ca="1" si="208"/>
        <v>0</v>
      </c>
      <c r="BB301" s="358">
        <f t="shared" ca="1" si="209"/>
        <v>0</v>
      </c>
      <c r="BD301" s="358">
        <f t="shared" ca="1" si="210"/>
        <v>0</v>
      </c>
      <c r="BF301" s="358">
        <f t="shared" ca="1" si="211"/>
        <v>0</v>
      </c>
      <c r="BH301" s="358">
        <f t="shared" ca="1" si="212"/>
        <v>0</v>
      </c>
    </row>
    <row r="302" spans="1:60" hidden="1" outlineLevel="1">
      <c r="A302" s="1464">
        <f t="shared" si="198"/>
        <v>18</v>
      </c>
      <c r="B302" s="1464">
        <f t="shared" si="199"/>
        <v>29</v>
      </c>
      <c r="C302" s="1464">
        <f t="shared" si="200"/>
        <v>19</v>
      </c>
      <c r="D302" s="1271" t="str">
        <f ca="1">IF(OFFSET(PortfolioDashboard!$A$3,C302-1,0)="","Blank",OFFSET(PortfolioDashboard!$A$3,C302-1,0))</f>
        <v>Blank</v>
      </c>
      <c r="E302" s="1464" t="str">
        <f t="shared" si="201"/>
        <v>2010$</v>
      </c>
      <c r="F302" s="1460">
        <f t="shared" ca="1" si="184"/>
        <v>0</v>
      </c>
      <c r="G302" s="358">
        <f t="shared" ca="1" si="202"/>
        <v>0</v>
      </c>
      <c r="H302" s="358">
        <f t="shared" ca="1" si="202"/>
        <v>0</v>
      </c>
      <c r="I302" s="358">
        <f t="shared" ca="1" si="202"/>
        <v>0</v>
      </c>
      <c r="J302" s="358">
        <f t="shared" ca="1" si="202"/>
        <v>0</v>
      </c>
      <c r="K302" s="358">
        <f t="shared" ca="1" si="202"/>
        <v>0</v>
      </c>
      <c r="L302" s="358">
        <f t="shared" ca="1" si="202"/>
        <v>0</v>
      </c>
      <c r="M302" s="358">
        <f t="shared" ca="1" si="202"/>
        <v>0</v>
      </c>
      <c r="N302" s="358">
        <f t="shared" ca="1" si="202"/>
        <v>0</v>
      </c>
      <c r="O302" s="358">
        <f t="shared" ca="1" si="202"/>
        <v>0</v>
      </c>
      <c r="P302" s="358">
        <f t="shared" ca="1" si="202"/>
        <v>0</v>
      </c>
      <c r="Q302" s="358">
        <f t="shared" ca="1" si="203"/>
        <v>0</v>
      </c>
      <c r="R302" s="358">
        <f t="shared" ca="1" si="203"/>
        <v>0</v>
      </c>
      <c r="S302" s="358">
        <f t="shared" ca="1" si="203"/>
        <v>0</v>
      </c>
      <c r="T302" s="358">
        <f t="shared" ca="1" si="203"/>
        <v>0</v>
      </c>
      <c r="U302" s="358">
        <f t="shared" ca="1" si="203"/>
        <v>0</v>
      </c>
      <c r="V302" s="358">
        <f t="shared" ca="1" si="203"/>
        <v>0</v>
      </c>
      <c r="W302" s="358">
        <f t="shared" ca="1" si="203"/>
        <v>0</v>
      </c>
      <c r="X302" s="358">
        <f t="shared" ca="1" si="203"/>
        <v>0</v>
      </c>
      <c r="Y302" s="358">
        <f t="shared" ca="1" si="203"/>
        <v>0</v>
      </c>
      <c r="Z302" s="358">
        <f t="shared" ca="1" si="203"/>
        <v>0</v>
      </c>
      <c r="AA302" s="358">
        <f t="shared" ca="1" si="204"/>
        <v>0</v>
      </c>
      <c r="AB302" s="358">
        <f t="shared" ca="1" si="204"/>
        <v>0</v>
      </c>
      <c r="AC302" s="358">
        <f t="shared" ca="1" si="204"/>
        <v>0</v>
      </c>
      <c r="AD302" s="358">
        <f t="shared" ca="1" si="204"/>
        <v>0</v>
      </c>
      <c r="AE302" s="358">
        <f t="shared" ca="1" si="204"/>
        <v>0</v>
      </c>
      <c r="AF302" s="358">
        <f t="shared" ca="1" si="204"/>
        <v>0</v>
      </c>
      <c r="AG302" s="358">
        <f t="shared" ca="1" si="204"/>
        <v>0</v>
      </c>
      <c r="AH302" s="358">
        <f t="shared" ca="1" si="204"/>
        <v>0</v>
      </c>
      <c r="AI302" s="358">
        <f t="shared" ca="1" si="204"/>
        <v>0</v>
      </c>
      <c r="AJ302" s="358">
        <f t="shared" ca="1" si="204"/>
        <v>0</v>
      </c>
      <c r="AK302" s="358">
        <f t="shared" ca="1" si="205"/>
        <v>0</v>
      </c>
      <c r="AL302" s="358">
        <f t="shared" ca="1" si="205"/>
        <v>0</v>
      </c>
      <c r="AM302" s="358">
        <f t="shared" ca="1" si="205"/>
        <v>0</v>
      </c>
      <c r="AN302" s="358">
        <f t="shared" ca="1" si="205"/>
        <v>0</v>
      </c>
      <c r="AO302" s="358">
        <f t="shared" ca="1" si="205"/>
        <v>0</v>
      </c>
      <c r="AP302" s="358">
        <f t="shared" ca="1" si="205"/>
        <v>0</v>
      </c>
      <c r="AQ302" s="358">
        <f t="shared" ca="1" si="205"/>
        <v>0</v>
      </c>
      <c r="AR302" s="358">
        <f t="shared" ca="1" si="205"/>
        <v>0</v>
      </c>
      <c r="AS302" s="358">
        <f t="shared" ca="1" si="205"/>
        <v>0</v>
      </c>
      <c r="AT302" s="358">
        <f t="shared" ca="1" si="205"/>
        <v>0</v>
      </c>
      <c r="AV302" s="358">
        <f t="shared" ca="1" si="206"/>
        <v>0</v>
      </c>
      <c r="AX302" s="358">
        <f t="shared" ca="1" si="207"/>
        <v>0</v>
      </c>
      <c r="AZ302" s="358">
        <f t="shared" ca="1" si="208"/>
        <v>0</v>
      </c>
      <c r="BB302" s="358">
        <f t="shared" ca="1" si="209"/>
        <v>0</v>
      </c>
      <c r="BD302" s="358">
        <f t="shared" ca="1" si="210"/>
        <v>0</v>
      </c>
      <c r="BF302" s="358">
        <f t="shared" ca="1" si="211"/>
        <v>0</v>
      </c>
      <c r="BH302" s="358">
        <f t="shared" ca="1" si="212"/>
        <v>0</v>
      </c>
    </row>
    <row r="303" spans="1:60" hidden="1" outlineLevel="1">
      <c r="A303" s="1464">
        <f t="shared" si="198"/>
        <v>18</v>
      </c>
      <c r="B303" s="1464">
        <f t="shared" si="199"/>
        <v>29</v>
      </c>
      <c r="C303" s="1464">
        <f t="shared" si="200"/>
        <v>20</v>
      </c>
      <c r="D303" s="1271" t="str">
        <f ca="1">IF(OFFSET(PortfolioDashboard!$A$3,C303-1,0)="","Blank",OFFSET(PortfolioDashboard!$A$3,C303-1,0))</f>
        <v>Blank</v>
      </c>
      <c r="E303" s="1464" t="str">
        <f t="shared" si="201"/>
        <v>2010$</v>
      </c>
      <c r="F303" s="1460">
        <f t="shared" ca="1" si="184"/>
        <v>0</v>
      </c>
      <c r="G303" s="358">
        <f t="shared" ca="1" si="202"/>
        <v>0</v>
      </c>
      <c r="H303" s="358">
        <f t="shared" ca="1" si="202"/>
        <v>0</v>
      </c>
      <c r="I303" s="358">
        <f t="shared" ca="1" si="202"/>
        <v>0</v>
      </c>
      <c r="J303" s="358">
        <f t="shared" ca="1" si="202"/>
        <v>0</v>
      </c>
      <c r="K303" s="358">
        <f t="shared" ca="1" si="202"/>
        <v>0</v>
      </c>
      <c r="L303" s="358">
        <f t="shared" ca="1" si="202"/>
        <v>0</v>
      </c>
      <c r="M303" s="358">
        <f t="shared" ca="1" si="202"/>
        <v>0</v>
      </c>
      <c r="N303" s="358">
        <f t="shared" ca="1" si="202"/>
        <v>0</v>
      </c>
      <c r="O303" s="358">
        <f t="shared" ca="1" si="202"/>
        <v>0</v>
      </c>
      <c r="P303" s="358">
        <f t="shared" ca="1" si="202"/>
        <v>0</v>
      </c>
      <c r="Q303" s="358">
        <f t="shared" ca="1" si="203"/>
        <v>0</v>
      </c>
      <c r="R303" s="358">
        <f t="shared" ca="1" si="203"/>
        <v>0</v>
      </c>
      <c r="S303" s="358">
        <f t="shared" ca="1" si="203"/>
        <v>0</v>
      </c>
      <c r="T303" s="358">
        <f t="shared" ca="1" si="203"/>
        <v>0</v>
      </c>
      <c r="U303" s="358">
        <f t="shared" ca="1" si="203"/>
        <v>0</v>
      </c>
      <c r="V303" s="358">
        <f t="shared" ca="1" si="203"/>
        <v>0</v>
      </c>
      <c r="W303" s="358">
        <f t="shared" ca="1" si="203"/>
        <v>0</v>
      </c>
      <c r="X303" s="358">
        <f t="shared" ca="1" si="203"/>
        <v>0</v>
      </c>
      <c r="Y303" s="358">
        <f t="shared" ca="1" si="203"/>
        <v>0</v>
      </c>
      <c r="Z303" s="358">
        <f t="shared" ca="1" si="203"/>
        <v>0</v>
      </c>
      <c r="AA303" s="358">
        <f t="shared" ca="1" si="204"/>
        <v>0</v>
      </c>
      <c r="AB303" s="358">
        <f t="shared" ca="1" si="204"/>
        <v>0</v>
      </c>
      <c r="AC303" s="358">
        <f t="shared" ca="1" si="204"/>
        <v>0</v>
      </c>
      <c r="AD303" s="358">
        <f t="shared" ca="1" si="204"/>
        <v>0</v>
      </c>
      <c r="AE303" s="358">
        <f t="shared" ca="1" si="204"/>
        <v>0</v>
      </c>
      <c r="AF303" s="358">
        <f t="shared" ca="1" si="204"/>
        <v>0</v>
      </c>
      <c r="AG303" s="358">
        <f t="shared" ca="1" si="204"/>
        <v>0</v>
      </c>
      <c r="AH303" s="358">
        <f t="shared" ca="1" si="204"/>
        <v>0</v>
      </c>
      <c r="AI303" s="358">
        <f t="shared" ca="1" si="204"/>
        <v>0</v>
      </c>
      <c r="AJ303" s="358">
        <f t="shared" ca="1" si="204"/>
        <v>0</v>
      </c>
      <c r="AK303" s="358">
        <f t="shared" ca="1" si="205"/>
        <v>0</v>
      </c>
      <c r="AL303" s="358">
        <f t="shared" ca="1" si="205"/>
        <v>0</v>
      </c>
      <c r="AM303" s="358">
        <f t="shared" ca="1" si="205"/>
        <v>0</v>
      </c>
      <c r="AN303" s="358">
        <f t="shared" ca="1" si="205"/>
        <v>0</v>
      </c>
      <c r="AO303" s="358">
        <f t="shared" ca="1" si="205"/>
        <v>0</v>
      </c>
      <c r="AP303" s="358">
        <f t="shared" ca="1" si="205"/>
        <v>0</v>
      </c>
      <c r="AQ303" s="358">
        <f t="shared" ca="1" si="205"/>
        <v>0</v>
      </c>
      <c r="AR303" s="358">
        <f t="shared" ca="1" si="205"/>
        <v>0</v>
      </c>
      <c r="AS303" s="358">
        <f t="shared" ca="1" si="205"/>
        <v>0</v>
      </c>
      <c r="AT303" s="358">
        <f t="shared" ca="1" si="205"/>
        <v>0</v>
      </c>
      <c r="AV303" s="358">
        <f t="shared" ca="1" si="206"/>
        <v>0</v>
      </c>
      <c r="AX303" s="358">
        <f t="shared" ca="1" si="207"/>
        <v>0</v>
      </c>
      <c r="AZ303" s="358">
        <f t="shared" ca="1" si="208"/>
        <v>0</v>
      </c>
      <c r="BB303" s="358">
        <f t="shared" ca="1" si="209"/>
        <v>0</v>
      </c>
      <c r="BD303" s="358">
        <f t="shared" ca="1" si="210"/>
        <v>0</v>
      </c>
      <c r="BF303" s="358">
        <f t="shared" ca="1" si="211"/>
        <v>0</v>
      </c>
      <c r="BH303" s="358">
        <f t="shared" ca="1" si="212"/>
        <v>0</v>
      </c>
    </row>
    <row r="304" spans="1:60" hidden="1" outlineLevel="1">
      <c r="A304" s="1464">
        <f t="shared" si="198"/>
        <v>18</v>
      </c>
      <c r="B304" s="1464">
        <f t="shared" si="199"/>
        <v>29</v>
      </c>
      <c r="C304" s="1464">
        <f t="shared" si="200"/>
        <v>21</v>
      </c>
      <c r="D304" s="1271" t="str">
        <f ca="1">IF(OFFSET(PortfolioDashboard!$A$3,C304-1,0)="","Blank",OFFSET(PortfolioDashboard!$A$3,C304-1,0))</f>
        <v>Blank</v>
      </c>
      <c r="E304" s="1464" t="str">
        <f t="shared" si="201"/>
        <v>2010$</v>
      </c>
      <c r="F304" s="1460">
        <f t="shared" ca="1" si="184"/>
        <v>0</v>
      </c>
      <c r="G304" s="358">
        <f t="shared" ref="G304:P313" ca="1" si="213">IFERROR(OFFSET(INDIRECT(INDEX(List_of_Alternatives,MATCH($D304,NameofAlternatives,0))),$A304+G$1-$G$1,$B304),0)</f>
        <v>0</v>
      </c>
      <c r="H304" s="358">
        <f t="shared" ca="1" si="213"/>
        <v>0</v>
      </c>
      <c r="I304" s="358">
        <f t="shared" ca="1" si="213"/>
        <v>0</v>
      </c>
      <c r="J304" s="358">
        <f t="shared" ca="1" si="213"/>
        <v>0</v>
      </c>
      <c r="K304" s="358">
        <f t="shared" ca="1" si="213"/>
        <v>0</v>
      </c>
      <c r="L304" s="358">
        <f t="shared" ca="1" si="213"/>
        <v>0</v>
      </c>
      <c r="M304" s="358">
        <f t="shared" ca="1" si="213"/>
        <v>0</v>
      </c>
      <c r="N304" s="358">
        <f t="shared" ca="1" si="213"/>
        <v>0</v>
      </c>
      <c r="O304" s="358">
        <f t="shared" ca="1" si="213"/>
        <v>0</v>
      </c>
      <c r="P304" s="358">
        <f t="shared" ca="1" si="213"/>
        <v>0</v>
      </c>
      <c r="Q304" s="358">
        <f t="shared" ref="Q304:Z313" ca="1" si="214">IFERROR(OFFSET(INDIRECT(INDEX(List_of_Alternatives,MATCH($D304,NameofAlternatives,0))),$A304+Q$1-$G$1,$B304),0)</f>
        <v>0</v>
      </c>
      <c r="R304" s="358">
        <f t="shared" ca="1" si="214"/>
        <v>0</v>
      </c>
      <c r="S304" s="358">
        <f t="shared" ca="1" si="214"/>
        <v>0</v>
      </c>
      <c r="T304" s="358">
        <f t="shared" ca="1" si="214"/>
        <v>0</v>
      </c>
      <c r="U304" s="358">
        <f t="shared" ca="1" si="214"/>
        <v>0</v>
      </c>
      <c r="V304" s="358">
        <f t="shared" ca="1" si="214"/>
        <v>0</v>
      </c>
      <c r="W304" s="358">
        <f t="shared" ca="1" si="214"/>
        <v>0</v>
      </c>
      <c r="X304" s="358">
        <f t="shared" ca="1" si="214"/>
        <v>0</v>
      </c>
      <c r="Y304" s="358">
        <f t="shared" ca="1" si="214"/>
        <v>0</v>
      </c>
      <c r="Z304" s="358">
        <f t="shared" ca="1" si="214"/>
        <v>0</v>
      </c>
      <c r="AA304" s="358">
        <f t="shared" ref="AA304:AJ313" ca="1" si="215">IFERROR(OFFSET(INDIRECT(INDEX(List_of_Alternatives,MATCH($D304,NameofAlternatives,0))),$A304+AA$1-$G$1,$B304),0)</f>
        <v>0</v>
      </c>
      <c r="AB304" s="358">
        <f t="shared" ca="1" si="215"/>
        <v>0</v>
      </c>
      <c r="AC304" s="358">
        <f t="shared" ca="1" si="215"/>
        <v>0</v>
      </c>
      <c r="AD304" s="358">
        <f t="shared" ca="1" si="215"/>
        <v>0</v>
      </c>
      <c r="AE304" s="358">
        <f t="shared" ca="1" si="215"/>
        <v>0</v>
      </c>
      <c r="AF304" s="358">
        <f t="shared" ca="1" si="215"/>
        <v>0</v>
      </c>
      <c r="AG304" s="358">
        <f t="shared" ca="1" si="215"/>
        <v>0</v>
      </c>
      <c r="AH304" s="358">
        <f t="shared" ca="1" si="215"/>
        <v>0</v>
      </c>
      <c r="AI304" s="358">
        <f t="shared" ca="1" si="215"/>
        <v>0</v>
      </c>
      <c r="AJ304" s="358">
        <f t="shared" ca="1" si="215"/>
        <v>0</v>
      </c>
      <c r="AK304" s="358">
        <f t="shared" ref="AK304:AT313" ca="1" si="216">IFERROR(OFFSET(INDIRECT(INDEX(List_of_Alternatives,MATCH($D304,NameofAlternatives,0))),$A304+AK$1-$G$1,$B304),0)</f>
        <v>0</v>
      </c>
      <c r="AL304" s="358">
        <f t="shared" ca="1" si="216"/>
        <v>0</v>
      </c>
      <c r="AM304" s="358">
        <f t="shared" ca="1" si="216"/>
        <v>0</v>
      </c>
      <c r="AN304" s="358">
        <f t="shared" ca="1" si="216"/>
        <v>0</v>
      </c>
      <c r="AO304" s="358">
        <f t="shared" ca="1" si="216"/>
        <v>0</v>
      </c>
      <c r="AP304" s="358">
        <f t="shared" ca="1" si="216"/>
        <v>0</v>
      </c>
      <c r="AQ304" s="358">
        <f t="shared" ca="1" si="216"/>
        <v>0</v>
      </c>
      <c r="AR304" s="358">
        <f t="shared" ca="1" si="216"/>
        <v>0</v>
      </c>
      <c r="AS304" s="358">
        <f t="shared" ca="1" si="216"/>
        <v>0</v>
      </c>
      <c r="AT304" s="358">
        <f t="shared" ca="1" si="216"/>
        <v>0</v>
      </c>
      <c r="AV304" s="358">
        <f t="shared" ca="1" si="206"/>
        <v>0</v>
      </c>
      <c r="AX304" s="358">
        <f t="shared" ca="1" si="207"/>
        <v>0</v>
      </c>
      <c r="AZ304" s="358">
        <f t="shared" ca="1" si="208"/>
        <v>0</v>
      </c>
      <c r="BB304" s="358">
        <f t="shared" ca="1" si="209"/>
        <v>0</v>
      </c>
      <c r="BD304" s="358">
        <f t="shared" ca="1" si="210"/>
        <v>0</v>
      </c>
      <c r="BF304" s="358">
        <f t="shared" ca="1" si="211"/>
        <v>0</v>
      </c>
      <c r="BH304" s="358">
        <f t="shared" ca="1" si="212"/>
        <v>0</v>
      </c>
    </row>
    <row r="305" spans="1:60" hidden="1" outlineLevel="1">
      <c r="A305" s="1464">
        <f t="shared" si="198"/>
        <v>18</v>
      </c>
      <c r="B305" s="1464">
        <f t="shared" si="199"/>
        <v>29</v>
      </c>
      <c r="C305" s="1464">
        <f t="shared" si="200"/>
        <v>22</v>
      </c>
      <c r="D305" s="1271" t="str">
        <f ca="1">IF(OFFSET(PortfolioDashboard!$A$3,C305-1,0)="","Blank",OFFSET(PortfolioDashboard!$A$3,C305-1,0))</f>
        <v>Blank</v>
      </c>
      <c r="E305" s="1464" t="str">
        <f t="shared" si="201"/>
        <v>2010$</v>
      </c>
      <c r="F305" s="1460">
        <f t="shared" ca="1" si="184"/>
        <v>0</v>
      </c>
      <c r="G305" s="358">
        <f t="shared" ca="1" si="213"/>
        <v>0</v>
      </c>
      <c r="H305" s="358">
        <f t="shared" ca="1" si="213"/>
        <v>0</v>
      </c>
      <c r="I305" s="358">
        <f t="shared" ca="1" si="213"/>
        <v>0</v>
      </c>
      <c r="J305" s="358">
        <f t="shared" ca="1" si="213"/>
        <v>0</v>
      </c>
      <c r="K305" s="358">
        <f t="shared" ca="1" si="213"/>
        <v>0</v>
      </c>
      <c r="L305" s="358">
        <f t="shared" ca="1" si="213"/>
        <v>0</v>
      </c>
      <c r="M305" s="358">
        <f t="shared" ca="1" si="213"/>
        <v>0</v>
      </c>
      <c r="N305" s="358">
        <f t="shared" ca="1" si="213"/>
        <v>0</v>
      </c>
      <c r="O305" s="358">
        <f t="shared" ca="1" si="213"/>
        <v>0</v>
      </c>
      <c r="P305" s="358">
        <f t="shared" ca="1" si="213"/>
        <v>0</v>
      </c>
      <c r="Q305" s="358">
        <f t="shared" ca="1" si="214"/>
        <v>0</v>
      </c>
      <c r="R305" s="358">
        <f t="shared" ca="1" si="214"/>
        <v>0</v>
      </c>
      <c r="S305" s="358">
        <f t="shared" ca="1" si="214"/>
        <v>0</v>
      </c>
      <c r="T305" s="358">
        <f t="shared" ca="1" si="214"/>
        <v>0</v>
      </c>
      <c r="U305" s="358">
        <f t="shared" ca="1" si="214"/>
        <v>0</v>
      </c>
      <c r="V305" s="358">
        <f t="shared" ca="1" si="214"/>
        <v>0</v>
      </c>
      <c r="W305" s="358">
        <f t="shared" ca="1" si="214"/>
        <v>0</v>
      </c>
      <c r="X305" s="358">
        <f t="shared" ca="1" si="214"/>
        <v>0</v>
      </c>
      <c r="Y305" s="358">
        <f t="shared" ca="1" si="214"/>
        <v>0</v>
      </c>
      <c r="Z305" s="358">
        <f t="shared" ca="1" si="214"/>
        <v>0</v>
      </c>
      <c r="AA305" s="358">
        <f t="shared" ca="1" si="215"/>
        <v>0</v>
      </c>
      <c r="AB305" s="358">
        <f t="shared" ca="1" si="215"/>
        <v>0</v>
      </c>
      <c r="AC305" s="358">
        <f t="shared" ca="1" si="215"/>
        <v>0</v>
      </c>
      <c r="AD305" s="358">
        <f t="shared" ca="1" si="215"/>
        <v>0</v>
      </c>
      <c r="AE305" s="358">
        <f t="shared" ca="1" si="215"/>
        <v>0</v>
      </c>
      <c r="AF305" s="358">
        <f t="shared" ca="1" si="215"/>
        <v>0</v>
      </c>
      <c r="AG305" s="358">
        <f t="shared" ca="1" si="215"/>
        <v>0</v>
      </c>
      <c r="AH305" s="358">
        <f t="shared" ca="1" si="215"/>
        <v>0</v>
      </c>
      <c r="AI305" s="358">
        <f t="shared" ca="1" si="215"/>
        <v>0</v>
      </c>
      <c r="AJ305" s="358">
        <f t="shared" ca="1" si="215"/>
        <v>0</v>
      </c>
      <c r="AK305" s="358">
        <f t="shared" ca="1" si="216"/>
        <v>0</v>
      </c>
      <c r="AL305" s="358">
        <f t="shared" ca="1" si="216"/>
        <v>0</v>
      </c>
      <c r="AM305" s="358">
        <f t="shared" ca="1" si="216"/>
        <v>0</v>
      </c>
      <c r="AN305" s="358">
        <f t="shared" ca="1" si="216"/>
        <v>0</v>
      </c>
      <c r="AO305" s="358">
        <f t="shared" ca="1" si="216"/>
        <v>0</v>
      </c>
      <c r="AP305" s="358">
        <f t="shared" ca="1" si="216"/>
        <v>0</v>
      </c>
      <c r="AQ305" s="358">
        <f t="shared" ca="1" si="216"/>
        <v>0</v>
      </c>
      <c r="AR305" s="358">
        <f t="shared" ca="1" si="216"/>
        <v>0</v>
      </c>
      <c r="AS305" s="358">
        <f t="shared" ca="1" si="216"/>
        <v>0</v>
      </c>
      <c r="AT305" s="358">
        <f t="shared" ca="1" si="216"/>
        <v>0</v>
      </c>
      <c r="AV305" s="358">
        <f t="shared" ca="1" si="206"/>
        <v>0</v>
      </c>
      <c r="AX305" s="358">
        <f t="shared" ca="1" si="207"/>
        <v>0</v>
      </c>
      <c r="AZ305" s="358">
        <f t="shared" ca="1" si="208"/>
        <v>0</v>
      </c>
      <c r="BB305" s="358">
        <f t="shared" ca="1" si="209"/>
        <v>0</v>
      </c>
      <c r="BD305" s="358">
        <f t="shared" ca="1" si="210"/>
        <v>0</v>
      </c>
      <c r="BF305" s="358">
        <f t="shared" ca="1" si="211"/>
        <v>0</v>
      </c>
      <c r="BH305" s="358">
        <f t="shared" ca="1" si="212"/>
        <v>0</v>
      </c>
    </row>
    <row r="306" spans="1:60" hidden="1" outlineLevel="1">
      <c r="A306" s="1464">
        <f t="shared" si="198"/>
        <v>18</v>
      </c>
      <c r="B306" s="1464">
        <f t="shared" si="199"/>
        <v>29</v>
      </c>
      <c r="C306" s="1464">
        <f t="shared" si="200"/>
        <v>23</v>
      </c>
      <c r="D306" s="1271" t="str">
        <f ca="1">IF(OFFSET(PortfolioDashboard!$A$3,C306-1,0)="","Blank",OFFSET(PortfolioDashboard!$A$3,C306-1,0))</f>
        <v>Blank</v>
      </c>
      <c r="E306" s="1464" t="str">
        <f t="shared" si="201"/>
        <v>2010$</v>
      </c>
      <c r="F306" s="1460">
        <f t="shared" ca="1" si="184"/>
        <v>0</v>
      </c>
      <c r="G306" s="358">
        <f t="shared" ca="1" si="213"/>
        <v>0</v>
      </c>
      <c r="H306" s="358">
        <f t="shared" ca="1" si="213"/>
        <v>0</v>
      </c>
      <c r="I306" s="358">
        <f t="shared" ca="1" si="213"/>
        <v>0</v>
      </c>
      <c r="J306" s="358">
        <f t="shared" ca="1" si="213"/>
        <v>0</v>
      </c>
      <c r="K306" s="358">
        <f t="shared" ca="1" si="213"/>
        <v>0</v>
      </c>
      <c r="L306" s="358">
        <f t="shared" ca="1" si="213"/>
        <v>0</v>
      </c>
      <c r="M306" s="358">
        <f t="shared" ca="1" si="213"/>
        <v>0</v>
      </c>
      <c r="N306" s="358">
        <f t="shared" ca="1" si="213"/>
        <v>0</v>
      </c>
      <c r="O306" s="358">
        <f t="shared" ca="1" si="213"/>
        <v>0</v>
      </c>
      <c r="P306" s="358">
        <f t="shared" ca="1" si="213"/>
        <v>0</v>
      </c>
      <c r="Q306" s="358">
        <f t="shared" ca="1" si="214"/>
        <v>0</v>
      </c>
      <c r="R306" s="358">
        <f t="shared" ca="1" si="214"/>
        <v>0</v>
      </c>
      <c r="S306" s="358">
        <f t="shared" ca="1" si="214"/>
        <v>0</v>
      </c>
      <c r="T306" s="358">
        <f t="shared" ca="1" si="214"/>
        <v>0</v>
      </c>
      <c r="U306" s="358">
        <f t="shared" ca="1" si="214"/>
        <v>0</v>
      </c>
      <c r="V306" s="358">
        <f t="shared" ca="1" si="214"/>
        <v>0</v>
      </c>
      <c r="W306" s="358">
        <f t="shared" ca="1" si="214"/>
        <v>0</v>
      </c>
      <c r="X306" s="358">
        <f t="shared" ca="1" si="214"/>
        <v>0</v>
      </c>
      <c r="Y306" s="358">
        <f t="shared" ca="1" si="214"/>
        <v>0</v>
      </c>
      <c r="Z306" s="358">
        <f t="shared" ca="1" si="214"/>
        <v>0</v>
      </c>
      <c r="AA306" s="358">
        <f t="shared" ca="1" si="215"/>
        <v>0</v>
      </c>
      <c r="AB306" s="358">
        <f t="shared" ca="1" si="215"/>
        <v>0</v>
      </c>
      <c r="AC306" s="358">
        <f t="shared" ca="1" si="215"/>
        <v>0</v>
      </c>
      <c r="AD306" s="358">
        <f t="shared" ca="1" si="215"/>
        <v>0</v>
      </c>
      <c r="AE306" s="358">
        <f t="shared" ca="1" si="215"/>
        <v>0</v>
      </c>
      <c r="AF306" s="358">
        <f t="shared" ca="1" si="215"/>
        <v>0</v>
      </c>
      <c r="AG306" s="358">
        <f t="shared" ca="1" si="215"/>
        <v>0</v>
      </c>
      <c r="AH306" s="358">
        <f t="shared" ca="1" si="215"/>
        <v>0</v>
      </c>
      <c r="AI306" s="358">
        <f t="shared" ca="1" si="215"/>
        <v>0</v>
      </c>
      <c r="AJ306" s="358">
        <f t="shared" ca="1" si="215"/>
        <v>0</v>
      </c>
      <c r="AK306" s="358">
        <f t="shared" ca="1" si="216"/>
        <v>0</v>
      </c>
      <c r="AL306" s="358">
        <f t="shared" ca="1" si="216"/>
        <v>0</v>
      </c>
      <c r="AM306" s="358">
        <f t="shared" ca="1" si="216"/>
        <v>0</v>
      </c>
      <c r="AN306" s="358">
        <f t="shared" ca="1" si="216"/>
        <v>0</v>
      </c>
      <c r="AO306" s="358">
        <f t="shared" ca="1" si="216"/>
        <v>0</v>
      </c>
      <c r="AP306" s="358">
        <f t="shared" ca="1" si="216"/>
        <v>0</v>
      </c>
      <c r="AQ306" s="358">
        <f t="shared" ca="1" si="216"/>
        <v>0</v>
      </c>
      <c r="AR306" s="358">
        <f t="shared" ca="1" si="216"/>
        <v>0</v>
      </c>
      <c r="AS306" s="358">
        <f t="shared" ca="1" si="216"/>
        <v>0</v>
      </c>
      <c r="AT306" s="358">
        <f t="shared" ca="1" si="216"/>
        <v>0</v>
      </c>
      <c r="AV306" s="358">
        <f t="shared" ca="1" si="206"/>
        <v>0</v>
      </c>
      <c r="AX306" s="358">
        <f t="shared" ca="1" si="207"/>
        <v>0</v>
      </c>
      <c r="AZ306" s="358">
        <f t="shared" ca="1" si="208"/>
        <v>0</v>
      </c>
      <c r="BB306" s="358">
        <f t="shared" ca="1" si="209"/>
        <v>0</v>
      </c>
      <c r="BD306" s="358">
        <f t="shared" ca="1" si="210"/>
        <v>0</v>
      </c>
      <c r="BF306" s="358">
        <f t="shared" ca="1" si="211"/>
        <v>0</v>
      </c>
      <c r="BH306" s="358">
        <f t="shared" ca="1" si="212"/>
        <v>0</v>
      </c>
    </row>
    <row r="307" spans="1:60" hidden="1" outlineLevel="1">
      <c r="A307" s="1464">
        <f t="shared" si="198"/>
        <v>18</v>
      </c>
      <c r="B307" s="1464">
        <f t="shared" si="199"/>
        <v>29</v>
      </c>
      <c r="C307" s="1464">
        <f t="shared" si="200"/>
        <v>24</v>
      </c>
      <c r="D307" s="1271" t="str">
        <f ca="1">IF(OFFSET(PortfolioDashboard!$A$3,C307-1,0)="","Blank",OFFSET(PortfolioDashboard!$A$3,C307-1,0))</f>
        <v>Blank</v>
      </c>
      <c r="E307" s="1464" t="str">
        <f t="shared" si="201"/>
        <v>2010$</v>
      </c>
      <c r="F307" s="1460">
        <f t="shared" ca="1" si="184"/>
        <v>0</v>
      </c>
      <c r="G307" s="358">
        <f t="shared" ca="1" si="213"/>
        <v>0</v>
      </c>
      <c r="H307" s="358">
        <f t="shared" ca="1" si="213"/>
        <v>0</v>
      </c>
      <c r="I307" s="358">
        <f t="shared" ca="1" si="213"/>
        <v>0</v>
      </c>
      <c r="J307" s="358">
        <f t="shared" ca="1" si="213"/>
        <v>0</v>
      </c>
      <c r="K307" s="358">
        <f t="shared" ca="1" si="213"/>
        <v>0</v>
      </c>
      <c r="L307" s="358">
        <f t="shared" ca="1" si="213"/>
        <v>0</v>
      </c>
      <c r="M307" s="358">
        <f t="shared" ca="1" si="213"/>
        <v>0</v>
      </c>
      <c r="N307" s="358">
        <f t="shared" ca="1" si="213"/>
        <v>0</v>
      </c>
      <c r="O307" s="358">
        <f t="shared" ca="1" si="213"/>
        <v>0</v>
      </c>
      <c r="P307" s="358">
        <f t="shared" ca="1" si="213"/>
        <v>0</v>
      </c>
      <c r="Q307" s="358">
        <f t="shared" ca="1" si="214"/>
        <v>0</v>
      </c>
      <c r="R307" s="358">
        <f t="shared" ca="1" si="214"/>
        <v>0</v>
      </c>
      <c r="S307" s="358">
        <f t="shared" ca="1" si="214"/>
        <v>0</v>
      </c>
      <c r="T307" s="358">
        <f t="shared" ca="1" si="214"/>
        <v>0</v>
      </c>
      <c r="U307" s="358">
        <f t="shared" ca="1" si="214"/>
        <v>0</v>
      </c>
      <c r="V307" s="358">
        <f t="shared" ca="1" si="214"/>
        <v>0</v>
      </c>
      <c r="W307" s="358">
        <f t="shared" ca="1" si="214"/>
        <v>0</v>
      </c>
      <c r="X307" s="358">
        <f t="shared" ca="1" si="214"/>
        <v>0</v>
      </c>
      <c r="Y307" s="358">
        <f t="shared" ca="1" si="214"/>
        <v>0</v>
      </c>
      <c r="Z307" s="358">
        <f t="shared" ca="1" si="214"/>
        <v>0</v>
      </c>
      <c r="AA307" s="358">
        <f t="shared" ca="1" si="215"/>
        <v>0</v>
      </c>
      <c r="AB307" s="358">
        <f t="shared" ca="1" si="215"/>
        <v>0</v>
      </c>
      <c r="AC307" s="358">
        <f t="shared" ca="1" si="215"/>
        <v>0</v>
      </c>
      <c r="AD307" s="358">
        <f t="shared" ca="1" si="215"/>
        <v>0</v>
      </c>
      <c r="AE307" s="358">
        <f t="shared" ca="1" si="215"/>
        <v>0</v>
      </c>
      <c r="AF307" s="358">
        <f t="shared" ca="1" si="215"/>
        <v>0</v>
      </c>
      <c r="AG307" s="358">
        <f t="shared" ca="1" si="215"/>
        <v>0</v>
      </c>
      <c r="AH307" s="358">
        <f t="shared" ca="1" si="215"/>
        <v>0</v>
      </c>
      <c r="AI307" s="358">
        <f t="shared" ca="1" si="215"/>
        <v>0</v>
      </c>
      <c r="AJ307" s="358">
        <f t="shared" ca="1" si="215"/>
        <v>0</v>
      </c>
      <c r="AK307" s="358">
        <f t="shared" ca="1" si="216"/>
        <v>0</v>
      </c>
      <c r="AL307" s="358">
        <f t="shared" ca="1" si="216"/>
        <v>0</v>
      </c>
      <c r="AM307" s="358">
        <f t="shared" ca="1" si="216"/>
        <v>0</v>
      </c>
      <c r="AN307" s="358">
        <f t="shared" ca="1" si="216"/>
        <v>0</v>
      </c>
      <c r="AO307" s="358">
        <f t="shared" ca="1" si="216"/>
        <v>0</v>
      </c>
      <c r="AP307" s="358">
        <f t="shared" ca="1" si="216"/>
        <v>0</v>
      </c>
      <c r="AQ307" s="358">
        <f t="shared" ca="1" si="216"/>
        <v>0</v>
      </c>
      <c r="AR307" s="358">
        <f t="shared" ca="1" si="216"/>
        <v>0</v>
      </c>
      <c r="AS307" s="358">
        <f t="shared" ca="1" si="216"/>
        <v>0</v>
      </c>
      <c r="AT307" s="358">
        <f t="shared" ca="1" si="216"/>
        <v>0</v>
      </c>
      <c r="AV307" s="358">
        <f t="shared" ca="1" si="206"/>
        <v>0</v>
      </c>
      <c r="AX307" s="358">
        <f t="shared" ca="1" si="207"/>
        <v>0</v>
      </c>
      <c r="AZ307" s="358">
        <f t="shared" ca="1" si="208"/>
        <v>0</v>
      </c>
      <c r="BB307" s="358">
        <f t="shared" ca="1" si="209"/>
        <v>0</v>
      </c>
      <c r="BD307" s="358">
        <f t="shared" ca="1" si="210"/>
        <v>0</v>
      </c>
      <c r="BF307" s="358">
        <f t="shared" ca="1" si="211"/>
        <v>0</v>
      </c>
      <c r="BH307" s="358">
        <f t="shared" ca="1" si="212"/>
        <v>0</v>
      </c>
    </row>
    <row r="308" spans="1:60" hidden="1" outlineLevel="1">
      <c r="A308" s="1464">
        <f t="shared" si="198"/>
        <v>18</v>
      </c>
      <c r="B308" s="1464">
        <f t="shared" si="199"/>
        <v>29</v>
      </c>
      <c r="C308" s="1464">
        <f t="shared" si="200"/>
        <v>25</v>
      </c>
      <c r="D308" s="1271" t="str">
        <f ca="1">IF(OFFSET(PortfolioDashboard!$A$3,C308-1,0)="","Blank",OFFSET(PortfolioDashboard!$A$3,C308-1,0))</f>
        <v>Blank</v>
      </c>
      <c r="E308" s="1464" t="str">
        <f t="shared" si="201"/>
        <v>2010$</v>
      </c>
      <c r="F308" s="1460">
        <f t="shared" ca="1" si="184"/>
        <v>0</v>
      </c>
      <c r="G308" s="358">
        <f t="shared" ca="1" si="213"/>
        <v>0</v>
      </c>
      <c r="H308" s="358">
        <f t="shared" ca="1" si="213"/>
        <v>0</v>
      </c>
      <c r="I308" s="358">
        <f t="shared" ca="1" si="213"/>
        <v>0</v>
      </c>
      <c r="J308" s="358">
        <f t="shared" ca="1" si="213"/>
        <v>0</v>
      </c>
      <c r="K308" s="358">
        <f t="shared" ca="1" si="213"/>
        <v>0</v>
      </c>
      <c r="L308" s="358">
        <f t="shared" ca="1" si="213"/>
        <v>0</v>
      </c>
      <c r="M308" s="358">
        <f t="shared" ca="1" si="213"/>
        <v>0</v>
      </c>
      <c r="N308" s="358">
        <f t="shared" ca="1" si="213"/>
        <v>0</v>
      </c>
      <c r="O308" s="358">
        <f t="shared" ca="1" si="213"/>
        <v>0</v>
      </c>
      <c r="P308" s="358">
        <f t="shared" ca="1" si="213"/>
        <v>0</v>
      </c>
      <c r="Q308" s="358">
        <f t="shared" ca="1" si="214"/>
        <v>0</v>
      </c>
      <c r="R308" s="358">
        <f t="shared" ca="1" si="214"/>
        <v>0</v>
      </c>
      <c r="S308" s="358">
        <f t="shared" ca="1" si="214"/>
        <v>0</v>
      </c>
      <c r="T308" s="358">
        <f t="shared" ca="1" si="214"/>
        <v>0</v>
      </c>
      <c r="U308" s="358">
        <f t="shared" ca="1" si="214"/>
        <v>0</v>
      </c>
      <c r="V308" s="358">
        <f t="shared" ca="1" si="214"/>
        <v>0</v>
      </c>
      <c r="W308" s="358">
        <f t="shared" ca="1" si="214"/>
        <v>0</v>
      </c>
      <c r="X308" s="358">
        <f t="shared" ca="1" si="214"/>
        <v>0</v>
      </c>
      <c r="Y308" s="358">
        <f t="shared" ca="1" si="214"/>
        <v>0</v>
      </c>
      <c r="Z308" s="358">
        <f t="shared" ca="1" si="214"/>
        <v>0</v>
      </c>
      <c r="AA308" s="358">
        <f t="shared" ca="1" si="215"/>
        <v>0</v>
      </c>
      <c r="AB308" s="358">
        <f t="shared" ca="1" si="215"/>
        <v>0</v>
      </c>
      <c r="AC308" s="358">
        <f t="shared" ca="1" si="215"/>
        <v>0</v>
      </c>
      <c r="AD308" s="358">
        <f t="shared" ca="1" si="215"/>
        <v>0</v>
      </c>
      <c r="AE308" s="358">
        <f t="shared" ca="1" si="215"/>
        <v>0</v>
      </c>
      <c r="AF308" s="358">
        <f t="shared" ca="1" si="215"/>
        <v>0</v>
      </c>
      <c r="AG308" s="358">
        <f t="shared" ca="1" si="215"/>
        <v>0</v>
      </c>
      <c r="AH308" s="358">
        <f t="shared" ca="1" si="215"/>
        <v>0</v>
      </c>
      <c r="AI308" s="358">
        <f t="shared" ca="1" si="215"/>
        <v>0</v>
      </c>
      <c r="AJ308" s="358">
        <f t="shared" ca="1" si="215"/>
        <v>0</v>
      </c>
      <c r="AK308" s="358">
        <f t="shared" ca="1" si="216"/>
        <v>0</v>
      </c>
      <c r="AL308" s="358">
        <f t="shared" ca="1" si="216"/>
        <v>0</v>
      </c>
      <c r="AM308" s="358">
        <f t="shared" ca="1" si="216"/>
        <v>0</v>
      </c>
      <c r="AN308" s="358">
        <f t="shared" ca="1" si="216"/>
        <v>0</v>
      </c>
      <c r="AO308" s="358">
        <f t="shared" ca="1" si="216"/>
        <v>0</v>
      </c>
      <c r="AP308" s="358">
        <f t="shared" ca="1" si="216"/>
        <v>0</v>
      </c>
      <c r="AQ308" s="358">
        <f t="shared" ca="1" si="216"/>
        <v>0</v>
      </c>
      <c r="AR308" s="358">
        <f t="shared" ca="1" si="216"/>
        <v>0</v>
      </c>
      <c r="AS308" s="358">
        <f t="shared" ca="1" si="216"/>
        <v>0</v>
      </c>
      <c r="AT308" s="358">
        <f t="shared" ca="1" si="216"/>
        <v>0</v>
      </c>
      <c r="AV308" s="358">
        <f t="shared" ca="1" si="206"/>
        <v>0</v>
      </c>
      <c r="AX308" s="358">
        <f t="shared" ca="1" si="207"/>
        <v>0</v>
      </c>
      <c r="AZ308" s="358">
        <f t="shared" ca="1" si="208"/>
        <v>0</v>
      </c>
      <c r="BB308" s="358">
        <f t="shared" ca="1" si="209"/>
        <v>0</v>
      </c>
      <c r="BD308" s="358">
        <f t="shared" ca="1" si="210"/>
        <v>0</v>
      </c>
      <c r="BF308" s="358">
        <f t="shared" ca="1" si="211"/>
        <v>0</v>
      </c>
      <c r="BH308" s="358">
        <f t="shared" ca="1" si="212"/>
        <v>0</v>
      </c>
    </row>
    <row r="309" spans="1:60" hidden="1" outlineLevel="1">
      <c r="A309" s="1464">
        <f t="shared" si="198"/>
        <v>18</v>
      </c>
      <c r="B309" s="1464">
        <f t="shared" si="199"/>
        <v>29</v>
      </c>
      <c r="C309" s="1464">
        <f t="shared" si="200"/>
        <v>26</v>
      </c>
      <c r="D309" s="1271" t="str">
        <f ca="1">IF(OFFSET(PortfolioDashboard!$A$3,C309-1,0)="","Blank",OFFSET(PortfolioDashboard!$A$3,C309-1,0))</f>
        <v>Blank</v>
      </c>
      <c r="E309" s="1464" t="str">
        <f t="shared" si="201"/>
        <v>2010$</v>
      </c>
      <c r="F309" s="1460">
        <f t="shared" ca="1" si="184"/>
        <v>0</v>
      </c>
      <c r="G309" s="358">
        <f t="shared" ca="1" si="213"/>
        <v>0</v>
      </c>
      <c r="H309" s="358">
        <f t="shared" ca="1" si="213"/>
        <v>0</v>
      </c>
      <c r="I309" s="358">
        <f t="shared" ca="1" si="213"/>
        <v>0</v>
      </c>
      <c r="J309" s="358">
        <f t="shared" ca="1" si="213"/>
        <v>0</v>
      </c>
      <c r="K309" s="358">
        <f t="shared" ca="1" si="213"/>
        <v>0</v>
      </c>
      <c r="L309" s="358">
        <f t="shared" ca="1" si="213"/>
        <v>0</v>
      </c>
      <c r="M309" s="358">
        <f t="shared" ca="1" si="213"/>
        <v>0</v>
      </c>
      <c r="N309" s="358">
        <f t="shared" ca="1" si="213"/>
        <v>0</v>
      </c>
      <c r="O309" s="358">
        <f t="shared" ca="1" si="213"/>
        <v>0</v>
      </c>
      <c r="P309" s="358">
        <f t="shared" ca="1" si="213"/>
        <v>0</v>
      </c>
      <c r="Q309" s="358">
        <f t="shared" ca="1" si="214"/>
        <v>0</v>
      </c>
      <c r="R309" s="358">
        <f t="shared" ca="1" si="214"/>
        <v>0</v>
      </c>
      <c r="S309" s="358">
        <f t="shared" ca="1" si="214"/>
        <v>0</v>
      </c>
      <c r="T309" s="358">
        <f t="shared" ca="1" si="214"/>
        <v>0</v>
      </c>
      <c r="U309" s="358">
        <f t="shared" ca="1" si="214"/>
        <v>0</v>
      </c>
      <c r="V309" s="358">
        <f t="shared" ca="1" si="214"/>
        <v>0</v>
      </c>
      <c r="W309" s="358">
        <f t="shared" ca="1" si="214"/>
        <v>0</v>
      </c>
      <c r="X309" s="358">
        <f t="shared" ca="1" si="214"/>
        <v>0</v>
      </c>
      <c r="Y309" s="358">
        <f t="shared" ca="1" si="214"/>
        <v>0</v>
      </c>
      <c r="Z309" s="358">
        <f t="shared" ca="1" si="214"/>
        <v>0</v>
      </c>
      <c r="AA309" s="358">
        <f t="shared" ca="1" si="215"/>
        <v>0</v>
      </c>
      <c r="AB309" s="358">
        <f t="shared" ca="1" si="215"/>
        <v>0</v>
      </c>
      <c r="AC309" s="358">
        <f t="shared" ca="1" si="215"/>
        <v>0</v>
      </c>
      <c r="AD309" s="358">
        <f t="shared" ca="1" si="215"/>
        <v>0</v>
      </c>
      <c r="AE309" s="358">
        <f t="shared" ca="1" si="215"/>
        <v>0</v>
      </c>
      <c r="AF309" s="358">
        <f t="shared" ca="1" si="215"/>
        <v>0</v>
      </c>
      <c r="AG309" s="358">
        <f t="shared" ca="1" si="215"/>
        <v>0</v>
      </c>
      <c r="AH309" s="358">
        <f t="shared" ca="1" si="215"/>
        <v>0</v>
      </c>
      <c r="AI309" s="358">
        <f t="shared" ca="1" si="215"/>
        <v>0</v>
      </c>
      <c r="AJ309" s="358">
        <f t="shared" ca="1" si="215"/>
        <v>0</v>
      </c>
      <c r="AK309" s="358">
        <f t="shared" ca="1" si="216"/>
        <v>0</v>
      </c>
      <c r="AL309" s="358">
        <f t="shared" ca="1" si="216"/>
        <v>0</v>
      </c>
      <c r="AM309" s="358">
        <f t="shared" ca="1" si="216"/>
        <v>0</v>
      </c>
      <c r="AN309" s="358">
        <f t="shared" ca="1" si="216"/>
        <v>0</v>
      </c>
      <c r="AO309" s="358">
        <f t="shared" ca="1" si="216"/>
        <v>0</v>
      </c>
      <c r="AP309" s="358">
        <f t="shared" ca="1" si="216"/>
        <v>0</v>
      </c>
      <c r="AQ309" s="358">
        <f t="shared" ca="1" si="216"/>
        <v>0</v>
      </c>
      <c r="AR309" s="358">
        <f t="shared" ca="1" si="216"/>
        <v>0</v>
      </c>
      <c r="AS309" s="358">
        <f t="shared" ca="1" si="216"/>
        <v>0</v>
      </c>
      <c r="AT309" s="358">
        <f t="shared" ca="1" si="216"/>
        <v>0</v>
      </c>
      <c r="AV309" s="358">
        <f t="shared" ca="1" si="206"/>
        <v>0</v>
      </c>
      <c r="AX309" s="358">
        <f t="shared" ca="1" si="207"/>
        <v>0</v>
      </c>
      <c r="AZ309" s="358">
        <f t="shared" ca="1" si="208"/>
        <v>0</v>
      </c>
      <c r="BB309" s="358">
        <f t="shared" ca="1" si="209"/>
        <v>0</v>
      </c>
      <c r="BD309" s="358">
        <f t="shared" ca="1" si="210"/>
        <v>0</v>
      </c>
      <c r="BF309" s="358">
        <f t="shared" ca="1" si="211"/>
        <v>0</v>
      </c>
      <c r="BH309" s="358">
        <f t="shared" ca="1" si="212"/>
        <v>0</v>
      </c>
    </row>
    <row r="310" spans="1:60" hidden="1" outlineLevel="1">
      <c r="A310" s="1464">
        <f t="shared" si="198"/>
        <v>18</v>
      </c>
      <c r="B310" s="1464">
        <f t="shared" si="199"/>
        <v>29</v>
      </c>
      <c r="C310" s="1464">
        <f t="shared" si="200"/>
        <v>27</v>
      </c>
      <c r="D310" s="1271" t="str">
        <f ca="1">IF(OFFSET(PortfolioDashboard!$A$3,C310-1,0)="","Blank",OFFSET(PortfolioDashboard!$A$3,C310-1,0))</f>
        <v>Blank</v>
      </c>
      <c r="E310" s="1464" t="str">
        <f t="shared" si="201"/>
        <v>2010$</v>
      </c>
      <c r="F310" s="1460">
        <f t="shared" ca="1" si="184"/>
        <v>0</v>
      </c>
      <c r="G310" s="358">
        <f t="shared" ca="1" si="213"/>
        <v>0</v>
      </c>
      <c r="H310" s="358">
        <f t="shared" ca="1" si="213"/>
        <v>0</v>
      </c>
      <c r="I310" s="358">
        <f t="shared" ca="1" si="213"/>
        <v>0</v>
      </c>
      <c r="J310" s="358">
        <f t="shared" ca="1" si="213"/>
        <v>0</v>
      </c>
      <c r="K310" s="358">
        <f t="shared" ca="1" si="213"/>
        <v>0</v>
      </c>
      <c r="L310" s="358">
        <f t="shared" ca="1" si="213"/>
        <v>0</v>
      </c>
      <c r="M310" s="358">
        <f t="shared" ca="1" si="213"/>
        <v>0</v>
      </c>
      <c r="N310" s="358">
        <f t="shared" ca="1" si="213"/>
        <v>0</v>
      </c>
      <c r="O310" s="358">
        <f t="shared" ca="1" si="213"/>
        <v>0</v>
      </c>
      <c r="P310" s="358">
        <f t="shared" ca="1" si="213"/>
        <v>0</v>
      </c>
      <c r="Q310" s="358">
        <f t="shared" ca="1" si="214"/>
        <v>0</v>
      </c>
      <c r="R310" s="358">
        <f t="shared" ca="1" si="214"/>
        <v>0</v>
      </c>
      <c r="S310" s="358">
        <f t="shared" ca="1" si="214"/>
        <v>0</v>
      </c>
      <c r="T310" s="358">
        <f t="shared" ca="1" si="214"/>
        <v>0</v>
      </c>
      <c r="U310" s="358">
        <f t="shared" ca="1" si="214"/>
        <v>0</v>
      </c>
      <c r="V310" s="358">
        <f t="shared" ca="1" si="214"/>
        <v>0</v>
      </c>
      <c r="W310" s="358">
        <f t="shared" ca="1" si="214"/>
        <v>0</v>
      </c>
      <c r="X310" s="358">
        <f t="shared" ca="1" si="214"/>
        <v>0</v>
      </c>
      <c r="Y310" s="358">
        <f t="shared" ca="1" si="214"/>
        <v>0</v>
      </c>
      <c r="Z310" s="358">
        <f t="shared" ca="1" si="214"/>
        <v>0</v>
      </c>
      <c r="AA310" s="358">
        <f t="shared" ca="1" si="215"/>
        <v>0</v>
      </c>
      <c r="AB310" s="358">
        <f t="shared" ca="1" si="215"/>
        <v>0</v>
      </c>
      <c r="AC310" s="358">
        <f t="shared" ca="1" si="215"/>
        <v>0</v>
      </c>
      <c r="AD310" s="358">
        <f t="shared" ca="1" si="215"/>
        <v>0</v>
      </c>
      <c r="AE310" s="358">
        <f t="shared" ca="1" si="215"/>
        <v>0</v>
      </c>
      <c r="AF310" s="358">
        <f t="shared" ca="1" si="215"/>
        <v>0</v>
      </c>
      <c r="AG310" s="358">
        <f t="shared" ca="1" si="215"/>
        <v>0</v>
      </c>
      <c r="AH310" s="358">
        <f t="shared" ca="1" si="215"/>
        <v>0</v>
      </c>
      <c r="AI310" s="358">
        <f t="shared" ca="1" si="215"/>
        <v>0</v>
      </c>
      <c r="AJ310" s="358">
        <f t="shared" ca="1" si="215"/>
        <v>0</v>
      </c>
      <c r="AK310" s="358">
        <f t="shared" ca="1" si="216"/>
        <v>0</v>
      </c>
      <c r="AL310" s="358">
        <f t="shared" ca="1" si="216"/>
        <v>0</v>
      </c>
      <c r="AM310" s="358">
        <f t="shared" ca="1" si="216"/>
        <v>0</v>
      </c>
      <c r="AN310" s="358">
        <f t="shared" ca="1" si="216"/>
        <v>0</v>
      </c>
      <c r="AO310" s="358">
        <f t="shared" ca="1" si="216"/>
        <v>0</v>
      </c>
      <c r="AP310" s="358">
        <f t="shared" ca="1" si="216"/>
        <v>0</v>
      </c>
      <c r="AQ310" s="358">
        <f t="shared" ca="1" si="216"/>
        <v>0</v>
      </c>
      <c r="AR310" s="358">
        <f t="shared" ca="1" si="216"/>
        <v>0</v>
      </c>
      <c r="AS310" s="358">
        <f t="shared" ca="1" si="216"/>
        <v>0</v>
      </c>
      <c r="AT310" s="358">
        <f t="shared" ca="1" si="216"/>
        <v>0</v>
      </c>
      <c r="AV310" s="358">
        <f t="shared" ca="1" si="206"/>
        <v>0</v>
      </c>
      <c r="AX310" s="358">
        <f t="shared" ca="1" si="207"/>
        <v>0</v>
      </c>
      <c r="AZ310" s="358">
        <f t="shared" ca="1" si="208"/>
        <v>0</v>
      </c>
      <c r="BB310" s="358">
        <f t="shared" ca="1" si="209"/>
        <v>0</v>
      </c>
      <c r="BD310" s="358">
        <f t="shared" ca="1" si="210"/>
        <v>0</v>
      </c>
      <c r="BF310" s="358">
        <f t="shared" ca="1" si="211"/>
        <v>0</v>
      </c>
      <c r="BH310" s="358">
        <f t="shared" ca="1" si="212"/>
        <v>0</v>
      </c>
    </row>
    <row r="311" spans="1:60" hidden="1" outlineLevel="1">
      <c r="A311" s="1464">
        <f t="shared" si="198"/>
        <v>18</v>
      </c>
      <c r="B311" s="1464">
        <f t="shared" si="199"/>
        <v>29</v>
      </c>
      <c r="C311" s="1464">
        <f t="shared" si="200"/>
        <v>28</v>
      </c>
      <c r="D311" s="1271" t="str">
        <f ca="1">IF(OFFSET(PortfolioDashboard!$A$3,C311-1,0)="","Blank",OFFSET(PortfolioDashboard!$A$3,C311-1,0))</f>
        <v>Blank</v>
      </c>
      <c r="E311" s="1464" t="str">
        <f t="shared" si="201"/>
        <v>2010$</v>
      </c>
      <c r="F311" s="1460">
        <f t="shared" ca="1" si="184"/>
        <v>0</v>
      </c>
      <c r="G311" s="358">
        <f t="shared" ca="1" si="213"/>
        <v>0</v>
      </c>
      <c r="H311" s="358">
        <f t="shared" ca="1" si="213"/>
        <v>0</v>
      </c>
      <c r="I311" s="358">
        <f t="shared" ca="1" si="213"/>
        <v>0</v>
      </c>
      <c r="J311" s="358">
        <f t="shared" ca="1" si="213"/>
        <v>0</v>
      </c>
      <c r="K311" s="358">
        <f t="shared" ca="1" si="213"/>
        <v>0</v>
      </c>
      <c r="L311" s="358">
        <f t="shared" ca="1" si="213"/>
        <v>0</v>
      </c>
      <c r="M311" s="358">
        <f t="shared" ca="1" si="213"/>
        <v>0</v>
      </c>
      <c r="N311" s="358">
        <f t="shared" ca="1" si="213"/>
        <v>0</v>
      </c>
      <c r="O311" s="358">
        <f t="shared" ca="1" si="213"/>
        <v>0</v>
      </c>
      <c r="P311" s="358">
        <f t="shared" ca="1" si="213"/>
        <v>0</v>
      </c>
      <c r="Q311" s="358">
        <f t="shared" ca="1" si="214"/>
        <v>0</v>
      </c>
      <c r="R311" s="358">
        <f t="shared" ca="1" si="214"/>
        <v>0</v>
      </c>
      <c r="S311" s="358">
        <f t="shared" ca="1" si="214"/>
        <v>0</v>
      </c>
      <c r="T311" s="358">
        <f t="shared" ca="1" si="214"/>
        <v>0</v>
      </c>
      <c r="U311" s="358">
        <f t="shared" ca="1" si="214"/>
        <v>0</v>
      </c>
      <c r="V311" s="358">
        <f t="shared" ca="1" si="214"/>
        <v>0</v>
      </c>
      <c r="W311" s="358">
        <f t="shared" ca="1" si="214"/>
        <v>0</v>
      </c>
      <c r="X311" s="358">
        <f t="shared" ca="1" si="214"/>
        <v>0</v>
      </c>
      <c r="Y311" s="358">
        <f t="shared" ca="1" si="214"/>
        <v>0</v>
      </c>
      <c r="Z311" s="358">
        <f t="shared" ca="1" si="214"/>
        <v>0</v>
      </c>
      <c r="AA311" s="358">
        <f t="shared" ca="1" si="215"/>
        <v>0</v>
      </c>
      <c r="AB311" s="358">
        <f t="shared" ca="1" si="215"/>
        <v>0</v>
      </c>
      <c r="AC311" s="358">
        <f t="shared" ca="1" si="215"/>
        <v>0</v>
      </c>
      <c r="AD311" s="358">
        <f t="shared" ca="1" si="215"/>
        <v>0</v>
      </c>
      <c r="AE311" s="358">
        <f t="shared" ca="1" si="215"/>
        <v>0</v>
      </c>
      <c r="AF311" s="358">
        <f t="shared" ca="1" si="215"/>
        <v>0</v>
      </c>
      <c r="AG311" s="358">
        <f t="shared" ca="1" si="215"/>
        <v>0</v>
      </c>
      <c r="AH311" s="358">
        <f t="shared" ca="1" si="215"/>
        <v>0</v>
      </c>
      <c r="AI311" s="358">
        <f t="shared" ca="1" si="215"/>
        <v>0</v>
      </c>
      <c r="AJ311" s="358">
        <f t="shared" ca="1" si="215"/>
        <v>0</v>
      </c>
      <c r="AK311" s="358">
        <f t="shared" ca="1" si="216"/>
        <v>0</v>
      </c>
      <c r="AL311" s="358">
        <f t="shared" ca="1" si="216"/>
        <v>0</v>
      </c>
      <c r="AM311" s="358">
        <f t="shared" ca="1" si="216"/>
        <v>0</v>
      </c>
      <c r="AN311" s="358">
        <f t="shared" ca="1" si="216"/>
        <v>0</v>
      </c>
      <c r="AO311" s="358">
        <f t="shared" ca="1" si="216"/>
        <v>0</v>
      </c>
      <c r="AP311" s="358">
        <f t="shared" ca="1" si="216"/>
        <v>0</v>
      </c>
      <c r="AQ311" s="358">
        <f t="shared" ca="1" si="216"/>
        <v>0</v>
      </c>
      <c r="AR311" s="358">
        <f t="shared" ca="1" si="216"/>
        <v>0</v>
      </c>
      <c r="AS311" s="358">
        <f t="shared" ca="1" si="216"/>
        <v>0</v>
      </c>
      <c r="AT311" s="358">
        <f t="shared" ca="1" si="216"/>
        <v>0</v>
      </c>
      <c r="AV311" s="358">
        <f t="shared" ca="1" si="206"/>
        <v>0</v>
      </c>
      <c r="AX311" s="358">
        <f t="shared" ca="1" si="207"/>
        <v>0</v>
      </c>
      <c r="AZ311" s="358">
        <f t="shared" ca="1" si="208"/>
        <v>0</v>
      </c>
      <c r="BB311" s="358">
        <f t="shared" ca="1" si="209"/>
        <v>0</v>
      </c>
      <c r="BD311" s="358">
        <f t="shared" ca="1" si="210"/>
        <v>0</v>
      </c>
      <c r="BF311" s="358">
        <f t="shared" ca="1" si="211"/>
        <v>0</v>
      </c>
      <c r="BH311" s="358">
        <f t="shared" ca="1" si="212"/>
        <v>0</v>
      </c>
    </row>
    <row r="312" spans="1:60" hidden="1" outlineLevel="1">
      <c r="A312" s="1464">
        <f t="shared" si="198"/>
        <v>18</v>
      </c>
      <c r="B312" s="1464">
        <f t="shared" si="199"/>
        <v>29</v>
      </c>
      <c r="C312" s="1464">
        <f t="shared" si="200"/>
        <v>29</v>
      </c>
      <c r="D312" s="1271" t="str">
        <f ca="1">IF(OFFSET(PortfolioDashboard!$A$3,C312-1,0)="","Blank",OFFSET(PortfolioDashboard!$A$3,C312-1,0))</f>
        <v>Blank</v>
      </c>
      <c r="E312" s="1464" t="str">
        <f t="shared" si="201"/>
        <v>2010$</v>
      </c>
      <c r="F312" s="1460">
        <f t="shared" ca="1" si="184"/>
        <v>0</v>
      </c>
      <c r="G312" s="358">
        <f t="shared" ca="1" si="213"/>
        <v>0</v>
      </c>
      <c r="H312" s="358">
        <f t="shared" ca="1" si="213"/>
        <v>0</v>
      </c>
      <c r="I312" s="358">
        <f t="shared" ca="1" si="213"/>
        <v>0</v>
      </c>
      <c r="J312" s="358">
        <f t="shared" ca="1" si="213"/>
        <v>0</v>
      </c>
      <c r="K312" s="358">
        <f t="shared" ca="1" si="213"/>
        <v>0</v>
      </c>
      <c r="L312" s="358">
        <f t="shared" ca="1" si="213"/>
        <v>0</v>
      </c>
      <c r="M312" s="358">
        <f t="shared" ca="1" si="213"/>
        <v>0</v>
      </c>
      <c r="N312" s="358">
        <f t="shared" ca="1" si="213"/>
        <v>0</v>
      </c>
      <c r="O312" s="358">
        <f t="shared" ca="1" si="213"/>
        <v>0</v>
      </c>
      <c r="P312" s="358">
        <f t="shared" ca="1" si="213"/>
        <v>0</v>
      </c>
      <c r="Q312" s="358">
        <f t="shared" ca="1" si="214"/>
        <v>0</v>
      </c>
      <c r="R312" s="358">
        <f t="shared" ca="1" si="214"/>
        <v>0</v>
      </c>
      <c r="S312" s="358">
        <f t="shared" ca="1" si="214"/>
        <v>0</v>
      </c>
      <c r="T312" s="358">
        <f t="shared" ca="1" si="214"/>
        <v>0</v>
      </c>
      <c r="U312" s="358">
        <f t="shared" ca="1" si="214"/>
        <v>0</v>
      </c>
      <c r="V312" s="358">
        <f t="shared" ca="1" si="214"/>
        <v>0</v>
      </c>
      <c r="W312" s="358">
        <f t="shared" ca="1" si="214"/>
        <v>0</v>
      </c>
      <c r="X312" s="358">
        <f t="shared" ca="1" si="214"/>
        <v>0</v>
      </c>
      <c r="Y312" s="358">
        <f t="shared" ca="1" si="214"/>
        <v>0</v>
      </c>
      <c r="Z312" s="358">
        <f t="shared" ca="1" si="214"/>
        <v>0</v>
      </c>
      <c r="AA312" s="358">
        <f t="shared" ca="1" si="215"/>
        <v>0</v>
      </c>
      <c r="AB312" s="358">
        <f t="shared" ca="1" si="215"/>
        <v>0</v>
      </c>
      <c r="AC312" s="358">
        <f t="shared" ca="1" si="215"/>
        <v>0</v>
      </c>
      <c r="AD312" s="358">
        <f t="shared" ca="1" si="215"/>
        <v>0</v>
      </c>
      <c r="AE312" s="358">
        <f t="shared" ca="1" si="215"/>
        <v>0</v>
      </c>
      <c r="AF312" s="358">
        <f t="shared" ca="1" si="215"/>
        <v>0</v>
      </c>
      <c r="AG312" s="358">
        <f t="shared" ca="1" si="215"/>
        <v>0</v>
      </c>
      <c r="AH312" s="358">
        <f t="shared" ca="1" si="215"/>
        <v>0</v>
      </c>
      <c r="AI312" s="358">
        <f t="shared" ca="1" si="215"/>
        <v>0</v>
      </c>
      <c r="AJ312" s="358">
        <f t="shared" ca="1" si="215"/>
        <v>0</v>
      </c>
      <c r="AK312" s="358">
        <f t="shared" ca="1" si="216"/>
        <v>0</v>
      </c>
      <c r="AL312" s="358">
        <f t="shared" ca="1" si="216"/>
        <v>0</v>
      </c>
      <c r="AM312" s="358">
        <f t="shared" ca="1" si="216"/>
        <v>0</v>
      </c>
      <c r="AN312" s="358">
        <f t="shared" ca="1" si="216"/>
        <v>0</v>
      </c>
      <c r="AO312" s="358">
        <f t="shared" ca="1" si="216"/>
        <v>0</v>
      </c>
      <c r="AP312" s="358">
        <f t="shared" ca="1" si="216"/>
        <v>0</v>
      </c>
      <c r="AQ312" s="358">
        <f t="shared" ca="1" si="216"/>
        <v>0</v>
      </c>
      <c r="AR312" s="358">
        <f t="shared" ca="1" si="216"/>
        <v>0</v>
      </c>
      <c r="AS312" s="358">
        <f t="shared" ca="1" si="216"/>
        <v>0</v>
      </c>
      <c r="AT312" s="358">
        <f t="shared" ca="1" si="216"/>
        <v>0</v>
      </c>
      <c r="AV312" s="358">
        <f t="shared" ca="1" si="206"/>
        <v>0</v>
      </c>
      <c r="AX312" s="358">
        <f t="shared" ca="1" si="207"/>
        <v>0</v>
      </c>
      <c r="AZ312" s="358">
        <f t="shared" ca="1" si="208"/>
        <v>0</v>
      </c>
      <c r="BB312" s="358">
        <f t="shared" ca="1" si="209"/>
        <v>0</v>
      </c>
      <c r="BD312" s="358">
        <f t="shared" ca="1" si="210"/>
        <v>0</v>
      </c>
      <c r="BF312" s="358">
        <f t="shared" ca="1" si="211"/>
        <v>0</v>
      </c>
      <c r="BH312" s="358">
        <f t="shared" ca="1" si="212"/>
        <v>0</v>
      </c>
    </row>
    <row r="313" spans="1:60" hidden="1" outlineLevel="1">
      <c r="A313" s="1464">
        <f t="shared" si="198"/>
        <v>18</v>
      </c>
      <c r="B313" s="1464">
        <f t="shared" si="199"/>
        <v>29</v>
      </c>
      <c r="C313" s="1464">
        <f t="shared" si="200"/>
        <v>30</v>
      </c>
      <c r="D313" s="1271" t="str">
        <f ca="1">IF(OFFSET(PortfolioDashboard!$A$3,C313-1,0)="","Blank",OFFSET(PortfolioDashboard!$A$3,C313-1,0))</f>
        <v>Blank</v>
      </c>
      <c r="E313" s="1464" t="str">
        <f t="shared" si="201"/>
        <v>2010$</v>
      </c>
      <c r="F313" s="1460">
        <f t="shared" ca="1" si="184"/>
        <v>0</v>
      </c>
      <c r="G313" s="358">
        <f t="shared" ca="1" si="213"/>
        <v>0</v>
      </c>
      <c r="H313" s="358">
        <f t="shared" ca="1" si="213"/>
        <v>0</v>
      </c>
      <c r="I313" s="358">
        <f t="shared" ca="1" si="213"/>
        <v>0</v>
      </c>
      <c r="J313" s="358">
        <f t="shared" ca="1" si="213"/>
        <v>0</v>
      </c>
      <c r="K313" s="358">
        <f t="shared" ca="1" si="213"/>
        <v>0</v>
      </c>
      <c r="L313" s="358">
        <f t="shared" ca="1" si="213"/>
        <v>0</v>
      </c>
      <c r="M313" s="358">
        <f t="shared" ca="1" si="213"/>
        <v>0</v>
      </c>
      <c r="N313" s="358">
        <f t="shared" ca="1" si="213"/>
        <v>0</v>
      </c>
      <c r="O313" s="358">
        <f t="shared" ca="1" si="213"/>
        <v>0</v>
      </c>
      <c r="P313" s="358">
        <f t="shared" ca="1" si="213"/>
        <v>0</v>
      </c>
      <c r="Q313" s="358">
        <f t="shared" ca="1" si="214"/>
        <v>0</v>
      </c>
      <c r="R313" s="358">
        <f t="shared" ca="1" si="214"/>
        <v>0</v>
      </c>
      <c r="S313" s="358">
        <f t="shared" ca="1" si="214"/>
        <v>0</v>
      </c>
      <c r="T313" s="358">
        <f t="shared" ca="1" si="214"/>
        <v>0</v>
      </c>
      <c r="U313" s="358">
        <f t="shared" ca="1" si="214"/>
        <v>0</v>
      </c>
      <c r="V313" s="358">
        <f t="shared" ca="1" si="214"/>
        <v>0</v>
      </c>
      <c r="W313" s="358">
        <f t="shared" ca="1" si="214"/>
        <v>0</v>
      </c>
      <c r="X313" s="358">
        <f t="shared" ca="1" si="214"/>
        <v>0</v>
      </c>
      <c r="Y313" s="358">
        <f t="shared" ca="1" si="214"/>
        <v>0</v>
      </c>
      <c r="Z313" s="358">
        <f t="shared" ca="1" si="214"/>
        <v>0</v>
      </c>
      <c r="AA313" s="358">
        <f t="shared" ca="1" si="215"/>
        <v>0</v>
      </c>
      <c r="AB313" s="358">
        <f t="shared" ca="1" si="215"/>
        <v>0</v>
      </c>
      <c r="AC313" s="358">
        <f t="shared" ca="1" si="215"/>
        <v>0</v>
      </c>
      <c r="AD313" s="358">
        <f t="shared" ca="1" si="215"/>
        <v>0</v>
      </c>
      <c r="AE313" s="358">
        <f t="shared" ca="1" si="215"/>
        <v>0</v>
      </c>
      <c r="AF313" s="358">
        <f t="shared" ca="1" si="215"/>
        <v>0</v>
      </c>
      <c r="AG313" s="358">
        <f t="shared" ca="1" si="215"/>
        <v>0</v>
      </c>
      <c r="AH313" s="358">
        <f t="shared" ca="1" si="215"/>
        <v>0</v>
      </c>
      <c r="AI313" s="358">
        <f t="shared" ca="1" si="215"/>
        <v>0</v>
      </c>
      <c r="AJ313" s="358">
        <f t="shared" ca="1" si="215"/>
        <v>0</v>
      </c>
      <c r="AK313" s="358">
        <f t="shared" ca="1" si="216"/>
        <v>0</v>
      </c>
      <c r="AL313" s="358">
        <f t="shared" ca="1" si="216"/>
        <v>0</v>
      </c>
      <c r="AM313" s="358">
        <f t="shared" ca="1" si="216"/>
        <v>0</v>
      </c>
      <c r="AN313" s="358">
        <f t="shared" ca="1" si="216"/>
        <v>0</v>
      </c>
      <c r="AO313" s="358">
        <f t="shared" ca="1" si="216"/>
        <v>0</v>
      </c>
      <c r="AP313" s="358">
        <f t="shared" ca="1" si="216"/>
        <v>0</v>
      </c>
      <c r="AQ313" s="358">
        <f t="shared" ca="1" si="216"/>
        <v>0</v>
      </c>
      <c r="AR313" s="358">
        <f t="shared" ca="1" si="216"/>
        <v>0</v>
      </c>
      <c r="AS313" s="358">
        <f t="shared" ca="1" si="216"/>
        <v>0</v>
      </c>
      <c r="AT313" s="358">
        <f t="shared" ca="1" si="216"/>
        <v>0</v>
      </c>
      <c r="AV313" s="358">
        <f t="shared" ca="1" si="206"/>
        <v>0</v>
      </c>
      <c r="AX313" s="358">
        <f t="shared" ca="1" si="207"/>
        <v>0</v>
      </c>
      <c r="AZ313" s="358">
        <f t="shared" ca="1" si="208"/>
        <v>0</v>
      </c>
      <c r="BB313" s="358">
        <f t="shared" ca="1" si="209"/>
        <v>0</v>
      </c>
      <c r="BD313" s="358">
        <f t="shared" ca="1" si="210"/>
        <v>0</v>
      </c>
      <c r="BF313" s="358">
        <f t="shared" ca="1" si="211"/>
        <v>0</v>
      </c>
      <c r="BH313" s="358">
        <f t="shared" ca="1" si="212"/>
        <v>0</v>
      </c>
    </row>
    <row r="314" spans="1:60" collapsed="1">
      <c r="A314" s="1464"/>
      <c r="B314" s="1464"/>
      <c r="C314" s="1464"/>
      <c r="D314" s="1272" t="s">
        <v>669</v>
      </c>
      <c r="E314" s="1270" t="str">
        <f>E284</f>
        <v>2010$</v>
      </c>
      <c r="F314" s="1461">
        <f t="shared" ca="1" si="184"/>
        <v>-9782110.2226704974</v>
      </c>
      <c r="G314" s="1277">
        <f t="shared" ref="G314:AT314" ca="1" si="217">SUM(G284:G313)</f>
        <v>0</v>
      </c>
      <c r="H314" s="1277">
        <f t="shared" ca="1" si="217"/>
        <v>0</v>
      </c>
      <c r="I314" s="1277">
        <f t="shared" ca="1" si="217"/>
        <v>-147237.08240758628</v>
      </c>
      <c r="J314" s="1277">
        <f t="shared" ca="1" si="217"/>
        <v>-147237.08240758628</v>
      </c>
      <c r="K314" s="1277">
        <f t="shared" ca="1" si="217"/>
        <v>-347744.75162369892</v>
      </c>
      <c r="L314" s="1277">
        <f t="shared" ca="1" si="217"/>
        <v>-347744.75162369892</v>
      </c>
      <c r="M314" s="1277">
        <f t="shared" ca="1" si="217"/>
        <v>-1009198.2927315125</v>
      </c>
      <c r="N314" s="1277">
        <f t="shared" ca="1" si="217"/>
        <v>-1009198.2927315125</v>
      </c>
      <c r="O314" s="1277">
        <f t="shared" ca="1" si="217"/>
        <v>-1097496.393125867</v>
      </c>
      <c r="P314" s="1277">
        <f t="shared" ca="1" si="217"/>
        <v>-1097496.393125867</v>
      </c>
      <c r="Q314" s="1277">
        <f t="shared" ca="1" si="217"/>
        <v>-1097496.393125867</v>
      </c>
      <c r="R314" s="1277">
        <f t="shared" ca="1" si="217"/>
        <v>-1097496.393125867</v>
      </c>
      <c r="S314" s="1277">
        <f t="shared" ca="1" si="217"/>
        <v>-1097496.393125867</v>
      </c>
      <c r="T314" s="1277">
        <f t="shared" ca="1" si="217"/>
        <v>-1097496.393125867</v>
      </c>
      <c r="U314" s="1277">
        <f t="shared" ca="1" si="217"/>
        <v>-1097496.393125867</v>
      </c>
      <c r="V314" s="1277">
        <f t="shared" ca="1" si="217"/>
        <v>-1097496.393125867</v>
      </c>
      <c r="W314" s="1277">
        <f t="shared" ca="1" si="217"/>
        <v>-1097496.393125867</v>
      </c>
      <c r="X314" s="1277">
        <f t="shared" ca="1" si="217"/>
        <v>-1097496.393125867</v>
      </c>
      <c r="Y314" s="1277">
        <f t="shared" ca="1" si="217"/>
        <v>-1097496.393125867</v>
      </c>
      <c r="Z314" s="1277">
        <f t="shared" ca="1" si="217"/>
        <v>-1097496.393125867</v>
      </c>
      <c r="AA314" s="1277">
        <f t="shared" ca="1" si="217"/>
        <v>-1097496.393125867</v>
      </c>
      <c r="AB314" s="1277">
        <f t="shared" ca="1" si="217"/>
        <v>-1097496.393125867</v>
      </c>
      <c r="AC314" s="1277">
        <f t="shared" ca="1" si="217"/>
        <v>-950259.31071828073</v>
      </c>
      <c r="AD314" s="1277">
        <f t="shared" ca="1" si="217"/>
        <v>-950259.31071828073</v>
      </c>
      <c r="AE314" s="1277">
        <f t="shared" ca="1" si="217"/>
        <v>-749751.64150216815</v>
      </c>
      <c r="AF314" s="1277">
        <f t="shared" ca="1" si="217"/>
        <v>-749751.64150216815</v>
      </c>
      <c r="AG314" s="1277">
        <f t="shared" ca="1" si="217"/>
        <v>-88298.100394354595</v>
      </c>
      <c r="AH314" s="1277">
        <f t="shared" ca="1" si="217"/>
        <v>-88298.100394354595</v>
      </c>
      <c r="AI314" s="1277">
        <f t="shared" ca="1" si="217"/>
        <v>0</v>
      </c>
      <c r="AJ314" s="1277">
        <f t="shared" ca="1" si="217"/>
        <v>0</v>
      </c>
      <c r="AK314" s="1277">
        <f t="shared" ca="1" si="217"/>
        <v>0</v>
      </c>
      <c r="AL314" s="1277">
        <f t="shared" ca="1" si="217"/>
        <v>0</v>
      </c>
      <c r="AM314" s="1277">
        <f t="shared" ca="1" si="217"/>
        <v>0</v>
      </c>
      <c r="AN314" s="1277">
        <f t="shared" ca="1" si="217"/>
        <v>0</v>
      </c>
      <c r="AO314" s="1277">
        <f t="shared" ca="1" si="217"/>
        <v>0</v>
      </c>
      <c r="AP314" s="1277">
        <f t="shared" ca="1" si="217"/>
        <v>0</v>
      </c>
      <c r="AQ314" s="1277">
        <f t="shared" ca="1" si="217"/>
        <v>0</v>
      </c>
      <c r="AR314" s="1277">
        <f t="shared" ca="1" si="217"/>
        <v>0</v>
      </c>
      <c r="AS314" s="1277">
        <f t="shared" ca="1" si="217"/>
        <v>0</v>
      </c>
      <c r="AT314" s="1277">
        <f t="shared" ca="1" si="217"/>
        <v>0</v>
      </c>
      <c r="AV314" s="1277">
        <f t="shared" ca="1" si="206"/>
        <v>-4561134.1233384572</v>
      </c>
      <c r="AX314" s="1277">
        <f t="shared" ca="1" si="207"/>
        <v>-5487481.9656293355</v>
      </c>
      <c r="AZ314" s="1277">
        <f t="shared" ca="1" si="208"/>
        <v>-5487481.9656293355</v>
      </c>
      <c r="BB314" s="1277">
        <f t="shared" ca="1" si="209"/>
        <v>-4845263.0491904635</v>
      </c>
      <c r="BD314" s="1277">
        <f t="shared" ca="1" si="210"/>
        <v>-926347.84229087725</v>
      </c>
      <c r="BF314" s="1277">
        <f t="shared" ca="1" si="211"/>
        <v>0</v>
      </c>
      <c r="BH314" s="1277">
        <f t="shared" ca="1" si="212"/>
        <v>0</v>
      </c>
    </row>
    <row r="315" spans="1:60" hidden="1" outlineLevel="1">
      <c r="A315" s="1464">
        <v>18</v>
      </c>
      <c r="B315" s="1464">
        <v>30</v>
      </c>
      <c r="C315" s="1464">
        <v>1</v>
      </c>
      <c r="D315" s="1271" t="str">
        <f ca="1">IF(OFFSET(PortfolioDashboard!$A$3,C315-1,0)="","Blank",OFFSET(PortfolioDashboard!$A$3,C315-1,0))</f>
        <v>Behavior Change</v>
      </c>
      <c r="E315" s="1464" t="s">
        <v>1197</v>
      </c>
      <c r="F315" s="1460">
        <f t="shared" ca="1" si="184"/>
        <v>0</v>
      </c>
      <c r="G315" s="358">
        <f t="shared" ref="G315:P324" ca="1" si="218">IFERROR(OFFSET(INDIRECT(INDEX(List_of_Alternatives,MATCH($D315,NameofAlternatives,0))),$A315+G$1-$G$1,$B315),0)</f>
        <v>0</v>
      </c>
      <c r="H315" s="358">
        <f t="shared" ca="1" si="218"/>
        <v>0</v>
      </c>
      <c r="I315" s="358">
        <f t="shared" ca="1" si="218"/>
        <v>0</v>
      </c>
      <c r="J315" s="358">
        <f t="shared" ca="1" si="218"/>
        <v>0</v>
      </c>
      <c r="K315" s="358">
        <f t="shared" ca="1" si="218"/>
        <v>0</v>
      </c>
      <c r="L315" s="358">
        <f t="shared" ca="1" si="218"/>
        <v>0</v>
      </c>
      <c r="M315" s="358">
        <f t="shared" ca="1" si="218"/>
        <v>0</v>
      </c>
      <c r="N315" s="358">
        <f t="shared" ca="1" si="218"/>
        <v>0</v>
      </c>
      <c r="O315" s="358">
        <f t="shared" ca="1" si="218"/>
        <v>0</v>
      </c>
      <c r="P315" s="358">
        <f t="shared" ca="1" si="218"/>
        <v>0</v>
      </c>
      <c r="Q315" s="358">
        <f t="shared" ref="Q315:Z324" ca="1" si="219">IFERROR(OFFSET(INDIRECT(INDEX(List_of_Alternatives,MATCH($D315,NameofAlternatives,0))),$A315+Q$1-$G$1,$B315),0)</f>
        <v>0</v>
      </c>
      <c r="R315" s="358">
        <f t="shared" ca="1" si="219"/>
        <v>0</v>
      </c>
      <c r="S315" s="358">
        <f t="shared" ca="1" si="219"/>
        <v>0</v>
      </c>
      <c r="T315" s="358">
        <f t="shared" ca="1" si="219"/>
        <v>0</v>
      </c>
      <c r="U315" s="358">
        <f t="shared" ca="1" si="219"/>
        <v>0</v>
      </c>
      <c r="V315" s="358">
        <f t="shared" ca="1" si="219"/>
        <v>0</v>
      </c>
      <c r="W315" s="358">
        <f t="shared" ca="1" si="219"/>
        <v>0</v>
      </c>
      <c r="X315" s="358">
        <f t="shared" ca="1" si="219"/>
        <v>0</v>
      </c>
      <c r="Y315" s="358">
        <f t="shared" ca="1" si="219"/>
        <v>0</v>
      </c>
      <c r="Z315" s="358">
        <f t="shared" ca="1" si="219"/>
        <v>0</v>
      </c>
      <c r="AA315" s="358">
        <f t="shared" ref="AA315:AJ324" ca="1" si="220">IFERROR(OFFSET(INDIRECT(INDEX(List_of_Alternatives,MATCH($D315,NameofAlternatives,0))),$A315+AA$1-$G$1,$B315),0)</f>
        <v>0</v>
      </c>
      <c r="AB315" s="358">
        <f t="shared" ca="1" si="220"/>
        <v>0</v>
      </c>
      <c r="AC315" s="358">
        <f t="shared" ca="1" si="220"/>
        <v>0</v>
      </c>
      <c r="AD315" s="358">
        <f t="shared" ca="1" si="220"/>
        <v>0</v>
      </c>
      <c r="AE315" s="358">
        <f t="shared" ca="1" si="220"/>
        <v>0</v>
      </c>
      <c r="AF315" s="358">
        <f t="shared" ca="1" si="220"/>
        <v>0</v>
      </c>
      <c r="AG315" s="358">
        <f t="shared" ca="1" si="220"/>
        <v>0</v>
      </c>
      <c r="AH315" s="358">
        <f t="shared" ca="1" si="220"/>
        <v>0</v>
      </c>
      <c r="AI315" s="358">
        <f t="shared" ca="1" si="220"/>
        <v>0</v>
      </c>
      <c r="AJ315" s="358">
        <f t="shared" ca="1" si="220"/>
        <v>0</v>
      </c>
      <c r="AK315" s="358">
        <f t="shared" ref="AK315:AT324" ca="1" si="221">IFERROR(OFFSET(INDIRECT(INDEX(List_of_Alternatives,MATCH($D315,NameofAlternatives,0))),$A315+AK$1-$G$1,$B315),0)</f>
        <v>0</v>
      </c>
      <c r="AL315" s="358">
        <f t="shared" ca="1" si="221"/>
        <v>0</v>
      </c>
      <c r="AM315" s="358">
        <f t="shared" ca="1" si="221"/>
        <v>0</v>
      </c>
      <c r="AN315" s="358">
        <f t="shared" ca="1" si="221"/>
        <v>0</v>
      </c>
      <c r="AO315" s="358">
        <f t="shared" ca="1" si="221"/>
        <v>0</v>
      </c>
      <c r="AP315" s="358">
        <f t="shared" ca="1" si="221"/>
        <v>0</v>
      </c>
      <c r="AQ315" s="358">
        <f t="shared" ca="1" si="221"/>
        <v>0</v>
      </c>
      <c r="AR315" s="358">
        <f t="shared" ca="1" si="221"/>
        <v>0</v>
      </c>
      <c r="AS315" s="358">
        <f t="shared" ca="1" si="221"/>
        <v>0</v>
      </c>
      <c r="AT315" s="358">
        <f t="shared" ca="1" si="221"/>
        <v>0</v>
      </c>
      <c r="AV315" s="358">
        <f t="shared" ca="1" si="206"/>
        <v>0</v>
      </c>
      <c r="AX315" s="358">
        <f t="shared" ca="1" si="207"/>
        <v>0</v>
      </c>
      <c r="AZ315" s="358">
        <f t="shared" ca="1" si="208"/>
        <v>0</v>
      </c>
      <c r="BB315" s="358">
        <f t="shared" ca="1" si="209"/>
        <v>0</v>
      </c>
      <c r="BD315" s="358">
        <f t="shared" ca="1" si="210"/>
        <v>0</v>
      </c>
      <c r="BF315" s="358">
        <f t="shared" ca="1" si="211"/>
        <v>0</v>
      </c>
      <c r="BH315" s="358">
        <f t="shared" ca="1" si="212"/>
        <v>0</v>
      </c>
    </row>
    <row r="316" spans="1:60" hidden="1" outlineLevel="1">
      <c r="A316" s="1464">
        <f>A315</f>
        <v>18</v>
      </c>
      <c r="B316" s="1464">
        <f>B315</f>
        <v>30</v>
      </c>
      <c r="C316" s="1464">
        <f>C315+1</f>
        <v>2</v>
      </c>
      <c r="D316" s="1271" t="str">
        <f ca="1">IF(OFFSET(PortfolioDashboard!$A$3,C316-1,0)="","Blank",OFFSET(PortfolioDashboard!$A$3,C316-1,0))</f>
        <v>Building Design &amp; Construction Standards</v>
      </c>
      <c r="E316" s="1464" t="str">
        <f>E315</f>
        <v>2010$</v>
      </c>
      <c r="F316" s="1460">
        <f t="shared" ca="1" si="184"/>
        <v>0</v>
      </c>
      <c r="G316" s="358">
        <f t="shared" ca="1" si="218"/>
        <v>0</v>
      </c>
      <c r="H316" s="358">
        <f t="shared" ca="1" si="218"/>
        <v>0</v>
      </c>
      <c r="I316" s="358">
        <f t="shared" ca="1" si="218"/>
        <v>0</v>
      </c>
      <c r="J316" s="358">
        <f t="shared" ca="1" si="218"/>
        <v>0</v>
      </c>
      <c r="K316" s="358">
        <f t="shared" ca="1" si="218"/>
        <v>0</v>
      </c>
      <c r="L316" s="358">
        <f t="shared" ca="1" si="218"/>
        <v>0</v>
      </c>
      <c r="M316" s="358">
        <f t="shared" ca="1" si="218"/>
        <v>0</v>
      </c>
      <c r="N316" s="358">
        <f t="shared" ca="1" si="218"/>
        <v>0</v>
      </c>
      <c r="O316" s="358">
        <f t="shared" ca="1" si="218"/>
        <v>0</v>
      </c>
      <c r="P316" s="358">
        <f t="shared" ca="1" si="218"/>
        <v>0</v>
      </c>
      <c r="Q316" s="358">
        <f t="shared" ca="1" si="219"/>
        <v>0</v>
      </c>
      <c r="R316" s="358">
        <f t="shared" ca="1" si="219"/>
        <v>0</v>
      </c>
      <c r="S316" s="358">
        <f t="shared" ca="1" si="219"/>
        <v>0</v>
      </c>
      <c r="T316" s="358">
        <f t="shared" ca="1" si="219"/>
        <v>0</v>
      </c>
      <c r="U316" s="358">
        <f t="shared" ca="1" si="219"/>
        <v>0</v>
      </c>
      <c r="V316" s="358">
        <f t="shared" ca="1" si="219"/>
        <v>0</v>
      </c>
      <c r="W316" s="358">
        <f t="shared" ca="1" si="219"/>
        <v>0</v>
      </c>
      <c r="X316" s="358">
        <f t="shared" ca="1" si="219"/>
        <v>0</v>
      </c>
      <c r="Y316" s="358">
        <f t="shared" ca="1" si="219"/>
        <v>0</v>
      </c>
      <c r="Z316" s="358">
        <f t="shared" ca="1" si="219"/>
        <v>0</v>
      </c>
      <c r="AA316" s="358">
        <f t="shared" ca="1" si="220"/>
        <v>0</v>
      </c>
      <c r="AB316" s="358">
        <f t="shared" ca="1" si="220"/>
        <v>0</v>
      </c>
      <c r="AC316" s="358">
        <f t="shared" ca="1" si="220"/>
        <v>0</v>
      </c>
      <c r="AD316" s="358">
        <f t="shared" ca="1" si="220"/>
        <v>0</v>
      </c>
      <c r="AE316" s="358">
        <f t="shared" ca="1" si="220"/>
        <v>0</v>
      </c>
      <c r="AF316" s="358">
        <f t="shared" ca="1" si="220"/>
        <v>0</v>
      </c>
      <c r="AG316" s="358">
        <f t="shared" ca="1" si="220"/>
        <v>0</v>
      </c>
      <c r="AH316" s="358">
        <f t="shared" ca="1" si="220"/>
        <v>0</v>
      </c>
      <c r="AI316" s="358">
        <f t="shared" ca="1" si="220"/>
        <v>0</v>
      </c>
      <c r="AJ316" s="358">
        <f t="shared" ca="1" si="220"/>
        <v>0</v>
      </c>
      <c r="AK316" s="358">
        <f t="shared" ca="1" si="221"/>
        <v>0</v>
      </c>
      <c r="AL316" s="358">
        <f t="shared" ca="1" si="221"/>
        <v>0</v>
      </c>
      <c r="AM316" s="358">
        <f t="shared" ca="1" si="221"/>
        <v>0</v>
      </c>
      <c r="AN316" s="358">
        <f t="shared" ca="1" si="221"/>
        <v>0</v>
      </c>
      <c r="AO316" s="358">
        <f t="shared" ca="1" si="221"/>
        <v>0</v>
      </c>
      <c r="AP316" s="358">
        <f t="shared" ca="1" si="221"/>
        <v>0</v>
      </c>
      <c r="AQ316" s="358">
        <f t="shared" ca="1" si="221"/>
        <v>0</v>
      </c>
      <c r="AR316" s="358">
        <f t="shared" ca="1" si="221"/>
        <v>0</v>
      </c>
      <c r="AS316" s="358">
        <f t="shared" ca="1" si="221"/>
        <v>0</v>
      </c>
      <c r="AT316" s="358">
        <f t="shared" ca="1" si="221"/>
        <v>0</v>
      </c>
      <c r="AV316" s="358">
        <f t="shared" ca="1" si="206"/>
        <v>0</v>
      </c>
      <c r="AX316" s="358">
        <f t="shared" ca="1" si="207"/>
        <v>0</v>
      </c>
      <c r="AZ316" s="358">
        <f t="shared" ca="1" si="208"/>
        <v>0</v>
      </c>
      <c r="BB316" s="358">
        <f t="shared" ca="1" si="209"/>
        <v>0</v>
      </c>
      <c r="BD316" s="358">
        <f t="shared" ca="1" si="210"/>
        <v>0</v>
      </c>
      <c r="BF316" s="358">
        <f t="shared" ca="1" si="211"/>
        <v>0</v>
      </c>
      <c r="BH316" s="358">
        <f t="shared" ca="1" si="212"/>
        <v>0</v>
      </c>
    </row>
    <row r="317" spans="1:60" hidden="1" outlineLevel="1">
      <c r="A317" s="1464">
        <f t="shared" ref="A317:A344" si="222">A316</f>
        <v>18</v>
      </c>
      <c r="B317" s="1464">
        <f t="shared" ref="B317:B344" si="223">B316</f>
        <v>30</v>
      </c>
      <c r="C317" s="1464">
        <f t="shared" ref="C317:C344" si="224">C316+1</f>
        <v>3</v>
      </c>
      <c r="D317" s="1271" t="str">
        <f ca="1">IF(OFFSET(PortfolioDashboard!$A$3,C317-1,0)="","Blank",OFFSET(PortfolioDashboard!$A$3,C317-1,0))</f>
        <v>Space Planning &amp; Management</v>
      </c>
      <c r="E317" s="1464" t="str">
        <f t="shared" ref="E317:E344" si="225">E316</f>
        <v>2010$</v>
      </c>
      <c r="F317" s="1460">
        <f t="shared" ca="1" si="184"/>
        <v>0</v>
      </c>
      <c r="G317" s="358">
        <f t="shared" ca="1" si="218"/>
        <v>0</v>
      </c>
      <c r="H317" s="358">
        <f t="shared" ca="1" si="218"/>
        <v>0</v>
      </c>
      <c r="I317" s="358">
        <f t="shared" ca="1" si="218"/>
        <v>0</v>
      </c>
      <c r="J317" s="358">
        <f t="shared" ca="1" si="218"/>
        <v>0</v>
      </c>
      <c r="K317" s="358">
        <f t="shared" ca="1" si="218"/>
        <v>0</v>
      </c>
      <c r="L317" s="358">
        <f t="shared" ca="1" si="218"/>
        <v>0</v>
      </c>
      <c r="M317" s="358">
        <f t="shared" ca="1" si="218"/>
        <v>0</v>
      </c>
      <c r="N317" s="358">
        <f t="shared" ca="1" si="218"/>
        <v>0</v>
      </c>
      <c r="O317" s="358">
        <f t="shared" ca="1" si="218"/>
        <v>0</v>
      </c>
      <c r="P317" s="358">
        <f t="shared" ca="1" si="218"/>
        <v>0</v>
      </c>
      <c r="Q317" s="358">
        <f t="shared" ca="1" si="219"/>
        <v>0</v>
      </c>
      <c r="R317" s="358">
        <f t="shared" ca="1" si="219"/>
        <v>0</v>
      </c>
      <c r="S317" s="358">
        <f t="shared" ca="1" si="219"/>
        <v>0</v>
      </c>
      <c r="T317" s="358">
        <f t="shared" ca="1" si="219"/>
        <v>0</v>
      </c>
      <c r="U317" s="358">
        <f t="shared" ca="1" si="219"/>
        <v>0</v>
      </c>
      <c r="V317" s="358">
        <f t="shared" ca="1" si="219"/>
        <v>0</v>
      </c>
      <c r="W317" s="358">
        <f t="shared" ca="1" si="219"/>
        <v>0</v>
      </c>
      <c r="X317" s="358">
        <f t="shared" ca="1" si="219"/>
        <v>0</v>
      </c>
      <c r="Y317" s="358">
        <f t="shared" ca="1" si="219"/>
        <v>0</v>
      </c>
      <c r="Z317" s="358">
        <f t="shared" ca="1" si="219"/>
        <v>0</v>
      </c>
      <c r="AA317" s="358">
        <f t="shared" ca="1" si="220"/>
        <v>0</v>
      </c>
      <c r="AB317" s="358">
        <f t="shared" ca="1" si="220"/>
        <v>0</v>
      </c>
      <c r="AC317" s="358">
        <f t="shared" ca="1" si="220"/>
        <v>0</v>
      </c>
      <c r="AD317" s="358">
        <f t="shared" ca="1" si="220"/>
        <v>0</v>
      </c>
      <c r="AE317" s="358">
        <f t="shared" ca="1" si="220"/>
        <v>0</v>
      </c>
      <c r="AF317" s="358">
        <f t="shared" ca="1" si="220"/>
        <v>0</v>
      </c>
      <c r="AG317" s="358">
        <f t="shared" ca="1" si="220"/>
        <v>0</v>
      </c>
      <c r="AH317" s="358">
        <f t="shared" ca="1" si="220"/>
        <v>0</v>
      </c>
      <c r="AI317" s="358">
        <f t="shared" ca="1" si="220"/>
        <v>0</v>
      </c>
      <c r="AJ317" s="358">
        <f t="shared" ca="1" si="220"/>
        <v>0</v>
      </c>
      <c r="AK317" s="358">
        <f t="shared" ca="1" si="221"/>
        <v>0</v>
      </c>
      <c r="AL317" s="358">
        <f t="shared" ca="1" si="221"/>
        <v>0</v>
      </c>
      <c r="AM317" s="358">
        <f t="shared" ca="1" si="221"/>
        <v>0</v>
      </c>
      <c r="AN317" s="358">
        <f t="shared" ca="1" si="221"/>
        <v>0</v>
      </c>
      <c r="AO317" s="358">
        <f t="shared" ca="1" si="221"/>
        <v>0</v>
      </c>
      <c r="AP317" s="358">
        <f t="shared" ca="1" si="221"/>
        <v>0</v>
      </c>
      <c r="AQ317" s="358">
        <f t="shared" ca="1" si="221"/>
        <v>0</v>
      </c>
      <c r="AR317" s="358">
        <f t="shared" ca="1" si="221"/>
        <v>0</v>
      </c>
      <c r="AS317" s="358">
        <f t="shared" ca="1" si="221"/>
        <v>0</v>
      </c>
      <c r="AT317" s="358">
        <f t="shared" ca="1" si="221"/>
        <v>0</v>
      </c>
      <c r="AV317" s="358">
        <f t="shared" ca="1" si="206"/>
        <v>0</v>
      </c>
      <c r="AX317" s="358">
        <f t="shared" ca="1" si="207"/>
        <v>0</v>
      </c>
      <c r="AZ317" s="358">
        <f t="shared" ca="1" si="208"/>
        <v>0</v>
      </c>
      <c r="BB317" s="358">
        <f t="shared" ca="1" si="209"/>
        <v>0</v>
      </c>
      <c r="BD317" s="358">
        <f t="shared" ca="1" si="210"/>
        <v>0</v>
      </c>
      <c r="BF317" s="358">
        <f t="shared" ca="1" si="211"/>
        <v>0</v>
      </c>
      <c r="BH317" s="358">
        <f t="shared" ca="1" si="212"/>
        <v>0</v>
      </c>
    </row>
    <row r="318" spans="1:60" hidden="1" outlineLevel="1">
      <c r="A318" s="1464">
        <f t="shared" si="222"/>
        <v>18</v>
      </c>
      <c r="B318" s="1464">
        <f t="shared" si="223"/>
        <v>30</v>
      </c>
      <c r="C318" s="1464">
        <f t="shared" si="224"/>
        <v>4</v>
      </c>
      <c r="D318" s="1271" t="str">
        <f ca="1">IF(OFFSET(PortfolioDashboard!$A$3,C318-1,0)="","Blank",OFFSET(PortfolioDashboard!$A$3,C318-1,0))</f>
        <v>Central Chiller Expansion</v>
      </c>
      <c r="E318" s="1464" t="str">
        <f t="shared" si="225"/>
        <v>2010$</v>
      </c>
      <c r="F318" s="1460">
        <f t="shared" ca="1" si="184"/>
        <v>0</v>
      </c>
      <c r="G318" s="358">
        <f t="shared" ca="1" si="218"/>
        <v>0</v>
      </c>
      <c r="H318" s="358">
        <f t="shared" ca="1" si="218"/>
        <v>0</v>
      </c>
      <c r="I318" s="358">
        <f t="shared" ca="1" si="218"/>
        <v>0</v>
      </c>
      <c r="J318" s="358">
        <f t="shared" ca="1" si="218"/>
        <v>0</v>
      </c>
      <c r="K318" s="358">
        <f t="shared" ca="1" si="218"/>
        <v>0</v>
      </c>
      <c r="L318" s="358">
        <f t="shared" ca="1" si="218"/>
        <v>0</v>
      </c>
      <c r="M318" s="358">
        <f t="shared" ca="1" si="218"/>
        <v>0</v>
      </c>
      <c r="N318" s="358">
        <f t="shared" ca="1" si="218"/>
        <v>0</v>
      </c>
      <c r="O318" s="358">
        <f t="shared" ca="1" si="218"/>
        <v>0</v>
      </c>
      <c r="P318" s="358">
        <f t="shared" ca="1" si="218"/>
        <v>0</v>
      </c>
      <c r="Q318" s="358">
        <f t="shared" ca="1" si="219"/>
        <v>0</v>
      </c>
      <c r="R318" s="358">
        <f t="shared" ca="1" si="219"/>
        <v>0</v>
      </c>
      <c r="S318" s="358">
        <f t="shared" ca="1" si="219"/>
        <v>0</v>
      </c>
      <c r="T318" s="358">
        <f t="shared" ca="1" si="219"/>
        <v>0</v>
      </c>
      <c r="U318" s="358">
        <f t="shared" ca="1" si="219"/>
        <v>0</v>
      </c>
      <c r="V318" s="358">
        <f t="shared" ca="1" si="219"/>
        <v>0</v>
      </c>
      <c r="W318" s="358">
        <f t="shared" ca="1" si="219"/>
        <v>0</v>
      </c>
      <c r="X318" s="358">
        <f t="shared" ca="1" si="219"/>
        <v>0</v>
      </c>
      <c r="Y318" s="358">
        <f t="shared" ca="1" si="219"/>
        <v>0</v>
      </c>
      <c r="Z318" s="358">
        <f t="shared" ca="1" si="219"/>
        <v>0</v>
      </c>
      <c r="AA318" s="358">
        <f t="shared" ca="1" si="220"/>
        <v>0</v>
      </c>
      <c r="AB318" s="358">
        <f t="shared" ca="1" si="220"/>
        <v>0</v>
      </c>
      <c r="AC318" s="358">
        <f t="shared" ca="1" si="220"/>
        <v>0</v>
      </c>
      <c r="AD318" s="358">
        <f t="shared" ca="1" si="220"/>
        <v>0</v>
      </c>
      <c r="AE318" s="358">
        <f t="shared" ca="1" si="220"/>
        <v>0</v>
      </c>
      <c r="AF318" s="358">
        <f t="shared" ca="1" si="220"/>
        <v>0</v>
      </c>
      <c r="AG318" s="358">
        <f t="shared" ca="1" si="220"/>
        <v>0</v>
      </c>
      <c r="AH318" s="358">
        <f t="shared" ca="1" si="220"/>
        <v>0</v>
      </c>
      <c r="AI318" s="358">
        <f t="shared" ca="1" si="220"/>
        <v>0</v>
      </c>
      <c r="AJ318" s="358">
        <f t="shared" ca="1" si="220"/>
        <v>0</v>
      </c>
      <c r="AK318" s="358">
        <f t="shared" ca="1" si="221"/>
        <v>0</v>
      </c>
      <c r="AL318" s="358">
        <f t="shared" ca="1" si="221"/>
        <v>0</v>
      </c>
      <c r="AM318" s="358">
        <f t="shared" ca="1" si="221"/>
        <v>0</v>
      </c>
      <c r="AN318" s="358">
        <f t="shared" ca="1" si="221"/>
        <v>0</v>
      </c>
      <c r="AO318" s="358">
        <f t="shared" ca="1" si="221"/>
        <v>0</v>
      </c>
      <c r="AP318" s="358">
        <f t="shared" ca="1" si="221"/>
        <v>0</v>
      </c>
      <c r="AQ318" s="358">
        <f t="shared" ca="1" si="221"/>
        <v>0</v>
      </c>
      <c r="AR318" s="358">
        <f t="shared" ca="1" si="221"/>
        <v>0</v>
      </c>
      <c r="AS318" s="358">
        <f t="shared" ca="1" si="221"/>
        <v>0</v>
      </c>
      <c r="AT318" s="358">
        <f t="shared" ca="1" si="221"/>
        <v>0</v>
      </c>
      <c r="AV318" s="358">
        <f t="shared" ca="1" si="206"/>
        <v>0</v>
      </c>
      <c r="AX318" s="358">
        <f t="shared" ca="1" si="207"/>
        <v>0</v>
      </c>
      <c r="AZ318" s="358">
        <f t="shared" ca="1" si="208"/>
        <v>0</v>
      </c>
      <c r="BB318" s="358">
        <f t="shared" ca="1" si="209"/>
        <v>0</v>
      </c>
      <c r="BD318" s="358">
        <f t="shared" ca="1" si="210"/>
        <v>0</v>
      </c>
      <c r="BF318" s="358">
        <f t="shared" ca="1" si="211"/>
        <v>0</v>
      </c>
      <c r="BH318" s="358">
        <f t="shared" ca="1" si="212"/>
        <v>0</v>
      </c>
    </row>
    <row r="319" spans="1:60" hidden="1" outlineLevel="1">
      <c r="A319" s="1464">
        <f t="shared" si="222"/>
        <v>18</v>
      </c>
      <c r="B319" s="1464">
        <f t="shared" si="223"/>
        <v>30</v>
      </c>
      <c r="C319" s="1464">
        <f t="shared" si="224"/>
        <v>5</v>
      </c>
      <c r="D319" s="1271" t="str">
        <f ca="1">IF(OFFSET(PortfolioDashboard!$A$3,C319-1,0)="","Blank",OFFSET(PortfolioDashboard!$A$3,C319-1,0))</f>
        <v>Short-term Energy Conservation Measures</v>
      </c>
      <c r="E319" s="1464" t="str">
        <f t="shared" si="225"/>
        <v>2010$</v>
      </c>
      <c r="F319" s="1460">
        <f t="shared" ca="1" si="184"/>
        <v>0</v>
      </c>
      <c r="G319" s="358">
        <f t="shared" ca="1" si="218"/>
        <v>0</v>
      </c>
      <c r="H319" s="358">
        <f t="shared" ca="1" si="218"/>
        <v>0</v>
      </c>
      <c r="I319" s="358">
        <f t="shared" ca="1" si="218"/>
        <v>0</v>
      </c>
      <c r="J319" s="358">
        <f t="shared" ca="1" si="218"/>
        <v>0</v>
      </c>
      <c r="K319" s="358">
        <f t="shared" ca="1" si="218"/>
        <v>0</v>
      </c>
      <c r="L319" s="358">
        <f t="shared" ca="1" si="218"/>
        <v>0</v>
      </c>
      <c r="M319" s="358">
        <f t="shared" ca="1" si="218"/>
        <v>0</v>
      </c>
      <c r="N319" s="358">
        <f t="shared" ca="1" si="218"/>
        <v>0</v>
      </c>
      <c r="O319" s="358">
        <f t="shared" ca="1" si="218"/>
        <v>0</v>
      </c>
      <c r="P319" s="358">
        <f t="shared" ca="1" si="218"/>
        <v>0</v>
      </c>
      <c r="Q319" s="358">
        <f t="shared" ca="1" si="219"/>
        <v>0</v>
      </c>
      <c r="R319" s="358">
        <f t="shared" ca="1" si="219"/>
        <v>0</v>
      </c>
      <c r="S319" s="358">
        <f t="shared" ca="1" si="219"/>
        <v>0</v>
      </c>
      <c r="T319" s="358">
        <f t="shared" ca="1" si="219"/>
        <v>0</v>
      </c>
      <c r="U319" s="358">
        <f t="shared" ca="1" si="219"/>
        <v>0</v>
      </c>
      <c r="V319" s="358">
        <f t="shared" ca="1" si="219"/>
        <v>0</v>
      </c>
      <c r="W319" s="358">
        <f t="shared" ca="1" si="219"/>
        <v>0</v>
      </c>
      <c r="X319" s="358">
        <f t="shared" ca="1" si="219"/>
        <v>0</v>
      </c>
      <c r="Y319" s="358">
        <f t="shared" ca="1" si="219"/>
        <v>0</v>
      </c>
      <c r="Z319" s="358">
        <f t="shared" ca="1" si="219"/>
        <v>0</v>
      </c>
      <c r="AA319" s="358">
        <f t="shared" ca="1" si="220"/>
        <v>0</v>
      </c>
      <c r="AB319" s="358">
        <f t="shared" ca="1" si="220"/>
        <v>0</v>
      </c>
      <c r="AC319" s="358">
        <f t="shared" ca="1" si="220"/>
        <v>0</v>
      </c>
      <c r="AD319" s="358">
        <f t="shared" ca="1" si="220"/>
        <v>0</v>
      </c>
      <c r="AE319" s="358">
        <f t="shared" ca="1" si="220"/>
        <v>0</v>
      </c>
      <c r="AF319" s="358">
        <f t="shared" ca="1" si="220"/>
        <v>0</v>
      </c>
      <c r="AG319" s="358">
        <f t="shared" ca="1" si="220"/>
        <v>0</v>
      </c>
      <c r="AH319" s="358">
        <f t="shared" ca="1" si="220"/>
        <v>0</v>
      </c>
      <c r="AI319" s="358">
        <f t="shared" ca="1" si="220"/>
        <v>0</v>
      </c>
      <c r="AJ319" s="358">
        <f t="shared" ca="1" si="220"/>
        <v>0</v>
      </c>
      <c r="AK319" s="358">
        <f t="shared" ca="1" si="221"/>
        <v>0</v>
      </c>
      <c r="AL319" s="358">
        <f t="shared" ca="1" si="221"/>
        <v>0</v>
      </c>
      <c r="AM319" s="358">
        <f t="shared" ca="1" si="221"/>
        <v>0</v>
      </c>
      <c r="AN319" s="358">
        <f t="shared" ca="1" si="221"/>
        <v>0</v>
      </c>
      <c r="AO319" s="358">
        <f t="shared" ca="1" si="221"/>
        <v>0</v>
      </c>
      <c r="AP319" s="358">
        <f t="shared" ca="1" si="221"/>
        <v>0</v>
      </c>
      <c r="AQ319" s="358">
        <f t="shared" ca="1" si="221"/>
        <v>0</v>
      </c>
      <c r="AR319" s="358">
        <f t="shared" ca="1" si="221"/>
        <v>0</v>
      </c>
      <c r="AS319" s="358">
        <f t="shared" ca="1" si="221"/>
        <v>0</v>
      </c>
      <c r="AT319" s="358">
        <f t="shared" ca="1" si="221"/>
        <v>0</v>
      </c>
      <c r="AV319" s="358">
        <f t="shared" ca="1" si="206"/>
        <v>0</v>
      </c>
      <c r="AX319" s="358">
        <f t="shared" ca="1" si="207"/>
        <v>0</v>
      </c>
      <c r="AZ319" s="358">
        <f t="shared" ca="1" si="208"/>
        <v>0</v>
      </c>
      <c r="BB319" s="358">
        <f t="shared" ca="1" si="209"/>
        <v>0</v>
      </c>
      <c r="BD319" s="358">
        <f t="shared" ca="1" si="210"/>
        <v>0</v>
      </c>
      <c r="BF319" s="358">
        <f t="shared" ca="1" si="211"/>
        <v>0</v>
      </c>
      <c r="BH319" s="358">
        <f t="shared" ca="1" si="212"/>
        <v>0</v>
      </c>
    </row>
    <row r="320" spans="1:60" hidden="1" outlineLevel="1">
      <c r="A320" s="1464">
        <f t="shared" si="222"/>
        <v>18</v>
      </c>
      <c r="B320" s="1464">
        <f t="shared" si="223"/>
        <v>30</v>
      </c>
      <c r="C320" s="1464">
        <f t="shared" si="224"/>
        <v>6</v>
      </c>
      <c r="D320" s="1271" t="str">
        <f ca="1">IF(OFFSET(PortfolioDashboard!$A$3,C320-1,0)="","Blank",OFFSET(PortfolioDashboard!$A$3,C320-1,0))</f>
        <v>Mid-term Energy Conservation Measures</v>
      </c>
      <c r="E320" s="1464" t="str">
        <f t="shared" si="225"/>
        <v>2010$</v>
      </c>
      <c r="F320" s="1460">
        <f t="shared" ca="1" si="184"/>
        <v>0</v>
      </c>
      <c r="G320" s="358">
        <f t="shared" ca="1" si="218"/>
        <v>0</v>
      </c>
      <c r="H320" s="358">
        <f t="shared" ca="1" si="218"/>
        <v>0</v>
      </c>
      <c r="I320" s="358">
        <f t="shared" ca="1" si="218"/>
        <v>0</v>
      </c>
      <c r="J320" s="358">
        <f t="shared" ca="1" si="218"/>
        <v>0</v>
      </c>
      <c r="K320" s="358">
        <f t="shared" ca="1" si="218"/>
        <v>0</v>
      </c>
      <c r="L320" s="358">
        <f t="shared" ca="1" si="218"/>
        <v>0</v>
      </c>
      <c r="M320" s="358">
        <f t="shared" ca="1" si="218"/>
        <v>0</v>
      </c>
      <c r="N320" s="358">
        <f t="shared" ca="1" si="218"/>
        <v>0</v>
      </c>
      <c r="O320" s="358">
        <f t="shared" ca="1" si="218"/>
        <v>0</v>
      </c>
      <c r="P320" s="358">
        <f t="shared" ca="1" si="218"/>
        <v>0</v>
      </c>
      <c r="Q320" s="358">
        <f t="shared" ca="1" si="219"/>
        <v>0</v>
      </c>
      <c r="R320" s="358">
        <f t="shared" ca="1" si="219"/>
        <v>0</v>
      </c>
      <c r="S320" s="358">
        <f t="shared" ca="1" si="219"/>
        <v>0</v>
      </c>
      <c r="T320" s="358">
        <f t="shared" ca="1" si="219"/>
        <v>0</v>
      </c>
      <c r="U320" s="358">
        <f t="shared" ca="1" si="219"/>
        <v>0</v>
      </c>
      <c r="V320" s="358">
        <f t="shared" ca="1" si="219"/>
        <v>0</v>
      </c>
      <c r="W320" s="358">
        <f t="shared" ca="1" si="219"/>
        <v>0</v>
      </c>
      <c r="X320" s="358">
        <f t="shared" ca="1" si="219"/>
        <v>0</v>
      </c>
      <c r="Y320" s="358">
        <f t="shared" ca="1" si="219"/>
        <v>0</v>
      </c>
      <c r="Z320" s="358">
        <f t="shared" ca="1" si="219"/>
        <v>0</v>
      </c>
      <c r="AA320" s="358">
        <f t="shared" ca="1" si="220"/>
        <v>0</v>
      </c>
      <c r="AB320" s="358">
        <f t="shared" ca="1" si="220"/>
        <v>0</v>
      </c>
      <c r="AC320" s="358">
        <f t="shared" ca="1" si="220"/>
        <v>0</v>
      </c>
      <c r="AD320" s="358">
        <f t="shared" ca="1" si="220"/>
        <v>0</v>
      </c>
      <c r="AE320" s="358">
        <f t="shared" ca="1" si="220"/>
        <v>0</v>
      </c>
      <c r="AF320" s="358">
        <f t="shared" ca="1" si="220"/>
        <v>0</v>
      </c>
      <c r="AG320" s="358">
        <f t="shared" ca="1" si="220"/>
        <v>0</v>
      </c>
      <c r="AH320" s="358">
        <f t="shared" ca="1" si="220"/>
        <v>0</v>
      </c>
      <c r="AI320" s="358">
        <f t="shared" ca="1" si="220"/>
        <v>0</v>
      </c>
      <c r="AJ320" s="358">
        <f t="shared" ca="1" si="220"/>
        <v>0</v>
      </c>
      <c r="AK320" s="358">
        <f t="shared" ca="1" si="221"/>
        <v>0</v>
      </c>
      <c r="AL320" s="358">
        <f t="shared" ca="1" si="221"/>
        <v>0</v>
      </c>
      <c r="AM320" s="358">
        <f t="shared" ca="1" si="221"/>
        <v>0</v>
      </c>
      <c r="AN320" s="358">
        <f t="shared" ca="1" si="221"/>
        <v>0</v>
      </c>
      <c r="AO320" s="358">
        <f t="shared" ca="1" si="221"/>
        <v>0</v>
      </c>
      <c r="AP320" s="358">
        <f t="shared" ca="1" si="221"/>
        <v>0</v>
      </c>
      <c r="AQ320" s="358">
        <f t="shared" ca="1" si="221"/>
        <v>0</v>
      </c>
      <c r="AR320" s="358">
        <f t="shared" ca="1" si="221"/>
        <v>0</v>
      </c>
      <c r="AS320" s="358">
        <f t="shared" ca="1" si="221"/>
        <v>0</v>
      </c>
      <c r="AT320" s="358">
        <f t="shared" ca="1" si="221"/>
        <v>0</v>
      </c>
      <c r="AV320" s="358">
        <f t="shared" ca="1" si="206"/>
        <v>0</v>
      </c>
      <c r="AX320" s="358">
        <f t="shared" ca="1" si="207"/>
        <v>0</v>
      </c>
      <c r="AZ320" s="358">
        <f t="shared" ca="1" si="208"/>
        <v>0</v>
      </c>
      <c r="BB320" s="358">
        <f t="shared" ca="1" si="209"/>
        <v>0</v>
      </c>
      <c r="BD320" s="358">
        <f t="shared" ca="1" si="210"/>
        <v>0</v>
      </c>
      <c r="BF320" s="358">
        <f t="shared" ca="1" si="211"/>
        <v>0</v>
      </c>
      <c r="BH320" s="358">
        <f t="shared" ca="1" si="212"/>
        <v>0</v>
      </c>
    </row>
    <row r="321" spans="1:60" hidden="1" outlineLevel="1">
      <c r="A321" s="1464">
        <f t="shared" si="222"/>
        <v>18</v>
      </c>
      <c r="B321" s="1464">
        <f t="shared" si="223"/>
        <v>30</v>
      </c>
      <c r="C321" s="1464">
        <f t="shared" si="224"/>
        <v>7</v>
      </c>
      <c r="D321" s="1271" t="str">
        <f ca="1">IF(OFFSET(PortfolioDashboard!$A$3,C321-1,0)="","Blank",OFFSET(PortfolioDashboard!$A$3,C321-1,0))</f>
        <v>Long-term Energy Conservation Measures</v>
      </c>
      <c r="E321" s="1464" t="str">
        <f t="shared" si="225"/>
        <v>2010$</v>
      </c>
      <c r="F321" s="1460">
        <f t="shared" ref="F321:F384" ca="1" si="226">NPV(DiscountRate,G321:AT321)</f>
        <v>0</v>
      </c>
      <c r="G321" s="358">
        <f t="shared" ca="1" si="218"/>
        <v>0</v>
      </c>
      <c r="H321" s="358">
        <f t="shared" ca="1" si="218"/>
        <v>0</v>
      </c>
      <c r="I321" s="358">
        <f t="shared" ca="1" si="218"/>
        <v>0</v>
      </c>
      <c r="J321" s="358">
        <f t="shared" ca="1" si="218"/>
        <v>0</v>
      </c>
      <c r="K321" s="358">
        <f t="shared" ca="1" si="218"/>
        <v>0</v>
      </c>
      <c r="L321" s="358">
        <f t="shared" ca="1" si="218"/>
        <v>0</v>
      </c>
      <c r="M321" s="358">
        <f t="shared" ca="1" si="218"/>
        <v>0</v>
      </c>
      <c r="N321" s="358">
        <f t="shared" ca="1" si="218"/>
        <v>0</v>
      </c>
      <c r="O321" s="358">
        <f t="shared" ca="1" si="218"/>
        <v>0</v>
      </c>
      <c r="P321" s="358">
        <f t="shared" ca="1" si="218"/>
        <v>0</v>
      </c>
      <c r="Q321" s="358">
        <f t="shared" ca="1" si="219"/>
        <v>0</v>
      </c>
      <c r="R321" s="358">
        <f t="shared" ca="1" si="219"/>
        <v>0</v>
      </c>
      <c r="S321" s="358">
        <f t="shared" ca="1" si="219"/>
        <v>0</v>
      </c>
      <c r="T321" s="358">
        <f t="shared" ca="1" si="219"/>
        <v>0</v>
      </c>
      <c r="U321" s="358">
        <f t="shared" ca="1" si="219"/>
        <v>0</v>
      </c>
      <c r="V321" s="358">
        <f t="shared" ca="1" si="219"/>
        <v>0</v>
      </c>
      <c r="W321" s="358">
        <f t="shared" ca="1" si="219"/>
        <v>0</v>
      </c>
      <c r="X321" s="358">
        <f t="shared" ca="1" si="219"/>
        <v>0</v>
      </c>
      <c r="Y321" s="358">
        <f t="shared" ca="1" si="219"/>
        <v>0</v>
      </c>
      <c r="Z321" s="358">
        <f t="shared" ca="1" si="219"/>
        <v>0</v>
      </c>
      <c r="AA321" s="358">
        <f t="shared" ca="1" si="220"/>
        <v>0</v>
      </c>
      <c r="AB321" s="358">
        <f t="shared" ca="1" si="220"/>
        <v>0</v>
      </c>
      <c r="AC321" s="358">
        <f t="shared" ca="1" si="220"/>
        <v>0</v>
      </c>
      <c r="AD321" s="358">
        <f t="shared" ca="1" si="220"/>
        <v>0</v>
      </c>
      <c r="AE321" s="358">
        <f t="shared" ca="1" si="220"/>
        <v>0</v>
      </c>
      <c r="AF321" s="358">
        <f t="shared" ca="1" si="220"/>
        <v>0</v>
      </c>
      <c r="AG321" s="358">
        <f t="shared" ca="1" si="220"/>
        <v>0</v>
      </c>
      <c r="AH321" s="358">
        <f t="shared" ca="1" si="220"/>
        <v>0</v>
      </c>
      <c r="AI321" s="358">
        <f t="shared" ca="1" si="220"/>
        <v>0</v>
      </c>
      <c r="AJ321" s="358">
        <f t="shared" ca="1" si="220"/>
        <v>0</v>
      </c>
      <c r="AK321" s="358">
        <f t="shared" ca="1" si="221"/>
        <v>0</v>
      </c>
      <c r="AL321" s="358">
        <f t="shared" ca="1" si="221"/>
        <v>0</v>
      </c>
      <c r="AM321" s="358">
        <f t="shared" ca="1" si="221"/>
        <v>0</v>
      </c>
      <c r="AN321" s="358">
        <f t="shared" ca="1" si="221"/>
        <v>0</v>
      </c>
      <c r="AO321" s="358">
        <f t="shared" ca="1" si="221"/>
        <v>0</v>
      </c>
      <c r="AP321" s="358">
        <f t="shared" ca="1" si="221"/>
        <v>0</v>
      </c>
      <c r="AQ321" s="358">
        <f t="shared" ca="1" si="221"/>
        <v>0</v>
      </c>
      <c r="AR321" s="358">
        <f t="shared" ca="1" si="221"/>
        <v>0</v>
      </c>
      <c r="AS321" s="358">
        <f t="shared" ca="1" si="221"/>
        <v>0</v>
      </c>
      <c r="AT321" s="358">
        <f t="shared" ca="1" si="221"/>
        <v>0</v>
      </c>
      <c r="AV321" s="358">
        <f t="shared" ca="1" si="206"/>
        <v>0</v>
      </c>
      <c r="AX321" s="358">
        <f t="shared" ca="1" si="207"/>
        <v>0</v>
      </c>
      <c r="AZ321" s="358">
        <f t="shared" ca="1" si="208"/>
        <v>0</v>
      </c>
      <c r="BB321" s="358">
        <f t="shared" ca="1" si="209"/>
        <v>0</v>
      </c>
      <c r="BD321" s="358">
        <f t="shared" ca="1" si="210"/>
        <v>0</v>
      </c>
      <c r="BF321" s="358">
        <f t="shared" ca="1" si="211"/>
        <v>0</v>
      </c>
      <c r="BH321" s="358">
        <f t="shared" ca="1" si="212"/>
        <v>0</v>
      </c>
    </row>
    <row r="322" spans="1:60" hidden="1" outlineLevel="1">
      <c r="A322" s="1464">
        <f t="shared" si="222"/>
        <v>18</v>
      </c>
      <c r="B322" s="1464">
        <f t="shared" si="223"/>
        <v>30</v>
      </c>
      <c r="C322" s="1464">
        <f t="shared" si="224"/>
        <v>8</v>
      </c>
      <c r="D322" s="1271" t="str">
        <f ca="1">IF(OFFSET(PortfolioDashboard!$A$3,C322-1,0)="","Blank",OFFSET(PortfolioDashboard!$A$3,C322-1,0))</f>
        <v>Green IT</v>
      </c>
      <c r="E322" s="1464" t="str">
        <f t="shared" si="225"/>
        <v>2010$</v>
      </c>
      <c r="F322" s="1460">
        <f t="shared" ca="1" si="226"/>
        <v>0</v>
      </c>
      <c r="G322" s="358">
        <f t="shared" ca="1" si="218"/>
        <v>0</v>
      </c>
      <c r="H322" s="358">
        <f t="shared" ca="1" si="218"/>
        <v>0</v>
      </c>
      <c r="I322" s="358">
        <f t="shared" ca="1" si="218"/>
        <v>0</v>
      </c>
      <c r="J322" s="358">
        <f t="shared" ca="1" si="218"/>
        <v>0</v>
      </c>
      <c r="K322" s="358">
        <f t="shared" ca="1" si="218"/>
        <v>0</v>
      </c>
      <c r="L322" s="358">
        <f t="shared" ca="1" si="218"/>
        <v>0</v>
      </c>
      <c r="M322" s="358">
        <f t="shared" ca="1" si="218"/>
        <v>0</v>
      </c>
      <c r="N322" s="358">
        <f t="shared" ca="1" si="218"/>
        <v>0</v>
      </c>
      <c r="O322" s="358">
        <f t="shared" ca="1" si="218"/>
        <v>0</v>
      </c>
      <c r="P322" s="358">
        <f t="shared" ca="1" si="218"/>
        <v>0</v>
      </c>
      <c r="Q322" s="358">
        <f t="shared" ca="1" si="219"/>
        <v>0</v>
      </c>
      <c r="R322" s="358">
        <f t="shared" ca="1" si="219"/>
        <v>0</v>
      </c>
      <c r="S322" s="358">
        <f t="shared" ca="1" si="219"/>
        <v>0</v>
      </c>
      <c r="T322" s="358">
        <f t="shared" ca="1" si="219"/>
        <v>0</v>
      </c>
      <c r="U322" s="358">
        <f t="shared" ca="1" si="219"/>
        <v>0</v>
      </c>
      <c r="V322" s="358">
        <f t="shared" ca="1" si="219"/>
        <v>0</v>
      </c>
      <c r="W322" s="358">
        <f t="shared" ca="1" si="219"/>
        <v>0</v>
      </c>
      <c r="X322" s="358">
        <f t="shared" ca="1" si="219"/>
        <v>0</v>
      </c>
      <c r="Y322" s="358">
        <f t="shared" ca="1" si="219"/>
        <v>0</v>
      </c>
      <c r="Z322" s="358">
        <f t="shared" ca="1" si="219"/>
        <v>0</v>
      </c>
      <c r="AA322" s="358">
        <f t="shared" ca="1" si="220"/>
        <v>0</v>
      </c>
      <c r="AB322" s="358">
        <f t="shared" ca="1" si="220"/>
        <v>0</v>
      </c>
      <c r="AC322" s="358">
        <f t="shared" ca="1" si="220"/>
        <v>0</v>
      </c>
      <c r="AD322" s="358">
        <f t="shared" ca="1" si="220"/>
        <v>0</v>
      </c>
      <c r="AE322" s="358">
        <f t="shared" ca="1" si="220"/>
        <v>0</v>
      </c>
      <c r="AF322" s="358">
        <f t="shared" ca="1" si="220"/>
        <v>0</v>
      </c>
      <c r="AG322" s="358">
        <f t="shared" ca="1" si="220"/>
        <v>0</v>
      </c>
      <c r="AH322" s="358">
        <f t="shared" ca="1" si="220"/>
        <v>0</v>
      </c>
      <c r="AI322" s="358">
        <f t="shared" ca="1" si="220"/>
        <v>0</v>
      </c>
      <c r="AJ322" s="358">
        <f t="shared" ca="1" si="220"/>
        <v>0</v>
      </c>
      <c r="AK322" s="358">
        <f t="shared" ca="1" si="221"/>
        <v>0</v>
      </c>
      <c r="AL322" s="358">
        <f t="shared" ca="1" si="221"/>
        <v>0</v>
      </c>
      <c r="AM322" s="358">
        <f t="shared" ca="1" si="221"/>
        <v>0</v>
      </c>
      <c r="AN322" s="358">
        <f t="shared" ca="1" si="221"/>
        <v>0</v>
      </c>
      <c r="AO322" s="358">
        <f t="shared" ca="1" si="221"/>
        <v>0</v>
      </c>
      <c r="AP322" s="358">
        <f t="shared" ca="1" si="221"/>
        <v>0</v>
      </c>
      <c r="AQ322" s="358">
        <f t="shared" ca="1" si="221"/>
        <v>0</v>
      </c>
      <c r="AR322" s="358">
        <f t="shared" ca="1" si="221"/>
        <v>0</v>
      </c>
      <c r="AS322" s="358">
        <f t="shared" ca="1" si="221"/>
        <v>0</v>
      </c>
      <c r="AT322" s="358">
        <f t="shared" ca="1" si="221"/>
        <v>0</v>
      </c>
      <c r="AV322" s="358">
        <f t="shared" ca="1" si="206"/>
        <v>0</v>
      </c>
      <c r="AX322" s="358">
        <f t="shared" ca="1" si="207"/>
        <v>0</v>
      </c>
      <c r="AZ322" s="358">
        <f t="shared" ca="1" si="208"/>
        <v>0</v>
      </c>
      <c r="BB322" s="358">
        <f t="shared" ca="1" si="209"/>
        <v>0</v>
      </c>
      <c r="BD322" s="358">
        <f t="shared" ca="1" si="210"/>
        <v>0</v>
      </c>
      <c r="BF322" s="358">
        <f t="shared" ca="1" si="211"/>
        <v>0</v>
      </c>
      <c r="BH322" s="358">
        <f t="shared" ca="1" si="212"/>
        <v>0</v>
      </c>
    </row>
    <row r="323" spans="1:60" hidden="1" outlineLevel="1">
      <c r="A323" s="1464">
        <f t="shared" si="222"/>
        <v>18</v>
      </c>
      <c r="B323" s="1464">
        <f t="shared" si="223"/>
        <v>30</v>
      </c>
      <c r="C323" s="1464">
        <f t="shared" si="224"/>
        <v>9</v>
      </c>
      <c r="D323" s="1271" t="str">
        <f ca="1">IF(OFFSET(PortfolioDashboard!$A$3,C323-1,0)="","Blank",OFFSET(PortfolioDashboard!$A$3,C323-1,0))</f>
        <v>Reduced Air Travel</v>
      </c>
      <c r="E323" s="1464" t="str">
        <f t="shared" si="225"/>
        <v>2010$</v>
      </c>
      <c r="F323" s="1460">
        <f t="shared" ca="1" si="226"/>
        <v>0</v>
      </c>
      <c r="G323" s="358">
        <f t="shared" ca="1" si="218"/>
        <v>0</v>
      </c>
      <c r="H323" s="358">
        <f t="shared" ca="1" si="218"/>
        <v>0</v>
      </c>
      <c r="I323" s="358">
        <f t="shared" ca="1" si="218"/>
        <v>0</v>
      </c>
      <c r="J323" s="358">
        <f t="shared" ca="1" si="218"/>
        <v>0</v>
      </c>
      <c r="K323" s="358">
        <f t="shared" ca="1" si="218"/>
        <v>0</v>
      </c>
      <c r="L323" s="358">
        <f t="shared" ca="1" si="218"/>
        <v>0</v>
      </c>
      <c r="M323" s="358">
        <f t="shared" ca="1" si="218"/>
        <v>0</v>
      </c>
      <c r="N323" s="358">
        <f t="shared" ca="1" si="218"/>
        <v>0</v>
      </c>
      <c r="O323" s="358">
        <f t="shared" ca="1" si="218"/>
        <v>0</v>
      </c>
      <c r="P323" s="358">
        <f t="shared" ca="1" si="218"/>
        <v>0</v>
      </c>
      <c r="Q323" s="358">
        <f t="shared" ca="1" si="219"/>
        <v>0</v>
      </c>
      <c r="R323" s="358">
        <f t="shared" ca="1" si="219"/>
        <v>0</v>
      </c>
      <c r="S323" s="358">
        <f t="shared" ca="1" si="219"/>
        <v>0</v>
      </c>
      <c r="T323" s="358">
        <f t="shared" ca="1" si="219"/>
        <v>0</v>
      </c>
      <c r="U323" s="358">
        <f t="shared" ca="1" si="219"/>
        <v>0</v>
      </c>
      <c r="V323" s="358">
        <f t="shared" ca="1" si="219"/>
        <v>0</v>
      </c>
      <c r="W323" s="358">
        <f t="shared" ca="1" si="219"/>
        <v>0</v>
      </c>
      <c r="X323" s="358">
        <f t="shared" ca="1" si="219"/>
        <v>0</v>
      </c>
      <c r="Y323" s="358">
        <f t="shared" ca="1" si="219"/>
        <v>0</v>
      </c>
      <c r="Z323" s="358">
        <f t="shared" ca="1" si="219"/>
        <v>0</v>
      </c>
      <c r="AA323" s="358">
        <f t="shared" ca="1" si="220"/>
        <v>0</v>
      </c>
      <c r="AB323" s="358">
        <f t="shared" ca="1" si="220"/>
        <v>0</v>
      </c>
      <c r="AC323" s="358">
        <f t="shared" ca="1" si="220"/>
        <v>0</v>
      </c>
      <c r="AD323" s="358">
        <f t="shared" ca="1" si="220"/>
        <v>0</v>
      </c>
      <c r="AE323" s="358">
        <f t="shared" ca="1" si="220"/>
        <v>0</v>
      </c>
      <c r="AF323" s="358">
        <f t="shared" ca="1" si="220"/>
        <v>0</v>
      </c>
      <c r="AG323" s="358">
        <f t="shared" ca="1" si="220"/>
        <v>0</v>
      </c>
      <c r="AH323" s="358">
        <f t="shared" ca="1" si="220"/>
        <v>0</v>
      </c>
      <c r="AI323" s="358">
        <f t="shared" ca="1" si="220"/>
        <v>0</v>
      </c>
      <c r="AJ323" s="358">
        <f t="shared" ca="1" si="220"/>
        <v>0</v>
      </c>
      <c r="AK323" s="358">
        <f t="shared" ca="1" si="221"/>
        <v>0</v>
      </c>
      <c r="AL323" s="358">
        <f t="shared" ca="1" si="221"/>
        <v>0</v>
      </c>
      <c r="AM323" s="358">
        <f t="shared" ca="1" si="221"/>
        <v>0</v>
      </c>
      <c r="AN323" s="358">
        <f t="shared" ca="1" si="221"/>
        <v>0</v>
      </c>
      <c r="AO323" s="358">
        <f t="shared" ca="1" si="221"/>
        <v>0</v>
      </c>
      <c r="AP323" s="358">
        <f t="shared" ca="1" si="221"/>
        <v>0</v>
      </c>
      <c r="AQ323" s="358">
        <f t="shared" ca="1" si="221"/>
        <v>0</v>
      </c>
      <c r="AR323" s="358">
        <f t="shared" ca="1" si="221"/>
        <v>0</v>
      </c>
      <c r="AS323" s="358">
        <f t="shared" ca="1" si="221"/>
        <v>0</v>
      </c>
      <c r="AT323" s="358">
        <f t="shared" ca="1" si="221"/>
        <v>0</v>
      </c>
      <c r="AV323" s="358">
        <f t="shared" ca="1" si="206"/>
        <v>0</v>
      </c>
      <c r="AX323" s="358">
        <f t="shared" ca="1" si="207"/>
        <v>0</v>
      </c>
      <c r="AZ323" s="358">
        <f t="shared" ca="1" si="208"/>
        <v>0</v>
      </c>
      <c r="BB323" s="358">
        <f t="shared" ca="1" si="209"/>
        <v>0</v>
      </c>
      <c r="BD323" s="358">
        <f t="shared" ca="1" si="210"/>
        <v>0</v>
      </c>
      <c r="BF323" s="358">
        <f t="shared" ca="1" si="211"/>
        <v>0</v>
      </c>
      <c r="BH323" s="358">
        <f t="shared" ca="1" si="212"/>
        <v>0</v>
      </c>
    </row>
    <row r="324" spans="1:60" hidden="1" outlineLevel="1">
      <c r="A324" s="1464">
        <f t="shared" si="222"/>
        <v>18</v>
      </c>
      <c r="B324" s="1464">
        <f t="shared" si="223"/>
        <v>30</v>
      </c>
      <c r="C324" s="1464">
        <f t="shared" si="224"/>
        <v>10</v>
      </c>
      <c r="D324" s="1271" t="str">
        <f ca="1">IF(OFFSET(PortfolioDashboard!$A$3,C324-1,0)="","Blank",OFFSET(PortfolioDashboard!$A$3,C324-1,0))</f>
        <v>Reduced Automobile Reliance Strategies</v>
      </c>
      <c r="E324" s="1464" t="str">
        <f t="shared" si="225"/>
        <v>2010$</v>
      </c>
      <c r="F324" s="1460">
        <f t="shared" ca="1" si="226"/>
        <v>0</v>
      </c>
      <c r="G324" s="358">
        <f t="shared" ca="1" si="218"/>
        <v>0</v>
      </c>
      <c r="H324" s="358">
        <f t="shared" ca="1" si="218"/>
        <v>0</v>
      </c>
      <c r="I324" s="358">
        <f t="shared" ca="1" si="218"/>
        <v>0</v>
      </c>
      <c r="J324" s="358">
        <f t="shared" ca="1" si="218"/>
        <v>0</v>
      </c>
      <c r="K324" s="358">
        <f t="shared" ca="1" si="218"/>
        <v>0</v>
      </c>
      <c r="L324" s="358">
        <f t="shared" ca="1" si="218"/>
        <v>0</v>
      </c>
      <c r="M324" s="358">
        <f t="shared" ca="1" si="218"/>
        <v>0</v>
      </c>
      <c r="N324" s="358">
        <f t="shared" ca="1" si="218"/>
        <v>0</v>
      </c>
      <c r="O324" s="358">
        <f t="shared" ca="1" si="218"/>
        <v>0</v>
      </c>
      <c r="P324" s="358">
        <f t="shared" ca="1" si="218"/>
        <v>0</v>
      </c>
      <c r="Q324" s="358">
        <f t="shared" ca="1" si="219"/>
        <v>0</v>
      </c>
      <c r="R324" s="358">
        <f t="shared" ca="1" si="219"/>
        <v>0</v>
      </c>
      <c r="S324" s="358">
        <f t="shared" ca="1" si="219"/>
        <v>0</v>
      </c>
      <c r="T324" s="358">
        <f t="shared" ca="1" si="219"/>
        <v>0</v>
      </c>
      <c r="U324" s="358">
        <f t="shared" ca="1" si="219"/>
        <v>0</v>
      </c>
      <c r="V324" s="358">
        <f t="shared" ca="1" si="219"/>
        <v>0</v>
      </c>
      <c r="W324" s="358">
        <f t="shared" ca="1" si="219"/>
        <v>0</v>
      </c>
      <c r="X324" s="358">
        <f t="shared" ca="1" si="219"/>
        <v>0</v>
      </c>
      <c r="Y324" s="358">
        <f t="shared" ca="1" si="219"/>
        <v>0</v>
      </c>
      <c r="Z324" s="358">
        <f t="shared" ca="1" si="219"/>
        <v>0</v>
      </c>
      <c r="AA324" s="358">
        <f t="shared" ca="1" si="220"/>
        <v>0</v>
      </c>
      <c r="AB324" s="358">
        <f t="shared" ca="1" si="220"/>
        <v>0</v>
      </c>
      <c r="AC324" s="358">
        <f t="shared" ca="1" si="220"/>
        <v>0</v>
      </c>
      <c r="AD324" s="358">
        <f t="shared" ca="1" si="220"/>
        <v>0</v>
      </c>
      <c r="AE324" s="358">
        <f t="shared" ca="1" si="220"/>
        <v>0</v>
      </c>
      <c r="AF324" s="358">
        <f t="shared" ca="1" si="220"/>
        <v>0</v>
      </c>
      <c r="AG324" s="358">
        <f t="shared" ca="1" si="220"/>
        <v>0</v>
      </c>
      <c r="AH324" s="358">
        <f t="shared" ca="1" si="220"/>
        <v>0</v>
      </c>
      <c r="AI324" s="358">
        <f t="shared" ca="1" si="220"/>
        <v>0</v>
      </c>
      <c r="AJ324" s="358">
        <f t="shared" ca="1" si="220"/>
        <v>0</v>
      </c>
      <c r="AK324" s="358">
        <f t="shared" ca="1" si="221"/>
        <v>0</v>
      </c>
      <c r="AL324" s="358">
        <f t="shared" ca="1" si="221"/>
        <v>0</v>
      </c>
      <c r="AM324" s="358">
        <f t="shared" ca="1" si="221"/>
        <v>0</v>
      </c>
      <c r="AN324" s="358">
        <f t="shared" ca="1" si="221"/>
        <v>0</v>
      </c>
      <c r="AO324" s="358">
        <f t="shared" ca="1" si="221"/>
        <v>0</v>
      </c>
      <c r="AP324" s="358">
        <f t="shared" ca="1" si="221"/>
        <v>0</v>
      </c>
      <c r="AQ324" s="358">
        <f t="shared" ca="1" si="221"/>
        <v>0</v>
      </c>
      <c r="AR324" s="358">
        <f t="shared" ca="1" si="221"/>
        <v>0</v>
      </c>
      <c r="AS324" s="358">
        <f t="shared" ca="1" si="221"/>
        <v>0</v>
      </c>
      <c r="AT324" s="358">
        <f t="shared" ca="1" si="221"/>
        <v>0</v>
      </c>
      <c r="AV324" s="358">
        <f t="shared" ca="1" si="206"/>
        <v>0</v>
      </c>
      <c r="AX324" s="358">
        <f t="shared" ca="1" si="207"/>
        <v>0</v>
      </c>
      <c r="AZ324" s="358">
        <f t="shared" ca="1" si="208"/>
        <v>0</v>
      </c>
      <c r="BB324" s="358">
        <f t="shared" ca="1" si="209"/>
        <v>0</v>
      </c>
      <c r="BD324" s="358">
        <f t="shared" ca="1" si="210"/>
        <v>0</v>
      </c>
      <c r="BF324" s="358">
        <f t="shared" ca="1" si="211"/>
        <v>0</v>
      </c>
      <c r="BH324" s="358">
        <f t="shared" ca="1" si="212"/>
        <v>0</v>
      </c>
    </row>
    <row r="325" spans="1:60" hidden="1" outlineLevel="1">
      <c r="A325" s="1464">
        <f t="shared" si="222"/>
        <v>18</v>
      </c>
      <c r="B325" s="1464">
        <f t="shared" si="223"/>
        <v>30</v>
      </c>
      <c r="C325" s="1464">
        <f t="shared" si="224"/>
        <v>11</v>
      </c>
      <c r="D325" s="1271" t="str">
        <f ca="1">IF(OFFSET(PortfolioDashboard!$A$3,C325-1,0)="","Blank",OFFSET(PortfolioDashboard!$A$3,C325-1,0))</f>
        <v>Waste Reduction</v>
      </c>
      <c r="E325" s="1464" t="str">
        <f t="shared" si="225"/>
        <v>2010$</v>
      </c>
      <c r="F325" s="1460">
        <f t="shared" ca="1" si="226"/>
        <v>0</v>
      </c>
      <c r="G325" s="358">
        <f t="shared" ref="G325:P334" ca="1" si="227">IFERROR(OFFSET(INDIRECT(INDEX(List_of_Alternatives,MATCH($D325,NameofAlternatives,0))),$A325+G$1-$G$1,$B325),0)</f>
        <v>0</v>
      </c>
      <c r="H325" s="358">
        <f t="shared" ca="1" si="227"/>
        <v>0</v>
      </c>
      <c r="I325" s="358">
        <f t="shared" ca="1" si="227"/>
        <v>0</v>
      </c>
      <c r="J325" s="358">
        <f t="shared" ca="1" si="227"/>
        <v>0</v>
      </c>
      <c r="K325" s="358">
        <f t="shared" ca="1" si="227"/>
        <v>0</v>
      </c>
      <c r="L325" s="358">
        <f t="shared" ca="1" si="227"/>
        <v>0</v>
      </c>
      <c r="M325" s="358">
        <f t="shared" ca="1" si="227"/>
        <v>0</v>
      </c>
      <c r="N325" s="358">
        <f t="shared" ca="1" si="227"/>
        <v>0</v>
      </c>
      <c r="O325" s="358">
        <f t="shared" ca="1" si="227"/>
        <v>0</v>
      </c>
      <c r="P325" s="358">
        <f t="shared" ca="1" si="227"/>
        <v>0</v>
      </c>
      <c r="Q325" s="358">
        <f t="shared" ref="Q325:Z334" ca="1" si="228">IFERROR(OFFSET(INDIRECT(INDEX(List_of_Alternatives,MATCH($D325,NameofAlternatives,0))),$A325+Q$1-$G$1,$B325),0)</f>
        <v>0</v>
      </c>
      <c r="R325" s="358">
        <f t="shared" ca="1" si="228"/>
        <v>0</v>
      </c>
      <c r="S325" s="358">
        <f t="shared" ca="1" si="228"/>
        <v>0</v>
      </c>
      <c r="T325" s="358">
        <f t="shared" ca="1" si="228"/>
        <v>0</v>
      </c>
      <c r="U325" s="358">
        <f t="shared" ca="1" si="228"/>
        <v>0</v>
      </c>
      <c r="V325" s="358">
        <f t="shared" ca="1" si="228"/>
        <v>0</v>
      </c>
      <c r="W325" s="358">
        <f t="shared" ca="1" si="228"/>
        <v>0</v>
      </c>
      <c r="X325" s="358">
        <f t="shared" ca="1" si="228"/>
        <v>0</v>
      </c>
      <c r="Y325" s="358">
        <f t="shared" ca="1" si="228"/>
        <v>0</v>
      </c>
      <c r="Z325" s="358">
        <f t="shared" ca="1" si="228"/>
        <v>0</v>
      </c>
      <c r="AA325" s="358">
        <f t="shared" ref="AA325:AJ334" ca="1" si="229">IFERROR(OFFSET(INDIRECT(INDEX(List_of_Alternatives,MATCH($D325,NameofAlternatives,0))),$A325+AA$1-$G$1,$B325),0)</f>
        <v>0</v>
      </c>
      <c r="AB325" s="358">
        <f t="shared" ca="1" si="229"/>
        <v>0</v>
      </c>
      <c r="AC325" s="358">
        <f t="shared" ca="1" si="229"/>
        <v>0</v>
      </c>
      <c r="AD325" s="358">
        <f t="shared" ca="1" si="229"/>
        <v>0</v>
      </c>
      <c r="AE325" s="358">
        <f t="shared" ca="1" si="229"/>
        <v>0</v>
      </c>
      <c r="AF325" s="358">
        <f t="shared" ca="1" si="229"/>
        <v>0</v>
      </c>
      <c r="AG325" s="358">
        <f t="shared" ca="1" si="229"/>
        <v>0</v>
      </c>
      <c r="AH325" s="358">
        <f t="shared" ca="1" si="229"/>
        <v>0</v>
      </c>
      <c r="AI325" s="358">
        <f t="shared" ca="1" si="229"/>
        <v>0</v>
      </c>
      <c r="AJ325" s="358">
        <f t="shared" ca="1" si="229"/>
        <v>0</v>
      </c>
      <c r="AK325" s="358">
        <f t="shared" ref="AK325:AT334" ca="1" si="230">IFERROR(OFFSET(INDIRECT(INDEX(List_of_Alternatives,MATCH($D325,NameofAlternatives,0))),$A325+AK$1-$G$1,$B325),0)</f>
        <v>0</v>
      </c>
      <c r="AL325" s="358">
        <f t="shared" ca="1" si="230"/>
        <v>0</v>
      </c>
      <c r="AM325" s="358">
        <f t="shared" ca="1" si="230"/>
        <v>0</v>
      </c>
      <c r="AN325" s="358">
        <f t="shared" ca="1" si="230"/>
        <v>0</v>
      </c>
      <c r="AO325" s="358">
        <f t="shared" ca="1" si="230"/>
        <v>0</v>
      </c>
      <c r="AP325" s="358">
        <f t="shared" ca="1" si="230"/>
        <v>0</v>
      </c>
      <c r="AQ325" s="358">
        <f t="shared" ca="1" si="230"/>
        <v>0</v>
      </c>
      <c r="AR325" s="358">
        <f t="shared" ca="1" si="230"/>
        <v>0</v>
      </c>
      <c r="AS325" s="358">
        <f t="shared" ca="1" si="230"/>
        <v>0</v>
      </c>
      <c r="AT325" s="358">
        <f t="shared" ca="1" si="230"/>
        <v>0</v>
      </c>
      <c r="AV325" s="358">
        <f t="shared" ca="1" si="206"/>
        <v>0</v>
      </c>
      <c r="AX325" s="358">
        <f t="shared" ca="1" si="207"/>
        <v>0</v>
      </c>
      <c r="AZ325" s="358">
        <f t="shared" ca="1" si="208"/>
        <v>0</v>
      </c>
      <c r="BB325" s="358">
        <f t="shared" ca="1" si="209"/>
        <v>0</v>
      </c>
      <c r="BD325" s="358">
        <f t="shared" ca="1" si="210"/>
        <v>0</v>
      </c>
      <c r="BF325" s="358">
        <f t="shared" ca="1" si="211"/>
        <v>0</v>
      </c>
      <c r="BH325" s="358">
        <f t="shared" ca="1" si="212"/>
        <v>0</v>
      </c>
    </row>
    <row r="326" spans="1:60" hidden="1" outlineLevel="1">
      <c r="A326" s="1464">
        <f t="shared" si="222"/>
        <v>18</v>
      </c>
      <c r="B326" s="1464">
        <f t="shared" si="223"/>
        <v>30</v>
      </c>
      <c r="C326" s="1464">
        <f t="shared" si="224"/>
        <v>12</v>
      </c>
      <c r="D326" s="1271" t="str">
        <f ca="1">IF(OFFSET(PortfolioDashboard!$A$3,C326-1,0)="","Blank",OFFSET(PortfolioDashboard!$A$3,C326-1,0))</f>
        <v>Steam Line Improvements</v>
      </c>
      <c r="E326" s="1464" t="str">
        <f t="shared" si="225"/>
        <v>2010$</v>
      </c>
      <c r="F326" s="1460">
        <f t="shared" ca="1" si="226"/>
        <v>0</v>
      </c>
      <c r="G326" s="358">
        <f t="shared" ca="1" si="227"/>
        <v>0</v>
      </c>
      <c r="H326" s="358">
        <f t="shared" ca="1" si="227"/>
        <v>0</v>
      </c>
      <c r="I326" s="358">
        <f t="shared" ca="1" si="227"/>
        <v>0</v>
      </c>
      <c r="J326" s="358">
        <f t="shared" ca="1" si="227"/>
        <v>0</v>
      </c>
      <c r="K326" s="358">
        <f t="shared" ca="1" si="227"/>
        <v>0</v>
      </c>
      <c r="L326" s="358">
        <f t="shared" ca="1" si="227"/>
        <v>0</v>
      </c>
      <c r="M326" s="358">
        <f t="shared" ca="1" si="227"/>
        <v>0</v>
      </c>
      <c r="N326" s="358">
        <f t="shared" ca="1" si="227"/>
        <v>0</v>
      </c>
      <c r="O326" s="358">
        <f t="shared" ca="1" si="227"/>
        <v>0</v>
      </c>
      <c r="P326" s="358">
        <f t="shared" ca="1" si="227"/>
        <v>0</v>
      </c>
      <c r="Q326" s="358">
        <f t="shared" ca="1" si="228"/>
        <v>0</v>
      </c>
      <c r="R326" s="358">
        <f t="shared" ca="1" si="228"/>
        <v>0</v>
      </c>
      <c r="S326" s="358">
        <f t="shared" ca="1" si="228"/>
        <v>0</v>
      </c>
      <c r="T326" s="358">
        <f t="shared" ca="1" si="228"/>
        <v>0</v>
      </c>
      <c r="U326" s="358">
        <f t="shared" ca="1" si="228"/>
        <v>0</v>
      </c>
      <c r="V326" s="358">
        <f t="shared" ca="1" si="228"/>
        <v>0</v>
      </c>
      <c r="W326" s="358">
        <f t="shared" ca="1" si="228"/>
        <v>0</v>
      </c>
      <c r="X326" s="358">
        <f t="shared" ca="1" si="228"/>
        <v>0</v>
      </c>
      <c r="Y326" s="358">
        <f t="shared" ca="1" si="228"/>
        <v>0</v>
      </c>
      <c r="Z326" s="358">
        <f t="shared" ca="1" si="228"/>
        <v>0</v>
      </c>
      <c r="AA326" s="358">
        <f t="shared" ca="1" si="229"/>
        <v>0</v>
      </c>
      <c r="AB326" s="358">
        <f t="shared" ca="1" si="229"/>
        <v>0</v>
      </c>
      <c r="AC326" s="358">
        <f t="shared" ca="1" si="229"/>
        <v>0</v>
      </c>
      <c r="AD326" s="358">
        <f t="shared" ca="1" si="229"/>
        <v>0</v>
      </c>
      <c r="AE326" s="358">
        <f t="shared" ca="1" si="229"/>
        <v>0</v>
      </c>
      <c r="AF326" s="358">
        <f t="shared" ca="1" si="229"/>
        <v>0</v>
      </c>
      <c r="AG326" s="358">
        <f t="shared" ca="1" si="229"/>
        <v>0</v>
      </c>
      <c r="AH326" s="358">
        <f t="shared" ca="1" si="229"/>
        <v>0</v>
      </c>
      <c r="AI326" s="358">
        <f t="shared" ca="1" si="229"/>
        <v>0</v>
      </c>
      <c r="AJ326" s="358">
        <f t="shared" ca="1" si="229"/>
        <v>0</v>
      </c>
      <c r="AK326" s="358">
        <f t="shared" ca="1" si="230"/>
        <v>0</v>
      </c>
      <c r="AL326" s="358">
        <f t="shared" ca="1" si="230"/>
        <v>0</v>
      </c>
      <c r="AM326" s="358">
        <f t="shared" ca="1" si="230"/>
        <v>0</v>
      </c>
      <c r="AN326" s="358">
        <f t="shared" ca="1" si="230"/>
        <v>0</v>
      </c>
      <c r="AO326" s="358">
        <f t="shared" ca="1" si="230"/>
        <v>0</v>
      </c>
      <c r="AP326" s="358">
        <f t="shared" ca="1" si="230"/>
        <v>0</v>
      </c>
      <c r="AQ326" s="358">
        <f t="shared" ca="1" si="230"/>
        <v>0</v>
      </c>
      <c r="AR326" s="358">
        <f t="shared" ca="1" si="230"/>
        <v>0</v>
      </c>
      <c r="AS326" s="358">
        <f t="shared" ca="1" si="230"/>
        <v>0</v>
      </c>
      <c r="AT326" s="358">
        <f t="shared" ca="1" si="230"/>
        <v>0</v>
      </c>
      <c r="AV326" s="358">
        <f t="shared" ca="1" si="206"/>
        <v>0</v>
      </c>
      <c r="AX326" s="358">
        <f t="shared" ca="1" si="207"/>
        <v>0</v>
      </c>
      <c r="AZ326" s="358">
        <f t="shared" ca="1" si="208"/>
        <v>0</v>
      </c>
      <c r="BB326" s="358">
        <f t="shared" ca="1" si="209"/>
        <v>0</v>
      </c>
      <c r="BD326" s="358">
        <f t="shared" ca="1" si="210"/>
        <v>0</v>
      </c>
      <c r="BF326" s="358">
        <f t="shared" ca="1" si="211"/>
        <v>0</v>
      </c>
      <c r="BH326" s="358">
        <f t="shared" ca="1" si="212"/>
        <v>0</v>
      </c>
    </row>
    <row r="327" spans="1:60" hidden="1" outlineLevel="1">
      <c r="A327" s="1464">
        <f t="shared" si="222"/>
        <v>18</v>
      </c>
      <c r="B327" s="1464">
        <f t="shared" si="223"/>
        <v>30</v>
      </c>
      <c r="C327" s="1464">
        <f t="shared" si="224"/>
        <v>13</v>
      </c>
      <c r="D327" s="1271" t="str">
        <f ca="1">IF(OFFSET(PortfolioDashboard!$A$3,C327-1,0)="","Blank",OFFSET(PortfolioDashboard!$A$3,C327-1,0))</f>
        <v>Coal to Natural Gas Conversion @ Steam Plant</v>
      </c>
      <c r="E327" s="1464" t="str">
        <f t="shared" si="225"/>
        <v>2010$</v>
      </c>
      <c r="F327" s="1460">
        <f t="shared" ca="1" si="226"/>
        <v>0</v>
      </c>
      <c r="G327" s="358">
        <f t="shared" ca="1" si="227"/>
        <v>0</v>
      </c>
      <c r="H327" s="358">
        <f t="shared" ca="1" si="227"/>
        <v>0</v>
      </c>
      <c r="I327" s="358">
        <f t="shared" ca="1" si="227"/>
        <v>0</v>
      </c>
      <c r="J327" s="358">
        <f t="shared" ca="1" si="227"/>
        <v>0</v>
      </c>
      <c r="K327" s="358">
        <f t="shared" ca="1" si="227"/>
        <v>0</v>
      </c>
      <c r="L327" s="358">
        <f t="shared" ca="1" si="227"/>
        <v>0</v>
      </c>
      <c r="M327" s="358">
        <f t="shared" ca="1" si="227"/>
        <v>0</v>
      </c>
      <c r="N327" s="358">
        <f t="shared" ca="1" si="227"/>
        <v>0</v>
      </c>
      <c r="O327" s="358">
        <f t="shared" ca="1" si="227"/>
        <v>0</v>
      </c>
      <c r="P327" s="358">
        <f t="shared" ca="1" si="227"/>
        <v>0</v>
      </c>
      <c r="Q327" s="358">
        <f t="shared" ca="1" si="228"/>
        <v>0</v>
      </c>
      <c r="R327" s="358">
        <f t="shared" ca="1" si="228"/>
        <v>0</v>
      </c>
      <c r="S327" s="358">
        <f t="shared" ca="1" si="228"/>
        <v>0</v>
      </c>
      <c r="T327" s="358">
        <f t="shared" ca="1" si="228"/>
        <v>0</v>
      </c>
      <c r="U327" s="358">
        <f t="shared" ca="1" si="228"/>
        <v>0</v>
      </c>
      <c r="V327" s="358">
        <f t="shared" ca="1" si="228"/>
        <v>0</v>
      </c>
      <c r="W327" s="358">
        <f t="shared" ca="1" si="228"/>
        <v>0</v>
      </c>
      <c r="X327" s="358">
        <f t="shared" ca="1" si="228"/>
        <v>0</v>
      </c>
      <c r="Y327" s="358">
        <f t="shared" ca="1" si="228"/>
        <v>0</v>
      </c>
      <c r="Z327" s="358">
        <f t="shared" ca="1" si="228"/>
        <v>0</v>
      </c>
      <c r="AA327" s="358">
        <f t="shared" ca="1" si="229"/>
        <v>0</v>
      </c>
      <c r="AB327" s="358">
        <f t="shared" ca="1" si="229"/>
        <v>0</v>
      </c>
      <c r="AC327" s="358">
        <f t="shared" ca="1" si="229"/>
        <v>0</v>
      </c>
      <c r="AD327" s="358">
        <f t="shared" ca="1" si="229"/>
        <v>0</v>
      </c>
      <c r="AE327" s="358">
        <f t="shared" ca="1" si="229"/>
        <v>0</v>
      </c>
      <c r="AF327" s="358">
        <f t="shared" ca="1" si="229"/>
        <v>0</v>
      </c>
      <c r="AG327" s="358">
        <f t="shared" ca="1" si="229"/>
        <v>0</v>
      </c>
      <c r="AH327" s="358">
        <f t="shared" ca="1" si="229"/>
        <v>0</v>
      </c>
      <c r="AI327" s="358">
        <f t="shared" ca="1" si="229"/>
        <v>0</v>
      </c>
      <c r="AJ327" s="358">
        <f t="shared" ca="1" si="229"/>
        <v>0</v>
      </c>
      <c r="AK327" s="358">
        <f t="shared" ca="1" si="230"/>
        <v>0</v>
      </c>
      <c r="AL327" s="358">
        <f t="shared" ca="1" si="230"/>
        <v>0</v>
      </c>
      <c r="AM327" s="358">
        <f t="shared" ca="1" si="230"/>
        <v>0</v>
      </c>
      <c r="AN327" s="358">
        <f t="shared" ca="1" si="230"/>
        <v>0</v>
      </c>
      <c r="AO327" s="358">
        <f t="shared" ca="1" si="230"/>
        <v>0</v>
      </c>
      <c r="AP327" s="358">
        <f t="shared" ca="1" si="230"/>
        <v>0</v>
      </c>
      <c r="AQ327" s="358">
        <f t="shared" ca="1" si="230"/>
        <v>0</v>
      </c>
      <c r="AR327" s="358">
        <f t="shared" ca="1" si="230"/>
        <v>0</v>
      </c>
      <c r="AS327" s="358">
        <f t="shared" ca="1" si="230"/>
        <v>0</v>
      </c>
      <c r="AT327" s="358">
        <f t="shared" ca="1" si="230"/>
        <v>0</v>
      </c>
      <c r="AV327" s="358">
        <f t="shared" ca="1" si="206"/>
        <v>0</v>
      </c>
      <c r="AX327" s="358">
        <f t="shared" ca="1" si="207"/>
        <v>0</v>
      </c>
      <c r="AZ327" s="358">
        <f t="shared" ca="1" si="208"/>
        <v>0</v>
      </c>
      <c r="BB327" s="358">
        <f t="shared" ca="1" si="209"/>
        <v>0</v>
      </c>
      <c r="BD327" s="358">
        <f t="shared" ca="1" si="210"/>
        <v>0</v>
      </c>
      <c r="BF327" s="358">
        <f t="shared" ca="1" si="211"/>
        <v>0</v>
      </c>
      <c r="BH327" s="358">
        <f t="shared" ca="1" si="212"/>
        <v>0</v>
      </c>
    </row>
    <row r="328" spans="1:60" hidden="1" outlineLevel="1">
      <c r="A328" s="1464">
        <f t="shared" si="222"/>
        <v>18</v>
      </c>
      <c r="B328" s="1464">
        <f t="shared" si="223"/>
        <v>30</v>
      </c>
      <c r="C328" s="1464">
        <f t="shared" si="224"/>
        <v>14</v>
      </c>
      <c r="D328" s="1271" t="str">
        <f ca="1">IF(OFFSET(PortfolioDashboard!$A$3,C328-1,0)="","Blank",OFFSET(PortfolioDashboard!$A$3,C328-1,0))</f>
        <v>On-site Wind</v>
      </c>
      <c r="E328" s="1464" t="str">
        <f t="shared" si="225"/>
        <v>2010$</v>
      </c>
      <c r="F328" s="1460">
        <f t="shared" ca="1" si="226"/>
        <v>0</v>
      </c>
      <c r="G328" s="358">
        <f t="shared" ca="1" si="227"/>
        <v>0</v>
      </c>
      <c r="H328" s="358">
        <f t="shared" ca="1" si="227"/>
        <v>0</v>
      </c>
      <c r="I328" s="358">
        <f t="shared" ca="1" si="227"/>
        <v>0</v>
      </c>
      <c r="J328" s="358">
        <f t="shared" ca="1" si="227"/>
        <v>0</v>
      </c>
      <c r="K328" s="358">
        <f t="shared" ca="1" si="227"/>
        <v>0</v>
      </c>
      <c r="L328" s="358">
        <f t="shared" ca="1" si="227"/>
        <v>0</v>
      </c>
      <c r="M328" s="358">
        <f t="shared" ca="1" si="227"/>
        <v>0</v>
      </c>
      <c r="N328" s="358">
        <f t="shared" ca="1" si="227"/>
        <v>0</v>
      </c>
      <c r="O328" s="358">
        <f t="shared" ca="1" si="227"/>
        <v>0</v>
      </c>
      <c r="P328" s="358">
        <f t="shared" ca="1" si="227"/>
        <v>0</v>
      </c>
      <c r="Q328" s="358">
        <f t="shared" ca="1" si="228"/>
        <v>0</v>
      </c>
      <c r="R328" s="358">
        <f t="shared" ca="1" si="228"/>
        <v>0</v>
      </c>
      <c r="S328" s="358">
        <f t="shared" ca="1" si="228"/>
        <v>0</v>
      </c>
      <c r="T328" s="358">
        <f t="shared" ca="1" si="228"/>
        <v>0</v>
      </c>
      <c r="U328" s="358">
        <f t="shared" ca="1" si="228"/>
        <v>0</v>
      </c>
      <c r="V328" s="358">
        <f t="shared" ca="1" si="228"/>
        <v>0</v>
      </c>
      <c r="W328" s="358">
        <f t="shared" ca="1" si="228"/>
        <v>0</v>
      </c>
      <c r="X328" s="358">
        <f t="shared" ca="1" si="228"/>
        <v>0</v>
      </c>
      <c r="Y328" s="358">
        <f t="shared" ca="1" si="228"/>
        <v>0</v>
      </c>
      <c r="Z328" s="358">
        <f t="shared" ca="1" si="228"/>
        <v>0</v>
      </c>
      <c r="AA328" s="358">
        <f t="shared" ca="1" si="229"/>
        <v>0</v>
      </c>
      <c r="AB328" s="358">
        <f t="shared" ca="1" si="229"/>
        <v>0</v>
      </c>
      <c r="AC328" s="358">
        <f t="shared" ca="1" si="229"/>
        <v>0</v>
      </c>
      <c r="AD328" s="358">
        <f t="shared" ca="1" si="229"/>
        <v>0</v>
      </c>
      <c r="AE328" s="358">
        <f t="shared" ca="1" si="229"/>
        <v>0</v>
      </c>
      <c r="AF328" s="358">
        <f t="shared" ca="1" si="229"/>
        <v>0</v>
      </c>
      <c r="AG328" s="358">
        <f t="shared" ca="1" si="229"/>
        <v>0</v>
      </c>
      <c r="AH328" s="358">
        <f t="shared" ca="1" si="229"/>
        <v>0</v>
      </c>
      <c r="AI328" s="358">
        <f t="shared" ca="1" si="229"/>
        <v>0</v>
      </c>
      <c r="AJ328" s="358">
        <f t="shared" ca="1" si="229"/>
        <v>0</v>
      </c>
      <c r="AK328" s="358">
        <f t="shared" ca="1" si="230"/>
        <v>0</v>
      </c>
      <c r="AL328" s="358">
        <f t="shared" ca="1" si="230"/>
        <v>0</v>
      </c>
      <c r="AM328" s="358">
        <f t="shared" ca="1" si="230"/>
        <v>0</v>
      </c>
      <c r="AN328" s="358">
        <f t="shared" ca="1" si="230"/>
        <v>0</v>
      </c>
      <c r="AO328" s="358">
        <f t="shared" ca="1" si="230"/>
        <v>0</v>
      </c>
      <c r="AP328" s="358">
        <f t="shared" ca="1" si="230"/>
        <v>0</v>
      </c>
      <c r="AQ328" s="358">
        <f t="shared" ca="1" si="230"/>
        <v>0</v>
      </c>
      <c r="AR328" s="358">
        <f t="shared" ca="1" si="230"/>
        <v>0</v>
      </c>
      <c r="AS328" s="358">
        <f t="shared" ca="1" si="230"/>
        <v>0</v>
      </c>
      <c r="AT328" s="358">
        <f t="shared" ca="1" si="230"/>
        <v>0</v>
      </c>
      <c r="AV328" s="358">
        <f t="shared" ca="1" si="206"/>
        <v>0</v>
      </c>
      <c r="AX328" s="358">
        <f t="shared" ca="1" si="207"/>
        <v>0</v>
      </c>
      <c r="AZ328" s="358">
        <f t="shared" ca="1" si="208"/>
        <v>0</v>
      </c>
      <c r="BB328" s="358">
        <f t="shared" ca="1" si="209"/>
        <v>0</v>
      </c>
      <c r="BD328" s="358">
        <f t="shared" ca="1" si="210"/>
        <v>0</v>
      </c>
      <c r="BF328" s="358">
        <f t="shared" ca="1" si="211"/>
        <v>0</v>
      </c>
      <c r="BH328" s="358">
        <f t="shared" ca="1" si="212"/>
        <v>0</v>
      </c>
    </row>
    <row r="329" spans="1:60" hidden="1" outlineLevel="1">
      <c r="A329" s="1464">
        <f t="shared" si="222"/>
        <v>18</v>
      </c>
      <c r="B329" s="1464">
        <f t="shared" si="223"/>
        <v>30</v>
      </c>
      <c r="C329" s="1464">
        <f t="shared" si="224"/>
        <v>15</v>
      </c>
      <c r="D329" s="1271" t="str">
        <f ca="1">IF(OFFSET(PortfolioDashboard!$A$3,C329-1,0)="","Blank",OFFSET(PortfolioDashboard!$A$3,C329-1,0))</f>
        <v>Solar DHW</v>
      </c>
      <c r="E329" s="1464" t="str">
        <f t="shared" si="225"/>
        <v>2010$</v>
      </c>
      <c r="F329" s="1460">
        <f t="shared" ca="1" si="226"/>
        <v>0</v>
      </c>
      <c r="G329" s="358">
        <f t="shared" ca="1" si="227"/>
        <v>0</v>
      </c>
      <c r="H329" s="358">
        <f t="shared" ca="1" si="227"/>
        <v>0</v>
      </c>
      <c r="I329" s="358">
        <f t="shared" ca="1" si="227"/>
        <v>0</v>
      </c>
      <c r="J329" s="358">
        <f t="shared" ca="1" si="227"/>
        <v>0</v>
      </c>
      <c r="K329" s="358">
        <f t="shared" ca="1" si="227"/>
        <v>0</v>
      </c>
      <c r="L329" s="358">
        <f t="shared" ca="1" si="227"/>
        <v>0</v>
      </c>
      <c r="M329" s="358">
        <f t="shared" ca="1" si="227"/>
        <v>0</v>
      </c>
      <c r="N329" s="358">
        <f t="shared" ca="1" si="227"/>
        <v>0</v>
      </c>
      <c r="O329" s="358">
        <f t="shared" ca="1" si="227"/>
        <v>0</v>
      </c>
      <c r="P329" s="358">
        <f t="shared" ca="1" si="227"/>
        <v>0</v>
      </c>
      <c r="Q329" s="358">
        <f t="shared" ca="1" si="228"/>
        <v>0</v>
      </c>
      <c r="R329" s="358">
        <f t="shared" ca="1" si="228"/>
        <v>0</v>
      </c>
      <c r="S329" s="358">
        <f t="shared" ca="1" si="228"/>
        <v>0</v>
      </c>
      <c r="T329" s="358">
        <f t="shared" ca="1" si="228"/>
        <v>0</v>
      </c>
      <c r="U329" s="358">
        <f t="shared" ca="1" si="228"/>
        <v>0</v>
      </c>
      <c r="V329" s="358">
        <f t="shared" ca="1" si="228"/>
        <v>0</v>
      </c>
      <c r="W329" s="358">
        <f t="shared" ca="1" si="228"/>
        <v>0</v>
      </c>
      <c r="X329" s="358">
        <f t="shared" ca="1" si="228"/>
        <v>0</v>
      </c>
      <c r="Y329" s="358">
        <f t="shared" ca="1" si="228"/>
        <v>0</v>
      </c>
      <c r="Z329" s="358">
        <f t="shared" ca="1" si="228"/>
        <v>0</v>
      </c>
      <c r="AA329" s="358">
        <f t="shared" ca="1" si="229"/>
        <v>0</v>
      </c>
      <c r="AB329" s="358">
        <f t="shared" ca="1" si="229"/>
        <v>0</v>
      </c>
      <c r="AC329" s="358">
        <f t="shared" ca="1" si="229"/>
        <v>0</v>
      </c>
      <c r="AD329" s="358">
        <f t="shared" ca="1" si="229"/>
        <v>0</v>
      </c>
      <c r="AE329" s="358">
        <f t="shared" ca="1" si="229"/>
        <v>0</v>
      </c>
      <c r="AF329" s="358">
        <f t="shared" ca="1" si="229"/>
        <v>0</v>
      </c>
      <c r="AG329" s="358">
        <f t="shared" ca="1" si="229"/>
        <v>0</v>
      </c>
      <c r="AH329" s="358">
        <f t="shared" ca="1" si="229"/>
        <v>0</v>
      </c>
      <c r="AI329" s="358">
        <f t="shared" ca="1" si="229"/>
        <v>0</v>
      </c>
      <c r="AJ329" s="358">
        <f t="shared" ca="1" si="229"/>
        <v>0</v>
      </c>
      <c r="AK329" s="358">
        <f t="shared" ca="1" si="230"/>
        <v>0</v>
      </c>
      <c r="AL329" s="358">
        <f t="shared" ca="1" si="230"/>
        <v>0</v>
      </c>
      <c r="AM329" s="358">
        <f t="shared" ca="1" si="230"/>
        <v>0</v>
      </c>
      <c r="AN329" s="358">
        <f t="shared" ca="1" si="230"/>
        <v>0</v>
      </c>
      <c r="AO329" s="358">
        <f t="shared" ca="1" si="230"/>
        <v>0</v>
      </c>
      <c r="AP329" s="358">
        <f t="shared" ca="1" si="230"/>
        <v>0</v>
      </c>
      <c r="AQ329" s="358">
        <f t="shared" ca="1" si="230"/>
        <v>0</v>
      </c>
      <c r="AR329" s="358">
        <f t="shared" ca="1" si="230"/>
        <v>0</v>
      </c>
      <c r="AS329" s="358">
        <f t="shared" ca="1" si="230"/>
        <v>0</v>
      </c>
      <c r="AT329" s="358">
        <f t="shared" ca="1" si="230"/>
        <v>0</v>
      </c>
      <c r="AV329" s="358">
        <f t="shared" ca="1" si="206"/>
        <v>0</v>
      </c>
      <c r="AX329" s="358">
        <f t="shared" ca="1" si="207"/>
        <v>0</v>
      </c>
      <c r="AZ329" s="358">
        <f t="shared" ca="1" si="208"/>
        <v>0</v>
      </c>
      <c r="BB329" s="358">
        <f t="shared" ca="1" si="209"/>
        <v>0</v>
      </c>
      <c r="BD329" s="358">
        <f t="shared" ca="1" si="210"/>
        <v>0</v>
      </c>
      <c r="BF329" s="358">
        <f t="shared" ca="1" si="211"/>
        <v>0</v>
      </c>
      <c r="BH329" s="358">
        <f t="shared" ca="1" si="212"/>
        <v>0</v>
      </c>
    </row>
    <row r="330" spans="1:60" hidden="1" outlineLevel="1">
      <c r="A330" s="1464">
        <f t="shared" si="222"/>
        <v>18</v>
      </c>
      <c r="B330" s="1464">
        <f t="shared" si="223"/>
        <v>30</v>
      </c>
      <c r="C330" s="1464">
        <f t="shared" si="224"/>
        <v>16</v>
      </c>
      <c r="D330" s="1271" t="str">
        <f ca="1">IF(OFFSET(PortfolioDashboard!$A$3,C330-1,0)="","Blank",OFFSET(PortfolioDashboard!$A$3,C330-1,0))</f>
        <v>Geo Exchange</v>
      </c>
      <c r="E330" s="1464" t="str">
        <f t="shared" si="225"/>
        <v>2010$</v>
      </c>
      <c r="F330" s="1460">
        <f t="shared" ca="1" si="226"/>
        <v>0</v>
      </c>
      <c r="G330" s="358">
        <f t="shared" ca="1" si="227"/>
        <v>0</v>
      </c>
      <c r="H330" s="358">
        <f t="shared" ca="1" si="227"/>
        <v>0</v>
      </c>
      <c r="I330" s="358">
        <f t="shared" ca="1" si="227"/>
        <v>0</v>
      </c>
      <c r="J330" s="358">
        <f t="shared" ca="1" si="227"/>
        <v>0</v>
      </c>
      <c r="K330" s="358">
        <f t="shared" ca="1" si="227"/>
        <v>0</v>
      </c>
      <c r="L330" s="358">
        <f t="shared" ca="1" si="227"/>
        <v>0</v>
      </c>
      <c r="M330" s="358">
        <f t="shared" ca="1" si="227"/>
        <v>0</v>
      </c>
      <c r="N330" s="358">
        <f t="shared" ca="1" si="227"/>
        <v>0</v>
      </c>
      <c r="O330" s="358">
        <f t="shared" ca="1" si="227"/>
        <v>0</v>
      </c>
      <c r="P330" s="358">
        <f t="shared" ca="1" si="227"/>
        <v>0</v>
      </c>
      <c r="Q330" s="358">
        <f t="shared" ca="1" si="228"/>
        <v>0</v>
      </c>
      <c r="R330" s="358">
        <f t="shared" ca="1" si="228"/>
        <v>0</v>
      </c>
      <c r="S330" s="358">
        <f t="shared" ca="1" si="228"/>
        <v>0</v>
      </c>
      <c r="T330" s="358">
        <f t="shared" ca="1" si="228"/>
        <v>0</v>
      </c>
      <c r="U330" s="358">
        <f t="shared" ca="1" si="228"/>
        <v>0</v>
      </c>
      <c r="V330" s="358">
        <f t="shared" ca="1" si="228"/>
        <v>0</v>
      </c>
      <c r="W330" s="358">
        <f t="shared" ca="1" si="228"/>
        <v>0</v>
      </c>
      <c r="X330" s="358">
        <f t="shared" ca="1" si="228"/>
        <v>0</v>
      </c>
      <c r="Y330" s="358">
        <f t="shared" ca="1" si="228"/>
        <v>0</v>
      </c>
      <c r="Z330" s="358">
        <f t="shared" ca="1" si="228"/>
        <v>0</v>
      </c>
      <c r="AA330" s="358">
        <f t="shared" ca="1" si="229"/>
        <v>0</v>
      </c>
      <c r="AB330" s="358">
        <f t="shared" ca="1" si="229"/>
        <v>0</v>
      </c>
      <c r="AC330" s="358">
        <f t="shared" ca="1" si="229"/>
        <v>0</v>
      </c>
      <c r="AD330" s="358">
        <f t="shared" ca="1" si="229"/>
        <v>0</v>
      </c>
      <c r="AE330" s="358">
        <f t="shared" ca="1" si="229"/>
        <v>0</v>
      </c>
      <c r="AF330" s="358">
        <f t="shared" ca="1" si="229"/>
        <v>0</v>
      </c>
      <c r="AG330" s="358">
        <f t="shared" ca="1" si="229"/>
        <v>0</v>
      </c>
      <c r="AH330" s="358">
        <f t="shared" ca="1" si="229"/>
        <v>0</v>
      </c>
      <c r="AI330" s="358">
        <f t="shared" ca="1" si="229"/>
        <v>0</v>
      </c>
      <c r="AJ330" s="358">
        <f t="shared" ca="1" si="229"/>
        <v>0</v>
      </c>
      <c r="AK330" s="358">
        <f t="shared" ca="1" si="230"/>
        <v>0</v>
      </c>
      <c r="AL330" s="358">
        <f t="shared" ca="1" si="230"/>
        <v>0</v>
      </c>
      <c r="AM330" s="358">
        <f t="shared" ca="1" si="230"/>
        <v>0</v>
      </c>
      <c r="AN330" s="358">
        <f t="shared" ca="1" si="230"/>
        <v>0</v>
      </c>
      <c r="AO330" s="358">
        <f t="shared" ca="1" si="230"/>
        <v>0</v>
      </c>
      <c r="AP330" s="358">
        <f t="shared" ca="1" si="230"/>
        <v>0</v>
      </c>
      <c r="AQ330" s="358">
        <f t="shared" ca="1" si="230"/>
        <v>0</v>
      </c>
      <c r="AR330" s="358">
        <f t="shared" ca="1" si="230"/>
        <v>0</v>
      </c>
      <c r="AS330" s="358">
        <f t="shared" ca="1" si="230"/>
        <v>0</v>
      </c>
      <c r="AT330" s="358">
        <f t="shared" ca="1" si="230"/>
        <v>0</v>
      </c>
      <c r="AV330" s="358">
        <f t="shared" ca="1" si="206"/>
        <v>0</v>
      </c>
      <c r="AX330" s="358">
        <f t="shared" ca="1" si="207"/>
        <v>0</v>
      </c>
      <c r="AZ330" s="358">
        <f t="shared" ca="1" si="208"/>
        <v>0</v>
      </c>
      <c r="BB330" s="358">
        <f t="shared" ca="1" si="209"/>
        <v>0</v>
      </c>
      <c r="BD330" s="358">
        <f t="shared" ca="1" si="210"/>
        <v>0</v>
      </c>
      <c r="BF330" s="358">
        <f t="shared" ca="1" si="211"/>
        <v>0</v>
      </c>
      <c r="BH330" s="358">
        <f t="shared" ca="1" si="212"/>
        <v>0</v>
      </c>
    </row>
    <row r="331" spans="1:60" hidden="1" outlineLevel="1">
      <c r="A331" s="1464">
        <f t="shared" si="222"/>
        <v>18</v>
      </c>
      <c r="B331" s="1464">
        <f t="shared" si="223"/>
        <v>30</v>
      </c>
      <c r="C331" s="1464">
        <f t="shared" si="224"/>
        <v>17</v>
      </c>
      <c r="D331" s="1271" t="str">
        <f ca="1">IF(OFFSET(PortfolioDashboard!$A$3,C331-1,0)="","Blank",OFFSET(PortfolioDashboard!$A$3,C331-1,0))</f>
        <v>Rooftop Solar PV</v>
      </c>
      <c r="E331" s="1464" t="str">
        <f t="shared" si="225"/>
        <v>2010$</v>
      </c>
      <c r="F331" s="1460">
        <f t="shared" ca="1" si="226"/>
        <v>0</v>
      </c>
      <c r="G331" s="358">
        <f t="shared" ca="1" si="227"/>
        <v>0</v>
      </c>
      <c r="H331" s="358">
        <f t="shared" ca="1" si="227"/>
        <v>0</v>
      </c>
      <c r="I331" s="358">
        <f t="shared" ca="1" si="227"/>
        <v>0</v>
      </c>
      <c r="J331" s="358">
        <f t="shared" ca="1" si="227"/>
        <v>0</v>
      </c>
      <c r="K331" s="358">
        <f t="shared" ca="1" si="227"/>
        <v>0</v>
      </c>
      <c r="L331" s="358">
        <f t="shared" ca="1" si="227"/>
        <v>0</v>
      </c>
      <c r="M331" s="358">
        <f t="shared" ca="1" si="227"/>
        <v>0</v>
      </c>
      <c r="N331" s="358">
        <f t="shared" ca="1" si="227"/>
        <v>0</v>
      </c>
      <c r="O331" s="358">
        <f t="shared" ca="1" si="227"/>
        <v>0</v>
      </c>
      <c r="P331" s="358">
        <f t="shared" ca="1" si="227"/>
        <v>0</v>
      </c>
      <c r="Q331" s="358">
        <f t="shared" ca="1" si="228"/>
        <v>0</v>
      </c>
      <c r="R331" s="358">
        <f t="shared" ca="1" si="228"/>
        <v>0</v>
      </c>
      <c r="S331" s="358">
        <f t="shared" ca="1" si="228"/>
        <v>0</v>
      </c>
      <c r="T331" s="358">
        <f t="shared" ca="1" si="228"/>
        <v>0</v>
      </c>
      <c r="U331" s="358">
        <f t="shared" ca="1" si="228"/>
        <v>0</v>
      </c>
      <c r="V331" s="358">
        <f t="shared" ca="1" si="228"/>
        <v>0</v>
      </c>
      <c r="W331" s="358">
        <f t="shared" ca="1" si="228"/>
        <v>0</v>
      </c>
      <c r="X331" s="358">
        <f t="shared" ca="1" si="228"/>
        <v>0</v>
      </c>
      <c r="Y331" s="358">
        <f t="shared" ca="1" si="228"/>
        <v>0</v>
      </c>
      <c r="Z331" s="358">
        <f t="shared" ca="1" si="228"/>
        <v>0</v>
      </c>
      <c r="AA331" s="358">
        <f t="shared" ca="1" si="229"/>
        <v>0</v>
      </c>
      <c r="AB331" s="358">
        <f t="shared" ca="1" si="229"/>
        <v>0</v>
      </c>
      <c r="AC331" s="358">
        <f t="shared" ca="1" si="229"/>
        <v>0</v>
      </c>
      <c r="AD331" s="358">
        <f t="shared" ca="1" si="229"/>
        <v>0</v>
      </c>
      <c r="AE331" s="358">
        <f t="shared" ca="1" si="229"/>
        <v>0</v>
      </c>
      <c r="AF331" s="358">
        <f t="shared" ca="1" si="229"/>
        <v>0</v>
      </c>
      <c r="AG331" s="358">
        <f t="shared" ca="1" si="229"/>
        <v>0</v>
      </c>
      <c r="AH331" s="358">
        <f t="shared" ca="1" si="229"/>
        <v>0</v>
      </c>
      <c r="AI331" s="358">
        <f t="shared" ca="1" si="229"/>
        <v>0</v>
      </c>
      <c r="AJ331" s="358">
        <f t="shared" ca="1" si="229"/>
        <v>0</v>
      </c>
      <c r="AK331" s="358">
        <f t="shared" ca="1" si="230"/>
        <v>0</v>
      </c>
      <c r="AL331" s="358">
        <f t="shared" ca="1" si="230"/>
        <v>0</v>
      </c>
      <c r="AM331" s="358">
        <f t="shared" ca="1" si="230"/>
        <v>0</v>
      </c>
      <c r="AN331" s="358">
        <f t="shared" ca="1" si="230"/>
        <v>0</v>
      </c>
      <c r="AO331" s="358">
        <f t="shared" ca="1" si="230"/>
        <v>0</v>
      </c>
      <c r="AP331" s="358">
        <f t="shared" ca="1" si="230"/>
        <v>0</v>
      </c>
      <c r="AQ331" s="358">
        <f t="shared" ca="1" si="230"/>
        <v>0</v>
      </c>
      <c r="AR331" s="358">
        <f t="shared" ca="1" si="230"/>
        <v>0</v>
      </c>
      <c r="AS331" s="358">
        <f t="shared" ca="1" si="230"/>
        <v>0</v>
      </c>
      <c r="AT331" s="358">
        <f t="shared" ca="1" si="230"/>
        <v>0</v>
      </c>
      <c r="AV331" s="358">
        <f t="shared" ca="1" si="206"/>
        <v>0</v>
      </c>
      <c r="AX331" s="358">
        <f t="shared" ca="1" si="207"/>
        <v>0</v>
      </c>
      <c r="AZ331" s="358">
        <f t="shared" ca="1" si="208"/>
        <v>0</v>
      </c>
      <c r="BB331" s="358">
        <f t="shared" ca="1" si="209"/>
        <v>0</v>
      </c>
      <c r="BD331" s="358">
        <f t="shared" ca="1" si="210"/>
        <v>0</v>
      </c>
      <c r="BF331" s="358">
        <f t="shared" ca="1" si="211"/>
        <v>0</v>
      </c>
      <c r="BH331" s="358">
        <f t="shared" ca="1" si="212"/>
        <v>0</v>
      </c>
    </row>
    <row r="332" spans="1:60" hidden="1" outlineLevel="1">
      <c r="A332" s="1464">
        <f t="shared" si="222"/>
        <v>18</v>
      </c>
      <c r="B332" s="1464">
        <f t="shared" si="223"/>
        <v>30</v>
      </c>
      <c r="C332" s="1464">
        <f t="shared" si="224"/>
        <v>18</v>
      </c>
      <c r="D332" s="1271" t="str">
        <f ca="1">IF(OFFSET(PortfolioDashboard!$A$3,C332-1,0)="","Blank",OFFSET(PortfolioDashboard!$A$3,C332-1,0))</f>
        <v>Blank</v>
      </c>
      <c r="E332" s="1464" t="str">
        <f t="shared" si="225"/>
        <v>2010$</v>
      </c>
      <c r="F332" s="1460">
        <f t="shared" ca="1" si="226"/>
        <v>0</v>
      </c>
      <c r="G332" s="358">
        <f t="shared" ca="1" si="227"/>
        <v>0</v>
      </c>
      <c r="H332" s="358">
        <f t="shared" ca="1" si="227"/>
        <v>0</v>
      </c>
      <c r="I332" s="358">
        <f t="shared" ca="1" si="227"/>
        <v>0</v>
      </c>
      <c r="J332" s="358">
        <f t="shared" ca="1" si="227"/>
        <v>0</v>
      </c>
      <c r="K332" s="358">
        <f t="shared" ca="1" si="227"/>
        <v>0</v>
      </c>
      <c r="L332" s="358">
        <f t="shared" ca="1" si="227"/>
        <v>0</v>
      </c>
      <c r="M332" s="358">
        <f t="shared" ca="1" si="227"/>
        <v>0</v>
      </c>
      <c r="N332" s="358">
        <f t="shared" ca="1" si="227"/>
        <v>0</v>
      </c>
      <c r="O332" s="358">
        <f t="shared" ca="1" si="227"/>
        <v>0</v>
      </c>
      <c r="P332" s="358">
        <f t="shared" ca="1" si="227"/>
        <v>0</v>
      </c>
      <c r="Q332" s="358">
        <f t="shared" ca="1" si="228"/>
        <v>0</v>
      </c>
      <c r="R332" s="358">
        <f t="shared" ca="1" si="228"/>
        <v>0</v>
      </c>
      <c r="S332" s="358">
        <f t="shared" ca="1" si="228"/>
        <v>0</v>
      </c>
      <c r="T332" s="358">
        <f t="shared" ca="1" si="228"/>
        <v>0</v>
      </c>
      <c r="U332" s="358">
        <f t="shared" ca="1" si="228"/>
        <v>0</v>
      </c>
      <c r="V332" s="358">
        <f t="shared" ca="1" si="228"/>
        <v>0</v>
      </c>
      <c r="W332" s="358">
        <f t="shared" ca="1" si="228"/>
        <v>0</v>
      </c>
      <c r="X332" s="358">
        <f t="shared" ca="1" si="228"/>
        <v>0</v>
      </c>
      <c r="Y332" s="358">
        <f t="shared" ca="1" si="228"/>
        <v>0</v>
      </c>
      <c r="Z332" s="358">
        <f t="shared" ca="1" si="228"/>
        <v>0</v>
      </c>
      <c r="AA332" s="358">
        <f t="shared" ca="1" si="229"/>
        <v>0</v>
      </c>
      <c r="AB332" s="358">
        <f t="shared" ca="1" si="229"/>
        <v>0</v>
      </c>
      <c r="AC332" s="358">
        <f t="shared" ca="1" si="229"/>
        <v>0</v>
      </c>
      <c r="AD332" s="358">
        <f t="shared" ca="1" si="229"/>
        <v>0</v>
      </c>
      <c r="AE332" s="358">
        <f t="shared" ca="1" si="229"/>
        <v>0</v>
      </c>
      <c r="AF332" s="358">
        <f t="shared" ca="1" si="229"/>
        <v>0</v>
      </c>
      <c r="AG332" s="358">
        <f t="shared" ca="1" si="229"/>
        <v>0</v>
      </c>
      <c r="AH332" s="358">
        <f t="shared" ca="1" si="229"/>
        <v>0</v>
      </c>
      <c r="AI332" s="358">
        <f t="shared" ca="1" si="229"/>
        <v>0</v>
      </c>
      <c r="AJ332" s="358">
        <f t="shared" ca="1" si="229"/>
        <v>0</v>
      </c>
      <c r="AK332" s="358">
        <f t="shared" ca="1" si="230"/>
        <v>0</v>
      </c>
      <c r="AL332" s="358">
        <f t="shared" ca="1" si="230"/>
        <v>0</v>
      </c>
      <c r="AM332" s="358">
        <f t="shared" ca="1" si="230"/>
        <v>0</v>
      </c>
      <c r="AN332" s="358">
        <f t="shared" ca="1" si="230"/>
        <v>0</v>
      </c>
      <c r="AO332" s="358">
        <f t="shared" ca="1" si="230"/>
        <v>0</v>
      </c>
      <c r="AP332" s="358">
        <f t="shared" ca="1" si="230"/>
        <v>0</v>
      </c>
      <c r="AQ332" s="358">
        <f t="shared" ca="1" si="230"/>
        <v>0</v>
      </c>
      <c r="AR332" s="358">
        <f t="shared" ca="1" si="230"/>
        <v>0</v>
      </c>
      <c r="AS332" s="358">
        <f t="shared" ca="1" si="230"/>
        <v>0</v>
      </c>
      <c r="AT332" s="358">
        <f t="shared" ca="1" si="230"/>
        <v>0</v>
      </c>
      <c r="AV332" s="358">
        <f t="shared" ca="1" si="206"/>
        <v>0</v>
      </c>
      <c r="AX332" s="358">
        <f t="shared" ca="1" si="207"/>
        <v>0</v>
      </c>
      <c r="AZ332" s="358">
        <f t="shared" ca="1" si="208"/>
        <v>0</v>
      </c>
      <c r="BB332" s="358">
        <f t="shared" ca="1" si="209"/>
        <v>0</v>
      </c>
      <c r="BD332" s="358">
        <f t="shared" ca="1" si="210"/>
        <v>0</v>
      </c>
      <c r="BF332" s="358">
        <f t="shared" ca="1" si="211"/>
        <v>0</v>
      </c>
      <c r="BH332" s="358">
        <f t="shared" ca="1" si="212"/>
        <v>0</v>
      </c>
    </row>
    <row r="333" spans="1:60" hidden="1" outlineLevel="1">
      <c r="A333" s="1464">
        <f t="shared" si="222"/>
        <v>18</v>
      </c>
      <c r="B333" s="1464">
        <f t="shared" si="223"/>
        <v>30</v>
      </c>
      <c r="C333" s="1464">
        <f t="shared" si="224"/>
        <v>19</v>
      </c>
      <c r="D333" s="1271" t="str">
        <f ca="1">IF(OFFSET(PortfolioDashboard!$A$3,C333-1,0)="","Blank",OFFSET(PortfolioDashboard!$A$3,C333-1,0))</f>
        <v>Blank</v>
      </c>
      <c r="E333" s="1464" t="str">
        <f t="shared" si="225"/>
        <v>2010$</v>
      </c>
      <c r="F333" s="1460">
        <f t="shared" ca="1" si="226"/>
        <v>0</v>
      </c>
      <c r="G333" s="358">
        <f t="shared" ca="1" si="227"/>
        <v>0</v>
      </c>
      <c r="H333" s="358">
        <f t="shared" ca="1" si="227"/>
        <v>0</v>
      </c>
      <c r="I333" s="358">
        <f t="shared" ca="1" si="227"/>
        <v>0</v>
      </c>
      <c r="J333" s="358">
        <f t="shared" ca="1" si="227"/>
        <v>0</v>
      </c>
      <c r="K333" s="358">
        <f t="shared" ca="1" si="227"/>
        <v>0</v>
      </c>
      <c r="L333" s="358">
        <f t="shared" ca="1" si="227"/>
        <v>0</v>
      </c>
      <c r="M333" s="358">
        <f t="shared" ca="1" si="227"/>
        <v>0</v>
      </c>
      <c r="N333" s="358">
        <f t="shared" ca="1" si="227"/>
        <v>0</v>
      </c>
      <c r="O333" s="358">
        <f t="shared" ca="1" si="227"/>
        <v>0</v>
      </c>
      <c r="P333" s="358">
        <f t="shared" ca="1" si="227"/>
        <v>0</v>
      </c>
      <c r="Q333" s="358">
        <f t="shared" ca="1" si="228"/>
        <v>0</v>
      </c>
      <c r="R333" s="358">
        <f t="shared" ca="1" si="228"/>
        <v>0</v>
      </c>
      <c r="S333" s="358">
        <f t="shared" ca="1" si="228"/>
        <v>0</v>
      </c>
      <c r="T333" s="358">
        <f t="shared" ca="1" si="228"/>
        <v>0</v>
      </c>
      <c r="U333" s="358">
        <f t="shared" ca="1" si="228"/>
        <v>0</v>
      </c>
      <c r="V333" s="358">
        <f t="shared" ca="1" si="228"/>
        <v>0</v>
      </c>
      <c r="W333" s="358">
        <f t="shared" ca="1" si="228"/>
        <v>0</v>
      </c>
      <c r="X333" s="358">
        <f t="shared" ca="1" si="228"/>
        <v>0</v>
      </c>
      <c r="Y333" s="358">
        <f t="shared" ca="1" si="228"/>
        <v>0</v>
      </c>
      <c r="Z333" s="358">
        <f t="shared" ca="1" si="228"/>
        <v>0</v>
      </c>
      <c r="AA333" s="358">
        <f t="shared" ca="1" si="229"/>
        <v>0</v>
      </c>
      <c r="AB333" s="358">
        <f t="shared" ca="1" si="229"/>
        <v>0</v>
      </c>
      <c r="AC333" s="358">
        <f t="shared" ca="1" si="229"/>
        <v>0</v>
      </c>
      <c r="AD333" s="358">
        <f t="shared" ca="1" si="229"/>
        <v>0</v>
      </c>
      <c r="AE333" s="358">
        <f t="shared" ca="1" si="229"/>
        <v>0</v>
      </c>
      <c r="AF333" s="358">
        <f t="shared" ca="1" si="229"/>
        <v>0</v>
      </c>
      <c r="AG333" s="358">
        <f t="shared" ca="1" si="229"/>
        <v>0</v>
      </c>
      <c r="AH333" s="358">
        <f t="shared" ca="1" si="229"/>
        <v>0</v>
      </c>
      <c r="AI333" s="358">
        <f t="shared" ca="1" si="229"/>
        <v>0</v>
      </c>
      <c r="AJ333" s="358">
        <f t="shared" ca="1" si="229"/>
        <v>0</v>
      </c>
      <c r="AK333" s="358">
        <f t="shared" ca="1" si="230"/>
        <v>0</v>
      </c>
      <c r="AL333" s="358">
        <f t="shared" ca="1" si="230"/>
        <v>0</v>
      </c>
      <c r="AM333" s="358">
        <f t="shared" ca="1" si="230"/>
        <v>0</v>
      </c>
      <c r="AN333" s="358">
        <f t="shared" ca="1" si="230"/>
        <v>0</v>
      </c>
      <c r="AO333" s="358">
        <f t="shared" ca="1" si="230"/>
        <v>0</v>
      </c>
      <c r="AP333" s="358">
        <f t="shared" ca="1" si="230"/>
        <v>0</v>
      </c>
      <c r="AQ333" s="358">
        <f t="shared" ca="1" si="230"/>
        <v>0</v>
      </c>
      <c r="AR333" s="358">
        <f t="shared" ca="1" si="230"/>
        <v>0</v>
      </c>
      <c r="AS333" s="358">
        <f t="shared" ca="1" si="230"/>
        <v>0</v>
      </c>
      <c r="AT333" s="358">
        <f t="shared" ca="1" si="230"/>
        <v>0</v>
      </c>
      <c r="AV333" s="358">
        <f t="shared" ca="1" si="206"/>
        <v>0</v>
      </c>
      <c r="AX333" s="358">
        <f t="shared" ca="1" si="207"/>
        <v>0</v>
      </c>
      <c r="AZ333" s="358">
        <f t="shared" ca="1" si="208"/>
        <v>0</v>
      </c>
      <c r="BB333" s="358">
        <f t="shared" ca="1" si="209"/>
        <v>0</v>
      </c>
      <c r="BD333" s="358">
        <f t="shared" ca="1" si="210"/>
        <v>0</v>
      </c>
      <c r="BF333" s="358">
        <f t="shared" ca="1" si="211"/>
        <v>0</v>
      </c>
      <c r="BH333" s="358">
        <f t="shared" ca="1" si="212"/>
        <v>0</v>
      </c>
    </row>
    <row r="334" spans="1:60" hidden="1" outlineLevel="1">
      <c r="A334" s="1464">
        <f t="shared" si="222"/>
        <v>18</v>
      </c>
      <c r="B334" s="1464">
        <f t="shared" si="223"/>
        <v>30</v>
      </c>
      <c r="C334" s="1464">
        <f t="shared" si="224"/>
        <v>20</v>
      </c>
      <c r="D334" s="1271" t="str">
        <f ca="1">IF(OFFSET(PortfolioDashboard!$A$3,C334-1,0)="","Blank",OFFSET(PortfolioDashboard!$A$3,C334-1,0))</f>
        <v>Blank</v>
      </c>
      <c r="E334" s="1464" t="str">
        <f t="shared" si="225"/>
        <v>2010$</v>
      </c>
      <c r="F334" s="1460">
        <f t="shared" ca="1" si="226"/>
        <v>0</v>
      </c>
      <c r="G334" s="358">
        <f t="shared" ca="1" si="227"/>
        <v>0</v>
      </c>
      <c r="H334" s="358">
        <f t="shared" ca="1" si="227"/>
        <v>0</v>
      </c>
      <c r="I334" s="358">
        <f t="shared" ca="1" si="227"/>
        <v>0</v>
      </c>
      <c r="J334" s="358">
        <f t="shared" ca="1" si="227"/>
        <v>0</v>
      </c>
      <c r="K334" s="358">
        <f t="shared" ca="1" si="227"/>
        <v>0</v>
      </c>
      <c r="L334" s="358">
        <f t="shared" ca="1" si="227"/>
        <v>0</v>
      </c>
      <c r="M334" s="358">
        <f t="shared" ca="1" si="227"/>
        <v>0</v>
      </c>
      <c r="N334" s="358">
        <f t="shared" ca="1" si="227"/>
        <v>0</v>
      </c>
      <c r="O334" s="358">
        <f t="shared" ca="1" si="227"/>
        <v>0</v>
      </c>
      <c r="P334" s="358">
        <f t="shared" ca="1" si="227"/>
        <v>0</v>
      </c>
      <c r="Q334" s="358">
        <f t="shared" ca="1" si="228"/>
        <v>0</v>
      </c>
      <c r="R334" s="358">
        <f t="shared" ca="1" si="228"/>
        <v>0</v>
      </c>
      <c r="S334" s="358">
        <f t="shared" ca="1" si="228"/>
        <v>0</v>
      </c>
      <c r="T334" s="358">
        <f t="shared" ca="1" si="228"/>
        <v>0</v>
      </c>
      <c r="U334" s="358">
        <f t="shared" ca="1" si="228"/>
        <v>0</v>
      </c>
      <c r="V334" s="358">
        <f t="shared" ca="1" si="228"/>
        <v>0</v>
      </c>
      <c r="W334" s="358">
        <f t="shared" ca="1" si="228"/>
        <v>0</v>
      </c>
      <c r="X334" s="358">
        <f t="shared" ca="1" si="228"/>
        <v>0</v>
      </c>
      <c r="Y334" s="358">
        <f t="shared" ca="1" si="228"/>
        <v>0</v>
      </c>
      <c r="Z334" s="358">
        <f t="shared" ca="1" si="228"/>
        <v>0</v>
      </c>
      <c r="AA334" s="358">
        <f t="shared" ca="1" si="229"/>
        <v>0</v>
      </c>
      <c r="AB334" s="358">
        <f t="shared" ca="1" si="229"/>
        <v>0</v>
      </c>
      <c r="AC334" s="358">
        <f t="shared" ca="1" si="229"/>
        <v>0</v>
      </c>
      <c r="AD334" s="358">
        <f t="shared" ca="1" si="229"/>
        <v>0</v>
      </c>
      <c r="AE334" s="358">
        <f t="shared" ca="1" si="229"/>
        <v>0</v>
      </c>
      <c r="AF334" s="358">
        <f t="shared" ca="1" si="229"/>
        <v>0</v>
      </c>
      <c r="AG334" s="358">
        <f t="shared" ca="1" si="229"/>
        <v>0</v>
      </c>
      <c r="AH334" s="358">
        <f t="shared" ca="1" si="229"/>
        <v>0</v>
      </c>
      <c r="AI334" s="358">
        <f t="shared" ca="1" si="229"/>
        <v>0</v>
      </c>
      <c r="AJ334" s="358">
        <f t="shared" ca="1" si="229"/>
        <v>0</v>
      </c>
      <c r="AK334" s="358">
        <f t="shared" ca="1" si="230"/>
        <v>0</v>
      </c>
      <c r="AL334" s="358">
        <f t="shared" ca="1" si="230"/>
        <v>0</v>
      </c>
      <c r="AM334" s="358">
        <f t="shared" ca="1" si="230"/>
        <v>0</v>
      </c>
      <c r="AN334" s="358">
        <f t="shared" ca="1" si="230"/>
        <v>0</v>
      </c>
      <c r="AO334" s="358">
        <f t="shared" ca="1" si="230"/>
        <v>0</v>
      </c>
      <c r="AP334" s="358">
        <f t="shared" ca="1" si="230"/>
        <v>0</v>
      </c>
      <c r="AQ334" s="358">
        <f t="shared" ca="1" si="230"/>
        <v>0</v>
      </c>
      <c r="AR334" s="358">
        <f t="shared" ca="1" si="230"/>
        <v>0</v>
      </c>
      <c r="AS334" s="358">
        <f t="shared" ca="1" si="230"/>
        <v>0</v>
      </c>
      <c r="AT334" s="358">
        <f t="shared" ca="1" si="230"/>
        <v>0</v>
      </c>
      <c r="AV334" s="358">
        <f t="shared" ca="1" si="206"/>
        <v>0</v>
      </c>
      <c r="AX334" s="358">
        <f t="shared" ca="1" si="207"/>
        <v>0</v>
      </c>
      <c r="AZ334" s="358">
        <f t="shared" ca="1" si="208"/>
        <v>0</v>
      </c>
      <c r="BB334" s="358">
        <f t="shared" ca="1" si="209"/>
        <v>0</v>
      </c>
      <c r="BD334" s="358">
        <f t="shared" ca="1" si="210"/>
        <v>0</v>
      </c>
      <c r="BF334" s="358">
        <f t="shared" ca="1" si="211"/>
        <v>0</v>
      </c>
      <c r="BH334" s="358">
        <f t="shared" ca="1" si="212"/>
        <v>0</v>
      </c>
    </row>
    <row r="335" spans="1:60" hidden="1" outlineLevel="1">
      <c r="A335" s="1464">
        <f t="shared" si="222"/>
        <v>18</v>
      </c>
      <c r="B335" s="1464">
        <f t="shared" si="223"/>
        <v>30</v>
      </c>
      <c r="C335" s="1464">
        <f t="shared" si="224"/>
        <v>21</v>
      </c>
      <c r="D335" s="1271" t="str">
        <f ca="1">IF(OFFSET(PortfolioDashboard!$A$3,C335-1,0)="","Blank",OFFSET(PortfolioDashboard!$A$3,C335-1,0))</f>
        <v>Blank</v>
      </c>
      <c r="E335" s="1464" t="str">
        <f t="shared" si="225"/>
        <v>2010$</v>
      </c>
      <c r="F335" s="1460">
        <f t="shared" ca="1" si="226"/>
        <v>0</v>
      </c>
      <c r="G335" s="358">
        <f t="shared" ref="G335:P344" ca="1" si="231">IFERROR(OFFSET(INDIRECT(INDEX(List_of_Alternatives,MATCH($D335,NameofAlternatives,0))),$A335+G$1-$G$1,$B335),0)</f>
        <v>0</v>
      </c>
      <c r="H335" s="358">
        <f t="shared" ca="1" si="231"/>
        <v>0</v>
      </c>
      <c r="I335" s="358">
        <f t="shared" ca="1" si="231"/>
        <v>0</v>
      </c>
      <c r="J335" s="358">
        <f t="shared" ca="1" si="231"/>
        <v>0</v>
      </c>
      <c r="K335" s="358">
        <f t="shared" ca="1" si="231"/>
        <v>0</v>
      </c>
      <c r="L335" s="358">
        <f t="shared" ca="1" si="231"/>
        <v>0</v>
      </c>
      <c r="M335" s="358">
        <f t="shared" ca="1" si="231"/>
        <v>0</v>
      </c>
      <c r="N335" s="358">
        <f t="shared" ca="1" si="231"/>
        <v>0</v>
      </c>
      <c r="O335" s="358">
        <f t="shared" ca="1" si="231"/>
        <v>0</v>
      </c>
      <c r="P335" s="358">
        <f t="shared" ca="1" si="231"/>
        <v>0</v>
      </c>
      <c r="Q335" s="358">
        <f t="shared" ref="Q335:Z344" ca="1" si="232">IFERROR(OFFSET(INDIRECT(INDEX(List_of_Alternatives,MATCH($D335,NameofAlternatives,0))),$A335+Q$1-$G$1,$B335),0)</f>
        <v>0</v>
      </c>
      <c r="R335" s="358">
        <f t="shared" ca="1" si="232"/>
        <v>0</v>
      </c>
      <c r="S335" s="358">
        <f t="shared" ca="1" si="232"/>
        <v>0</v>
      </c>
      <c r="T335" s="358">
        <f t="shared" ca="1" si="232"/>
        <v>0</v>
      </c>
      <c r="U335" s="358">
        <f t="shared" ca="1" si="232"/>
        <v>0</v>
      </c>
      <c r="V335" s="358">
        <f t="shared" ca="1" si="232"/>
        <v>0</v>
      </c>
      <c r="W335" s="358">
        <f t="shared" ca="1" si="232"/>
        <v>0</v>
      </c>
      <c r="X335" s="358">
        <f t="shared" ca="1" si="232"/>
        <v>0</v>
      </c>
      <c r="Y335" s="358">
        <f t="shared" ca="1" si="232"/>
        <v>0</v>
      </c>
      <c r="Z335" s="358">
        <f t="shared" ca="1" si="232"/>
        <v>0</v>
      </c>
      <c r="AA335" s="358">
        <f t="shared" ref="AA335:AJ344" ca="1" si="233">IFERROR(OFFSET(INDIRECT(INDEX(List_of_Alternatives,MATCH($D335,NameofAlternatives,0))),$A335+AA$1-$G$1,$B335),0)</f>
        <v>0</v>
      </c>
      <c r="AB335" s="358">
        <f t="shared" ca="1" si="233"/>
        <v>0</v>
      </c>
      <c r="AC335" s="358">
        <f t="shared" ca="1" si="233"/>
        <v>0</v>
      </c>
      <c r="AD335" s="358">
        <f t="shared" ca="1" si="233"/>
        <v>0</v>
      </c>
      <c r="AE335" s="358">
        <f t="shared" ca="1" si="233"/>
        <v>0</v>
      </c>
      <c r="AF335" s="358">
        <f t="shared" ca="1" si="233"/>
        <v>0</v>
      </c>
      <c r="AG335" s="358">
        <f t="shared" ca="1" si="233"/>
        <v>0</v>
      </c>
      <c r="AH335" s="358">
        <f t="shared" ca="1" si="233"/>
        <v>0</v>
      </c>
      <c r="AI335" s="358">
        <f t="shared" ca="1" si="233"/>
        <v>0</v>
      </c>
      <c r="AJ335" s="358">
        <f t="shared" ca="1" si="233"/>
        <v>0</v>
      </c>
      <c r="AK335" s="358">
        <f t="shared" ref="AK335:AT344" ca="1" si="234">IFERROR(OFFSET(INDIRECT(INDEX(List_of_Alternatives,MATCH($D335,NameofAlternatives,0))),$A335+AK$1-$G$1,$B335),0)</f>
        <v>0</v>
      </c>
      <c r="AL335" s="358">
        <f t="shared" ca="1" si="234"/>
        <v>0</v>
      </c>
      <c r="AM335" s="358">
        <f t="shared" ca="1" si="234"/>
        <v>0</v>
      </c>
      <c r="AN335" s="358">
        <f t="shared" ca="1" si="234"/>
        <v>0</v>
      </c>
      <c r="AO335" s="358">
        <f t="shared" ca="1" si="234"/>
        <v>0</v>
      </c>
      <c r="AP335" s="358">
        <f t="shared" ca="1" si="234"/>
        <v>0</v>
      </c>
      <c r="AQ335" s="358">
        <f t="shared" ca="1" si="234"/>
        <v>0</v>
      </c>
      <c r="AR335" s="358">
        <f t="shared" ca="1" si="234"/>
        <v>0</v>
      </c>
      <c r="AS335" s="358">
        <f t="shared" ca="1" si="234"/>
        <v>0</v>
      </c>
      <c r="AT335" s="358">
        <f t="shared" ca="1" si="234"/>
        <v>0</v>
      </c>
      <c r="AV335" s="358">
        <f t="shared" ca="1" si="206"/>
        <v>0</v>
      </c>
      <c r="AX335" s="358">
        <f t="shared" ca="1" si="207"/>
        <v>0</v>
      </c>
      <c r="AZ335" s="358">
        <f t="shared" ca="1" si="208"/>
        <v>0</v>
      </c>
      <c r="BB335" s="358">
        <f t="shared" ca="1" si="209"/>
        <v>0</v>
      </c>
      <c r="BD335" s="358">
        <f t="shared" ca="1" si="210"/>
        <v>0</v>
      </c>
      <c r="BF335" s="358">
        <f t="shared" ca="1" si="211"/>
        <v>0</v>
      </c>
      <c r="BH335" s="358">
        <f t="shared" ca="1" si="212"/>
        <v>0</v>
      </c>
    </row>
    <row r="336" spans="1:60" hidden="1" outlineLevel="1">
      <c r="A336" s="1464">
        <f t="shared" si="222"/>
        <v>18</v>
      </c>
      <c r="B336" s="1464">
        <f t="shared" si="223"/>
        <v>30</v>
      </c>
      <c r="C336" s="1464">
        <f t="shared" si="224"/>
        <v>22</v>
      </c>
      <c r="D336" s="1271" t="str">
        <f ca="1">IF(OFFSET(PortfolioDashboard!$A$3,C336-1,0)="","Blank",OFFSET(PortfolioDashboard!$A$3,C336-1,0))</f>
        <v>Blank</v>
      </c>
      <c r="E336" s="1464" t="str">
        <f t="shared" si="225"/>
        <v>2010$</v>
      </c>
      <c r="F336" s="1460">
        <f t="shared" ca="1" si="226"/>
        <v>0</v>
      </c>
      <c r="G336" s="358">
        <f t="shared" ca="1" si="231"/>
        <v>0</v>
      </c>
      <c r="H336" s="358">
        <f t="shared" ca="1" si="231"/>
        <v>0</v>
      </c>
      <c r="I336" s="358">
        <f t="shared" ca="1" si="231"/>
        <v>0</v>
      </c>
      <c r="J336" s="358">
        <f t="shared" ca="1" si="231"/>
        <v>0</v>
      </c>
      <c r="K336" s="358">
        <f t="shared" ca="1" si="231"/>
        <v>0</v>
      </c>
      <c r="L336" s="358">
        <f t="shared" ca="1" si="231"/>
        <v>0</v>
      </c>
      <c r="M336" s="358">
        <f t="shared" ca="1" si="231"/>
        <v>0</v>
      </c>
      <c r="N336" s="358">
        <f t="shared" ca="1" si="231"/>
        <v>0</v>
      </c>
      <c r="O336" s="358">
        <f t="shared" ca="1" si="231"/>
        <v>0</v>
      </c>
      <c r="P336" s="358">
        <f t="shared" ca="1" si="231"/>
        <v>0</v>
      </c>
      <c r="Q336" s="358">
        <f t="shared" ca="1" si="232"/>
        <v>0</v>
      </c>
      <c r="R336" s="358">
        <f t="shared" ca="1" si="232"/>
        <v>0</v>
      </c>
      <c r="S336" s="358">
        <f t="shared" ca="1" si="232"/>
        <v>0</v>
      </c>
      <c r="T336" s="358">
        <f t="shared" ca="1" si="232"/>
        <v>0</v>
      </c>
      <c r="U336" s="358">
        <f t="shared" ca="1" si="232"/>
        <v>0</v>
      </c>
      <c r="V336" s="358">
        <f t="shared" ca="1" si="232"/>
        <v>0</v>
      </c>
      <c r="W336" s="358">
        <f t="shared" ca="1" si="232"/>
        <v>0</v>
      </c>
      <c r="X336" s="358">
        <f t="shared" ca="1" si="232"/>
        <v>0</v>
      </c>
      <c r="Y336" s="358">
        <f t="shared" ca="1" si="232"/>
        <v>0</v>
      </c>
      <c r="Z336" s="358">
        <f t="shared" ca="1" si="232"/>
        <v>0</v>
      </c>
      <c r="AA336" s="358">
        <f t="shared" ca="1" si="233"/>
        <v>0</v>
      </c>
      <c r="AB336" s="358">
        <f t="shared" ca="1" si="233"/>
        <v>0</v>
      </c>
      <c r="AC336" s="358">
        <f t="shared" ca="1" si="233"/>
        <v>0</v>
      </c>
      <c r="AD336" s="358">
        <f t="shared" ca="1" si="233"/>
        <v>0</v>
      </c>
      <c r="AE336" s="358">
        <f t="shared" ca="1" si="233"/>
        <v>0</v>
      </c>
      <c r="AF336" s="358">
        <f t="shared" ca="1" si="233"/>
        <v>0</v>
      </c>
      <c r="AG336" s="358">
        <f t="shared" ca="1" si="233"/>
        <v>0</v>
      </c>
      <c r="AH336" s="358">
        <f t="shared" ca="1" si="233"/>
        <v>0</v>
      </c>
      <c r="AI336" s="358">
        <f t="shared" ca="1" si="233"/>
        <v>0</v>
      </c>
      <c r="AJ336" s="358">
        <f t="shared" ca="1" si="233"/>
        <v>0</v>
      </c>
      <c r="AK336" s="358">
        <f t="shared" ca="1" si="234"/>
        <v>0</v>
      </c>
      <c r="AL336" s="358">
        <f t="shared" ca="1" si="234"/>
        <v>0</v>
      </c>
      <c r="AM336" s="358">
        <f t="shared" ca="1" si="234"/>
        <v>0</v>
      </c>
      <c r="AN336" s="358">
        <f t="shared" ca="1" si="234"/>
        <v>0</v>
      </c>
      <c r="AO336" s="358">
        <f t="shared" ca="1" si="234"/>
        <v>0</v>
      </c>
      <c r="AP336" s="358">
        <f t="shared" ca="1" si="234"/>
        <v>0</v>
      </c>
      <c r="AQ336" s="358">
        <f t="shared" ca="1" si="234"/>
        <v>0</v>
      </c>
      <c r="AR336" s="358">
        <f t="shared" ca="1" si="234"/>
        <v>0</v>
      </c>
      <c r="AS336" s="358">
        <f t="shared" ca="1" si="234"/>
        <v>0</v>
      </c>
      <c r="AT336" s="358">
        <f t="shared" ca="1" si="234"/>
        <v>0</v>
      </c>
      <c r="AV336" s="358">
        <f t="shared" ca="1" si="206"/>
        <v>0</v>
      </c>
      <c r="AX336" s="358">
        <f t="shared" ca="1" si="207"/>
        <v>0</v>
      </c>
      <c r="AZ336" s="358">
        <f t="shared" ca="1" si="208"/>
        <v>0</v>
      </c>
      <c r="BB336" s="358">
        <f t="shared" ca="1" si="209"/>
        <v>0</v>
      </c>
      <c r="BD336" s="358">
        <f t="shared" ca="1" si="210"/>
        <v>0</v>
      </c>
      <c r="BF336" s="358">
        <f t="shared" ca="1" si="211"/>
        <v>0</v>
      </c>
      <c r="BH336" s="358">
        <f t="shared" ca="1" si="212"/>
        <v>0</v>
      </c>
    </row>
    <row r="337" spans="1:60" hidden="1" outlineLevel="1">
      <c r="A337" s="1464">
        <f t="shared" si="222"/>
        <v>18</v>
      </c>
      <c r="B337" s="1464">
        <f t="shared" si="223"/>
        <v>30</v>
      </c>
      <c r="C337" s="1464">
        <f t="shared" si="224"/>
        <v>23</v>
      </c>
      <c r="D337" s="1271" t="str">
        <f ca="1">IF(OFFSET(PortfolioDashboard!$A$3,C337-1,0)="","Blank",OFFSET(PortfolioDashboard!$A$3,C337-1,0))</f>
        <v>Blank</v>
      </c>
      <c r="E337" s="1464" t="str">
        <f t="shared" si="225"/>
        <v>2010$</v>
      </c>
      <c r="F337" s="1460">
        <f t="shared" ca="1" si="226"/>
        <v>0</v>
      </c>
      <c r="G337" s="358">
        <f t="shared" ca="1" si="231"/>
        <v>0</v>
      </c>
      <c r="H337" s="358">
        <f t="shared" ca="1" si="231"/>
        <v>0</v>
      </c>
      <c r="I337" s="358">
        <f t="shared" ca="1" si="231"/>
        <v>0</v>
      </c>
      <c r="J337" s="358">
        <f t="shared" ca="1" si="231"/>
        <v>0</v>
      </c>
      <c r="K337" s="358">
        <f t="shared" ca="1" si="231"/>
        <v>0</v>
      </c>
      <c r="L337" s="358">
        <f t="shared" ca="1" si="231"/>
        <v>0</v>
      </c>
      <c r="M337" s="358">
        <f t="shared" ca="1" si="231"/>
        <v>0</v>
      </c>
      <c r="N337" s="358">
        <f t="shared" ca="1" si="231"/>
        <v>0</v>
      </c>
      <c r="O337" s="358">
        <f t="shared" ca="1" si="231"/>
        <v>0</v>
      </c>
      <c r="P337" s="358">
        <f t="shared" ca="1" si="231"/>
        <v>0</v>
      </c>
      <c r="Q337" s="358">
        <f t="shared" ca="1" si="232"/>
        <v>0</v>
      </c>
      <c r="R337" s="358">
        <f t="shared" ca="1" si="232"/>
        <v>0</v>
      </c>
      <c r="S337" s="358">
        <f t="shared" ca="1" si="232"/>
        <v>0</v>
      </c>
      <c r="T337" s="358">
        <f t="shared" ca="1" si="232"/>
        <v>0</v>
      </c>
      <c r="U337" s="358">
        <f t="shared" ca="1" si="232"/>
        <v>0</v>
      </c>
      <c r="V337" s="358">
        <f t="shared" ca="1" si="232"/>
        <v>0</v>
      </c>
      <c r="W337" s="358">
        <f t="shared" ca="1" si="232"/>
        <v>0</v>
      </c>
      <c r="X337" s="358">
        <f t="shared" ca="1" si="232"/>
        <v>0</v>
      </c>
      <c r="Y337" s="358">
        <f t="shared" ca="1" si="232"/>
        <v>0</v>
      </c>
      <c r="Z337" s="358">
        <f t="shared" ca="1" si="232"/>
        <v>0</v>
      </c>
      <c r="AA337" s="358">
        <f t="shared" ca="1" si="233"/>
        <v>0</v>
      </c>
      <c r="AB337" s="358">
        <f t="shared" ca="1" si="233"/>
        <v>0</v>
      </c>
      <c r="AC337" s="358">
        <f t="shared" ca="1" si="233"/>
        <v>0</v>
      </c>
      <c r="AD337" s="358">
        <f t="shared" ca="1" si="233"/>
        <v>0</v>
      </c>
      <c r="AE337" s="358">
        <f t="shared" ca="1" si="233"/>
        <v>0</v>
      </c>
      <c r="AF337" s="358">
        <f t="shared" ca="1" si="233"/>
        <v>0</v>
      </c>
      <c r="AG337" s="358">
        <f t="shared" ca="1" si="233"/>
        <v>0</v>
      </c>
      <c r="AH337" s="358">
        <f t="shared" ca="1" si="233"/>
        <v>0</v>
      </c>
      <c r="AI337" s="358">
        <f t="shared" ca="1" si="233"/>
        <v>0</v>
      </c>
      <c r="AJ337" s="358">
        <f t="shared" ca="1" si="233"/>
        <v>0</v>
      </c>
      <c r="AK337" s="358">
        <f t="shared" ca="1" si="234"/>
        <v>0</v>
      </c>
      <c r="AL337" s="358">
        <f t="shared" ca="1" si="234"/>
        <v>0</v>
      </c>
      <c r="AM337" s="358">
        <f t="shared" ca="1" si="234"/>
        <v>0</v>
      </c>
      <c r="AN337" s="358">
        <f t="shared" ca="1" si="234"/>
        <v>0</v>
      </c>
      <c r="AO337" s="358">
        <f t="shared" ca="1" si="234"/>
        <v>0</v>
      </c>
      <c r="AP337" s="358">
        <f t="shared" ca="1" si="234"/>
        <v>0</v>
      </c>
      <c r="AQ337" s="358">
        <f t="shared" ca="1" si="234"/>
        <v>0</v>
      </c>
      <c r="AR337" s="358">
        <f t="shared" ca="1" si="234"/>
        <v>0</v>
      </c>
      <c r="AS337" s="358">
        <f t="shared" ca="1" si="234"/>
        <v>0</v>
      </c>
      <c r="AT337" s="358">
        <f t="shared" ca="1" si="234"/>
        <v>0</v>
      </c>
      <c r="AV337" s="358">
        <f t="shared" ca="1" si="206"/>
        <v>0</v>
      </c>
      <c r="AX337" s="358">
        <f t="shared" ca="1" si="207"/>
        <v>0</v>
      </c>
      <c r="AZ337" s="358">
        <f t="shared" ca="1" si="208"/>
        <v>0</v>
      </c>
      <c r="BB337" s="358">
        <f t="shared" ca="1" si="209"/>
        <v>0</v>
      </c>
      <c r="BD337" s="358">
        <f t="shared" ca="1" si="210"/>
        <v>0</v>
      </c>
      <c r="BF337" s="358">
        <f t="shared" ca="1" si="211"/>
        <v>0</v>
      </c>
      <c r="BH337" s="358">
        <f t="shared" ca="1" si="212"/>
        <v>0</v>
      </c>
    </row>
    <row r="338" spans="1:60" hidden="1" outlineLevel="1">
      <c r="A338" s="1464">
        <f t="shared" si="222"/>
        <v>18</v>
      </c>
      <c r="B338" s="1464">
        <f t="shared" si="223"/>
        <v>30</v>
      </c>
      <c r="C338" s="1464">
        <f t="shared" si="224"/>
        <v>24</v>
      </c>
      <c r="D338" s="1271" t="str">
        <f ca="1">IF(OFFSET(PortfolioDashboard!$A$3,C338-1,0)="","Blank",OFFSET(PortfolioDashboard!$A$3,C338-1,0))</f>
        <v>Blank</v>
      </c>
      <c r="E338" s="1464" t="str">
        <f t="shared" si="225"/>
        <v>2010$</v>
      </c>
      <c r="F338" s="1460">
        <f t="shared" ca="1" si="226"/>
        <v>0</v>
      </c>
      <c r="G338" s="358">
        <f t="shared" ca="1" si="231"/>
        <v>0</v>
      </c>
      <c r="H338" s="358">
        <f t="shared" ca="1" si="231"/>
        <v>0</v>
      </c>
      <c r="I338" s="358">
        <f t="shared" ca="1" si="231"/>
        <v>0</v>
      </c>
      <c r="J338" s="358">
        <f t="shared" ca="1" si="231"/>
        <v>0</v>
      </c>
      <c r="K338" s="358">
        <f t="shared" ca="1" si="231"/>
        <v>0</v>
      </c>
      <c r="L338" s="358">
        <f t="shared" ca="1" si="231"/>
        <v>0</v>
      </c>
      <c r="M338" s="358">
        <f t="shared" ca="1" si="231"/>
        <v>0</v>
      </c>
      <c r="N338" s="358">
        <f t="shared" ca="1" si="231"/>
        <v>0</v>
      </c>
      <c r="O338" s="358">
        <f t="shared" ca="1" si="231"/>
        <v>0</v>
      </c>
      <c r="P338" s="358">
        <f t="shared" ca="1" si="231"/>
        <v>0</v>
      </c>
      <c r="Q338" s="358">
        <f t="shared" ca="1" si="232"/>
        <v>0</v>
      </c>
      <c r="R338" s="358">
        <f t="shared" ca="1" si="232"/>
        <v>0</v>
      </c>
      <c r="S338" s="358">
        <f t="shared" ca="1" si="232"/>
        <v>0</v>
      </c>
      <c r="T338" s="358">
        <f t="shared" ca="1" si="232"/>
        <v>0</v>
      </c>
      <c r="U338" s="358">
        <f t="shared" ca="1" si="232"/>
        <v>0</v>
      </c>
      <c r="V338" s="358">
        <f t="shared" ca="1" si="232"/>
        <v>0</v>
      </c>
      <c r="W338" s="358">
        <f t="shared" ca="1" si="232"/>
        <v>0</v>
      </c>
      <c r="X338" s="358">
        <f t="shared" ca="1" si="232"/>
        <v>0</v>
      </c>
      <c r="Y338" s="358">
        <f t="shared" ca="1" si="232"/>
        <v>0</v>
      </c>
      <c r="Z338" s="358">
        <f t="shared" ca="1" si="232"/>
        <v>0</v>
      </c>
      <c r="AA338" s="358">
        <f t="shared" ca="1" si="233"/>
        <v>0</v>
      </c>
      <c r="AB338" s="358">
        <f t="shared" ca="1" si="233"/>
        <v>0</v>
      </c>
      <c r="AC338" s="358">
        <f t="shared" ca="1" si="233"/>
        <v>0</v>
      </c>
      <c r="AD338" s="358">
        <f t="shared" ca="1" si="233"/>
        <v>0</v>
      </c>
      <c r="AE338" s="358">
        <f t="shared" ca="1" si="233"/>
        <v>0</v>
      </c>
      <c r="AF338" s="358">
        <f t="shared" ca="1" si="233"/>
        <v>0</v>
      </c>
      <c r="AG338" s="358">
        <f t="shared" ca="1" si="233"/>
        <v>0</v>
      </c>
      <c r="AH338" s="358">
        <f t="shared" ca="1" si="233"/>
        <v>0</v>
      </c>
      <c r="AI338" s="358">
        <f t="shared" ca="1" si="233"/>
        <v>0</v>
      </c>
      <c r="AJ338" s="358">
        <f t="shared" ca="1" si="233"/>
        <v>0</v>
      </c>
      <c r="AK338" s="358">
        <f t="shared" ca="1" si="234"/>
        <v>0</v>
      </c>
      <c r="AL338" s="358">
        <f t="shared" ca="1" si="234"/>
        <v>0</v>
      </c>
      <c r="AM338" s="358">
        <f t="shared" ca="1" si="234"/>
        <v>0</v>
      </c>
      <c r="AN338" s="358">
        <f t="shared" ca="1" si="234"/>
        <v>0</v>
      </c>
      <c r="AO338" s="358">
        <f t="shared" ca="1" si="234"/>
        <v>0</v>
      </c>
      <c r="AP338" s="358">
        <f t="shared" ca="1" si="234"/>
        <v>0</v>
      </c>
      <c r="AQ338" s="358">
        <f t="shared" ca="1" si="234"/>
        <v>0</v>
      </c>
      <c r="AR338" s="358">
        <f t="shared" ca="1" si="234"/>
        <v>0</v>
      </c>
      <c r="AS338" s="358">
        <f t="shared" ca="1" si="234"/>
        <v>0</v>
      </c>
      <c r="AT338" s="358">
        <f t="shared" ca="1" si="234"/>
        <v>0</v>
      </c>
      <c r="AV338" s="358">
        <f t="shared" ca="1" si="206"/>
        <v>0</v>
      </c>
      <c r="AX338" s="358">
        <f t="shared" ca="1" si="207"/>
        <v>0</v>
      </c>
      <c r="AZ338" s="358">
        <f t="shared" ca="1" si="208"/>
        <v>0</v>
      </c>
      <c r="BB338" s="358">
        <f t="shared" ca="1" si="209"/>
        <v>0</v>
      </c>
      <c r="BD338" s="358">
        <f t="shared" ca="1" si="210"/>
        <v>0</v>
      </c>
      <c r="BF338" s="358">
        <f t="shared" ca="1" si="211"/>
        <v>0</v>
      </c>
      <c r="BH338" s="358">
        <f t="shared" ca="1" si="212"/>
        <v>0</v>
      </c>
    </row>
    <row r="339" spans="1:60" hidden="1" outlineLevel="1">
      <c r="A339" s="1464">
        <f t="shared" si="222"/>
        <v>18</v>
      </c>
      <c r="B339" s="1464">
        <f t="shared" si="223"/>
        <v>30</v>
      </c>
      <c r="C339" s="1464">
        <f t="shared" si="224"/>
        <v>25</v>
      </c>
      <c r="D339" s="1271" t="str">
        <f ca="1">IF(OFFSET(PortfolioDashboard!$A$3,C339-1,0)="","Blank",OFFSET(PortfolioDashboard!$A$3,C339-1,0))</f>
        <v>Blank</v>
      </c>
      <c r="E339" s="1464" t="str">
        <f t="shared" si="225"/>
        <v>2010$</v>
      </c>
      <c r="F339" s="1460">
        <f t="shared" ca="1" si="226"/>
        <v>0</v>
      </c>
      <c r="G339" s="358">
        <f t="shared" ca="1" si="231"/>
        <v>0</v>
      </c>
      <c r="H339" s="358">
        <f t="shared" ca="1" si="231"/>
        <v>0</v>
      </c>
      <c r="I339" s="358">
        <f t="shared" ca="1" si="231"/>
        <v>0</v>
      </c>
      <c r="J339" s="358">
        <f t="shared" ca="1" si="231"/>
        <v>0</v>
      </c>
      <c r="K339" s="358">
        <f t="shared" ca="1" si="231"/>
        <v>0</v>
      </c>
      <c r="L339" s="358">
        <f t="shared" ca="1" si="231"/>
        <v>0</v>
      </c>
      <c r="M339" s="358">
        <f t="shared" ca="1" si="231"/>
        <v>0</v>
      </c>
      <c r="N339" s="358">
        <f t="shared" ca="1" si="231"/>
        <v>0</v>
      </c>
      <c r="O339" s="358">
        <f t="shared" ca="1" si="231"/>
        <v>0</v>
      </c>
      <c r="P339" s="358">
        <f t="shared" ca="1" si="231"/>
        <v>0</v>
      </c>
      <c r="Q339" s="358">
        <f t="shared" ca="1" si="232"/>
        <v>0</v>
      </c>
      <c r="R339" s="358">
        <f t="shared" ca="1" si="232"/>
        <v>0</v>
      </c>
      <c r="S339" s="358">
        <f t="shared" ca="1" si="232"/>
        <v>0</v>
      </c>
      <c r="T339" s="358">
        <f t="shared" ca="1" si="232"/>
        <v>0</v>
      </c>
      <c r="U339" s="358">
        <f t="shared" ca="1" si="232"/>
        <v>0</v>
      </c>
      <c r="V339" s="358">
        <f t="shared" ca="1" si="232"/>
        <v>0</v>
      </c>
      <c r="W339" s="358">
        <f t="shared" ca="1" si="232"/>
        <v>0</v>
      </c>
      <c r="X339" s="358">
        <f t="shared" ca="1" si="232"/>
        <v>0</v>
      </c>
      <c r="Y339" s="358">
        <f t="shared" ca="1" si="232"/>
        <v>0</v>
      </c>
      <c r="Z339" s="358">
        <f t="shared" ca="1" si="232"/>
        <v>0</v>
      </c>
      <c r="AA339" s="358">
        <f t="shared" ca="1" si="233"/>
        <v>0</v>
      </c>
      <c r="AB339" s="358">
        <f t="shared" ca="1" si="233"/>
        <v>0</v>
      </c>
      <c r="AC339" s="358">
        <f t="shared" ca="1" si="233"/>
        <v>0</v>
      </c>
      <c r="AD339" s="358">
        <f t="shared" ca="1" si="233"/>
        <v>0</v>
      </c>
      <c r="AE339" s="358">
        <f t="shared" ca="1" si="233"/>
        <v>0</v>
      </c>
      <c r="AF339" s="358">
        <f t="shared" ca="1" si="233"/>
        <v>0</v>
      </c>
      <c r="AG339" s="358">
        <f t="shared" ca="1" si="233"/>
        <v>0</v>
      </c>
      <c r="AH339" s="358">
        <f t="shared" ca="1" si="233"/>
        <v>0</v>
      </c>
      <c r="AI339" s="358">
        <f t="shared" ca="1" si="233"/>
        <v>0</v>
      </c>
      <c r="AJ339" s="358">
        <f t="shared" ca="1" si="233"/>
        <v>0</v>
      </c>
      <c r="AK339" s="358">
        <f t="shared" ca="1" si="234"/>
        <v>0</v>
      </c>
      <c r="AL339" s="358">
        <f t="shared" ca="1" si="234"/>
        <v>0</v>
      </c>
      <c r="AM339" s="358">
        <f t="shared" ca="1" si="234"/>
        <v>0</v>
      </c>
      <c r="AN339" s="358">
        <f t="shared" ca="1" si="234"/>
        <v>0</v>
      </c>
      <c r="AO339" s="358">
        <f t="shared" ca="1" si="234"/>
        <v>0</v>
      </c>
      <c r="AP339" s="358">
        <f t="shared" ca="1" si="234"/>
        <v>0</v>
      </c>
      <c r="AQ339" s="358">
        <f t="shared" ca="1" si="234"/>
        <v>0</v>
      </c>
      <c r="AR339" s="358">
        <f t="shared" ca="1" si="234"/>
        <v>0</v>
      </c>
      <c r="AS339" s="358">
        <f t="shared" ca="1" si="234"/>
        <v>0</v>
      </c>
      <c r="AT339" s="358">
        <f t="shared" ca="1" si="234"/>
        <v>0</v>
      </c>
      <c r="AV339" s="358">
        <f t="shared" ca="1" si="206"/>
        <v>0</v>
      </c>
      <c r="AX339" s="358">
        <f t="shared" ca="1" si="207"/>
        <v>0</v>
      </c>
      <c r="AZ339" s="358">
        <f t="shared" ca="1" si="208"/>
        <v>0</v>
      </c>
      <c r="BB339" s="358">
        <f t="shared" ca="1" si="209"/>
        <v>0</v>
      </c>
      <c r="BD339" s="358">
        <f t="shared" ca="1" si="210"/>
        <v>0</v>
      </c>
      <c r="BF339" s="358">
        <f t="shared" ca="1" si="211"/>
        <v>0</v>
      </c>
      <c r="BH339" s="358">
        <f t="shared" ca="1" si="212"/>
        <v>0</v>
      </c>
    </row>
    <row r="340" spans="1:60" hidden="1" outlineLevel="1">
      <c r="A340" s="1464">
        <f t="shared" si="222"/>
        <v>18</v>
      </c>
      <c r="B340" s="1464">
        <f t="shared" si="223"/>
        <v>30</v>
      </c>
      <c r="C340" s="1464">
        <f t="shared" si="224"/>
        <v>26</v>
      </c>
      <c r="D340" s="1271" t="str">
        <f ca="1">IF(OFFSET(PortfolioDashboard!$A$3,C340-1,0)="","Blank",OFFSET(PortfolioDashboard!$A$3,C340-1,0))</f>
        <v>Blank</v>
      </c>
      <c r="E340" s="1464" t="str">
        <f t="shared" si="225"/>
        <v>2010$</v>
      </c>
      <c r="F340" s="1460">
        <f t="shared" ca="1" si="226"/>
        <v>0</v>
      </c>
      <c r="G340" s="358">
        <f t="shared" ca="1" si="231"/>
        <v>0</v>
      </c>
      <c r="H340" s="358">
        <f t="shared" ca="1" si="231"/>
        <v>0</v>
      </c>
      <c r="I340" s="358">
        <f t="shared" ca="1" si="231"/>
        <v>0</v>
      </c>
      <c r="J340" s="358">
        <f t="shared" ca="1" si="231"/>
        <v>0</v>
      </c>
      <c r="K340" s="358">
        <f t="shared" ca="1" si="231"/>
        <v>0</v>
      </c>
      <c r="L340" s="358">
        <f t="shared" ca="1" si="231"/>
        <v>0</v>
      </c>
      <c r="M340" s="358">
        <f t="shared" ca="1" si="231"/>
        <v>0</v>
      </c>
      <c r="N340" s="358">
        <f t="shared" ca="1" si="231"/>
        <v>0</v>
      </c>
      <c r="O340" s="358">
        <f t="shared" ca="1" si="231"/>
        <v>0</v>
      </c>
      <c r="P340" s="358">
        <f t="shared" ca="1" si="231"/>
        <v>0</v>
      </c>
      <c r="Q340" s="358">
        <f t="shared" ca="1" si="232"/>
        <v>0</v>
      </c>
      <c r="R340" s="358">
        <f t="shared" ca="1" si="232"/>
        <v>0</v>
      </c>
      <c r="S340" s="358">
        <f t="shared" ca="1" si="232"/>
        <v>0</v>
      </c>
      <c r="T340" s="358">
        <f t="shared" ca="1" si="232"/>
        <v>0</v>
      </c>
      <c r="U340" s="358">
        <f t="shared" ca="1" si="232"/>
        <v>0</v>
      </c>
      <c r="V340" s="358">
        <f t="shared" ca="1" si="232"/>
        <v>0</v>
      </c>
      <c r="W340" s="358">
        <f t="shared" ca="1" si="232"/>
        <v>0</v>
      </c>
      <c r="X340" s="358">
        <f t="shared" ca="1" si="232"/>
        <v>0</v>
      </c>
      <c r="Y340" s="358">
        <f t="shared" ca="1" si="232"/>
        <v>0</v>
      </c>
      <c r="Z340" s="358">
        <f t="shared" ca="1" si="232"/>
        <v>0</v>
      </c>
      <c r="AA340" s="358">
        <f t="shared" ca="1" si="233"/>
        <v>0</v>
      </c>
      <c r="AB340" s="358">
        <f t="shared" ca="1" si="233"/>
        <v>0</v>
      </c>
      <c r="AC340" s="358">
        <f t="shared" ca="1" si="233"/>
        <v>0</v>
      </c>
      <c r="AD340" s="358">
        <f t="shared" ca="1" si="233"/>
        <v>0</v>
      </c>
      <c r="AE340" s="358">
        <f t="shared" ca="1" si="233"/>
        <v>0</v>
      </c>
      <c r="AF340" s="358">
        <f t="shared" ca="1" si="233"/>
        <v>0</v>
      </c>
      <c r="AG340" s="358">
        <f t="shared" ca="1" si="233"/>
        <v>0</v>
      </c>
      <c r="AH340" s="358">
        <f t="shared" ca="1" si="233"/>
        <v>0</v>
      </c>
      <c r="AI340" s="358">
        <f t="shared" ca="1" si="233"/>
        <v>0</v>
      </c>
      <c r="AJ340" s="358">
        <f t="shared" ca="1" si="233"/>
        <v>0</v>
      </c>
      <c r="AK340" s="358">
        <f t="shared" ca="1" si="234"/>
        <v>0</v>
      </c>
      <c r="AL340" s="358">
        <f t="shared" ca="1" si="234"/>
        <v>0</v>
      </c>
      <c r="AM340" s="358">
        <f t="shared" ca="1" si="234"/>
        <v>0</v>
      </c>
      <c r="AN340" s="358">
        <f t="shared" ca="1" si="234"/>
        <v>0</v>
      </c>
      <c r="AO340" s="358">
        <f t="shared" ca="1" si="234"/>
        <v>0</v>
      </c>
      <c r="AP340" s="358">
        <f t="shared" ca="1" si="234"/>
        <v>0</v>
      </c>
      <c r="AQ340" s="358">
        <f t="shared" ca="1" si="234"/>
        <v>0</v>
      </c>
      <c r="AR340" s="358">
        <f t="shared" ca="1" si="234"/>
        <v>0</v>
      </c>
      <c r="AS340" s="358">
        <f t="shared" ca="1" si="234"/>
        <v>0</v>
      </c>
      <c r="AT340" s="358">
        <f t="shared" ca="1" si="234"/>
        <v>0</v>
      </c>
      <c r="AV340" s="358">
        <f t="shared" ca="1" si="206"/>
        <v>0</v>
      </c>
      <c r="AX340" s="358">
        <f t="shared" ca="1" si="207"/>
        <v>0</v>
      </c>
      <c r="AZ340" s="358">
        <f t="shared" ca="1" si="208"/>
        <v>0</v>
      </c>
      <c r="BB340" s="358">
        <f t="shared" ca="1" si="209"/>
        <v>0</v>
      </c>
      <c r="BD340" s="358">
        <f t="shared" ca="1" si="210"/>
        <v>0</v>
      </c>
      <c r="BF340" s="358">
        <f t="shared" ca="1" si="211"/>
        <v>0</v>
      </c>
      <c r="BH340" s="358">
        <f t="shared" ca="1" si="212"/>
        <v>0</v>
      </c>
    </row>
    <row r="341" spans="1:60" hidden="1" outlineLevel="1">
      <c r="A341" s="1464">
        <f t="shared" si="222"/>
        <v>18</v>
      </c>
      <c r="B341" s="1464">
        <f t="shared" si="223"/>
        <v>30</v>
      </c>
      <c r="C341" s="1464">
        <f t="shared" si="224"/>
        <v>27</v>
      </c>
      <c r="D341" s="1271" t="str">
        <f ca="1">IF(OFFSET(PortfolioDashboard!$A$3,C341-1,0)="","Blank",OFFSET(PortfolioDashboard!$A$3,C341-1,0))</f>
        <v>Blank</v>
      </c>
      <c r="E341" s="1464" t="str">
        <f t="shared" si="225"/>
        <v>2010$</v>
      </c>
      <c r="F341" s="1460">
        <f t="shared" ca="1" si="226"/>
        <v>0</v>
      </c>
      <c r="G341" s="358">
        <f t="shared" ca="1" si="231"/>
        <v>0</v>
      </c>
      <c r="H341" s="358">
        <f t="shared" ca="1" si="231"/>
        <v>0</v>
      </c>
      <c r="I341" s="358">
        <f t="shared" ca="1" si="231"/>
        <v>0</v>
      </c>
      <c r="J341" s="358">
        <f t="shared" ca="1" si="231"/>
        <v>0</v>
      </c>
      <c r="K341" s="358">
        <f t="shared" ca="1" si="231"/>
        <v>0</v>
      </c>
      <c r="L341" s="358">
        <f t="shared" ca="1" si="231"/>
        <v>0</v>
      </c>
      <c r="M341" s="358">
        <f t="shared" ca="1" si="231"/>
        <v>0</v>
      </c>
      <c r="N341" s="358">
        <f t="shared" ca="1" si="231"/>
        <v>0</v>
      </c>
      <c r="O341" s="358">
        <f t="shared" ca="1" si="231"/>
        <v>0</v>
      </c>
      <c r="P341" s="358">
        <f t="shared" ca="1" si="231"/>
        <v>0</v>
      </c>
      <c r="Q341" s="358">
        <f t="shared" ca="1" si="232"/>
        <v>0</v>
      </c>
      <c r="R341" s="358">
        <f t="shared" ca="1" si="232"/>
        <v>0</v>
      </c>
      <c r="S341" s="358">
        <f t="shared" ca="1" si="232"/>
        <v>0</v>
      </c>
      <c r="T341" s="358">
        <f t="shared" ca="1" si="232"/>
        <v>0</v>
      </c>
      <c r="U341" s="358">
        <f t="shared" ca="1" si="232"/>
        <v>0</v>
      </c>
      <c r="V341" s="358">
        <f t="shared" ca="1" si="232"/>
        <v>0</v>
      </c>
      <c r="W341" s="358">
        <f t="shared" ca="1" si="232"/>
        <v>0</v>
      </c>
      <c r="X341" s="358">
        <f t="shared" ca="1" si="232"/>
        <v>0</v>
      </c>
      <c r="Y341" s="358">
        <f t="shared" ca="1" si="232"/>
        <v>0</v>
      </c>
      <c r="Z341" s="358">
        <f t="shared" ca="1" si="232"/>
        <v>0</v>
      </c>
      <c r="AA341" s="358">
        <f t="shared" ca="1" si="233"/>
        <v>0</v>
      </c>
      <c r="AB341" s="358">
        <f t="shared" ca="1" si="233"/>
        <v>0</v>
      </c>
      <c r="AC341" s="358">
        <f t="shared" ca="1" si="233"/>
        <v>0</v>
      </c>
      <c r="AD341" s="358">
        <f t="shared" ca="1" si="233"/>
        <v>0</v>
      </c>
      <c r="AE341" s="358">
        <f t="shared" ca="1" si="233"/>
        <v>0</v>
      </c>
      <c r="AF341" s="358">
        <f t="shared" ca="1" si="233"/>
        <v>0</v>
      </c>
      <c r="AG341" s="358">
        <f t="shared" ca="1" si="233"/>
        <v>0</v>
      </c>
      <c r="AH341" s="358">
        <f t="shared" ca="1" si="233"/>
        <v>0</v>
      </c>
      <c r="AI341" s="358">
        <f t="shared" ca="1" si="233"/>
        <v>0</v>
      </c>
      <c r="AJ341" s="358">
        <f t="shared" ca="1" si="233"/>
        <v>0</v>
      </c>
      <c r="AK341" s="358">
        <f t="shared" ca="1" si="234"/>
        <v>0</v>
      </c>
      <c r="AL341" s="358">
        <f t="shared" ca="1" si="234"/>
        <v>0</v>
      </c>
      <c r="AM341" s="358">
        <f t="shared" ca="1" si="234"/>
        <v>0</v>
      </c>
      <c r="AN341" s="358">
        <f t="shared" ca="1" si="234"/>
        <v>0</v>
      </c>
      <c r="AO341" s="358">
        <f t="shared" ca="1" si="234"/>
        <v>0</v>
      </c>
      <c r="AP341" s="358">
        <f t="shared" ca="1" si="234"/>
        <v>0</v>
      </c>
      <c r="AQ341" s="358">
        <f t="shared" ca="1" si="234"/>
        <v>0</v>
      </c>
      <c r="AR341" s="358">
        <f t="shared" ca="1" si="234"/>
        <v>0</v>
      </c>
      <c r="AS341" s="358">
        <f t="shared" ca="1" si="234"/>
        <v>0</v>
      </c>
      <c r="AT341" s="358">
        <f t="shared" ca="1" si="234"/>
        <v>0</v>
      </c>
      <c r="AV341" s="358">
        <f t="shared" ca="1" si="206"/>
        <v>0</v>
      </c>
      <c r="AX341" s="358">
        <f t="shared" ca="1" si="207"/>
        <v>0</v>
      </c>
      <c r="AZ341" s="358">
        <f t="shared" ca="1" si="208"/>
        <v>0</v>
      </c>
      <c r="BB341" s="358">
        <f t="shared" ca="1" si="209"/>
        <v>0</v>
      </c>
      <c r="BD341" s="358">
        <f t="shared" ca="1" si="210"/>
        <v>0</v>
      </c>
      <c r="BF341" s="358">
        <f t="shared" ca="1" si="211"/>
        <v>0</v>
      </c>
      <c r="BH341" s="358">
        <f t="shared" ca="1" si="212"/>
        <v>0</v>
      </c>
    </row>
    <row r="342" spans="1:60" hidden="1" outlineLevel="1">
      <c r="A342" s="1464">
        <f t="shared" si="222"/>
        <v>18</v>
      </c>
      <c r="B342" s="1464">
        <f t="shared" si="223"/>
        <v>30</v>
      </c>
      <c r="C342" s="1464">
        <f t="shared" si="224"/>
        <v>28</v>
      </c>
      <c r="D342" s="1271" t="str">
        <f ca="1">IF(OFFSET(PortfolioDashboard!$A$3,C342-1,0)="","Blank",OFFSET(PortfolioDashboard!$A$3,C342-1,0))</f>
        <v>Blank</v>
      </c>
      <c r="E342" s="1464" t="str">
        <f t="shared" si="225"/>
        <v>2010$</v>
      </c>
      <c r="F342" s="1460">
        <f t="shared" ca="1" si="226"/>
        <v>0</v>
      </c>
      <c r="G342" s="358">
        <f t="shared" ca="1" si="231"/>
        <v>0</v>
      </c>
      <c r="H342" s="358">
        <f t="shared" ca="1" si="231"/>
        <v>0</v>
      </c>
      <c r="I342" s="358">
        <f t="shared" ca="1" si="231"/>
        <v>0</v>
      </c>
      <c r="J342" s="358">
        <f t="shared" ca="1" si="231"/>
        <v>0</v>
      </c>
      <c r="K342" s="358">
        <f t="shared" ca="1" si="231"/>
        <v>0</v>
      </c>
      <c r="L342" s="358">
        <f t="shared" ca="1" si="231"/>
        <v>0</v>
      </c>
      <c r="M342" s="358">
        <f t="shared" ca="1" si="231"/>
        <v>0</v>
      </c>
      <c r="N342" s="358">
        <f t="shared" ca="1" si="231"/>
        <v>0</v>
      </c>
      <c r="O342" s="358">
        <f t="shared" ca="1" si="231"/>
        <v>0</v>
      </c>
      <c r="P342" s="358">
        <f t="shared" ca="1" si="231"/>
        <v>0</v>
      </c>
      <c r="Q342" s="358">
        <f t="shared" ca="1" si="232"/>
        <v>0</v>
      </c>
      <c r="R342" s="358">
        <f t="shared" ca="1" si="232"/>
        <v>0</v>
      </c>
      <c r="S342" s="358">
        <f t="shared" ca="1" si="232"/>
        <v>0</v>
      </c>
      <c r="T342" s="358">
        <f t="shared" ca="1" si="232"/>
        <v>0</v>
      </c>
      <c r="U342" s="358">
        <f t="shared" ca="1" si="232"/>
        <v>0</v>
      </c>
      <c r="V342" s="358">
        <f t="shared" ca="1" si="232"/>
        <v>0</v>
      </c>
      <c r="W342" s="358">
        <f t="shared" ca="1" si="232"/>
        <v>0</v>
      </c>
      <c r="X342" s="358">
        <f t="shared" ca="1" si="232"/>
        <v>0</v>
      </c>
      <c r="Y342" s="358">
        <f t="shared" ca="1" si="232"/>
        <v>0</v>
      </c>
      <c r="Z342" s="358">
        <f t="shared" ca="1" si="232"/>
        <v>0</v>
      </c>
      <c r="AA342" s="358">
        <f t="shared" ca="1" si="233"/>
        <v>0</v>
      </c>
      <c r="AB342" s="358">
        <f t="shared" ca="1" si="233"/>
        <v>0</v>
      </c>
      <c r="AC342" s="358">
        <f t="shared" ca="1" si="233"/>
        <v>0</v>
      </c>
      <c r="AD342" s="358">
        <f t="shared" ca="1" si="233"/>
        <v>0</v>
      </c>
      <c r="AE342" s="358">
        <f t="shared" ca="1" si="233"/>
        <v>0</v>
      </c>
      <c r="AF342" s="358">
        <f t="shared" ca="1" si="233"/>
        <v>0</v>
      </c>
      <c r="AG342" s="358">
        <f t="shared" ca="1" si="233"/>
        <v>0</v>
      </c>
      <c r="AH342" s="358">
        <f t="shared" ca="1" si="233"/>
        <v>0</v>
      </c>
      <c r="AI342" s="358">
        <f t="shared" ca="1" si="233"/>
        <v>0</v>
      </c>
      <c r="AJ342" s="358">
        <f t="shared" ca="1" si="233"/>
        <v>0</v>
      </c>
      <c r="AK342" s="358">
        <f t="shared" ca="1" si="234"/>
        <v>0</v>
      </c>
      <c r="AL342" s="358">
        <f t="shared" ca="1" si="234"/>
        <v>0</v>
      </c>
      <c r="AM342" s="358">
        <f t="shared" ca="1" si="234"/>
        <v>0</v>
      </c>
      <c r="AN342" s="358">
        <f t="shared" ca="1" si="234"/>
        <v>0</v>
      </c>
      <c r="AO342" s="358">
        <f t="shared" ca="1" si="234"/>
        <v>0</v>
      </c>
      <c r="AP342" s="358">
        <f t="shared" ca="1" si="234"/>
        <v>0</v>
      </c>
      <c r="AQ342" s="358">
        <f t="shared" ca="1" si="234"/>
        <v>0</v>
      </c>
      <c r="AR342" s="358">
        <f t="shared" ca="1" si="234"/>
        <v>0</v>
      </c>
      <c r="AS342" s="358">
        <f t="shared" ca="1" si="234"/>
        <v>0</v>
      </c>
      <c r="AT342" s="358">
        <f t="shared" ca="1" si="234"/>
        <v>0</v>
      </c>
      <c r="AV342" s="358">
        <f t="shared" ca="1" si="206"/>
        <v>0</v>
      </c>
      <c r="AX342" s="358">
        <f t="shared" ca="1" si="207"/>
        <v>0</v>
      </c>
      <c r="AZ342" s="358">
        <f t="shared" ca="1" si="208"/>
        <v>0</v>
      </c>
      <c r="BB342" s="358">
        <f t="shared" ca="1" si="209"/>
        <v>0</v>
      </c>
      <c r="BD342" s="358">
        <f t="shared" ca="1" si="210"/>
        <v>0</v>
      </c>
      <c r="BF342" s="358">
        <f t="shared" ca="1" si="211"/>
        <v>0</v>
      </c>
      <c r="BH342" s="358">
        <f t="shared" ca="1" si="212"/>
        <v>0</v>
      </c>
    </row>
    <row r="343" spans="1:60" hidden="1" outlineLevel="1">
      <c r="A343" s="1464">
        <f t="shared" si="222"/>
        <v>18</v>
      </c>
      <c r="B343" s="1464">
        <f t="shared" si="223"/>
        <v>30</v>
      </c>
      <c r="C343" s="1464">
        <f t="shared" si="224"/>
        <v>29</v>
      </c>
      <c r="D343" s="1271" t="str">
        <f ca="1">IF(OFFSET(PortfolioDashboard!$A$3,C343-1,0)="","Blank",OFFSET(PortfolioDashboard!$A$3,C343-1,0))</f>
        <v>Blank</v>
      </c>
      <c r="E343" s="1464" t="str">
        <f t="shared" si="225"/>
        <v>2010$</v>
      </c>
      <c r="F343" s="1460">
        <f t="shared" ca="1" si="226"/>
        <v>0</v>
      </c>
      <c r="G343" s="358">
        <f t="shared" ca="1" si="231"/>
        <v>0</v>
      </c>
      <c r="H343" s="358">
        <f t="shared" ca="1" si="231"/>
        <v>0</v>
      </c>
      <c r="I343" s="358">
        <f t="shared" ca="1" si="231"/>
        <v>0</v>
      </c>
      <c r="J343" s="358">
        <f t="shared" ca="1" si="231"/>
        <v>0</v>
      </c>
      <c r="K343" s="358">
        <f t="shared" ca="1" si="231"/>
        <v>0</v>
      </c>
      <c r="L343" s="358">
        <f t="shared" ca="1" si="231"/>
        <v>0</v>
      </c>
      <c r="M343" s="358">
        <f t="shared" ca="1" si="231"/>
        <v>0</v>
      </c>
      <c r="N343" s="358">
        <f t="shared" ca="1" si="231"/>
        <v>0</v>
      </c>
      <c r="O343" s="358">
        <f t="shared" ca="1" si="231"/>
        <v>0</v>
      </c>
      <c r="P343" s="358">
        <f t="shared" ca="1" si="231"/>
        <v>0</v>
      </c>
      <c r="Q343" s="358">
        <f t="shared" ca="1" si="232"/>
        <v>0</v>
      </c>
      <c r="R343" s="358">
        <f t="shared" ca="1" si="232"/>
        <v>0</v>
      </c>
      <c r="S343" s="358">
        <f t="shared" ca="1" si="232"/>
        <v>0</v>
      </c>
      <c r="T343" s="358">
        <f t="shared" ca="1" si="232"/>
        <v>0</v>
      </c>
      <c r="U343" s="358">
        <f t="shared" ca="1" si="232"/>
        <v>0</v>
      </c>
      <c r="V343" s="358">
        <f t="shared" ca="1" si="232"/>
        <v>0</v>
      </c>
      <c r="W343" s="358">
        <f t="shared" ca="1" si="232"/>
        <v>0</v>
      </c>
      <c r="X343" s="358">
        <f t="shared" ca="1" si="232"/>
        <v>0</v>
      </c>
      <c r="Y343" s="358">
        <f t="shared" ca="1" si="232"/>
        <v>0</v>
      </c>
      <c r="Z343" s="358">
        <f t="shared" ca="1" si="232"/>
        <v>0</v>
      </c>
      <c r="AA343" s="358">
        <f t="shared" ca="1" si="233"/>
        <v>0</v>
      </c>
      <c r="AB343" s="358">
        <f t="shared" ca="1" si="233"/>
        <v>0</v>
      </c>
      <c r="AC343" s="358">
        <f t="shared" ca="1" si="233"/>
        <v>0</v>
      </c>
      <c r="AD343" s="358">
        <f t="shared" ca="1" si="233"/>
        <v>0</v>
      </c>
      <c r="AE343" s="358">
        <f t="shared" ca="1" si="233"/>
        <v>0</v>
      </c>
      <c r="AF343" s="358">
        <f t="shared" ca="1" si="233"/>
        <v>0</v>
      </c>
      <c r="AG343" s="358">
        <f t="shared" ca="1" si="233"/>
        <v>0</v>
      </c>
      <c r="AH343" s="358">
        <f t="shared" ca="1" si="233"/>
        <v>0</v>
      </c>
      <c r="AI343" s="358">
        <f t="shared" ca="1" si="233"/>
        <v>0</v>
      </c>
      <c r="AJ343" s="358">
        <f t="shared" ca="1" si="233"/>
        <v>0</v>
      </c>
      <c r="AK343" s="358">
        <f t="shared" ca="1" si="234"/>
        <v>0</v>
      </c>
      <c r="AL343" s="358">
        <f t="shared" ca="1" si="234"/>
        <v>0</v>
      </c>
      <c r="AM343" s="358">
        <f t="shared" ca="1" si="234"/>
        <v>0</v>
      </c>
      <c r="AN343" s="358">
        <f t="shared" ca="1" si="234"/>
        <v>0</v>
      </c>
      <c r="AO343" s="358">
        <f t="shared" ca="1" si="234"/>
        <v>0</v>
      </c>
      <c r="AP343" s="358">
        <f t="shared" ca="1" si="234"/>
        <v>0</v>
      </c>
      <c r="AQ343" s="358">
        <f t="shared" ca="1" si="234"/>
        <v>0</v>
      </c>
      <c r="AR343" s="358">
        <f t="shared" ca="1" si="234"/>
        <v>0</v>
      </c>
      <c r="AS343" s="358">
        <f t="shared" ca="1" si="234"/>
        <v>0</v>
      </c>
      <c r="AT343" s="358">
        <f t="shared" ca="1" si="234"/>
        <v>0</v>
      </c>
      <c r="AV343" s="358">
        <f t="shared" ca="1" si="206"/>
        <v>0</v>
      </c>
      <c r="AX343" s="358">
        <f t="shared" ca="1" si="207"/>
        <v>0</v>
      </c>
      <c r="AZ343" s="358">
        <f t="shared" ca="1" si="208"/>
        <v>0</v>
      </c>
      <c r="BB343" s="358">
        <f t="shared" ca="1" si="209"/>
        <v>0</v>
      </c>
      <c r="BD343" s="358">
        <f t="shared" ca="1" si="210"/>
        <v>0</v>
      </c>
      <c r="BF343" s="358">
        <f t="shared" ca="1" si="211"/>
        <v>0</v>
      </c>
      <c r="BH343" s="358">
        <f t="shared" ca="1" si="212"/>
        <v>0</v>
      </c>
    </row>
    <row r="344" spans="1:60" hidden="1" outlineLevel="1">
      <c r="A344" s="1464">
        <f t="shared" si="222"/>
        <v>18</v>
      </c>
      <c r="B344" s="1464">
        <f t="shared" si="223"/>
        <v>30</v>
      </c>
      <c r="C344" s="1464">
        <f t="shared" si="224"/>
        <v>30</v>
      </c>
      <c r="D344" s="1271" t="str">
        <f ca="1">IF(OFFSET(PortfolioDashboard!$A$3,C344-1,0)="","Blank",OFFSET(PortfolioDashboard!$A$3,C344-1,0))</f>
        <v>Blank</v>
      </c>
      <c r="E344" s="1464" t="str">
        <f t="shared" si="225"/>
        <v>2010$</v>
      </c>
      <c r="F344" s="1460">
        <f t="shared" ca="1" si="226"/>
        <v>0</v>
      </c>
      <c r="G344" s="358">
        <f t="shared" ca="1" si="231"/>
        <v>0</v>
      </c>
      <c r="H344" s="358">
        <f t="shared" ca="1" si="231"/>
        <v>0</v>
      </c>
      <c r="I344" s="358">
        <f t="shared" ca="1" si="231"/>
        <v>0</v>
      </c>
      <c r="J344" s="358">
        <f t="shared" ca="1" si="231"/>
        <v>0</v>
      </c>
      <c r="K344" s="358">
        <f t="shared" ca="1" si="231"/>
        <v>0</v>
      </c>
      <c r="L344" s="358">
        <f t="shared" ca="1" si="231"/>
        <v>0</v>
      </c>
      <c r="M344" s="358">
        <f t="shared" ca="1" si="231"/>
        <v>0</v>
      </c>
      <c r="N344" s="358">
        <f t="shared" ca="1" si="231"/>
        <v>0</v>
      </c>
      <c r="O344" s="358">
        <f t="shared" ca="1" si="231"/>
        <v>0</v>
      </c>
      <c r="P344" s="358">
        <f t="shared" ca="1" si="231"/>
        <v>0</v>
      </c>
      <c r="Q344" s="358">
        <f t="shared" ca="1" si="232"/>
        <v>0</v>
      </c>
      <c r="R344" s="358">
        <f t="shared" ca="1" si="232"/>
        <v>0</v>
      </c>
      <c r="S344" s="358">
        <f t="shared" ca="1" si="232"/>
        <v>0</v>
      </c>
      <c r="T344" s="358">
        <f t="shared" ca="1" si="232"/>
        <v>0</v>
      </c>
      <c r="U344" s="358">
        <f t="shared" ca="1" si="232"/>
        <v>0</v>
      </c>
      <c r="V344" s="358">
        <f t="shared" ca="1" si="232"/>
        <v>0</v>
      </c>
      <c r="W344" s="358">
        <f t="shared" ca="1" si="232"/>
        <v>0</v>
      </c>
      <c r="X344" s="358">
        <f t="shared" ca="1" si="232"/>
        <v>0</v>
      </c>
      <c r="Y344" s="358">
        <f t="shared" ca="1" si="232"/>
        <v>0</v>
      </c>
      <c r="Z344" s="358">
        <f t="shared" ca="1" si="232"/>
        <v>0</v>
      </c>
      <c r="AA344" s="358">
        <f t="shared" ca="1" si="233"/>
        <v>0</v>
      </c>
      <c r="AB344" s="358">
        <f t="shared" ca="1" si="233"/>
        <v>0</v>
      </c>
      <c r="AC344" s="358">
        <f t="shared" ca="1" si="233"/>
        <v>0</v>
      </c>
      <c r="AD344" s="358">
        <f t="shared" ca="1" si="233"/>
        <v>0</v>
      </c>
      <c r="AE344" s="358">
        <f t="shared" ca="1" si="233"/>
        <v>0</v>
      </c>
      <c r="AF344" s="358">
        <f t="shared" ca="1" si="233"/>
        <v>0</v>
      </c>
      <c r="AG344" s="358">
        <f t="shared" ca="1" si="233"/>
        <v>0</v>
      </c>
      <c r="AH344" s="358">
        <f t="shared" ca="1" si="233"/>
        <v>0</v>
      </c>
      <c r="AI344" s="358">
        <f t="shared" ca="1" si="233"/>
        <v>0</v>
      </c>
      <c r="AJ344" s="358">
        <f t="shared" ca="1" si="233"/>
        <v>0</v>
      </c>
      <c r="AK344" s="358">
        <f t="shared" ca="1" si="234"/>
        <v>0</v>
      </c>
      <c r="AL344" s="358">
        <f t="shared" ca="1" si="234"/>
        <v>0</v>
      </c>
      <c r="AM344" s="358">
        <f t="shared" ca="1" si="234"/>
        <v>0</v>
      </c>
      <c r="AN344" s="358">
        <f t="shared" ca="1" si="234"/>
        <v>0</v>
      </c>
      <c r="AO344" s="358">
        <f t="shared" ca="1" si="234"/>
        <v>0</v>
      </c>
      <c r="AP344" s="358">
        <f t="shared" ca="1" si="234"/>
        <v>0</v>
      </c>
      <c r="AQ344" s="358">
        <f t="shared" ca="1" si="234"/>
        <v>0</v>
      </c>
      <c r="AR344" s="358">
        <f t="shared" ca="1" si="234"/>
        <v>0</v>
      </c>
      <c r="AS344" s="358">
        <f t="shared" ca="1" si="234"/>
        <v>0</v>
      </c>
      <c r="AT344" s="358">
        <f t="shared" ca="1" si="234"/>
        <v>0</v>
      </c>
      <c r="AV344" s="358">
        <f t="shared" ca="1" si="206"/>
        <v>0</v>
      </c>
      <c r="AX344" s="358">
        <f t="shared" ca="1" si="207"/>
        <v>0</v>
      </c>
      <c r="AZ344" s="358">
        <f t="shared" ca="1" si="208"/>
        <v>0</v>
      </c>
      <c r="BB344" s="358">
        <f t="shared" ca="1" si="209"/>
        <v>0</v>
      </c>
      <c r="BD344" s="358">
        <f t="shared" ca="1" si="210"/>
        <v>0</v>
      </c>
      <c r="BF344" s="358">
        <f t="shared" ca="1" si="211"/>
        <v>0</v>
      </c>
      <c r="BH344" s="358">
        <f t="shared" ca="1" si="212"/>
        <v>0</v>
      </c>
    </row>
    <row r="345" spans="1:60" collapsed="1">
      <c r="A345" s="1464"/>
      <c r="B345" s="1464"/>
      <c r="C345" s="1464"/>
      <c r="D345" s="1272" t="s">
        <v>1510</v>
      </c>
      <c r="E345" s="1270" t="str">
        <f>E315</f>
        <v>2010$</v>
      </c>
      <c r="F345" s="1461">
        <f t="shared" ca="1" si="226"/>
        <v>0</v>
      </c>
      <c r="G345" s="1277">
        <f t="shared" ref="G345:AT345" ca="1" si="235">SUM(G315:G344)</f>
        <v>0</v>
      </c>
      <c r="H345" s="1277">
        <f t="shared" ca="1" si="235"/>
        <v>0</v>
      </c>
      <c r="I345" s="1277">
        <f t="shared" ca="1" si="235"/>
        <v>0</v>
      </c>
      <c r="J345" s="1277">
        <f t="shared" ca="1" si="235"/>
        <v>0</v>
      </c>
      <c r="K345" s="1277">
        <f t="shared" ca="1" si="235"/>
        <v>0</v>
      </c>
      <c r="L345" s="1277">
        <f t="shared" ca="1" si="235"/>
        <v>0</v>
      </c>
      <c r="M345" s="1277">
        <f t="shared" ca="1" si="235"/>
        <v>0</v>
      </c>
      <c r="N345" s="1277">
        <f t="shared" ca="1" si="235"/>
        <v>0</v>
      </c>
      <c r="O345" s="1277">
        <f t="shared" ca="1" si="235"/>
        <v>0</v>
      </c>
      <c r="P345" s="1277">
        <f t="shared" ca="1" si="235"/>
        <v>0</v>
      </c>
      <c r="Q345" s="1277">
        <f t="shared" ca="1" si="235"/>
        <v>0</v>
      </c>
      <c r="R345" s="1277">
        <f t="shared" ca="1" si="235"/>
        <v>0</v>
      </c>
      <c r="S345" s="1277">
        <f t="shared" ca="1" si="235"/>
        <v>0</v>
      </c>
      <c r="T345" s="1277">
        <f t="shared" ca="1" si="235"/>
        <v>0</v>
      </c>
      <c r="U345" s="1277">
        <f t="shared" ca="1" si="235"/>
        <v>0</v>
      </c>
      <c r="V345" s="1277">
        <f t="shared" ca="1" si="235"/>
        <v>0</v>
      </c>
      <c r="W345" s="1277">
        <f t="shared" ca="1" si="235"/>
        <v>0</v>
      </c>
      <c r="X345" s="1277">
        <f t="shared" ca="1" si="235"/>
        <v>0</v>
      </c>
      <c r="Y345" s="1277">
        <f t="shared" ca="1" si="235"/>
        <v>0</v>
      </c>
      <c r="Z345" s="1277">
        <f t="shared" ca="1" si="235"/>
        <v>0</v>
      </c>
      <c r="AA345" s="1277">
        <f t="shared" ca="1" si="235"/>
        <v>0</v>
      </c>
      <c r="AB345" s="1277">
        <f t="shared" ca="1" si="235"/>
        <v>0</v>
      </c>
      <c r="AC345" s="1277">
        <f t="shared" ca="1" si="235"/>
        <v>0</v>
      </c>
      <c r="AD345" s="1277">
        <f t="shared" ca="1" si="235"/>
        <v>0</v>
      </c>
      <c r="AE345" s="1277">
        <f t="shared" ca="1" si="235"/>
        <v>0</v>
      </c>
      <c r="AF345" s="1277">
        <f t="shared" ca="1" si="235"/>
        <v>0</v>
      </c>
      <c r="AG345" s="1277">
        <f t="shared" ca="1" si="235"/>
        <v>0</v>
      </c>
      <c r="AH345" s="1277">
        <f t="shared" ca="1" si="235"/>
        <v>0</v>
      </c>
      <c r="AI345" s="1277">
        <f t="shared" ca="1" si="235"/>
        <v>0</v>
      </c>
      <c r="AJ345" s="1277">
        <f t="shared" ca="1" si="235"/>
        <v>0</v>
      </c>
      <c r="AK345" s="1277">
        <f t="shared" ca="1" si="235"/>
        <v>0</v>
      </c>
      <c r="AL345" s="1277">
        <f t="shared" ca="1" si="235"/>
        <v>0</v>
      </c>
      <c r="AM345" s="1277">
        <f t="shared" ca="1" si="235"/>
        <v>0</v>
      </c>
      <c r="AN345" s="1277">
        <f t="shared" ca="1" si="235"/>
        <v>0</v>
      </c>
      <c r="AO345" s="1277">
        <f t="shared" ca="1" si="235"/>
        <v>0</v>
      </c>
      <c r="AP345" s="1277">
        <f t="shared" ca="1" si="235"/>
        <v>0</v>
      </c>
      <c r="AQ345" s="1277">
        <f t="shared" ca="1" si="235"/>
        <v>0</v>
      </c>
      <c r="AR345" s="1277">
        <f t="shared" ca="1" si="235"/>
        <v>0</v>
      </c>
      <c r="AS345" s="1277">
        <f t="shared" ca="1" si="235"/>
        <v>0</v>
      </c>
      <c r="AT345" s="1277">
        <f t="shared" ca="1" si="235"/>
        <v>0</v>
      </c>
      <c r="AV345" s="1277">
        <f t="shared" ca="1" si="206"/>
        <v>0</v>
      </c>
      <c r="AX345" s="1277">
        <f t="shared" ca="1" si="207"/>
        <v>0</v>
      </c>
      <c r="AZ345" s="1277">
        <f t="shared" ca="1" si="208"/>
        <v>0</v>
      </c>
      <c r="BB345" s="1277">
        <f t="shared" ca="1" si="209"/>
        <v>0</v>
      </c>
      <c r="BD345" s="1277">
        <f t="shared" ca="1" si="210"/>
        <v>0</v>
      </c>
      <c r="BF345" s="1277">
        <f t="shared" ca="1" si="211"/>
        <v>0</v>
      </c>
      <c r="BH345" s="1277">
        <f t="shared" ca="1" si="212"/>
        <v>0</v>
      </c>
    </row>
    <row r="346" spans="1:60" hidden="1" outlineLevel="1">
      <c r="A346" s="1464">
        <v>18</v>
      </c>
      <c r="B346" s="1464">
        <v>31</v>
      </c>
      <c r="C346" s="1464">
        <v>1</v>
      </c>
      <c r="D346" s="1271" t="str">
        <f ca="1">IF(OFFSET(PortfolioDashboard!$A$3,C346-1,0)="","Blank",OFFSET(PortfolioDashboard!$A$3,C346-1,0))</f>
        <v>Behavior Change</v>
      </c>
      <c r="E346" s="1464" t="s">
        <v>1197</v>
      </c>
      <c r="F346" s="1460">
        <f t="shared" ca="1" si="226"/>
        <v>0</v>
      </c>
      <c r="G346" s="358">
        <f t="shared" ref="G346:P355" ca="1" si="236">IFERROR(OFFSET(INDIRECT(INDEX(List_of_Alternatives,MATCH($D346,NameofAlternatives,0))),$A346+G$1-$G$1,$B346),0)</f>
        <v>0</v>
      </c>
      <c r="H346" s="358">
        <f t="shared" ca="1" si="236"/>
        <v>0</v>
      </c>
      <c r="I346" s="358">
        <f t="shared" ca="1" si="236"/>
        <v>0</v>
      </c>
      <c r="J346" s="358">
        <f t="shared" ca="1" si="236"/>
        <v>0</v>
      </c>
      <c r="K346" s="358">
        <f t="shared" ca="1" si="236"/>
        <v>0</v>
      </c>
      <c r="L346" s="358">
        <f t="shared" ca="1" si="236"/>
        <v>0</v>
      </c>
      <c r="M346" s="358">
        <f t="shared" ca="1" si="236"/>
        <v>0</v>
      </c>
      <c r="N346" s="358">
        <f t="shared" ca="1" si="236"/>
        <v>0</v>
      </c>
      <c r="O346" s="358">
        <f t="shared" ca="1" si="236"/>
        <v>0</v>
      </c>
      <c r="P346" s="358">
        <f t="shared" ca="1" si="236"/>
        <v>0</v>
      </c>
      <c r="Q346" s="358">
        <f t="shared" ref="Q346:Z355" ca="1" si="237">IFERROR(OFFSET(INDIRECT(INDEX(List_of_Alternatives,MATCH($D346,NameofAlternatives,0))),$A346+Q$1-$G$1,$B346),0)</f>
        <v>0</v>
      </c>
      <c r="R346" s="358">
        <f t="shared" ca="1" si="237"/>
        <v>0</v>
      </c>
      <c r="S346" s="358">
        <f t="shared" ca="1" si="237"/>
        <v>0</v>
      </c>
      <c r="T346" s="358">
        <f t="shared" ca="1" si="237"/>
        <v>0</v>
      </c>
      <c r="U346" s="358">
        <f t="shared" ca="1" si="237"/>
        <v>0</v>
      </c>
      <c r="V346" s="358">
        <f t="shared" ca="1" si="237"/>
        <v>0</v>
      </c>
      <c r="W346" s="358">
        <f t="shared" ca="1" si="237"/>
        <v>0</v>
      </c>
      <c r="X346" s="358">
        <f t="shared" ca="1" si="237"/>
        <v>0</v>
      </c>
      <c r="Y346" s="358">
        <f t="shared" ca="1" si="237"/>
        <v>0</v>
      </c>
      <c r="Z346" s="358">
        <f t="shared" ca="1" si="237"/>
        <v>0</v>
      </c>
      <c r="AA346" s="358">
        <f t="shared" ref="AA346:AJ355" ca="1" si="238">IFERROR(OFFSET(INDIRECT(INDEX(List_of_Alternatives,MATCH($D346,NameofAlternatives,0))),$A346+AA$1-$G$1,$B346),0)</f>
        <v>0</v>
      </c>
      <c r="AB346" s="358">
        <f t="shared" ca="1" si="238"/>
        <v>0</v>
      </c>
      <c r="AC346" s="358">
        <f t="shared" ca="1" si="238"/>
        <v>0</v>
      </c>
      <c r="AD346" s="358">
        <f t="shared" ca="1" si="238"/>
        <v>0</v>
      </c>
      <c r="AE346" s="358">
        <f t="shared" ca="1" si="238"/>
        <v>0</v>
      </c>
      <c r="AF346" s="358">
        <f t="shared" ca="1" si="238"/>
        <v>0</v>
      </c>
      <c r="AG346" s="358">
        <f t="shared" ca="1" si="238"/>
        <v>0</v>
      </c>
      <c r="AH346" s="358">
        <f t="shared" ca="1" si="238"/>
        <v>0</v>
      </c>
      <c r="AI346" s="358">
        <f t="shared" ca="1" si="238"/>
        <v>0</v>
      </c>
      <c r="AJ346" s="358">
        <f t="shared" ca="1" si="238"/>
        <v>0</v>
      </c>
      <c r="AK346" s="358">
        <f t="shared" ref="AK346:AT355" ca="1" si="239">IFERROR(OFFSET(INDIRECT(INDEX(List_of_Alternatives,MATCH($D346,NameofAlternatives,0))),$A346+AK$1-$G$1,$B346),0)</f>
        <v>0</v>
      </c>
      <c r="AL346" s="358">
        <f t="shared" ca="1" si="239"/>
        <v>0</v>
      </c>
      <c r="AM346" s="358">
        <f t="shared" ca="1" si="239"/>
        <v>0</v>
      </c>
      <c r="AN346" s="358">
        <f t="shared" ca="1" si="239"/>
        <v>0</v>
      </c>
      <c r="AO346" s="358">
        <f t="shared" ca="1" si="239"/>
        <v>0</v>
      </c>
      <c r="AP346" s="358">
        <f t="shared" ca="1" si="239"/>
        <v>0</v>
      </c>
      <c r="AQ346" s="358">
        <f t="shared" ca="1" si="239"/>
        <v>0</v>
      </c>
      <c r="AR346" s="358">
        <f t="shared" ca="1" si="239"/>
        <v>0</v>
      </c>
      <c r="AS346" s="358">
        <f t="shared" ca="1" si="239"/>
        <v>0</v>
      </c>
      <c r="AT346" s="358">
        <f t="shared" ca="1" si="239"/>
        <v>0</v>
      </c>
      <c r="AV346" s="358">
        <f t="shared" ca="1" si="206"/>
        <v>0</v>
      </c>
      <c r="AX346" s="358">
        <f t="shared" ca="1" si="207"/>
        <v>0</v>
      </c>
      <c r="AZ346" s="358">
        <f t="shared" ca="1" si="208"/>
        <v>0</v>
      </c>
      <c r="BB346" s="358">
        <f t="shared" ca="1" si="209"/>
        <v>0</v>
      </c>
      <c r="BD346" s="358">
        <f t="shared" ca="1" si="210"/>
        <v>0</v>
      </c>
      <c r="BF346" s="358">
        <f t="shared" ca="1" si="211"/>
        <v>0</v>
      </c>
      <c r="BH346" s="358">
        <f t="shared" ca="1" si="212"/>
        <v>0</v>
      </c>
    </row>
    <row r="347" spans="1:60" hidden="1" outlineLevel="1">
      <c r="A347" s="1464">
        <f>A346</f>
        <v>18</v>
      </c>
      <c r="B347" s="1464">
        <f>B346</f>
        <v>31</v>
      </c>
      <c r="C347" s="1464">
        <f>C346+1</f>
        <v>2</v>
      </c>
      <c r="D347" s="1271" t="str">
        <f ca="1">IF(OFFSET(PortfolioDashboard!$A$3,C347-1,0)="","Blank",OFFSET(PortfolioDashboard!$A$3,C347-1,0))</f>
        <v>Building Design &amp; Construction Standards</v>
      </c>
      <c r="E347" s="1464" t="str">
        <f>E346</f>
        <v>2010$</v>
      </c>
      <c r="F347" s="1460">
        <f t="shared" ca="1" si="226"/>
        <v>0</v>
      </c>
      <c r="G347" s="358">
        <f t="shared" ca="1" si="236"/>
        <v>0</v>
      </c>
      <c r="H347" s="358">
        <f t="shared" ca="1" si="236"/>
        <v>0</v>
      </c>
      <c r="I347" s="358">
        <f t="shared" ca="1" si="236"/>
        <v>0</v>
      </c>
      <c r="J347" s="358">
        <f t="shared" ca="1" si="236"/>
        <v>0</v>
      </c>
      <c r="K347" s="358">
        <f t="shared" ca="1" si="236"/>
        <v>0</v>
      </c>
      <c r="L347" s="358">
        <f t="shared" ca="1" si="236"/>
        <v>0</v>
      </c>
      <c r="M347" s="358">
        <f t="shared" ca="1" si="236"/>
        <v>0</v>
      </c>
      <c r="N347" s="358">
        <f t="shared" ca="1" si="236"/>
        <v>0</v>
      </c>
      <c r="O347" s="358">
        <f t="shared" ca="1" si="236"/>
        <v>0</v>
      </c>
      <c r="P347" s="358">
        <f t="shared" ca="1" si="236"/>
        <v>0</v>
      </c>
      <c r="Q347" s="358">
        <f t="shared" ca="1" si="237"/>
        <v>0</v>
      </c>
      <c r="R347" s="358">
        <f t="shared" ca="1" si="237"/>
        <v>0</v>
      </c>
      <c r="S347" s="358">
        <f t="shared" ca="1" si="237"/>
        <v>0</v>
      </c>
      <c r="T347" s="358">
        <f t="shared" ca="1" si="237"/>
        <v>0</v>
      </c>
      <c r="U347" s="358">
        <f t="shared" ca="1" si="237"/>
        <v>0</v>
      </c>
      <c r="V347" s="358">
        <f t="shared" ca="1" si="237"/>
        <v>0</v>
      </c>
      <c r="W347" s="358">
        <f t="shared" ca="1" si="237"/>
        <v>0</v>
      </c>
      <c r="X347" s="358">
        <f t="shared" ca="1" si="237"/>
        <v>0</v>
      </c>
      <c r="Y347" s="358">
        <f t="shared" ca="1" si="237"/>
        <v>0</v>
      </c>
      <c r="Z347" s="358">
        <f t="shared" ca="1" si="237"/>
        <v>0</v>
      </c>
      <c r="AA347" s="358">
        <f t="shared" ca="1" si="238"/>
        <v>0</v>
      </c>
      <c r="AB347" s="358">
        <f t="shared" ca="1" si="238"/>
        <v>0</v>
      </c>
      <c r="AC347" s="358">
        <f t="shared" ca="1" si="238"/>
        <v>0</v>
      </c>
      <c r="AD347" s="358">
        <f t="shared" ca="1" si="238"/>
        <v>0</v>
      </c>
      <c r="AE347" s="358">
        <f t="shared" ca="1" si="238"/>
        <v>0</v>
      </c>
      <c r="AF347" s="358">
        <f t="shared" ca="1" si="238"/>
        <v>0</v>
      </c>
      <c r="AG347" s="358">
        <f t="shared" ca="1" si="238"/>
        <v>0</v>
      </c>
      <c r="AH347" s="358">
        <f t="shared" ca="1" si="238"/>
        <v>0</v>
      </c>
      <c r="AI347" s="358">
        <f t="shared" ca="1" si="238"/>
        <v>0</v>
      </c>
      <c r="AJ347" s="358">
        <f t="shared" ca="1" si="238"/>
        <v>0</v>
      </c>
      <c r="AK347" s="358">
        <f t="shared" ca="1" si="239"/>
        <v>0</v>
      </c>
      <c r="AL347" s="358">
        <f t="shared" ca="1" si="239"/>
        <v>0</v>
      </c>
      <c r="AM347" s="358">
        <f t="shared" ca="1" si="239"/>
        <v>0</v>
      </c>
      <c r="AN347" s="358">
        <f t="shared" ca="1" si="239"/>
        <v>0</v>
      </c>
      <c r="AO347" s="358">
        <f t="shared" ca="1" si="239"/>
        <v>0</v>
      </c>
      <c r="AP347" s="358">
        <f t="shared" ca="1" si="239"/>
        <v>0</v>
      </c>
      <c r="AQ347" s="358">
        <f t="shared" ca="1" si="239"/>
        <v>0</v>
      </c>
      <c r="AR347" s="358">
        <f t="shared" ca="1" si="239"/>
        <v>0</v>
      </c>
      <c r="AS347" s="358">
        <f t="shared" ca="1" si="239"/>
        <v>0</v>
      </c>
      <c r="AT347" s="358">
        <f t="shared" ca="1" si="239"/>
        <v>0</v>
      </c>
      <c r="AV347" s="358">
        <f t="shared" ca="1" si="206"/>
        <v>0</v>
      </c>
      <c r="AX347" s="358">
        <f t="shared" ca="1" si="207"/>
        <v>0</v>
      </c>
      <c r="AZ347" s="358">
        <f t="shared" ca="1" si="208"/>
        <v>0</v>
      </c>
      <c r="BB347" s="358">
        <f t="shared" ca="1" si="209"/>
        <v>0</v>
      </c>
      <c r="BD347" s="358">
        <f t="shared" ca="1" si="210"/>
        <v>0</v>
      </c>
      <c r="BF347" s="358">
        <f t="shared" ca="1" si="211"/>
        <v>0</v>
      </c>
      <c r="BH347" s="358">
        <f t="shared" ca="1" si="212"/>
        <v>0</v>
      </c>
    </row>
    <row r="348" spans="1:60" hidden="1" outlineLevel="1">
      <c r="A348" s="1464">
        <f t="shared" ref="A348:A375" si="240">A347</f>
        <v>18</v>
      </c>
      <c r="B348" s="1464">
        <f t="shared" ref="B348:B375" si="241">B347</f>
        <v>31</v>
      </c>
      <c r="C348" s="1464">
        <f t="shared" ref="C348:C375" si="242">C347+1</f>
        <v>3</v>
      </c>
      <c r="D348" s="1271" t="str">
        <f ca="1">IF(OFFSET(PortfolioDashboard!$A$3,C348-1,0)="","Blank",OFFSET(PortfolioDashboard!$A$3,C348-1,0))</f>
        <v>Space Planning &amp; Management</v>
      </c>
      <c r="E348" s="1464" t="str">
        <f t="shared" ref="E348:E375" si="243">E347</f>
        <v>2010$</v>
      </c>
      <c r="F348" s="1460">
        <f t="shared" ca="1" si="226"/>
        <v>0</v>
      </c>
      <c r="G348" s="358">
        <f t="shared" ca="1" si="236"/>
        <v>0</v>
      </c>
      <c r="H348" s="358">
        <f t="shared" ca="1" si="236"/>
        <v>0</v>
      </c>
      <c r="I348" s="358">
        <f t="shared" ca="1" si="236"/>
        <v>0</v>
      </c>
      <c r="J348" s="358">
        <f t="shared" ca="1" si="236"/>
        <v>0</v>
      </c>
      <c r="K348" s="358">
        <f t="shared" ca="1" si="236"/>
        <v>0</v>
      </c>
      <c r="L348" s="358">
        <f t="shared" ca="1" si="236"/>
        <v>0</v>
      </c>
      <c r="M348" s="358">
        <f t="shared" ca="1" si="236"/>
        <v>0</v>
      </c>
      <c r="N348" s="358">
        <f t="shared" ca="1" si="236"/>
        <v>0</v>
      </c>
      <c r="O348" s="358">
        <f t="shared" ca="1" si="236"/>
        <v>0</v>
      </c>
      <c r="P348" s="358">
        <f t="shared" ca="1" si="236"/>
        <v>0</v>
      </c>
      <c r="Q348" s="358">
        <f t="shared" ca="1" si="237"/>
        <v>0</v>
      </c>
      <c r="R348" s="358">
        <f t="shared" ca="1" si="237"/>
        <v>0</v>
      </c>
      <c r="S348" s="358">
        <f t="shared" ca="1" si="237"/>
        <v>0</v>
      </c>
      <c r="T348" s="358">
        <f t="shared" ca="1" si="237"/>
        <v>0</v>
      </c>
      <c r="U348" s="358">
        <f t="shared" ca="1" si="237"/>
        <v>0</v>
      </c>
      <c r="V348" s="358">
        <f t="shared" ca="1" si="237"/>
        <v>0</v>
      </c>
      <c r="W348" s="358">
        <f t="shared" ca="1" si="237"/>
        <v>0</v>
      </c>
      <c r="X348" s="358">
        <f t="shared" ca="1" si="237"/>
        <v>0</v>
      </c>
      <c r="Y348" s="358">
        <f t="shared" ca="1" si="237"/>
        <v>0</v>
      </c>
      <c r="Z348" s="358">
        <f t="shared" ca="1" si="237"/>
        <v>0</v>
      </c>
      <c r="AA348" s="358">
        <f t="shared" ca="1" si="238"/>
        <v>0</v>
      </c>
      <c r="AB348" s="358">
        <f t="shared" ca="1" si="238"/>
        <v>0</v>
      </c>
      <c r="AC348" s="358">
        <f t="shared" ca="1" si="238"/>
        <v>0</v>
      </c>
      <c r="AD348" s="358">
        <f t="shared" ca="1" si="238"/>
        <v>0</v>
      </c>
      <c r="AE348" s="358">
        <f t="shared" ca="1" si="238"/>
        <v>0</v>
      </c>
      <c r="AF348" s="358">
        <f t="shared" ca="1" si="238"/>
        <v>0</v>
      </c>
      <c r="AG348" s="358">
        <f t="shared" ca="1" si="238"/>
        <v>0</v>
      </c>
      <c r="AH348" s="358">
        <f t="shared" ca="1" si="238"/>
        <v>0</v>
      </c>
      <c r="AI348" s="358">
        <f t="shared" ca="1" si="238"/>
        <v>0</v>
      </c>
      <c r="AJ348" s="358">
        <f t="shared" ca="1" si="238"/>
        <v>0</v>
      </c>
      <c r="AK348" s="358">
        <f t="shared" ca="1" si="239"/>
        <v>0</v>
      </c>
      <c r="AL348" s="358">
        <f t="shared" ca="1" si="239"/>
        <v>0</v>
      </c>
      <c r="AM348" s="358">
        <f t="shared" ca="1" si="239"/>
        <v>0</v>
      </c>
      <c r="AN348" s="358">
        <f t="shared" ca="1" si="239"/>
        <v>0</v>
      </c>
      <c r="AO348" s="358">
        <f t="shared" ca="1" si="239"/>
        <v>0</v>
      </c>
      <c r="AP348" s="358">
        <f t="shared" ca="1" si="239"/>
        <v>0</v>
      </c>
      <c r="AQ348" s="358">
        <f t="shared" ca="1" si="239"/>
        <v>0</v>
      </c>
      <c r="AR348" s="358">
        <f t="shared" ca="1" si="239"/>
        <v>0</v>
      </c>
      <c r="AS348" s="358">
        <f t="shared" ca="1" si="239"/>
        <v>0</v>
      </c>
      <c r="AT348" s="358">
        <f t="shared" ca="1" si="239"/>
        <v>0</v>
      </c>
      <c r="AV348" s="358">
        <f t="shared" ca="1" si="206"/>
        <v>0</v>
      </c>
      <c r="AX348" s="358">
        <f t="shared" ca="1" si="207"/>
        <v>0</v>
      </c>
      <c r="AZ348" s="358">
        <f t="shared" ca="1" si="208"/>
        <v>0</v>
      </c>
      <c r="BB348" s="358">
        <f t="shared" ca="1" si="209"/>
        <v>0</v>
      </c>
      <c r="BD348" s="358">
        <f t="shared" ca="1" si="210"/>
        <v>0</v>
      </c>
      <c r="BF348" s="358">
        <f t="shared" ca="1" si="211"/>
        <v>0</v>
      </c>
      <c r="BH348" s="358">
        <f t="shared" ca="1" si="212"/>
        <v>0</v>
      </c>
    </row>
    <row r="349" spans="1:60" hidden="1" outlineLevel="1">
      <c r="A349" s="1464">
        <f t="shared" si="240"/>
        <v>18</v>
      </c>
      <c r="B349" s="1464">
        <f t="shared" si="241"/>
        <v>31</v>
      </c>
      <c r="C349" s="1464">
        <f t="shared" si="242"/>
        <v>4</v>
      </c>
      <c r="D349" s="1271" t="str">
        <f ca="1">IF(OFFSET(PortfolioDashboard!$A$3,C349-1,0)="","Blank",OFFSET(PortfolioDashboard!$A$3,C349-1,0))</f>
        <v>Central Chiller Expansion</v>
      </c>
      <c r="E349" s="1464" t="str">
        <f t="shared" si="243"/>
        <v>2010$</v>
      </c>
      <c r="F349" s="1460">
        <f t="shared" ca="1" si="226"/>
        <v>0</v>
      </c>
      <c r="G349" s="358">
        <f t="shared" ca="1" si="236"/>
        <v>0</v>
      </c>
      <c r="H349" s="358">
        <f t="shared" ca="1" si="236"/>
        <v>0</v>
      </c>
      <c r="I349" s="358">
        <f t="shared" ca="1" si="236"/>
        <v>0</v>
      </c>
      <c r="J349" s="358">
        <f t="shared" ca="1" si="236"/>
        <v>0</v>
      </c>
      <c r="K349" s="358">
        <f t="shared" ca="1" si="236"/>
        <v>0</v>
      </c>
      <c r="L349" s="358">
        <f t="shared" ca="1" si="236"/>
        <v>0</v>
      </c>
      <c r="M349" s="358">
        <f t="shared" ca="1" si="236"/>
        <v>0</v>
      </c>
      <c r="N349" s="358">
        <f t="shared" ca="1" si="236"/>
        <v>0</v>
      </c>
      <c r="O349" s="358">
        <f t="shared" ca="1" si="236"/>
        <v>0</v>
      </c>
      <c r="P349" s="358">
        <f t="shared" ca="1" si="236"/>
        <v>0</v>
      </c>
      <c r="Q349" s="358">
        <f t="shared" ca="1" si="237"/>
        <v>0</v>
      </c>
      <c r="R349" s="358">
        <f t="shared" ca="1" si="237"/>
        <v>0</v>
      </c>
      <c r="S349" s="358">
        <f t="shared" ca="1" si="237"/>
        <v>0</v>
      </c>
      <c r="T349" s="358">
        <f t="shared" ca="1" si="237"/>
        <v>0</v>
      </c>
      <c r="U349" s="358">
        <f t="shared" ca="1" si="237"/>
        <v>0</v>
      </c>
      <c r="V349" s="358">
        <f t="shared" ca="1" si="237"/>
        <v>0</v>
      </c>
      <c r="W349" s="358">
        <f t="shared" ca="1" si="237"/>
        <v>0</v>
      </c>
      <c r="X349" s="358">
        <f t="shared" ca="1" si="237"/>
        <v>0</v>
      </c>
      <c r="Y349" s="358">
        <f t="shared" ca="1" si="237"/>
        <v>0</v>
      </c>
      <c r="Z349" s="358">
        <f t="shared" ca="1" si="237"/>
        <v>0</v>
      </c>
      <c r="AA349" s="358">
        <f t="shared" ca="1" si="238"/>
        <v>0</v>
      </c>
      <c r="AB349" s="358">
        <f t="shared" ca="1" si="238"/>
        <v>0</v>
      </c>
      <c r="AC349" s="358">
        <f t="shared" ca="1" si="238"/>
        <v>0</v>
      </c>
      <c r="AD349" s="358">
        <f t="shared" ca="1" si="238"/>
        <v>0</v>
      </c>
      <c r="AE349" s="358">
        <f t="shared" ca="1" si="238"/>
        <v>0</v>
      </c>
      <c r="AF349" s="358">
        <f t="shared" ca="1" si="238"/>
        <v>0</v>
      </c>
      <c r="AG349" s="358">
        <f t="shared" ca="1" si="238"/>
        <v>0</v>
      </c>
      <c r="AH349" s="358">
        <f t="shared" ca="1" si="238"/>
        <v>0</v>
      </c>
      <c r="AI349" s="358">
        <f t="shared" ca="1" si="238"/>
        <v>0</v>
      </c>
      <c r="AJ349" s="358">
        <f t="shared" ca="1" si="238"/>
        <v>0</v>
      </c>
      <c r="AK349" s="358">
        <f t="shared" ca="1" si="239"/>
        <v>0</v>
      </c>
      <c r="AL349" s="358">
        <f t="shared" ca="1" si="239"/>
        <v>0</v>
      </c>
      <c r="AM349" s="358">
        <f t="shared" ca="1" si="239"/>
        <v>0</v>
      </c>
      <c r="AN349" s="358">
        <f t="shared" ca="1" si="239"/>
        <v>0</v>
      </c>
      <c r="AO349" s="358">
        <f t="shared" ca="1" si="239"/>
        <v>0</v>
      </c>
      <c r="AP349" s="358">
        <f t="shared" ca="1" si="239"/>
        <v>0</v>
      </c>
      <c r="AQ349" s="358">
        <f t="shared" ca="1" si="239"/>
        <v>0</v>
      </c>
      <c r="AR349" s="358">
        <f t="shared" ca="1" si="239"/>
        <v>0</v>
      </c>
      <c r="AS349" s="358">
        <f t="shared" ca="1" si="239"/>
        <v>0</v>
      </c>
      <c r="AT349" s="358">
        <f t="shared" ca="1" si="239"/>
        <v>0</v>
      </c>
      <c r="AV349" s="358">
        <f t="shared" ca="1" si="206"/>
        <v>0</v>
      </c>
      <c r="AX349" s="358">
        <f t="shared" ca="1" si="207"/>
        <v>0</v>
      </c>
      <c r="AZ349" s="358">
        <f t="shared" ca="1" si="208"/>
        <v>0</v>
      </c>
      <c r="BB349" s="358">
        <f t="shared" ca="1" si="209"/>
        <v>0</v>
      </c>
      <c r="BD349" s="358">
        <f t="shared" ca="1" si="210"/>
        <v>0</v>
      </c>
      <c r="BF349" s="358">
        <f t="shared" ca="1" si="211"/>
        <v>0</v>
      </c>
      <c r="BH349" s="358">
        <f t="shared" ca="1" si="212"/>
        <v>0</v>
      </c>
    </row>
    <row r="350" spans="1:60" hidden="1" outlineLevel="1">
      <c r="A350" s="1464">
        <f t="shared" si="240"/>
        <v>18</v>
      </c>
      <c r="B350" s="1464">
        <f t="shared" si="241"/>
        <v>31</v>
      </c>
      <c r="C350" s="1464">
        <f t="shared" si="242"/>
        <v>5</v>
      </c>
      <c r="D350" s="1271" t="str">
        <f ca="1">IF(OFFSET(PortfolioDashboard!$A$3,C350-1,0)="","Blank",OFFSET(PortfolioDashboard!$A$3,C350-1,0))</f>
        <v>Short-term Energy Conservation Measures</v>
      </c>
      <c r="E350" s="1464" t="str">
        <f t="shared" si="243"/>
        <v>2010$</v>
      </c>
      <c r="F350" s="1460">
        <f t="shared" ca="1" si="226"/>
        <v>0</v>
      </c>
      <c r="G350" s="358">
        <f t="shared" ca="1" si="236"/>
        <v>0</v>
      </c>
      <c r="H350" s="358">
        <f t="shared" ca="1" si="236"/>
        <v>0</v>
      </c>
      <c r="I350" s="358">
        <f t="shared" ca="1" si="236"/>
        <v>0</v>
      </c>
      <c r="J350" s="358">
        <f t="shared" ca="1" si="236"/>
        <v>0</v>
      </c>
      <c r="K350" s="358">
        <f t="shared" ca="1" si="236"/>
        <v>0</v>
      </c>
      <c r="L350" s="358">
        <f t="shared" ca="1" si="236"/>
        <v>0</v>
      </c>
      <c r="M350" s="358">
        <f t="shared" ca="1" si="236"/>
        <v>0</v>
      </c>
      <c r="N350" s="358">
        <f t="shared" ca="1" si="236"/>
        <v>0</v>
      </c>
      <c r="O350" s="358">
        <f t="shared" ca="1" si="236"/>
        <v>0</v>
      </c>
      <c r="P350" s="358">
        <f t="shared" ca="1" si="236"/>
        <v>0</v>
      </c>
      <c r="Q350" s="358">
        <f t="shared" ca="1" si="237"/>
        <v>0</v>
      </c>
      <c r="R350" s="358">
        <f t="shared" ca="1" si="237"/>
        <v>0</v>
      </c>
      <c r="S350" s="358">
        <f t="shared" ca="1" si="237"/>
        <v>0</v>
      </c>
      <c r="T350" s="358">
        <f t="shared" ca="1" si="237"/>
        <v>0</v>
      </c>
      <c r="U350" s="358">
        <f t="shared" ca="1" si="237"/>
        <v>0</v>
      </c>
      <c r="V350" s="358">
        <f t="shared" ca="1" si="237"/>
        <v>0</v>
      </c>
      <c r="W350" s="358">
        <f t="shared" ca="1" si="237"/>
        <v>0</v>
      </c>
      <c r="X350" s="358">
        <f t="shared" ca="1" si="237"/>
        <v>0</v>
      </c>
      <c r="Y350" s="358">
        <f t="shared" ca="1" si="237"/>
        <v>0</v>
      </c>
      <c r="Z350" s="358">
        <f t="shared" ca="1" si="237"/>
        <v>0</v>
      </c>
      <c r="AA350" s="358">
        <f t="shared" ca="1" si="238"/>
        <v>0</v>
      </c>
      <c r="AB350" s="358">
        <f t="shared" ca="1" si="238"/>
        <v>0</v>
      </c>
      <c r="AC350" s="358">
        <f t="shared" ca="1" si="238"/>
        <v>0</v>
      </c>
      <c r="AD350" s="358">
        <f t="shared" ca="1" si="238"/>
        <v>0</v>
      </c>
      <c r="AE350" s="358">
        <f t="shared" ca="1" si="238"/>
        <v>0</v>
      </c>
      <c r="AF350" s="358">
        <f t="shared" ca="1" si="238"/>
        <v>0</v>
      </c>
      <c r="AG350" s="358">
        <f t="shared" ca="1" si="238"/>
        <v>0</v>
      </c>
      <c r="AH350" s="358">
        <f t="shared" ca="1" si="238"/>
        <v>0</v>
      </c>
      <c r="AI350" s="358">
        <f t="shared" ca="1" si="238"/>
        <v>0</v>
      </c>
      <c r="AJ350" s="358">
        <f t="shared" ca="1" si="238"/>
        <v>0</v>
      </c>
      <c r="AK350" s="358">
        <f t="shared" ca="1" si="239"/>
        <v>0</v>
      </c>
      <c r="AL350" s="358">
        <f t="shared" ca="1" si="239"/>
        <v>0</v>
      </c>
      <c r="AM350" s="358">
        <f t="shared" ca="1" si="239"/>
        <v>0</v>
      </c>
      <c r="AN350" s="358">
        <f t="shared" ca="1" si="239"/>
        <v>0</v>
      </c>
      <c r="AO350" s="358">
        <f t="shared" ca="1" si="239"/>
        <v>0</v>
      </c>
      <c r="AP350" s="358">
        <f t="shared" ca="1" si="239"/>
        <v>0</v>
      </c>
      <c r="AQ350" s="358">
        <f t="shared" ca="1" si="239"/>
        <v>0</v>
      </c>
      <c r="AR350" s="358">
        <f t="shared" ca="1" si="239"/>
        <v>0</v>
      </c>
      <c r="AS350" s="358">
        <f t="shared" ca="1" si="239"/>
        <v>0</v>
      </c>
      <c r="AT350" s="358">
        <f t="shared" ca="1" si="239"/>
        <v>0</v>
      </c>
      <c r="AV350" s="358">
        <f t="shared" ca="1" si="206"/>
        <v>0</v>
      </c>
      <c r="AX350" s="358">
        <f t="shared" ca="1" si="207"/>
        <v>0</v>
      </c>
      <c r="AZ350" s="358">
        <f t="shared" ca="1" si="208"/>
        <v>0</v>
      </c>
      <c r="BB350" s="358">
        <f t="shared" ca="1" si="209"/>
        <v>0</v>
      </c>
      <c r="BD350" s="358">
        <f t="shared" ca="1" si="210"/>
        <v>0</v>
      </c>
      <c r="BF350" s="358">
        <f t="shared" ca="1" si="211"/>
        <v>0</v>
      </c>
      <c r="BH350" s="358">
        <f t="shared" ca="1" si="212"/>
        <v>0</v>
      </c>
    </row>
    <row r="351" spans="1:60" hidden="1" outlineLevel="1">
      <c r="A351" s="1464">
        <f t="shared" si="240"/>
        <v>18</v>
      </c>
      <c r="B351" s="1464">
        <f t="shared" si="241"/>
        <v>31</v>
      </c>
      <c r="C351" s="1464">
        <f t="shared" si="242"/>
        <v>6</v>
      </c>
      <c r="D351" s="1271" t="str">
        <f ca="1">IF(OFFSET(PortfolioDashboard!$A$3,C351-1,0)="","Blank",OFFSET(PortfolioDashboard!$A$3,C351-1,0))</f>
        <v>Mid-term Energy Conservation Measures</v>
      </c>
      <c r="E351" s="1464" t="str">
        <f t="shared" si="243"/>
        <v>2010$</v>
      </c>
      <c r="F351" s="1460">
        <f t="shared" ca="1" si="226"/>
        <v>0</v>
      </c>
      <c r="G351" s="358">
        <f t="shared" ca="1" si="236"/>
        <v>0</v>
      </c>
      <c r="H351" s="358">
        <f t="shared" ca="1" si="236"/>
        <v>0</v>
      </c>
      <c r="I351" s="358">
        <f t="shared" ca="1" si="236"/>
        <v>0</v>
      </c>
      <c r="J351" s="358">
        <f t="shared" ca="1" si="236"/>
        <v>0</v>
      </c>
      <c r="K351" s="358">
        <f t="shared" ca="1" si="236"/>
        <v>0</v>
      </c>
      <c r="L351" s="358">
        <f t="shared" ca="1" si="236"/>
        <v>0</v>
      </c>
      <c r="M351" s="358">
        <f t="shared" ca="1" si="236"/>
        <v>0</v>
      </c>
      <c r="N351" s="358">
        <f t="shared" ca="1" si="236"/>
        <v>0</v>
      </c>
      <c r="O351" s="358">
        <f t="shared" ca="1" si="236"/>
        <v>0</v>
      </c>
      <c r="P351" s="358">
        <f t="shared" ca="1" si="236"/>
        <v>0</v>
      </c>
      <c r="Q351" s="358">
        <f t="shared" ca="1" si="237"/>
        <v>0</v>
      </c>
      <c r="R351" s="358">
        <f t="shared" ca="1" si="237"/>
        <v>0</v>
      </c>
      <c r="S351" s="358">
        <f t="shared" ca="1" si="237"/>
        <v>0</v>
      </c>
      <c r="T351" s="358">
        <f t="shared" ca="1" si="237"/>
        <v>0</v>
      </c>
      <c r="U351" s="358">
        <f t="shared" ca="1" si="237"/>
        <v>0</v>
      </c>
      <c r="V351" s="358">
        <f t="shared" ca="1" si="237"/>
        <v>0</v>
      </c>
      <c r="W351" s="358">
        <f t="shared" ca="1" si="237"/>
        <v>0</v>
      </c>
      <c r="X351" s="358">
        <f t="shared" ca="1" si="237"/>
        <v>0</v>
      </c>
      <c r="Y351" s="358">
        <f t="shared" ca="1" si="237"/>
        <v>0</v>
      </c>
      <c r="Z351" s="358">
        <f t="shared" ca="1" si="237"/>
        <v>0</v>
      </c>
      <c r="AA351" s="358">
        <f t="shared" ca="1" si="238"/>
        <v>0</v>
      </c>
      <c r="AB351" s="358">
        <f t="shared" ca="1" si="238"/>
        <v>0</v>
      </c>
      <c r="AC351" s="358">
        <f t="shared" ca="1" si="238"/>
        <v>0</v>
      </c>
      <c r="AD351" s="358">
        <f t="shared" ca="1" si="238"/>
        <v>0</v>
      </c>
      <c r="AE351" s="358">
        <f t="shared" ca="1" si="238"/>
        <v>0</v>
      </c>
      <c r="AF351" s="358">
        <f t="shared" ca="1" si="238"/>
        <v>0</v>
      </c>
      <c r="AG351" s="358">
        <f t="shared" ca="1" si="238"/>
        <v>0</v>
      </c>
      <c r="AH351" s="358">
        <f t="shared" ca="1" si="238"/>
        <v>0</v>
      </c>
      <c r="AI351" s="358">
        <f t="shared" ca="1" si="238"/>
        <v>0</v>
      </c>
      <c r="AJ351" s="358">
        <f t="shared" ca="1" si="238"/>
        <v>0</v>
      </c>
      <c r="AK351" s="358">
        <f t="shared" ca="1" si="239"/>
        <v>0</v>
      </c>
      <c r="AL351" s="358">
        <f t="shared" ca="1" si="239"/>
        <v>0</v>
      </c>
      <c r="AM351" s="358">
        <f t="shared" ca="1" si="239"/>
        <v>0</v>
      </c>
      <c r="AN351" s="358">
        <f t="shared" ca="1" si="239"/>
        <v>0</v>
      </c>
      <c r="AO351" s="358">
        <f t="shared" ca="1" si="239"/>
        <v>0</v>
      </c>
      <c r="AP351" s="358">
        <f t="shared" ca="1" si="239"/>
        <v>0</v>
      </c>
      <c r="AQ351" s="358">
        <f t="shared" ca="1" si="239"/>
        <v>0</v>
      </c>
      <c r="AR351" s="358">
        <f t="shared" ca="1" si="239"/>
        <v>0</v>
      </c>
      <c r="AS351" s="358">
        <f t="shared" ca="1" si="239"/>
        <v>0</v>
      </c>
      <c r="AT351" s="358">
        <f t="shared" ca="1" si="239"/>
        <v>0</v>
      </c>
      <c r="AV351" s="358">
        <f t="shared" ca="1" si="206"/>
        <v>0</v>
      </c>
      <c r="AX351" s="358">
        <f t="shared" ca="1" si="207"/>
        <v>0</v>
      </c>
      <c r="AZ351" s="358">
        <f t="shared" ca="1" si="208"/>
        <v>0</v>
      </c>
      <c r="BB351" s="358">
        <f t="shared" ca="1" si="209"/>
        <v>0</v>
      </c>
      <c r="BD351" s="358">
        <f t="shared" ca="1" si="210"/>
        <v>0</v>
      </c>
      <c r="BF351" s="358">
        <f t="shared" ca="1" si="211"/>
        <v>0</v>
      </c>
      <c r="BH351" s="358">
        <f t="shared" ca="1" si="212"/>
        <v>0</v>
      </c>
    </row>
    <row r="352" spans="1:60" hidden="1" outlineLevel="1">
      <c r="A352" s="1464">
        <f t="shared" si="240"/>
        <v>18</v>
      </c>
      <c r="B352" s="1464">
        <f t="shared" si="241"/>
        <v>31</v>
      </c>
      <c r="C352" s="1464">
        <f t="shared" si="242"/>
        <v>7</v>
      </c>
      <c r="D352" s="1271" t="str">
        <f ca="1">IF(OFFSET(PortfolioDashboard!$A$3,C352-1,0)="","Blank",OFFSET(PortfolioDashboard!$A$3,C352-1,0))</f>
        <v>Long-term Energy Conservation Measures</v>
      </c>
      <c r="E352" s="1464" t="str">
        <f t="shared" si="243"/>
        <v>2010$</v>
      </c>
      <c r="F352" s="1460">
        <f t="shared" ca="1" si="226"/>
        <v>0</v>
      </c>
      <c r="G352" s="358">
        <f t="shared" ca="1" si="236"/>
        <v>0</v>
      </c>
      <c r="H352" s="358">
        <f t="shared" ca="1" si="236"/>
        <v>0</v>
      </c>
      <c r="I352" s="358">
        <f t="shared" ca="1" si="236"/>
        <v>0</v>
      </c>
      <c r="J352" s="358">
        <f t="shared" ca="1" si="236"/>
        <v>0</v>
      </c>
      <c r="K352" s="358">
        <f t="shared" ca="1" si="236"/>
        <v>0</v>
      </c>
      <c r="L352" s="358">
        <f t="shared" ca="1" si="236"/>
        <v>0</v>
      </c>
      <c r="M352" s="358">
        <f t="shared" ca="1" si="236"/>
        <v>0</v>
      </c>
      <c r="N352" s="358">
        <f t="shared" ca="1" si="236"/>
        <v>0</v>
      </c>
      <c r="O352" s="358">
        <f t="shared" ca="1" si="236"/>
        <v>0</v>
      </c>
      <c r="P352" s="358">
        <f t="shared" ca="1" si="236"/>
        <v>0</v>
      </c>
      <c r="Q352" s="358">
        <f t="shared" ca="1" si="237"/>
        <v>0</v>
      </c>
      <c r="R352" s="358">
        <f t="shared" ca="1" si="237"/>
        <v>0</v>
      </c>
      <c r="S352" s="358">
        <f t="shared" ca="1" si="237"/>
        <v>0</v>
      </c>
      <c r="T352" s="358">
        <f t="shared" ca="1" si="237"/>
        <v>0</v>
      </c>
      <c r="U352" s="358">
        <f t="shared" ca="1" si="237"/>
        <v>0</v>
      </c>
      <c r="V352" s="358">
        <f t="shared" ca="1" si="237"/>
        <v>0</v>
      </c>
      <c r="W352" s="358">
        <f t="shared" ca="1" si="237"/>
        <v>0</v>
      </c>
      <c r="X352" s="358">
        <f t="shared" ca="1" si="237"/>
        <v>0</v>
      </c>
      <c r="Y352" s="358">
        <f t="shared" ca="1" si="237"/>
        <v>0</v>
      </c>
      <c r="Z352" s="358">
        <f t="shared" ca="1" si="237"/>
        <v>0</v>
      </c>
      <c r="AA352" s="358">
        <f t="shared" ca="1" si="238"/>
        <v>0</v>
      </c>
      <c r="AB352" s="358">
        <f t="shared" ca="1" si="238"/>
        <v>0</v>
      </c>
      <c r="AC352" s="358">
        <f t="shared" ca="1" si="238"/>
        <v>0</v>
      </c>
      <c r="AD352" s="358">
        <f t="shared" ca="1" si="238"/>
        <v>0</v>
      </c>
      <c r="AE352" s="358">
        <f t="shared" ca="1" si="238"/>
        <v>0</v>
      </c>
      <c r="AF352" s="358">
        <f t="shared" ca="1" si="238"/>
        <v>0</v>
      </c>
      <c r="AG352" s="358">
        <f t="shared" ca="1" si="238"/>
        <v>0</v>
      </c>
      <c r="AH352" s="358">
        <f t="shared" ca="1" si="238"/>
        <v>0</v>
      </c>
      <c r="AI352" s="358">
        <f t="shared" ca="1" si="238"/>
        <v>0</v>
      </c>
      <c r="AJ352" s="358">
        <f t="shared" ca="1" si="238"/>
        <v>0</v>
      </c>
      <c r="AK352" s="358">
        <f t="shared" ca="1" si="239"/>
        <v>0</v>
      </c>
      <c r="AL352" s="358">
        <f t="shared" ca="1" si="239"/>
        <v>0</v>
      </c>
      <c r="AM352" s="358">
        <f t="shared" ca="1" si="239"/>
        <v>0</v>
      </c>
      <c r="AN352" s="358">
        <f t="shared" ca="1" si="239"/>
        <v>0</v>
      </c>
      <c r="AO352" s="358">
        <f t="shared" ca="1" si="239"/>
        <v>0</v>
      </c>
      <c r="AP352" s="358">
        <f t="shared" ca="1" si="239"/>
        <v>0</v>
      </c>
      <c r="AQ352" s="358">
        <f t="shared" ca="1" si="239"/>
        <v>0</v>
      </c>
      <c r="AR352" s="358">
        <f t="shared" ca="1" si="239"/>
        <v>0</v>
      </c>
      <c r="AS352" s="358">
        <f t="shared" ca="1" si="239"/>
        <v>0</v>
      </c>
      <c r="AT352" s="358">
        <f t="shared" ca="1" si="239"/>
        <v>0</v>
      </c>
      <c r="AV352" s="358">
        <f t="shared" ca="1" si="206"/>
        <v>0</v>
      </c>
      <c r="AX352" s="358">
        <f t="shared" ca="1" si="207"/>
        <v>0</v>
      </c>
      <c r="AZ352" s="358">
        <f t="shared" ca="1" si="208"/>
        <v>0</v>
      </c>
      <c r="BB352" s="358">
        <f t="shared" ca="1" si="209"/>
        <v>0</v>
      </c>
      <c r="BD352" s="358">
        <f t="shared" ca="1" si="210"/>
        <v>0</v>
      </c>
      <c r="BF352" s="358">
        <f t="shared" ca="1" si="211"/>
        <v>0</v>
      </c>
      <c r="BH352" s="358">
        <f t="shared" ca="1" si="212"/>
        <v>0</v>
      </c>
    </row>
    <row r="353" spans="1:60" hidden="1" outlineLevel="1">
      <c r="A353" s="1464">
        <f t="shared" si="240"/>
        <v>18</v>
      </c>
      <c r="B353" s="1464">
        <f t="shared" si="241"/>
        <v>31</v>
      </c>
      <c r="C353" s="1464">
        <f t="shared" si="242"/>
        <v>8</v>
      </c>
      <c r="D353" s="1271" t="str">
        <f ca="1">IF(OFFSET(PortfolioDashboard!$A$3,C353-1,0)="","Blank",OFFSET(PortfolioDashboard!$A$3,C353-1,0))</f>
        <v>Green IT</v>
      </c>
      <c r="E353" s="1464" t="str">
        <f t="shared" si="243"/>
        <v>2010$</v>
      </c>
      <c r="F353" s="1460">
        <f t="shared" ca="1" si="226"/>
        <v>0</v>
      </c>
      <c r="G353" s="358">
        <f t="shared" ca="1" si="236"/>
        <v>0</v>
      </c>
      <c r="H353" s="358">
        <f t="shared" ca="1" si="236"/>
        <v>0</v>
      </c>
      <c r="I353" s="358">
        <f t="shared" ca="1" si="236"/>
        <v>0</v>
      </c>
      <c r="J353" s="358">
        <f t="shared" ca="1" si="236"/>
        <v>0</v>
      </c>
      <c r="K353" s="358">
        <f t="shared" ca="1" si="236"/>
        <v>0</v>
      </c>
      <c r="L353" s="358">
        <f t="shared" ca="1" si="236"/>
        <v>0</v>
      </c>
      <c r="M353" s="358">
        <f t="shared" ca="1" si="236"/>
        <v>0</v>
      </c>
      <c r="N353" s="358">
        <f t="shared" ca="1" si="236"/>
        <v>0</v>
      </c>
      <c r="O353" s="358">
        <f t="shared" ca="1" si="236"/>
        <v>0</v>
      </c>
      <c r="P353" s="358">
        <f t="shared" ca="1" si="236"/>
        <v>0</v>
      </c>
      <c r="Q353" s="358">
        <f t="shared" ca="1" si="237"/>
        <v>0</v>
      </c>
      <c r="R353" s="358">
        <f t="shared" ca="1" si="237"/>
        <v>0</v>
      </c>
      <c r="S353" s="358">
        <f t="shared" ca="1" si="237"/>
        <v>0</v>
      </c>
      <c r="T353" s="358">
        <f t="shared" ca="1" si="237"/>
        <v>0</v>
      </c>
      <c r="U353" s="358">
        <f t="shared" ca="1" si="237"/>
        <v>0</v>
      </c>
      <c r="V353" s="358">
        <f t="shared" ca="1" si="237"/>
        <v>0</v>
      </c>
      <c r="W353" s="358">
        <f t="shared" ca="1" si="237"/>
        <v>0</v>
      </c>
      <c r="X353" s="358">
        <f t="shared" ca="1" si="237"/>
        <v>0</v>
      </c>
      <c r="Y353" s="358">
        <f t="shared" ca="1" si="237"/>
        <v>0</v>
      </c>
      <c r="Z353" s="358">
        <f t="shared" ca="1" si="237"/>
        <v>0</v>
      </c>
      <c r="AA353" s="358">
        <f t="shared" ca="1" si="238"/>
        <v>0</v>
      </c>
      <c r="AB353" s="358">
        <f t="shared" ca="1" si="238"/>
        <v>0</v>
      </c>
      <c r="AC353" s="358">
        <f t="shared" ca="1" si="238"/>
        <v>0</v>
      </c>
      <c r="AD353" s="358">
        <f t="shared" ca="1" si="238"/>
        <v>0</v>
      </c>
      <c r="AE353" s="358">
        <f t="shared" ca="1" si="238"/>
        <v>0</v>
      </c>
      <c r="AF353" s="358">
        <f t="shared" ca="1" si="238"/>
        <v>0</v>
      </c>
      <c r="AG353" s="358">
        <f t="shared" ca="1" si="238"/>
        <v>0</v>
      </c>
      <c r="AH353" s="358">
        <f t="shared" ca="1" si="238"/>
        <v>0</v>
      </c>
      <c r="AI353" s="358">
        <f t="shared" ca="1" si="238"/>
        <v>0</v>
      </c>
      <c r="AJ353" s="358">
        <f t="shared" ca="1" si="238"/>
        <v>0</v>
      </c>
      <c r="AK353" s="358">
        <f t="shared" ca="1" si="239"/>
        <v>0</v>
      </c>
      <c r="AL353" s="358">
        <f t="shared" ca="1" si="239"/>
        <v>0</v>
      </c>
      <c r="AM353" s="358">
        <f t="shared" ca="1" si="239"/>
        <v>0</v>
      </c>
      <c r="AN353" s="358">
        <f t="shared" ca="1" si="239"/>
        <v>0</v>
      </c>
      <c r="AO353" s="358">
        <f t="shared" ca="1" si="239"/>
        <v>0</v>
      </c>
      <c r="AP353" s="358">
        <f t="shared" ca="1" si="239"/>
        <v>0</v>
      </c>
      <c r="AQ353" s="358">
        <f t="shared" ca="1" si="239"/>
        <v>0</v>
      </c>
      <c r="AR353" s="358">
        <f t="shared" ca="1" si="239"/>
        <v>0</v>
      </c>
      <c r="AS353" s="358">
        <f t="shared" ca="1" si="239"/>
        <v>0</v>
      </c>
      <c r="AT353" s="358">
        <f t="shared" ca="1" si="239"/>
        <v>0</v>
      </c>
      <c r="AV353" s="358">
        <f t="shared" ca="1" si="206"/>
        <v>0</v>
      </c>
      <c r="AX353" s="358">
        <f t="shared" ca="1" si="207"/>
        <v>0</v>
      </c>
      <c r="AZ353" s="358">
        <f t="shared" ca="1" si="208"/>
        <v>0</v>
      </c>
      <c r="BB353" s="358">
        <f t="shared" ca="1" si="209"/>
        <v>0</v>
      </c>
      <c r="BD353" s="358">
        <f t="shared" ca="1" si="210"/>
        <v>0</v>
      </c>
      <c r="BF353" s="358">
        <f t="shared" ca="1" si="211"/>
        <v>0</v>
      </c>
      <c r="BH353" s="358">
        <f t="shared" ca="1" si="212"/>
        <v>0</v>
      </c>
    </row>
    <row r="354" spans="1:60" hidden="1" outlineLevel="1">
      <c r="A354" s="1464">
        <f t="shared" si="240"/>
        <v>18</v>
      </c>
      <c r="B354" s="1464">
        <f t="shared" si="241"/>
        <v>31</v>
      </c>
      <c r="C354" s="1464">
        <f t="shared" si="242"/>
        <v>9</v>
      </c>
      <c r="D354" s="1271" t="str">
        <f ca="1">IF(OFFSET(PortfolioDashboard!$A$3,C354-1,0)="","Blank",OFFSET(PortfolioDashboard!$A$3,C354-1,0))</f>
        <v>Reduced Air Travel</v>
      </c>
      <c r="E354" s="1464" t="str">
        <f t="shared" si="243"/>
        <v>2010$</v>
      </c>
      <c r="F354" s="1460">
        <f t="shared" ca="1" si="226"/>
        <v>0</v>
      </c>
      <c r="G354" s="358">
        <f t="shared" ca="1" si="236"/>
        <v>0</v>
      </c>
      <c r="H354" s="358">
        <f t="shared" ca="1" si="236"/>
        <v>0</v>
      </c>
      <c r="I354" s="358">
        <f t="shared" ca="1" si="236"/>
        <v>0</v>
      </c>
      <c r="J354" s="358">
        <f t="shared" ca="1" si="236"/>
        <v>0</v>
      </c>
      <c r="K354" s="358">
        <f t="shared" ca="1" si="236"/>
        <v>0</v>
      </c>
      <c r="L354" s="358">
        <f t="shared" ca="1" si="236"/>
        <v>0</v>
      </c>
      <c r="M354" s="358">
        <f t="shared" ca="1" si="236"/>
        <v>0</v>
      </c>
      <c r="N354" s="358">
        <f t="shared" ca="1" si="236"/>
        <v>0</v>
      </c>
      <c r="O354" s="358">
        <f t="shared" ca="1" si="236"/>
        <v>0</v>
      </c>
      <c r="P354" s="358">
        <f t="shared" ca="1" si="236"/>
        <v>0</v>
      </c>
      <c r="Q354" s="358">
        <f t="shared" ca="1" si="237"/>
        <v>0</v>
      </c>
      <c r="R354" s="358">
        <f t="shared" ca="1" si="237"/>
        <v>0</v>
      </c>
      <c r="S354" s="358">
        <f t="shared" ca="1" si="237"/>
        <v>0</v>
      </c>
      <c r="T354" s="358">
        <f t="shared" ca="1" si="237"/>
        <v>0</v>
      </c>
      <c r="U354" s="358">
        <f t="shared" ca="1" si="237"/>
        <v>0</v>
      </c>
      <c r="V354" s="358">
        <f t="shared" ca="1" si="237"/>
        <v>0</v>
      </c>
      <c r="W354" s="358">
        <f t="shared" ca="1" si="237"/>
        <v>0</v>
      </c>
      <c r="X354" s="358">
        <f t="shared" ca="1" si="237"/>
        <v>0</v>
      </c>
      <c r="Y354" s="358">
        <f t="shared" ca="1" si="237"/>
        <v>0</v>
      </c>
      <c r="Z354" s="358">
        <f t="shared" ca="1" si="237"/>
        <v>0</v>
      </c>
      <c r="AA354" s="358">
        <f t="shared" ca="1" si="238"/>
        <v>0</v>
      </c>
      <c r="AB354" s="358">
        <f t="shared" ca="1" si="238"/>
        <v>0</v>
      </c>
      <c r="AC354" s="358">
        <f t="shared" ca="1" si="238"/>
        <v>0</v>
      </c>
      <c r="AD354" s="358">
        <f t="shared" ca="1" si="238"/>
        <v>0</v>
      </c>
      <c r="AE354" s="358">
        <f t="shared" ca="1" si="238"/>
        <v>0</v>
      </c>
      <c r="AF354" s="358">
        <f t="shared" ca="1" si="238"/>
        <v>0</v>
      </c>
      <c r="AG354" s="358">
        <f t="shared" ca="1" si="238"/>
        <v>0</v>
      </c>
      <c r="AH354" s="358">
        <f t="shared" ca="1" si="238"/>
        <v>0</v>
      </c>
      <c r="AI354" s="358">
        <f t="shared" ca="1" si="238"/>
        <v>0</v>
      </c>
      <c r="AJ354" s="358">
        <f t="shared" ca="1" si="238"/>
        <v>0</v>
      </c>
      <c r="AK354" s="358">
        <f t="shared" ca="1" si="239"/>
        <v>0</v>
      </c>
      <c r="AL354" s="358">
        <f t="shared" ca="1" si="239"/>
        <v>0</v>
      </c>
      <c r="AM354" s="358">
        <f t="shared" ca="1" si="239"/>
        <v>0</v>
      </c>
      <c r="AN354" s="358">
        <f t="shared" ca="1" si="239"/>
        <v>0</v>
      </c>
      <c r="AO354" s="358">
        <f t="shared" ca="1" si="239"/>
        <v>0</v>
      </c>
      <c r="AP354" s="358">
        <f t="shared" ca="1" si="239"/>
        <v>0</v>
      </c>
      <c r="AQ354" s="358">
        <f t="shared" ca="1" si="239"/>
        <v>0</v>
      </c>
      <c r="AR354" s="358">
        <f t="shared" ca="1" si="239"/>
        <v>0</v>
      </c>
      <c r="AS354" s="358">
        <f t="shared" ca="1" si="239"/>
        <v>0</v>
      </c>
      <c r="AT354" s="358">
        <f t="shared" ca="1" si="239"/>
        <v>0</v>
      </c>
      <c r="AV354" s="358">
        <f t="shared" ca="1" si="206"/>
        <v>0</v>
      </c>
      <c r="AX354" s="358">
        <f t="shared" ca="1" si="207"/>
        <v>0</v>
      </c>
      <c r="AZ354" s="358">
        <f t="shared" ca="1" si="208"/>
        <v>0</v>
      </c>
      <c r="BB354" s="358">
        <f t="shared" ca="1" si="209"/>
        <v>0</v>
      </c>
      <c r="BD354" s="358">
        <f t="shared" ca="1" si="210"/>
        <v>0</v>
      </c>
      <c r="BF354" s="358">
        <f t="shared" ca="1" si="211"/>
        <v>0</v>
      </c>
      <c r="BH354" s="358">
        <f t="shared" ca="1" si="212"/>
        <v>0</v>
      </c>
    </row>
    <row r="355" spans="1:60" hidden="1" outlineLevel="1">
      <c r="A355" s="1464">
        <f t="shared" si="240"/>
        <v>18</v>
      </c>
      <c r="B355" s="1464">
        <f t="shared" si="241"/>
        <v>31</v>
      </c>
      <c r="C355" s="1464">
        <f t="shared" si="242"/>
        <v>10</v>
      </c>
      <c r="D355" s="1271" t="str">
        <f ca="1">IF(OFFSET(PortfolioDashboard!$A$3,C355-1,0)="","Blank",OFFSET(PortfolioDashboard!$A$3,C355-1,0))</f>
        <v>Reduced Automobile Reliance Strategies</v>
      </c>
      <c r="E355" s="1464" t="str">
        <f t="shared" si="243"/>
        <v>2010$</v>
      </c>
      <c r="F355" s="1460">
        <f t="shared" ca="1" si="226"/>
        <v>0</v>
      </c>
      <c r="G355" s="358">
        <f t="shared" ca="1" si="236"/>
        <v>0</v>
      </c>
      <c r="H355" s="358">
        <f t="shared" ca="1" si="236"/>
        <v>0</v>
      </c>
      <c r="I355" s="358">
        <f t="shared" ca="1" si="236"/>
        <v>0</v>
      </c>
      <c r="J355" s="358">
        <f t="shared" ca="1" si="236"/>
        <v>0</v>
      </c>
      <c r="K355" s="358">
        <f t="shared" ca="1" si="236"/>
        <v>0</v>
      </c>
      <c r="L355" s="358">
        <f t="shared" ca="1" si="236"/>
        <v>0</v>
      </c>
      <c r="M355" s="358">
        <f t="shared" ca="1" si="236"/>
        <v>0</v>
      </c>
      <c r="N355" s="358">
        <f t="shared" ca="1" si="236"/>
        <v>0</v>
      </c>
      <c r="O355" s="358">
        <f t="shared" ca="1" si="236"/>
        <v>0</v>
      </c>
      <c r="P355" s="358">
        <f t="shared" ca="1" si="236"/>
        <v>0</v>
      </c>
      <c r="Q355" s="358">
        <f t="shared" ca="1" si="237"/>
        <v>0</v>
      </c>
      <c r="R355" s="358">
        <f t="shared" ca="1" si="237"/>
        <v>0</v>
      </c>
      <c r="S355" s="358">
        <f t="shared" ca="1" si="237"/>
        <v>0</v>
      </c>
      <c r="T355" s="358">
        <f t="shared" ca="1" si="237"/>
        <v>0</v>
      </c>
      <c r="U355" s="358">
        <f t="shared" ca="1" si="237"/>
        <v>0</v>
      </c>
      <c r="V355" s="358">
        <f t="shared" ca="1" si="237"/>
        <v>0</v>
      </c>
      <c r="W355" s="358">
        <f t="shared" ca="1" si="237"/>
        <v>0</v>
      </c>
      <c r="X355" s="358">
        <f t="shared" ca="1" si="237"/>
        <v>0</v>
      </c>
      <c r="Y355" s="358">
        <f t="shared" ca="1" si="237"/>
        <v>0</v>
      </c>
      <c r="Z355" s="358">
        <f t="shared" ca="1" si="237"/>
        <v>0</v>
      </c>
      <c r="AA355" s="358">
        <f t="shared" ca="1" si="238"/>
        <v>0</v>
      </c>
      <c r="AB355" s="358">
        <f t="shared" ca="1" si="238"/>
        <v>0</v>
      </c>
      <c r="AC355" s="358">
        <f t="shared" ca="1" si="238"/>
        <v>0</v>
      </c>
      <c r="AD355" s="358">
        <f t="shared" ca="1" si="238"/>
        <v>0</v>
      </c>
      <c r="AE355" s="358">
        <f t="shared" ca="1" si="238"/>
        <v>0</v>
      </c>
      <c r="AF355" s="358">
        <f t="shared" ca="1" si="238"/>
        <v>0</v>
      </c>
      <c r="AG355" s="358">
        <f t="shared" ca="1" si="238"/>
        <v>0</v>
      </c>
      <c r="AH355" s="358">
        <f t="shared" ca="1" si="238"/>
        <v>0</v>
      </c>
      <c r="AI355" s="358">
        <f t="shared" ca="1" si="238"/>
        <v>0</v>
      </c>
      <c r="AJ355" s="358">
        <f t="shared" ca="1" si="238"/>
        <v>0</v>
      </c>
      <c r="AK355" s="358">
        <f t="shared" ca="1" si="239"/>
        <v>0</v>
      </c>
      <c r="AL355" s="358">
        <f t="shared" ca="1" si="239"/>
        <v>0</v>
      </c>
      <c r="AM355" s="358">
        <f t="shared" ca="1" si="239"/>
        <v>0</v>
      </c>
      <c r="AN355" s="358">
        <f t="shared" ca="1" si="239"/>
        <v>0</v>
      </c>
      <c r="AO355" s="358">
        <f t="shared" ca="1" si="239"/>
        <v>0</v>
      </c>
      <c r="AP355" s="358">
        <f t="shared" ca="1" si="239"/>
        <v>0</v>
      </c>
      <c r="AQ355" s="358">
        <f t="shared" ca="1" si="239"/>
        <v>0</v>
      </c>
      <c r="AR355" s="358">
        <f t="shared" ca="1" si="239"/>
        <v>0</v>
      </c>
      <c r="AS355" s="358">
        <f t="shared" ca="1" si="239"/>
        <v>0</v>
      </c>
      <c r="AT355" s="358">
        <f t="shared" ca="1" si="239"/>
        <v>0</v>
      </c>
      <c r="AV355" s="358">
        <f t="shared" ca="1" si="206"/>
        <v>0</v>
      </c>
      <c r="AX355" s="358">
        <f t="shared" ca="1" si="207"/>
        <v>0</v>
      </c>
      <c r="AZ355" s="358">
        <f t="shared" ca="1" si="208"/>
        <v>0</v>
      </c>
      <c r="BB355" s="358">
        <f t="shared" ca="1" si="209"/>
        <v>0</v>
      </c>
      <c r="BD355" s="358">
        <f t="shared" ca="1" si="210"/>
        <v>0</v>
      </c>
      <c r="BF355" s="358">
        <f t="shared" ca="1" si="211"/>
        <v>0</v>
      </c>
      <c r="BH355" s="358">
        <f t="shared" ca="1" si="212"/>
        <v>0</v>
      </c>
    </row>
    <row r="356" spans="1:60" hidden="1" outlineLevel="1">
      <c r="A356" s="1464">
        <f t="shared" si="240"/>
        <v>18</v>
      </c>
      <c r="B356" s="1464">
        <f t="shared" si="241"/>
        <v>31</v>
      </c>
      <c r="C356" s="1464">
        <f t="shared" si="242"/>
        <v>11</v>
      </c>
      <c r="D356" s="1271" t="str">
        <f ca="1">IF(OFFSET(PortfolioDashboard!$A$3,C356-1,0)="","Blank",OFFSET(PortfolioDashboard!$A$3,C356-1,0))</f>
        <v>Waste Reduction</v>
      </c>
      <c r="E356" s="1464" t="str">
        <f t="shared" si="243"/>
        <v>2010$</v>
      </c>
      <c r="F356" s="1460">
        <f t="shared" ca="1" si="226"/>
        <v>0</v>
      </c>
      <c r="G356" s="358">
        <f t="shared" ref="G356:P365" ca="1" si="244">IFERROR(OFFSET(INDIRECT(INDEX(List_of_Alternatives,MATCH($D356,NameofAlternatives,0))),$A356+G$1-$G$1,$B356),0)</f>
        <v>0</v>
      </c>
      <c r="H356" s="358">
        <f t="shared" ca="1" si="244"/>
        <v>0</v>
      </c>
      <c r="I356" s="358">
        <f t="shared" ca="1" si="244"/>
        <v>0</v>
      </c>
      <c r="J356" s="358">
        <f t="shared" ca="1" si="244"/>
        <v>0</v>
      </c>
      <c r="K356" s="358">
        <f t="shared" ca="1" si="244"/>
        <v>0</v>
      </c>
      <c r="L356" s="358">
        <f t="shared" ca="1" si="244"/>
        <v>0</v>
      </c>
      <c r="M356" s="358">
        <f t="shared" ca="1" si="244"/>
        <v>0</v>
      </c>
      <c r="N356" s="358">
        <f t="shared" ca="1" si="244"/>
        <v>0</v>
      </c>
      <c r="O356" s="358">
        <f t="shared" ca="1" si="244"/>
        <v>0</v>
      </c>
      <c r="P356" s="358">
        <f t="shared" ca="1" si="244"/>
        <v>0</v>
      </c>
      <c r="Q356" s="358">
        <f t="shared" ref="Q356:Z365" ca="1" si="245">IFERROR(OFFSET(INDIRECT(INDEX(List_of_Alternatives,MATCH($D356,NameofAlternatives,0))),$A356+Q$1-$G$1,$B356),0)</f>
        <v>0</v>
      </c>
      <c r="R356" s="358">
        <f t="shared" ca="1" si="245"/>
        <v>0</v>
      </c>
      <c r="S356" s="358">
        <f t="shared" ca="1" si="245"/>
        <v>0</v>
      </c>
      <c r="T356" s="358">
        <f t="shared" ca="1" si="245"/>
        <v>0</v>
      </c>
      <c r="U356" s="358">
        <f t="shared" ca="1" si="245"/>
        <v>0</v>
      </c>
      <c r="V356" s="358">
        <f t="shared" ca="1" si="245"/>
        <v>0</v>
      </c>
      <c r="W356" s="358">
        <f t="shared" ca="1" si="245"/>
        <v>0</v>
      </c>
      <c r="X356" s="358">
        <f t="shared" ca="1" si="245"/>
        <v>0</v>
      </c>
      <c r="Y356" s="358">
        <f t="shared" ca="1" si="245"/>
        <v>0</v>
      </c>
      <c r="Z356" s="358">
        <f t="shared" ca="1" si="245"/>
        <v>0</v>
      </c>
      <c r="AA356" s="358">
        <f t="shared" ref="AA356:AJ365" ca="1" si="246">IFERROR(OFFSET(INDIRECT(INDEX(List_of_Alternatives,MATCH($D356,NameofAlternatives,0))),$A356+AA$1-$G$1,$B356),0)</f>
        <v>0</v>
      </c>
      <c r="AB356" s="358">
        <f t="shared" ca="1" si="246"/>
        <v>0</v>
      </c>
      <c r="AC356" s="358">
        <f t="shared" ca="1" si="246"/>
        <v>0</v>
      </c>
      <c r="AD356" s="358">
        <f t="shared" ca="1" si="246"/>
        <v>0</v>
      </c>
      <c r="AE356" s="358">
        <f t="shared" ca="1" si="246"/>
        <v>0</v>
      </c>
      <c r="AF356" s="358">
        <f t="shared" ca="1" si="246"/>
        <v>0</v>
      </c>
      <c r="AG356" s="358">
        <f t="shared" ca="1" si="246"/>
        <v>0</v>
      </c>
      <c r="AH356" s="358">
        <f t="shared" ca="1" si="246"/>
        <v>0</v>
      </c>
      <c r="AI356" s="358">
        <f t="shared" ca="1" si="246"/>
        <v>0</v>
      </c>
      <c r="AJ356" s="358">
        <f t="shared" ca="1" si="246"/>
        <v>0</v>
      </c>
      <c r="AK356" s="358">
        <f t="shared" ref="AK356:AT365" ca="1" si="247">IFERROR(OFFSET(INDIRECT(INDEX(List_of_Alternatives,MATCH($D356,NameofAlternatives,0))),$A356+AK$1-$G$1,$B356),0)</f>
        <v>0</v>
      </c>
      <c r="AL356" s="358">
        <f t="shared" ca="1" si="247"/>
        <v>0</v>
      </c>
      <c r="AM356" s="358">
        <f t="shared" ca="1" si="247"/>
        <v>0</v>
      </c>
      <c r="AN356" s="358">
        <f t="shared" ca="1" si="247"/>
        <v>0</v>
      </c>
      <c r="AO356" s="358">
        <f t="shared" ca="1" si="247"/>
        <v>0</v>
      </c>
      <c r="AP356" s="358">
        <f t="shared" ca="1" si="247"/>
        <v>0</v>
      </c>
      <c r="AQ356" s="358">
        <f t="shared" ca="1" si="247"/>
        <v>0</v>
      </c>
      <c r="AR356" s="358">
        <f t="shared" ca="1" si="247"/>
        <v>0</v>
      </c>
      <c r="AS356" s="358">
        <f t="shared" ca="1" si="247"/>
        <v>0</v>
      </c>
      <c r="AT356" s="358">
        <f t="shared" ca="1" si="247"/>
        <v>0</v>
      </c>
      <c r="AV356" s="358">
        <f t="shared" ca="1" si="206"/>
        <v>0</v>
      </c>
      <c r="AX356" s="358">
        <f t="shared" ca="1" si="207"/>
        <v>0</v>
      </c>
      <c r="AZ356" s="358">
        <f t="shared" ca="1" si="208"/>
        <v>0</v>
      </c>
      <c r="BB356" s="358">
        <f t="shared" ca="1" si="209"/>
        <v>0</v>
      </c>
      <c r="BD356" s="358">
        <f t="shared" ca="1" si="210"/>
        <v>0</v>
      </c>
      <c r="BF356" s="358">
        <f t="shared" ca="1" si="211"/>
        <v>0</v>
      </c>
      <c r="BH356" s="358">
        <f t="shared" ca="1" si="212"/>
        <v>0</v>
      </c>
    </row>
    <row r="357" spans="1:60" hidden="1" outlineLevel="1">
      <c r="A357" s="1464">
        <f t="shared" si="240"/>
        <v>18</v>
      </c>
      <c r="B357" s="1464">
        <f t="shared" si="241"/>
        <v>31</v>
      </c>
      <c r="C357" s="1464">
        <f t="shared" si="242"/>
        <v>12</v>
      </c>
      <c r="D357" s="1271" t="str">
        <f ca="1">IF(OFFSET(PortfolioDashboard!$A$3,C357-1,0)="","Blank",OFFSET(PortfolioDashboard!$A$3,C357-1,0))</f>
        <v>Steam Line Improvements</v>
      </c>
      <c r="E357" s="1464" t="str">
        <f t="shared" si="243"/>
        <v>2010$</v>
      </c>
      <c r="F357" s="1460">
        <f t="shared" ca="1" si="226"/>
        <v>0</v>
      </c>
      <c r="G357" s="358">
        <f t="shared" ca="1" si="244"/>
        <v>0</v>
      </c>
      <c r="H357" s="358">
        <f t="shared" ca="1" si="244"/>
        <v>0</v>
      </c>
      <c r="I357" s="358">
        <f t="shared" ca="1" si="244"/>
        <v>0</v>
      </c>
      <c r="J357" s="358">
        <f t="shared" ca="1" si="244"/>
        <v>0</v>
      </c>
      <c r="K357" s="358">
        <f t="shared" ca="1" si="244"/>
        <v>0</v>
      </c>
      <c r="L357" s="358">
        <f t="shared" ca="1" si="244"/>
        <v>0</v>
      </c>
      <c r="M357" s="358">
        <f t="shared" ca="1" si="244"/>
        <v>0</v>
      </c>
      <c r="N357" s="358">
        <f t="shared" ca="1" si="244"/>
        <v>0</v>
      </c>
      <c r="O357" s="358">
        <f t="shared" ca="1" si="244"/>
        <v>0</v>
      </c>
      <c r="P357" s="358">
        <f t="shared" ca="1" si="244"/>
        <v>0</v>
      </c>
      <c r="Q357" s="358">
        <f t="shared" ca="1" si="245"/>
        <v>0</v>
      </c>
      <c r="R357" s="358">
        <f t="shared" ca="1" si="245"/>
        <v>0</v>
      </c>
      <c r="S357" s="358">
        <f t="shared" ca="1" si="245"/>
        <v>0</v>
      </c>
      <c r="T357" s="358">
        <f t="shared" ca="1" si="245"/>
        <v>0</v>
      </c>
      <c r="U357" s="358">
        <f t="shared" ca="1" si="245"/>
        <v>0</v>
      </c>
      <c r="V357" s="358">
        <f t="shared" ca="1" si="245"/>
        <v>0</v>
      </c>
      <c r="W357" s="358">
        <f t="shared" ca="1" si="245"/>
        <v>0</v>
      </c>
      <c r="X357" s="358">
        <f t="shared" ca="1" si="245"/>
        <v>0</v>
      </c>
      <c r="Y357" s="358">
        <f t="shared" ca="1" si="245"/>
        <v>0</v>
      </c>
      <c r="Z357" s="358">
        <f t="shared" ca="1" si="245"/>
        <v>0</v>
      </c>
      <c r="AA357" s="358">
        <f t="shared" ca="1" si="246"/>
        <v>0</v>
      </c>
      <c r="AB357" s="358">
        <f t="shared" ca="1" si="246"/>
        <v>0</v>
      </c>
      <c r="AC357" s="358">
        <f t="shared" ca="1" si="246"/>
        <v>0</v>
      </c>
      <c r="AD357" s="358">
        <f t="shared" ca="1" si="246"/>
        <v>0</v>
      </c>
      <c r="AE357" s="358">
        <f t="shared" ca="1" si="246"/>
        <v>0</v>
      </c>
      <c r="AF357" s="358">
        <f t="shared" ca="1" si="246"/>
        <v>0</v>
      </c>
      <c r="AG357" s="358">
        <f t="shared" ca="1" si="246"/>
        <v>0</v>
      </c>
      <c r="AH357" s="358">
        <f t="shared" ca="1" si="246"/>
        <v>0</v>
      </c>
      <c r="AI357" s="358">
        <f t="shared" ca="1" si="246"/>
        <v>0</v>
      </c>
      <c r="AJ357" s="358">
        <f t="shared" ca="1" si="246"/>
        <v>0</v>
      </c>
      <c r="AK357" s="358">
        <f t="shared" ca="1" si="247"/>
        <v>0</v>
      </c>
      <c r="AL357" s="358">
        <f t="shared" ca="1" si="247"/>
        <v>0</v>
      </c>
      <c r="AM357" s="358">
        <f t="shared" ca="1" si="247"/>
        <v>0</v>
      </c>
      <c r="AN357" s="358">
        <f t="shared" ca="1" si="247"/>
        <v>0</v>
      </c>
      <c r="AO357" s="358">
        <f t="shared" ca="1" si="247"/>
        <v>0</v>
      </c>
      <c r="AP357" s="358">
        <f t="shared" ca="1" si="247"/>
        <v>0</v>
      </c>
      <c r="AQ357" s="358">
        <f t="shared" ca="1" si="247"/>
        <v>0</v>
      </c>
      <c r="AR357" s="358">
        <f t="shared" ca="1" si="247"/>
        <v>0</v>
      </c>
      <c r="AS357" s="358">
        <f t="shared" ca="1" si="247"/>
        <v>0</v>
      </c>
      <c r="AT357" s="358">
        <f t="shared" ca="1" si="247"/>
        <v>0</v>
      </c>
      <c r="AV357" s="358">
        <f t="shared" ca="1" si="206"/>
        <v>0</v>
      </c>
      <c r="AX357" s="358">
        <f t="shared" ca="1" si="207"/>
        <v>0</v>
      </c>
      <c r="AZ357" s="358">
        <f t="shared" ca="1" si="208"/>
        <v>0</v>
      </c>
      <c r="BB357" s="358">
        <f t="shared" ca="1" si="209"/>
        <v>0</v>
      </c>
      <c r="BD357" s="358">
        <f t="shared" ca="1" si="210"/>
        <v>0</v>
      </c>
      <c r="BF357" s="358">
        <f t="shared" ca="1" si="211"/>
        <v>0</v>
      </c>
      <c r="BH357" s="358">
        <f t="shared" ca="1" si="212"/>
        <v>0</v>
      </c>
    </row>
    <row r="358" spans="1:60" hidden="1" outlineLevel="1">
      <c r="A358" s="1464">
        <f t="shared" si="240"/>
        <v>18</v>
      </c>
      <c r="B358" s="1464">
        <f t="shared" si="241"/>
        <v>31</v>
      </c>
      <c r="C358" s="1464">
        <f t="shared" si="242"/>
        <v>13</v>
      </c>
      <c r="D358" s="1271" t="str">
        <f ca="1">IF(OFFSET(PortfolioDashboard!$A$3,C358-1,0)="","Blank",OFFSET(PortfolioDashboard!$A$3,C358-1,0))</f>
        <v>Coal to Natural Gas Conversion @ Steam Plant</v>
      </c>
      <c r="E358" s="1464" t="str">
        <f t="shared" si="243"/>
        <v>2010$</v>
      </c>
      <c r="F358" s="1460">
        <f t="shared" ca="1" si="226"/>
        <v>0</v>
      </c>
      <c r="G358" s="358">
        <f t="shared" ca="1" si="244"/>
        <v>0</v>
      </c>
      <c r="H358" s="358">
        <f t="shared" ca="1" si="244"/>
        <v>0</v>
      </c>
      <c r="I358" s="358">
        <f t="shared" ca="1" si="244"/>
        <v>0</v>
      </c>
      <c r="J358" s="358">
        <f t="shared" ca="1" si="244"/>
        <v>0</v>
      </c>
      <c r="K358" s="358">
        <f t="shared" ca="1" si="244"/>
        <v>0</v>
      </c>
      <c r="L358" s="358">
        <f t="shared" ca="1" si="244"/>
        <v>0</v>
      </c>
      <c r="M358" s="358">
        <f t="shared" ca="1" si="244"/>
        <v>0</v>
      </c>
      <c r="N358" s="358">
        <f t="shared" ca="1" si="244"/>
        <v>0</v>
      </c>
      <c r="O358" s="358">
        <f t="shared" ca="1" si="244"/>
        <v>0</v>
      </c>
      <c r="P358" s="358">
        <f t="shared" ca="1" si="244"/>
        <v>0</v>
      </c>
      <c r="Q358" s="358">
        <f t="shared" ca="1" si="245"/>
        <v>0</v>
      </c>
      <c r="R358" s="358">
        <f t="shared" ca="1" si="245"/>
        <v>0</v>
      </c>
      <c r="S358" s="358">
        <f t="shared" ca="1" si="245"/>
        <v>0</v>
      </c>
      <c r="T358" s="358">
        <f t="shared" ca="1" si="245"/>
        <v>0</v>
      </c>
      <c r="U358" s="358">
        <f t="shared" ca="1" si="245"/>
        <v>0</v>
      </c>
      <c r="V358" s="358">
        <f t="shared" ca="1" si="245"/>
        <v>0</v>
      </c>
      <c r="W358" s="358">
        <f t="shared" ca="1" si="245"/>
        <v>0</v>
      </c>
      <c r="X358" s="358">
        <f t="shared" ca="1" si="245"/>
        <v>0</v>
      </c>
      <c r="Y358" s="358">
        <f t="shared" ca="1" si="245"/>
        <v>0</v>
      </c>
      <c r="Z358" s="358">
        <f t="shared" ca="1" si="245"/>
        <v>0</v>
      </c>
      <c r="AA358" s="358">
        <f t="shared" ca="1" si="246"/>
        <v>0</v>
      </c>
      <c r="AB358" s="358">
        <f t="shared" ca="1" si="246"/>
        <v>0</v>
      </c>
      <c r="AC358" s="358">
        <f t="shared" ca="1" si="246"/>
        <v>0</v>
      </c>
      <c r="AD358" s="358">
        <f t="shared" ca="1" si="246"/>
        <v>0</v>
      </c>
      <c r="AE358" s="358">
        <f t="shared" ca="1" si="246"/>
        <v>0</v>
      </c>
      <c r="AF358" s="358">
        <f t="shared" ca="1" si="246"/>
        <v>0</v>
      </c>
      <c r="AG358" s="358">
        <f t="shared" ca="1" si="246"/>
        <v>0</v>
      </c>
      <c r="AH358" s="358">
        <f t="shared" ca="1" si="246"/>
        <v>0</v>
      </c>
      <c r="AI358" s="358">
        <f t="shared" ca="1" si="246"/>
        <v>0</v>
      </c>
      <c r="AJ358" s="358">
        <f t="shared" ca="1" si="246"/>
        <v>0</v>
      </c>
      <c r="AK358" s="358">
        <f t="shared" ca="1" si="247"/>
        <v>0</v>
      </c>
      <c r="AL358" s="358">
        <f t="shared" ca="1" si="247"/>
        <v>0</v>
      </c>
      <c r="AM358" s="358">
        <f t="shared" ca="1" si="247"/>
        <v>0</v>
      </c>
      <c r="AN358" s="358">
        <f t="shared" ca="1" si="247"/>
        <v>0</v>
      </c>
      <c r="AO358" s="358">
        <f t="shared" ca="1" si="247"/>
        <v>0</v>
      </c>
      <c r="AP358" s="358">
        <f t="shared" ca="1" si="247"/>
        <v>0</v>
      </c>
      <c r="AQ358" s="358">
        <f t="shared" ca="1" si="247"/>
        <v>0</v>
      </c>
      <c r="AR358" s="358">
        <f t="shared" ca="1" si="247"/>
        <v>0</v>
      </c>
      <c r="AS358" s="358">
        <f t="shared" ca="1" si="247"/>
        <v>0</v>
      </c>
      <c r="AT358" s="358">
        <f t="shared" ca="1" si="247"/>
        <v>0</v>
      </c>
      <c r="AV358" s="358">
        <f t="shared" ref="AV358:AV421" ca="1" si="248">SUM(L358:P358)</f>
        <v>0</v>
      </c>
      <c r="AX358" s="358">
        <f t="shared" ref="AX358:AX421" ca="1" si="249">SUM(Q358:U358)</f>
        <v>0</v>
      </c>
      <c r="AZ358" s="358">
        <f t="shared" ref="AZ358:AZ421" ca="1" si="250">SUM(V358:Z358)</f>
        <v>0</v>
      </c>
      <c r="BB358" s="358">
        <f t="shared" ref="BB358:BB421" ca="1" si="251">SUM(AA358:AE358)</f>
        <v>0</v>
      </c>
      <c r="BD358" s="358">
        <f t="shared" ref="BD358:BD421" ca="1" si="252">SUM(AF358:AJ358)</f>
        <v>0</v>
      </c>
      <c r="BF358" s="358">
        <f t="shared" ref="BF358:BF421" ca="1" si="253">SUM(AK358:AO358)</f>
        <v>0</v>
      </c>
      <c r="BH358" s="358">
        <f t="shared" ref="BH358:BH421" ca="1" si="254">SUM(AP358:AT358)</f>
        <v>0</v>
      </c>
    </row>
    <row r="359" spans="1:60" hidden="1" outlineLevel="1">
      <c r="A359" s="1464">
        <f t="shared" si="240"/>
        <v>18</v>
      </c>
      <c r="B359" s="1464">
        <f t="shared" si="241"/>
        <v>31</v>
      </c>
      <c r="C359" s="1464">
        <f t="shared" si="242"/>
        <v>14</v>
      </c>
      <c r="D359" s="1271" t="str">
        <f ca="1">IF(OFFSET(PortfolioDashboard!$A$3,C359-1,0)="","Blank",OFFSET(PortfolioDashboard!$A$3,C359-1,0))</f>
        <v>On-site Wind</v>
      </c>
      <c r="E359" s="1464" t="str">
        <f t="shared" si="243"/>
        <v>2010$</v>
      </c>
      <c r="F359" s="1460">
        <f t="shared" ca="1" si="226"/>
        <v>0</v>
      </c>
      <c r="G359" s="358">
        <f t="shared" ca="1" si="244"/>
        <v>0</v>
      </c>
      <c r="H359" s="358">
        <f t="shared" ca="1" si="244"/>
        <v>0</v>
      </c>
      <c r="I359" s="358">
        <f t="shared" ca="1" si="244"/>
        <v>0</v>
      </c>
      <c r="J359" s="358">
        <f t="shared" ca="1" si="244"/>
        <v>0</v>
      </c>
      <c r="K359" s="358">
        <f t="shared" ca="1" si="244"/>
        <v>0</v>
      </c>
      <c r="L359" s="358">
        <f t="shared" ca="1" si="244"/>
        <v>0</v>
      </c>
      <c r="M359" s="358">
        <f t="shared" ca="1" si="244"/>
        <v>0</v>
      </c>
      <c r="N359" s="358">
        <f t="shared" ca="1" si="244"/>
        <v>0</v>
      </c>
      <c r="O359" s="358">
        <f t="shared" ca="1" si="244"/>
        <v>0</v>
      </c>
      <c r="P359" s="358">
        <f t="shared" ca="1" si="244"/>
        <v>0</v>
      </c>
      <c r="Q359" s="358">
        <f t="shared" ca="1" si="245"/>
        <v>0</v>
      </c>
      <c r="R359" s="358">
        <f t="shared" ca="1" si="245"/>
        <v>0</v>
      </c>
      <c r="S359" s="358">
        <f t="shared" ca="1" si="245"/>
        <v>0</v>
      </c>
      <c r="T359" s="358">
        <f t="shared" ca="1" si="245"/>
        <v>0</v>
      </c>
      <c r="U359" s="358">
        <f t="shared" ca="1" si="245"/>
        <v>0</v>
      </c>
      <c r="V359" s="358">
        <f t="shared" ca="1" si="245"/>
        <v>0</v>
      </c>
      <c r="W359" s="358">
        <f t="shared" ca="1" si="245"/>
        <v>0</v>
      </c>
      <c r="X359" s="358">
        <f t="shared" ca="1" si="245"/>
        <v>0</v>
      </c>
      <c r="Y359" s="358">
        <f t="shared" ca="1" si="245"/>
        <v>0</v>
      </c>
      <c r="Z359" s="358">
        <f t="shared" ca="1" si="245"/>
        <v>0</v>
      </c>
      <c r="AA359" s="358">
        <f t="shared" ca="1" si="246"/>
        <v>0</v>
      </c>
      <c r="AB359" s="358">
        <f t="shared" ca="1" si="246"/>
        <v>0</v>
      </c>
      <c r="AC359" s="358">
        <f t="shared" ca="1" si="246"/>
        <v>0</v>
      </c>
      <c r="AD359" s="358">
        <f t="shared" ca="1" si="246"/>
        <v>0</v>
      </c>
      <c r="AE359" s="358">
        <f t="shared" ca="1" si="246"/>
        <v>0</v>
      </c>
      <c r="AF359" s="358">
        <f t="shared" ca="1" si="246"/>
        <v>0</v>
      </c>
      <c r="AG359" s="358">
        <f t="shared" ca="1" si="246"/>
        <v>0</v>
      </c>
      <c r="AH359" s="358">
        <f t="shared" ca="1" si="246"/>
        <v>0</v>
      </c>
      <c r="AI359" s="358">
        <f t="shared" ca="1" si="246"/>
        <v>0</v>
      </c>
      <c r="AJ359" s="358">
        <f t="shared" ca="1" si="246"/>
        <v>0</v>
      </c>
      <c r="AK359" s="358">
        <f t="shared" ca="1" si="247"/>
        <v>0</v>
      </c>
      <c r="AL359" s="358">
        <f t="shared" ca="1" si="247"/>
        <v>0</v>
      </c>
      <c r="AM359" s="358">
        <f t="shared" ca="1" si="247"/>
        <v>0</v>
      </c>
      <c r="AN359" s="358">
        <f t="shared" ca="1" si="247"/>
        <v>0</v>
      </c>
      <c r="AO359" s="358">
        <f t="shared" ca="1" si="247"/>
        <v>0</v>
      </c>
      <c r="AP359" s="358">
        <f t="shared" ca="1" si="247"/>
        <v>0</v>
      </c>
      <c r="AQ359" s="358">
        <f t="shared" ca="1" si="247"/>
        <v>0</v>
      </c>
      <c r="AR359" s="358">
        <f t="shared" ca="1" si="247"/>
        <v>0</v>
      </c>
      <c r="AS359" s="358">
        <f t="shared" ca="1" si="247"/>
        <v>0</v>
      </c>
      <c r="AT359" s="358">
        <f t="shared" ca="1" si="247"/>
        <v>0</v>
      </c>
      <c r="AV359" s="358">
        <f t="shared" ca="1" si="248"/>
        <v>0</v>
      </c>
      <c r="AX359" s="358">
        <f t="shared" ca="1" si="249"/>
        <v>0</v>
      </c>
      <c r="AZ359" s="358">
        <f t="shared" ca="1" si="250"/>
        <v>0</v>
      </c>
      <c r="BB359" s="358">
        <f t="shared" ca="1" si="251"/>
        <v>0</v>
      </c>
      <c r="BD359" s="358">
        <f t="shared" ca="1" si="252"/>
        <v>0</v>
      </c>
      <c r="BF359" s="358">
        <f t="shared" ca="1" si="253"/>
        <v>0</v>
      </c>
      <c r="BH359" s="358">
        <f t="shared" ca="1" si="254"/>
        <v>0</v>
      </c>
    </row>
    <row r="360" spans="1:60" hidden="1" outlineLevel="1">
      <c r="A360" s="1464">
        <f t="shared" si="240"/>
        <v>18</v>
      </c>
      <c r="B360" s="1464">
        <f t="shared" si="241"/>
        <v>31</v>
      </c>
      <c r="C360" s="1464">
        <f t="shared" si="242"/>
        <v>15</v>
      </c>
      <c r="D360" s="1271" t="str">
        <f ca="1">IF(OFFSET(PortfolioDashboard!$A$3,C360-1,0)="","Blank",OFFSET(PortfolioDashboard!$A$3,C360-1,0))</f>
        <v>Solar DHW</v>
      </c>
      <c r="E360" s="1464" t="str">
        <f t="shared" si="243"/>
        <v>2010$</v>
      </c>
      <c r="F360" s="1460">
        <f t="shared" ca="1" si="226"/>
        <v>0</v>
      </c>
      <c r="G360" s="358">
        <f t="shared" ca="1" si="244"/>
        <v>0</v>
      </c>
      <c r="H360" s="358">
        <f t="shared" ca="1" si="244"/>
        <v>0</v>
      </c>
      <c r="I360" s="358">
        <f t="shared" ca="1" si="244"/>
        <v>0</v>
      </c>
      <c r="J360" s="358">
        <f t="shared" ca="1" si="244"/>
        <v>0</v>
      </c>
      <c r="K360" s="358">
        <f t="shared" ca="1" si="244"/>
        <v>0</v>
      </c>
      <c r="L360" s="358">
        <f t="shared" ca="1" si="244"/>
        <v>0</v>
      </c>
      <c r="M360" s="358">
        <f t="shared" ca="1" si="244"/>
        <v>0</v>
      </c>
      <c r="N360" s="358">
        <f t="shared" ca="1" si="244"/>
        <v>0</v>
      </c>
      <c r="O360" s="358">
        <f t="shared" ca="1" si="244"/>
        <v>0</v>
      </c>
      <c r="P360" s="358">
        <f t="shared" ca="1" si="244"/>
        <v>0</v>
      </c>
      <c r="Q360" s="358">
        <f t="shared" ca="1" si="245"/>
        <v>0</v>
      </c>
      <c r="R360" s="358">
        <f t="shared" ca="1" si="245"/>
        <v>0</v>
      </c>
      <c r="S360" s="358">
        <f t="shared" ca="1" si="245"/>
        <v>0</v>
      </c>
      <c r="T360" s="358">
        <f t="shared" ca="1" si="245"/>
        <v>0</v>
      </c>
      <c r="U360" s="358">
        <f t="shared" ca="1" si="245"/>
        <v>0</v>
      </c>
      <c r="V360" s="358">
        <f t="shared" ca="1" si="245"/>
        <v>0</v>
      </c>
      <c r="W360" s="358">
        <f t="shared" ca="1" si="245"/>
        <v>0</v>
      </c>
      <c r="X360" s="358">
        <f t="shared" ca="1" si="245"/>
        <v>0</v>
      </c>
      <c r="Y360" s="358">
        <f t="shared" ca="1" si="245"/>
        <v>0</v>
      </c>
      <c r="Z360" s="358">
        <f t="shared" ca="1" si="245"/>
        <v>0</v>
      </c>
      <c r="AA360" s="358">
        <f t="shared" ca="1" si="246"/>
        <v>0</v>
      </c>
      <c r="AB360" s="358">
        <f t="shared" ca="1" si="246"/>
        <v>0</v>
      </c>
      <c r="AC360" s="358">
        <f t="shared" ca="1" si="246"/>
        <v>0</v>
      </c>
      <c r="AD360" s="358">
        <f t="shared" ca="1" si="246"/>
        <v>0</v>
      </c>
      <c r="AE360" s="358">
        <f t="shared" ca="1" si="246"/>
        <v>0</v>
      </c>
      <c r="AF360" s="358">
        <f t="shared" ca="1" si="246"/>
        <v>0</v>
      </c>
      <c r="AG360" s="358">
        <f t="shared" ca="1" si="246"/>
        <v>0</v>
      </c>
      <c r="AH360" s="358">
        <f t="shared" ca="1" si="246"/>
        <v>0</v>
      </c>
      <c r="AI360" s="358">
        <f t="shared" ca="1" si="246"/>
        <v>0</v>
      </c>
      <c r="AJ360" s="358">
        <f t="shared" ca="1" si="246"/>
        <v>0</v>
      </c>
      <c r="AK360" s="358">
        <f t="shared" ca="1" si="247"/>
        <v>0</v>
      </c>
      <c r="AL360" s="358">
        <f t="shared" ca="1" si="247"/>
        <v>0</v>
      </c>
      <c r="AM360" s="358">
        <f t="shared" ca="1" si="247"/>
        <v>0</v>
      </c>
      <c r="AN360" s="358">
        <f t="shared" ca="1" si="247"/>
        <v>0</v>
      </c>
      <c r="AO360" s="358">
        <f t="shared" ca="1" si="247"/>
        <v>0</v>
      </c>
      <c r="AP360" s="358">
        <f t="shared" ca="1" si="247"/>
        <v>0</v>
      </c>
      <c r="AQ360" s="358">
        <f t="shared" ca="1" si="247"/>
        <v>0</v>
      </c>
      <c r="AR360" s="358">
        <f t="shared" ca="1" si="247"/>
        <v>0</v>
      </c>
      <c r="AS360" s="358">
        <f t="shared" ca="1" si="247"/>
        <v>0</v>
      </c>
      <c r="AT360" s="358">
        <f t="shared" ca="1" si="247"/>
        <v>0</v>
      </c>
      <c r="AV360" s="358">
        <f t="shared" ca="1" si="248"/>
        <v>0</v>
      </c>
      <c r="AX360" s="358">
        <f t="shared" ca="1" si="249"/>
        <v>0</v>
      </c>
      <c r="AZ360" s="358">
        <f t="shared" ca="1" si="250"/>
        <v>0</v>
      </c>
      <c r="BB360" s="358">
        <f t="shared" ca="1" si="251"/>
        <v>0</v>
      </c>
      <c r="BD360" s="358">
        <f t="shared" ca="1" si="252"/>
        <v>0</v>
      </c>
      <c r="BF360" s="358">
        <f t="shared" ca="1" si="253"/>
        <v>0</v>
      </c>
      <c r="BH360" s="358">
        <f t="shared" ca="1" si="254"/>
        <v>0</v>
      </c>
    </row>
    <row r="361" spans="1:60" hidden="1" outlineLevel="1">
      <c r="A361" s="1464">
        <f t="shared" si="240"/>
        <v>18</v>
      </c>
      <c r="B361" s="1464">
        <f t="shared" si="241"/>
        <v>31</v>
      </c>
      <c r="C361" s="1464">
        <f t="shared" si="242"/>
        <v>16</v>
      </c>
      <c r="D361" s="1271" t="str">
        <f ca="1">IF(OFFSET(PortfolioDashboard!$A$3,C361-1,0)="","Blank",OFFSET(PortfolioDashboard!$A$3,C361-1,0))</f>
        <v>Geo Exchange</v>
      </c>
      <c r="E361" s="1464" t="str">
        <f t="shared" si="243"/>
        <v>2010$</v>
      </c>
      <c r="F361" s="1460">
        <f t="shared" ca="1" si="226"/>
        <v>0</v>
      </c>
      <c r="G361" s="358">
        <f t="shared" ca="1" si="244"/>
        <v>0</v>
      </c>
      <c r="H361" s="358">
        <f t="shared" ca="1" si="244"/>
        <v>0</v>
      </c>
      <c r="I361" s="358">
        <f t="shared" ca="1" si="244"/>
        <v>0</v>
      </c>
      <c r="J361" s="358">
        <f t="shared" ca="1" si="244"/>
        <v>0</v>
      </c>
      <c r="K361" s="358">
        <f t="shared" ca="1" si="244"/>
        <v>0</v>
      </c>
      <c r="L361" s="358">
        <f t="shared" ca="1" si="244"/>
        <v>0</v>
      </c>
      <c r="M361" s="358">
        <f t="shared" ca="1" si="244"/>
        <v>0</v>
      </c>
      <c r="N361" s="358">
        <f t="shared" ca="1" si="244"/>
        <v>0</v>
      </c>
      <c r="O361" s="358">
        <f t="shared" ca="1" si="244"/>
        <v>0</v>
      </c>
      <c r="P361" s="358">
        <f t="shared" ca="1" si="244"/>
        <v>0</v>
      </c>
      <c r="Q361" s="358">
        <f t="shared" ca="1" si="245"/>
        <v>0</v>
      </c>
      <c r="R361" s="358">
        <f t="shared" ca="1" si="245"/>
        <v>0</v>
      </c>
      <c r="S361" s="358">
        <f t="shared" ca="1" si="245"/>
        <v>0</v>
      </c>
      <c r="T361" s="358">
        <f t="shared" ca="1" si="245"/>
        <v>0</v>
      </c>
      <c r="U361" s="358">
        <f t="shared" ca="1" si="245"/>
        <v>0</v>
      </c>
      <c r="V361" s="358">
        <f t="shared" ca="1" si="245"/>
        <v>0</v>
      </c>
      <c r="W361" s="358">
        <f t="shared" ca="1" si="245"/>
        <v>0</v>
      </c>
      <c r="X361" s="358">
        <f t="shared" ca="1" si="245"/>
        <v>0</v>
      </c>
      <c r="Y361" s="358">
        <f t="shared" ca="1" si="245"/>
        <v>0</v>
      </c>
      <c r="Z361" s="358">
        <f t="shared" ca="1" si="245"/>
        <v>0</v>
      </c>
      <c r="AA361" s="358">
        <f t="shared" ca="1" si="246"/>
        <v>0</v>
      </c>
      <c r="AB361" s="358">
        <f t="shared" ca="1" si="246"/>
        <v>0</v>
      </c>
      <c r="AC361" s="358">
        <f t="shared" ca="1" si="246"/>
        <v>0</v>
      </c>
      <c r="AD361" s="358">
        <f t="shared" ca="1" si="246"/>
        <v>0</v>
      </c>
      <c r="AE361" s="358">
        <f t="shared" ca="1" si="246"/>
        <v>0</v>
      </c>
      <c r="AF361" s="358">
        <f t="shared" ca="1" si="246"/>
        <v>0</v>
      </c>
      <c r="AG361" s="358">
        <f t="shared" ca="1" si="246"/>
        <v>0</v>
      </c>
      <c r="AH361" s="358">
        <f t="shared" ca="1" si="246"/>
        <v>0</v>
      </c>
      <c r="AI361" s="358">
        <f t="shared" ca="1" si="246"/>
        <v>0</v>
      </c>
      <c r="AJ361" s="358">
        <f t="shared" ca="1" si="246"/>
        <v>0</v>
      </c>
      <c r="AK361" s="358">
        <f t="shared" ca="1" si="247"/>
        <v>0</v>
      </c>
      <c r="AL361" s="358">
        <f t="shared" ca="1" si="247"/>
        <v>0</v>
      </c>
      <c r="AM361" s="358">
        <f t="shared" ca="1" si="247"/>
        <v>0</v>
      </c>
      <c r="AN361" s="358">
        <f t="shared" ca="1" si="247"/>
        <v>0</v>
      </c>
      <c r="AO361" s="358">
        <f t="shared" ca="1" si="247"/>
        <v>0</v>
      </c>
      <c r="AP361" s="358">
        <f t="shared" ca="1" si="247"/>
        <v>0</v>
      </c>
      <c r="AQ361" s="358">
        <f t="shared" ca="1" si="247"/>
        <v>0</v>
      </c>
      <c r="AR361" s="358">
        <f t="shared" ca="1" si="247"/>
        <v>0</v>
      </c>
      <c r="AS361" s="358">
        <f t="shared" ca="1" si="247"/>
        <v>0</v>
      </c>
      <c r="AT361" s="358">
        <f t="shared" ca="1" si="247"/>
        <v>0</v>
      </c>
      <c r="AV361" s="358">
        <f t="shared" ca="1" si="248"/>
        <v>0</v>
      </c>
      <c r="AX361" s="358">
        <f t="shared" ca="1" si="249"/>
        <v>0</v>
      </c>
      <c r="AZ361" s="358">
        <f t="shared" ca="1" si="250"/>
        <v>0</v>
      </c>
      <c r="BB361" s="358">
        <f t="shared" ca="1" si="251"/>
        <v>0</v>
      </c>
      <c r="BD361" s="358">
        <f t="shared" ca="1" si="252"/>
        <v>0</v>
      </c>
      <c r="BF361" s="358">
        <f t="shared" ca="1" si="253"/>
        <v>0</v>
      </c>
      <c r="BH361" s="358">
        <f t="shared" ca="1" si="254"/>
        <v>0</v>
      </c>
    </row>
    <row r="362" spans="1:60" hidden="1" outlineLevel="1">
      <c r="A362" s="1464">
        <f t="shared" si="240"/>
        <v>18</v>
      </c>
      <c r="B362" s="1464">
        <f t="shared" si="241"/>
        <v>31</v>
      </c>
      <c r="C362" s="1464">
        <f t="shared" si="242"/>
        <v>17</v>
      </c>
      <c r="D362" s="1271" t="str">
        <f ca="1">IF(OFFSET(PortfolioDashboard!$A$3,C362-1,0)="","Blank",OFFSET(PortfolioDashboard!$A$3,C362-1,0))</f>
        <v>Rooftop Solar PV</v>
      </c>
      <c r="E362" s="1464" t="str">
        <f t="shared" si="243"/>
        <v>2010$</v>
      </c>
      <c r="F362" s="1460">
        <f t="shared" ca="1" si="226"/>
        <v>0</v>
      </c>
      <c r="G362" s="358">
        <f t="shared" ca="1" si="244"/>
        <v>0</v>
      </c>
      <c r="H362" s="358">
        <f t="shared" ca="1" si="244"/>
        <v>0</v>
      </c>
      <c r="I362" s="358">
        <f t="shared" ca="1" si="244"/>
        <v>0</v>
      </c>
      <c r="J362" s="358">
        <f t="shared" ca="1" si="244"/>
        <v>0</v>
      </c>
      <c r="K362" s="358">
        <f t="shared" ca="1" si="244"/>
        <v>0</v>
      </c>
      <c r="L362" s="358">
        <f t="shared" ca="1" si="244"/>
        <v>0</v>
      </c>
      <c r="M362" s="358">
        <f t="shared" ca="1" si="244"/>
        <v>0</v>
      </c>
      <c r="N362" s="358">
        <f t="shared" ca="1" si="244"/>
        <v>0</v>
      </c>
      <c r="O362" s="358">
        <f t="shared" ca="1" si="244"/>
        <v>0</v>
      </c>
      <c r="P362" s="358">
        <f t="shared" ca="1" si="244"/>
        <v>0</v>
      </c>
      <c r="Q362" s="358">
        <f t="shared" ca="1" si="245"/>
        <v>0</v>
      </c>
      <c r="R362" s="358">
        <f t="shared" ca="1" si="245"/>
        <v>0</v>
      </c>
      <c r="S362" s="358">
        <f t="shared" ca="1" si="245"/>
        <v>0</v>
      </c>
      <c r="T362" s="358">
        <f t="shared" ca="1" si="245"/>
        <v>0</v>
      </c>
      <c r="U362" s="358">
        <f t="shared" ca="1" si="245"/>
        <v>0</v>
      </c>
      <c r="V362" s="358">
        <f t="shared" ca="1" si="245"/>
        <v>0</v>
      </c>
      <c r="W362" s="358">
        <f t="shared" ca="1" si="245"/>
        <v>0</v>
      </c>
      <c r="X362" s="358">
        <f t="shared" ca="1" si="245"/>
        <v>0</v>
      </c>
      <c r="Y362" s="358">
        <f t="shared" ca="1" si="245"/>
        <v>0</v>
      </c>
      <c r="Z362" s="358">
        <f t="shared" ca="1" si="245"/>
        <v>0</v>
      </c>
      <c r="AA362" s="358">
        <f t="shared" ca="1" si="246"/>
        <v>0</v>
      </c>
      <c r="AB362" s="358">
        <f t="shared" ca="1" si="246"/>
        <v>0</v>
      </c>
      <c r="AC362" s="358">
        <f t="shared" ca="1" si="246"/>
        <v>0</v>
      </c>
      <c r="AD362" s="358">
        <f t="shared" ca="1" si="246"/>
        <v>0</v>
      </c>
      <c r="AE362" s="358">
        <f t="shared" ca="1" si="246"/>
        <v>0</v>
      </c>
      <c r="AF362" s="358">
        <f t="shared" ca="1" si="246"/>
        <v>0</v>
      </c>
      <c r="AG362" s="358">
        <f t="shared" ca="1" si="246"/>
        <v>0</v>
      </c>
      <c r="AH362" s="358">
        <f t="shared" ca="1" si="246"/>
        <v>0</v>
      </c>
      <c r="AI362" s="358">
        <f t="shared" ca="1" si="246"/>
        <v>0</v>
      </c>
      <c r="AJ362" s="358">
        <f t="shared" ca="1" si="246"/>
        <v>0</v>
      </c>
      <c r="AK362" s="358">
        <f t="shared" ca="1" si="247"/>
        <v>0</v>
      </c>
      <c r="AL362" s="358">
        <f t="shared" ca="1" si="247"/>
        <v>0</v>
      </c>
      <c r="AM362" s="358">
        <f t="shared" ca="1" si="247"/>
        <v>0</v>
      </c>
      <c r="AN362" s="358">
        <f t="shared" ca="1" si="247"/>
        <v>0</v>
      </c>
      <c r="AO362" s="358">
        <f t="shared" ca="1" si="247"/>
        <v>0</v>
      </c>
      <c r="AP362" s="358">
        <f t="shared" ca="1" si="247"/>
        <v>0</v>
      </c>
      <c r="AQ362" s="358">
        <f t="shared" ca="1" si="247"/>
        <v>0</v>
      </c>
      <c r="AR362" s="358">
        <f t="shared" ca="1" si="247"/>
        <v>0</v>
      </c>
      <c r="AS362" s="358">
        <f t="shared" ca="1" si="247"/>
        <v>0</v>
      </c>
      <c r="AT362" s="358">
        <f t="shared" ca="1" si="247"/>
        <v>0</v>
      </c>
      <c r="AV362" s="358">
        <f t="shared" ca="1" si="248"/>
        <v>0</v>
      </c>
      <c r="AX362" s="358">
        <f t="shared" ca="1" si="249"/>
        <v>0</v>
      </c>
      <c r="AZ362" s="358">
        <f t="shared" ca="1" si="250"/>
        <v>0</v>
      </c>
      <c r="BB362" s="358">
        <f t="shared" ca="1" si="251"/>
        <v>0</v>
      </c>
      <c r="BD362" s="358">
        <f t="shared" ca="1" si="252"/>
        <v>0</v>
      </c>
      <c r="BF362" s="358">
        <f t="shared" ca="1" si="253"/>
        <v>0</v>
      </c>
      <c r="BH362" s="358">
        <f t="shared" ca="1" si="254"/>
        <v>0</v>
      </c>
    </row>
    <row r="363" spans="1:60" hidden="1" outlineLevel="1">
      <c r="A363" s="1464">
        <f t="shared" si="240"/>
        <v>18</v>
      </c>
      <c r="B363" s="1464">
        <f t="shared" si="241"/>
        <v>31</v>
      </c>
      <c r="C363" s="1464">
        <f t="shared" si="242"/>
        <v>18</v>
      </c>
      <c r="D363" s="1271" t="str">
        <f ca="1">IF(OFFSET(PortfolioDashboard!$A$3,C363-1,0)="","Blank",OFFSET(PortfolioDashboard!$A$3,C363-1,0))</f>
        <v>Blank</v>
      </c>
      <c r="E363" s="1464" t="str">
        <f t="shared" si="243"/>
        <v>2010$</v>
      </c>
      <c r="F363" s="1460">
        <f t="shared" ca="1" si="226"/>
        <v>0</v>
      </c>
      <c r="G363" s="358">
        <f t="shared" ca="1" si="244"/>
        <v>0</v>
      </c>
      <c r="H363" s="358">
        <f t="shared" ca="1" si="244"/>
        <v>0</v>
      </c>
      <c r="I363" s="358">
        <f t="shared" ca="1" si="244"/>
        <v>0</v>
      </c>
      <c r="J363" s="358">
        <f t="shared" ca="1" si="244"/>
        <v>0</v>
      </c>
      <c r="K363" s="358">
        <f t="shared" ca="1" si="244"/>
        <v>0</v>
      </c>
      <c r="L363" s="358">
        <f t="shared" ca="1" si="244"/>
        <v>0</v>
      </c>
      <c r="M363" s="358">
        <f t="shared" ca="1" si="244"/>
        <v>0</v>
      </c>
      <c r="N363" s="358">
        <f t="shared" ca="1" si="244"/>
        <v>0</v>
      </c>
      <c r="O363" s="358">
        <f t="shared" ca="1" si="244"/>
        <v>0</v>
      </c>
      <c r="P363" s="358">
        <f t="shared" ca="1" si="244"/>
        <v>0</v>
      </c>
      <c r="Q363" s="358">
        <f t="shared" ca="1" si="245"/>
        <v>0</v>
      </c>
      <c r="R363" s="358">
        <f t="shared" ca="1" si="245"/>
        <v>0</v>
      </c>
      <c r="S363" s="358">
        <f t="shared" ca="1" si="245"/>
        <v>0</v>
      </c>
      <c r="T363" s="358">
        <f t="shared" ca="1" si="245"/>
        <v>0</v>
      </c>
      <c r="U363" s="358">
        <f t="shared" ca="1" si="245"/>
        <v>0</v>
      </c>
      <c r="V363" s="358">
        <f t="shared" ca="1" si="245"/>
        <v>0</v>
      </c>
      <c r="W363" s="358">
        <f t="shared" ca="1" si="245"/>
        <v>0</v>
      </c>
      <c r="X363" s="358">
        <f t="shared" ca="1" si="245"/>
        <v>0</v>
      </c>
      <c r="Y363" s="358">
        <f t="shared" ca="1" si="245"/>
        <v>0</v>
      </c>
      <c r="Z363" s="358">
        <f t="shared" ca="1" si="245"/>
        <v>0</v>
      </c>
      <c r="AA363" s="358">
        <f t="shared" ca="1" si="246"/>
        <v>0</v>
      </c>
      <c r="AB363" s="358">
        <f t="shared" ca="1" si="246"/>
        <v>0</v>
      </c>
      <c r="AC363" s="358">
        <f t="shared" ca="1" si="246"/>
        <v>0</v>
      </c>
      <c r="AD363" s="358">
        <f t="shared" ca="1" si="246"/>
        <v>0</v>
      </c>
      <c r="AE363" s="358">
        <f t="shared" ca="1" si="246"/>
        <v>0</v>
      </c>
      <c r="AF363" s="358">
        <f t="shared" ca="1" si="246"/>
        <v>0</v>
      </c>
      <c r="AG363" s="358">
        <f t="shared" ca="1" si="246"/>
        <v>0</v>
      </c>
      <c r="AH363" s="358">
        <f t="shared" ca="1" si="246"/>
        <v>0</v>
      </c>
      <c r="AI363" s="358">
        <f t="shared" ca="1" si="246"/>
        <v>0</v>
      </c>
      <c r="AJ363" s="358">
        <f t="shared" ca="1" si="246"/>
        <v>0</v>
      </c>
      <c r="AK363" s="358">
        <f t="shared" ca="1" si="247"/>
        <v>0</v>
      </c>
      <c r="AL363" s="358">
        <f t="shared" ca="1" si="247"/>
        <v>0</v>
      </c>
      <c r="AM363" s="358">
        <f t="shared" ca="1" si="247"/>
        <v>0</v>
      </c>
      <c r="AN363" s="358">
        <f t="shared" ca="1" si="247"/>
        <v>0</v>
      </c>
      <c r="AO363" s="358">
        <f t="shared" ca="1" si="247"/>
        <v>0</v>
      </c>
      <c r="AP363" s="358">
        <f t="shared" ca="1" si="247"/>
        <v>0</v>
      </c>
      <c r="AQ363" s="358">
        <f t="shared" ca="1" si="247"/>
        <v>0</v>
      </c>
      <c r="AR363" s="358">
        <f t="shared" ca="1" si="247"/>
        <v>0</v>
      </c>
      <c r="AS363" s="358">
        <f t="shared" ca="1" si="247"/>
        <v>0</v>
      </c>
      <c r="AT363" s="358">
        <f t="shared" ca="1" si="247"/>
        <v>0</v>
      </c>
      <c r="AV363" s="358">
        <f t="shared" ca="1" si="248"/>
        <v>0</v>
      </c>
      <c r="AX363" s="358">
        <f t="shared" ca="1" si="249"/>
        <v>0</v>
      </c>
      <c r="AZ363" s="358">
        <f t="shared" ca="1" si="250"/>
        <v>0</v>
      </c>
      <c r="BB363" s="358">
        <f t="shared" ca="1" si="251"/>
        <v>0</v>
      </c>
      <c r="BD363" s="358">
        <f t="shared" ca="1" si="252"/>
        <v>0</v>
      </c>
      <c r="BF363" s="358">
        <f t="shared" ca="1" si="253"/>
        <v>0</v>
      </c>
      <c r="BH363" s="358">
        <f t="shared" ca="1" si="254"/>
        <v>0</v>
      </c>
    </row>
    <row r="364" spans="1:60" hidden="1" outlineLevel="1">
      <c r="A364" s="1464">
        <f t="shared" si="240"/>
        <v>18</v>
      </c>
      <c r="B364" s="1464">
        <f t="shared" si="241"/>
        <v>31</v>
      </c>
      <c r="C364" s="1464">
        <f t="shared" si="242"/>
        <v>19</v>
      </c>
      <c r="D364" s="1271" t="str">
        <f ca="1">IF(OFFSET(PortfolioDashboard!$A$3,C364-1,0)="","Blank",OFFSET(PortfolioDashboard!$A$3,C364-1,0))</f>
        <v>Blank</v>
      </c>
      <c r="E364" s="1464" t="str">
        <f t="shared" si="243"/>
        <v>2010$</v>
      </c>
      <c r="F364" s="1460">
        <f t="shared" ca="1" si="226"/>
        <v>0</v>
      </c>
      <c r="G364" s="358">
        <f t="shared" ca="1" si="244"/>
        <v>0</v>
      </c>
      <c r="H364" s="358">
        <f t="shared" ca="1" si="244"/>
        <v>0</v>
      </c>
      <c r="I364" s="358">
        <f t="shared" ca="1" si="244"/>
        <v>0</v>
      </c>
      <c r="J364" s="358">
        <f t="shared" ca="1" si="244"/>
        <v>0</v>
      </c>
      <c r="K364" s="358">
        <f t="shared" ca="1" si="244"/>
        <v>0</v>
      </c>
      <c r="L364" s="358">
        <f t="shared" ca="1" si="244"/>
        <v>0</v>
      </c>
      <c r="M364" s="358">
        <f t="shared" ca="1" si="244"/>
        <v>0</v>
      </c>
      <c r="N364" s="358">
        <f t="shared" ca="1" si="244"/>
        <v>0</v>
      </c>
      <c r="O364" s="358">
        <f t="shared" ca="1" si="244"/>
        <v>0</v>
      </c>
      <c r="P364" s="358">
        <f t="shared" ca="1" si="244"/>
        <v>0</v>
      </c>
      <c r="Q364" s="358">
        <f t="shared" ca="1" si="245"/>
        <v>0</v>
      </c>
      <c r="R364" s="358">
        <f t="shared" ca="1" si="245"/>
        <v>0</v>
      </c>
      <c r="S364" s="358">
        <f t="shared" ca="1" si="245"/>
        <v>0</v>
      </c>
      <c r="T364" s="358">
        <f t="shared" ca="1" si="245"/>
        <v>0</v>
      </c>
      <c r="U364" s="358">
        <f t="shared" ca="1" si="245"/>
        <v>0</v>
      </c>
      <c r="V364" s="358">
        <f t="shared" ca="1" si="245"/>
        <v>0</v>
      </c>
      <c r="W364" s="358">
        <f t="shared" ca="1" si="245"/>
        <v>0</v>
      </c>
      <c r="X364" s="358">
        <f t="shared" ca="1" si="245"/>
        <v>0</v>
      </c>
      <c r="Y364" s="358">
        <f t="shared" ca="1" si="245"/>
        <v>0</v>
      </c>
      <c r="Z364" s="358">
        <f t="shared" ca="1" si="245"/>
        <v>0</v>
      </c>
      <c r="AA364" s="358">
        <f t="shared" ca="1" si="246"/>
        <v>0</v>
      </c>
      <c r="AB364" s="358">
        <f t="shared" ca="1" si="246"/>
        <v>0</v>
      </c>
      <c r="AC364" s="358">
        <f t="shared" ca="1" si="246"/>
        <v>0</v>
      </c>
      <c r="AD364" s="358">
        <f t="shared" ca="1" si="246"/>
        <v>0</v>
      </c>
      <c r="AE364" s="358">
        <f t="shared" ca="1" si="246"/>
        <v>0</v>
      </c>
      <c r="AF364" s="358">
        <f t="shared" ca="1" si="246"/>
        <v>0</v>
      </c>
      <c r="AG364" s="358">
        <f t="shared" ca="1" si="246"/>
        <v>0</v>
      </c>
      <c r="AH364" s="358">
        <f t="shared" ca="1" si="246"/>
        <v>0</v>
      </c>
      <c r="AI364" s="358">
        <f t="shared" ca="1" si="246"/>
        <v>0</v>
      </c>
      <c r="AJ364" s="358">
        <f t="shared" ca="1" si="246"/>
        <v>0</v>
      </c>
      <c r="AK364" s="358">
        <f t="shared" ca="1" si="247"/>
        <v>0</v>
      </c>
      <c r="AL364" s="358">
        <f t="shared" ca="1" si="247"/>
        <v>0</v>
      </c>
      <c r="AM364" s="358">
        <f t="shared" ca="1" si="247"/>
        <v>0</v>
      </c>
      <c r="AN364" s="358">
        <f t="shared" ca="1" si="247"/>
        <v>0</v>
      </c>
      <c r="AO364" s="358">
        <f t="shared" ca="1" si="247"/>
        <v>0</v>
      </c>
      <c r="AP364" s="358">
        <f t="shared" ca="1" si="247"/>
        <v>0</v>
      </c>
      <c r="AQ364" s="358">
        <f t="shared" ca="1" si="247"/>
        <v>0</v>
      </c>
      <c r="AR364" s="358">
        <f t="shared" ca="1" si="247"/>
        <v>0</v>
      </c>
      <c r="AS364" s="358">
        <f t="shared" ca="1" si="247"/>
        <v>0</v>
      </c>
      <c r="AT364" s="358">
        <f t="shared" ca="1" si="247"/>
        <v>0</v>
      </c>
      <c r="AV364" s="358">
        <f t="shared" ca="1" si="248"/>
        <v>0</v>
      </c>
      <c r="AX364" s="358">
        <f t="shared" ca="1" si="249"/>
        <v>0</v>
      </c>
      <c r="AZ364" s="358">
        <f t="shared" ca="1" si="250"/>
        <v>0</v>
      </c>
      <c r="BB364" s="358">
        <f t="shared" ca="1" si="251"/>
        <v>0</v>
      </c>
      <c r="BD364" s="358">
        <f t="shared" ca="1" si="252"/>
        <v>0</v>
      </c>
      <c r="BF364" s="358">
        <f t="shared" ca="1" si="253"/>
        <v>0</v>
      </c>
      <c r="BH364" s="358">
        <f t="shared" ca="1" si="254"/>
        <v>0</v>
      </c>
    </row>
    <row r="365" spans="1:60" hidden="1" outlineLevel="1">
      <c r="A365" s="1464">
        <f t="shared" si="240"/>
        <v>18</v>
      </c>
      <c r="B365" s="1464">
        <f t="shared" si="241"/>
        <v>31</v>
      </c>
      <c r="C365" s="1464">
        <f t="shared" si="242"/>
        <v>20</v>
      </c>
      <c r="D365" s="1271" t="str">
        <f ca="1">IF(OFFSET(PortfolioDashboard!$A$3,C365-1,0)="","Blank",OFFSET(PortfolioDashboard!$A$3,C365-1,0))</f>
        <v>Blank</v>
      </c>
      <c r="E365" s="1464" t="str">
        <f t="shared" si="243"/>
        <v>2010$</v>
      </c>
      <c r="F365" s="1460">
        <f t="shared" ca="1" si="226"/>
        <v>0</v>
      </c>
      <c r="G365" s="358">
        <f t="shared" ca="1" si="244"/>
        <v>0</v>
      </c>
      <c r="H365" s="358">
        <f t="shared" ca="1" si="244"/>
        <v>0</v>
      </c>
      <c r="I365" s="358">
        <f t="shared" ca="1" si="244"/>
        <v>0</v>
      </c>
      <c r="J365" s="358">
        <f t="shared" ca="1" si="244"/>
        <v>0</v>
      </c>
      <c r="K365" s="358">
        <f t="shared" ca="1" si="244"/>
        <v>0</v>
      </c>
      <c r="L365" s="358">
        <f t="shared" ca="1" si="244"/>
        <v>0</v>
      </c>
      <c r="M365" s="358">
        <f t="shared" ca="1" si="244"/>
        <v>0</v>
      </c>
      <c r="N365" s="358">
        <f t="shared" ca="1" si="244"/>
        <v>0</v>
      </c>
      <c r="O365" s="358">
        <f t="shared" ca="1" si="244"/>
        <v>0</v>
      </c>
      <c r="P365" s="358">
        <f t="shared" ca="1" si="244"/>
        <v>0</v>
      </c>
      <c r="Q365" s="358">
        <f t="shared" ca="1" si="245"/>
        <v>0</v>
      </c>
      <c r="R365" s="358">
        <f t="shared" ca="1" si="245"/>
        <v>0</v>
      </c>
      <c r="S365" s="358">
        <f t="shared" ca="1" si="245"/>
        <v>0</v>
      </c>
      <c r="T365" s="358">
        <f t="shared" ca="1" si="245"/>
        <v>0</v>
      </c>
      <c r="U365" s="358">
        <f t="shared" ca="1" si="245"/>
        <v>0</v>
      </c>
      <c r="V365" s="358">
        <f t="shared" ca="1" si="245"/>
        <v>0</v>
      </c>
      <c r="W365" s="358">
        <f t="shared" ca="1" si="245"/>
        <v>0</v>
      </c>
      <c r="X365" s="358">
        <f t="shared" ca="1" si="245"/>
        <v>0</v>
      </c>
      <c r="Y365" s="358">
        <f t="shared" ca="1" si="245"/>
        <v>0</v>
      </c>
      <c r="Z365" s="358">
        <f t="shared" ca="1" si="245"/>
        <v>0</v>
      </c>
      <c r="AA365" s="358">
        <f t="shared" ca="1" si="246"/>
        <v>0</v>
      </c>
      <c r="AB365" s="358">
        <f t="shared" ca="1" si="246"/>
        <v>0</v>
      </c>
      <c r="AC365" s="358">
        <f t="shared" ca="1" si="246"/>
        <v>0</v>
      </c>
      <c r="AD365" s="358">
        <f t="shared" ca="1" si="246"/>
        <v>0</v>
      </c>
      <c r="AE365" s="358">
        <f t="shared" ca="1" si="246"/>
        <v>0</v>
      </c>
      <c r="AF365" s="358">
        <f t="shared" ca="1" si="246"/>
        <v>0</v>
      </c>
      <c r="AG365" s="358">
        <f t="shared" ca="1" si="246"/>
        <v>0</v>
      </c>
      <c r="AH365" s="358">
        <f t="shared" ca="1" si="246"/>
        <v>0</v>
      </c>
      <c r="AI365" s="358">
        <f t="shared" ca="1" si="246"/>
        <v>0</v>
      </c>
      <c r="AJ365" s="358">
        <f t="shared" ca="1" si="246"/>
        <v>0</v>
      </c>
      <c r="AK365" s="358">
        <f t="shared" ca="1" si="247"/>
        <v>0</v>
      </c>
      <c r="AL365" s="358">
        <f t="shared" ca="1" si="247"/>
        <v>0</v>
      </c>
      <c r="AM365" s="358">
        <f t="shared" ca="1" si="247"/>
        <v>0</v>
      </c>
      <c r="AN365" s="358">
        <f t="shared" ca="1" si="247"/>
        <v>0</v>
      </c>
      <c r="AO365" s="358">
        <f t="shared" ca="1" si="247"/>
        <v>0</v>
      </c>
      <c r="AP365" s="358">
        <f t="shared" ca="1" si="247"/>
        <v>0</v>
      </c>
      <c r="AQ365" s="358">
        <f t="shared" ca="1" si="247"/>
        <v>0</v>
      </c>
      <c r="AR365" s="358">
        <f t="shared" ca="1" si="247"/>
        <v>0</v>
      </c>
      <c r="AS365" s="358">
        <f t="shared" ca="1" si="247"/>
        <v>0</v>
      </c>
      <c r="AT365" s="358">
        <f t="shared" ca="1" si="247"/>
        <v>0</v>
      </c>
      <c r="AV365" s="358">
        <f t="shared" ca="1" si="248"/>
        <v>0</v>
      </c>
      <c r="AX365" s="358">
        <f t="shared" ca="1" si="249"/>
        <v>0</v>
      </c>
      <c r="AZ365" s="358">
        <f t="shared" ca="1" si="250"/>
        <v>0</v>
      </c>
      <c r="BB365" s="358">
        <f t="shared" ca="1" si="251"/>
        <v>0</v>
      </c>
      <c r="BD365" s="358">
        <f t="shared" ca="1" si="252"/>
        <v>0</v>
      </c>
      <c r="BF365" s="358">
        <f t="shared" ca="1" si="253"/>
        <v>0</v>
      </c>
      <c r="BH365" s="358">
        <f t="shared" ca="1" si="254"/>
        <v>0</v>
      </c>
    </row>
    <row r="366" spans="1:60" hidden="1" outlineLevel="1">
      <c r="A366" s="1464">
        <f t="shared" si="240"/>
        <v>18</v>
      </c>
      <c r="B366" s="1464">
        <f t="shared" si="241"/>
        <v>31</v>
      </c>
      <c r="C366" s="1464">
        <f t="shared" si="242"/>
        <v>21</v>
      </c>
      <c r="D366" s="1271" t="str">
        <f ca="1">IF(OFFSET(PortfolioDashboard!$A$3,C366-1,0)="","Blank",OFFSET(PortfolioDashboard!$A$3,C366-1,0))</f>
        <v>Blank</v>
      </c>
      <c r="E366" s="1464" t="str">
        <f t="shared" si="243"/>
        <v>2010$</v>
      </c>
      <c r="F366" s="1460">
        <f t="shared" ca="1" si="226"/>
        <v>0</v>
      </c>
      <c r="G366" s="358">
        <f t="shared" ref="G366:P375" ca="1" si="255">IFERROR(OFFSET(INDIRECT(INDEX(List_of_Alternatives,MATCH($D366,NameofAlternatives,0))),$A366+G$1-$G$1,$B366),0)</f>
        <v>0</v>
      </c>
      <c r="H366" s="358">
        <f t="shared" ca="1" si="255"/>
        <v>0</v>
      </c>
      <c r="I366" s="358">
        <f t="shared" ca="1" si="255"/>
        <v>0</v>
      </c>
      <c r="J366" s="358">
        <f t="shared" ca="1" si="255"/>
        <v>0</v>
      </c>
      <c r="K366" s="358">
        <f t="shared" ca="1" si="255"/>
        <v>0</v>
      </c>
      <c r="L366" s="358">
        <f t="shared" ca="1" si="255"/>
        <v>0</v>
      </c>
      <c r="M366" s="358">
        <f t="shared" ca="1" si="255"/>
        <v>0</v>
      </c>
      <c r="N366" s="358">
        <f t="shared" ca="1" si="255"/>
        <v>0</v>
      </c>
      <c r="O366" s="358">
        <f t="shared" ca="1" si="255"/>
        <v>0</v>
      </c>
      <c r="P366" s="358">
        <f t="shared" ca="1" si="255"/>
        <v>0</v>
      </c>
      <c r="Q366" s="358">
        <f t="shared" ref="Q366:Z375" ca="1" si="256">IFERROR(OFFSET(INDIRECT(INDEX(List_of_Alternatives,MATCH($D366,NameofAlternatives,0))),$A366+Q$1-$G$1,$B366),0)</f>
        <v>0</v>
      </c>
      <c r="R366" s="358">
        <f t="shared" ca="1" si="256"/>
        <v>0</v>
      </c>
      <c r="S366" s="358">
        <f t="shared" ca="1" si="256"/>
        <v>0</v>
      </c>
      <c r="T366" s="358">
        <f t="shared" ca="1" si="256"/>
        <v>0</v>
      </c>
      <c r="U366" s="358">
        <f t="shared" ca="1" si="256"/>
        <v>0</v>
      </c>
      <c r="V366" s="358">
        <f t="shared" ca="1" si="256"/>
        <v>0</v>
      </c>
      <c r="W366" s="358">
        <f t="shared" ca="1" si="256"/>
        <v>0</v>
      </c>
      <c r="X366" s="358">
        <f t="shared" ca="1" si="256"/>
        <v>0</v>
      </c>
      <c r="Y366" s="358">
        <f t="shared" ca="1" si="256"/>
        <v>0</v>
      </c>
      <c r="Z366" s="358">
        <f t="shared" ca="1" si="256"/>
        <v>0</v>
      </c>
      <c r="AA366" s="358">
        <f t="shared" ref="AA366:AJ375" ca="1" si="257">IFERROR(OFFSET(INDIRECT(INDEX(List_of_Alternatives,MATCH($D366,NameofAlternatives,0))),$A366+AA$1-$G$1,$B366),0)</f>
        <v>0</v>
      </c>
      <c r="AB366" s="358">
        <f t="shared" ca="1" si="257"/>
        <v>0</v>
      </c>
      <c r="AC366" s="358">
        <f t="shared" ca="1" si="257"/>
        <v>0</v>
      </c>
      <c r="AD366" s="358">
        <f t="shared" ca="1" si="257"/>
        <v>0</v>
      </c>
      <c r="AE366" s="358">
        <f t="shared" ca="1" si="257"/>
        <v>0</v>
      </c>
      <c r="AF366" s="358">
        <f t="shared" ca="1" si="257"/>
        <v>0</v>
      </c>
      <c r="AG366" s="358">
        <f t="shared" ca="1" si="257"/>
        <v>0</v>
      </c>
      <c r="AH366" s="358">
        <f t="shared" ca="1" si="257"/>
        <v>0</v>
      </c>
      <c r="AI366" s="358">
        <f t="shared" ca="1" si="257"/>
        <v>0</v>
      </c>
      <c r="AJ366" s="358">
        <f t="shared" ca="1" si="257"/>
        <v>0</v>
      </c>
      <c r="AK366" s="358">
        <f t="shared" ref="AK366:AT375" ca="1" si="258">IFERROR(OFFSET(INDIRECT(INDEX(List_of_Alternatives,MATCH($D366,NameofAlternatives,0))),$A366+AK$1-$G$1,$B366),0)</f>
        <v>0</v>
      </c>
      <c r="AL366" s="358">
        <f t="shared" ca="1" si="258"/>
        <v>0</v>
      </c>
      <c r="AM366" s="358">
        <f t="shared" ca="1" si="258"/>
        <v>0</v>
      </c>
      <c r="AN366" s="358">
        <f t="shared" ca="1" si="258"/>
        <v>0</v>
      </c>
      <c r="AO366" s="358">
        <f t="shared" ca="1" si="258"/>
        <v>0</v>
      </c>
      <c r="AP366" s="358">
        <f t="shared" ca="1" si="258"/>
        <v>0</v>
      </c>
      <c r="AQ366" s="358">
        <f t="shared" ca="1" si="258"/>
        <v>0</v>
      </c>
      <c r="AR366" s="358">
        <f t="shared" ca="1" si="258"/>
        <v>0</v>
      </c>
      <c r="AS366" s="358">
        <f t="shared" ca="1" si="258"/>
        <v>0</v>
      </c>
      <c r="AT366" s="358">
        <f t="shared" ca="1" si="258"/>
        <v>0</v>
      </c>
      <c r="AV366" s="358">
        <f t="shared" ca="1" si="248"/>
        <v>0</v>
      </c>
      <c r="AX366" s="358">
        <f t="shared" ca="1" si="249"/>
        <v>0</v>
      </c>
      <c r="AZ366" s="358">
        <f t="shared" ca="1" si="250"/>
        <v>0</v>
      </c>
      <c r="BB366" s="358">
        <f t="shared" ca="1" si="251"/>
        <v>0</v>
      </c>
      <c r="BD366" s="358">
        <f t="shared" ca="1" si="252"/>
        <v>0</v>
      </c>
      <c r="BF366" s="358">
        <f t="shared" ca="1" si="253"/>
        <v>0</v>
      </c>
      <c r="BH366" s="358">
        <f t="shared" ca="1" si="254"/>
        <v>0</v>
      </c>
    </row>
    <row r="367" spans="1:60" hidden="1" outlineLevel="1">
      <c r="A367" s="1464">
        <f t="shared" si="240"/>
        <v>18</v>
      </c>
      <c r="B367" s="1464">
        <f t="shared" si="241"/>
        <v>31</v>
      </c>
      <c r="C367" s="1464">
        <f t="shared" si="242"/>
        <v>22</v>
      </c>
      <c r="D367" s="1271" t="str">
        <f ca="1">IF(OFFSET(PortfolioDashboard!$A$3,C367-1,0)="","Blank",OFFSET(PortfolioDashboard!$A$3,C367-1,0))</f>
        <v>Blank</v>
      </c>
      <c r="E367" s="1464" t="str">
        <f t="shared" si="243"/>
        <v>2010$</v>
      </c>
      <c r="F367" s="1460">
        <f t="shared" ca="1" si="226"/>
        <v>0</v>
      </c>
      <c r="G367" s="358">
        <f t="shared" ca="1" si="255"/>
        <v>0</v>
      </c>
      <c r="H367" s="358">
        <f t="shared" ca="1" si="255"/>
        <v>0</v>
      </c>
      <c r="I367" s="358">
        <f t="shared" ca="1" si="255"/>
        <v>0</v>
      </c>
      <c r="J367" s="358">
        <f t="shared" ca="1" si="255"/>
        <v>0</v>
      </c>
      <c r="K367" s="358">
        <f t="shared" ca="1" si="255"/>
        <v>0</v>
      </c>
      <c r="L367" s="358">
        <f t="shared" ca="1" si="255"/>
        <v>0</v>
      </c>
      <c r="M367" s="358">
        <f t="shared" ca="1" si="255"/>
        <v>0</v>
      </c>
      <c r="N367" s="358">
        <f t="shared" ca="1" si="255"/>
        <v>0</v>
      </c>
      <c r="O367" s="358">
        <f t="shared" ca="1" si="255"/>
        <v>0</v>
      </c>
      <c r="P367" s="358">
        <f t="shared" ca="1" si="255"/>
        <v>0</v>
      </c>
      <c r="Q367" s="358">
        <f t="shared" ca="1" si="256"/>
        <v>0</v>
      </c>
      <c r="R367" s="358">
        <f t="shared" ca="1" si="256"/>
        <v>0</v>
      </c>
      <c r="S367" s="358">
        <f t="shared" ca="1" si="256"/>
        <v>0</v>
      </c>
      <c r="T367" s="358">
        <f t="shared" ca="1" si="256"/>
        <v>0</v>
      </c>
      <c r="U367" s="358">
        <f t="shared" ca="1" si="256"/>
        <v>0</v>
      </c>
      <c r="V367" s="358">
        <f t="shared" ca="1" si="256"/>
        <v>0</v>
      </c>
      <c r="W367" s="358">
        <f t="shared" ca="1" si="256"/>
        <v>0</v>
      </c>
      <c r="X367" s="358">
        <f t="shared" ca="1" si="256"/>
        <v>0</v>
      </c>
      <c r="Y367" s="358">
        <f t="shared" ca="1" si="256"/>
        <v>0</v>
      </c>
      <c r="Z367" s="358">
        <f t="shared" ca="1" si="256"/>
        <v>0</v>
      </c>
      <c r="AA367" s="358">
        <f t="shared" ca="1" si="257"/>
        <v>0</v>
      </c>
      <c r="AB367" s="358">
        <f t="shared" ca="1" si="257"/>
        <v>0</v>
      </c>
      <c r="AC367" s="358">
        <f t="shared" ca="1" si="257"/>
        <v>0</v>
      </c>
      <c r="AD367" s="358">
        <f t="shared" ca="1" si="257"/>
        <v>0</v>
      </c>
      <c r="AE367" s="358">
        <f t="shared" ca="1" si="257"/>
        <v>0</v>
      </c>
      <c r="AF367" s="358">
        <f t="shared" ca="1" si="257"/>
        <v>0</v>
      </c>
      <c r="AG367" s="358">
        <f t="shared" ca="1" si="257"/>
        <v>0</v>
      </c>
      <c r="AH367" s="358">
        <f t="shared" ca="1" si="257"/>
        <v>0</v>
      </c>
      <c r="AI367" s="358">
        <f t="shared" ca="1" si="257"/>
        <v>0</v>
      </c>
      <c r="AJ367" s="358">
        <f t="shared" ca="1" si="257"/>
        <v>0</v>
      </c>
      <c r="AK367" s="358">
        <f t="shared" ca="1" si="258"/>
        <v>0</v>
      </c>
      <c r="AL367" s="358">
        <f t="shared" ca="1" si="258"/>
        <v>0</v>
      </c>
      <c r="AM367" s="358">
        <f t="shared" ca="1" si="258"/>
        <v>0</v>
      </c>
      <c r="AN367" s="358">
        <f t="shared" ca="1" si="258"/>
        <v>0</v>
      </c>
      <c r="AO367" s="358">
        <f t="shared" ca="1" si="258"/>
        <v>0</v>
      </c>
      <c r="AP367" s="358">
        <f t="shared" ca="1" si="258"/>
        <v>0</v>
      </c>
      <c r="AQ367" s="358">
        <f t="shared" ca="1" si="258"/>
        <v>0</v>
      </c>
      <c r="AR367" s="358">
        <f t="shared" ca="1" si="258"/>
        <v>0</v>
      </c>
      <c r="AS367" s="358">
        <f t="shared" ca="1" si="258"/>
        <v>0</v>
      </c>
      <c r="AT367" s="358">
        <f t="shared" ca="1" si="258"/>
        <v>0</v>
      </c>
      <c r="AV367" s="358">
        <f t="shared" ca="1" si="248"/>
        <v>0</v>
      </c>
      <c r="AX367" s="358">
        <f t="shared" ca="1" si="249"/>
        <v>0</v>
      </c>
      <c r="AZ367" s="358">
        <f t="shared" ca="1" si="250"/>
        <v>0</v>
      </c>
      <c r="BB367" s="358">
        <f t="shared" ca="1" si="251"/>
        <v>0</v>
      </c>
      <c r="BD367" s="358">
        <f t="shared" ca="1" si="252"/>
        <v>0</v>
      </c>
      <c r="BF367" s="358">
        <f t="shared" ca="1" si="253"/>
        <v>0</v>
      </c>
      <c r="BH367" s="358">
        <f t="shared" ca="1" si="254"/>
        <v>0</v>
      </c>
    </row>
    <row r="368" spans="1:60" hidden="1" outlineLevel="1">
      <c r="A368" s="1464">
        <f t="shared" si="240"/>
        <v>18</v>
      </c>
      <c r="B368" s="1464">
        <f t="shared" si="241"/>
        <v>31</v>
      </c>
      <c r="C368" s="1464">
        <f t="shared" si="242"/>
        <v>23</v>
      </c>
      <c r="D368" s="1271" t="str">
        <f ca="1">IF(OFFSET(PortfolioDashboard!$A$3,C368-1,0)="","Blank",OFFSET(PortfolioDashboard!$A$3,C368-1,0))</f>
        <v>Blank</v>
      </c>
      <c r="E368" s="1464" t="str">
        <f t="shared" si="243"/>
        <v>2010$</v>
      </c>
      <c r="F368" s="1460">
        <f t="shared" ca="1" si="226"/>
        <v>0</v>
      </c>
      <c r="G368" s="358">
        <f t="shared" ca="1" si="255"/>
        <v>0</v>
      </c>
      <c r="H368" s="358">
        <f t="shared" ca="1" si="255"/>
        <v>0</v>
      </c>
      <c r="I368" s="358">
        <f t="shared" ca="1" si="255"/>
        <v>0</v>
      </c>
      <c r="J368" s="358">
        <f t="shared" ca="1" si="255"/>
        <v>0</v>
      </c>
      <c r="K368" s="358">
        <f t="shared" ca="1" si="255"/>
        <v>0</v>
      </c>
      <c r="L368" s="358">
        <f t="shared" ca="1" si="255"/>
        <v>0</v>
      </c>
      <c r="M368" s="358">
        <f t="shared" ca="1" si="255"/>
        <v>0</v>
      </c>
      <c r="N368" s="358">
        <f t="shared" ca="1" si="255"/>
        <v>0</v>
      </c>
      <c r="O368" s="358">
        <f t="shared" ca="1" si="255"/>
        <v>0</v>
      </c>
      <c r="P368" s="358">
        <f t="shared" ca="1" si="255"/>
        <v>0</v>
      </c>
      <c r="Q368" s="358">
        <f t="shared" ca="1" si="256"/>
        <v>0</v>
      </c>
      <c r="R368" s="358">
        <f t="shared" ca="1" si="256"/>
        <v>0</v>
      </c>
      <c r="S368" s="358">
        <f t="shared" ca="1" si="256"/>
        <v>0</v>
      </c>
      <c r="T368" s="358">
        <f t="shared" ca="1" si="256"/>
        <v>0</v>
      </c>
      <c r="U368" s="358">
        <f t="shared" ca="1" si="256"/>
        <v>0</v>
      </c>
      <c r="V368" s="358">
        <f t="shared" ca="1" si="256"/>
        <v>0</v>
      </c>
      <c r="W368" s="358">
        <f t="shared" ca="1" si="256"/>
        <v>0</v>
      </c>
      <c r="X368" s="358">
        <f t="shared" ca="1" si="256"/>
        <v>0</v>
      </c>
      <c r="Y368" s="358">
        <f t="shared" ca="1" si="256"/>
        <v>0</v>
      </c>
      <c r="Z368" s="358">
        <f t="shared" ca="1" si="256"/>
        <v>0</v>
      </c>
      <c r="AA368" s="358">
        <f t="shared" ca="1" si="257"/>
        <v>0</v>
      </c>
      <c r="AB368" s="358">
        <f t="shared" ca="1" si="257"/>
        <v>0</v>
      </c>
      <c r="AC368" s="358">
        <f t="shared" ca="1" si="257"/>
        <v>0</v>
      </c>
      <c r="AD368" s="358">
        <f t="shared" ca="1" si="257"/>
        <v>0</v>
      </c>
      <c r="AE368" s="358">
        <f t="shared" ca="1" si="257"/>
        <v>0</v>
      </c>
      <c r="AF368" s="358">
        <f t="shared" ca="1" si="257"/>
        <v>0</v>
      </c>
      <c r="AG368" s="358">
        <f t="shared" ca="1" si="257"/>
        <v>0</v>
      </c>
      <c r="AH368" s="358">
        <f t="shared" ca="1" si="257"/>
        <v>0</v>
      </c>
      <c r="AI368" s="358">
        <f t="shared" ca="1" si="257"/>
        <v>0</v>
      </c>
      <c r="AJ368" s="358">
        <f t="shared" ca="1" si="257"/>
        <v>0</v>
      </c>
      <c r="AK368" s="358">
        <f t="shared" ca="1" si="258"/>
        <v>0</v>
      </c>
      <c r="AL368" s="358">
        <f t="shared" ca="1" si="258"/>
        <v>0</v>
      </c>
      <c r="AM368" s="358">
        <f t="shared" ca="1" si="258"/>
        <v>0</v>
      </c>
      <c r="AN368" s="358">
        <f t="shared" ca="1" si="258"/>
        <v>0</v>
      </c>
      <c r="AO368" s="358">
        <f t="shared" ca="1" si="258"/>
        <v>0</v>
      </c>
      <c r="AP368" s="358">
        <f t="shared" ca="1" si="258"/>
        <v>0</v>
      </c>
      <c r="AQ368" s="358">
        <f t="shared" ca="1" si="258"/>
        <v>0</v>
      </c>
      <c r="AR368" s="358">
        <f t="shared" ca="1" si="258"/>
        <v>0</v>
      </c>
      <c r="AS368" s="358">
        <f t="shared" ca="1" si="258"/>
        <v>0</v>
      </c>
      <c r="AT368" s="358">
        <f t="shared" ca="1" si="258"/>
        <v>0</v>
      </c>
      <c r="AV368" s="358">
        <f t="shared" ca="1" si="248"/>
        <v>0</v>
      </c>
      <c r="AX368" s="358">
        <f t="shared" ca="1" si="249"/>
        <v>0</v>
      </c>
      <c r="AZ368" s="358">
        <f t="shared" ca="1" si="250"/>
        <v>0</v>
      </c>
      <c r="BB368" s="358">
        <f t="shared" ca="1" si="251"/>
        <v>0</v>
      </c>
      <c r="BD368" s="358">
        <f t="shared" ca="1" si="252"/>
        <v>0</v>
      </c>
      <c r="BF368" s="358">
        <f t="shared" ca="1" si="253"/>
        <v>0</v>
      </c>
      <c r="BH368" s="358">
        <f t="shared" ca="1" si="254"/>
        <v>0</v>
      </c>
    </row>
    <row r="369" spans="1:60" hidden="1" outlineLevel="1">
      <c r="A369" s="1464">
        <f t="shared" si="240"/>
        <v>18</v>
      </c>
      <c r="B369" s="1464">
        <f t="shared" si="241"/>
        <v>31</v>
      </c>
      <c r="C369" s="1464">
        <f t="shared" si="242"/>
        <v>24</v>
      </c>
      <c r="D369" s="1271" t="str">
        <f ca="1">IF(OFFSET(PortfolioDashboard!$A$3,C369-1,0)="","Blank",OFFSET(PortfolioDashboard!$A$3,C369-1,0))</f>
        <v>Blank</v>
      </c>
      <c r="E369" s="1464" t="str">
        <f t="shared" si="243"/>
        <v>2010$</v>
      </c>
      <c r="F369" s="1460">
        <f t="shared" ca="1" si="226"/>
        <v>0</v>
      </c>
      <c r="G369" s="358">
        <f t="shared" ca="1" si="255"/>
        <v>0</v>
      </c>
      <c r="H369" s="358">
        <f t="shared" ca="1" si="255"/>
        <v>0</v>
      </c>
      <c r="I369" s="358">
        <f t="shared" ca="1" si="255"/>
        <v>0</v>
      </c>
      <c r="J369" s="358">
        <f t="shared" ca="1" si="255"/>
        <v>0</v>
      </c>
      <c r="K369" s="358">
        <f t="shared" ca="1" si="255"/>
        <v>0</v>
      </c>
      <c r="L369" s="358">
        <f t="shared" ca="1" si="255"/>
        <v>0</v>
      </c>
      <c r="M369" s="358">
        <f t="shared" ca="1" si="255"/>
        <v>0</v>
      </c>
      <c r="N369" s="358">
        <f t="shared" ca="1" si="255"/>
        <v>0</v>
      </c>
      <c r="O369" s="358">
        <f t="shared" ca="1" si="255"/>
        <v>0</v>
      </c>
      <c r="P369" s="358">
        <f t="shared" ca="1" si="255"/>
        <v>0</v>
      </c>
      <c r="Q369" s="358">
        <f t="shared" ca="1" si="256"/>
        <v>0</v>
      </c>
      <c r="R369" s="358">
        <f t="shared" ca="1" si="256"/>
        <v>0</v>
      </c>
      <c r="S369" s="358">
        <f t="shared" ca="1" si="256"/>
        <v>0</v>
      </c>
      <c r="T369" s="358">
        <f t="shared" ca="1" si="256"/>
        <v>0</v>
      </c>
      <c r="U369" s="358">
        <f t="shared" ca="1" si="256"/>
        <v>0</v>
      </c>
      <c r="V369" s="358">
        <f t="shared" ca="1" si="256"/>
        <v>0</v>
      </c>
      <c r="W369" s="358">
        <f t="shared" ca="1" si="256"/>
        <v>0</v>
      </c>
      <c r="X369" s="358">
        <f t="shared" ca="1" si="256"/>
        <v>0</v>
      </c>
      <c r="Y369" s="358">
        <f t="shared" ca="1" si="256"/>
        <v>0</v>
      </c>
      <c r="Z369" s="358">
        <f t="shared" ca="1" si="256"/>
        <v>0</v>
      </c>
      <c r="AA369" s="358">
        <f t="shared" ca="1" si="257"/>
        <v>0</v>
      </c>
      <c r="AB369" s="358">
        <f t="shared" ca="1" si="257"/>
        <v>0</v>
      </c>
      <c r="AC369" s="358">
        <f t="shared" ca="1" si="257"/>
        <v>0</v>
      </c>
      <c r="AD369" s="358">
        <f t="shared" ca="1" si="257"/>
        <v>0</v>
      </c>
      <c r="AE369" s="358">
        <f t="shared" ca="1" si="257"/>
        <v>0</v>
      </c>
      <c r="AF369" s="358">
        <f t="shared" ca="1" si="257"/>
        <v>0</v>
      </c>
      <c r="AG369" s="358">
        <f t="shared" ca="1" si="257"/>
        <v>0</v>
      </c>
      <c r="AH369" s="358">
        <f t="shared" ca="1" si="257"/>
        <v>0</v>
      </c>
      <c r="AI369" s="358">
        <f t="shared" ca="1" si="257"/>
        <v>0</v>
      </c>
      <c r="AJ369" s="358">
        <f t="shared" ca="1" si="257"/>
        <v>0</v>
      </c>
      <c r="AK369" s="358">
        <f t="shared" ca="1" si="258"/>
        <v>0</v>
      </c>
      <c r="AL369" s="358">
        <f t="shared" ca="1" si="258"/>
        <v>0</v>
      </c>
      <c r="AM369" s="358">
        <f t="shared" ca="1" si="258"/>
        <v>0</v>
      </c>
      <c r="AN369" s="358">
        <f t="shared" ca="1" si="258"/>
        <v>0</v>
      </c>
      <c r="AO369" s="358">
        <f t="shared" ca="1" si="258"/>
        <v>0</v>
      </c>
      <c r="AP369" s="358">
        <f t="shared" ca="1" si="258"/>
        <v>0</v>
      </c>
      <c r="AQ369" s="358">
        <f t="shared" ca="1" si="258"/>
        <v>0</v>
      </c>
      <c r="AR369" s="358">
        <f t="shared" ca="1" si="258"/>
        <v>0</v>
      </c>
      <c r="AS369" s="358">
        <f t="shared" ca="1" si="258"/>
        <v>0</v>
      </c>
      <c r="AT369" s="358">
        <f t="shared" ca="1" si="258"/>
        <v>0</v>
      </c>
      <c r="AV369" s="358">
        <f t="shared" ca="1" si="248"/>
        <v>0</v>
      </c>
      <c r="AX369" s="358">
        <f t="shared" ca="1" si="249"/>
        <v>0</v>
      </c>
      <c r="AZ369" s="358">
        <f t="shared" ca="1" si="250"/>
        <v>0</v>
      </c>
      <c r="BB369" s="358">
        <f t="shared" ca="1" si="251"/>
        <v>0</v>
      </c>
      <c r="BD369" s="358">
        <f t="shared" ca="1" si="252"/>
        <v>0</v>
      </c>
      <c r="BF369" s="358">
        <f t="shared" ca="1" si="253"/>
        <v>0</v>
      </c>
      <c r="BH369" s="358">
        <f t="shared" ca="1" si="254"/>
        <v>0</v>
      </c>
    </row>
    <row r="370" spans="1:60" hidden="1" outlineLevel="1">
      <c r="A370" s="1464">
        <f t="shared" si="240"/>
        <v>18</v>
      </c>
      <c r="B370" s="1464">
        <f t="shared" si="241"/>
        <v>31</v>
      </c>
      <c r="C370" s="1464">
        <f t="shared" si="242"/>
        <v>25</v>
      </c>
      <c r="D370" s="1271" t="str">
        <f ca="1">IF(OFFSET(PortfolioDashboard!$A$3,C370-1,0)="","Blank",OFFSET(PortfolioDashboard!$A$3,C370-1,0))</f>
        <v>Blank</v>
      </c>
      <c r="E370" s="1464" t="str">
        <f t="shared" si="243"/>
        <v>2010$</v>
      </c>
      <c r="F370" s="1460">
        <f t="shared" ca="1" si="226"/>
        <v>0</v>
      </c>
      <c r="G370" s="358">
        <f t="shared" ca="1" si="255"/>
        <v>0</v>
      </c>
      <c r="H370" s="358">
        <f t="shared" ca="1" si="255"/>
        <v>0</v>
      </c>
      <c r="I370" s="358">
        <f t="shared" ca="1" si="255"/>
        <v>0</v>
      </c>
      <c r="J370" s="358">
        <f t="shared" ca="1" si="255"/>
        <v>0</v>
      </c>
      <c r="K370" s="358">
        <f t="shared" ca="1" si="255"/>
        <v>0</v>
      </c>
      <c r="L370" s="358">
        <f t="shared" ca="1" si="255"/>
        <v>0</v>
      </c>
      <c r="M370" s="358">
        <f t="shared" ca="1" si="255"/>
        <v>0</v>
      </c>
      <c r="N370" s="358">
        <f t="shared" ca="1" si="255"/>
        <v>0</v>
      </c>
      <c r="O370" s="358">
        <f t="shared" ca="1" si="255"/>
        <v>0</v>
      </c>
      <c r="P370" s="358">
        <f t="shared" ca="1" si="255"/>
        <v>0</v>
      </c>
      <c r="Q370" s="358">
        <f t="shared" ca="1" si="256"/>
        <v>0</v>
      </c>
      <c r="R370" s="358">
        <f t="shared" ca="1" si="256"/>
        <v>0</v>
      </c>
      <c r="S370" s="358">
        <f t="shared" ca="1" si="256"/>
        <v>0</v>
      </c>
      <c r="T370" s="358">
        <f t="shared" ca="1" si="256"/>
        <v>0</v>
      </c>
      <c r="U370" s="358">
        <f t="shared" ca="1" si="256"/>
        <v>0</v>
      </c>
      <c r="V370" s="358">
        <f t="shared" ca="1" si="256"/>
        <v>0</v>
      </c>
      <c r="W370" s="358">
        <f t="shared" ca="1" si="256"/>
        <v>0</v>
      </c>
      <c r="X370" s="358">
        <f t="shared" ca="1" si="256"/>
        <v>0</v>
      </c>
      <c r="Y370" s="358">
        <f t="shared" ca="1" si="256"/>
        <v>0</v>
      </c>
      <c r="Z370" s="358">
        <f t="shared" ca="1" si="256"/>
        <v>0</v>
      </c>
      <c r="AA370" s="358">
        <f t="shared" ca="1" si="257"/>
        <v>0</v>
      </c>
      <c r="AB370" s="358">
        <f t="shared" ca="1" si="257"/>
        <v>0</v>
      </c>
      <c r="AC370" s="358">
        <f t="shared" ca="1" si="257"/>
        <v>0</v>
      </c>
      <c r="AD370" s="358">
        <f t="shared" ca="1" si="257"/>
        <v>0</v>
      </c>
      <c r="AE370" s="358">
        <f t="shared" ca="1" si="257"/>
        <v>0</v>
      </c>
      <c r="AF370" s="358">
        <f t="shared" ca="1" si="257"/>
        <v>0</v>
      </c>
      <c r="AG370" s="358">
        <f t="shared" ca="1" si="257"/>
        <v>0</v>
      </c>
      <c r="AH370" s="358">
        <f t="shared" ca="1" si="257"/>
        <v>0</v>
      </c>
      <c r="AI370" s="358">
        <f t="shared" ca="1" si="257"/>
        <v>0</v>
      </c>
      <c r="AJ370" s="358">
        <f t="shared" ca="1" si="257"/>
        <v>0</v>
      </c>
      <c r="AK370" s="358">
        <f t="shared" ca="1" si="258"/>
        <v>0</v>
      </c>
      <c r="AL370" s="358">
        <f t="shared" ca="1" si="258"/>
        <v>0</v>
      </c>
      <c r="AM370" s="358">
        <f t="shared" ca="1" si="258"/>
        <v>0</v>
      </c>
      <c r="AN370" s="358">
        <f t="shared" ca="1" si="258"/>
        <v>0</v>
      </c>
      <c r="AO370" s="358">
        <f t="shared" ca="1" si="258"/>
        <v>0</v>
      </c>
      <c r="AP370" s="358">
        <f t="shared" ca="1" si="258"/>
        <v>0</v>
      </c>
      <c r="AQ370" s="358">
        <f t="shared" ca="1" si="258"/>
        <v>0</v>
      </c>
      <c r="AR370" s="358">
        <f t="shared" ca="1" si="258"/>
        <v>0</v>
      </c>
      <c r="AS370" s="358">
        <f t="shared" ca="1" si="258"/>
        <v>0</v>
      </c>
      <c r="AT370" s="358">
        <f t="shared" ca="1" si="258"/>
        <v>0</v>
      </c>
      <c r="AV370" s="358">
        <f t="shared" ca="1" si="248"/>
        <v>0</v>
      </c>
      <c r="AX370" s="358">
        <f t="shared" ca="1" si="249"/>
        <v>0</v>
      </c>
      <c r="AZ370" s="358">
        <f t="shared" ca="1" si="250"/>
        <v>0</v>
      </c>
      <c r="BB370" s="358">
        <f t="shared" ca="1" si="251"/>
        <v>0</v>
      </c>
      <c r="BD370" s="358">
        <f t="shared" ca="1" si="252"/>
        <v>0</v>
      </c>
      <c r="BF370" s="358">
        <f t="shared" ca="1" si="253"/>
        <v>0</v>
      </c>
      <c r="BH370" s="358">
        <f t="shared" ca="1" si="254"/>
        <v>0</v>
      </c>
    </row>
    <row r="371" spans="1:60" hidden="1" outlineLevel="1">
      <c r="A371" s="1464">
        <f t="shared" si="240"/>
        <v>18</v>
      </c>
      <c r="B371" s="1464">
        <f t="shared" si="241"/>
        <v>31</v>
      </c>
      <c r="C371" s="1464">
        <f t="shared" si="242"/>
        <v>26</v>
      </c>
      <c r="D371" s="1271" t="str">
        <f ca="1">IF(OFFSET(PortfolioDashboard!$A$3,C371-1,0)="","Blank",OFFSET(PortfolioDashboard!$A$3,C371-1,0))</f>
        <v>Blank</v>
      </c>
      <c r="E371" s="1464" t="str">
        <f t="shared" si="243"/>
        <v>2010$</v>
      </c>
      <c r="F371" s="1460">
        <f t="shared" ca="1" si="226"/>
        <v>0</v>
      </c>
      <c r="G371" s="358">
        <f t="shared" ca="1" si="255"/>
        <v>0</v>
      </c>
      <c r="H371" s="358">
        <f t="shared" ca="1" si="255"/>
        <v>0</v>
      </c>
      <c r="I371" s="358">
        <f t="shared" ca="1" si="255"/>
        <v>0</v>
      </c>
      <c r="J371" s="358">
        <f t="shared" ca="1" si="255"/>
        <v>0</v>
      </c>
      <c r="K371" s="358">
        <f t="shared" ca="1" si="255"/>
        <v>0</v>
      </c>
      <c r="L371" s="358">
        <f t="shared" ca="1" si="255"/>
        <v>0</v>
      </c>
      <c r="M371" s="358">
        <f t="shared" ca="1" si="255"/>
        <v>0</v>
      </c>
      <c r="N371" s="358">
        <f t="shared" ca="1" si="255"/>
        <v>0</v>
      </c>
      <c r="O371" s="358">
        <f t="shared" ca="1" si="255"/>
        <v>0</v>
      </c>
      <c r="P371" s="358">
        <f t="shared" ca="1" si="255"/>
        <v>0</v>
      </c>
      <c r="Q371" s="358">
        <f t="shared" ca="1" si="256"/>
        <v>0</v>
      </c>
      <c r="R371" s="358">
        <f t="shared" ca="1" si="256"/>
        <v>0</v>
      </c>
      <c r="S371" s="358">
        <f t="shared" ca="1" si="256"/>
        <v>0</v>
      </c>
      <c r="T371" s="358">
        <f t="shared" ca="1" si="256"/>
        <v>0</v>
      </c>
      <c r="U371" s="358">
        <f t="shared" ca="1" si="256"/>
        <v>0</v>
      </c>
      <c r="V371" s="358">
        <f t="shared" ca="1" si="256"/>
        <v>0</v>
      </c>
      <c r="W371" s="358">
        <f t="shared" ca="1" si="256"/>
        <v>0</v>
      </c>
      <c r="X371" s="358">
        <f t="shared" ca="1" si="256"/>
        <v>0</v>
      </c>
      <c r="Y371" s="358">
        <f t="shared" ca="1" si="256"/>
        <v>0</v>
      </c>
      <c r="Z371" s="358">
        <f t="shared" ca="1" si="256"/>
        <v>0</v>
      </c>
      <c r="AA371" s="358">
        <f t="shared" ca="1" si="257"/>
        <v>0</v>
      </c>
      <c r="AB371" s="358">
        <f t="shared" ca="1" si="257"/>
        <v>0</v>
      </c>
      <c r="AC371" s="358">
        <f t="shared" ca="1" si="257"/>
        <v>0</v>
      </c>
      <c r="AD371" s="358">
        <f t="shared" ca="1" si="257"/>
        <v>0</v>
      </c>
      <c r="AE371" s="358">
        <f t="shared" ca="1" si="257"/>
        <v>0</v>
      </c>
      <c r="AF371" s="358">
        <f t="shared" ca="1" si="257"/>
        <v>0</v>
      </c>
      <c r="AG371" s="358">
        <f t="shared" ca="1" si="257"/>
        <v>0</v>
      </c>
      <c r="AH371" s="358">
        <f t="shared" ca="1" si="257"/>
        <v>0</v>
      </c>
      <c r="AI371" s="358">
        <f t="shared" ca="1" si="257"/>
        <v>0</v>
      </c>
      <c r="AJ371" s="358">
        <f t="shared" ca="1" si="257"/>
        <v>0</v>
      </c>
      <c r="AK371" s="358">
        <f t="shared" ca="1" si="258"/>
        <v>0</v>
      </c>
      <c r="AL371" s="358">
        <f t="shared" ca="1" si="258"/>
        <v>0</v>
      </c>
      <c r="AM371" s="358">
        <f t="shared" ca="1" si="258"/>
        <v>0</v>
      </c>
      <c r="AN371" s="358">
        <f t="shared" ca="1" si="258"/>
        <v>0</v>
      </c>
      <c r="AO371" s="358">
        <f t="shared" ca="1" si="258"/>
        <v>0</v>
      </c>
      <c r="AP371" s="358">
        <f t="shared" ca="1" si="258"/>
        <v>0</v>
      </c>
      <c r="AQ371" s="358">
        <f t="shared" ca="1" si="258"/>
        <v>0</v>
      </c>
      <c r="AR371" s="358">
        <f t="shared" ca="1" si="258"/>
        <v>0</v>
      </c>
      <c r="AS371" s="358">
        <f t="shared" ca="1" si="258"/>
        <v>0</v>
      </c>
      <c r="AT371" s="358">
        <f t="shared" ca="1" si="258"/>
        <v>0</v>
      </c>
      <c r="AV371" s="358">
        <f t="shared" ca="1" si="248"/>
        <v>0</v>
      </c>
      <c r="AX371" s="358">
        <f t="shared" ca="1" si="249"/>
        <v>0</v>
      </c>
      <c r="AZ371" s="358">
        <f t="shared" ca="1" si="250"/>
        <v>0</v>
      </c>
      <c r="BB371" s="358">
        <f t="shared" ca="1" si="251"/>
        <v>0</v>
      </c>
      <c r="BD371" s="358">
        <f t="shared" ca="1" si="252"/>
        <v>0</v>
      </c>
      <c r="BF371" s="358">
        <f t="shared" ca="1" si="253"/>
        <v>0</v>
      </c>
      <c r="BH371" s="358">
        <f t="shared" ca="1" si="254"/>
        <v>0</v>
      </c>
    </row>
    <row r="372" spans="1:60" hidden="1" outlineLevel="1">
      <c r="A372" s="1464">
        <f t="shared" si="240"/>
        <v>18</v>
      </c>
      <c r="B372" s="1464">
        <f t="shared" si="241"/>
        <v>31</v>
      </c>
      <c r="C372" s="1464">
        <f t="shared" si="242"/>
        <v>27</v>
      </c>
      <c r="D372" s="1271" t="str">
        <f ca="1">IF(OFFSET(PortfolioDashboard!$A$3,C372-1,0)="","Blank",OFFSET(PortfolioDashboard!$A$3,C372-1,0))</f>
        <v>Blank</v>
      </c>
      <c r="E372" s="1464" t="str">
        <f t="shared" si="243"/>
        <v>2010$</v>
      </c>
      <c r="F372" s="1460">
        <f t="shared" ca="1" si="226"/>
        <v>0</v>
      </c>
      <c r="G372" s="358">
        <f t="shared" ca="1" si="255"/>
        <v>0</v>
      </c>
      <c r="H372" s="358">
        <f t="shared" ca="1" si="255"/>
        <v>0</v>
      </c>
      <c r="I372" s="358">
        <f t="shared" ca="1" si="255"/>
        <v>0</v>
      </c>
      <c r="J372" s="358">
        <f t="shared" ca="1" si="255"/>
        <v>0</v>
      </c>
      <c r="K372" s="358">
        <f t="shared" ca="1" si="255"/>
        <v>0</v>
      </c>
      <c r="L372" s="358">
        <f t="shared" ca="1" si="255"/>
        <v>0</v>
      </c>
      <c r="M372" s="358">
        <f t="shared" ca="1" si="255"/>
        <v>0</v>
      </c>
      <c r="N372" s="358">
        <f t="shared" ca="1" si="255"/>
        <v>0</v>
      </c>
      <c r="O372" s="358">
        <f t="shared" ca="1" si="255"/>
        <v>0</v>
      </c>
      <c r="P372" s="358">
        <f t="shared" ca="1" si="255"/>
        <v>0</v>
      </c>
      <c r="Q372" s="358">
        <f t="shared" ca="1" si="256"/>
        <v>0</v>
      </c>
      <c r="R372" s="358">
        <f t="shared" ca="1" si="256"/>
        <v>0</v>
      </c>
      <c r="S372" s="358">
        <f t="shared" ca="1" si="256"/>
        <v>0</v>
      </c>
      <c r="T372" s="358">
        <f t="shared" ca="1" si="256"/>
        <v>0</v>
      </c>
      <c r="U372" s="358">
        <f t="shared" ca="1" si="256"/>
        <v>0</v>
      </c>
      <c r="V372" s="358">
        <f t="shared" ca="1" si="256"/>
        <v>0</v>
      </c>
      <c r="W372" s="358">
        <f t="shared" ca="1" si="256"/>
        <v>0</v>
      </c>
      <c r="X372" s="358">
        <f t="shared" ca="1" si="256"/>
        <v>0</v>
      </c>
      <c r="Y372" s="358">
        <f t="shared" ca="1" si="256"/>
        <v>0</v>
      </c>
      <c r="Z372" s="358">
        <f t="shared" ca="1" si="256"/>
        <v>0</v>
      </c>
      <c r="AA372" s="358">
        <f t="shared" ca="1" si="257"/>
        <v>0</v>
      </c>
      <c r="AB372" s="358">
        <f t="shared" ca="1" si="257"/>
        <v>0</v>
      </c>
      <c r="AC372" s="358">
        <f t="shared" ca="1" si="257"/>
        <v>0</v>
      </c>
      <c r="AD372" s="358">
        <f t="shared" ca="1" si="257"/>
        <v>0</v>
      </c>
      <c r="AE372" s="358">
        <f t="shared" ca="1" si="257"/>
        <v>0</v>
      </c>
      <c r="AF372" s="358">
        <f t="shared" ca="1" si="257"/>
        <v>0</v>
      </c>
      <c r="AG372" s="358">
        <f t="shared" ca="1" si="257"/>
        <v>0</v>
      </c>
      <c r="AH372" s="358">
        <f t="shared" ca="1" si="257"/>
        <v>0</v>
      </c>
      <c r="AI372" s="358">
        <f t="shared" ca="1" si="257"/>
        <v>0</v>
      </c>
      <c r="AJ372" s="358">
        <f t="shared" ca="1" si="257"/>
        <v>0</v>
      </c>
      <c r="AK372" s="358">
        <f t="shared" ca="1" si="258"/>
        <v>0</v>
      </c>
      <c r="AL372" s="358">
        <f t="shared" ca="1" si="258"/>
        <v>0</v>
      </c>
      <c r="AM372" s="358">
        <f t="shared" ca="1" si="258"/>
        <v>0</v>
      </c>
      <c r="AN372" s="358">
        <f t="shared" ca="1" si="258"/>
        <v>0</v>
      </c>
      <c r="AO372" s="358">
        <f t="shared" ca="1" si="258"/>
        <v>0</v>
      </c>
      <c r="AP372" s="358">
        <f t="shared" ca="1" si="258"/>
        <v>0</v>
      </c>
      <c r="AQ372" s="358">
        <f t="shared" ca="1" si="258"/>
        <v>0</v>
      </c>
      <c r="AR372" s="358">
        <f t="shared" ca="1" si="258"/>
        <v>0</v>
      </c>
      <c r="AS372" s="358">
        <f t="shared" ca="1" si="258"/>
        <v>0</v>
      </c>
      <c r="AT372" s="358">
        <f t="shared" ca="1" si="258"/>
        <v>0</v>
      </c>
      <c r="AV372" s="358">
        <f t="shared" ca="1" si="248"/>
        <v>0</v>
      </c>
      <c r="AX372" s="358">
        <f t="shared" ca="1" si="249"/>
        <v>0</v>
      </c>
      <c r="AZ372" s="358">
        <f t="shared" ca="1" si="250"/>
        <v>0</v>
      </c>
      <c r="BB372" s="358">
        <f t="shared" ca="1" si="251"/>
        <v>0</v>
      </c>
      <c r="BD372" s="358">
        <f t="shared" ca="1" si="252"/>
        <v>0</v>
      </c>
      <c r="BF372" s="358">
        <f t="shared" ca="1" si="253"/>
        <v>0</v>
      </c>
      <c r="BH372" s="358">
        <f t="shared" ca="1" si="254"/>
        <v>0</v>
      </c>
    </row>
    <row r="373" spans="1:60" hidden="1" outlineLevel="1">
      <c r="A373" s="1464">
        <f t="shared" si="240"/>
        <v>18</v>
      </c>
      <c r="B373" s="1464">
        <f t="shared" si="241"/>
        <v>31</v>
      </c>
      <c r="C373" s="1464">
        <f t="shared" si="242"/>
        <v>28</v>
      </c>
      <c r="D373" s="1271" t="str">
        <f ca="1">IF(OFFSET(PortfolioDashboard!$A$3,C373-1,0)="","Blank",OFFSET(PortfolioDashboard!$A$3,C373-1,0))</f>
        <v>Blank</v>
      </c>
      <c r="E373" s="1464" t="str">
        <f t="shared" si="243"/>
        <v>2010$</v>
      </c>
      <c r="F373" s="1460">
        <f t="shared" ca="1" si="226"/>
        <v>0</v>
      </c>
      <c r="G373" s="358">
        <f t="shared" ca="1" si="255"/>
        <v>0</v>
      </c>
      <c r="H373" s="358">
        <f t="shared" ca="1" si="255"/>
        <v>0</v>
      </c>
      <c r="I373" s="358">
        <f t="shared" ca="1" si="255"/>
        <v>0</v>
      </c>
      <c r="J373" s="358">
        <f t="shared" ca="1" si="255"/>
        <v>0</v>
      </c>
      <c r="K373" s="358">
        <f t="shared" ca="1" si="255"/>
        <v>0</v>
      </c>
      <c r="L373" s="358">
        <f t="shared" ca="1" si="255"/>
        <v>0</v>
      </c>
      <c r="M373" s="358">
        <f t="shared" ca="1" si="255"/>
        <v>0</v>
      </c>
      <c r="N373" s="358">
        <f t="shared" ca="1" si="255"/>
        <v>0</v>
      </c>
      <c r="O373" s="358">
        <f t="shared" ca="1" si="255"/>
        <v>0</v>
      </c>
      <c r="P373" s="358">
        <f t="shared" ca="1" si="255"/>
        <v>0</v>
      </c>
      <c r="Q373" s="358">
        <f t="shared" ca="1" si="256"/>
        <v>0</v>
      </c>
      <c r="R373" s="358">
        <f t="shared" ca="1" si="256"/>
        <v>0</v>
      </c>
      <c r="S373" s="358">
        <f t="shared" ca="1" si="256"/>
        <v>0</v>
      </c>
      <c r="T373" s="358">
        <f t="shared" ca="1" si="256"/>
        <v>0</v>
      </c>
      <c r="U373" s="358">
        <f t="shared" ca="1" si="256"/>
        <v>0</v>
      </c>
      <c r="V373" s="358">
        <f t="shared" ca="1" si="256"/>
        <v>0</v>
      </c>
      <c r="W373" s="358">
        <f t="shared" ca="1" si="256"/>
        <v>0</v>
      </c>
      <c r="X373" s="358">
        <f t="shared" ca="1" si="256"/>
        <v>0</v>
      </c>
      <c r="Y373" s="358">
        <f t="shared" ca="1" si="256"/>
        <v>0</v>
      </c>
      <c r="Z373" s="358">
        <f t="shared" ca="1" si="256"/>
        <v>0</v>
      </c>
      <c r="AA373" s="358">
        <f t="shared" ca="1" si="257"/>
        <v>0</v>
      </c>
      <c r="AB373" s="358">
        <f t="shared" ca="1" si="257"/>
        <v>0</v>
      </c>
      <c r="AC373" s="358">
        <f t="shared" ca="1" si="257"/>
        <v>0</v>
      </c>
      <c r="AD373" s="358">
        <f t="shared" ca="1" si="257"/>
        <v>0</v>
      </c>
      <c r="AE373" s="358">
        <f t="shared" ca="1" si="257"/>
        <v>0</v>
      </c>
      <c r="AF373" s="358">
        <f t="shared" ca="1" si="257"/>
        <v>0</v>
      </c>
      <c r="AG373" s="358">
        <f t="shared" ca="1" si="257"/>
        <v>0</v>
      </c>
      <c r="AH373" s="358">
        <f t="shared" ca="1" si="257"/>
        <v>0</v>
      </c>
      <c r="AI373" s="358">
        <f t="shared" ca="1" si="257"/>
        <v>0</v>
      </c>
      <c r="AJ373" s="358">
        <f t="shared" ca="1" si="257"/>
        <v>0</v>
      </c>
      <c r="AK373" s="358">
        <f t="shared" ca="1" si="258"/>
        <v>0</v>
      </c>
      <c r="AL373" s="358">
        <f t="shared" ca="1" si="258"/>
        <v>0</v>
      </c>
      <c r="AM373" s="358">
        <f t="shared" ca="1" si="258"/>
        <v>0</v>
      </c>
      <c r="AN373" s="358">
        <f t="shared" ca="1" si="258"/>
        <v>0</v>
      </c>
      <c r="AO373" s="358">
        <f t="shared" ca="1" si="258"/>
        <v>0</v>
      </c>
      <c r="AP373" s="358">
        <f t="shared" ca="1" si="258"/>
        <v>0</v>
      </c>
      <c r="AQ373" s="358">
        <f t="shared" ca="1" si="258"/>
        <v>0</v>
      </c>
      <c r="AR373" s="358">
        <f t="shared" ca="1" si="258"/>
        <v>0</v>
      </c>
      <c r="AS373" s="358">
        <f t="shared" ca="1" si="258"/>
        <v>0</v>
      </c>
      <c r="AT373" s="358">
        <f t="shared" ca="1" si="258"/>
        <v>0</v>
      </c>
      <c r="AV373" s="358">
        <f t="shared" ca="1" si="248"/>
        <v>0</v>
      </c>
      <c r="AX373" s="358">
        <f t="shared" ca="1" si="249"/>
        <v>0</v>
      </c>
      <c r="AZ373" s="358">
        <f t="shared" ca="1" si="250"/>
        <v>0</v>
      </c>
      <c r="BB373" s="358">
        <f t="shared" ca="1" si="251"/>
        <v>0</v>
      </c>
      <c r="BD373" s="358">
        <f t="shared" ca="1" si="252"/>
        <v>0</v>
      </c>
      <c r="BF373" s="358">
        <f t="shared" ca="1" si="253"/>
        <v>0</v>
      </c>
      <c r="BH373" s="358">
        <f t="shared" ca="1" si="254"/>
        <v>0</v>
      </c>
    </row>
    <row r="374" spans="1:60" hidden="1" outlineLevel="1">
      <c r="A374" s="1464">
        <f t="shared" si="240"/>
        <v>18</v>
      </c>
      <c r="B374" s="1464">
        <f t="shared" si="241"/>
        <v>31</v>
      </c>
      <c r="C374" s="1464">
        <f t="shared" si="242"/>
        <v>29</v>
      </c>
      <c r="D374" s="1271" t="str">
        <f ca="1">IF(OFFSET(PortfolioDashboard!$A$3,C374-1,0)="","Blank",OFFSET(PortfolioDashboard!$A$3,C374-1,0))</f>
        <v>Blank</v>
      </c>
      <c r="E374" s="1464" t="str">
        <f t="shared" si="243"/>
        <v>2010$</v>
      </c>
      <c r="F374" s="1460">
        <f t="shared" ca="1" si="226"/>
        <v>0</v>
      </c>
      <c r="G374" s="358">
        <f t="shared" ca="1" si="255"/>
        <v>0</v>
      </c>
      <c r="H374" s="358">
        <f t="shared" ca="1" si="255"/>
        <v>0</v>
      </c>
      <c r="I374" s="358">
        <f t="shared" ca="1" si="255"/>
        <v>0</v>
      </c>
      <c r="J374" s="358">
        <f t="shared" ca="1" si="255"/>
        <v>0</v>
      </c>
      <c r="K374" s="358">
        <f t="shared" ca="1" si="255"/>
        <v>0</v>
      </c>
      <c r="L374" s="358">
        <f t="shared" ca="1" si="255"/>
        <v>0</v>
      </c>
      <c r="M374" s="358">
        <f t="shared" ca="1" si="255"/>
        <v>0</v>
      </c>
      <c r="N374" s="358">
        <f t="shared" ca="1" si="255"/>
        <v>0</v>
      </c>
      <c r="O374" s="358">
        <f t="shared" ca="1" si="255"/>
        <v>0</v>
      </c>
      <c r="P374" s="358">
        <f t="shared" ca="1" si="255"/>
        <v>0</v>
      </c>
      <c r="Q374" s="358">
        <f t="shared" ca="1" si="256"/>
        <v>0</v>
      </c>
      <c r="R374" s="358">
        <f t="shared" ca="1" si="256"/>
        <v>0</v>
      </c>
      <c r="S374" s="358">
        <f t="shared" ca="1" si="256"/>
        <v>0</v>
      </c>
      <c r="T374" s="358">
        <f t="shared" ca="1" si="256"/>
        <v>0</v>
      </c>
      <c r="U374" s="358">
        <f t="shared" ca="1" si="256"/>
        <v>0</v>
      </c>
      <c r="V374" s="358">
        <f t="shared" ca="1" si="256"/>
        <v>0</v>
      </c>
      <c r="W374" s="358">
        <f t="shared" ca="1" si="256"/>
        <v>0</v>
      </c>
      <c r="X374" s="358">
        <f t="shared" ca="1" si="256"/>
        <v>0</v>
      </c>
      <c r="Y374" s="358">
        <f t="shared" ca="1" si="256"/>
        <v>0</v>
      </c>
      <c r="Z374" s="358">
        <f t="shared" ca="1" si="256"/>
        <v>0</v>
      </c>
      <c r="AA374" s="358">
        <f t="shared" ca="1" si="257"/>
        <v>0</v>
      </c>
      <c r="AB374" s="358">
        <f t="shared" ca="1" si="257"/>
        <v>0</v>
      </c>
      <c r="AC374" s="358">
        <f t="shared" ca="1" si="257"/>
        <v>0</v>
      </c>
      <c r="AD374" s="358">
        <f t="shared" ca="1" si="257"/>
        <v>0</v>
      </c>
      <c r="AE374" s="358">
        <f t="shared" ca="1" si="257"/>
        <v>0</v>
      </c>
      <c r="AF374" s="358">
        <f t="shared" ca="1" si="257"/>
        <v>0</v>
      </c>
      <c r="AG374" s="358">
        <f t="shared" ca="1" si="257"/>
        <v>0</v>
      </c>
      <c r="AH374" s="358">
        <f t="shared" ca="1" si="257"/>
        <v>0</v>
      </c>
      <c r="AI374" s="358">
        <f t="shared" ca="1" si="257"/>
        <v>0</v>
      </c>
      <c r="AJ374" s="358">
        <f t="shared" ca="1" si="257"/>
        <v>0</v>
      </c>
      <c r="AK374" s="358">
        <f t="shared" ca="1" si="258"/>
        <v>0</v>
      </c>
      <c r="AL374" s="358">
        <f t="shared" ca="1" si="258"/>
        <v>0</v>
      </c>
      <c r="AM374" s="358">
        <f t="shared" ca="1" si="258"/>
        <v>0</v>
      </c>
      <c r="AN374" s="358">
        <f t="shared" ca="1" si="258"/>
        <v>0</v>
      </c>
      <c r="AO374" s="358">
        <f t="shared" ca="1" si="258"/>
        <v>0</v>
      </c>
      <c r="AP374" s="358">
        <f t="shared" ca="1" si="258"/>
        <v>0</v>
      </c>
      <c r="AQ374" s="358">
        <f t="shared" ca="1" si="258"/>
        <v>0</v>
      </c>
      <c r="AR374" s="358">
        <f t="shared" ca="1" si="258"/>
        <v>0</v>
      </c>
      <c r="AS374" s="358">
        <f t="shared" ca="1" si="258"/>
        <v>0</v>
      </c>
      <c r="AT374" s="358">
        <f t="shared" ca="1" si="258"/>
        <v>0</v>
      </c>
      <c r="AV374" s="358">
        <f t="shared" ca="1" si="248"/>
        <v>0</v>
      </c>
      <c r="AX374" s="358">
        <f t="shared" ca="1" si="249"/>
        <v>0</v>
      </c>
      <c r="AZ374" s="358">
        <f t="shared" ca="1" si="250"/>
        <v>0</v>
      </c>
      <c r="BB374" s="358">
        <f t="shared" ca="1" si="251"/>
        <v>0</v>
      </c>
      <c r="BD374" s="358">
        <f t="shared" ca="1" si="252"/>
        <v>0</v>
      </c>
      <c r="BF374" s="358">
        <f t="shared" ca="1" si="253"/>
        <v>0</v>
      </c>
      <c r="BH374" s="358">
        <f t="shared" ca="1" si="254"/>
        <v>0</v>
      </c>
    </row>
    <row r="375" spans="1:60" hidden="1" outlineLevel="1">
      <c r="A375" s="1464">
        <f t="shared" si="240"/>
        <v>18</v>
      </c>
      <c r="B375" s="1464">
        <f t="shared" si="241"/>
        <v>31</v>
      </c>
      <c r="C375" s="1464">
        <f t="shared" si="242"/>
        <v>30</v>
      </c>
      <c r="D375" s="1271" t="str">
        <f ca="1">IF(OFFSET(PortfolioDashboard!$A$3,C375-1,0)="","Blank",OFFSET(PortfolioDashboard!$A$3,C375-1,0))</f>
        <v>Blank</v>
      </c>
      <c r="E375" s="1464" t="str">
        <f t="shared" si="243"/>
        <v>2010$</v>
      </c>
      <c r="F375" s="1460">
        <f t="shared" ca="1" si="226"/>
        <v>0</v>
      </c>
      <c r="G375" s="358">
        <f t="shared" ca="1" si="255"/>
        <v>0</v>
      </c>
      <c r="H375" s="358">
        <f t="shared" ca="1" si="255"/>
        <v>0</v>
      </c>
      <c r="I375" s="358">
        <f t="shared" ca="1" si="255"/>
        <v>0</v>
      </c>
      <c r="J375" s="358">
        <f t="shared" ca="1" si="255"/>
        <v>0</v>
      </c>
      <c r="K375" s="358">
        <f t="shared" ca="1" si="255"/>
        <v>0</v>
      </c>
      <c r="L375" s="358">
        <f t="shared" ca="1" si="255"/>
        <v>0</v>
      </c>
      <c r="M375" s="358">
        <f t="shared" ca="1" si="255"/>
        <v>0</v>
      </c>
      <c r="N375" s="358">
        <f t="shared" ca="1" si="255"/>
        <v>0</v>
      </c>
      <c r="O375" s="358">
        <f t="shared" ca="1" si="255"/>
        <v>0</v>
      </c>
      <c r="P375" s="358">
        <f t="shared" ca="1" si="255"/>
        <v>0</v>
      </c>
      <c r="Q375" s="358">
        <f t="shared" ca="1" si="256"/>
        <v>0</v>
      </c>
      <c r="R375" s="358">
        <f t="shared" ca="1" si="256"/>
        <v>0</v>
      </c>
      <c r="S375" s="358">
        <f t="shared" ca="1" si="256"/>
        <v>0</v>
      </c>
      <c r="T375" s="358">
        <f t="shared" ca="1" si="256"/>
        <v>0</v>
      </c>
      <c r="U375" s="358">
        <f t="shared" ca="1" si="256"/>
        <v>0</v>
      </c>
      <c r="V375" s="358">
        <f t="shared" ca="1" si="256"/>
        <v>0</v>
      </c>
      <c r="W375" s="358">
        <f t="shared" ca="1" si="256"/>
        <v>0</v>
      </c>
      <c r="X375" s="358">
        <f t="shared" ca="1" si="256"/>
        <v>0</v>
      </c>
      <c r="Y375" s="358">
        <f t="shared" ca="1" si="256"/>
        <v>0</v>
      </c>
      <c r="Z375" s="358">
        <f t="shared" ca="1" si="256"/>
        <v>0</v>
      </c>
      <c r="AA375" s="358">
        <f t="shared" ca="1" si="257"/>
        <v>0</v>
      </c>
      <c r="AB375" s="358">
        <f t="shared" ca="1" si="257"/>
        <v>0</v>
      </c>
      <c r="AC375" s="358">
        <f t="shared" ca="1" si="257"/>
        <v>0</v>
      </c>
      <c r="AD375" s="358">
        <f t="shared" ca="1" si="257"/>
        <v>0</v>
      </c>
      <c r="AE375" s="358">
        <f t="shared" ca="1" si="257"/>
        <v>0</v>
      </c>
      <c r="AF375" s="358">
        <f t="shared" ca="1" si="257"/>
        <v>0</v>
      </c>
      <c r="AG375" s="358">
        <f t="shared" ca="1" si="257"/>
        <v>0</v>
      </c>
      <c r="AH375" s="358">
        <f t="shared" ca="1" si="257"/>
        <v>0</v>
      </c>
      <c r="AI375" s="358">
        <f t="shared" ca="1" si="257"/>
        <v>0</v>
      </c>
      <c r="AJ375" s="358">
        <f t="shared" ca="1" si="257"/>
        <v>0</v>
      </c>
      <c r="AK375" s="358">
        <f t="shared" ca="1" si="258"/>
        <v>0</v>
      </c>
      <c r="AL375" s="358">
        <f t="shared" ca="1" si="258"/>
        <v>0</v>
      </c>
      <c r="AM375" s="358">
        <f t="shared" ca="1" si="258"/>
        <v>0</v>
      </c>
      <c r="AN375" s="358">
        <f t="shared" ca="1" si="258"/>
        <v>0</v>
      </c>
      <c r="AO375" s="358">
        <f t="shared" ca="1" si="258"/>
        <v>0</v>
      </c>
      <c r="AP375" s="358">
        <f t="shared" ca="1" si="258"/>
        <v>0</v>
      </c>
      <c r="AQ375" s="358">
        <f t="shared" ca="1" si="258"/>
        <v>0</v>
      </c>
      <c r="AR375" s="358">
        <f t="shared" ca="1" si="258"/>
        <v>0</v>
      </c>
      <c r="AS375" s="358">
        <f t="shared" ca="1" si="258"/>
        <v>0</v>
      </c>
      <c r="AT375" s="358">
        <f t="shared" ca="1" si="258"/>
        <v>0</v>
      </c>
      <c r="AV375" s="358">
        <f t="shared" ca="1" si="248"/>
        <v>0</v>
      </c>
      <c r="AX375" s="358">
        <f t="shared" ca="1" si="249"/>
        <v>0</v>
      </c>
      <c r="AZ375" s="358">
        <f t="shared" ca="1" si="250"/>
        <v>0</v>
      </c>
      <c r="BB375" s="358">
        <f t="shared" ca="1" si="251"/>
        <v>0</v>
      </c>
      <c r="BD375" s="358">
        <f t="shared" ca="1" si="252"/>
        <v>0</v>
      </c>
      <c r="BF375" s="358">
        <f t="shared" ca="1" si="253"/>
        <v>0</v>
      </c>
      <c r="BH375" s="358">
        <f t="shared" ca="1" si="254"/>
        <v>0</v>
      </c>
    </row>
    <row r="376" spans="1:60" collapsed="1">
      <c r="A376" s="1464"/>
      <c r="B376" s="1464"/>
      <c r="C376" s="1464"/>
      <c r="D376" s="1272" t="s">
        <v>269</v>
      </c>
      <c r="E376" s="1270" t="str">
        <f>E346</f>
        <v>2010$</v>
      </c>
      <c r="F376" s="1461">
        <f t="shared" ca="1" si="226"/>
        <v>0</v>
      </c>
      <c r="G376" s="1277">
        <f t="shared" ref="G376:AT376" ca="1" si="259">SUM(G346:G375)</f>
        <v>0</v>
      </c>
      <c r="H376" s="1277">
        <f t="shared" ca="1" si="259"/>
        <v>0</v>
      </c>
      <c r="I376" s="1277">
        <f t="shared" ca="1" si="259"/>
        <v>0</v>
      </c>
      <c r="J376" s="1277">
        <f t="shared" ca="1" si="259"/>
        <v>0</v>
      </c>
      <c r="K376" s="1277">
        <f t="shared" ca="1" si="259"/>
        <v>0</v>
      </c>
      <c r="L376" s="1277">
        <f t="shared" ca="1" si="259"/>
        <v>0</v>
      </c>
      <c r="M376" s="1277">
        <f t="shared" ca="1" si="259"/>
        <v>0</v>
      </c>
      <c r="N376" s="1277">
        <f t="shared" ca="1" si="259"/>
        <v>0</v>
      </c>
      <c r="O376" s="1277">
        <f t="shared" ca="1" si="259"/>
        <v>0</v>
      </c>
      <c r="P376" s="1277">
        <f t="shared" ca="1" si="259"/>
        <v>0</v>
      </c>
      <c r="Q376" s="1277">
        <f t="shared" ca="1" si="259"/>
        <v>0</v>
      </c>
      <c r="R376" s="1277">
        <f t="shared" ca="1" si="259"/>
        <v>0</v>
      </c>
      <c r="S376" s="1277">
        <f t="shared" ca="1" si="259"/>
        <v>0</v>
      </c>
      <c r="T376" s="1277">
        <f t="shared" ca="1" si="259"/>
        <v>0</v>
      </c>
      <c r="U376" s="1277">
        <f t="shared" ca="1" si="259"/>
        <v>0</v>
      </c>
      <c r="V376" s="1277">
        <f t="shared" ca="1" si="259"/>
        <v>0</v>
      </c>
      <c r="W376" s="1277">
        <f t="shared" ca="1" si="259"/>
        <v>0</v>
      </c>
      <c r="X376" s="1277">
        <f t="shared" ca="1" si="259"/>
        <v>0</v>
      </c>
      <c r="Y376" s="1277">
        <f t="shared" ca="1" si="259"/>
        <v>0</v>
      </c>
      <c r="Z376" s="1277">
        <f t="shared" ca="1" si="259"/>
        <v>0</v>
      </c>
      <c r="AA376" s="1277">
        <f t="shared" ca="1" si="259"/>
        <v>0</v>
      </c>
      <c r="AB376" s="1277">
        <f t="shared" ca="1" si="259"/>
        <v>0</v>
      </c>
      <c r="AC376" s="1277">
        <f t="shared" ca="1" si="259"/>
        <v>0</v>
      </c>
      <c r="AD376" s="1277">
        <f t="shared" ca="1" si="259"/>
        <v>0</v>
      </c>
      <c r="AE376" s="1277">
        <f t="shared" ca="1" si="259"/>
        <v>0</v>
      </c>
      <c r="AF376" s="1277">
        <f t="shared" ca="1" si="259"/>
        <v>0</v>
      </c>
      <c r="AG376" s="1277">
        <f t="shared" ca="1" si="259"/>
        <v>0</v>
      </c>
      <c r="AH376" s="1277">
        <f t="shared" ca="1" si="259"/>
        <v>0</v>
      </c>
      <c r="AI376" s="1277">
        <f t="shared" ca="1" si="259"/>
        <v>0</v>
      </c>
      <c r="AJ376" s="1277">
        <f t="shared" ca="1" si="259"/>
        <v>0</v>
      </c>
      <c r="AK376" s="1277">
        <f t="shared" ca="1" si="259"/>
        <v>0</v>
      </c>
      <c r="AL376" s="1277">
        <f t="shared" ca="1" si="259"/>
        <v>0</v>
      </c>
      <c r="AM376" s="1277">
        <f t="shared" ca="1" si="259"/>
        <v>0</v>
      </c>
      <c r="AN376" s="1277">
        <f t="shared" ca="1" si="259"/>
        <v>0</v>
      </c>
      <c r="AO376" s="1277">
        <f t="shared" ca="1" si="259"/>
        <v>0</v>
      </c>
      <c r="AP376" s="1277">
        <f t="shared" ca="1" si="259"/>
        <v>0</v>
      </c>
      <c r="AQ376" s="1277">
        <f t="shared" ca="1" si="259"/>
        <v>0</v>
      </c>
      <c r="AR376" s="1277">
        <f t="shared" ca="1" si="259"/>
        <v>0</v>
      </c>
      <c r="AS376" s="1277">
        <f t="shared" ca="1" si="259"/>
        <v>0</v>
      </c>
      <c r="AT376" s="1277">
        <f t="shared" ca="1" si="259"/>
        <v>0</v>
      </c>
      <c r="AV376" s="1277">
        <f t="shared" ca="1" si="248"/>
        <v>0</v>
      </c>
      <c r="AX376" s="1277">
        <f t="shared" ca="1" si="249"/>
        <v>0</v>
      </c>
      <c r="AZ376" s="1277">
        <f t="shared" ca="1" si="250"/>
        <v>0</v>
      </c>
      <c r="BB376" s="1277">
        <f t="shared" ca="1" si="251"/>
        <v>0</v>
      </c>
      <c r="BD376" s="1277">
        <f t="shared" ca="1" si="252"/>
        <v>0</v>
      </c>
      <c r="BF376" s="1277">
        <f t="shared" ca="1" si="253"/>
        <v>0</v>
      </c>
      <c r="BH376" s="1277">
        <f t="shared" ca="1" si="254"/>
        <v>0</v>
      </c>
    </row>
    <row r="377" spans="1:60" hidden="1" outlineLevel="1">
      <c r="A377" s="1464">
        <v>18</v>
      </c>
      <c r="B377" s="1464">
        <v>32</v>
      </c>
      <c r="C377" s="1464">
        <v>1</v>
      </c>
      <c r="D377" s="1271" t="str">
        <f ca="1">IF(OFFSET(PortfolioDashboard!$A$3,C377-1,0)="","Blank",OFFSET(PortfolioDashboard!$A$3,C377-1,0))</f>
        <v>Behavior Change</v>
      </c>
      <c r="E377" s="1464" t="s">
        <v>1197</v>
      </c>
      <c r="F377" s="1460">
        <f t="shared" ca="1" si="226"/>
        <v>5460742.8145088917</v>
      </c>
      <c r="G377" s="358">
        <f t="shared" ref="G377:P386" ca="1" si="260">IFERROR(OFFSET(INDIRECT(INDEX(List_of_Alternatives,MATCH($D377,NameofAlternatives,0))),$A377+G$1-$G$1,$B377),0)</f>
        <v>0</v>
      </c>
      <c r="H377" s="358">
        <f t="shared" ca="1" si="260"/>
        <v>0</v>
      </c>
      <c r="I377" s="358">
        <f t="shared" ca="1" si="260"/>
        <v>53551.203958685095</v>
      </c>
      <c r="J377" s="358">
        <f t="shared" ca="1" si="260"/>
        <v>106568.76063263653</v>
      </c>
      <c r="K377" s="358">
        <f t="shared" ca="1" si="260"/>
        <v>158816.49713506427</v>
      </c>
      <c r="L377" s="358">
        <f t="shared" ca="1" si="260"/>
        <v>211097.00682058392</v>
      </c>
      <c r="M377" s="358">
        <f t="shared" ca="1" si="260"/>
        <v>262678.66776701325</v>
      </c>
      <c r="N377" s="358">
        <f t="shared" ca="1" si="260"/>
        <v>313757.26014464517</v>
      </c>
      <c r="O377" s="358">
        <f t="shared" ca="1" si="260"/>
        <v>353910.49623076181</v>
      </c>
      <c r="P377" s="358">
        <f t="shared" ca="1" si="260"/>
        <v>393634.90475888533</v>
      </c>
      <c r="Q377" s="358">
        <f t="shared" ref="Q377:Z386" ca="1" si="261">IFERROR(OFFSET(INDIRECT(INDEX(List_of_Alternatives,MATCH($D377,NameofAlternatives,0))),$A377+Q$1-$G$1,$B377),0)</f>
        <v>432919.79512423207</v>
      </c>
      <c r="R377" s="358">
        <f t="shared" ca="1" si="261"/>
        <v>471754.40128885041</v>
      </c>
      <c r="S377" s="358">
        <f t="shared" ca="1" si="261"/>
        <v>510127.87908462167</v>
      </c>
      <c r="T377" s="358">
        <f t="shared" ca="1" si="261"/>
        <v>507434.54038558574</v>
      </c>
      <c r="U377" s="358">
        <f t="shared" ca="1" si="261"/>
        <v>508222.41153454722</v>
      </c>
      <c r="V377" s="358">
        <f t="shared" ca="1" si="261"/>
        <v>509000.35785039974</v>
      </c>
      <c r="W377" s="358">
        <f t="shared" ca="1" si="261"/>
        <v>509768.38845003967</v>
      </c>
      <c r="X377" s="358">
        <f t="shared" ca="1" si="261"/>
        <v>510526.50810804113</v>
      </c>
      <c r="Y377" s="358">
        <f t="shared" ca="1" si="261"/>
        <v>511274.71743133484</v>
      </c>
      <c r="Z377" s="358">
        <f t="shared" ca="1" si="261"/>
        <v>512013.0130234505</v>
      </c>
      <c r="AA377" s="358">
        <f t="shared" ref="AA377:AJ386" ca="1" si="262">IFERROR(OFFSET(INDIRECT(INDEX(List_of_Alternatives,MATCH($D377,NameofAlternatives,0))),$A377+AA$1-$G$1,$B377),0)</f>
        <v>512741.38763903326</v>
      </c>
      <c r="AB377" s="358">
        <f t="shared" ca="1" si="262"/>
        <v>513459.83032926579</v>
      </c>
      <c r="AC377" s="358">
        <f t="shared" ca="1" si="262"/>
        <v>514168.32657880191</v>
      </c>
      <c r="AD377" s="358">
        <f t="shared" ca="1" si="262"/>
        <v>514866.85843475343</v>
      </c>
      <c r="AE377" s="358">
        <f t="shared" ca="1" si="262"/>
        <v>516831.57492687076</v>
      </c>
      <c r="AF377" s="358">
        <f t="shared" ca="1" si="262"/>
        <v>518799.04298926884</v>
      </c>
      <c r="AG377" s="358">
        <f t="shared" ca="1" si="262"/>
        <v>520769.33077116887</v>
      </c>
      <c r="AH377" s="358">
        <f t="shared" ca="1" si="262"/>
        <v>522742.50406854681</v>
      </c>
      <c r="AI377" s="358">
        <f t="shared" ca="1" si="262"/>
        <v>524718.62642436032</v>
      </c>
      <c r="AJ377" s="358">
        <f t="shared" ca="1" si="262"/>
        <v>526697.759223414</v>
      </c>
      <c r="AK377" s="358">
        <f t="shared" ref="AK377:AT386" ca="1" si="263">IFERROR(OFFSET(INDIRECT(INDEX(List_of_Alternatives,MATCH($D377,NameofAlternatives,0))),$A377+AK$1-$G$1,$B377),0)</f>
        <v>528679.96178219956</v>
      </c>
      <c r="AL377" s="358">
        <f t="shared" ca="1" si="263"/>
        <v>530665.29143400711</v>
      </c>
      <c r="AM377" s="358">
        <f t="shared" ca="1" si="263"/>
        <v>532653.80360959505</v>
      </c>
      <c r="AN377" s="358">
        <f t="shared" ca="1" si="263"/>
        <v>534645.55191368342</v>
      </c>
      <c r="AO377" s="358">
        <f t="shared" ca="1" si="263"/>
        <v>536640.58819751546</v>
      </c>
      <c r="AP377" s="358">
        <f t="shared" ca="1" si="263"/>
        <v>538638.96262771834</v>
      </c>
      <c r="AQ377" s="358">
        <f t="shared" ca="1" si="263"/>
        <v>540640.72375167708</v>
      </c>
      <c r="AR377" s="358">
        <f t="shared" ca="1" si="263"/>
        <v>542645.91855962179</v>
      </c>
      <c r="AS377" s="358">
        <f t="shared" ca="1" si="263"/>
        <v>544654.59254361899</v>
      </c>
      <c r="AT377" s="358">
        <f t="shared" ca="1" si="263"/>
        <v>546666.78975363541</v>
      </c>
      <c r="AV377" s="358">
        <f t="shared" ca="1" si="248"/>
        <v>1535078.3357218893</v>
      </c>
      <c r="AX377" s="358">
        <f t="shared" ca="1" si="249"/>
        <v>2430459.0274178372</v>
      </c>
      <c r="AZ377" s="358">
        <f t="shared" ca="1" si="250"/>
        <v>2552582.9848632659</v>
      </c>
      <c r="BB377" s="358">
        <f t="shared" ca="1" si="251"/>
        <v>2572067.9779087254</v>
      </c>
      <c r="BD377" s="358">
        <f t="shared" ca="1" si="252"/>
        <v>2613727.2634767587</v>
      </c>
      <c r="BF377" s="358">
        <f t="shared" ca="1" si="253"/>
        <v>2663285.1969370004</v>
      </c>
      <c r="BH377" s="358">
        <f t="shared" ca="1" si="254"/>
        <v>2713246.9872362716</v>
      </c>
    </row>
    <row r="378" spans="1:60" hidden="1" outlineLevel="1">
      <c r="A378" s="1464">
        <f>A377</f>
        <v>18</v>
      </c>
      <c r="B378" s="1464">
        <f>B377</f>
        <v>32</v>
      </c>
      <c r="C378" s="1464">
        <f>C377+1</f>
        <v>2</v>
      </c>
      <c r="D378" s="1271" t="str">
        <f ca="1">IF(OFFSET(PortfolioDashboard!$A$3,C378-1,0)="","Blank",OFFSET(PortfolioDashboard!$A$3,C378-1,0))</f>
        <v>Building Design &amp; Construction Standards</v>
      </c>
      <c r="E378" s="1464" t="str">
        <f>E377</f>
        <v>2010$</v>
      </c>
      <c r="F378" s="1460">
        <f t="shared" ca="1" si="226"/>
        <v>19180497.972776499</v>
      </c>
      <c r="G378" s="358">
        <f t="shared" ca="1" si="260"/>
        <v>0</v>
      </c>
      <c r="H378" s="358">
        <f t="shared" ca="1" si="260"/>
        <v>91394.641811032852</v>
      </c>
      <c r="I378" s="358">
        <f t="shared" ca="1" si="260"/>
        <v>410164.85540353489</v>
      </c>
      <c r="J378" s="358">
        <f t="shared" ca="1" si="260"/>
        <v>535078.75283020758</v>
      </c>
      <c r="K378" s="358">
        <f t="shared" ca="1" si="260"/>
        <v>586445.35079787998</v>
      </c>
      <c r="L378" s="358">
        <f t="shared" ca="1" si="260"/>
        <v>841889.95924922836</v>
      </c>
      <c r="M378" s="358">
        <f t="shared" ca="1" si="260"/>
        <v>896391.00165602495</v>
      </c>
      <c r="N378" s="358">
        <f t="shared" ca="1" si="260"/>
        <v>951515.66256823449</v>
      </c>
      <c r="O378" s="358">
        <f t="shared" ca="1" si="260"/>
        <v>1007264.2710987905</v>
      </c>
      <c r="P378" s="358">
        <f t="shared" ca="1" si="260"/>
        <v>1063637.3323598297</v>
      </c>
      <c r="Q378" s="358">
        <f t="shared" ca="1" si="261"/>
        <v>1120635.5196551729</v>
      </c>
      <c r="R378" s="358">
        <f t="shared" ca="1" si="261"/>
        <v>1178259.6671747195</v>
      </c>
      <c r="S378" s="358">
        <f t="shared" ca="1" si="261"/>
        <v>1236510.7631543872</v>
      </c>
      <c r="T378" s="358">
        <f t="shared" ca="1" si="261"/>
        <v>1295389.9434682229</v>
      </c>
      <c r="U378" s="358">
        <f t="shared" ca="1" si="261"/>
        <v>1354898.485621993</v>
      </c>
      <c r="V378" s="358">
        <f t="shared" ca="1" si="261"/>
        <v>1415037.8031201465</v>
      </c>
      <c r="W378" s="358">
        <f t="shared" ca="1" si="261"/>
        <v>1475809.4401800768</v>
      </c>
      <c r="X378" s="358">
        <f t="shared" ca="1" si="261"/>
        <v>1537215.0667698823</v>
      </c>
      <c r="Y378" s="358">
        <f t="shared" ca="1" si="261"/>
        <v>1599256.4739475581</v>
      </c>
      <c r="Z378" s="358">
        <f t="shared" ca="1" si="261"/>
        <v>1661935.5694812641</v>
      </c>
      <c r="AA378" s="358">
        <f t="shared" ca="1" si="262"/>
        <v>1725254.3737319363</v>
      </c>
      <c r="AB378" s="358">
        <f t="shared" ca="1" si="262"/>
        <v>1789215.0157808908</v>
      </c>
      <c r="AC378" s="358">
        <f t="shared" ca="1" si="262"/>
        <v>1853819.729786362</v>
      </c>
      <c r="AD378" s="358">
        <f t="shared" ca="1" si="262"/>
        <v>1919070.8515541244</v>
      </c>
      <c r="AE378" s="358">
        <f t="shared" ca="1" si="262"/>
        <v>1984970.815308467</v>
      </c>
      <c r="AF378" s="358">
        <f t="shared" ca="1" si="262"/>
        <v>2051522.1506507846</v>
      </c>
      <c r="AG378" s="358">
        <f t="shared" ca="1" si="262"/>
        <v>2118727.4796939325</v>
      </c>
      <c r="AH378" s="358">
        <f t="shared" ca="1" si="262"/>
        <v>2186589.5143613582</v>
      </c>
      <c r="AI378" s="358">
        <f t="shared" ca="1" si="262"/>
        <v>2255111.0538409273</v>
      </c>
      <c r="AJ378" s="358">
        <f t="shared" ca="1" si="262"/>
        <v>2324294.9821838313</v>
      </c>
      <c r="AK378" s="358">
        <f t="shared" ca="1" si="263"/>
        <v>2394144.2660398483</v>
      </c>
      <c r="AL378" s="358">
        <f t="shared" ca="1" si="263"/>
        <v>2464661.9525207486</v>
      </c>
      <c r="AM378" s="358">
        <f t="shared" ca="1" si="263"/>
        <v>2535851.1671842001</v>
      </c>
      <c r="AN378" s="358">
        <f t="shared" ca="1" si="263"/>
        <v>2607715.1121310932</v>
      </c>
      <c r="AO378" s="358">
        <f t="shared" ca="1" si="263"/>
        <v>2680257.0642095702</v>
      </c>
      <c r="AP378" s="358">
        <f t="shared" ca="1" si="263"/>
        <v>2753480.3733196943</v>
      </c>
      <c r="AQ378" s="358">
        <f t="shared" ca="1" si="263"/>
        <v>2827388.460812862</v>
      </c>
      <c r="AR378" s="358">
        <f t="shared" ca="1" si="263"/>
        <v>2901984.8179806438</v>
      </c>
      <c r="AS378" s="358">
        <f t="shared" ca="1" si="263"/>
        <v>2977273.0046279836</v>
      </c>
      <c r="AT378" s="358">
        <f t="shared" ca="1" si="263"/>
        <v>3053256.6477260254</v>
      </c>
      <c r="AV378" s="358">
        <f t="shared" ca="1" si="248"/>
        <v>4760698.2269321084</v>
      </c>
      <c r="AX378" s="358">
        <f t="shared" ca="1" si="249"/>
        <v>6185694.3790744953</v>
      </c>
      <c r="AZ378" s="358">
        <f t="shared" ca="1" si="250"/>
        <v>7689254.3534989273</v>
      </c>
      <c r="BB378" s="358">
        <f t="shared" ca="1" si="251"/>
        <v>9272330.7861617804</v>
      </c>
      <c r="BD378" s="358">
        <f t="shared" ca="1" si="252"/>
        <v>10936245.180730833</v>
      </c>
      <c r="BF378" s="358">
        <f t="shared" ca="1" si="253"/>
        <v>12682629.562085461</v>
      </c>
      <c r="BH378" s="358">
        <f t="shared" ca="1" si="254"/>
        <v>14513383.304467209</v>
      </c>
    </row>
    <row r="379" spans="1:60" hidden="1" outlineLevel="1">
      <c r="A379" s="1464">
        <f t="shared" ref="A379:A406" si="264">A378</f>
        <v>18</v>
      </c>
      <c r="B379" s="1464">
        <f t="shared" ref="B379:B406" si="265">B378</f>
        <v>32</v>
      </c>
      <c r="C379" s="1464">
        <f t="shared" ref="C379:C406" si="266">C378+1</f>
        <v>3</v>
      </c>
      <c r="D379" s="1271" t="str">
        <f ca="1">IF(OFFSET(PortfolioDashboard!$A$3,C379-1,0)="","Blank",OFFSET(PortfolioDashboard!$A$3,C379-1,0))</f>
        <v>Space Planning &amp; Management</v>
      </c>
      <c r="E379" s="1464" t="str">
        <f t="shared" ref="E379:E406" si="267">E378</f>
        <v>2010$</v>
      </c>
      <c r="F379" s="1460">
        <f t="shared" ca="1" si="226"/>
        <v>56180912.096719041</v>
      </c>
      <c r="G379" s="358">
        <f t="shared" ca="1" si="260"/>
        <v>237052.05335287287</v>
      </c>
      <c r="H379" s="358">
        <f t="shared" ca="1" si="260"/>
        <v>476101.70321850991</v>
      </c>
      <c r="I379" s="358">
        <f t="shared" ca="1" si="260"/>
        <v>717163.931570763</v>
      </c>
      <c r="J379" s="358">
        <f t="shared" ca="1" si="260"/>
        <v>960253.82026329741</v>
      </c>
      <c r="K379" s="358">
        <f t="shared" ca="1" si="260"/>
        <v>1205386.5516538648</v>
      </c>
      <c r="L379" s="358">
        <f t="shared" ca="1" si="260"/>
        <v>1452577.4092322779</v>
      </c>
      <c r="M379" s="358">
        <f t="shared" ca="1" si="260"/>
        <v>1701841.7782521781</v>
      </c>
      <c r="N379" s="358">
        <f t="shared" ca="1" si="260"/>
        <v>1953195.1463666004</v>
      </c>
      <c r="O379" s="358">
        <f t="shared" ca="1" si="260"/>
        <v>2206653.1042673085</v>
      </c>
      <c r="P379" s="358">
        <f t="shared" ca="1" si="260"/>
        <v>2462231.346328022</v>
      </c>
      <c r="Q379" s="358">
        <f t="shared" ca="1" si="261"/>
        <v>2719945.6712514381</v>
      </c>
      <c r="R379" s="358">
        <f t="shared" ca="1" si="261"/>
        <v>2979811.9827201911</v>
      </c>
      <c r="S379" s="358">
        <f t="shared" ca="1" si="261"/>
        <v>3241846.2900516591</v>
      </c>
      <c r="T379" s="358">
        <f t="shared" ca="1" si="261"/>
        <v>3506064.7088567321</v>
      </c>
      <c r="U379" s="358">
        <f t="shared" ca="1" si="261"/>
        <v>3772483.4617025219</v>
      </c>
      <c r="V379" s="358">
        <f t="shared" ca="1" si="261"/>
        <v>4041118.8787790122</v>
      </c>
      <c r="W379" s="358">
        <f t="shared" ca="1" si="261"/>
        <v>4311987.3985697385</v>
      </c>
      <c r="X379" s="358">
        <f t="shared" ca="1" si="261"/>
        <v>4585105.5685264757</v>
      </c>
      <c r="Y379" s="358">
        <f t="shared" ca="1" si="261"/>
        <v>4860490.045747933</v>
      </c>
      <c r="Z379" s="358">
        <f t="shared" ca="1" si="261"/>
        <v>5138157.5976625681</v>
      </c>
      <c r="AA379" s="358">
        <f t="shared" ca="1" si="262"/>
        <v>5418125.102715428</v>
      </c>
      <c r="AB379" s="358">
        <f t="shared" ca="1" si="262"/>
        <v>5700409.551059152</v>
      </c>
      <c r="AC379" s="358">
        <f t="shared" ca="1" si="262"/>
        <v>5985028.0452490766</v>
      </c>
      <c r="AD379" s="358">
        <f t="shared" ca="1" si="262"/>
        <v>6271997.8009425001</v>
      </c>
      <c r="AE379" s="358">
        <f t="shared" ca="1" si="262"/>
        <v>6561336.1476021642</v>
      </c>
      <c r="AF379" s="358">
        <f t="shared" ca="1" si="262"/>
        <v>6853060.5292038824</v>
      </c>
      <c r="AG379" s="358">
        <f t="shared" ca="1" si="262"/>
        <v>7147188.5049484614</v>
      </c>
      <c r="AH379" s="358">
        <f t="shared" ca="1" si="262"/>
        <v>7443737.7499778448</v>
      </c>
      <c r="AI379" s="358">
        <f t="shared" ca="1" si="262"/>
        <v>7742726.0560955405</v>
      </c>
      <c r="AJ379" s="358">
        <f t="shared" ca="1" si="262"/>
        <v>8044171.3324913569</v>
      </c>
      <c r="AK379" s="358">
        <f t="shared" ca="1" si="263"/>
        <v>8348091.6064704685</v>
      </c>
      <c r="AL379" s="358">
        <f t="shared" ca="1" si="263"/>
        <v>8654505.024186857</v>
      </c>
      <c r="AM379" s="358">
        <f t="shared" ca="1" si="263"/>
        <v>8963429.8513810951</v>
      </c>
      <c r="AN379" s="358">
        <f t="shared" ca="1" si="263"/>
        <v>9274884.474122569</v>
      </c>
      <c r="AO379" s="358">
        <f t="shared" ca="1" si="263"/>
        <v>9588887.3995561264</v>
      </c>
      <c r="AP379" s="358">
        <f t="shared" ca="1" si="263"/>
        <v>9905457.256653171</v>
      </c>
      <c r="AQ379" s="358">
        <f t="shared" ca="1" si="263"/>
        <v>10224612.796967246</v>
      </c>
      <c r="AR379" s="358">
        <f t="shared" ca="1" si="263"/>
        <v>10546372.895394152</v>
      </c>
      <c r="AS379" s="358">
        <f t="shared" ca="1" si="263"/>
        <v>10870756.550936569</v>
      </c>
      <c r="AT379" s="358">
        <f t="shared" ca="1" si="263"/>
        <v>11197782.887473233</v>
      </c>
      <c r="AV379" s="358">
        <f t="shared" ca="1" si="248"/>
        <v>9776498.7844463866</v>
      </c>
      <c r="AX379" s="358">
        <f t="shared" ca="1" si="249"/>
        <v>16220152.114582542</v>
      </c>
      <c r="AZ379" s="358">
        <f t="shared" ca="1" si="250"/>
        <v>22936859.489285726</v>
      </c>
      <c r="BB379" s="358">
        <f t="shared" ca="1" si="251"/>
        <v>29936896.647568319</v>
      </c>
      <c r="BD379" s="358">
        <f t="shared" ca="1" si="252"/>
        <v>37230884.172717087</v>
      </c>
      <c r="BF379" s="358">
        <f t="shared" ca="1" si="253"/>
        <v>44829798.355717123</v>
      </c>
      <c r="BH379" s="358">
        <f t="shared" ca="1" si="254"/>
        <v>52744982.387424372</v>
      </c>
    </row>
    <row r="380" spans="1:60" hidden="1" outlineLevel="1">
      <c r="A380" s="1464">
        <f t="shared" si="264"/>
        <v>18</v>
      </c>
      <c r="B380" s="1464">
        <f t="shared" si="265"/>
        <v>32</v>
      </c>
      <c r="C380" s="1464">
        <f t="shared" si="266"/>
        <v>4</v>
      </c>
      <c r="D380" s="1271" t="str">
        <f ca="1">IF(OFFSET(PortfolioDashboard!$A$3,C380-1,0)="","Blank",OFFSET(PortfolioDashboard!$A$3,C380-1,0))</f>
        <v>Central Chiller Expansion</v>
      </c>
      <c r="E380" s="1464" t="str">
        <f t="shared" si="267"/>
        <v>2010$</v>
      </c>
      <c r="F380" s="1460">
        <f t="shared" ca="1" si="226"/>
        <v>11972197.38644241</v>
      </c>
      <c r="G380" s="358">
        <f t="shared" ca="1" si="260"/>
        <v>0</v>
      </c>
      <c r="H380" s="358">
        <f t="shared" ca="1" si="260"/>
        <v>0</v>
      </c>
      <c r="I380" s="358">
        <f t="shared" ca="1" si="260"/>
        <v>514021.3965714135</v>
      </c>
      <c r="J380" s="358">
        <f t="shared" ca="1" si="260"/>
        <v>535787.41885800601</v>
      </c>
      <c r="K380" s="358">
        <f t="shared" ca="1" si="260"/>
        <v>887027.37807194912</v>
      </c>
      <c r="L380" s="358">
        <f t="shared" ca="1" si="260"/>
        <v>911846.02740428899</v>
      </c>
      <c r="M380" s="358">
        <f t="shared" ca="1" si="260"/>
        <v>462293.59641251189</v>
      </c>
      <c r="N380" s="358">
        <f t="shared" ca="1" si="260"/>
        <v>488482.75854864938</v>
      </c>
      <c r="O380" s="358">
        <f t="shared" ca="1" si="260"/>
        <v>426598.92461456498</v>
      </c>
      <c r="P380" s="358">
        <f t="shared" ca="1" si="260"/>
        <v>453239.89171315613</v>
      </c>
      <c r="Q380" s="358">
        <f t="shared" ca="1" si="261"/>
        <v>480109.16609978909</v>
      </c>
      <c r="R380" s="358">
        <f t="shared" ca="1" si="261"/>
        <v>507208.36482316768</v>
      </c>
      <c r="S380" s="358">
        <f t="shared" ca="1" si="261"/>
        <v>534539.11539479904</v>
      </c>
      <c r="T380" s="358">
        <f t="shared" ca="1" si="261"/>
        <v>562103.05585319852</v>
      </c>
      <c r="U380" s="358">
        <f t="shared" ca="1" si="261"/>
        <v>589901.83482846874</v>
      </c>
      <c r="V380" s="358">
        <f t="shared" ca="1" si="261"/>
        <v>617937.11160726706</v>
      </c>
      <c r="W380" s="358">
        <f t="shared" ca="1" si="261"/>
        <v>646210.55619815481</v>
      </c>
      <c r="X380" s="358">
        <f t="shared" ca="1" si="261"/>
        <v>674723.84939733311</v>
      </c>
      <c r="Y380" s="358">
        <f t="shared" ca="1" si="261"/>
        <v>703478.68285476975</v>
      </c>
      <c r="Z380" s="358">
        <f t="shared" ca="1" si="261"/>
        <v>732476.7591407178</v>
      </c>
      <c r="AA380" s="358">
        <f t="shared" ca="1" si="262"/>
        <v>761719.79181262618</v>
      </c>
      <c r="AB380" s="358">
        <f t="shared" ca="1" si="262"/>
        <v>771015.87273731804</v>
      </c>
      <c r="AC380" s="358">
        <f t="shared" ca="1" si="262"/>
        <v>927595.5164742202</v>
      </c>
      <c r="AD380" s="358">
        <f t="shared" ca="1" si="262"/>
        <v>936984.7906101821</v>
      </c>
      <c r="AE380" s="358">
        <f t="shared" ca="1" si="262"/>
        <v>1146928.6803329373</v>
      </c>
      <c r="AF380" s="358">
        <f t="shared" ca="1" si="262"/>
        <v>1156412.0819421122</v>
      </c>
      <c r="AG380" s="358">
        <f t="shared" ca="1" si="262"/>
        <v>1827396.441667147</v>
      </c>
      <c r="AH380" s="358">
        <f t="shared" ca="1" si="262"/>
        <v>1836974.914377454</v>
      </c>
      <c r="AI380" s="358">
        <f t="shared" ca="1" si="262"/>
        <v>1934899.3798456674</v>
      </c>
      <c r="AJ380" s="358">
        <f t="shared" ca="1" si="262"/>
        <v>1944573.8767448955</v>
      </c>
      <c r="AK380" s="358">
        <f t="shared" ca="1" si="263"/>
        <v>1954296.7461286199</v>
      </c>
      <c r="AL380" s="358">
        <f t="shared" ca="1" si="263"/>
        <v>1964068.2298592622</v>
      </c>
      <c r="AM380" s="358">
        <f t="shared" ca="1" si="263"/>
        <v>1973888.5710085582</v>
      </c>
      <c r="AN380" s="358">
        <f t="shared" ca="1" si="263"/>
        <v>1983758.0138636008</v>
      </c>
      <c r="AO380" s="358">
        <f t="shared" ca="1" si="263"/>
        <v>1993676.8039329187</v>
      </c>
      <c r="AP380" s="358">
        <f t="shared" ca="1" si="263"/>
        <v>2003645.187952583</v>
      </c>
      <c r="AQ380" s="358">
        <f t="shared" ca="1" si="263"/>
        <v>2013663.4138923453</v>
      </c>
      <c r="AR380" s="358">
        <f t="shared" ca="1" si="263"/>
        <v>2023731.7309618066</v>
      </c>
      <c r="AS380" s="358">
        <f t="shared" ca="1" si="263"/>
        <v>2033850.3896166154</v>
      </c>
      <c r="AT380" s="358">
        <f t="shared" ca="1" si="263"/>
        <v>2044019.6415646982</v>
      </c>
      <c r="AV380" s="358">
        <f t="shared" ca="1" si="248"/>
        <v>2742461.1986931711</v>
      </c>
      <c r="AX380" s="358">
        <f t="shared" ca="1" si="249"/>
        <v>2673861.5369994231</v>
      </c>
      <c r="AZ380" s="358">
        <f t="shared" ca="1" si="250"/>
        <v>3374826.9591982425</v>
      </c>
      <c r="BB380" s="358">
        <f t="shared" ca="1" si="251"/>
        <v>4544244.6519672833</v>
      </c>
      <c r="BD380" s="358">
        <f t="shared" ca="1" si="252"/>
        <v>8700256.6945772767</v>
      </c>
      <c r="BF380" s="358">
        <f t="shared" ca="1" si="253"/>
        <v>9869688.3647929598</v>
      </c>
      <c r="BH380" s="358">
        <f t="shared" ca="1" si="254"/>
        <v>10118910.363988047</v>
      </c>
    </row>
    <row r="381" spans="1:60" hidden="1" outlineLevel="1">
      <c r="A381" s="1464">
        <f t="shared" si="264"/>
        <v>18</v>
      </c>
      <c r="B381" s="1464">
        <f t="shared" si="265"/>
        <v>32</v>
      </c>
      <c r="C381" s="1464">
        <f t="shared" si="266"/>
        <v>5</v>
      </c>
      <c r="D381" s="1271" t="str">
        <f ca="1">IF(OFFSET(PortfolioDashboard!$A$3,C381-1,0)="","Blank",OFFSET(PortfolioDashboard!$A$3,C381-1,0))</f>
        <v>Short-term Energy Conservation Measures</v>
      </c>
      <c r="E381" s="1464" t="str">
        <f t="shared" si="267"/>
        <v>2010$</v>
      </c>
      <c r="F381" s="1460">
        <f t="shared" ca="1" si="226"/>
        <v>22409087.496942502</v>
      </c>
      <c r="G381" s="358">
        <f t="shared" ca="1" si="260"/>
        <v>0</v>
      </c>
      <c r="H381" s="358">
        <f t="shared" ca="1" si="260"/>
        <v>321577.92419999995</v>
      </c>
      <c r="I381" s="358">
        <f t="shared" ca="1" si="260"/>
        <v>645751.78952999983</v>
      </c>
      <c r="J381" s="358">
        <f t="shared" ca="1" si="260"/>
        <v>972541.06554847455</v>
      </c>
      <c r="K381" s="358">
        <f t="shared" ca="1" si="260"/>
        <v>1301965.3516109558</v>
      </c>
      <c r="L381" s="358">
        <f t="shared" ca="1" si="260"/>
        <v>1634044.3776812628</v>
      </c>
      <c r="M381" s="358">
        <f t="shared" ca="1" si="260"/>
        <v>1640665.0042896688</v>
      </c>
      <c r="N381" s="358">
        <f t="shared" ca="1" si="260"/>
        <v>1647318.7340311171</v>
      </c>
      <c r="O381" s="358">
        <f t="shared" ca="1" si="260"/>
        <v>1654005.7324212724</v>
      </c>
      <c r="P381" s="358">
        <f t="shared" ca="1" si="260"/>
        <v>1660726.1658033789</v>
      </c>
      <c r="Q381" s="358">
        <f t="shared" ca="1" si="261"/>
        <v>1667480.2013523954</v>
      </c>
      <c r="R381" s="358">
        <f t="shared" ca="1" si="261"/>
        <v>1674268.0070791575</v>
      </c>
      <c r="S381" s="358">
        <f t="shared" ca="1" si="261"/>
        <v>1681089.7518345527</v>
      </c>
      <c r="T381" s="358">
        <f t="shared" ca="1" si="261"/>
        <v>1687945.6053137253</v>
      </c>
      <c r="U381" s="358">
        <f t="shared" ca="1" si="261"/>
        <v>1694835.7380602937</v>
      </c>
      <c r="V381" s="358">
        <f t="shared" ca="1" si="261"/>
        <v>1701760.321470595</v>
      </c>
      <c r="W381" s="358">
        <f t="shared" ca="1" si="261"/>
        <v>1708719.5277979476</v>
      </c>
      <c r="X381" s="358">
        <f t="shared" ca="1" si="261"/>
        <v>1715713.5301569374</v>
      </c>
      <c r="Y381" s="358">
        <f t="shared" ca="1" si="261"/>
        <v>1722742.5025277217</v>
      </c>
      <c r="Z381" s="358">
        <f t="shared" ca="1" si="261"/>
        <v>1729806.6197603601</v>
      </c>
      <c r="AA381" s="358">
        <f t="shared" ca="1" si="262"/>
        <v>1736906.0575791616</v>
      </c>
      <c r="AB381" s="358">
        <f t="shared" ca="1" si="262"/>
        <v>1744040.9925870569</v>
      </c>
      <c r="AC381" s="358">
        <f t="shared" ca="1" si="262"/>
        <v>1751211.6022699922</v>
      </c>
      <c r="AD381" s="358">
        <f t="shared" ca="1" si="262"/>
        <v>1758418.065001342</v>
      </c>
      <c r="AE381" s="358">
        <f t="shared" ca="1" si="262"/>
        <v>1765660.5600463487</v>
      </c>
      <c r="AF381" s="358">
        <f t="shared" ca="1" si="262"/>
        <v>1772939.2675665803</v>
      </c>
      <c r="AG381" s="358">
        <f t="shared" ca="1" si="262"/>
        <v>1780254.3686244129</v>
      </c>
      <c r="AH381" s="358">
        <f t="shared" ca="1" si="262"/>
        <v>1787606.0451875348</v>
      </c>
      <c r="AI381" s="358">
        <f t="shared" ca="1" si="262"/>
        <v>1794994.480133472</v>
      </c>
      <c r="AJ381" s="358">
        <f t="shared" ca="1" si="262"/>
        <v>1802419.8572541391</v>
      </c>
      <c r="AK381" s="358">
        <f t="shared" ca="1" si="263"/>
        <v>1809882.3612604097</v>
      </c>
      <c r="AL381" s="358">
        <f t="shared" ca="1" si="263"/>
        <v>1817382.1777867114</v>
      </c>
      <c r="AM381" s="358">
        <f t="shared" ca="1" si="263"/>
        <v>1824919.4933956447</v>
      </c>
      <c r="AN381" s="358">
        <f t="shared" ca="1" si="263"/>
        <v>1832494.4955826227</v>
      </c>
      <c r="AO381" s="358">
        <f t="shared" ca="1" si="263"/>
        <v>1840107.3727805358</v>
      </c>
      <c r="AP381" s="358">
        <f t="shared" ca="1" si="263"/>
        <v>1847758.3143644382</v>
      </c>
      <c r="AQ381" s="358">
        <f t="shared" ca="1" si="263"/>
        <v>1855447.5106562597</v>
      </c>
      <c r="AR381" s="358">
        <f t="shared" ca="1" si="263"/>
        <v>1863175.1529295407</v>
      </c>
      <c r="AS381" s="358">
        <f t="shared" ca="1" si="263"/>
        <v>1870941.4334141887</v>
      </c>
      <c r="AT381" s="358">
        <f t="shared" ca="1" si="263"/>
        <v>1878746.545301259</v>
      </c>
      <c r="AV381" s="358">
        <f t="shared" ca="1" si="248"/>
        <v>8236760.0142267011</v>
      </c>
      <c r="AX381" s="358">
        <f t="shared" ca="1" si="249"/>
        <v>8405619.3036401253</v>
      </c>
      <c r="AZ381" s="358">
        <f t="shared" ca="1" si="250"/>
        <v>8578742.5017135628</v>
      </c>
      <c r="BB381" s="358">
        <f t="shared" ca="1" si="251"/>
        <v>8756237.277483901</v>
      </c>
      <c r="BD381" s="358">
        <f t="shared" ca="1" si="252"/>
        <v>8938214.0187661387</v>
      </c>
      <c r="BF381" s="358">
        <f t="shared" ca="1" si="253"/>
        <v>9124785.9008059241</v>
      </c>
      <c r="BH381" s="358">
        <f t="shared" ca="1" si="254"/>
        <v>9316068.9566656854</v>
      </c>
    </row>
    <row r="382" spans="1:60" hidden="1" outlineLevel="1">
      <c r="A382" s="1464">
        <f t="shared" si="264"/>
        <v>18</v>
      </c>
      <c r="B382" s="1464">
        <f t="shared" si="265"/>
        <v>32</v>
      </c>
      <c r="C382" s="1464">
        <f t="shared" si="266"/>
        <v>6</v>
      </c>
      <c r="D382" s="1271" t="str">
        <f ca="1">IF(OFFSET(PortfolioDashboard!$A$3,C382-1,0)="","Blank",OFFSET(PortfolioDashboard!$A$3,C382-1,0))</f>
        <v>Mid-term Energy Conservation Measures</v>
      </c>
      <c r="E382" s="1464" t="str">
        <f t="shared" si="267"/>
        <v>2010$</v>
      </c>
      <c r="F382" s="1460">
        <f t="shared" ca="1" si="226"/>
        <v>14321073.169442052</v>
      </c>
      <c r="G382" s="358">
        <f t="shared" ca="1" si="260"/>
        <v>0</v>
      </c>
      <c r="H382" s="358">
        <f t="shared" ca="1" si="260"/>
        <v>0</v>
      </c>
      <c r="I382" s="358">
        <f t="shared" ca="1" si="260"/>
        <v>0</v>
      </c>
      <c r="J382" s="358">
        <f t="shared" ca="1" si="260"/>
        <v>0</v>
      </c>
      <c r="K382" s="358">
        <f t="shared" ca="1" si="260"/>
        <v>0</v>
      </c>
      <c r="L382" s="358">
        <f t="shared" ca="1" si="260"/>
        <v>0</v>
      </c>
      <c r="M382" s="358">
        <f t="shared" ca="1" si="260"/>
        <v>193520.65401359371</v>
      </c>
      <c r="N382" s="358">
        <f t="shared" ca="1" si="260"/>
        <v>388809.16020732332</v>
      </c>
      <c r="O382" s="358">
        <f t="shared" ca="1" si="260"/>
        <v>585878.7774725398</v>
      </c>
      <c r="P382" s="358">
        <f t="shared" ca="1" si="260"/>
        <v>784742.85309320339</v>
      </c>
      <c r="Q382" s="358">
        <f t="shared" ca="1" si="261"/>
        <v>985414.82329833647</v>
      </c>
      <c r="R382" s="358">
        <f t="shared" ca="1" si="261"/>
        <v>1187908.2138177939</v>
      </c>
      <c r="S382" s="358">
        <f t="shared" ca="1" si="261"/>
        <v>1392236.6404413627</v>
      </c>
      <c r="T382" s="358">
        <f t="shared" ca="1" si="261"/>
        <v>1598413.8095812225</v>
      </c>
      <c r="U382" s="358">
        <f t="shared" ca="1" si="261"/>
        <v>1605736.461189128</v>
      </c>
      <c r="V382" s="358">
        <f t="shared" ca="1" si="261"/>
        <v>1613095.7260550736</v>
      </c>
      <c r="W382" s="358">
        <f t="shared" ca="1" si="261"/>
        <v>1620491.7872453486</v>
      </c>
      <c r="X382" s="358">
        <f t="shared" ca="1" si="261"/>
        <v>1627924.8287415751</v>
      </c>
      <c r="Y382" s="358">
        <f t="shared" ca="1" si="261"/>
        <v>1635395.0354452827</v>
      </c>
      <c r="Z382" s="358">
        <f t="shared" ca="1" si="261"/>
        <v>1642902.5931825088</v>
      </c>
      <c r="AA382" s="358">
        <f t="shared" ca="1" si="262"/>
        <v>1650447.6887084213</v>
      </c>
      <c r="AB382" s="358">
        <f t="shared" ca="1" si="262"/>
        <v>1658030.5097119631</v>
      </c>
      <c r="AC382" s="358">
        <f t="shared" ca="1" si="262"/>
        <v>1665651.2448205226</v>
      </c>
      <c r="AD382" s="358">
        <f t="shared" ca="1" si="262"/>
        <v>1673310.083604625</v>
      </c>
      <c r="AE382" s="358">
        <f t="shared" ca="1" si="262"/>
        <v>1681007.2165826485</v>
      </c>
      <c r="AF382" s="358">
        <f t="shared" ca="1" si="262"/>
        <v>1688742.8352255612</v>
      </c>
      <c r="AG382" s="358">
        <f t="shared" ca="1" si="262"/>
        <v>1696517.1319616889</v>
      </c>
      <c r="AH382" s="358">
        <f t="shared" ca="1" si="262"/>
        <v>1704330.3001814969</v>
      </c>
      <c r="AI382" s="358">
        <f t="shared" ca="1" si="262"/>
        <v>1712182.5342424042</v>
      </c>
      <c r="AJ382" s="358">
        <f t="shared" ca="1" si="262"/>
        <v>1720074.0294736158</v>
      </c>
      <c r="AK382" s="358">
        <f t="shared" ca="1" si="263"/>
        <v>1728004.9821809838</v>
      </c>
      <c r="AL382" s="358">
        <f t="shared" ca="1" si="263"/>
        <v>1735975.5896518882</v>
      </c>
      <c r="AM382" s="358">
        <f t="shared" ca="1" si="263"/>
        <v>1743986.0501601472</v>
      </c>
      <c r="AN382" s="358">
        <f t="shared" ca="1" si="263"/>
        <v>1752036.5629709479</v>
      </c>
      <c r="AO382" s="358">
        <f t="shared" ca="1" si="263"/>
        <v>1760127.3283458026</v>
      </c>
      <c r="AP382" s="358">
        <f t="shared" ca="1" si="263"/>
        <v>1768258.5475475313</v>
      </c>
      <c r="AQ382" s="358">
        <f t="shared" ca="1" si="263"/>
        <v>1776430.4228452686</v>
      </c>
      <c r="AR382" s="358">
        <f t="shared" ca="1" si="263"/>
        <v>1784643.1575194946</v>
      </c>
      <c r="AS382" s="358">
        <f t="shared" ca="1" si="263"/>
        <v>1792896.9558670921</v>
      </c>
      <c r="AT382" s="358">
        <f t="shared" ca="1" si="263"/>
        <v>1801192.0232064272</v>
      </c>
      <c r="AV382" s="358">
        <f t="shared" ca="1" si="248"/>
        <v>1952951.4447866601</v>
      </c>
      <c r="AX382" s="358">
        <f t="shared" ca="1" si="249"/>
        <v>6769709.9483278431</v>
      </c>
      <c r="AZ382" s="358">
        <f t="shared" ca="1" si="250"/>
        <v>8139809.9706697883</v>
      </c>
      <c r="BB382" s="358">
        <f t="shared" ca="1" si="251"/>
        <v>8328446.74342818</v>
      </c>
      <c r="BD382" s="358">
        <f t="shared" ca="1" si="252"/>
        <v>8521846.8310847674</v>
      </c>
      <c r="BF382" s="358">
        <f t="shared" ca="1" si="253"/>
        <v>8720130.5133097693</v>
      </c>
      <c r="BH382" s="358">
        <f t="shared" ca="1" si="254"/>
        <v>8923421.106985813</v>
      </c>
    </row>
    <row r="383" spans="1:60" hidden="1" outlineLevel="1">
      <c r="A383" s="1464">
        <f t="shared" si="264"/>
        <v>18</v>
      </c>
      <c r="B383" s="1464">
        <f t="shared" si="265"/>
        <v>32</v>
      </c>
      <c r="C383" s="1464">
        <f t="shared" si="266"/>
        <v>7</v>
      </c>
      <c r="D383" s="1271" t="str">
        <f ca="1">IF(OFFSET(PortfolioDashboard!$A$3,C383-1,0)="","Blank",OFFSET(PortfolioDashboard!$A$3,C383-1,0))</f>
        <v>Long-term Energy Conservation Measures</v>
      </c>
      <c r="E383" s="1464" t="str">
        <f t="shared" si="267"/>
        <v>2010$</v>
      </c>
      <c r="F383" s="1460">
        <f t="shared" ca="1" si="226"/>
        <v>5963382.3137100497</v>
      </c>
      <c r="G383" s="358">
        <f t="shared" ca="1" si="260"/>
        <v>0</v>
      </c>
      <c r="H383" s="358">
        <f t="shared" ca="1" si="260"/>
        <v>0</v>
      </c>
      <c r="I383" s="358">
        <f t="shared" ca="1" si="260"/>
        <v>0</v>
      </c>
      <c r="J383" s="358">
        <f t="shared" ca="1" si="260"/>
        <v>0</v>
      </c>
      <c r="K383" s="358">
        <f t="shared" ca="1" si="260"/>
        <v>0</v>
      </c>
      <c r="L383" s="358">
        <f t="shared" ca="1" si="260"/>
        <v>0</v>
      </c>
      <c r="M383" s="358">
        <f t="shared" ca="1" si="260"/>
        <v>0</v>
      </c>
      <c r="N383" s="358">
        <f t="shared" ca="1" si="260"/>
        <v>0</v>
      </c>
      <c r="O383" s="358">
        <f t="shared" ca="1" si="260"/>
        <v>0</v>
      </c>
      <c r="P383" s="358">
        <f t="shared" ca="1" si="260"/>
        <v>0</v>
      </c>
      <c r="Q383" s="358">
        <f t="shared" ca="1" si="261"/>
        <v>0</v>
      </c>
      <c r="R383" s="358">
        <f t="shared" ca="1" si="261"/>
        <v>0</v>
      </c>
      <c r="S383" s="358">
        <f t="shared" ca="1" si="261"/>
        <v>0</v>
      </c>
      <c r="T383" s="358">
        <f t="shared" ca="1" si="261"/>
        <v>0</v>
      </c>
      <c r="U383" s="358">
        <f t="shared" ca="1" si="261"/>
        <v>125059.2742997669</v>
      </c>
      <c r="V383" s="358">
        <f t="shared" ca="1" si="261"/>
        <v>251040.99033453147</v>
      </c>
      <c r="W383" s="358">
        <f t="shared" ca="1" si="261"/>
        <v>377952.06641730608</v>
      </c>
      <c r="X383" s="358">
        <f t="shared" ca="1" si="261"/>
        <v>505799.46698319016</v>
      </c>
      <c r="Y383" s="358">
        <f t="shared" ca="1" si="261"/>
        <v>634590.20287763246</v>
      </c>
      <c r="Z383" s="358">
        <f t="shared" ca="1" si="261"/>
        <v>764331.33164642472</v>
      </c>
      <c r="AA383" s="358">
        <f t="shared" ca="1" si="262"/>
        <v>895029.95782743301</v>
      </c>
      <c r="AB383" s="358">
        <f t="shared" ca="1" si="262"/>
        <v>1026693.2332440799</v>
      </c>
      <c r="AC383" s="358">
        <f t="shared" ca="1" si="262"/>
        <v>1159328.3573005877</v>
      </c>
      <c r="AD383" s="358">
        <f t="shared" ca="1" si="262"/>
        <v>1292942.5772789896</v>
      </c>
      <c r="AE383" s="358">
        <f t="shared" ca="1" si="262"/>
        <v>1297766.5351253846</v>
      </c>
      <c r="AF383" s="358">
        <f t="shared" ca="1" si="262"/>
        <v>1302614.6127610113</v>
      </c>
      <c r="AG383" s="358">
        <f t="shared" ca="1" si="262"/>
        <v>1307486.9307848162</v>
      </c>
      <c r="AH383" s="358">
        <f t="shared" ca="1" si="262"/>
        <v>1312383.61039874</v>
      </c>
      <c r="AI383" s="358">
        <f t="shared" ca="1" si="262"/>
        <v>1317304.7734107336</v>
      </c>
      <c r="AJ383" s="358">
        <f t="shared" ca="1" si="262"/>
        <v>1322250.542237787</v>
      </c>
      <c r="AK383" s="358">
        <f t="shared" ca="1" si="263"/>
        <v>1327221.0399089758</v>
      </c>
      <c r="AL383" s="358">
        <f t="shared" ca="1" si="263"/>
        <v>1332216.3900685206</v>
      </c>
      <c r="AM383" s="358">
        <f t="shared" ca="1" si="263"/>
        <v>1337236.7169788629</v>
      </c>
      <c r="AN383" s="358">
        <f t="shared" ca="1" si="263"/>
        <v>1342282.1455237572</v>
      </c>
      <c r="AO383" s="358">
        <f t="shared" ca="1" si="263"/>
        <v>1347352.8012113757</v>
      </c>
      <c r="AP383" s="358">
        <f t="shared" ca="1" si="263"/>
        <v>1352448.8101774326</v>
      </c>
      <c r="AQ383" s="358">
        <f t="shared" ca="1" si="263"/>
        <v>1357570.2991883194</v>
      </c>
      <c r="AR383" s="358">
        <f t="shared" ca="1" si="263"/>
        <v>1362717.3956442606</v>
      </c>
      <c r="AS383" s="358">
        <f t="shared" ca="1" si="263"/>
        <v>1367890.2275824822</v>
      </c>
      <c r="AT383" s="358">
        <f t="shared" ca="1" si="263"/>
        <v>1373088.9236803944</v>
      </c>
      <c r="AV383" s="358">
        <f t="shared" ca="1" si="248"/>
        <v>0</v>
      </c>
      <c r="AX383" s="358">
        <f t="shared" ca="1" si="249"/>
        <v>125059.2742997669</v>
      </c>
      <c r="AZ383" s="358">
        <f t="shared" ca="1" si="250"/>
        <v>2533714.0582590848</v>
      </c>
      <c r="BB383" s="358">
        <f t="shared" ca="1" si="251"/>
        <v>5671760.6607764754</v>
      </c>
      <c r="BD383" s="358">
        <f t="shared" ca="1" si="252"/>
        <v>6562040.4695930872</v>
      </c>
      <c r="BF383" s="358">
        <f t="shared" ca="1" si="253"/>
        <v>6686309.0936914925</v>
      </c>
      <c r="BH383" s="358">
        <f t="shared" ca="1" si="254"/>
        <v>6813715.65627289</v>
      </c>
    </row>
    <row r="384" spans="1:60" hidden="1" outlineLevel="1">
      <c r="A384" s="1464">
        <f t="shared" si="264"/>
        <v>18</v>
      </c>
      <c r="B384" s="1464">
        <f t="shared" si="265"/>
        <v>32</v>
      </c>
      <c r="C384" s="1464">
        <f t="shared" si="266"/>
        <v>8</v>
      </c>
      <c r="D384" s="1271" t="str">
        <f ca="1">IF(OFFSET(PortfolioDashboard!$A$3,C384-1,0)="","Blank",OFFSET(PortfolioDashboard!$A$3,C384-1,0))</f>
        <v>Green IT</v>
      </c>
      <c r="E384" s="1464" t="str">
        <f t="shared" si="267"/>
        <v>2010$</v>
      </c>
      <c r="F384" s="1460">
        <f t="shared" ca="1" si="226"/>
        <v>9910631.3744825535</v>
      </c>
      <c r="G384" s="358">
        <f t="shared" ca="1" si="260"/>
        <v>0</v>
      </c>
      <c r="H384" s="358">
        <f t="shared" ca="1" si="260"/>
        <v>0</v>
      </c>
      <c r="I384" s="358">
        <f t="shared" ca="1" si="260"/>
        <v>235520.99624999994</v>
      </c>
      <c r="J384" s="358">
        <f t="shared" ca="1" si="260"/>
        <v>473397.20246249984</v>
      </c>
      <c r="K384" s="358">
        <f t="shared" ca="1" si="260"/>
        <v>713646.28271221824</v>
      </c>
      <c r="L384" s="358">
        <f t="shared" ca="1" si="260"/>
        <v>717214.51412577927</v>
      </c>
      <c r="M384" s="358">
        <f t="shared" ca="1" si="260"/>
        <v>720800.58669640811</v>
      </c>
      <c r="N384" s="358">
        <f t="shared" ca="1" si="260"/>
        <v>724404.58962989005</v>
      </c>
      <c r="O384" s="358">
        <f t="shared" ca="1" si="260"/>
        <v>728026.61257803941</v>
      </c>
      <c r="P384" s="358">
        <f t="shared" ca="1" si="260"/>
        <v>731666.74564092956</v>
      </c>
      <c r="Q384" s="358">
        <f t="shared" ca="1" si="261"/>
        <v>735325.07936913404</v>
      </c>
      <c r="R384" s="358">
        <f t="shared" ca="1" si="261"/>
        <v>739001.70476597967</v>
      </c>
      <c r="S384" s="358">
        <f t="shared" ca="1" si="261"/>
        <v>742696.7132898093</v>
      </c>
      <c r="T384" s="358">
        <f t="shared" ca="1" si="261"/>
        <v>746410.19685625832</v>
      </c>
      <c r="U384" s="358">
        <f t="shared" ca="1" si="261"/>
        <v>750142.24784053955</v>
      </c>
      <c r="V384" s="358">
        <f t="shared" ca="1" si="261"/>
        <v>753892.95907974197</v>
      </c>
      <c r="W384" s="358">
        <f t="shared" ca="1" si="261"/>
        <v>757662.42387514061</v>
      </c>
      <c r="X384" s="358">
        <f t="shared" ca="1" si="261"/>
        <v>761450.73599451629</v>
      </c>
      <c r="Y384" s="358">
        <f t="shared" ca="1" si="261"/>
        <v>765257.98967448866</v>
      </c>
      <c r="Z384" s="358">
        <f t="shared" ca="1" si="261"/>
        <v>769084.27962286095</v>
      </c>
      <c r="AA384" s="358">
        <f t="shared" ca="1" si="262"/>
        <v>772929.70102097525</v>
      </c>
      <c r="AB384" s="358">
        <f t="shared" ca="1" si="262"/>
        <v>776794.34952607984</v>
      </c>
      <c r="AC384" s="358">
        <f t="shared" ca="1" si="262"/>
        <v>780678.32127371023</v>
      </c>
      <c r="AD384" s="358">
        <f t="shared" ca="1" si="262"/>
        <v>784581.71288007859</v>
      </c>
      <c r="AE384" s="358">
        <f t="shared" ca="1" si="262"/>
        <v>788504.6214444791</v>
      </c>
      <c r="AF384" s="358">
        <f t="shared" ca="1" si="262"/>
        <v>792447.14455170126</v>
      </c>
      <c r="AG384" s="358">
        <f t="shared" ca="1" si="262"/>
        <v>796409.38027445972</v>
      </c>
      <c r="AH384" s="358">
        <f t="shared" ca="1" si="262"/>
        <v>800391.42717583175</v>
      </c>
      <c r="AI384" s="358">
        <f t="shared" ca="1" si="262"/>
        <v>804393.38431171083</v>
      </c>
      <c r="AJ384" s="358">
        <f t="shared" ca="1" si="262"/>
        <v>808415.35123326932</v>
      </c>
      <c r="AK384" s="358">
        <f t="shared" ca="1" si="263"/>
        <v>812457.4279894355</v>
      </c>
      <c r="AL384" s="358">
        <f t="shared" ca="1" si="263"/>
        <v>816519.71512938244</v>
      </c>
      <c r="AM384" s="358">
        <f t="shared" ca="1" si="263"/>
        <v>820602.3137050292</v>
      </c>
      <c r="AN384" s="358">
        <f t="shared" ca="1" si="263"/>
        <v>824705.32527355431</v>
      </c>
      <c r="AO384" s="358">
        <f t="shared" ca="1" si="263"/>
        <v>828828.85189992201</v>
      </c>
      <c r="AP384" s="358">
        <f t="shared" ca="1" si="263"/>
        <v>832972.99615942151</v>
      </c>
      <c r="AQ384" s="358">
        <f t="shared" ca="1" si="263"/>
        <v>837137.86114021833</v>
      </c>
      <c r="AR384" s="358">
        <f t="shared" ca="1" si="263"/>
        <v>841323.55044591927</v>
      </c>
      <c r="AS384" s="358">
        <f t="shared" ca="1" si="263"/>
        <v>845530.16819814884</v>
      </c>
      <c r="AT384" s="358">
        <f t="shared" ca="1" si="263"/>
        <v>849757.81903913943</v>
      </c>
      <c r="AV384" s="358">
        <f t="shared" ca="1" si="248"/>
        <v>3622113.0486710463</v>
      </c>
      <c r="AX384" s="358">
        <f t="shared" ca="1" si="249"/>
        <v>3713575.9421217209</v>
      </c>
      <c r="AZ384" s="358">
        <f t="shared" ca="1" si="250"/>
        <v>3807348.3882467486</v>
      </c>
      <c r="BB384" s="358">
        <f t="shared" ca="1" si="251"/>
        <v>3903488.7061453229</v>
      </c>
      <c r="BD384" s="358">
        <f t="shared" ca="1" si="252"/>
        <v>4002056.6875469731</v>
      </c>
      <c r="BF384" s="358">
        <f t="shared" ca="1" si="253"/>
        <v>4103113.6339973235</v>
      </c>
      <c r="BH384" s="358">
        <f t="shared" ca="1" si="254"/>
        <v>4206722.3949828474</v>
      </c>
    </row>
    <row r="385" spans="1:60" hidden="1" outlineLevel="1">
      <c r="A385" s="1464">
        <f t="shared" si="264"/>
        <v>18</v>
      </c>
      <c r="B385" s="1464">
        <f t="shared" si="265"/>
        <v>32</v>
      </c>
      <c r="C385" s="1464">
        <f t="shared" si="266"/>
        <v>9</v>
      </c>
      <c r="D385" s="1271" t="str">
        <f ca="1">IF(OFFSET(PortfolioDashboard!$A$3,C385-1,0)="","Blank",OFFSET(PortfolioDashboard!$A$3,C385-1,0))</f>
        <v>Reduced Air Travel</v>
      </c>
      <c r="E385" s="1464" t="str">
        <f t="shared" si="267"/>
        <v>2010$</v>
      </c>
      <c r="F385" s="1460">
        <f t="shared" ref="F385:F407" ca="1" si="268">NPV(DiscountRate,G385:AT385)</f>
        <v>0</v>
      </c>
      <c r="G385" s="358">
        <f t="shared" ca="1" si="260"/>
        <v>0</v>
      </c>
      <c r="H385" s="358">
        <f t="shared" ca="1" si="260"/>
        <v>0</v>
      </c>
      <c r="I385" s="358">
        <f t="shared" ca="1" si="260"/>
        <v>0</v>
      </c>
      <c r="J385" s="358">
        <f t="shared" ca="1" si="260"/>
        <v>0</v>
      </c>
      <c r="K385" s="358">
        <f t="shared" ca="1" si="260"/>
        <v>0</v>
      </c>
      <c r="L385" s="358">
        <f t="shared" ca="1" si="260"/>
        <v>0</v>
      </c>
      <c r="M385" s="358">
        <f t="shared" ca="1" si="260"/>
        <v>0</v>
      </c>
      <c r="N385" s="358">
        <f t="shared" ca="1" si="260"/>
        <v>0</v>
      </c>
      <c r="O385" s="358">
        <f t="shared" ca="1" si="260"/>
        <v>0</v>
      </c>
      <c r="P385" s="358">
        <f t="shared" ca="1" si="260"/>
        <v>0</v>
      </c>
      <c r="Q385" s="358">
        <f t="shared" ca="1" si="261"/>
        <v>0</v>
      </c>
      <c r="R385" s="358">
        <f t="shared" ca="1" si="261"/>
        <v>0</v>
      </c>
      <c r="S385" s="358">
        <f t="shared" ca="1" si="261"/>
        <v>0</v>
      </c>
      <c r="T385" s="358">
        <f t="shared" ca="1" si="261"/>
        <v>0</v>
      </c>
      <c r="U385" s="358">
        <f t="shared" ca="1" si="261"/>
        <v>0</v>
      </c>
      <c r="V385" s="358">
        <f t="shared" ca="1" si="261"/>
        <v>0</v>
      </c>
      <c r="W385" s="358">
        <f t="shared" ca="1" si="261"/>
        <v>0</v>
      </c>
      <c r="X385" s="358">
        <f t="shared" ca="1" si="261"/>
        <v>0</v>
      </c>
      <c r="Y385" s="358">
        <f t="shared" ca="1" si="261"/>
        <v>0</v>
      </c>
      <c r="Z385" s="358">
        <f t="shared" ca="1" si="261"/>
        <v>0</v>
      </c>
      <c r="AA385" s="358">
        <f t="shared" ca="1" si="262"/>
        <v>0</v>
      </c>
      <c r="AB385" s="358">
        <f t="shared" ca="1" si="262"/>
        <v>0</v>
      </c>
      <c r="AC385" s="358">
        <f t="shared" ca="1" si="262"/>
        <v>0</v>
      </c>
      <c r="AD385" s="358">
        <f t="shared" ca="1" si="262"/>
        <v>0</v>
      </c>
      <c r="AE385" s="358">
        <f t="shared" ca="1" si="262"/>
        <v>0</v>
      </c>
      <c r="AF385" s="358">
        <f t="shared" ca="1" si="262"/>
        <v>0</v>
      </c>
      <c r="AG385" s="358">
        <f t="shared" ca="1" si="262"/>
        <v>0</v>
      </c>
      <c r="AH385" s="358">
        <f t="shared" ca="1" si="262"/>
        <v>0</v>
      </c>
      <c r="AI385" s="358">
        <f t="shared" ca="1" si="262"/>
        <v>0</v>
      </c>
      <c r="AJ385" s="358">
        <f t="shared" ca="1" si="262"/>
        <v>0</v>
      </c>
      <c r="AK385" s="358">
        <f t="shared" ca="1" si="263"/>
        <v>0</v>
      </c>
      <c r="AL385" s="358">
        <f t="shared" ca="1" si="263"/>
        <v>0</v>
      </c>
      <c r="AM385" s="358">
        <f t="shared" ca="1" si="263"/>
        <v>0</v>
      </c>
      <c r="AN385" s="358">
        <f t="shared" ca="1" si="263"/>
        <v>0</v>
      </c>
      <c r="AO385" s="358">
        <f t="shared" ca="1" si="263"/>
        <v>0</v>
      </c>
      <c r="AP385" s="358">
        <f t="shared" ca="1" si="263"/>
        <v>0</v>
      </c>
      <c r="AQ385" s="358">
        <f t="shared" ca="1" si="263"/>
        <v>0</v>
      </c>
      <c r="AR385" s="358">
        <f t="shared" ca="1" si="263"/>
        <v>0</v>
      </c>
      <c r="AS385" s="358">
        <f t="shared" ca="1" si="263"/>
        <v>0</v>
      </c>
      <c r="AT385" s="358">
        <f t="shared" ca="1" si="263"/>
        <v>0</v>
      </c>
      <c r="AV385" s="358">
        <f t="shared" ca="1" si="248"/>
        <v>0</v>
      </c>
      <c r="AX385" s="358">
        <f t="shared" ca="1" si="249"/>
        <v>0</v>
      </c>
      <c r="AZ385" s="358">
        <f t="shared" ca="1" si="250"/>
        <v>0</v>
      </c>
      <c r="BB385" s="358">
        <f t="shared" ca="1" si="251"/>
        <v>0</v>
      </c>
      <c r="BD385" s="358">
        <f t="shared" ca="1" si="252"/>
        <v>0</v>
      </c>
      <c r="BF385" s="358">
        <f t="shared" ca="1" si="253"/>
        <v>0</v>
      </c>
      <c r="BH385" s="358">
        <f t="shared" ca="1" si="254"/>
        <v>0</v>
      </c>
    </row>
    <row r="386" spans="1:60" hidden="1" outlineLevel="1">
      <c r="A386" s="1464">
        <f t="shared" si="264"/>
        <v>18</v>
      </c>
      <c r="B386" s="1464">
        <f t="shared" si="265"/>
        <v>32</v>
      </c>
      <c r="C386" s="1464">
        <f t="shared" si="266"/>
        <v>10</v>
      </c>
      <c r="D386" s="1271" t="str">
        <f ca="1">IF(OFFSET(PortfolioDashboard!$A$3,C386-1,0)="","Blank",OFFSET(PortfolioDashboard!$A$3,C386-1,0))</f>
        <v>Reduced Automobile Reliance Strategies</v>
      </c>
      <c r="E386" s="1464" t="str">
        <f t="shared" si="267"/>
        <v>2010$</v>
      </c>
      <c r="F386" s="1460">
        <f t="shared" ca="1" si="268"/>
        <v>0</v>
      </c>
      <c r="G386" s="358">
        <f t="shared" ca="1" si="260"/>
        <v>0</v>
      </c>
      <c r="H386" s="358">
        <f t="shared" ca="1" si="260"/>
        <v>0</v>
      </c>
      <c r="I386" s="358">
        <f t="shared" ca="1" si="260"/>
        <v>0</v>
      </c>
      <c r="J386" s="358">
        <f t="shared" ca="1" si="260"/>
        <v>0</v>
      </c>
      <c r="K386" s="358">
        <f t="shared" ca="1" si="260"/>
        <v>0</v>
      </c>
      <c r="L386" s="358">
        <f t="shared" ca="1" si="260"/>
        <v>0</v>
      </c>
      <c r="M386" s="358">
        <f t="shared" ca="1" si="260"/>
        <v>0</v>
      </c>
      <c r="N386" s="358">
        <f t="shared" ca="1" si="260"/>
        <v>0</v>
      </c>
      <c r="O386" s="358">
        <f t="shared" ca="1" si="260"/>
        <v>0</v>
      </c>
      <c r="P386" s="358">
        <f t="shared" ca="1" si="260"/>
        <v>0</v>
      </c>
      <c r="Q386" s="358">
        <f t="shared" ca="1" si="261"/>
        <v>0</v>
      </c>
      <c r="R386" s="358">
        <f t="shared" ca="1" si="261"/>
        <v>0</v>
      </c>
      <c r="S386" s="358">
        <f t="shared" ca="1" si="261"/>
        <v>0</v>
      </c>
      <c r="T386" s="358">
        <f t="shared" ca="1" si="261"/>
        <v>0</v>
      </c>
      <c r="U386" s="358">
        <f t="shared" ca="1" si="261"/>
        <v>0</v>
      </c>
      <c r="V386" s="358">
        <f t="shared" ca="1" si="261"/>
        <v>0</v>
      </c>
      <c r="W386" s="358">
        <f t="shared" ca="1" si="261"/>
        <v>0</v>
      </c>
      <c r="X386" s="358">
        <f t="shared" ca="1" si="261"/>
        <v>0</v>
      </c>
      <c r="Y386" s="358">
        <f t="shared" ca="1" si="261"/>
        <v>0</v>
      </c>
      <c r="Z386" s="358">
        <f t="shared" ca="1" si="261"/>
        <v>0</v>
      </c>
      <c r="AA386" s="358">
        <f t="shared" ca="1" si="262"/>
        <v>0</v>
      </c>
      <c r="AB386" s="358">
        <f t="shared" ca="1" si="262"/>
        <v>0</v>
      </c>
      <c r="AC386" s="358">
        <f t="shared" ca="1" si="262"/>
        <v>0</v>
      </c>
      <c r="AD386" s="358">
        <f t="shared" ca="1" si="262"/>
        <v>0</v>
      </c>
      <c r="AE386" s="358">
        <f t="shared" ca="1" si="262"/>
        <v>0</v>
      </c>
      <c r="AF386" s="358">
        <f t="shared" ca="1" si="262"/>
        <v>0</v>
      </c>
      <c r="AG386" s="358">
        <f t="shared" ca="1" si="262"/>
        <v>0</v>
      </c>
      <c r="AH386" s="358">
        <f t="shared" ca="1" si="262"/>
        <v>0</v>
      </c>
      <c r="AI386" s="358">
        <f t="shared" ca="1" si="262"/>
        <v>0</v>
      </c>
      <c r="AJ386" s="358">
        <f t="shared" ca="1" si="262"/>
        <v>0</v>
      </c>
      <c r="AK386" s="358">
        <f t="shared" ca="1" si="263"/>
        <v>0</v>
      </c>
      <c r="AL386" s="358">
        <f t="shared" ca="1" si="263"/>
        <v>0</v>
      </c>
      <c r="AM386" s="358">
        <f t="shared" ca="1" si="263"/>
        <v>0</v>
      </c>
      <c r="AN386" s="358">
        <f t="shared" ca="1" si="263"/>
        <v>0</v>
      </c>
      <c r="AO386" s="358">
        <f t="shared" ca="1" si="263"/>
        <v>0</v>
      </c>
      <c r="AP386" s="358">
        <f t="shared" ca="1" si="263"/>
        <v>0</v>
      </c>
      <c r="AQ386" s="358">
        <f t="shared" ca="1" si="263"/>
        <v>0</v>
      </c>
      <c r="AR386" s="358">
        <f t="shared" ca="1" si="263"/>
        <v>0</v>
      </c>
      <c r="AS386" s="358">
        <f t="shared" ca="1" si="263"/>
        <v>0</v>
      </c>
      <c r="AT386" s="358">
        <f t="shared" ca="1" si="263"/>
        <v>0</v>
      </c>
      <c r="AV386" s="358">
        <f t="shared" ca="1" si="248"/>
        <v>0</v>
      </c>
      <c r="AX386" s="358">
        <f t="shared" ca="1" si="249"/>
        <v>0</v>
      </c>
      <c r="AZ386" s="358">
        <f t="shared" ca="1" si="250"/>
        <v>0</v>
      </c>
      <c r="BB386" s="358">
        <f t="shared" ca="1" si="251"/>
        <v>0</v>
      </c>
      <c r="BD386" s="358">
        <f t="shared" ca="1" si="252"/>
        <v>0</v>
      </c>
      <c r="BF386" s="358">
        <f t="shared" ca="1" si="253"/>
        <v>0</v>
      </c>
      <c r="BH386" s="358">
        <f t="shared" ca="1" si="254"/>
        <v>0</v>
      </c>
    </row>
    <row r="387" spans="1:60" hidden="1" outlineLevel="1">
      <c r="A387" s="1464">
        <f t="shared" si="264"/>
        <v>18</v>
      </c>
      <c r="B387" s="1464">
        <f t="shared" si="265"/>
        <v>32</v>
      </c>
      <c r="C387" s="1464">
        <f t="shared" si="266"/>
        <v>11</v>
      </c>
      <c r="D387" s="1271" t="str">
        <f ca="1">IF(OFFSET(PortfolioDashboard!$A$3,C387-1,0)="","Blank",OFFSET(PortfolioDashboard!$A$3,C387-1,0))</f>
        <v>Waste Reduction</v>
      </c>
      <c r="E387" s="1464" t="str">
        <f t="shared" si="267"/>
        <v>2010$</v>
      </c>
      <c r="F387" s="1460">
        <f t="shared" ca="1" si="268"/>
        <v>0</v>
      </c>
      <c r="G387" s="358">
        <f t="shared" ref="G387:P396" ca="1" si="269">IFERROR(OFFSET(INDIRECT(INDEX(List_of_Alternatives,MATCH($D387,NameofAlternatives,0))),$A387+G$1-$G$1,$B387),0)</f>
        <v>0</v>
      </c>
      <c r="H387" s="358">
        <f t="shared" ca="1" si="269"/>
        <v>0</v>
      </c>
      <c r="I387" s="358">
        <f t="shared" ca="1" si="269"/>
        <v>0</v>
      </c>
      <c r="J387" s="358">
        <f t="shared" ca="1" si="269"/>
        <v>0</v>
      </c>
      <c r="K387" s="358">
        <f t="shared" ca="1" si="269"/>
        <v>0</v>
      </c>
      <c r="L387" s="358">
        <f t="shared" ca="1" si="269"/>
        <v>0</v>
      </c>
      <c r="M387" s="358">
        <f t="shared" ca="1" si="269"/>
        <v>0</v>
      </c>
      <c r="N387" s="358">
        <f t="shared" ca="1" si="269"/>
        <v>0</v>
      </c>
      <c r="O387" s="358">
        <f t="shared" ca="1" si="269"/>
        <v>0</v>
      </c>
      <c r="P387" s="358">
        <f t="shared" ca="1" si="269"/>
        <v>0</v>
      </c>
      <c r="Q387" s="358">
        <f t="shared" ref="Q387:Z396" ca="1" si="270">IFERROR(OFFSET(INDIRECT(INDEX(List_of_Alternatives,MATCH($D387,NameofAlternatives,0))),$A387+Q$1-$G$1,$B387),0)</f>
        <v>0</v>
      </c>
      <c r="R387" s="358">
        <f t="shared" ca="1" si="270"/>
        <v>0</v>
      </c>
      <c r="S387" s="358">
        <f t="shared" ca="1" si="270"/>
        <v>0</v>
      </c>
      <c r="T387" s="358">
        <f t="shared" ca="1" si="270"/>
        <v>0</v>
      </c>
      <c r="U387" s="358">
        <f t="shared" ca="1" si="270"/>
        <v>0</v>
      </c>
      <c r="V387" s="358">
        <f t="shared" ca="1" si="270"/>
        <v>0</v>
      </c>
      <c r="W387" s="358">
        <f t="shared" ca="1" si="270"/>
        <v>0</v>
      </c>
      <c r="X387" s="358">
        <f t="shared" ca="1" si="270"/>
        <v>0</v>
      </c>
      <c r="Y387" s="358">
        <f t="shared" ca="1" si="270"/>
        <v>0</v>
      </c>
      <c r="Z387" s="358">
        <f t="shared" ca="1" si="270"/>
        <v>0</v>
      </c>
      <c r="AA387" s="358">
        <f t="shared" ref="AA387:AJ396" ca="1" si="271">IFERROR(OFFSET(INDIRECT(INDEX(List_of_Alternatives,MATCH($D387,NameofAlternatives,0))),$A387+AA$1-$G$1,$B387),0)</f>
        <v>0</v>
      </c>
      <c r="AB387" s="358">
        <f t="shared" ca="1" si="271"/>
        <v>0</v>
      </c>
      <c r="AC387" s="358">
        <f t="shared" ca="1" si="271"/>
        <v>0</v>
      </c>
      <c r="AD387" s="358">
        <f t="shared" ca="1" si="271"/>
        <v>0</v>
      </c>
      <c r="AE387" s="358">
        <f t="shared" ca="1" si="271"/>
        <v>0</v>
      </c>
      <c r="AF387" s="358">
        <f t="shared" ca="1" si="271"/>
        <v>0</v>
      </c>
      <c r="AG387" s="358">
        <f t="shared" ca="1" si="271"/>
        <v>0</v>
      </c>
      <c r="AH387" s="358">
        <f t="shared" ca="1" si="271"/>
        <v>0</v>
      </c>
      <c r="AI387" s="358">
        <f t="shared" ca="1" si="271"/>
        <v>0</v>
      </c>
      <c r="AJ387" s="358">
        <f t="shared" ca="1" si="271"/>
        <v>0</v>
      </c>
      <c r="AK387" s="358">
        <f t="shared" ref="AK387:AT396" ca="1" si="272">IFERROR(OFFSET(INDIRECT(INDEX(List_of_Alternatives,MATCH($D387,NameofAlternatives,0))),$A387+AK$1-$G$1,$B387),0)</f>
        <v>0</v>
      </c>
      <c r="AL387" s="358">
        <f t="shared" ca="1" si="272"/>
        <v>0</v>
      </c>
      <c r="AM387" s="358">
        <f t="shared" ca="1" si="272"/>
        <v>0</v>
      </c>
      <c r="AN387" s="358">
        <f t="shared" ca="1" si="272"/>
        <v>0</v>
      </c>
      <c r="AO387" s="358">
        <f t="shared" ca="1" si="272"/>
        <v>0</v>
      </c>
      <c r="AP387" s="358">
        <f t="shared" ca="1" si="272"/>
        <v>0</v>
      </c>
      <c r="AQ387" s="358">
        <f t="shared" ca="1" si="272"/>
        <v>0</v>
      </c>
      <c r="AR387" s="358">
        <f t="shared" ca="1" si="272"/>
        <v>0</v>
      </c>
      <c r="AS387" s="358">
        <f t="shared" ca="1" si="272"/>
        <v>0</v>
      </c>
      <c r="AT387" s="358">
        <f t="shared" ca="1" si="272"/>
        <v>0</v>
      </c>
      <c r="AV387" s="358">
        <f t="shared" ca="1" si="248"/>
        <v>0</v>
      </c>
      <c r="AX387" s="358">
        <f t="shared" ca="1" si="249"/>
        <v>0</v>
      </c>
      <c r="AZ387" s="358">
        <f t="shared" ca="1" si="250"/>
        <v>0</v>
      </c>
      <c r="BB387" s="358">
        <f t="shared" ca="1" si="251"/>
        <v>0</v>
      </c>
      <c r="BD387" s="358">
        <f t="shared" ca="1" si="252"/>
        <v>0</v>
      </c>
      <c r="BF387" s="358">
        <f t="shared" ca="1" si="253"/>
        <v>0</v>
      </c>
      <c r="BH387" s="358">
        <f t="shared" ca="1" si="254"/>
        <v>0</v>
      </c>
    </row>
    <row r="388" spans="1:60" hidden="1" outlineLevel="1">
      <c r="A388" s="1464">
        <f t="shared" si="264"/>
        <v>18</v>
      </c>
      <c r="B388" s="1464">
        <f t="shared" si="265"/>
        <v>32</v>
      </c>
      <c r="C388" s="1464">
        <f t="shared" si="266"/>
        <v>12</v>
      </c>
      <c r="D388" s="1271" t="str">
        <f ca="1">IF(OFFSET(PortfolioDashboard!$A$3,C388-1,0)="","Blank",OFFSET(PortfolioDashboard!$A$3,C388-1,0))</f>
        <v>Steam Line Improvements</v>
      </c>
      <c r="E388" s="1464" t="str">
        <f t="shared" si="267"/>
        <v>2010$</v>
      </c>
      <c r="F388" s="1460">
        <f t="shared" ca="1" si="268"/>
        <v>5520765.9617507318</v>
      </c>
      <c r="G388" s="358">
        <f t="shared" ca="1" si="269"/>
        <v>0</v>
      </c>
      <c r="H388" s="358">
        <f t="shared" ca="1" si="269"/>
        <v>0</v>
      </c>
      <c r="I388" s="358">
        <f t="shared" ca="1" si="269"/>
        <v>318930.98821845633</v>
      </c>
      <c r="J388" s="358">
        <f t="shared" ca="1" si="269"/>
        <v>325674.38291916944</v>
      </c>
      <c r="K388" s="358">
        <f t="shared" ca="1" si="269"/>
        <v>331089.05995406612</v>
      </c>
      <c r="L388" s="358">
        <f t="shared" ca="1" si="269"/>
        <v>340270.05984589568</v>
      </c>
      <c r="M388" s="358">
        <f t="shared" ca="1" si="269"/>
        <v>345795.67297425686</v>
      </c>
      <c r="N388" s="358">
        <f t="shared" ca="1" si="269"/>
        <v>351368.03548240557</v>
      </c>
      <c r="O388" s="358">
        <f t="shared" ca="1" si="269"/>
        <v>356987.47672381124</v>
      </c>
      <c r="P388" s="358">
        <f t="shared" ca="1" si="269"/>
        <v>362654.32817674411</v>
      </c>
      <c r="Q388" s="358">
        <f t="shared" ca="1" si="270"/>
        <v>368368.92345728818</v>
      </c>
      <c r="R388" s="358">
        <f t="shared" ca="1" si="270"/>
        <v>374131.59833243315</v>
      </c>
      <c r="S388" s="358">
        <f t="shared" ca="1" si="270"/>
        <v>379942.69073324307</v>
      </c>
      <c r="T388" s="358">
        <f t="shared" ca="1" si="270"/>
        <v>385802.54076810298</v>
      </c>
      <c r="U388" s="358">
        <f t="shared" ca="1" si="270"/>
        <v>391711.49073604314</v>
      </c>
      <c r="V388" s="358">
        <f t="shared" ca="1" si="270"/>
        <v>397669.88514014328</v>
      </c>
      <c r="W388" s="358">
        <f t="shared" ca="1" si="270"/>
        <v>403678.07070101617</v>
      </c>
      <c r="X388" s="358">
        <f t="shared" ca="1" si="270"/>
        <v>409736.39637036924</v>
      </c>
      <c r="Y388" s="358">
        <f t="shared" ca="1" si="270"/>
        <v>415845.21334464825</v>
      </c>
      <c r="Z388" s="358">
        <f t="shared" ca="1" si="270"/>
        <v>422004.87507876102</v>
      </c>
      <c r="AA388" s="358">
        <f t="shared" ca="1" si="271"/>
        <v>428215.73729988118</v>
      </c>
      <c r="AB388" s="358">
        <f t="shared" ca="1" si="271"/>
        <v>434478.15802133561</v>
      </c>
      <c r="AC388" s="358">
        <f t="shared" ca="1" si="271"/>
        <v>440792.49755657191</v>
      </c>
      <c r="AD388" s="358">
        <f t="shared" ca="1" si="271"/>
        <v>447159.11853321025</v>
      </c>
      <c r="AE388" s="358">
        <f t="shared" ca="1" si="271"/>
        <v>453578.38590717589</v>
      </c>
      <c r="AF388" s="358">
        <f t="shared" ca="1" si="271"/>
        <v>460050.66697691794</v>
      </c>
      <c r="AG388" s="358">
        <f t="shared" ca="1" si="271"/>
        <v>466576.33139770979</v>
      </c>
      <c r="AH388" s="358">
        <f t="shared" ca="1" si="271"/>
        <v>473155.75119603518</v>
      </c>
      <c r="AI388" s="358">
        <f t="shared" ca="1" si="271"/>
        <v>479789.30078405864</v>
      </c>
      <c r="AJ388" s="358">
        <f t="shared" ca="1" si="271"/>
        <v>486477.35697418259</v>
      </c>
      <c r="AK388" s="358">
        <f t="shared" ca="1" si="272"/>
        <v>493220.29899368808</v>
      </c>
      <c r="AL388" s="358">
        <f t="shared" ca="1" si="272"/>
        <v>500018.50849946431</v>
      </c>
      <c r="AM388" s="358">
        <f t="shared" ca="1" si="272"/>
        <v>506872.36959282338</v>
      </c>
      <c r="AN388" s="358">
        <f t="shared" ca="1" si="272"/>
        <v>513782.26883440372</v>
      </c>
      <c r="AO388" s="358">
        <f t="shared" ca="1" si="272"/>
        <v>520748.59525915998</v>
      </c>
      <c r="AP388" s="358">
        <f t="shared" ca="1" si="272"/>
        <v>527771.74039144302</v>
      </c>
      <c r="AQ388" s="358">
        <f t="shared" ca="1" si="272"/>
        <v>534852.09826016694</v>
      </c>
      <c r="AR388" s="358">
        <f t="shared" ca="1" si="272"/>
        <v>541990.06541406864</v>
      </c>
      <c r="AS388" s="358">
        <f t="shared" ca="1" si="272"/>
        <v>549186.04093705327</v>
      </c>
      <c r="AT388" s="358">
        <f t="shared" ca="1" si="272"/>
        <v>556440.42646363203</v>
      </c>
      <c r="AV388" s="358">
        <f t="shared" ca="1" si="248"/>
        <v>1757075.5732031134</v>
      </c>
      <c r="AX388" s="358">
        <f t="shared" ca="1" si="249"/>
        <v>1899957.2440271105</v>
      </c>
      <c r="AZ388" s="358">
        <f t="shared" ca="1" si="250"/>
        <v>2048934.440634938</v>
      </c>
      <c r="BB388" s="358">
        <f t="shared" ca="1" si="251"/>
        <v>2204223.8973181751</v>
      </c>
      <c r="BD388" s="358">
        <f t="shared" ca="1" si="252"/>
        <v>2366049.4073289041</v>
      </c>
      <c r="BF388" s="358">
        <f t="shared" ca="1" si="253"/>
        <v>2534642.0411795392</v>
      </c>
      <c r="BH388" s="358">
        <f t="shared" ca="1" si="254"/>
        <v>2710240.3714663638</v>
      </c>
    </row>
    <row r="389" spans="1:60" hidden="1" outlineLevel="1">
      <c r="A389" s="1464">
        <f t="shared" si="264"/>
        <v>18</v>
      </c>
      <c r="B389" s="1464">
        <f t="shared" si="265"/>
        <v>32</v>
      </c>
      <c r="C389" s="1464">
        <f t="shared" si="266"/>
        <v>13</v>
      </c>
      <c r="D389" s="1271" t="str">
        <f ca="1">IF(OFFSET(PortfolioDashboard!$A$3,C389-1,0)="","Blank",OFFSET(PortfolioDashboard!$A$3,C389-1,0))</f>
        <v>Coal to Natural Gas Conversion @ Steam Plant</v>
      </c>
      <c r="E389" s="1464" t="str">
        <f t="shared" si="267"/>
        <v>2010$</v>
      </c>
      <c r="F389" s="1460">
        <f t="shared" ca="1" si="268"/>
        <v>-4228976.1405559285</v>
      </c>
      <c r="G389" s="358">
        <f t="shared" ca="1" si="269"/>
        <v>0</v>
      </c>
      <c r="H389" s="358">
        <f t="shared" ca="1" si="269"/>
        <v>0</v>
      </c>
      <c r="I389" s="358">
        <f t="shared" ca="1" si="269"/>
        <v>0</v>
      </c>
      <c r="J389" s="358">
        <f t="shared" ca="1" si="269"/>
        <v>0</v>
      </c>
      <c r="K389" s="358">
        <f t="shared" ca="1" si="269"/>
        <v>0</v>
      </c>
      <c r="L389" s="358">
        <f t="shared" ca="1" si="269"/>
        <v>-303812.55343383551</v>
      </c>
      <c r="M389" s="358">
        <f t="shared" ca="1" si="269"/>
        <v>-308746.13658415806</v>
      </c>
      <c r="N389" s="358">
        <f t="shared" ca="1" si="269"/>
        <v>-313721.4602521481</v>
      </c>
      <c r="O389" s="358">
        <f t="shared" ca="1" si="269"/>
        <v>-318738.8185034031</v>
      </c>
      <c r="P389" s="358">
        <f t="shared" ca="1" si="269"/>
        <v>-323798.50730066467</v>
      </c>
      <c r="Q389" s="358">
        <f t="shared" ca="1" si="270"/>
        <v>-328900.82451543584</v>
      </c>
      <c r="R389" s="358">
        <f t="shared" ca="1" si="270"/>
        <v>-334046.06993967295</v>
      </c>
      <c r="S389" s="358">
        <f t="shared" ca="1" si="270"/>
        <v>-339234.54529753793</v>
      </c>
      <c r="T389" s="358">
        <f t="shared" ca="1" si="270"/>
        <v>-344466.55425723549</v>
      </c>
      <c r="U389" s="358">
        <f t="shared" ca="1" si="270"/>
        <v>-349742.40244289581</v>
      </c>
      <c r="V389" s="358">
        <f t="shared" ca="1" si="270"/>
        <v>-355062.39744655695</v>
      </c>
      <c r="W389" s="358">
        <f t="shared" ca="1" si="270"/>
        <v>-360426.84884019289</v>
      </c>
      <c r="X389" s="358">
        <f t="shared" ca="1" si="270"/>
        <v>-365836.06818782911</v>
      </c>
      <c r="Y389" s="358">
        <f t="shared" ca="1" si="270"/>
        <v>-371290.36905772146</v>
      </c>
      <c r="Z389" s="358">
        <f t="shared" ca="1" si="270"/>
        <v>-376790.06703460775</v>
      </c>
      <c r="AA389" s="358">
        <f t="shared" ca="1" si="271"/>
        <v>-382335.47973203566</v>
      </c>
      <c r="AB389" s="358">
        <f t="shared" ca="1" si="271"/>
        <v>-387926.9268047642</v>
      </c>
      <c r="AC389" s="358">
        <f t="shared" ca="1" si="271"/>
        <v>-393564.72996122483</v>
      </c>
      <c r="AD389" s="358">
        <f t="shared" ca="1" si="271"/>
        <v>-399249.21297608037</v>
      </c>
      <c r="AE389" s="358">
        <f t="shared" ca="1" si="271"/>
        <v>-404980.70170283597</v>
      </c>
      <c r="AF389" s="358">
        <f t="shared" ca="1" si="271"/>
        <v>-410759.52408653311</v>
      </c>
      <c r="AG389" s="358">
        <f t="shared" ca="1" si="271"/>
        <v>-416586.01017652731</v>
      </c>
      <c r="AH389" s="358">
        <f t="shared" ca="1" si="271"/>
        <v>-422460.49213931803</v>
      </c>
      <c r="AI389" s="358">
        <f t="shared" ca="1" si="271"/>
        <v>-428383.304271481</v>
      </c>
      <c r="AJ389" s="358">
        <f t="shared" ca="1" si="271"/>
        <v>-434354.78301266301</v>
      </c>
      <c r="AK389" s="358">
        <f t="shared" ca="1" si="272"/>
        <v>-440375.2669586502</v>
      </c>
      <c r="AL389" s="358">
        <f t="shared" ca="1" si="272"/>
        <v>-446445.09687452111</v>
      </c>
      <c r="AM389" s="358">
        <f t="shared" ca="1" si="272"/>
        <v>-452564.61570787802</v>
      </c>
      <c r="AN389" s="358">
        <f t="shared" ca="1" si="272"/>
        <v>-458734.16860214621</v>
      </c>
      <c r="AO389" s="358">
        <f t="shared" ca="1" si="272"/>
        <v>-464954.10290996451</v>
      </c>
      <c r="AP389" s="358">
        <f t="shared" ca="1" si="272"/>
        <v>-471224.7682066448</v>
      </c>
      <c r="AQ389" s="358">
        <f t="shared" ca="1" si="272"/>
        <v>-477546.51630371995</v>
      </c>
      <c r="AR389" s="358">
        <f t="shared" ca="1" si="272"/>
        <v>-483919.70126256067</v>
      </c>
      <c r="AS389" s="358">
        <f t="shared" ca="1" si="272"/>
        <v>-490344.67940808367</v>
      </c>
      <c r="AT389" s="358">
        <f t="shared" ca="1" si="272"/>
        <v>-496821.80934252869</v>
      </c>
      <c r="AV389" s="358">
        <f t="shared" ca="1" si="248"/>
        <v>-1568817.4760742094</v>
      </c>
      <c r="AX389" s="358">
        <f t="shared" ca="1" si="249"/>
        <v>-1696390.396452778</v>
      </c>
      <c r="AZ389" s="358">
        <f t="shared" ca="1" si="250"/>
        <v>-1829405.7505669082</v>
      </c>
      <c r="BB389" s="358">
        <f t="shared" ca="1" si="251"/>
        <v>-1968057.051176941</v>
      </c>
      <c r="BD389" s="358">
        <f t="shared" ca="1" si="252"/>
        <v>-2112544.1136865225</v>
      </c>
      <c r="BF389" s="358">
        <f t="shared" ca="1" si="253"/>
        <v>-2263073.2510531601</v>
      </c>
      <c r="BH389" s="358">
        <f t="shared" ca="1" si="254"/>
        <v>-2419857.4745235378</v>
      </c>
    </row>
    <row r="390" spans="1:60" hidden="1" outlineLevel="1">
      <c r="A390" s="1464">
        <f t="shared" si="264"/>
        <v>18</v>
      </c>
      <c r="B390" s="1464">
        <f t="shared" si="265"/>
        <v>32</v>
      </c>
      <c r="C390" s="1464">
        <f t="shared" si="266"/>
        <v>14</v>
      </c>
      <c r="D390" s="1271" t="str">
        <f ca="1">IF(OFFSET(PortfolioDashboard!$A$3,C390-1,0)="","Blank",OFFSET(PortfolioDashboard!$A$3,C390-1,0))</f>
        <v>On-site Wind</v>
      </c>
      <c r="E390" s="1464" t="str">
        <f t="shared" si="267"/>
        <v>2010$</v>
      </c>
      <c r="F390" s="1460">
        <f t="shared" ca="1" si="268"/>
        <v>-75306.625538627894</v>
      </c>
      <c r="G390" s="358">
        <f t="shared" ca="1" si="269"/>
        <v>0</v>
      </c>
      <c r="H390" s="358">
        <f t="shared" ca="1" si="269"/>
        <v>-6057.5400000000009</v>
      </c>
      <c r="I390" s="358">
        <f t="shared" ca="1" si="269"/>
        <v>-5982.7077000000063</v>
      </c>
      <c r="J390" s="358">
        <f t="shared" ca="1" si="269"/>
        <v>-5907.5012385000064</v>
      </c>
      <c r="K390" s="358">
        <f t="shared" ca="1" si="269"/>
        <v>-5831.9187446925116</v>
      </c>
      <c r="L390" s="358">
        <f t="shared" ca="1" si="269"/>
        <v>-5755.9583384159741</v>
      </c>
      <c r="M390" s="358">
        <f t="shared" ca="1" si="269"/>
        <v>-5679.6181301080578</v>
      </c>
      <c r="N390" s="358">
        <f t="shared" ca="1" si="269"/>
        <v>-5602.896220758601</v>
      </c>
      <c r="O390" s="358">
        <f t="shared" ca="1" si="269"/>
        <v>-5525.7907018623955</v>
      </c>
      <c r="P390" s="358">
        <f t="shared" ca="1" si="269"/>
        <v>-5448.2996553717057</v>
      </c>
      <c r="Q390" s="358">
        <f t="shared" ca="1" si="270"/>
        <v>-5370.4211536485691</v>
      </c>
      <c r="R390" s="358">
        <f t="shared" ca="1" si="270"/>
        <v>-5292.1532594168129</v>
      </c>
      <c r="S390" s="358">
        <f t="shared" ca="1" si="270"/>
        <v>-5213.4940257139042</v>
      </c>
      <c r="T390" s="358">
        <f t="shared" ca="1" si="270"/>
        <v>-5134.4414958424732</v>
      </c>
      <c r="U390" s="358">
        <f t="shared" ca="1" si="270"/>
        <v>-5054.9937033216884</v>
      </c>
      <c r="V390" s="358">
        <f t="shared" ca="1" si="270"/>
        <v>-4975.1486718383003</v>
      </c>
      <c r="W390" s="358">
        <f t="shared" ca="1" si="270"/>
        <v>-4894.9044151974922</v>
      </c>
      <c r="X390" s="358">
        <f t="shared" ca="1" si="270"/>
        <v>-4814.2589372734819</v>
      </c>
      <c r="Y390" s="358">
        <f t="shared" ca="1" si="270"/>
        <v>-4733.2102319598544</v>
      </c>
      <c r="Z390" s="358">
        <f t="shared" ca="1" si="270"/>
        <v>-4651.7562831196556</v>
      </c>
      <c r="AA390" s="358">
        <f t="shared" ca="1" si="271"/>
        <v>-4569.8950645352561</v>
      </c>
      <c r="AB390" s="358">
        <f t="shared" ca="1" si="271"/>
        <v>-4487.6245398579376</v>
      </c>
      <c r="AC390" s="358">
        <f t="shared" ca="1" si="271"/>
        <v>-4404.9426625572269</v>
      </c>
      <c r="AD390" s="358">
        <f t="shared" ca="1" si="271"/>
        <v>-4321.8473758700165</v>
      </c>
      <c r="AE390" s="358">
        <f t="shared" ca="1" si="271"/>
        <v>-4238.3366127493646</v>
      </c>
      <c r="AF390" s="358">
        <f t="shared" ca="1" si="271"/>
        <v>-4154.4082958131185</v>
      </c>
      <c r="AG390" s="358">
        <f t="shared" ca="1" si="271"/>
        <v>-4070.0603372921832</v>
      </c>
      <c r="AH390" s="358">
        <f t="shared" ca="1" si="271"/>
        <v>-3985.2906389786476</v>
      </c>
      <c r="AI390" s="358">
        <f t="shared" ca="1" si="271"/>
        <v>-3900.0970921735461</v>
      </c>
      <c r="AJ390" s="358">
        <f t="shared" ca="1" si="271"/>
        <v>-3814.477577634414</v>
      </c>
      <c r="AK390" s="358">
        <f t="shared" ca="1" si="272"/>
        <v>-3728.4299655225877</v>
      </c>
      <c r="AL390" s="358">
        <f t="shared" ca="1" si="272"/>
        <v>-3641.9521153502064</v>
      </c>
      <c r="AM390" s="358">
        <f t="shared" ca="1" si="272"/>
        <v>-3555.0418759269596</v>
      </c>
      <c r="AN390" s="358">
        <f t="shared" ca="1" si="272"/>
        <v>-3467.6970853065977</v>
      </c>
      <c r="AO390" s="358">
        <f t="shared" ca="1" si="272"/>
        <v>-3379.9155707331338</v>
      </c>
      <c r="AP390" s="358">
        <f t="shared" ca="1" si="272"/>
        <v>-3291.6951485868012</v>
      </c>
      <c r="AQ390" s="358">
        <f t="shared" ca="1" si="272"/>
        <v>-3203.0336243297388</v>
      </c>
      <c r="AR390" s="358">
        <f t="shared" ca="1" si="272"/>
        <v>-3113.9287924513919</v>
      </c>
      <c r="AS390" s="358">
        <f t="shared" ca="1" si="272"/>
        <v>-3024.3784364136518</v>
      </c>
      <c r="AT390" s="358">
        <f t="shared" ca="1" si="272"/>
        <v>-2934.3803285957219</v>
      </c>
      <c r="AV390" s="358">
        <f t="shared" ca="1" si="248"/>
        <v>-28012.563046516734</v>
      </c>
      <c r="AX390" s="358">
        <f t="shared" ca="1" si="249"/>
        <v>-26065.50363794345</v>
      </c>
      <c r="AZ390" s="358">
        <f t="shared" ca="1" si="250"/>
        <v>-24069.278539388783</v>
      </c>
      <c r="BB390" s="358">
        <f t="shared" ca="1" si="251"/>
        <v>-22022.646255569802</v>
      </c>
      <c r="BD390" s="358">
        <f t="shared" ca="1" si="252"/>
        <v>-19924.333941891909</v>
      </c>
      <c r="BF390" s="358">
        <f t="shared" ca="1" si="253"/>
        <v>-17773.036612839485</v>
      </c>
      <c r="BH390" s="358">
        <f t="shared" ca="1" si="254"/>
        <v>-15567.416330377306</v>
      </c>
    </row>
    <row r="391" spans="1:60" hidden="1" outlineLevel="1">
      <c r="A391" s="1464">
        <f t="shared" si="264"/>
        <v>18</v>
      </c>
      <c r="B391" s="1464">
        <f t="shared" si="265"/>
        <v>32</v>
      </c>
      <c r="C391" s="1464">
        <f t="shared" si="266"/>
        <v>15</v>
      </c>
      <c r="D391" s="1271" t="str">
        <f ca="1">IF(OFFSET(PortfolioDashboard!$A$3,C391-1,0)="","Blank",OFFSET(PortfolioDashboard!$A$3,C391-1,0))</f>
        <v>Solar DHW</v>
      </c>
      <c r="E391" s="1464" t="str">
        <f t="shared" si="267"/>
        <v>2010$</v>
      </c>
      <c r="F391" s="1460">
        <f t="shared" ca="1" si="268"/>
        <v>64882.291036694667</v>
      </c>
      <c r="G391" s="358">
        <f t="shared" ca="1" si="269"/>
        <v>0</v>
      </c>
      <c r="H391" s="358">
        <f t="shared" ca="1" si="269"/>
        <v>0</v>
      </c>
      <c r="I391" s="358">
        <f t="shared" ca="1" si="269"/>
        <v>4365.7750911300864</v>
      </c>
      <c r="J391" s="358">
        <f t="shared" ca="1" si="269"/>
        <v>4387.6039665857361</v>
      </c>
      <c r="K391" s="358">
        <f t="shared" ca="1" si="269"/>
        <v>4409.5419864186642</v>
      </c>
      <c r="L391" s="358">
        <f t="shared" ca="1" si="269"/>
        <v>4431.5896963507566</v>
      </c>
      <c r="M391" s="358">
        <f t="shared" ca="1" si="269"/>
        <v>4453.7476448325096</v>
      </c>
      <c r="N391" s="358">
        <f t="shared" ca="1" si="269"/>
        <v>4476.0163830566726</v>
      </c>
      <c r="O391" s="358">
        <f t="shared" ca="1" si="269"/>
        <v>4498.3964649719546</v>
      </c>
      <c r="P391" s="358">
        <f t="shared" ca="1" si="269"/>
        <v>4520.8884472968148</v>
      </c>
      <c r="Q391" s="358">
        <f t="shared" ca="1" si="270"/>
        <v>4543.4928895332978</v>
      </c>
      <c r="R391" s="358">
        <f t="shared" ca="1" si="270"/>
        <v>4566.210353980965</v>
      </c>
      <c r="S391" s="358">
        <f t="shared" ca="1" si="270"/>
        <v>4589.0414057508669</v>
      </c>
      <c r="T391" s="358">
        <f t="shared" ca="1" si="270"/>
        <v>4611.9866127796213</v>
      </c>
      <c r="U391" s="358">
        <f t="shared" ca="1" si="270"/>
        <v>4635.0465458435183</v>
      </c>
      <c r="V391" s="358">
        <f t="shared" ca="1" si="270"/>
        <v>4658.2217785727362</v>
      </c>
      <c r="W391" s="358">
        <f t="shared" ca="1" si="270"/>
        <v>4681.5128874655975</v>
      </c>
      <c r="X391" s="358">
        <f t="shared" ca="1" si="270"/>
        <v>4704.9204519029254</v>
      </c>
      <c r="Y391" s="358">
        <f t="shared" ca="1" si="270"/>
        <v>4728.4450541624392</v>
      </c>
      <c r="Z391" s="358">
        <f t="shared" ca="1" si="270"/>
        <v>4752.0872794332508</v>
      </c>
      <c r="AA391" s="358">
        <f t="shared" ca="1" si="271"/>
        <v>4775.8477158304167</v>
      </c>
      <c r="AB391" s="358">
        <f t="shared" ca="1" si="271"/>
        <v>4799.726954409568</v>
      </c>
      <c r="AC391" s="358">
        <f t="shared" ca="1" si="271"/>
        <v>4823.7255891816149</v>
      </c>
      <c r="AD391" s="358">
        <f t="shared" ca="1" si="271"/>
        <v>4847.8442171275219</v>
      </c>
      <c r="AE391" s="358">
        <f t="shared" ca="1" si="271"/>
        <v>4872.0834382131607</v>
      </c>
      <c r="AF391" s="358">
        <f t="shared" ca="1" si="271"/>
        <v>4896.4438554042254</v>
      </c>
      <c r="AG391" s="358">
        <f t="shared" ca="1" si="271"/>
        <v>4920.9260746812452</v>
      </c>
      <c r="AH391" s="358">
        <f t="shared" ca="1" si="271"/>
        <v>4945.5307050546508</v>
      </c>
      <c r="AI391" s="358">
        <f t="shared" ca="1" si="271"/>
        <v>4970.2583585799221</v>
      </c>
      <c r="AJ391" s="358">
        <f t="shared" ca="1" si="271"/>
        <v>4995.1096503728222</v>
      </c>
      <c r="AK391" s="358">
        <f t="shared" ca="1" si="272"/>
        <v>5020.0851986246853</v>
      </c>
      <c r="AL391" s="358">
        <f t="shared" ca="1" si="272"/>
        <v>5045.1856246178077</v>
      </c>
      <c r="AM391" s="358">
        <f t="shared" ca="1" si="272"/>
        <v>5070.4115527408958</v>
      </c>
      <c r="AN391" s="358">
        <f t="shared" ca="1" si="272"/>
        <v>5095.7636105045995</v>
      </c>
      <c r="AO391" s="358">
        <f t="shared" ca="1" si="272"/>
        <v>5121.2424285571224</v>
      </c>
      <c r="AP391" s="358">
        <f t="shared" ca="1" si="272"/>
        <v>5146.8486406999073</v>
      </c>
      <c r="AQ391" s="358">
        <f t="shared" ca="1" si="272"/>
        <v>5172.5828839034039</v>
      </c>
      <c r="AR391" s="358">
        <f t="shared" ca="1" si="272"/>
        <v>5198.4457983229195</v>
      </c>
      <c r="AS391" s="358">
        <f t="shared" ca="1" si="272"/>
        <v>5224.4380273145352</v>
      </c>
      <c r="AT391" s="358">
        <f t="shared" ca="1" si="272"/>
        <v>5250.5602174511068</v>
      </c>
      <c r="AV391" s="358">
        <f t="shared" ca="1" si="248"/>
        <v>22380.638636508709</v>
      </c>
      <c r="AX391" s="358">
        <f t="shared" ca="1" si="249"/>
        <v>22945.777807888266</v>
      </c>
      <c r="AZ391" s="358">
        <f t="shared" ca="1" si="250"/>
        <v>23525.187451536949</v>
      </c>
      <c r="BB391" s="358">
        <f t="shared" ca="1" si="251"/>
        <v>24119.227914762283</v>
      </c>
      <c r="BD391" s="358">
        <f t="shared" ca="1" si="252"/>
        <v>24728.268644092866</v>
      </c>
      <c r="BF391" s="358">
        <f t="shared" ca="1" si="253"/>
        <v>25352.688415045108</v>
      </c>
      <c r="BH391" s="358">
        <f t="shared" ca="1" si="254"/>
        <v>25992.875567691874</v>
      </c>
    </row>
    <row r="392" spans="1:60" hidden="1" outlineLevel="1">
      <c r="A392" s="1464">
        <f t="shared" si="264"/>
        <v>18</v>
      </c>
      <c r="B392" s="1464">
        <f t="shared" si="265"/>
        <v>32</v>
      </c>
      <c r="C392" s="1464">
        <f t="shared" si="266"/>
        <v>16</v>
      </c>
      <c r="D392" s="1271" t="str">
        <f ca="1">IF(OFFSET(PortfolioDashboard!$A$3,C392-1,0)="","Blank",OFFSET(PortfolioDashboard!$A$3,C392-1,0))</f>
        <v>Geo Exchange</v>
      </c>
      <c r="E392" s="1464" t="str">
        <f t="shared" si="267"/>
        <v>2010$</v>
      </c>
      <c r="F392" s="1460">
        <f t="shared" ca="1" si="268"/>
        <v>1699676.2294573579</v>
      </c>
      <c r="G392" s="358">
        <f t="shared" ca="1" si="269"/>
        <v>0</v>
      </c>
      <c r="H392" s="358">
        <f t="shared" ca="1" si="269"/>
        <v>0</v>
      </c>
      <c r="I392" s="358">
        <f t="shared" ca="1" si="269"/>
        <v>0</v>
      </c>
      <c r="J392" s="358">
        <f t="shared" ca="1" si="269"/>
        <v>64582.351449977352</v>
      </c>
      <c r="K392" s="358">
        <f t="shared" ca="1" si="269"/>
        <v>64905.263207227239</v>
      </c>
      <c r="L392" s="358">
        <f t="shared" ca="1" si="269"/>
        <v>130459.57904652669</v>
      </c>
      <c r="M392" s="358">
        <f t="shared" ca="1" si="269"/>
        <v>131111.87694175931</v>
      </c>
      <c r="N392" s="358">
        <f t="shared" ca="1" si="269"/>
        <v>131767.43632646813</v>
      </c>
      <c r="O392" s="358">
        <f t="shared" ca="1" si="269"/>
        <v>132426.27350810042</v>
      </c>
      <c r="P392" s="358">
        <f t="shared" ca="1" si="269"/>
        <v>133088.40487564093</v>
      </c>
      <c r="Q392" s="358">
        <f t="shared" ca="1" si="270"/>
        <v>133753.84690001915</v>
      </c>
      <c r="R392" s="358">
        <f t="shared" ca="1" si="270"/>
        <v>134422.61613451922</v>
      </c>
      <c r="S392" s="358">
        <f t="shared" ca="1" si="270"/>
        <v>135094.72921519179</v>
      </c>
      <c r="T392" s="358">
        <f t="shared" ca="1" si="270"/>
        <v>135770.20286126772</v>
      </c>
      <c r="U392" s="358">
        <f t="shared" ca="1" si="270"/>
        <v>136449.05387557403</v>
      </c>
      <c r="V392" s="358">
        <f t="shared" ca="1" si="270"/>
        <v>137131.29914495192</v>
      </c>
      <c r="W392" s="358">
        <f t="shared" ca="1" si="270"/>
        <v>137816.95564067661</v>
      </c>
      <c r="X392" s="358">
        <f t="shared" ca="1" si="270"/>
        <v>138506.04041887994</v>
      </c>
      <c r="Y392" s="358">
        <f t="shared" ca="1" si="270"/>
        <v>139198.57062097435</v>
      </c>
      <c r="Z392" s="358">
        <f t="shared" ca="1" si="270"/>
        <v>139894.56347407924</v>
      </c>
      <c r="AA392" s="358">
        <f t="shared" ca="1" si="271"/>
        <v>140594.03629144956</v>
      </c>
      <c r="AB392" s="358">
        <f t="shared" ca="1" si="271"/>
        <v>141297.0064729068</v>
      </c>
      <c r="AC392" s="358">
        <f t="shared" ca="1" si="271"/>
        <v>142003.49150527129</v>
      </c>
      <c r="AD392" s="358">
        <f t="shared" ca="1" si="271"/>
        <v>142713.50896279767</v>
      </c>
      <c r="AE392" s="358">
        <f t="shared" ca="1" si="271"/>
        <v>143427.07650761167</v>
      </c>
      <c r="AF392" s="358">
        <f t="shared" ca="1" si="271"/>
        <v>144144.21189014969</v>
      </c>
      <c r="AG392" s="358">
        <f t="shared" ca="1" si="271"/>
        <v>144864.93294960039</v>
      </c>
      <c r="AH392" s="358">
        <f t="shared" ca="1" si="271"/>
        <v>145589.2576143484</v>
      </c>
      <c r="AI392" s="358">
        <f t="shared" ca="1" si="271"/>
        <v>146317.20390242006</v>
      </c>
      <c r="AJ392" s="358">
        <f t="shared" ca="1" si="271"/>
        <v>147048.78992193216</v>
      </c>
      <c r="AK392" s="358">
        <f t="shared" ca="1" si="272"/>
        <v>147784.03387154179</v>
      </c>
      <c r="AL392" s="358">
        <f t="shared" ca="1" si="272"/>
        <v>148522.95404089947</v>
      </c>
      <c r="AM392" s="358">
        <f t="shared" ca="1" si="272"/>
        <v>149265.56881110393</v>
      </c>
      <c r="AN392" s="358">
        <f t="shared" ca="1" si="272"/>
        <v>150011.89665515948</v>
      </c>
      <c r="AO392" s="358">
        <f t="shared" ca="1" si="272"/>
        <v>150761.95613843526</v>
      </c>
      <c r="AP392" s="358">
        <f t="shared" ca="1" si="272"/>
        <v>151515.76591912739</v>
      </c>
      <c r="AQ392" s="358">
        <f t="shared" ca="1" si="272"/>
        <v>152273.34474872297</v>
      </c>
      <c r="AR392" s="358">
        <f t="shared" ca="1" si="272"/>
        <v>153034.71147246653</v>
      </c>
      <c r="AS392" s="358">
        <f t="shared" ca="1" si="272"/>
        <v>153799.8850298289</v>
      </c>
      <c r="AT392" s="358">
        <f t="shared" ca="1" si="272"/>
        <v>154568.88445497799</v>
      </c>
      <c r="AV392" s="358">
        <f t="shared" ca="1" si="248"/>
        <v>658853.57069849549</v>
      </c>
      <c r="AX392" s="358">
        <f t="shared" ca="1" si="249"/>
        <v>675490.44898657186</v>
      </c>
      <c r="AZ392" s="358">
        <f t="shared" ca="1" si="250"/>
        <v>692547.42929956212</v>
      </c>
      <c r="BB392" s="358">
        <f t="shared" ca="1" si="251"/>
        <v>710035.11974003701</v>
      </c>
      <c r="BD392" s="358">
        <f t="shared" ca="1" si="252"/>
        <v>727964.39627845073</v>
      </c>
      <c r="BF392" s="358">
        <f t="shared" ca="1" si="253"/>
        <v>746346.40951713989</v>
      </c>
      <c r="BH392" s="358">
        <f t="shared" ca="1" si="254"/>
        <v>765192.59162512375</v>
      </c>
    </row>
    <row r="393" spans="1:60" hidden="1" outlineLevel="1">
      <c r="A393" s="1464">
        <f t="shared" si="264"/>
        <v>18</v>
      </c>
      <c r="B393" s="1464">
        <f t="shared" si="265"/>
        <v>32</v>
      </c>
      <c r="C393" s="1464">
        <f t="shared" si="266"/>
        <v>17</v>
      </c>
      <c r="D393" s="1271" t="str">
        <f ca="1">IF(OFFSET(PortfolioDashboard!$A$3,C393-1,0)="","Blank",OFFSET(PortfolioDashboard!$A$3,C393-1,0))</f>
        <v>Rooftop Solar PV</v>
      </c>
      <c r="E393" s="1464" t="str">
        <f t="shared" si="267"/>
        <v>2010$</v>
      </c>
      <c r="F393" s="1460">
        <f t="shared" ca="1" si="268"/>
        <v>747925.0966664661</v>
      </c>
      <c r="G393" s="358">
        <f t="shared" ca="1" si="269"/>
        <v>0</v>
      </c>
      <c r="H393" s="358">
        <f t="shared" ca="1" si="269"/>
        <v>0</v>
      </c>
      <c r="I393" s="358">
        <f t="shared" ca="1" si="269"/>
        <v>0</v>
      </c>
      <c r="J393" s="358">
        <f t="shared" ca="1" si="269"/>
        <v>0</v>
      </c>
      <c r="K393" s="358">
        <f t="shared" ca="1" si="269"/>
        <v>0</v>
      </c>
      <c r="L393" s="358">
        <f t="shared" ca="1" si="269"/>
        <v>61044.988312129492</v>
      </c>
      <c r="M393" s="358">
        <f t="shared" ca="1" si="269"/>
        <v>61350.213253690126</v>
      </c>
      <c r="N393" s="358">
        <f t="shared" ca="1" si="269"/>
        <v>61656.96431995857</v>
      </c>
      <c r="O393" s="358">
        <f t="shared" ca="1" si="269"/>
        <v>61965.249141558357</v>
      </c>
      <c r="P393" s="358">
        <f t="shared" ca="1" si="269"/>
        <v>62275.075387266144</v>
      </c>
      <c r="Q393" s="358">
        <f t="shared" ca="1" si="270"/>
        <v>62586.450764202462</v>
      </c>
      <c r="R393" s="358">
        <f t="shared" ca="1" si="270"/>
        <v>62899.383018023473</v>
      </c>
      <c r="S393" s="358">
        <f t="shared" ca="1" si="270"/>
        <v>63213.87993311356</v>
      </c>
      <c r="T393" s="358">
        <f t="shared" ca="1" si="270"/>
        <v>63529.949332779128</v>
      </c>
      <c r="U393" s="358">
        <f t="shared" ca="1" si="270"/>
        <v>63847.599079443018</v>
      </c>
      <c r="V393" s="358">
        <f t="shared" ca="1" si="270"/>
        <v>64166.837074840216</v>
      </c>
      <c r="W393" s="358">
        <f t="shared" ca="1" si="270"/>
        <v>64487.671260214411</v>
      </c>
      <c r="X393" s="358">
        <f t="shared" ca="1" si="270"/>
        <v>64810.109616515474</v>
      </c>
      <c r="Y393" s="358">
        <f t="shared" ca="1" si="270"/>
        <v>65134.160164598034</v>
      </c>
      <c r="Z393" s="358">
        <f t="shared" ca="1" si="270"/>
        <v>65459.830965421017</v>
      </c>
      <c r="AA393" s="358">
        <f t="shared" ca="1" si="271"/>
        <v>65787.130120248112</v>
      </c>
      <c r="AB393" s="358">
        <f t="shared" ca="1" si="271"/>
        <v>66116.065770849338</v>
      </c>
      <c r="AC393" s="358">
        <f t="shared" ca="1" si="271"/>
        <v>66446.646099703576</v>
      </c>
      <c r="AD393" s="358">
        <f t="shared" ca="1" si="271"/>
        <v>66778.879330202079</v>
      </c>
      <c r="AE393" s="358">
        <f t="shared" ca="1" si="271"/>
        <v>67112.773726853091</v>
      </c>
      <c r="AF393" s="358">
        <f t="shared" ca="1" si="271"/>
        <v>67448.337595487348</v>
      </c>
      <c r="AG393" s="358">
        <f t="shared" ca="1" si="271"/>
        <v>67785.579283464773</v>
      </c>
      <c r="AH393" s="358">
        <f t="shared" ca="1" si="271"/>
        <v>68124.507179882086</v>
      </c>
      <c r="AI393" s="358">
        <f t="shared" ca="1" si="271"/>
        <v>68465.129715781484</v>
      </c>
      <c r="AJ393" s="358">
        <f t="shared" ca="1" si="271"/>
        <v>68807.455364360387</v>
      </c>
      <c r="AK393" s="358">
        <f t="shared" ca="1" si="272"/>
        <v>69151.49264118218</v>
      </c>
      <c r="AL393" s="358">
        <f t="shared" ca="1" si="272"/>
        <v>69497.250104388062</v>
      </c>
      <c r="AM393" s="358">
        <f t="shared" ca="1" si="272"/>
        <v>69844.736354909997</v>
      </c>
      <c r="AN393" s="358">
        <f t="shared" ca="1" si="272"/>
        <v>70193.960036684541</v>
      </c>
      <c r="AO393" s="358">
        <f t="shared" ca="1" si="272"/>
        <v>70544.929836867959</v>
      </c>
      <c r="AP393" s="358">
        <f t="shared" ca="1" si="272"/>
        <v>70897.654486052284</v>
      </c>
      <c r="AQ393" s="358">
        <f t="shared" ca="1" si="272"/>
        <v>71252.142758482529</v>
      </c>
      <c r="AR393" s="358">
        <f t="shared" ca="1" si="272"/>
        <v>71608.40347227492</v>
      </c>
      <c r="AS393" s="358">
        <f t="shared" ca="1" si="272"/>
        <v>71966.445489636288</v>
      </c>
      <c r="AT393" s="358">
        <f t="shared" ca="1" si="272"/>
        <v>72326.277717084464</v>
      </c>
      <c r="AV393" s="358">
        <f t="shared" ca="1" si="248"/>
        <v>308292.49041460268</v>
      </c>
      <c r="AX393" s="358">
        <f t="shared" ca="1" si="249"/>
        <v>316077.26212756161</v>
      </c>
      <c r="AZ393" s="358">
        <f t="shared" ca="1" si="250"/>
        <v>324058.60908158915</v>
      </c>
      <c r="BB393" s="358">
        <f t="shared" ca="1" si="251"/>
        <v>332241.49504785618</v>
      </c>
      <c r="BD393" s="358">
        <f t="shared" ca="1" si="252"/>
        <v>340631.00913897611</v>
      </c>
      <c r="BF393" s="358">
        <f t="shared" ca="1" si="253"/>
        <v>349232.36897403275</v>
      </c>
      <c r="BH393" s="358">
        <f t="shared" ca="1" si="254"/>
        <v>358050.9239235305</v>
      </c>
    </row>
    <row r="394" spans="1:60" hidden="1" outlineLevel="1">
      <c r="A394" s="1464">
        <f t="shared" si="264"/>
        <v>18</v>
      </c>
      <c r="B394" s="1464">
        <f t="shared" si="265"/>
        <v>32</v>
      </c>
      <c r="C394" s="1464">
        <f t="shared" si="266"/>
        <v>18</v>
      </c>
      <c r="D394" s="1271" t="str">
        <f ca="1">IF(OFFSET(PortfolioDashboard!$A$3,C394-1,0)="","Blank",OFFSET(PortfolioDashboard!$A$3,C394-1,0))</f>
        <v>Blank</v>
      </c>
      <c r="E394" s="1464" t="str">
        <f t="shared" si="267"/>
        <v>2010$</v>
      </c>
      <c r="F394" s="1460">
        <f t="shared" ca="1" si="268"/>
        <v>0</v>
      </c>
      <c r="G394" s="358">
        <f t="shared" ca="1" si="269"/>
        <v>0</v>
      </c>
      <c r="H394" s="358">
        <f t="shared" ca="1" si="269"/>
        <v>0</v>
      </c>
      <c r="I394" s="358">
        <f t="shared" ca="1" si="269"/>
        <v>0</v>
      </c>
      <c r="J394" s="358">
        <f t="shared" ca="1" si="269"/>
        <v>0</v>
      </c>
      <c r="K394" s="358">
        <f t="shared" ca="1" si="269"/>
        <v>0</v>
      </c>
      <c r="L394" s="358">
        <f t="shared" ca="1" si="269"/>
        <v>0</v>
      </c>
      <c r="M394" s="358">
        <f t="shared" ca="1" si="269"/>
        <v>0</v>
      </c>
      <c r="N394" s="358">
        <f t="shared" ca="1" si="269"/>
        <v>0</v>
      </c>
      <c r="O394" s="358">
        <f t="shared" ca="1" si="269"/>
        <v>0</v>
      </c>
      <c r="P394" s="358">
        <f t="shared" ca="1" si="269"/>
        <v>0</v>
      </c>
      <c r="Q394" s="358">
        <f t="shared" ca="1" si="270"/>
        <v>0</v>
      </c>
      <c r="R394" s="358">
        <f t="shared" ca="1" si="270"/>
        <v>0</v>
      </c>
      <c r="S394" s="358">
        <f t="shared" ca="1" si="270"/>
        <v>0</v>
      </c>
      <c r="T394" s="358">
        <f t="shared" ca="1" si="270"/>
        <v>0</v>
      </c>
      <c r="U394" s="358">
        <f t="shared" ca="1" si="270"/>
        <v>0</v>
      </c>
      <c r="V394" s="358">
        <f t="shared" ca="1" si="270"/>
        <v>0</v>
      </c>
      <c r="W394" s="358">
        <f t="shared" ca="1" si="270"/>
        <v>0</v>
      </c>
      <c r="X394" s="358">
        <f t="shared" ca="1" si="270"/>
        <v>0</v>
      </c>
      <c r="Y394" s="358">
        <f t="shared" ca="1" si="270"/>
        <v>0</v>
      </c>
      <c r="Z394" s="358">
        <f t="shared" ca="1" si="270"/>
        <v>0</v>
      </c>
      <c r="AA394" s="358">
        <f t="shared" ca="1" si="271"/>
        <v>0</v>
      </c>
      <c r="AB394" s="358">
        <f t="shared" ca="1" si="271"/>
        <v>0</v>
      </c>
      <c r="AC394" s="358">
        <f t="shared" ca="1" si="271"/>
        <v>0</v>
      </c>
      <c r="AD394" s="358">
        <f t="shared" ca="1" si="271"/>
        <v>0</v>
      </c>
      <c r="AE394" s="358">
        <f t="shared" ca="1" si="271"/>
        <v>0</v>
      </c>
      <c r="AF394" s="358">
        <f t="shared" ca="1" si="271"/>
        <v>0</v>
      </c>
      <c r="AG394" s="358">
        <f t="shared" ca="1" si="271"/>
        <v>0</v>
      </c>
      <c r="AH394" s="358">
        <f t="shared" ca="1" si="271"/>
        <v>0</v>
      </c>
      <c r="AI394" s="358">
        <f t="shared" ca="1" si="271"/>
        <v>0</v>
      </c>
      <c r="AJ394" s="358">
        <f t="shared" ca="1" si="271"/>
        <v>0</v>
      </c>
      <c r="AK394" s="358">
        <f t="shared" ca="1" si="272"/>
        <v>0</v>
      </c>
      <c r="AL394" s="358">
        <f t="shared" ca="1" si="272"/>
        <v>0</v>
      </c>
      <c r="AM394" s="358">
        <f t="shared" ca="1" si="272"/>
        <v>0</v>
      </c>
      <c r="AN394" s="358">
        <f t="shared" ca="1" si="272"/>
        <v>0</v>
      </c>
      <c r="AO394" s="358">
        <f t="shared" ca="1" si="272"/>
        <v>0</v>
      </c>
      <c r="AP394" s="358">
        <f t="shared" ca="1" si="272"/>
        <v>0</v>
      </c>
      <c r="AQ394" s="358">
        <f t="shared" ca="1" si="272"/>
        <v>0</v>
      </c>
      <c r="AR394" s="358">
        <f t="shared" ca="1" si="272"/>
        <v>0</v>
      </c>
      <c r="AS394" s="358">
        <f t="shared" ca="1" si="272"/>
        <v>0</v>
      </c>
      <c r="AT394" s="358">
        <f t="shared" ca="1" si="272"/>
        <v>0</v>
      </c>
      <c r="AV394" s="358">
        <f t="shared" ca="1" si="248"/>
        <v>0</v>
      </c>
      <c r="AX394" s="358">
        <f t="shared" ca="1" si="249"/>
        <v>0</v>
      </c>
      <c r="AZ394" s="358">
        <f t="shared" ca="1" si="250"/>
        <v>0</v>
      </c>
      <c r="BB394" s="358">
        <f t="shared" ca="1" si="251"/>
        <v>0</v>
      </c>
      <c r="BD394" s="358">
        <f t="shared" ca="1" si="252"/>
        <v>0</v>
      </c>
      <c r="BF394" s="358">
        <f t="shared" ca="1" si="253"/>
        <v>0</v>
      </c>
      <c r="BH394" s="358">
        <f t="shared" ca="1" si="254"/>
        <v>0</v>
      </c>
    </row>
    <row r="395" spans="1:60" hidden="1" outlineLevel="1">
      <c r="A395" s="1464">
        <f t="shared" si="264"/>
        <v>18</v>
      </c>
      <c r="B395" s="1464">
        <f t="shared" si="265"/>
        <v>32</v>
      </c>
      <c r="C395" s="1464">
        <f t="shared" si="266"/>
        <v>19</v>
      </c>
      <c r="D395" s="1271" t="str">
        <f ca="1">IF(OFFSET(PortfolioDashboard!$A$3,C395-1,0)="","Blank",OFFSET(PortfolioDashboard!$A$3,C395-1,0))</f>
        <v>Blank</v>
      </c>
      <c r="E395" s="1464" t="str">
        <f t="shared" si="267"/>
        <v>2010$</v>
      </c>
      <c r="F395" s="1460">
        <f t="shared" ca="1" si="268"/>
        <v>0</v>
      </c>
      <c r="G395" s="358">
        <f t="shared" ca="1" si="269"/>
        <v>0</v>
      </c>
      <c r="H395" s="358">
        <f t="shared" ca="1" si="269"/>
        <v>0</v>
      </c>
      <c r="I395" s="358">
        <f t="shared" ca="1" si="269"/>
        <v>0</v>
      </c>
      <c r="J395" s="358">
        <f t="shared" ca="1" si="269"/>
        <v>0</v>
      </c>
      <c r="K395" s="358">
        <f t="shared" ca="1" si="269"/>
        <v>0</v>
      </c>
      <c r="L395" s="358">
        <f t="shared" ca="1" si="269"/>
        <v>0</v>
      </c>
      <c r="M395" s="358">
        <f t="shared" ca="1" si="269"/>
        <v>0</v>
      </c>
      <c r="N395" s="358">
        <f t="shared" ca="1" si="269"/>
        <v>0</v>
      </c>
      <c r="O395" s="358">
        <f t="shared" ca="1" si="269"/>
        <v>0</v>
      </c>
      <c r="P395" s="358">
        <f t="shared" ca="1" si="269"/>
        <v>0</v>
      </c>
      <c r="Q395" s="358">
        <f t="shared" ca="1" si="270"/>
        <v>0</v>
      </c>
      <c r="R395" s="358">
        <f t="shared" ca="1" si="270"/>
        <v>0</v>
      </c>
      <c r="S395" s="358">
        <f t="shared" ca="1" si="270"/>
        <v>0</v>
      </c>
      <c r="T395" s="358">
        <f t="shared" ca="1" si="270"/>
        <v>0</v>
      </c>
      <c r="U395" s="358">
        <f t="shared" ca="1" si="270"/>
        <v>0</v>
      </c>
      <c r="V395" s="358">
        <f t="shared" ca="1" si="270"/>
        <v>0</v>
      </c>
      <c r="W395" s="358">
        <f t="shared" ca="1" si="270"/>
        <v>0</v>
      </c>
      <c r="X395" s="358">
        <f t="shared" ca="1" si="270"/>
        <v>0</v>
      </c>
      <c r="Y395" s="358">
        <f t="shared" ca="1" si="270"/>
        <v>0</v>
      </c>
      <c r="Z395" s="358">
        <f t="shared" ca="1" si="270"/>
        <v>0</v>
      </c>
      <c r="AA395" s="358">
        <f t="shared" ca="1" si="271"/>
        <v>0</v>
      </c>
      <c r="AB395" s="358">
        <f t="shared" ca="1" si="271"/>
        <v>0</v>
      </c>
      <c r="AC395" s="358">
        <f t="shared" ca="1" si="271"/>
        <v>0</v>
      </c>
      <c r="AD395" s="358">
        <f t="shared" ca="1" si="271"/>
        <v>0</v>
      </c>
      <c r="AE395" s="358">
        <f t="shared" ca="1" si="271"/>
        <v>0</v>
      </c>
      <c r="AF395" s="358">
        <f t="shared" ca="1" si="271"/>
        <v>0</v>
      </c>
      <c r="AG395" s="358">
        <f t="shared" ca="1" si="271"/>
        <v>0</v>
      </c>
      <c r="AH395" s="358">
        <f t="shared" ca="1" si="271"/>
        <v>0</v>
      </c>
      <c r="AI395" s="358">
        <f t="shared" ca="1" si="271"/>
        <v>0</v>
      </c>
      <c r="AJ395" s="358">
        <f t="shared" ca="1" si="271"/>
        <v>0</v>
      </c>
      <c r="AK395" s="358">
        <f t="shared" ca="1" si="272"/>
        <v>0</v>
      </c>
      <c r="AL395" s="358">
        <f t="shared" ca="1" si="272"/>
        <v>0</v>
      </c>
      <c r="AM395" s="358">
        <f t="shared" ca="1" si="272"/>
        <v>0</v>
      </c>
      <c r="AN395" s="358">
        <f t="shared" ca="1" si="272"/>
        <v>0</v>
      </c>
      <c r="AO395" s="358">
        <f t="shared" ca="1" si="272"/>
        <v>0</v>
      </c>
      <c r="AP395" s="358">
        <f t="shared" ca="1" si="272"/>
        <v>0</v>
      </c>
      <c r="AQ395" s="358">
        <f t="shared" ca="1" si="272"/>
        <v>0</v>
      </c>
      <c r="AR395" s="358">
        <f t="shared" ca="1" si="272"/>
        <v>0</v>
      </c>
      <c r="AS395" s="358">
        <f t="shared" ca="1" si="272"/>
        <v>0</v>
      </c>
      <c r="AT395" s="358">
        <f t="shared" ca="1" si="272"/>
        <v>0</v>
      </c>
      <c r="AV395" s="358">
        <f t="shared" ca="1" si="248"/>
        <v>0</v>
      </c>
      <c r="AX395" s="358">
        <f t="shared" ca="1" si="249"/>
        <v>0</v>
      </c>
      <c r="AZ395" s="358">
        <f t="shared" ca="1" si="250"/>
        <v>0</v>
      </c>
      <c r="BB395" s="358">
        <f t="shared" ca="1" si="251"/>
        <v>0</v>
      </c>
      <c r="BD395" s="358">
        <f t="shared" ca="1" si="252"/>
        <v>0</v>
      </c>
      <c r="BF395" s="358">
        <f t="shared" ca="1" si="253"/>
        <v>0</v>
      </c>
      <c r="BH395" s="358">
        <f t="shared" ca="1" si="254"/>
        <v>0</v>
      </c>
    </row>
    <row r="396" spans="1:60" hidden="1" outlineLevel="1">
      <c r="A396" s="1464">
        <f t="shared" si="264"/>
        <v>18</v>
      </c>
      <c r="B396" s="1464">
        <f t="shared" si="265"/>
        <v>32</v>
      </c>
      <c r="C396" s="1464">
        <f t="shared" si="266"/>
        <v>20</v>
      </c>
      <c r="D396" s="1271" t="str">
        <f ca="1">IF(OFFSET(PortfolioDashboard!$A$3,C396-1,0)="","Blank",OFFSET(PortfolioDashboard!$A$3,C396-1,0))</f>
        <v>Blank</v>
      </c>
      <c r="E396" s="1464" t="str">
        <f t="shared" si="267"/>
        <v>2010$</v>
      </c>
      <c r="F396" s="1460">
        <f t="shared" ca="1" si="268"/>
        <v>0</v>
      </c>
      <c r="G396" s="358">
        <f t="shared" ca="1" si="269"/>
        <v>0</v>
      </c>
      <c r="H396" s="358">
        <f t="shared" ca="1" si="269"/>
        <v>0</v>
      </c>
      <c r="I396" s="358">
        <f t="shared" ca="1" si="269"/>
        <v>0</v>
      </c>
      <c r="J396" s="358">
        <f t="shared" ca="1" si="269"/>
        <v>0</v>
      </c>
      <c r="K396" s="358">
        <f t="shared" ca="1" si="269"/>
        <v>0</v>
      </c>
      <c r="L396" s="358">
        <f t="shared" ca="1" si="269"/>
        <v>0</v>
      </c>
      <c r="M396" s="358">
        <f t="shared" ca="1" si="269"/>
        <v>0</v>
      </c>
      <c r="N396" s="358">
        <f t="shared" ca="1" si="269"/>
        <v>0</v>
      </c>
      <c r="O396" s="358">
        <f t="shared" ca="1" si="269"/>
        <v>0</v>
      </c>
      <c r="P396" s="358">
        <f t="shared" ca="1" si="269"/>
        <v>0</v>
      </c>
      <c r="Q396" s="358">
        <f t="shared" ca="1" si="270"/>
        <v>0</v>
      </c>
      <c r="R396" s="358">
        <f t="shared" ca="1" si="270"/>
        <v>0</v>
      </c>
      <c r="S396" s="358">
        <f t="shared" ca="1" si="270"/>
        <v>0</v>
      </c>
      <c r="T396" s="358">
        <f t="shared" ca="1" si="270"/>
        <v>0</v>
      </c>
      <c r="U396" s="358">
        <f t="shared" ca="1" si="270"/>
        <v>0</v>
      </c>
      <c r="V396" s="358">
        <f t="shared" ca="1" si="270"/>
        <v>0</v>
      </c>
      <c r="W396" s="358">
        <f t="shared" ca="1" si="270"/>
        <v>0</v>
      </c>
      <c r="X396" s="358">
        <f t="shared" ca="1" si="270"/>
        <v>0</v>
      </c>
      <c r="Y396" s="358">
        <f t="shared" ca="1" si="270"/>
        <v>0</v>
      </c>
      <c r="Z396" s="358">
        <f t="shared" ca="1" si="270"/>
        <v>0</v>
      </c>
      <c r="AA396" s="358">
        <f t="shared" ca="1" si="271"/>
        <v>0</v>
      </c>
      <c r="AB396" s="358">
        <f t="shared" ca="1" si="271"/>
        <v>0</v>
      </c>
      <c r="AC396" s="358">
        <f t="shared" ca="1" si="271"/>
        <v>0</v>
      </c>
      <c r="AD396" s="358">
        <f t="shared" ca="1" si="271"/>
        <v>0</v>
      </c>
      <c r="AE396" s="358">
        <f t="shared" ca="1" si="271"/>
        <v>0</v>
      </c>
      <c r="AF396" s="358">
        <f t="shared" ca="1" si="271"/>
        <v>0</v>
      </c>
      <c r="AG396" s="358">
        <f t="shared" ca="1" si="271"/>
        <v>0</v>
      </c>
      <c r="AH396" s="358">
        <f t="shared" ca="1" si="271"/>
        <v>0</v>
      </c>
      <c r="AI396" s="358">
        <f t="shared" ca="1" si="271"/>
        <v>0</v>
      </c>
      <c r="AJ396" s="358">
        <f t="shared" ca="1" si="271"/>
        <v>0</v>
      </c>
      <c r="AK396" s="358">
        <f t="shared" ca="1" si="272"/>
        <v>0</v>
      </c>
      <c r="AL396" s="358">
        <f t="shared" ca="1" si="272"/>
        <v>0</v>
      </c>
      <c r="AM396" s="358">
        <f t="shared" ca="1" si="272"/>
        <v>0</v>
      </c>
      <c r="AN396" s="358">
        <f t="shared" ca="1" si="272"/>
        <v>0</v>
      </c>
      <c r="AO396" s="358">
        <f t="shared" ca="1" si="272"/>
        <v>0</v>
      </c>
      <c r="AP396" s="358">
        <f t="shared" ca="1" si="272"/>
        <v>0</v>
      </c>
      <c r="AQ396" s="358">
        <f t="shared" ca="1" si="272"/>
        <v>0</v>
      </c>
      <c r="AR396" s="358">
        <f t="shared" ca="1" si="272"/>
        <v>0</v>
      </c>
      <c r="AS396" s="358">
        <f t="shared" ca="1" si="272"/>
        <v>0</v>
      </c>
      <c r="AT396" s="358">
        <f t="shared" ca="1" si="272"/>
        <v>0</v>
      </c>
      <c r="AV396" s="358">
        <f t="shared" ca="1" si="248"/>
        <v>0</v>
      </c>
      <c r="AX396" s="358">
        <f t="shared" ca="1" si="249"/>
        <v>0</v>
      </c>
      <c r="AZ396" s="358">
        <f t="shared" ca="1" si="250"/>
        <v>0</v>
      </c>
      <c r="BB396" s="358">
        <f t="shared" ca="1" si="251"/>
        <v>0</v>
      </c>
      <c r="BD396" s="358">
        <f t="shared" ca="1" si="252"/>
        <v>0</v>
      </c>
      <c r="BF396" s="358">
        <f t="shared" ca="1" si="253"/>
        <v>0</v>
      </c>
      <c r="BH396" s="358">
        <f t="shared" ca="1" si="254"/>
        <v>0</v>
      </c>
    </row>
    <row r="397" spans="1:60" hidden="1" outlineLevel="1">
      <c r="A397" s="1464">
        <f t="shared" si="264"/>
        <v>18</v>
      </c>
      <c r="B397" s="1464">
        <f t="shared" si="265"/>
        <v>32</v>
      </c>
      <c r="C397" s="1464">
        <f t="shared" si="266"/>
        <v>21</v>
      </c>
      <c r="D397" s="1271" t="str">
        <f ca="1">IF(OFFSET(PortfolioDashboard!$A$3,C397-1,0)="","Blank",OFFSET(PortfolioDashboard!$A$3,C397-1,0))</f>
        <v>Blank</v>
      </c>
      <c r="E397" s="1464" t="str">
        <f t="shared" si="267"/>
        <v>2010$</v>
      </c>
      <c r="F397" s="1460">
        <f t="shared" ca="1" si="268"/>
        <v>0</v>
      </c>
      <c r="G397" s="358">
        <f t="shared" ref="G397:P406" ca="1" si="273">IFERROR(OFFSET(INDIRECT(INDEX(List_of_Alternatives,MATCH($D397,NameofAlternatives,0))),$A397+G$1-$G$1,$B397),0)</f>
        <v>0</v>
      </c>
      <c r="H397" s="358">
        <f t="shared" ca="1" si="273"/>
        <v>0</v>
      </c>
      <c r="I397" s="358">
        <f t="shared" ca="1" si="273"/>
        <v>0</v>
      </c>
      <c r="J397" s="358">
        <f t="shared" ca="1" si="273"/>
        <v>0</v>
      </c>
      <c r="K397" s="358">
        <f t="shared" ca="1" si="273"/>
        <v>0</v>
      </c>
      <c r="L397" s="358">
        <f t="shared" ca="1" si="273"/>
        <v>0</v>
      </c>
      <c r="M397" s="358">
        <f t="shared" ca="1" si="273"/>
        <v>0</v>
      </c>
      <c r="N397" s="358">
        <f t="shared" ca="1" si="273"/>
        <v>0</v>
      </c>
      <c r="O397" s="358">
        <f t="shared" ca="1" si="273"/>
        <v>0</v>
      </c>
      <c r="P397" s="358">
        <f t="shared" ca="1" si="273"/>
        <v>0</v>
      </c>
      <c r="Q397" s="358">
        <f t="shared" ref="Q397:Z406" ca="1" si="274">IFERROR(OFFSET(INDIRECT(INDEX(List_of_Alternatives,MATCH($D397,NameofAlternatives,0))),$A397+Q$1-$G$1,$B397),0)</f>
        <v>0</v>
      </c>
      <c r="R397" s="358">
        <f t="shared" ca="1" si="274"/>
        <v>0</v>
      </c>
      <c r="S397" s="358">
        <f t="shared" ca="1" si="274"/>
        <v>0</v>
      </c>
      <c r="T397" s="358">
        <f t="shared" ca="1" si="274"/>
        <v>0</v>
      </c>
      <c r="U397" s="358">
        <f t="shared" ca="1" si="274"/>
        <v>0</v>
      </c>
      <c r="V397" s="358">
        <f t="shared" ca="1" si="274"/>
        <v>0</v>
      </c>
      <c r="W397" s="358">
        <f t="shared" ca="1" si="274"/>
        <v>0</v>
      </c>
      <c r="X397" s="358">
        <f t="shared" ca="1" si="274"/>
        <v>0</v>
      </c>
      <c r="Y397" s="358">
        <f t="shared" ca="1" si="274"/>
        <v>0</v>
      </c>
      <c r="Z397" s="358">
        <f t="shared" ca="1" si="274"/>
        <v>0</v>
      </c>
      <c r="AA397" s="358">
        <f t="shared" ref="AA397:AJ406" ca="1" si="275">IFERROR(OFFSET(INDIRECT(INDEX(List_of_Alternatives,MATCH($D397,NameofAlternatives,0))),$A397+AA$1-$G$1,$B397),0)</f>
        <v>0</v>
      </c>
      <c r="AB397" s="358">
        <f t="shared" ca="1" si="275"/>
        <v>0</v>
      </c>
      <c r="AC397" s="358">
        <f t="shared" ca="1" si="275"/>
        <v>0</v>
      </c>
      <c r="AD397" s="358">
        <f t="shared" ca="1" si="275"/>
        <v>0</v>
      </c>
      <c r="AE397" s="358">
        <f t="shared" ca="1" si="275"/>
        <v>0</v>
      </c>
      <c r="AF397" s="358">
        <f t="shared" ca="1" si="275"/>
        <v>0</v>
      </c>
      <c r="AG397" s="358">
        <f t="shared" ca="1" si="275"/>
        <v>0</v>
      </c>
      <c r="AH397" s="358">
        <f t="shared" ca="1" si="275"/>
        <v>0</v>
      </c>
      <c r="AI397" s="358">
        <f t="shared" ca="1" si="275"/>
        <v>0</v>
      </c>
      <c r="AJ397" s="358">
        <f t="shared" ca="1" si="275"/>
        <v>0</v>
      </c>
      <c r="AK397" s="358">
        <f t="shared" ref="AK397:AT406" ca="1" si="276">IFERROR(OFFSET(INDIRECT(INDEX(List_of_Alternatives,MATCH($D397,NameofAlternatives,0))),$A397+AK$1-$G$1,$B397),0)</f>
        <v>0</v>
      </c>
      <c r="AL397" s="358">
        <f t="shared" ca="1" si="276"/>
        <v>0</v>
      </c>
      <c r="AM397" s="358">
        <f t="shared" ca="1" si="276"/>
        <v>0</v>
      </c>
      <c r="AN397" s="358">
        <f t="shared" ca="1" si="276"/>
        <v>0</v>
      </c>
      <c r="AO397" s="358">
        <f t="shared" ca="1" si="276"/>
        <v>0</v>
      </c>
      <c r="AP397" s="358">
        <f t="shared" ca="1" si="276"/>
        <v>0</v>
      </c>
      <c r="AQ397" s="358">
        <f t="shared" ca="1" si="276"/>
        <v>0</v>
      </c>
      <c r="AR397" s="358">
        <f t="shared" ca="1" si="276"/>
        <v>0</v>
      </c>
      <c r="AS397" s="358">
        <f t="shared" ca="1" si="276"/>
        <v>0</v>
      </c>
      <c r="AT397" s="358">
        <f t="shared" ca="1" si="276"/>
        <v>0</v>
      </c>
      <c r="AV397" s="358">
        <f t="shared" ca="1" si="248"/>
        <v>0</v>
      </c>
      <c r="AX397" s="358">
        <f t="shared" ca="1" si="249"/>
        <v>0</v>
      </c>
      <c r="AZ397" s="358">
        <f t="shared" ca="1" si="250"/>
        <v>0</v>
      </c>
      <c r="BB397" s="358">
        <f t="shared" ca="1" si="251"/>
        <v>0</v>
      </c>
      <c r="BD397" s="358">
        <f t="shared" ca="1" si="252"/>
        <v>0</v>
      </c>
      <c r="BF397" s="358">
        <f t="shared" ca="1" si="253"/>
        <v>0</v>
      </c>
      <c r="BH397" s="358">
        <f t="shared" ca="1" si="254"/>
        <v>0</v>
      </c>
    </row>
    <row r="398" spans="1:60" hidden="1" outlineLevel="1">
      <c r="A398" s="1464">
        <f t="shared" si="264"/>
        <v>18</v>
      </c>
      <c r="B398" s="1464">
        <f t="shared" si="265"/>
        <v>32</v>
      </c>
      <c r="C398" s="1464">
        <f t="shared" si="266"/>
        <v>22</v>
      </c>
      <c r="D398" s="1271" t="str">
        <f ca="1">IF(OFFSET(PortfolioDashboard!$A$3,C398-1,0)="","Blank",OFFSET(PortfolioDashboard!$A$3,C398-1,0))</f>
        <v>Blank</v>
      </c>
      <c r="E398" s="1464" t="str">
        <f t="shared" si="267"/>
        <v>2010$</v>
      </c>
      <c r="F398" s="1460">
        <f t="shared" ca="1" si="268"/>
        <v>0</v>
      </c>
      <c r="G398" s="358">
        <f t="shared" ca="1" si="273"/>
        <v>0</v>
      </c>
      <c r="H398" s="358">
        <f t="shared" ca="1" si="273"/>
        <v>0</v>
      </c>
      <c r="I398" s="358">
        <f t="shared" ca="1" si="273"/>
        <v>0</v>
      </c>
      <c r="J398" s="358">
        <f t="shared" ca="1" si="273"/>
        <v>0</v>
      </c>
      <c r="K398" s="358">
        <f t="shared" ca="1" si="273"/>
        <v>0</v>
      </c>
      <c r="L398" s="358">
        <f t="shared" ca="1" si="273"/>
        <v>0</v>
      </c>
      <c r="M398" s="358">
        <f t="shared" ca="1" si="273"/>
        <v>0</v>
      </c>
      <c r="N398" s="358">
        <f t="shared" ca="1" si="273"/>
        <v>0</v>
      </c>
      <c r="O398" s="358">
        <f t="shared" ca="1" si="273"/>
        <v>0</v>
      </c>
      <c r="P398" s="358">
        <f t="shared" ca="1" si="273"/>
        <v>0</v>
      </c>
      <c r="Q398" s="358">
        <f t="shared" ca="1" si="274"/>
        <v>0</v>
      </c>
      <c r="R398" s="358">
        <f t="shared" ca="1" si="274"/>
        <v>0</v>
      </c>
      <c r="S398" s="358">
        <f t="shared" ca="1" si="274"/>
        <v>0</v>
      </c>
      <c r="T398" s="358">
        <f t="shared" ca="1" si="274"/>
        <v>0</v>
      </c>
      <c r="U398" s="358">
        <f t="shared" ca="1" si="274"/>
        <v>0</v>
      </c>
      <c r="V398" s="358">
        <f t="shared" ca="1" si="274"/>
        <v>0</v>
      </c>
      <c r="W398" s="358">
        <f t="shared" ca="1" si="274"/>
        <v>0</v>
      </c>
      <c r="X398" s="358">
        <f t="shared" ca="1" si="274"/>
        <v>0</v>
      </c>
      <c r="Y398" s="358">
        <f t="shared" ca="1" si="274"/>
        <v>0</v>
      </c>
      <c r="Z398" s="358">
        <f t="shared" ca="1" si="274"/>
        <v>0</v>
      </c>
      <c r="AA398" s="358">
        <f t="shared" ca="1" si="275"/>
        <v>0</v>
      </c>
      <c r="AB398" s="358">
        <f t="shared" ca="1" si="275"/>
        <v>0</v>
      </c>
      <c r="AC398" s="358">
        <f t="shared" ca="1" si="275"/>
        <v>0</v>
      </c>
      <c r="AD398" s="358">
        <f t="shared" ca="1" si="275"/>
        <v>0</v>
      </c>
      <c r="AE398" s="358">
        <f t="shared" ca="1" si="275"/>
        <v>0</v>
      </c>
      <c r="AF398" s="358">
        <f t="shared" ca="1" si="275"/>
        <v>0</v>
      </c>
      <c r="AG398" s="358">
        <f t="shared" ca="1" si="275"/>
        <v>0</v>
      </c>
      <c r="AH398" s="358">
        <f t="shared" ca="1" si="275"/>
        <v>0</v>
      </c>
      <c r="AI398" s="358">
        <f t="shared" ca="1" si="275"/>
        <v>0</v>
      </c>
      <c r="AJ398" s="358">
        <f t="shared" ca="1" si="275"/>
        <v>0</v>
      </c>
      <c r="AK398" s="358">
        <f t="shared" ca="1" si="276"/>
        <v>0</v>
      </c>
      <c r="AL398" s="358">
        <f t="shared" ca="1" si="276"/>
        <v>0</v>
      </c>
      <c r="AM398" s="358">
        <f t="shared" ca="1" si="276"/>
        <v>0</v>
      </c>
      <c r="AN398" s="358">
        <f t="shared" ca="1" si="276"/>
        <v>0</v>
      </c>
      <c r="AO398" s="358">
        <f t="shared" ca="1" si="276"/>
        <v>0</v>
      </c>
      <c r="AP398" s="358">
        <f t="shared" ca="1" si="276"/>
        <v>0</v>
      </c>
      <c r="AQ398" s="358">
        <f t="shared" ca="1" si="276"/>
        <v>0</v>
      </c>
      <c r="AR398" s="358">
        <f t="shared" ca="1" si="276"/>
        <v>0</v>
      </c>
      <c r="AS398" s="358">
        <f t="shared" ca="1" si="276"/>
        <v>0</v>
      </c>
      <c r="AT398" s="358">
        <f t="shared" ca="1" si="276"/>
        <v>0</v>
      </c>
      <c r="AV398" s="358">
        <f t="shared" ca="1" si="248"/>
        <v>0</v>
      </c>
      <c r="AX398" s="358">
        <f t="shared" ca="1" si="249"/>
        <v>0</v>
      </c>
      <c r="AZ398" s="358">
        <f t="shared" ca="1" si="250"/>
        <v>0</v>
      </c>
      <c r="BB398" s="358">
        <f t="shared" ca="1" si="251"/>
        <v>0</v>
      </c>
      <c r="BD398" s="358">
        <f t="shared" ca="1" si="252"/>
        <v>0</v>
      </c>
      <c r="BF398" s="358">
        <f t="shared" ca="1" si="253"/>
        <v>0</v>
      </c>
      <c r="BH398" s="358">
        <f t="shared" ca="1" si="254"/>
        <v>0</v>
      </c>
    </row>
    <row r="399" spans="1:60" hidden="1" outlineLevel="1">
      <c r="A399" s="1464">
        <f t="shared" si="264"/>
        <v>18</v>
      </c>
      <c r="B399" s="1464">
        <f t="shared" si="265"/>
        <v>32</v>
      </c>
      <c r="C399" s="1464">
        <f t="shared" si="266"/>
        <v>23</v>
      </c>
      <c r="D399" s="1271" t="str">
        <f ca="1">IF(OFFSET(PortfolioDashboard!$A$3,C399-1,0)="","Blank",OFFSET(PortfolioDashboard!$A$3,C399-1,0))</f>
        <v>Blank</v>
      </c>
      <c r="E399" s="1464" t="str">
        <f t="shared" si="267"/>
        <v>2010$</v>
      </c>
      <c r="F399" s="1460">
        <f t="shared" ca="1" si="268"/>
        <v>0</v>
      </c>
      <c r="G399" s="358">
        <f t="shared" ca="1" si="273"/>
        <v>0</v>
      </c>
      <c r="H399" s="358">
        <f t="shared" ca="1" si="273"/>
        <v>0</v>
      </c>
      <c r="I399" s="358">
        <f t="shared" ca="1" si="273"/>
        <v>0</v>
      </c>
      <c r="J399" s="358">
        <f t="shared" ca="1" si="273"/>
        <v>0</v>
      </c>
      <c r="K399" s="358">
        <f t="shared" ca="1" si="273"/>
        <v>0</v>
      </c>
      <c r="L399" s="358">
        <f t="shared" ca="1" si="273"/>
        <v>0</v>
      </c>
      <c r="M399" s="358">
        <f t="shared" ca="1" si="273"/>
        <v>0</v>
      </c>
      <c r="N399" s="358">
        <f t="shared" ca="1" si="273"/>
        <v>0</v>
      </c>
      <c r="O399" s="358">
        <f t="shared" ca="1" si="273"/>
        <v>0</v>
      </c>
      <c r="P399" s="358">
        <f t="shared" ca="1" si="273"/>
        <v>0</v>
      </c>
      <c r="Q399" s="358">
        <f t="shared" ca="1" si="274"/>
        <v>0</v>
      </c>
      <c r="R399" s="358">
        <f t="shared" ca="1" si="274"/>
        <v>0</v>
      </c>
      <c r="S399" s="358">
        <f t="shared" ca="1" si="274"/>
        <v>0</v>
      </c>
      <c r="T399" s="358">
        <f t="shared" ca="1" si="274"/>
        <v>0</v>
      </c>
      <c r="U399" s="358">
        <f t="shared" ca="1" si="274"/>
        <v>0</v>
      </c>
      <c r="V399" s="358">
        <f t="shared" ca="1" si="274"/>
        <v>0</v>
      </c>
      <c r="W399" s="358">
        <f t="shared" ca="1" si="274"/>
        <v>0</v>
      </c>
      <c r="X399" s="358">
        <f t="shared" ca="1" si="274"/>
        <v>0</v>
      </c>
      <c r="Y399" s="358">
        <f t="shared" ca="1" si="274"/>
        <v>0</v>
      </c>
      <c r="Z399" s="358">
        <f t="shared" ca="1" si="274"/>
        <v>0</v>
      </c>
      <c r="AA399" s="358">
        <f t="shared" ca="1" si="275"/>
        <v>0</v>
      </c>
      <c r="AB399" s="358">
        <f t="shared" ca="1" si="275"/>
        <v>0</v>
      </c>
      <c r="AC399" s="358">
        <f t="shared" ca="1" si="275"/>
        <v>0</v>
      </c>
      <c r="AD399" s="358">
        <f t="shared" ca="1" si="275"/>
        <v>0</v>
      </c>
      <c r="AE399" s="358">
        <f t="shared" ca="1" si="275"/>
        <v>0</v>
      </c>
      <c r="AF399" s="358">
        <f t="shared" ca="1" si="275"/>
        <v>0</v>
      </c>
      <c r="AG399" s="358">
        <f t="shared" ca="1" si="275"/>
        <v>0</v>
      </c>
      <c r="AH399" s="358">
        <f t="shared" ca="1" si="275"/>
        <v>0</v>
      </c>
      <c r="AI399" s="358">
        <f t="shared" ca="1" si="275"/>
        <v>0</v>
      </c>
      <c r="AJ399" s="358">
        <f t="shared" ca="1" si="275"/>
        <v>0</v>
      </c>
      <c r="AK399" s="358">
        <f t="shared" ca="1" si="276"/>
        <v>0</v>
      </c>
      <c r="AL399" s="358">
        <f t="shared" ca="1" si="276"/>
        <v>0</v>
      </c>
      <c r="AM399" s="358">
        <f t="shared" ca="1" si="276"/>
        <v>0</v>
      </c>
      <c r="AN399" s="358">
        <f t="shared" ca="1" si="276"/>
        <v>0</v>
      </c>
      <c r="AO399" s="358">
        <f t="shared" ca="1" si="276"/>
        <v>0</v>
      </c>
      <c r="AP399" s="358">
        <f t="shared" ca="1" si="276"/>
        <v>0</v>
      </c>
      <c r="AQ399" s="358">
        <f t="shared" ca="1" si="276"/>
        <v>0</v>
      </c>
      <c r="AR399" s="358">
        <f t="shared" ca="1" si="276"/>
        <v>0</v>
      </c>
      <c r="AS399" s="358">
        <f t="shared" ca="1" si="276"/>
        <v>0</v>
      </c>
      <c r="AT399" s="358">
        <f t="shared" ca="1" si="276"/>
        <v>0</v>
      </c>
      <c r="AV399" s="358">
        <f t="shared" ca="1" si="248"/>
        <v>0</v>
      </c>
      <c r="AX399" s="358">
        <f t="shared" ca="1" si="249"/>
        <v>0</v>
      </c>
      <c r="AZ399" s="358">
        <f t="shared" ca="1" si="250"/>
        <v>0</v>
      </c>
      <c r="BB399" s="358">
        <f t="shared" ca="1" si="251"/>
        <v>0</v>
      </c>
      <c r="BD399" s="358">
        <f t="shared" ca="1" si="252"/>
        <v>0</v>
      </c>
      <c r="BF399" s="358">
        <f t="shared" ca="1" si="253"/>
        <v>0</v>
      </c>
      <c r="BH399" s="358">
        <f t="shared" ca="1" si="254"/>
        <v>0</v>
      </c>
    </row>
    <row r="400" spans="1:60" hidden="1" outlineLevel="1">
      <c r="A400" s="1464">
        <f t="shared" si="264"/>
        <v>18</v>
      </c>
      <c r="B400" s="1464">
        <f t="shared" si="265"/>
        <v>32</v>
      </c>
      <c r="C400" s="1464">
        <f t="shared" si="266"/>
        <v>24</v>
      </c>
      <c r="D400" s="1271" t="str">
        <f ca="1">IF(OFFSET(PortfolioDashboard!$A$3,C400-1,0)="","Blank",OFFSET(PortfolioDashboard!$A$3,C400-1,0))</f>
        <v>Blank</v>
      </c>
      <c r="E400" s="1464" t="str">
        <f t="shared" si="267"/>
        <v>2010$</v>
      </c>
      <c r="F400" s="1460">
        <f t="shared" ca="1" si="268"/>
        <v>0</v>
      </c>
      <c r="G400" s="358">
        <f t="shared" ca="1" si="273"/>
        <v>0</v>
      </c>
      <c r="H400" s="358">
        <f t="shared" ca="1" si="273"/>
        <v>0</v>
      </c>
      <c r="I400" s="358">
        <f t="shared" ca="1" si="273"/>
        <v>0</v>
      </c>
      <c r="J400" s="358">
        <f t="shared" ca="1" si="273"/>
        <v>0</v>
      </c>
      <c r="K400" s="358">
        <f t="shared" ca="1" si="273"/>
        <v>0</v>
      </c>
      <c r="L400" s="358">
        <f t="shared" ca="1" si="273"/>
        <v>0</v>
      </c>
      <c r="M400" s="358">
        <f t="shared" ca="1" si="273"/>
        <v>0</v>
      </c>
      <c r="N400" s="358">
        <f t="shared" ca="1" si="273"/>
        <v>0</v>
      </c>
      <c r="O400" s="358">
        <f t="shared" ca="1" si="273"/>
        <v>0</v>
      </c>
      <c r="P400" s="358">
        <f t="shared" ca="1" si="273"/>
        <v>0</v>
      </c>
      <c r="Q400" s="358">
        <f t="shared" ca="1" si="274"/>
        <v>0</v>
      </c>
      <c r="R400" s="358">
        <f t="shared" ca="1" si="274"/>
        <v>0</v>
      </c>
      <c r="S400" s="358">
        <f t="shared" ca="1" si="274"/>
        <v>0</v>
      </c>
      <c r="T400" s="358">
        <f t="shared" ca="1" si="274"/>
        <v>0</v>
      </c>
      <c r="U400" s="358">
        <f t="shared" ca="1" si="274"/>
        <v>0</v>
      </c>
      <c r="V400" s="358">
        <f t="shared" ca="1" si="274"/>
        <v>0</v>
      </c>
      <c r="W400" s="358">
        <f t="shared" ca="1" si="274"/>
        <v>0</v>
      </c>
      <c r="X400" s="358">
        <f t="shared" ca="1" si="274"/>
        <v>0</v>
      </c>
      <c r="Y400" s="358">
        <f t="shared" ca="1" si="274"/>
        <v>0</v>
      </c>
      <c r="Z400" s="358">
        <f t="shared" ca="1" si="274"/>
        <v>0</v>
      </c>
      <c r="AA400" s="358">
        <f t="shared" ca="1" si="275"/>
        <v>0</v>
      </c>
      <c r="AB400" s="358">
        <f t="shared" ca="1" si="275"/>
        <v>0</v>
      </c>
      <c r="AC400" s="358">
        <f t="shared" ca="1" si="275"/>
        <v>0</v>
      </c>
      <c r="AD400" s="358">
        <f t="shared" ca="1" si="275"/>
        <v>0</v>
      </c>
      <c r="AE400" s="358">
        <f t="shared" ca="1" si="275"/>
        <v>0</v>
      </c>
      <c r="AF400" s="358">
        <f t="shared" ca="1" si="275"/>
        <v>0</v>
      </c>
      <c r="AG400" s="358">
        <f t="shared" ca="1" si="275"/>
        <v>0</v>
      </c>
      <c r="AH400" s="358">
        <f t="shared" ca="1" si="275"/>
        <v>0</v>
      </c>
      <c r="AI400" s="358">
        <f t="shared" ca="1" si="275"/>
        <v>0</v>
      </c>
      <c r="AJ400" s="358">
        <f t="shared" ca="1" si="275"/>
        <v>0</v>
      </c>
      <c r="AK400" s="358">
        <f t="shared" ca="1" si="276"/>
        <v>0</v>
      </c>
      <c r="AL400" s="358">
        <f t="shared" ca="1" si="276"/>
        <v>0</v>
      </c>
      <c r="AM400" s="358">
        <f t="shared" ca="1" si="276"/>
        <v>0</v>
      </c>
      <c r="AN400" s="358">
        <f t="shared" ca="1" si="276"/>
        <v>0</v>
      </c>
      <c r="AO400" s="358">
        <f t="shared" ca="1" si="276"/>
        <v>0</v>
      </c>
      <c r="AP400" s="358">
        <f t="shared" ca="1" si="276"/>
        <v>0</v>
      </c>
      <c r="AQ400" s="358">
        <f t="shared" ca="1" si="276"/>
        <v>0</v>
      </c>
      <c r="AR400" s="358">
        <f t="shared" ca="1" si="276"/>
        <v>0</v>
      </c>
      <c r="AS400" s="358">
        <f t="shared" ca="1" si="276"/>
        <v>0</v>
      </c>
      <c r="AT400" s="358">
        <f t="shared" ca="1" si="276"/>
        <v>0</v>
      </c>
      <c r="AV400" s="358">
        <f t="shared" ca="1" si="248"/>
        <v>0</v>
      </c>
      <c r="AX400" s="358">
        <f t="shared" ca="1" si="249"/>
        <v>0</v>
      </c>
      <c r="AZ400" s="358">
        <f t="shared" ca="1" si="250"/>
        <v>0</v>
      </c>
      <c r="BB400" s="358">
        <f t="shared" ca="1" si="251"/>
        <v>0</v>
      </c>
      <c r="BD400" s="358">
        <f t="shared" ca="1" si="252"/>
        <v>0</v>
      </c>
      <c r="BF400" s="358">
        <f t="shared" ca="1" si="253"/>
        <v>0</v>
      </c>
      <c r="BH400" s="358">
        <f t="shared" ca="1" si="254"/>
        <v>0</v>
      </c>
    </row>
    <row r="401" spans="1:60" hidden="1" outlineLevel="1">
      <c r="A401" s="1464">
        <f t="shared" si="264"/>
        <v>18</v>
      </c>
      <c r="B401" s="1464">
        <f t="shared" si="265"/>
        <v>32</v>
      </c>
      <c r="C401" s="1464">
        <f t="shared" si="266"/>
        <v>25</v>
      </c>
      <c r="D401" s="1271" t="str">
        <f ca="1">IF(OFFSET(PortfolioDashboard!$A$3,C401-1,0)="","Blank",OFFSET(PortfolioDashboard!$A$3,C401-1,0))</f>
        <v>Blank</v>
      </c>
      <c r="E401" s="1464" t="str">
        <f t="shared" si="267"/>
        <v>2010$</v>
      </c>
      <c r="F401" s="1460">
        <f t="shared" ca="1" si="268"/>
        <v>0</v>
      </c>
      <c r="G401" s="358">
        <f t="shared" ca="1" si="273"/>
        <v>0</v>
      </c>
      <c r="H401" s="358">
        <f t="shared" ca="1" si="273"/>
        <v>0</v>
      </c>
      <c r="I401" s="358">
        <f t="shared" ca="1" si="273"/>
        <v>0</v>
      </c>
      <c r="J401" s="358">
        <f t="shared" ca="1" si="273"/>
        <v>0</v>
      </c>
      <c r="K401" s="358">
        <f t="shared" ca="1" si="273"/>
        <v>0</v>
      </c>
      <c r="L401" s="358">
        <f t="shared" ca="1" si="273"/>
        <v>0</v>
      </c>
      <c r="M401" s="358">
        <f t="shared" ca="1" si="273"/>
        <v>0</v>
      </c>
      <c r="N401" s="358">
        <f t="shared" ca="1" si="273"/>
        <v>0</v>
      </c>
      <c r="O401" s="358">
        <f t="shared" ca="1" si="273"/>
        <v>0</v>
      </c>
      <c r="P401" s="358">
        <f t="shared" ca="1" si="273"/>
        <v>0</v>
      </c>
      <c r="Q401" s="358">
        <f t="shared" ca="1" si="274"/>
        <v>0</v>
      </c>
      <c r="R401" s="358">
        <f t="shared" ca="1" si="274"/>
        <v>0</v>
      </c>
      <c r="S401" s="358">
        <f t="shared" ca="1" si="274"/>
        <v>0</v>
      </c>
      <c r="T401" s="358">
        <f t="shared" ca="1" si="274"/>
        <v>0</v>
      </c>
      <c r="U401" s="358">
        <f t="shared" ca="1" si="274"/>
        <v>0</v>
      </c>
      <c r="V401" s="358">
        <f t="shared" ca="1" si="274"/>
        <v>0</v>
      </c>
      <c r="W401" s="358">
        <f t="shared" ca="1" si="274"/>
        <v>0</v>
      </c>
      <c r="X401" s="358">
        <f t="shared" ca="1" si="274"/>
        <v>0</v>
      </c>
      <c r="Y401" s="358">
        <f t="shared" ca="1" si="274"/>
        <v>0</v>
      </c>
      <c r="Z401" s="358">
        <f t="shared" ca="1" si="274"/>
        <v>0</v>
      </c>
      <c r="AA401" s="358">
        <f t="shared" ca="1" si="275"/>
        <v>0</v>
      </c>
      <c r="AB401" s="358">
        <f t="shared" ca="1" si="275"/>
        <v>0</v>
      </c>
      <c r="AC401" s="358">
        <f t="shared" ca="1" si="275"/>
        <v>0</v>
      </c>
      <c r="AD401" s="358">
        <f t="shared" ca="1" si="275"/>
        <v>0</v>
      </c>
      <c r="AE401" s="358">
        <f t="shared" ca="1" si="275"/>
        <v>0</v>
      </c>
      <c r="AF401" s="358">
        <f t="shared" ca="1" si="275"/>
        <v>0</v>
      </c>
      <c r="AG401" s="358">
        <f t="shared" ca="1" si="275"/>
        <v>0</v>
      </c>
      <c r="AH401" s="358">
        <f t="shared" ca="1" si="275"/>
        <v>0</v>
      </c>
      <c r="AI401" s="358">
        <f t="shared" ca="1" si="275"/>
        <v>0</v>
      </c>
      <c r="AJ401" s="358">
        <f t="shared" ca="1" si="275"/>
        <v>0</v>
      </c>
      <c r="AK401" s="358">
        <f t="shared" ca="1" si="276"/>
        <v>0</v>
      </c>
      <c r="AL401" s="358">
        <f t="shared" ca="1" si="276"/>
        <v>0</v>
      </c>
      <c r="AM401" s="358">
        <f t="shared" ca="1" si="276"/>
        <v>0</v>
      </c>
      <c r="AN401" s="358">
        <f t="shared" ca="1" si="276"/>
        <v>0</v>
      </c>
      <c r="AO401" s="358">
        <f t="shared" ca="1" si="276"/>
        <v>0</v>
      </c>
      <c r="AP401" s="358">
        <f t="shared" ca="1" si="276"/>
        <v>0</v>
      </c>
      <c r="AQ401" s="358">
        <f t="shared" ca="1" si="276"/>
        <v>0</v>
      </c>
      <c r="AR401" s="358">
        <f t="shared" ca="1" si="276"/>
        <v>0</v>
      </c>
      <c r="AS401" s="358">
        <f t="shared" ca="1" si="276"/>
        <v>0</v>
      </c>
      <c r="AT401" s="358">
        <f t="shared" ca="1" si="276"/>
        <v>0</v>
      </c>
      <c r="AV401" s="358">
        <f t="shared" ca="1" si="248"/>
        <v>0</v>
      </c>
      <c r="AX401" s="358">
        <f t="shared" ca="1" si="249"/>
        <v>0</v>
      </c>
      <c r="AZ401" s="358">
        <f t="shared" ca="1" si="250"/>
        <v>0</v>
      </c>
      <c r="BB401" s="358">
        <f t="shared" ca="1" si="251"/>
        <v>0</v>
      </c>
      <c r="BD401" s="358">
        <f t="shared" ca="1" si="252"/>
        <v>0</v>
      </c>
      <c r="BF401" s="358">
        <f t="shared" ca="1" si="253"/>
        <v>0</v>
      </c>
      <c r="BH401" s="358">
        <f t="shared" ca="1" si="254"/>
        <v>0</v>
      </c>
    </row>
    <row r="402" spans="1:60" hidden="1" outlineLevel="1">
      <c r="A402" s="1464">
        <f t="shared" si="264"/>
        <v>18</v>
      </c>
      <c r="B402" s="1464">
        <f t="shared" si="265"/>
        <v>32</v>
      </c>
      <c r="C402" s="1464">
        <f t="shared" si="266"/>
        <v>26</v>
      </c>
      <c r="D402" s="1271" t="str">
        <f ca="1">IF(OFFSET(PortfolioDashboard!$A$3,C402-1,0)="","Blank",OFFSET(PortfolioDashboard!$A$3,C402-1,0))</f>
        <v>Blank</v>
      </c>
      <c r="E402" s="1464" t="str">
        <f t="shared" si="267"/>
        <v>2010$</v>
      </c>
      <c r="F402" s="1460">
        <f t="shared" ca="1" si="268"/>
        <v>0</v>
      </c>
      <c r="G402" s="358">
        <f t="shared" ca="1" si="273"/>
        <v>0</v>
      </c>
      <c r="H402" s="358">
        <f t="shared" ca="1" si="273"/>
        <v>0</v>
      </c>
      <c r="I402" s="358">
        <f t="shared" ca="1" si="273"/>
        <v>0</v>
      </c>
      <c r="J402" s="358">
        <f t="shared" ca="1" si="273"/>
        <v>0</v>
      </c>
      <c r="K402" s="358">
        <f t="shared" ca="1" si="273"/>
        <v>0</v>
      </c>
      <c r="L402" s="358">
        <f t="shared" ca="1" si="273"/>
        <v>0</v>
      </c>
      <c r="M402" s="358">
        <f t="shared" ca="1" si="273"/>
        <v>0</v>
      </c>
      <c r="N402" s="358">
        <f t="shared" ca="1" si="273"/>
        <v>0</v>
      </c>
      <c r="O402" s="358">
        <f t="shared" ca="1" si="273"/>
        <v>0</v>
      </c>
      <c r="P402" s="358">
        <f t="shared" ca="1" si="273"/>
        <v>0</v>
      </c>
      <c r="Q402" s="358">
        <f t="shared" ca="1" si="274"/>
        <v>0</v>
      </c>
      <c r="R402" s="358">
        <f t="shared" ca="1" si="274"/>
        <v>0</v>
      </c>
      <c r="S402" s="358">
        <f t="shared" ca="1" si="274"/>
        <v>0</v>
      </c>
      <c r="T402" s="358">
        <f t="shared" ca="1" si="274"/>
        <v>0</v>
      </c>
      <c r="U402" s="358">
        <f t="shared" ca="1" si="274"/>
        <v>0</v>
      </c>
      <c r="V402" s="358">
        <f t="shared" ca="1" si="274"/>
        <v>0</v>
      </c>
      <c r="W402" s="358">
        <f t="shared" ca="1" si="274"/>
        <v>0</v>
      </c>
      <c r="X402" s="358">
        <f t="shared" ca="1" si="274"/>
        <v>0</v>
      </c>
      <c r="Y402" s="358">
        <f t="shared" ca="1" si="274"/>
        <v>0</v>
      </c>
      <c r="Z402" s="358">
        <f t="shared" ca="1" si="274"/>
        <v>0</v>
      </c>
      <c r="AA402" s="358">
        <f t="shared" ca="1" si="275"/>
        <v>0</v>
      </c>
      <c r="AB402" s="358">
        <f t="shared" ca="1" si="275"/>
        <v>0</v>
      </c>
      <c r="AC402" s="358">
        <f t="shared" ca="1" si="275"/>
        <v>0</v>
      </c>
      <c r="AD402" s="358">
        <f t="shared" ca="1" si="275"/>
        <v>0</v>
      </c>
      <c r="AE402" s="358">
        <f t="shared" ca="1" si="275"/>
        <v>0</v>
      </c>
      <c r="AF402" s="358">
        <f t="shared" ca="1" si="275"/>
        <v>0</v>
      </c>
      <c r="AG402" s="358">
        <f t="shared" ca="1" si="275"/>
        <v>0</v>
      </c>
      <c r="AH402" s="358">
        <f t="shared" ca="1" si="275"/>
        <v>0</v>
      </c>
      <c r="AI402" s="358">
        <f t="shared" ca="1" si="275"/>
        <v>0</v>
      </c>
      <c r="AJ402" s="358">
        <f t="shared" ca="1" si="275"/>
        <v>0</v>
      </c>
      <c r="AK402" s="358">
        <f t="shared" ca="1" si="276"/>
        <v>0</v>
      </c>
      <c r="AL402" s="358">
        <f t="shared" ca="1" si="276"/>
        <v>0</v>
      </c>
      <c r="AM402" s="358">
        <f t="shared" ca="1" si="276"/>
        <v>0</v>
      </c>
      <c r="AN402" s="358">
        <f t="shared" ca="1" si="276"/>
        <v>0</v>
      </c>
      <c r="AO402" s="358">
        <f t="shared" ca="1" si="276"/>
        <v>0</v>
      </c>
      <c r="AP402" s="358">
        <f t="shared" ca="1" si="276"/>
        <v>0</v>
      </c>
      <c r="AQ402" s="358">
        <f t="shared" ca="1" si="276"/>
        <v>0</v>
      </c>
      <c r="AR402" s="358">
        <f t="shared" ca="1" si="276"/>
        <v>0</v>
      </c>
      <c r="AS402" s="358">
        <f t="shared" ca="1" si="276"/>
        <v>0</v>
      </c>
      <c r="AT402" s="358">
        <f t="shared" ca="1" si="276"/>
        <v>0</v>
      </c>
      <c r="AV402" s="358">
        <f t="shared" ca="1" si="248"/>
        <v>0</v>
      </c>
      <c r="AX402" s="358">
        <f t="shared" ca="1" si="249"/>
        <v>0</v>
      </c>
      <c r="AZ402" s="358">
        <f t="shared" ca="1" si="250"/>
        <v>0</v>
      </c>
      <c r="BB402" s="358">
        <f t="shared" ca="1" si="251"/>
        <v>0</v>
      </c>
      <c r="BD402" s="358">
        <f t="shared" ca="1" si="252"/>
        <v>0</v>
      </c>
      <c r="BF402" s="358">
        <f t="shared" ca="1" si="253"/>
        <v>0</v>
      </c>
      <c r="BH402" s="358">
        <f t="shared" ca="1" si="254"/>
        <v>0</v>
      </c>
    </row>
    <row r="403" spans="1:60" hidden="1" outlineLevel="1">
      <c r="A403" s="1464">
        <f t="shared" si="264"/>
        <v>18</v>
      </c>
      <c r="B403" s="1464">
        <f t="shared" si="265"/>
        <v>32</v>
      </c>
      <c r="C403" s="1464">
        <f t="shared" si="266"/>
        <v>27</v>
      </c>
      <c r="D403" s="1271" t="str">
        <f ca="1">IF(OFFSET(PortfolioDashboard!$A$3,C403-1,0)="","Blank",OFFSET(PortfolioDashboard!$A$3,C403-1,0))</f>
        <v>Blank</v>
      </c>
      <c r="E403" s="1464" t="str">
        <f t="shared" si="267"/>
        <v>2010$</v>
      </c>
      <c r="F403" s="1460">
        <f t="shared" ca="1" si="268"/>
        <v>0</v>
      </c>
      <c r="G403" s="358">
        <f t="shared" ca="1" si="273"/>
        <v>0</v>
      </c>
      <c r="H403" s="358">
        <f t="shared" ca="1" si="273"/>
        <v>0</v>
      </c>
      <c r="I403" s="358">
        <f t="shared" ca="1" si="273"/>
        <v>0</v>
      </c>
      <c r="J403" s="358">
        <f t="shared" ca="1" si="273"/>
        <v>0</v>
      </c>
      <c r="K403" s="358">
        <f t="shared" ca="1" si="273"/>
        <v>0</v>
      </c>
      <c r="L403" s="358">
        <f t="shared" ca="1" si="273"/>
        <v>0</v>
      </c>
      <c r="M403" s="358">
        <f t="shared" ca="1" si="273"/>
        <v>0</v>
      </c>
      <c r="N403" s="358">
        <f t="shared" ca="1" si="273"/>
        <v>0</v>
      </c>
      <c r="O403" s="358">
        <f t="shared" ca="1" si="273"/>
        <v>0</v>
      </c>
      <c r="P403" s="358">
        <f t="shared" ca="1" si="273"/>
        <v>0</v>
      </c>
      <c r="Q403" s="358">
        <f t="shared" ca="1" si="274"/>
        <v>0</v>
      </c>
      <c r="R403" s="358">
        <f t="shared" ca="1" si="274"/>
        <v>0</v>
      </c>
      <c r="S403" s="358">
        <f t="shared" ca="1" si="274"/>
        <v>0</v>
      </c>
      <c r="T403" s="358">
        <f t="shared" ca="1" si="274"/>
        <v>0</v>
      </c>
      <c r="U403" s="358">
        <f t="shared" ca="1" si="274"/>
        <v>0</v>
      </c>
      <c r="V403" s="358">
        <f t="shared" ca="1" si="274"/>
        <v>0</v>
      </c>
      <c r="W403" s="358">
        <f t="shared" ca="1" si="274"/>
        <v>0</v>
      </c>
      <c r="X403" s="358">
        <f t="shared" ca="1" si="274"/>
        <v>0</v>
      </c>
      <c r="Y403" s="358">
        <f t="shared" ca="1" si="274"/>
        <v>0</v>
      </c>
      <c r="Z403" s="358">
        <f t="shared" ca="1" si="274"/>
        <v>0</v>
      </c>
      <c r="AA403" s="358">
        <f t="shared" ca="1" si="275"/>
        <v>0</v>
      </c>
      <c r="AB403" s="358">
        <f t="shared" ca="1" si="275"/>
        <v>0</v>
      </c>
      <c r="AC403" s="358">
        <f t="shared" ca="1" si="275"/>
        <v>0</v>
      </c>
      <c r="AD403" s="358">
        <f t="shared" ca="1" si="275"/>
        <v>0</v>
      </c>
      <c r="AE403" s="358">
        <f t="shared" ca="1" si="275"/>
        <v>0</v>
      </c>
      <c r="AF403" s="358">
        <f t="shared" ca="1" si="275"/>
        <v>0</v>
      </c>
      <c r="AG403" s="358">
        <f t="shared" ca="1" si="275"/>
        <v>0</v>
      </c>
      <c r="AH403" s="358">
        <f t="shared" ca="1" si="275"/>
        <v>0</v>
      </c>
      <c r="AI403" s="358">
        <f t="shared" ca="1" si="275"/>
        <v>0</v>
      </c>
      <c r="AJ403" s="358">
        <f t="shared" ca="1" si="275"/>
        <v>0</v>
      </c>
      <c r="AK403" s="358">
        <f t="shared" ca="1" si="276"/>
        <v>0</v>
      </c>
      <c r="AL403" s="358">
        <f t="shared" ca="1" si="276"/>
        <v>0</v>
      </c>
      <c r="AM403" s="358">
        <f t="shared" ca="1" si="276"/>
        <v>0</v>
      </c>
      <c r="AN403" s="358">
        <f t="shared" ca="1" si="276"/>
        <v>0</v>
      </c>
      <c r="AO403" s="358">
        <f t="shared" ca="1" si="276"/>
        <v>0</v>
      </c>
      <c r="AP403" s="358">
        <f t="shared" ca="1" si="276"/>
        <v>0</v>
      </c>
      <c r="AQ403" s="358">
        <f t="shared" ca="1" si="276"/>
        <v>0</v>
      </c>
      <c r="AR403" s="358">
        <f t="shared" ca="1" si="276"/>
        <v>0</v>
      </c>
      <c r="AS403" s="358">
        <f t="shared" ca="1" si="276"/>
        <v>0</v>
      </c>
      <c r="AT403" s="358">
        <f t="shared" ca="1" si="276"/>
        <v>0</v>
      </c>
      <c r="AV403" s="358">
        <f t="shared" ca="1" si="248"/>
        <v>0</v>
      </c>
      <c r="AX403" s="358">
        <f t="shared" ca="1" si="249"/>
        <v>0</v>
      </c>
      <c r="AZ403" s="358">
        <f t="shared" ca="1" si="250"/>
        <v>0</v>
      </c>
      <c r="BB403" s="358">
        <f t="shared" ca="1" si="251"/>
        <v>0</v>
      </c>
      <c r="BD403" s="358">
        <f t="shared" ca="1" si="252"/>
        <v>0</v>
      </c>
      <c r="BF403" s="358">
        <f t="shared" ca="1" si="253"/>
        <v>0</v>
      </c>
      <c r="BH403" s="358">
        <f t="shared" ca="1" si="254"/>
        <v>0</v>
      </c>
    </row>
    <row r="404" spans="1:60" hidden="1" outlineLevel="1">
      <c r="A404" s="1464">
        <f t="shared" si="264"/>
        <v>18</v>
      </c>
      <c r="B404" s="1464">
        <f t="shared" si="265"/>
        <v>32</v>
      </c>
      <c r="C404" s="1464">
        <f t="shared" si="266"/>
        <v>28</v>
      </c>
      <c r="D404" s="1271" t="str">
        <f ca="1">IF(OFFSET(PortfolioDashboard!$A$3,C404-1,0)="","Blank",OFFSET(PortfolioDashboard!$A$3,C404-1,0))</f>
        <v>Blank</v>
      </c>
      <c r="E404" s="1464" t="str">
        <f t="shared" si="267"/>
        <v>2010$</v>
      </c>
      <c r="F404" s="1460">
        <f t="shared" ca="1" si="268"/>
        <v>0</v>
      </c>
      <c r="G404" s="358">
        <f t="shared" ca="1" si="273"/>
        <v>0</v>
      </c>
      <c r="H404" s="358">
        <f t="shared" ca="1" si="273"/>
        <v>0</v>
      </c>
      <c r="I404" s="358">
        <f t="shared" ca="1" si="273"/>
        <v>0</v>
      </c>
      <c r="J404" s="358">
        <f t="shared" ca="1" si="273"/>
        <v>0</v>
      </c>
      <c r="K404" s="358">
        <f t="shared" ca="1" si="273"/>
        <v>0</v>
      </c>
      <c r="L404" s="358">
        <f t="shared" ca="1" si="273"/>
        <v>0</v>
      </c>
      <c r="M404" s="358">
        <f t="shared" ca="1" si="273"/>
        <v>0</v>
      </c>
      <c r="N404" s="358">
        <f t="shared" ca="1" si="273"/>
        <v>0</v>
      </c>
      <c r="O404" s="358">
        <f t="shared" ca="1" si="273"/>
        <v>0</v>
      </c>
      <c r="P404" s="358">
        <f t="shared" ca="1" si="273"/>
        <v>0</v>
      </c>
      <c r="Q404" s="358">
        <f t="shared" ca="1" si="274"/>
        <v>0</v>
      </c>
      <c r="R404" s="358">
        <f t="shared" ca="1" si="274"/>
        <v>0</v>
      </c>
      <c r="S404" s="358">
        <f t="shared" ca="1" si="274"/>
        <v>0</v>
      </c>
      <c r="T404" s="358">
        <f t="shared" ca="1" si="274"/>
        <v>0</v>
      </c>
      <c r="U404" s="358">
        <f t="shared" ca="1" si="274"/>
        <v>0</v>
      </c>
      <c r="V404" s="358">
        <f t="shared" ca="1" si="274"/>
        <v>0</v>
      </c>
      <c r="W404" s="358">
        <f t="shared" ca="1" si="274"/>
        <v>0</v>
      </c>
      <c r="X404" s="358">
        <f t="shared" ca="1" si="274"/>
        <v>0</v>
      </c>
      <c r="Y404" s="358">
        <f t="shared" ca="1" si="274"/>
        <v>0</v>
      </c>
      <c r="Z404" s="358">
        <f t="shared" ca="1" si="274"/>
        <v>0</v>
      </c>
      <c r="AA404" s="358">
        <f t="shared" ca="1" si="275"/>
        <v>0</v>
      </c>
      <c r="AB404" s="358">
        <f t="shared" ca="1" si="275"/>
        <v>0</v>
      </c>
      <c r="AC404" s="358">
        <f t="shared" ca="1" si="275"/>
        <v>0</v>
      </c>
      <c r="AD404" s="358">
        <f t="shared" ca="1" si="275"/>
        <v>0</v>
      </c>
      <c r="AE404" s="358">
        <f t="shared" ca="1" si="275"/>
        <v>0</v>
      </c>
      <c r="AF404" s="358">
        <f t="shared" ca="1" si="275"/>
        <v>0</v>
      </c>
      <c r="AG404" s="358">
        <f t="shared" ca="1" si="275"/>
        <v>0</v>
      </c>
      <c r="AH404" s="358">
        <f t="shared" ca="1" si="275"/>
        <v>0</v>
      </c>
      <c r="AI404" s="358">
        <f t="shared" ca="1" si="275"/>
        <v>0</v>
      </c>
      <c r="AJ404" s="358">
        <f t="shared" ca="1" si="275"/>
        <v>0</v>
      </c>
      <c r="AK404" s="358">
        <f t="shared" ca="1" si="276"/>
        <v>0</v>
      </c>
      <c r="AL404" s="358">
        <f t="shared" ca="1" si="276"/>
        <v>0</v>
      </c>
      <c r="AM404" s="358">
        <f t="shared" ca="1" si="276"/>
        <v>0</v>
      </c>
      <c r="AN404" s="358">
        <f t="shared" ca="1" si="276"/>
        <v>0</v>
      </c>
      <c r="AO404" s="358">
        <f t="shared" ca="1" si="276"/>
        <v>0</v>
      </c>
      <c r="AP404" s="358">
        <f t="shared" ca="1" si="276"/>
        <v>0</v>
      </c>
      <c r="AQ404" s="358">
        <f t="shared" ca="1" si="276"/>
        <v>0</v>
      </c>
      <c r="AR404" s="358">
        <f t="shared" ca="1" si="276"/>
        <v>0</v>
      </c>
      <c r="AS404" s="358">
        <f t="shared" ca="1" si="276"/>
        <v>0</v>
      </c>
      <c r="AT404" s="358">
        <f t="shared" ca="1" si="276"/>
        <v>0</v>
      </c>
      <c r="AV404" s="358">
        <f t="shared" ca="1" si="248"/>
        <v>0</v>
      </c>
      <c r="AX404" s="358">
        <f t="shared" ca="1" si="249"/>
        <v>0</v>
      </c>
      <c r="AZ404" s="358">
        <f t="shared" ca="1" si="250"/>
        <v>0</v>
      </c>
      <c r="BB404" s="358">
        <f t="shared" ca="1" si="251"/>
        <v>0</v>
      </c>
      <c r="BD404" s="358">
        <f t="shared" ca="1" si="252"/>
        <v>0</v>
      </c>
      <c r="BF404" s="358">
        <f t="shared" ca="1" si="253"/>
        <v>0</v>
      </c>
      <c r="BH404" s="358">
        <f t="shared" ca="1" si="254"/>
        <v>0</v>
      </c>
    </row>
    <row r="405" spans="1:60" hidden="1" outlineLevel="1">
      <c r="A405" s="1464">
        <f t="shared" si="264"/>
        <v>18</v>
      </c>
      <c r="B405" s="1464">
        <f t="shared" si="265"/>
        <v>32</v>
      </c>
      <c r="C405" s="1464">
        <f t="shared" si="266"/>
        <v>29</v>
      </c>
      <c r="D405" s="1271" t="str">
        <f ca="1">IF(OFFSET(PortfolioDashboard!$A$3,C405-1,0)="","Blank",OFFSET(PortfolioDashboard!$A$3,C405-1,0))</f>
        <v>Blank</v>
      </c>
      <c r="E405" s="1464" t="str">
        <f t="shared" si="267"/>
        <v>2010$</v>
      </c>
      <c r="F405" s="1460">
        <f t="shared" ca="1" si="268"/>
        <v>0</v>
      </c>
      <c r="G405" s="358">
        <f t="shared" ca="1" si="273"/>
        <v>0</v>
      </c>
      <c r="H405" s="358">
        <f t="shared" ca="1" si="273"/>
        <v>0</v>
      </c>
      <c r="I405" s="358">
        <f t="shared" ca="1" si="273"/>
        <v>0</v>
      </c>
      <c r="J405" s="358">
        <f t="shared" ca="1" si="273"/>
        <v>0</v>
      </c>
      <c r="K405" s="358">
        <f t="shared" ca="1" si="273"/>
        <v>0</v>
      </c>
      <c r="L405" s="358">
        <f t="shared" ca="1" si="273"/>
        <v>0</v>
      </c>
      <c r="M405" s="358">
        <f t="shared" ca="1" si="273"/>
        <v>0</v>
      </c>
      <c r="N405" s="358">
        <f t="shared" ca="1" si="273"/>
        <v>0</v>
      </c>
      <c r="O405" s="358">
        <f t="shared" ca="1" si="273"/>
        <v>0</v>
      </c>
      <c r="P405" s="358">
        <f t="shared" ca="1" si="273"/>
        <v>0</v>
      </c>
      <c r="Q405" s="358">
        <f t="shared" ca="1" si="274"/>
        <v>0</v>
      </c>
      <c r="R405" s="358">
        <f t="shared" ca="1" si="274"/>
        <v>0</v>
      </c>
      <c r="S405" s="358">
        <f t="shared" ca="1" si="274"/>
        <v>0</v>
      </c>
      <c r="T405" s="358">
        <f t="shared" ca="1" si="274"/>
        <v>0</v>
      </c>
      <c r="U405" s="358">
        <f t="shared" ca="1" si="274"/>
        <v>0</v>
      </c>
      <c r="V405" s="358">
        <f t="shared" ca="1" si="274"/>
        <v>0</v>
      </c>
      <c r="W405" s="358">
        <f t="shared" ca="1" si="274"/>
        <v>0</v>
      </c>
      <c r="X405" s="358">
        <f t="shared" ca="1" si="274"/>
        <v>0</v>
      </c>
      <c r="Y405" s="358">
        <f t="shared" ca="1" si="274"/>
        <v>0</v>
      </c>
      <c r="Z405" s="358">
        <f t="shared" ca="1" si="274"/>
        <v>0</v>
      </c>
      <c r="AA405" s="358">
        <f t="shared" ca="1" si="275"/>
        <v>0</v>
      </c>
      <c r="AB405" s="358">
        <f t="shared" ca="1" si="275"/>
        <v>0</v>
      </c>
      <c r="AC405" s="358">
        <f t="shared" ca="1" si="275"/>
        <v>0</v>
      </c>
      <c r="AD405" s="358">
        <f t="shared" ca="1" si="275"/>
        <v>0</v>
      </c>
      <c r="AE405" s="358">
        <f t="shared" ca="1" si="275"/>
        <v>0</v>
      </c>
      <c r="AF405" s="358">
        <f t="shared" ca="1" si="275"/>
        <v>0</v>
      </c>
      <c r="AG405" s="358">
        <f t="shared" ca="1" si="275"/>
        <v>0</v>
      </c>
      <c r="AH405" s="358">
        <f t="shared" ca="1" si="275"/>
        <v>0</v>
      </c>
      <c r="AI405" s="358">
        <f t="shared" ca="1" si="275"/>
        <v>0</v>
      </c>
      <c r="AJ405" s="358">
        <f t="shared" ca="1" si="275"/>
        <v>0</v>
      </c>
      <c r="AK405" s="358">
        <f t="shared" ca="1" si="276"/>
        <v>0</v>
      </c>
      <c r="AL405" s="358">
        <f t="shared" ca="1" si="276"/>
        <v>0</v>
      </c>
      <c r="AM405" s="358">
        <f t="shared" ca="1" si="276"/>
        <v>0</v>
      </c>
      <c r="AN405" s="358">
        <f t="shared" ca="1" si="276"/>
        <v>0</v>
      </c>
      <c r="AO405" s="358">
        <f t="shared" ca="1" si="276"/>
        <v>0</v>
      </c>
      <c r="AP405" s="358">
        <f t="shared" ca="1" si="276"/>
        <v>0</v>
      </c>
      <c r="AQ405" s="358">
        <f t="shared" ca="1" si="276"/>
        <v>0</v>
      </c>
      <c r="AR405" s="358">
        <f t="shared" ca="1" si="276"/>
        <v>0</v>
      </c>
      <c r="AS405" s="358">
        <f t="shared" ca="1" si="276"/>
        <v>0</v>
      </c>
      <c r="AT405" s="358">
        <f t="shared" ca="1" si="276"/>
        <v>0</v>
      </c>
      <c r="AV405" s="358">
        <f t="shared" ca="1" si="248"/>
        <v>0</v>
      </c>
      <c r="AX405" s="358">
        <f t="shared" ca="1" si="249"/>
        <v>0</v>
      </c>
      <c r="AZ405" s="358">
        <f t="shared" ca="1" si="250"/>
        <v>0</v>
      </c>
      <c r="BB405" s="358">
        <f t="shared" ca="1" si="251"/>
        <v>0</v>
      </c>
      <c r="BD405" s="358">
        <f t="shared" ca="1" si="252"/>
        <v>0</v>
      </c>
      <c r="BF405" s="358">
        <f t="shared" ca="1" si="253"/>
        <v>0</v>
      </c>
      <c r="BH405" s="358">
        <f t="shared" ca="1" si="254"/>
        <v>0</v>
      </c>
    </row>
    <row r="406" spans="1:60" hidden="1" outlineLevel="1">
      <c r="A406" s="1464">
        <f t="shared" si="264"/>
        <v>18</v>
      </c>
      <c r="B406" s="1464">
        <f t="shared" si="265"/>
        <v>32</v>
      </c>
      <c r="C406" s="1464">
        <f t="shared" si="266"/>
        <v>30</v>
      </c>
      <c r="D406" s="1271" t="str">
        <f ca="1">IF(OFFSET(PortfolioDashboard!$A$3,C406-1,0)="","Blank",OFFSET(PortfolioDashboard!$A$3,C406-1,0))</f>
        <v>Blank</v>
      </c>
      <c r="E406" s="1464" t="str">
        <f t="shared" si="267"/>
        <v>2010$</v>
      </c>
      <c r="F406" s="1460">
        <f t="shared" ca="1" si="268"/>
        <v>0</v>
      </c>
      <c r="G406" s="358">
        <f t="shared" ca="1" si="273"/>
        <v>0</v>
      </c>
      <c r="H406" s="358">
        <f t="shared" ca="1" si="273"/>
        <v>0</v>
      </c>
      <c r="I406" s="358">
        <f t="shared" ca="1" si="273"/>
        <v>0</v>
      </c>
      <c r="J406" s="358">
        <f t="shared" ca="1" si="273"/>
        <v>0</v>
      </c>
      <c r="K406" s="358">
        <f t="shared" ca="1" si="273"/>
        <v>0</v>
      </c>
      <c r="L406" s="358">
        <f t="shared" ca="1" si="273"/>
        <v>0</v>
      </c>
      <c r="M406" s="358">
        <f t="shared" ca="1" si="273"/>
        <v>0</v>
      </c>
      <c r="N406" s="358">
        <f t="shared" ca="1" si="273"/>
        <v>0</v>
      </c>
      <c r="O406" s="358">
        <f t="shared" ca="1" si="273"/>
        <v>0</v>
      </c>
      <c r="P406" s="358">
        <f t="shared" ca="1" si="273"/>
        <v>0</v>
      </c>
      <c r="Q406" s="358">
        <f t="shared" ca="1" si="274"/>
        <v>0</v>
      </c>
      <c r="R406" s="358">
        <f t="shared" ca="1" si="274"/>
        <v>0</v>
      </c>
      <c r="S406" s="358">
        <f t="shared" ca="1" si="274"/>
        <v>0</v>
      </c>
      <c r="T406" s="358">
        <f t="shared" ca="1" si="274"/>
        <v>0</v>
      </c>
      <c r="U406" s="358">
        <f t="shared" ca="1" si="274"/>
        <v>0</v>
      </c>
      <c r="V406" s="358">
        <f t="shared" ca="1" si="274"/>
        <v>0</v>
      </c>
      <c r="W406" s="358">
        <f t="shared" ca="1" si="274"/>
        <v>0</v>
      </c>
      <c r="X406" s="358">
        <f t="shared" ca="1" si="274"/>
        <v>0</v>
      </c>
      <c r="Y406" s="358">
        <f t="shared" ca="1" si="274"/>
        <v>0</v>
      </c>
      <c r="Z406" s="358">
        <f t="shared" ca="1" si="274"/>
        <v>0</v>
      </c>
      <c r="AA406" s="358">
        <f t="shared" ca="1" si="275"/>
        <v>0</v>
      </c>
      <c r="AB406" s="358">
        <f t="shared" ca="1" si="275"/>
        <v>0</v>
      </c>
      <c r="AC406" s="358">
        <f t="shared" ca="1" si="275"/>
        <v>0</v>
      </c>
      <c r="AD406" s="358">
        <f t="shared" ca="1" si="275"/>
        <v>0</v>
      </c>
      <c r="AE406" s="358">
        <f t="shared" ca="1" si="275"/>
        <v>0</v>
      </c>
      <c r="AF406" s="358">
        <f t="shared" ca="1" si="275"/>
        <v>0</v>
      </c>
      <c r="AG406" s="358">
        <f t="shared" ca="1" si="275"/>
        <v>0</v>
      </c>
      <c r="AH406" s="358">
        <f t="shared" ca="1" si="275"/>
        <v>0</v>
      </c>
      <c r="AI406" s="358">
        <f t="shared" ca="1" si="275"/>
        <v>0</v>
      </c>
      <c r="AJ406" s="358">
        <f t="shared" ca="1" si="275"/>
        <v>0</v>
      </c>
      <c r="AK406" s="358">
        <f t="shared" ca="1" si="276"/>
        <v>0</v>
      </c>
      <c r="AL406" s="358">
        <f t="shared" ca="1" si="276"/>
        <v>0</v>
      </c>
      <c r="AM406" s="358">
        <f t="shared" ca="1" si="276"/>
        <v>0</v>
      </c>
      <c r="AN406" s="358">
        <f t="shared" ca="1" si="276"/>
        <v>0</v>
      </c>
      <c r="AO406" s="358">
        <f t="shared" ca="1" si="276"/>
        <v>0</v>
      </c>
      <c r="AP406" s="358">
        <f t="shared" ca="1" si="276"/>
        <v>0</v>
      </c>
      <c r="AQ406" s="358">
        <f t="shared" ca="1" si="276"/>
        <v>0</v>
      </c>
      <c r="AR406" s="358">
        <f t="shared" ca="1" si="276"/>
        <v>0</v>
      </c>
      <c r="AS406" s="358">
        <f t="shared" ca="1" si="276"/>
        <v>0</v>
      </c>
      <c r="AT406" s="358">
        <f t="shared" ca="1" si="276"/>
        <v>0</v>
      </c>
      <c r="AV406" s="358">
        <f t="shared" ca="1" si="248"/>
        <v>0</v>
      </c>
      <c r="AX406" s="358">
        <f t="shared" ca="1" si="249"/>
        <v>0</v>
      </c>
      <c r="AZ406" s="358">
        <f t="shared" ca="1" si="250"/>
        <v>0</v>
      </c>
      <c r="BB406" s="358">
        <f t="shared" ca="1" si="251"/>
        <v>0</v>
      </c>
      <c r="BD406" s="358">
        <f t="shared" ca="1" si="252"/>
        <v>0</v>
      </c>
      <c r="BF406" s="358">
        <f t="shared" ca="1" si="253"/>
        <v>0</v>
      </c>
      <c r="BH406" s="358">
        <f t="shared" ca="1" si="254"/>
        <v>0</v>
      </c>
    </row>
    <row r="407" spans="1:60" ht="15.75" collapsed="1" thickBot="1">
      <c r="A407" s="1464"/>
      <c r="B407" s="1464"/>
      <c r="C407" s="1464"/>
      <c r="D407" s="1274" t="s">
        <v>251</v>
      </c>
      <c r="E407" s="1275" t="str">
        <f>E377</f>
        <v>2010$</v>
      </c>
      <c r="F407" s="1462">
        <f t="shared" ca="1" si="268"/>
        <v>149127491.43784067</v>
      </c>
      <c r="G407" s="1276">
        <f t="shared" ref="G407:AT407" ca="1" si="277">SUM(G377:G406)</f>
        <v>237052.05335287287</v>
      </c>
      <c r="H407" s="1276">
        <f t="shared" ca="1" si="277"/>
        <v>883016.72922954266</v>
      </c>
      <c r="I407" s="1276">
        <f t="shared" ca="1" si="277"/>
        <v>2893488.2288939827</v>
      </c>
      <c r="J407" s="1276">
        <f t="shared" ca="1" si="277"/>
        <v>3972363.8576923544</v>
      </c>
      <c r="K407" s="1276">
        <f t="shared" ca="1" si="277"/>
        <v>5247859.358384951</v>
      </c>
      <c r="L407" s="1276">
        <f t="shared" ca="1" si="277"/>
        <v>5995306.9996420722</v>
      </c>
      <c r="M407" s="1276">
        <f t="shared" ca="1" si="277"/>
        <v>6106477.0451876698</v>
      </c>
      <c r="N407" s="1276">
        <f t="shared" ca="1" si="277"/>
        <v>6697427.4075354431</v>
      </c>
      <c r="O407" s="1276">
        <f t="shared" ca="1" si="277"/>
        <v>7193950.7053164542</v>
      </c>
      <c r="P407" s="1276">
        <f t="shared" ca="1" si="277"/>
        <v>7783171.1296283165</v>
      </c>
      <c r="Q407" s="1276">
        <f t="shared" ca="1" si="277"/>
        <v>8376811.7244924568</v>
      </c>
      <c r="R407" s="1276">
        <f t="shared" ca="1" si="277"/>
        <v>8974893.9263097271</v>
      </c>
      <c r="S407" s="1276">
        <f t="shared" ca="1" si="277"/>
        <v>9577439.4552152362</v>
      </c>
      <c r="T407" s="1276">
        <f t="shared" ca="1" si="277"/>
        <v>10143875.544136796</v>
      </c>
      <c r="U407" s="1276">
        <f t="shared" ca="1" si="277"/>
        <v>10643125.709167942</v>
      </c>
      <c r="V407" s="1276">
        <f t="shared" ca="1" si="277"/>
        <v>11146472.845316883</v>
      </c>
      <c r="W407" s="1276">
        <f t="shared" ca="1" si="277"/>
        <v>11653944.045967732</v>
      </c>
      <c r="X407" s="1276">
        <f t="shared" ca="1" si="277"/>
        <v>12165566.694410518</v>
      </c>
      <c r="Y407" s="1276">
        <f t="shared" ca="1" si="277"/>
        <v>12681368.460401421</v>
      </c>
      <c r="Z407" s="1276">
        <f t="shared" ca="1" si="277"/>
        <v>13201377.297000121</v>
      </c>
      <c r="AA407" s="1276">
        <f t="shared" ca="1" si="277"/>
        <v>13725621.437665854</v>
      </c>
      <c r="AB407" s="1276">
        <f t="shared" ca="1" si="277"/>
        <v>14233935.760850687</v>
      </c>
      <c r="AC407" s="1276">
        <f t="shared" ca="1" si="277"/>
        <v>14893577.831880221</v>
      </c>
      <c r="AD407" s="1276">
        <f t="shared" ca="1" si="277"/>
        <v>15410101.030997984</v>
      </c>
      <c r="AE407" s="1276">
        <f t="shared" ca="1" si="277"/>
        <v>16002777.432633564</v>
      </c>
      <c r="AF407" s="1276">
        <f t="shared" ca="1" si="277"/>
        <v>16398163.392826516</v>
      </c>
      <c r="AG407" s="1276">
        <f t="shared" ca="1" si="277"/>
        <v>17458241.267917715</v>
      </c>
      <c r="AH407" s="1276">
        <f t="shared" ca="1" si="277"/>
        <v>17860125.329645831</v>
      </c>
      <c r="AI407" s="1276">
        <f t="shared" ca="1" si="277"/>
        <v>18353588.779702</v>
      </c>
      <c r="AJ407" s="1276">
        <f t="shared" ca="1" si="277"/>
        <v>18762057.182162862</v>
      </c>
      <c r="AK407" s="1276">
        <f t="shared" ca="1" si="277"/>
        <v>19173850.605541807</v>
      </c>
      <c r="AL407" s="1276">
        <f t="shared" ca="1" si="277"/>
        <v>19588991.219916876</v>
      </c>
      <c r="AM407" s="1276">
        <f t="shared" ca="1" si="277"/>
        <v>20007501.396150906</v>
      </c>
      <c r="AN407" s="1276">
        <f t="shared" ca="1" si="277"/>
        <v>20429403.704831131</v>
      </c>
      <c r="AO407" s="1276">
        <f t="shared" ca="1" si="277"/>
        <v>20854720.91531609</v>
      </c>
      <c r="AP407" s="1276">
        <f t="shared" ca="1" si="277"/>
        <v>21283475.994884085</v>
      </c>
      <c r="AQ407" s="1276">
        <f t="shared" ca="1" si="277"/>
        <v>21715692.107977416</v>
      </c>
      <c r="AR407" s="1276">
        <f t="shared" ca="1" si="277"/>
        <v>22151392.615537554</v>
      </c>
      <c r="AS407" s="1276">
        <f t="shared" ca="1" si="277"/>
        <v>22590601.07442604</v>
      </c>
      <c r="AT407" s="1276">
        <f t="shared" ca="1" si="277"/>
        <v>23033341.236926831</v>
      </c>
      <c r="AV407" s="1276">
        <f t="shared" ca="1" si="248"/>
        <v>33776333.287309952</v>
      </c>
      <c r="AX407" s="1276">
        <f t="shared" ca="1" si="249"/>
        <v>47716146.35932216</v>
      </c>
      <c r="AZ407" s="1276">
        <f t="shared" ca="1" si="250"/>
        <v>60848729.343096673</v>
      </c>
      <c r="BB407" s="1276">
        <f t="shared" ca="1" si="251"/>
        <v>74266013.4940283</v>
      </c>
      <c r="BD407" s="1276">
        <f t="shared" ca="1" si="252"/>
        <v>88832175.952254936</v>
      </c>
      <c r="BF407" s="1276">
        <f t="shared" ca="1" si="253"/>
        <v>100054467.84175681</v>
      </c>
      <c r="BH407" s="1276">
        <f t="shared" ca="1" si="254"/>
        <v>110774503.02975193</v>
      </c>
    </row>
    <row r="408" spans="1:60" ht="15.75" thickTop="1">
      <c r="A408" s="1464"/>
      <c r="B408" s="1464"/>
      <c r="C408" s="1464"/>
      <c r="D408" s="16" t="s">
        <v>252</v>
      </c>
      <c r="E408" s="1464"/>
      <c r="F408" s="1460"/>
    </row>
    <row r="409" spans="1:60" hidden="1" outlineLevel="1">
      <c r="A409" s="1464">
        <v>18</v>
      </c>
      <c r="B409" s="1464">
        <v>33</v>
      </c>
      <c r="C409" s="1464">
        <v>1</v>
      </c>
      <c r="D409" s="1271" t="str">
        <f ca="1">IF(OFFSET(PortfolioDashboard!$A$3,C409-1,0)="","Blank",OFFSET(PortfolioDashboard!$A$3,C409-1,0))</f>
        <v>Behavior Change</v>
      </c>
      <c r="E409" s="1464" t="s">
        <v>1197</v>
      </c>
      <c r="F409" s="1460">
        <f t="shared" ref="F409:F502" ca="1" si="278">NPV(DiscountRate,G409:AT409)</f>
        <v>0</v>
      </c>
      <c r="G409" s="358">
        <f t="shared" ref="G409:P418" ca="1" si="279">IFERROR(OFFSET(INDIRECT(INDEX(List_of_Alternatives,MATCH($D409,NameofAlternatives,0))),$A409+G$1-$G$1,$B409),0)</f>
        <v>0</v>
      </c>
      <c r="H409" s="358">
        <f t="shared" ca="1" si="279"/>
        <v>0</v>
      </c>
      <c r="I409" s="358">
        <f t="shared" ca="1" si="279"/>
        <v>0</v>
      </c>
      <c r="J409" s="358">
        <f t="shared" ca="1" si="279"/>
        <v>0</v>
      </c>
      <c r="K409" s="358">
        <f t="shared" ca="1" si="279"/>
        <v>0</v>
      </c>
      <c r="L409" s="358">
        <f t="shared" ca="1" si="279"/>
        <v>0</v>
      </c>
      <c r="M409" s="358">
        <f t="shared" ca="1" si="279"/>
        <v>0</v>
      </c>
      <c r="N409" s="358">
        <f t="shared" ca="1" si="279"/>
        <v>0</v>
      </c>
      <c r="O409" s="358">
        <f t="shared" ca="1" si="279"/>
        <v>0</v>
      </c>
      <c r="P409" s="358">
        <f t="shared" ca="1" si="279"/>
        <v>0</v>
      </c>
      <c r="Q409" s="358">
        <f t="shared" ref="Q409:Z418" ca="1" si="280">IFERROR(OFFSET(INDIRECT(INDEX(List_of_Alternatives,MATCH($D409,NameofAlternatives,0))),$A409+Q$1-$G$1,$B409),0)</f>
        <v>0</v>
      </c>
      <c r="R409" s="358">
        <f t="shared" ca="1" si="280"/>
        <v>0</v>
      </c>
      <c r="S409" s="358">
        <f t="shared" ca="1" si="280"/>
        <v>0</v>
      </c>
      <c r="T409" s="358">
        <f t="shared" ca="1" si="280"/>
        <v>0</v>
      </c>
      <c r="U409" s="358">
        <f t="shared" ca="1" si="280"/>
        <v>0</v>
      </c>
      <c r="V409" s="358">
        <f t="shared" ca="1" si="280"/>
        <v>0</v>
      </c>
      <c r="W409" s="358">
        <f t="shared" ca="1" si="280"/>
        <v>0</v>
      </c>
      <c r="X409" s="358">
        <f t="shared" ca="1" si="280"/>
        <v>0</v>
      </c>
      <c r="Y409" s="358">
        <f t="shared" ca="1" si="280"/>
        <v>0</v>
      </c>
      <c r="Z409" s="358">
        <f t="shared" ca="1" si="280"/>
        <v>0</v>
      </c>
      <c r="AA409" s="358">
        <f t="shared" ref="AA409:AJ418" ca="1" si="281">IFERROR(OFFSET(INDIRECT(INDEX(List_of_Alternatives,MATCH($D409,NameofAlternatives,0))),$A409+AA$1-$G$1,$B409),0)</f>
        <v>0</v>
      </c>
      <c r="AB409" s="358">
        <f t="shared" ca="1" si="281"/>
        <v>0</v>
      </c>
      <c r="AC409" s="358">
        <f t="shared" ca="1" si="281"/>
        <v>0</v>
      </c>
      <c r="AD409" s="358">
        <f t="shared" ca="1" si="281"/>
        <v>0</v>
      </c>
      <c r="AE409" s="358">
        <f t="shared" ca="1" si="281"/>
        <v>0</v>
      </c>
      <c r="AF409" s="358">
        <f t="shared" ca="1" si="281"/>
        <v>0</v>
      </c>
      <c r="AG409" s="358">
        <f t="shared" ca="1" si="281"/>
        <v>0</v>
      </c>
      <c r="AH409" s="358">
        <f t="shared" ca="1" si="281"/>
        <v>0</v>
      </c>
      <c r="AI409" s="358">
        <f t="shared" ca="1" si="281"/>
        <v>0</v>
      </c>
      <c r="AJ409" s="358">
        <f t="shared" ca="1" si="281"/>
        <v>0</v>
      </c>
      <c r="AK409" s="358">
        <f t="shared" ref="AK409:AT418" ca="1" si="282">IFERROR(OFFSET(INDIRECT(INDEX(List_of_Alternatives,MATCH($D409,NameofAlternatives,0))),$A409+AK$1-$G$1,$B409),0)</f>
        <v>0</v>
      </c>
      <c r="AL409" s="358">
        <f t="shared" ca="1" si="282"/>
        <v>0</v>
      </c>
      <c r="AM409" s="358">
        <f t="shared" ca="1" si="282"/>
        <v>0</v>
      </c>
      <c r="AN409" s="358">
        <f t="shared" ca="1" si="282"/>
        <v>0</v>
      </c>
      <c r="AO409" s="358">
        <f t="shared" ca="1" si="282"/>
        <v>0</v>
      </c>
      <c r="AP409" s="358">
        <f t="shared" ca="1" si="282"/>
        <v>0</v>
      </c>
      <c r="AQ409" s="358">
        <f t="shared" ca="1" si="282"/>
        <v>0</v>
      </c>
      <c r="AR409" s="358">
        <f t="shared" ca="1" si="282"/>
        <v>0</v>
      </c>
      <c r="AS409" s="358">
        <f t="shared" ca="1" si="282"/>
        <v>0</v>
      </c>
      <c r="AT409" s="358">
        <f t="shared" ca="1" si="282"/>
        <v>0</v>
      </c>
      <c r="AV409" s="358">
        <f t="shared" ca="1" si="248"/>
        <v>0</v>
      </c>
      <c r="AX409" s="358">
        <f t="shared" ca="1" si="249"/>
        <v>0</v>
      </c>
      <c r="AZ409" s="358">
        <f t="shared" ca="1" si="250"/>
        <v>0</v>
      </c>
      <c r="BB409" s="358">
        <f t="shared" ca="1" si="251"/>
        <v>0</v>
      </c>
      <c r="BD409" s="358">
        <f t="shared" ca="1" si="252"/>
        <v>0</v>
      </c>
      <c r="BF409" s="358">
        <f t="shared" ca="1" si="253"/>
        <v>0</v>
      </c>
      <c r="BH409" s="358">
        <f t="shared" ca="1" si="254"/>
        <v>0</v>
      </c>
    </row>
    <row r="410" spans="1:60" hidden="1" outlineLevel="1">
      <c r="A410" s="1464">
        <f>A409</f>
        <v>18</v>
      </c>
      <c r="B410" s="1464">
        <f>B409</f>
        <v>33</v>
      </c>
      <c r="C410" s="1464">
        <f>C409+1</f>
        <v>2</v>
      </c>
      <c r="D410" s="1271" t="str">
        <f ca="1">IF(OFFSET(PortfolioDashboard!$A$3,C410-1,0)="","Blank",OFFSET(PortfolioDashboard!$A$3,C410-1,0))</f>
        <v>Building Design &amp; Construction Standards</v>
      </c>
      <c r="E410" s="1464" t="str">
        <f>E409</f>
        <v>2010$</v>
      </c>
      <c r="F410" s="1460">
        <f t="shared" ca="1" si="278"/>
        <v>0</v>
      </c>
      <c r="G410" s="358">
        <f t="shared" ca="1" si="279"/>
        <v>0</v>
      </c>
      <c r="H410" s="358">
        <f t="shared" ca="1" si="279"/>
        <v>0</v>
      </c>
      <c r="I410" s="358">
        <f t="shared" ca="1" si="279"/>
        <v>0</v>
      </c>
      <c r="J410" s="358">
        <f t="shared" ca="1" si="279"/>
        <v>0</v>
      </c>
      <c r="K410" s="358">
        <f t="shared" ca="1" si="279"/>
        <v>0</v>
      </c>
      <c r="L410" s="358">
        <f t="shared" ca="1" si="279"/>
        <v>0</v>
      </c>
      <c r="M410" s="358">
        <f t="shared" ca="1" si="279"/>
        <v>0</v>
      </c>
      <c r="N410" s="358">
        <f t="shared" ca="1" si="279"/>
        <v>0</v>
      </c>
      <c r="O410" s="358">
        <f t="shared" ca="1" si="279"/>
        <v>0</v>
      </c>
      <c r="P410" s="358">
        <f t="shared" ca="1" si="279"/>
        <v>0</v>
      </c>
      <c r="Q410" s="358">
        <f t="shared" ca="1" si="280"/>
        <v>0</v>
      </c>
      <c r="R410" s="358">
        <f t="shared" ca="1" si="280"/>
        <v>0</v>
      </c>
      <c r="S410" s="358">
        <f t="shared" ca="1" si="280"/>
        <v>0</v>
      </c>
      <c r="T410" s="358">
        <f t="shared" ca="1" si="280"/>
        <v>0</v>
      </c>
      <c r="U410" s="358">
        <f t="shared" ca="1" si="280"/>
        <v>0</v>
      </c>
      <c r="V410" s="358">
        <f t="shared" ca="1" si="280"/>
        <v>0</v>
      </c>
      <c r="W410" s="358">
        <f t="shared" ca="1" si="280"/>
        <v>0</v>
      </c>
      <c r="X410" s="358">
        <f t="shared" ca="1" si="280"/>
        <v>0</v>
      </c>
      <c r="Y410" s="358">
        <f t="shared" ca="1" si="280"/>
        <v>0</v>
      </c>
      <c r="Z410" s="358">
        <f t="shared" ca="1" si="280"/>
        <v>0</v>
      </c>
      <c r="AA410" s="358">
        <f t="shared" ca="1" si="281"/>
        <v>0</v>
      </c>
      <c r="AB410" s="358">
        <f t="shared" ca="1" si="281"/>
        <v>0</v>
      </c>
      <c r="AC410" s="358">
        <f t="shared" ca="1" si="281"/>
        <v>0</v>
      </c>
      <c r="AD410" s="358">
        <f t="shared" ca="1" si="281"/>
        <v>0</v>
      </c>
      <c r="AE410" s="358">
        <f t="shared" ca="1" si="281"/>
        <v>0</v>
      </c>
      <c r="AF410" s="358">
        <f t="shared" ca="1" si="281"/>
        <v>0</v>
      </c>
      <c r="AG410" s="358">
        <f t="shared" ca="1" si="281"/>
        <v>0</v>
      </c>
      <c r="AH410" s="358">
        <f t="shared" ca="1" si="281"/>
        <v>0</v>
      </c>
      <c r="AI410" s="358">
        <f t="shared" ca="1" si="281"/>
        <v>0</v>
      </c>
      <c r="AJ410" s="358">
        <f t="shared" ca="1" si="281"/>
        <v>0</v>
      </c>
      <c r="AK410" s="358">
        <f t="shared" ca="1" si="282"/>
        <v>0</v>
      </c>
      <c r="AL410" s="358">
        <f t="shared" ca="1" si="282"/>
        <v>0</v>
      </c>
      <c r="AM410" s="358">
        <f t="shared" ca="1" si="282"/>
        <v>0</v>
      </c>
      <c r="AN410" s="358">
        <f t="shared" ca="1" si="282"/>
        <v>0</v>
      </c>
      <c r="AO410" s="358">
        <f t="shared" ca="1" si="282"/>
        <v>0</v>
      </c>
      <c r="AP410" s="358">
        <f t="shared" ca="1" si="282"/>
        <v>0</v>
      </c>
      <c r="AQ410" s="358">
        <f t="shared" ca="1" si="282"/>
        <v>0</v>
      </c>
      <c r="AR410" s="358">
        <f t="shared" ca="1" si="282"/>
        <v>0</v>
      </c>
      <c r="AS410" s="358">
        <f t="shared" ca="1" si="282"/>
        <v>0</v>
      </c>
      <c r="AT410" s="358">
        <f t="shared" ca="1" si="282"/>
        <v>0</v>
      </c>
      <c r="AV410" s="358">
        <f t="shared" ca="1" si="248"/>
        <v>0</v>
      </c>
      <c r="AX410" s="358">
        <f t="shared" ca="1" si="249"/>
        <v>0</v>
      </c>
      <c r="AZ410" s="358">
        <f t="shared" ca="1" si="250"/>
        <v>0</v>
      </c>
      <c r="BB410" s="358">
        <f t="shared" ca="1" si="251"/>
        <v>0</v>
      </c>
      <c r="BD410" s="358">
        <f t="shared" ca="1" si="252"/>
        <v>0</v>
      </c>
      <c r="BF410" s="358">
        <f t="shared" ca="1" si="253"/>
        <v>0</v>
      </c>
      <c r="BH410" s="358">
        <f t="shared" ca="1" si="254"/>
        <v>0</v>
      </c>
    </row>
    <row r="411" spans="1:60" hidden="1" outlineLevel="1">
      <c r="A411" s="1464">
        <f t="shared" ref="A411:A438" si="283">A410</f>
        <v>18</v>
      </c>
      <c r="B411" s="1464">
        <f t="shared" ref="B411:B438" si="284">B410</f>
        <v>33</v>
      </c>
      <c r="C411" s="1464">
        <f t="shared" ref="C411:C438" si="285">C410+1</f>
        <v>3</v>
      </c>
      <c r="D411" s="1271" t="str">
        <f ca="1">IF(OFFSET(PortfolioDashboard!$A$3,C411-1,0)="","Blank",OFFSET(PortfolioDashboard!$A$3,C411-1,0))</f>
        <v>Space Planning &amp; Management</v>
      </c>
      <c r="E411" s="1464" t="str">
        <f t="shared" ref="E411:E438" si="286">E410</f>
        <v>2010$</v>
      </c>
      <c r="F411" s="1460">
        <f t="shared" ca="1" si="278"/>
        <v>374648367.13320363</v>
      </c>
      <c r="G411" s="358">
        <f t="shared" ca="1" si="279"/>
        <v>0</v>
      </c>
      <c r="H411" s="358">
        <f t="shared" ca="1" si="279"/>
        <v>25224484.237428442</v>
      </c>
      <c r="I411" s="358">
        <f t="shared" ca="1" si="279"/>
        <v>25224484.237428762</v>
      </c>
      <c r="J411" s="358">
        <f t="shared" ca="1" si="279"/>
        <v>25224484.237428442</v>
      </c>
      <c r="K411" s="358">
        <f t="shared" ca="1" si="279"/>
        <v>25224484.237428762</v>
      </c>
      <c r="L411" s="358">
        <f t="shared" ca="1" si="279"/>
        <v>25224484.237428762</v>
      </c>
      <c r="M411" s="358">
        <f t="shared" ca="1" si="279"/>
        <v>25224484.237428442</v>
      </c>
      <c r="N411" s="358">
        <f t="shared" ca="1" si="279"/>
        <v>25224484.237428762</v>
      </c>
      <c r="O411" s="358">
        <f t="shared" ca="1" si="279"/>
        <v>25224484.237428442</v>
      </c>
      <c r="P411" s="358">
        <f t="shared" ca="1" si="279"/>
        <v>25224484.237428762</v>
      </c>
      <c r="Q411" s="358">
        <f t="shared" ca="1" si="280"/>
        <v>25224484.237428442</v>
      </c>
      <c r="R411" s="358">
        <f t="shared" ca="1" si="280"/>
        <v>25224484.237428762</v>
      </c>
      <c r="S411" s="358">
        <f t="shared" ca="1" si="280"/>
        <v>25224484.237428762</v>
      </c>
      <c r="T411" s="358">
        <f t="shared" ca="1" si="280"/>
        <v>25224484.237428442</v>
      </c>
      <c r="U411" s="358">
        <f t="shared" ca="1" si="280"/>
        <v>25224484.237428762</v>
      </c>
      <c r="V411" s="358">
        <f t="shared" ca="1" si="280"/>
        <v>25224484.237428762</v>
      </c>
      <c r="W411" s="358">
        <f t="shared" ca="1" si="280"/>
        <v>25224484.237428442</v>
      </c>
      <c r="X411" s="358">
        <f t="shared" ca="1" si="280"/>
        <v>25224484.237428762</v>
      </c>
      <c r="Y411" s="358">
        <f t="shared" ca="1" si="280"/>
        <v>25224484.237428442</v>
      </c>
      <c r="Z411" s="358">
        <f t="shared" ca="1" si="280"/>
        <v>25224484.237428762</v>
      </c>
      <c r="AA411" s="358">
        <f t="shared" ca="1" si="281"/>
        <v>25224484.237428442</v>
      </c>
      <c r="AB411" s="358">
        <f t="shared" ca="1" si="281"/>
        <v>25224484.237428762</v>
      </c>
      <c r="AC411" s="358">
        <f t="shared" ca="1" si="281"/>
        <v>25224484.237428762</v>
      </c>
      <c r="AD411" s="358">
        <f t="shared" ca="1" si="281"/>
        <v>25224484.237428442</v>
      </c>
      <c r="AE411" s="358">
        <f t="shared" ca="1" si="281"/>
        <v>25224484.237428762</v>
      </c>
      <c r="AF411" s="358">
        <f t="shared" ca="1" si="281"/>
        <v>25224484.237428762</v>
      </c>
      <c r="AG411" s="358">
        <f t="shared" ca="1" si="281"/>
        <v>25224484.237428442</v>
      </c>
      <c r="AH411" s="358">
        <f t="shared" ca="1" si="281"/>
        <v>25224484.237428442</v>
      </c>
      <c r="AI411" s="358">
        <f t="shared" ca="1" si="281"/>
        <v>25224484.237428762</v>
      </c>
      <c r="AJ411" s="358">
        <f t="shared" ca="1" si="281"/>
        <v>25224484.237428762</v>
      </c>
      <c r="AK411" s="358">
        <f t="shared" ca="1" si="282"/>
        <v>25224484.237428442</v>
      </c>
      <c r="AL411" s="358">
        <f t="shared" ca="1" si="282"/>
        <v>25224484.237428762</v>
      </c>
      <c r="AM411" s="358">
        <f t="shared" ca="1" si="282"/>
        <v>25224484.237428762</v>
      </c>
      <c r="AN411" s="358">
        <f t="shared" ca="1" si="282"/>
        <v>25224484.237428442</v>
      </c>
      <c r="AO411" s="358">
        <f t="shared" ca="1" si="282"/>
        <v>25224484.237428762</v>
      </c>
      <c r="AP411" s="358">
        <f t="shared" ca="1" si="282"/>
        <v>25224484.237428762</v>
      </c>
      <c r="AQ411" s="358">
        <f t="shared" ca="1" si="282"/>
        <v>25224484.237428442</v>
      </c>
      <c r="AR411" s="358">
        <f t="shared" ca="1" si="282"/>
        <v>25224484.237428442</v>
      </c>
      <c r="AS411" s="358">
        <f t="shared" ca="1" si="282"/>
        <v>25224484.237428762</v>
      </c>
      <c r="AT411" s="358">
        <f t="shared" ca="1" si="282"/>
        <v>25224484.237428762</v>
      </c>
      <c r="AV411" s="358">
        <f t="shared" ca="1" si="248"/>
        <v>126122421.18714318</v>
      </c>
      <c r="AX411" s="358">
        <f t="shared" ca="1" si="249"/>
        <v>126122421.18714318</v>
      </c>
      <c r="AZ411" s="358">
        <f t="shared" ca="1" si="250"/>
        <v>126122421.18714318</v>
      </c>
      <c r="BB411" s="358">
        <f t="shared" ca="1" si="251"/>
        <v>126122421.18714318</v>
      </c>
      <c r="BD411" s="358">
        <f t="shared" ca="1" si="252"/>
        <v>126122421.18714315</v>
      </c>
      <c r="BF411" s="358">
        <f t="shared" ca="1" si="253"/>
        <v>126122421.18714318</v>
      </c>
      <c r="BH411" s="358">
        <f t="shared" ca="1" si="254"/>
        <v>126122421.18714315</v>
      </c>
    </row>
    <row r="412" spans="1:60" hidden="1" outlineLevel="1">
      <c r="A412" s="1464">
        <f t="shared" si="283"/>
        <v>18</v>
      </c>
      <c r="B412" s="1464">
        <f t="shared" si="284"/>
        <v>33</v>
      </c>
      <c r="C412" s="1464">
        <f t="shared" si="285"/>
        <v>4</v>
      </c>
      <c r="D412" s="1271" t="str">
        <f ca="1">IF(OFFSET(PortfolioDashboard!$A$3,C412-1,0)="","Blank",OFFSET(PortfolioDashboard!$A$3,C412-1,0))</f>
        <v>Central Chiller Expansion</v>
      </c>
      <c r="E412" s="1464" t="str">
        <f t="shared" si="286"/>
        <v>2010$</v>
      </c>
      <c r="F412" s="1460">
        <f t="shared" ca="1" si="278"/>
        <v>5230250.9951090943</v>
      </c>
      <c r="G412" s="358">
        <f t="shared" ca="1" si="279"/>
        <v>0</v>
      </c>
      <c r="H412" s="358">
        <f t="shared" ca="1" si="279"/>
        <v>0</v>
      </c>
      <c r="I412" s="358">
        <f t="shared" ca="1" si="279"/>
        <v>0</v>
      </c>
      <c r="J412" s="358">
        <f t="shared" ca="1" si="279"/>
        <v>0</v>
      </c>
      <c r="K412" s="358">
        <f t="shared" ca="1" si="279"/>
        <v>550000</v>
      </c>
      <c r="L412" s="358">
        <f t="shared" ca="1" si="279"/>
        <v>550000</v>
      </c>
      <c r="M412" s="358">
        <f t="shared" ca="1" si="279"/>
        <v>550000</v>
      </c>
      <c r="N412" s="358">
        <f t="shared" ca="1" si="279"/>
        <v>550000</v>
      </c>
      <c r="O412" s="358">
        <f t="shared" ca="1" si="279"/>
        <v>550000</v>
      </c>
      <c r="P412" s="358">
        <f t="shared" ca="1" si="279"/>
        <v>550000</v>
      </c>
      <c r="Q412" s="358">
        <f t="shared" ca="1" si="280"/>
        <v>550000</v>
      </c>
      <c r="R412" s="358">
        <f t="shared" ca="1" si="280"/>
        <v>550000</v>
      </c>
      <c r="S412" s="358">
        <f t="shared" ca="1" si="280"/>
        <v>550000</v>
      </c>
      <c r="T412" s="358">
        <f t="shared" ca="1" si="280"/>
        <v>550000</v>
      </c>
      <c r="U412" s="358">
        <f t="shared" ca="1" si="280"/>
        <v>550000</v>
      </c>
      <c r="V412" s="358">
        <f t="shared" ca="1" si="280"/>
        <v>550000</v>
      </c>
      <c r="W412" s="358">
        <f t="shared" ca="1" si="280"/>
        <v>550000</v>
      </c>
      <c r="X412" s="358">
        <f t="shared" ca="1" si="280"/>
        <v>550000</v>
      </c>
      <c r="Y412" s="358">
        <f t="shared" ca="1" si="280"/>
        <v>550000</v>
      </c>
      <c r="Z412" s="358">
        <f t="shared" ca="1" si="280"/>
        <v>550000</v>
      </c>
      <c r="AA412" s="358">
        <f t="shared" ca="1" si="281"/>
        <v>550000</v>
      </c>
      <c r="AB412" s="358">
        <f t="shared" ca="1" si="281"/>
        <v>550000</v>
      </c>
      <c r="AC412" s="358">
        <f t="shared" ca="1" si="281"/>
        <v>550000</v>
      </c>
      <c r="AD412" s="358">
        <f t="shared" ca="1" si="281"/>
        <v>550000</v>
      </c>
      <c r="AE412" s="358">
        <f t="shared" ca="1" si="281"/>
        <v>0</v>
      </c>
      <c r="AF412" s="358">
        <f t="shared" ca="1" si="281"/>
        <v>0</v>
      </c>
      <c r="AG412" s="358">
        <f t="shared" ca="1" si="281"/>
        <v>0</v>
      </c>
      <c r="AH412" s="358">
        <f t="shared" ca="1" si="281"/>
        <v>0</v>
      </c>
      <c r="AI412" s="358">
        <f t="shared" ca="1" si="281"/>
        <v>0</v>
      </c>
      <c r="AJ412" s="358">
        <f t="shared" ca="1" si="281"/>
        <v>0</v>
      </c>
      <c r="AK412" s="358">
        <f t="shared" ca="1" si="282"/>
        <v>0</v>
      </c>
      <c r="AL412" s="358">
        <f t="shared" ca="1" si="282"/>
        <v>0</v>
      </c>
      <c r="AM412" s="358">
        <f t="shared" ca="1" si="282"/>
        <v>0</v>
      </c>
      <c r="AN412" s="358">
        <f t="shared" ca="1" si="282"/>
        <v>0</v>
      </c>
      <c r="AO412" s="358">
        <f t="shared" ca="1" si="282"/>
        <v>0</v>
      </c>
      <c r="AP412" s="358">
        <f t="shared" ca="1" si="282"/>
        <v>0</v>
      </c>
      <c r="AQ412" s="358">
        <f t="shared" ca="1" si="282"/>
        <v>0</v>
      </c>
      <c r="AR412" s="358">
        <f t="shared" ca="1" si="282"/>
        <v>0</v>
      </c>
      <c r="AS412" s="358">
        <f t="shared" ca="1" si="282"/>
        <v>0</v>
      </c>
      <c r="AT412" s="358">
        <f t="shared" ca="1" si="282"/>
        <v>0</v>
      </c>
      <c r="AV412" s="358">
        <f t="shared" ca="1" si="248"/>
        <v>2750000</v>
      </c>
      <c r="AX412" s="358">
        <f t="shared" ca="1" si="249"/>
        <v>2750000</v>
      </c>
      <c r="AZ412" s="358">
        <f t="shared" ca="1" si="250"/>
        <v>2750000</v>
      </c>
      <c r="BB412" s="358">
        <f t="shared" ca="1" si="251"/>
        <v>2200000</v>
      </c>
      <c r="BD412" s="358">
        <f t="shared" ca="1" si="252"/>
        <v>0</v>
      </c>
      <c r="BF412" s="358">
        <f t="shared" ca="1" si="253"/>
        <v>0</v>
      </c>
      <c r="BH412" s="358">
        <f t="shared" ca="1" si="254"/>
        <v>0</v>
      </c>
    </row>
    <row r="413" spans="1:60" hidden="1" outlineLevel="1">
      <c r="A413" s="1464">
        <f t="shared" si="283"/>
        <v>18</v>
      </c>
      <c r="B413" s="1464">
        <f t="shared" si="284"/>
        <v>33</v>
      </c>
      <c r="C413" s="1464">
        <f t="shared" si="285"/>
        <v>5</v>
      </c>
      <c r="D413" s="1271" t="str">
        <f ca="1">IF(OFFSET(PortfolioDashboard!$A$3,C413-1,0)="","Blank",OFFSET(PortfolioDashboard!$A$3,C413-1,0))</f>
        <v>Short-term Energy Conservation Measures</v>
      </c>
      <c r="E413" s="1464" t="str">
        <f t="shared" si="286"/>
        <v>2010$</v>
      </c>
      <c r="F413" s="1460">
        <f t="shared" ca="1" si="278"/>
        <v>0</v>
      </c>
      <c r="G413" s="358">
        <f t="shared" ca="1" si="279"/>
        <v>0</v>
      </c>
      <c r="H413" s="358">
        <f t="shared" ca="1" si="279"/>
        <v>0</v>
      </c>
      <c r="I413" s="358">
        <f t="shared" ca="1" si="279"/>
        <v>0</v>
      </c>
      <c r="J413" s="358">
        <f t="shared" ca="1" si="279"/>
        <v>0</v>
      </c>
      <c r="K413" s="358">
        <f t="shared" ca="1" si="279"/>
        <v>0</v>
      </c>
      <c r="L413" s="358">
        <f t="shared" ca="1" si="279"/>
        <v>0</v>
      </c>
      <c r="M413" s="358">
        <f t="shared" ca="1" si="279"/>
        <v>0</v>
      </c>
      <c r="N413" s="358">
        <f t="shared" ca="1" si="279"/>
        <v>0</v>
      </c>
      <c r="O413" s="358">
        <f t="shared" ca="1" si="279"/>
        <v>0</v>
      </c>
      <c r="P413" s="358">
        <f t="shared" ca="1" si="279"/>
        <v>0</v>
      </c>
      <c r="Q413" s="358">
        <f t="shared" ca="1" si="280"/>
        <v>0</v>
      </c>
      <c r="R413" s="358">
        <f t="shared" ca="1" si="280"/>
        <v>0</v>
      </c>
      <c r="S413" s="358">
        <f t="shared" ca="1" si="280"/>
        <v>0</v>
      </c>
      <c r="T413" s="358">
        <f t="shared" ca="1" si="280"/>
        <v>0</v>
      </c>
      <c r="U413" s="358">
        <f t="shared" ca="1" si="280"/>
        <v>0</v>
      </c>
      <c r="V413" s="358">
        <f t="shared" ca="1" si="280"/>
        <v>0</v>
      </c>
      <c r="W413" s="358">
        <f t="shared" ca="1" si="280"/>
        <v>0</v>
      </c>
      <c r="X413" s="358">
        <f t="shared" ca="1" si="280"/>
        <v>0</v>
      </c>
      <c r="Y413" s="358">
        <f t="shared" ca="1" si="280"/>
        <v>0</v>
      </c>
      <c r="Z413" s="358">
        <f t="shared" ca="1" si="280"/>
        <v>0</v>
      </c>
      <c r="AA413" s="358">
        <f t="shared" ca="1" si="281"/>
        <v>0</v>
      </c>
      <c r="AB413" s="358">
        <f t="shared" ca="1" si="281"/>
        <v>0</v>
      </c>
      <c r="AC413" s="358">
        <f t="shared" ca="1" si="281"/>
        <v>0</v>
      </c>
      <c r="AD413" s="358">
        <f t="shared" ca="1" si="281"/>
        <v>0</v>
      </c>
      <c r="AE413" s="358">
        <f t="shared" ca="1" si="281"/>
        <v>0</v>
      </c>
      <c r="AF413" s="358">
        <f t="shared" ca="1" si="281"/>
        <v>0</v>
      </c>
      <c r="AG413" s="358">
        <f t="shared" ca="1" si="281"/>
        <v>0</v>
      </c>
      <c r="AH413" s="358">
        <f t="shared" ca="1" si="281"/>
        <v>0</v>
      </c>
      <c r="AI413" s="358">
        <f t="shared" ca="1" si="281"/>
        <v>0</v>
      </c>
      <c r="AJ413" s="358">
        <f t="shared" ca="1" si="281"/>
        <v>0</v>
      </c>
      <c r="AK413" s="358">
        <f t="shared" ca="1" si="282"/>
        <v>0</v>
      </c>
      <c r="AL413" s="358">
        <f t="shared" ca="1" si="282"/>
        <v>0</v>
      </c>
      <c r="AM413" s="358">
        <f t="shared" ca="1" si="282"/>
        <v>0</v>
      </c>
      <c r="AN413" s="358">
        <f t="shared" ca="1" si="282"/>
        <v>0</v>
      </c>
      <c r="AO413" s="358">
        <f t="shared" ca="1" si="282"/>
        <v>0</v>
      </c>
      <c r="AP413" s="358">
        <f t="shared" ca="1" si="282"/>
        <v>0</v>
      </c>
      <c r="AQ413" s="358">
        <f t="shared" ca="1" si="282"/>
        <v>0</v>
      </c>
      <c r="AR413" s="358">
        <f t="shared" ca="1" si="282"/>
        <v>0</v>
      </c>
      <c r="AS413" s="358">
        <f t="shared" ca="1" si="282"/>
        <v>0</v>
      </c>
      <c r="AT413" s="358">
        <f t="shared" ca="1" si="282"/>
        <v>0</v>
      </c>
      <c r="AV413" s="358">
        <f t="shared" ca="1" si="248"/>
        <v>0</v>
      </c>
      <c r="AX413" s="358">
        <f t="shared" ca="1" si="249"/>
        <v>0</v>
      </c>
      <c r="AZ413" s="358">
        <f t="shared" ca="1" si="250"/>
        <v>0</v>
      </c>
      <c r="BB413" s="358">
        <f t="shared" ca="1" si="251"/>
        <v>0</v>
      </c>
      <c r="BD413" s="358">
        <f t="shared" ca="1" si="252"/>
        <v>0</v>
      </c>
      <c r="BF413" s="358">
        <f t="shared" ca="1" si="253"/>
        <v>0</v>
      </c>
      <c r="BH413" s="358">
        <f t="shared" ca="1" si="254"/>
        <v>0</v>
      </c>
    </row>
    <row r="414" spans="1:60" hidden="1" outlineLevel="1">
      <c r="A414" s="1464">
        <f t="shared" si="283"/>
        <v>18</v>
      </c>
      <c r="B414" s="1464">
        <f t="shared" si="284"/>
        <v>33</v>
      </c>
      <c r="C414" s="1464">
        <f t="shared" si="285"/>
        <v>6</v>
      </c>
      <c r="D414" s="1271" t="str">
        <f ca="1">IF(OFFSET(PortfolioDashboard!$A$3,C414-1,0)="","Blank",OFFSET(PortfolioDashboard!$A$3,C414-1,0))</f>
        <v>Mid-term Energy Conservation Measures</v>
      </c>
      <c r="E414" s="1464" t="str">
        <f t="shared" si="286"/>
        <v>2010$</v>
      </c>
      <c r="F414" s="1460">
        <f t="shared" ca="1" si="278"/>
        <v>0</v>
      </c>
      <c r="G414" s="358">
        <f t="shared" ca="1" si="279"/>
        <v>0</v>
      </c>
      <c r="H414" s="358">
        <f t="shared" ca="1" si="279"/>
        <v>0</v>
      </c>
      <c r="I414" s="358">
        <f t="shared" ca="1" si="279"/>
        <v>0</v>
      </c>
      <c r="J414" s="358">
        <f t="shared" ca="1" si="279"/>
        <v>0</v>
      </c>
      <c r="K414" s="358">
        <f t="shared" ca="1" si="279"/>
        <v>0</v>
      </c>
      <c r="L414" s="358">
        <f t="shared" ca="1" si="279"/>
        <v>0</v>
      </c>
      <c r="M414" s="358">
        <f t="shared" ca="1" si="279"/>
        <v>0</v>
      </c>
      <c r="N414" s="358">
        <f t="shared" ca="1" si="279"/>
        <v>0</v>
      </c>
      <c r="O414" s="358">
        <f t="shared" ca="1" si="279"/>
        <v>0</v>
      </c>
      <c r="P414" s="358">
        <f t="shared" ca="1" si="279"/>
        <v>0</v>
      </c>
      <c r="Q414" s="358">
        <f t="shared" ca="1" si="280"/>
        <v>0</v>
      </c>
      <c r="R414" s="358">
        <f t="shared" ca="1" si="280"/>
        <v>0</v>
      </c>
      <c r="S414" s="358">
        <f t="shared" ca="1" si="280"/>
        <v>0</v>
      </c>
      <c r="T414" s="358">
        <f t="shared" ca="1" si="280"/>
        <v>0</v>
      </c>
      <c r="U414" s="358">
        <f t="shared" ca="1" si="280"/>
        <v>0</v>
      </c>
      <c r="V414" s="358">
        <f t="shared" ca="1" si="280"/>
        <v>0</v>
      </c>
      <c r="W414" s="358">
        <f t="shared" ca="1" si="280"/>
        <v>0</v>
      </c>
      <c r="X414" s="358">
        <f t="shared" ca="1" si="280"/>
        <v>0</v>
      </c>
      <c r="Y414" s="358">
        <f t="shared" ca="1" si="280"/>
        <v>0</v>
      </c>
      <c r="Z414" s="358">
        <f t="shared" ca="1" si="280"/>
        <v>0</v>
      </c>
      <c r="AA414" s="358">
        <f t="shared" ca="1" si="281"/>
        <v>0</v>
      </c>
      <c r="AB414" s="358">
        <f t="shared" ca="1" si="281"/>
        <v>0</v>
      </c>
      <c r="AC414" s="358">
        <f t="shared" ca="1" si="281"/>
        <v>0</v>
      </c>
      <c r="AD414" s="358">
        <f t="shared" ca="1" si="281"/>
        <v>0</v>
      </c>
      <c r="AE414" s="358">
        <f t="shared" ca="1" si="281"/>
        <v>0</v>
      </c>
      <c r="AF414" s="358">
        <f t="shared" ca="1" si="281"/>
        <v>0</v>
      </c>
      <c r="AG414" s="358">
        <f t="shared" ca="1" si="281"/>
        <v>0</v>
      </c>
      <c r="AH414" s="358">
        <f t="shared" ca="1" si="281"/>
        <v>0</v>
      </c>
      <c r="AI414" s="358">
        <f t="shared" ca="1" si="281"/>
        <v>0</v>
      </c>
      <c r="AJ414" s="358">
        <f t="shared" ca="1" si="281"/>
        <v>0</v>
      </c>
      <c r="AK414" s="358">
        <f t="shared" ca="1" si="282"/>
        <v>0</v>
      </c>
      <c r="AL414" s="358">
        <f t="shared" ca="1" si="282"/>
        <v>0</v>
      </c>
      <c r="AM414" s="358">
        <f t="shared" ca="1" si="282"/>
        <v>0</v>
      </c>
      <c r="AN414" s="358">
        <f t="shared" ca="1" si="282"/>
        <v>0</v>
      </c>
      <c r="AO414" s="358">
        <f t="shared" ca="1" si="282"/>
        <v>0</v>
      </c>
      <c r="AP414" s="358">
        <f t="shared" ca="1" si="282"/>
        <v>0</v>
      </c>
      <c r="AQ414" s="358">
        <f t="shared" ca="1" si="282"/>
        <v>0</v>
      </c>
      <c r="AR414" s="358">
        <f t="shared" ca="1" si="282"/>
        <v>0</v>
      </c>
      <c r="AS414" s="358">
        <f t="shared" ca="1" si="282"/>
        <v>0</v>
      </c>
      <c r="AT414" s="358">
        <f t="shared" ca="1" si="282"/>
        <v>0</v>
      </c>
      <c r="AV414" s="358">
        <f t="shared" ca="1" si="248"/>
        <v>0</v>
      </c>
      <c r="AX414" s="358">
        <f t="shared" ca="1" si="249"/>
        <v>0</v>
      </c>
      <c r="AZ414" s="358">
        <f t="shared" ca="1" si="250"/>
        <v>0</v>
      </c>
      <c r="BB414" s="358">
        <f t="shared" ca="1" si="251"/>
        <v>0</v>
      </c>
      <c r="BD414" s="358">
        <f t="shared" ca="1" si="252"/>
        <v>0</v>
      </c>
      <c r="BF414" s="358">
        <f t="shared" ca="1" si="253"/>
        <v>0</v>
      </c>
      <c r="BH414" s="358">
        <f t="shared" ca="1" si="254"/>
        <v>0</v>
      </c>
    </row>
    <row r="415" spans="1:60" hidden="1" outlineLevel="1">
      <c r="A415" s="1464">
        <f t="shared" si="283"/>
        <v>18</v>
      </c>
      <c r="B415" s="1464">
        <f t="shared" si="284"/>
        <v>33</v>
      </c>
      <c r="C415" s="1464">
        <f t="shared" si="285"/>
        <v>7</v>
      </c>
      <c r="D415" s="1271" t="str">
        <f ca="1">IF(OFFSET(PortfolioDashboard!$A$3,C415-1,0)="","Blank",OFFSET(PortfolioDashboard!$A$3,C415-1,0))</f>
        <v>Long-term Energy Conservation Measures</v>
      </c>
      <c r="E415" s="1464" t="str">
        <f t="shared" si="286"/>
        <v>2010$</v>
      </c>
      <c r="F415" s="1460">
        <f t="shared" ca="1" si="278"/>
        <v>0</v>
      </c>
      <c r="G415" s="358">
        <f t="shared" ca="1" si="279"/>
        <v>0</v>
      </c>
      <c r="H415" s="358">
        <f t="shared" ca="1" si="279"/>
        <v>0</v>
      </c>
      <c r="I415" s="358">
        <f t="shared" ca="1" si="279"/>
        <v>0</v>
      </c>
      <c r="J415" s="358">
        <f t="shared" ca="1" si="279"/>
        <v>0</v>
      </c>
      <c r="K415" s="358">
        <f t="shared" ca="1" si="279"/>
        <v>0</v>
      </c>
      <c r="L415" s="358">
        <f t="shared" ca="1" si="279"/>
        <v>0</v>
      </c>
      <c r="M415" s="358">
        <f t="shared" ca="1" si="279"/>
        <v>0</v>
      </c>
      <c r="N415" s="358">
        <f t="shared" ca="1" si="279"/>
        <v>0</v>
      </c>
      <c r="O415" s="358">
        <f t="shared" ca="1" si="279"/>
        <v>0</v>
      </c>
      <c r="P415" s="358">
        <f t="shared" ca="1" si="279"/>
        <v>0</v>
      </c>
      <c r="Q415" s="358">
        <f t="shared" ca="1" si="280"/>
        <v>0</v>
      </c>
      <c r="R415" s="358">
        <f t="shared" ca="1" si="280"/>
        <v>0</v>
      </c>
      <c r="S415" s="358">
        <f t="shared" ca="1" si="280"/>
        <v>0</v>
      </c>
      <c r="T415" s="358">
        <f t="shared" ca="1" si="280"/>
        <v>0</v>
      </c>
      <c r="U415" s="358">
        <f t="shared" ca="1" si="280"/>
        <v>0</v>
      </c>
      <c r="V415" s="358">
        <f t="shared" ca="1" si="280"/>
        <v>0</v>
      </c>
      <c r="W415" s="358">
        <f t="shared" ca="1" si="280"/>
        <v>0</v>
      </c>
      <c r="X415" s="358">
        <f t="shared" ca="1" si="280"/>
        <v>0</v>
      </c>
      <c r="Y415" s="358">
        <f t="shared" ca="1" si="280"/>
        <v>0</v>
      </c>
      <c r="Z415" s="358">
        <f t="shared" ca="1" si="280"/>
        <v>0</v>
      </c>
      <c r="AA415" s="358">
        <f t="shared" ca="1" si="281"/>
        <v>0</v>
      </c>
      <c r="AB415" s="358">
        <f t="shared" ca="1" si="281"/>
        <v>0</v>
      </c>
      <c r="AC415" s="358">
        <f t="shared" ca="1" si="281"/>
        <v>0</v>
      </c>
      <c r="AD415" s="358">
        <f t="shared" ca="1" si="281"/>
        <v>0</v>
      </c>
      <c r="AE415" s="358">
        <f t="shared" ca="1" si="281"/>
        <v>0</v>
      </c>
      <c r="AF415" s="358">
        <f t="shared" ca="1" si="281"/>
        <v>0</v>
      </c>
      <c r="AG415" s="358">
        <f t="shared" ca="1" si="281"/>
        <v>0</v>
      </c>
      <c r="AH415" s="358">
        <f t="shared" ca="1" si="281"/>
        <v>0</v>
      </c>
      <c r="AI415" s="358">
        <f t="shared" ca="1" si="281"/>
        <v>0</v>
      </c>
      <c r="AJ415" s="358">
        <f t="shared" ca="1" si="281"/>
        <v>0</v>
      </c>
      <c r="AK415" s="358">
        <f t="shared" ca="1" si="282"/>
        <v>0</v>
      </c>
      <c r="AL415" s="358">
        <f t="shared" ca="1" si="282"/>
        <v>0</v>
      </c>
      <c r="AM415" s="358">
        <f t="shared" ca="1" si="282"/>
        <v>0</v>
      </c>
      <c r="AN415" s="358">
        <f t="shared" ca="1" si="282"/>
        <v>0</v>
      </c>
      <c r="AO415" s="358">
        <f t="shared" ca="1" si="282"/>
        <v>0</v>
      </c>
      <c r="AP415" s="358">
        <f t="shared" ca="1" si="282"/>
        <v>0</v>
      </c>
      <c r="AQ415" s="358">
        <f t="shared" ca="1" si="282"/>
        <v>0</v>
      </c>
      <c r="AR415" s="358">
        <f t="shared" ca="1" si="282"/>
        <v>0</v>
      </c>
      <c r="AS415" s="358">
        <f t="shared" ca="1" si="282"/>
        <v>0</v>
      </c>
      <c r="AT415" s="358">
        <f t="shared" ca="1" si="282"/>
        <v>0</v>
      </c>
      <c r="AV415" s="358">
        <f t="shared" ca="1" si="248"/>
        <v>0</v>
      </c>
      <c r="AX415" s="358">
        <f t="shared" ca="1" si="249"/>
        <v>0</v>
      </c>
      <c r="AZ415" s="358">
        <f t="shared" ca="1" si="250"/>
        <v>0</v>
      </c>
      <c r="BB415" s="358">
        <f t="shared" ca="1" si="251"/>
        <v>0</v>
      </c>
      <c r="BD415" s="358">
        <f t="shared" ca="1" si="252"/>
        <v>0</v>
      </c>
      <c r="BF415" s="358">
        <f t="shared" ca="1" si="253"/>
        <v>0</v>
      </c>
      <c r="BH415" s="358">
        <f t="shared" ca="1" si="254"/>
        <v>0</v>
      </c>
    </row>
    <row r="416" spans="1:60" hidden="1" outlineLevel="1">
      <c r="A416" s="1464">
        <f t="shared" si="283"/>
        <v>18</v>
      </c>
      <c r="B416" s="1464">
        <f t="shared" si="284"/>
        <v>33</v>
      </c>
      <c r="C416" s="1464">
        <f t="shared" si="285"/>
        <v>8</v>
      </c>
      <c r="D416" s="1271" t="str">
        <f ca="1">IF(OFFSET(PortfolioDashboard!$A$3,C416-1,0)="","Blank",OFFSET(PortfolioDashboard!$A$3,C416-1,0))</f>
        <v>Green IT</v>
      </c>
      <c r="E416" s="1464" t="str">
        <f t="shared" si="286"/>
        <v>2010$</v>
      </c>
      <c r="F416" s="1460">
        <f t="shared" ca="1" si="278"/>
        <v>0</v>
      </c>
      <c r="G416" s="358">
        <f t="shared" ca="1" si="279"/>
        <v>0</v>
      </c>
      <c r="H416" s="358">
        <f t="shared" ca="1" si="279"/>
        <v>0</v>
      </c>
      <c r="I416" s="358">
        <f t="shared" ca="1" si="279"/>
        <v>0</v>
      </c>
      <c r="J416" s="358">
        <f t="shared" ca="1" si="279"/>
        <v>0</v>
      </c>
      <c r="K416" s="358">
        <f t="shared" ca="1" si="279"/>
        <v>0</v>
      </c>
      <c r="L416" s="358">
        <f t="shared" ca="1" si="279"/>
        <v>0</v>
      </c>
      <c r="M416" s="358">
        <f t="shared" ca="1" si="279"/>
        <v>0</v>
      </c>
      <c r="N416" s="358">
        <f t="shared" ca="1" si="279"/>
        <v>0</v>
      </c>
      <c r="O416" s="358">
        <f t="shared" ca="1" si="279"/>
        <v>0</v>
      </c>
      <c r="P416" s="358">
        <f t="shared" ca="1" si="279"/>
        <v>0</v>
      </c>
      <c r="Q416" s="358">
        <f t="shared" ca="1" si="280"/>
        <v>0</v>
      </c>
      <c r="R416" s="358">
        <f t="shared" ca="1" si="280"/>
        <v>0</v>
      </c>
      <c r="S416" s="358">
        <f t="shared" ca="1" si="280"/>
        <v>0</v>
      </c>
      <c r="T416" s="358">
        <f t="shared" ca="1" si="280"/>
        <v>0</v>
      </c>
      <c r="U416" s="358">
        <f t="shared" ca="1" si="280"/>
        <v>0</v>
      </c>
      <c r="V416" s="358">
        <f t="shared" ca="1" si="280"/>
        <v>0</v>
      </c>
      <c r="W416" s="358">
        <f t="shared" ca="1" si="280"/>
        <v>0</v>
      </c>
      <c r="X416" s="358">
        <f t="shared" ca="1" si="280"/>
        <v>0</v>
      </c>
      <c r="Y416" s="358">
        <f t="shared" ca="1" si="280"/>
        <v>0</v>
      </c>
      <c r="Z416" s="358">
        <f t="shared" ca="1" si="280"/>
        <v>0</v>
      </c>
      <c r="AA416" s="358">
        <f t="shared" ca="1" si="281"/>
        <v>0</v>
      </c>
      <c r="AB416" s="358">
        <f t="shared" ca="1" si="281"/>
        <v>0</v>
      </c>
      <c r="AC416" s="358">
        <f t="shared" ca="1" si="281"/>
        <v>0</v>
      </c>
      <c r="AD416" s="358">
        <f t="shared" ca="1" si="281"/>
        <v>0</v>
      </c>
      <c r="AE416" s="358">
        <f t="shared" ca="1" si="281"/>
        <v>0</v>
      </c>
      <c r="AF416" s="358">
        <f t="shared" ca="1" si="281"/>
        <v>0</v>
      </c>
      <c r="AG416" s="358">
        <f t="shared" ca="1" si="281"/>
        <v>0</v>
      </c>
      <c r="AH416" s="358">
        <f t="shared" ca="1" si="281"/>
        <v>0</v>
      </c>
      <c r="AI416" s="358">
        <f t="shared" ca="1" si="281"/>
        <v>0</v>
      </c>
      <c r="AJ416" s="358">
        <f t="shared" ca="1" si="281"/>
        <v>0</v>
      </c>
      <c r="AK416" s="358">
        <f t="shared" ca="1" si="282"/>
        <v>0</v>
      </c>
      <c r="AL416" s="358">
        <f t="shared" ca="1" si="282"/>
        <v>0</v>
      </c>
      <c r="AM416" s="358">
        <f t="shared" ca="1" si="282"/>
        <v>0</v>
      </c>
      <c r="AN416" s="358">
        <f t="shared" ca="1" si="282"/>
        <v>0</v>
      </c>
      <c r="AO416" s="358">
        <f t="shared" ca="1" si="282"/>
        <v>0</v>
      </c>
      <c r="AP416" s="358">
        <f t="shared" ca="1" si="282"/>
        <v>0</v>
      </c>
      <c r="AQ416" s="358">
        <f t="shared" ca="1" si="282"/>
        <v>0</v>
      </c>
      <c r="AR416" s="358">
        <f t="shared" ca="1" si="282"/>
        <v>0</v>
      </c>
      <c r="AS416" s="358">
        <f t="shared" ca="1" si="282"/>
        <v>0</v>
      </c>
      <c r="AT416" s="358">
        <f t="shared" ca="1" si="282"/>
        <v>0</v>
      </c>
      <c r="AV416" s="358">
        <f t="shared" ca="1" si="248"/>
        <v>0</v>
      </c>
      <c r="AX416" s="358">
        <f t="shared" ca="1" si="249"/>
        <v>0</v>
      </c>
      <c r="AZ416" s="358">
        <f t="shared" ca="1" si="250"/>
        <v>0</v>
      </c>
      <c r="BB416" s="358">
        <f t="shared" ca="1" si="251"/>
        <v>0</v>
      </c>
      <c r="BD416" s="358">
        <f t="shared" ca="1" si="252"/>
        <v>0</v>
      </c>
      <c r="BF416" s="358">
        <f t="shared" ca="1" si="253"/>
        <v>0</v>
      </c>
      <c r="BH416" s="358">
        <f t="shared" ca="1" si="254"/>
        <v>0</v>
      </c>
    </row>
    <row r="417" spans="1:60" hidden="1" outlineLevel="1">
      <c r="A417" s="1464">
        <f t="shared" si="283"/>
        <v>18</v>
      </c>
      <c r="B417" s="1464">
        <f t="shared" si="284"/>
        <v>33</v>
      </c>
      <c r="C417" s="1464">
        <f t="shared" si="285"/>
        <v>9</v>
      </c>
      <c r="D417" s="1271" t="str">
        <f ca="1">IF(OFFSET(PortfolioDashboard!$A$3,C417-1,0)="","Blank",OFFSET(PortfolioDashboard!$A$3,C417-1,0))</f>
        <v>Reduced Air Travel</v>
      </c>
      <c r="E417" s="1464" t="str">
        <f t="shared" si="286"/>
        <v>2010$</v>
      </c>
      <c r="F417" s="1460">
        <f t="shared" ca="1" si="278"/>
        <v>0</v>
      </c>
      <c r="G417" s="358">
        <f t="shared" ca="1" si="279"/>
        <v>0</v>
      </c>
      <c r="H417" s="358">
        <f t="shared" ca="1" si="279"/>
        <v>0</v>
      </c>
      <c r="I417" s="358">
        <f t="shared" ca="1" si="279"/>
        <v>0</v>
      </c>
      <c r="J417" s="358">
        <f t="shared" ca="1" si="279"/>
        <v>0</v>
      </c>
      <c r="K417" s="358">
        <f t="shared" ca="1" si="279"/>
        <v>0</v>
      </c>
      <c r="L417" s="358">
        <f t="shared" ca="1" si="279"/>
        <v>0</v>
      </c>
      <c r="M417" s="358">
        <f t="shared" ca="1" si="279"/>
        <v>0</v>
      </c>
      <c r="N417" s="358">
        <f t="shared" ca="1" si="279"/>
        <v>0</v>
      </c>
      <c r="O417" s="358">
        <f t="shared" ca="1" si="279"/>
        <v>0</v>
      </c>
      <c r="P417" s="358">
        <f t="shared" ca="1" si="279"/>
        <v>0</v>
      </c>
      <c r="Q417" s="358">
        <f t="shared" ca="1" si="280"/>
        <v>0</v>
      </c>
      <c r="R417" s="358">
        <f t="shared" ca="1" si="280"/>
        <v>0</v>
      </c>
      <c r="S417" s="358">
        <f t="shared" ca="1" si="280"/>
        <v>0</v>
      </c>
      <c r="T417" s="358">
        <f t="shared" ca="1" si="280"/>
        <v>0</v>
      </c>
      <c r="U417" s="358">
        <f t="shared" ca="1" si="280"/>
        <v>0</v>
      </c>
      <c r="V417" s="358">
        <f t="shared" ca="1" si="280"/>
        <v>0</v>
      </c>
      <c r="W417" s="358">
        <f t="shared" ca="1" si="280"/>
        <v>0</v>
      </c>
      <c r="X417" s="358">
        <f t="shared" ca="1" si="280"/>
        <v>0</v>
      </c>
      <c r="Y417" s="358">
        <f t="shared" ca="1" si="280"/>
        <v>0</v>
      </c>
      <c r="Z417" s="358">
        <f t="shared" ca="1" si="280"/>
        <v>0</v>
      </c>
      <c r="AA417" s="358">
        <f t="shared" ca="1" si="281"/>
        <v>0</v>
      </c>
      <c r="AB417" s="358">
        <f t="shared" ca="1" si="281"/>
        <v>0</v>
      </c>
      <c r="AC417" s="358">
        <f t="shared" ca="1" si="281"/>
        <v>0</v>
      </c>
      <c r="AD417" s="358">
        <f t="shared" ca="1" si="281"/>
        <v>0</v>
      </c>
      <c r="AE417" s="358">
        <f t="shared" ca="1" si="281"/>
        <v>0</v>
      </c>
      <c r="AF417" s="358">
        <f t="shared" ca="1" si="281"/>
        <v>0</v>
      </c>
      <c r="AG417" s="358">
        <f t="shared" ca="1" si="281"/>
        <v>0</v>
      </c>
      <c r="AH417" s="358">
        <f t="shared" ca="1" si="281"/>
        <v>0</v>
      </c>
      <c r="AI417" s="358">
        <f t="shared" ca="1" si="281"/>
        <v>0</v>
      </c>
      <c r="AJ417" s="358">
        <f t="shared" ca="1" si="281"/>
        <v>0</v>
      </c>
      <c r="AK417" s="358">
        <f t="shared" ca="1" si="282"/>
        <v>0</v>
      </c>
      <c r="AL417" s="358">
        <f t="shared" ca="1" si="282"/>
        <v>0</v>
      </c>
      <c r="AM417" s="358">
        <f t="shared" ca="1" si="282"/>
        <v>0</v>
      </c>
      <c r="AN417" s="358">
        <f t="shared" ca="1" si="282"/>
        <v>0</v>
      </c>
      <c r="AO417" s="358">
        <f t="shared" ca="1" si="282"/>
        <v>0</v>
      </c>
      <c r="AP417" s="358">
        <f t="shared" ca="1" si="282"/>
        <v>0</v>
      </c>
      <c r="AQ417" s="358">
        <f t="shared" ca="1" si="282"/>
        <v>0</v>
      </c>
      <c r="AR417" s="358">
        <f t="shared" ca="1" si="282"/>
        <v>0</v>
      </c>
      <c r="AS417" s="358">
        <f t="shared" ca="1" si="282"/>
        <v>0</v>
      </c>
      <c r="AT417" s="358">
        <f t="shared" ca="1" si="282"/>
        <v>0</v>
      </c>
      <c r="AV417" s="358">
        <f t="shared" ca="1" si="248"/>
        <v>0</v>
      </c>
      <c r="AX417" s="358">
        <f t="shared" ca="1" si="249"/>
        <v>0</v>
      </c>
      <c r="AZ417" s="358">
        <f t="shared" ca="1" si="250"/>
        <v>0</v>
      </c>
      <c r="BB417" s="358">
        <f t="shared" ca="1" si="251"/>
        <v>0</v>
      </c>
      <c r="BD417" s="358">
        <f t="shared" ca="1" si="252"/>
        <v>0</v>
      </c>
      <c r="BF417" s="358">
        <f t="shared" ca="1" si="253"/>
        <v>0</v>
      </c>
      <c r="BH417" s="358">
        <f t="shared" ca="1" si="254"/>
        <v>0</v>
      </c>
    </row>
    <row r="418" spans="1:60" hidden="1" outlineLevel="1">
      <c r="A418" s="1464">
        <f t="shared" si="283"/>
        <v>18</v>
      </c>
      <c r="B418" s="1464">
        <f t="shared" si="284"/>
        <v>33</v>
      </c>
      <c r="C418" s="1464">
        <f t="shared" si="285"/>
        <v>10</v>
      </c>
      <c r="D418" s="1271" t="str">
        <f ca="1">IF(OFFSET(PortfolioDashboard!$A$3,C418-1,0)="","Blank",OFFSET(PortfolioDashboard!$A$3,C418-1,0))</f>
        <v>Reduced Automobile Reliance Strategies</v>
      </c>
      <c r="E418" s="1464" t="str">
        <f t="shared" si="286"/>
        <v>2010$</v>
      </c>
      <c r="F418" s="1460">
        <f t="shared" ca="1" si="278"/>
        <v>0</v>
      </c>
      <c r="G418" s="358">
        <f t="shared" ca="1" si="279"/>
        <v>0</v>
      </c>
      <c r="H418" s="358">
        <f t="shared" ca="1" si="279"/>
        <v>0</v>
      </c>
      <c r="I418" s="358">
        <f t="shared" ca="1" si="279"/>
        <v>0</v>
      </c>
      <c r="J418" s="358">
        <f t="shared" ca="1" si="279"/>
        <v>0</v>
      </c>
      <c r="K418" s="358">
        <f t="shared" ca="1" si="279"/>
        <v>0</v>
      </c>
      <c r="L418" s="358">
        <f t="shared" ca="1" si="279"/>
        <v>0</v>
      </c>
      <c r="M418" s="358">
        <f t="shared" ca="1" si="279"/>
        <v>0</v>
      </c>
      <c r="N418" s="358">
        <f t="shared" ca="1" si="279"/>
        <v>0</v>
      </c>
      <c r="O418" s="358">
        <f t="shared" ca="1" si="279"/>
        <v>0</v>
      </c>
      <c r="P418" s="358">
        <f t="shared" ca="1" si="279"/>
        <v>0</v>
      </c>
      <c r="Q418" s="358">
        <f t="shared" ca="1" si="280"/>
        <v>0</v>
      </c>
      <c r="R418" s="358">
        <f t="shared" ca="1" si="280"/>
        <v>0</v>
      </c>
      <c r="S418" s="358">
        <f t="shared" ca="1" si="280"/>
        <v>0</v>
      </c>
      <c r="T418" s="358">
        <f t="shared" ca="1" si="280"/>
        <v>0</v>
      </c>
      <c r="U418" s="358">
        <f t="shared" ca="1" si="280"/>
        <v>0</v>
      </c>
      <c r="V418" s="358">
        <f t="shared" ca="1" si="280"/>
        <v>0</v>
      </c>
      <c r="W418" s="358">
        <f t="shared" ca="1" si="280"/>
        <v>0</v>
      </c>
      <c r="X418" s="358">
        <f t="shared" ca="1" si="280"/>
        <v>0</v>
      </c>
      <c r="Y418" s="358">
        <f t="shared" ca="1" si="280"/>
        <v>0</v>
      </c>
      <c r="Z418" s="358">
        <f t="shared" ca="1" si="280"/>
        <v>0</v>
      </c>
      <c r="AA418" s="358">
        <f t="shared" ca="1" si="281"/>
        <v>0</v>
      </c>
      <c r="AB418" s="358">
        <f t="shared" ca="1" si="281"/>
        <v>0</v>
      </c>
      <c r="AC418" s="358">
        <f t="shared" ca="1" si="281"/>
        <v>0</v>
      </c>
      <c r="AD418" s="358">
        <f t="shared" ca="1" si="281"/>
        <v>0</v>
      </c>
      <c r="AE418" s="358">
        <f t="shared" ca="1" si="281"/>
        <v>0</v>
      </c>
      <c r="AF418" s="358">
        <f t="shared" ca="1" si="281"/>
        <v>0</v>
      </c>
      <c r="AG418" s="358">
        <f t="shared" ca="1" si="281"/>
        <v>0</v>
      </c>
      <c r="AH418" s="358">
        <f t="shared" ca="1" si="281"/>
        <v>0</v>
      </c>
      <c r="AI418" s="358">
        <f t="shared" ca="1" si="281"/>
        <v>0</v>
      </c>
      <c r="AJ418" s="358">
        <f t="shared" ca="1" si="281"/>
        <v>0</v>
      </c>
      <c r="AK418" s="358">
        <f t="shared" ca="1" si="282"/>
        <v>0</v>
      </c>
      <c r="AL418" s="358">
        <f t="shared" ca="1" si="282"/>
        <v>0</v>
      </c>
      <c r="AM418" s="358">
        <f t="shared" ca="1" si="282"/>
        <v>0</v>
      </c>
      <c r="AN418" s="358">
        <f t="shared" ca="1" si="282"/>
        <v>0</v>
      </c>
      <c r="AO418" s="358">
        <f t="shared" ca="1" si="282"/>
        <v>0</v>
      </c>
      <c r="AP418" s="358">
        <f t="shared" ca="1" si="282"/>
        <v>0</v>
      </c>
      <c r="AQ418" s="358">
        <f t="shared" ca="1" si="282"/>
        <v>0</v>
      </c>
      <c r="AR418" s="358">
        <f t="shared" ca="1" si="282"/>
        <v>0</v>
      </c>
      <c r="AS418" s="358">
        <f t="shared" ca="1" si="282"/>
        <v>0</v>
      </c>
      <c r="AT418" s="358">
        <f t="shared" ca="1" si="282"/>
        <v>0</v>
      </c>
      <c r="AV418" s="358">
        <f t="shared" ca="1" si="248"/>
        <v>0</v>
      </c>
      <c r="AX418" s="358">
        <f t="shared" ca="1" si="249"/>
        <v>0</v>
      </c>
      <c r="AZ418" s="358">
        <f t="shared" ca="1" si="250"/>
        <v>0</v>
      </c>
      <c r="BB418" s="358">
        <f t="shared" ca="1" si="251"/>
        <v>0</v>
      </c>
      <c r="BD418" s="358">
        <f t="shared" ca="1" si="252"/>
        <v>0</v>
      </c>
      <c r="BF418" s="358">
        <f t="shared" ca="1" si="253"/>
        <v>0</v>
      </c>
      <c r="BH418" s="358">
        <f t="shared" ca="1" si="254"/>
        <v>0</v>
      </c>
    </row>
    <row r="419" spans="1:60" hidden="1" outlineLevel="1">
      <c r="A419" s="1464">
        <f t="shared" si="283"/>
        <v>18</v>
      </c>
      <c r="B419" s="1464">
        <f t="shared" si="284"/>
        <v>33</v>
      </c>
      <c r="C419" s="1464">
        <f t="shared" si="285"/>
        <v>11</v>
      </c>
      <c r="D419" s="1271" t="str">
        <f ca="1">IF(OFFSET(PortfolioDashboard!$A$3,C419-1,0)="","Blank",OFFSET(PortfolioDashboard!$A$3,C419-1,0))</f>
        <v>Waste Reduction</v>
      </c>
      <c r="E419" s="1464" t="str">
        <f t="shared" si="286"/>
        <v>2010$</v>
      </c>
      <c r="F419" s="1460">
        <f t="shared" ca="1" si="278"/>
        <v>0</v>
      </c>
      <c r="G419" s="358">
        <f t="shared" ref="G419:P428" ca="1" si="287">IFERROR(OFFSET(INDIRECT(INDEX(List_of_Alternatives,MATCH($D419,NameofAlternatives,0))),$A419+G$1-$G$1,$B419),0)</f>
        <v>0</v>
      </c>
      <c r="H419" s="358">
        <f t="shared" ca="1" si="287"/>
        <v>0</v>
      </c>
      <c r="I419" s="358">
        <f t="shared" ca="1" si="287"/>
        <v>0</v>
      </c>
      <c r="J419" s="358">
        <f t="shared" ca="1" si="287"/>
        <v>0</v>
      </c>
      <c r="K419" s="358">
        <f t="shared" ca="1" si="287"/>
        <v>0</v>
      </c>
      <c r="L419" s="358">
        <f t="shared" ca="1" si="287"/>
        <v>0</v>
      </c>
      <c r="M419" s="358">
        <f t="shared" ca="1" si="287"/>
        <v>0</v>
      </c>
      <c r="N419" s="358">
        <f t="shared" ca="1" si="287"/>
        <v>0</v>
      </c>
      <c r="O419" s="358">
        <f t="shared" ca="1" si="287"/>
        <v>0</v>
      </c>
      <c r="P419" s="358">
        <f t="shared" ca="1" si="287"/>
        <v>0</v>
      </c>
      <c r="Q419" s="358">
        <f t="shared" ref="Q419:Z428" ca="1" si="288">IFERROR(OFFSET(INDIRECT(INDEX(List_of_Alternatives,MATCH($D419,NameofAlternatives,0))),$A419+Q$1-$G$1,$B419),0)</f>
        <v>0</v>
      </c>
      <c r="R419" s="358">
        <f t="shared" ca="1" si="288"/>
        <v>0</v>
      </c>
      <c r="S419" s="358">
        <f t="shared" ca="1" si="288"/>
        <v>0</v>
      </c>
      <c r="T419" s="358">
        <f t="shared" ca="1" si="288"/>
        <v>0</v>
      </c>
      <c r="U419" s="358">
        <f t="shared" ca="1" si="288"/>
        <v>0</v>
      </c>
      <c r="V419" s="358">
        <f t="shared" ca="1" si="288"/>
        <v>0</v>
      </c>
      <c r="W419" s="358">
        <f t="shared" ca="1" si="288"/>
        <v>0</v>
      </c>
      <c r="X419" s="358">
        <f t="shared" ca="1" si="288"/>
        <v>0</v>
      </c>
      <c r="Y419" s="358">
        <f t="shared" ca="1" si="288"/>
        <v>0</v>
      </c>
      <c r="Z419" s="358">
        <f t="shared" ca="1" si="288"/>
        <v>0</v>
      </c>
      <c r="AA419" s="358">
        <f t="shared" ref="AA419:AJ428" ca="1" si="289">IFERROR(OFFSET(INDIRECT(INDEX(List_of_Alternatives,MATCH($D419,NameofAlternatives,0))),$A419+AA$1-$G$1,$B419),0)</f>
        <v>0</v>
      </c>
      <c r="AB419" s="358">
        <f t="shared" ca="1" si="289"/>
        <v>0</v>
      </c>
      <c r="AC419" s="358">
        <f t="shared" ca="1" si="289"/>
        <v>0</v>
      </c>
      <c r="AD419" s="358">
        <f t="shared" ca="1" si="289"/>
        <v>0</v>
      </c>
      <c r="AE419" s="358">
        <f t="shared" ca="1" si="289"/>
        <v>0</v>
      </c>
      <c r="AF419" s="358">
        <f t="shared" ca="1" si="289"/>
        <v>0</v>
      </c>
      <c r="AG419" s="358">
        <f t="shared" ca="1" si="289"/>
        <v>0</v>
      </c>
      <c r="AH419" s="358">
        <f t="shared" ca="1" si="289"/>
        <v>0</v>
      </c>
      <c r="AI419" s="358">
        <f t="shared" ca="1" si="289"/>
        <v>0</v>
      </c>
      <c r="AJ419" s="358">
        <f t="shared" ca="1" si="289"/>
        <v>0</v>
      </c>
      <c r="AK419" s="358">
        <f t="shared" ref="AK419:AT428" ca="1" si="290">IFERROR(OFFSET(INDIRECT(INDEX(List_of_Alternatives,MATCH($D419,NameofAlternatives,0))),$A419+AK$1-$G$1,$B419),0)</f>
        <v>0</v>
      </c>
      <c r="AL419" s="358">
        <f t="shared" ca="1" si="290"/>
        <v>0</v>
      </c>
      <c r="AM419" s="358">
        <f t="shared" ca="1" si="290"/>
        <v>0</v>
      </c>
      <c r="AN419" s="358">
        <f t="shared" ca="1" si="290"/>
        <v>0</v>
      </c>
      <c r="AO419" s="358">
        <f t="shared" ca="1" si="290"/>
        <v>0</v>
      </c>
      <c r="AP419" s="358">
        <f t="shared" ca="1" si="290"/>
        <v>0</v>
      </c>
      <c r="AQ419" s="358">
        <f t="shared" ca="1" si="290"/>
        <v>0</v>
      </c>
      <c r="AR419" s="358">
        <f t="shared" ca="1" si="290"/>
        <v>0</v>
      </c>
      <c r="AS419" s="358">
        <f t="shared" ca="1" si="290"/>
        <v>0</v>
      </c>
      <c r="AT419" s="358">
        <f t="shared" ca="1" si="290"/>
        <v>0</v>
      </c>
      <c r="AV419" s="358">
        <f t="shared" ca="1" si="248"/>
        <v>0</v>
      </c>
      <c r="AX419" s="358">
        <f t="shared" ca="1" si="249"/>
        <v>0</v>
      </c>
      <c r="AZ419" s="358">
        <f t="shared" ca="1" si="250"/>
        <v>0</v>
      </c>
      <c r="BB419" s="358">
        <f t="shared" ca="1" si="251"/>
        <v>0</v>
      </c>
      <c r="BD419" s="358">
        <f t="shared" ca="1" si="252"/>
        <v>0</v>
      </c>
      <c r="BF419" s="358">
        <f t="shared" ca="1" si="253"/>
        <v>0</v>
      </c>
      <c r="BH419" s="358">
        <f t="shared" ca="1" si="254"/>
        <v>0</v>
      </c>
    </row>
    <row r="420" spans="1:60" hidden="1" outlineLevel="1">
      <c r="A420" s="1464">
        <f t="shared" si="283"/>
        <v>18</v>
      </c>
      <c r="B420" s="1464">
        <f t="shared" si="284"/>
        <v>33</v>
      </c>
      <c r="C420" s="1464">
        <f t="shared" si="285"/>
        <v>12</v>
      </c>
      <c r="D420" s="1271" t="str">
        <f ca="1">IF(OFFSET(PortfolioDashboard!$A$3,C420-1,0)="","Blank",OFFSET(PortfolioDashboard!$A$3,C420-1,0))</f>
        <v>Steam Line Improvements</v>
      </c>
      <c r="E420" s="1464" t="str">
        <f t="shared" si="286"/>
        <v>2010$</v>
      </c>
      <c r="F420" s="1460">
        <f t="shared" ca="1" si="278"/>
        <v>0</v>
      </c>
      <c r="G420" s="358">
        <f t="shared" ca="1" si="287"/>
        <v>0</v>
      </c>
      <c r="H420" s="358">
        <f t="shared" ca="1" si="287"/>
        <v>0</v>
      </c>
      <c r="I420" s="358">
        <f t="shared" ca="1" si="287"/>
        <v>0</v>
      </c>
      <c r="J420" s="358">
        <f t="shared" ca="1" si="287"/>
        <v>0</v>
      </c>
      <c r="K420" s="358">
        <f t="shared" ca="1" si="287"/>
        <v>0</v>
      </c>
      <c r="L420" s="358">
        <f t="shared" ca="1" si="287"/>
        <v>0</v>
      </c>
      <c r="M420" s="358">
        <f t="shared" ca="1" si="287"/>
        <v>0</v>
      </c>
      <c r="N420" s="358">
        <f t="shared" ca="1" si="287"/>
        <v>0</v>
      </c>
      <c r="O420" s="358">
        <f t="shared" ca="1" si="287"/>
        <v>0</v>
      </c>
      <c r="P420" s="358">
        <f t="shared" ca="1" si="287"/>
        <v>0</v>
      </c>
      <c r="Q420" s="358">
        <f t="shared" ca="1" si="288"/>
        <v>0</v>
      </c>
      <c r="R420" s="358">
        <f t="shared" ca="1" si="288"/>
        <v>0</v>
      </c>
      <c r="S420" s="358">
        <f t="shared" ca="1" si="288"/>
        <v>0</v>
      </c>
      <c r="T420" s="358">
        <f t="shared" ca="1" si="288"/>
        <v>0</v>
      </c>
      <c r="U420" s="358">
        <f t="shared" ca="1" si="288"/>
        <v>0</v>
      </c>
      <c r="V420" s="358">
        <f t="shared" ca="1" si="288"/>
        <v>0</v>
      </c>
      <c r="W420" s="358">
        <f t="shared" ca="1" si="288"/>
        <v>0</v>
      </c>
      <c r="X420" s="358">
        <f t="shared" ca="1" si="288"/>
        <v>0</v>
      </c>
      <c r="Y420" s="358">
        <f t="shared" ca="1" si="288"/>
        <v>0</v>
      </c>
      <c r="Z420" s="358">
        <f t="shared" ca="1" si="288"/>
        <v>0</v>
      </c>
      <c r="AA420" s="358">
        <f t="shared" ca="1" si="289"/>
        <v>0</v>
      </c>
      <c r="AB420" s="358">
        <f t="shared" ca="1" si="289"/>
        <v>0</v>
      </c>
      <c r="AC420" s="358">
        <f t="shared" ca="1" si="289"/>
        <v>0</v>
      </c>
      <c r="AD420" s="358">
        <f t="shared" ca="1" si="289"/>
        <v>0</v>
      </c>
      <c r="AE420" s="358">
        <f t="shared" ca="1" si="289"/>
        <v>0</v>
      </c>
      <c r="AF420" s="358">
        <f t="shared" ca="1" si="289"/>
        <v>0</v>
      </c>
      <c r="AG420" s="358">
        <f t="shared" ca="1" si="289"/>
        <v>0</v>
      </c>
      <c r="AH420" s="358">
        <f t="shared" ca="1" si="289"/>
        <v>0</v>
      </c>
      <c r="AI420" s="358">
        <f t="shared" ca="1" si="289"/>
        <v>0</v>
      </c>
      <c r="AJ420" s="358">
        <f t="shared" ca="1" si="289"/>
        <v>0</v>
      </c>
      <c r="AK420" s="358">
        <f t="shared" ca="1" si="290"/>
        <v>0</v>
      </c>
      <c r="AL420" s="358">
        <f t="shared" ca="1" si="290"/>
        <v>0</v>
      </c>
      <c r="AM420" s="358">
        <f t="shared" ca="1" si="290"/>
        <v>0</v>
      </c>
      <c r="AN420" s="358">
        <f t="shared" ca="1" si="290"/>
        <v>0</v>
      </c>
      <c r="AO420" s="358">
        <f t="shared" ca="1" si="290"/>
        <v>0</v>
      </c>
      <c r="AP420" s="358">
        <f t="shared" ca="1" si="290"/>
        <v>0</v>
      </c>
      <c r="AQ420" s="358">
        <f t="shared" ca="1" si="290"/>
        <v>0</v>
      </c>
      <c r="AR420" s="358">
        <f t="shared" ca="1" si="290"/>
        <v>0</v>
      </c>
      <c r="AS420" s="358">
        <f t="shared" ca="1" si="290"/>
        <v>0</v>
      </c>
      <c r="AT420" s="358">
        <f t="shared" ca="1" si="290"/>
        <v>0</v>
      </c>
      <c r="AV420" s="358">
        <f t="shared" ca="1" si="248"/>
        <v>0</v>
      </c>
      <c r="AX420" s="358">
        <f t="shared" ca="1" si="249"/>
        <v>0</v>
      </c>
      <c r="AZ420" s="358">
        <f t="shared" ca="1" si="250"/>
        <v>0</v>
      </c>
      <c r="BB420" s="358">
        <f t="shared" ca="1" si="251"/>
        <v>0</v>
      </c>
      <c r="BD420" s="358">
        <f t="shared" ca="1" si="252"/>
        <v>0</v>
      </c>
      <c r="BF420" s="358">
        <f t="shared" ca="1" si="253"/>
        <v>0</v>
      </c>
      <c r="BH420" s="358">
        <f t="shared" ca="1" si="254"/>
        <v>0</v>
      </c>
    </row>
    <row r="421" spans="1:60" hidden="1" outlineLevel="1">
      <c r="A421" s="1464">
        <f t="shared" si="283"/>
        <v>18</v>
      </c>
      <c r="B421" s="1464">
        <f t="shared" si="284"/>
        <v>33</v>
      </c>
      <c r="C421" s="1464">
        <f t="shared" si="285"/>
        <v>13</v>
      </c>
      <c r="D421" s="1271" t="str">
        <f ca="1">IF(OFFSET(PortfolioDashboard!$A$3,C421-1,0)="","Blank",OFFSET(PortfolioDashboard!$A$3,C421-1,0))</f>
        <v>Coal to Natural Gas Conversion @ Steam Plant</v>
      </c>
      <c r="E421" s="1464" t="str">
        <f t="shared" si="286"/>
        <v>2010$</v>
      </c>
      <c r="F421" s="1460">
        <f t="shared" ca="1" si="278"/>
        <v>0</v>
      </c>
      <c r="G421" s="358">
        <f t="shared" ca="1" si="287"/>
        <v>0</v>
      </c>
      <c r="H421" s="358">
        <f t="shared" ca="1" si="287"/>
        <v>0</v>
      </c>
      <c r="I421" s="358">
        <f t="shared" ca="1" si="287"/>
        <v>0</v>
      </c>
      <c r="J421" s="358">
        <f t="shared" ca="1" si="287"/>
        <v>0</v>
      </c>
      <c r="K421" s="358">
        <f t="shared" ca="1" si="287"/>
        <v>0</v>
      </c>
      <c r="L421" s="358">
        <f t="shared" ca="1" si="287"/>
        <v>0</v>
      </c>
      <c r="M421" s="358">
        <f t="shared" ca="1" si="287"/>
        <v>0</v>
      </c>
      <c r="N421" s="358">
        <f t="shared" ca="1" si="287"/>
        <v>0</v>
      </c>
      <c r="O421" s="358">
        <f t="shared" ca="1" si="287"/>
        <v>0</v>
      </c>
      <c r="P421" s="358">
        <f t="shared" ca="1" si="287"/>
        <v>0</v>
      </c>
      <c r="Q421" s="358">
        <f t="shared" ca="1" si="288"/>
        <v>0</v>
      </c>
      <c r="R421" s="358">
        <f t="shared" ca="1" si="288"/>
        <v>0</v>
      </c>
      <c r="S421" s="358">
        <f t="shared" ca="1" si="288"/>
        <v>0</v>
      </c>
      <c r="T421" s="358">
        <f t="shared" ca="1" si="288"/>
        <v>0</v>
      </c>
      <c r="U421" s="358">
        <f t="shared" ca="1" si="288"/>
        <v>0</v>
      </c>
      <c r="V421" s="358">
        <f t="shared" ca="1" si="288"/>
        <v>0</v>
      </c>
      <c r="W421" s="358">
        <f t="shared" ca="1" si="288"/>
        <v>0</v>
      </c>
      <c r="X421" s="358">
        <f t="shared" ca="1" si="288"/>
        <v>0</v>
      </c>
      <c r="Y421" s="358">
        <f t="shared" ca="1" si="288"/>
        <v>0</v>
      </c>
      <c r="Z421" s="358">
        <f t="shared" ca="1" si="288"/>
        <v>0</v>
      </c>
      <c r="AA421" s="358">
        <f t="shared" ca="1" si="289"/>
        <v>0</v>
      </c>
      <c r="AB421" s="358">
        <f t="shared" ca="1" si="289"/>
        <v>0</v>
      </c>
      <c r="AC421" s="358">
        <f t="shared" ca="1" si="289"/>
        <v>0</v>
      </c>
      <c r="AD421" s="358">
        <f t="shared" ca="1" si="289"/>
        <v>0</v>
      </c>
      <c r="AE421" s="358">
        <f t="shared" ca="1" si="289"/>
        <v>0</v>
      </c>
      <c r="AF421" s="358">
        <f t="shared" ca="1" si="289"/>
        <v>0</v>
      </c>
      <c r="AG421" s="358">
        <f t="shared" ca="1" si="289"/>
        <v>0</v>
      </c>
      <c r="AH421" s="358">
        <f t="shared" ca="1" si="289"/>
        <v>0</v>
      </c>
      <c r="AI421" s="358">
        <f t="shared" ca="1" si="289"/>
        <v>0</v>
      </c>
      <c r="AJ421" s="358">
        <f t="shared" ca="1" si="289"/>
        <v>0</v>
      </c>
      <c r="AK421" s="358">
        <f t="shared" ca="1" si="290"/>
        <v>0</v>
      </c>
      <c r="AL421" s="358">
        <f t="shared" ca="1" si="290"/>
        <v>0</v>
      </c>
      <c r="AM421" s="358">
        <f t="shared" ca="1" si="290"/>
        <v>0</v>
      </c>
      <c r="AN421" s="358">
        <f t="shared" ca="1" si="290"/>
        <v>0</v>
      </c>
      <c r="AO421" s="358">
        <f t="shared" ca="1" si="290"/>
        <v>0</v>
      </c>
      <c r="AP421" s="358">
        <f t="shared" ca="1" si="290"/>
        <v>0</v>
      </c>
      <c r="AQ421" s="358">
        <f t="shared" ca="1" si="290"/>
        <v>0</v>
      </c>
      <c r="AR421" s="358">
        <f t="shared" ca="1" si="290"/>
        <v>0</v>
      </c>
      <c r="AS421" s="358">
        <f t="shared" ca="1" si="290"/>
        <v>0</v>
      </c>
      <c r="AT421" s="358">
        <f t="shared" ca="1" si="290"/>
        <v>0</v>
      </c>
      <c r="AV421" s="358">
        <f t="shared" ca="1" si="248"/>
        <v>0</v>
      </c>
      <c r="AX421" s="358">
        <f t="shared" ca="1" si="249"/>
        <v>0</v>
      </c>
      <c r="AZ421" s="358">
        <f t="shared" ca="1" si="250"/>
        <v>0</v>
      </c>
      <c r="BB421" s="358">
        <f t="shared" ca="1" si="251"/>
        <v>0</v>
      </c>
      <c r="BD421" s="358">
        <f t="shared" ca="1" si="252"/>
        <v>0</v>
      </c>
      <c r="BF421" s="358">
        <f t="shared" ca="1" si="253"/>
        <v>0</v>
      </c>
      <c r="BH421" s="358">
        <f t="shared" ca="1" si="254"/>
        <v>0</v>
      </c>
    </row>
    <row r="422" spans="1:60" hidden="1" outlineLevel="1">
      <c r="A422" s="1464">
        <f t="shared" si="283"/>
        <v>18</v>
      </c>
      <c r="B422" s="1464">
        <f t="shared" si="284"/>
        <v>33</v>
      </c>
      <c r="C422" s="1464">
        <f t="shared" si="285"/>
        <v>14</v>
      </c>
      <c r="D422" s="1271" t="str">
        <f ca="1">IF(OFFSET(PortfolioDashboard!$A$3,C422-1,0)="","Blank",OFFSET(PortfolioDashboard!$A$3,C422-1,0))</f>
        <v>On-site Wind</v>
      </c>
      <c r="E422" s="1464" t="str">
        <f t="shared" si="286"/>
        <v>2010$</v>
      </c>
      <c r="F422" s="1460">
        <f t="shared" ca="1" si="278"/>
        <v>0</v>
      </c>
      <c r="G422" s="358">
        <f t="shared" ca="1" si="287"/>
        <v>0</v>
      </c>
      <c r="H422" s="358">
        <f t="shared" ca="1" si="287"/>
        <v>0</v>
      </c>
      <c r="I422" s="358">
        <f t="shared" ca="1" si="287"/>
        <v>0</v>
      </c>
      <c r="J422" s="358">
        <f t="shared" ca="1" si="287"/>
        <v>0</v>
      </c>
      <c r="K422" s="358">
        <f t="shared" ca="1" si="287"/>
        <v>0</v>
      </c>
      <c r="L422" s="358">
        <f t="shared" ca="1" si="287"/>
        <v>0</v>
      </c>
      <c r="M422" s="358">
        <f t="shared" ca="1" si="287"/>
        <v>0</v>
      </c>
      <c r="N422" s="358">
        <f t="shared" ca="1" si="287"/>
        <v>0</v>
      </c>
      <c r="O422" s="358">
        <f t="shared" ca="1" si="287"/>
        <v>0</v>
      </c>
      <c r="P422" s="358">
        <f t="shared" ca="1" si="287"/>
        <v>0</v>
      </c>
      <c r="Q422" s="358">
        <f t="shared" ca="1" si="288"/>
        <v>0</v>
      </c>
      <c r="R422" s="358">
        <f t="shared" ca="1" si="288"/>
        <v>0</v>
      </c>
      <c r="S422" s="358">
        <f t="shared" ca="1" si="288"/>
        <v>0</v>
      </c>
      <c r="T422" s="358">
        <f t="shared" ca="1" si="288"/>
        <v>0</v>
      </c>
      <c r="U422" s="358">
        <f t="shared" ca="1" si="288"/>
        <v>0</v>
      </c>
      <c r="V422" s="358">
        <f t="shared" ca="1" si="288"/>
        <v>0</v>
      </c>
      <c r="W422" s="358">
        <f t="shared" ca="1" si="288"/>
        <v>0</v>
      </c>
      <c r="X422" s="358">
        <f t="shared" ca="1" si="288"/>
        <v>0</v>
      </c>
      <c r="Y422" s="358">
        <f t="shared" ca="1" si="288"/>
        <v>0</v>
      </c>
      <c r="Z422" s="358">
        <f t="shared" ca="1" si="288"/>
        <v>0</v>
      </c>
      <c r="AA422" s="358">
        <f t="shared" ca="1" si="289"/>
        <v>0</v>
      </c>
      <c r="AB422" s="358">
        <f t="shared" ca="1" si="289"/>
        <v>0</v>
      </c>
      <c r="AC422" s="358">
        <f t="shared" ca="1" si="289"/>
        <v>0</v>
      </c>
      <c r="AD422" s="358">
        <f t="shared" ca="1" si="289"/>
        <v>0</v>
      </c>
      <c r="AE422" s="358">
        <f t="shared" ca="1" si="289"/>
        <v>0</v>
      </c>
      <c r="AF422" s="358">
        <f t="shared" ca="1" si="289"/>
        <v>0</v>
      </c>
      <c r="AG422" s="358">
        <f t="shared" ca="1" si="289"/>
        <v>0</v>
      </c>
      <c r="AH422" s="358">
        <f t="shared" ca="1" si="289"/>
        <v>0</v>
      </c>
      <c r="AI422" s="358">
        <f t="shared" ca="1" si="289"/>
        <v>0</v>
      </c>
      <c r="AJ422" s="358">
        <f t="shared" ca="1" si="289"/>
        <v>0</v>
      </c>
      <c r="AK422" s="358">
        <f t="shared" ca="1" si="290"/>
        <v>0</v>
      </c>
      <c r="AL422" s="358">
        <f t="shared" ca="1" si="290"/>
        <v>0</v>
      </c>
      <c r="AM422" s="358">
        <f t="shared" ca="1" si="290"/>
        <v>0</v>
      </c>
      <c r="AN422" s="358">
        <f t="shared" ca="1" si="290"/>
        <v>0</v>
      </c>
      <c r="AO422" s="358">
        <f t="shared" ca="1" si="290"/>
        <v>0</v>
      </c>
      <c r="AP422" s="358">
        <f t="shared" ca="1" si="290"/>
        <v>0</v>
      </c>
      <c r="AQ422" s="358">
        <f t="shared" ca="1" si="290"/>
        <v>0</v>
      </c>
      <c r="AR422" s="358">
        <f t="shared" ca="1" si="290"/>
        <v>0</v>
      </c>
      <c r="AS422" s="358">
        <f t="shared" ca="1" si="290"/>
        <v>0</v>
      </c>
      <c r="AT422" s="358">
        <f t="shared" ca="1" si="290"/>
        <v>0</v>
      </c>
      <c r="AV422" s="358">
        <f t="shared" ref="AV422:AV515" ca="1" si="291">SUM(L422:P422)</f>
        <v>0</v>
      </c>
      <c r="AX422" s="358">
        <f t="shared" ref="AX422:AX515" ca="1" si="292">SUM(Q422:U422)</f>
        <v>0</v>
      </c>
      <c r="AZ422" s="358">
        <f t="shared" ref="AZ422:AZ515" ca="1" si="293">SUM(V422:Z422)</f>
        <v>0</v>
      </c>
      <c r="BB422" s="358">
        <f t="shared" ref="BB422:BB515" ca="1" si="294">SUM(AA422:AE422)</f>
        <v>0</v>
      </c>
      <c r="BD422" s="358">
        <f t="shared" ref="BD422:BD515" ca="1" si="295">SUM(AF422:AJ422)</f>
        <v>0</v>
      </c>
      <c r="BF422" s="358">
        <f t="shared" ref="BF422:BF515" ca="1" si="296">SUM(AK422:AO422)</f>
        <v>0</v>
      </c>
      <c r="BH422" s="358">
        <f t="shared" ref="BH422:BH515" ca="1" si="297">SUM(AP422:AT422)</f>
        <v>0</v>
      </c>
    </row>
    <row r="423" spans="1:60" hidden="1" outlineLevel="1">
      <c r="A423" s="1464">
        <f t="shared" si="283"/>
        <v>18</v>
      </c>
      <c r="B423" s="1464">
        <f t="shared" si="284"/>
        <v>33</v>
      </c>
      <c r="C423" s="1464">
        <f t="shared" si="285"/>
        <v>15</v>
      </c>
      <c r="D423" s="1271" t="str">
        <f ca="1">IF(OFFSET(PortfolioDashboard!$A$3,C423-1,0)="","Blank",OFFSET(PortfolioDashboard!$A$3,C423-1,0))</f>
        <v>Solar DHW</v>
      </c>
      <c r="E423" s="1464" t="str">
        <f t="shared" si="286"/>
        <v>2010$</v>
      </c>
      <c r="F423" s="1460">
        <f t="shared" ca="1" si="278"/>
        <v>0</v>
      </c>
      <c r="G423" s="358">
        <f t="shared" ca="1" si="287"/>
        <v>0</v>
      </c>
      <c r="H423" s="358">
        <f t="shared" ca="1" si="287"/>
        <v>0</v>
      </c>
      <c r="I423" s="358">
        <f t="shared" ca="1" si="287"/>
        <v>0</v>
      </c>
      <c r="J423" s="358">
        <f t="shared" ca="1" si="287"/>
        <v>0</v>
      </c>
      <c r="K423" s="358">
        <f t="shared" ca="1" si="287"/>
        <v>0</v>
      </c>
      <c r="L423" s="358">
        <f t="shared" ca="1" si="287"/>
        <v>0</v>
      </c>
      <c r="M423" s="358">
        <f t="shared" ca="1" si="287"/>
        <v>0</v>
      </c>
      <c r="N423" s="358">
        <f t="shared" ca="1" si="287"/>
        <v>0</v>
      </c>
      <c r="O423" s="358">
        <f t="shared" ca="1" si="287"/>
        <v>0</v>
      </c>
      <c r="P423" s="358">
        <f t="shared" ca="1" si="287"/>
        <v>0</v>
      </c>
      <c r="Q423" s="358">
        <f t="shared" ca="1" si="288"/>
        <v>0</v>
      </c>
      <c r="R423" s="358">
        <f t="shared" ca="1" si="288"/>
        <v>0</v>
      </c>
      <c r="S423" s="358">
        <f t="shared" ca="1" si="288"/>
        <v>0</v>
      </c>
      <c r="T423" s="358">
        <f t="shared" ca="1" si="288"/>
        <v>0</v>
      </c>
      <c r="U423" s="358">
        <f t="shared" ca="1" si="288"/>
        <v>0</v>
      </c>
      <c r="V423" s="358">
        <f t="shared" ca="1" si="288"/>
        <v>0</v>
      </c>
      <c r="W423" s="358">
        <f t="shared" ca="1" si="288"/>
        <v>0</v>
      </c>
      <c r="X423" s="358">
        <f t="shared" ca="1" si="288"/>
        <v>0</v>
      </c>
      <c r="Y423" s="358">
        <f t="shared" ca="1" si="288"/>
        <v>0</v>
      </c>
      <c r="Z423" s="358">
        <f t="shared" ca="1" si="288"/>
        <v>0</v>
      </c>
      <c r="AA423" s="358">
        <f t="shared" ca="1" si="289"/>
        <v>0</v>
      </c>
      <c r="AB423" s="358">
        <f t="shared" ca="1" si="289"/>
        <v>0</v>
      </c>
      <c r="AC423" s="358">
        <f t="shared" ca="1" si="289"/>
        <v>0</v>
      </c>
      <c r="AD423" s="358">
        <f t="shared" ca="1" si="289"/>
        <v>0</v>
      </c>
      <c r="AE423" s="358">
        <f t="shared" ca="1" si="289"/>
        <v>0</v>
      </c>
      <c r="AF423" s="358">
        <f t="shared" ca="1" si="289"/>
        <v>0</v>
      </c>
      <c r="AG423" s="358">
        <f t="shared" ca="1" si="289"/>
        <v>0</v>
      </c>
      <c r="AH423" s="358">
        <f t="shared" ca="1" si="289"/>
        <v>0</v>
      </c>
      <c r="AI423" s="358">
        <f t="shared" ca="1" si="289"/>
        <v>0</v>
      </c>
      <c r="AJ423" s="358">
        <f t="shared" ca="1" si="289"/>
        <v>0</v>
      </c>
      <c r="AK423" s="358">
        <f t="shared" ca="1" si="290"/>
        <v>0</v>
      </c>
      <c r="AL423" s="358">
        <f t="shared" ca="1" si="290"/>
        <v>0</v>
      </c>
      <c r="AM423" s="358">
        <f t="shared" ca="1" si="290"/>
        <v>0</v>
      </c>
      <c r="AN423" s="358">
        <f t="shared" ca="1" si="290"/>
        <v>0</v>
      </c>
      <c r="AO423" s="358">
        <f t="shared" ca="1" si="290"/>
        <v>0</v>
      </c>
      <c r="AP423" s="358">
        <f t="shared" ca="1" si="290"/>
        <v>0</v>
      </c>
      <c r="AQ423" s="358">
        <f t="shared" ca="1" si="290"/>
        <v>0</v>
      </c>
      <c r="AR423" s="358">
        <f t="shared" ca="1" si="290"/>
        <v>0</v>
      </c>
      <c r="AS423" s="358">
        <f t="shared" ca="1" si="290"/>
        <v>0</v>
      </c>
      <c r="AT423" s="358">
        <f t="shared" ca="1" si="290"/>
        <v>0</v>
      </c>
      <c r="AV423" s="358">
        <f t="shared" ca="1" si="291"/>
        <v>0</v>
      </c>
      <c r="AX423" s="358">
        <f t="shared" ca="1" si="292"/>
        <v>0</v>
      </c>
      <c r="AZ423" s="358">
        <f t="shared" ca="1" si="293"/>
        <v>0</v>
      </c>
      <c r="BB423" s="358">
        <f t="shared" ca="1" si="294"/>
        <v>0</v>
      </c>
      <c r="BD423" s="358">
        <f t="shared" ca="1" si="295"/>
        <v>0</v>
      </c>
      <c r="BF423" s="358">
        <f t="shared" ca="1" si="296"/>
        <v>0</v>
      </c>
      <c r="BH423" s="358">
        <f t="shared" ca="1" si="297"/>
        <v>0</v>
      </c>
    </row>
    <row r="424" spans="1:60" hidden="1" outlineLevel="1">
      <c r="A424" s="1464">
        <f t="shared" si="283"/>
        <v>18</v>
      </c>
      <c r="B424" s="1464">
        <f t="shared" si="284"/>
        <v>33</v>
      </c>
      <c r="C424" s="1464">
        <f t="shared" si="285"/>
        <v>16</v>
      </c>
      <c r="D424" s="1271" t="str">
        <f ca="1">IF(OFFSET(PortfolioDashboard!$A$3,C424-1,0)="","Blank",OFFSET(PortfolioDashboard!$A$3,C424-1,0))</f>
        <v>Geo Exchange</v>
      </c>
      <c r="E424" s="1464" t="str">
        <f t="shared" si="286"/>
        <v>2010$</v>
      </c>
      <c r="F424" s="1460">
        <f t="shared" ca="1" si="278"/>
        <v>0</v>
      </c>
      <c r="G424" s="358">
        <f t="shared" ca="1" si="287"/>
        <v>0</v>
      </c>
      <c r="H424" s="358">
        <f t="shared" ca="1" si="287"/>
        <v>0</v>
      </c>
      <c r="I424" s="358">
        <f t="shared" ca="1" si="287"/>
        <v>0</v>
      </c>
      <c r="J424" s="358">
        <f t="shared" ca="1" si="287"/>
        <v>0</v>
      </c>
      <c r="K424" s="358">
        <f t="shared" ca="1" si="287"/>
        <v>0</v>
      </c>
      <c r="L424" s="358">
        <f t="shared" ca="1" si="287"/>
        <v>0</v>
      </c>
      <c r="M424" s="358">
        <f t="shared" ca="1" si="287"/>
        <v>0</v>
      </c>
      <c r="N424" s="358">
        <f t="shared" ca="1" si="287"/>
        <v>0</v>
      </c>
      <c r="O424" s="358">
        <f t="shared" ca="1" si="287"/>
        <v>0</v>
      </c>
      <c r="P424" s="358">
        <f t="shared" ca="1" si="287"/>
        <v>0</v>
      </c>
      <c r="Q424" s="358">
        <f t="shared" ca="1" si="288"/>
        <v>0</v>
      </c>
      <c r="R424" s="358">
        <f t="shared" ca="1" si="288"/>
        <v>0</v>
      </c>
      <c r="S424" s="358">
        <f t="shared" ca="1" si="288"/>
        <v>0</v>
      </c>
      <c r="T424" s="358">
        <f t="shared" ca="1" si="288"/>
        <v>0</v>
      </c>
      <c r="U424" s="358">
        <f t="shared" ca="1" si="288"/>
        <v>0</v>
      </c>
      <c r="V424" s="358">
        <f t="shared" ca="1" si="288"/>
        <v>0</v>
      </c>
      <c r="W424" s="358">
        <f t="shared" ca="1" si="288"/>
        <v>0</v>
      </c>
      <c r="X424" s="358">
        <f t="shared" ca="1" si="288"/>
        <v>0</v>
      </c>
      <c r="Y424" s="358">
        <f t="shared" ca="1" si="288"/>
        <v>0</v>
      </c>
      <c r="Z424" s="358">
        <f t="shared" ca="1" si="288"/>
        <v>0</v>
      </c>
      <c r="AA424" s="358">
        <f t="shared" ca="1" si="289"/>
        <v>0</v>
      </c>
      <c r="AB424" s="358">
        <f t="shared" ca="1" si="289"/>
        <v>0</v>
      </c>
      <c r="AC424" s="358">
        <f t="shared" ca="1" si="289"/>
        <v>0</v>
      </c>
      <c r="AD424" s="358">
        <f t="shared" ca="1" si="289"/>
        <v>0</v>
      </c>
      <c r="AE424" s="358">
        <f t="shared" ca="1" si="289"/>
        <v>0</v>
      </c>
      <c r="AF424" s="358">
        <f t="shared" ca="1" si="289"/>
        <v>0</v>
      </c>
      <c r="AG424" s="358">
        <f t="shared" ca="1" si="289"/>
        <v>0</v>
      </c>
      <c r="AH424" s="358">
        <f t="shared" ca="1" si="289"/>
        <v>0</v>
      </c>
      <c r="AI424" s="358">
        <f t="shared" ca="1" si="289"/>
        <v>0</v>
      </c>
      <c r="AJ424" s="358">
        <f t="shared" ca="1" si="289"/>
        <v>0</v>
      </c>
      <c r="AK424" s="358">
        <f t="shared" ca="1" si="290"/>
        <v>0</v>
      </c>
      <c r="AL424" s="358">
        <f t="shared" ca="1" si="290"/>
        <v>0</v>
      </c>
      <c r="AM424" s="358">
        <f t="shared" ca="1" si="290"/>
        <v>0</v>
      </c>
      <c r="AN424" s="358">
        <f t="shared" ca="1" si="290"/>
        <v>0</v>
      </c>
      <c r="AO424" s="358">
        <f t="shared" ca="1" si="290"/>
        <v>0</v>
      </c>
      <c r="AP424" s="358">
        <f t="shared" ca="1" si="290"/>
        <v>0</v>
      </c>
      <c r="AQ424" s="358">
        <f t="shared" ca="1" si="290"/>
        <v>0</v>
      </c>
      <c r="AR424" s="358">
        <f t="shared" ca="1" si="290"/>
        <v>0</v>
      </c>
      <c r="AS424" s="358">
        <f t="shared" ca="1" si="290"/>
        <v>0</v>
      </c>
      <c r="AT424" s="358">
        <f t="shared" ca="1" si="290"/>
        <v>0</v>
      </c>
      <c r="AV424" s="358">
        <f t="shared" ca="1" si="291"/>
        <v>0</v>
      </c>
      <c r="AX424" s="358">
        <f t="shared" ca="1" si="292"/>
        <v>0</v>
      </c>
      <c r="AZ424" s="358">
        <f t="shared" ca="1" si="293"/>
        <v>0</v>
      </c>
      <c r="BB424" s="358">
        <f t="shared" ca="1" si="294"/>
        <v>0</v>
      </c>
      <c r="BD424" s="358">
        <f t="shared" ca="1" si="295"/>
        <v>0</v>
      </c>
      <c r="BF424" s="358">
        <f t="shared" ca="1" si="296"/>
        <v>0</v>
      </c>
      <c r="BH424" s="358">
        <f t="shared" ca="1" si="297"/>
        <v>0</v>
      </c>
    </row>
    <row r="425" spans="1:60" hidden="1" outlineLevel="1">
      <c r="A425" s="1464">
        <f t="shared" si="283"/>
        <v>18</v>
      </c>
      <c r="B425" s="1464">
        <f t="shared" si="284"/>
        <v>33</v>
      </c>
      <c r="C425" s="1464">
        <f t="shared" si="285"/>
        <v>17</v>
      </c>
      <c r="D425" s="1271" t="str">
        <f ca="1">IF(OFFSET(PortfolioDashboard!$A$3,C425-1,0)="","Blank",OFFSET(PortfolioDashboard!$A$3,C425-1,0))</f>
        <v>Rooftop Solar PV</v>
      </c>
      <c r="E425" s="1464" t="str">
        <f t="shared" si="286"/>
        <v>2010$</v>
      </c>
      <c r="F425" s="1460">
        <f t="shared" ca="1" si="278"/>
        <v>0</v>
      </c>
      <c r="G425" s="358">
        <f t="shared" ca="1" si="287"/>
        <v>0</v>
      </c>
      <c r="H425" s="358">
        <f t="shared" ca="1" si="287"/>
        <v>0</v>
      </c>
      <c r="I425" s="358">
        <f t="shared" ca="1" si="287"/>
        <v>0</v>
      </c>
      <c r="J425" s="358">
        <f t="shared" ca="1" si="287"/>
        <v>0</v>
      </c>
      <c r="K425" s="358">
        <f t="shared" ca="1" si="287"/>
        <v>0</v>
      </c>
      <c r="L425" s="358">
        <f t="shared" ca="1" si="287"/>
        <v>0</v>
      </c>
      <c r="M425" s="358">
        <f t="shared" ca="1" si="287"/>
        <v>0</v>
      </c>
      <c r="N425" s="358">
        <f t="shared" ca="1" si="287"/>
        <v>0</v>
      </c>
      <c r="O425" s="358">
        <f t="shared" ca="1" si="287"/>
        <v>0</v>
      </c>
      <c r="P425" s="358">
        <f t="shared" ca="1" si="287"/>
        <v>0</v>
      </c>
      <c r="Q425" s="358">
        <f t="shared" ca="1" si="288"/>
        <v>0</v>
      </c>
      <c r="R425" s="358">
        <f t="shared" ca="1" si="288"/>
        <v>0</v>
      </c>
      <c r="S425" s="358">
        <f t="shared" ca="1" si="288"/>
        <v>0</v>
      </c>
      <c r="T425" s="358">
        <f t="shared" ca="1" si="288"/>
        <v>0</v>
      </c>
      <c r="U425" s="358">
        <f t="shared" ca="1" si="288"/>
        <v>0</v>
      </c>
      <c r="V425" s="358">
        <f t="shared" ca="1" si="288"/>
        <v>0</v>
      </c>
      <c r="W425" s="358">
        <f t="shared" ca="1" si="288"/>
        <v>0</v>
      </c>
      <c r="X425" s="358">
        <f t="shared" ca="1" si="288"/>
        <v>0</v>
      </c>
      <c r="Y425" s="358">
        <f t="shared" ca="1" si="288"/>
        <v>0</v>
      </c>
      <c r="Z425" s="358">
        <f t="shared" ca="1" si="288"/>
        <v>0</v>
      </c>
      <c r="AA425" s="358">
        <f t="shared" ca="1" si="289"/>
        <v>0</v>
      </c>
      <c r="AB425" s="358">
        <f t="shared" ca="1" si="289"/>
        <v>0</v>
      </c>
      <c r="AC425" s="358">
        <f t="shared" ca="1" si="289"/>
        <v>0</v>
      </c>
      <c r="AD425" s="358">
        <f t="shared" ca="1" si="289"/>
        <v>0</v>
      </c>
      <c r="AE425" s="358">
        <f t="shared" ca="1" si="289"/>
        <v>0</v>
      </c>
      <c r="AF425" s="358">
        <f t="shared" ca="1" si="289"/>
        <v>0</v>
      </c>
      <c r="AG425" s="358">
        <f t="shared" ca="1" si="289"/>
        <v>0</v>
      </c>
      <c r="AH425" s="358">
        <f t="shared" ca="1" si="289"/>
        <v>0</v>
      </c>
      <c r="AI425" s="358">
        <f t="shared" ca="1" si="289"/>
        <v>0</v>
      </c>
      <c r="AJ425" s="358">
        <f t="shared" ca="1" si="289"/>
        <v>0</v>
      </c>
      <c r="AK425" s="358">
        <f t="shared" ca="1" si="290"/>
        <v>0</v>
      </c>
      <c r="AL425" s="358">
        <f t="shared" ca="1" si="290"/>
        <v>0</v>
      </c>
      <c r="AM425" s="358">
        <f t="shared" ca="1" si="290"/>
        <v>0</v>
      </c>
      <c r="AN425" s="358">
        <f t="shared" ca="1" si="290"/>
        <v>0</v>
      </c>
      <c r="AO425" s="358">
        <f t="shared" ca="1" si="290"/>
        <v>0</v>
      </c>
      <c r="AP425" s="358">
        <f t="shared" ca="1" si="290"/>
        <v>0</v>
      </c>
      <c r="AQ425" s="358">
        <f t="shared" ca="1" si="290"/>
        <v>0</v>
      </c>
      <c r="AR425" s="358">
        <f t="shared" ca="1" si="290"/>
        <v>0</v>
      </c>
      <c r="AS425" s="358">
        <f t="shared" ca="1" si="290"/>
        <v>0</v>
      </c>
      <c r="AT425" s="358">
        <f t="shared" ca="1" si="290"/>
        <v>0</v>
      </c>
      <c r="AV425" s="358">
        <f t="shared" ca="1" si="291"/>
        <v>0</v>
      </c>
      <c r="AX425" s="358">
        <f t="shared" ca="1" si="292"/>
        <v>0</v>
      </c>
      <c r="AZ425" s="358">
        <f t="shared" ca="1" si="293"/>
        <v>0</v>
      </c>
      <c r="BB425" s="358">
        <f t="shared" ca="1" si="294"/>
        <v>0</v>
      </c>
      <c r="BD425" s="358">
        <f t="shared" ca="1" si="295"/>
        <v>0</v>
      </c>
      <c r="BF425" s="358">
        <f t="shared" ca="1" si="296"/>
        <v>0</v>
      </c>
      <c r="BH425" s="358">
        <f t="shared" ca="1" si="297"/>
        <v>0</v>
      </c>
    </row>
    <row r="426" spans="1:60" hidden="1" outlineLevel="1">
      <c r="A426" s="1464">
        <f t="shared" si="283"/>
        <v>18</v>
      </c>
      <c r="B426" s="1464">
        <f t="shared" si="284"/>
        <v>33</v>
      </c>
      <c r="C426" s="1464">
        <f t="shared" si="285"/>
        <v>18</v>
      </c>
      <c r="D426" s="1271" t="str">
        <f ca="1">IF(OFFSET(PortfolioDashboard!$A$3,C426-1,0)="","Blank",OFFSET(PortfolioDashboard!$A$3,C426-1,0))</f>
        <v>Blank</v>
      </c>
      <c r="E426" s="1464" t="str">
        <f t="shared" si="286"/>
        <v>2010$</v>
      </c>
      <c r="F426" s="1460">
        <f t="shared" ca="1" si="278"/>
        <v>0</v>
      </c>
      <c r="G426" s="358">
        <f t="shared" ca="1" si="287"/>
        <v>0</v>
      </c>
      <c r="H426" s="358">
        <f t="shared" ca="1" si="287"/>
        <v>0</v>
      </c>
      <c r="I426" s="358">
        <f t="shared" ca="1" si="287"/>
        <v>0</v>
      </c>
      <c r="J426" s="358">
        <f t="shared" ca="1" si="287"/>
        <v>0</v>
      </c>
      <c r="K426" s="358">
        <f t="shared" ca="1" si="287"/>
        <v>0</v>
      </c>
      <c r="L426" s="358">
        <f t="shared" ca="1" si="287"/>
        <v>0</v>
      </c>
      <c r="M426" s="358">
        <f t="shared" ca="1" si="287"/>
        <v>0</v>
      </c>
      <c r="N426" s="358">
        <f t="shared" ca="1" si="287"/>
        <v>0</v>
      </c>
      <c r="O426" s="358">
        <f t="shared" ca="1" si="287"/>
        <v>0</v>
      </c>
      <c r="P426" s="358">
        <f t="shared" ca="1" si="287"/>
        <v>0</v>
      </c>
      <c r="Q426" s="358">
        <f t="shared" ca="1" si="288"/>
        <v>0</v>
      </c>
      <c r="R426" s="358">
        <f t="shared" ca="1" si="288"/>
        <v>0</v>
      </c>
      <c r="S426" s="358">
        <f t="shared" ca="1" si="288"/>
        <v>0</v>
      </c>
      <c r="T426" s="358">
        <f t="shared" ca="1" si="288"/>
        <v>0</v>
      </c>
      <c r="U426" s="358">
        <f t="shared" ca="1" si="288"/>
        <v>0</v>
      </c>
      <c r="V426" s="358">
        <f t="shared" ca="1" si="288"/>
        <v>0</v>
      </c>
      <c r="W426" s="358">
        <f t="shared" ca="1" si="288"/>
        <v>0</v>
      </c>
      <c r="X426" s="358">
        <f t="shared" ca="1" si="288"/>
        <v>0</v>
      </c>
      <c r="Y426" s="358">
        <f t="shared" ca="1" si="288"/>
        <v>0</v>
      </c>
      <c r="Z426" s="358">
        <f t="shared" ca="1" si="288"/>
        <v>0</v>
      </c>
      <c r="AA426" s="358">
        <f t="shared" ca="1" si="289"/>
        <v>0</v>
      </c>
      <c r="AB426" s="358">
        <f t="shared" ca="1" si="289"/>
        <v>0</v>
      </c>
      <c r="AC426" s="358">
        <f t="shared" ca="1" si="289"/>
        <v>0</v>
      </c>
      <c r="AD426" s="358">
        <f t="shared" ca="1" si="289"/>
        <v>0</v>
      </c>
      <c r="AE426" s="358">
        <f t="shared" ca="1" si="289"/>
        <v>0</v>
      </c>
      <c r="AF426" s="358">
        <f t="shared" ca="1" si="289"/>
        <v>0</v>
      </c>
      <c r="AG426" s="358">
        <f t="shared" ca="1" si="289"/>
        <v>0</v>
      </c>
      <c r="AH426" s="358">
        <f t="shared" ca="1" si="289"/>
        <v>0</v>
      </c>
      <c r="AI426" s="358">
        <f t="shared" ca="1" si="289"/>
        <v>0</v>
      </c>
      <c r="AJ426" s="358">
        <f t="shared" ca="1" si="289"/>
        <v>0</v>
      </c>
      <c r="AK426" s="358">
        <f t="shared" ca="1" si="290"/>
        <v>0</v>
      </c>
      <c r="AL426" s="358">
        <f t="shared" ca="1" si="290"/>
        <v>0</v>
      </c>
      <c r="AM426" s="358">
        <f t="shared" ca="1" si="290"/>
        <v>0</v>
      </c>
      <c r="AN426" s="358">
        <f t="shared" ca="1" si="290"/>
        <v>0</v>
      </c>
      <c r="AO426" s="358">
        <f t="shared" ca="1" si="290"/>
        <v>0</v>
      </c>
      <c r="AP426" s="358">
        <f t="shared" ca="1" si="290"/>
        <v>0</v>
      </c>
      <c r="AQ426" s="358">
        <f t="shared" ca="1" si="290"/>
        <v>0</v>
      </c>
      <c r="AR426" s="358">
        <f t="shared" ca="1" si="290"/>
        <v>0</v>
      </c>
      <c r="AS426" s="358">
        <f t="shared" ca="1" si="290"/>
        <v>0</v>
      </c>
      <c r="AT426" s="358">
        <f t="shared" ca="1" si="290"/>
        <v>0</v>
      </c>
      <c r="AV426" s="358">
        <f t="shared" ca="1" si="291"/>
        <v>0</v>
      </c>
      <c r="AX426" s="358">
        <f t="shared" ca="1" si="292"/>
        <v>0</v>
      </c>
      <c r="AZ426" s="358">
        <f t="shared" ca="1" si="293"/>
        <v>0</v>
      </c>
      <c r="BB426" s="358">
        <f t="shared" ca="1" si="294"/>
        <v>0</v>
      </c>
      <c r="BD426" s="358">
        <f t="shared" ca="1" si="295"/>
        <v>0</v>
      </c>
      <c r="BF426" s="358">
        <f t="shared" ca="1" si="296"/>
        <v>0</v>
      </c>
      <c r="BH426" s="358">
        <f t="shared" ca="1" si="297"/>
        <v>0</v>
      </c>
    </row>
    <row r="427" spans="1:60" hidden="1" outlineLevel="1">
      <c r="A427" s="1464">
        <f t="shared" si="283"/>
        <v>18</v>
      </c>
      <c r="B427" s="1464">
        <f t="shared" si="284"/>
        <v>33</v>
      </c>
      <c r="C427" s="1464">
        <f t="shared" si="285"/>
        <v>19</v>
      </c>
      <c r="D427" s="1271" t="str">
        <f ca="1">IF(OFFSET(PortfolioDashboard!$A$3,C427-1,0)="","Blank",OFFSET(PortfolioDashboard!$A$3,C427-1,0))</f>
        <v>Blank</v>
      </c>
      <c r="E427" s="1464" t="str">
        <f t="shared" si="286"/>
        <v>2010$</v>
      </c>
      <c r="F427" s="1460">
        <f t="shared" ca="1" si="278"/>
        <v>0</v>
      </c>
      <c r="G427" s="358">
        <f t="shared" ca="1" si="287"/>
        <v>0</v>
      </c>
      <c r="H427" s="358">
        <f t="shared" ca="1" si="287"/>
        <v>0</v>
      </c>
      <c r="I427" s="358">
        <f t="shared" ca="1" si="287"/>
        <v>0</v>
      </c>
      <c r="J427" s="358">
        <f t="shared" ca="1" si="287"/>
        <v>0</v>
      </c>
      <c r="K427" s="358">
        <f t="shared" ca="1" si="287"/>
        <v>0</v>
      </c>
      <c r="L427" s="358">
        <f t="shared" ca="1" si="287"/>
        <v>0</v>
      </c>
      <c r="M427" s="358">
        <f t="shared" ca="1" si="287"/>
        <v>0</v>
      </c>
      <c r="N427" s="358">
        <f t="shared" ca="1" si="287"/>
        <v>0</v>
      </c>
      <c r="O427" s="358">
        <f t="shared" ca="1" si="287"/>
        <v>0</v>
      </c>
      <c r="P427" s="358">
        <f t="shared" ca="1" si="287"/>
        <v>0</v>
      </c>
      <c r="Q427" s="358">
        <f t="shared" ca="1" si="288"/>
        <v>0</v>
      </c>
      <c r="R427" s="358">
        <f t="shared" ca="1" si="288"/>
        <v>0</v>
      </c>
      <c r="S427" s="358">
        <f t="shared" ca="1" si="288"/>
        <v>0</v>
      </c>
      <c r="T427" s="358">
        <f t="shared" ca="1" si="288"/>
        <v>0</v>
      </c>
      <c r="U427" s="358">
        <f t="shared" ca="1" si="288"/>
        <v>0</v>
      </c>
      <c r="V427" s="358">
        <f t="shared" ca="1" si="288"/>
        <v>0</v>
      </c>
      <c r="W427" s="358">
        <f t="shared" ca="1" si="288"/>
        <v>0</v>
      </c>
      <c r="X427" s="358">
        <f t="shared" ca="1" si="288"/>
        <v>0</v>
      </c>
      <c r="Y427" s="358">
        <f t="shared" ca="1" si="288"/>
        <v>0</v>
      </c>
      <c r="Z427" s="358">
        <f t="shared" ca="1" si="288"/>
        <v>0</v>
      </c>
      <c r="AA427" s="358">
        <f t="shared" ca="1" si="289"/>
        <v>0</v>
      </c>
      <c r="AB427" s="358">
        <f t="shared" ca="1" si="289"/>
        <v>0</v>
      </c>
      <c r="AC427" s="358">
        <f t="shared" ca="1" si="289"/>
        <v>0</v>
      </c>
      <c r="AD427" s="358">
        <f t="shared" ca="1" si="289"/>
        <v>0</v>
      </c>
      <c r="AE427" s="358">
        <f t="shared" ca="1" si="289"/>
        <v>0</v>
      </c>
      <c r="AF427" s="358">
        <f t="shared" ca="1" si="289"/>
        <v>0</v>
      </c>
      <c r="AG427" s="358">
        <f t="shared" ca="1" si="289"/>
        <v>0</v>
      </c>
      <c r="AH427" s="358">
        <f t="shared" ca="1" si="289"/>
        <v>0</v>
      </c>
      <c r="AI427" s="358">
        <f t="shared" ca="1" si="289"/>
        <v>0</v>
      </c>
      <c r="AJ427" s="358">
        <f t="shared" ca="1" si="289"/>
        <v>0</v>
      </c>
      <c r="AK427" s="358">
        <f t="shared" ca="1" si="290"/>
        <v>0</v>
      </c>
      <c r="AL427" s="358">
        <f t="shared" ca="1" si="290"/>
        <v>0</v>
      </c>
      <c r="AM427" s="358">
        <f t="shared" ca="1" si="290"/>
        <v>0</v>
      </c>
      <c r="AN427" s="358">
        <f t="shared" ca="1" si="290"/>
        <v>0</v>
      </c>
      <c r="AO427" s="358">
        <f t="shared" ca="1" si="290"/>
        <v>0</v>
      </c>
      <c r="AP427" s="358">
        <f t="shared" ca="1" si="290"/>
        <v>0</v>
      </c>
      <c r="AQ427" s="358">
        <f t="shared" ca="1" si="290"/>
        <v>0</v>
      </c>
      <c r="AR427" s="358">
        <f t="shared" ca="1" si="290"/>
        <v>0</v>
      </c>
      <c r="AS427" s="358">
        <f t="shared" ca="1" si="290"/>
        <v>0</v>
      </c>
      <c r="AT427" s="358">
        <f t="shared" ca="1" si="290"/>
        <v>0</v>
      </c>
      <c r="AV427" s="358">
        <f t="shared" ca="1" si="291"/>
        <v>0</v>
      </c>
      <c r="AX427" s="358">
        <f t="shared" ca="1" si="292"/>
        <v>0</v>
      </c>
      <c r="AZ427" s="358">
        <f t="shared" ca="1" si="293"/>
        <v>0</v>
      </c>
      <c r="BB427" s="358">
        <f t="shared" ca="1" si="294"/>
        <v>0</v>
      </c>
      <c r="BD427" s="358">
        <f t="shared" ca="1" si="295"/>
        <v>0</v>
      </c>
      <c r="BF427" s="358">
        <f t="shared" ca="1" si="296"/>
        <v>0</v>
      </c>
      <c r="BH427" s="358">
        <f t="shared" ca="1" si="297"/>
        <v>0</v>
      </c>
    </row>
    <row r="428" spans="1:60" hidden="1" outlineLevel="1">
      <c r="A428" s="1464">
        <f t="shared" si="283"/>
        <v>18</v>
      </c>
      <c r="B428" s="1464">
        <f t="shared" si="284"/>
        <v>33</v>
      </c>
      <c r="C428" s="1464">
        <f t="shared" si="285"/>
        <v>20</v>
      </c>
      <c r="D428" s="1271" t="str">
        <f ca="1">IF(OFFSET(PortfolioDashboard!$A$3,C428-1,0)="","Blank",OFFSET(PortfolioDashboard!$A$3,C428-1,0))</f>
        <v>Blank</v>
      </c>
      <c r="E428" s="1464" t="str">
        <f t="shared" si="286"/>
        <v>2010$</v>
      </c>
      <c r="F428" s="1460">
        <f t="shared" ca="1" si="278"/>
        <v>0</v>
      </c>
      <c r="G428" s="358">
        <f t="shared" ca="1" si="287"/>
        <v>0</v>
      </c>
      <c r="H428" s="358">
        <f t="shared" ca="1" si="287"/>
        <v>0</v>
      </c>
      <c r="I428" s="358">
        <f t="shared" ca="1" si="287"/>
        <v>0</v>
      </c>
      <c r="J428" s="358">
        <f t="shared" ca="1" si="287"/>
        <v>0</v>
      </c>
      <c r="K428" s="358">
        <f t="shared" ca="1" si="287"/>
        <v>0</v>
      </c>
      <c r="L428" s="358">
        <f t="shared" ca="1" si="287"/>
        <v>0</v>
      </c>
      <c r="M428" s="358">
        <f t="shared" ca="1" si="287"/>
        <v>0</v>
      </c>
      <c r="N428" s="358">
        <f t="shared" ca="1" si="287"/>
        <v>0</v>
      </c>
      <c r="O428" s="358">
        <f t="shared" ca="1" si="287"/>
        <v>0</v>
      </c>
      <c r="P428" s="358">
        <f t="shared" ca="1" si="287"/>
        <v>0</v>
      </c>
      <c r="Q428" s="358">
        <f t="shared" ca="1" si="288"/>
        <v>0</v>
      </c>
      <c r="R428" s="358">
        <f t="shared" ca="1" si="288"/>
        <v>0</v>
      </c>
      <c r="S428" s="358">
        <f t="shared" ca="1" si="288"/>
        <v>0</v>
      </c>
      <c r="T428" s="358">
        <f t="shared" ca="1" si="288"/>
        <v>0</v>
      </c>
      <c r="U428" s="358">
        <f t="shared" ca="1" si="288"/>
        <v>0</v>
      </c>
      <c r="V428" s="358">
        <f t="shared" ca="1" si="288"/>
        <v>0</v>
      </c>
      <c r="W428" s="358">
        <f t="shared" ca="1" si="288"/>
        <v>0</v>
      </c>
      <c r="X428" s="358">
        <f t="shared" ca="1" si="288"/>
        <v>0</v>
      </c>
      <c r="Y428" s="358">
        <f t="shared" ca="1" si="288"/>
        <v>0</v>
      </c>
      <c r="Z428" s="358">
        <f t="shared" ca="1" si="288"/>
        <v>0</v>
      </c>
      <c r="AA428" s="358">
        <f t="shared" ca="1" si="289"/>
        <v>0</v>
      </c>
      <c r="AB428" s="358">
        <f t="shared" ca="1" si="289"/>
        <v>0</v>
      </c>
      <c r="AC428" s="358">
        <f t="shared" ca="1" si="289"/>
        <v>0</v>
      </c>
      <c r="AD428" s="358">
        <f t="shared" ca="1" si="289"/>
        <v>0</v>
      </c>
      <c r="AE428" s="358">
        <f t="shared" ca="1" si="289"/>
        <v>0</v>
      </c>
      <c r="AF428" s="358">
        <f t="shared" ca="1" si="289"/>
        <v>0</v>
      </c>
      <c r="AG428" s="358">
        <f t="shared" ca="1" si="289"/>
        <v>0</v>
      </c>
      <c r="AH428" s="358">
        <f t="shared" ca="1" si="289"/>
        <v>0</v>
      </c>
      <c r="AI428" s="358">
        <f t="shared" ca="1" si="289"/>
        <v>0</v>
      </c>
      <c r="AJ428" s="358">
        <f t="shared" ca="1" si="289"/>
        <v>0</v>
      </c>
      <c r="AK428" s="358">
        <f t="shared" ca="1" si="290"/>
        <v>0</v>
      </c>
      <c r="AL428" s="358">
        <f t="shared" ca="1" si="290"/>
        <v>0</v>
      </c>
      <c r="AM428" s="358">
        <f t="shared" ca="1" si="290"/>
        <v>0</v>
      </c>
      <c r="AN428" s="358">
        <f t="shared" ca="1" si="290"/>
        <v>0</v>
      </c>
      <c r="AO428" s="358">
        <f t="shared" ca="1" si="290"/>
        <v>0</v>
      </c>
      <c r="AP428" s="358">
        <f t="shared" ca="1" si="290"/>
        <v>0</v>
      </c>
      <c r="AQ428" s="358">
        <f t="shared" ca="1" si="290"/>
        <v>0</v>
      </c>
      <c r="AR428" s="358">
        <f t="shared" ca="1" si="290"/>
        <v>0</v>
      </c>
      <c r="AS428" s="358">
        <f t="shared" ca="1" si="290"/>
        <v>0</v>
      </c>
      <c r="AT428" s="358">
        <f t="shared" ca="1" si="290"/>
        <v>0</v>
      </c>
      <c r="AV428" s="358">
        <f t="shared" ca="1" si="291"/>
        <v>0</v>
      </c>
      <c r="AX428" s="358">
        <f t="shared" ca="1" si="292"/>
        <v>0</v>
      </c>
      <c r="AZ428" s="358">
        <f t="shared" ca="1" si="293"/>
        <v>0</v>
      </c>
      <c r="BB428" s="358">
        <f t="shared" ca="1" si="294"/>
        <v>0</v>
      </c>
      <c r="BD428" s="358">
        <f t="shared" ca="1" si="295"/>
        <v>0</v>
      </c>
      <c r="BF428" s="358">
        <f t="shared" ca="1" si="296"/>
        <v>0</v>
      </c>
      <c r="BH428" s="358">
        <f t="shared" ca="1" si="297"/>
        <v>0</v>
      </c>
    </row>
    <row r="429" spans="1:60" hidden="1" outlineLevel="1">
      <c r="A429" s="1464">
        <f t="shared" si="283"/>
        <v>18</v>
      </c>
      <c r="B429" s="1464">
        <f t="shared" si="284"/>
        <v>33</v>
      </c>
      <c r="C429" s="1464">
        <f t="shared" si="285"/>
        <v>21</v>
      </c>
      <c r="D429" s="1271" t="str">
        <f ca="1">IF(OFFSET(PortfolioDashboard!$A$3,C429-1,0)="","Blank",OFFSET(PortfolioDashboard!$A$3,C429-1,0))</f>
        <v>Blank</v>
      </c>
      <c r="E429" s="1464" t="str">
        <f t="shared" si="286"/>
        <v>2010$</v>
      </c>
      <c r="F429" s="1460">
        <f t="shared" ca="1" si="278"/>
        <v>0</v>
      </c>
      <c r="G429" s="358">
        <f t="shared" ref="G429:P438" ca="1" si="298">IFERROR(OFFSET(INDIRECT(INDEX(List_of_Alternatives,MATCH($D429,NameofAlternatives,0))),$A429+G$1-$G$1,$B429),0)</f>
        <v>0</v>
      </c>
      <c r="H429" s="358">
        <f t="shared" ca="1" si="298"/>
        <v>0</v>
      </c>
      <c r="I429" s="358">
        <f t="shared" ca="1" si="298"/>
        <v>0</v>
      </c>
      <c r="J429" s="358">
        <f t="shared" ca="1" si="298"/>
        <v>0</v>
      </c>
      <c r="K429" s="358">
        <f t="shared" ca="1" si="298"/>
        <v>0</v>
      </c>
      <c r="L429" s="358">
        <f t="shared" ca="1" si="298"/>
        <v>0</v>
      </c>
      <c r="M429" s="358">
        <f t="shared" ca="1" si="298"/>
        <v>0</v>
      </c>
      <c r="N429" s="358">
        <f t="shared" ca="1" si="298"/>
        <v>0</v>
      </c>
      <c r="O429" s="358">
        <f t="shared" ca="1" si="298"/>
        <v>0</v>
      </c>
      <c r="P429" s="358">
        <f t="shared" ca="1" si="298"/>
        <v>0</v>
      </c>
      <c r="Q429" s="358">
        <f t="shared" ref="Q429:Z438" ca="1" si="299">IFERROR(OFFSET(INDIRECT(INDEX(List_of_Alternatives,MATCH($D429,NameofAlternatives,0))),$A429+Q$1-$G$1,$B429),0)</f>
        <v>0</v>
      </c>
      <c r="R429" s="358">
        <f t="shared" ca="1" si="299"/>
        <v>0</v>
      </c>
      <c r="S429" s="358">
        <f t="shared" ca="1" si="299"/>
        <v>0</v>
      </c>
      <c r="T429" s="358">
        <f t="shared" ca="1" si="299"/>
        <v>0</v>
      </c>
      <c r="U429" s="358">
        <f t="shared" ca="1" si="299"/>
        <v>0</v>
      </c>
      <c r="V429" s="358">
        <f t="shared" ca="1" si="299"/>
        <v>0</v>
      </c>
      <c r="W429" s="358">
        <f t="shared" ca="1" si="299"/>
        <v>0</v>
      </c>
      <c r="X429" s="358">
        <f t="shared" ca="1" si="299"/>
        <v>0</v>
      </c>
      <c r="Y429" s="358">
        <f t="shared" ca="1" si="299"/>
        <v>0</v>
      </c>
      <c r="Z429" s="358">
        <f t="shared" ca="1" si="299"/>
        <v>0</v>
      </c>
      <c r="AA429" s="358">
        <f t="shared" ref="AA429:AJ438" ca="1" si="300">IFERROR(OFFSET(INDIRECT(INDEX(List_of_Alternatives,MATCH($D429,NameofAlternatives,0))),$A429+AA$1-$G$1,$B429),0)</f>
        <v>0</v>
      </c>
      <c r="AB429" s="358">
        <f t="shared" ca="1" si="300"/>
        <v>0</v>
      </c>
      <c r="AC429" s="358">
        <f t="shared" ca="1" si="300"/>
        <v>0</v>
      </c>
      <c r="AD429" s="358">
        <f t="shared" ca="1" si="300"/>
        <v>0</v>
      </c>
      <c r="AE429" s="358">
        <f t="shared" ca="1" si="300"/>
        <v>0</v>
      </c>
      <c r="AF429" s="358">
        <f t="shared" ca="1" si="300"/>
        <v>0</v>
      </c>
      <c r="AG429" s="358">
        <f t="shared" ca="1" si="300"/>
        <v>0</v>
      </c>
      <c r="AH429" s="358">
        <f t="shared" ca="1" si="300"/>
        <v>0</v>
      </c>
      <c r="AI429" s="358">
        <f t="shared" ca="1" si="300"/>
        <v>0</v>
      </c>
      <c r="AJ429" s="358">
        <f t="shared" ca="1" si="300"/>
        <v>0</v>
      </c>
      <c r="AK429" s="358">
        <f t="shared" ref="AK429:AT438" ca="1" si="301">IFERROR(OFFSET(INDIRECT(INDEX(List_of_Alternatives,MATCH($D429,NameofAlternatives,0))),$A429+AK$1-$G$1,$B429),0)</f>
        <v>0</v>
      </c>
      <c r="AL429" s="358">
        <f t="shared" ca="1" si="301"/>
        <v>0</v>
      </c>
      <c r="AM429" s="358">
        <f t="shared" ca="1" si="301"/>
        <v>0</v>
      </c>
      <c r="AN429" s="358">
        <f t="shared" ca="1" si="301"/>
        <v>0</v>
      </c>
      <c r="AO429" s="358">
        <f t="shared" ca="1" si="301"/>
        <v>0</v>
      </c>
      <c r="AP429" s="358">
        <f t="shared" ca="1" si="301"/>
        <v>0</v>
      </c>
      <c r="AQ429" s="358">
        <f t="shared" ca="1" si="301"/>
        <v>0</v>
      </c>
      <c r="AR429" s="358">
        <f t="shared" ca="1" si="301"/>
        <v>0</v>
      </c>
      <c r="AS429" s="358">
        <f t="shared" ca="1" si="301"/>
        <v>0</v>
      </c>
      <c r="AT429" s="358">
        <f t="shared" ca="1" si="301"/>
        <v>0</v>
      </c>
      <c r="AV429" s="358">
        <f t="shared" ca="1" si="291"/>
        <v>0</v>
      </c>
      <c r="AX429" s="358">
        <f t="shared" ca="1" si="292"/>
        <v>0</v>
      </c>
      <c r="AZ429" s="358">
        <f t="shared" ca="1" si="293"/>
        <v>0</v>
      </c>
      <c r="BB429" s="358">
        <f t="shared" ca="1" si="294"/>
        <v>0</v>
      </c>
      <c r="BD429" s="358">
        <f t="shared" ca="1" si="295"/>
        <v>0</v>
      </c>
      <c r="BF429" s="358">
        <f t="shared" ca="1" si="296"/>
        <v>0</v>
      </c>
      <c r="BH429" s="358">
        <f t="shared" ca="1" si="297"/>
        <v>0</v>
      </c>
    </row>
    <row r="430" spans="1:60" hidden="1" outlineLevel="1">
      <c r="A430" s="1464">
        <f t="shared" si="283"/>
        <v>18</v>
      </c>
      <c r="B430" s="1464">
        <f t="shared" si="284"/>
        <v>33</v>
      </c>
      <c r="C430" s="1464">
        <f t="shared" si="285"/>
        <v>22</v>
      </c>
      <c r="D430" s="1271" t="str">
        <f ca="1">IF(OFFSET(PortfolioDashboard!$A$3,C430-1,0)="","Blank",OFFSET(PortfolioDashboard!$A$3,C430-1,0))</f>
        <v>Blank</v>
      </c>
      <c r="E430" s="1464" t="str">
        <f t="shared" si="286"/>
        <v>2010$</v>
      </c>
      <c r="F430" s="1460">
        <f t="shared" ca="1" si="278"/>
        <v>0</v>
      </c>
      <c r="G430" s="358">
        <f t="shared" ca="1" si="298"/>
        <v>0</v>
      </c>
      <c r="H430" s="358">
        <f t="shared" ca="1" si="298"/>
        <v>0</v>
      </c>
      <c r="I430" s="358">
        <f t="shared" ca="1" si="298"/>
        <v>0</v>
      </c>
      <c r="J430" s="358">
        <f t="shared" ca="1" si="298"/>
        <v>0</v>
      </c>
      <c r="K430" s="358">
        <f t="shared" ca="1" si="298"/>
        <v>0</v>
      </c>
      <c r="L430" s="358">
        <f t="shared" ca="1" si="298"/>
        <v>0</v>
      </c>
      <c r="M430" s="358">
        <f t="shared" ca="1" si="298"/>
        <v>0</v>
      </c>
      <c r="N430" s="358">
        <f t="shared" ca="1" si="298"/>
        <v>0</v>
      </c>
      <c r="O430" s="358">
        <f t="shared" ca="1" si="298"/>
        <v>0</v>
      </c>
      <c r="P430" s="358">
        <f t="shared" ca="1" si="298"/>
        <v>0</v>
      </c>
      <c r="Q430" s="358">
        <f t="shared" ca="1" si="299"/>
        <v>0</v>
      </c>
      <c r="R430" s="358">
        <f t="shared" ca="1" si="299"/>
        <v>0</v>
      </c>
      <c r="S430" s="358">
        <f t="shared" ca="1" si="299"/>
        <v>0</v>
      </c>
      <c r="T430" s="358">
        <f t="shared" ca="1" si="299"/>
        <v>0</v>
      </c>
      <c r="U430" s="358">
        <f t="shared" ca="1" si="299"/>
        <v>0</v>
      </c>
      <c r="V430" s="358">
        <f t="shared" ca="1" si="299"/>
        <v>0</v>
      </c>
      <c r="W430" s="358">
        <f t="shared" ca="1" si="299"/>
        <v>0</v>
      </c>
      <c r="X430" s="358">
        <f t="shared" ca="1" si="299"/>
        <v>0</v>
      </c>
      <c r="Y430" s="358">
        <f t="shared" ca="1" si="299"/>
        <v>0</v>
      </c>
      <c r="Z430" s="358">
        <f t="shared" ca="1" si="299"/>
        <v>0</v>
      </c>
      <c r="AA430" s="358">
        <f t="shared" ca="1" si="300"/>
        <v>0</v>
      </c>
      <c r="AB430" s="358">
        <f t="shared" ca="1" si="300"/>
        <v>0</v>
      </c>
      <c r="AC430" s="358">
        <f t="shared" ca="1" si="300"/>
        <v>0</v>
      </c>
      <c r="AD430" s="358">
        <f t="shared" ca="1" si="300"/>
        <v>0</v>
      </c>
      <c r="AE430" s="358">
        <f t="shared" ca="1" si="300"/>
        <v>0</v>
      </c>
      <c r="AF430" s="358">
        <f t="shared" ca="1" si="300"/>
        <v>0</v>
      </c>
      <c r="AG430" s="358">
        <f t="shared" ca="1" si="300"/>
        <v>0</v>
      </c>
      <c r="AH430" s="358">
        <f t="shared" ca="1" si="300"/>
        <v>0</v>
      </c>
      <c r="AI430" s="358">
        <f t="shared" ca="1" si="300"/>
        <v>0</v>
      </c>
      <c r="AJ430" s="358">
        <f t="shared" ca="1" si="300"/>
        <v>0</v>
      </c>
      <c r="AK430" s="358">
        <f t="shared" ca="1" si="301"/>
        <v>0</v>
      </c>
      <c r="AL430" s="358">
        <f t="shared" ca="1" si="301"/>
        <v>0</v>
      </c>
      <c r="AM430" s="358">
        <f t="shared" ca="1" si="301"/>
        <v>0</v>
      </c>
      <c r="AN430" s="358">
        <f t="shared" ca="1" si="301"/>
        <v>0</v>
      </c>
      <c r="AO430" s="358">
        <f t="shared" ca="1" si="301"/>
        <v>0</v>
      </c>
      <c r="AP430" s="358">
        <f t="shared" ca="1" si="301"/>
        <v>0</v>
      </c>
      <c r="AQ430" s="358">
        <f t="shared" ca="1" si="301"/>
        <v>0</v>
      </c>
      <c r="AR430" s="358">
        <f t="shared" ca="1" si="301"/>
        <v>0</v>
      </c>
      <c r="AS430" s="358">
        <f t="shared" ca="1" si="301"/>
        <v>0</v>
      </c>
      <c r="AT430" s="358">
        <f t="shared" ca="1" si="301"/>
        <v>0</v>
      </c>
      <c r="AV430" s="358">
        <f t="shared" ca="1" si="291"/>
        <v>0</v>
      </c>
      <c r="AX430" s="358">
        <f t="shared" ca="1" si="292"/>
        <v>0</v>
      </c>
      <c r="AZ430" s="358">
        <f t="shared" ca="1" si="293"/>
        <v>0</v>
      </c>
      <c r="BB430" s="358">
        <f t="shared" ca="1" si="294"/>
        <v>0</v>
      </c>
      <c r="BD430" s="358">
        <f t="shared" ca="1" si="295"/>
        <v>0</v>
      </c>
      <c r="BF430" s="358">
        <f t="shared" ca="1" si="296"/>
        <v>0</v>
      </c>
      <c r="BH430" s="358">
        <f t="shared" ca="1" si="297"/>
        <v>0</v>
      </c>
    </row>
    <row r="431" spans="1:60" hidden="1" outlineLevel="1">
      <c r="A431" s="1464">
        <f t="shared" si="283"/>
        <v>18</v>
      </c>
      <c r="B431" s="1464">
        <f t="shared" si="284"/>
        <v>33</v>
      </c>
      <c r="C431" s="1464">
        <f t="shared" si="285"/>
        <v>23</v>
      </c>
      <c r="D431" s="1271" t="str">
        <f ca="1">IF(OFFSET(PortfolioDashboard!$A$3,C431-1,0)="","Blank",OFFSET(PortfolioDashboard!$A$3,C431-1,0))</f>
        <v>Blank</v>
      </c>
      <c r="E431" s="1464" t="str">
        <f t="shared" si="286"/>
        <v>2010$</v>
      </c>
      <c r="F431" s="1460">
        <f t="shared" ca="1" si="278"/>
        <v>0</v>
      </c>
      <c r="G431" s="358">
        <f t="shared" ca="1" si="298"/>
        <v>0</v>
      </c>
      <c r="H431" s="358">
        <f t="shared" ca="1" si="298"/>
        <v>0</v>
      </c>
      <c r="I431" s="358">
        <f t="shared" ca="1" si="298"/>
        <v>0</v>
      </c>
      <c r="J431" s="358">
        <f t="shared" ca="1" si="298"/>
        <v>0</v>
      </c>
      <c r="K431" s="358">
        <f t="shared" ca="1" si="298"/>
        <v>0</v>
      </c>
      <c r="L431" s="358">
        <f t="shared" ca="1" si="298"/>
        <v>0</v>
      </c>
      <c r="M431" s="358">
        <f t="shared" ca="1" si="298"/>
        <v>0</v>
      </c>
      <c r="N431" s="358">
        <f t="shared" ca="1" si="298"/>
        <v>0</v>
      </c>
      <c r="O431" s="358">
        <f t="shared" ca="1" si="298"/>
        <v>0</v>
      </c>
      <c r="P431" s="358">
        <f t="shared" ca="1" si="298"/>
        <v>0</v>
      </c>
      <c r="Q431" s="358">
        <f t="shared" ca="1" si="299"/>
        <v>0</v>
      </c>
      <c r="R431" s="358">
        <f t="shared" ca="1" si="299"/>
        <v>0</v>
      </c>
      <c r="S431" s="358">
        <f t="shared" ca="1" si="299"/>
        <v>0</v>
      </c>
      <c r="T431" s="358">
        <f t="shared" ca="1" si="299"/>
        <v>0</v>
      </c>
      <c r="U431" s="358">
        <f t="shared" ca="1" si="299"/>
        <v>0</v>
      </c>
      <c r="V431" s="358">
        <f t="shared" ca="1" si="299"/>
        <v>0</v>
      </c>
      <c r="W431" s="358">
        <f t="shared" ca="1" si="299"/>
        <v>0</v>
      </c>
      <c r="X431" s="358">
        <f t="shared" ca="1" si="299"/>
        <v>0</v>
      </c>
      <c r="Y431" s="358">
        <f t="shared" ca="1" si="299"/>
        <v>0</v>
      </c>
      <c r="Z431" s="358">
        <f t="shared" ca="1" si="299"/>
        <v>0</v>
      </c>
      <c r="AA431" s="358">
        <f t="shared" ca="1" si="300"/>
        <v>0</v>
      </c>
      <c r="AB431" s="358">
        <f t="shared" ca="1" si="300"/>
        <v>0</v>
      </c>
      <c r="AC431" s="358">
        <f t="shared" ca="1" si="300"/>
        <v>0</v>
      </c>
      <c r="AD431" s="358">
        <f t="shared" ca="1" si="300"/>
        <v>0</v>
      </c>
      <c r="AE431" s="358">
        <f t="shared" ca="1" si="300"/>
        <v>0</v>
      </c>
      <c r="AF431" s="358">
        <f t="shared" ca="1" si="300"/>
        <v>0</v>
      </c>
      <c r="AG431" s="358">
        <f t="shared" ca="1" si="300"/>
        <v>0</v>
      </c>
      <c r="AH431" s="358">
        <f t="shared" ca="1" si="300"/>
        <v>0</v>
      </c>
      <c r="AI431" s="358">
        <f t="shared" ca="1" si="300"/>
        <v>0</v>
      </c>
      <c r="AJ431" s="358">
        <f t="shared" ca="1" si="300"/>
        <v>0</v>
      </c>
      <c r="AK431" s="358">
        <f t="shared" ca="1" si="301"/>
        <v>0</v>
      </c>
      <c r="AL431" s="358">
        <f t="shared" ca="1" si="301"/>
        <v>0</v>
      </c>
      <c r="AM431" s="358">
        <f t="shared" ca="1" si="301"/>
        <v>0</v>
      </c>
      <c r="AN431" s="358">
        <f t="shared" ca="1" si="301"/>
        <v>0</v>
      </c>
      <c r="AO431" s="358">
        <f t="shared" ca="1" si="301"/>
        <v>0</v>
      </c>
      <c r="AP431" s="358">
        <f t="shared" ca="1" si="301"/>
        <v>0</v>
      </c>
      <c r="AQ431" s="358">
        <f t="shared" ca="1" si="301"/>
        <v>0</v>
      </c>
      <c r="AR431" s="358">
        <f t="shared" ca="1" si="301"/>
        <v>0</v>
      </c>
      <c r="AS431" s="358">
        <f t="shared" ca="1" si="301"/>
        <v>0</v>
      </c>
      <c r="AT431" s="358">
        <f t="shared" ca="1" si="301"/>
        <v>0</v>
      </c>
      <c r="AV431" s="358">
        <f t="shared" ca="1" si="291"/>
        <v>0</v>
      </c>
      <c r="AX431" s="358">
        <f t="shared" ca="1" si="292"/>
        <v>0</v>
      </c>
      <c r="AZ431" s="358">
        <f t="shared" ca="1" si="293"/>
        <v>0</v>
      </c>
      <c r="BB431" s="358">
        <f t="shared" ca="1" si="294"/>
        <v>0</v>
      </c>
      <c r="BD431" s="358">
        <f t="shared" ca="1" si="295"/>
        <v>0</v>
      </c>
      <c r="BF431" s="358">
        <f t="shared" ca="1" si="296"/>
        <v>0</v>
      </c>
      <c r="BH431" s="358">
        <f t="shared" ca="1" si="297"/>
        <v>0</v>
      </c>
    </row>
    <row r="432" spans="1:60" hidden="1" outlineLevel="1">
      <c r="A432" s="1464">
        <f t="shared" si="283"/>
        <v>18</v>
      </c>
      <c r="B432" s="1464">
        <f t="shared" si="284"/>
        <v>33</v>
      </c>
      <c r="C432" s="1464">
        <f t="shared" si="285"/>
        <v>24</v>
      </c>
      <c r="D432" s="1271" t="str">
        <f ca="1">IF(OFFSET(PortfolioDashboard!$A$3,C432-1,0)="","Blank",OFFSET(PortfolioDashboard!$A$3,C432-1,0))</f>
        <v>Blank</v>
      </c>
      <c r="E432" s="1464" t="str">
        <f t="shared" si="286"/>
        <v>2010$</v>
      </c>
      <c r="F432" s="1460">
        <f t="shared" ca="1" si="278"/>
        <v>0</v>
      </c>
      <c r="G432" s="358">
        <f t="shared" ca="1" si="298"/>
        <v>0</v>
      </c>
      <c r="H432" s="358">
        <f t="shared" ca="1" si="298"/>
        <v>0</v>
      </c>
      <c r="I432" s="358">
        <f t="shared" ca="1" si="298"/>
        <v>0</v>
      </c>
      <c r="J432" s="358">
        <f t="shared" ca="1" si="298"/>
        <v>0</v>
      </c>
      <c r="K432" s="358">
        <f t="shared" ca="1" si="298"/>
        <v>0</v>
      </c>
      <c r="L432" s="358">
        <f t="shared" ca="1" si="298"/>
        <v>0</v>
      </c>
      <c r="M432" s="358">
        <f t="shared" ca="1" si="298"/>
        <v>0</v>
      </c>
      <c r="N432" s="358">
        <f t="shared" ca="1" si="298"/>
        <v>0</v>
      </c>
      <c r="O432" s="358">
        <f t="shared" ca="1" si="298"/>
        <v>0</v>
      </c>
      <c r="P432" s="358">
        <f t="shared" ca="1" si="298"/>
        <v>0</v>
      </c>
      <c r="Q432" s="358">
        <f t="shared" ca="1" si="299"/>
        <v>0</v>
      </c>
      <c r="R432" s="358">
        <f t="shared" ca="1" si="299"/>
        <v>0</v>
      </c>
      <c r="S432" s="358">
        <f t="shared" ca="1" si="299"/>
        <v>0</v>
      </c>
      <c r="T432" s="358">
        <f t="shared" ca="1" si="299"/>
        <v>0</v>
      </c>
      <c r="U432" s="358">
        <f t="shared" ca="1" si="299"/>
        <v>0</v>
      </c>
      <c r="V432" s="358">
        <f t="shared" ca="1" si="299"/>
        <v>0</v>
      </c>
      <c r="W432" s="358">
        <f t="shared" ca="1" si="299"/>
        <v>0</v>
      </c>
      <c r="X432" s="358">
        <f t="shared" ca="1" si="299"/>
        <v>0</v>
      </c>
      <c r="Y432" s="358">
        <f t="shared" ca="1" si="299"/>
        <v>0</v>
      </c>
      <c r="Z432" s="358">
        <f t="shared" ca="1" si="299"/>
        <v>0</v>
      </c>
      <c r="AA432" s="358">
        <f t="shared" ca="1" si="300"/>
        <v>0</v>
      </c>
      <c r="AB432" s="358">
        <f t="shared" ca="1" si="300"/>
        <v>0</v>
      </c>
      <c r="AC432" s="358">
        <f t="shared" ca="1" si="300"/>
        <v>0</v>
      </c>
      <c r="AD432" s="358">
        <f t="shared" ca="1" si="300"/>
        <v>0</v>
      </c>
      <c r="AE432" s="358">
        <f t="shared" ca="1" si="300"/>
        <v>0</v>
      </c>
      <c r="AF432" s="358">
        <f t="shared" ca="1" si="300"/>
        <v>0</v>
      </c>
      <c r="AG432" s="358">
        <f t="shared" ca="1" si="300"/>
        <v>0</v>
      </c>
      <c r="AH432" s="358">
        <f t="shared" ca="1" si="300"/>
        <v>0</v>
      </c>
      <c r="AI432" s="358">
        <f t="shared" ca="1" si="300"/>
        <v>0</v>
      </c>
      <c r="AJ432" s="358">
        <f t="shared" ca="1" si="300"/>
        <v>0</v>
      </c>
      <c r="AK432" s="358">
        <f t="shared" ca="1" si="301"/>
        <v>0</v>
      </c>
      <c r="AL432" s="358">
        <f t="shared" ca="1" si="301"/>
        <v>0</v>
      </c>
      <c r="AM432" s="358">
        <f t="shared" ca="1" si="301"/>
        <v>0</v>
      </c>
      <c r="AN432" s="358">
        <f t="shared" ca="1" si="301"/>
        <v>0</v>
      </c>
      <c r="AO432" s="358">
        <f t="shared" ca="1" si="301"/>
        <v>0</v>
      </c>
      <c r="AP432" s="358">
        <f t="shared" ca="1" si="301"/>
        <v>0</v>
      </c>
      <c r="AQ432" s="358">
        <f t="shared" ca="1" si="301"/>
        <v>0</v>
      </c>
      <c r="AR432" s="358">
        <f t="shared" ca="1" si="301"/>
        <v>0</v>
      </c>
      <c r="AS432" s="358">
        <f t="shared" ca="1" si="301"/>
        <v>0</v>
      </c>
      <c r="AT432" s="358">
        <f t="shared" ca="1" si="301"/>
        <v>0</v>
      </c>
      <c r="AV432" s="358">
        <f t="shared" ca="1" si="291"/>
        <v>0</v>
      </c>
      <c r="AX432" s="358">
        <f t="shared" ca="1" si="292"/>
        <v>0</v>
      </c>
      <c r="AZ432" s="358">
        <f t="shared" ca="1" si="293"/>
        <v>0</v>
      </c>
      <c r="BB432" s="358">
        <f t="shared" ca="1" si="294"/>
        <v>0</v>
      </c>
      <c r="BD432" s="358">
        <f t="shared" ca="1" si="295"/>
        <v>0</v>
      </c>
      <c r="BF432" s="358">
        <f t="shared" ca="1" si="296"/>
        <v>0</v>
      </c>
      <c r="BH432" s="358">
        <f t="shared" ca="1" si="297"/>
        <v>0</v>
      </c>
    </row>
    <row r="433" spans="1:60" hidden="1" outlineLevel="1">
      <c r="A433" s="1464">
        <f t="shared" si="283"/>
        <v>18</v>
      </c>
      <c r="B433" s="1464">
        <f t="shared" si="284"/>
        <v>33</v>
      </c>
      <c r="C433" s="1464">
        <f t="shared" si="285"/>
        <v>25</v>
      </c>
      <c r="D433" s="1271" t="str">
        <f ca="1">IF(OFFSET(PortfolioDashboard!$A$3,C433-1,0)="","Blank",OFFSET(PortfolioDashboard!$A$3,C433-1,0))</f>
        <v>Blank</v>
      </c>
      <c r="E433" s="1464" t="str">
        <f t="shared" si="286"/>
        <v>2010$</v>
      </c>
      <c r="F433" s="1460">
        <f t="shared" ca="1" si="278"/>
        <v>0</v>
      </c>
      <c r="G433" s="358">
        <f t="shared" ca="1" si="298"/>
        <v>0</v>
      </c>
      <c r="H433" s="358">
        <f t="shared" ca="1" si="298"/>
        <v>0</v>
      </c>
      <c r="I433" s="358">
        <f t="shared" ca="1" si="298"/>
        <v>0</v>
      </c>
      <c r="J433" s="358">
        <f t="shared" ca="1" si="298"/>
        <v>0</v>
      </c>
      <c r="K433" s="358">
        <f t="shared" ca="1" si="298"/>
        <v>0</v>
      </c>
      <c r="L433" s="358">
        <f t="shared" ca="1" si="298"/>
        <v>0</v>
      </c>
      <c r="M433" s="358">
        <f t="shared" ca="1" si="298"/>
        <v>0</v>
      </c>
      <c r="N433" s="358">
        <f t="shared" ca="1" si="298"/>
        <v>0</v>
      </c>
      <c r="O433" s="358">
        <f t="shared" ca="1" si="298"/>
        <v>0</v>
      </c>
      <c r="P433" s="358">
        <f t="shared" ca="1" si="298"/>
        <v>0</v>
      </c>
      <c r="Q433" s="358">
        <f t="shared" ca="1" si="299"/>
        <v>0</v>
      </c>
      <c r="R433" s="358">
        <f t="shared" ca="1" si="299"/>
        <v>0</v>
      </c>
      <c r="S433" s="358">
        <f t="shared" ca="1" si="299"/>
        <v>0</v>
      </c>
      <c r="T433" s="358">
        <f t="shared" ca="1" si="299"/>
        <v>0</v>
      </c>
      <c r="U433" s="358">
        <f t="shared" ca="1" si="299"/>
        <v>0</v>
      </c>
      <c r="V433" s="358">
        <f t="shared" ca="1" si="299"/>
        <v>0</v>
      </c>
      <c r="W433" s="358">
        <f t="shared" ca="1" si="299"/>
        <v>0</v>
      </c>
      <c r="X433" s="358">
        <f t="shared" ca="1" si="299"/>
        <v>0</v>
      </c>
      <c r="Y433" s="358">
        <f t="shared" ca="1" si="299"/>
        <v>0</v>
      </c>
      <c r="Z433" s="358">
        <f t="shared" ca="1" si="299"/>
        <v>0</v>
      </c>
      <c r="AA433" s="358">
        <f t="shared" ca="1" si="300"/>
        <v>0</v>
      </c>
      <c r="AB433" s="358">
        <f t="shared" ca="1" si="300"/>
        <v>0</v>
      </c>
      <c r="AC433" s="358">
        <f t="shared" ca="1" si="300"/>
        <v>0</v>
      </c>
      <c r="AD433" s="358">
        <f t="shared" ca="1" si="300"/>
        <v>0</v>
      </c>
      <c r="AE433" s="358">
        <f t="shared" ca="1" si="300"/>
        <v>0</v>
      </c>
      <c r="AF433" s="358">
        <f t="shared" ca="1" si="300"/>
        <v>0</v>
      </c>
      <c r="AG433" s="358">
        <f t="shared" ca="1" si="300"/>
        <v>0</v>
      </c>
      <c r="AH433" s="358">
        <f t="shared" ca="1" si="300"/>
        <v>0</v>
      </c>
      <c r="AI433" s="358">
        <f t="shared" ca="1" si="300"/>
        <v>0</v>
      </c>
      <c r="AJ433" s="358">
        <f t="shared" ca="1" si="300"/>
        <v>0</v>
      </c>
      <c r="AK433" s="358">
        <f t="shared" ca="1" si="301"/>
        <v>0</v>
      </c>
      <c r="AL433" s="358">
        <f t="shared" ca="1" si="301"/>
        <v>0</v>
      </c>
      <c r="AM433" s="358">
        <f t="shared" ca="1" si="301"/>
        <v>0</v>
      </c>
      <c r="AN433" s="358">
        <f t="shared" ca="1" si="301"/>
        <v>0</v>
      </c>
      <c r="AO433" s="358">
        <f t="shared" ca="1" si="301"/>
        <v>0</v>
      </c>
      <c r="AP433" s="358">
        <f t="shared" ca="1" si="301"/>
        <v>0</v>
      </c>
      <c r="AQ433" s="358">
        <f t="shared" ca="1" si="301"/>
        <v>0</v>
      </c>
      <c r="AR433" s="358">
        <f t="shared" ca="1" si="301"/>
        <v>0</v>
      </c>
      <c r="AS433" s="358">
        <f t="shared" ca="1" si="301"/>
        <v>0</v>
      </c>
      <c r="AT433" s="358">
        <f t="shared" ca="1" si="301"/>
        <v>0</v>
      </c>
      <c r="AV433" s="358">
        <f t="shared" ca="1" si="291"/>
        <v>0</v>
      </c>
      <c r="AX433" s="358">
        <f t="shared" ca="1" si="292"/>
        <v>0</v>
      </c>
      <c r="AZ433" s="358">
        <f t="shared" ca="1" si="293"/>
        <v>0</v>
      </c>
      <c r="BB433" s="358">
        <f t="shared" ca="1" si="294"/>
        <v>0</v>
      </c>
      <c r="BD433" s="358">
        <f t="shared" ca="1" si="295"/>
        <v>0</v>
      </c>
      <c r="BF433" s="358">
        <f t="shared" ca="1" si="296"/>
        <v>0</v>
      </c>
      <c r="BH433" s="358">
        <f t="shared" ca="1" si="297"/>
        <v>0</v>
      </c>
    </row>
    <row r="434" spans="1:60" hidden="1" outlineLevel="1">
      <c r="A434" s="1464">
        <f t="shared" si="283"/>
        <v>18</v>
      </c>
      <c r="B434" s="1464">
        <f t="shared" si="284"/>
        <v>33</v>
      </c>
      <c r="C434" s="1464">
        <f t="shared" si="285"/>
        <v>26</v>
      </c>
      <c r="D434" s="1271" t="str">
        <f ca="1">IF(OFFSET(PortfolioDashboard!$A$3,C434-1,0)="","Blank",OFFSET(PortfolioDashboard!$A$3,C434-1,0))</f>
        <v>Blank</v>
      </c>
      <c r="E434" s="1464" t="str">
        <f t="shared" si="286"/>
        <v>2010$</v>
      </c>
      <c r="F434" s="1460">
        <f t="shared" ca="1" si="278"/>
        <v>0</v>
      </c>
      <c r="G434" s="358">
        <f t="shared" ca="1" si="298"/>
        <v>0</v>
      </c>
      <c r="H434" s="358">
        <f t="shared" ca="1" si="298"/>
        <v>0</v>
      </c>
      <c r="I434" s="358">
        <f t="shared" ca="1" si="298"/>
        <v>0</v>
      </c>
      <c r="J434" s="358">
        <f t="shared" ca="1" si="298"/>
        <v>0</v>
      </c>
      <c r="K434" s="358">
        <f t="shared" ca="1" si="298"/>
        <v>0</v>
      </c>
      <c r="L434" s="358">
        <f t="shared" ca="1" si="298"/>
        <v>0</v>
      </c>
      <c r="M434" s="358">
        <f t="shared" ca="1" si="298"/>
        <v>0</v>
      </c>
      <c r="N434" s="358">
        <f t="shared" ca="1" si="298"/>
        <v>0</v>
      </c>
      <c r="O434" s="358">
        <f t="shared" ca="1" si="298"/>
        <v>0</v>
      </c>
      <c r="P434" s="358">
        <f t="shared" ca="1" si="298"/>
        <v>0</v>
      </c>
      <c r="Q434" s="358">
        <f t="shared" ca="1" si="299"/>
        <v>0</v>
      </c>
      <c r="R434" s="358">
        <f t="shared" ca="1" si="299"/>
        <v>0</v>
      </c>
      <c r="S434" s="358">
        <f t="shared" ca="1" si="299"/>
        <v>0</v>
      </c>
      <c r="T434" s="358">
        <f t="shared" ca="1" si="299"/>
        <v>0</v>
      </c>
      <c r="U434" s="358">
        <f t="shared" ca="1" si="299"/>
        <v>0</v>
      </c>
      <c r="V434" s="358">
        <f t="shared" ca="1" si="299"/>
        <v>0</v>
      </c>
      <c r="W434" s="358">
        <f t="shared" ca="1" si="299"/>
        <v>0</v>
      </c>
      <c r="X434" s="358">
        <f t="shared" ca="1" si="299"/>
        <v>0</v>
      </c>
      <c r="Y434" s="358">
        <f t="shared" ca="1" si="299"/>
        <v>0</v>
      </c>
      <c r="Z434" s="358">
        <f t="shared" ca="1" si="299"/>
        <v>0</v>
      </c>
      <c r="AA434" s="358">
        <f t="shared" ca="1" si="300"/>
        <v>0</v>
      </c>
      <c r="AB434" s="358">
        <f t="shared" ca="1" si="300"/>
        <v>0</v>
      </c>
      <c r="AC434" s="358">
        <f t="shared" ca="1" si="300"/>
        <v>0</v>
      </c>
      <c r="AD434" s="358">
        <f t="shared" ca="1" si="300"/>
        <v>0</v>
      </c>
      <c r="AE434" s="358">
        <f t="shared" ca="1" si="300"/>
        <v>0</v>
      </c>
      <c r="AF434" s="358">
        <f t="shared" ca="1" si="300"/>
        <v>0</v>
      </c>
      <c r="AG434" s="358">
        <f t="shared" ca="1" si="300"/>
        <v>0</v>
      </c>
      <c r="AH434" s="358">
        <f t="shared" ca="1" si="300"/>
        <v>0</v>
      </c>
      <c r="AI434" s="358">
        <f t="shared" ca="1" si="300"/>
        <v>0</v>
      </c>
      <c r="AJ434" s="358">
        <f t="shared" ca="1" si="300"/>
        <v>0</v>
      </c>
      <c r="AK434" s="358">
        <f t="shared" ca="1" si="301"/>
        <v>0</v>
      </c>
      <c r="AL434" s="358">
        <f t="shared" ca="1" si="301"/>
        <v>0</v>
      </c>
      <c r="AM434" s="358">
        <f t="shared" ca="1" si="301"/>
        <v>0</v>
      </c>
      <c r="AN434" s="358">
        <f t="shared" ca="1" si="301"/>
        <v>0</v>
      </c>
      <c r="AO434" s="358">
        <f t="shared" ca="1" si="301"/>
        <v>0</v>
      </c>
      <c r="AP434" s="358">
        <f t="shared" ca="1" si="301"/>
        <v>0</v>
      </c>
      <c r="AQ434" s="358">
        <f t="shared" ca="1" si="301"/>
        <v>0</v>
      </c>
      <c r="AR434" s="358">
        <f t="shared" ca="1" si="301"/>
        <v>0</v>
      </c>
      <c r="AS434" s="358">
        <f t="shared" ca="1" si="301"/>
        <v>0</v>
      </c>
      <c r="AT434" s="358">
        <f t="shared" ca="1" si="301"/>
        <v>0</v>
      </c>
      <c r="AV434" s="358">
        <f t="shared" ca="1" si="291"/>
        <v>0</v>
      </c>
      <c r="AX434" s="358">
        <f t="shared" ca="1" si="292"/>
        <v>0</v>
      </c>
      <c r="AZ434" s="358">
        <f t="shared" ca="1" si="293"/>
        <v>0</v>
      </c>
      <c r="BB434" s="358">
        <f t="shared" ca="1" si="294"/>
        <v>0</v>
      </c>
      <c r="BD434" s="358">
        <f t="shared" ca="1" si="295"/>
        <v>0</v>
      </c>
      <c r="BF434" s="358">
        <f t="shared" ca="1" si="296"/>
        <v>0</v>
      </c>
      <c r="BH434" s="358">
        <f t="shared" ca="1" si="297"/>
        <v>0</v>
      </c>
    </row>
    <row r="435" spans="1:60" hidden="1" outlineLevel="1">
      <c r="A435" s="1464">
        <f t="shared" si="283"/>
        <v>18</v>
      </c>
      <c r="B435" s="1464">
        <f t="shared" si="284"/>
        <v>33</v>
      </c>
      <c r="C435" s="1464">
        <f t="shared" si="285"/>
        <v>27</v>
      </c>
      <c r="D435" s="1271" t="str">
        <f ca="1">IF(OFFSET(PortfolioDashboard!$A$3,C435-1,0)="","Blank",OFFSET(PortfolioDashboard!$A$3,C435-1,0))</f>
        <v>Blank</v>
      </c>
      <c r="E435" s="1464" t="str">
        <f t="shared" si="286"/>
        <v>2010$</v>
      </c>
      <c r="F435" s="1460">
        <f t="shared" ca="1" si="278"/>
        <v>0</v>
      </c>
      <c r="G435" s="358">
        <f t="shared" ca="1" si="298"/>
        <v>0</v>
      </c>
      <c r="H435" s="358">
        <f t="shared" ca="1" si="298"/>
        <v>0</v>
      </c>
      <c r="I435" s="358">
        <f t="shared" ca="1" si="298"/>
        <v>0</v>
      </c>
      <c r="J435" s="358">
        <f t="shared" ca="1" si="298"/>
        <v>0</v>
      </c>
      <c r="K435" s="358">
        <f t="shared" ca="1" si="298"/>
        <v>0</v>
      </c>
      <c r="L435" s="358">
        <f t="shared" ca="1" si="298"/>
        <v>0</v>
      </c>
      <c r="M435" s="358">
        <f t="shared" ca="1" si="298"/>
        <v>0</v>
      </c>
      <c r="N435" s="358">
        <f t="shared" ca="1" si="298"/>
        <v>0</v>
      </c>
      <c r="O435" s="358">
        <f t="shared" ca="1" si="298"/>
        <v>0</v>
      </c>
      <c r="P435" s="358">
        <f t="shared" ca="1" si="298"/>
        <v>0</v>
      </c>
      <c r="Q435" s="358">
        <f t="shared" ca="1" si="299"/>
        <v>0</v>
      </c>
      <c r="R435" s="358">
        <f t="shared" ca="1" si="299"/>
        <v>0</v>
      </c>
      <c r="S435" s="358">
        <f t="shared" ca="1" si="299"/>
        <v>0</v>
      </c>
      <c r="T435" s="358">
        <f t="shared" ca="1" si="299"/>
        <v>0</v>
      </c>
      <c r="U435" s="358">
        <f t="shared" ca="1" si="299"/>
        <v>0</v>
      </c>
      <c r="V435" s="358">
        <f t="shared" ca="1" si="299"/>
        <v>0</v>
      </c>
      <c r="W435" s="358">
        <f t="shared" ca="1" si="299"/>
        <v>0</v>
      </c>
      <c r="X435" s="358">
        <f t="shared" ca="1" si="299"/>
        <v>0</v>
      </c>
      <c r="Y435" s="358">
        <f t="shared" ca="1" si="299"/>
        <v>0</v>
      </c>
      <c r="Z435" s="358">
        <f t="shared" ca="1" si="299"/>
        <v>0</v>
      </c>
      <c r="AA435" s="358">
        <f t="shared" ca="1" si="300"/>
        <v>0</v>
      </c>
      <c r="AB435" s="358">
        <f t="shared" ca="1" si="300"/>
        <v>0</v>
      </c>
      <c r="AC435" s="358">
        <f t="shared" ca="1" si="300"/>
        <v>0</v>
      </c>
      <c r="AD435" s="358">
        <f t="shared" ca="1" si="300"/>
        <v>0</v>
      </c>
      <c r="AE435" s="358">
        <f t="shared" ca="1" si="300"/>
        <v>0</v>
      </c>
      <c r="AF435" s="358">
        <f t="shared" ca="1" si="300"/>
        <v>0</v>
      </c>
      <c r="AG435" s="358">
        <f t="shared" ca="1" si="300"/>
        <v>0</v>
      </c>
      <c r="AH435" s="358">
        <f t="shared" ca="1" si="300"/>
        <v>0</v>
      </c>
      <c r="AI435" s="358">
        <f t="shared" ca="1" si="300"/>
        <v>0</v>
      </c>
      <c r="AJ435" s="358">
        <f t="shared" ca="1" si="300"/>
        <v>0</v>
      </c>
      <c r="AK435" s="358">
        <f t="shared" ca="1" si="301"/>
        <v>0</v>
      </c>
      <c r="AL435" s="358">
        <f t="shared" ca="1" si="301"/>
        <v>0</v>
      </c>
      <c r="AM435" s="358">
        <f t="shared" ca="1" si="301"/>
        <v>0</v>
      </c>
      <c r="AN435" s="358">
        <f t="shared" ca="1" si="301"/>
        <v>0</v>
      </c>
      <c r="AO435" s="358">
        <f t="shared" ca="1" si="301"/>
        <v>0</v>
      </c>
      <c r="AP435" s="358">
        <f t="shared" ca="1" si="301"/>
        <v>0</v>
      </c>
      <c r="AQ435" s="358">
        <f t="shared" ca="1" si="301"/>
        <v>0</v>
      </c>
      <c r="AR435" s="358">
        <f t="shared" ca="1" si="301"/>
        <v>0</v>
      </c>
      <c r="AS435" s="358">
        <f t="shared" ca="1" si="301"/>
        <v>0</v>
      </c>
      <c r="AT435" s="358">
        <f t="shared" ca="1" si="301"/>
        <v>0</v>
      </c>
      <c r="AV435" s="358">
        <f t="shared" ca="1" si="291"/>
        <v>0</v>
      </c>
      <c r="AX435" s="358">
        <f t="shared" ca="1" si="292"/>
        <v>0</v>
      </c>
      <c r="AZ435" s="358">
        <f t="shared" ca="1" si="293"/>
        <v>0</v>
      </c>
      <c r="BB435" s="358">
        <f t="shared" ca="1" si="294"/>
        <v>0</v>
      </c>
      <c r="BD435" s="358">
        <f t="shared" ca="1" si="295"/>
        <v>0</v>
      </c>
      <c r="BF435" s="358">
        <f t="shared" ca="1" si="296"/>
        <v>0</v>
      </c>
      <c r="BH435" s="358">
        <f t="shared" ca="1" si="297"/>
        <v>0</v>
      </c>
    </row>
    <row r="436" spans="1:60" hidden="1" outlineLevel="1">
      <c r="A436" s="1464">
        <f t="shared" si="283"/>
        <v>18</v>
      </c>
      <c r="B436" s="1464">
        <f t="shared" si="284"/>
        <v>33</v>
      </c>
      <c r="C436" s="1464">
        <f t="shared" si="285"/>
        <v>28</v>
      </c>
      <c r="D436" s="1271" t="str">
        <f ca="1">IF(OFFSET(PortfolioDashboard!$A$3,C436-1,0)="","Blank",OFFSET(PortfolioDashboard!$A$3,C436-1,0))</f>
        <v>Blank</v>
      </c>
      <c r="E436" s="1464" t="str">
        <f t="shared" si="286"/>
        <v>2010$</v>
      </c>
      <c r="F436" s="1460">
        <f t="shared" ca="1" si="278"/>
        <v>0</v>
      </c>
      <c r="G436" s="358">
        <f t="shared" ca="1" si="298"/>
        <v>0</v>
      </c>
      <c r="H436" s="358">
        <f t="shared" ca="1" si="298"/>
        <v>0</v>
      </c>
      <c r="I436" s="358">
        <f t="shared" ca="1" si="298"/>
        <v>0</v>
      </c>
      <c r="J436" s="358">
        <f t="shared" ca="1" si="298"/>
        <v>0</v>
      </c>
      <c r="K436" s="358">
        <f t="shared" ca="1" si="298"/>
        <v>0</v>
      </c>
      <c r="L436" s="358">
        <f t="shared" ca="1" si="298"/>
        <v>0</v>
      </c>
      <c r="M436" s="358">
        <f t="shared" ca="1" si="298"/>
        <v>0</v>
      </c>
      <c r="N436" s="358">
        <f t="shared" ca="1" si="298"/>
        <v>0</v>
      </c>
      <c r="O436" s="358">
        <f t="shared" ca="1" si="298"/>
        <v>0</v>
      </c>
      <c r="P436" s="358">
        <f t="shared" ca="1" si="298"/>
        <v>0</v>
      </c>
      <c r="Q436" s="358">
        <f t="shared" ca="1" si="299"/>
        <v>0</v>
      </c>
      <c r="R436" s="358">
        <f t="shared" ca="1" si="299"/>
        <v>0</v>
      </c>
      <c r="S436" s="358">
        <f t="shared" ca="1" si="299"/>
        <v>0</v>
      </c>
      <c r="T436" s="358">
        <f t="shared" ca="1" si="299"/>
        <v>0</v>
      </c>
      <c r="U436" s="358">
        <f t="shared" ca="1" si="299"/>
        <v>0</v>
      </c>
      <c r="V436" s="358">
        <f t="shared" ca="1" si="299"/>
        <v>0</v>
      </c>
      <c r="W436" s="358">
        <f t="shared" ca="1" si="299"/>
        <v>0</v>
      </c>
      <c r="X436" s="358">
        <f t="shared" ca="1" si="299"/>
        <v>0</v>
      </c>
      <c r="Y436" s="358">
        <f t="shared" ca="1" si="299"/>
        <v>0</v>
      </c>
      <c r="Z436" s="358">
        <f t="shared" ca="1" si="299"/>
        <v>0</v>
      </c>
      <c r="AA436" s="358">
        <f t="shared" ca="1" si="300"/>
        <v>0</v>
      </c>
      <c r="AB436" s="358">
        <f t="shared" ca="1" si="300"/>
        <v>0</v>
      </c>
      <c r="AC436" s="358">
        <f t="shared" ca="1" si="300"/>
        <v>0</v>
      </c>
      <c r="AD436" s="358">
        <f t="shared" ca="1" si="300"/>
        <v>0</v>
      </c>
      <c r="AE436" s="358">
        <f t="shared" ca="1" si="300"/>
        <v>0</v>
      </c>
      <c r="AF436" s="358">
        <f t="shared" ca="1" si="300"/>
        <v>0</v>
      </c>
      <c r="AG436" s="358">
        <f t="shared" ca="1" si="300"/>
        <v>0</v>
      </c>
      <c r="AH436" s="358">
        <f t="shared" ca="1" si="300"/>
        <v>0</v>
      </c>
      <c r="AI436" s="358">
        <f t="shared" ca="1" si="300"/>
        <v>0</v>
      </c>
      <c r="AJ436" s="358">
        <f t="shared" ca="1" si="300"/>
        <v>0</v>
      </c>
      <c r="AK436" s="358">
        <f t="shared" ca="1" si="301"/>
        <v>0</v>
      </c>
      <c r="AL436" s="358">
        <f t="shared" ca="1" si="301"/>
        <v>0</v>
      </c>
      <c r="AM436" s="358">
        <f t="shared" ca="1" si="301"/>
        <v>0</v>
      </c>
      <c r="AN436" s="358">
        <f t="shared" ca="1" si="301"/>
        <v>0</v>
      </c>
      <c r="AO436" s="358">
        <f t="shared" ca="1" si="301"/>
        <v>0</v>
      </c>
      <c r="AP436" s="358">
        <f t="shared" ca="1" si="301"/>
        <v>0</v>
      </c>
      <c r="AQ436" s="358">
        <f t="shared" ca="1" si="301"/>
        <v>0</v>
      </c>
      <c r="AR436" s="358">
        <f t="shared" ca="1" si="301"/>
        <v>0</v>
      </c>
      <c r="AS436" s="358">
        <f t="shared" ca="1" si="301"/>
        <v>0</v>
      </c>
      <c r="AT436" s="358">
        <f t="shared" ca="1" si="301"/>
        <v>0</v>
      </c>
      <c r="AV436" s="358">
        <f t="shared" ca="1" si="291"/>
        <v>0</v>
      </c>
      <c r="AX436" s="358">
        <f t="shared" ca="1" si="292"/>
        <v>0</v>
      </c>
      <c r="AZ436" s="358">
        <f t="shared" ca="1" si="293"/>
        <v>0</v>
      </c>
      <c r="BB436" s="358">
        <f t="shared" ca="1" si="294"/>
        <v>0</v>
      </c>
      <c r="BD436" s="358">
        <f t="shared" ca="1" si="295"/>
        <v>0</v>
      </c>
      <c r="BF436" s="358">
        <f t="shared" ca="1" si="296"/>
        <v>0</v>
      </c>
      <c r="BH436" s="358">
        <f t="shared" ca="1" si="297"/>
        <v>0</v>
      </c>
    </row>
    <row r="437" spans="1:60" hidden="1" outlineLevel="1">
      <c r="A437" s="1464">
        <f t="shared" si="283"/>
        <v>18</v>
      </c>
      <c r="B437" s="1464">
        <f t="shared" si="284"/>
        <v>33</v>
      </c>
      <c r="C437" s="1464">
        <f t="shared" si="285"/>
        <v>29</v>
      </c>
      <c r="D437" s="1271" t="str">
        <f ca="1">IF(OFFSET(PortfolioDashboard!$A$3,C437-1,0)="","Blank",OFFSET(PortfolioDashboard!$A$3,C437-1,0))</f>
        <v>Blank</v>
      </c>
      <c r="E437" s="1464" t="str">
        <f t="shared" si="286"/>
        <v>2010$</v>
      </c>
      <c r="F437" s="1460">
        <f t="shared" ca="1" si="278"/>
        <v>0</v>
      </c>
      <c r="G437" s="358">
        <f t="shared" ca="1" si="298"/>
        <v>0</v>
      </c>
      <c r="H437" s="358">
        <f t="shared" ca="1" si="298"/>
        <v>0</v>
      </c>
      <c r="I437" s="358">
        <f t="shared" ca="1" si="298"/>
        <v>0</v>
      </c>
      <c r="J437" s="358">
        <f t="shared" ca="1" si="298"/>
        <v>0</v>
      </c>
      <c r="K437" s="358">
        <f t="shared" ca="1" si="298"/>
        <v>0</v>
      </c>
      <c r="L437" s="358">
        <f t="shared" ca="1" si="298"/>
        <v>0</v>
      </c>
      <c r="M437" s="358">
        <f t="shared" ca="1" si="298"/>
        <v>0</v>
      </c>
      <c r="N437" s="358">
        <f t="shared" ca="1" si="298"/>
        <v>0</v>
      </c>
      <c r="O437" s="358">
        <f t="shared" ca="1" si="298"/>
        <v>0</v>
      </c>
      <c r="P437" s="358">
        <f t="shared" ca="1" si="298"/>
        <v>0</v>
      </c>
      <c r="Q437" s="358">
        <f t="shared" ca="1" si="299"/>
        <v>0</v>
      </c>
      <c r="R437" s="358">
        <f t="shared" ca="1" si="299"/>
        <v>0</v>
      </c>
      <c r="S437" s="358">
        <f t="shared" ca="1" si="299"/>
        <v>0</v>
      </c>
      <c r="T437" s="358">
        <f t="shared" ca="1" si="299"/>
        <v>0</v>
      </c>
      <c r="U437" s="358">
        <f t="shared" ca="1" si="299"/>
        <v>0</v>
      </c>
      <c r="V437" s="358">
        <f t="shared" ca="1" si="299"/>
        <v>0</v>
      </c>
      <c r="W437" s="358">
        <f t="shared" ca="1" si="299"/>
        <v>0</v>
      </c>
      <c r="X437" s="358">
        <f t="shared" ca="1" si="299"/>
        <v>0</v>
      </c>
      <c r="Y437" s="358">
        <f t="shared" ca="1" si="299"/>
        <v>0</v>
      </c>
      <c r="Z437" s="358">
        <f t="shared" ca="1" si="299"/>
        <v>0</v>
      </c>
      <c r="AA437" s="358">
        <f t="shared" ca="1" si="300"/>
        <v>0</v>
      </c>
      <c r="AB437" s="358">
        <f t="shared" ca="1" si="300"/>
        <v>0</v>
      </c>
      <c r="AC437" s="358">
        <f t="shared" ca="1" si="300"/>
        <v>0</v>
      </c>
      <c r="AD437" s="358">
        <f t="shared" ca="1" si="300"/>
        <v>0</v>
      </c>
      <c r="AE437" s="358">
        <f t="shared" ca="1" si="300"/>
        <v>0</v>
      </c>
      <c r="AF437" s="358">
        <f t="shared" ca="1" si="300"/>
        <v>0</v>
      </c>
      <c r="AG437" s="358">
        <f t="shared" ca="1" si="300"/>
        <v>0</v>
      </c>
      <c r="AH437" s="358">
        <f t="shared" ca="1" si="300"/>
        <v>0</v>
      </c>
      <c r="AI437" s="358">
        <f t="shared" ca="1" si="300"/>
        <v>0</v>
      </c>
      <c r="AJ437" s="358">
        <f t="shared" ca="1" si="300"/>
        <v>0</v>
      </c>
      <c r="AK437" s="358">
        <f t="shared" ca="1" si="301"/>
        <v>0</v>
      </c>
      <c r="AL437" s="358">
        <f t="shared" ca="1" si="301"/>
        <v>0</v>
      </c>
      <c r="AM437" s="358">
        <f t="shared" ca="1" si="301"/>
        <v>0</v>
      </c>
      <c r="AN437" s="358">
        <f t="shared" ca="1" si="301"/>
        <v>0</v>
      </c>
      <c r="AO437" s="358">
        <f t="shared" ca="1" si="301"/>
        <v>0</v>
      </c>
      <c r="AP437" s="358">
        <f t="shared" ca="1" si="301"/>
        <v>0</v>
      </c>
      <c r="AQ437" s="358">
        <f t="shared" ca="1" si="301"/>
        <v>0</v>
      </c>
      <c r="AR437" s="358">
        <f t="shared" ca="1" si="301"/>
        <v>0</v>
      </c>
      <c r="AS437" s="358">
        <f t="shared" ca="1" si="301"/>
        <v>0</v>
      </c>
      <c r="AT437" s="358">
        <f t="shared" ca="1" si="301"/>
        <v>0</v>
      </c>
      <c r="AV437" s="358">
        <f t="shared" ca="1" si="291"/>
        <v>0</v>
      </c>
      <c r="AX437" s="358">
        <f t="shared" ca="1" si="292"/>
        <v>0</v>
      </c>
      <c r="AZ437" s="358">
        <f t="shared" ca="1" si="293"/>
        <v>0</v>
      </c>
      <c r="BB437" s="358">
        <f t="shared" ca="1" si="294"/>
        <v>0</v>
      </c>
      <c r="BD437" s="358">
        <f t="shared" ca="1" si="295"/>
        <v>0</v>
      </c>
      <c r="BF437" s="358">
        <f t="shared" ca="1" si="296"/>
        <v>0</v>
      </c>
      <c r="BH437" s="358">
        <f t="shared" ca="1" si="297"/>
        <v>0</v>
      </c>
    </row>
    <row r="438" spans="1:60" hidden="1" outlineLevel="1">
      <c r="A438" s="1464">
        <f t="shared" si="283"/>
        <v>18</v>
      </c>
      <c r="B438" s="1464">
        <f t="shared" si="284"/>
        <v>33</v>
      </c>
      <c r="C438" s="1464">
        <f t="shared" si="285"/>
        <v>30</v>
      </c>
      <c r="D438" s="1271" t="str">
        <f ca="1">IF(OFFSET(PortfolioDashboard!$A$3,C438-1,0)="","Blank",OFFSET(PortfolioDashboard!$A$3,C438-1,0))</f>
        <v>Blank</v>
      </c>
      <c r="E438" s="1464" t="str">
        <f t="shared" si="286"/>
        <v>2010$</v>
      </c>
      <c r="F438" s="1460">
        <f t="shared" ca="1" si="278"/>
        <v>0</v>
      </c>
      <c r="G438" s="358">
        <f t="shared" ca="1" si="298"/>
        <v>0</v>
      </c>
      <c r="H438" s="358">
        <f t="shared" ca="1" si="298"/>
        <v>0</v>
      </c>
      <c r="I438" s="358">
        <f t="shared" ca="1" si="298"/>
        <v>0</v>
      </c>
      <c r="J438" s="358">
        <f t="shared" ca="1" si="298"/>
        <v>0</v>
      </c>
      <c r="K438" s="358">
        <f t="shared" ca="1" si="298"/>
        <v>0</v>
      </c>
      <c r="L438" s="358">
        <f t="shared" ca="1" si="298"/>
        <v>0</v>
      </c>
      <c r="M438" s="358">
        <f t="shared" ca="1" si="298"/>
        <v>0</v>
      </c>
      <c r="N438" s="358">
        <f t="shared" ca="1" si="298"/>
        <v>0</v>
      </c>
      <c r="O438" s="358">
        <f t="shared" ca="1" si="298"/>
        <v>0</v>
      </c>
      <c r="P438" s="358">
        <f t="shared" ca="1" si="298"/>
        <v>0</v>
      </c>
      <c r="Q438" s="358">
        <f t="shared" ca="1" si="299"/>
        <v>0</v>
      </c>
      <c r="R438" s="358">
        <f t="shared" ca="1" si="299"/>
        <v>0</v>
      </c>
      <c r="S438" s="358">
        <f t="shared" ca="1" si="299"/>
        <v>0</v>
      </c>
      <c r="T438" s="358">
        <f t="shared" ca="1" si="299"/>
        <v>0</v>
      </c>
      <c r="U438" s="358">
        <f t="shared" ca="1" si="299"/>
        <v>0</v>
      </c>
      <c r="V438" s="358">
        <f t="shared" ca="1" si="299"/>
        <v>0</v>
      </c>
      <c r="W438" s="358">
        <f t="shared" ca="1" si="299"/>
        <v>0</v>
      </c>
      <c r="X438" s="358">
        <f t="shared" ca="1" si="299"/>
        <v>0</v>
      </c>
      <c r="Y438" s="358">
        <f t="shared" ca="1" si="299"/>
        <v>0</v>
      </c>
      <c r="Z438" s="358">
        <f t="shared" ca="1" si="299"/>
        <v>0</v>
      </c>
      <c r="AA438" s="358">
        <f t="shared" ca="1" si="300"/>
        <v>0</v>
      </c>
      <c r="AB438" s="358">
        <f t="shared" ca="1" si="300"/>
        <v>0</v>
      </c>
      <c r="AC438" s="358">
        <f t="shared" ca="1" si="300"/>
        <v>0</v>
      </c>
      <c r="AD438" s="358">
        <f t="shared" ca="1" si="300"/>
        <v>0</v>
      </c>
      <c r="AE438" s="358">
        <f t="shared" ca="1" si="300"/>
        <v>0</v>
      </c>
      <c r="AF438" s="358">
        <f t="shared" ca="1" si="300"/>
        <v>0</v>
      </c>
      <c r="AG438" s="358">
        <f t="shared" ca="1" si="300"/>
        <v>0</v>
      </c>
      <c r="AH438" s="358">
        <f t="shared" ca="1" si="300"/>
        <v>0</v>
      </c>
      <c r="AI438" s="358">
        <f t="shared" ca="1" si="300"/>
        <v>0</v>
      </c>
      <c r="AJ438" s="358">
        <f t="shared" ca="1" si="300"/>
        <v>0</v>
      </c>
      <c r="AK438" s="358">
        <f t="shared" ca="1" si="301"/>
        <v>0</v>
      </c>
      <c r="AL438" s="358">
        <f t="shared" ca="1" si="301"/>
        <v>0</v>
      </c>
      <c r="AM438" s="358">
        <f t="shared" ca="1" si="301"/>
        <v>0</v>
      </c>
      <c r="AN438" s="358">
        <f t="shared" ca="1" si="301"/>
        <v>0</v>
      </c>
      <c r="AO438" s="358">
        <f t="shared" ca="1" si="301"/>
        <v>0</v>
      </c>
      <c r="AP438" s="358">
        <f t="shared" ca="1" si="301"/>
        <v>0</v>
      </c>
      <c r="AQ438" s="358">
        <f t="shared" ca="1" si="301"/>
        <v>0</v>
      </c>
      <c r="AR438" s="358">
        <f t="shared" ca="1" si="301"/>
        <v>0</v>
      </c>
      <c r="AS438" s="358">
        <f t="shared" ca="1" si="301"/>
        <v>0</v>
      </c>
      <c r="AT438" s="358">
        <f t="shared" ca="1" si="301"/>
        <v>0</v>
      </c>
      <c r="AV438" s="358">
        <f t="shared" ca="1" si="291"/>
        <v>0</v>
      </c>
      <c r="AX438" s="358">
        <f t="shared" ca="1" si="292"/>
        <v>0</v>
      </c>
      <c r="AZ438" s="358">
        <f t="shared" ca="1" si="293"/>
        <v>0</v>
      </c>
      <c r="BB438" s="358">
        <f t="shared" ca="1" si="294"/>
        <v>0</v>
      </c>
      <c r="BD438" s="358">
        <f t="shared" ca="1" si="295"/>
        <v>0</v>
      </c>
      <c r="BF438" s="358">
        <f t="shared" ca="1" si="296"/>
        <v>0</v>
      </c>
      <c r="BH438" s="358">
        <f t="shared" ca="1" si="297"/>
        <v>0</v>
      </c>
    </row>
    <row r="439" spans="1:60" collapsed="1">
      <c r="A439" s="1464"/>
      <c r="B439" s="1464"/>
      <c r="C439" s="1464"/>
      <c r="D439" s="1272" t="s">
        <v>270</v>
      </c>
      <c r="E439" s="1270" t="str">
        <f>E409</f>
        <v>2010$</v>
      </c>
      <c r="F439" s="1461">
        <f t="shared" ca="1" si="278"/>
        <v>379878618.12831277</v>
      </c>
      <c r="G439" s="1277">
        <f t="shared" ref="G439:AT439" ca="1" si="302">SUM(G409:G438)</f>
        <v>0</v>
      </c>
      <c r="H439" s="1277">
        <f t="shared" ca="1" si="302"/>
        <v>25224484.237428442</v>
      </c>
      <c r="I439" s="1277">
        <f t="shared" ca="1" si="302"/>
        <v>25224484.237428762</v>
      </c>
      <c r="J439" s="1277">
        <f t="shared" ca="1" si="302"/>
        <v>25224484.237428442</v>
      </c>
      <c r="K439" s="1277">
        <f t="shared" ca="1" si="302"/>
        <v>25774484.237428762</v>
      </c>
      <c r="L439" s="1277">
        <f t="shared" ca="1" si="302"/>
        <v>25774484.237428762</v>
      </c>
      <c r="M439" s="1277">
        <f t="shared" ca="1" si="302"/>
        <v>25774484.237428442</v>
      </c>
      <c r="N439" s="1277">
        <f t="shared" ca="1" si="302"/>
        <v>25774484.237428762</v>
      </c>
      <c r="O439" s="1277">
        <f t="shared" ca="1" si="302"/>
        <v>25774484.237428442</v>
      </c>
      <c r="P439" s="1277">
        <f t="shared" ca="1" si="302"/>
        <v>25774484.237428762</v>
      </c>
      <c r="Q439" s="1277">
        <f t="shared" ca="1" si="302"/>
        <v>25774484.237428442</v>
      </c>
      <c r="R439" s="1277">
        <f t="shared" ca="1" si="302"/>
        <v>25774484.237428762</v>
      </c>
      <c r="S439" s="1277">
        <f t="shared" ca="1" si="302"/>
        <v>25774484.237428762</v>
      </c>
      <c r="T439" s="1277">
        <f t="shared" ca="1" si="302"/>
        <v>25774484.237428442</v>
      </c>
      <c r="U439" s="1277">
        <f t="shared" ca="1" si="302"/>
        <v>25774484.237428762</v>
      </c>
      <c r="V439" s="1277">
        <f t="shared" ca="1" si="302"/>
        <v>25774484.237428762</v>
      </c>
      <c r="W439" s="1277">
        <f t="shared" ca="1" si="302"/>
        <v>25774484.237428442</v>
      </c>
      <c r="X439" s="1277">
        <f t="shared" ca="1" si="302"/>
        <v>25774484.237428762</v>
      </c>
      <c r="Y439" s="1277">
        <f t="shared" ca="1" si="302"/>
        <v>25774484.237428442</v>
      </c>
      <c r="Z439" s="1277">
        <f t="shared" ca="1" si="302"/>
        <v>25774484.237428762</v>
      </c>
      <c r="AA439" s="1277">
        <f t="shared" ca="1" si="302"/>
        <v>25774484.237428442</v>
      </c>
      <c r="AB439" s="1277">
        <f t="shared" ca="1" si="302"/>
        <v>25774484.237428762</v>
      </c>
      <c r="AC439" s="1277">
        <f t="shared" ca="1" si="302"/>
        <v>25774484.237428762</v>
      </c>
      <c r="AD439" s="1277">
        <f t="shared" ca="1" si="302"/>
        <v>25774484.237428442</v>
      </c>
      <c r="AE439" s="1277">
        <f t="shared" ca="1" si="302"/>
        <v>25224484.237428762</v>
      </c>
      <c r="AF439" s="1277">
        <f t="shared" ca="1" si="302"/>
        <v>25224484.237428762</v>
      </c>
      <c r="AG439" s="1277">
        <f t="shared" ca="1" si="302"/>
        <v>25224484.237428442</v>
      </c>
      <c r="AH439" s="1277">
        <f t="shared" ca="1" si="302"/>
        <v>25224484.237428442</v>
      </c>
      <c r="AI439" s="1277">
        <f t="shared" ca="1" si="302"/>
        <v>25224484.237428762</v>
      </c>
      <c r="AJ439" s="1277">
        <f t="shared" ca="1" si="302"/>
        <v>25224484.237428762</v>
      </c>
      <c r="AK439" s="1277">
        <f t="shared" ca="1" si="302"/>
        <v>25224484.237428442</v>
      </c>
      <c r="AL439" s="1277">
        <f t="shared" ca="1" si="302"/>
        <v>25224484.237428762</v>
      </c>
      <c r="AM439" s="1277">
        <f t="shared" ca="1" si="302"/>
        <v>25224484.237428762</v>
      </c>
      <c r="AN439" s="1277">
        <f t="shared" ca="1" si="302"/>
        <v>25224484.237428442</v>
      </c>
      <c r="AO439" s="1277">
        <f t="shared" ca="1" si="302"/>
        <v>25224484.237428762</v>
      </c>
      <c r="AP439" s="1277">
        <f t="shared" ca="1" si="302"/>
        <v>25224484.237428762</v>
      </c>
      <c r="AQ439" s="1277">
        <f t="shared" ca="1" si="302"/>
        <v>25224484.237428442</v>
      </c>
      <c r="AR439" s="1277">
        <f t="shared" ca="1" si="302"/>
        <v>25224484.237428442</v>
      </c>
      <c r="AS439" s="1277">
        <f t="shared" ca="1" si="302"/>
        <v>25224484.237428762</v>
      </c>
      <c r="AT439" s="1277">
        <f t="shared" ca="1" si="302"/>
        <v>25224484.237428762</v>
      </c>
      <c r="AV439" s="1277">
        <f t="shared" ca="1" si="291"/>
        <v>128872421.18714318</v>
      </c>
      <c r="AX439" s="1277">
        <f t="shared" ca="1" si="292"/>
        <v>128872421.18714318</v>
      </c>
      <c r="AZ439" s="1277">
        <f t="shared" ca="1" si="293"/>
        <v>128872421.18714318</v>
      </c>
      <c r="BB439" s="1277">
        <f t="shared" ca="1" si="294"/>
        <v>128322421.18714318</v>
      </c>
      <c r="BD439" s="1277">
        <f t="shared" ca="1" si="295"/>
        <v>126122421.18714315</v>
      </c>
      <c r="BF439" s="1277">
        <f t="shared" ca="1" si="296"/>
        <v>126122421.18714318</v>
      </c>
      <c r="BH439" s="1277">
        <f t="shared" ca="1" si="297"/>
        <v>126122421.18714315</v>
      </c>
    </row>
    <row r="440" spans="1:60" hidden="1" outlineLevel="1">
      <c r="A440" s="1464">
        <v>18</v>
      </c>
      <c r="B440" s="1464">
        <v>34</v>
      </c>
      <c r="C440" s="1464">
        <v>1</v>
      </c>
      <c r="D440" s="1271" t="str">
        <f ca="1">IF(OFFSET(PortfolioDashboard!$A$3,C440-1,0)="","Blank",OFFSET(PortfolioDashboard!$A$3,C440-1,0))</f>
        <v>Behavior Change</v>
      </c>
      <c r="E440" s="1464" t="s">
        <v>1197</v>
      </c>
      <c r="F440" s="1460">
        <f t="shared" ca="1" si="278"/>
        <v>0</v>
      </c>
      <c r="G440" s="358">
        <f t="shared" ref="G440:P449" ca="1" si="303">IFERROR(OFFSET(INDIRECT(INDEX(List_of_Alternatives,MATCH($D440,NameofAlternatives,0))),$A440+G$1-$G$1,$B440),0)</f>
        <v>0</v>
      </c>
      <c r="H440" s="358">
        <f t="shared" ca="1" si="303"/>
        <v>0</v>
      </c>
      <c r="I440" s="358">
        <f t="shared" ca="1" si="303"/>
        <v>0</v>
      </c>
      <c r="J440" s="358">
        <f t="shared" ca="1" si="303"/>
        <v>0</v>
      </c>
      <c r="K440" s="358">
        <f t="shared" ca="1" si="303"/>
        <v>0</v>
      </c>
      <c r="L440" s="358">
        <f t="shared" ca="1" si="303"/>
        <v>0</v>
      </c>
      <c r="M440" s="358">
        <f t="shared" ca="1" si="303"/>
        <v>0</v>
      </c>
      <c r="N440" s="358">
        <f t="shared" ca="1" si="303"/>
        <v>0</v>
      </c>
      <c r="O440" s="358">
        <f t="shared" ca="1" si="303"/>
        <v>0</v>
      </c>
      <c r="P440" s="358">
        <f t="shared" ca="1" si="303"/>
        <v>0</v>
      </c>
      <c r="Q440" s="358">
        <f t="shared" ref="Q440:Z449" ca="1" si="304">IFERROR(OFFSET(INDIRECT(INDEX(List_of_Alternatives,MATCH($D440,NameofAlternatives,0))),$A440+Q$1-$G$1,$B440),0)</f>
        <v>0</v>
      </c>
      <c r="R440" s="358">
        <f t="shared" ca="1" si="304"/>
        <v>0</v>
      </c>
      <c r="S440" s="358">
        <f t="shared" ca="1" si="304"/>
        <v>0</v>
      </c>
      <c r="T440" s="358">
        <f t="shared" ca="1" si="304"/>
        <v>0</v>
      </c>
      <c r="U440" s="358">
        <f t="shared" ca="1" si="304"/>
        <v>0</v>
      </c>
      <c r="V440" s="358">
        <f t="shared" ca="1" si="304"/>
        <v>0</v>
      </c>
      <c r="W440" s="358">
        <f t="shared" ca="1" si="304"/>
        <v>0</v>
      </c>
      <c r="X440" s="358">
        <f t="shared" ca="1" si="304"/>
        <v>0</v>
      </c>
      <c r="Y440" s="358">
        <f t="shared" ca="1" si="304"/>
        <v>0</v>
      </c>
      <c r="Z440" s="358">
        <f t="shared" ca="1" si="304"/>
        <v>0</v>
      </c>
      <c r="AA440" s="358">
        <f t="shared" ref="AA440:AJ449" ca="1" si="305">IFERROR(OFFSET(INDIRECT(INDEX(List_of_Alternatives,MATCH($D440,NameofAlternatives,0))),$A440+AA$1-$G$1,$B440),0)</f>
        <v>0</v>
      </c>
      <c r="AB440" s="358">
        <f t="shared" ca="1" si="305"/>
        <v>0</v>
      </c>
      <c r="AC440" s="358">
        <f t="shared" ca="1" si="305"/>
        <v>0</v>
      </c>
      <c r="AD440" s="358">
        <f t="shared" ca="1" si="305"/>
        <v>0</v>
      </c>
      <c r="AE440" s="358">
        <f t="shared" ca="1" si="305"/>
        <v>0</v>
      </c>
      <c r="AF440" s="358">
        <f t="shared" ca="1" si="305"/>
        <v>0</v>
      </c>
      <c r="AG440" s="358">
        <f t="shared" ca="1" si="305"/>
        <v>0</v>
      </c>
      <c r="AH440" s="358">
        <f t="shared" ca="1" si="305"/>
        <v>0</v>
      </c>
      <c r="AI440" s="358">
        <f t="shared" ca="1" si="305"/>
        <v>0</v>
      </c>
      <c r="AJ440" s="358">
        <f t="shared" ca="1" si="305"/>
        <v>0</v>
      </c>
      <c r="AK440" s="358">
        <f t="shared" ref="AK440:AT449" ca="1" si="306">IFERROR(OFFSET(INDIRECT(INDEX(List_of_Alternatives,MATCH($D440,NameofAlternatives,0))),$A440+AK$1-$G$1,$B440),0)</f>
        <v>0</v>
      </c>
      <c r="AL440" s="358">
        <f t="shared" ca="1" si="306"/>
        <v>0</v>
      </c>
      <c r="AM440" s="358">
        <f t="shared" ca="1" si="306"/>
        <v>0</v>
      </c>
      <c r="AN440" s="358">
        <f t="shared" ca="1" si="306"/>
        <v>0</v>
      </c>
      <c r="AO440" s="358">
        <f t="shared" ca="1" si="306"/>
        <v>0</v>
      </c>
      <c r="AP440" s="358">
        <f t="shared" ca="1" si="306"/>
        <v>0</v>
      </c>
      <c r="AQ440" s="358">
        <f t="shared" ca="1" si="306"/>
        <v>0</v>
      </c>
      <c r="AR440" s="358">
        <f t="shared" ca="1" si="306"/>
        <v>0</v>
      </c>
      <c r="AS440" s="358">
        <f t="shared" ca="1" si="306"/>
        <v>0</v>
      </c>
      <c r="AT440" s="358">
        <f t="shared" ca="1" si="306"/>
        <v>0</v>
      </c>
      <c r="AV440" s="358">
        <f t="shared" ca="1" si="291"/>
        <v>0</v>
      </c>
      <c r="AX440" s="358">
        <f t="shared" ca="1" si="292"/>
        <v>0</v>
      </c>
      <c r="AZ440" s="358">
        <f t="shared" ca="1" si="293"/>
        <v>0</v>
      </c>
      <c r="BB440" s="358">
        <f t="shared" ca="1" si="294"/>
        <v>0</v>
      </c>
      <c r="BD440" s="358">
        <f t="shared" ca="1" si="295"/>
        <v>0</v>
      </c>
      <c r="BF440" s="358">
        <f t="shared" ca="1" si="296"/>
        <v>0</v>
      </c>
      <c r="BH440" s="358">
        <f t="shared" ca="1" si="297"/>
        <v>0</v>
      </c>
    </row>
    <row r="441" spans="1:60" hidden="1" outlineLevel="1">
      <c r="A441" s="1464">
        <f>A440</f>
        <v>18</v>
      </c>
      <c r="B441" s="1464">
        <f>B440</f>
        <v>34</v>
      </c>
      <c r="C441" s="1464">
        <f>C440+1</f>
        <v>2</v>
      </c>
      <c r="D441" s="1271" t="str">
        <f ca="1">IF(OFFSET(PortfolioDashboard!$A$3,C441-1,0)="","Blank",OFFSET(PortfolioDashboard!$A$3,C441-1,0))</f>
        <v>Building Design &amp; Construction Standards</v>
      </c>
      <c r="E441" s="1464" t="str">
        <f>E440</f>
        <v>2010$</v>
      </c>
      <c r="F441" s="1460">
        <f t="shared" ca="1" si="278"/>
        <v>-9602826.9964801222</v>
      </c>
      <c r="G441" s="358">
        <f t="shared" ca="1" si="303"/>
        <v>0</v>
      </c>
      <c r="H441" s="358">
        <f t="shared" ca="1" si="303"/>
        <v>-440231.70731709298</v>
      </c>
      <c r="I441" s="358">
        <f t="shared" ca="1" si="303"/>
        <v>-2365231.7073170608</v>
      </c>
      <c r="J441" s="358">
        <f t="shared" ca="1" si="303"/>
        <v>-965231.70731707709</v>
      </c>
      <c r="K441" s="358">
        <f t="shared" ca="1" si="303"/>
        <v>-440231.70731707709</v>
      </c>
      <c r="L441" s="358">
        <f t="shared" ca="1" si="303"/>
        <v>-1840231.707317061</v>
      </c>
      <c r="M441" s="358">
        <f t="shared" ca="1" si="303"/>
        <v>-440231.70731707709</v>
      </c>
      <c r="N441" s="358">
        <f t="shared" ca="1" si="303"/>
        <v>-440231.70731707709</v>
      </c>
      <c r="O441" s="358">
        <f t="shared" ca="1" si="303"/>
        <v>-440231.70731707709</v>
      </c>
      <c r="P441" s="358">
        <f t="shared" ca="1" si="303"/>
        <v>-440231.70731707709</v>
      </c>
      <c r="Q441" s="358">
        <f t="shared" ca="1" si="304"/>
        <v>-440231.70731707709</v>
      </c>
      <c r="R441" s="358">
        <f t="shared" ca="1" si="304"/>
        <v>-440231.70731706114</v>
      </c>
      <c r="S441" s="358">
        <f t="shared" ca="1" si="304"/>
        <v>-440231.70731706114</v>
      </c>
      <c r="T441" s="358">
        <f t="shared" ca="1" si="304"/>
        <v>-440231.70731709298</v>
      </c>
      <c r="U441" s="358">
        <f t="shared" ca="1" si="304"/>
        <v>-440231.70731706114</v>
      </c>
      <c r="V441" s="358">
        <f t="shared" ca="1" si="304"/>
        <v>-440231.70731707709</v>
      </c>
      <c r="W441" s="358">
        <f t="shared" ca="1" si="304"/>
        <v>-440231.70731707709</v>
      </c>
      <c r="X441" s="358">
        <f t="shared" ca="1" si="304"/>
        <v>-440231.70731706114</v>
      </c>
      <c r="Y441" s="358">
        <f t="shared" ca="1" si="304"/>
        <v>-440231.70731707709</v>
      </c>
      <c r="Z441" s="358">
        <f t="shared" ca="1" si="304"/>
        <v>-440231.70731709298</v>
      </c>
      <c r="AA441" s="358">
        <f t="shared" ca="1" si="305"/>
        <v>-440231.70731707709</v>
      </c>
      <c r="AB441" s="358">
        <f t="shared" ca="1" si="305"/>
        <v>-440231.70731706114</v>
      </c>
      <c r="AC441" s="358">
        <f t="shared" ca="1" si="305"/>
        <v>-440231.70731706114</v>
      </c>
      <c r="AD441" s="358">
        <f t="shared" ca="1" si="305"/>
        <v>-440231.70731707709</v>
      </c>
      <c r="AE441" s="358">
        <f t="shared" ca="1" si="305"/>
        <v>-440231.70731706114</v>
      </c>
      <c r="AF441" s="358">
        <f t="shared" ca="1" si="305"/>
        <v>-440231.70731706114</v>
      </c>
      <c r="AG441" s="358">
        <f t="shared" ca="1" si="305"/>
        <v>-440231.70731710887</v>
      </c>
      <c r="AH441" s="358">
        <f t="shared" ca="1" si="305"/>
        <v>-440231.70731707709</v>
      </c>
      <c r="AI441" s="358">
        <f t="shared" ca="1" si="305"/>
        <v>-440231.70731706114</v>
      </c>
      <c r="AJ441" s="358">
        <f t="shared" ca="1" si="305"/>
        <v>-440231.70731706114</v>
      </c>
      <c r="AK441" s="358">
        <f t="shared" ca="1" si="306"/>
        <v>-440231.70731707709</v>
      </c>
      <c r="AL441" s="358">
        <f t="shared" ca="1" si="306"/>
        <v>-440231.70731709298</v>
      </c>
      <c r="AM441" s="358">
        <f t="shared" ca="1" si="306"/>
        <v>-440231.70731706114</v>
      </c>
      <c r="AN441" s="358">
        <f t="shared" ca="1" si="306"/>
        <v>-440231.70731707709</v>
      </c>
      <c r="AO441" s="358">
        <f t="shared" ca="1" si="306"/>
        <v>-440231.70731706114</v>
      </c>
      <c r="AP441" s="358">
        <f t="shared" ca="1" si="306"/>
        <v>-440231.70731706114</v>
      </c>
      <c r="AQ441" s="358">
        <f t="shared" ca="1" si="306"/>
        <v>-440231.70731707709</v>
      </c>
      <c r="AR441" s="358">
        <f t="shared" ca="1" si="306"/>
        <v>-440231.70731707709</v>
      </c>
      <c r="AS441" s="358">
        <f t="shared" ca="1" si="306"/>
        <v>-440231.70731709298</v>
      </c>
      <c r="AT441" s="358">
        <f t="shared" ca="1" si="306"/>
        <v>-440231.70731706114</v>
      </c>
      <c r="AV441" s="358">
        <f t="shared" ca="1" si="291"/>
        <v>-3601158.5365853696</v>
      </c>
      <c r="AX441" s="358">
        <f t="shared" ca="1" si="292"/>
        <v>-2201158.5365853533</v>
      </c>
      <c r="AZ441" s="358">
        <f t="shared" ca="1" si="293"/>
        <v>-2201158.5365853854</v>
      </c>
      <c r="BB441" s="358">
        <f t="shared" ca="1" si="294"/>
        <v>-2201158.5365853375</v>
      </c>
      <c r="BD441" s="358">
        <f t="shared" ca="1" si="295"/>
        <v>-2201158.5365853696</v>
      </c>
      <c r="BF441" s="358">
        <f t="shared" ca="1" si="296"/>
        <v>-2201158.5365853696</v>
      </c>
      <c r="BH441" s="358">
        <f t="shared" ca="1" si="297"/>
        <v>-2201158.5365853696</v>
      </c>
    </row>
    <row r="442" spans="1:60" hidden="1" outlineLevel="1">
      <c r="A442" s="1464">
        <f t="shared" ref="A442:A469" si="307">A441</f>
        <v>18</v>
      </c>
      <c r="B442" s="1464">
        <f t="shared" ref="B442:B469" si="308">B441</f>
        <v>34</v>
      </c>
      <c r="C442" s="1464">
        <f t="shared" ref="C442:C469" si="309">C441+1</f>
        <v>3</v>
      </c>
      <c r="D442" s="1271" t="str">
        <f ca="1">IF(OFFSET(PortfolioDashboard!$A$3,C442-1,0)="","Blank",OFFSET(PortfolioDashboard!$A$3,C442-1,0))</f>
        <v>Space Planning &amp; Management</v>
      </c>
      <c r="E442" s="1464" t="str">
        <f t="shared" ref="E442:E469" si="310">E441</f>
        <v>2010$</v>
      </c>
      <c r="F442" s="1460">
        <f t="shared" ca="1" si="278"/>
        <v>0</v>
      </c>
      <c r="G442" s="358">
        <f t="shared" ca="1" si="303"/>
        <v>0</v>
      </c>
      <c r="H442" s="358">
        <f t="shared" ca="1" si="303"/>
        <v>0</v>
      </c>
      <c r="I442" s="358">
        <f t="shared" ca="1" si="303"/>
        <v>0</v>
      </c>
      <c r="J442" s="358">
        <f t="shared" ca="1" si="303"/>
        <v>0</v>
      </c>
      <c r="K442" s="358">
        <f t="shared" ca="1" si="303"/>
        <v>0</v>
      </c>
      <c r="L442" s="358">
        <f t="shared" ca="1" si="303"/>
        <v>0</v>
      </c>
      <c r="M442" s="358">
        <f t="shared" ca="1" si="303"/>
        <v>0</v>
      </c>
      <c r="N442" s="358">
        <f t="shared" ca="1" si="303"/>
        <v>0</v>
      </c>
      <c r="O442" s="358">
        <f t="shared" ca="1" si="303"/>
        <v>0</v>
      </c>
      <c r="P442" s="358">
        <f t="shared" ca="1" si="303"/>
        <v>0</v>
      </c>
      <c r="Q442" s="358">
        <f t="shared" ca="1" si="304"/>
        <v>0</v>
      </c>
      <c r="R442" s="358">
        <f t="shared" ca="1" si="304"/>
        <v>0</v>
      </c>
      <c r="S442" s="358">
        <f t="shared" ca="1" si="304"/>
        <v>0</v>
      </c>
      <c r="T442" s="358">
        <f t="shared" ca="1" si="304"/>
        <v>0</v>
      </c>
      <c r="U442" s="358">
        <f t="shared" ca="1" si="304"/>
        <v>0</v>
      </c>
      <c r="V442" s="358">
        <f t="shared" ca="1" si="304"/>
        <v>0</v>
      </c>
      <c r="W442" s="358">
        <f t="shared" ca="1" si="304"/>
        <v>0</v>
      </c>
      <c r="X442" s="358">
        <f t="shared" ca="1" si="304"/>
        <v>0</v>
      </c>
      <c r="Y442" s="358">
        <f t="shared" ca="1" si="304"/>
        <v>0</v>
      </c>
      <c r="Z442" s="358">
        <f t="shared" ca="1" si="304"/>
        <v>0</v>
      </c>
      <c r="AA442" s="358">
        <f t="shared" ca="1" si="305"/>
        <v>0</v>
      </c>
      <c r="AB442" s="358">
        <f t="shared" ca="1" si="305"/>
        <v>0</v>
      </c>
      <c r="AC442" s="358">
        <f t="shared" ca="1" si="305"/>
        <v>0</v>
      </c>
      <c r="AD442" s="358">
        <f t="shared" ca="1" si="305"/>
        <v>0</v>
      </c>
      <c r="AE442" s="358">
        <f t="shared" ca="1" si="305"/>
        <v>0</v>
      </c>
      <c r="AF442" s="358">
        <f t="shared" ca="1" si="305"/>
        <v>0</v>
      </c>
      <c r="AG442" s="358">
        <f t="shared" ca="1" si="305"/>
        <v>0</v>
      </c>
      <c r="AH442" s="358">
        <f t="shared" ca="1" si="305"/>
        <v>0</v>
      </c>
      <c r="AI442" s="358">
        <f t="shared" ca="1" si="305"/>
        <v>0</v>
      </c>
      <c r="AJ442" s="358">
        <f t="shared" ca="1" si="305"/>
        <v>0</v>
      </c>
      <c r="AK442" s="358">
        <f t="shared" ca="1" si="306"/>
        <v>0</v>
      </c>
      <c r="AL442" s="358">
        <f t="shared" ca="1" si="306"/>
        <v>0</v>
      </c>
      <c r="AM442" s="358">
        <f t="shared" ca="1" si="306"/>
        <v>0</v>
      </c>
      <c r="AN442" s="358">
        <f t="shared" ca="1" si="306"/>
        <v>0</v>
      </c>
      <c r="AO442" s="358">
        <f t="shared" ca="1" si="306"/>
        <v>0</v>
      </c>
      <c r="AP442" s="358">
        <f t="shared" ca="1" si="306"/>
        <v>0</v>
      </c>
      <c r="AQ442" s="358">
        <f t="shared" ca="1" si="306"/>
        <v>0</v>
      </c>
      <c r="AR442" s="358">
        <f t="shared" ca="1" si="306"/>
        <v>0</v>
      </c>
      <c r="AS442" s="358">
        <f t="shared" ca="1" si="306"/>
        <v>0</v>
      </c>
      <c r="AT442" s="358">
        <f t="shared" ca="1" si="306"/>
        <v>0</v>
      </c>
      <c r="AV442" s="358">
        <f t="shared" ca="1" si="291"/>
        <v>0</v>
      </c>
      <c r="AX442" s="358">
        <f t="shared" ca="1" si="292"/>
        <v>0</v>
      </c>
      <c r="AZ442" s="358">
        <f t="shared" ca="1" si="293"/>
        <v>0</v>
      </c>
      <c r="BB442" s="358">
        <f t="shared" ca="1" si="294"/>
        <v>0</v>
      </c>
      <c r="BD442" s="358">
        <f t="shared" ca="1" si="295"/>
        <v>0</v>
      </c>
      <c r="BF442" s="358">
        <f t="shared" ca="1" si="296"/>
        <v>0</v>
      </c>
      <c r="BH442" s="358">
        <f t="shared" ca="1" si="297"/>
        <v>0</v>
      </c>
    </row>
    <row r="443" spans="1:60" hidden="1" outlineLevel="1">
      <c r="A443" s="1464">
        <f t="shared" si="307"/>
        <v>18</v>
      </c>
      <c r="B443" s="1464">
        <f t="shared" si="308"/>
        <v>34</v>
      </c>
      <c r="C443" s="1464">
        <f t="shared" si="309"/>
        <v>4</v>
      </c>
      <c r="D443" s="1271" t="str">
        <f ca="1">IF(OFFSET(PortfolioDashboard!$A$3,C443-1,0)="","Blank",OFFSET(PortfolioDashboard!$A$3,C443-1,0))</f>
        <v>Central Chiller Expansion</v>
      </c>
      <c r="E443" s="1464" t="str">
        <f t="shared" si="310"/>
        <v>2010$</v>
      </c>
      <c r="F443" s="1460">
        <f t="shared" ca="1" si="278"/>
        <v>-1690546.9278276965</v>
      </c>
      <c r="G443" s="358">
        <f t="shared" ca="1" si="303"/>
        <v>0</v>
      </c>
      <c r="H443" s="358">
        <f t="shared" ca="1" si="303"/>
        <v>-600000</v>
      </c>
      <c r="I443" s="358">
        <f t="shared" ca="1" si="303"/>
        <v>0</v>
      </c>
      <c r="J443" s="358">
        <f t="shared" ca="1" si="303"/>
        <v>-982035.34068419575</v>
      </c>
      <c r="K443" s="358">
        <f t="shared" ca="1" si="303"/>
        <v>0</v>
      </c>
      <c r="L443" s="358">
        <f t="shared" ca="1" si="303"/>
        <v>-504630.51431030768</v>
      </c>
      <c r="M443" s="358">
        <f t="shared" ca="1" si="303"/>
        <v>0</v>
      </c>
      <c r="N443" s="358">
        <f t="shared" ca="1" si="303"/>
        <v>0</v>
      </c>
      <c r="O443" s="358">
        <f t="shared" ca="1" si="303"/>
        <v>0</v>
      </c>
      <c r="P443" s="358">
        <f t="shared" ca="1" si="303"/>
        <v>0</v>
      </c>
      <c r="Q443" s="358">
        <f t="shared" ca="1" si="304"/>
        <v>0</v>
      </c>
      <c r="R443" s="358">
        <f t="shared" ca="1" si="304"/>
        <v>0</v>
      </c>
      <c r="S443" s="358">
        <f t="shared" ca="1" si="304"/>
        <v>0</v>
      </c>
      <c r="T443" s="358">
        <f t="shared" ca="1" si="304"/>
        <v>0</v>
      </c>
      <c r="U443" s="358">
        <f t="shared" ca="1" si="304"/>
        <v>0</v>
      </c>
      <c r="V443" s="358">
        <f t="shared" ca="1" si="304"/>
        <v>0</v>
      </c>
      <c r="W443" s="358">
        <f t="shared" ca="1" si="304"/>
        <v>0</v>
      </c>
      <c r="X443" s="358">
        <f t="shared" ca="1" si="304"/>
        <v>0</v>
      </c>
      <c r="Y443" s="358">
        <f t="shared" ca="1" si="304"/>
        <v>0</v>
      </c>
      <c r="Z443" s="358">
        <f t="shared" ca="1" si="304"/>
        <v>0</v>
      </c>
      <c r="AA443" s="358">
        <f t="shared" ca="1" si="305"/>
        <v>0</v>
      </c>
      <c r="AB443" s="358">
        <f t="shared" ca="1" si="305"/>
        <v>0</v>
      </c>
      <c r="AC443" s="358">
        <f t="shared" ca="1" si="305"/>
        <v>0</v>
      </c>
      <c r="AD443" s="358">
        <f t="shared" ca="1" si="305"/>
        <v>0</v>
      </c>
      <c r="AE443" s="358">
        <f t="shared" ca="1" si="305"/>
        <v>0</v>
      </c>
      <c r="AF443" s="358">
        <f t="shared" ca="1" si="305"/>
        <v>0</v>
      </c>
      <c r="AG443" s="358">
        <f t="shared" ca="1" si="305"/>
        <v>0</v>
      </c>
      <c r="AH443" s="358">
        <f t="shared" ca="1" si="305"/>
        <v>0</v>
      </c>
      <c r="AI443" s="358">
        <f t="shared" ca="1" si="305"/>
        <v>0</v>
      </c>
      <c r="AJ443" s="358">
        <f t="shared" ca="1" si="305"/>
        <v>0</v>
      </c>
      <c r="AK443" s="358">
        <f t="shared" ca="1" si="306"/>
        <v>0</v>
      </c>
      <c r="AL443" s="358">
        <f t="shared" ca="1" si="306"/>
        <v>0</v>
      </c>
      <c r="AM443" s="358">
        <f t="shared" ca="1" si="306"/>
        <v>0</v>
      </c>
      <c r="AN443" s="358">
        <f t="shared" ca="1" si="306"/>
        <v>0</v>
      </c>
      <c r="AO443" s="358">
        <f t="shared" ca="1" si="306"/>
        <v>0</v>
      </c>
      <c r="AP443" s="358">
        <f t="shared" ca="1" si="306"/>
        <v>0</v>
      </c>
      <c r="AQ443" s="358">
        <f t="shared" ca="1" si="306"/>
        <v>0</v>
      </c>
      <c r="AR443" s="358">
        <f t="shared" ca="1" si="306"/>
        <v>0</v>
      </c>
      <c r="AS443" s="358">
        <f t="shared" ca="1" si="306"/>
        <v>0</v>
      </c>
      <c r="AT443" s="358">
        <f t="shared" ca="1" si="306"/>
        <v>0</v>
      </c>
      <c r="AV443" s="358">
        <f t="shared" ca="1" si="291"/>
        <v>-504630.51431030768</v>
      </c>
      <c r="AX443" s="358">
        <f t="shared" ca="1" si="292"/>
        <v>0</v>
      </c>
      <c r="AZ443" s="358">
        <f t="shared" ca="1" si="293"/>
        <v>0</v>
      </c>
      <c r="BB443" s="358">
        <f t="shared" ca="1" si="294"/>
        <v>0</v>
      </c>
      <c r="BD443" s="358">
        <f t="shared" ca="1" si="295"/>
        <v>0</v>
      </c>
      <c r="BF443" s="358">
        <f t="shared" ca="1" si="296"/>
        <v>0</v>
      </c>
      <c r="BH443" s="358">
        <f t="shared" ca="1" si="297"/>
        <v>0</v>
      </c>
    </row>
    <row r="444" spans="1:60" hidden="1" outlineLevel="1">
      <c r="A444" s="1464">
        <f t="shared" si="307"/>
        <v>18</v>
      </c>
      <c r="B444" s="1464">
        <f t="shared" si="308"/>
        <v>34</v>
      </c>
      <c r="C444" s="1464">
        <f t="shared" si="309"/>
        <v>5</v>
      </c>
      <c r="D444" s="1271" t="str">
        <f ca="1">IF(OFFSET(PortfolioDashboard!$A$3,C444-1,0)="","Blank",OFFSET(PortfolioDashboard!$A$3,C444-1,0))</f>
        <v>Short-term Energy Conservation Measures</v>
      </c>
      <c r="E444" s="1464" t="str">
        <f t="shared" si="310"/>
        <v>2010$</v>
      </c>
      <c r="F444" s="1460">
        <f t="shared" ca="1" si="278"/>
        <v>-1570304.7352544956</v>
      </c>
      <c r="G444" s="358">
        <f t="shared" ca="1" si="303"/>
        <v>0</v>
      </c>
      <c r="H444" s="358">
        <f t="shared" ca="1" si="303"/>
        <v>-389653</v>
      </c>
      <c r="I444" s="358">
        <f t="shared" ca="1" si="303"/>
        <v>-389653</v>
      </c>
      <c r="J444" s="358">
        <f t="shared" ca="1" si="303"/>
        <v>-389653</v>
      </c>
      <c r="K444" s="358">
        <f t="shared" ca="1" si="303"/>
        <v>-389653</v>
      </c>
      <c r="L444" s="358">
        <f t="shared" ca="1" si="303"/>
        <v>-389653</v>
      </c>
      <c r="M444" s="358">
        <f t="shared" ca="1" si="303"/>
        <v>0</v>
      </c>
      <c r="N444" s="358">
        <f t="shared" ca="1" si="303"/>
        <v>0</v>
      </c>
      <c r="O444" s="358">
        <f t="shared" ca="1" si="303"/>
        <v>0</v>
      </c>
      <c r="P444" s="358">
        <f t="shared" ca="1" si="303"/>
        <v>0</v>
      </c>
      <c r="Q444" s="358">
        <f t="shared" ca="1" si="304"/>
        <v>0</v>
      </c>
      <c r="R444" s="358">
        <f t="shared" ca="1" si="304"/>
        <v>0</v>
      </c>
      <c r="S444" s="358">
        <f t="shared" ca="1" si="304"/>
        <v>0</v>
      </c>
      <c r="T444" s="358">
        <f t="shared" ca="1" si="304"/>
        <v>0</v>
      </c>
      <c r="U444" s="358">
        <f t="shared" ca="1" si="304"/>
        <v>0</v>
      </c>
      <c r="V444" s="358">
        <f t="shared" ca="1" si="304"/>
        <v>0</v>
      </c>
      <c r="W444" s="358">
        <f t="shared" ca="1" si="304"/>
        <v>0</v>
      </c>
      <c r="X444" s="358">
        <f t="shared" ca="1" si="304"/>
        <v>0</v>
      </c>
      <c r="Y444" s="358">
        <f t="shared" ca="1" si="304"/>
        <v>0</v>
      </c>
      <c r="Z444" s="358">
        <f t="shared" ca="1" si="304"/>
        <v>0</v>
      </c>
      <c r="AA444" s="358">
        <f t="shared" ca="1" si="305"/>
        <v>0</v>
      </c>
      <c r="AB444" s="358">
        <f t="shared" ca="1" si="305"/>
        <v>0</v>
      </c>
      <c r="AC444" s="358">
        <f t="shared" ca="1" si="305"/>
        <v>0</v>
      </c>
      <c r="AD444" s="358">
        <f t="shared" ca="1" si="305"/>
        <v>0</v>
      </c>
      <c r="AE444" s="358">
        <f t="shared" ca="1" si="305"/>
        <v>0</v>
      </c>
      <c r="AF444" s="358">
        <f t="shared" ca="1" si="305"/>
        <v>0</v>
      </c>
      <c r="AG444" s="358">
        <f t="shared" ca="1" si="305"/>
        <v>0</v>
      </c>
      <c r="AH444" s="358">
        <f t="shared" ca="1" si="305"/>
        <v>0</v>
      </c>
      <c r="AI444" s="358">
        <f t="shared" ca="1" si="305"/>
        <v>0</v>
      </c>
      <c r="AJ444" s="358">
        <f t="shared" ca="1" si="305"/>
        <v>0</v>
      </c>
      <c r="AK444" s="358">
        <f t="shared" ca="1" si="306"/>
        <v>0</v>
      </c>
      <c r="AL444" s="358">
        <f t="shared" ca="1" si="306"/>
        <v>0</v>
      </c>
      <c r="AM444" s="358">
        <f t="shared" ca="1" si="306"/>
        <v>0</v>
      </c>
      <c r="AN444" s="358">
        <f t="shared" ca="1" si="306"/>
        <v>0</v>
      </c>
      <c r="AO444" s="358">
        <f t="shared" ca="1" si="306"/>
        <v>0</v>
      </c>
      <c r="AP444" s="358">
        <f t="shared" ca="1" si="306"/>
        <v>0</v>
      </c>
      <c r="AQ444" s="358">
        <f t="shared" ca="1" si="306"/>
        <v>0</v>
      </c>
      <c r="AR444" s="358">
        <f t="shared" ca="1" si="306"/>
        <v>0</v>
      </c>
      <c r="AS444" s="358">
        <f t="shared" ca="1" si="306"/>
        <v>0</v>
      </c>
      <c r="AT444" s="358">
        <f t="shared" ca="1" si="306"/>
        <v>0</v>
      </c>
      <c r="AV444" s="358">
        <f t="shared" ca="1" si="291"/>
        <v>-389653</v>
      </c>
      <c r="AX444" s="358">
        <f t="shared" ca="1" si="292"/>
        <v>0</v>
      </c>
      <c r="AZ444" s="358">
        <f t="shared" ca="1" si="293"/>
        <v>0</v>
      </c>
      <c r="BB444" s="358">
        <f t="shared" ca="1" si="294"/>
        <v>0</v>
      </c>
      <c r="BD444" s="358">
        <f t="shared" ca="1" si="295"/>
        <v>0</v>
      </c>
      <c r="BF444" s="358">
        <f t="shared" ca="1" si="296"/>
        <v>0</v>
      </c>
      <c r="BH444" s="358">
        <f t="shared" ca="1" si="297"/>
        <v>0</v>
      </c>
    </row>
    <row r="445" spans="1:60" hidden="1" outlineLevel="1">
      <c r="A445" s="1464">
        <f t="shared" si="307"/>
        <v>18</v>
      </c>
      <c r="B445" s="1464">
        <f t="shared" si="308"/>
        <v>34</v>
      </c>
      <c r="C445" s="1464">
        <f t="shared" si="309"/>
        <v>6</v>
      </c>
      <c r="D445" s="1271" t="str">
        <f ca="1">IF(OFFSET(PortfolioDashboard!$A$3,C445-1,0)="","Blank",OFFSET(PortfolioDashboard!$A$3,C445-1,0))</f>
        <v>Mid-term Energy Conservation Measures</v>
      </c>
      <c r="E445" s="1464" t="str">
        <f t="shared" si="310"/>
        <v>2010$</v>
      </c>
      <c r="F445" s="1460">
        <f t="shared" ca="1" si="278"/>
        <v>-3421010.1138174692</v>
      </c>
      <c r="G445" s="358">
        <f t="shared" ca="1" si="303"/>
        <v>0</v>
      </c>
      <c r="H445" s="358">
        <f t="shared" ca="1" si="303"/>
        <v>0</v>
      </c>
      <c r="I445" s="358">
        <f t="shared" ca="1" si="303"/>
        <v>0</v>
      </c>
      <c r="J445" s="358">
        <f t="shared" ca="1" si="303"/>
        <v>0</v>
      </c>
      <c r="K445" s="358">
        <f t="shared" ca="1" si="303"/>
        <v>0</v>
      </c>
      <c r="L445" s="358">
        <f t="shared" ca="1" si="303"/>
        <v>0</v>
      </c>
      <c r="M445" s="358">
        <f t="shared" ca="1" si="303"/>
        <v>-753244.375</v>
      </c>
      <c r="N445" s="358">
        <f t="shared" ca="1" si="303"/>
        <v>-753244.375</v>
      </c>
      <c r="O445" s="358">
        <f t="shared" ca="1" si="303"/>
        <v>-753244.375</v>
      </c>
      <c r="P445" s="358">
        <f t="shared" ca="1" si="303"/>
        <v>-753244.375</v>
      </c>
      <c r="Q445" s="358">
        <f t="shared" ca="1" si="304"/>
        <v>-753244.375</v>
      </c>
      <c r="R445" s="358">
        <f t="shared" ca="1" si="304"/>
        <v>-753244.375</v>
      </c>
      <c r="S445" s="358">
        <f t="shared" ca="1" si="304"/>
        <v>-753244.375</v>
      </c>
      <c r="T445" s="358">
        <f t="shared" ca="1" si="304"/>
        <v>-753244.375</v>
      </c>
      <c r="U445" s="358">
        <f t="shared" ca="1" si="304"/>
        <v>0</v>
      </c>
      <c r="V445" s="358">
        <f t="shared" ca="1" si="304"/>
        <v>0</v>
      </c>
      <c r="W445" s="358">
        <f t="shared" ca="1" si="304"/>
        <v>0</v>
      </c>
      <c r="X445" s="358">
        <f t="shared" ca="1" si="304"/>
        <v>0</v>
      </c>
      <c r="Y445" s="358">
        <f t="shared" ca="1" si="304"/>
        <v>0</v>
      </c>
      <c r="Z445" s="358">
        <f t="shared" ca="1" si="304"/>
        <v>0</v>
      </c>
      <c r="AA445" s="358">
        <f t="shared" ca="1" si="305"/>
        <v>0</v>
      </c>
      <c r="AB445" s="358">
        <f t="shared" ca="1" si="305"/>
        <v>0</v>
      </c>
      <c r="AC445" s="358">
        <f t="shared" ca="1" si="305"/>
        <v>0</v>
      </c>
      <c r="AD445" s="358">
        <f t="shared" ca="1" si="305"/>
        <v>0</v>
      </c>
      <c r="AE445" s="358">
        <f t="shared" ca="1" si="305"/>
        <v>0</v>
      </c>
      <c r="AF445" s="358">
        <f t="shared" ca="1" si="305"/>
        <v>0</v>
      </c>
      <c r="AG445" s="358">
        <f t="shared" ca="1" si="305"/>
        <v>0</v>
      </c>
      <c r="AH445" s="358">
        <f t="shared" ca="1" si="305"/>
        <v>0</v>
      </c>
      <c r="AI445" s="358">
        <f t="shared" ca="1" si="305"/>
        <v>0</v>
      </c>
      <c r="AJ445" s="358">
        <f t="shared" ca="1" si="305"/>
        <v>0</v>
      </c>
      <c r="AK445" s="358">
        <f t="shared" ca="1" si="306"/>
        <v>0</v>
      </c>
      <c r="AL445" s="358">
        <f t="shared" ca="1" si="306"/>
        <v>0</v>
      </c>
      <c r="AM445" s="358">
        <f t="shared" ca="1" si="306"/>
        <v>0</v>
      </c>
      <c r="AN445" s="358">
        <f t="shared" ca="1" si="306"/>
        <v>0</v>
      </c>
      <c r="AO445" s="358">
        <f t="shared" ca="1" si="306"/>
        <v>0</v>
      </c>
      <c r="AP445" s="358">
        <f t="shared" ca="1" si="306"/>
        <v>0</v>
      </c>
      <c r="AQ445" s="358">
        <f t="shared" ca="1" si="306"/>
        <v>0</v>
      </c>
      <c r="AR445" s="358">
        <f t="shared" ca="1" si="306"/>
        <v>0</v>
      </c>
      <c r="AS445" s="358">
        <f t="shared" ca="1" si="306"/>
        <v>0</v>
      </c>
      <c r="AT445" s="358">
        <f t="shared" ca="1" si="306"/>
        <v>0</v>
      </c>
      <c r="AV445" s="358">
        <f t="shared" ca="1" si="291"/>
        <v>-3012977.5</v>
      </c>
      <c r="AX445" s="358">
        <f t="shared" ca="1" si="292"/>
        <v>-3012977.5</v>
      </c>
      <c r="AZ445" s="358">
        <f t="shared" ca="1" si="293"/>
        <v>0</v>
      </c>
      <c r="BB445" s="358">
        <f t="shared" ca="1" si="294"/>
        <v>0</v>
      </c>
      <c r="BD445" s="358">
        <f t="shared" ca="1" si="295"/>
        <v>0</v>
      </c>
      <c r="BF445" s="358">
        <f t="shared" ca="1" si="296"/>
        <v>0</v>
      </c>
      <c r="BH445" s="358">
        <f t="shared" ca="1" si="297"/>
        <v>0</v>
      </c>
    </row>
    <row r="446" spans="1:60" hidden="1" outlineLevel="1">
      <c r="A446" s="1464">
        <f t="shared" si="307"/>
        <v>18</v>
      </c>
      <c r="B446" s="1464">
        <f t="shared" si="308"/>
        <v>34</v>
      </c>
      <c r="C446" s="1464">
        <f t="shared" si="309"/>
        <v>7</v>
      </c>
      <c r="D446" s="1271" t="str">
        <f ca="1">IF(OFFSET(PortfolioDashboard!$A$3,C446-1,0)="","Blank",OFFSET(PortfolioDashboard!$A$3,C446-1,0))</f>
        <v>Long-term Energy Conservation Measures</v>
      </c>
      <c r="E446" s="1464" t="str">
        <f t="shared" si="310"/>
        <v>2010$</v>
      </c>
      <c r="F446" s="1460">
        <f t="shared" ca="1" si="278"/>
        <v>-2900388.971806766</v>
      </c>
      <c r="G446" s="358">
        <f t="shared" ca="1" si="303"/>
        <v>0</v>
      </c>
      <c r="H446" s="358">
        <f t="shared" ca="1" si="303"/>
        <v>0</v>
      </c>
      <c r="I446" s="358">
        <f t="shared" ca="1" si="303"/>
        <v>0</v>
      </c>
      <c r="J446" s="358">
        <f t="shared" ca="1" si="303"/>
        <v>0</v>
      </c>
      <c r="K446" s="358">
        <f t="shared" ca="1" si="303"/>
        <v>0</v>
      </c>
      <c r="L446" s="358">
        <f t="shared" ca="1" si="303"/>
        <v>0</v>
      </c>
      <c r="M446" s="358">
        <f t="shared" ca="1" si="303"/>
        <v>0</v>
      </c>
      <c r="N446" s="358">
        <f t="shared" ca="1" si="303"/>
        <v>0</v>
      </c>
      <c r="O446" s="358">
        <f t="shared" ca="1" si="303"/>
        <v>0</v>
      </c>
      <c r="P446" s="358">
        <f t="shared" ca="1" si="303"/>
        <v>0</v>
      </c>
      <c r="Q446" s="358">
        <f t="shared" ca="1" si="304"/>
        <v>0</v>
      </c>
      <c r="R446" s="358">
        <f t="shared" ca="1" si="304"/>
        <v>0</v>
      </c>
      <c r="S446" s="358">
        <f t="shared" ca="1" si="304"/>
        <v>0</v>
      </c>
      <c r="T446" s="358">
        <f t="shared" ca="1" si="304"/>
        <v>0</v>
      </c>
      <c r="U446" s="358">
        <f t="shared" ca="1" si="304"/>
        <v>-831862</v>
      </c>
      <c r="V446" s="358">
        <f t="shared" ca="1" si="304"/>
        <v>-831862</v>
      </c>
      <c r="W446" s="358">
        <f t="shared" ca="1" si="304"/>
        <v>-831862</v>
      </c>
      <c r="X446" s="358">
        <f t="shared" ca="1" si="304"/>
        <v>-831862</v>
      </c>
      <c r="Y446" s="358">
        <f t="shared" ca="1" si="304"/>
        <v>-831862</v>
      </c>
      <c r="Z446" s="358">
        <f t="shared" ca="1" si="304"/>
        <v>-831862</v>
      </c>
      <c r="AA446" s="358">
        <f t="shared" ca="1" si="305"/>
        <v>-831862</v>
      </c>
      <c r="AB446" s="358">
        <f t="shared" ca="1" si="305"/>
        <v>-831862</v>
      </c>
      <c r="AC446" s="358">
        <f t="shared" ca="1" si="305"/>
        <v>-831862</v>
      </c>
      <c r="AD446" s="358">
        <f t="shared" ca="1" si="305"/>
        <v>-831862</v>
      </c>
      <c r="AE446" s="358">
        <f t="shared" ca="1" si="305"/>
        <v>0</v>
      </c>
      <c r="AF446" s="358">
        <f t="shared" ca="1" si="305"/>
        <v>0</v>
      </c>
      <c r="AG446" s="358">
        <f t="shared" ca="1" si="305"/>
        <v>0</v>
      </c>
      <c r="AH446" s="358">
        <f t="shared" ca="1" si="305"/>
        <v>0</v>
      </c>
      <c r="AI446" s="358">
        <f t="shared" ca="1" si="305"/>
        <v>0</v>
      </c>
      <c r="AJ446" s="358">
        <f t="shared" ca="1" si="305"/>
        <v>0</v>
      </c>
      <c r="AK446" s="358">
        <f t="shared" ca="1" si="306"/>
        <v>0</v>
      </c>
      <c r="AL446" s="358">
        <f t="shared" ca="1" si="306"/>
        <v>0</v>
      </c>
      <c r="AM446" s="358">
        <f t="shared" ca="1" si="306"/>
        <v>0</v>
      </c>
      <c r="AN446" s="358">
        <f t="shared" ca="1" si="306"/>
        <v>0</v>
      </c>
      <c r="AO446" s="358">
        <f t="shared" ca="1" si="306"/>
        <v>0</v>
      </c>
      <c r="AP446" s="358">
        <f t="shared" ca="1" si="306"/>
        <v>0</v>
      </c>
      <c r="AQ446" s="358">
        <f t="shared" ca="1" si="306"/>
        <v>0</v>
      </c>
      <c r="AR446" s="358">
        <f t="shared" ca="1" si="306"/>
        <v>0</v>
      </c>
      <c r="AS446" s="358">
        <f t="shared" ca="1" si="306"/>
        <v>0</v>
      </c>
      <c r="AT446" s="358">
        <f t="shared" ca="1" si="306"/>
        <v>0</v>
      </c>
      <c r="AV446" s="358">
        <f t="shared" ca="1" si="291"/>
        <v>0</v>
      </c>
      <c r="AX446" s="358">
        <f t="shared" ca="1" si="292"/>
        <v>-831862</v>
      </c>
      <c r="AZ446" s="358">
        <f t="shared" ca="1" si="293"/>
        <v>-4159310</v>
      </c>
      <c r="BB446" s="358">
        <f t="shared" ca="1" si="294"/>
        <v>-3327448</v>
      </c>
      <c r="BD446" s="358">
        <f t="shared" ca="1" si="295"/>
        <v>0</v>
      </c>
      <c r="BF446" s="358">
        <f t="shared" ca="1" si="296"/>
        <v>0</v>
      </c>
      <c r="BH446" s="358">
        <f t="shared" ca="1" si="297"/>
        <v>0</v>
      </c>
    </row>
    <row r="447" spans="1:60" hidden="1" outlineLevel="1">
      <c r="A447" s="1464">
        <f t="shared" si="307"/>
        <v>18</v>
      </c>
      <c r="B447" s="1464">
        <f t="shared" si="308"/>
        <v>34</v>
      </c>
      <c r="C447" s="1464">
        <f t="shared" si="309"/>
        <v>8</v>
      </c>
      <c r="D447" s="1271" t="str">
        <f ca="1">IF(OFFSET(PortfolioDashboard!$A$3,C447-1,0)="","Blank",OFFSET(PortfolioDashboard!$A$3,C447-1,0))</f>
        <v>Green IT</v>
      </c>
      <c r="E447" s="1464" t="str">
        <f t="shared" si="310"/>
        <v>2010$</v>
      </c>
      <c r="F447" s="1460">
        <f t="shared" ca="1" si="278"/>
        <v>-22523.170148873429</v>
      </c>
      <c r="G447" s="358">
        <f t="shared" ca="1" si="303"/>
        <v>0</v>
      </c>
      <c r="H447" s="358">
        <f t="shared" ca="1" si="303"/>
        <v>0</v>
      </c>
      <c r="I447" s="358">
        <f t="shared" ca="1" si="303"/>
        <v>-9333.3333333333339</v>
      </c>
      <c r="J447" s="358">
        <f t="shared" ca="1" si="303"/>
        <v>-9333.3333333333339</v>
      </c>
      <c r="K447" s="358">
        <f t="shared" ca="1" si="303"/>
        <v>-9333.3333333333339</v>
      </c>
      <c r="L447" s="358">
        <f t="shared" ca="1" si="303"/>
        <v>0</v>
      </c>
      <c r="M447" s="358">
        <f t="shared" ca="1" si="303"/>
        <v>0</v>
      </c>
      <c r="N447" s="358">
        <f t="shared" ca="1" si="303"/>
        <v>0</v>
      </c>
      <c r="O447" s="358">
        <f t="shared" ca="1" si="303"/>
        <v>0</v>
      </c>
      <c r="P447" s="358">
        <f t="shared" ca="1" si="303"/>
        <v>0</v>
      </c>
      <c r="Q447" s="358">
        <f t="shared" ca="1" si="304"/>
        <v>0</v>
      </c>
      <c r="R447" s="358">
        <f t="shared" ca="1" si="304"/>
        <v>0</v>
      </c>
      <c r="S447" s="358">
        <f t="shared" ca="1" si="304"/>
        <v>0</v>
      </c>
      <c r="T447" s="358">
        <f t="shared" ca="1" si="304"/>
        <v>0</v>
      </c>
      <c r="U447" s="358">
        <f t="shared" ca="1" si="304"/>
        <v>0</v>
      </c>
      <c r="V447" s="358">
        <f t="shared" ca="1" si="304"/>
        <v>0</v>
      </c>
      <c r="W447" s="358">
        <f t="shared" ca="1" si="304"/>
        <v>0</v>
      </c>
      <c r="X447" s="358">
        <f t="shared" ca="1" si="304"/>
        <v>0</v>
      </c>
      <c r="Y447" s="358">
        <f t="shared" ca="1" si="304"/>
        <v>0</v>
      </c>
      <c r="Z447" s="358">
        <f t="shared" ca="1" si="304"/>
        <v>0</v>
      </c>
      <c r="AA447" s="358">
        <f t="shared" ca="1" si="305"/>
        <v>0</v>
      </c>
      <c r="AB447" s="358">
        <f t="shared" ca="1" si="305"/>
        <v>0</v>
      </c>
      <c r="AC447" s="358">
        <f t="shared" ca="1" si="305"/>
        <v>0</v>
      </c>
      <c r="AD447" s="358">
        <f t="shared" ca="1" si="305"/>
        <v>0</v>
      </c>
      <c r="AE447" s="358">
        <f t="shared" ca="1" si="305"/>
        <v>0</v>
      </c>
      <c r="AF447" s="358">
        <f t="shared" ca="1" si="305"/>
        <v>0</v>
      </c>
      <c r="AG447" s="358">
        <f t="shared" ca="1" si="305"/>
        <v>0</v>
      </c>
      <c r="AH447" s="358">
        <f t="shared" ca="1" si="305"/>
        <v>0</v>
      </c>
      <c r="AI447" s="358">
        <f t="shared" ca="1" si="305"/>
        <v>0</v>
      </c>
      <c r="AJ447" s="358">
        <f t="shared" ca="1" si="305"/>
        <v>0</v>
      </c>
      <c r="AK447" s="358">
        <f t="shared" ca="1" si="306"/>
        <v>0</v>
      </c>
      <c r="AL447" s="358">
        <f t="shared" ca="1" si="306"/>
        <v>0</v>
      </c>
      <c r="AM447" s="358">
        <f t="shared" ca="1" si="306"/>
        <v>0</v>
      </c>
      <c r="AN447" s="358">
        <f t="shared" ca="1" si="306"/>
        <v>0</v>
      </c>
      <c r="AO447" s="358">
        <f t="shared" ca="1" si="306"/>
        <v>0</v>
      </c>
      <c r="AP447" s="358">
        <f t="shared" ca="1" si="306"/>
        <v>0</v>
      </c>
      <c r="AQ447" s="358">
        <f t="shared" ca="1" si="306"/>
        <v>0</v>
      </c>
      <c r="AR447" s="358">
        <f t="shared" ca="1" si="306"/>
        <v>0</v>
      </c>
      <c r="AS447" s="358">
        <f t="shared" ca="1" si="306"/>
        <v>0</v>
      </c>
      <c r="AT447" s="358">
        <f t="shared" ca="1" si="306"/>
        <v>0</v>
      </c>
      <c r="AV447" s="358">
        <f t="shared" ca="1" si="291"/>
        <v>0</v>
      </c>
      <c r="AX447" s="358">
        <f t="shared" ca="1" si="292"/>
        <v>0</v>
      </c>
      <c r="AZ447" s="358">
        <f t="shared" ca="1" si="293"/>
        <v>0</v>
      </c>
      <c r="BB447" s="358">
        <f t="shared" ca="1" si="294"/>
        <v>0</v>
      </c>
      <c r="BD447" s="358">
        <f t="shared" ca="1" si="295"/>
        <v>0</v>
      </c>
      <c r="BF447" s="358">
        <f t="shared" ca="1" si="296"/>
        <v>0</v>
      </c>
      <c r="BH447" s="358">
        <f t="shared" ca="1" si="297"/>
        <v>0</v>
      </c>
    </row>
    <row r="448" spans="1:60" hidden="1" outlineLevel="1">
      <c r="A448" s="1464">
        <f t="shared" si="307"/>
        <v>18</v>
      </c>
      <c r="B448" s="1464">
        <f t="shared" si="308"/>
        <v>34</v>
      </c>
      <c r="C448" s="1464">
        <f t="shared" si="309"/>
        <v>9</v>
      </c>
      <c r="D448" s="1271" t="str">
        <f ca="1">IF(OFFSET(PortfolioDashboard!$A$3,C448-1,0)="","Blank",OFFSET(PortfolioDashboard!$A$3,C448-1,0))</f>
        <v>Reduced Air Travel</v>
      </c>
      <c r="E448" s="1464" t="str">
        <f t="shared" si="310"/>
        <v>2010$</v>
      </c>
      <c r="F448" s="1460">
        <f t="shared" ca="1" si="278"/>
        <v>0</v>
      </c>
      <c r="G448" s="358">
        <f t="shared" ca="1" si="303"/>
        <v>0</v>
      </c>
      <c r="H448" s="358">
        <f t="shared" ca="1" si="303"/>
        <v>0</v>
      </c>
      <c r="I448" s="358">
        <f t="shared" ca="1" si="303"/>
        <v>0</v>
      </c>
      <c r="J448" s="358">
        <f t="shared" ca="1" si="303"/>
        <v>0</v>
      </c>
      <c r="K448" s="358">
        <f t="shared" ca="1" si="303"/>
        <v>0</v>
      </c>
      <c r="L448" s="358">
        <f t="shared" ca="1" si="303"/>
        <v>0</v>
      </c>
      <c r="M448" s="358">
        <f t="shared" ca="1" si="303"/>
        <v>0</v>
      </c>
      <c r="N448" s="358">
        <f t="shared" ca="1" si="303"/>
        <v>0</v>
      </c>
      <c r="O448" s="358">
        <f t="shared" ca="1" si="303"/>
        <v>0</v>
      </c>
      <c r="P448" s="358">
        <f t="shared" ca="1" si="303"/>
        <v>0</v>
      </c>
      <c r="Q448" s="358">
        <f t="shared" ca="1" si="304"/>
        <v>0</v>
      </c>
      <c r="R448" s="358">
        <f t="shared" ca="1" si="304"/>
        <v>0</v>
      </c>
      <c r="S448" s="358">
        <f t="shared" ca="1" si="304"/>
        <v>0</v>
      </c>
      <c r="T448" s="358">
        <f t="shared" ca="1" si="304"/>
        <v>0</v>
      </c>
      <c r="U448" s="358">
        <f t="shared" ca="1" si="304"/>
        <v>0</v>
      </c>
      <c r="V448" s="358">
        <f t="shared" ca="1" si="304"/>
        <v>0</v>
      </c>
      <c r="W448" s="358">
        <f t="shared" ca="1" si="304"/>
        <v>0</v>
      </c>
      <c r="X448" s="358">
        <f t="shared" ca="1" si="304"/>
        <v>0</v>
      </c>
      <c r="Y448" s="358">
        <f t="shared" ca="1" si="304"/>
        <v>0</v>
      </c>
      <c r="Z448" s="358">
        <f t="shared" ca="1" si="304"/>
        <v>0</v>
      </c>
      <c r="AA448" s="358">
        <f t="shared" ca="1" si="305"/>
        <v>0</v>
      </c>
      <c r="AB448" s="358">
        <f t="shared" ca="1" si="305"/>
        <v>0</v>
      </c>
      <c r="AC448" s="358">
        <f t="shared" ca="1" si="305"/>
        <v>0</v>
      </c>
      <c r="AD448" s="358">
        <f t="shared" ca="1" si="305"/>
        <v>0</v>
      </c>
      <c r="AE448" s="358">
        <f t="shared" ca="1" si="305"/>
        <v>0</v>
      </c>
      <c r="AF448" s="358">
        <f t="shared" ca="1" si="305"/>
        <v>0</v>
      </c>
      <c r="AG448" s="358">
        <f t="shared" ca="1" si="305"/>
        <v>0</v>
      </c>
      <c r="AH448" s="358">
        <f t="shared" ca="1" si="305"/>
        <v>0</v>
      </c>
      <c r="AI448" s="358">
        <f t="shared" ca="1" si="305"/>
        <v>0</v>
      </c>
      <c r="AJ448" s="358">
        <f t="shared" ca="1" si="305"/>
        <v>0</v>
      </c>
      <c r="AK448" s="358">
        <f t="shared" ca="1" si="306"/>
        <v>0</v>
      </c>
      <c r="AL448" s="358">
        <f t="shared" ca="1" si="306"/>
        <v>0</v>
      </c>
      <c r="AM448" s="358">
        <f t="shared" ca="1" si="306"/>
        <v>0</v>
      </c>
      <c r="AN448" s="358">
        <f t="shared" ca="1" si="306"/>
        <v>0</v>
      </c>
      <c r="AO448" s="358">
        <f t="shared" ca="1" si="306"/>
        <v>0</v>
      </c>
      <c r="AP448" s="358">
        <f t="shared" ca="1" si="306"/>
        <v>0</v>
      </c>
      <c r="AQ448" s="358">
        <f t="shared" ca="1" si="306"/>
        <v>0</v>
      </c>
      <c r="AR448" s="358">
        <f t="shared" ca="1" si="306"/>
        <v>0</v>
      </c>
      <c r="AS448" s="358">
        <f t="shared" ca="1" si="306"/>
        <v>0</v>
      </c>
      <c r="AT448" s="358">
        <f t="shared" ca="1" si="306"/>
        <v>0</v>
      </c>
      <c r="AV448" s="358">
        <f t="shared" ca="1" si="291"/>
        <v>0</v>
      </c>
      <c r="AX448" s="358">
        <f t="shared" ca="1" si="292"/>
        <v>0</v>
      </c>
      <c r="AZ448" s="358">
        <f t="shared" ca="1" si="293"/>
        <v>0</v>
      </c>
      <c r="BB448" s="358">
        <f t="shared" ca="1" si="294"/>
        <v>0</v>
      </c>
      <c r="BD448" s="358">
        <f t="shared" ca="1" si="295"/>
        <v>0</v>
      </c>
      <c r="BF448" s="358">
        <f t="shared" ca="1" si="296"/>
        <v>0</v>
      </c>
      <c r="BH448" s="358">
        <f t="shared" ca="1" si="297"/>
        <v>0</v>
      </c>
    </row>
    <row r="449" spans="1:60" hidden="1" outlineLevel="1">
      <c r="A449" s="1464">
        <f t="shared" si="307"/>
        <v>18</v>
      </c>
      <c r="B449" s="1464">
        <f t="shared" si="308"/>
        <v>34</v>
      </c>
      <c r="C449" s="1464">
        <f t="shared" si="309"/>
        <v>10</v>
      </c>
      <c r="D449" s="1271" t="str">
        <f ca="1">IF(OFFSET(PortfolioDashboard!$A$3,C449-1,0)="","Blank",OFFSET(PortfolioDashboard!$A$3,C449-1,0))</f>
        <v>Reduced Automobile Reliance Strategies</v>
      </c>
      <c r="E449" s="1464" t="str">
        <f t="shared" si="310"/>
        <v>2010$</v>
      </c>
      <c r="F449" s="1460">
        <f t="shared" ca="1" si="278"/>
        <v>0</v>
      </c>
      <c r="G449" s="358">
        <f t="shared" ca="1" si="303"/>
        <v>0</v>
      </c>
      <c r="H449" s="358">
        <f t="shared" ca="1" si="303"/>
        <v>0</v>
      </c>
      <c r="I449" s="358">
        <f t="shared" ca="1" si="303"/>
        <v>0</v>
      </c>
      <c r="J449" s="358">
        <f t="shared" ca="1" si="303"/>
        <v>0</v>
      </c>
      <c r="K449" s="358">
        <f t="shared" ca="1" si="303"/>
        <v>0</v>
      </c>
      <c r="L449" s="358">
        <f t="shared" ca="1" si="303"/>
        <v>0</v>
      </c>
      <c r="M449" s="358">
        <f t="shared" ca="1" si="303"/>
        <v>0</v>
      </c>
      <c r="N449" s="358">
        <f t="shared" ca="1" si="303"/>
        <v>0</v>
      </c>
      <c r="O449" s="358">
        <f t="shared" ca="1" si="303"/>
        <v>0</v>
      </c>
      <c r="P449" s="358">
        <f t="shared" ca="1" si="303"/>
        <v>0</v>
      </c>
      <c r="Q449" s="358">
        <f t="shared" ca="1" si="304"/>
        <v>0</v>
      </c>
      <c r="R449" s="358">
        <f t="shared" ca="1" si="304"/>
        <v>0</v>
      </c>
      <c r="S449" s="358">
        <f t="shared" ca="1" si="304"/>
        <v>0</v>
      </c>
      <c r="T449" s="358">
        <f t="shared" ca="1" si="304"/>
        <v>0</v>
      </c>
      <c r="U449" s="358">
        <f t="shared" ca="1" si="304"/>
        <v>0</v>
      </c>
      <c r="V449" s="358">
        <f t="shared" ca="1" si="304"/>
        <v>0</v>
      </c>
      <c r="W449" s="358">
        <f t="shared" ca="1" si="304"/>
        <v>0</v>
      </c>
      <c r="X449" s="358">
        <f t="shared" ca="1" si="304"/>
        <v>0</v>
      </c>
      <c r="Y449" s="358">
        <f t="shared" ca="1" si="304"/>
        <v>0</v>
      </c>
      <c r="Z449" s="358">
        <f t="shared" ca="1" si="304"/>
        <v>0</v>
      </c>
      <c r="AA449" s="358">
        <f t="shared" ca="1" si="305"/>
        <v>0</v>
      </c>
      <c r="AB449" s="358">
        <f t="shared" ca="1" si="305"/>
        <v>0</v>
      </c>
      <c r="AC449" s="358">
        <f t="shared" ca="1" si="305"/>
        <v>0</v>
      </c>
      <c r="AD449" s="358">
        <f t="shared" ca="1" si="305"/>
        <v>0</v>
      </c>
      <c r="AE449" s="358">
        <f t="shared" ca="1" si="305"/>
        <v>0</v>
      </c>
      <c r="AF449" s="358">
        <f t="shared" ca="1" si="305"/>
        <v>0</v>
      </c>
      <c r="AG449" s="358">
        <f t="shared" ca="1" si="305"/>
        <v>0</v>
      </c>
      <c r="AH449" s="358">
        <f t="shared" ca="1" si="305"/>
        <v>0</v>
      </c>
      <c r="AI449" s="358">
        <f t="shared" ca="1" si="305"/>
        <v>0</v>
      </c>
      <c r="AJ449" s="358">
        <f t="shared" ca="1" si="305"/>
        <v>0</v>
      </c>
      <c r="AK449" s="358">
        <f t="shared" ca="1" si="306"/>
        <v>0</v>
      </c>
      <c r="AL449" s="358">
        <f t="shared" ca="1" si="306"/>
        <v>0</v>
      </c>
      <c r="AM449" s="358">
        <f t="shared" ca="1" si="306"/>
        <v>0</v>
      </c>
      <c r="AN449" s="358">
        <f t="shared" ca="1" si="306"/>
        <v>0</v>
      </c>
      <c r="AO449" s="358">
        <f t="shared" ca="1" si="306"/>
        <v>0</v>
      </c>
      <c r="AP449" s="358">
        <f t="shared" ca="1" si="306"/>
        <v>0</v>
      </c>
      <c r="AQ449" s="358">
        <f t="shared" ca="1" si="306"/>
        <v>0</v>
      </c>
      <c r="AR449" s="358">
        <f t="shared" ca="1" si="306"/>
        <v>0</v>
      </c>
      <c r="AS449" s="358">
        <f t="shared" ca="1" si="306"/>
        <v>0</v>
      </c>
      <c r="AT449" s="358">
        <f t="shared" ca="1" si="306"/>
        <v>0</v>
      </c>
      <c r="AV449" s="358">
        <f t="shared" ca="1" si="291"/>
        <v>0</v>
      </c>
      <c r="AX449" s="358">
        <f t="shared" ca="1" si="292"/>
        <v>0</v>
      </c>
      <c r="AZ449" s="358">
        <f t="shared" ca="1" si="293"/>
        <v>0</v>
      </c>
      <c r="BB449" s="358">
        <f t="shared" ca="1" si="294"/>
        <v>0</v>
      </c>
      <c r="BD449" s="358">
        <f t="shared" ca="1" si="295"/>
        <v>0</v>
      </c>
      <c r="BF449" s="358">
        <f t="shared" ca="1" si="296"/>
        <v>0</v>
      </c>
      <c r="BH449" s="358">
        <f t="shared" ca="1" si="297"/>
        <v>0</v>
      </c>
    </row>
    <row r="450" spans="1:60" hidden="1" outlineLevel="1">
      <c r="A450" s="1464">
        <f t="shared" si="307"/>
        <v>18</v>
      </c>
      <c r="B450" s="1464">
        <f t="shared" si="308"/>
        <v>34</v>
      </c>
      <c r="C450" s="1464">
        <f t="shared" si="309"/>
        <v>11</v>
      </c>
      <c r="D450" s="1271" t="str">
        <f ca="1">IF(OFFSET(PortfolioDashboard!$A$3,C450-1,0)="","Blank",OFFSET(PortfolioDashboard!$A$3,C450-1,0))</f>
        <v>Waste Reduction</v>
      </c>
      <c r="E450" s="1464" t="str">
        <f t="shared" si="310"/>
        <v>2010$</v>
      </c>
      <c r="F450" s="1460">
        <f t="shared" ca="1" si="278"/>
        <v>0</v>
      </c>
      <c r="G450" s="358">
        <f t="shared" ref="G450:P459" ca="1" si="311">IFERROR(OFFSET(INDIRECT(INDEX(List_of_Alternatives,MATCH($D450,NameofAlternatives,0))),$A450+G$1-$G$1,$B450),0)</f>
        <v>0</v>
      </c>
      <c r="H450" s="358">
        <f t="shared" ca="1" si="311"/>
        <v>0</v>
      </c>
      <c r="I450" s="358">
        <f t="shared" ca="1" si="311"/>
        <v>0</v>
      </c>
      <c r="J450" s="358">
        <f t="shared" ca="1" si="311"/>
        <v>0</v>
      </c>
      <c r="K450" s="358">
        <f t="shared" ca="1" si="311"/>
        <v>0</v>
      </c>
      <c r="L450" s="358">
        <f t="shared" ca="1" si="311"/>
        <v>0</v>
      </c>
      <c r="M450" s="358">
        <f t="shared" ca="1" si="311"/>
        <v>0</v>
      </c>
      <c r="N450" s="358">
        <f t="shared" ca="1" si="311"/>
        <v>0</v>
      </c>
      <c r="O450" s="358">
        <f t="shared" ca="1" si="311"/>
        <v>0</v>
      </c>
      <c r="P450" s="358">
        <f t="shared" ca="1" si="311"/>
        <v>0</v>
      </c>
      <c r="Q450" s="358">
        <f t="shared" ref="Q450:Z459" ca="1" si="312">IFERROR(OFFSET(INDIRECT(INDEX(List_of_Alternatives,MATCH($D450,NameofAlternatives,0))),$A450+Q$1-$G$1,$B450),0)</f>
        <v>0</v>
      </c>
      <c r="R450" s="358">
        <f t="shared" ca="1" si="312"/>
        <v>0</v>
      </c>
      <c r="S450" s="358">
        <f t="shared" ca="1" si="312"/>
        <v>0</v>
      </c>
      <c r="T450" s="358">
        <f t="shared" ca="1" si="312"/>
        <v>0</v>
      </c>
      <c r="U450" s="358">
        <f t="shared" ca="1" si="312"/>
        <v>0</v>
      </c>
      <c r="V450" s="358">
        <f t="shared" ca="1" si="312"/>
        <v>0</v>
      </c>
      <c r="W450" s="358">
        <f t="shared" ca="1" si="312"/>
        <v>0</v>
      </c>
      <c r="X450" s="358">
        <f t="shared" ca="1" si="312"/>
        <v>0</v>
      </c>
      <c r="Y450" s="358">
        <f t="shared" ca="1" si="312"/>
        <v>0</v>
      </c>
      <c r="Z450" s="358">
        <f t="shared" ca="1" si="312"/>
        <v>0</v>
      </c>
      <c r="AA450" s="358">
        <f t="shared" ref="AA450:AJ459" ca="1" si="313">IFERROR(OFFSET(INDIRECT(INDEX(List_of_Alternatives,MATCH($D450,NameofAlternatives,0))),$A450+AA$1-$G$1,$B450),0)</f>
        <v>0</v>
      </c>
      <c r="AB450" s="358">
        <f t="shared" ca="1" si="313"/>
        <v>0</v>
      </c>
      <c r="AC450" s="358">
        <f t="shared" ca="1" si="313"/>
        <v>0</v>
      </c>
      <c r="AD450" s="358">
        <f t="shared" ca="1" si="313"/>
        <v>0</v>
      </c>
      <c r="AE450" s="358">
        <f t="shared" ca="1" si="313"/>
        <v>0</v>
      </c>
      <c r="AF450" s="358">
        <f t="shared" ca="1" si="313"/>
        <v>0</v>
      </c>
      <c r="AG450" s="358">
        <f t="shared" ca="1" si="313"/>
        <v>0</v>
      </c>
      <c r="AH450" s="358">
        <f t="shared" ca="1" si="313"/>
        <v>0</v>
      </c>
      <c r="AI450" s="358">
        <f t="shared" ca="1" si="313"/>
        <v>0</v>
      </c>
      <c r="AJ450" s="358">
        <f t="shared" ca="1" si="313"/>
        <v>0</v>
      </c>
      <c r="AK450" s="358">
        <f t="shared" ref="AK450:AT459" ca="1" si="314">IFERROR(OFFSET(INDIRECT(INDEX(List_of_Alternatives,MATCH($D450,NameofAlternatives,0))),$A450+AK$1-$G$1,$B450),0)</f>
        <v>0</v>
      </c>
      <c r="AL450" s="358">
        <f t="shared" ca="1" si="314"/>
        <v>0</v>
      </c>
      <c r="AM450" s="358">
        <f t="shared" ca="1" si="314"/>
        <v>0</v>
      </c>
      <c r="AN450" s="358">
        <f t="shared" ca="1" si="314"/>
        <v>0</v>
      </c>
      <c r="AO450" s="358">
        <f t="shared" ca="1" si="314"/>
        <v>0</v>
      </c>
      <c r="AP450" s="358">
        <f t="shared" ca="1" si="314"/>
        <v>0</v>
      </c>
      <c r="AQ450" s="358">
        <f t="shared" ca="1" si="314"/>
        <v>0</v>
      </c>
      <c r="AR450" s="358">
        <f t="shared" ca="1" si="314"/>
        <v>0</v>
      </c>
      <c r="AS450" s="358">
        <f t="shared" ca="1" si="314"/>
        <v>0</v>
      </c>
      <c r="AT450" s="358">
        <f t="shared" ca="1" si="314"/>
        <v>0</v>
      </c>
      <c r="AV450" s="358">
        <f t="shared" ca="1" si="291"/>
        <v>0</v>
      </c>
      <c r="AX450" s="358">
        <f t="shared" ca="1" si="292"/>
        <v>0</v>
      </c>
      <c r="AZ450" s="358">
        <f t="shared" ca="1" si="293"/>
        <v>0</v>
      </c>
      <c r="BB450" s="358">
        <f t="shared" ca="1" si="294"/>
        <v>0</v>
      </c>
      <c r="BD450" s="358">
        <f t="shared" ca="1" si="295"/>
        <v>0</v>
      </c>
      <c r="BF450" s="358">
        <f t="shared" ca="1" si="296"/>
        <v>0</v>
      </c>
      <c r="BH450" s="358">
        <f t="shared" ca="1" si="297"/>
        <v>0</v>
      </c>
    </row>
    <row r="451" spans="1:60" hidden="1" outlineLevel="1">
      <c r="A451" s="1464">
        <f t="shared" si="307"/>
        <v>18</v>
      </c>
      <c r="B451" s="1464">
        <f t="shared" si="308"/>
        <v>34</v>
      </c>
      <c r="C451" s="1464">
        <f t="shared" si="309"/>
        <v>12</v>
      </c>
      <c r="D451" s="1271" t="str">
        <f ca="1">IF(OFFSET(PortfolioDashboard!$A$3,C451-1,0)="","Blank",OFFSET(PortfolioDashboard!$A$3,C451-1,0))</f>
        <v>Steam Line Improvements</v>
      </c>
      <c r="E451" s="1464" t="str">
        <f t="shared" si="310"/>
        <v>2010$</v>
      </c>
      <c r="F451" s="1460">
        <f t="shared" ca="1" si="278"/>
        <v>-675002.01624247886</v>
      </c>
      <c r="G451" s="358">
        <f t="shared" ca="1" si="311"/>
        <v>0</v>
      </c>
      <c r="H451" s="358">
        <f t="shared" ca="1" si="311"/>
        <v>-600000</v>
      </c>
      <c r="I451" s="358">
        <f t="shared" ca="1" si="311"/>
        <v>0</v>
      </c>
      <c r="J451" s="358">
        <f t="shared" ca="1" si="311"/>
        <v>0</v>
      </c>
      <c r="K451" s="358">
        <f t="shared" ca="1" si="311"/>
        <v>0</v>
      </c>
      <c r="L451" s="358">
        <f t="shared" ca="1" si="311"/>
        <v>0</v>
      </c>
      <c r="M451" s="358">
        <f t="shared" ca="1" si="311"/>
        <v>0</v>
      </c>
      <c r="N451" s="358">
        <f t="shared" ca="1" si="311"/>
        <v>0</v>
      </c>
      <c r="O451" s="358">
        <f t="shared" ca="1" si="311"/>
        <v>0</v>
      </c>
      <c r="P451" s="358">
        <f t="shared" ca="1" si="311"/>
        <v>0</v>
      </c>
      <c r="Q451" s="358">
        <f t="shared" ca="1" si="312"/>
        <v>0</v>
      </c>
      <c r="R451" s="358">
        <f t="shared" ca="1" si="312"/>
        <v>0</v>
      </c>
      <c r="S451" s="358">
        <f t="shared" ca="1" si="312"/>
        <v>0</v>
      </c>
      <c r="T451" s="358">
        <f t="shared" ca="1" si="312"/>
        <v>0</v>
      </c>
      <c r="U451" s="358">
        <f t="shared" ca="1" si="312"/>
        <v>0</v>
      </c>
      <c r="V451" s="358">
        <f t="shared" ca="1" si="312"/>
        <v>0</v>
      </c>
      <c r="W451" s="358">
        <f t="shared" ca="1" si="312"/>
        <v>0</v>
      </c>
      <c r="X451" s="358">
        <f t="shared" ca="1" si="312"/>
        <v>0</v>
      </c>
      <c r="Y451" s="358">
        <f t="shared" ca="1" si="312"/>
        <v>0</v>
      </c>
      <c r="Z451" s="358">
        <f t="shared" ca="1" si="312"/>
        <v>0</v>
      </c>
      <c r="AA451" s="358">
        <f t="shared" ca="1" si="313"/>
        <v>0</v>
      </c>
      <c r="AB451" s="358">
        <f t="shared" ca="1" si="313"/>
        <v>0</v>
      </c>
      <c r="AC451" s="358">
        <f t="shared" ca="1" si="313"/>
        <v>0</v>
      </c>
      <c r="AD451" s="358">
        <f t="shared" ca="1" si="313"/>
        <v>0</v>
      </c>
      <c r="AE451" s="358">
        <f t="shared" ca="1" si="313"/>
        <v>0</v>
      </c>
      <c r="AF451" s="358">
        <f t="shared" ca="1" si="313"/>
        <v>0</v>
      </c>
      <c r="AG451" s="358">
        <f t="shared" ca="1" si="313"/>
        <v>-600000</v>
      </c>
      <c r="AH451" s="358">
        <f t="shared" ca="1" si="313"/>
        <v>0</v>
      </c>
      <c r="AI451" s="358">
        <f t="shared" ca="1" si="313"/>
        <v>0</v>
      </c>
      <c r="AJ451" s="358">
        <f t="shared" ca="1" si="313"/>
        <v>0</v>
      </c>
      <c r="AK451" s="358">
        <f t="shared" ca="1" si="314"/>
        <v>0</v>
      </c>
      <c r="AL451" s="358">
        <f t="shared" ca="1" si="314"/>
        <v>0</v>
      </c>
      <c r="AM451" s="358">
        <f t="shared" ca="1" si="314"/>
        <v>0</v>
      </c>
      <c r="AN451" s="358">
        <f t="shared" ca="1" si="314"/>
        <v>0</v>
      </c>
      <c r="AO451" s="358">
        <f t="shared" ca="1" si="314"/>
        <v>0</v>
      </c>
      <c r="AP451" s="358">
        <f t="shared" ca="1" si="314"/>
        <v>0</v>
      </c>
      <c r="AQ451" s="358">
        <f t="shared" ca="1" si="314"/>
        <v>0</v>
      </c>
      <c r="AR451" s="358">
        <f t="shared" ca="1" si="314"/>
        <v>0</v>
      </c>
      <c r="AS451" s="358">
        <f t="shared" ca="1" si="314"/>
        <v>0</v>
      </c>
      <c r="AT451" s="358">
        <f t="shared" ca="1" si="314"/>
        <v>0</v>
      </c>
      <c r="AV451" s="358">
        <f t="shared" ca="1" si="291"/>
        <v>0</v>
      </c>
      <c r="AX451" s="358">
        <f t="shared" ca="1" si="292"/>
        <v>0</v>
      </c>
      <c r="AZ451" s="358">
        <f t="shared" ca="1" si="293"/>
        <v>0</v>
      </c>
      <c r="BB451" s="358">
        <f t="shared" ca="1" si="294"/>
        <v>0</v>
      </c>
      <c r="BD451" s="358">
        <f t="shared" ca="1" si="295"/>
        <v>-600000</v>
      </c>
      <c r="BF451" s="358">
        <f t="shared" ca="1" si="296"/>
        <v>0</v>
      </c>
      <c r="BH451" s="358">
        <f t="shared" ca="1" si="297"/>
        <v>0</v>
      </c>
    </row>
    <row r="452" spans="1:60" hidden="1" outlineLevel="1">
      <c r="A452" s="1464">
        <f t="shared" si="307"/>
        <v>18</v>
      </c>
      <c r="B452" s="1464">
        <f t="shared" si="308"/>
        <v>34</v>
      </c>
      <c r="C452" s="1464">
        <f t="shared" si="309"/>
        <v>13</v>
      </c>
      <c r="D452" s="1271" t="str">
        <f ca="1">IF(OFFSET(PortfolioDashboard!$A$3,C452-1,0)="","Blank",OFFSET(PortfolioDashboard!$A$3,C452-1,0))</f>
        <v>Coal to Natural Gas Conversion @ Steam Plant</v>
      </c>
      <c r="E452" s="1464" t="str">
        <f t="shared" si="310"/>
        <v>2010$</v>
      </c>
      <c r="F452" s="1460">
        <f t="shared" ca="1" si="278"/>
        <v>0</v>
      </c>
      <c r="G452" s="358">
        <f t="shared" ca="1" si="311"/>
        <v>0</v>
      </c>
      <c r="H452" s="358">
        <f t="shared" ca="1" si="311"/>
        <v>0</v>
      </c>
      <c r="I452" s="358">
        <f t="shared" ca="1" si="311"/>
        <v>0</v>
      </c>
      <c r="J452" s="358">
        <f t="shared" ca="1" si="311"/>
        <v>0</v>
      </c>
      <c r="K452" s="358">
        <f t="shared" ca="1" si="311"/>
        <v>0</v>
      </c>
      <c r="L452" s="358">
        <f t="shared" ca="1" si="311"/>
        <v>0</v>
      </c>
      <c r="M452" s="358">
        <f t="shared" ca="1" si="311"/>
        <v>0</v>
      </c>
      <c r="N452" s="358">
        <f t="shared" ca="1" si="311"/>
        <v>0</v>
      </c>
      <c r="O452" s="358">
        <f t="shared" ca="1" si="311"/>
        <v>0</v>
      </c>
      <c r="P452" s="358">
        <f t="shared" ca="1" si="311"/>
        <v>0</v>
      </c>
      <c r="Q452" s="358">
        <f t="shared" ca="1" si="312"/>
        <v>0</v>
      </c>
      <c r="R452" s="358">
        <f t="shared" ca="1" si="312"/>
        <v>0</v>
      </c>
      <c r="S452" s="358">
        <f t="shared" ca="1" si="312"/>
        <v>0</v>
      </c>
      <c r="T452" s="358">
        <f t="shared" ca="1" si="312"/>
        <v>0</v>
      </c>
      <c r="U452" s="358">
        <f t="shared" ca="1" si="312"/>
        <v>0</v>
      </c>
      <c r="V452" s="358">
        <f t="shared" ca="1" si="312"/>
        <v>0</v>
      </c>
      <c r="W452" s="358">
        <f t="shared" ca="1" si="312"/>
        <v>0</v>
      </c>
      <c r="X452" s="358">
        <f t="shared" ca="1" si="312"/>
        <v>0</v>
      </c>
      <c r="Y452" s="358">
        <f t="shared" ca="1" si="312"/>
        <v>0</v>
      </c>
      <c r="Z452" s="358">
        <f t="shared" ca="1" si="312"/>
        <v>0</v>
      </c>
      <c r="AA452" s="358">
        <f t="shared" ca="1" si="313"/>
        <v>0</v>
      </c>
      <c r="AB452" s="358">
        <f t="shared" ca="1" si="313"/>
        <v>0</v>
      </c>
      <c r="AC452" s="358">
        <f t="shared" ca="1" si="313"/>
        <v>0</v>
      </c>
      <c r="AD452" s="358">
        <f t="shared" ca="1" si="313"/>
        <v>0</v>
      </c>
      <c r="AE452" s="358">
        <f t="shared" ca="1" si="313"/>
        <v>0</v>
      </c>
      <c r="AF452" s="358">
        <f t="shared" ca="1" si="313"/>
        <v>0</v>
      </c>
      <c r="AG452" s="358">
        <f t="shared" ca="1" si="313"/>
        <v>0</v>
      </c>
      <c r="AH452" s="358">
        <f t="shared" ca="1" si="313"/>
        <v>0</v>
      </c>
      <c r="AI452" s="358">
        <f t="shared" ca="1" si="313"/>
        <v>0</v>
      </c>
      <c r="AJ452" s="358">
        <f t="shared" ca="1" si="313"/>
        <v>0</v>
      </c>
      <c r="AK452" s="358">
        <f t="shared" ca="1" si="314"/>
        <v>0</v>
      </c>
      <c r="AL452" s="358">
        <f t="shared" ca="1" si="314"/>
        <v>0</v>
      </c>
      <c r="AM452" s="358">
        <f t="shared" ca="1" si="314"/>
        <v>0</v>
      </c>
      <c r="AN452" s="358">
        <f t="shared" ca="1" si="314"/>
        <v>0</v>
      </c>
      <c r="AO452" s="358">
        <f t="shared" ca="1" si="314"/>
        <v>0</v>
      </c>
      <c r="AP452" s="358">
        <f t="shared" ca="1" si="314"/>
        <v>0</v>
      </c>
      <c r="AQ452" s="358">
        <f t="shared" ca="1" si="314"/>
        <v>0</v>
      </c>
      <c r="AR452" s="358">
        <f t="shared" ca="1" si="314"/>
        <v>0</v>
      </c>
      <c r="AS452" s="358">
        <f t="shared" ca="1" si="314"/>
        <v>0</v>
      </c>
      <c r="AT452" s="358">
        <f t="shared" ca="1" si="314"/>
        <v>0</v>
      </c>
      <c r="AV452" s="358">
        <f t="shared" ca="1" si="291"/>
        <v>0</v>
      </c>
      <c r="AX452" s="358">
        <f t="shared" ca="1" si="292"/>
        <v>0</v>
      </c>
      <c r="AZ452" s="358">
        <f t="shared" ca="1" si="293"/>
        <v>0</v>
      </c>
      <c r="BB452" s="358">
        <f t="shared" ca="1" si="294"/>
        <v>0</v>
      </c>
      <c r="BD452" s="358">
        <f t="shared" ca="1" si="295"/>
        <v>0</v>
      </c>
      <c r="BF452" s="358">
        <f t="shared" ca="1" si="296"/>
        <v>0</v>
      </c>
      <c r="BH452" s="358">
        <f t="shared" ca="1" si="297"/>
        <v>0</v>
      </c>
    </row>
    <row r="453" spans="1:60" hidden="1" outlineLevel="1">
      <c r="A453" s="1464">
        <f t="shared" si="307"/>
        <v>18</v>
      </c>
      <c r="B453" s="1464">
        <f t="shared" si="308"/>
        <v>34</v>
      </c>
      <c r="C453" s="1464">
        <f t="shared" si="309"/>
        <v>14</v>
      </c>
      <c r="D453" s="1271" t="str">
        <f ca="1">IF(OFFSET(PortfolioDashboard!$A$3,C453-1,0)="","Blank",OFFSET(PortfolioDashboard!$A$3,C453-1,0))</f>
        <v>On-site Wind</v>
      </c>
      <c r="E453" s="1464" t="str">
        <f t="shared" si="310"/>
        <v>2010$</v>
      </c>
      <c r="F453" s="1460">
        <f t="shared" ca="1" si="278"/>
        <v>-94680.328024016926</v>
      </c>
      <c r="G453" s="358">
        <f t="shared" ca="1" si="311"/>
        <v>-100000</v>
      </c>
      <c r="H453" s="358">
        <f t="shared" ca="1" si="311"/>
        <v>0</v>
      </c>
      <c r="I453" s="358">
        <f t="shared" ca="1" si="311"/>
        <v>0</v>
      </c>
      <c r="J453" s="358">
        <f t="shared" ca="1" si="311"/>
        <v>0</v>
      </c>
      <c r="K453" s="358">
        <f t="shared" ca="1" si="311"/>
        <v>0</v>
      </c>
      <c r="L453" s="358">
        <f t="shared" ca="1" si="311"/>
        <v>0</v>
      </c>
      <c r="M453" s="358">
        <f t="shared" ca="1" si="311"/>
        <v>0</v>
      </c>
      <c r="N453" s="358">
        <f t="shared" ca="1" si="311"/>
        <v>0</v>
      </c>
      <c r="O453" s="358">
        <f t="shared" ca="1" si="311"/>
        <v>0</v>
      </c>
      <c r="P453" s="358">
        <f t="shared" ca="1" si="311"/>
        <v>0</v>
      </c>
      <c r="Q453" s="358">
        <f t="shared" ca="1" si="312"/>
        <v>0</v>
      </c>
      <c r="R453" s="358">
        <f t="shared" ca="1" si="312"/>
        <v>0</v>
      </c>
      <c r="S453" s="358">
        <f t="shared" ca="1" si="312"/>
        <v>0</v>
      </c>
      <c r="T453" s="358">
        <f t="shared" ca="1" si="312"/>
        <v>0</v>
      </c>
      <c r="U453" s="358">
        <f t="shared" ca="1" si="312"/>
        <v>0</v>
      </c>
      <c r="V453" s="358">
        <f t="shared" ca="1" si="312"/>
        <v>0</v>
      </c>
      <c r="W453" s="358">
        <f t="shared" ca="1" si="312"/>
        <v>0</v>
      </c>
      <c r="X453" s="358">
        <f t="shared" ca="1" si="312"/>
        <v>0</v>
      </c>
      <c r="Y453" s="358">
        <f t="shared" ca="1" si="312"/>
        <v>0</v>
      </c>
      <c r="Z453" s="358">
        <f t="shared" ca="1" si="312"/>
        <v>0</v>
      </c>
      <c r="AA453" s="358">
        <f t="shared" ca="1" si="313"/>
        <v>0</v>
      </c>
      <c r="AB453" s="358">
        <f t="shared" ca="1" si="313"/>
        <v>0</v>
      </c>
      <c r="AC453" s="358">
        <f t="shared" ca="1" si="313"/>
        <v>0</v>
      </c>
      <c r="AD453" s="358">
        <f t="shared" ca="1" si="313"/>
        <v>0</v>
      </c>
      <c r="AE453" s="358">
        <f t="shared" ca="1" si="313"/>
        <v>0</v>
      </c>
      <c r="AF453" s="358">
        <f t="shared" ca="1" si="313"/>
        <v>0</v>
      </c>
      <c r="AG453" s="358">
        <f t="shared" ca="1" si="313"/>
        <v>0</v>
      </c>
      <c r="AH453" s="358">
        <f t="shared" ca="1" si="313"/>
        <v>0</v>
      </c>
      <c r="AI453" s="358">
        <f t="shared" ca="1" si="313"/>
        <v>0</v>
      </c>
      <c r="AJ453" s="358">
        <f t="shared" ca="1" si="313"/>
        <v>0</v>
      </c>
      <c r="AK453" s="358">
        <f t="shared" ca="1" si="314"/>
        <v>0</v>
      </c>
      <c r="AL453" s="358">
        <f t="shared" ca="1" si="314"/>
        <v>0</v>
      </c>
      <c r="AM453" s="358">
        <f t="shared" ca="1" si="314"/>
        <v>0</v>
      </c>
      <c r="AN453" s="358">
        <f t="shared" ca="1" si="314"/>
        <v>0</v>
      </c>
      <c r="AO453" s="358">
        <f t="shared" ca="1" si="314"/>
        <v>0</v>
      </c>
      <c r="AP453" s="358">
        <f t="shared" ca="1" si="314"/>
        <v>0</v>
      </c>
      <c r="AQ453" s="358">
        <f t="shared" ca="1" si="314"/>
        <v>0</v>
      </c>
      <c r="AR453" s="358">
        <f t="shared" ca="1" si="314"/>
        <v>0</v>
      </c>
      <c r="AS453" s="358">
        <f t="shared" ca="1" si="314"/>
        <v>0</v>
      </c>
      <c r="AT453" s="358">
        <f t="shared" ca="1" si="314"/>
        <v>0</v>
      </c>
      <c r="AV453" s="358">
        <f t="shared" ca="1" si="291"/>
        <v>0</v>
      </c>
      <c r="AX453" s="358">
        <f t="shared" ca="1" si="292"/>
        <v>0</v>
      </c>
      <c r="AZ453" s="358">
        <f t="shared" ca="1" si="293"/>
        <v>0</v>
      </c>
      <c r="BB453" s="358">
        <f t="shared" ca="1" si="294"/>
        <v>0</v>
      </c>
      <c r="BD453" s="358">
        <f t="shared" ca="1" si="295"/>
        <v>0</v>
      </c>
      <c r="BF453" s="358">
        <f t="shared" ca="1" si="296"/>
        <v>0</v>
      </c>
      <c r="BH453" s="358">
        <f t="shared" ca="1" si="297"/>
        <v>0</v>
      </c>
    </row>
    <row r="454" spans="1:60" hidden="1" outlineLevel="1">
      <c r="A454" s="1464">
        <f t="shared" si="307"/>
        <v>18</v>
      </c>
      <c r="B454" s="1464">
        <f t="shared" si="308"/>
        <v>34</v>
      </c>
      <c r="C454" s="1464">
        <f t="shared" si="309"/>
        <v>15</v>
      </c>
      <c r="D454" s="1271" t="str">
        <f ca="1">IF(OFFSET(PortfolioDashboard!$A$3,C454-1,0)="","Blank",OFFSET(PortfolioDashboard!$A$3,C454-1,0))</f>
        <v>Solar DHW</v>
      </c>
      <c r="E454" s="1464" t="str">
        <f t="shared" si="310"/>
        <v>2010$</v>
      </c>
      <c r="F454" s="1460">
        <f t="shared" ca="1" si="278"/>
        <v>-69075.206328813685</v>
      </c>
      <c r="G454" s="358">
        <f t="shared" ca="1" si="311"/>
        <v>0</v>
      </c>
      <c r="H454" s="358">
        <f t="shared" ca="1" si="311"/>
        <v>-61400</v>
      </c>
      <c r="I454" s="358">
        <f t="shared" ca="1" si="311"/>
        <v>0</v>
      </c>
      <c r="J454" s="358">
        <f t="shared" ca="1" si="311"/>
        <v>0</v>
      </c>
      <c r="K454" s="358">
        <f t="shared" ca="1" si="311"/>
        <v>0</v>
      </c>
      <c r="L454" s="358">
        <f t="shared" ca="1" si="311"/>
        <v>0</v>
      </c>
      <c r="M454" s="358">
        <f t="shared" ca="1" si="311"/>
        <v>0</v>
      </c>
      <c r="N454" s="358">
        <f t="shared" ca="1" si="311"/>
        <v>0</v>
      </c>
      <c r="O454" s="358">
        <f t="shared" ca="1" si="311"/>
        <v>0</v>
      </c>
      <c r="P454" s="358">
        <f t="shared" ca="1" si="311"/>
        <v>0</v>
      </c>
      <c r="Q454" s="358">
        <f t="shared" ca="1" si="312"/>
        <v>0</v>
      </c>
      <c r="R454" s="358">
        <f t="shared" ca="1" si="312"/>
        <v>0</v>
      </c>
      <c r="S454" s="358">
        <f t="shared" ca="1" si="312"/>
        <v>0</v>
      </c>
      <c r="T454" s="358">
        <f t="shared" ca="1" si="312"/>
        <v>0</v>
      </c>
      <c r="U454" s="358">
        <f t="shared" ca="1" si="312"/>
        <v>0</v>
      </c>
      <c r="V454" s="358">
        <f t="shared" ca="1" si="312"/>
        <v>0</v>
      </c>
      <c r="W454" s="358">
        <f t="shared" ca="1" si="312"/>
        <v>0</v>
      </c>
      <c r="X454" s="358">
        <f t="shared" ca="1" si="312"/>
        <v>0</v>
      </c>
      <c r="Y454" s="358">
        <f t="shared" ca="1" si="312"/>
        <v>0</v>
      </c>
      <c r="Z454" s="358">
        <f t="shared" ca="1" si="312"/>
        <v>0</v>
      </c>
      <c r="AA454" s="358">
        <f t="shared" ca="1" si="313"/>
        <v>0</v>
      </c>
      <c r="AB454" s="358">
        <f t="shared" ca="1" si="313"/>
        <v>0</v>
      </c>
      <c r="AC454" s="358">
        <f t="shared" ca="1" si="313"/>
        <v>0</v>
      </c>
      <c r="AD454" s="358">
        <f t="shared" ca="1" si="313"/>
        <v>0</v>
      </c>
      <c r="AE454" s="358">
        <f t="shared" ca="1" si="313"/>
        <v>0</v>
      </c>
      <c r="AF454" s="358">
        <f t="shared" ca="1" si="313"/>
        <v>0</v>
      </c>
      <c r="AG454" s="358">
        <f t="shared" ca="1" si="313"/>
        <v>-61400</v>
      </c>
      <c r="AH454" s="358">
        <f t="shared" ca="1" si="313"/>
        <v>0</v>
      </c>
      <c r="AI454" s="358">
        <f t="shared" ca="1" si="313"/>
        <v>0</v>
      </c>
      <c r="AJ454" s="358">
        <f t="shared" ca="1" si="313"/>
        <v>0</v>
      </c>
      <c r="AK454" s="358">
        <f t="shared" ca="1" si="314"/>
        <v>0</v>
      </c>
      <c r="AL454" s="358">
        <f t="shared" ca="1" si="314"/>
        <v>0</v>
      </c>
      <c r="AM454" s="358">
        <f t="shared" ca="1" si="314"/>
        <v>0</v>
      </c>
      <c r="AN454" s="358">
        <f t="shared" ca="1" si="314"/>
        <v>0</v>
      </c>
      <c r="AO454" s="358">
        <f t="shared" ca="1" si="314"/>
        <v>0</v>
      </c>
      <c r="AP454" s="358">
        <f t="shared" ca="1" si="314"/>
        <v>0</v>
      </c>
      <c r="AQ454" s="358">
        <f t="shared" ca="1" si="314"/>
        <v>0</v>
      </c>
      <c r="AR454" s="358">
        <f t="shared" ca="1" si="314"/>
        <v>0</v>
      </c>
      <c r="AS454" s="358">
        <f t="shared" ca="1" si="314"/>
        <v>0</v>
      </c>
      <c r="AT454" s="358">
        <f t="shared" ca="1" si="314"/>
        <v>0</v>
      </c>
      <c r="AV454" s="358">
        <f t="shared" ca="1" si="291"/>
        <v>0</v>
      </c>
      <c r="AX454" s="358">
        <f t="shared" ca="1" si="292"/>
        <v>0</v>
      </c>
      <c r="AZ454" s="358">
        <f t="shared" ca="1" si="293"/>
        <v>0</v>
      </c>
      <c r="BB454" s="358">
        <f t="shared" ca="1" si="294"/>
        <v>0</v>
      </c>
      <c r="BD454" s="358">
        <f t="shared" ca="1" si="295"/>
        <v>-61400</v>
      </c>
      <c r="BF454" s="358">
        <f t="shared" ca="1" si="296"/>
        <v>0</v>
      </c>
      <c r="BH454" s="358">
        <f t="shared" ca="1" si="297"/>
        <v>0</v>
      </c>
    </row>
    <row r="455" spans="1:60" hidden="1" outlineLevel="1">
      <c r="A455" s="1464">
        <f t="shared" si="307"/>
        <v>18</v>
      </c>
      <c r="B455" s="1464">
        <f t="shared" si="308"/>
        <v>34</v>
      </c>
      <c r="C455" s="1464">
        <f t="shared" si="309"/>
        <v>16</v>
      </c>
      <c r="D455" s="1271" t="str">
        <f ca="1">IF(OFFSET(PortfolioDashboard!$A$3,C455-1,0)="","Blank",OFFSET(PortfolioDashboard!$A$3,C455-1,0))</f>
        <v>Geo Exchange</v>
      </c>
      <c r="E455" s="1464" t="str">
        <f t="shared" si="310"/>
        <v>2010$</v>
      </c>
      <c r="F455" s="1460">
        <f t="shared" ca="1" si="278"/>
        <v>-1388278.6977410319</v>
      </c>
      <c r="G455" s="358">
        <f t="shared" ca="1" si="311"/>
        <v>0</v>
      </c>
      <c r="H455" s="358">
        <f t="shared" ca="1" si="311"/>
        <v>0</v>
      </c>
      <c r="I455" s="358">
        <f t="shared" ca="1" si="311"/>
        <v>-862500</v>
      </c>
      <c r="J455" s="358">
        <f t="shared" ca="1" si="311"/>
        <v>0</v>
      </c>
      <c r="K455" s="358">
        <f t="shared" ca="1" si="311"/>
        <v>-862500</v>
      </c>
      <c r="L455" s="358">
        <f t="shared" ca="1" si="311"/>
        <v>0</v>
      </c>
      <c r="M455" s="358">
        <f t="shared" ca="1" si="311"/>
        <v>0</v>
      </c>
      <c r="N455" s="358">
        <f t="shared" ca="1" si="311"/>
        <v>0</v>
      </c>
      <c r="O455" s="358">
        <f t="shared" ca="1" si="311"/>
        <v>0</v>
      </c>
      <c r="P455" s="358">
        <f t="shared" ca="1" si="311"/>
        <v>0</v>
      </c>
      <c r="Q455" s="358">
        <f t="shared" ca="1" si="312"/>
        <v>0</v>
      </c>
      <c r="R455" s="358">
        <f t="shared" ca="1" si="312"/>
        <v>0</v>
      </c>
      <c r="S455" s="358">
        <f t="shared" ca="1" si="312"/>
        <v>0</v>
      </c>
      <c r="T455" s="358">
        <f t="shared" ca="1" si="312"/>
        <v>0</v>
      </c>
      <c r="U455" s="358">
        <f t="shared" ca="1" si="312"/>
        <v>0</v>
      </c>
      <c r="V455" s="358">
        <f t="shared" ca="1" si="312"/>
        <v>0</v>
      </c>
      <c r="W455" s="358">
        <f t="shared" ca="1" si="312"/>
        <v>0</v>
      </c>
      <c r="X455" s="358">
        <f t="shared" ca="1" si="312"/>
        <v>0</v>
      </c>
      <c r="Y455" s="358">
        <f t="shared" ca="1" si="312"/>
        <v>0</v>
      </c>
      <c r="Z455" s="358">
        <f t="shared" ca="1" si="312"/>
        <v>0</v>
      </c>
      <c r="AA455" s="358">
        <f t="shared" ca="1" si="313"/>
        <v>0</v>
      </c>
      <c r="AB455" s="358">
        <f t="shared" ca="1" si="313"/>
        <v>0</v>
      </c>
      <c r="AC455" s="358">
        <f t="shared" ca="1" si="313"/>
        <v>0</v>
      </c>
      <c r="AD455" s="358">
        <f t="shared" ca="1" si="313"/>
        <v>0</v>
      </c>
      <c r="AE455" s="358">
        <f t="shared" ca="1" si="313"/>
        <v>0</v>
      </c>
      <c r="AF455" s="358">
        <f t="shared" ca="1" si="313"/>
        <v>0</v>
      </c>
      <c r="AG455" s="358">
        <f t="shared" ca="1" si="313"/>
        <v>0</v>
      </c>
      <c r="AH455" s="358">
        <f t="shared" ca="1" si="313"/>
        <v>0</v>
      </c>
      <c r="AI455" s="358">
        <f t="shared" ca="1" si="313"/>
        <v>0</v>
      </c>
      <c r="AJ455" s="358">
        <f t="shared" ca="1" si="313"/>
        <v>0</v>
      </c>
      <c r="AK455" s="358">
        <f t="shared" ca="1" si="314"/>
        <v>0</v>
      </c>
      <c r="AL455" s="358">
        <f t="shared" ca="1" si="314"/>
        <v>0</v>
      </c>
      <c r="AM455" s="358">
        <f t="shared" ca="1" si="314"/>
        <v>0</v>
      </c>
      <c r="AN455" s="358">
        <f t="shared" ca="1" si="314"/>
        <v>0</v>
      </c>
      <c r="AO455" s="358">
        <f t="shared" ca="1" si="314"/>
        <v>0</v>
      </c>
      <c r="AP455" s="358">
        <f t="shared" ca="1" si="314"/>
        <v>0</v>
      </c>
      <c r="AQ455" s="358">
        <f t="shared" ca="1" si="314"/>
        <v>0</v>
      </c>
      <c r="AR455" s="358">
        <f t="shared" ca="1" si="314"/>
        <v>0</v>
      </c>
      <c r="AS455" s="358">
        <f t="shared" ca="1" si="314"/>
        <v>0</v>
      </c>
      <c r="AT455" s="358">
        <f t="shared" ca="1" si="314"/>
        <v>0</v>
      </c>
      <c r="AV455" s="358">
        <f t="shared" ca="1" si="291"/>
        <v>0</v>
      </c>
      <c r="AX455" s="358">
        <f t="shared" ca="1" si="292"/>
        <v>0</v>
      </c>
      <c r="AZ455" s="358">
        <f t="shared" ca="1" si="293"/>
        <v>0</v>
      </c>
      <c r="BB455" s="358">
        <f t="shared" ca="1" si="294"/>
        <v>0</v>
      </c>
      <c r="BD455" s="358">
        <f t="shared" ca="1" si="295"/>
        <v>0</v>
      </c>
      <c r="BF455" s="358">
        <f t="shared" ca="1" si="296"/>
        <v>0</v>
      </c>
      <c r="BH455" s="358">
        <f t="shared" ca="1" si="297"/>
        <v>0</v>
      </c>
    </row>
    <row r="456" spans="1:60" hidden="1" outlineLevel="1">
      <c r="A456" s="1464">
        <f t="shared" si="307"/>
        <v>18</v>
      </c>
      <c r="B456" s="1464">
        <f t="shared" si="308"/>
        <v>34</v>
      </c>
      <c r="C456" s="1464">
        <f t="shared" si="309"/>
        <v>17</v>
      </c>
      <c r="D456" s="1271" t="str">
        <f ca="1">IF(OFFSET(PortfolioDashboard!$A$3,C456-1,0)="","Blank",OFFSET(PortfolioDashboard!$A$3,C456-1,0))</f>
        <v>Rooftop Solar PV</v>
      </c>
      <c r="E456" s="1464" t="str">
        <f t="shared" si="310"/>
        <v>2010$</v>
      </c>
      <c r="F456" s="1460">
        <f t="shared" ca="1" si="278"/>
        <v>-3228284.502126744</v>
      </c>
      <c r="G456" s="358">
        <f t="shared" ca="1" si="311"/>
        <v>0</v>
      </c>
      <c r="H456" s="358">
        <f t="shared" ca="1" si="311"/>
        <v>0</v>
      </c>
      <c r="I456" s="358">
        <f t="shared" ca="1" si="311"/>
        <v>0</v>
      </c>
      <c r="J456" s="358">
        <f t="shared" ca="1" si="311"/>
        <v>0</v>
      </c>
      <c r="K456" s="358">
        <f t="shared" ca="1" si="311"/>
        <v>-4243000</v>
      </c>
      <c r="L456" s="358">
        <f t="shared" ca="1" si="311"/>
        <v>0</v>
      </c>
      <c r="M456" s="358">
        <f t="shared" ca="1" si="311"/>
        <v>0</v>
      </c>
      <c r="N456" s="358">
        <f t="shared" ca="1" si="311"/>
        <v>0</v>
      </c>
      <c r="O456" s="358">
        <f t="shared" ca="1" si="311"/>
        <v>0</v>
      </c>
      <c r="P456" s="358">
        <f t="shared" ca="1" si="311"/>
        <v>0</v>
      </c>
      <c r="Q456" s="358">
        <f t="shared" ca="1" si="312"/>
        <v>0</v>
      </c>
      <c r="R456" s="358">
        <f t="shared" ca="1" si="312"/>
        <v>0</v>
      </c>
      <c r="S456" s="358">
        <f t="shared" ca="1" si="312"/>
        <v>0</v>
      </c>
      <c r="T456" s="358">
        <f t="shared" ca="1" si="312"/>
        <v>0</v>
      </c>
      <c r="U456" s="358">
        <f t="shared" ca="1" si="312"/>
        <v>0</v>
      </c>
      <c r="V456" s="358">
        <f t="shared" ca="1" si="312"/>
        <v>0</v>
      </c>
      <c r="W456" s="358">
        <f t="shared" ca="1" si="312"/>
        <v>0</v>
      </c>
      <c r="X456" s="358">
        <f t="shared" ca="1" si="312"/>
        <v>0</v>
      </c>
      <c r="Y456" s="358">
        <f t="shared" ca="1" si="312"/>
        <v>0</v>
      </c>
      <c r="Z456" s="358">
        <f t="shared" ca="1" si="312"/>
        <v>0</v>
      </c>
      <c r="AA456" s="358">
        <f t="shared" ca="1" si="313"/>
        <v>0</v>
      </c>
      <c r="AB456" s="358">
        <f t="shared" ca="1" si="313"/>
        <v>0</v>
      </c>
      <c r="AC456" s="358">
        <f t="shared" ca="1" si="313"/>
        <v>0</v>
      </c>
      <c r="AD456" s="358">
        <f t="shared" ca="1" si="313"/>
        <v>0</v>
      </c>
      <c r="AE456" s="358">
        <f t="shared" ca="1" si="313"/>
        <v>0</v>
      </c>
      <c r="AF456" s="358">
        <f t="shared" ca="1" si="313"/>
        <v>0</v>
      </c>
      <c r="AG456" s="358">
        <f t="shared" ca="1" si="313"/>
        <v>0</v>
      </c>
      <c r="AH456" s="358">
        <f t="shared" ca="1" si="313"/>
        <v>0</v>
      </c>
      <c r="AI456" s="358">
        <f t="shared" ca="1" si="313"/>
        <v>0</v>
      </c>
      <c r="AJ456" s="358">
        <f t="shared" ca="1" si="313"/>
        <v>0</v>
      </c>
      <c r="AK456" s="358">
        <f t="shared" ca="1" si="314"/>
        <v>0</v>
      </c>
      <c r="AL456" s="358">
        <f t="shared" ca="1" si="314"/>
        <v>0</v>
      </c>
      <c r="AM456" s="358">
        <f t="shared" ca="1" si="314"/>
        <v>0</v>
      </c>
      <c r="AN456" s="358">
        <f t="shared" ca="1" si="314"/>
        <v>0</v>
      </c>
      <c r="AO456" s="358">
        <f t="shared" ca="1" si="314"/>
        <v>0</v>
      </c>
      <c r="AP456" s="358">
        <f t="shared" ca="1" si="314"/>
        <v>0</v>
      </c>
      <c r="AQ456" s="358">
        <f t="shared" ca="1" si="314"/>
        <v>0</v>
      </c>
      <c r="AR456" s="358">
        <f t="shared" ca="1" si="314"/>
        <v>0</v>
      </c>
      <c r="AS456" s="358">
        <f t="shared" ca="1" si="314"/>
        <v>0</v>
      </c>
      <c r="AT456" s="358">
        <f t="shared" ca="1" si="314"/>
        <v>0</v>
      </c>
      <c r="AV456" s="358">
        <f t="shared" ca="1" si="291"/>
        <v>0</v>
      </c>
      <c r="AX456" s="358">
        <f t="shared" ca="1" si="292"/>
        <v>0</v>
      </c>
      <c r="AZ456" s="358">
        <f t="shared" ca="1" si="293"/>
        <v>0</v>
      </c>
      <c r="BB456" s="358">
        <f t="shared" ca="1" si="294"/>
        <v>0</v>
      </c>
      <c r="BD456" s="358">
        <f t="shared" ca="1" si="295"/>
        <v>0</v>
      </c>
      <c r="BF456" s="358">
        <f t="shared" ca="1" si="296"/>
        <v>0</v>
      </c>
      <c r="BH456" s="358">
        <f t="shared" ca="1" si="297"/>
        <v>0</v>
      </c>
    </row>
    <row r="457" spans="1:60" hidden="1" outlineLevel="1">
      <c r="A457" s="1464">
        <f t="shared" si="307"/>
        <v>18</v>
      </c>
      <c r="B457" s="1464">
        <f t="shared" si="308"/>
        <v>34</v>
      </c>
      <c r="C457" s="1464">
        <f t="shared" si="309"/>
        <v>18</v>
      </c>
      <c r="D457" s="1271" t="str">
        <f ca="1">IF(OFFSET(PortfolioDashboard!$A$3,C457-1,0)="","Blank",OFFSET(PortfolioDashboard!$A$3,C457-1,0))</f>
        <v>Blank</v>
      </c>
      <c r="E457" s="1464" t="str">
        <f t="shared" si="310"/>
        <v>2010$</v>
      </c>
      <c r="F457" s="1460">
        <f t="shared" ca="1" si="278"/>
        <v>0</v>
      </c>
      <c r="G457" s="358">
        <f t="shared" ca="1" si="311"/>
        <v>0</v>
      </c>
      <c r="H457" s="358">
        <f t="shared" ca="1" si="311"/>
        <v>0</v>
      </c>
      <c r="I457" s="358">
        <f t="shared" ca="1" si="311"/>
        <v>0</v>
      </c>
      <c r="J457" s="358">
        <f t="shared" ca="1" si="311"/>
        <v>0</v>
      </c>
      <c r="K457" s="358">
        <f t="shared" ca="1" si="311"/>
        <v>0</v>
      </c>
      <c r="L457" s="358">
        <f t="shared" ca="1" si="311"/>
        <v>0</v>
      </c>
      <c r="M457" s="358">
        <f t="shared" ca="1" si="311"/>
        <v>0</v>
      </c>
      <c r="N457" s="358">
        <f t="shared" ca="1" si="311"/>
        <v>0</v>
      </c>
      <c r="O457" s="358">
        <f t="shared" ca="1" si="311"/>
        <v>0</v>
      </c>
      <c r="P457" s="358">
        <f t="shared" ca="1" si="311"/>
        <v>0</v>
      </c>
      <c r="Q457" s="358">
        <f t="shared" ca="1" si="312"/>
        <v>0</v>
      </c>
      <c r="R457" s="358">
        <f t="shared" ca="1" si="312"/>
        <v>0</v>
      </c>
      <c r="S457" s="358">
        <f t="shared" ca="1" si="312"/>
        <v>0</v>
      </c>
      <c r="T457" s="358">
        <f t="shared" ca="1" si="312"/>
        <v>0</v>
      </c>
      <c r="U457" s="358">
        <f t="shared" ca="1" si="312"/>
        <v>0</v>
      </c>
      <c r="V457" s="358">
        <f t="shared" ca="1" si="312"/>
        <v>0</v>
      </c>
      <c r="W457" s="358">
        <f t="shared" ca="1" si="312"/>
        <v>0</v>
      </c>
      <c r="X457" s="358">
        <f t="shared" ca="1" si="312"/>
        <v>0</v>
      </c>
      <c r="Y457" s="358">
        <f t="shared" ca="1" si="312"/>
        <v>0</v>
      </c>
      <c r="Z457" s="358">
        <f t="shared" ca="1" si="312"/>
        <v>0</v>
      </c>
      <c r="AA457" s="358">
        <f t="shared" ca="1" si="313"/>
        <v>0</v>
      </c>
      <c r="AB457" s="358">
        <f t="shared" ca="1" si="313"/>
        <v>0</v>
      </c>
      <c r="AC457" s="358">
        <f t="shared" ca="1" si="313"/>
        <v>0</v>
      </c>
      <c r="AD457" s="358">
        <f t="shared" ca="1" si="313"/>
        <v>0</v>
      </c>
      <c r="AE457" s="358">
        <f t="shared" ca="1" si="313"/>
        <v>0</v>
      </c>
      <c r="AF457" s="358">
        <f t="shared" ca="1" si="313"/>
        <v>0</v>
      </c>
      <c r="AG457" s="358">
        <f t="shared" ca="1" si="313"/>
        <v>0</v>
      </c>
      <c r="AH457" s="358">
        <f t="shared" ca="1" si="313"/>
        <v>0</v>
      </c>
      <c r="AI457" s="358">
        <f t="shared" ca="1" si="313"/>
        <v>0</v>
      </c>
      <c r="AJ457" s="358">
        <f t="shared" ca="1" si="313"/>
        <v>0</v>
      </c>
      <c r="AK457" s="358">
        <f t="shared" ca="1" si="314"/>
        <v>0</v>
      </c>
      <c r="AL457" s="358">
        <f t="shared" ca="1" si="314"/>
        <v>0</v>
      </c>
      <c r="AM457" s="358">
        <f t="shared" ca="1" si="314"/>
        <v>0</v>
      </c>
      <c r="AN457" s="358">
        <f t="shared" ca="1" si="314"/>
        <v>0</v>
      </c>
      <c r="AO457" s="358">
        <f t="shared" ca="1" si="314"/>
        <v>0</v>
      </c>
      <c r="AP457" s="358">
        <f t="shared" ca="1" si="314"/>
        <v>0</v>
      </c>
      <c r="AQ457" s="358">
        <f t="shared" ca="1" si="314"/>
        <v>0</v>
      </c>
      <c r="AR457" s="358">
        <f t="shared" ca="1" si="314"/>
        <v>0</v>
      </c>
      <c r="AS457" s="358">
        <f t="shared" ca="1" si="314"/>
        <v>0</v>
      </c>
      <c r="AT457" s="358">
        <f t="shared" ca="1" si="314"/>
        <v>0</v>
      </c>
      <c r="AV457" s="358">
        <f t="shared" ca="1" si="291"/>
        <v>0</v>
      </c>
      <c r="AX457" s="358">
        <f t="shared" ca="1" si="292"/>
        <v>0</v>
      </c>
      <c r="AZ457" s="358">
        <f t="shared" ca="1" si="293"/>
        <v>0</v>
      </c>
      <c r="BB457" s="358">
        <f t="shared" ca="1" si="294"/>
        <v>0</v>
      </c>
      <c r="BD457" s="358">
        <f t="shared" ca="1" si="295"/>
        <v>0</v>
      </c>
      <c r="BF457" s="358">
        <f t="shared" ca="1" si="296"/>
        <v>0</v>
      </c>
      <c r="BH457" s="358">
        <f t="shared" ca="1" si="297"/>
        <v>0</v>
      </c>
    </row>
    <row r="458" spans="1:60" hidden="1" outlineLevel="1">
      <c r="A458" s="1464">
        <f t="shared" si="307"/>
        <v>18</v>
      </c>
      <c r="B458" s="1464">
        <f t="shared" si="308"/>
        <v>34</v>
      </c>
      <c r="C458" s="1464">
        <f t="shared" si="309"/>
        <v>19</v>
      </c>
      <c r="D458" s="1271" t="str">
        <f ca="1">IF(OFFSET(PortfolioDashboard!$A$3,C458-1,0)="","Blank",OFFSET(PortfolioDashboard!$A$3,C458-1,0))</f>
        <v>Blank</v>
      </c>
      <c r="E458" s="1464" t="str">
        <f t="shared" si="310"/>
        <v>2010$</v>
      </c>
      <c r="F458" s="1460">
        <f t="shared" ca="1" si="278"/>
        <v>0</v>
      </c>
      <c r="G458" s="358">
        <f t="shared" ca="1" si="311"/>
        <v>0</v>
      </c>
      <c r="H458" s="358">
        <f t="shared" ca="1" si="311"/>
        <v>0</v>
      </c>
      <c r="I458" s="358">
        <f t="shared" ca="1" si="311"/>
        <v>0</v>
      </c>
      <c r="J458" s="358">
        <f t="shared" ca="1" si="311"/>
        <v>0</v>
      </c>
      <c r="K458" s="358">
        <f t="shared" ca="1" si="311"/>
        <v>0</v>
      </c>
      <c r="L458" s="358">
        <f t="shared" ca="1" si="311"/>
        <v>0</v>
      </c>
      <c r="M458" s="358">
        <f t="shared" ca="1" si="311"/>
        <v>0</v>
      </c>
      <c r="N458" s="358">
        <f t="shared" ca="1" si="311"/>
        <v>0</v>
      </c>
      <c r="O458" s="358">
        <f t="shared" ca="1" si="311"/>
        <v>0</v>
      </c>
      <c r="P458" s="358">
        <f t="shared" ca="1" si="311"/>
        <v>0</v>
      </c>
      <c r="Q458" s="358">
        <f t="shared" ca="1" si="312"/>
        <v>0</v>
      </c>
      <c r="R458" s="358">
        <f t="shared" ca="1" si="312"/>
        <v>0</v>
      </c>
      <c r="S458" s="358">
        <f t="shared" ca="1" si="312"/>
        <v>0</v>
      </c>
      <c r="T458" s="358">
        <f t="shared" ca="1" si="312"/>
        <v>0</v>
      </c>
      <c r="U458" s="358">
        <f t="shared" ca="1" si="312"/>
        <v>0</v>
      </c>
      <c r="V458" s="358">
        <f t="shared" ca="1" si="312"/>
        <v>0</v>
      </c>
      <c r="W458" s="358">
        <f t="shared" ca="1" si="312"/>
        <v>0</v>
      </c>
      <c r="X458" s="358">
        <f t="shared" ca="1" si="312"/>
        <v>0</v>
      </c>
      <c r="Y458" s="358">
        <f t="shared" ca="1" si="312"/>
        <v>0</v>
      </c>
      <c r="Z458" s="358">
        <f t="shared" ca="1" si="312"/>
        <v>0</v>
      </c>
      <c r="AA458" s="358">
        <f t="shared" ca="1" si="313"/>
        <v>0</v>
      </c>
      <c r="AB458" s="358">
        <f t="shared" ca="1" si="313"/>
        <v>0</v>
      </c>
      <c r="AC458" s="358">
        <f t="shared" ca="1" si="313"/>
        <v>0</v>
      </c>
      <c r="AD458" s="358">
        <f t="shared" ca="1" si="313"/>
        <v>0</v>
      </c>
      <c r="AE458" s="358">
        <f t="shared" ca="1" si="313"/>
        <v>0</v>
      </c>
      <c r="AF458" s="358">
        <f t="shared" ca="1" si="313"/>
        <v>0</v>
      </c>
      <c r="AG458" s="358">
        <f t="shared" ca="1" si="313"/>
        <v>0</v>
      </c>
      <c r="AH458" s="358">
        <f t="shared" ca="1" si="313"/>
        <v>0</v>
      </c>
      <c r="AI458" s="358">
        <f t="shared" ca="1" si="313"/>
        <v>0</v>
      </c>
      <c r="AJ458" s="358">
        <f t="shared" ca="1" si="313"/>
        <v>0</v>
      </c>
      <c r="AK458" s="358">
        <f t="shared" ca="1" si="314"/>
        <v>0</v>
      </c>
      <c r="AL458" s="358">
        <f t="shared" ca="1" si="314"/>
        <v>0</v>
      </c>
      <c r="AM458" s="358">
        <f t="shared" ca="1" si="314"/>
        <v>0</v>
      </c>
      <c r="AN458" s="358">
        <f t="shared" ca="1" si="314"/>
        <v>0</v>
      </c>
      <c r="AO458" s="358">
        <f t="shared" ca="1" si="314"/>
        <v>0</v>
      </c>
      <c r="AP458" s="358">
        <f t="shared" ca="1" si="314"/>
        <v>0</v>
      </c>
      <c r="AQ458" s="358">
        <f t="shared" ca="1" si="314"/>
        <v>0</v>
      </c>
      <c r="AR458" s="358">
        <f t="shared" ca="1" si="314"/>
        <v>0</v>
      </c>
      <c r="AS458" s="358">
        <f t="shared" ca="1" si="314"/>
        <v>0</v>
      </c>
      <c r="AT458" s="358">
        <f t="shared" ca="1" si="314"/>
        <v>0</v>
      </c>
      <c r="AV458" s="358">
        <f t="shared" ca="1" si="291"/>
        <v>0</v>
      </c>
      <c r="AX458" s="358">
        <f t="shared" ca="1" si="292"/>
        <v>0</v>
      </c>
      <c r="AZ458" s="358">
        <f t="shared" ca="1" si="293"/>
        <v>0</v>
      </c>
      <c r="BB458" s="358">
        <f t="shared" ca="1" si="294"/>
        <v>0</v>
      </c>
      <c r="BD458" s="358">
        <f t="shared" ca="1" si="295"/>
        <v>0</v>
      </c>
      <c r="BF458" s="358">
        <f t="shared" ca="1" si="296"/>
        <v>0</v>
      </c>
      <c r="BH458" s="358">
        <f t="shared" ca="1" si="297"/>
        <v>0</v>
      </c>
    </row>
    <row r="459" spans="1:60" hidden="1" outlineLevel="1">
      <c r="A459" s="1464">
        <f t="shared" si="307"/>
        <v>18</v>
      </c>
      <c r="B459" s="1464">
        <f t="shared" si="308"/>
        <v>34</v>
      </c>
      <c r="C459" s="1464">
        <f t="shared" si="309"/>
        <v>20</v>
      </c>
      <c r="D459" s="1271" t="str">
        <f ca="1">IF(OFFSET(PortfolioDashboard!$A$3,C459-1,0)="","Blank",OFFSET(PortfolioDashboard!$A$3,C459-1,0))</f>
        <v>Blank</v>
      </c>
      <c r="E459" s="1464" t="str">
        <f t="shared" si="310"/>
        <v>2010$</v>
      </c>
      <c r="F459" s="1460">
        <f t="shared" ca="1" si="278"/>
        <v>0</v>
      </c>
      <c r="G459" s="358">
        <f t="shared" ca="1" si="311"/>
        <v>0</v>
      </c>
      <c r="H459" s="358">
        <f t="shared" ca="1" si="311"/>
        <v>0</v>
      </c>
      <c r="I459" s="358">
        <f t="shared" ca="1" si="311"/>
        <v>0</v>
      </c>
      <c r="J459" s="358">
        <f t="shared" ca="1" si="311"/>
        <v>0</v>
      </c>
      <c r="K459" s="358">
        <f t="shared" ca="1" si="311"/>
        <v>0</v>
      </c>
      <c r="L459" s="358">
        <f t="shared" ca="1" si="311"/>
        <v>0</v>
      </c>
      <c r="M459" s="358">
        <f t="shared" ca="1" si="311"/>
        <v>0</v>
      </c>
      <c r="N459" s="358">
        <f t="shared" ca="1" si="311"/>
        <v>0</v>
      </c>
      <c r="O459" s="358">
        <f t="shared" ca="1" si="311"/>
        <v>0</v>
      </c>
      <c r="P459" s="358">
        <f t="shared" ca="1" si="311"/>
        <v>0</v>
      </c>
      <c r="Q459" s="358">
        <f t="shared" ca="1" si="312"/>
        <v>0</v>
      </c>
      <c r="R459" s="358">
        <f t="shared" ca="1" si="312"/>
        <v>0</v>
      </c>
      <c r="S459" s="358">
        <f t="shared" ca="1" si="312"/>
        <v>0</v>
      </c>
      <c r="T459" s="358">
        <f t="shared" ca="1" si="312"/>
        <v>0</v>
      </c>
      <c r="U459" s="358">
        <f t="shared" ca="1" si="312"/>
        <v>0</v>
      </c>
      <c r="V459" s="358">
        <f t="shared" ca="1" si="312"/>
        <v>0</v>
      </c>
      <c r="W459" s="358">
        <f t="shared" ca="1" si="312"/>
        <v>0</v>
      </c>
      <c r="X459" s="358">
        <f t="shared" ca="1" si="312"/>
        <v>0</v>
      </c>
      <c r="Y459" s="358">
        <f t="shared" ca="1" si="312"/>
        <v>0</v>
      </c>
      <c r="Z459" s="358">
        <f t="shared" ca="1" si="312"/>
        <v>0</v>
      </c>
      <c r="AA459" s="358">
        <f t="shared" ca="1" si="313"/>
        <v>0</v>
      </c>
      <c r="AB459" s="358">
        <f t="shared" ca="1" si="313"/>
        <v>0</v>
      </c>
      <c r="AC459" s="358">
        <f t="shared" ca="1" si="313"/>
        <v>0</v>
      </c>
      <c r="AD459" s="358">
        <f t="shared" ca="1" si="313"/>
        <v>0</v>
      </c>
      <c r="AE459" s="358">
        <f t="shared" ca="1" si="313"/>
        <v>0</v>
      </c>
      <c r="AF459" s="358">
        <f t="shared" ca="1" si="313"/>
        <v>0</v>
      </c>
      <c r="AG459" s="358">
        <f t="shared" ca="1" si="313"/>
        <v>0</v>
      </c>
      <c r="AH459" s="358">
        <f t="shared" ca="1" si="313"/>
        <v>0</v>
      </c>
      <c r="AI459" s="358">
        <f t="shared" ca="1" si="313"/>
        <v>0</v>
      </c>
      <c r="AJ459" s="358">
        <f t="shared" ca="1" si="313"/>
        <v>0</v>
      </c>
      <c r="AK459" s="358">
        <f t="shared" ca="1" si="314"/>
        <v>0</v>
      </c>
      <c r="AL459" s="358">
        <f t="shared" ca="1" si="314"/>
        <v>0</v>
      </c>
      <c r="AM459" s="358">
        <f t="shared" ca="1" si="314"/>
        <v>0</v>
      </c>
      <c r="AN459" s="358">
        <f t="shared" ca="1" si="314"/>
        <v>0</v>
      </c>
      <c r="AO459" s="358">
        <f t="shared" ca="1" si="314"/>
        <v>0</v>
      </c>
      <c r="AP459" s="358">
        <f t="shared" ca="1" si="314"/>
        <v>0</v>
      </c>
      <c r="AQ459" s="358">
        <f t="shared" ca="1" si="314"/>
        <v>0</v>
      </c>
      <c r="AR459" s="358">
        <f t="shared" ca="1" si="314"/>
        <v>0</v>
      </c>
      <c r="AS459" s="358">
        <f t="shared" ca="1" si="314"/>
        <v>0</v>
      </c>
      <c r="AT459" s="358">
        <f t="shared" ca="1" si="314"/>
        <v>0</v>
      </c>
      <c r="AV459" s="358">
        <f t="shared" ca="1" si="291"/>
        <v>0</v>
      </c>
      <c r="AX459" s="358">
        <f t="shared" ca="1" si="292"/>
        <v>0</v>
      </c>
      <c r="AZ459" s="358">
        <f t="shared" ca="1" si="293"/>
        <v>0</v>
      </c>
      <c r="BB459" s="358">
        <f t="shared" ca="1" si="294"/>
        <v>0</v>
      </c>
      <c r="BD459" s="358">
        <f t="shared" ca="1" si="295"/>
        <v>0</v>
      </c>
      <c r="BF459" s="358">
        <f t="shared" ca="1" si="296"/>
        <v>0</v>
      </c>
      <c r="BH459" s="358">
        <f t="shared" ca="1" si="297"/>
        <v>0</v>
      </c>
    </row>
    <row r="460" spans="1:60" hidden="1" outlineLevel="1">
      <c r="A460" s="1464">
        <f t="shared" si="307"/>
        <v>18</v>
      </c>
      <c r="B460" s="1464">
        <f t="shared" si="308"/>
        <v>34</v>
      </c>
      <c r="C460" s="1464">
        <f t="shared" si="309"/>
        <v>21</v>
      </c>
      <c r="D460" s="1271" t="str">
        <f ca="1">IF(OFFSET(PortfolioDashboard!$A$3,C460-1,0)="","Blank",OFFSET(PortfolioDashboard!$A$3,C460-1,0))</f>
        <v>Blank</v>
      </c>
      <c r="E460" s="1464" t="str">
        <f t="shared" si="310"/>
        <v>2010$</v>
      </c>
      <c r="F460" s="1460">
        <f t="shared" ca="1" si="278"/>
        <v>0</v>
      </c>
      <c r="G460" s="358">
        <f t="shared" ref="G460:P469" ca="1" si="315">IFERROR(OFFSET(INDIRECT(INDEX(List_of_Alternatives,MATCH($D460,NameofAlternatives,0))),$A460+G$1-$G$1,$B460),0)</f>
        <v>0</v>
      </c>
      <c r="H460" s="358">
        <f t="shared" ca="1" si="315"/>
        <v>0</v>
      </c>
      <c r="I460" s="358">
        <f t="shared" ca="1" si="315"/>
        <v>0</v>
      </c>
      <c r="J460" s="358">
        <f t="shared" ca="1" si="315"/>
        <v>0</v>
      </c>
      <c r="K460" s="358">
        <f t="shared" ca="1" si="315"/>
        <v>0</v>
      </c>
      <c r="L460" s="358">
        <f t="shared" ca="1" si="315"/>
        <v>0</v>
      </c>
      <c r="M460" s="358">
        <f t="shared" ca="1" si="315"/>
        <v>0</v>
      </c>
      <c r="N460" s="358">
        <f t="shared" ca="1" si="315"/>
        <v>0</v>
      </c>
      <c r="O460" s="358">
        <f t="shared" ca="1" si="315"/>
        <v>0</v>
      </c>
      <c r="P460" s="358">
        <f t="shared" ca="1" si="315"/>
        <v>0</v>
      </c>
      <c r="Q460" s="358">
        <f t="shared" ref="Q460:Z469" ca="1" si="316">IFERROR(OFFSET(INDIRECT(INDEX(List_of_Alternatives,MATCH($D460,NameofAlternatives,0))),$A460+Q$1-$G$1,$B460),0)</f>
        <v>0</v>
      </c>
      <c r="R460" s="358">
        <f t="shared" ca="1" si="316"/>
        <v>0</v>
      </c>
      <c r="S460" s="358">
        <f t="shared" ca="1" si="316"/>
        <v>0</v>
      </c>
      <c r="T460" s="358">
        <f t="shared" ca="1" si="316"/>
        <v>0</v>
      </c>
      <c r="U460" s="358">
        <f t="shared" ca="1" si="316"/>
        <v>0</v>
      </c>
      <c r="V460" s="358">
        <f t="shared" ca="1" si="316"/>
        <v>0</v>
      </c>
      <c r="W460" s="358">
        <f t="shared" ca="1" si="316"/>
        <v>0</v>
      </c>
      <c r="X460" s="358">
        <f t="shared" ca="1" si="316"/>
        <v>0</v>
      </c>
      <c r="Y460" s="358">
        <f t="shared" ca="1" si="316"/>
        <v>0</v>
      </c>
      <c r="Z460" s="358">
        <f t="shared" ca="1" si="316"/>
        <v>0</v>
      </c>
      <c r="AA460" s="358">
        <f t="shared" ref="AA460:AJ469" ca="1" si="317">IFERROR(OFFSET(INDIRECT(INDEX(List_of_Alternatives,MATCH($D460,NameofAlternatives,0))),$A460+AA$1-$G$1,$B460),0)</f>
        <v>0</v>
      </c>
      <c r="AB460" s="358">
        <f t="shared" ca="1" si="317"/>
        <v>0</v>
      </c>
      <c r="AC460" s="358">
        <f t="shared" ca="1" si="317"/>
        <v>0</v>
      </c>
      <c r="AD460" s="358">
        <f t="shared" ca="1" si="317"/>
        <v>0</v>
      </c>
      <c r="AE460" s="358">
        <f t="shared" ca="1" si="317"/>
        <v>0</v>
      </c>
      <c r="AF460" s="358">
        <f t="shared" ca="1" si="317"/>
        <v>0</v>
      </c>
      <c r="AG460" s="358">
        <f t="shared" ca="1" si="317"/>
        <v>0</v>
      </c>
      <c r="AH460" s="358">
        <f t="shared" ca="1" si="317"/>
        <v>0</v>
      </c>
      <c r="AI460" s="358">
        <f t="shared" ca="1" si="317"/>
        <v>0</v>
      </c>
      <c r="AJ460" s="358">
        <f t="shared" ca="1" si="317"/>
        <v>0</v>
      </c>
      <c r="AK460" s="358">
        <f t="shared" ref="AK460:AT469" ca="1" si="318">IFERROR(OFFSET(INDIRECT(INDEX(List_of_Alternatives,MATCH($D460,NameofAlternatives,0))),$A460+AK$1-$G$1,$B460),0)</f>
        <v>0</v>
      </c>
      <c r="AL460" s="358">
        <f t="shared" ca="1" si="318"/>
        <v>0</v>
      </c>
      <c r="AM460" s="358">
        <f t="shared" ca="1" si="318"/>
        <v>0</v>
      </c>
      <c r="AN460" s="358">
        <f t="shared" ca="1" si="318"/>
        <v>0</v>
      </c>
      <c r="AO460" s="358">
        <f t="shared" ca="1" si="318"/>
        <v>0</v>
      </c>
      <c r="AP460" s="358">
        <f t="shared" ca="1" si="318"/>
        <v>0</v>
      </c>
      <c r="AQ460" s="358">
        <f t="shared" ca="1" si="318"/>
        <v>0</v>
      </c>
      <c r="AR460" s="358">
        <f t="shared" ca="1" si="318"/>
        <v>0</v>
      </c>
      <c r="AS460" s="358">
        <f t="shared" ca="1" si="318"/>
        <v>0</v>
      </c>
      <c r="AT460" s="358">
        <f t="shared" ca="1" si="318"/>
        <v>0</v>
      </c>
      <c r="AV460" s="358">
        <f t="shared" ca="1" si="291"/>
        <v>0</v>
      </c>
      <c r="AX460" s="358">
        <f t="shared" ca="1" si="292"/>
        <v>0</v>
      </c>
      <c r="AZ460" s="358">
        <f t="shared" ca="1" si="293"/>
        <v>0</v>
      </c>
      <c r="BB460" s="358">
        <f t="shared" ca="1" si="294"/>
        <v>0</v>
      </c>
      <c r="BD460" s="358">
        <f t="shared" ca="1" si="295"/>
        <v>0</v>
      </c>
      <c r="BF460" s="358">
        <f t="shared" ca="1" si="296"/>
        <v>0</v>
      </c>
      <c r="BH460" s="358">
        <f t="shared" ca="1" si="297"/>
        <v>0</v>
      </c>
    </row>
    <row r="461" spans="1:60" hidden="1" outlineLevel="1">
      <c r="A461" s="1464">
        <f t="shared" si="307"/>
        <v>18</v>
      </c>
      <c r="B461" s="1464">
        <f t="shared" si="308"/>
        <v>34</v>
      </c>
      <c r="C461" s="1464">
        <f t="shared" si="309"/>
        <v>22</v>
      </c>
      <c r="D461" s="1271" t="str">
        <f ca="1">IF(OFFSET(PortfolioDashboard!$A$3,C461-1,0)="","Blank",OFFSET(PortfolioDashboard!$A$3,C461-1,0))</f>
        <v>Blank</v>
      </c>
      <c r="E461" s="1464" t="str">
        <f t="shared" si="310"/>
        <v>2010$</v>
      </c>
      <c r="F461" s="1460">
        <f t="shared" ca="1" si="278"/>
        <v>0</v>
      </c>
      <c r="G461" s="358">
        <f t="shared" ca="1" si="315"/>
        <v>0</v>
      </c>
      <c r="H461" s="358">
        <f t="shared" ca="1" si="315"/>
        <v>0</v>
      </c>
      <c r="I461" s="358">
        <f t="shared" ca="1" si="315"/>
        <v>0</v>
      </c>
      <c r="J461" s="358">
        <f t="shared" ca="1" si="315"/>
        <v>0</v>
      </c>
      <c r="K461" s="358">
        <f t="shared" ca="1" si="315"/>
        <v>0</v>
      </c>
      <c r="L461" s="358">
        <f t="shared" ca="1" si="315"/>
        <v>0</v>
      </c>
      <c r="M461" s="358">
        <f t="shared" ca="1" si="315"/>
        <v>0</v>
      </c>
      <c r="N461" s="358">
        <f t="shared" ca="1" si="315"/>
        <v>0</v>
      </c>
      <c r="O461" s="358">
        <f t="shared" ca="1" si="315"/>
        <v>0</v>
      </c>
      <c r="P461" s="358">
        <f t="shared" ca="1" si="315"/>
        <v>0</v>
      </c>
      <c r="Q461" s="358">
        <f t="shared" ca="1" si="316"/>
        <v>0</v>
      </c>
      <c r="R461" s="358">
        <f t="shared" ca="1" si="316"/>
        <v>0</v>
      </c>
      <c r="S461" s="358">
        <f t="shared" ca="1" si="316"/>
        <v>0</v>
      </c>
      <c r="T461" s="358">
        <f t="shared" ca="1" si="316"/>
        <v>0</v>
      </c>
      <c r="U461" s="358">
        <f t="shared" ca="1" si="316"/>
        <v>0</v>
      </c>
      <c r="V461" s="358">
        <f t="shared" ca="1" si="316"/>
        <v>0</v>
      </c>
      <c r="W461" s="358">
        <f t="shared" ca="1" si="316"/>
        <v>0</v>
      </c>
      <c r="X461" s="358">
        <f t="shared" ca="1" si="316"/>
        <v>0</v>
      </c>
      <c r="Y461" s="358">
        <f t="shared" ca="1" si="316"/>
        <v>0</v>
      </c>
      <c r="Z461" s="358">
        <f t="shared" ca="1" si="316"/>
        <v>0</v>
      </c>
      <c r="AA461" s="358">
        <f t="shared" ca="1" si="317"/>
        <v>0</v>
      </c>
      <c r="AB461" s="358">
        <f t="shared" ca="1" si="317"/>
        <v>0</v>
      </c>
      <c r="AC461" s="358">
        <f t="shared" ca="1" si="317"/>
        <v>0</v>
      </c>
      <c r="AD461" s="358">
        <f t="shared" ca="1" si="317"/>
        <v>0</v>
      </c>
      <c r="AE461" s="358">
        <f t="shared" ca="1" si="317"/>
        <v>0</v>
      </c>
      <c r="AF461" s="358">
        <f t="shared" ca="1" si="317"/>
        <v>0</v>
      </c>
      <c r="AG461" s="358">
        <f t="shared" ca="1" si="317"/>
        <v>0</v>
      </c>
      <c r="AH461" s="358">
        <f t="shared" ca="1" si="317"/>
        <v>0</v>
      </c>
      <c r="AI461" s="358">
        <f t="shared" ca="1" si="317"/>
        <v>0</v>
      </c>
      <c r="AJ461" s="358">
        <f t="shared" ca="1" si="317"/>
        <v>0</v>
      </c>
      <c r="AK461" s="358">
        <f t="shared" ca="1" si="318"/>
        <v>0</v>
      </c>
      <c r="AL461" s="358">
        <f t="shared" ca="1" si="318"/>
        <v>0</v>
      </c>
      <c r="AM461" s="358">
        <f t="shared" ca="1" si="318"/>
        <v>0</v>
      </c>
      <c r="AN461" s="358">
        <f t="shared" ca="1" si="318"/>
        <v>0</v>
      </c>
      <c r="AO461" s="358">
        <f t="shared" ca="1" si="318"/>
        <v>0</v>
      </c>
      <c r="AP461" s="358">
        <f t="shared" ca="1" si="318"/>
        <v>0</v>
      </c>
      <c r="AQ461" s="358">
        <f t="shared" ca="1" si="318"/>
        <v>0</v>
      </c>
      <c r="AR461" s="358">
        <f t="shared" ca="1" si="318"/>
        <v>0</v>
      </c>
      <c r="AS461" s="358">
        <f t="shared" ca="1" si="318"/>
        <v>0</v>
      </c>
      <c r="AT461" s="358">
        <f t="shared" ca="1" si="318"/>
        <v>0</v>
      </c>
      <c r="AV461" s="358">
        <f t="shared" ca="1" si="291"/>
        <v>0</v>
      </c>
      <c r="AX461" s="358">
        <f t="shared" ca="1" si="292"/>
        <v>0</v>
      </c>
      <c r="AZ461" s="358">
        <f t="shared" ca="1" si="293"/>
        <v>0</v>
      </c>
      <c r="BB461" s="358">
        <f t="shared" ca="1" si="294"/>
        <v>0</v>
      </c>
      <c r="BD461" s="358">
        <f t="shared" ca="1" si="295"/>
        <v>0</v>
      </c>
      <c r="BF461" s="358">
        <f t="shared" ca="1" si="296"/>
        <v>0</v>
      </c>
      <c r="BH461" s="358">
        <f t="shared" ca="1" si="297"/>
        <v>0</v>
      </c>
    </row>
    <row r="462" spans="1:60" hidden="1" outlineLevel="1">
      <c r="A462" s="1464">
        <f t="shared" si="307"/>
        <v>18</v>
      </c>
      <c r="B462" s="1464">
        <f t="shared" si="308"/>
        <v>34</v>
      </c>
      <c r="C462" s="1464">
        <f t="shared" si="309"/>
        <v>23</v>
      </c>
      <c r="D462" s="1271" t="str">
        <f ca="1">IF(OFFSET(PortfolioDashboard!$A$3,C462-1,0)="","Blank",OFFSET(PortfolioDashboard!$A$3,C462-1,0))</f>
        <v>Blank</v>
      </c>
      <c r="E462" s="1464" t="str">
        <f t="shared" si="310"/>
        <v>2010$</v>
      </c>
      <c r="F462" s="1460">
        <f t="shared" ca="1" si="278"/>
        <v>0</v>
      </c>
      <c r="G462" s="358">
        <f t="shared" ca="1" si="315"/>
        <v>0</v>
      </c>
      <c r="H462" s="358">
        <f t="shared" ca="1" si="315"/>
        <v>0</v>
      </c>
      <c r="I462" s="358">
        <f t="shared" ca="1" si="315"/>
        <v>0</v>
      </c>
      <c r="J462" s="358">
        <f t="shared" ca="1" si="315"/>
        <v>0</v>
      </c>
      <c r="K462" s="358">
        <f t="shared" ca="1" si="315"/>
        <v>0</v>
      </c>
      <c r="L462" s="358">
        <f t="shared" ca="1" si="315"/>
        <v>0</v>
      </c>
      <c r="M462" s="358">
        <f t="shared" ca="1" si="315"/>
        <v>0</v>
      </c>
      <c r="N462" s="358">
        <f t="shared" ca="1" si="315"/>
        <v>0</v>
      </c>
      <c r="O462" s="358">
        <f t="shared" ca="1" si="315"/>
        <v>0</v>
      </c>
      <c r="P462" s="358">
        <f t="shared" ca="1" si="315"/>
        <v>0</v>
      </c>
      <c r="Q462" s="358">
        <f t="shared" ca="1" si="316"/>
        <v>0</v>
      </c>
      <c r="R462" s="358">
        <f t="shared" ca="1" si="316"/>
        <v>0</v>
      </c>
      <c r="S462" s="358">
        <f t="shared" ca="1" si="316"/>
        <v>0</v>
      </c>
      <c r="T462" s="358">
        <f t="shared" ca="1" si="316"/>
        <v>0</v>
      </c>
      <c r="U462" s="358">
        <f t="shared" ca="1" si="316"/>
        <v>0</v>
      </c>
      <c r="V462" s="358">
        <f t="shared" ca="1" si="316"/>
        <v>0</v>
      </c>
      <c r="W462" s="358">
        <f t="shared" ca="1" si="316"/>
        <v>0</v>
      </c>
      <c r="X462" s="358">
        <f t="shared" ca="1" si="316"/>
        <v>0</v>
      </c>
      <c r="Y462" s="358">
        <f t="shared" ca="1" si="316"/>
        <v>0</v>
      </c>
      <c r="Z462" s="358">
        <f t="shared" ca="1" si="316"/>
        <v>0</v>
      </c>
      <c r="AA462" s="358">
        <f t="shared" ca="1" si="317"/>
        <v>0</v>
      </c>
      <c r="AB462" s="358">
        <f t="shared" ca="1" si="317"/>
        <v>0</v>
      </c>
      <c r="AC462" s="358">
        <f t="shared" ca="1" si="317"/>
        <v>0</v>
      </c>
      <c r="AD462" s="358">
        <f t="shared" ca="1" si="317"/>
        <v>0</v>
      </c>
      <c r="AE462" s="358">
        <f t="shared" ca="1" si="317"/>
        <v>0</v>
      </c>
      <c r="AF462" s="358">
        <f t="shared" ca="1" si="317"/>
        <v>0</v>
      </c>
      <c r="AG462" s="358">
        <f t="shared" ca="1" si="317"/>
        <v>0</v>
      </c>
      <c r="AH462" s="358">
        <f t="shared" ca="1" si="317"/>
        <v>0</v>
      </c>
      <c r="AI462" s="358">
        <f t="shared" ca="1" si="317"/>
        <v>0</v>
      </c>
      <c r="AJ462" s="358">
        <f t="shared" ca="1" si="317"/>
        <v>0</v>
      </c>
      <c r="AK462" s="358">
        <f t="shared" ca="1" si="318"/>
        <v>0</v>
      </c>
      <c r="AL462" s="358">
        <f t="shared" ca="1" si="318"/>
        <v>0</v>
      </c>
      <c r="AM462" s="358">
        <f t="shared" ca="1" si="318"/>
        <v>0</v>
      </c>
      <c r="AN462" s="358">
        <f t="shared" ca="1" si="318"/>
        <v>0</v>
      </c>
      <c r="AO462" s="358">
        <f t="shared" ca="1" si="318"/>
        <v>0</v>
      </c>
      <c r="AP462" s="358">
        <f t="shared" ca="1" si="318"/>
        <v>0</v>
      </c>
      <c r="AQ462" s="358">
        <f t="shared" ca="1" si="318"/>
        <v>0</v>
      </c>
      <c r="AR462" s="358">
        <f t="shared" ca="1" si="318"/>
        <v>0</v>
      </c>
      <c r="AS462" s="358">
        <f t="shared" ca="1" si="318"/>
        <v>0</v>
      </c>
      <c r="AT462" s="358">
        <f t="shared" ca="1" si="318"/>
        <v>0</v>
      </c>
      <c r="AV462" s="358">
        <f t="shared" ca="1" si="291"/>
        <v>0</v>
      </c>
      <c r="AX462" s="358">
        <f t="shared" ca="1" si="292"/>
        <v>0</v>
      </c>
      <c r="AZ462" s="358">
        <f t="shared" ca="1" si="293"/>
        <v>0</v>
      </c>
      <c r="BB462" s="358">
        <f t="shared" ca="1" si="294"/>
        <v>0</v>
      </c>
      <c r="BD462" s="358">
        <f t="shared" ca="1" si="295"/>
        <v>0</v>
      </c>
      <c r="BF462" s="358">
        <f t="shared" ca="1" si="296"/>
        <v>0</v>
      </c>
      <c r="BH462" s="358">
        <f t="shared" ca="1" si="297"/>
        <v>0</v>
      </c>
    </row>
    <row r="463" spans="1:60" hidden="1" outlineLevel="1">
      <c r="A463" s="1464">
        <f t="shared" si="307"/>
        <v>18</v>
      </c>
      <c r="B463" s="1464">
        <f t="shared" si="308"/>
        <v>34</v>
      </c>
      <c r="C463" s="1464">
        <f t="shared" si="309"/>
        <v>24</v>
      </c>
      <c r="D463" s="1271" t="str">
        <f ca="1">IF(OFFSET(PortfolioDashboard!$A$3,C463-1,0)="","Blank",OFFSET(PortfolioDashboard!$A$3,C463-1,0))</f>
        <v>Blank</v>
      </c>
      <c r="E463" s="1464" t="str">
        <f t="shared" si="310"/>
        <v>2010$</v>
      </c>
      <c r="F463" s="1460">
        <f t="shared" ca="1" si="278"/>
        <v>0</v>
      </c>
      <c r="G463" s="358">
        <f t="shared" ca="1" si="315"/>
        <v>0</v>
      </c>
      <c r="H463" s="358">
        <f t="shared" ca="1" si="315"/>
        <v>0</v>
      </c>
      <c r="I463" s="358">
        <f t="shared" ca="1" si="315"/>
        <v>0</v>
      </c>
      <c r="J463" s="358">
        <f t="shared" ca="1" si="315"/>
        <v>0</v>
      </c>
      <c r="K463" s="358">
        <f t="shared" ca="1" si="315"/>
        <v>0</v>
      </c>
      <c r="L463" s="358">
        <f t="shared" ca="1" si="315"/>
        <v>0</v>
      </c>
      <c r="M463" s="358">
        <f t="shared" ca="1" si="315"/>
        <v>0</v>
      </c>
      <c r="N463" s="358">
        <f t="shared" ca="1" si="315"/>
        <v>0</v>
      </c>
      <c r="O463" s="358">
        <f t="shared" ca="1" si="315"/>
        <v>0</v>
      </c>
      <c r="P463" s="358">
        <f t="shared" ca="1" si="315"/>
        <v>0</v>
      </c>
      <c r="Q463" s="358">
        <f t="shared" ca="1" si="316"/>
        <v>0</v>
      </c>
      <c r="R463" s="358">
        <f t="shared" ca="1" si="316"/>
        <v>0</v>
      </c>
      <c r="S463" s="358">
        <f t="shared" ca="1" si="316"/>
        <v>0</v>
      </c>
      <c r="T463" s="358">
        <f t="shared" ca="1" si="316"/>
        <v>0</v>
      </c>
      <c r="U463" s="358">
        <f t="shared" ca="1" si="316"/>
        <v>0</v>
      </c>
      <c r="V463" s="358">
        <f t="shared" ca="1" si="316"/>
        <v>0</v>
      </c>
      <c r="W463" s="358">
        <f t="shared" ca="1" si="316"/>
        <v>0</v>
      </c>
      <c r="X463" s="358">
        <f t="shared" ca="1" si="316"/>
        <v>0</v>
      </c>
      <c r="Y463" s="358">
        <f t="shared" ca="1" si="316"/>
        <v>0</v>
      </c>
      <c r="Z463" s="358">
        <f t="shared" ca="1" si="316"/>
        <v>0</v>
      </c>
      <c r="AA463" s="358">
        <f t="shared" ca="1" si="317"/>
        <v>0</v>
      </c>
      <c r="AB463" s="358">
        <f t="shared" ca="1" si="317"/>
        <v>0</v>
      </c>
      <c r="AC463" s="358">
        <f t="shared" ca="1" si="317"/>
        <v>0</v>
      </c>
      <c r="AD463" s="358">
        <f t="shared" ca="1" si="317"/>
        <v>0</v>
      </c>
      <c r="AE463" s="358">
        <f t="shared" ca="1" si="317"/>
        <v>0</v>
      </c>
      <c r="AF463" s="358">
        <f t="shared" ca="1" si="317"/>
        <v>0</v>
      </c>
      <c r="AG463" s="358">
        <f t="shared" ca="1" si="317"/>
        <v>0</v>
      </c>
      <c r="AH463" s="358">
        <f t="shared" ca="1" si="317"/>
        <v>0</v>
      </c>
      <c r="AI463" s="358">
        <f t="shared" ca="1" si="317"/>
        <v>0</v>
      </c>
      <c r="AJ463" s="358">
        <f t="shared" ca="1" si="317"/>
        <v>0</v>
      </c>
      <c r="AK463" s="358">
        <f t="shared" ca="1" si="318"/>
        <v>0</v>
      </c>
      <c r="AL463" s="358">
        <f t="shared" ca="1" si="318"/>
        <v>0</v>
      </c>
      <c r="AM463" s="358">
        <f t="shared" ca="1" si="318"/>
        <v>0</v>
      </c>
      <c r="AN463" s="358">
        <f t="shared" ca="1" si="318"/>
        <v>0</v>
      </c>
      <c r="AO463" s="358">
        <f t="shared" ca="1" si="318"/>
        <v>0</v>
      </c>
      <c r="AP463" s="358">
        <f t="shared" ca="1" si="318"/>
        <v>0</v>
      </c>
      <c r="AQ463" s="358">
        <f t="shared" ca="1" si="318"/>
        <v>0</v>
      </c>
      <c r="AR463" s="358">
        <f t="shared" ca="1" si="318"/>
        <v>0</v>
      </c>
      <c r="AS463" s="358">
        <f t="shared" ca="1" si="318"/>
        <v>0</v>
      </c>
      <c r="AT463" s="358">
        <f t="shared" ca="1" si="318"/>
        <v>0</v>
      </c>
      <c r="AV463" s="358">
        <f t="shared" ca="1" si="291"/>
        <v>0</v>
      </c>
      <c r="AX463" s="358">
        <f t="shared" ca="1" si="292"/>
        <v>0</v>
      </c>
      <c r="AZ463" s="358">
        <f t="shared" ca="1" si="293"/>
        <v>0</v>
      </c>
      <c r="BB463" s="358">
        <f t="shared" ca="1" si="294"/>
        <v>0</v>
      </c>
      <c r="BD463" s="358">
        <f t="shared" ca="1" si="295"/>
        <v>0</v>
      </c>
      <c r="BF463" s="358">
        <f t="shared" ca="1" si="296"/>
        <v>0</v>
      </c>
      <c r="BH463" s="358">
        <f t="shared" ca="1" si="297"/>
        <v>0</v>
      </c>
    </row>
    <row r="464" spans="1:60" hidden="1" outlineLevel="1">
      <c r="A464" s="1464">
        <f t="shared" si="307"/>
        <v>18</v>
      </c>
      <c r="B464" s="1464">
        <f t="shared" si="308"/>
        <v>34</v>
      </c>
      <c r="C464" s="1464">
        <f t="shared" si="309"/>
        <v>25</v>
      </c>
      <c r="D464" s="1271" t="str">
        <f ca="1">IF(OFFSET(PortfolioDashboard!$A$3,C464-1,0)="","Blank",OFFSET(PortfolioDashboard!$A$3,C464-1,0))</f>
        <v>Blank</v>
      </c>
      <c r="E464" s="1464" t="str">
        <f t="shared" si="310"/>
        <v>2010$</v>
      </c>
      <c r="F464" s="1460">
        <f t="shared" ca="1" si="278"/>
        <v>0</v>
      </c>
      <c r="G464" s="358">
        <f t="shared" ca="1" si="315"/>
        <v>0</v>
      </c>
      <c r="H464" s="358">
        <f t="shared" ca="1" si="315"/>
        <v>0</v>
      </c>
      <c r="I464" s="358">
        <f t="shared" ca="1" si="315"/>
        <v>0</v>
      </c>
      <c r="J464" s="358">
        <f t="shared" ca="1" si="315"/>
        <v>0</v>
      </c>
      <c r="K464" s="358">
        <f t="shared" ca="1" si="315"/>
        <v>0</v>
      </c>
      <c r="L464" s="358">
        <f t="shared" ca="1" si="315"/>
        <v>0</v>
      </c>
      <c r="M464" s="358">
        <f t="shared" ca="1" si="315"/>
        <v>0</v>
      </c>
      <c r="N464" s="358">
        <f t="shared" ca="1" si="315"/>
        <v>0</v>
      </c>
      <c r="O464" s="358">
        <f t="shared" ca="1" si="315"/>
        <v>0</v>
      </c>
      <c r="P464" s="358">
        <f t="shared" ca="1" si="315"/>
        <v>0</v>
      </c>
      <c r="Q464" s="358">
        <f t="shared" ca="1" si="316"/>
        <v>0</v>
      </c>
      <c r="R464" s="358">
        <f t="shared" ca="1" si="316"/>
        <v>0</v>
      </c>
      <c r="S464" s="358">
        <f t="shared" ca="1" si="316"/>
        <v>0</v>
      </c>
      <c r="T464" s="358">
        <f t="shared" ca="1" si="316"/>
        <v>0</v>
      </c>
      <c r="U464" s="358">
        <f t="shared" ca="1" si="316"/>
        <v>0</v>
      </c>
      <c r="V464" s="358">
        <f t="shared" ca="1" si="316"/>
        <v>0</v>
      </c>
      <c r="W464" s="358">
        <f t="shared" ca="1" si="316"/>
        <v>0</v>
      </c>
      <c r="X464" s="358">
        <f t="shared" ca="1" si="316"/>
        <v>0</v>
      </c>
      <c r="Y464" s="358">
        <f t="shared" ca="1" si="316"/>
        <v>0</v>
      </c>
      <c r="Z464" s="358">
        <f t="shared" ca="1" si="316"/>
        <v>0</v>
      </c>
      <c r="AA464" s="358">
        <f t="shared" ca="1" si="317"/>
        <v>0</v>
      </c>
      <c r="AB464" s="358">
        <f t="shared" ca="1" si="317"/>
        <v>0</v>
      </c>
      <c r="AC464" s="358">
        <f t="shared" ca="1" si="317"/>
        <v>0</v>
      </c>
      <c r="AD464" s="358">
        <f t="shared" ca="1" si="317"/>
        <v>0</v>
      </c>
      <c r="AE464" s="358">
        <f t="shared" ca="1" si="317"/>
        <v>0</v>
      </c>
      <c r="AF464" s="358">
        <f t="shared" ca="1" si="317"/>
        <v>0</v>
      </c>
      <c r="AG464" s="358">
        <f t="shared" ca="1" si="317"/>
        <v>0</v>
      </c>
      <c r="AH464" s="358">
        <f t="shared" ca="1" si="317"/>
        <v>0</v>
      </c>
      <c r="AI464" s="358">
        <f t="shared" ca="1" si="317"/>
        <v>0</v>
      </c>
      <c r="AJ464" s="358">
        <f t="shared" ca="1" si="317"/>
        <v>0</v>
      </c>
      <c r="AK464" s="358">
        <f t="shared" ca="1" si="318"/>
        <v>0</v>
      </c>
      <c r="AL464" s="358">
        <f t="shared" ca="1" si="318"/>
        <v>0</v>
      </c>
      <c r="AM464" s="358">
        <f t="shared" ca="1" si="318"/>
        <v>0</v>
      </c>
      <c r="AN464" s="358">
        <f t="shared" ca="1" si="318"/>
        <v>0</v>
      </c>
      <c r="AO464" s="358">
        <f t="shared" ca="1" si="318"/>
        <v>0</v>
      </c>
      <c r="AP464" s="358">
        <f t="shared" ca="1" si="318"/>
        <v>0</v>
      </c>
      <c r="AQ464" s="358">
        <f t="shared" ca="1" si="318"/>
        <v>0</v>
      </c>
      <c r="AR464" s="358">
        <f t="shared" ca="1" si="318"/>
        <v>0</v>
      </c>
      <c r="AS464" s="358">
        <f t="shared" ca="1" si="318"/>
        <v>0</v>
      </c>
      <c r="AT464" s="358">
        <f t="shared" ca="1" si="318"/>
        <v>0</v>
      </c>
      <c r="AV464" s="358">
        <f t="shared" ca="1" si="291"/>
        <v>0</v>
      </c>
      <c r="AX464" s="358">
        <f t="shared" ca="1" si="292"/>
        <v>0</v>
      </c>
      <c r="AZ464" s="358">
        <f t="shared" ca="1" si="293"/>
        <v>0</v>
      </c>
      <c r="BB464" s="358">
        <f t="shared" ca="1" si="294"/>
        <v>0</v>
      </c>
      <c r="BD464" s="358">
        <f t="shared" ca="1" si="295"/>
        <v>0</v>
      </c>
      <c r="BF464" s="358">
        <f t="shared" ca="1" si="296"/>
        <v>0</v>
      </c>
      <c r="BH464" s="358">
        <f t="shared" ca="1" si="297"/>
        <v>0</v>
      </c>
    </row>
    <row r="465" spans="1:60" hidden="1" outlineLevel="1">
      <c r="A465" s="1464">
        <f t="shared" si="307"/>
        <v>18</v>
      </c>
      <c r="B465" s="1464">
        <f t="shared" si="308"/>
        <v>34</v>
      </c>
      <c r="C465" s="1464">
        <f t="shared" si="309"/>
        <v>26</v>
      </c>
      <c r="D465" s="1271" t="str">
        <f ca="1">IF(OFFSET(PortfolioDashboard!$A$3,C465-1,0)="","Blank",OFFSET(PortfolioDashboard!$A$3,C465-1,0))</f>
        <v>Blank</v>
      </c>
      <c r="E465" s="1464" t="str">
        <f t="shared" si="310"/>
        <v>2010$</v>
      </c>
      <c r="F465" s="1460">
        <f t="shared" ca="1" si="278"/>
        <v>0</v>
      </c>
      <c r="G465" s="358">
        <f t="shared" ca="1" si="315"/>
        <v>0</v>
      </c>
      <c r="H465" s="358">
        <f t="shared" ca="1" si="315"/>
        <v>0</v>
      </c>
      <c r="I465" s="358">
        <f t="shared" ca="1" si="315"/>
        <v>0</v>
      </c>
      <c r="J465" s="358">
        <f t="shared" ca="1" si="315"/>
        <v>0</v>
      </c>
      <c r="K465" s="358">
        <f t="shared" ca="1" si="315"/>
        <v>0</v>
      </c>
      <c r="L465" s="358">
        <f t="shared" ca="1" si="315"/>
        <v>0</v>
      </c>
      <c r="M465" s="358">
        <f t="shared" ca="1" si="315"/>
        <v>0</v>
      </c>
      <c r="N465" s="358">
        <f t="shared" ca="1" si="315"/>
        <v>0</v>
      </c>
      <c r="O465" s="358">
        <f t="shared" ca="1" si="315"/>
        <v>0</v>
      </c>
      <c r="P465" s="358">
        <f t="shared" ca="1" si="315"/>
        <v>0</v>
      </c>
      <c r="Q465" s="358">
        <f t="shared" ca="1" si="316"/>
        <v>0</v>
      </c>
      <c r="R465" s="358">
        <f t="shared" ca="1" si="316"/>
        <v>0</v>
      </c>
      <c r="S465" s="358">
        <f t="shared" ca="1" si="316"/>
        <v>0</v>
      </c>
      <c r="T465" s="358">
        <f t="shared" ca="1" si="316"/>
        <v>0</v>
      </c>
      <c r="U465" s="358">
        <f t="shared" ca="1" si="316"/>
        <v>0</v>
      </c>
      <c r="V465" s="358">
        <f t="shared" ca="1" si="316"/>
        <v>0</v>
      </c>
      <c r="W465" s="358">
        <f t="shared" ca="1" si="316"/>
        <v>0</v>
      </c>
      <c r="X465" s="358">
        <f t="shared" ca="1" si="316"/>
        <v>0</v>
      </c>
      <c r="Y465" s="358">
        <f t="shared" ca="1" si="316"/>
        <v>0</v>
      </c>
      <c r="Z465" s="358">
        <f t="shared" ca="1" si="316"/>
        <v>0</v>
      </c>
      <c r="AA465" s="358">
        <f t="shared" ca="1" si="317"/>
        <v>0</v>
      </c>
      <c r="AB465" s="358">
        <f t="shared" ca="1" si="317"/>
        <v>0</v>
      </c>
      <c r="AC465" s="358">
        <f t="shared" ca="1" si="317"/>
        <v>0</v>
      </c>
      <c r="AD465" s="358">
        <f t="shared" ca="1" si="317"/>
        <v>0</v>
      </c>
      <c r="AE465" s="358">
        <f t="shared" ca="1" si="317"/>
        <v>0</v>
      </c>
      <c r="AF465" s="358">
        <f t="shared" ca="1" si="317"/>
        <v>0</v>
      </c>
      <c r="AG465" s="358">
        <f t="shared" ca="1" si="317"/>
        <v>0</v>
      </c>
      <c r="AH465" s="358">
        <f t="shared" ca="1" si="317"/>
        <v>0</v>
      </c>
      <c r="AI465" s="358">
        <f t="shared" ca="1" si="317"/>
        <v>0</v>
      </c>
      <c r="AJ465" s="358">
        <f t="shared" ca="1" si="317"/>
        <v>0</v>
      </c>
      <c r="AK465" s="358">
        <f t="shared" ca="1" si="318"/>
        <v>0</v>
      </c>
      <c r="AL465" s="358">
        <f t="shared" ca="1" si="318"/>
        <v>0</v>
      </c>
      <c r="AM465" s="358">
        <f t="shared" ca="1" si="318"/>
        <v>0</v>
      </c>
      <c r="AN465" s="358">
        <f t="shared" ca="1" si="318"/>
        <v>0</v>
      </c>
      <c r="AO465" s="358">
        <f t="shared" ca="1" si="318"/>
        <v>0</v>
      </c>
      <c r="AP465" s="358">
        <f t="shared" ca="1" si="318"/>
        <v>0</v>
      </c>
      <c r="AQ465" s="358">
        <f t="shared" ca="1" si="318"/>
        <v>0</v>
      </c>
      <c r="AR465" s="358">
        <f t="shared" ca="1" si="318"/>
        <v>0</v>
      </c>
      <c r="AS465" s="358">
        <f t="shared" ca="1" si="318"/>
        <v>0</v>
      </c>
      <c r="AT465" s="358">
        <f t="shared" ca="1" si="318"/>
        <v>0</v>
      </c>
      <c r="AV465" s="358">
        <f t="shared" ca="1" si="291"/>
        <v>0</v>
      </c>
      <c r="AX465" s="358">
        <f t="shared" ca="1" si="292"/>
        <v>0</v>
      </c>
      <c r="AZ465" s="358">
        <f t="shared" ca="1" si="293"/>
        <v>0</v>
      </c>
      <c r="BB465" s="358">
        <f t="shared" ca="1" si="294"/>
        <v>0</v>
      </c>
      <c r="BD465" s="358">
        <f t="shared" ca="1" si="295"/>
        <v>0</v>
      </c>
      <c r="BF465" s="358">
        <f t="shared" ca="1" si="296"/>
        <v>0</v>
      </c>
      <c r="BH465" s="358">
        <f t="shared" ca="1" si="297"/>
        <v>0</v>
      </c>
    </row>
    <row r="466" spans="1:60" hidden="1" outlineLevel="1">
      <c r="A466" s="1464">
        <f t="shared" si="307"/>
        <v>18</v>
      </c>
      <c r="B466" s="1464">
        <f t="shared" si="308"/>
        <v>34</v>
      </c>
      <c r="C466" s="1464">
        <f t="shared" si="309"/>
        <v>27</v>
      </c>
      <c r="D466" s="1271" t="str">
        <f ca="1">IF(OFFSET(PortfolioDashboard!$A$3,C466-1,0)="","Blank",OFFSET(PortfolioDashboard!$A$3,C466-1,0))</f>
        <v>Blank</v>
      </c>
      <c r="E466" s="1464" t="str">
        <f t="shared" si="310"/>
        <v>2010$</v>
      </c>
      <c r="F466" s="1460">
        <f t="shared" ca="1" si="278"/>
        <v>0</v>
      </c>
      <c r="G466" s="358">
        <f t="shared" ca="1" si="315"/>
        <v>0</v>
      </c>
      <c r="H466" s="358">
        <f t="shared" ca="1" si="315"/>
        <v>0</v>
      </c>
      <c r="I466" s="358">
        <f t="shared" ca="1" si="315"/>
        <v>0</v>
      </c>
      <c r="J466" s="358">
        <f t="shared" ca="1" si="315"/>
        <v>0</v>
      </c>
      <c r="K466" s="358">
        <f t="shared" ca="1" si="315"/>
        <v>0</v>
      </c>
      <c r="L466" s="358">
        <f t="shared" ca="1" si="315"/>
        <v>0</v>
      </c>
      <c r="M466" s="358">
        <f t="shared" ca="1" si="315"/>
        <v>0</v>
      </c>
      <c r="N466" s="358">
        <f t="shared" ca="1" si="315"/>
        <v>0</v>
      </c>
      <c r="O466" s="358">
        <f t="shared" ca="1" si="315"/>
        <v>0</v>
      </c>
      <c r="P466" s="358">
        <f t="shared" ca="1" si="315"/>
        <v>0</v>
      </c>
      <c r="Q466" s="358">
        <f t="shared" ca="1" si="316"/>
        <v>0</v>
      </c>
      <c r="R466" s="358">
        <f t="shared" ca="1" si="316"/>
        <v>0</v>
      </c>
      <c r="S466" s="358">
        <f t="shared" ca="1" si="316"/>
        <v>0</v>
      </c>
      <c r="T466" s="358">
        <f t="shared" ca="1" si="316"/>
        <v>0</v>
      </c>
      <c r="U466" s="358">
        <f t="shared" ca="1" si="316"/>
        <v>0</v>
      </c>
      <c r="V466" s="358">
        <f t="shared" ca="1" si="316"/>
        <v>0</v>
      </c>
      <c r="W466" s="358">
        <f t="shared" ca="1" si="316"/>
        <v>0</v>
      </c>
      <c r="X466" s="358">
        <f t="shared" ca="1" si="316"/>
        <v>0</v>
      </c>
      <c r="Y466" s="358">
        <f t="shared" ca="1" si="316"/>
        <v>0</v>
      </c>
      <c r="Z466" s="358">
        <f t="shared" ca="1" si="316"/>
        <v>0</v>
      </c>
      <c r="AA466" s="358">
        <f t="shared" ca="1" si="317"/>
        <v>0</v>
      </c>
      <c r="AB466" s="358">
        <f t="shared" ca="1" si="317"/>
        <v>0</v>
      </c>
      <c r="AC466" s="358">
        <f t="shared" ca="1" si="317"/>
        <v>0</v>
      </c>
      <c r="AD466" s="358">
        <f t="shared" ca="1" si="317"/>
        <v>0</v>
      </c>
      <c r="AE466" s="358">
        <f t="shared" ca="1" si="317"/>
        <v>0</v>
      </c>
      <c r="AF466" s="358">
        <f t="shared" ca="1" si="317"/>
        <v>0</v>
      </c>
      <c r="AG466" s="358">
        <f t="shared" ca="1" si="317"/>
        <v>0</v>
      </c>
      <c r="AH466" s="358">
        <f t="shared" ca="1" si="317"/>
        <v>0</v>
      </c>
      <c r="AI466" s="358">
        <f t="shared" ca="1" si="317"/>
        <v>0</v>
      </c>
      <c r="AJ466" s="358">
        <f t="shared" ca="1" si="317"/>
        <v>0</v>
      </c>
      <c r="AK466" s="358">
        <f t="shared" ca="1" si="318"/>
        <v>0</v>
      </c>
      <c r="AL466" s="358">
        <f t="shared" ca="1" si="318"/>
        <v>0</v>
      </c>
      <c r="AM466" s="358">
        <f t="shared" ca="1" si="318"/>
        <v>0</v>
      </c>
      <c r="AN466" s="358">
        <f t="shared" ca="1" si="318"/>
        <v>0</v>
      </c>
      <c r="AO466" s="358">
        <f t="shared" ca="1" si="318"/>
        <v>0</v>
      </c>
      <c r="AP466" s="358">
        <f t="shared" ca="1" si="318"/>
        <v>0</v>
      </c>
      <c r="AQ466" s="358">
        <f t="shared" ca="1" si="318"/>
        <v>0</v>
      </c>
      <c r="AR466" s="358">
        <f t="shared" ca="1" si="318"/>
        <v>0</v>
      </c>
      <c r="AS466" s="358">
        <f t="shared" ca="1" si="318"/>
        <v>0</v>
      </c>
      <c r="AT466" s="358">
        <f t="shared" ca="1" si="318"/>
        <v>0</v>
      </c>
      <c r="AV466" s="358">
        <f t="shared" ca="1" si="291"/>
        <v>0</v>
      </c>
      <c r="AX466" s="358">
        <f t="shared" ca="1" si="292"/>
        <v>0</v>
      </c>
      <c r="AZ466" s="358">
        <f t="shared" ca="1" si="293"/>
        <v>0</v>
      </c>
      <c r="BB466" s="358">
        <f t="shared" ca="1" si="294"/>
        <v>0</v>
      </c>
      <c r="BD466" s="358">
        <f t="shared" ca="1" si="295"/>
        <v>0</v>
      </c>
      <c r="BF466" s="358">
        <f t="shared" ca="1" si="296"/>
        <v>0</v>
      </c>
      <c r="BH466" s="358">
        <f t="shared" ca="1" si="297"/>
        <v>0</v>
      </c>
    </row>
    <row r="467" spans="1:60" hidden="1" outlineLevel="1">
      <c r="A467" s="1464">
        <f t="shared" si="307"/>
        <v>18</v>
      </c>
      <c r="B467" s="1464">
        <f t="shared" si="308"/>
        <v>34</v>
      </c>
      <c r="C467" s="1464">
        <f t="shared" si="309"/>
        <v>28</v>
      </c>
      <c r="D467" s="1271" t="str">
        <f ca="1">IF(OFFSET(PortfolioDashboard!$A$3,C467-1,0)="","Blank",OFFSET(PortfolioDashboard!$A$3,C467-1,0))</f>
        <v>Blank</v>
      </c>
      <c r="E467" s="1464" t="str">
        <f t="shared" si="310"/>
        <v>2010$</v>
      </c>
      <c r="F467" s="1460">
        <f t="shared" ca="1" si="278"/>
        <v>0</v>
      </c>
      <c r="G467" s="358">
        <f t="shared" ca="1" si="315"/>
        <v>0</v>
      </c>
      <c r="H467" s="358">
        <f t="shared" ca="1" si="315"/>
        <v>0</v>
      </c>
      <c r="I467" s="358">
        <f t="shared" ca="1" si="315"/>
        <v>0</v>
      </c>
      <c r="J467" s="358">
        <f t="shared" ca="1" si="315"/>
        <v>0</v>
      </c>
      <c r="K467" s="358">
        <f t="shared" ca="1" si="315"/>
        <v>0</v>
      </c>
      <c r="L467" s="358">
        <f t="shared" ca="1" si="315"/>
        <v>0</v>
      </c>
      <c r="M467" s="358">
        <f t="shared" ca="1" si="315"/>
        <v>0</v>
      </c>
      <c r="N467" s="358">
        <f t="shared" ca="1" si="315"/>
        <v>0</v>
      </c>
      <c r="O467" s="358">
        <f t="shared" ca="1" si="315"/>
        <v>0</v>
      </c>
      <c r="P467" s="358">
        <f t="shared" ca="1" si="315"/>
        <v>0</v>
      </c>
      <c r="Q467" s="358">
        <f t="shared" ca="1" si="316"/>
        <v>0</v>
      </c>
      <c r="R467" s="358">
        <f t="shared" ca="1" si="316"/>
        <v>0</v>
      </c>
      <c r="S467" s="358">
        <f t="shared" ca="1" si="316"/>
        <v>0</v>
      </c>
      <c r="T467" s="358">
        <f t="shared" ca="1" si="316"/>
        <v>0</v>
      </c>
      <c r="U467" s="358">
        <f t="shared" ca="1" si="316"/>
        <v>0</v>
      </c>
      <c r="V467" s="358">
        <f t="shared" ca="1" si="316"/>
        <v>0</v>
      </c>
      <c r="W467" s="358">
        <f t="shared" ca="1" si="316"/>
        <v>0</v>
      </c>
      <c r="X467" s="358">
        <f t="shared" ca="1" si="316"/>
        <v>0</v>
      </c>
      <c r="Y467" s="358">
        <f t="shared" ca="1" si="316"/>
        <v>0</v>
      </c>
      <c r="Z467" s="358">
        <f t="shared" ca="1" si="316"/>
        <v>0</v>
      </c>
      <c r="AA467" s="358">
        <f t="shared" ca="1" si="317"/>
        <v>0</v>
      </c>
      <c r="AB467" s="358">
        <f t="shared" ca="1" si="317"/>
        <v>0</v>
      </c>
      <c r="AC467" s="358">
        <f t="shared" ca="1" si="317"/>
        <v>0</v>
      </c>
      <c r="AD467" s="358">
        <f t="shared" ca="1" si="317"/>
        <v>0</v>
      </c>
      <c r="AE467" s="358">
        <f t="shared" ca="1" si="317"/>
        <v>0</v>
      </c>
      <c r="AF467" s="358">
        <f t="shared" ca="1" si="317"/>
        <v>0</v>
      </c>
      <c r="AG467" s="358">
        <f t="shared" ca="1" si="317"/>
        <v>0</v>
      </c>
      <c r="AH467" s="358">
        <f t="shared" ca="1" si="317"/>
        <v>0</v>
      </c>
      <c r="AI467" s="358">
        <f t="shared" ca="1" si="317"/>
        <v>0</v>
      </c>
      <c r="AJ467" s="358">
        <f t="shared" ca="1" si="317"/>
        <v>0</v>
      </c>
      <c r="AK467" s="358">
        <f t="shared" ca="1" si="318"/>
        <v>0</v>
      </c>
      <c r="AL467" s="358">
        <f t="shared" ca="1" si="318"/>
        <v>0</v>
      </c>
      <c r="AM467" s="358">
        <f t="shared" ca="1" si="318"/>
        <v>0</v>
      </c>
      <c r="AN467" s="358">
        <f t="shared" ca="1" si="318"/>
        <v>0</v>
      </c>
      <c r="AO467" s="358">
        <f t="shared" ca="1" si="318"/>
        <v>0</v>
      </c>
      <c r="AP467" s="358">
        <f t="shared" ca="1" si="318"/>
        <v>0</v>
      </c>
      <c r="AQ467" s="358">
        <f t="shared" ca="1" si="318"/>
        <v>0</v>
      </c>
      <c r="AR467" s="358">
        <f t="shared" ca="1" si="318"/>
        <v>0</v>
      </c>
      <c r="AS467" s="358">
        <f t="shared" ca="1" si="318"/>
        <v>0</v>
      </c>
      <c r="AT467" s="358">
        <f t="shared" ca="1" si="318"/>
        <v>0</v>
      </c>
      <c r="AV467" s="358">
        <f t="shared" ca="1" si="291"/>
        <v>0</v>
      </c>
      <c r="AX467" s="358">
        <f t="shared" ca="1" si="292"/>
        <v>0</v>
      </c>
      <c r="AZ467" s="358">
        <f t="shared" ca="1" si="293"/>
        <v>0</v>
      </c>
      <c r="BB467" s="358">
        <f t="shared" ca="1" si="294"/>
        <v>0</v>
      </c>
      <c r="BD467" s="358">
        <f t="shared" ca="1" si="295"/>
        <v>0</v>
      </c>
      <c r="BF467" s="358">
        <f t="shared" ca="1" si="296"/>
        <v>0</v>
      </c>
      <c r="BH467" s="358">
        <f t="shared" ca="1" si="297"/>
        <v>0</v>
      </c>
    </row>
    <row r="468" spans="1:60" hidden="1" outlineLevel="1">
      <c r="A468" s="1464">
        <f t="shared" si="307"/>
        <v>18</v>
      </c>
      <c r="B468" s="1464">
        <f t="shared" si="308"/>
        <v>34</v>
      </c>
      <c r="C468" s="1464">
        <f t="shared" si="309"/>
        <v>29</v>
      </c>
      <c r="D468" s="1271" t="str">
        <f ca="1">IF(OFFSET(PortfolioDashboard!$A$3,C468-1,0)="","Blank",OFFSET(PortfolioDashboard!$A$3,C468-1,0))</f>
        <v>Blank</v>
      </c>
      <c r="E468" s="1464" t="str">
        <f t="shared" si="310"/>
        <v>2010$</v>
      </c>
      <c r="F468" s="1460">
        <f t="shared" ca="1" si="278"/>
        <v>0</v>
      </c>
      <c r="G468" s="358">
        <f t="shared" ca="1" si="315"/>
        <v>0</v>
      </c>
      <c r="H468" s="358">
        <f t="shared" ca="1" si="315"/>
        <v>0</v>
      </c>
      <c r="I468" s="358">
        <f t="shared" ca="1" si="315"/>
        <v>0</v>
      </c>
      <c r="J468" s="358">
        <f t="shared" ca="1" si="315"/>
        <v>0</v>
      </c>
      <c r="K468" s="358">
        <f t="shared" ca="1" si="315"/>
        <v>0</v>
      </c>
      <c r="L468" s="358">
        <f t="shared" ca="1" si="315"/>
        <v>0</v>
      </c>
      <c r="M468" s="358">
        <f t="shared" ca="1" si="315"/>
        <v>0</v>
      </c>
      <c r="N468" s="358">
        <f t="shared" ca="1" si="315"/>
        <v>0</v>
      </c>
      <c r="O468" s="358">
        <f t="shared" ca="1" si="315"/>
        <v>0</v>
      </c>
      <c r="P468" s="358">
        <f t="shared" ca="1" si="315"/>
        <v>0</v>
      </c>
      <c r="Q468" s="358">
        <f t="shared" ca="1" si="316"/>
        <v>0</v>
      </c>
      <c r="R468" s="358">
        <f t="shared" ca="1" si="316"/>
        <v>0</v>
      </c>
      <c r="S468" s="358">
        <f t="shared" ca="1" si="316"/>
        <v>0</v>
      </c>
      <c r="T468" s="358">
        <f t="shared" ca="1" si="316"/>
        <v>0</v>
      </c>
      <c r="U468" s="358">
        <f t="shared" ca="1" si="316"/>
        <v>0</v>
      </c>
      <c r="V468" s="358">
        <f t="shared" ca="1" si="316"/>
        <v>0</v>
      </c>
      <c r="W468" s="358">
        <f t="shared" ca="1" si="316"/>
        <v>0</v>
      </c>
      <c r="X468" s="358">
        <f t="shared" ca="1" si="316"/>
        <v>0</v>
      </c>
      <c r="Y468" s="358">
        <f t="shared" ca="1" si="316"/>
        <v>0</v>
      </c>
      <c r="Z468" s="358">
        <f t="shared" ca="1" si="316"/>
        <v>0</v>
      </c>
      <c r="AA468" s="358">
        <f t="shared" ca="1" si="317"/>
        <v>0</v>
      </c>
      <c r="AB468" s="358">
        <f t="shared" ca="1" si="317"/>
        <v>0</v>
      </c>
      <c r="AC468" s="358">
        <f t="shared" ca="1" si="317"/>
        <v>0</v>
      </c>
      <c r="AD468" s="358">
        <f t="shared" ca="1" si="317"/>
        <v>0</v>
      </c>
      <c r="AE468" s="358">
        <f t="shared" ca="1" si="317"/>
        <v>0</v>
      </c>
      <c r="AF468" s="358">
        <f t="shared" ca="1" si="317"/>
        <v>0</v>
      </c>
      <c r="AG468" s="358">
        <f t="shared" ca="1" si="317"/>
        <v>0</v>
      </c>
      <c r="AH468" s="358">
        <f t="shared" ca="1" si="317"/>
        <v>0</v>
      </c>
      <c r="AI468" s="358">
        <f t="shared" ca="1" si="317"/>
        <v>0</v>
      </c>
      <c r="AJ468" s="358">
        <f t="shared" ca="1" si="317"/>
        <v>0</v>
      </c>
      <c r="AK468" s="358">
        <f t="shared" ca="1" si="318"/>
        <v>0</v>
      </c>
      <c r="AL468" s="358">
        <f t="shared" ca="1" si="318"/>
        <v>0</v>
      </c>
      <c r="AM468" s="358">
        <f t="shared" ca="1" si="318"/>
        <v>0</v>
      </c>
      <c r="AN468" s="358">
        <f t="shared" ca="1" si="318"/>
        <v>0</v>
      </c>
      <c r="AO468" s="358">
        <f t="shared" ca="1" si="318"/>
        <v>0</v>
      </c>
      <c r="AP468" s="358">
        <f t="shared" ca="1" si="318"/>
        <v>0</v>
      </c>
      <c r="AQ468" s="358">
        <f t="shared" ca="1" si="318"/>
        <v>0</v>
      </c>
      <c r="AR468" s="358">
        <f t="shared" ca="1" si="318"/>
        <v>0</v>
      </c>
      <c r="AS468" s="358">
        <f t="shared" ca="1" si="318"/>
        <v>0</v>
      </c>
      <c r="AT468" s="358">
        <f t="shared" ca="1" si="318"/>
        <v>0</v>
      </c>
      <c r="AV468" s="358">
        <f t="shared" ca="1" si="291"/>
        <v>0</v>
      </c>
      <c r="AX468" s="358">
        <f t="shared" ca="1" si="292"/>
        <v>0</v>
      </c>
      <c r="AZ468" s="358">
        <f t="shared" ca="1" si="293"/>
        <v>0</v>
      </c>
      <c r="BB468" s="358">
        <f t="shared" ca="1" si="294"/>
        <v>0</v>
      </c>
      <c r="BD468" s="358">
        <f t="shared" ca="1" si="295"/>
        <v>0</v>
      </c>
      <c r="BF468" s="358">
        <f t="shared" ca="1" si="296"/>
        <v>0</v>
      </c>
      <c r="BH468" s="358">
        <f t="shared" ca="1" si="297"/>
        <v>0</v>
      </c>
    </row>
    <row r="469" spans="1:60" hidden="1" outlineLevel="1">
      <c r="A469" s="1464">
        <f t="shared" si="307"/>
        <v>18</v>
      </c>
      <c r="B469" s="1464">
        <f t="shared" si="308"/>
        <v>34</v>
      </c>
      <c r="C469" s="1464">
        <f t="shared" si="309"/>
        <v>30</v>
      </c>
      <c r="D469" s="1271" t="str">
        <f ca="1">IF(OFFSET(PortfolioDashboard!$A$3,C469-1,0)="","Blank",OFFSET(PortfolioDashboard!$A$3,C469-1,0))</f>
        <v>Blank</v>
      </c>
      <c r="E469" s="1464" t="str">
        <f t="shared" si="310"/>
        <v>2010$</v>
      </c>
      <c r="F469" s="1460">
        <f t="shared" ca="1" si="278"/>
        <v>0</v>
      </c>
      <c r="G469" s="358">
        <f t="shared" ca="1" si="315"/>
        <v>0</v>
      </c>
      <c r="H469" s="358">
        <f t="shared" ca="1" si="315"/>
        <v>0</v>
      </c>
      <c r="I469" s="358">
        <f t="shared" ca="1" si="315"/>
        <v>0</v>
      </c>
      <c r="J469" s="358">
        <f t="shared" ca="1" si="315"/>
        <v>0</v>
      </c>
      <c r="K469" s="358">
        <f t="shared" ca="1" si="315"/>
        <v>0</v>
      </c>
      <c r="L469" s="358">
        <f t="shared" ca="1" si="315"/>
        <v>0</v>
      </c>
      <c r="M469" s="358">
        <f t="shared" ca="1" si="315"/>
        <v>0</v>
      </c>
      <c r="N469" s="358">
        <f t="shared" ca="1" si="315"/>
        <v>0</v>
      </c>
      <c r="O469" s="358">
        <f t="shared" ca="1" si="315"/>
        <v>0</v>
      </c>
      <c r="P469" s="358">
        <f t="shared" ca="1" si="315"/>
        <v>0</v>
      </c>
      <c r="Q469" s="358">
        <f t="shared" ca="1" si="316"/>
        <v>0</v>
      </c>
      <c r="R469" s="358">
        <f t="shared" ca="1" si="316"/>
        <v>0</v>
      </c>
      <c r="S469" s="358">
        <f t="shared" ca="1" si="316"/>
        <v>0</v>
      </c>
      <c r="T469" s="358">
        <f t="shared" ca="1" si="316"/>
        <v>0</v>
      </c>
      <c r="U469" s="358">
        <f t="shared" ca="1" si="316"/>
        <v>0</v>
      </c>
      <c r="V469" s="358">
        <f t="shared" ca="1" si="316"/>
        <v>0</v>
      </c>
      <c r="W469" s="358">
        <f t="shared" ca="1" si="316"/>
        <v>0</v>
      </c>
      <c r="X469" s="358">
        <f t="shared" ca="1" si="316"/>
        <v>0</v>
      </c>
      <c r="Y469" s="358">
        <f t="shared" ca="1" si="316"/>
        <v>0</v>
      </c>
      <c r="Z469" s="358">
        <f t="shared" ca="1" si="316"/>
        <v>0</v>
      </c>
      <c r="AA469" s="358">
        <f t="shared" ca="1" si="317"/>
        <v>0</v>
      </c>
      <c r="AB469" s="358">
        <f t="shared" ca="1" si="317"/>
        <v>0</v>
      </c>
      <c r="AC469" s="358">
        <f t="shared" ca="1" si="317"/>
        <v>0</v>
      </c>
      <c r="AD469" s="358">
        <f t="shared" ca="1" si="317"/>
        <v>0</v>
      </c>
      <c r="AE469" s="358">
        <f t="shared" ca="1" si="317"/>
        <v>0</v>
      </c>
      <c r="AF469" s="358">
        <f t="shared" ca="1" si="317"/>
        <v>0</v>
      </c>
      <c r="AG469" s="358">
        <f t="shared" ca="1" si="317"/>
        <v>0</v>
      </c>
      <c r="AH469" s="358">
        <f t="shared" ca="1" si="317"/>
        <v>0</v>
      </c>
      <c r="AI469" s="358">
        <f t="shared" ca="1" si="317"/>
        <v>0</v>
      </c>
      <c r="AJ469" s="358">
        <f t="shared" ca="1" si="317"/>
        <v>0</v>
      </c>
      <c r="AK469" s="358">
        <f t="shared" ca="1" si="318"/>
        <v>0</v>
      </c>
      <c r="AL469" s="358">
        <f t="shared" ca="1" si="318"/>
        <v>0</v>
      </c>
      <c r="AM469" s="358">
        <f t="shared" ca="1" si="318"/>
        <v>0</v>
      </c>
      <c r="AN469" s="358">
        <f t="shared" ca="1" si="318"/>
        <v>0</v>
      </c>
      <c r="AO469" s="358">
        <f t="shared" ca="1" si="318"/>
        <v>0</v>
      </c>
      <c r="AP469" s="358">
        <f t="shared" ca="1" si="318"/>
        <v>0</v>
      </c>
      <c r="AQ469" s="358">
        <f t="shared" ca="1" si="318"/>
        <v>0</v>
      </c>
      <c r="AR469" s="358">
        <f t="shared" ca="1" si="318"/>
        <v>0</v>
      </c>
      <c r="AS469" s="358">
        <f t="shared" ca="1" si="318"/>
        <v>0</v>
      </c>
      <c r="AT469" s="358">
        <f t="shared" ca="1" si="318"/>
        <v>0</v>
      </c>
      <c r="AV469" s="358">
        <f t="shared" ca="1" si="291"/>
        <v>0</v>
      </c>
      <c r="AX469" s="358">
        <f t="shared" ca="1" si="292"/>
        <v>0</v>
      </c>
      <c r="AZ469" s="358">
        <f t="shared" ca="1" si="293"/>
        <v>0</v>
      </c>
      <c r="BB469" s="358">
        <f t="shared" ca="1" si="294"/>
        <v>0</v>
      </c>
      <c r="BD469" s="358">
        <f t="shared" ca="1" si="295"/>
        <v>0</v>
      </c>
      <c r="BF469" s="358">
        <f t="shared" ca="1" si="296"/>
        <v>0</v>
      </c>
      <c r="BH469" s="358">
        <f t="shared" ca="1" si="297"/>
        <v>0</v>
      </c>
    </row>
    <row r="470" spans="1:60" collapsed="1">
      <c r="A470" s="1464"/>
      <c r="B470" s="1464"/>
      <c r="C470" s="1464"/>
      <c r="D470" s="1272" t="s">
        <v>271</v>
      </c>
      <c r="E470" s="1270" t="str">
        <f>E440</f>
        <v>2010$</v>
      </c>
      <c r="F470" s="1461">
        <f t="shared" ca="1" si="278"/>
        <v>-24662921.665798508</v>
      </c>
      <c r="G470" s="1277">
        <f t="shared" ref="G470:AT470" ca="1" si="319">SUM(G440:G469)</f>
        <v>-100000</v>
      </c>
      <c r="H470" s="1277">
        <f t="shared" ca="1" si="319"/>
        <v>-2091284.7073170929</v>
      </c>
      <c r="I470" s="1277">
        <f t="shared" ca="1" si="319"/>
        <v>-3626718.0406503943</v>
      </c>
      <c r="J470" s="1277">
        <f t="shared" ca="1" si="319"/>
        <v>-2346253.3813346061</v>
      </c>
      <c r="K470" s="1277">
        <f t="shared" ca="1" si="319"/>
        <v>-5944718.0406504106</v>
      </c>
      <c r="L470" s="1277">
        <f t="shared" ca="1" si="319"/>
        <v>-2734515.2216273686</v>
      </c>
      <c r="M470" s="1277">
        <f t="shared" ca="1" si="319"/>
        <v>-1193476.0823170771</v>
      </c>
      <c r="N470" s="1277">
        <f t="shared" ca="1" si="319"/>
        <v>-1193476.0823170771</v>
      </c>
      <c r="O470" s="1277">
        <f t="shared" ca="1" si="319"/>
        <v>-1193476.0823170771</v>
      </c>
      <c r="P470" s="1277">
        <f t="shared" ca="1" si="319"/>
        <v>-1193476.0823170771</v>
      </c>
      <c r="Q470" s="1277">
        <f t="shared" ca="1" si="319"/>
        <v>-1193476.0823170771</v>
      </c>
      <c r="R470" s="1277">
        <f t="shared" ca="1" si="319"/>
        <v>-1193476.0823170613</v>
      </c>
      <c r="S470" s="1277">
        <f t="shared" ca="1" si="319"/>
        <v>-1193476.0823170613</v>
      </c>
      <c r="T470" s="1277">
        <f t="shared" ca="1" si="319"/>
        <v>-1193476.0823170929</v>
      </c>
      <c r="U470" s="1277">
        <f t="shared" ca="1" si="319"/>
        <v>-1272093.7073170613</v>
      </c>
      <c r="V470" s="1277">
        <f t="shared" ca="1" si="319"/>
        <v>-1272093.7073170771</v>
      </c>
      <c r="W470" s="1277">
        <f t="shared" ca="1" si="319"/>
        <v>-1272093.7073170771</v>
      </c>
      <c r="X470" s="1277">
        <f t="shared" ca="1" si="319"/>
        <v>-1272093.7073170613</v>
      </c>
      <c r="Y470" s="1277">
        <f t="shared" ca="1" si="319"/>
        <v>-1272093.7073170771</v>
      </c>
      <c r="Z470" s="1277">
        <f t="shared" ca="1" si="319"/>
        <v>-1272093.7073170929</v>
      </c>
      <c r="AA470" s="1277">
        <f t="shared" ca="1" si="319"/>
        <v>-1272093.7073170771</v>
      </c>
      <c r="AB470" s="1277">
        <f t="shared" ca="1" si="319"/>
        <v>-1272093.7073170613</v>
      </c>
      <c r="AC470" s="1277">
        <f t="shared" ca="1" si="319"/>
        <v>-1272093.7073170613</v>
      </c>
      <c r="AD470" s="1277">
        <f t="shared" ca="1" si="319"/>
        <v>-1272093.7073170771</v>
      </c>
      <c r="AE470" s="1277">
        <f t="shared" ca="1" si="319"/>
        <v>-440231.70731706114</v>
      </c>
      <c r="AF470" s="1277">
        <f t="shared" ca="1" si="319"/>
        <v>-440231.70731706114</v>
      </c>
      <c r="AG470" s="1277">
        <f t="shared" ca="1" si="319"/>
        <v>-1101631.7073171088</v>
      </c>
      <c r="AH470" s="1277">
        <f t="shared" ca="1" si="319"/>
        <v>-440231.70731707709</v>
      </c>
      <c r="AI470" s="1277">
        <f t="shared" ca="1" si="319"/>
        <v>-440231.70731706114</v>
      </c>
      <c r="AJ470" s="1277">
        <f t="shared" ca="1" si="319"/>
        <v>-440231.70731706114</v>
      </c>
      <c r="AK470" s="1277">
        <f t="shared" ca="1" si="319"/>
        <v>-440231.70731707709</v>
      </c>
      <c r="AL470" s="1277">
        <f t="shared" ca="1" si="319"/>
        <v>-440231.70731709298</v>
      </c>
      <c r="AM470" s="1277">
        <f t="shared" ca="1" si="319"/>
        <v>-440231.70731706114</v>
      </c>
      <c r="AN470" s="1277">
        <f t="shared" ca="1" si="319"/>
        <v>-440231.70731707709</v>
      </c>
      <c r="AO470" s="1277">
        <f t="shared" ca="1" si="319"/>
        <v>-440231.70731706114</v>
      </c>
      <c r="AP470" s="1277">
        <f t="shared" ca="1" si="319"/>
        <v>-440231.70731706114</v>
      </c>
      <c r="AQ470" s="1277">
        <f t="shared" ca="1" si="319"/>
        <v>-440231.70731707709</v>
      </c>
      <c r="AR470" s="1277">
        <f t="shared" ca="1" si="319"/>
        <v>-440231.70731707709</v>
      </c>
      <c r="AS470" s="1277">
        <f t="shared" ca="1" si="319"/>
        <v>-440231.70731709298</v>
      </c>
      <c r="AT470" s="1277">
        <f t="shared" ca="1" si="319"/>
        <v>-440231.70731706114</v>
      </c>
      <c r="AV470" s="1277">
        <f t="shared" ca="1" si="291"/>
        <v>-7508419.550895676</v>
      </c>
      <c r="AX470" s="1277">
        <f t="shared" ca="1" si="292"/>
        <v>-6045998.0365853533</v>
      </c>
      <c r="AZ470" s="1277">
        <f t="shared" ca="1" si="293"/>
        <v>-6360468.536585385</v>
      </c>
      <c r="BB470" s="1277">
        <f t="shared" ca="1" si="294"/>
        <v>-5528606.5365853375</v>
      </c>
      <c r="BD470" s="1277">
        <f t="shared" ca="1" si="295"/>
        <v>-2862558.5365853696</v>
      </c>
      <c r="BF470" s="1277">
        <f t="shared" ca="1" si="296"/>
        <v>-2201158.5365853696</v>
      </c>
      <c r="BH470" s="1277">
        <f t="shared" ca="1" si="297"/>
        <v>-2201158.5365853696</v>
      </c>
    </row>
    <row r="471" spans="1:60" hidden="1" outlineLevel="1">
      <c r="A471" s="1464">
        <v>18</v>
      </c>
      <c r="B471" s="1464">
        <v>34</v>
      </c>
      <c r="C471" s="1464">
        <v>1</v>
      </c>
      <c r="D471" s="1271" t="str">
        <f ca="1">IF(OFFSET(PortfolioDashboard!$A$3,C471-1,0)="","Blank",OFFSET(PortfolioDashboard!$A$3,C471-1,0))</f>
        <v>Behavior Change</v>
      </c>
      <c r="E471" s="1464" t="s">
        <v>1197</v>
      </c>
      <c r="F471" s="1460">
        <f t="shared" ref="F471:F500" ca="1" si="320">NPV(DiscountRate,G471:AT471)</f>
        <v>0</v>
      </c>
      <c r="G471" s="358">
        <f t="shared" ref="G471:G500" ca="1" si="321">G409+G440</f>
        <v>0</v>
      </c>
      <c r="H471" s="358">
        <f t="shared" ref="H471:AT477" ca="1" si="322">H409+H440</f>
        <v>0</v>
      </c>
      <c r="I471" s="358">
        <f t="shared" ca="1" si="322"/>
        <v>0</v>
      </c>
      <c r="J471" s="358">
        <f t="shared" ca="1" si="322"/>
        <v>0</v>
      </c>
      <c r="K471" s="358">
        <f t="shared" ca="1" si="322"/>
        <v>0</v>
      </c>
      <c r="L471" s="358">
        <f t="shared" ca="1" si="322"/>
        <v>0</v>
      </c>
      <c r="M471" s="358">
        <f t="shared" ca="1" si="322"/>
        <v>0</v>
      </c>
      <c r="N471" s="358">
        <f t="shared" ca="1" si="322"/>
        <v>0</v>
      </c>
      <c r="O471" s="358">
        <f t="shared" ca="1" si="322"/>
        <v>0</v>
      </c>
      <c r="P471" s="358">
        <f t="shared" ca="1" si="322"/>
        <v>0</v>
      </c>
      <c r="Q471" s="358">
        <f t="shared" ca="1" si="322"/>
        <v>0</v>
      </c>
      <c r="R471" s="358">
        <f t="shared" ca="1" si="322"/>
        <v>0</v>
      </c>
      <c r="S471" s="358">
        <f t="shared" ca="1" si="322"/>
        <v>0</v>
      </c>
      <c r="T471" s="358">
        <f t="shared" ca="1" si="322"/>
        <v>0</v>
      </c>
      <c r="U471" s="358">
        <f t="shared" ca="1" si="322"/>
        <v>0</v>
      </c>
      <c r="V471" s="358">
        <f t="shared" ca="1" si="322"/>
        <v>0</v>
      </c>
      <c r="W471" s="358">
        <f t="shared" ca="1" si="322"/>
        <v>0</v>
      </c>
      <c r="X471" s="358">
        <f t="shared" ca="1" si="322"/>
        <v>0</v>
      </c>
      <c r="Y471" s="358">
        <f t="shared" ca="1" si="322"/>
        <v>0</v>
      </c>
      <c r="Z471" s="358">
        <f t="shared" ca="1" si="322"/>
        <v>0</v>
      </c>
      <c r="AA471" s="358">
        <f t="shared" ca="1" si="322"/>
        <v>0</v>
      </c>
      <c r="AB471" s="358">
        <f t="shared" ca="1" si="322"/>
        <v>0</v>
      </c>
      <c r="AC471" s="358">
        <f t="shared" ca="1" si="322"/>
        <v>0</v>
      </c>
      <c r="AD471" s="358">
        <f t="shared" ca="1" si="322"/>
        <v>0</v>
      </c>
      <c r="AE471" s="358">
        <f t="shared" ca="1" si="322"/>
        <v>0</v>
      </c>
      <c r="AF471" s="358">
        <f t="shared" ca="1" si="322"/>
        <v>0</v>
      </c>
      <c r="AG471" s="358">
        <f t="shared" ca="1" si="322"/>
        <v>0</v>
      </c>
      <c r="AH471" s="358">
        <f t="shared" ca="1" si="322"/>
        <v>0</v>
      </c>
      <c r="AI471" s="358">
        <f t="shared" ca="1" si="322"/>
        <v>0</v>
      </c>
      <c r="AJ471" s="358">
        <f t="shared" ca="1" si="322"/>
        <v>0</v>
      </c>
      <c r="AK471" s="358">
        <f t="shared" ca="1" si="322"/>
        <v>0</v>
      </c>
      <c r="AL471" s="358">
        <f t="shared" ca="1" si="322"/>
        <v>0</v>
      </c>
      <c r="AM471" s="358">
        <f t="shared" ca="1" si="322"/>
        <v>0</v>
      </c>
      <c r="AN471" s="358">
        <f t="shared" ca="1" si="322"/>
        <v>0</v>
      </c>
      <c r="AO471" s="358">
        <f t="shared" ca="1" si="322"/>
        <v>0</v>
      </c>
      <c r="AP471" s="358">
        <f t="shared" ca="1" si="322"/>
        <v>0</v>
      </c>
      <c r="AQ471" s="358">
        <f t="shared" ca="1" si="322"/>
        <v>0</v>
      </c>
      <c r="AR471" s="358">
        <f t="shared" ca="1" si="322"/>
        <v>0</v>
      </c>
      <c r="AS471" s="358">
        <f t="shared" ca="1" si="322"/>
        <v>0</v>
      </c>
      <c r="AT471" s="358">
        <f t="shared" ca="1" si="322"/>
        <v>0</v>
      </c>
      <c r="AU471" s="358"/>
      <c r="AV471" s="358">
        <f t="shared" ref="AV471:AV500" ca="1" si="323">SUM(L471:P471)</f>
        <v>0</v>
      </c>
      <c r="AX471" s="358">
        <f t="shared" ref="AX471:AX500" ca="1" si="324">SUM(Q471:U471)</f>
        <v>0</v>
      </c>
      <c r="AZ471" s="358">
        <f t="shared" ref="AZ471:AZ500" ca="1" si="325">SUM(V471:Z471)</f>
        <v>0</v>
      </c>
      <c r="BB471" s="358">
        <f t="shared" ref="BB471:BB500" ca="1" si="326">SUM(AA471:AE471)</f>
        <v>0</v>
      </c>
      <c r="BD471" s="358">
        <f t="shared" ref="BD471:BD500" ca="1" si="327">SUM(AF471:AJ471)</f>
        <v>0</v>
      </c>
      <c r="BF471" s="358">
        <f t="shared" ref="BF471:BF500" ca="1" si="328">SUM(AK471:AO471)</f>
        <v>0</v>
      </c>
      <c r="BH471" s="358">
        <f t="shared" ref="BH471:BH500" ca="1" si="329">SUM(AP471:AT471)</f>
        <v>0</v>
      </c>
    </row>
    <row r="472" spans="1:60" hidden="1" outlineLevel="1">
      <c r="A472" s="1464">
        <f>A471</f>
        <v>18</v>
      </c>
      <c r="B472" s="1464">
        <f>B471</f>
        <v>34</v>
      </c>
      <c r="C472" s="1464">
        <f>C471+1</f>
        <v>2</v>
      </c>
      <c r="D472" s="1271" t="str">
        <f ca="1">IF(OFFSET(PortfolioDashboard!$A$3,C472-1,0)="","Blank",OFFSET(PortfolioDashboard!$A$3,C472-1,0))</f>
        <v>Building Design &amp; Construction Standards</v>
      </c>
      <c r="E472" s="1464" t="str">
        <f>E471</f>
        <v>2010$</v>
      </c>
      <c r="F472" s="1460">
        <f t="shared" ca="1" si="320"/>
        <v>-9602826.9964801222</v>
      </c>
      <c r="G472" s="358">
        <f t="shared" ca="1" si="321"/>
        <v>0</v>
      </c>
      <c r="H472" s="358">
        <f t="shared" ref="H472:V472" ca="1" si="330">H410+H441</f>
        <v>-440231.70731709298</v>
      </c>
      <c r="I472" s="358">
        <f t="shared" ca="1" si="330"/>
        <v>-2365231.7073170608</v>
      </c>
      <c r="J472" s="358">
        <f t="shared" ca="1" si="330"/>
        <v>-965231.70731707709</v>
      </c>
      <c r="K472" s="358">
        <f t="shared" ca="1" si="330"/>
        <v>-440231.70731707709</v>
      </c>
      <c r="L472" s="358">
        <f t="shared" ca="1" si="330"/>
        <v>-1840231.707317061</v>
      </c>
      <c r="M472" s="358">
        <f t="shared" ca="1" si="330"/>
        <v>-440231.70731707709</v>
      </c>
      <c r="N472" s="358">
        <f t="shared" ca="1" si="330"/>
        <v>-440231.70731707709</v>
      </c>
      <c r="O472" s="358">
        <f t="shared" ca="1" si="330"/>
        <v>-440231.70731707709</v>
      </c>
      <c r="P472" s="358">
        <f t="shared" ca="1" si="330"/>
        <v>-440231.70731707709</v>
      </c>
      <c r="Q472" s="358">
        <f t="shared" ca="1" si="330"/>
        <v>-440231.70731707709</v>
      </c>
      <c r="R472" s="358">
        <f t="shared" ca="1" si="330"/>
        <v>-440231.70731706114</v>
      </c>
      <c r="S472" s="358">
        <f t="shared" ca="1" si="330"/>
        <v>-440231.70731706114</v>
      </c>
      <c r="T472" s="358">
        <f t="shared" ca="1" si="330"/>
        <v>-440231.70731709298</v>
      </c>
      <c r="U472" s="358">
        <f t="shared" ca="1" si="330"/>
        <v>-440231.70731706114</v>
      </c>
      <c r="V472" s="358">
        <f t="shared" ca="1" si="330"/>
        <v>-440231.70731707709</v>
      </c>
      <c r="W472" s="358">
        <f t="shared" ca="1" si="322"/>
        <v>-440231.70731707709</v>
      </c>
      <c r="X472" s="358">
        <f t="shared" ca="1" si="322"/>
        <v>-440231.70731706114</v>
      </c>
      <c r="Y472" s="358">
        <f t="shared" ca="1" si="322"/>
        <v>-440231.70731707709</v>
      </c>
      <c r="Z472" s="358">
        <f t="shared" ca="1" si="322"/>
        <v>-440231.70731709298</v>
      </c>
      <c r="AA472" s="358">
        <f t="shared" ca="1" si="322"/>
        <v>-440231.70731707709</v>
      </c>
      <c r="AB472" s="358">
        <f t="shared" ca="1" si="322"/>
        <v>-440231.70731706114</v>
      </c>
      <c r="AC472" s="358">
        <f t="shared" ca="1" si="322"/>
        <v>-440231.70731706114</v>
      </c>
      <c r="AD472" s="358">
        <f t="shared" ca="1" si="322"/>
        <v>-440231.70731707709</v>
      </c>
      <c r="AE472" s="358">
        <f t="shared" ca="1" si="322"/>
        <v>-440231.70731706114</v>
      </c>
      <c r="AF472" s="358">
        <f t="shared" ca="1" si="322"/>
        <v>-440231.70731706114</v>
      </c>
      <c r="AG472" s="358">
        <f t="shared" ca="1" si="322"/>
        <v>-440231.70731710887</v>
      </c>
      <c r="AH472" s="358">
        <f t="shared" ca="1" si="322"/>
        <v>-440231.70731707709</v>
      </c>
      <c r="AI472" s="358">
        <f t="shared" ca="1" si="322"/>
        <v>-440231.70731706114</v>
      </c>
      <c r="AJ472" s="358">
        <f t="shared" ca="1" si="322"/>
        <v>-440231.70731706114</v>
      </c>
      <c r="AK472" s="358">
        <f t="shared" ca="1" si="322"/>
        <v>-440231.70731707709</v>
      </c>
      <c r="AL472" s="358">
        <f t="shared" ca="1" si="322"/>
        <v>-440231.70731709298</v>
      </c>
      <c r="AM472" s="358">
        <f t="shared" ca="1" si="322"/>
        <v>-440231.70731706114</v>
      </c>
      <c r="AN472" s="358">
        <f t="shared" ca="1" si="322"/>
        <v>-440231.70731707709</v>
      </c>
      <c r="AO472" s="358">
        <f t="shared" ca="1" si="322"/>
        <v>-440231.70731706114</v>
      </c>
      <c r="AP472" s="358">
        <f t="shared" ca="1" si="322"/>
        <v>-440231.70731706114</v>
      </c>
      <c r="AQ472" s="358">
        <f t="shared" ca="1" si="322"/>
        <v>-440231.70731707709</v>
      </c>
      <c r="AR472" s="358">
        <f t="shared" ca="1" si="322"/>
        <v>-440231.70731707709</v>
      </c>
      <c r="AS472" s="358">
        <f t="shared" ca="1" si="322"/>
        <v>-440231.70731709298</v>
      </c>
      <c r="AT472" s="358">
        <f t="shared" ca="1" si="322"/>
        <v>-440231.70731706114</v>
      </c>
      <c r="AU472" s="358"/>
      <c r="AV472" s="358">
        <f t="shared" ca="1" si="323"/>
        <v>-3601158.5365853696</v>
      </c>
      <c r="AX472" s="358">
        <f t="shared" ca="1" si="324"/>
        <v>-2201158.5365853533</v>
      </c>
      <c r="AZ472" s="358">
        <f t="shared" ca="1" si="325"/>
        <v>-2201158.5365853854</v>
      </c>
      <c r="BB472" s="358">
        <f t="shared" ca="1" si="326"/>
        <v>-2201158.5365853375</v>
      </c>
      <c r="BD472" s="358">
        <f t="shared" ca="1" si="327"/>
        <v>-2201158.5365853696</v>
      </c>
      <c r="BF472" s="358">
        <f t="shared" ca="1" si="328"/>
        <v>-2201158.5365853696</v>
      </c>
      <c r="BH472" s="358">
        <f t="shared" ca="1" si="329"/>
        <v>-2201158.5365853696</v>
      </c>
    </row>
    <row r="473" spans="1:60" hidden="1" outlineLevel="1">
      <c r="A473" s="1464">
        <f t="shared" ref="A473:B488" si="331">A472</f>
        <v>18</v>
      </c>
      <c r="B473" s="1464">
        <f t="shared" si="331"/>
        <v>34</v>
      </c>
      <c r="C473" s="1464">
        <f t="shared" ref="C473:C500" si="332">C472+1</f>
        <v>3</v>
      </c>
      <c r="D473" s="1271" t="str">
        <f ca="1">IF(OFFSET(PortfolioDashboard!$A$3,C473-1,0)="","Blank",OFFSET(PortfolioDashboard!$A$3,C473-1,0))</f>
        <v>Space Planning &amp; Management</v>
      </c>
      <c r="E473" s="1464" t="str">
        <f t="shared" ref="E473:E500" si="333">E472</f>
        <v>2010$</v>
      </c>
      <c r="F473" s="1460">
        <f t="shared" ca="1" si="320"/>
        <v>374648367.13320363</v>
      </c>
      <c r="G473" s="358">
        <f t="shared" ca="1" si="321"/>
        <v>0</v>
      </c>
      <c r="H473" s="358">
        <f t="shared" ca="1" si="322"/>
        <v>25224484.237428442</v>
      </c>
      <c r="I473" s="358">
        <f t="shared" ca="1" si="322"/>
        <v>25224484.237428762</v>
      </c>
      <c r="J473" s="358">
        <f t="shared" ca="1" si="322"/>
        <v>25224484.237428442</v>
      </c>
      <c r="K473" s="358">
        <f t="shared" ca="1" si="322"/>
        <v>25224484.237428762</v>
      </c>
      <c r="L473" s="358">
        <f t="shared" ca="1" si="322"/>
        <v>25224484.237428762</v>
      </c>
      <c r="M473" s="358">
        <f t="shared" ca="1" si="322"/>
        <v>25224484.237428442</v>
      </c>
      <c r="N473" s="358">
        <f t="shared" ca="1" si="322"/>
        <v>25224484.237428762</v>
      </c>
      <c r="O473" s="358">
        <f t="shared" ca="1" si="322"/>
        <v>25224484.237428442</v>
      </c>
      <c r="P473" s="358">
        <f t="shared" ca="1" si="322"/>
        <v>25224484.237428762</v>
      </c>
      <c r="Q473" s="358">
        <f t="shared" ca="1" si="322"/>
        <v>25224484.237428442</v>
      </c>
      <c r="R473" s="358">
        <f t="shared" ca="1" si="322"/>
        <v>25224484.237428762</v>
      </c>
      <c r="S473" s="358">
        <f t="shared" ca="1" si="322"/>
        <v>25224484.237428762</v>
      </c>
      <c r="T473" s="358">
        <f t="shared" ca="1" si="322"/>
        <v>25224484.237428442</v>
      </c>
      <c r="U473" s="358">
        <f t="shared" ca="1" si="322"/>
        <v>25224484.237428762</v>
      </c>
      <c r="V473" s="358">
        <f t="shared" ca="1" si="322"/>
        <v>25224484.237428762</v>
      </c>
      <c r="W473" s="358">
        <f t="shared" ca="1" si="322"/>
        <v>25224484.237428442</v>
      </c>
      <c r="X473" s="358">
        <f t="shared" ca="1" si="322"/>
        <v>25224484.237428762</v>
      </c>
      <c r="Y473" s="358">
        <f t="shared" ca="1" si="322"/>
        <v>25224484.237428442</v>
      </c>
      <c r="Z473" s="358">
        <f t="shared" ca="1" si="322"/>
        <v>25224484.237428762</v>
      </c>
      <c r="AA473" s="358">
        <f t="shared" ca="1" si="322"/>
        <v>25224484.237428442</v>
      </c>
      <c r="AB473" s="358">
        <f t="shared" ca="1" si="322"/>
        <v>25224484.237428762</v>
      </c>
      <c r="AC473" s="358">
        <f t="shared" ca="1" si="322"/>
        <v>25224484.237428762</v>
      </c>
      <c r="AD473" s="358">
        <f t="shared" ca="1" si="322"/>
        <v>25224484.237428442</v>
      </c>
      <c r="AE473" s="358">
        <f t="shared" ca="1" si="322"/>
        <v>25224484.237428762</v>
      </c>
      <c r="AF473" s="358">
        <f t="shared" ca="1" si="322"/>
        <v>25224484.237428762</v>
      </c>
      <c r="AG473" s="358">
        <f t="shared" ca="1" si="322"/>
        <v>25224484.237428442</v>
      </c>
      <c r="AH473" s="358">
        <f t="shared" ca="1" si="322"/>
        <v>25224484.237428442</v>
      </c>
      <c r="AI473" s="358">
        <f t="shared" ca="1" si="322"/>
        <v>25224484.237428762</v>
      </c>
      <c r="AJ473" s="358">
        <f t="shared" ca="1" si="322"/>
        <v>25224484.237428762</v>
      </c>
      <c r="AK473" s="358">
        <f t="shared" ca="1" si="322"/>
        <v>25224484.237428442</v>
      </c>
      <c r="AL473" s="358">
        <f t="shared" ca="1" si="322"/>
        <v>25224484.237428762</v>
      </c>
      <c r="AM473" s="358">
        <f t="shared" ca="1" si="322"/>
        <v>25224484.237428762</v>
      </c>
      <c r="AN473" s="358">
        <f t="shared" ca="1" si="322"/>
        <v>25224484.237428442</v>
      </c>
      <c r="AO473" s="358">
        <f t="shared" ca="1" si="322"/>
        <v>25224484.237428762</v>
      </c>
      <c r="AP473" s="358">
        <f t="shared" ca="1" si="322"/>
        <v>25224484.237428762</v>
      </c>
      <c r="AQ473" s="358">
        <f t="shared" ca="1" si="322"/>
        <v>25224484.237428442</v>
      </c>
      <c r="AR473" s="358">
        <f t="shared" ca="1" si="322"/>
        <v>25224484.237428442</v>
      </c>
      <c r="AS473" s="358">
        <f t="shared" ca="1" si="322"/>
        <v>25224484.237428762</v>
      </c>
      <c r="AT473" s="358">
        <f t="shared" ca="1" si="322"/>
        <v>25224484.237428762</v>
      </c>
      <c r="AU473" s="358"/>
      <c r="AV473" s="358">
        <f t="shared" ca="1" si="323"/>
        <v>126122421.18714318</v>
      </c>
      <c r="AX473" s="358">
        <f t="shared" ca="1" si="324"/>
        <v>126122421.18714318</v>
      </c>
      <c r="AZ473" s="358">
        <f t="shared" ca="1" si="325"/>
        <v>126122421.18714318</v>
      </c>
      <c r="BB473" s="358">
        <f t="shared" ca="1" si="326"/>
        <v>126122421.18714318</v>
      </c>
      <c r="BD473" s="358">
        <f t="shared" ca="1" si="327"/>
        <v>126122421.18714315</v>
      </c>
      <c r="BF473" s="358">
        <f t="shared" ca="1" si="328"/>
        <v>126122421.18714318</v>
      </c>
      <c r="BH473" s="358">
        <f t="shared" ca="1" si="329"/>
        <v>126122421.18714315</v>
      </c>
    </row>
    <row r="474" spans="1:60" hidden="1" outlineLevel="1">
      <c r="A474" s="1464">
        <f t="shared" si="331"/>
        <v>18</v>
      </c>
      <c r="B474" s="1464">
        <f t="shared" si="331"/>
        <v>34</v>
      </c>
      <c r="C474" s="1464">
        <f t="shared" si="332"/>
        <v>4</v>
      </c>
      <c r="D474" s="1271" t="str">
        <f ca="1">IF(OFFSET(PortfolioDashboard!$A$3,C474-1,0)="","Blank",OFFSET(PortfolioDashboard!$A$3,C474-1,0))</f>
        <v>Central Chiller Expansion</v>
      </c>
      <c r="E474" s="1464" t="str">
        <f t="shared" si="333"/>
        <v>2010$</v>
      </c>
      <c r="F474" s="1460">
        <f t="shared" ca="1" si="320"/>
        <v>3539704.0672813975</v>
      </c>
      <c r="G474" s="358">
        <f t="shared" ca="1" si="321"/>
        <v>0</v>
      </c>
      <c r="H474" s="358">
        <f t="shared" ca="1" si="322"/>
        <v>-600000</v>
      </c>
      <c r="I474" s="358">
        <f t="shared" ca="1" si="322"/>
        <v>0</v>
      </c>
      <c r="J474" s="358">
        <f t="shared" ca="1" si="322"/>
        <v>-982035.34068419575</v>
      </c>
      <c r="K474" s="358">
        <f t="shared" ca="1" si="322"/>
        <v>550000</v>
      </c>
      <c r="L474" s="358">
        <f t="shared" ca="1" si="322"/>
        <v>45369.485689692316</v>
      </c>
      <c r="M474" s="358">
        <f t="shared" ca="1" si="322"/>
        <v>550000</v>
      </c>
      <c r="N474" s="358">
        <f t="shared" ca="1" si="322"/>
        <v>550000</v>
      </c>
      <c r="O474" s="358">
        <f t="shared" ca="1" si="322"/>
        <v>550000</v>
      </c>
      <c r="P474" s="358">
        <f t="shared" ca="1" si="322"/>
        <v>550000</v>
      </c>
      <c r="Q474" s="358">
        <f t="shared" ca="1" si="322"/>
        <v>550000</v>
      </c>
      <c r="R474" s="358">
        <f t="shared" ca="1" si="322"/>
        <v>550000</v>
      </c>
      <c r="S474" s="358">
        <f t="shared" ca="1" si="322"/>
        <v>550000</v>
      </c>
      <c r="T474" s="358">
        <f t="shared" ca="1" si="322"/>
        <v>550000</v>
      </c>
      <c r="U474" s="358">
        <f t="shared" ca="1" si="322"/>
        <v>550000</v>
      </c>
      <c r="V474" s="358">
        <f t="shared" ca="1" si="322"/>
        <v>550000</v>
      </c>
      <c r="W474" s="358">
        <f t="shared" ca="1" si="322"/>
        <v>550000</v>
      </c>
      <c r="X474" s="358">
        <f t="shared" ca="1" si="322"/>
        <v>550000</v>
      </c>
      <c r="Y474" s="358">
        <f t="shared" ca="1" si="322"/>
        <v>550000</v>
      </c>
      <c r="Z474" s="358">
        <f t="shared" ca="1" si="322"/>
        <v>550000</v>
      </c>
      <c r="AA474" s="358">
        <f t="shared" ca="1" si="322"/>
        <v>550000</v>
      </c>
      <c r="AB474" s="358">
        <f t="shared" ca="1" si="322"/>
        <v>550000</v>
      </c>
      <c r="AC474" s="358">
        <f t="shared" ca="1" si="322"/>
        <v>550000</v>
      </c>
      <c r="AD474" s="358">
        <f t="shared" ca="1" si="322"/>
        <v>550000</v>
      </c>
      <c r="AE474" s="358">
        <f t="shared" ca="1" si="322"/>
        <v>0</v>
      </c>
      <c r="AF474" s="358">
        <f t="shared" ca="1" si="322"/>
        <v>0</v>
      </c>
      <c r="AG474" s="358">
        <f t="shared" ca="1" si="322"/>
        <v>0</v>
      </c>
      <c r="AH474" s="358">
        <f t="shared" ca="1" si="322"/>
        <v>0</v>
      </c>
      <c r="AI474" s="358">
        <f t="shared" ca="1" si="322"/>
        <v>0</v>
      </c>
      <c r="AJ474" s="358">
        <f t="shared" ca="1" si="322"/>
        <v>0</v>
      </c>
      <c r="AK474" s="358">
        <f t="shared" ca="1" si="322"/>
        <v>0</v>
      </c>
      <c r="AL474" s="358">
        <f t="shared" ca="1" si="322"/>
        <v>0</v>
      </c>
      <c r="AM474" s="358">
        <f t="shared" ca="1" si="322"/>
        <v>0</v>
      </c>
      <c r="AN474" s="358">
        <f t="shared" ca="1" si="322"/>
        <v>0</v>
      </c>
      <c r="AO474" s="358">
        <f t="shared" ca="1" si="322"/>
        <v>0</v>
      </c>
      <c r="AP474" s="358">
        <f t="shared" ca="1" si="322"/>
        <v>0</v>
      </c>
      <c r="AQ474" s="358">
        <f t="shared" ca="1" si="322"/>
        <v>0</v>
      </c>
      <c r="AR474" s="358">
        <f t="shared" ca="1" si="322"/>
        <v>0</v>
      </c>
      <c r="AS474" s="358">
        <f t="shared" ca="1" si="322"/>
        <v>0</v>
      </c>
      <c r="AT474" s="358">
        <f t="shared" ca="1" si="322"/>
        <v>0</v>
      </c>
      <c r="AU474" s="358"/>
      <c r="AV474" s="358">
        <f t="shared" ca="1" si="323"/>
        <v>2245369.4856896922</v>
      </c>
      <c r="AX474" s="358">
        <f t="shared" ca="1" si="324"/>
        <v>2750000</v>
      </c>
      <c r="AZ474" s="358">
        <f t="shared" ca="1" si="325"/>
        <v>2750000</v>
      </c>
      <c r="BB474" s="358">
        <f t="shared" ca="1" si="326"/>
        <v>2200000</v>
      </c>
      <c r="BD474" s="358">
        <f t="shared" ca="1" si="327"/>
        <v>0</v>
      </c>
      <c r="BF474" s="358">
        <f t="shared" ca="1" si="328"/>
        <v>0</v>
      </c>
      <c r="BH474" s="358">
        <f t="shared" ca="1" si="329"/>
        <v>0</v>
      </c>
    </row>
    <row r="475" spans="1:60" hidden="1" outlineLevel="1">
      <c r="A475" s="1464">
        <f t="shared" si="331"/>
        <v>18</v>
      </c>
      <c r="B475" s="1464">
        <f t="shared" si="331"/>
        <v>34</v>
      </c>
      <c r="C475" s="1464">
        <f t="shared" si="332"/>
        <v>5</v>
      </c>
      <c r="D475" s="1271" t="str">
        <f ca="1">IF(OFFSET(PortfolioDashboard!$A$3,C475-1,0)="","Blank",OFFSET(PortfolioDashboard!$A$3,C475-1,0))</f>
        <v>Short-term Energy Conservation Measures</v>
      </c>
      <c r="E475" s="1464" t="str">
        <f t="shared" si="333"/>
        <v>2010$</v>
      </c>
      <c r="F475" s="1460">
        <f t="shared" ca="1" si="320"/>
        <v>-1570304.7352544956</v>
      </c>
      <c r="G475" s="358">
        <f t="shared" ca="1" si="321"/>
        <v>0</v>
      </c>
      <c r="H475" s="358">
        <f t="shared" ca="1" si="322"/>
        <v>-389653</v>
      </c>
      <c r="I475" s="358">
        <f t="shared" ca="1" si="322"/>
        <v>-389653</v>
      </c>
      <c r="J475" s="358">
        <f t="shared" ca="1" si="322"/>
        <v>-389653</v>
      </c>
      <c r="K475" s="358">
        <f t="shared" ca="1" si="322"/>
        <v>-389653</v>
      </c>
      <c r="L475" s="358">
        <f t="shared" ca="1" si="322"/>
        <v>-389653</v>
      </c>
      <c r="M475" s="358">
        <f t="shared" ca="1" si="322"/>
        <v>0</v>
      </c>
      <c r="N475" s="358">
        <f t="shared" ca="1" si="322"/>
        <v>0</v>
      </c>
      <c r="O475" s="358">
        <f t="shared" ca="1" si="322"/>
        <v>0</v>
      </c>
      <c r="P475" s="358">
        <f t="shared" ca="1" si="322"/>
        <v>0</v>
      </c>
      <c r="Q475" s="358">
        <f t="shared" ca="1" si="322"/>
        <v>0</v>
      </c>
      <c r="R475" s="358">
        <f t="shared" ca="1" si="322"/>
        <v>0</v>
      </c>
      <c r="S475" s="358">
        <f t="shared" ca="1" si="322"/>
        <v>0</v>
      </c>
      <c r="T475" s="358">
        <f t="shared" ca="1" si="322"/>
        <v>0</v>
      </c>
      <c r="U475" s="358">
        <f t="shared" ca="1" si="322"/>
        <v>0</v>
      </c>
      <c r="V475" s="358">
        <f t="shared" ca="1" si="322"/>
        <v>0</v>
      </c>
      <c r="W475" s="358">
        <f t="shared" ca="1" si="322"/>
        <v>0</v>
      </c>
      <c r="X475" s="358">
        <f t="shared" ca="1" si="322"/>
        <v>0</v>
      </c>
      <c r="Y475" s="358">
        <f t="shared" ca="1" si="322"/>
        <v>0</v>
      </c>
      <c r="Z475" s="358">
        <f t="shared" ca="1" si="322"/>
        <v>0</v>
      </c>
      <c r="AA475" s="358">
        <f t="shared" ca="1" si="322"/>
        <v>0</v>
      </c>
      <c r="AB475" s="358">
        <f t="shared" ca="1" si="322"/>
        <v>0</v>
      </c>
      <c r="AC475" s="358">
        <f t="shared" ca="1" si="322"/>
        <v>0</v>
      </c>
      <c r="AD475" s="358">
        <f t="shared" ca="1" si="322"/>
        <v>0</v>
      </c>
      <c r="AE475" s="358">
        <f t="shared" ca="1" si="322"/>
        <v>0</v>
      </c>
      <c r="AF475" s="358">
        <f t="shared" ca="1" si="322"/>
        <v>0</v>
      </c>
      <c r="AG475" s="358">
        <f t="shared" ca="1" si="322"/>
        <v>0</v>
      </c>
      <c r="AH475" s="358">
        <f t="shared" ca="1" si="322"/>
        <v>0</v>
      </c>
      <c r="AI475" s="358">
        <f t="shared" ca="1" si="322"/>
        <v>0</v>
      </c>
      <c r="AJ475" s="358">
        <f t="shared" ca="1" si="322"/>
        <v>0</v>
      </c>
      <c r="AK475" s="358">
        <f t="shared" ca="1" si="322"/>
        <v>0</v>
      </c>
      <c r="AL475" s="358">
        <f t="shared" ca="1" si="322"/>
        <v>0</v>
      </c>
      <c r="AM475" s="358">
        <f t="shared" ca="1" si="322"/>
        <v>0</v>
      </c>
      <c r="AN475" s="358">
        <f t="shared" ca="1" si="322"/>
        <v>0</v>
      </c>
      <c r="AO475" s="358">
        <f t="shared" ca="1" si="322"/>
        <v>0</v>
      </c>
      <c r="AP475" s="358">
        <f t="shared" ca="1" si="322"/>
        <v>0</v>
      </c>
      <c r="AQ475" s="358">
        <f t="shared" ca="1" si="322"/>
        <v>0</v>
      </c>
      <c r="AR475" s="358">
        <f t="shared" ca="1" si="322"/>
        <v>0</v>
      </c>
      <c r="AS475" s="358">
        <f t="shared" ca="1" si="322"/>
        <v>0</v>
      </c>
      <c r="AT475" s="358">
        <f t="shared" ca="1" si="322"/>
        <v>0</v>
      </c>
      <c r="AU475" s="358"/>
      <c r="AV475" s="358">
        <f t="shared" ca="1" si="323"/>
        <v>-389653</v>
      </c>
      <c r="AX475" s="358">
        <f t="shared" ca="1" si="324"/>
        <v>0</v>
      </c>
      <c r="AZ475" s="358">
        <f t="shared" ca="1" si="325"/>
        <v>0</v>
      </c>
      <c r="BB475" s="358">
        <f t="shared" ca="1" si="326"/>
        <v>0</v>
      </c>
      <c r="BD475" s="358">
        <f t="shared" ca="1" si="327"/>
        <v>0</v>
      </c>
      <c r="BF475" s="358">
        <f t="shared" ca="1" si="328"/>
        <v>0</v>
      </c>
      <c r="BH475" s="358">
        <f t="shared" ca="1" si="329"/>
        <v>0</v>
      </c>
    </row>
    <row r="476" spans="1:60" hidden="1" outlineLevel="1">
      <c r="A476" s="1464">
        <f t="shared" si="331"/>
        <v>18</v>
      </c>
      <c r="B476" s="1464">
        <f t="shared" si="331"/>
        <v>34</v>
      </c>
      <c r="C476" s="1464">
        <f t="shared" si="332"/>
        <v>6</v>
      </c>
      <c r="D476" s="1271" t="str">
        <f ca="1">IF(OFFSET(PortfolioDashboard!$A$3,C476-1,0)="","Blank",OFFSET(PortfolioDashboard!$A$3,C476-1,0))</f>
        <v>Mid-term Energy Conservation Measures</v>
      </c>
      <c r="E476" s="1464" t="str">
        <f t="shared" si="333"/>
        <v>2010$</v>
      </c>
      <c r="F476" s="1460">
        <f t="shared" ca="1" si="320"/>
        <v>-3421010.1138174692</v>
      </c>
      <c r="G476" s="358">
        <f t="shared" ca="1" si="321"/>
        <v>0</v>
      </c>
      <c r="H476" s="358">
        <f t="shared" ca="1" si="322"/>
        <v>0</v>
      </c>
      <c r="I476" s="358">
        <f t="shared" ca="1" si="322"/>
        <v>0</v>
      </c>
      <c r="J476" s="358">
        <f t="shared" ca="1" si="322"/>
        <v>0</v>
      </c>
      <c r="K476" s="358">
        <f t="shared" ca="1" si="322"/>
        <v>0</v>
      </c>
      <c r="L476" s="358">
        <f t="shared" ca="1" si="322"/>
        <v>0</v>
      </c>
      <c r="M476" s="358">
        <f t="shared" ca="1" si="322"/>
        <v>-753244.375</v>
      </c>
      <c r="N476" s="358">
        <f t="shared" ca="1" si="322"/>
        <v>-753244.375</v>
      </c>
      <c r="O476" s="358">
        <f t="shared" ca="1" si="322"/>
        <v>-753244.375</v>
      </c>
      <c r="P476" s="358">
        <f t="shared" ca="1" si="322"/>
        <v>-753244.375</v>
      </c>
      <c r="Q476" s="358">
        <f t="shared" ca="1" si="322"/>
        <v>-753244.375</v>
      </c>
      <c r="R476" s="358">
        <f t="shared" ca="1" si="322"/>
        <v>-753244.375</v>
      </c>
      <c r="S476" s="358">
        <f t="shared" ca="1" si="322"/>
        <v>-753244.375</v>
      </c>
      <c r="T476" s="358">
        <f t="shared" ca="1" si="322"/>
        <v>-753244.375</v>
      </c>
      <c r="U476" s="358">
        <f t="shared" ca="1" si="322"/>
        <v>0</v>
      </c>
      <c r="V476" s="358">
        <f t="shared" ca="1" si="322"/>
        <v>0</v>
      </c>
      <c r="W476" s="358">
        <f t="shared" ca="1" si="322"/>
        <v>0</v>
      </c>
      <c r="X476" s="358">
        <f t="shared" ca="1" si="322"/>
        <v>0</v>
      </c>
      <c r="Y476" s="358">
        <f t="shared" ca="1" si="322"/>
        <v>0</v>
      </c>
      <c r="Z476" s="358">
        <f t="shared" ca="1" si="322"/>
        <v>0</v>
      </c>
      <c r="AA476" s="358">
        <f t="shared" ca="1" si="322"/>
        <v>0</v>
      </c>
      <c r="AB476" s="358">
        <f t="shared" ca="1" si="322"/>
        <v>0</v>
      </c>
      <c r="AC476" s="358">
        <f t="shared" ca="1" si="322"/>
        <v>0</v>
      </c>
      <c r="AD476" s="358">
        <f t="shared" ca="1" si="322"/>
        <v>0</v>
      </c>
      <c r="AE476" s="358">
        <f t="shared" ca="1" si="322"/>
        <v>0</v>
      </c>
      <c r="AF476" s="358">
        <f t="shared" ca="1" si="322"/>
        <v>0</v>
      </c>
      <c r="AG476" s="358">
        <f t="shared" ca="1" si="322"/>
        <v>0</v>
      </c>
      <c r="AH476" s="358">
        <f t="shared" ca="1" si="322"/>
        <v>0</v>
      </c>
      <c r="AI476" s="358">
        <f t="shared" ca="1" si="322"/>
        <v>0</v>
      </c>
      <c r="AJ476" s="358">
        <f t="shared" ca="1" si="322"/>
        <v>0</v>
      </c>
      <c r="AK476" s="358">
        <f t="shared" ca="1" si="322"/>
        <v>0</v>
      </c>
      <c r="AL476" s="358">
        <f t="shared" ca="1" si="322"/>
        <v>0</v>
      </c>
      <c r="AM476" s="358">
        <f t="shared" ca="1" si="322"/>
        <v>0</v>
      </c>
      <c r="AN476" s="358">
        <f t="shared" ca="1" si="322"/>
        <v>0</v>
      </c>
      <c r="AO476" s="358">
        <f t="shared" ca="1" si="322"/>
        <v>0</v>
      </c>
      <c r="AP476" s="358">
        <f t="shared" ca="1" si="322"/>
        <v>0</v>
      </c>
      <c r="AQ476" s="358">
        <f t="shared" ca="1" si="322"/>
        <v>0</v>
      </c>
      <c r="AR476" s="358">
        <f t="shared" ca="1" si="322"/>
        <v>0</v>
      </c>
      <c r="AS476" s="358">
        <f t="shared" ca="1" si="322"/>
        <v>0</v>
      </c>
      <c r="AT476" s="358">
        <f t="shared" ca="1" si="322"/>
        <v>0</v>
      </c>
      <c r="AU476" s="358"/>
      <c r="AV476" s="358">
        <f t="shared" ca="1" si="323"/>
        <v>-3012977.5</v>
      </c>
      <c r="AX476" s="358">
        <f t="shared" ca="1" si="324"/>
        <v>-3012977.5</v>
      </c>
      <c r="AZ476" s="358">
        <f t="shared" ca="1" si="325"/>
        <v>0</v>
      </c>
      <c r="BB476" s="358">
        <f t="shared" ca="1" si="326"/>
        <v>0</v>
      </c>
      <c r="BD476" s="358">
        <f t="shared" ca="1" si="327"/>
        <v>0</v>
      </c>
      <c r="BF476" s="358">
        <f t="shared" ca="1" si="328"/>
        <v>0</v>
      </c>
      <c r="BH476" s="358">
        <f t="shared" ca="1" si="329"/>
        <v>0</v>
      </c>
    </row>
    <row r="477" spans="1:60" hidden="1" outlineLevel="1">
      <c r="A477" s="1464">
        <f t="shared" si="331"/>
        <v>18</v>
      </c>
      <c r="B477" s="1464">
        <f t="shared" si="331"/>
        <v>34</v>
      </c>
      <c r="C477" s="1464">
        <f t="shared" si="332"/>
        <v>7</v>
      </c>
      <c r="D477" s="1271" t="str">
        <f ca="1">IF(OFFSET(PortfolioDashboard!$A$3,C477-1,0)="","Blank",OFFSET(PortfolioDashboard!$A$3,C477-1,0))</f>
        <v>Long-term Energy Conservation Measures</v>
      </c>
      <c r="E477" s="1464" t="str">
        <f t="shared" si="333"/>
        <v>2010$</v>
      </c>
      <c r="F477" s="1460">
        <f t="shared" ca="1" si="320"/>
        <v>-2900388.971806766</v>
      </c>
      <c r="G477" s="358">
        <f t="shared" ca="1" si="321"/>
        <v>0</v>
      </c>
      <c r="H477" s="358">
        <f t="shared" ca="1" si="322"/>
        <v>0</v>
      </c>
      <c r="I477" s="358">
        <f t="shared" ca="1" si="322"/>
        <v>0</v>
      </c>
      <c r="J477" s="358">
        <f t="shared" ca="1" si="322"/>
        <v>0</v>
      </c>
      <c r="K477" s="358">
        <f t="shared" ca="1" si="322"/>
        <v>0</v>
      </c>
      <c r="L477" s="358">
        <f t="shared" ca="1" si="322"/>
        <v>0</v>
      </c>
      <c r="M477" s="358">
        <f t="shared" ca="1" si="322"/>
        <v>0</v>
      </c>
      <c r="N477" s="358">
        <f t="shared" ca="1" si="322"/>
        <v>0</v>
      </c>
      <c r="O477" s="358">
        <f t="shared" ca="1" si="322"/>
        <v>0</v>
      </c>
      <c r="P477" s="358">
        <f t="shared" ca="1" si="322"/>
        <v>0</v>
      </c>
      <c r="Q477" s="358">
        <f t="shared" ca="1" si="322"/>
        <v>0</v>
      </c>
      <c r="R477" s="358">
        <f t="shared" ca="1" si="322"/>
        <v>0</v>
      </c>
      <c r="S477" s="358">
        <f t="shared" ca="1" si="322"/>
        <v>0</v>
      </c>
      <c r="T477" s="358">
        <f t="shared" ca="1" si="322"/>
        <v>0</v>
      </c>
      <c r="U477" s="358">
        <f t="shared" ca="1" si="322"/>
        <v>-831862</v>
      </c>
      <c r="V477" s="358">
        <f t="shared" ca="1" si="322"/>
        <v>-831862</v>
      </c>
      <c r="W477" s="358">
        <f t="shared" ca="1" si="322"/>
        <v>-831862</v>
      </c>
      <c r="X477" s="358">
        <f t="shared" ca="1" si="322"/>
        <v>-831862</v>
      </c>
      <c r="Y477" s="358">
        <f t="shared" ca="1" si="322"/>
        <v>-831862</v>
      </c>
      <c r="Z477" s="358">
        <f t="shared" ca="1" si="322"/>
        <v>-831862</v>
      </c>
      <c r="AA477" s="358">
        <f t="shared" ca="1" si="322"/>
        <v>-831862</v>
      </c>
      <c r="AB477" s="358">
        <f t="shared" ca="1" si="322"/>
        <v>-831862</v>
      </c>
      <c r="AC477" s="358">
        <f t="shared" ca="1" si="322"/>
        <v>-831862</v>
      </c>
      <c r="AD477" s="358">
        <f t="shared" ca="1" si="322"/>
        <v>-831862</v>
      </c>
      <c r="AE477" s="358">
        <f t="shared" ca="1" si="322"/>
        <v>0</v>
      </c>
      <c r="AF477" s="358">
        <f t="shared" ca="1" si="322"/>
        <v>0</v>
      </c>
      <c r="AG477" s="358">
        <f t="shared" ca="1" si="322"/>
        <v>0</v>
      </c>
      <c r="AH477" s="358">
        <f t="shared" ca="1" si="322"/>
        <v>0</v>
      </c>
      <c r="AI477" s="358">
        <f t="shared" ca="1" si="322"/>
        <v>0</v>
      </c>
      <c r="AJ477" s="358">
        <f t="shared" ca="1" si="322"/>
        <v>0</v>
      </c>
      <c r="AK477" s="358">
        <f t="shared" ca="1" si="322"/>
        <v>0</v>
      </c>
      <c r="AL477" s="358">
        <f t="shared" ref="H477:AT484" ca="1" si="334">AL415+AL446</f>
        <v>0</v>
      </c>
      <c r="AM477" s="358">
        <f t="shared" ca="1" si="334"/>
        <v>0</v>
      </c>
      <c r="AN477" s="358">
        <f t="shared" ca="1" si="334"/>
        <v>0</v>
      </c>
      <c r="AO477" s="358">
        <f t="shared" ca="1" si="334"/>
        <v>0</v>
      </c>
      <c r="AP477" s="358">
        <f t="shared" ca="1" si="334"/>
        <v>0</v>
      </c>
      <c r="AQ477" s="358">
        <f t="shared" ca="1" si="334"/>
        <v>0</v>
      </c>
      <c r="AR477" s="358">
        <f t="shared" ca="1" si="334"/>
        <v>0</v>
      </c>
      <c r="AS477" s="358">
        <f t="shared" ca="1" si="334"/>
        <v>0</v>
      </c>
      <c r="AT477" s="358">
        <f t="shared" ca="1" si="334"/>
        <v>0</v>
      </c>
      <c r="AU477" s="358"/>
      <c r="AV477" s="358">
        <f t="shared" ca="1" si="323"/>
        <v>0</v>
      </c>
      <c r="AX477" s="358">
        <f t="shared" ca="1" si="324"/>
        <v>-831862</v>
      </c>
      <c r="AZ477" s="358">
        <f t="shared" ca="1" si="325"/>
        <v>-4159310</v>
      </c>
      <c r="BB477" s="358">
        <f t="shared" ca="1" si="326"/>
        <v>-3327448</v>
      </c>
      <c r="BD477" s="358">
        <f t="shared" ca="1" si="327"/>
        <v>0</v>
      </c>
      <c r="BF477" s="358">
        <f t="shared" ca="1" si="328"/>
        <v>0</v>
      </c>
      <c r="BH477" s="358">
        <f t="shared" ca="1" si="329"/>
        <v>0</v>
      </c>
    </row>
    <row r="478" spans="1:60" hidden="1" outlineLevel="1">
      <c r="A478" s="1464">
        <f t="shared" si="331"/>
        <v>18</v>
      </c>
      <c r="B478" s="1464">
        <f t="shared" si="331"/>
        <v>34</v>
      </c>
      <c r="C478" s="1464">
        <f t="shared" si="332"/>
        <v>8</v>
      </c>
      <c r="D478" s="1271" t="str">
        <f ca="1">IF(OFFSET(PortfolioDashboard!$A$3,C478-1,0)="","Blank",OFFSET(PortfolioDashboard!$A$3,C478-1,0))</f>
        <v>Green IT</v>
      </c>
      <c r="E478" s="1464" t="str">
        <f t="shared" si="333"/>
        <v>2010$</v>
      </c>
      <c r="F478" s="1460">
        <f t="shared" ca="1" si="320"/>
        <v>-22523.170148873429</v>
      </c>
      <c r="G478" s="358">
        <f t="shared" ca="1" si="321"/>
        <v>0</v>
      </c>
      <c r="H478" s="358">
        <f t="shared" ca="1" si="334"/>
        <v>0</v>
      </c>
      <c r="I478" s="358">
        <f t="shared" ca="1" si="334"/>
        <v>-9333.3333333333339</v>
      </c>
      <c r="J478" s="358">
        <f t="shared" ca="1" si="334"/>
        <v>-9333.3333333333339</v>
      </c>
      <c r="K478" s="358">
        <f t="shared" ca="1" si="334"/>
        <v>-9333.3333333333339</v>
      </c>
      <c r="L478" s="358">
        <f t="shared" ca="1" si="334"/>
        <v>0</v>
      </c>
      <c r="M478" s="358">
        <f t="shared" ca="1" si="334"/>
        <v>0</v>
      </c>
      <c r="N478" s="358">
        <f t="shared" ca="1" si="334"/>
        <v>0</v>
      </c>
      <c r="O478" s="358">
        <f t="shared" ca="1" si="334"/>
        <v>0</v>
      </c>
      <c r="P478" s="358">
        <f t="shared" ca="1" si="334"/>
        <v>0</v>
      </c>
      <c r="Q478" s="358">
        <f t="shared" ca="1" si="334"/>
        <v>0</v>
      </c>
      <c r="R478" s="358">
        <f t="shared" ca="1" si="334"/>
        <v>0</v>
      </c>
      <c r="S478" s="358">
        <f t="shared" ca="1" si="334"/>
        <v>0</v>
      </c>
      <c r="T478" s="358">
        <f t="shared" ca="1" si="334"/>
        <v>0</v>
      </c>
      <c r="U478" s="358">
        <f t="shared" ca="1" si="334"/>
        <v>0</v>
      </c>
      <c r="V478" s="358">
        <f t="shared" ca="1" si="334"/>
        <v>0</v>
      </c>
      <c r="W478" s="358">
        <f t="shared" ca="1" si="334"/>
        <v>0</v>
      </c>
      <c r="X478" s="358">
        <f t="shared" ca="1" si="334"/>
        <v>0</v>
      </c>
      <c r="Y478" s="358">
        <f t="shared" ca="1" si="334"/>
        <v>0</v>
      </c>
      <c r="Z478" s="358">
        <f t="shared" ca="1" si="334"/>
        <v>0</v>
      </c>
      <c r="AA478" s="358">
        <f t="shared" ca="1" si="334"/>
        <v>0</v>
      </c>
      <c r="AB478" s="358">
        <f t="shared" ca="1" si="334"/>
        <v>0</v>
      </c>
      <c r="AC478" s="358">
        <f t="shared" ca="1" si="334"/>
        <v>0</v>
      </c>
      <c r="AD478" s="358">
        <f t="shared" ca="1" si="334"/>
        <v>0</v>
      </c>
      <c r="AE478" s="358">
        <f t="shared" ca="1" si="334"/>
        <v>0</v>
      </c>
      <c r="AF478" s="358">
        <f t="shared" ca="1" si="334"/>
        <v>0</v>
      </c>
      <c r="AG478" s="358">
        <f t="shared" ca="1" si="334"/>
        <v>0</v>
      </c>
      <c r="AH478" s="358">
        <f t="shared" ca="1" si="334"/>
        <v>0</v>
      </c>
      <c r="AI478" s="358">
        <f t="shared" ca="1" si="334"/>
        <v>0</v>
      </c>
      <c r="AJ478" s="358">
        <f t="shared" ca="1" si="334"/>
        <v>0</v>
      </c>
      <c r="AK478" s="358">
        <f t="shared" ca="1" si="334"/>
        <v>0</v>
      </c>
      <c r="AL478" s="358">
        <f t="shared" ca="1" si="334"/>
        <v>0</v>
      </c>
      <c r="AM478" s="358">
        <f t="shared" ca="1" si="334"/>
        <v>0</v>
      </c>
      <c r="AN478" s="358">
        <f t="shared" ca="1" si="334"/>
        <v>0</v>
      </c>
      <c r="AO478" s="358">
        <f t="shared" ca="1" si="334"/>
        <v>0</v>
      </c>
      <c r="AP478" s="358">
        <f t="shared" ca="1" si="334"/>
        <v>0</v>
      </c>
      <c r="AQ478" s="358">
        <f t="shared" ca="1" si="334"/>
        <v>0</v>
      </c>
      <c r="AR478" s="358">
        <f t="shared" ca="1" si="334"/>
        <v>0</v>
      </c>
      <c r="AS478" s="358">
        <f t="shared" ca="1" si="334"/>
        <v>0</v>
      </c>
      <c r="AT478" s="358">
        <f t="shared" ca="1" si="334"/>
        <v>0</v>
      </c>
      <c r="AU478" s="358"/>
      <c r="AV478" s="358">
        <f t="shared" ca="1" si="323"/>
        <v>0</v>
      </c>
      <c r="AX478" s="358">
        <f t="shared" ca="1" si="324"/>
        <v>0</v>
      </c>
      <c r="AZ478" s="358">
        <f t="shared" ca="1" si="325"/>
        <v>0</v>
      </c>
      <c r="BB478" s="358">
        <f t="shared" ca="1" si="326"/>
        <v>0</v>
      </c>
      <c r="BD478" s="358">
        <f t="shared" ca="1" si="327"/>
        <v>0</v>
      </c>
      <c r="BF478" s="358">
        <f t="shared" ca="1" si="328"/>
        <v>0</v>
      </c>
      <c r="BH478" s="358">
        <f t="shared" ca="1" si="329"/>
        <v>0</v>
      </c>
    </row>
    <row r="479" spans="1:60" hidden="1" outlineLevel="1">
      <c r="A479" s="1464">
        <f t="shared" si="331"/>
        <v>18</v>
      </c>
      <c r="B479" s="1464">
        <f t="shared" si="331"/>
        <v>34</v>
      </c>
      <c r="C479" s="1464">
        <f t="shared" si="332"/>
        <v>9</v>
      </c>
      <c r="D479" s="1271" t="str">
        <f ca="1">IF(OFFSET(PortfolioDashboard!$A$3,C479-1,0)="","Blank",OFFSET(PortfolioDashboard!$A$3,C479-1,0))</f>
        <v>Reduced Air Travel</v>
      </c>
      <c r="E479" s="1464" t="str">
        <f t="shared" si="333"/>
        <v>2010$</v>
      </c>
      <c r="F479" s="1460">
        <f t="shared" ca="1" si="320"/>
        <v>0</v>
      </c>
      <c r="G479" s="358">
        <f t="shared" ca="1" si="321"/>
        <v>0</v>
      </c>
      <c r="H479" s="358">
        <f t="shared" ca="1" si="334"/>
        <v>0</v>
      </c>
      <c r="I479" s="358">
        <f t="shared" ca="1" si="334"/>
        <v>0</v>
      </c>
      <c r="J479" s="358">
        <f t="shared" ca="1" si="334"/>
        <v>0</v>
      </c>
      <c r="K479" s="358">
        <f t="shared" ca="1" si="334"/>
        <v>0</v>
      </c>
      <c r="L479" s="358">
        <f t="shared" ca="1" si="334"/>
        <v>0</v>
      </c>
      <c r="M479" s="358">
        <f t="shared" ca="1" si="334"/>
        <v>0</v>
      </c>
      <c r="N479" s="358">
        <f t="shared" ca="1" si="334"/>
        <v>0</v>
      </c>
      <c r="O479" s="358">
        <f t="shared" ca="1" si="334"/>
        <v>0</v>
      </c>
      <c r="P479" s="358">
        <f t="shared" ca="1" si="334"/>
        <v>0</v>
      </c>
      <c r="Q479" s="358">
        <f t="shared" ca="1" si="334"/>
        <v>0</v>
      </c>
      <c r="R479" s="358">
        <f t="shared" ca="1" si="334"/>
        <v>0</v>
      </c>
      <c r="S479" s="358">
        <f t="shared" ca="1" si="334"/>
        <v>0</v>
      </c>
      <c r="T479" s="358">
        <f t="shared" ca="1" si="334"/>
        <v>0</v>
      </c>
      <c r="U479" s="358">
        <f t="shared" ca="1" si="334"/>
        <v>0</v>
      </c>
      <c r="V479" s="358">
        <f t="shared" ca="1" si="334"/>
        <v>0</v>
      </c>
      <c r="W479" s="358">
        <f t="shared" ca="1" si="334"/>
        <v>0</v>
      </c>
      <c r="X479" s="358">
        <f t="shared" ca="1" si="334"/>
        <v>0</v>
      </c>
      <c r="Y479" s="358">
        <f t="shared" ca="1" si="334"/>
        <v>0</v>
      </c>
      <c r="Z479" s="358">
        <f t="shared" ca="1" si="334"/>
        <v>0</v>
      </c>
      <c r="AA479" s="358">
        <f t="shared" ca="1" si="334"/>
        <v>0</v>
      </c>
      <c r="AB479" s="358">
        <f t="shared" ca="1" si="334"/>
        <v>0</v>
      </c>
      <c r="AC479" s="358">
        <f t="shared" ca="1" si="334"/>
        <v>0</v>
      </c>
      <c r="AD479" s="358">
        <f t="shared" ca="1" si="334"/>
        <v>0</v>
      </c>
      <c r="AE479" s="358">
        <f t="shared" ca="1" si="334"/>
        <v>0</v>
      </c>
      <c r="AF479" s="358">
        <f t="shared" ca="1" si="334"/>
        <v>0</v>
      </c>
      <c r="AG479" s="358">
        <f t="shared" ca="1" si="334"/>
        <v>0</v>
      </c>
      <c r="AH479" s="358">
        <f t="shared" ca="1" si="334"/>
        <v>0</v>
      </c>
      <c r="AI479" s="358">
        <f t="shared" ca="1" si="334"/>
        <v>0</v>
      </c>
      <c r="AJ479" s="358">
        <f t="shared" ca="1" si="334"/>
        <v>0</v>
      </c>
      <c r="AK479" s="358">
        <f t="shared" ca="1" si="334"/>
        <v>0</v>
      </c>
      <c r="AL479" s="358">
        <f t="shared" ca="1" si="334"/>
        <v>0</v>
      </c>
      <c r="AM479" s="358">
        <f t="shared" ca="1" si="334"/>
        <v>0</v>
      </c>
      <c r="AN479" s="358">
        <f t="shared" ca="1" si="334"/>
        <v>0</v>
      </c>
      <c r="AO479" s="358">
        <f t="shared" ca="1" si="334"/>
        <v>0</v>
      </c>
      <c r="AP479" s="358">
        <f t="shared" ca="1" si="334"/>
        <v>0</v>
      </c>
      <c r="AQ479" s="358">
        <f t="shared" ca="1" si="334"/>
        <v>0</v>
      </c>
      <c r="AR479" s="358">
        <f t="shared" ca="1" si="334"/>
        <v>0</v>
      </c>
      <c r="AS479" s="358">
        <f t="shared" ca="1" si="334"/>
        <v>0</v>
      </c>
      <c r="AT479" s="358">
        <f t="shared" ca="1" si="334"/>
        <v>0</v>
      </c>
      <c r="AU479" s="358"/>
      <c r="AV479" s="358">
        <f t="shared" ca="1" si="323"/>
        <v>0</v>
      </c>
      <c r="AX479" s="358">
        <f t="shared" ca="1" si="324"/>
        <v>0</v>
      </c>
      <c r="AZ479" s="358">
        <f t="shared" ca="1" si="325"/>
        <v>0</v>
      </c>
      <c r="BB479" s="358">
        <f t="shared" ca="1" si="326"/>
        <v>0</v>
      </c>
      <c r="BD479" s="358">
        <f t="shared" ca="1" si="327"/>
        <v>0</v>
      </c>
      <c r="BF479" s="358">
        <f t="shared" ca="1" si="328"/>
        <v>0</v>
      </c>
      <c r="BH479" s="358">
        <f t="shared" ca="1" si="329"/>
        <v>0</v>
      </c>
    </row>
    <row r="480" spans="1:60" hidden="1" outlineLevel="1">
      <c r="A480" s="1464">
        <f t="shared" si="331"/>
        <v>18</v>
      </c>
      <c r="B480" s="1464">
        <f t="shared" si="331"/>
        <v>34</v>
      </c>
      <c r="C480" s="1464">
        <f t="shared" si="332"/>
        <v>10</v>
      </c>
      <c r="D480" s="1271" t="str">
        <f ca="1">IF(OFFSET(PortfolioDashboard!$A$3,C480-1,0)="","Blank",OFFSET(PortfolioDashboard!$A$3,C480-1,0))</f>
        <v>Reduced Automobile Reliance Strategies</v>
      </c>
      <c r="E480" s="1464" t="str">
        <f t="shared" si="333"/>
        <v>2010$</v>
      </c>
      <c r="F480" s="1460">
        <f t="shared" ca="1" si="320"/>
        <v>0</v>
      </c>
      <c r="G480" s="358">
        <f t="shared" ca="1" si="321"/>
        <v>0</v>
      </c>
      <c r="H480" s="358">
        <f t="shared" ca="1" si="334"/>
        <v>0</v>
      </c>
      <c r="I480" s="358">
        <f t="shared" ca="1" si="334"/>
        <v>0</v>
      </c>
      <c r="J480" s="358">
        <f t="shared" ca="1" si="334"/>
        <v>0</v>
      </c>
      <c r="K480" s="358">
        <f t="shared" ca="1" si="334"/>
        <v>0</v>
      </c>
      <c r="L480" s="358">
        <f t="shared" ca="1" si="334"/>
        <v>0</v>
      </c>
      <c r="M480" s="358">
        <f t="shared" ca="1" si="334"/>
        <v>0</v>
      </c>
      <c r="N480" s="358">
        <f t="shared" ca="1" si="334"/>
        <v>0</v>
      </c>
      <c r="O480" s="358">
        <f t="shared" ca="1" si="334"/>
        <v>0</v>
      </c>
      <c r="P480" s="358">
        <f t="shared" ca="1" si="334"/>
        <v>0</v>
      </c>
      <c r="Q480" s="358">
        <f t="shared" ca="1" si="334"/>
        <v>0</v>
      </c>
      <c r="R480" s="358">
        <f t="shared" ca="1" si="334"/>
        <v>0</v>
      </c>
      <c r="S480" s="358">
        <f t="shared" ca="1" si="334"/>
        <v>0</v>
      </c>
      <c r="T480" s="358">
        <f t="shared" ca="1" si="334"/>
        <v>0</v>
      </c>
      <c r="U480" s="358">
        <f t="shared" ca="1" si="334"/>
        <v>0</v>
      </c>
      <c r="V480" s="358">
        <f t="shared" ca="1" si="334"/>
        <v>0</v>
      </c>
      <c r="W480" s="358">
        <f t="shared" ca="1" si="334"/>
        <v>0</v>
      </c>
      <c r="X480" s="358">
        <f t="shared" ca="1" si="334"/>
        <v>0</v>
      </c>
      <c r="Y480" s="358">
        <f t="shared" ca="1" si="334"/>
        <v>0</v>
      </c>
      <c r="Z480" s="358">
        <f t="shared" ca="1" si="334"/>
        <v>0</v>
      </c>
      <c r="AA480" s="358">
        <f t="shared" ca="1" si="334"/>
        <v>0</v>
      </c>
      <c r="AB480" s="358">
        <f t="shared" ca="1" si="334"/>
        <v>0</v>
      </c>
      <c r="AC480" s="358">
        <f t="shared" ca="1" si="334"/>
        <v>0</v>
      </c>
      <c r="AD480" s="358">
        <f t="shared" ca="1" si="334"/>
        <v>0</v>
      </c>
      <c r="AE480" s="358">
        <f t="shared" ca="1" si="334"/>
        <v>0</v>
      </c>
      <c r="AF480" s="358">
        <f t="shared" ca="1" si="334"/>
        <v>0</v>
      </c>
      <c r="AG480" s="358">
        <f t="shared" ca="1" si="334"/>
        <v>0</v>
      </c>
      <c r="AH480" s="358">
        <f t="shared" ca="1" si="334"/>
        <v>0</v>
      </c>
      <c r="AI480" s="358">
        <f t="shared" ca="1" si="334"/>
        <v>0</v>
      </c>
      <c r="AJ480" s="358">
        <f t="shared" ca="1" si="334"/>
        <v>0</v>
      </c>
      <c r="AK480" s="358">
        <f t="shared" ca="1" si="334"/>
        <v>0</v>
      </c>
      <c r="AL480" s="358">
        <f t="shared" ca="1" si="334"/>
        <v>0</v>
      </c>
      <c r="AM480" s="358">
        <f t="shared" ca="1" si="334"/>
        <v>0</v>
      </c>
      <c r="AN480" s="358">
        <f t="shared" ca="1" si="334"/>
        <v>0</v>
      </c>
      <c r="AO480" s="358">
        <f t="shared" ca="1" si="334"/>
        <v>0</v>
      </c>
      <c r="AP480" s="358">
        <f t="shared" ca="1" si="334"/>
        <v>0</v>
      </c>
      <c r="AQ480" s="358">
        <f t="shared" ca="1" si="334"/>
        <v>0</v>
      </c>
      <c r="AR480" s="358">
        <f t="shared" ca="1" si="334"/>
        <v>0</v>
      </c>
      <c r="AS480" s="358">
        <f t="shared" ca="1" si="334"/>
        <v>0</v>
      </c>
      <c r="AT480" s="358">
        <f t="shared" ca="1" si="334"/>
        <v>0</v>
      </c>
      <c r="AU480" s="358"/>
      <c r="AV480" s="358">
        <f t="shared" ca="1" si="323"/>
        <v>0</v>
      </c>
      <c r="AX480" s="358">
        <f t="shared" ca="1" si="324"/>
        <v>0</v>
      </c>
      <c r="AZ480" s="358">
        <f t="shared" ca="1" si="325"/>
        <v>0</v>
      </c>
      <c r="BB480" s="358">
        <f t="shared" ca="1" si="326"/>
        <v>0</v>
      </c>
      <c r="BD480" s="358">
        <f t="shared" ca="1" si="327"/>
        <v>0</v>
      </c>
      <c r="BF480" s="358">
        <f t="shared" ca="1" si="328"/>
        <v>0</v>
      </c>
      <c r="BH480" s="358">
        <f t="shared" ca="1" si="329"/>
        <v>0</v>
      </c>
    </row>
    <row r="481" spans="1:60" hidden="1" outlineLevel="1">
      <c r="A481" s="1464">
        <f t="shared" si="331"/>
        <v>18</v>
      </c>
      <c r="B481" s="1464">
        <f t="shared" si="331"/>
        <v>34</v>
      </c>
      <c r="C481" s="1464">
        <f t="shared" si="332"/>
        <v>11</v>
      </c>
      <c r="D481" s="1271" t="str">
        <f ca="1">IF(OFFSET(PortfolioDashboard!$A$3,C481-1,0)="","Blank",OFFSET(PortfolioDashboard!$A$3,C481-1,0))</f>
        <v>Waste Reduction</v>
      </c>
      <c r="E481" s="1464" t="str">
        <f t="shared" si="333"/>
        <v>2010$</v>
      </c>
      <c r="F481" s="1460">
        <f t="shared" ca="1" si="320"/>
        <v>0</v>
      </c>
      <c r="G481" s="358">
        <f t="shared" ca="1" si="321"/>
        <v>0</v>
      </c>
      <c r="H481" s="358">
        <f t="shared" ca="1" si="334"/>
        <v>0</v>
      </c>
      <c r="I481" s="358">
        <f t="shared" ca="1" si="334"/>
        <v>0</v>
      </c>
      <c r="J481" s="358">
        <f t="shared" ca="1" si="334"/>
        <v>0</v>
      </c>
      <c r="K481" s="358">
        <f t="shared" ca="1" si="334"/>
        <v>0</v>
      </c>
      <c r="L481" s="358">
        <f t="shared" ca="1" si="334"/>
        <v>0</v>
      </c>
      <c r="M481" s="358">
        <f t="shared" ca="1" si="334"/>
        <v>0</v>
      </c>
      <c r="N481" s="358">
        <f t="shared" ca="1" si="334"/>
        <v>0</v>
      </c>
      <c r="O481" s="358">
        <f t="shared" ca="1" si="334"/>
        <v>0</v>
      </c>
      <c r="P481" s="358">
        <f t="shared" ca="1" si="334"/>
        <v>0</v>
      </c>
      <c r="Q481" s="358">
        <f t="shared" ca="1" si="334"/>
        <v>0</v>
      </c>
      <c r="R481" s="358">
        <f t="shared" ca="1" si="334"/>
        <v>0</v>
      </c>
      <c r="S481" s="358">
        <f t="shared" ca="1" si="334"/>
        <v>0</v>
      </c>
      <c r="T481" s="358">
        <f t="shared" ca="1" si="334"/>
        <v>0</v>
      </c>
      <c r="U481" s="358">
        <f t="shared" ca="1" si="334"/>
        <v>0</v>
      </c>
      <c r="V481" s="358">
        <f t="shared" ca="1" si="334"/>
        <v>0</v>
      </c>
      <c r="W481" s="358">
        <f t="shared" ca="1" si="334"/>
        <v>0</v>
      </c>
      <c r="X481" s="358">
        <f t="shared" ca="1" si="334"/>
        <v>0</v>
      </c>
      <c r="Y481" s="358">
        <f t="shared" ca="1" si="334"/>
        <v>0</v>
      </c>
      <c r="Z481" s="358">
        <f t="shared" ca="1" si="334"/>
        <v>0</v>
      </c>
      <c r="AA481" s="358">
        <f t="shared" ca="1" si="334"/>
        <v>0</v>
      </c>
      <c r="AB481" s="358">
        <f t="shared" ca="1" si="334"/>
        <v>0</v>
      </c>
      <c r="AC481" s="358">
        <f t="shared" ca="1" si="334"/>
        <v>0</v>
      </c>
      <c r="AD481" s="358">
        <f t="shared" ca="1" si="334"/>
        <v>0</v>
      </c>
      <c r="AE481" s="358">
        <f t="shared" ca="1" si="334"/>
        <v>0</v>
      </c>
      <c r="AF481" s="358">
        <f t="shared" ca="1" si="334"/>
        <v>0</v>
      </c>
      <c r="AG481" s="358">
        <f t="shared" ca="1" si="334"/>
        <v>0</v>
      </c>
      <c r="AH481" s="358">
        <f t="shared" ca="1" si="334"/>
        <v>0</v>
      </c>
      <c r="AI481" s="358">
        <f t="shared" ca="1" si="334"/>
        <v>0</v>
      </c>
      <c r="AJ481" s="358">
        <f t="shared" ca="1" si="334"/>
        <v>0</v>
      </c>
      <c r="AK481" s="358">
        <f t="shared" ca="1" si="334"/>
        <v>0</v>
      </c>
      <c r="AL481" s="358">
        <f t="shared" ca="1" si="334"/>
        <v>0</v>
      </c>
      <c r="AM481" s="358">
        <f t="shared" ca="1" si="334"/>
        <v>0</v>
      </c>
      <c r="AN481" s="358">
        <f t="shared" ca="1" si="334"/>
        <v>0</v>
      </c>
      <c r="AO481" s="358">
        <f t="shared" ca="1" si="334"/>
        <v>0</v>
      </c>
      <c r="AP481" s="358">
        <f t="shared" ca="1" si="334"/>
        <v>0</v>
      </c>
      <c r="AQ481" s="358">
        <f t="shared" ca="1" si="334"/>
        <v>0</v>
      </c>
      <c r="AR481" s="358">
        <f t="shared" ca="1" si="334"/>
        <v>0</v>
      </c>
      <c r="AS481" s="358">
        <f t="shared" ca="1" si="334"/>
        <v>0</v>
      </c>
      <c r="AT481" s="358">
        <f t="shared" ca="1" si="334"/>
        <v>0</v>
      </c>
      <c r="AU481" s="358"/>
      <c r="AV481" s="358">
        <f t="shared" ca="1" si="323"/>
        <v>0</v>
      </c>
      <c r="AX481" s="358">
        <f t="shared" ca="1" si="324"/>
        <v>0</v>
      </c>
      <c r="AZ481" s="358">
        <f t="shared" ca="1" si="325"/>
        <v>0</v>
      </c>
      <c r="BB481" s="358">
        <f t="shared" ca="1" si="326"/>
        <v>0</v>
      </c>
      <c r="BD481" s="358">
        <f t="shared" ca="1" si="327"/>
        <v>0</v>
      </c>
      <c r="BF481" s="358">
        <f t="shared" ca="1" si="328"/>
        <v>0</v>
      </c>
      <c r="BH481" s="358">
        <f t="shared" ca="1" si="329"/>
        <v>0</v>
      </c>
    </row>
    <row r="482" spans="1:60" hidden="1" outlineLevel="1">
      <c r="A482" s="1464">
        <f t="shared" si="331"/>
        <v>18</v>
      </c>
      <c r="B482" s="1464">
        <f t="shared" si="331"/>
        <v>34</v>
      </c>
      <c r="C482" s="1464">
        <f t="shared" si="332"/>
        <v>12</v>
      </c>
      <c r="D482" s="1271" t="str">
        <f ca="1">IF(OFFSET(PortfolioDashboard!$A$3,C482-1,0)="","Blank",OFFSET(PortfolioDashboard!$A$3,C482-1,0))</f>
        <v>Steam Line Improvements</v>
      </c>
      <c r="E482" s="1464" t="str">
        <f t="shared" si="333"/>
        <v>2010$</v>
      </c>
      <c r="F482" s="1460">
        <f t="shared" ca="1" si="320"/>
        <v>-675002.01624247886</v>
      </c>
      <c r="G482" s="358">
        <f t="shared" ca="1" si="321"/>
        <v>0</v>
      </c>
      <c r="H482" s="358">
        <f t="shared" ca="1" si="334"/>
        <v>-600000</v>
      </c>
      <c r="I482" s="358">
        <f t="shared" ca="1" si="334"/>
        <v>0</v>
      </c>
      <c r="J482" s="358">
        <f t="shared" ca="1" si="334"/>
        <v>0</v>
      </c>
      <c r="K482" s="358">
        <f t="shared" ca="1" si="334"/>
        <v>0</v>
      </c>
      <c r="L482" s="358">
        <f t="shared" ca="1" si="334"/>
        <v>0</v>
      </c>
      <c r="M482" s="358">
        <f t="shared" ca="1" si="334"/>
        <v>0</v>
      </c>
      <c r="N482" s="358">
        <f t="shared" ca="1" si="334"/>
        <v>0</v>
      </c>
      <c r="O482" s="358">
        <f t="shared" ca="1" si="334"/>
        <v>0</v>
      </c>
      <c r="P482" s="358">
        <f t="shared" ca="1" si="334"/>
        <v>0</v>
      </c>
      <c r="Q482" s="358">
        <f t="shared" ca="1" si="334"/>
        <v>0</v>
      </c>
      <c r="R482" s="358">
        <f t="shared" ca="1" si="334"/>
        <v>0</v>
      </c>
      <c r="S482" s="358">
        <f t="shared" ca="1" si="334"/>
        <v>0</v>
      </c>
      <c r="T482" s="358">
        <f t="shared" ca="1" si="334"/>
        <v>0</v>
      </c>
      <c r="U482" s="358">
        <f t="shared" ca="1" si="334"/>
        <v>0</v>
      </c>
      <c r="V482" s="358">
        <f t="shared" ca="1" si="334"/>
        <v>0</v>
      </c>
      <c r="W482" s="358">
        <f t="shared" ca="1" si="334"/>
        <v>0</v>
      </c>
      <c r="X482" s="358">
        <f t="shared" ca="1" si="334"/>
        <v>0</v>
      </c>
      <c r="Y482" s="358">
        <f t="shared" ca="1" si="334"/>
        <v>0</v>
      </c>
      <c r="Z482" s="358">
        <f t="shared" ca="1" si="334"/>
        <v>0</v>
      </c>
      <c r="AA482" s="358">
        <f t="shared" ca="1" si="334"/>
        <v>0</v>
      </c>
      <c r="AB482" s="358">
        <f t="shared" ca="1" si="334"/>
        <v>0</v>
      </c>
      <c r="AC482" s="358">
        <f t="shared" ca="1" si="334"/>
        <v>0</v>
      </c>
      <c r="AD482" s="358">
        <f t="shared" ca="1" si="334"/>
        <v>0</v>
      </c>
      <c r="AE482" s="358">
        <f t="shared" ca="1" si="334"/>
        <v>0</v>
      </c>
      <c r="AF482" s="358">
        <f t="shared" ca="1" si="334"/>
        <v>0</v>
      </c>
      <c r="AG482" s="358">
        <f t="shared" ca="1" si="334"/>
        <v>-600000</v>
      </c>
      <c r="AH482" s="358">
        <f t="shared" ca="1" si="334"/>
        <v>0</v>
      </c>
      <c r="AI482" s="358">
        <f t="shared" ca="1" si="334"/>
        <v>0</v>
      </c>
      <c r="AJ482" s="358">
        <f t="shared" ca="1" si="334"/>
        <v>0</v>
      </c>
      <c r="AK482" s="358">
        <f t="shared" ca="1" si="334"/>
        <v>0</v>
      </c>
      <c r="AL482" s="358">
        <f t="shared" ca="1" si="334"/>
        <v>0</v>
      </c>
      <c r="AM482" s="358">
        <f t="shared" ca="1" si="334"/>
        <v>0</v>
      </c>
      <c r="AN482" s="358">
        <f t="shared" ca="1" si="334"/>
        <v>0</v>
      </c>
      <c r="AO482" s="358">
        <f t="shared" ca="1" si="334"/>
        <v>0</v>
      </c>
      <c r="AP482" s="358">
        <f t="shared" ca="1" si="334"/>
        <v>0</v>
      </c>
      <c r="AQ482" s="358">
        <f t="shared" ca="1" si="334"/>
        <v>0</v>
      </c>
      <c r="AR482" s="358">
        <f t="shared" ca="1" si="334"/>
        <v>0</v>
      </c>
      <c r="AS482" s="358">
        <f t="shared" ca="1" si="334"/>
        <v>0</v>
      </c>
      <c r="AT482" s="358">
        <f t="shared" ca="1" si="334"/>
        <v>0</v>
      </c>
      <c r="AU482" s="358"/>
      <c r="AV482" s="358">
        <f t="shared" ca="1" si="323"/>
        <v>0</v>
      </c>
      <c r="AX482" s="358">
        <f t="shared" ca="1" si="324"/>
        <v>0</v>
      </c>
      <c r="AZ482" s="358">
        <f t="shared" ca="1" si="325"/>
        <v>0</v>
      </c>
      <c r="BB482" s="358">
        <f t="shared" ca="1" si="326"/>
        <v>0</v>
      </c>
      <c r="BD482" s="358">
        <f t="shared" ca="1" si="327"/>
        <v>-600000</v>
      </c>
      <c r="BF482" s="358">
        <f t="shared" ca="1" si="328"/>
        <v>0</v>
      </c>
      <c r="BH482" s="358">
        <f t="shared" ca="1" si="329"/>
        <v>0</v>
      </c>
    </row>
    <row r="483" spans="1:60" hidden="1" outlineLevel="1">
      <c r="A483" s="1464">
        <f t="shared" si="331"/>
        <v>18</v>
      </c>
      <c r="B483" s="1464">
        <f t="shared" si="331"/>
        <v>34</v>
      </c>
      <c r="C483" s="1464">
        <f t="shared" si="332"/>
        <v>13</v>
      </c>
      <c r="D483" s="1271" t="str">
        <f ca="1">IF(OFFSET(PortfolioDashboard!$A$3,C483-1,0)="","Blank",OFFSET(PortfolioDashboard!$A$3,C483-1,0))</f>
        <v>Coal to Natural Gas Conversion @ Steam Plant</v>
      </c>
      <c r="E483" s="1464" t="str">
        <f t="shared" si="333"/>
        <v>2010$</v>
      </c>
      <c r="F483" s="1460">
        <f t="shared" ca="1" si="320"/>
        <v>0</v>
      </c>
      <c r="G483" s="358">
        <f t="shared" ca="1" si="321"/>
        <v>0</v>
      </c>
      <c r="H483" s="358">
        <f t="shared" ca="1" si="334"/>
        <v>0</v>
      </c>
      <c r="I483" s="358">
        <f t="shared" ca="1" si="334"/>
        <v>0</v>
      </c>
      <c r="J483" s="358">
        <f t="shared" ca="1" si="334"/>
        <v>0</v>
      </c>
      <c r="K483" s="358">
        <f t="shared" ca="1" si="334"/>
        <v>0</v>
      </c>
      <c r="L483" s="358">
        <f t="shared" ca="1" si="334"/>
        <v>0</v>
      </c>
      <c r="M483" s="358">
        <f t="shared" ca="1" si="334"/>
        <v>0</v>
      </c>
      <c r="N483" s="358">
        <f t="shared" ca="1" si="334"/>
        <v>0</v>
      </c>
      <c r="O483" s="358">
        <f t="shared" ca="1" si="334"/>
        <v>0</v>
      </c>
      <c r="P483" s="358">
        <f t="shared" ca="1" si="334"/>
        <v>0</v>
      </c>
      <c r="Q483" s="358">
        <f t="shared" ca="1" si="334"/>
        <v>0</v>
      </c>
      <c r="R483" s="358">
        <f t="shared" ca="1" si="334"/>
        <v>0</v>
      </c>
      <c r="S483" s="358">
        <f t="shared" ca="1" si="334"/>
        <v>0</v>
      </c>
      <c r="T483" s="358">
        <f t="shared" ca="1" si="334"/>
        <v>0</v>
      </c>
      <c r="U483" s="358">
        <f t="shared" ca="1" si="334"/>
        <v>0</v>
      </c>
      <c r="V483" s="358">
        <f t="shared" ca="1" si="334"/>
        <v>0</v>
      </c>
      <c r="W483" s="358">
        <f t="shared" ca="1" si="334"/>
        <v>0</v>
      </c>
      <c r="X483" s="358">
        <f t="shared" ca="1" si="334"/>
        <v>0</v>
      </c>
      <c r="Y483" s="358">
        <f t="shared" ca="1" si="334"/>
        <v>0</v>
      </c>
      <c r="Z483" s="358">
        <f t="shared" ca="1" si="334"/>
        <v>0</v>
      </c>
      <c r="AA483" s="358">
        <f t="shared" ca="1" si="334"/>
        <v>0</v>
      </c>
      <c r="AB483" s="358">
        <f t="shared" ca="1" si="334"/>
        <v>0</v>
      </c>
      <c r="AC483" s="358">
        <f t="shared" ca="1" si="334"/>
        <v>0</v>
      </c>
      <c r="AD483" s="358">
        <f t="shared" ca="1" si="334"/>
        <v>0</v>
      </c>
      <c r="AE483" s="358">
        <f t="shared" ca="1" si="334"/>
        <v>0</v>
      </c>
      <c r="AF483" s="358">
        <f t="shared" ca="1" si="334"/>
        <v>0</v>
      </c>
      <c r="AG483" s="358">
        <f t="shared" ca="1" si="334"/>
        <v>0</v>
      </c>
      <c r="AH483" s="358">
        <f t="shared" ca="1" si="334"/>
        <v>0</v>
      </c>
      <c r="AI483" s="358">
        <f t="shared" ca="1" si="334"/>
        <v>0</v>
      </c>
      <c r="AJ483" s="358">
        <f t="shared" ca="1" si="334"/>
        <v>0</v>
      </c>
      <c r="AK483" s="358">
        <f t="shared" ca="1" si="334"/>
        <v>0</v>
      </c>
      <c r="AL483" s="358">
        <f t="shared" ca="1" si="334"/>
        <v>0</v>
      </c>
      <c r="AM483" s="358">
        <f t="shared" ca="1" si="334"/>
        <v>0</v>
      </c>
      <c r="AN483" s="358">
        <f t="shared" ca="1" si="334"/>
        <v>0</v>
      </c>
      <c r="AO483" s="358">
        <f t="shared" ca="1" si="334"/>
        <v>0</v>
      </c>
      <c r="AP483" s="358">
        <f t="shared" ca="1" si="334"/>
        <v>0</v>
      </c>
      <c r="AQ483" s="358">
        <f t="shared" ca="1" si="334"/>
        <v>0</v>
      </c>
      <c r="AR483" s="358">
        <f t="shared" ca="1" si="334"/>
        <v>0</v>
      </c>
      <c r="AS483" s="358">
        <f t="shared" ca="1" si="334"/>
        <v>0</v>
      </c>
      <c r="AT483" s="358">
        <f t="shared" ca="1" si="334"/>
        <v>0</v>
      </c>
      <c r="AU483" s="358"/>
      <c r="AV483" s="358">
        <f t="shared" ca="1" si="323"/>
        <v>0</v>
      </c>
      <c r="AX483" s="358">
        <f t="shared" ca="1" si="324"/>
        <v>0</v>
      </c>
      <c r="AZ483" s="358">
        <f t="shared" ca="1" si="325"/>
        <v>0</v>
      </c>
      <c r="BB483" s="358">
        <f t="shared" ca="1" si="326"/>
        <v>0</v>
      </c>
      <c r="BD483" s="358">
        <f t="shared" ca="1" si="327"/>
        <v>0</v>
      </c>
      <c r="BF483" s="358">
        <f t="shared" ca="1" si="328"/>
        <v>0</v>
      </c>
      <c r="BH483" s="358">
        <f t="shared" ca="1" si="329"/>
        <v>0</v>
      </c>
    </row>
    <row r="484" spans="1:60" hidden="1" outlineLevel="1">
      <c r="A484" s="1464">
        <f t="shared" si="331"/>
        <v>18</v>
      </c>
      <c r="B484" s="1464">
        <f t="shared" si="331"/>
        <v>34</v>
      </c>
      <c r="C484" s="1464">
        <f t="shared" si="332"/>
        <v>14</v>
      </c>
      <c r="D484" s="1271" t="str">
        <f ca="1">IF(OFFSET(PortfolioDashboard!$A$3,C484-1,0)="","Blank",OFFSET(PortfolioDashboard!$A$3,C484-1,0))</f>
        <v>On-site Wind</v>
      </c>
      <c r="E484" s="1464" t="str">
        <f t="shared" si="333"/>
        <v>2010$</v>
      </c>
      <c r="F484" s="1460">
        <f t="shared" ca="1" si="320"/>
        <v>-94680.328024016926</v>
      </c>
      <c r="G484" s="358">
        <f t="shared" ca="1" si="321"/>
        <v>-100000</v>
      </c>
      <c r="H484" s="358">
        <f t="shared" ca="1" si="334"/>
        <v>0</v>
      </c>
      <c r="I484" s="358">
        <f t="shared" ca="1" si="334"/>
        <v>0</v>
      </c>
      <c r="J484" s="358">
        <f t="shared" ca="1" si="334"/>
        <v>0</v>
      </c>
      <c r="K484" s="358">
        <f t="shared" ca="1" si="334"/>
        <v>0</v>
      </c>
      <c r="L484" s="358">
        <f t="shared" ca="1" si="334"/>
        <v>0</v>
      </c>
      <c r="M484" s="358">
        <f t="shared" ref="H484:AT490" ca="1" si="335">M422+M453</f>
        <v>0</v>
      </c>
      <c r="N484" s="358">
        <f t="shared" ca="1" si="335"/>
        <v>0</v>
      </c>
      <c r="O484" s="358">
        <f t="shared" ca="1" si="335"/>
        <v>0</v>
      </c>
      <c r="P484" s="358">
        <f t="shared" ca="1" si="335"/>
        <v>0</v>
      </c>
      <c r="Q484" s="358">
        <f t="shared" ca="1" si="335"/>
        <v>0</v>
      </c>
      <c r="R484" s="358">
        <f t="shared" ca="1" si="335"/>
        <v>0</v>
      </c>
      <c r="S484" s="358">
        <f t="shared" ca="1" si="335"/>
        <v>0</v>
      </c>
      <c r="T484" s="358">
        <f t="shared" ca="1" si="335"/>
        <v>0</v>
      </c>
      <c r="U484" s="358">
        <f t="shared" ca="1" si="335"/>
        <v>0</v>
      </c>
      <c r="V484" s="358">
        <f t="shared" ca="1" si="335"/>
        <v>0</v>
      </c>
      <c r="W484" s="358">
        <f t="shared" ca="1" si="335"/>
        <v>0</v>
      </c>
      <c r="X484" s="358">
        <f t="shared" ca="1" si="335"/>
        <v>0</v>
      </c>
      <c r="Y484" s="358">
        <f t="shared" ca="1" si="335"/>
        <v>0</v>
      </c>
      <c r="Z484" s="358">
        <f t="shared" ca="1" si="335"/>
        <v>0</v>
      </c>
      <c r="AA484" s="358">
        <f t="shared" ca="1" si="335"/>
        <v>0</v>
      </c>
      <c r="AB484" s="358">
        <f t="shared" ca="1" si="335"/>
        <v>0</v>
      </c>
      <c r="AC484" s="358">
        <f t="shared" ca="1" si="335"/>
        <v>0</v>
      </c>
      <c r="AD484" s="358">
        <f t="shared" ca="1" si="335"/>
        <v>0</v>
      </c>
      <c r="AE484" s="358">
        <f t="shared" ca="1" si="335"/>
        <v>0</v>
      </c>
      <c r="AF484" s="358">
        <f t="shared" ca="1" si="335"/>
        <v>0</v>
      </c>
      <c r="AG484" s="358">
        <f t="shared" ca="1" si="335"/>
        <v>0</v>
      </c>
      <c r="AH484" s="358">
        <f t="shared" ca="1" si="335"/>
        <v>0</v>
      </c>
      <c r="AI484" s="358">
        <f t="shared" ca="1" si="335"/>
        <v>0</v>
      </c>
      <c r="AJ484" s="358">
        <f t="shared" ca="1" si="335"/>
        <v>0</v>
      </c>
      <c r="AK484" s="358">
        <f t="shared" ca="1" si="335"/>
        <v>0</v>
      </c>
      <c r="AL484" s="358">
        <f t="shared" ca="1" si="335"/>
        <v>0</v>
      </c>
      <c r="AM484" s="358">
        <f t="shared" ca="1" si="335"/>
        <v>0</v>
      </c>
      <c r="AN484" s="358">
        <f t="shared" ca="1" si="335"/>
        <v>0</v>
      </c>
      <c r="AO484" s="358">
        <f t="shared" ca="1" si="335"/>
        <v>0</v>
      </c>
      <c r="AP484" s="358">
        <f t="shared" ca="1" si="335"/>
        <v>0</v>
      </c>
      <c r="AQ484" s="358">
        <f t="shared" ca="1" si="335"/>
        <v>0</v>
      </c>
      <c r="AR484" s="358">
        <f t="shared" ca="1" si="335"/>
        <v>0</v>
      </c>
      <c r="AS484" s="358">
        <f t="shared" ca="1" si="335"/>
        <v>0</v>
      </c>
      <c r="AT484" s="358">
        <f t="shared" ca="1" si="335"/>
        <v>0</v>
      </c>
      <c r="AU484" s="358"/>
      <c r="AV484" s="358">
        <f t="shared" ca="1" si="323"/>
        <v>0</v>
      </c>
      <c r="AX484" s="358">
        <f t="shared" ca="1" si="324"/>
        <v>0</v>
      </c>
      <c r="AZ484" s="358">
        <f t="shared" ca="1" si="325"/>
        <v>0</v>
      </c>
      <c r="BB484" s="358">
        <f t="shared" ca="1" si="326"/>
        <v>0</v>
      </c>
      <c r="BD484" s="358">
        <f t="shared" ca="1" si="327"/>
        <v>0</v>
      </c>
      <c r="BF484" s="358">
        <f t="shared" ca="1" si="328"/>
        <v>0</v>
      </c>
      <c r="BH484" s="358">
        <f t="shared" ca="1" si="329"/>
        <v>0</v>
      </c>
    </row>
    <row r="485" spans="1:60" hidden="1" outlineLevel="1">
      <c r="A485" s="1464">
        <f t="shared" si="331"/>
        <v>18</v>
      </c>
      <c r="B485" s="1464">
        <f t="shared" si="331"/>
        <v>34</v>
      </c>
      <c r="C485" s="1464">
        <f t="shared" si="332"/>
        <v>15</v>
      </c>
      <c r="D485" s="1271" t="str">
        <f ca="1">IF(OFFSET(PortfolioDashboard!$A$3,C485-1,0)="","Blank",OFFSET(PortfolioDashboard!$A$3,C485-1,0))</f>
        <v>Solar DHW</v>
      </c>
      <c r="E485" s="1464" t="str">
        <f t="shared" si="333"/>
        <v>2010$</v>
      </c>
      <c r="F485" s="1460">
        <f t="shared" ca="1" si="320"/>
        <v>-69075.206328813685</v>
      </c>
      <c r="G485" s="358">
        <f t="shared" ca="1" si="321"/>
        <v>0</v>
      </c>
      <c r="H485" s="358">
        <f t="shared" ca="1" si="335"/>
        <v>-61400</v>
      </c>
      <c r="I485" s="358">
        <f t="shared" ca="1" si="335"/>
        <v>0</v>
      </c>
      <c r="J485" s="358">
        <f t="shared" ca="1" si="335"/>
        <v>0</v>
      </c>
      <c r="K485" s="358">
        <f t="shared" ca="1" si="335"/>
        <v>0</v>
      </c>
      <c r="L485" s="358">
        <f t="shared" ca="1" si="335"/>
        <v>0</v>
      </c>
      <c r="M485" s="358">
        <f t="shared" ca="1" si="335"/>
        <v>0</v>
      </c>
      <c r="N485" s="358">
        <f t="shared" ca="1" si="335"/>
        <v>0</v>
      </c>
      <c r="O485" s="358">
        <f t="shared" ca="1" si="335"/>
        <v>0</v>
      </c>
      <c r="P485" s="358">
        <f t="shared" ca="1" si="335"/>
        <v>0</v>
      </c>
      <c r="Q485" s="358">
        <f t="shared" ca="1" si="335"/>
        <v>0</v>
      </c>
      <c r="R485" s="358">
        <f t="shared" ca="1" si="335"/>
        <v>0</v>
      </c>
      <c r="S485" s="358">
        <f t="shared" ca="1" si="335"/>
        <v>0</v>
      </c>
      <c r="T485" s="358">
        <f t="shared" ca="1" si="335"/>
        <v>0</v>
      </c>
      <c r="U485" s="358">
        <f t="shared" ca="1" si="335"/>
        <v>0</v>
      </c>
      <c r="V485" s="358">
        <f t="shared" ca="1" si="335"/>
        <v>0</v>
      </c>
      <c r="W485" s="358">
        <f t="shared" ca="1" si="335"/>
        <v>0</v>
      </c>
      <c r="X485" s="358">
        <f t="shared" ca="1" si="335"/>
        <v>0</v>
      </c>
      <c r="Y485" s="358">
        <f t="shared" ca="1" si="335"/>
        <v>0</v>
      </c>
      <c r="Z485" s="358">
        <f t="shared" ca="1" si="335"/>
        <v>0</v>
      </c>
      <c r="AA485" s="358">
        <f t="shared" ca="1" si="335"/>
        <v>0</v>
      </c>
      <c r="AB485" s="358">
        <f t="shared" ca="1" si="335"/>
        <v>0</v>
      </c>
      <c r="AC485" s="358">
        <f t="shared" ca="1" si="335"/>
        <v>0</v>
      </c>
      <c r="AD485" s="358">
        <f t="shared" ca="1" si="335"/>
        <v>0</v>
      </c>
      <c r="AE485" s="358">
        <f t="shared" ca="1" si="335"/>
        <v>0</v>
      </c>
      <c r="AF485" s="358">
        <f t="shared" ca="1" si="335"/>
        <v>0</v>
      </c>
      <c r="AG485" s="358">
        <f t="shared" ca="1" si="335"/>
        <v>-61400</v>
      </c>
      <c r="AH485" s="358">
        <f t="shared" ca="1" si="335"/>
        <v>0</v>
      </c>
      <c r="AI485" s="358">
        <f t="shared" ca="1" si="335"/>
        <v>0</v>
      </c>
      <c r="AJ485" s="358">
        <f t="shared" ca="1" si="335"/>
        <v>0</v>
      </c>
      <c r="AK485" s="358">
        <f t="shared" ca="1" si="335"/>
        <v>0</v>
      </c>
      <c r="AL485" s="358">
        <f t="shared" ca="1" si="335"/>
        <v>0</v>
      </c>
      <c r="AM485" s="358">
        <f t="shared" ca="1" si="335"/>
        <v>0</v>
      </c>
      <c r="AN485" s="358">
        <f t="shared" ca="1" si="335"/>
        <v>0</v>
      </c>
      <c r="AO485" s="358">
        <f t="shared" ca="1" si="335"/>
        <v>0</v>
      </c>
      <c r="AP485" s="358">
        <f t="shared" ca="1" si="335"/>
        <v>0</v>
      </c>
      <c r="AQ485" s="358">
        <f t="shared" ca="1" si="335"/>
        <v>0</v>
      </c>
      <c r="AR485" s="358">
        <f t="shared" ca="1" si="335"/>
        <v>0</v>
      </c>
      <c r="AS485" s="358">
        <f t="shared" ca="1" si="335"/>
        <v>0</v>
      </c>
      <c r="AT485" s="358">
        <f t="shared" ca="1" si="335"/>
        <v>0</v>
      </c>
      <c r="AU485" s="358"/>
      <c r="AV485" s="358">
        <f t="shared" ca="1" si="323"/>
        <v>0</v>
      </c>
      <c r="AX485" s="358">
        <f t="shared" ca="1" si="324"/>
        <v>0</v>
      </c>
      <c r="AZ485" s="358">
        <f t="shared" ca="1" si="325"/>
        <v>0</v>
      </c>
      <c r="BB485" s="358">
        <f t="shared" ca="1" si="326"/>
        <v>0</v>
      </c>
      <c r="BD485" s="358">
        <f t="shared" ca="1" si="327"/>
        <v>-61400</v>
      </c>
      <c r="BF485" s="358">
        <f t="shared" ca="1" si="328"/>
        <v>0</v>
      </c>
      <c r="BH485" s="358">
        <f t="shared" ca="1" si="329"/>
        <v>0</v>
      </c>
    </row>
    <row r="486" spans="1:60" hidden="1" outlineLevel="1">
      <c r="A486" s="1464">
        <f t="shared" si="331"/>
        <v>18</v>
      </c>
      <c r="B486" s="1464">
        <f t="shared" si="331"/>
        <v>34</v>
      </c>
      <c r="C486" s="1464">
        <f t="shared" si="332"/>
        <v>16</v>
      </c>
      <c r="D486" s="1271" t="str">
        <f ca="1">IF(OFFSET(PortfolioDashboard!$A$3,C486-1,0)="","Blank",OFFSET(PortfolioDashboard!$A$3,C486-1,0))</f>
        <v>Geo Exchange</v>
      </c>
      <c r="E486" s="1464" t="str">
        <f t="shared" si="333"/>
        <v>2010$</v>
      </c>
      <c r="F486" s="1460">
        <f t="shared" ca="1" si="320"/>
        <v>-1388278.6977410319</v>
      </c>
      <c r="G486" s="358">
        <f t="shared" ca="1" si="321"/>
        <v>0</v>
      </c>
      <c r="H486" s="358">
        <f t="shared" ca="1" si="335"/>
        <v>0</v>
      </c>
      <c r="I486" s="358">
        <f t="shared" ca="1" si="335"/>
        <v>-862500</v>
      </c>
      <c r="J486" s="358">
        <f t="shared" ca="1" si="335"/>
        <v>0</v>
      </c>
      <c r="K486" s="358">
        <f t="shared" ca="1" si="335"/>
        <v>-862500</v>
      </c>
      <c r="L486" s="358">
        <f t="shared" ca="1" si="335"/>
        <v>0</v>
      </c>
      <c r="M486" s="358">
        <f t="shared" ca="1" si="335"/>
        <v>0</v>
      </c>
      <c r="N486" s="358">
        <f t="shared" ca="1" si="335"/>
        <v>0</v>
      </c>
      <c r="O486" s="358">
        <f t="shared" ca="1" si="335"/>
        <v>0</v>
      </c>
      <c r="P486" s="358">
        <f t="shared" ca="1" si="335"/>
        <v>0</v>
      </c>
      <c r="Q486" s="358">
        <f t="shared" ca="1" si="335"/>
        <v>0</v>
      </c>
      <c r="R486" s="358">
        <f t="shared" ca="1" si="335"/>
        <v>0</v>
      </c>
      <c r="S486" s="358">
        <f t="shared" ca="1" si="335"/>
        <v>0</v>
      </c>
      <c r="T486" s="358">
        <f t="shared" ca="1" si="335"/>
        <v>0</v>
      </c>
      <c r="U486" s="358">
        <f t="shared" ca="1" si="335"/>
        <v>0</v>
      </c>
      <c r="V486" s="358">
        <f t="shared" ca="1" si="335"/>
        <v>0</v>
      </c>
      <c r="W486" s="358">
        <f t="shared" ca="1" si="335"/>
        <v>0</v>
      </c>
      <c r="X486" s="358">
        <f t="shared" ca="1" si="335"/>
        <v>0</v>
      </c>
      <c r="Y486" s="358">
        <f t="shared" ca="1" si="335"/>
        <v>0</v>
      </c>
      <c r="Z486" s="358">
        <f t="shared" ca="1" si="335"/>
        <v>0</v>
      </c>
      <c r="AA486" s="358">
        <f t="shared" ca="1" si="335"/>
        <v>0</v>
      </c>
      <c r="AB486" s="358">
        <f t="shared" ca="1" si="335"/>
        <v>0</v>
      </c>
      <c r="AC486" s="358">
        <f t="shared" ca="1" si="335"/>
        <v>0</v>
      </c>
      <c r="AD486" s="358">
        <f t="shared" ca="1" si="335"/>
        <v>0</v>
      </c>
      <c r="AE486" s="358">
        <f t="shared" ca="1" si="335"/>
        <v>0</v>
      </c>
      <c r="AF486" s="358">
        <f t="shared" ca="1" si="335"/>
        <v>0</v>
      </c>
      <c r="AG486" s="358">
        <f t="shared" ca="1" si="335"/>
        <v>0</v>
      </c>
      <c r="AH486" s="358">
        <f t="shared" ca="1" si="335"/>
        <v>0</v>
      </c>
      <c r="AI486" s="358">
        <f t="shared" ca="1" si="335"/>
        <v>0</v>
      </c>
      <c r="AJ486" s="358">
        <f t="shared" ca="1" si="335"/>
        <v>0</v>
      </c>
      <c r="AK486" s="358">
        <f t="shared" ca="1" si="335"/>
        <v>0</v>
      </c>
      <c r="AL486" s="358">
        <f t="shared" ca="1" si="335"/>
        <v>0</v>
      </c>
      <c r="AM486" s="358">
        <f t="shared" ca="1" si="335"/>
        <v>0</v>
      </c>
      <c r="AN486" s="358">
        <f t="shared" ca="1" si="335"/>
        <v>0</v>
      </c>
      <c r="AO486" s="358">
        <f t="shared" ca="1" si="335"/>
        <v>0</v>
      </c>
      <c r="AP486" s="358">
        <f t="shared" ca="1" si="335"/>
        <v>0</v>
      </c>
      <c r="AQ486" s="358">
        <f t="shared" ca="1" si="335"/>
        <v>0</v>
      </c>
      <c r="AR486" s="358">
        <f t="shared" ca="1" si="335"/>
        <v>0</v>
      </c>
      <c r="AS486" s="358">
        <f t="shared" ca="1" si="335"/>
        <v>0</v>
      </c>
      <c r="AT486" s="358">
        <f t="shared" ca="1" si="335"/>
        <v>0</v>
      </c>
      <c r="AU486" s="358"/>
      <c r="AV486" s="358">
        <f t="shared" ca="1" si="323"/>
        <v>0</v>
      </c>
      <c r="AX486" s="358">
        <f t="shared" ca="1" si="324"/>
        <v>0</v>
      </c>
      <c r="AZ486" s="358">
        <f t="shared" ca="1" si="325"/>
        <v>0</v>
      </c>
      <c r="BB486" s="358">
        <f t="shared" ca="1" si="326"/>
        <v>0</v>
      </c>
      <c r="BD486" s="358">
        <f t="shared" ca="1" si="327"/>
        <v>0</v>
      </c>
      <c r="BF486" s="358">
        <f t="shared" ca="1" si="328"/>
        <v>0</v>
      </c>
      <c r="BH486" s="358">
        <f t="shared" ca="1" si="329"/>
        <v>0</v>
      </c>
    </row>
    <row r="487" spans="1:60" hidden="1" outlineLevel="1">
      <c r="A487" s="1464">
        <f t="shared" si="331"/>
        <v>18</v>
      </c>
      <c r="B487" s="1464">
        <f t="shared" si="331"/>
        <v>34</v>
      </c>
      <c r="C487" s="1464">
        <f t="shared" si="332"/>
        <v>17</v>
      </c>
      <c r="D487" s="1271" t="str">
        <f ca="1">IF(OFFSET(PortfolioDashboard!$A$3,C487-1,0)="","Blank",OFFSET(PortfolioDashboard!$A$3,C487-1,0))</f>
        <v>Rooftop Solar PV</v>
      </c>
      <c r="E487" s="1464" t="str">
        <f t="shared" si="333"/>
        <v>2010$</v>
      </c>
      <c r="F487" s="1460">
        <f t="shared" ca="1" si="320"/>
        <v>-3228284.502126744</v>
      </c>
      <c r="G487" s="358">
        <f t="shared" ca="1" si="321"/>
        <v>0</v>
      </c>
      <c r="H487" s="358">
        <f t="shared" ca="1" si="335"/>
        <v>0</v>
      </c>
      <c r="I487" s="358">
        <f t="shared" ca="1" si="335"/>
        <v>0</v>
      </c>
      <c r="J487" s="358">
        <f t="shared" ca="1" si="335"/>
        <v>0</v>
      </c>
      <c r="K487" s="358">
        <f t="shared" ca="1" si="335"/>
        <v>-4243000</v>
      </c>
      <c r="L487" s="358">
        <f t="shared" ca="1" si="335"/>
        <v>0</v>
      </c>
      <c r="M487" s="358">
        <f t="shared" ca="1" si="335"/>
        <v>0</v>
      </c>
      <c r="N487" s="358">
        <f t="shared" ca="1" si="335"/>
        <v>0</v>
      </c>
      <c r="O487" s="358">
        <f t="shared" ca="1" si="335"/>
        <v>0</v>
      </c>
      <c r="P487" s="358">
        <f t="shared" ca="1" si="335"/>
        <v>0</v>
      </c>
      <c r="Q487" s="358">
        <f t="shared" ca="1" si="335"/>
        <v>0</v>
      </c>
      <c r="R487" s="358">
        <f t="shared" ca="1" si="335"/>
        <v>0</v>
      </c>
      <c r="S487" s="358">
        <f t="shared" ca="1" si="335"/>
        <v>0</v>
      </c>
      <c r="T487" s="358">
        <f t="shared" ca="1" si="335"/>
        <v>0</v>
      </c>
      <c r="U487" s="358">
        <f t="shared" ca="1" si="335"/>
        <v>0</v>
      </c>
      <c r="V487" s="358">
        <f t="shared" ca="1" si="335"/>
        <v>0</v>
      </c>
      <c r="W487" s="358">
        <f t="shared" ca="1" si="335"/>
        <v>0</v>
      </c>
      <c r="X487" s="358">
        <f t="shared" ca="1" si="335"/>
        <v>0</v>
      </c>
      <c r="Y487" s="358">
        <f t="shared" ca="1" si="335"/>
        <v>0</v>
      </c>
      <c r="Z487" s="358">
        <f t="shared" ca="1" si="335"/>
        <v>0</v>
      </c>
      <c r="AA487" s="358">
        <f t="shared" ca="1" si="335"/>
        <v>0</v>
      </c>
      <c r="AB487" s="358">
        <f t="shared" ca="1" si="335"/>
        <v>0</v>
      </c>
      <c r="AC487" s="358">
        <f t="shared" ca="1" si="335"/>
        <v>0</v>
      </c>
      <c r="AD487" s="358">
        <f t="shared" ca="1" si="335"/>
        <v>0</v>
      </c>
      <c r="AE487" s="358">
        <f t="shared" ca="1" si="335"/>
        <v>0</v>
      </c>
      <c r="AF487" s="358">
        <f t="shared" ca="1" si="335"/>
        <v>0</v>
      </c>
      <c r="AG487" s="358">
        <f t="shared" ca="1" si="335"/>
        <v>0</v>
      </c>
      <c r="AH487" s="358">
        <f t="shared" ca="1" si="335"/>
        <v>0</v>
      </c>
      <c r="AI487" s="358">
        <f t="shared" ca="1" si="335"/>
        <v>0</v>
      </c>
      <c r="AJ487" s="358">
        <f t="shared" ca="1" si="335"/>
        <v>0</v>
      </c>
      <c r="AK487" s="358">
        <f t="shared" ca="1" si="335"/>
        <v>0</v>
      </c>
      <c r="AL487" s="358">
        <f t="shared" ca="1" si="335"/>
        <v>0</v>
      </c>
      <c r="AM487" s="358">
        <f t="shared" ca="1" si="335"/>
        <v>0</v>
      </c>
      <c r="AN487" s="358">
        <f t="shared" ca="1" si="335"/>
        <v>0</v>
      </c>
      <c r="AO487" s="358">
        <f t="shared" ca="1" si="335"/>
        <v>0</v>
      </c>
      <c r="AP487" s="358">
        <f t="shared" ca="1" si="335"/>
        <v>0</v>
      </c>
      <c r="AQ487" s="358">
        <f t="shared" ca="1" si="335"/>
        <v>0</v>
      </c>
      <c r="AR487" s="358">
        <f t="shared" ca="1" si="335"/>
        <v>0</v>
      </c>
      <c r="AS487" s="358">
        <f t="shared" ca="1" si="335"/>
        <v>0</v>
      </c>
      <c r="AT487" s="358">
        <f t="shared" ca="1" si="335"/>
        <v>0</v>
      </c>
      <c r="AU487" s="358"/>
      <c r="AV487" s="358">
        <f t="shared" ca="1" si="323"/>
        <v>0</v>
      </c>
      <c r="AX487" s="358">
        <f t="shared" ca="1" si="324"/>
        <v>0</v>
      </c>
      <c r="AZ487" s="358">
        <f t="shared" ca="1" si="325"/>
        <v>0</v>
      </c>
      <c r="BB487" s="358">
        <f t="shared" ca="1" si="326"/>
        <v>0</v>
      </c>
      <c r="BD487" s="358">
        <f t="shared" ca="1" si="327"/>
        <v>0</v>
      </c>
      <c r="BF487" s="358">
        <f t="shared" ca="1" si="328"/>
        <v>0</v>
      </c>
      <c r="BH487" s="358">
        <f t="shared" ca="1" si="329"/>
        <v>0</v>
      </c>
    </row>
    <row r="488" spans="1:60" hidden="1" outlineLevel="1">
      <c r="A488" s="1464">
        <f t="shared" si="331"/>
        <v>18</v>
      </c>
      <c r="B488" s="1464">
        <f t="shared" si="331"/>
        <v>34</v>
      </c>
      <c r="C488" s="1464">
        <f t="shared" si="332"/>
        <v>18</v>
      </c>
      <c r="D488" s="1271" t="str">
        <f ca="1">IF(OFFSET(PortfolioDashboard!$A$3,C488-1,0)="","Blank",OFFSET(PortfolioDashboard!$A$3,C488-1,0))</f>
        <v>Blank</v>
      </c>
      <c r="E488" s="1464" t="str">
        <f t="shared" si="333"/>
        <v>2010$</v>
      </c>
      <c r="F488" s="1460">
        <f t="shared" ca="1" si="320"/>
        <v>0</v>
      </c>
      <c r="G488" s="358">
        <f t="shared" ca="1" si="321"/>
        <v>0</v>
      </c>
      <c r="H488" s="358">
        <f t="shared" ca="1" si="335"/>
        <v>0</v>
      </c>
      <c r="I488" s="358">
        <f t="shared" ca="1" si="335"/>
        <v>0</v>
      </c>
      <c r="J488" s="358">
        <f t="shared" ca="1" si="335"/>
        <v>0</v>
      </c>
      <c r="K488" s="358">
        <f t="shared" ca="1" si="335"/>
        <v>0</v>
      </c>
      <c r="L488" s="358">
        <f t="shared" ca="1" si="335"/>
        <v>0</v>
      </c>
      <c r="M488" s="358">
        <f t="shared" ca="1" si="335"/>
        <v>0</v>
      </c>
      <c r="N488" s="358">
        <f t="shared" ca="1" si="335"/>
        <v>0</v>
      </c>
      <c r="O488" s="358">
        <f t="shared" ca="1" si="335"/>
        <v>0</v>
      </c>
      <c r="P488" s="358">
        <f t="shared" ca="1" si="335"/>
        <v>0</v>
      </c>
      <c r="Q488" s="358">
        <f t="shared" ca="1" si="335"/>
        <v>0</v>
      </c>
      <c r="R488" s="358">
        <f t="shared" ca="1" si="335"/>
        <v>0</v>
      </c>
      <c r="S488" s="358">
        <f t="shared" ca="1" si="335"/>
        <v>0</v>
      </c>
      <c r="T488" s="358">
        <f t="shared" ca="1" si="335"/>
        <v>0</v>
      </c>
      <c r="U488" s="358">
        <f t="shared" ca="1" si="335"/>
        <v>0</v>
      </c>
      <c r="V488" s="358">
        <f t="shared" ca="1" si="335"/>
        <v>0</v>
      </c>
      <c r="W488" s="358">
        <f t="shared" ca="1" si="335"/>
        <v>0</v>
      </c>
      <c r="X488" s="358">
        <f t="shared" ca="1" si="335"/>
        <v>0</v>
      </c>
      <c r="Y488" s="358">
        <f t="shared" ca="1" si="335"/>
        <v>0</v>
      </c>
      <c r="Z488" s="358">
        <f t="shared" ca="1" si="335"/>
        <v>0</v>
      </c>
      <c r="AA488" s="358">
        <f t="shared" ca="1" si="335"/>
        <v>0</v>
      </c>
      <c r="AB488" s="358">
        <f t="shared" ca="1" si="335"/>
        <v>0</v>
      </c>
      <c r="AC488" s="358">
        <f t="shared" ca="1" si="335"/>
        <v>0</v>
      </c>
      <c r="AD488" s="358">
        <f t="shared" ca="1" si="335"/>
        <v>0</v>
      </c>
      <c r="AE488" s="358">
        <f t="shared" ca="1" si="335"/>
        <v>0</v>
      </c>
      <c r="AF488" s="358">
        <f t="shared" ca="1" si="335"/>
        <v>0</v>
      </c>
      <c r="AG488" s="358">
        <f t="shared" ca="1" si="335"/>
        <v>0</v>
      </c>
      <c r="AH488" s="358">
        <f t="shared" ca="1" si="335"/>
        <v>0</v>
      </c>
      <c r="AI488" s="358">
        <f t="shared" ca="1" si="335"/>
        <v>0</v>
      </c>
      <c r="AJ488" s="358">
        <f t="shared" ca="1" si="335"/>
        <v>0</v>
      </c>
      <c r="AK488" s="358">
        <f t="shared" ca="1" si="335"/>
        <v>0</v>
      </c>
      <c r="AL488" s="358">
        <f t="shared" ca="1" si="335"/>
        <v>0</v>
      </c>
      <c r="AM488" s="358">
        <f t="shared" ca="1" si="335"/>
        <v>0</v>
      </c>
      <c r="AN488" s="358">
        <f t="shared" ca="1" si="335"/>
        <v>0</v>
      </c>
      <c r="AO488" s="358">
        <f t="shared" ca="1" si="335"/>
        <v>0</v>
      </c>
      <c r="AP488" s="358">
        <f t="shared" ca="1" si="335"/>
        <v>0</v>
      </c>
      <c r="AQ488" s="358">
        <f t="shared" ca="1" si="335"/>
        <v>0</v>
      </c>
      <c r="AR488" s="358">
        <f t="shared" ca="1" si="335"/>
        <v>0</v>
      </c>
      <c r="AS488" s="358">
        <f t="shared" ca="1" si="335"/>
        <v>0</v>
      </c>
      <c r="AT488" s="358">
        <f t="shared" ca="1" si="335"/>
        <v>0</v>
      </c>
      <c r="AU488" s="358"/>
      <c r="AV488" s="358">
        <f t="shared" ca="1" si="323"/>
        <v>0</v>
      </c>
      <c r="AX488" s="358">
        <f t="shared" ca="1" si="324"/>
        <v>0</v>
      </c>
      <c r="AZ488" s="358">
        <f t="shared" ca="1" si="325"/>
        <v>0</v>
      </c>
      <c r="BB488" s="358">
        <f t="shared" ca="1" si="326"/>
        <v>0</v>
      </c>
      <c r="BD488" s="358">
        <f t="shared" ca="1" si="327"/>
        <v>0</v>
      </c>
      <c r="BF488" s="358">
        <f t="shared" ca="1" si="328"/>
        <v>0</v>
      </c>
      <c r="BH488" s="358">
        <f t="shared" ca="1" si="329"/>
        <v>0</v>
      </c>
    </row>
    <row r="489" spans="1:60" hidden="1" outlineLevel="1">
      <c r="A489" s="1464">
        <f t="shared" ref="A489:B500" si="336">A488</f>
        <v>18</v>
      </c>
      <c r="B489" s="1464">
        <f t="shared" si="336"/>
        <v>34</v>
      </c>
      <c r="C489" s="1464">
        <f t="shared" si="332"/>
        <v>19</v>
      </c>
      <c r="D489" s="1271" t="str">
        <f ca="1">IF(OFFSET(PortfolioDashboard!$A$3,C489-1,0)="","Blank",OFFSET(PortfolioDashboard!$A$3,C489-1,0))</f>
        <v>Blank</v>
      </c>
      <c r="E489" s="1464" t="str">
        <f t="shared" si="333"/>
        <v>2010$</v>
      </c>
      <c r="F489" s="1460">
        <f t="shared" ca="1" si="320"/>
        <v>0</v>
      </c>
      <c r="G489" s="358">
        <f t="shared" ca="1" si="321"/>
        <v>0</v>
      </c>
      <c r="H489" s="358">
        <f t="shared" ca="1" si="335"/>
        <v>0</v>
      </c>
      <c r="I489" s="358">
        <f t="shared" ca="1" si="335"/>
        <v>0</v>
      </c>
      <c r="J489" s="358">
        <f t="shared" ca="1" si="335"/>
        <v>0</v>
      </c>
      <c r="K489" s="358">
        <f t="shared" ca="1" si="335"/>
        <v>0</v>
      </c>
      <c r="L489" s="358">
        <f t="shared" ca="1" si="335"/>
        <v>0</v>
      </c>
      <c r="M489" s="358">
        <f t="shared" ca="1" si="335"/>
        <v>0</v>
      </c>
      <c r="N489" s="358">
        <f t="shared" ca="1" si="335"/>
        <v>0</v>
      </c>
      <c r="O489" s="358">
        <f t="shared" ca="1" si="335"/>
        <v>0</v>
      </c>
      <c r="P489" s="358">
        <f t="shared" ca="1" si="335"/>
        <v>0</v>
      </c>
      <c r="Q489" s="358">
        <f t="shared" ca="1" si="335"/>
        <v>0</v>
      </c>
      <c r="R489" s="358">
        <f t="shared" ca="1" si="335"/>
        <v>0</v>
      </c>
      <c r="S489" s="358">
        <f t="shared" ca="1" si="335"/>
        <v>0</v>
      </c>
      <c r="T489" s="358">
        <f t="shared" ca="1" si="335"/>
        <v>0</v>
      </c>
      <c r="U489" s="358">
        <f t="shared" ca="1" si="335"/>
        <v>0</v>
      </c>
      <c r="V489" s="358">
        <f t="shared" ca="1" si="335"/>
        <v>0</v>
      </c>
      <c r="W489" s="358">
        <f t="shared" ca="1" si="335"/>
        <v>0</v>
      </c>
      <c r="X489" s="358">
        <f t="shared" ca="1" si="335"/>
        <v>0</v>
      </c>
      <c r="Y489" s="358">
        <f t="shared" ca="1" si="335"/>
        <v>0</v>
      </c>
      <c r="Z489" s="358">
        <f t="shared" ca="1" si="335"/>
        <v>0</v>
      </c>
      <c r="AA489" s="358">
        <f t="shared" ca="1" si="335"/>
        <v>0</v>
      </c>
      <c r="AB489" s="358">
        <f t="shared" ca="1" si="335"/>
        <v>0</v>
      </c>
      <c r="AC489" s="358">
        <f t="shared" ca="1" si="335"/>
        <v>0</v>
      </c>
      <c r="AD489" s="358">
        <f t="shared" ca="1" si="335"/>
        <v>0</v>
      </c>
      <c r="AE489" s="358">
        <f t="shared" ca="1" si="335"/>
        <v>0</v>
      </c>
      <c r="AF489" s="358">
        <f t="shared" ca="1" si="335"/>
        <v>0</v>
      </c>
      <c r="AG489" s="358">
        <f t="shared" ca="1" si="335"/>
        <v>0</v>
      </c>
      <c r="AH489" s="358">
        <f t="shared" ca="1" si="335"/>
        <v>0</v>
      </c>
      <c r="AI489" s="358">
        <f t="shared" ca="1" si="335"/>
        <v>0</v>
      </c>
      <c r="AJ489" s="358">
        <f t="shared" ca="1" si="335"/>
        <v>0</v>
      </c>
      <c r="AK489" s="358">
        <f t="shared" ca="1" si="335"/>
        <v>0</v>
      </c>
      <c r="AL489" s="358">
        <f t="shared" ca="1" si="335"/>
        <v>0</v>
      </c>
      <c r="AM489" s="358">
        <f t="shared" ca="1" si="335"/>
        <v>0</v>
      </c>
      <c r="AN489" s="358">
        <f t="shared" ca="1" si="335"/>
        <v>0</v>
      </c>
      <c r="AO489" s="358">
        <f t="shared" ca="1" si="335"/>
        <v>0</v>
      </c>
      <c r="AP489" s="358">
        <f t="shared" ca="1" si="335"/>
        <v>0</v>
      </c>
      <c r="AQ489" s="358">
        <f t="shared" ca="1" si="335"/>
        <v>0</v>
      </c>
      <c r="AR489" s="358">
        <f t="shared" ca="1" si="335"/>
        <v>0</v>
      </c>
      <c r="AS489" s="358">
        <f t="shared" ca="1" si="335"/>
        <v>0</v>
      </c>
      <c r="AT489" s="358">
        <f t="shared" ca="1" si="335"/>
        <v>0</v>
      </c>
      <c r="AU489" s="358"/>
      <c r="AV489" s="358">
        <f t="shared" ca="1" si="323"/>
        <v>0</v>
      </c>
      <c r="AX489" s="358">
        <f t="shared" ca="1" si="324"/>
        <v>0</v>
      </c>
      <c r="AZ489" s="358">
        <f t="shared" ca="1" si="325"/>
        <v>0</v>
      </c>
      <c r="BB489" s="358">
        <f t="shared" ca="1" si="326"/>
        <v>0</v>
      </c>
      <c r="BD489" s="358">
        <f t="shared" ca="1" si="327"/>
        <v>0</v>
      </c>
      <c r="BF489" s="358">
        <f t="shared" ca="1" si="328"/>
        <v>0</v>
      </c>
      <c r="BH489" s="358">
        <f t="shared" ca="1" si="329"/>
        <v>0</v>
      </c>
    </row>
    <row r="490" spans="1:60" hidden="1" outlineLevel="1">
      <c r="A490" s="1464">
        <f t="shared" si="336"/>
        <v>18</v>
      </c>
      <c r="B490" s="1464">
        <f t="shared" si="336"/>
        <v>34</v>
      </c>
      <c r="C490" s="1464">
        <f t="shared" si="332"/>
        <v>20</v>
      </c>
      <c r="D490" s="1271" t="str">
        <f ca="1">IF(OFFSET(PortfolioDashboard!$A$3,C490-1,0)="","Blank",OFFSET(PortfolioDashboard!$A$3,C490-1,0))</f>
        <v>Blank</v>
      </c>
      <c r="E490" s="1464" t="str">
        <f t="shared" si="333"/>
        <v>2010$</v>
      </c>
      <c r="F490" s="1460">
        <f t="shared" ca="1" si="320"/>
        <v>0</v>
      </c>
      <c r="G490" s="358">
        <f t="shared" ca="1" si="321"/>
        <v>0</v>
      </c>
      <c r="H490" s="358">
        <f t="shared" ca="1" si="335"/>
        <v>0</v>
      </c>
      <c r="I490" s="358">
        <f t="shared" ca="1" si="335"/>
        <v>0</v>
      </c>
      <c r="J490" s="358">
        <f t="shared" ca="1" si="335"/>
        <v>0</v>
      </c>
      <c r="K490" s="358">
        <f t="shared" ca="1" si="335"/>
        <v>0</v>
      </c>
      <c r="L490" s="358">
        <f t="shared" ca="1" si="335"/>
        <v>0</v>
      </c>
      <c r="M490" s="358">
        <f t="shared" ca="1" si="335"/>
        <v>0</v>
      </c>
      <c r="N490" s="358">
        <f t="shared" ca="1" si="335"/>
        <v>0</v>
      </c>
      <c r="O490" s="358">
        <f t="shared" ca="1" si="335"/>
        <v>0</v>
      </c>
      <c r="P490" s="358">
        <f t="shared" ca="1" si="335"/>
        <v>0</v>
      </c>
      <c r="Q490" s="358">
        <f t="shared" ca="1" si="335"/>
        <v>0</v>
      </c>
      <c r="R490" s="358">
        <f t="shared" ca="1" si="335"/>
        <v>0</v>
      </c>
      <c r="S490" s="358">
        <f t="shared" ca="1" si="335"/>
        <v>0</v>
      </c>
      <c r="T490" s="358">
        <f t="shared" ca="1" si="335"/>
        <v>0</v>
      </c>
      <c r="U490" s="358">
        <f t="shared" ca="1" si="335"/>
        <v>0</v>
      </c>
      <c r="V490" s="358">
        <f t="shared" ca="1" si="335"/>
        <v>0</v>
      </c>
      <c r="W490" s="358">
        <f t="shared" ca="1" si="335"/>
        <v>0</v>
      </c>
      <c r="X490" s="358">
        <f t="shared" ca="1" si="335"/>
        <v>0</v>
      </c>
      <c r="Y490" s="358">
        <f t="shared" ca="1" si="335"/>
        <v>0</v>
      </c>
      <c r="Z490" s="358">
        <f t="shared" ca="1" si="335"/>
        <v>0</v>
      </c>
      <c r="AA490" s="358">
        <f t="shared" ca="1" si="335"/>
        <v>0</v>
      </c>
      <c r="AB490" s="358">
        <f t="shared" ref="H490:AT496" ca="1" si="337">AB428+AB459</f>
        <v>0</v>
      </c>
      <c r="AC490" s="358">
        <f t="shared" ca="1" si="337"/>
        <v>0</v>
      </c>
      <c r="AD490" s="358">
        <f t="shared" ca="1" si="337"/>
        <v>0</v>
      </c>
      <c r="AE490" s="358">
        <f t="shared" ca="1" si="337"/>
        <v>0</v>
      </c>
      <c r="AF490" s="358">
        <f t="shared" ca="1" si="337"/>
        <v>0</v>
      </c>
      <c r="AG490" s="358">
        <f t="shared" ca="1" si="337"/>
        <v>0</v>
      </c>
      <c r="AH490" s="358">
        <f t="shared" ca="1" si="337"/>
        <v>0</v>
      </c>
      <c r="AI490" s="358">
        <f t="shared" ca="1" si="337"/>
        <v>0</v>
      </c>
      <c r="AJ490" s="358">
        <f t="shared" ca="1" si="337"/>
        <v>0</v>
      </c>
      <c r="AK490" s="358">
        <f t="shared" ca="1" si="337"/>
        <v>0</v>
      </c>
      <c r="AL490" s="358">
        <f t="shared" ca="1" si="337"/>
        <v>0</v>
      </c>
      <c r="AM490" s="358">
        <f t="shared" ca="1" si="337"/>
        <v>0</v>
      </c>
      <c r="AN490" s="358">
        <f t="shared" ca="1" si="337"/>
        <v>0</v>
      </c>
      <c r="AO490" s="358">
        <f t="shared" ca="1" si="337"/>
        <v>0</v>
      </c>
      <c r="AP490" s="358">
        <f t="shared" ca="1" si="337"/>
        <v>0</v>
      </c>
      <c r="AQ490" s="358">
        <f t="shared" ca="1" si="337"/>
        <v>0</v>
      </c>
      <c r="AR490" s="358">
        <f t="shared" ca="1" si="337"/>
        <v>0</v>
      </c>
      <c r="AS490" s="358">
        <f t="shared" ca="1" si="337"/>
        <v>0</v>
      </c>
      <c r="AT490" s="358">
        <f t="shared" ca="1" si="337"/>
        <v>0</v>
      </c>
      <c r="AU490" s="358"/>
      <c r="AV490" s="358">
        <f t="shared" ca="1" si="323"/>
        <v>0</v>
      </c>
      <c r="AX490" s="358">
        <f t="shared" ca="1" si="324"/>
        <v>0</v>
      </c>
      <c r="AZ490" s="358">
        <f t="shared" ca="1" si="325"/>
        <v>0</v>
      </c>
      <c r="BB490" s="358">
        <f t="shared" ca="1" si="326"/>
        <v>0</v>
      </c>
      <c r="BD490" s="358">
        <f t="shared" ca="1" si="327"/>
        <v>0</v>
      </c>
      <c r="BF490" s="358">
        <f t="shared" ca="1" si="328"/>
        <v>0</v>
      </c>
      <c r="BH490" s="358">
        <f t="shared" ca="1" si="329"/>
        <v>0</v>
      </c>
    </row>
    <row r="491" spans="1:60" hidden="1" outlineLevel="1">
      <c r="A491" s="1464">
        <f t="shared" si="336"/>
        <v>18</v>
      </c>
      <c r="B491" s="1464">
        <f t="shared" si="336"/>
        <v>34</v>
      </c>
      <c r="C491" s="1464">
        <f t="shared" si="332"/>
        <v>21</v>
      </c>
      <c r="D491" s="1271" t="str">
        <f ca="1">IF(OFFSET(PortfolioDashboard!$A$3,C491-1,0)="","Blank",OFFSET(PortfolioDashboard!$A$3,C491-1,0))</f>
        <v>Blank</v>
      </c>
      <c r="E491" s="1464" t="str">
        <f t="shared" si="333"/>
        <v>2010$</v>
      </c>
      <c r="F491" s="1460">
        <f t="shared" ca="1" si="320"/>
        <v>0</v>
      </c>
      <c r="G491" s="358">
        <f t="shared" ca="1" si="321"/>
        <v>0</v>
      </c>
      <c r="H491" s="358">
        <f t="shared" ca="1" si="337"/>
        <v>0</v>
      </c>
      <c r="I491" s="358">
        <f t="shared" ca="1" si="337"/>
        <v>0</v>
      </c>
      <c r="J491" s="358">
        <f t="shared" ca="1" si="337"/>
        <v>0</v>
      </c>
      <c r="K491" s="358">
        <f t="shared" ca="1" si="337"/>
        <v>0</v>
      </c>
      <c r="L491" s="358">
        <f t="shared" ca="1" si="337"/>
        <v>0</v>
      </c>
      <c r="M491" s="358">
        <f t="shared" ca="1" si="337"/>
        <v>0</v>
      </c>
      <c r="N491" s="358">
        <f t="shared" ca="1" si="337"/>
        <v>0</v>
      </c>
      <c r="O491" s="358">
        <f t="shared" ca="1" si="337"/>
        <v>0</v>
      </c>
      <c r="P491" s="358">
        <f t="shared" ca="1" si="337"/>
        <v>0</v>
      </c>
      <c r="Q491" s="358">
        <f t="shared" ca="1" si="337"/>
        <v>0</v>
      </c>
      <c r="R491" s="358">
        <f t="shared" ca="1" si="337"/>
        <v>0</v>
      </c>
      <c r="S491" s="358">
        <f t="shared" ca="1" si="337"/>
        <v>0</v>
      </c>
      <c r="T491" s="358">
        <f t="shared" ca="1" si="337"/>
        <v>0</v>
      </c>
      <c r="U491" s="358">
        <f t="shared" ca="1" si="337"/>
        <v>0</v>
      </c>
      <c r="V491" s="358">
        <f t="shared" ca="1" si="337"/>
        <v>0</v>
      </c>
      <c r="W491" s="358">
        <f t="shared" ca="1" si="337"/>
        <v>0</v>
      </c>
      <c r="X491" s="358">
        <f t="shared" ca="1" si="337"/>
        <v>0</v>
      </c>
      <c r="Y491" s="358">
        <f t="shared" ca="1" si="337"/>
        <v>0</v>
      </c>
      <c r="Z491" s="358">
        <f t="shared" ca="1" si="337"/>
        <v>0</v>
      </c>
      <c r="AA491" s="358">
        <f t="shared" ca="1" si="337"/>
        <v>0</v>
      </c>
      <c r="AB491" s="358">
        <f t="shared" ca="1" si="337"/>
        <v>0</v>
      </c>
      <c r="AC491" s="358">
        <f t="shared" ca="1" si="337"/>
        <v>0</v>
      </c>
      <c r="AD491" s="358">
        <f t="shared" ca="1" si="337"/>
        <v>0</v>
      </c>
      <c r="AE491" s="358">
        <f t="shared" ca="1" si="337"/>
        <v>0</v>
      </c>
      <c r="AF491" s="358">
        <f t="shared" ca="1" si="337"/>
        <v>0</v>
      </c>
      <c r="AG491" s="358">
        <f t="shared" ca="1" si="337"/>
        <v>0</v>
      </c>
      <c r="AH491" s="358">
        <f t="shared" ca="1" si="337"/>
        <v>0</v>
      </c>
      <c r="AI491" s="358">
        <f t="shared" ca="1" si="337"/>
        <v>0</v>
      </c>
      <c r="AJ491" s="358">
        <f t="shared" ca="1" si="337"/>
        <v>0</v>
      </c>
      <c r="AK491" s="358">
        <f t="shared" ca="1" si="337"/>
        <v>0</v>
      </c>
      <c r="AL491" s="358">
        <f t="shared" ca="1" si="337"/>
        <v>0</v>
      </c>
      <c r="AM491" s="358">
        <f t="shared" ca="1" si="337"/>
        <v>0</v>
      </c>
      <c r="AN491" s="358">
        <f t="shared" ca="1" si="337"/>
        <v>0</v>
      </c>
      <c r="AO491" s="358">
        <f t="shared" ca="1" si="337"/>
        <v>0</v>
      </c>
      <c r="AP491" s="358">
        <f t="shared" ca="1" si="337"/>
        <v>0</v>
      </c>
      <c r="AQ491" s="358">
        <f t="shared" ca="1" si="337"/>
        <v>0</v>
      </c>
      <c r="AR491" s="358">
        <f t="shared" ca="1" si="337"/>
        <v>0</v>
      </c>
      <c r="AS491" s="358">
        <f t="shared" ca="1" si="337"/>
        <v>0</v>
      </c>
      <c r="AT491" s="358">
        <f t="shared" ca="1" si="337"/>
        <v>0</v>
      </c>
      <c r="AU491" s="358"/>
      <c r="AV491" s="358">
        <f t="shared" ca="1" si="323"/>
        <v>0</v>
      </c>
      <c r="AX491" s="358">
        <f t="shared" ca="1" si="324"/>
        <v>0</v>
      </c>
      <c r="AZ491" s="358">
        <f t="shared" ca="1" si="325"/>
        <v>0</v>
      </c>
      <c r="BB491" s="358">
        <f t="shared" ca="1" si="326"/>
        <v>0</v>
      </c>
      <c r="BD491" s="358">
        <f t="shared" ca="1" si="327"/>
        <v>0</v>
      </c>
      <c r="BF491" s="358">
        <f t="shared" ca="1" si="328"/>
        <v>0</v>
      </c>
      <c r="BH491" s="358">
        <f t="shared" ca="1" si="329"/>
        <v>0</v>
      </c>
    </row>
    <row r="492" spans="1:60" hidden="1" outlineLevel="1">
      <c r="A492" s="1464">
        <f t="shared" si="336"/>
        <v>18</v>
      </c>
      <c r="B492" s="1464">
        <f t="shared" si="336"/>
        <v>34</v>
      </c>
      <c r="C492" s="1464">
        <f t="shared" si="332"/>
        <v>22</v>
      </c>
      <c r="D492" s="1271" t="str">
        <f ca="1">IF(OFFSET(PortfolioDashboard!$A$3,C492-1,0)="","Blank",OFFSET(PortfolioDashboard!$A$3,C492-1,0))</f>
        <v>Blank</v>
      </c>
      <c r="E492" s="1464" t="str">
        <f t="shared" si="333"/>
        <v>2010$</v>
      </c>
      <c r="F492" s="1460">
        <f t="shared" ca="1" si="320"/>
        <v>0</v>
      </c>
      <c r="G492" s="358">
        <f t="shared" ca="1" si="321"/>
        <v>0</v>
      </c>
      <c r="H492" s="358">
        <f t="shared" ca="1" si="337"/>
        <v>0</v>
      </c>
      <c r="I492" s="358">
        <f t="shared" ca="1" si="337"/>
        <v>0</v>
      </c>
      <c r="J492" s="358">
        <f t="shared" ca="1" si="337"/>
        <v>0</v>
      </c>
      <c r="K492" s="358">
        <f t="shared" ca="1" si="337"/>
        <v>0</v>
      </c>
      <c r="L492" s="358">
        <f t="shared" ca="1" si="337"/>
        <v>0</v>
      </c>
      <c r="M492" s="358">
        <f t="shared" ca="1" si="337"/>
        <v>0</v>
      </c>
      <c r="N492" s="358">
        <f t="shared" ca="1" si="337"/>
        <v>0</v>
      </c>
      <c r="O492" s="358">
        <f t="shared" ca="1" si="337"/>
        <v>0</v>
      </c>
      <c r="P492" s="358">
        <f t="shared" ca="1" si="337"/>
        <v>0</v>
      </c>
      <c r="Q492" s="358">
        <f t="shared" ca="1" si="337"/>
        <v>0</v>
      </c>
      <c r="R492" s="358">
        <f t="shared" ca="1" si="337"/>
        <v>0</v>
      </c>
      <c r="S492" s="358">
        <f t="shared" ca="1" si="337"/>
        <v>0</v>
      </c>
      <c r="T492" s="358">
        <f t="shared" ca="1" si="337"/>
        <v>0</v>
      </c>
      <c r="U492" s="358">
        <f t="shared" ca="1" si="337"/>
        <v>0</v>
      </c>
      <c r="V492" s="358">
        <f t="shared" ca="1" si="337"/>
        <v>0</v>
      </c>
      <c r="W492" s="358">
        <f t="shared" ca="1" si="337"/>
        <v>0</v>
      </c>
      <c r="X492" s="358">
        <f t="shared" ca="1" si="337"/>
        <v>0</v>
      </c>
      <c r="Y492" s="358">
        <f t="shared" ca="1" si="337"/>
        <v>0</v>
      </c>
      <c r="Z492" s="358">
        <f t="shared" ca="1" si="337"/>
        <v>0</v>
      </c>
      <c r="AA492" s="358">
        <f t="shared" ca="1" si="337"/>
        <v>0</v>
      </c>
      <c r="AB492" s="358">
        <f t="shared" ca="1" si="337"/>
        <v>0</v>
      </c>
      <c r="AC492" s="358">
        <f t="shared" ca="1" si="337"/>
        <v>0</v>
      </c>
      <c r="AD492" s="358">
        <f t="shared" ca="1" si="337"/>
        <v>0</v>
      </c>
      <c r="AE492" s="358">
        <f t="shared" ca="1" si="337"/>
        <v>0</v>
      </c>
      <c r="AF492" s="358">
        <f t="shared" ca="1" si="337"/>
        <v>0</v>
      </c>
      <c r="AG492" s="358">
        <f t="shared" ca="1" si="337"/>
        <v>0</v>
      </c>
      <c r="AH492" s="358">
        <f t="shared" ca="1" si="337"/>
        <v>0</v>
      </c>
      <c r="AI492" s="358">
        <f t="shared" ca="1" si="337"/>
        <v>0</v>
      </c>
      <c r="AJ492" s="358">
        <f t="shared" ca="1" si="337"/>
        <v>0</v>
      </c>
      <c r="AK492" s="358">
        <f t="shared" ca="1" si="337"/>
        <v>0</v>
      </c>
      <c r="AL492" s="358">
        <f t="shared" ca="1" si="337"/>
        <v>0</v>
      </c>
      <c r="AM492" s="358">
        <f t="shared" ca="1" si="337"/>
        <v>0</v>
      </c>
      <c r="AN492" s="358">
        <f t="shared" ca="1" si="337"/>
        <v>0</v>
      </c>
      <c r="AO492" s="358">
        <f t="shared" ca="1" si="337"/>
        <v>0</v>
      </c>
      <c r="AP492" s="358">
        <f t="shared" ca="1" si="337"/>
        <v>0</v>
      </c>
      <c r="AQ492" s="358">
        <f t="shared" ca="1" si="337"/>
        <v>0</v>
      </c>
      <c r="AR492" s="358">
        <f t="shared" ca="1" si="337"/>
        <v>0</v>
      </c>
      <c r="AS492" s="358">
        <f t="shared" ca="1" si="337"/>
        <v>0</v>
      </c>
      <c r="AT492" s="358">
        <f t="shared" ca="1" si="337"/>
        <v>0</v>
      </c>
      <c r="AU492" s="358"/>
      <c r="AV492" s="358">
        <f t="shared" ca="1" si="323"/>
        <v>0</v>
      </c>
      <c r="AX492" s="358">
        <f t="shared" ca="1" si="324"/>
        <v>0</v>
      </c>
      <c r="AZ492" s="358">
        <f t="shared" ca="1" si="325"/>
        <v>0</v>
      </c>
      <c r="BB492" s="358">
        <f t="shared" ca="1" si="326"/>
        <v>0</v>
      </c>
      <c r="BD492" s="358">
        <f t="shared" ca="1" si="327"/>
        <v>0</v>
      </c>
      <c r="BF492" s="358">
        <f t="shared" ca="1" si="328"/>
        <v>0</v>
      </c>
      <c r="BH492" s="358">
        <f t="shared" ca="1" si="329"/>
        <v>0</v>
      </c>
    </row>
    <row r="493" spans="1:60" hidden="1" outlineLevel="1">
      <c r="A493" s="1464">
        <f t="shared" si="336"/>
        <v>18</v>
      </c>
      <c r="B493" s="1464">
        <f t="shared" si="336"/>
        <v>34</v>
      </c>
      <c r="C493" s="1464">
        <f t="shared" si="332"/>
        <v>23</v>
      </c>
      <c r="D493" s="1271" t="str">
        <f ca="1">IF(OFFSET(PortfolioDashboard!$A$3,C493-1,0)="","Blank",OFFSET(PortfolioDashboard!$A$3,C493-1,0))</f>
        <v>Blank</v>
      </c>
      <c r="E493" s="1464" t="str">
        <f t="shared" si="333"/>
        <v>2010$</v>
      </c>
      <c r="F493" s="1460">
        <f t="shared" ca="1" si="320"/>
        <v>0</v>
      </c>
      <c r="G493" s="358">
        <f t="shared" ca="1" si="321"/>
        <v>0</v>
      </c>
      <c r="H493" s="358">
        <f t="shared" ca="1" si="337"/>
        <v>0</v>
      </c>
      <c r="I493" s="358">
        <f t="shared" ca="1" si="337"/>
        <v>0</v>
      </c>
      <c r="J493" s="358">
        <f t="shared" ca="1" si="337"/>
        <v>0</v>
      </c>
      <c r="K493" s="358">
        <f t="shared" ca="1" si="337"/>
        <v>0</v>
      </c>
      <c r="L493" s="358">
        <f t="shared" ca="1" si="337"/>
        <v>0</v>
      </c>
      <c r="M493" s="358">
        <f t="shared" ca="1" si="337"/>
        <v>0</v>
      </c>
      <c r="N493" s="358">
        <f t="shared" ca="1" si="337"/>
        <v>0</v>
      </c>
      <c r="O493" s="358">
        <f t="shared" ca="1" si="337"/>
        <v>0</v>
      </c>
      <c r="P493" s="358">
        <f t="shared" ca="1" si="337"/>
        <v>0</v>
      </c>
      <c r="Q493" s="358">
        <f t="shared" ca="1" si="337"/>
        <v>0</v>
      </c>
      <c r="R493" s="358">
        <f t="shared" ca="1" si="337"/>
        <v>0</v>
      </c>
      <c r="S493" s="358">
        <f t="shared" ca="1" si="337"/>
        <v>0</v>
      </c>
      <c r="T493" s="358">
        <f t="shared" ca="1" si="337"/>
        <v>0</v>
      </c>
      <c r="U493" s="358">
        <f t="shared" ca="1" si="337"/>
        <v>0</v>
      </c>
      <c r="V493" s="358">
        <f t="shared" ca="1" si="337"/>
        <v>0</v>
      </c>
      <c r="W493" s="358">
        <f t="shared" ca="1" si="337"/>
        <v>0</v>
      </c>
      <c r="X493" s="358">
        <f t="shared" ca="1" si="337"/>
        <v>0</v>
      </c>
      <c r="Y493" s="358">
        <f t="shared" ca="1" si="337"/>
        <v>0</v>
      </c>
      <c r="Z493" s="358">
        <f t="shared" ca="1" si="337"/>
        <v>0</v>
      </c>
      <c r="AA493" s="358">
        <f t="shared" ca="1" si="337"/>
        <v>0</v>
      </c>
      <c r="AB493" s="358">
        <f t="shared" ca="1" si="337"/>
        <v>0</v>
      </c>
      <c r="AC493" s="358">
        <f t="shared" ca="1" si="337"/>
        <v>0</v>
      </c>
      <c r="AD493" s="358">
        <f t="shared" ca="1" si="337"/>
        <v>0</v>
      </c>
      <c r="AE493" s="358">
        <f t="shared" ca="1" si="337"/>
        <v>0</v>
      </c>
      <c r="AF493" s="358">
        <f t="shared" ca="1" si="337"/>
        <v>0</v>
      </c>
      <c r="AG493" s="358">
        <f t="shared" ca="1" si="337"/>
        <v>0</v>
      </c>
      <c r="AH493" s="358">
        <f t="shared" ca="1" si="337"/>
        <v>0</v>
      </c>
      <c r="AI493" s="358">
        <f t="shared" ca="1" si="337"/>
        <v>0</v>
      </c>
      <c r="AJ493" s="358">
        <f t="shared" ca="1" si="337"/>
        <v>0</v>
      </c>
      <c r="AK493" s="358">
        <f t="shared" ca="1" si="337"/>
        <v>0</v>
      </c>
      <c r="AL493" s="358">
        <f t="shared" ca="1" si="337"/>
        <v>0</v>
      </c>
      <c r="AM493" s="358">
        <f t="shared" ca="1" si="337"/>
        <v>0</v>
      </c>
      <c r="AN493" s="358">
        <f t="shared" ca="1" si="337"/>
        <v>0</v>
      </c>
      <c r="AO493" s="358">
        <f t="shared" ca="1" si="337"/>
        <v>0</v>
      </c>
      <c r="AP493" s="358">
        <f t="shared" ca="1" si="337"/>
        <v>0</v>
      </c>
      <c r="AQ493" s="358">
        <f t="shared" ca="1" si="337"/>
        <v>0</v>
      </c>
      <c r="AR493" s="358">
        <f t="shared" ca="1" si="337"/>
        <v>0</v>
      </c>
      <c r="AS493" s="358">
        <f t="shared" ca="1" si="337"/>
        <v>0</v>
      </c>
      <c r="AT493" s="358">
        <f t="shared" ca="1" si="337"/>
        <v>0</v>
      </c>
      <c r="AU493" s="358"/>
      <c r="AV493" s="358">
        <f t="shared" ca="1" si="323"/>
        <v>0</v>
      </c>
      <c r="AX493" s="358">
        <f t="shared" ca="1" si="324"/>
        <v>0</v>
      </c>
      <c r="AZ493" s="358">
        <f t="shared" ca="1" si="325"/>
        <v>0</v>
      </c>
      <c r="BB493" s="358">
        <f t="shared" ca="1" si="326"/>
        <v>0</v>
      </c>
      <c r="BD493" s="358">
        <f t="shared" ca="1" si="327"/>
        <v>0</v>
      </c>
      <c r="BF493" s="358">
        <f t="shared" ca="1" si="328"/>
        <v>0</v>
      </c>
      <c r="BH493" s="358">
        <f t="shared" ca="1" si="329"/>
        <v>0</v>
      </c>
    </row>
    <row r="494" spans="1:60" hidden="1" outlineLevel="1">
      <c r="A494" s="1464">
        <f t="shared" si="336"/>
        <v>18</v>
      </c>
      <c r="B494" s="1464">
        <f t="shared" si="336"/>
        <v>34</v>
      </c>
      <c r="C494" s="1464">
        <f t="shared" si="332"/>
        <v>24</v>
      </c>
      <c r="D494" s="1271" t="str">
        <f ca="1">IF(OFFSET(PortfolioDashboard!$A$3,C494-1,0)="","Blank",OFFSET(PortfolioDashboard!$A$3,C494-1,0))</f>
        <v>Blank</v>
      </c>
      <c r="E494" s="1464" t="str">
        <f t="shared" si="333"/>
        <v>2010$</v>
      </c>
      <c r="F494" s="1460">
        <f t="shared" ca="1" si="320"/>
        <v>0</v>
      </c>
      <c r="G494" s="358">
        <f t="shared" ca="1" si="321"/>
        <v>0</v>
      </c>
      <c r="H494" s="358">
        <f t="shared" ca="1" si="337"/>
        <v>0</v>
      </c>
      <c r="I494" s="358">
        <f t="shared" ca="1" si="337"/>
        <v>0</v>
      </c>
      <c r="J494" s="358">
        <f t="shared" ca="1" si="337"/>
        <v>0</v>
      </c>
      <c r="K494" s="358">
        <f t="shared" ca="1" si="337"/>
        <v>0</v>
      </c>
      <c r="L494" s="358">
        <f t="shared" ca="1" si="337"/>
        <v>0</v>
      </c>
      <c r="M494" s="358">
        <f t="shared" ca="1" si="337"/>
        <v>0</v>
      </c>
      <c r="N494" s="358">
        <f t="shared" ca="1" si="337"/>
        <v>0</v>
      </c>
      <c r="O494" s="358">
        <f t="shared" ca="1" si="337"/>
        <v>0</v>
      </c>
      <c r="P494" s="358">
        <f t="shared" ca="1" si="337"/>
        <v>0</v>
      </c>
      <c r="Q494" s="358">
        <f t="shared" ca="1" si="337"/>
        <v>0</v>
      </c>
      <c r="R494" s="358">
        <f t="shared" ca="1" si="337"/>
        <v>0</v>
      </c>
      <c r="S494" s="358">
        <f t="shared" ca="1" si="337"/>
        <v>0</v>
      </c>
      <c r="T494" s="358">
        <f t="shared" ca="1" si="337"/>
        <v>0</v>
      </c>
      <c r="U494" s="358">
        <f t="shared" ca="1" si="337"/>
        <v>0</v>
      </c>
      <c r="V494" s="358">
        <f t="shared" ca="1" si="337"/>
        <v>0</v>
      </c>
      <c r="W494" s="358">
        <f t="shared" ca="1" si="337"/>
        <v>0</v>
      </c>
      <c r="X494" s="358">
        <f t="shared" ca="1" si="337"/>
        <v>0</v>
      </c>
      <c r="Y494" s="358">
        <f t="shared" ca="1" si="337"/>
        <v>0</v>
      </c>
      <c r="Z494" s="358">
        <f t="shared" ca="1" si="337"/>
        <v>0</v>
      </c>
      <c r="AA494" s="358">
        <f t="shared" ca="1" si="337"/>
        <v>0</v>
      </c>
      <c r="AB494" s="358">
        <f t="shared" ca="1" si="337"/>
        <v>0</v>
      </c>
      <c r="AC494" s="358">
        <f t="shared" ca="1" si="337"/>
        <v>0</v>
      </c>
      <c r="AD494" s="358">
        <f t="shared" ca="1" si="337"/>
        <v>0</v>
      </c>
      <c r="AE494" s="358">
        <f t="shared" ca="1" si="337"/>
        <v>0</v>
      </c>
      <c r="AF494" s="358">
        <f t="shared" ca="1" si="337"/>
        <v>0</v>
      </c>
      <c r="AG494" s="358">
        <f t="shared" ca="1" si="337"/>
        <v>0</v>
      </c>
      <c r="AH494" s="358">
        <f t="shared" ca="1" si="337"/>
        <v>0</v>
      </c>
      <c r="AI494" s="358">
        <f t="shared" ca="1" si="337"/>
        <v>0</v>
      </c>
      <c r="AJ494" s="358">
        <f t="shared" ca="1" si="337"/>
        <v>0</v>
      </c>
      <c r="AK494" s="358">
        <f t="shared" ca="1" si="337"/>
        <v>0</v>
      </c>
      <c r="AL494" s="358">
        <f t="shared" ca="1" si="337"/>
        <v>0</v>
      </c>
      <c r="AM494" s="358">
        <f t="shared" ca="1" si="337"/>
        <v>0</v>
      </c>
      <c r="AN494" s="358">
        <f t="shared" ca="1" si="337"/>
        <v>0</v>
      </c>
      <c r="AO494" s="358">
        <f t="shared" ca="1" si="337"/>
        <v>0</v>
      </c>
      <c r="AP494" s="358">
        <f t="shared" ca="1" si="337"/>
        <v>0</v>
      </c>
      <c r="AQ494" s="358">
        <f t="shared" ca="1" si="337"/>
        <v>0</v>
      </c>
      <c r="AR494" s="358">
        <f t="shared" ca="1" si="337"/>
        <v>0</v>
      </c>
      <c r="AS494" s="358">
        <f t="shared" ca="1" si="337"/>
        <v>0</v>
      </c>
      <c r="AT494" s="358">
        <f t="shared" ca="1" si="337"/>
        <v>0</v>
      </c>
      <c r="AU494" s="358"/>
      <c r="AV494" s="358">
        <f t="shared" ca="1" si="323"/>
        <v>0</v>
      </c>
      <c r="AX494" s="358">
        <f t="shared" ca="1" si="324"/>
        <v>0</v>
      </c>
      <c r="AZ494" s="358">
        <f t="shared" ca="1" si="325"/>
        <v>0</v>
      </c>
      <c r="BB494" s="358">
        <f t="shared" ca="1" si="326"/>
        <v>0</v>
      </c>
      <c r="BD494" s="358">
        <f t="shared" ca="1" si="327"/>
        <v>0</v>
      </c>
      <c r="BF494" s="358">
        <f t="shared" ca="1" si="328"/>
        <v>0</v>
      </c>
      <c r="BH494" s="358">
        <f t="shared" ca="1" si="329"/>
        <v>0</v>
      </c>
    </row>
    <row r="495" spans="1:60" hidden="1" outlineLevel="1">
      <c r="A495" s="1464">
        <f t="shared" si="336"/>
        <v>18</v>
      </c>
      <c r="B495" s="1464">
        <f t="shared" si="336"/>
        <v>34</v>
      </c>
      <c r="C495" s="1464">
        <f t="shared" si="332"/>
        <v>25</v>
      </c>
      <c r="D495" s="1271" t="str">
        <f ca="1">IF(OFFSET(PortfolioDashboard!$A$3,C495-1,0)="","Blank",OFFSET(PortfolioDashboard!$A$3,C495-1,0))</f>
        <v>Blank</v>
      </c>
      <c r="E495" s="1464" t="str">
        <f t="shared" si="333"/>
        <v>2010$</v>
      </c>
      <c r="F495" s="1460">
        <f t="shared" ca="1" si="320"/>
        <v>0</v>
      </c>
      <c r="G495" s="358">
        <f t="shared" ca="1" si="321"/>
        <v>0</v>
      </c>
      <c r="H495" s="358">
        <f t="shared" ca="1" si="337"/>
        <v>0</v>
      </c>
      <c r="I495" s="358">
        <f t="shared" ca="1" si="337"/>
        <v>0</v>
      </c>
      <c r="J495" s="358">
        <f t="shared" ca="1" si="337"/>
        <v>0</v>
      </c>
      <c r="K495" s="358">
        <f t="shared" ca="1" si="337"/>
        <v>0</v>
      </c>
      <c r="L495" s="358">
        <f t="shared" ca="1" si="337"/>
        <v>0</v>
      </c>
      <c r="M495" s="358">
        <f t="shared" ca="1" si="337"/>
        <v>0</v>
      </c>
      <c r="N495" s="358">
        <f t="shared" ca="1" si="337"/>
        <v>0</v>
      </c>
      <c r="O495" s="358">
        <f t="shared" ca="1" si="337"/>
        <v>0</v>
      </c>
      <c r="P495" s="358">
        <f t="shared" ca="1" si="337"/>
        <v>0</v>
      </c>
      <c r="Q495" s="358">
        <f t="shared" ca="1" si="337"/>
        <v>0</v>
      </c>
      <c r="R495" s="358">
        <f t="shared" ca="1" si="337"/>
        <v>0</v>
      </c>
      <c r="S495" s="358">
        <f t="shared" ca="1" si="337"/>
        <v>0</v>
      </c>
      <c r="T495" s="358">
        <f t="shared" ca="1" si="337"/>
        <v>0</v>
      </c>
      <c r="U495" s="358">
        <f t="shared" ca="1" si="337"/>
        <v>0</v>
      </c>
      <c r="V495" s="358">
        <f t="shared" ca="1" si="337"/>
        <v>0</v>
      </c>
      <c r="W495" s="358">
        <f t="shared" ca="1" si="337"/>
        <v>0</v>
      </c>
      <c r="X495" s="358">
        <f t="shared" ca="1" si="337"/>
        <v>0</v>
      </c>
      <c r="Y495" s="358">
        <f t="shared" ca="1" si="337"/>
        <v>0</v>
      </c>
      <c r="Z495" s="358">
        <f t="shared" ca="1" si="337"/>
        <v>0</v>
      </c>
      <c r="AA495" s="358">
        <f t="shared" ca="1" si="337"/>
        <v>0</v>
      </c>
      <c r="AB495" s="358">
        <f t="shared" ca="1" si="337"/>
        <v>0</v>
      </c>
      <c r="AC495" s="358">
        <f t="shared" ca="1" si="337"/>
        <v>0</v>
      </c>
      <c r="AD495" s="358">
        <f t="shared" ca="1" si="337"/>
        <v>0</v>
      </c>
      <c r="AE495" s="358">
        <f t="shared" ca="1" si="337"/>
        <v>0</v>
      </c>
      <c r="AF495" s="358">
        <f t="shared" ca="1" si="337"/>
        <v>0</v>
      </c>
      <c r="AG495" s="358">
        <f t="shared" ca="1" si="337"/>
        <v>0</v>
      </c>
      <c r="AH495" s="358">
        <f t="shared" ca="1" si="337"/>
        <v>0</v>
      </c>
      <c r="AI495" s="358">
        <f t="shared" ca="1" si="337"/>
        <v>0</v>
      </c>
      <c r="AJ495" s="358">
        <f t="shared" ca="1" si="337"/>
        <v>0</v>
      </c>
      <c r="AK495" s="358">
        <f t="shared" ca="1" si="337"/>
        <v>0</v>
      </c>
      <c r="AL495" s="358">
        <f t="shared" ca="1" si="337"/>
        <v>0</v>
      </c>
      <c r="AM495" s="358">
        <f t="shared" ca="1" si="337"/>
        <v>0</v>
      </c>
      <c r="AN495" s="358">
        <f t="shared" ca="1" si="337"/>
        <v>0</v>
      </c>
      <c r="AO495" s="358">
        <f t="shared" ca="1" si="337"/>
        <v>0</v>
      </c>
      <c r="AP495" s="358">
        <f t="shared" ca="1" si="337"/>
        <v>0</v>
      </c>
      <c r="AQ495" s="358">
        <f t="shared" ca="1" si="337"/>
        <v>0</v>
      </c>
      <c r="AR495" s="358">
        <f t="shared" ca="1" si="337"/>
        <v>0</v>
      </c>
      <c r="AS495" s="358">
        <f t="shared" ca="1" si="337"/>
        <v>0</v>
      </c>
      <c r="AT495" s="358">
        <f t="shared" ca="1" si="337"/>
        <v>0</v>
      </c>
      <c r="AU495" s="358"/>
      <c r="AV495" s="358">
        <f t="shared" ca="1" si="323"/>
        <v>0</v>
      </c>
      <c r="AX495" s="358">
        <f t="shared" ca="1" si="324"/>
        <v>0</v>
      </c>
      <c r="AZ495" s="358">
        <f t="shared" ca="1" si="325"/>
        <v>0</v>
      </c>
      <c r="BB495" s="358">
        <f t="shared" ca="1" si="326"/>
        <v>0</v>
      </c>
      <c r="BD495" s="358">
        <f t="shared" ca="1" si="327"/>
        <v>0</v>
      </c>
      <c r="BF495" s="358">
        <f t="shared" ca="1" si="328"/>
        <v>0</v>
      </c>
      <c r="BH495" s="358">
        <f t="shared" ca="1" si="329"/>
        <v>0</v>
      </c>
    </row>
    <row r="496" spans="1:60" hidden="1" outlineLevel="1">
      <c r="A496" s="1464">
        <f t="shared" si="336"/>
        <v>18</v>
      </c>
      <c r="B496" s="1464">
        <f t="shared" si="336"/>
        <v>34</v>
      </c>
      <c r="C496" s="1464">
        <f t="shared" si="332"/>
        <v>26</v>
      </c>
      <c r="D496" s="1271" t="str">
        <f ca="1">IF(OFFSET(PortfolioDashboard!$A$3,C496-1,0)="","Blank",OFFSET(PortfolioDashboard!$A$3,C496-1,0))</f>
        <v>Blank</v>
      </c>
      <c r="E496" s="1464" t="str">
        <f t="shared" si="333"/>
        <v>2010$</v>
      </c>
      <c r="F496" s="1460">
        <f t="shared" ca="1" si="320"/>
        <v>0</v>
      </c>
      <c r="G496" s="358">
        <f t="shared" ca="1" si="321"/>
        <v>0</v>
      </c>
      <c r="H496" s="358">
        <f t="shared" ca="1" si="337"/>
        <v>0</v>
      </c>
      <c r="I496" s="358">
        <f t="shared" ca="1" si="337"/>
        <v>0</v>
      </c>
      <c r="J496" s="358">
        <f t="shared" ca="1" si="337"/>
        <v>0</v>
      </c>
      <c r="K496" s="358">
        <f t="shared" ca="1" si="337"/>
        <v>0</v>
      </c>
      <c r="L496" s="358">
        <f t="shared" ca="1" si="337"/>
        <v>0</v>
      </c>
      <c r="M496" s="358">
        <f t="shared" ca="1" si="337"/>
        <v>0</v>
      </c>
      <c r="N496" s="358">
        <f t="shared" ca="1" si="337"/>
        <v>0</v>
      </c>
      <c r="O496" s="358">
        <f t="shared" ca="1" si="337"/>
        <v>0</v>
      </c>
      <c r="P496" s="358">
        <f t="shared" ca="1" si="337"/>
        <v>0</v>
      </c>
      <c r="Q496" s="358">
        <f t="shared" ca="1" si="337"/>
        <v>0</v>
      </c>
      <c r="R496" s="358">
        <f t="shared" ca="1" si="337"/>
        <v>0</v>
      </c>
      <c r="S496" s="358">
        <f t="shared" ca="1" si="337"/>
        <v>0</v>
      </c>
      <c r="T496" s="358">
        <f t="shared" ca="1" si="337"/>
        <v>0</v>
      </c>
      <c r="U496" s="358">
        <f t="shared" ca="1" si="337"/>
        <v>0</v>
      </c>
      <c r="V496" s="358">
        <f t="shared" ca="1" si="337"/>
        <v>0</v>
      </c>
      <c r="W496" s="358">
        <f t="shared" ca="1" si="337"/>
        <v>0</v>
      </c>
      <c r="X496" s="358">
        <f t="shared" ca="1" si="337"/>
        <v>0</v>
      </c>
      <c r="Y496" s="358">
        <f t="shared" ca="1" si="337"/>
        <v>0</v>
      </c>
      <c r="Z496" s="358">
        <f t="shared" ca="1" si="337"/>
        <v>0</v>
      </c>
      <c r="AA496" s="358">
        <f t="shared" ca="1" si="337"/>
        <v>0</v>
      </c>
      <c r="AB496" s="358">
        <f t="shared" ca="1" si="337"/>
        <v>0</v>
      </c>
      <c r="AC496" s="358">
        <f t="shared" ca="1" si="337"/>
        <v>0</v>
      </c>
      <c r="AD496" s="358">
        <f t="shared" ca="1" si="337"/>
        <v>0</v>
      </c>
      <c r="AE496" s="358">
        <f t="shared" ca="1" si="337"/>
        <v>0</v>
      </c>
      <c r="AF496" s="358">
        <f t="shared" ca="1" si="337"/>
        <v>0</v>
      </c>
      <c r="AG496" s="358">
        <f t="shared" ca="1" si="337"/>
        <v>0</v>
      </c>
      <c r="AH496" s="358">
        <f t="shared" ca="1" si="337"/>
        <v>0</v>
      </c>
      <c r="AI496" s="358">
        <f t="shared" ca="1" si="337"/>
        <v>0</v>
      </c>
      <c r="AJ496" s="358">
        <f t="shared" ca="1" si="337"/>
        <v>0</v>
      </c>
      <c r="AK496" s="358">
        <f t="shared" ca="1" si="337"/>
        <v>0</v>
      </c>
      <c r="AL496" s="358">
        <f t="shared" ca="1" si="337"/>
        <v>0</v>
      </c>
      <c r="AM496" s="358">
        <f t="shared" ca="1" si="337"/>
        <v>0</v>
      </c>
      <c r="AN496" s="358">
        <f t="shared" ca="1" si="337"/>
        <v>0</v>
      </c>
      <c r="AO496" s="358">
        <f t="shared" ca="1" si="337"/>
        <v>0</v>
      </c>
      <c r="AP496" s="358">
        <f t="shared" ca="1" si="337"/>
        <v>0</v>
      </c>
      <c r="AQ496" s="358">
        <f t="shared" ref="H496:AT500" ca="1" si="338">AQ434+AQ465</f>
        <v>0</v>
      </c>
      <c r="AR496" s="358">
        <f t="shared" ca="1" si="338"/>
        <v>0</v>
      </c>
      <c r="AS496" s="358">
        <f t="shared" ca="1" si="338"/>
        <v>0</v>
      </c>
      <c r="AT496" s="358">
        <f t="shared" ca="1" si="338"/>
        <v>0</v>
      </c>
      <c r="AU496" s="358"/>
      <c r="AV496" s="358">
        <f t="shared" ca="1" si="323"/>
        <v>0</v>
      </c>
      <c r="AX496" s="358">
        <f t="shared" ca="1" si="324"/>
        <v>0</v>
      </c>
      <c r="AZ496" s="358">
        <f t="shared" ca="1" si="325"/>
        <v>0</v>
      </c>
      <c r="BB496" s="358">
        <f t="shared" ca="1" si="326"/>
        <v>0</v>
      </c>
      <c r="BD496" s="358">
        <f t="shared" ca="1" si="327"/>
        <v>0</v>
      </c>
      <c r="BF496" s="358">
        <f t="shared" ca="1" si="328"/>
        <v>0</v>
      </c>
      <c r="BH496" s="358">
        <f t="shared" ca="1" si="329"/>
        <v>0</v>
      </c>
    </row>
    <row r="497" spans="1:60" hidden="1" outlineLevel="1">
      <c r="A497" s="1464">
        <f t="shared" si="336"/>
        <v>18</v>
      </c>
      <c r="B497" s="1464">
        <f t="shared" si="336"/>
        <v>34</v>
      </c>
      <c r="C497" s="1464">
        <f t="shared" si="332"/>
        <v>27</v>
      </c>
      <c r="D497" s="1271" t="str">
        <f ca="1">IF(OFFSET(PortfolioDashboard!$A$3,C497-1,0)="","Blank",OFFSET(PortfolioDashboard!$A$3,C497-1,0))</f>
        <v>Blank</v>
      </c>
      <c r="E497" s="1464" t="str">
        <f t="shared" si="333"/>
        <v>2010$</v>
      </c>
      <c r="F497" s="1460">
        <f t="shared" ca="1" si="320"/>
        <v>0</v>
      </c>
      <c r="G497" s="358">
        <f t="shared" ca="1" si="321"/>
        <v>0</v>
      </c>
      <c r="H497" s="358">
        <f t="shared" ca="1" si="338"/>
        <v>0</v>
      </c>
      <c r="I497" s="358">
        <f t="shared" ca="1" si="338"/>
        <v>0</v>
      </c>
      <c r="J497" s="358">
        <f t="shared" ca="1" si="338"/>
        <v>0</v>
      </c>
      <c r="K497" s="358">
        <f t="shared" ca="1" si="338"/>
        <v>0</v>
      </c>
      <c r="L497" s="358">
        <f t="shared" ca="1" si="338"/>
        <v>0</v>
      </c>
      <c r="M497" s="358">
        <f t="shared" ca="1" si="338"/>
        <v>0</v>
      </c>
      <c r="N497" s="358">
        <f t="shared" ca="1" si="338"/>
        <v>0</v>
      </c>
      <c r="O497" s="358">
        <f t="shared" ca="1" si="338"/>
        <v>0</v>
      </c>
      <c r="P497" s="358">
        <f t="shared" ca="1" si="338"/>
        <v>0</v>
      </c>
      <c r="Q497" s="358">
        <f t="shared" ca="1" si="338"/>
        <v>0</v>
      </c>
      <c r="R497" s="358">
        <f t="shared" ca="1" si="338"/>
        <v>0</v>
      </c>
      <c r="S497" s="358">
        <f t="shared" ca="1" si="338"/>
        <v>0</v>
      </c>
      <c r="T497" s="358">
        <f t="shared" ca="1" si="338"/>
        <v>0</v>
      </c>
      <c r="U497" s="358">
        <f t="shared" ca="1" si="338"/>
        <v>0</v>
      </c>
      <c r="V497" s="358">
        <f t="shared" ca="1" si="338"/>
        <v>0</v>
      </c>
      <c r="W497" s="358">
        <f t="shared" ca="1" si="338"/>
        <v>0</v>
      </c>
      <c r="X497" s="358">
        <f t="shared" ca="1" si="338"/>
        <v>0</v>
      </c>
      <c r="Y497" s="358">
        <f t="shared" ca="1" si="338"/>
        <v>0</v>
      </c>
      <c r="Z497" s="358">
        <f t="shared" ca="1" si="338"/>
        <v>0</v>
      </c>
      <c r="AA497" s="358">
        <f t="shared" ca="1" si="338"/>
        <v>0</v>
      </c>
      <c r="AB497" s="358">
        <f t="shared" ca="1" si="338"/>
        <v>0</v>
      </c>
      <c r="AC497" s="358">
        <f t="shared" ca="1" si="338"/>
        <v>0</v>
      </c>
      <c r="AD497" s="358">
        <f t="shared" ca="1" si="338"/>
        <v>0</v>
      </c>
      <c r="AE497" s="358">
        <f t="shared" ca="1" si="338"/>
        <v>0</v>
      </c>
      <c r="AF497" s="358">
        <f t="shared" ca="1" si="338"/>
        <v>0</v>
      </c>
      <c r="AG497" s="358">
        <f t="shared" ca="1" si="338"/>
        <v>0</v>
      </c>
      <c r="AH497" s="358">
        <f t="shared" ca="1" si="338"/>
        <v>0</v>
      </c>
      <c r="AI497" s="358">
        <f t="shared" ca="1" si="338"/>
        <v>0</v>
      </c>
      <c r="AJ497" s="358">
        <f t="shared" ca="1" si="338"/>
        <v>0</v>
      </c>
      <c r="AK497" s="358">
        <f t="shared" ca="1" si="338"/>
        <v>0</v>
      </c>
      <c r="AL497" s="358">
        <f t="shared" ca="1" si="338"/>
        <v>0</v>
      </c>
      <c r="AM497" s="358">
        <f t="shared" ca="1" si="338"/>
        <v>0</v>
      </c>
      <c r="AN497" s="358">
        <f t="shared" ca="1" si="338"/>
        <v>0</v>
      </c>
      <c r="AO497" s="358">
        <f t="shared" ca="1" si="338"/>
        <v>0</v>
      </c>
      <c r="AP497" s="358">
        <f t="shared" ca="1" si="338"/>
        <v>0</v>
      </c>
      <c r="AQ497" s="358">
        <f t="shared" ca="1" si="338"/>
        <v>0</v>
      </c>
      <c r="AR497" s="358">
        <f t="shared" ca="1" si="338"/>
        <v>0</v>
      </c>
      <c r="AS497" s="358">
        <f t="shared" ca="1" si="338"/>
        <v>0</v>
      </c>
      <c r="AT497" s="358">
        <f t="shared" ca="1" si="338"/>
        <v>0</v>
      </c>
      <c r="AU497" s="358"/>
      <c r="AV497" s="358">
        <f t="shared" ca="1" si="323"/>
        <v>0</v>
      </c>
      <c r="AX497" s="358">
        <f t="shared" ca="1" si="324"/>
        <v>0</v>
      </c>
      <c r="AZ497" s="358">
        <f t="shared" ca="1" si="325"/>
        <v>0</v>
      </c>
      <c r="BB497" s="358">
        <f t="shared" ca="1" si="326"/>
        <v>0</v>
      </c>
      <c r="BD497" s="358">
        <f t="shared" ca="1" si="327"/>
        <v>0</v>
      </c>
      <c r="BF497" s="358">
        <f t="shared" ca="1" si="328"/>
        <v>0</v>
      </c>
      <c r="BH497" s="358">
        <f t="shared" ca="1" si="329"/>
        <v>0</v>
      </c>
    </row>
    <row r="498" spans="1:60" hidden="1" outlineLevel="1">
      <c r="A498" s="1464">
        <f t="shared" si="336"/>
        <v>18</v>
      </c>
      <c r="B498" s="1464">
        <f t="shared" si="336"/>
        <v>34</v>
      </c>
      <c r="C498" s="1464">
        <f t="shared" si="332"/>
        <v>28</v>
      </c>
      <c r="D498" s="1271" t="str">
        <f ca="1">IF(OFFSET(PortfolioDashboard!$A$3,C498-1,0)="","Blank",OFFSET(PortfolioDashboard!$A$3,C498-1,0))</f>
        <v>Blank</v>
      </c>
      <c r="E498" s="1464" t="str">
        <f t="shared" si="333"/>
        <v>2010$</v>
      </c>
      <c r="F498" s="1460">
        <f t="shared" ca="1" si="320"/>
        <v>0</v>
      </c>
      <c r="G498" s="358">
        <f t="shared" ca="1" si="321"/>
        <v>0</v>
      </c>
      <c r="H498" s="358">
        <f t="shared" ca="1" si="338"/>
        <v>0</v>
      </c>
      <c r="I498" s="358">
        <f t="shared" ca="1" si="338"/>
        <v>0</v>
      </c>
      <c r="J498" s="358">
        <f t="shared" ca="1" si="338"/>
        <v>0</v>
      </c>
      <c r="K498" s="358">
        <f t="shared" ca="1" si="338"/>
        <v>0</v>
      </c>
      <c r="L498" s="358">
        <f t="shared" ca="1" si="338"/>
        <v>0</v>
      </c>
      <c r="M498" s="358">
        <f t="shared" ca="1" si="338"/>
        <v>0</v>
      </c>
      <c r="N498" s="358">
        <f t="shared" ca="1" si="338"/>
        <v>0</v>
      </c>
      <c r="O498" s="358">
        <f t="shared" ca="1" si="338"/>
        <v>0</v>
      </c>
      <c r="P498" s="358">
        <f t="shared" ca="1" si="338"/>
        <v>0</v>
      </c>
      <c r="Q498" s="358">
        <f t="shared" ca="1" si="338"/>
        <v>0</v>
      </c>
      <c r="R498" s="358">
        <f t="shared" ca="1" si="338"/>
        <v>0</v>
      </c>
      <c r="S498" s="358">
        <f t="shared" ca="1" si="338"/>
        <v>0</v>
      </c>
      <c r="T498" s="358">
        <f t="shared" ca="1" si="338"/>
        <v>0</v>
      </c>
      <c r="U498" s="358">
        <f t="shared" ca="1" si="338"/>
        <v>0</v>
      </c>
      <c r="V498" s="358">
        <f t="shared" ca="1" si="338"/>
        <v>0</v>
      </c>
      <c r="W498" s="358">
        <f t="shared" ca="1" si="338"/>
        <v>0</v>
      </c>
      <c r="X498" s="358">
        <f t="shared" ca="1" si="338"/>
        <v>0</v>
      </c>
      <c r="Y498" s="358">
        <f t="shared" ca="1" si="338"/>
        <v>0</v>
      </c>
      <c r="Z498" s="358">
        <f t="shared" ca="1" si="338"/>
        <v>0</v>
      </c>
      <c r="AA498" s="358">
        <f t="shared" ca="1" si="338"/>
        <v>0</v>
      </c>
      <c r="AB498" s="358">
        <f t="shared" ca="1" si="338"/>
        <v>0</v>
      </c>
      <c r="AC498" s="358">
        <f t="shared" ca="1" si="338"/>
        <v>0</v>
      </c>
      <c r="AD498" s="358">
        <f t="shared" ca="1" si="338"/>
        <v>0</v>
      </c>
      <c r="AE498" s="358">
        <f t="shared" ca="1" si="338"/>
        <v>0</v>
      </c>
      <c r="AF498" s="358">
        <f t="shared" ca="1" si="338"/>
        <v>0</v>
      </c>
      <c r="AG498" s="358">
        <f t="shared" ca="1" si="338"/>
        <v>0</v>
      </c>
      <c r="AH498" s="358">
        <f t="shared" ca="1" si="338"/>
        <v>0</v>
      </c>
      <c r="AI498" s="358">
        <f t="shared" ca="1" si="338"/>
        <v>0</v>
      </c>
      <c r="AJ498" s="358">
        <f t="shared" ca="1" si="338"/>
        <v>0</v>
      </c>
      <c r="AK498" s="358">
        <f t="shared" ca="1" si="338"/>
        <v>0</v>
      </c>
      <c r="AL498" s="358">
        <f t="shared" ca="1" si="338"/>
        <v>0</v>
      </c>
      <c r="AM498" s="358">
        <f t="shared" ca="1" si="338"/>
        <v>0</v>
      </c>
      <c r="AN498" s="358">
        <f t="shared" ca="1" si="338"/>
        <v>0</v>
      </c>
      <c r="AO498" s="358">
        <f t="shared" ca="1" si="338"/>
        <v>0</v>
      </c>
      <c r="AP498" s="358">
        <f t="shared" ca="1" si="338"/>
        <v>0</v>
      </c>
      <c r="AQ498" s="358">
        <f t="shared" ca="1" si="338"/>
        <v>0</v>
      </c>
      <c r="AR498" s="358">
        <f t="shared" ca="1" si="338"/>
        <v>0</v>
      </c>
      <c r="AS498" s="358">
        <f t="shared" ca="1" si="338"/>
        <v>0</v>
      </c>
      <c r="AT498" s="358">
        <f t="shared" ca="1" si="338"/>
        <v>0</v>
      </c>
      <c r="AU498" s="358"/>
      <c r="AV498" s="358">
        <f t="shared" ca="1" si="323"/>
        <v>0</v>
      </c>
      <c r="AX498" s="358">
        <f t="shared" ca="1" si="324"/>
        <v>0</v>
      </c>
      <c r="AZ498" s="358">
        <f t="shared" ca="1" si="325"/>
        <v>0</v>
      </c>
      <c r="BB498" s="358">
        <f t="shared" ca="1" si="326"/>
        <v>0</v>
      </c>
      <c r="BD498" s="358">
        <f t="shared" ca="1" si="327"/>
        <v>0</v>
      </c>
      <c r="BF498" s="358">
        <f t="shared" ca="1" si="328"/>
        <v>0</v>
      </c>
      <c r="BH498" s="358">
        <f t="shared" ca="1" si="329"/>
        <v>0</v>
      </c>
    </row>
    <row r="499" spans="1:60" hidden="1" outlineLevel="1">
      <c r="A499" s="1464">
        <f t="shared" si="336"/>
        <v>18</v>
      </c>
      <c r="B499" s="1464">
        <f t="shared" si="336"/>
        <v>34</v>
      </c>
      <c r="C499" s="1464">
        <f t="shared" si="332"/>
        <v>29</v>
      </c>
      <c r="D499" s="1271" t="str">
        <f ca="1">IF(OFFSET(PortfolioDashboard!$A$3,C499-1,0)="","Blank",OFFSET(PortfolioDashboard!$A$3,C499-1,0))</f>
        <v>Blank</v>
      </c>
      <c r="E499" s="1464" t="str">
        <f t="shared" si="333"/>
        <v>2010$</v>
      </c>
      <c r="F499" s="1460">
        <f t="shared" ca="1" si="320"/>
        <v>0</v>
      </c>
      <c r="G499" s="358">
        <f t="shared" ca="1" si="321"/>
        <v>0</v>
      </c>
      <c r="H499" s="358">
        <f t="shared" ca="1" si="338"/>
        <v>0</v>
      </c>
      <c r="I499" s="358">
        <f t="shared" ca="1" si="338"/>
        <v>0</v>
      </c>
      <c r="J499" s="358">
        <f t="shared" ca="1" si="338"/>
        <v>0</v>
      </c>
      <c r="K499" s="358">
        <f t="shared" ca="1" si="338"/>
        <v>0</v>
      </c>
      <c r="L499" s="358">
        <f t="shared" ca="1" si="338"/>
        <v>0</v>
      </c>
      <c r="M499" s="358">
        <f t="shared" ca="1" si="338"/>
        <v>0</v>
      </c>
      <c r="N499" s="358">
        <f t="shared" ca="1" si="338"/>
        <v>0</v>
      </c>
      <c r="O499" s="358">
        <f t="shared" ca="1" si="338"/>
        <v>0</v>
      </c>
      <c r="P499" s="358">
        <f t="shared" ca="1" si="338"/>
        <v>0</v>
      </c>
      <c r="Q499" s="358">
        <f t="shared" ca="1" si="338"/>
        <v>0</v>
      </c>
      <c r="R499" s="358">
        <f t="shared" ca="1" si="338"/>
        <v>0</v>
      </c>
      <c r="S499" s="358">
        <f t="shared" ca="1" si="338"/>
        <v>0</v>
      </c>
      <c r="T499" s="358">
        <f t="shared" ca="1" si="338"/>
        <v>0</v>
      </c>
      <c r="U499" s="358">
        <f t="shared" ca="1" si="338"/>
        <v>0</v>
      </c>
      <c r="V499" s="358">
        <f t="shared" ca="1" si="338"/>
        <v>0</v>
      </c>
      <c r="W499" s="358">
        <f t="shared" ca="1" si="338"/>
        <v>0</v>
      </c>
      <c r="X499" s="358">
        <f t="shared" ca="1" si="338"/>
        <v>0</v>
      </c>
      <c r="Y499" s="358">
        <f t="shared" ca="1" si="338"/>
        <v>0</v>
      </c>
      <c r="Z499" s="358">
        <f t="shared" ca="1" si="338"/>
        <v>0</v>
      </c>
      <c r="AA499" s="358">
        <f t="shared" ca="1" si="338"/>
        <v>0</v>
      </c>
      <c r="AB499" s="358">
        <f t="shared" ca="1" si="338"/>
        <v>0</v>
      </c>
      <c r="AC499" s="358">
        <f t="shared" ca="1" si="338"/>
        <v>0</v>
      </c>
      <c r="AD499" s="358">
        <f t="shared" ca="1" si="338"/>
        <v>0</v>
      </c>
      <c r="AE499" s="358">
        <f t="shared" ca="1" si="338"/>
        <v>0</v>
      </c>
      <c r="AF499" s="358">
        <f t="shared" ca="1" si="338"/>
        <v>0</v>
      </c>
      <c r="AG499" s="358">
        <f t="shared" ca="1" si="338"/>
        <v>0</v>
      </c>
      <c r="AH499" s="358">
        <f t="shared" ca="1" si="338"/>
        <v>0</v>
      </c>
      <c r="AI499" s="358">
        <f t="shared" ca="1" si="338"/>
        <v>0</v>
      </c>
      <c r="AJ499" s="358">
        <f t="shared" ca="1" si="338"/>
        <v>0</v>
      </c>
      <c r="AK499" s="358">
        <f t="shared" ca="1" si="338"/>
        <v>0</v>
      </c>
      <c r="AL499" s="358">
        <f t="shared" ca="1" si="338"/>
        <v>0</v>
      </c>
      <c r="AM499" s="358">
        <f t="shared" ca="1" si="338"/>
        <v>0</v>
      </c>
      <c r="AN499" s="358">
        <f t="shared" ca="1" si="338"/>
        <v>0</v>
      </c>
      <c r="AO499" s="358">
        <f t="shared" ca="1" si="338"/>
        <v>0</v>
      </c>
      <c r="AP499" s="358">
        <f t="shared" ca="1" si="338"/>
        <v>0</v>
      </c>
      <c r="AQ499" s="358">
        <f t="shared" ca="1" si="338"/>
        <v>0</v>
      </c>
      <c r="AR499" s="358">
        <f t="shared" ca="1" si="338"/>
        <v>0</v>
      </c>
      <c r="AS499" s="358">
        <f t="shared" ca="1" si="338"/>
        <v>0</v>
      </c>
      <c r="AT499" s="358">
        <f t="shared" ca="1" si="338"/>
        <v>0</v>
      </c>
      <c r="AU499" s="358"/>
      <c r="AV499" s="358">
        <f t="shared" ca="1" si="323"/>
        <v>0</v>
      </c>
      <c r="AX499" s="358">
        <f t="shared" ca="1" si="324"/>
        <v>0</v>
      </c>
      <c r="AZ499" s="358">
        <f t="shared" ca="1" si="325"/>
        <v>0</v>
      </c>
      <c r="BB499" s="358">
        <f t="shared" ca="1" si="326"/>
        <v>0</v>
      </c>
      <c r="BD499" s="358">
        <f t="shared" ca="1" si="327"/>
        <v>0</v>
      </c>
      <c r="BF499" s="358">
        <f t="shared" ca="1" si="328"/>
        <v>0</v>
      </c>
      <c r="BH499" s="358">
        <f t="shared" ca="1" si="329"/>
        <v>0</v>
      </c>
    </row>
    <row r="500" spans="1:60" hidden="1" outlineLevel="1">
      <c r="A500" s="1464">
        <f t="shared" si="336"/>
        <v>18</v>
      </c>
      <c r="B500" s="1464">
        <f t="shared" si="336"/>
        <v>34</v>
      </c>
      <c r="C500" s="1464">
        <f t="shared" si="332"/>
        <v>30</v>
      </c>
      <c r="D500" s="1271" t="str">
        <f ca="1">IF(OFFSET(PortfolioDashboard!$A$3,C500-1,0)="","Blank",OFFSET(PortfolioDashboard!$A$3,C500-1,0))</f>
        <v>Blank</v>
      </c>
      <c r="E500" s="1464" t="str">
        <f t="shared" si="333"/>
        <v>2010$</v>
      </c>
      <c r="F500" s="1460">
        <f t="shared" ca="1" si="320"/>
        <v>0</v>
      </c>
      <c r="G500" s="358">
        <f t="shared" ca="1" si="321"/>
        <v>0</v>
      </c>
      <c r="H500" s="358">
        <f t="shared" ca="1" si="338"/>
        <v>0</v>
      </c>
      <c r="I500" s="358">
        <f t="shared" ca="1" si="338"/>
        <v>0</v>
      </c>
      <c r="J500" s="358">
        <f t="shared" ca="1" si="338"/>
        <v>0</v>
      </c>
      <c r="K500" s="358">
        <f t="shared" ca="1" si="338"/>
        <v>0</v>
      </c>
      <c r="L500" s="358">
        <f t="shared" ca="1" si="338"/>
        <v>0</v>
      </c>
      <c r="M500" s="358">
        <f t="shared" ca="1" si="338"/>
        <v>0</v>
      </c>
      <c r="N500" s="358">
        <f t="shared" ca="1" si="338"/>
        <v>0</v>
      </c>
      <c r="O500" s="358">
        <f t="shared" ca="1" si="338"/>
        <v>0</v>
      </c>
      <c r="P500" s="358">
        <f t="shared" ca="1" si="338"/>
        <v>0</v>
      </c>
      <c r="Q500" s="358">
        <f t="shared" ca="1" si="338"/>
        <v>0</v>
      </c>
      <c r="R500" s="358">
        <f t="shared" ca="1" si="338"/>
        <v>0</v>
      </c>
      <c r="S500" s="358">
        <f t="shared" ca="1" si="338"/>
        <v>0</v>
      </c>
      <c r="T500" s="358">
        <f t="shared" ca="1" si="338"/>
        <v>0</v>
      </c>
      <c r="U500" s="358">
        <f t="shared" ca="1" si="338"/>
        <v>0</v>
      </c>
      <c r="V500" s="358">
        <f t="shared" ca="1" si="338"/>
        <v>0</v>
      </c>
      <c r="W500" s="358">
        <f t="shared" ca="1" si="338"/>
        <v>0</v>
      </c>
      <c r="X500" s="358">
        <f t="shared" ca="1" si="338"/>
        <v>0</v>
      </c>
      <c r="Y500" s="358">
        <f t="shared" ca="1" si="338"/>
        <v>0</v>
      </c>
      <c r="Z500" s="358">
        <f t="shared" ca="1" si="338"/>
        <v>0</v>
      </c>
      <c r="AA500" s="358">
        <f t="shared" ca="1" si="338"/>
        <v>0</v>
      </c>
      <c r="AB500" s="358">
        <f t="shared" ca="1" si="338"/>
        <v>0</v>
      </c>
      <c r="AC500" s="358">
        <f t="shared" ca="1" si="338"/>
        <v>0</v>
      </c>
      <c r="AD500" s="358">
        <f t="shared" ca="1" si="338"/>
        <v>0</v>
      </c>
      <c r="AE500" s="358">
        <f t="shared" ca="1" si="338"/>
        <v>0</v>
      </c>
      <c r="AF500" s="358">
        <f t="shared" ca="1" si="338"/>
        <v>0</v>
      </c>
      <c r="AG500" s="358">
        <f t="shared" ca="1" si="338"/>
        <v>0</v>
      </c>
      <c r="AH500" s="358">
        <f t="shared" ca="1" si="338"/>
        <v>0</v>
      </c>
      <c r="AI500" s="358">
        <f t="shared" ca="1" si="338"/>
        <v>0</v>
      </c>
      <c r="AJ500" s="358">
        <f t="shared" ca="1" si="338"/>
        <v>0</v>
      </c>
      <c r="AK500" s="358">
        <f t="shared" ca="1" si="338"/>
        <v>0</v>
      </c>
      <c r="AL500" s="358">
        <f t="shared" ca="1" si="338"/>
        <v>0</v>
      </c>
      <c r="AM500" s="358">
        <f t="shared" ca="1" si="338"/>
        <v>0</v>
      </c>
      <c r="AN500" s="358">
        <f t="shared" ca="1" si="338"/>
        <v>0</v>
      </c>
      <c r="AO500" s="358">
        <f t="shared" ca="1" si="338"/>
        <v>0</v>
      </c>
      <c r="AP500" s="358">
        <f t="shared" ca="1" si="338"/>
        <v>0</v>
      </c>
      <c r="AQ500" s="358">
        <f t="shared" ca="1" si="338"/>
        <v>0</v>
      </c>
      <c r="AR500" s="358">
        <f t="shared" ca="1" si="338"/>
        <v>0</v>
      </c>
      <c r="AS500" s="358">
        <f t="shared" ca="1" si="338"/>
        <v>0</v>
      </c>
      <c r="AT500" s="358">
        <f t="shared" ca="1" si="338"/>
        <v>0</v>
      </c>
      <c r="AU500" s="358"/>
      <c r="AV500" s="358">
        <f t="shared" ca="1" si="323"/>
        <v>0</v>
      </c>
      <c r="AX500" s="358">
        <f t="shared" ca="1" si="324"/>
        <v>0</v>
      </c>
      <c r="AZ500" s="358">
        <f t="shared" ca="1" si="325"/>
        <v>0</v>
      </c>
      <c r="BB500" s="358">
        <f t="shared" ca="1" si="326"/>
        <v>0</v>
      </c>
      <c r="BD500" s="358">
        <f t="shared" ca="1" si="327"/>
        <v>0</v>
      </c>
      <c r="BF500" s="358">
        <f t="shared" ca="1" si="328"/>
        <v>0</v>
      </c>
      <c r="BH500" s="358">
        <f t="shared" ca="1" si="329"/>
        <v>0</v>
      </c>
    </row>
    <row r="501" spans="1:60" ht="15.75" collapsed="1" thickBot="1">
      <c r="A501" s="1464"/>
      <c r="B501" s="1464"/>
      <c r="C501" s="1464"/>
      <c r="D501" s="1274" t="s">
        <v>272</v>
      </c>
      <c r="E501" s="1275" t="str">
        <f>E441</f>
        <v>2010$</v>
      </c>
      <c r="F501" s="1462">
        <f t="shared" ca="1" si="278"/>
        <v>355215696.46251434</v>
      </c>
      <c r="G501" s="1276">
        <f ca="1">SUM(G470,G439)</f>
        <v>-100000</v>
      </c>
      <c r="H501" s="1276">
        <f t="shared" ref="H501:AT501" ca="1" si="339">SUM(H470,H439)</f>
        <v>23133199.53011135</v>
      </c>
      <c r="I501" s="1276">
        <f t="shared" ca="1" si="339"/>
        <v>21597766.196778368</v>
      </c>
      <c r="J501" s="1276">
        <f t="shared" ca="1" si="339"/>
        <v>22878230.856093835</v>
      </c>
      <c r="K501" s="1276">
        <f t="shared" ca="1" si="339"/>
        <v>19829766.19677835</v>
      </c>
      <c r="L501" s="1276">
        <f t="shared" ca="1" si="339"/>
        <v>23039969.015801392</v>
      </c>
      <c r="M501" s="1276">
        <f t="shared" ca="1" si="339"/>
        <v>24581008.155111365</v>
      </c>
      <c r="N501" s="1276">
        <f t="shared" ca="1" si="339"/>
        <v>24581008.155111685</v>
      </c>
      <c r="O501" s="1276">
        <f t="shared" ca="1" si="339"/>
        <v>24581008.155111365</v>
      </c>
      <c r="P501" s="1276">
        <f t="shared" ca="1" si="339"/>
        <v>24581008.155111685</v>
      </c>
      <c r="Q501" s="1276">
        <f t="shared" ca="1" si="339"/>
        <v>24581008.155111365</v>
      </c>
      <c r="R501" s="1276">
        <f t="shared" ca="1" si="339"/>
        <v>24581008.1551117</v>
      </c>
      <c r="S501" s="1276">
        <f t="shared" ca="1" si="339"/>
        <v>24581008.1551117</v>
      </c>
      <c r="T501" s="1276">
        <f t="shared" ca="1" si="339"/>
        <v>24581008.15511135</v>
      </c>
      <c r="U501" s="1276">
        <f t="shared" ca="1" si="339"/>
        <v>24502390.5301117</v>
      </c>
      <c r="V501" s="1276">
        <f t="shared" ca="1" si="339"/>
        <v>24502390.530111685</v>
      </c>
      <c r="W501" s="1276">
        <f t="shared" ca="1" si="339"/>
        <v>24502390.530111365</v>
      </c>
      <c r="X501" s="1276">
        <f t="shared" ca="1" si="339"/>
        <v>24502390.5301117</v>
      </c>
      <c r="Y501" s="1276">
        <f t="shared" ca="1" si="339"/>
        <v>24502390.530111365</v>
      </c>
      <c r="Z501" s="1276">
        <f t="shared" ca="1" si="339"/>
        <v>24502390.53011167</v>
      </c>
      <c r="AA501" s="1276">
        <f t="shared" ca="1" si="339"/>
        <v>24502390.530111365</v>
      </c>
      <c r="AB501" s="1276">
        <f t="shared" ca="1" si="339"/>
        <v>24502390.5301117</v>
      </c>
      <c r="AC501" s="1276">
        <f t="shared" ca="1" si="339"/>
        <v>24502390.5301117</v>
      </c>
      <c r="AD501" s="1276">
        <f t="shared" ca="1" si="339"/>
        <v>24502390.530111365</v>
      </c>
      <c r="AE501" s="1276">
        <f t="shared" ca="1" si="339"/>
        <v>24784252.5301117</v>
      </c>
      <c r="AF501" s="1276">
        <f t="shared" ca="1" si="339"/>
        <v>24784252.5301117</v>
      </c>
      <c r="AG501" s="1276">
        <f t="shared" ca="1" si="339"/>
        <v>24122852.530111331</v>
      </c>
      <c r="AH501" s="1276">
        <f t="shared" ca="1" si="339"/>
        <v>24784252.530111365</v>
      </c>
      <c r="AI501" s="1276">
        <f t="shared" ca="1" si="339"/>
        <v>24784252.5301117</v>
      </c>
      <c r="AJ501" s="1276">
        <f t="shared" ca="1" si="339"/>
        <v>24784252.5301117</v>
      </c>
      <c r="AK501" s="1276">
        <f t="shared" ca="1" si="339"/>
        <v>24784252.530111365</v>
      </c>
      <c r="AL501" s="1276">
        <f t="shared" ca="1" si="339"/>
        <v>24784252.53011167</v>
      </c>
      <c r="AM501" s="1276">
        <f t="shared" ca="1" si="339"/>
        <v>24784252.5301117</v>
      </c>
      <c r="AN501" s="1276">
        <f t="shared" ca="1" si="339"/>
        <v>24784252.530111365</v>
      </c>
      <c r="AO501" s="1276">
        <f t="shared" ca="1" si="339"/>
        <v>24784252.5301117</v>
      </c>
      <c r="AP501" s="1276">
        <f t="shared" ca="1" si="339"/>
        <v>24784252.5301117</v>
      </c>
      <c r="AQ501" s="1276">
        <f t="shared" ca="1" si="339"/>
        <v>24784252.530111365</v>
      </c>
      <c r="AR501" s="1276">
        <f t="shared" ca="1" si="339"/>
        <v>24784252.530111365</v>
      </c>
      <c r="AS501" s="1276">
        <f t="shared" ca="1" si="339"/>
        <v>24784252.53011167</v>
      </c>
      <c r="AT501" s="1276">
        <f t="shared" ca="1" si="339"/>
        <v>24784252.5301117</v>
      </c>
      <c r="AV501" s="1276">
        <f t="shared" ca="1" si="291"/>
        <v>121364001.6362475</v>
      </c>
      <c r="AX501" s="1276">
        <f t="shared" ca="1" si="292"/>
        <v>122826423.15055782</v>
      </c>
      <c r="AZ501" s="1276">
        <f t="shared" ca="1" si="293"/>
        <v>122511952.65055779</v>
      </c>
      <c r="BB501" s="1276">
        <f t="shared" ca="1" si="294"/>
        <v>122793814.65055785</v>
      </c>
      <c r="BD501" s="1276">
        <f t="shared" ca="1" si="295"/>
        <v>123259862.65055779</v>
      </c>
      <c r="BF501" s="1276">
        <f t="shared" ca="1" si="296"/>
        <v>123921262.65055782</v>
      </c>
      <c r="BH501" s="1276">
        <f t="shared" ca="1" si="297"/>
        <v>123921262.6505578</v>
      </c>
    </row>
    <row r="502" spans="1:60" ht="15.75" hidden="1" outlineLevel="1" thickTop="1">
      <c r="A502" s="1464">
        <v>18</v>
      </c>
      <c r="B502" s="1464">
        <v>36</v>
      </c>
      <c r="C502" s="1464">
        <v>1</v>
      </c>
      <c r="D502" s="1271" t="str">
        <f ca="1">IF(OFFSET(PortfolioDashboard!$A$3,C502-1,0)="","Blank",OFFSET(PortfolioDashboard!$A$3,C502-1,0))</f>
        <v>Behavior Change</v>
      </c>
      <c r="E502" s="1464" t="s">
        <v>1197</v>
      </c>
      <c r="F502" s="1460">
        <f t="shared" ca="1" si="278"/>
        <v>0</v>
      </c>
      <c r="G502" s="358">
        <f t="shared" ref="G502:P511" ca="1" si="340">IFERROR(OFFSET(INDIRECT(INDEX(List_of_Alternatives,MATCH($D502,NameofAlternatives,0))),$A502+G$1-$G$1,$B502),0)</f>
        <v>0</v>
      </c>
      <c r="H502" s="358">
        <f t="shared" ca="1" si="340"/>
        <v>0</v>
      </c>
      <c r="I502" s="358">
        <f t="shared" ca="1" si="340"/>
        <v>0</v>
      </c>
      <c r="J502" s="358">
        <f t="shared" ca="1" si="340"/>
        <v>0</v>
      </c>
      <c r="K502" s="358">
        <f t="shared" ca="1" si="340"/>
        <v>0</v>
      </c>
      <c r="L502" s="358">
        <f t="shared" ca="1" si="340"/>
        <v>0</v>
      </c>
      <c r="M502" s="358">
        <f t="shared" ca="1" si="340"/>
        <v>0</v>
      </c>
      <c r="N502" s="358">
        <f t="shared" ca="1" si="340"/>
        <v>0</v>
      </c>
      <c r="O502" s="358">
        <f t="shared" ca="1" si="340"/>
        <v>0</v>
      </c>
      <c r="P502" s="358">
        <f t="shared" ca="1" si="340"/>
        <v>0</v>
      </c>
      <c r="Q502" s="358">
        <f t="shared" ref="Q502:Z511" ca="1" si="341">IFERROR(OFFSET(INDIRECT(INDEX(List_of_Alternatives,MATCH($D502,NameofAlternatives,0))),$A502+Q$1-$G$1,$B502),0)</f>
        <v>0</v>
      </c>
      <c r="R502" s="358">
        <f t="shared" ca="1" si="341"/>
        <v>0</v>
      </c>
      <c r="S502" s="358">
        <f t="shared" ca="1" si="341"/>
        <v>0</v>
      </c>
      <c r="T502" s="358">
        <f t="shared" ca="1" si="341"/>
        <v>0</v>
      </c>
      <c r="U502" s="358">
        <f t="shared" ca="1" si="341"/>
        <v>0</v>
      </c>
      <c r="V502" s="358">
        <f t="shared" ca="1" si="341"/>
        <v>0</v>
      </c>
      <c r="W502" s="358">
        <f t="shared" ca="1" si="341"/>
        <v>0</v>
      </c>
      <c r="X502" s="358">
        <f t="shared" ca="1" si="341"/>
        <v>0</v>
      </c>
      <c r="Y502" s="358">
        <f t="shared" ca="1" si="341"/>
        <v>0</v>
      </c>
      <c r="Z502" s="358">
        <f t="shared" ca="1" si="341"/>
        <v>0</v>
      </c>
      <c r="AA502" s="358">
        <f t="shared" ref="AA502:AJ511" ca="1" si="342">IFERROR(OFFSET(INDIRECT(INDEX(List_of_Alternatives,MATCH($D502,NameofAlternatives,0))),$A502+AA$1-$G$1,$B502),0)</f>
        <v>0</v>
      </c>
      <c r="AB502" s="358">
        <f t="shared" ca="1" si="342"/>
        <v>0</v>
      </c>
      <c r="AC502" s="358">
        <f t="shared" ca="1" si="342"/>
        <v>0</v>
      </c>
      <c r="AD502" s="358">
        <f t="shared" ca="1" si="342"/>
        <v>0</v>
      </c>
      <c r="AE502" s="358">
        <f t="shared" ca="1" si="342"/>
        <v>0</v>
      </c>
      <c r="AF502" s="358">
        <f t="shared" ca="1" si="342"/>
        <v>0</v>
      </c>
      <c r="AG502" s="358">
        <f t="shared" ca="1" si="342"/>
        <v>0</v>
      </c>
      <c r="AH502" s="358">
        <f t="shared" ca="1" si="342"/>
        <v>0</v>
      </c>
      <c r="AI502" s="358">
        <f t="shared" ca="1" si="342"/>
        <v>0</v>
      </c>
      <c r="AJ502" s="358">
        <f t="shared" ca="1" si="342"/>
        <v>0</v>
      </c>
      <c r="AK502" s="358">
        <f t="shared" ref="AK502:AT511" ca="1" si="343">IFERROR(OFFSET(INDIRECT(INDEX(List_of_Alternatives,MATCH($D502,NameofAlternatives,0))),$A502+AK$1-$G$1,$B502),0)</f>
        <v>0</v>
      </c>
      <c r="AL502" s="358">
        <f t="shared" ca="1" si="343"/>
        <v>0</v>
      </c>
      <c r="AM502" s="358">
        <f t="shared" ca="1" si="343"/>
        <v>0</v>
      </c>
      <c r="AN502" s="358">
        <f t="shared" ca="1" si="343"/>
        <v>0</v>
      </c>
      <c r="AO502" s="358">
        <f t="shared" ca="1" si="343"/>
        <v>0</v>
      </c>
      <c r="AP502" s="358">
        <f t="shared" ca="1" si="343"/>
        <v>0</v>
      </c>
      <c r="AQ502" s="358">
        <f t="shared" ca="1" si="343"/>
        <v>0</v>
      </c>
      <c r="AR502" s="358">
        <f t="shared" ca="1" si="343"/>
        <v>0</v>
      </c>
      <c r="AS502" s="358">
        <f t="shared" ca="1" si="343"/>
        <v>0</v>
      </c>
      <c r="AT502" s="358">
        <f t="shared" ca="1" si="343"/>
        <v>0</v>
      </c>
      <c r="AV502" s="358">
        <f t="shared" ca="1" si="291"/>
        <v>0</v>
      </c>
      <c r="AX502" s="358">
        <f t="shared" ca="1" si="292"/>
        <v>0</v>
      </c>
      <c r="AZ502" s="358">
        <f t="shared" ca="1" si="293"/>
        <v>0</v>
      </c>
      <c r="BB502" s="358">
        <f t="shared" ca="1" si="294"/>
        <v>0</v>
      </c>
      <c r="BD502" s="358">
        <f t="shared" ca="1" si="295"/>
        <v>0</v>
      </c>
      <c r="BF502" s="358">
        <f t="shared" ca="1" si="296"/>
        <v>0</v>
      </c>
      <c r="BH502" s="358">
        <f t="shared" ca="1" si="297"/>
        <v>0</v>
      </c>
    </row>
    <row r="503" spans="1:60" hidden="1" outlineLevel="1">
      <c r="A503" s="1464">
        <f>A502</f>
        <v>18</v>
      </c>
      <c r="B503" s="1464">
        <f>B502</f>
        <v>36</v>
      </c>
      <c r="C503" s="1464">
        <f>C502+1</f>
        <v>2</v>
      </c>
      <c r="D503" s="1271" t="str">
        <f ca="1">IF(OFFSET(PortfolioDashboard!$A$3,C503-1,0)="","Blank",OFFSET(PortfolioDashboard!$A$3,C503-1,0))</f>
        <v>Building Design &amp; Construction Standards</v>
      </c>
      <c r="E503" s="1464" t="str">
        <f>E502</f>
        <v>2010$</v>
      </c>
      <c r="F503" s="1460">
        <f t="shared" ref="F503:F596" ca="1" si="344">NPV(DiscountRate,G503:AT503)</f>
        <v>0</v>
      </c>
      <c r="G503" s="358">
        <f t="shared" ca="1" si="340"/>
        <v>0</v>
      </c>
      <c r="H503" s="358">
        <f t="shared" ca="1" si="340"/>
        <v>0</v>
      </c>
      <c r="I503" s="358">
        <f t="shared" ca="1" si="340"/>
        <v>0</v>
      </c>
      <c r="J503" s="358">
        <f t="shared" ca="1" si="340"/>
        <v>0</v>
      </c>
      <c r="K503" s="358">
        <f t="shared" ca="1" si="340"/>
        <v>0</v>
      </c>
      <c r="L503" s="358">
        <f t="shared" ca="1" si="340"/>
        <v>0</v>
      </c>
      <c r="M503" s="358">
        <f t="shared" ca="1" si="340"/>
        <v>0</v>
      </c>
      <c r="N503" s="358">
        <f t="shared" ca="1" si="340"/>
        <v>0</v>
      </c>
      <c r="O503" s="358">
        <f t="shared" ca="1" si="340"/>
        <v>0</v>
      </c>
      <c r="P503" s="358">
        <f t="shared" ca="1" si="340"/>
        <v>0</v>
      </c>
      <c r="Q503" s="358">
        <f t="shared" ca="1" si="341"/>
        <v>0</v>
      </c>
      <c r="R503" s="358">
        <f t="shared" ca="1" si="341"/>
        <v>0</v>
      </c>
      <c r="S503" s="358">
        <f t="shared" ca="1" si="341"/>
        <v>0</v>
      </c>
      <c r="T503" s="358">
        <f t="shared" ca="1" si="341"/>
        <v>0</v>
      </c>
      <c r="U503" s="358">
        <f t="shared" ca="1" si="341"/>
        <v>0</v>
      </c>
      <c r="V503" s="358">
        <f t="shared" ca="1" si="341"/>
        <v>0</v>
      </c>
      <c r="W503" s="358">
        <f t="shared" ca="1" si="341"/>
        <v>0</v>
      </c>
      <c r="X503" s="358">
        <f t="shared" ca="1" si="341"/>
        <v>0</v>
      </c>
      <c r="Y503" s="358">
        <f t="shared" ca="1" si="341"/>
        <v>0</v>
      </c>
      <c r="Z503" s="358">
        <f t="shared" ca="1" si="341"/>
        <v>0</v>
      </c>
      <c r="AA503" s="358">
        <f t="shared" ca="1" si="342"/>
        <v>0</v>
      </c>
      <c r="AB503" s="358">
        <f t="shared" ca="1" si="342"/>
        <v>0</v>
      </c>
      <c r="AC503" s="358">
        <f t="shared" ca="1" si="342"/>
        <v>0</v>
      </c>
      <c r="AD503" s="358">
        <f t="shared" ca="1" si="342"/>
        <v>0</v>
      </c>
      <c r="AE503" s="358">
        <f t="shared" ca="1" si="342"/>
        <v>0</v>
      </c>
      <c r="AF503" s="358">
        <f t="shared" ca="1" si="342"/>
        <v>0</v>
      </c>
      <c r="AG503" s="358">
        <f t="shared" ca="1" si="342"/>
        <v>0</v>
      </c>
      <c r="AH503" s="358">
        <f t="shared" ca="1" si="342"/>
        <v>0</v>
      </c>
      <c r="AI503" s="358">
        <f t="shared" ca="1" si="342"/>
        <v>0</v>
      </c>
      <c r="AJ503" s="358">
        <f t="shared" ca="1" si="342"/>
        <v>0</v>
      </c>
      <c r="AK503" s="358">
        <f t="shared" ca="1" si="343"/>
        <v>0</v>
      </c>
      <c r="AL503" s="358">
        <f t="shared" ca="1" si="343"/>
        <v>0</v>
      </c>
      <c r="AM503" s="358">
        <f t="shared" ca="1" si="343"/>
        <v>0</v>
      </c>
      <c r="AN503" s="358">
        <f t="shared" ca="1" si="343"/>
        <v>0</v>
      </c>
      <c r="AO503" s="358">
        <f t="shared" ca="1" si="343"/>
        <v>0</v>
      </c>
      <c r="AP503" s="358">
        <f t="shared" ca="1" si="343"/>
        <v>0</v>
      </c>
      <c r="AQ503" s="358">
        <f t="shared" ca="1" si="343"/>
        <v>0</v>
      </c>
      <c r="AR503" s="358">
        <f t="shared" ca="1" si="343"/>
        <v>0</v>
      </c>
      <c r="AS503" s="358">
        <f t="shared" ca="1" si="343"/>
        <v>0</v>
      </c>
      <c r="AT503" s="358">
        <f t="shared" ca="1" si="343"/>
        <v>0</v>
      </c>
      <c r="AV503" s="358">
        <f t="shared" ca="1" si="291"/>
        <v>0</v>
      </c>
      <c r="AX503" s="358">
        <f t="shared" ca="1" si="292"/>
        <v>0</v>
      </c>
      <c r="AZ503" s="358">
        <f t="shared" ca="1" si="293"/>
        <v>0</v>
      </c>
      <c r="BB503" s="358">
        <f t="shared" ca="1" si="294"/>
        <v>0</v>
      </c>
      <c r="BD503" s="358">
        <f t="shared" ca="1" si="295"/>
        <v>0</v>
      </c>
      <c r="BF503" s="358">
        <f t="shared" ca="1" si="296"/>
        <v>0</v>
      </c>
      <c r="BH503" s="358">
        <f t="shared" ca="1" si="297"/>
        <v>0</v>
      </c>
    </row>
    <row r="504" spans="1:60" hidden="1" outlineLevel="1">
      <c r="A504" s="1464">
        <f t="shared" ref="A504:A531" si="345">A503</f>
        <v>18</v>
      </c>
      <c r="B504" s="1464">
        <f t="shared" ref="B504:B531" si="346">B503</f>
        <v>36</v>
      </c>
      <c r="C504" s="1464">
        <f t="shared" ref="C504:C531" si="347">C503+1</f>
        <v>3</v>
      </c>
      <c r="D504" s="1271" t="str">
        <f ca="1">IF(OFFSET(PortfolioDashboard!$A$3,C504-1,0)="","Blank",OFFSET(PortfolioDashboard!$A$3,C504-1,0))</f>
        <v>Space Planning &amp; Management</v>
      </c>
      <c r="E504" s="1464" t="str">
        <f t="shared" ref="E504:E531" si="348">E503</f>
        <v>2010$</v>
      </c>
      <c r="F504" s="1460">
        <f t="shared" ca="1" si="344"/>
        <v>44231257.742462948</v>
      </c>
      <c r="G504" s="358">
        <f t="shared" ca="1" si="340"/>
        <v>0</v>
      </c>
      <c r="H504" s="358">
        <f t="shared" ca="1" si="340"/>
        <v>409357.34419598413</v>
      </c>
      <c r="I504" s="358">
        <f t="shared" ca="1" si="340"/>
        <v>614036.0162939775</v>
      </c>
      <c r="J504" s="358">
        <f t="shared" ca="1" si="340"/>
        <v>818714.68839196826</v>
      </c>
      <c r="K504" s="358">
        <f t="shared" ca="1" si="340"/>
        <v>1023393.3604899617</v>
      </c>
      <c r="L504" s="358">
        <f t="shared" ca="1" si="340"/>
        <v>1228072.032587955</v>
      </c>
      <c r="M504" s="358">
        <f t="shared" ca="1" si="340"/>
        <v>1432750.7046859458</v>
      </c>
      <c r="N504" s="358">
        <f t="shared" ca="1" si="340"/>
        <v>1637429.3767839391</v>
      </c>
      <c r="O504" s="358">
        <f t="shared" ca="1" si="340"/>
        <v>1842108.0488819298</v>
      </c>
      <c r="P504" s="358">
        <f t="shared" ca="1" si="340"/>
        <v>2046786.7209799234</v>
      </c>
      <c r="Q504" s="358">
        <f t="shared" ca="1" si="341"/>
        <v>2251465.3930779141</v>
      </c>
      <c r="R504" s="358">
        <f t="shared" ca="1" si="341"/>
        <v>2456144.0651759072</v>
      </c>
      <c r="S504" s="358">
        <f t="shared" ca="1" si="341"/>
        <v>2660822.7372739008</v>
      </c>
      <c r="T504" s="358">
        <f t="shared" ca="1" si="341"/>
        <v>2865501.4093718915</v>
      </c>
      <c r="U504" s="358">
        <f t="shared" ca="1" si="341"/>
        <v>3070180.0814698851</v>
      </c>
      <c r="V504" s="358">
        <f t="shared" ca="1" si="341"/>
        <v>3274858.7535678782</v>
      </c>
      <c r="W504" s="358">
        <f t="shared" ca="1" si="341"/>
        <v>3479537.4256658689</v>
      </c>
      <c r="X504" s="358">
        <f t="shared" ca="1" si="341"/>
        <v>3684216.0977638625</v>
      </c>
      <c r="Y504" s="358">
        <f t="shared" ca="1" si="341"/>
        <v>3888894.7698618532</v>
      </c>
      <c r="Z504" s="358">
        <f t="shared" ca="1" si="341"/>
        <v>4093573.4419598468</v>
      </c>
      <c r="AA504" s="358">
        <f t="shared" ca="1" si="342"/>
        <v>4298252.1140578371</v>
      </c>
      <c r="AB504" s="358">
        <f t="shared" ca="1" si="342"/>
        <v>4502930.7861558311</v>
      </c>
      <c r="AC504" s="358">
        <f t="shared" ca="1" si="342"/>
        <v>4707609.4582538242</v>
      </c>
      <c r="AD504" s="358">
        <f t="shared" ca="1" si="342"/>
        <v>4912288.1303518144</v>
      </c>
      <c r="AE504" s="358">
        <f t="shared" ca="1" si="342"/>
        <v>5116966.8024498075</v>
      </c>
      <c r="AF504" s="358">
        <f t="shared" ca="1" si="342"/>
        <v>5321645.4745478015</v>
      </c>
      <c r="AG504" s="358">
        <f t="shared" ca="1" si="342"/>
        <v>5526324.1466457918</v>
      </c>
      <c r="AH504" s="358">
        <f t="shared" ca="1" si="342"/>
        <v>5731002.818743783</v>
      </c>
      <c r="AI504" s="358">
        <f t="shared" ca="1" si="342"/>
        <v>5935681.4908417761</v>
      </c>
      <c r="AJ504" s="358">
        <f t="shared" ca="1" si="342"/>
        <v>6140360.1629397701</v>
      </c>
      <c r="AK504" s="358">
        <f t="shared" ca="1" si="343"/>
        <v>6345038.8350377604</v>
      </c>
      <c r="AL504" s="358">
        <f t="shared" ca="1" si="343"/>
        <v>6549717.5071357545</v>
      </c>
      <c r="AM504" s="358">
        <f t="shared" ca="1" si="343"/>
        <v>6754396.1792337466</v>
      </c>
      <c r="AN504" s="358">
        <f t="shared" ca="1" si="343"/>
        <v>6959074.8513317378</v>
      </c>
      <c r="AO504" s="358">
        <f t="shared" ca="1" si="343"/>
        <v>7163753.5234297309</v>
      </c>
      <c r="AP504" s="358">
        <f t="shared" ca="1" si="343"/>
        <v>7368432.1955277249</v>
      </c>
      <c r="AQ504" s="358">
        <f t="shared" ca="1" si="343"/>
        <v>7573110.8676257152</v>
      </c>
      <c r="AR504" s="358">
        <f t="shared" ca="1" si="343"/>
        <v>7777789.5397237064</v>
      </c>
      <c r="AS504" s="358">
        <f t="shared" ca="1" si="343"/>
        <v>7982468.2118216995</v>
      </c>
      <c r="AT504" s="358">
        <f t="shared" ca="1" si="343"/>
        <v>8187146.8839196935</v>
      </c>
      <c r="AV504" s="358">
        <f t="shared" ca="1" si="291"/>
        <v>8187146.8839196935</v>
      </c>
      <c r="AX504" s="358">
        <f t="shared" ca="1" si="292"/>
        <v>13304113.686369497</v>
      </c>
      <c r="AZ504" s="358">
        <f t="shared" ca="1" si="293"/>
        <v>18421080.488819309</v>
      </c>
      <c r="BB504" s="358">
        <f t="shared" ca="1" si="294"/>
        <v>23538047.291269116</v>
      </c>
      <c r="BD504" s="358">
        <f t="shared" ca="1" si="295"/>
        <v>28655014.093718924</v>
      </c>
      <c r="BF504" s="358">
        <f t="shared" ca="1" si="296"/>
        <v>33771980.896168731</v>
      </c>
      <c r="BH504" s="358">
        <f t="shared" ca="1" si="297"/>
        <v>38888947.698618539</v>
      </c>
    </row>
    <row r="505" spans="1:60" hidden="1" outlineLevel="1">
      <c r="A505" s="1464">
        <f t="shared" si="345"/>
        <v>18</v>
      </c>
      <c r="B505" s="1464">
        <f t="shared" si="346"/>
        <v>36</v>
      </c>
      <c r="C505" s="1464">
        <f t="shared" si="347"/>
        <v>4</v>
      </c>
      <c r="D505" s="1271" t="str">
        <f ca="1">IF(OFFSET(PortfolioDashboard!$A$3,C505-1,0)="","Blank",OFFSET(PortfolioDashboard!$A$3,C505-1,0))</f>
        <v>Central Chiller Expansion</v>
      </c>
      <c r="E505" s="1464" t="str">
        <f t="shared" si="348"/>
        <v>2010$</v>
      </c>
      <c r="F505" s="1460">
        <f t="shared" ca="1" si="344"/>
        <v>0</v>
      </c>
      <c r="G505" s="358">
        <f t="shared" ca="1" si="340"/>
        <v>0</v>
      </c>
      <c r="H505" s="358">
        <f t="shared" ca="1" si="340"/>
        <v>0</v>
      </c>
      <c r="I505" s="358">
        <f t="shared" ca="1" si="340"/>
        <v>0</v>
      </c>
      <c r="J505" s="358">
        <f t="shared" ca="1" si="340"/>
        <v>0</v>
      </c>
      <c r="K505" s="358">
        <f t="shared" ca="1" si="340"/>
        <v>0</v>
      </c>
      <c r="L505" s="358">
        <f t="shared" ca="1" si="340"/>
        <v>0</v>
      </c>
      <c r="M505" s="358">
        <f t="shared" ca="1" si="340"/>
        <v>0</v>
      </c>
      <c r="N505" s="358">
        <f t="shared" ca="1" si="340"/>
        <v>0</v>
      </c>
      <c r="O505" s="358">
        <f t="shared" ca="1" si="340"/>
        <v>0</v>
      </c>
      <c r="P505" s="358">
        <f t="shared" ca="1" si="340"/>
        <v>0</v>
      </c>
      <c r="Q505" s="358">
        <f t="shared" ca="1" si="341"/>
        <v>0</v>
      </c>
      <c r="R505" s="358">
        <f t="shared" ca="1" si="341"/>
        <v>0</v>
      </c>
      <c r="S505" s="358">
        <f t="shared" ca="1" si="341"/>
        <v>0</v>
      </c>
      <c r="T505" s="358">
        <f t="shared" ca="1" si="341"/>
        <v>0</v>
      </c>
      <c r="U505" s="358">
        <f t="shared" ca="1" si="341"/>
        <v>0</v>
      </c>
      <c r="V505" s="358">
        <f t="shared" ca="1" si="341"/>
        <v>0</v>
      </c>
      <c r="W505" s="358">
        <f t="shared" ca="1" si="341"/>
        <v>0</v>
      </c>
      <c r="X505" s="358">
        <f t="shared" ca="1" si="341"/>
        <v>0</v>
      </c>
      <c r="Y505" s="358">
        <f t="shared" ca="1" si="341"/>
        <v>0</v>
      </c>
      <c r="Z505" s="358">
        <f t="shared" ca="1" si="341"/>
        <v>0</v>
      </c>
      <c r="AA505" s="358">
        <f t="shared" ca="1" si="342"/>
        <v>0</v>
      </c>
      <c r="AB505" s="358">
        <f t="shared" ca="1" si="342"/>
        <v>0</v>
      </c>
      <c r="AC505" s="358">
        <f t="shared" ca="1" si="342"/>
        <v>0</v>
      </c>
      <c r="AD505" s="358">
        <f t="shared" ca="1" si="342"/>
        <v>0</v>
      </c>
      <c r="AE505" s="358">
        <f t="shared" ca="1" si="342"/>
        <v>0</v>
      </c>
      <c r="AF505" s="358">
        <f t="shared" ca="1" si="342"/>
        <v>0</v>
      </c>
      <c r="AG505" s="358">
        <f t="shared" ca="1" si="342"/>
        <v>0</v>
      </c>
      <c r="AH505" s="358">
        <f t="shared" ca="1" si="342"/>
        <v>0</v>
      </c>
      <c r="AI505" s="358">
        <f t="shared" ca="1" si="342"/>
        <v>0</v>
      </c>
      <c r="AJ505" s="358">
        <f t="shared" ca="1" si="342"/>
        <v>0</v>
      </c>
      <c r="AK505" s="358">
        <f t="shared" ca="1" si="343"/>
        <v>0</v>
      </c>
      <c r="AL505" s="358">
        <f t="shared" ca="1" si="343"/>
        <v>0</v>
      </c>
      <c r="AM505" s="358">
        <f t="shared" ca="1" si="343"/>
        <v>0</v>
      </c>
      <c r="AN505" s="358">
        <f t="shared" ca="1" si="343"/>
        <v>0</v>
      </c>
      <c r="AO505" s="358">
        <f t="shared" ca="1" si="343"/>
        <v>0</v>
      </c>
      <c r="AP505" s="358">
        <f t="shared" ca="1" si="343"/>
        <v>0</v>
      </c>
      <c r="AQ505" s="358">
        <f t="shared" ca="1" si="343"/>
        <v>0</v>
      </c>
      <c r="AR505" s="358">
        <f t="shared" ca="1" si="343"/>
        <v>0</v>
      </c>
      <c r="AS505" s="358">
        <f t="shared" ca="1" si="343"/>
        <v>0</v>
      </c>
      <c r="AT505" s="358">
        <f t="shared" ca="1" si="343"/>
        <v>0</v>
      </c>
      <c r="AV505" s="358">
        <f t="shared" ca="1" si="291"/>
        <v>0</v>
      </c>
      <c r="AX505" s="358">
        <f t="shared" ca="1" si="292"/>
        <v>0</v>
      </c>
      <c r="AZ505" s="358">
        <f t="shared" ca="1" si="293"/>
        <v>0</v>
      </c>
      <c r="BB505" s="358">
        <f t="shared" ca="1" si="294"/>
        <v>0</v>
      </c>
      <c r="BD505" s="358">
        <f t="shared" ca="1" si="295"/>
        <v>0</v>
      </c>
      <c r="BF505" s="358">
        <f t="shared" ca="1" si="296"/>
        <v>0</v>
      </c>
      <c r="BH505" s="358">
        <f t="shared" ca="1" si="297"/>
        <v>0</v>
      </c>
    </row>
    <row r="506" spans="1:60" hidden="1" outlineLevel="1">
      <c r="A506" s="1464">
        <f t="shared" si="345"/>
        <v>18</v>
      </c>
      <c r="B506" s="1464">
        <f t="shared" si="346"/>
        <v>36</v>
      </c>
      <c r="C506" s="1464">
        <f t="shared" si="347"/>
        <v>5</v>
      </c>
      <c r="D506" s="1271" t="str">
        <f ca="1">IF(OFFSET(PortfolioDashboard!$A$3,C506-1,0)="","Blank",OFFSET(PortfolioDashboard!$A$3,C506-1,0))</f>
        <v>Short-term Energy Conservation Measures</v>
      </c>
      <c r="E506" s="1464" t="str">
        <f t="shared" si="348"/>
        <v>2010$</v>
      </c>
      <c r="F506" s="1460">
        <f t="shared" ca="1" si="344"/>
        <v>0</v>
      </c>
      <c r="G506" s="358">
        <f t="shared" ca="1" si="340"/>
        <v>0</v>
      </c>
      <c r="H506" s="358">
        <f t="shared" ca="1" si="340"/>
        <v>0</v>
      </c>
      <c r="I506" s="358">
        <f t="shared" ca="1" si="340"/>
        <v>0</v>
      </c>
      <c r="J506" s="358">
        <f t="shared" ca="1" si="340"/>
        <v>0</v>
      </c>
      <c r="K506" s="358">
        <f t="shared" ca="1" si="340"/>
        <v>0</v>
      </c>
      <c r="L506" s="358">
        <f t="shared" ca="1" si="340"/>
        <v>0</v>
      </c>
      <c r="M506" s="358">
        <f t="shared" ca="1" si="340"/>
        <v>0</v>
      </c>
      <c r="N506" s="358">
        <f t="shared" ca="1" si="340"/>
        <v>0</v>
      </c>
      <c r="O506" s="358">
        <f t="shared" ca="1" si="340"/>
        <v>0</v>
      </c>
      <c r="P506" s="358">
        <f t="shared" ca="1" si="340"/>
        <v>0</v>
      </c>
      <c r="Q506" s="358">
        <f t="shared" ca="1" si="341"/>
        <v>0</v>
      </c>
      <c r="R506" s="358">
        <f t="shared" ca="1" si="341"/>
        <v>0</v>
      </c>
      <c r="S506" s="358">
        <f t="shared" ca="1" si="341"/>
        <v>0</v>
      </c>
      <c r="T506" s="358">
        <f t="shared" ca="1" si="341"/>
        <v>0</v>
      </c>
      <c r="U506" s="358">
        <f t="shared" ca="1" si="341"/>
        <v>0</v>
      </c>
      <c r="V506" s="358">
        <f t="shared" ca="1" si="341"/>
        <v>0</v>
      </c>
      <c r="W506" s="358">
        <f t="shared" ca="1" si="341"/>
        <v>0</v>
      </c>
      <c r="X506" s="358">
        <f t="shared" ca="1" si="341"/>
        <v>0</v>
      </c>
      <c r="Y506" s="358">
        <f t="shared" ca="1" si="341"/>
        <v>0</v>
      </c>
      <c r="Z506" s="358">
        <f t="shared" ca="1" si="341"/>
        <v>0</v>
      </c>
      <c r="AA506" s="358">
        <f t="shared" ca="1" si="342"/>
        <v>0</v>
      </c>
      <c r="AB506" s="358">
        <f t="shared" ca="1" si="342"/>
        <v>0</v>
      </c>
      <c r="AC506" s="358">
        <f t="shared" ca="1" si="342"/>
        <v>0</v>
      </c>
      <c r="AD506" s="358">
        <f t="shared" ca="1" si="342"/>
        <v>0</v>
      </c>
      <c r="AE506" s="358">
        <f t="shared" ca="1" si="342"/>
        <v>0</v>
      </c>
      <c r="AF506" s="358">
        <f t="shared" ca="1" si="342"/>
        <v>0</v>
      </c>
      <c r="AG506" s="358">
        <f t="shared" ca="1" si="342"/>
        <v>0</v>
      </c>
      <c r="AH506" s="358">
        <f t="shared" ca="1" si="342"/>
        <v>0</v>
      </c>
      <c r="AI506" s="358">
        <f t="shared" ca="1" si="342"/>
        <v>0</v>
      </c>
      <c r="AJ506" s="358">
        <f t="shared" ca="1" si="342"/>
        <v>0</v>
      </c>
      <c r="AK506" s="358">
        <f t="shared" ca="1" si="343"/>
        <v>0</v>
      </c>
      <c r="AL506" s="358">
        <f t="shared" ca="1" si="343"/>
        <v>0</v>
      </c>
      <c r="AM506" s="358">
        <f t="shared" ca="1" si="343"/>
        <v>0</v>
      </c>
      <c r="AN506" s="358">
        <f t="shared" ca="1" si="343"/>
        <v>0</v>
      </c>
      <c r="AO506" s="358">
        <f t="shared" ca="1" si="343"/>
        <v>0</v>
      </c>
      <c r="AP506" s="358">
        <f t="shared" ca="1" si="343"/>
        <v>0</v>
      </c>
      <c r="AQ506" s="358">
        <f t="shared" ca="1" si="343"/>
        <v>0</v>
      </c>
      <c r="AR506" s="358">
        <f t="shared" ca="1" si="343"/>
        <v>0</v>
      </c>
      <c r="AS506" s="358">
        <f t="shared" ca="1" si="343"/>
        <v>0</v>
      </c>
      <c r="AT506" s="358">
        <f t="shared" ca="1" si="343"/>
        <v>0</v>
      </c>
      <c r="AV506" s="358">
        <f t="shared" ca="1" si="291"/>
        <v>0</v>
      </c>
      <c r="AX506" s="358">
        <f t="shared" ca="1" si="292"/>
        <v>0</v>
      </c>
      <c r="AZ506" s="358">
        <f t="shared" ca="1" si="293"/>
        <v>0</v>
      </c>
      <c r="BB506" s="358">
        <f t="shared" ca="1" si="294"/>
        <v>0</v>
      </c>
      <c r="BD506" s="358">
        <f t="shared" ca="1" si="295"/>
        <v>0</v>
      </c>
      <c r="BF506" s="358">
        <f t="shared" ca="1" si="296"/>
        <v>0</v>
      </c>
      <c r="BH506" s="358">
        <f t="shared" ca="1" si="297"/>
        <v>0</v>
      </c>
    </row>
    <row r="507" spans="1:60" hidden="1" outlineLevel="1">
      <c r="A507" s="1464">
        <f t="shared" si="345"/>
        <v>18</v>
      </c>
      <c r="B507" s="1464">
        <f t="shared" si="346"/>
        <v>36</v>
      </c>
      <c r="C507" s="1464">
        <f t="shared" si="347"/>
        <v>6</v>
      </c>
      <c r="D507" s="1271" t="str">
        <f ca="1">IF(OFFSET(PortfolioDashboard!$A$3,C507-1,0)="","Blank",OFFSET(PortfolioDashboard!$A$3,C507-1,0))</f>
        <v>Mid-term Energy Conservation Measures</v>
      </c>
      <c r="E507" s="1464" t="str">
        <f t="shared" si="348"/>
        <v>2010$</v>
      </c>
      <c r="F507" s="1460">
        <f t="shared" ca="1" si="344"/>
        <v>0</v>
      </c>
      <c r="G507" s="358">
        <f t="shared" ca="1" si="340"/>
        <v>0</v>
      </c>
      <c r="H507" s="358">
        <f t="shared" ca="1" si="340"/>
        <v>0</v>
      </c>
      <c r="I507" s="358">
        <f t="shared" ca="1" si="340"/>
        <v>0</v>
      </c>
      <c r="J507" s="358">
        <f t="shared" ca="1" si="340"/>
        <v>0</v>
      </c>
      <c r="K507" s="358">
        <f t="shared" ca="1" si="340"/>
        <v>0</v>
      </c>
      <c r="L507" s="358">
        <f t="shared" ca="1" si="340"/>
        <v>0</v>
      </c>
      <c r="M507" s="358">
        <f t="shared" ca="1" si="340"/>
        <v>0</v>
      </c>
      <c r="N507" s="358">
        <f t="shared" ca="1" si="340"/>
        <v>0</v>
      </c>
      <c r="O507" s="358">
        <f t="shared" ca="1" si="340"/>
        <v>0</v>
      </c>
      <c r="P507" s="358">
        <f t="shared" ca="1" si="340"/>
        <v>0</v>
      </c>
      <c r="Q507" s="358">
        <f t="shared" ca="1" si="341"/>
        <v>0</v>
      </c>
      <c r="R507" s="358">
        <f t="shared" ca="1" si="341"/>
        <v>0</v>
      </c>
      <c r="S507" s="358">
        <f t="shared" ca="1" si="341"/>
        <v>0</v>
      </c>
      <c r="T507" s="358">
        <f t="shared" ca="1" si="341"/>
        <v>0</v>
      </c>
      <c r="U507" s="358">
        <f t="shared" ca="1" si="341"/>
        <v>0</v>
      </c>
      <c r="V507" s="358">
        <f t="shared" ca="1" si="341"/>
        <v>0</v>
      </c>
      <c r="W507" s="358">
        <f t="shared" ca="1" si="341"/>
        <v>0</v>
      </c>
      <c r="X507" s="358">
        <f t="shared" ca="1" si="341"/>
        <v>0</v>
      </c>
      <c r="Y507" s="358">
        <f t="shared" ca="1" si="341"/>
        <v>0</v>
      </c>
      <c r="Z507" s="358">
        <f t="shared" ca="1" si="341"/>
        <v>0</v>
      </c>
      <c r="AA507" s="358">
        <f t="shared" ca="1" si="342"/>
        <v>0</v>
      </c>
      <c r="AB507" s="358">
        <f t="shared" ca="1" si="342"/>
        <v>0</v>
      </c>
      <c r="AC507" s="358">
        <f t="shared" ca="1" si="342"/>
        <v>0</v>
      </c>
      <c r="AD507" s="358">
        <f t="shared" ca="1" si="342"/>
        <v>0</v>
      </c>
      <c r="AE507" s="358">
        <f t="shared" ca="1" si="342"/>
        <v>0</v>
      </c>
      <c r="AF507" s="358">
        <f t="shared" ca="1" si="342"/>
        <v>0</v>
      </c>
      <c r="AG507" s="358">
        <f t="shared" ca="1" si="342"/>
        <v>0</v>
      </c>
      <c r="AH507" s="358">
        <f t="shared" ca="1" si="342"/>
        <v>0</v>
      </c>
      <c r="AI507" s="358">
        <f t="shared" ca="1" si="342"/>
        <v>0</v>
      </c>
      <c r="AJ507" s="358">
        <f t="shared" ca="1" si="342"/>
        <v>0</v>
      </c>
      <c r="AK507" s="358">
        <f t="shared" ca="1" si="343"/>
        <v>0</v>
      </c>
      <c r="AL507" s="358">
        <f t="shared" ca="1" si="343"/>
        <v>0</v>
      </c>
      <c r="AM507" s="358">
        <f t="shared" ca="1" si="343"/>
        <v>0</v>
      </c>
      <c r="AN507" s="358">
        <f t="shared" ca="1" si="343"/>
        <v>0</v>
      </c>
      <c r="AO507" s="358">
        <f t="shared" ca="1" si="343"/>
        <v>0</v>
      </c>
      <c r="AP507" s="358">
        <f t="shared" ca="1" si="343"/>
        <v>0</v>
      </c>
      <c r="AQ507" s="358">
        <f t="shared" ca="1" si="343"/>
        <v>0</v>
      </c>
      <c r="AR507" s="358">
        <f t="shared" ca="1" si="343"/>
        <v>0</v>
      </c>
      <c r="AS507" s="358">
        <f t="shared" ca="1" si="343"/>
        <v>0</v>
      </c>
      <c r="AT507" s="358">
        <f t="shared" ca="1" si="343"/>
        <v>0</v>
      </c>
      <c r="AV507" s="358">
        <f t="shared" ca="1" si="291"/>
        <v>0</v>
      </c>
      <c r="AX507" s="358">
        <f t="shared" ca="1" si="292"/>
        <v>0</v>
      </c>
      <c r="AZ507" s="358">
        <f t="shared" ca="1" si="293"/>
        <v>0</v>
      </c>
      <c r="BB507" s="358">
        <f t="shared" ca="1" si="294"/>
        <v>0</v>
      </c>
      <c r="BD507" s="358">
        <f t="shared" ca="1" si="295"/>
        <v>0</v>
      </c>
      <c r="BF507" s="358">
        <f t="shared" ca="1" si="296"/>
        <v>0</v>
      </c>
      <c r="BH507" s="358">
        <f t="shared" ca="1" si="297"/>
        <v>0</v>
      </c>
    </row>
    <row r="508" spans="1:60" hidden="1" outlineLevel="1">
      <c r="A508" s="1464">
        <f t="shared" si="345"/>
        <v>18</v>
      </c>
      <c r="B508" s="1464">
        <f t="shared" si="346"/>
        <v>36</v>
      </c>
      <c r="C508" s="1464">
        <f t="shared" si="347"/>
        <v>7</v>
      </c>
      <c r="D508" s="1271" t="str">
        <f ca="1">IF(OFFSET(PortfolioDashboard!$A$3,C508-1,0)="","Blank",OFFSET(PortfolioDashboard!$A$3,C508-1,0))</f>
        <v>Long-term Energy Conservation Measures</v>
      </c>
      <c r="E508" s="1464" t="str">
        <f t="shared" si="348"/>
        <v>2010$</v>
      </c>
      <c r="F508" s="1460">
        <f t="shared" ca="1" si="344"/>
        <v>0</v>
      </c>
      <c r="G508" s="358">
        <f t="shared" ca="1" si="340"/>
        <v>0</v>
      </c>
      <c r="H508" s="358">
        <f t="shared" ca="1" si="340"/>
        <v>0</v>
      </c>
      <c r="I508" s="358">
        <f t="shared" ca="1" si="340"/>
        <v>0</v>
      </c>
      <c r="J508" s="358">
        <f t="shared" ca="1" si="340"/>
        <v>0</v>
      </c>
      <c r="K508" s="358">
        <f t="shared" ca="1" si="340"/>
        <v>0</v>
      </c>
      <c r="L508" s="358">
        <f t="shared" ca="1" si="340"/>
        <v>0</v>
      </c>
      <c r="M508" s="358">
        <f t="shared" ca="1" si="340"/>
        <v>0</v>
      </c>
      <c r="N508" s="358">
        <f t="shared" ca="1" si="340"/>
        <v>0</v>
      </c>
      <c r="O508" s="358">
        <f t="shared" ca="1" si="340"/>
        <v>0</v>
      </c>
      <c r="P508" s="358">
        <f t="shared" ca="1" si="340"/>
        <v>0</v>
      </c>
      <c r="Q508" s="358">
        <f t="shared" ca="1" si="341"/>
        <v>0</v>
      </c>
      <c r="R508" s="358">
        <f t="shared" ca="1" si="341"/>
        <v>0</v>
      </c>
      <c r="S508" s="358">
        <f t="shared" ca="1" si="341"/>
        <v>0</v>
      </c>
      <c r="T508" s="358">
        <f t="shared" ca="1" si="341"/>
        <v>0</v>
      </c>
      <c r="U508" s="358">
        <f t="shared" ca="1" si="341"/>
        <v>0</v>
      </c>
      <c r="V508" s="358">
        <f t="shared" ca="1" si="341"/>
        <v>0</v>
      </c>
      <c r="W508" s="358">
        <f t="shared" ca="1" si="341"/>
        <v>0</v>
      </c>
      <c r="X508" s="358">
        <f t="shared" ca="1" si="341"/>
        <v>0</v>
      </c>
      <c r="Y508" s="358">
        <f t="shared" ca="1" si="341"/>
        <v>0</v>
      </c>
      <c r="Z508" s="358">
        <f t="shared" ca="1" si="341"/>
        <v>0</v>
      </c>
      <c r="AA508" s="358">
        <f t="shared" ca="1" si="342"/>
        <v>0</v>
      </c>
      <c r="AB508" s="358">
        <f t="shared" ca="1" si="342"/>
        <v>0</v>
      </c>
      <c r="AC508" s="358">
        <f t="shared" ca="1" si="342"/>
        <v>0</v>
      </c>
      <c r="AD508" s="358">
        <f t="shared" ca="1" si="342"/>
        <v>0</v>
      </c>
      <c r="AE508" s="358">
        <f t="shared" ca="1" si="342"/>
        <v>0</v>
      </c>
      <c r="AF508" s="358">
        <f t="shared" ca="1" si="342"/>
        <v>0</v>
      </c>
      <c r="AG508" s="358">
        <f t="shared" ca="1" si="342"/>
        <v>0</v>
      </c>
      <c r="AH508" s="358">
        <f t="shared" ca="1" si="342"/>
        <v>0</v>
      </c>
      <c r="AI508" s="358">
        <f t="shared" ca="1" si="342"/>
        <v>0</v>
      </c>
      <c r="AJ508" s="358">
        <f t="shared" ca="1" si="342"/>
        <v>0</v>
      </c>
      <c r="AK508" s="358">
        <f t="shared" ca="1" si="343"/>
        <v>0</v>
      </c>
      <c r="AL508" s="358">
        <f t="shared" ca="1" si="343"/>
        <v>0</v>
      </c>
      <c r="AM508" s="358">
        <f t="shared" ca="1" si="343"/>
        <v>0</v>
      </c>
      <c r="AN508" s="358">
        <f t="shared" ca="1" si="343"/>
        <v>0</v>
      </c>
      <c r="AO508" s="358">
        <f t="shared" ca="1" si="343"/>
        <v>0</v>
      </c>
      <c r="AP508" s="358">
        <f t="shared" ca="1" si="343"/>
        <v>0</v>
      </c>
      <c r="AQ508" s="358">
        <f t="shared" ca="1" si="343"/>
        <v>0</v>
      </c>
      <c r="AR508" s="358">
        <f t="shared" ca="1" si="343"/>
        <v>0</v>
      </c>
      <c r="AS508" s="358">
        <f t="shared" ca="1" si="343"/>
        <v>0</v>
      </c>
      <c r="AT508" s="358">
        <f t="shared" ca="1" si="343"/>
        <v>0</v>
      </c>
      <c r="AV508" s="358">
        <f t="shared" ca="1" si="291"/>
        <v>0</v>
      </c>
      <c r="AX508" s="358">
        <f t="shared" ca="1" si="292"/>
        <v>0</v>
      </c>
      <c r="AZ508" s="358">
        <f t="shared" ca="1" si="293"/>
        <v>0</v>
      </c>
      <c r="BB508" s="358">
        <f t="shared" ca="1" si="294"/>
        <v>0</v>
      </c>
      <c r="BD508" s="358">
        <f t="shared" ca="1" si="295"/>
        <v>0</v>
      </c>
      <c r="BF508" s="358">
        <f t="shared" ca="1" si="296"/>
        <v>0</v>
      </c>
      <c r="BH508" s="358">
        <f t="shared" ca="1" si="297"/>
        <v>0</v>
      </c>
    </row>
    <row r="509" spans="1:60" hidden="1" outlineLevel="1">
      <c r="A509" s="1464">
        <f t="shared" si="345"/>
        <v>18</v>
      </c>
      <c r="B509" s="1464">
        <f t="shared" si="346"/>
        <v>36</v>
      </c>
      <c r="C509" s="1464">
        <f t="shared" si="347"/>
        <v>8</v>
      </c>
      <c r="D509" s="1271" t="str">
        <f ca="1">IF(OFFSET(PortfolioDashboard!$A$3,C509-1,0)="","Blank",OFFSET(PortfolioDashboard!$A$3,C509-1,0))</f>
        <v>Green IT</v>
      </c>
      <c r="E509" s="1464" t="str">
        <f t="shared" si="348"/>
        <v>2010$</v>
      </c>
      <c r="F509" s="1460">
        <f t="shared" ca="1" si="344"/>
        <v>0</v>
      </c>
      <c r="G509" s="358">
        <f t="shared" ca="1" si="340"/>
        <v>0</v>
      </c>
      <c r="H509" s="358">
        <f t="shared" ca="1" si="340"/>
        <v>0</v>
      </c>
      <c r="I509" s="358">
        <f t="shared" ca="1" si="340"/>
        <v>0</v>
      </c>
      <c r="J509" s="358">
        <f t="shared" ca="1" si="340"/>
        <v>0</v>
      </c>
      <c r="K509" s="358">
        <f t="shared" ca="1" si="340"/>
        <v>0</v>
      </c>
      <c r="L509" s="358">
        <f t="shared" ca="1" si="340"/>
        <v>0</v>
      </c>
      <c r="M509" s="358">
        <f t="shared" ca="1" si="340"/>
        <v>0</v>
      </c>
      <c r="N509" s="358">
        <f t="shared" ca="1" si="340"/>
        <v>0</v>
      </c>
      <c r="O509" s="358">
        <f t="shared" ca="1" si="340"/>
        <v>0</v>
      </c>
      <c r="P509" s="358">
        <f t="shared" ca="1" si="340"/>
        <v>0</v>
      </c>
      <c r="Q509" s="358">
        <f t="shared" ca="1" si="341"/>
        <v>0</v>
      </c>
      <c r="R509" s="358">
        <f t="shared" ca="1" si="341"/>
        <v>0</v>
      </c>
      <c r="S509" s="358">
        <f t="shared" ca="1" si="341"/>
        <v>0</v>
      </c>
      <c r="T509" s="358">
        <f t="shared" ca="1" si="341"/>
        <v>0</v>
      </c>
      <c r="U509" s="358">
        <f t="shared" ca="1" si="341"/>
        <v>0</v>
      </c>
      <c r="V509" s="358">
        <f t="shared" ca="1" si="341"/>
        <v>0</v>
      </c>
      <c r="W509" s="358">
        <f t="shared" ca="1" si="341"/>
        <v>0</v>
      </c>
      <c r="X509" s="358">
        <f t="shared" ca="1" si="341"/>
        <v>0</v>
      </c>
      <c r="Y509" s="358">
        <f t="shared" ca="1" si="341"/>
        <v>0</v>
      </c>
      <c r="Z509" s="358">
        <f t="shared" ca="1" si="341"/>
        <v>0</v>
      </c>
      <c r="AA509" s="358">
        <f t="shared" ca="1" si="342"/>
        <v>0</v>
      </c>
      <c r="AB509" s="358">
        <f t="shared" ca="1" si="342"/>
        <v>0</v>
      </c>
      <c r="AC509" s="358">
        <f t="shared" ca="1" si="342"/>
        <v>0</v>
      </c>
      <c r="AD509" s="358">
        <f t="shared" ca="1" si="342"/>
        <v>0</v>
      </c>
      <c r="AE509" s="358">
        <f t="shared" ca="1" si="342"/>
        <v>0</v>
      </c>
      <c r="AF509" s="358">
        <f t="shared" ca="1" si="342"/>
        <v>0</v>
      </c>
      <c r="AG509" s="358">
        <f t="shared" ca="1" si="342"/>
        <v>0</v>
      </c>
      <c r="AH509" s="358">
        <f t="shared" ca="1" si="342"/>
        <v>0</v>
      </c>
      <c r="AI509" s="358">
        <f t="shared" ca="1" si="342"/>
        <v>0</v>
      </c>
      <c r="AJ509" s="358">
        <f t="shared" ca="1" si="342"/>
        <v>0</v>
      </c>
      <c r="AK509" s="358">
        <f t="shared" ca="1" si="343"/>
        <v>0</v>
      </c>
      <c r="AL509" s="358">
        <f t="shared" ca="1" si="343"/>
        <v>0</v>
      </c>
      <c r="AM509" s="358">
        <f t="shared" ca="1" si="343"/>
        <v>0</v>
      </c>
      <c r="AN509" s="358">
        <f t="shared" ca="1" si="343"/>
        <v>0</v>
      </c>
      <c r="AO509" s="358">
        <f t="shared" ca="1" si="343"/>
        <v>0</v>
      </c>
      <c r="AP509" s="358">
        <f t="shared" ca="1" si="343"/>
        <v>0</v>
      </c>
      <c r="AQ509" s="358">
        <f t="shared" ca="1" si="343"/>
        <v>0</v>
      </c>
      <c r="AR509" s="358">
        <f t="shared" ca="1" si="343"/>
        <v>0</v>
      </c>
      <c r="AS509" s="358">
        <f t="shared" ca="1" si="343"/>
        <v>0</v>
      </c>
      <c r="AT509" s="358">
        <f t="shared" ca="1" si="343"/>
        <v>0</v>
      </c>
      <c r="AV509" s="358">
        <f t="shared" ca="1" si="291"/>
        <v>0</v>
      </c>
      <c r="AX509" s="358">
        <f t="shared" ca="1" si="292"/>
        <v>0</v>
      </c>
      <c r="AZ509" s="358">
        <f t="shared" ca="1" si="293"/>
        <v>0</v>
      </c>
      <c r="BB509" s="358">
        <f t="shared" ca="1" si="294"/>
        <v>0</v>
      </c>
      <c r="BD509" s="358">
        <f t="shared" ca="1" si="295"/>
        <v>0</v>
      </c>
      <c r="BF509" s="358">
        <f t="shared" ca="1" si="296"/>
        <v>0</v>
      </c>
      <c r="BH509" s="358">
        <f t="shared" ca="1" si="297"/>
        <v>0</v>
      </c>
    </row>
    <row r="510" spans="1:60" hidden="1" outlineLevel="1">
      <c r="A510" s="1464">
        <f t="shared" si="345"/>
        <v>18</v>
      </c>
      <c r="B510" s="1464">
        <f t="shared" si="346"/>
        <v>36</v>
      </c>
      <c r="C510" s="1464">
        <f t="shared" si="347"/>
        <v>9</v>
      </c>
      <c r="D510" s="1271" t="str">
        <f ca="1">IF(OFFSET(PortfolioDashboard!$A$3,C510-1,0)="","Blank",OFFSET(PortfolioDashboard!$A$3,C510-1,0))</f>
        <v>Reduced Air Travel</v>
      </c>
      <c r="E510" s="1464" t="str">
        <f t="shared" si="348"/>
        <v>2010$</v>
      </c>
      <c r="F510" s="1460">
        <f t="shared" ca="1" si="344"/>
        <v>2554543.5640719305</v>
      </c>
      <c r="G510" s="358">
        <f t="shared" ca="1" si="340"/>
        <v>0</v>
      </c>
      <c r="H510" s="358">
        <f t="shared" ca="1" si="340"/>
        <v>123606.77688805692</v>
      </c>
      <c r="I510" s="358">
        <f t="shared" ca="1" si="340"/>
        <v>124003.00400854273</v>
      </c>
      <c r="J510" s="358">
        <f t="shared" ca="1" si="340"/>
        <v>124307.03977146068</v>
      </c>
      <c r="K510" s="358">
        <f t="shared" ca="1" si="340"/>
        <v>124563.3537761138</v>
      </c>
      <c r="L510" s="358">
        <f t="shared" ca="1" si="340"/>
        <v>124789.17094740043</v>
      </c>
      <c r="M510" s="358">
        <f t="shared" ca="1" si="340"/>
        <v>187489.9879132183</v>
      </c>
      <c r="N510" s="358">
        <f t="shared" ca="1" si="340"/>
        <v>187771.59683356594</v>
      </c>
      <c r="O510" s="358">
        <f t="shared" ca="1" si="340"/>
        <v>188033.71202562816</v>
      </c>
      <c r="P510" s="358">
        <f t="shared" ca="1" si="340"/>
        <v>188279.89599625603</v>
      </c>
      <c r="Q510" s="358">
        <f t="shared" ca="1" si="341"/>
        <v>188512.74258500358</v>
      </c>
      <c r="R510" s="358">
        <f t="shared" ca="1" si="341"/>
        <v>188734.2099312158</v>
      </c>
      <c r="S510" s="358">
        <f t="shared" ca="1" si="341"/>
        <v>188945.81931438201</v>
      </c>
      <c r="T510" s="358">
        <f t="shared" ca="1" si="341"/>
        <v>189148.78052821939</v>
      </c>
      <c r="U510" s="358">
        <f t="shared" ca="1" si="341"/>
        <v>189344.074468823</v>
      </c>
      <c r="V510" s="358">
        <f t="shared" ca="1" si="341"/>
        <v>189532.50953521696</v>
      </c>
      <c r="W510" s="358">
        <f t="shared" ca="1" si="341"/>
        <v>189714.76132834144</v>
      </c>
      <c r="X510" s="358">
        <f t="shared" ca="1" si="341"/>
        <v>189891.40132272491</v>
      </c>
      <c r="Y510" s="358">
        <f t="shared" ca="1" si="341"/>
        <v>190062.91803844224</v>
      </c>
      <c r="Z510" s="358">
        <f t="shared" ca="1" si="341"/>
        <v>190229.73298014997</v>
      </c>
      <c r="AA510" s="358">
        <f t="shared" ca="1" si="342"/>
        <v>190392.21284220132</v>
      </c>
      <c r="AB510" s="358">
        <f t="shared" ca="1" si="342"/>
        <v>190550.67899634904</v>
      </c>
      <c r="AC510" s="358">
        <f t="shared" ca="1" si="342"/>
        <v>190705.41496683744</v>
      </c>
      <c r="AD510" s="358">
        <f t="shared" ca="1" si="342"/>
        <v>190856.67239132349</v>
      </c>
      <c r="AE510" s="358">
        <f t="shared" ca="1" si="342"/>
        <v>191004.67582643646</v>
      </c>
      <c r="AF510" s="358">
        <f t="shared" ca="1" si="342"/>
        <v>191149.62666042676</v>
      </c>
      <c r="AG510" s="358">
        <f t="shared" ca="1" si="342"/>
        <v>191291.70632768099</v>
      </c>
      <c r="AH510" s="358">
        <f t="shared" ca="1" si="342"/>
        <v>191431.07897157304</v>
      </c>
      <c r="AI510" s="358">
        <f t="shared" ca="1" si="342"/>
        <v>191567.89366713187</v>
      </c>
      <c r="AJ510" s="358">
        <f t="shared" ca="1" si="342"/>
        <v>191702.28628932338</v>
      </c>
      <c r="AK510" s="358">
        <f t="shared" ca="1" si="343"/>
        <v>191834.38109365286</v>
      </c>
      <c r="AL510" s="358">
        <f t="shared" ca="1" si="343"/>
        <v>191964.29206144507</v>
      </c>
      <c r="AM510" s="358">
        <f t="shared" ca="1" si="343"/>
        <v>192092.12405125631</v>
      </c>
      <c r="AN510" s="358">
        <f t="shared" ca="1" si="343"/>
        <v>192217.97378950985</v>
      </c>
      <c r="AO510" s="358">
        <f t="shared" ca="1" si="343"/>
        <v>192341.9307269709</v>
      </c>
      <c r="AP510" s="358">
        <f t="shared" ca="1" si="343"/>
        <v>192464.07778262065</v>
      </c>
      <c r="AQ510" s="358">
        <f t="shared" ca="1" si="343"/>
        <v>192584.49199251211</v>
      </c>
      <c r="AR510" s="358">
        <f t="shared" ca="1" si="343"/>
        <v>192703.24507803266</v>
      </c>
      <c r="AS510" s="358">
        <f t="shared" ca="1" si="343"/>
        <v>192820.40394548161</v>
      </c>
      <c r="AT510" s="358">
        <f t="shared" ca="1" si="343"/>
        <v>192936.03112684423</v>
      </c>
      <c r="AV510" s="358">
        <f t="shared" ca="1" si="291"/>
        <v>876364.36371606891</v>
      </c>
      <c r="AX510" s="358">
        <f t="shared" ca="1" si="292"/>
        <v>944685.62682764383</v>
      </c>
      <c r="AZ510" s="358">
        <f t="shared" ca="1" si="293"/>
        <v>949431.32320487546</v>
      </c>
      <c r="BB510" s="358">
        <f t="shared" ca="1" si="294"/>
        <v>953509.65502314782</v>
      </c>
      <c r="BD510" s="358">
        <f t="shared" ca="1" si="295"/>
        <v>957142.59191613598</v>
      </c>
      <c r="BF510" s="358">
        <f t="shared" ca="1" si="296"/>
        <v>960450.70172283496</v>
      </c>
      <c r="BH510" s="358">
        <f t="shared" ca="1" si="297"/>
        <v>963508.24992549128</v>
      </c>
    </row>
    <row r="511" spans="1:60" hidden="1" outlineLevel="1">
      <c r="A511" s="1464">
        <f t="shared" si="345"/>
        <v>18</v>
      </c>
      <c r="B511" s="1464">
        <f t="shared" si="346"/>
        <v>36</v>
      </c>
      <c r="C511" s="1464">
        <f t="shared" si="347"/>
        <v>10</v>
      </c>
      <c r="D511" s="1271" t="str">
        <f ca="1">IF(OFFSET(PortfolioDashboard!$A$3,C511-1,0)="","Blank",OFFSET(PortfolioDashboard!$A$3,C511-1,0))</f>
        <v>Reduced Automobile Reliance Strategies</v>
      </c>
      <c r="E511" s="1464" t="str">
        <f t="shared" si="348"/>
        <v>2010$</v>
      </c>
      <c r="F511" s="1460">
        <f t="shared" ca="1" si="344"/>
        <v>0</v>
      </c>
      <c r="G511" s="358">
        <f t="shared" ca="1" si="340"/>
        <v>0</v>
      </c>
      <c r="H511" s="358">
        <f t="shared" ca="1" si="340"/>
        <v>0</v>
      </c>
      <c r="I511" s="358">
        <f t="shared" ca="1" si="340"/>
        <v>0</v>
      </c>
      <c r="J511" s="358">
        <f t="shared" ca="1" si="340"/>
        <v>0</v>
      </c>
      <c r="K511" s="358">
        <f t="shared" ca="1" si="340"/>
        <v>0</v>
      </c>
      <c r="L511" s="358">
        <f t="shared" ca="1" si="340"/>
        <v>0</v>
      </c>
      <c r="M511" s="358">
        <f t="shared" ca="1" si="340"/>
        <v>0</v>
      </c>
      <c r="N511" s="358">
        <f t="shared" ca="1" si="340"/>
        <v>0</v>
      </c>
      <c r="O511" s="358">
        <f t="shared" ca="1" si="340"/>
        <v>0</v>
      </c>
      <c r="P511" s="358">
        <f t="shared" ca="1" si="340"/>
        <v>0</v>
      </c>
      <c r="Q511" s="358">
        <f t="shared" ca="1" si="341"/>
        <v>0</v>
      </c>
      <c r="R511" s="358">
        <f t="shared" ca="1" si="341"/>
        <v>0</v>
      </c>
      <c r="S511" s="358">
        <f t="shared" ca="1" si="341"/>
        <v>0</v>
      </c>
      <c r="T511" s="358">
        <f t="shared" ca="1" si="341"/>
        <v>0</v>
      </c>
      <c r="U511" s="358">
        <f t="shared" ca="1" si="341"/>
        <v>0</v>
      </c>
      <c r="V511" s="358">
        <f t="shared" ca="1" si="341"/>
        <v>0</v>
      </c>
      <c r="W511" s="358">
        <f t="shared" ca="1" si="341"/>
        <v>0</v>
      </c>
      <c r="X511" s="358">
        <f t="shared" ca="1" si="341"/>
        <v>0</v>
      </c>
      <c r="Y511" s="358">
        <f t="shared" ca="1" si="341"/>
        <v>0</v>
      </c>
      <c r="Z511" s="358">
        <f t="shared" ca="1" si="341"/>
        <v>0</v>
      </c>
      <c r="AA511" s="358">
        <f t="shared" ca="1" si="342"/>
        <v>0</v>
      </c>
      <c r="AB511" s="358">
        <f t="shared" ca="1" si="342"/>
        <v>0</v>
      </c>
      <c r="AC511" s="358">
        <f t="shared" ca="1" si="342"/>
        <v>0</v>
      </c>
      <c r="AD511" s="358">
        <f t="shared" ca="1" si="342"/>
        <v>0</v>
      </c>
      <c r="AE511" s="358">
        <f t="shared" ca="1" si="342"/>
        <v>0</v>
      </c>
      <c r="AF511" s="358">
        <f t="shared" ca="1" si="342"/>
        <v>0</v>
      </c>
      <c r="AG511" s="358">
        <f t="shared" ca="1" si="342"/>
        <v>0</v>
      </c>
      <c r="AH511" s="358">
        <f t="shared" ca="1" si="342"/>
        <v>0</v>
      </c>
      <c r="AI511" s="358">
        <f t="shared" ca="1" si="342"/>
        <v>0</v>
      </c>
      <c r="AJ511" s="358">
        <f t="shared" ca="1" si="342"/>
        <v>0</v>
      </c>
      <c r="AK511" s="358">
        <f t="shared" ca="1" si="343"/>
        <v>0</v>
      </c>
      <c r="AL511" s="358">
        <f t="shared" ca="1" si="343"/>
        <v>0</v>
      </c>
      <c r="AM511" s="358">
        <f t="shared" ca="1" si="343"/>
        <v>0</v>
      </c>
      <c r="AN511" s="358">
        <f t="shared" ca="1" si="343"/>
        <v>0</v>
      </c>
      <c r="AO511" s="358">
        <f t="shared" ca="1" si="343"/>
        <v>0</v>
      </c>
      <c r="AP511" s="358">
        <f t="shared" ca="1" si="343"/>
        <v>0</v>
      </c>
      <c r="AQ511" s="358">
        <f t="shared" ca="1" si="343"/>
        <v>0</v>
      </c>
      <c r="AR511" s="358">
        <f t="shared" ca="1" si="343"/>
        <v>0</v>
      </c>
      <c r="AS511" s="358">
        <f t="shared" ca="1" si="343"/>
        <v>0</v>
      </c>
      <c r="AT511" s="358">
        <f t="shared" ca="1" si="343"/>
        <v>0</v>
      </c>
      <c r="AV511" s="358">
        <f t="shared" ca="1" si="291"/>
        <v>0</v>
      </c>
      <c r="AX511" s="358">
        <f t="shared" ca="1" si="292"/>
        <v>0</v>
      </c>
      <c r="AZ511" s="358">
        <f t="shared" ca="1" si="293"/>
        <v>0</v>
      </c>
      <c r="BB511" s="358">
        <f t="shared" ca="1" si="294"/>
        <v>0</v>
      </c>
      <c r="BD511" s="358">
        <f t="shared" ca="1" si="295"/>
        <v>0</v>
      </c>
      <c r="BF511" s="358">
        <f t="shared" ca="1" si="296"/>
        <v>0</v>
      </c>
      <c r="BH511" s="358">
        <f t="shared" ca="1" si="297"/>
        <v>0</v>
      </c>
    </row>
    <row r="512" spans="1:60" hidden="1" outlineLevel="1">
      <c r="A512" s="1464">
        <f t="shared" si="345"/>
        <v>18</v>
      </c>
      <c r="B512" s="1464">
        <f t="shared" si="346"/>
        <v>36</v>
      </c>
      <c r="C512" s="1464">
        <f t="shared" si="347"/>
        <v>11</v>
      </c>
      <c r="D512" s="1271" t="str">
        <f ca="1">IF(OFFSET(PortfolioDashboard!$A$3,C512-1,0)="","Blank",OFFSET(PortfolioDashboard!$A$3,C512-1,0))</f>
        <v>Waste Reduction</v>
      </c>
      <c r="E512" s="1464" t="str">
        <f t="shared" si="348"/>
        <v>2010$</v>
      </c>
      <c r="F512" s="1460">
        <f t="shared" ca="1" si="344"/>
        <v>113714.55977078136</v>
      </c>
      <c r="G512" s="358">
        <f t="shared" ref="G512:P521" ca="1" si="349">IFERROR(OFFSET(INDIRECT(INDEX(List_of_Alternatives,MATCH($D512,NameofAlternatives,0))),$A512+G$1-$G$1,$B512),0)</f>
        <v>0</v>
      </c>
      <c r="H512" s="358">
        <f t="shared" ca="1" si="349"/>
        <v>0</v>
      </c>
      <c r="I512" s="358">
        <f t="shared" ca="1" si="349"/>
        <v>8148</v>
      </c>
      <c r="J512" s="358">
        <f t="shared" ca="1" si="349"/>
        <v>8148</v>
      </c>
      <c r="K512" s="358">
        <f t="shared" ca="1" si="349"/>
        <v>8148</v>
      </c>
      <c r="L512" s="358">
        <f t="shared" ca="1" si="349"/>
        <v>8148</v>
      </c>
      <c r="M512" s="358">
        <f t="shared" ca="1" si="349"/>
        <v>8148</v>
      </c>
      <c r="N512" s="358">
        <f t="shared" ca="1" si="349"/>
        <v>8148</v>
      </c>
      <c r="O512" s="358">
        <f t="shared" ca="1" si="349"/>
        <v>8148</v>
      </c>
      <c r="P512" s="358">
        <f t="shared" ca="1" si="349"/>
        <v>8148</v>
      </c>
      <c r="Q512" s="358">
        <f t="shared" ref="Q512:Z521" ca="1" si="350">IFERROR(OFFSET(INDIRECT(INDEX(List_of_Alternatives,MATCH($D512,NameofAlternatives,0))),$A512+Q$1-$G$1,$B512),0)</f>
        <v>8148</v>
      </c>
      <c r="R512" s="358">
        <f t="shared" ca="1" si="350"/>
        <v>8148</v>
      </c>
      <c r="S512" s="358">
        <f t="shared" ca="1" si="350"/>
        <v>8148</v>
      </c>
      <c r="T512" s="358">
        <f t="shared" ca="1" si="350"/>
        <v>8148</v>
      </c>
      <c r="U512" s="358">
        <f t="shared" ca="1" si="350"/>
        <v>8148</v>
      </c>
      <c r="V512" s="358">
        <f t="shared" ca="1" si="350"/>
        <v>8148</v>
      </c>
      <c r="W512" s="358">
        <f t="shared" ca="1" si="350"/>
        <v>8148</v>
      </c>
      <c r="X512" s="358">
        <f t="shared" ca="1" si="350"/>
        <v>8148</v>
      </c>
      <c r="Y512" s="358">
        <f t="shared" ca="1" si="350"/>
        <v>8148</v>
      </c>
      <c r="Z512" s="358">
        <f t="shared" ca="1" si="350"/>
        <v>8148</v>
      </c>
      <c r="AA512" s="358">
        <f t="shared" ref="AA512:AJ521" ca="1" si="351">IFERROR(OFFSET(INDIRECT(INDEX(List_of_Alternatives,MATCH($D512,NameofAlternatives,0))),$A512+AA$1-$G$1,$B512),0)</f>
        <v>8148</v>
      </c>
      <c r="AB512" s="358">
        <f t="shared" ca="1" si="351"/>
        <v>8148</v>
      </c>
      <c r="AC512" s="358">
        <f t="shared" ca="1" si="351"/>
        <v>8148</v>
      </c>
      <c r="AD512" s="358">
        <f t="shared" ca="1" si="351"/>
        <v>8148</v>
      </c>
      <c r="AE512" s="358">
        <f t="shared" ca="1" si="351"/>
        <v>8148</v>
      </c>
      <c r="AF512" s="358">
        <f t="shared" ca="1" si="351"/>
        <v>8148</v>
      </c>
      <c r="AG512" s="358">
        <f t="shared" ca="1" si="351"/>
        <v>8148</v>
      </c>
      <c r="AH512" s="358">
        <f t="shared" ca="1" si="351"/>
        <v>8148</v>
      </c>
      <c r="AI512" s="358">
        <f t="shared" ca="1" si="351"/>
        <v>8148</v>
      </c>
      <c r="AJ512" s="358">
        <f t="shared" ca="1" si="351"/>
        <v>8148</v>
      </c>
      <c r="AK512" s="358">
        <f t="shared" ref="AK512:AT521" ca="1" si="352">IFERROR(OFFSET(INDIRECT(INDEX(List_of_Alternatives,MATCH($D512,NameofAlternatives,0))),$A512+AK$1-$G$1,$B512),0)</f>
        <v>8148</v>
      </c>
      <c r="AL512" s="358">
        <f t="shared" ca="1" si="352"/>
        <v>8148</v>
      </c>
      <c r="AM512" s="358">
        <f t="shared" ca="1" si="352"/>
        <v>8148</v>
      </c>
      <c r="AN512" s="358">
        <f t="shared" ca="1" si="352"/>
        <v>8148</v>
      </c>
      <c r="AO512" s="358">
        <f t="shared" ca="1" si="352"/>
        <v>8148</v>
      </c>
      <c r="AP512" s="358">
        <f t="shared" ca="1" si="352"/>
        <v>8148</v>
      </c>
      <c r="AQ512" s="358">
        <f t="shared" ca="1" si="352"/>
        <v>8148</v>
      </c>
      <c r="AR512" s="358">
        <f t="shared" ca="1" si="352"/>
        <v>8148</v>
      </c>
      <c r="AS512" s="358">
        <f t="shared" ca="1" si="352"/>
        <v>8148</v>
      </c>
      <c r="AT512" s="358">
        <f t="shared" ca="1" si="352"/>
        <v>8148</v>
      </c>
      <c r="AV512" s="358">
        <f t="shared" ca="1" si="291"/>
        <v>40740</v>
      </c>
      <c r="AX512" s="358">
        <f t="shared" ca="1" si="292"/>
        <v>40740</v>
      </c>
      <c r="AZ512" s="358">
        <f t="shared" ca="1" si="293"/>
        <v>40740</v>
      </c>
      <c r="BB512" s="358">
        <f t="shared" ca="1" si="294"/>
        <v>40740</v>
      </c>
      <c r="BD512" s="358">
        <f t="shared" ca="1" si="295"/>
        <v>40740</v>
      </c>
      <c r="BF512" s="358">
        <f t="shared" ca="1" si="296"/>
        <v>40740</v>
      </c>
      <c r="BH512" s="358">
        <f t="shared" ca="1" si="297"/>
        <v>40740</v>
      </c>
    </row>
    <row r="513" spans="1:60" hidden="1" outlineLevel="1">
      <c r="A513" s="1464">
        <f t="shared" si="345"/>
        <v>18</v>
      </c>
      <c r="B513" s="1464">
        <f t="shared" si="346"/>
        <v>36</v>
      </c>
      <c r="C513" s="1464">
        <f t="shared" si="347"/>
        <v>12</v>
      </c>
      <c r="D513" s="1271" t="str">
        <f ca="1">IF(OFFSET(PortfolioDashboard!$A$3,C513-1,0)="","Blank",OFFSET(PortfolioDashboard!$A$3,C513-1,0))</f>
        <v>Steam Line Improvements</v>
      </c>
      <c r="E513" s="1464" t="str">
        <f t="shared" si="348"/>
        <v>2010$</v>
      </c>
      <c r="F513" s="1460">
        <f t="shared" ca="1" si="344"/>
        <v>0</v>
      </c>
      <c r="G513" s="358">
        <f t="shared" ca="1" si="349"/>
        <v>0</v>
      </c>
      <c r="H513" s="358">
        <f t="shared" ca="1" si="349"/>
        <v>0</v>
      </c>
      <c r="I513" s="358">
        <f t="shared" ca="1" si="349"/>
        <v>0</v>
      </c>
      <c r="J513" s="358">
        <f t="shared" ca="1" si="349"/>
        <v>0</v>
      </c>
      <c r="K513" s="358">
        <f t="shared" ca="1" si="349"/>
        <v>0</v>
      </c>
      <c r="L513" s="358">
        <f t="shared" ca="1" si="349"/>
        <v>0</v>
      </c>
      <c r="M513" s="358">
        <f t="shared" ca="1" si="349"/>
        <v>0</v>
      </c>
      <c r="N513" s="358">
        <f t="shared" ca="1" si="349"/>
        <v>0</v>
      </c>
      <c r="O513" s="358">
        <f t="shared" ca="1" si="349"/>
        <v>0</v>
      </c>
      <c r="P513" s="358">
        <f t="shared" ca="1" si="349"/>
        <v>0</v>
      </c>
      <c r="Q513" s="358">
        <f t="shared" ca="1" si="350"/>
        <v>0</v>
      </c>
      <c r="R513" s="358">
        <f t="shared" ca="1" si="350"/>
        <v>0</v>
      </c>
      <c r="S513" s="358">
        <f t="shared" ca="1" si="350"/>
        <v>0</v>
      </c>
      <c r="T513" s="358">
        <f t="shared" ca="1" si="350"/>
        <v>0</v>
      </c>
      <c r="U513" s="358">
        <f t="shared" ca="1" si="350"/>
        <v>0</v>
      </c>
      <c r="V513" s="358">
        <f t="shared" ca="1" si="350"/>
        <v>0</v>
      </c>
      <c r="W513" s="358">
        <f t="shared" ca="1" si="350"/>
        <v>0</v>
      </c>
      <c r="X513" s="358">
        <f t="shared" ca="1" si="350"/>
        <v>0</v>
      </c>
      <c r="Y513" s="358">
        <f t="shared" ca="1" si="350"/>
        <v>0</v>
      </c>
      <c r="Z513" s="358">
        <f t="shared" ca="1" si="350"/>
        <v>0</v>
      </c>
      <c r="AA513" s="358">
        <f t="shared" ca="1" si="351"/>
        <v>0</v>
      </c>
      <c r="AB513" s="358">
        <f t="shared" ca="1" si="351"/>
        <v>0</v>
      </c>
      <c r="AC513" s="358">
        <f t="shared" ca="1" si="351"/>
        <v>0</v>
      </c>
      <c r="AD513" s="358">
        <f t="shared" ca="1" si="351"/>
        <v>0</v>
      </c>
      <c r="AE513" s="358">
        <f t="shared" ca="1" si="351"/>
        <v>0</v>
      </c>
      <c r="AF513" s="358">
        <f t="shared" ca="1" si="351"/>
        <v>0</v>
      </c>
      <c r="AG513" s="358">
        <f t="shared" ca="1" si="351"/>
        <v>0</v>
      </c>
      <c r="AH513" s="358">
        <f t="shared" ca="1" si="351"/>
        <v>0</v>
      </c>
      <c r="AI513" s="358">
        <f t="shared" ca="1" si="351"/>
        <v>0</v>
      </c>
      <c r="AJ513" s="358">
        <f t="shared" ca="1" si="351"/>
        <v>0</v>
      </c>
      <c r="AK513" s="358">
        <f t="shared" ca="1" si="352"/>
        <v>0</v>
      </c>
      <c r="AL513" s="358">
        <f t="shared" ca="1" si="352"/>
        <v>0</v>
      </c>
      <c r="AM513" s="358">
        <f t="shared" ca="1" si="352"/>
        <v>0</v>
      </c>
      <c r="AN513" s="358">
        <f t="shared" ca="1" si="352"/>
        <v>0</v>
      </c>
      <c r="AO513" s="358">
        <f t="shared" ca="1" si="352"/>
        <v>0</v>
      </c>
      <c r="AP513" s="358">
        <f t="shared" ca="1" si="352"/>
        <v>0</v>
      </c>
      <c r="AQ513" s="358">
        <f t="shared" ca="1" si="352"/>
        <v>0</v>
      </c>
      <c r="AR513" s="358">
        <f t="shared" ca="1" si="352"/>
        <v>0</v>
      </c>
      <c r="AS513" s="358">
        <f t="shared" ca="1" si="352"/>
        <v>0</v>
      </c>
      <c r="AT513" s="358">
        <f t="shared" ca="1" si="352"/>
        <v>0</v>
      </c>
      <c r="AV513" s="358">
        <f t="shared" ca="1" si="291"/>
        <v>0</v>
      </c>
      <c r="AX513" s="358">
        <f t="shared" ca="1" si="292"/>
        <v>0</v>
      </c>
      <c r="AZ513" s="358">
        <f t="shared" ca="1" si="293"/>
        <v>0</v>
      </c>
      <c r="BB513" s="358">
        <f t="shared" ca="1" si="294"/>
        <v>0</v>
      </c>
      <c r="BD513" s="358">
        <f t="shared" ca="1" si="295"/>
        <v>0</v>
      </c>
      <c r="BF513" s="358">
        <f t="shared" ca="1" si="296"/>
        <v>0</v>
      </c>
      <c r="BH513" s="358">
        <f t="shared" ca="1" si="297"/>
        <v>0</v>
      </c>
    </row>
    <row r="514" spans="1:60" hidden="1" outlineLevel="1">
      <c r="A514" s="1464">
        <f t="shared" si="345"/>
        <v>18</v>
      </c>
      <c r="B514" s="1464">
        <f t="shared" si="346"/>
        <v>36</v>
      </c>
      <c r="C514" s="1464">
        <f t="shared" si="347"/>
        <v>13</v>
      </c>
      <c r="D514" s="1271" t="str">
        <f ca="1">IF(OFFSET(PortfolioDashboard!$A$3,C514-1,0)="","Blank",OFFSET(PortfolioDashboard!$A$3,C514-1,0))</f>
        <v>Coal to Natural Gas Conversion @ Steam Plant</v>
      </c>
      <c r="E514" s="1464" t="str">
        <f t="shared" si="348"/>
        <v>2010$</v>
      </c>
      <c r="F514" s="1460">
        <f t="shared" ca="1" si="344"/>
        <v>0</v>
      </c>
      <c r="G514" s="358">
        <f t="shared" ca="1" si="349"/>
        <v>0</v>
      </c>
      <c r="H514" s="358">
        <f t="shared" ca="1" si="349"/>
        <v>0</v>
      </c>
      <c r="I514" s="358">
        <f t="shared" ca="1" si="349"/>
        <v>0</v>
      </c>
      <c r="J514" s="358">
        <f t="shared" ca="1" si="349"/>
        <v>0</v>
      </c>
      <c r="K514" s="358">
        <f t="shared" ca="1" si="349"/>
        <v>0</v>
      </c>
      <c r="L514" s="358">
        <f t="shared" ca="1" si="349"/>
        <v>0</v>
      </c>
      <c r="M514" s="358">
        <f t="shared" ca="1" si="349"/>
        <v>0</v>
      </c>
      <c r="N514" s="358">
        <f t="shared" ca="1" si="349"/>
        <v>0</v>
      </c>
      <c r="O514" s="358">
        <f t="shared" ca="1" si="349"/>
        <v>0</v>
      </c>
      <c r="P514" s="358">
        <f t="shared" ca="1" si="349"/>
        <v>0</v>
      </c>
      <c r="Q514" s="358">
        <f t="shared" ca="1" si="350"/>
        <v>0</v>
      </c>
      <c r="R514" s="358">
        <f t="shared" ca="1" si="350"/>
        <v>0</v>
      </c>
      <c r="S514" s="358">
        <f t="shared" ca="1" si="350"/>
        <v>0</v>
      </c>
      <c r="T514" s="358">
        <f t="shared" ca="1" si="350"/>
        <v>0</v>
      </c>
      <c r="U514" s="358">
        <f t="shared" ca="1" si="350"/>
        <v>0</v>
      </c>
      <c r="V514" s="358">
        <f t="shared" ca="1" si="350"/>
        <v>0</v>
      </c>
      <c r="W514" s="358">
        <f t="shared" ca="1" si="350"/>
        <v>0</v>
      </c>
      <c r="X514" s="358">
        <f t="shared" ca="1" si="350"/>
        <v>0</v>
      </c>
      <c r="Y514" s="358">
        <f t="shared" ca="1" si="350"/>
        <v>0</v>
      </c>
      <c r="Z514" s="358">
        <f t="shared" ca="1" si="350"/>
        <v>0</v>
      </c>
      <c r="AA514" s="358">
        <f t="shared" ca="1" si="351"/>
        <v>0</v>
      </c>
      <c r="AB514" s="358">
        <f t="shared" ca="1" si="351"/>
        <v>0</v>
      </c>
      <c r="AC514" s="358">
        <f t="shared" ca="1" si="351"/>
        <v>0</v>
      </c>
      <c r="AD514" s="358">
        <f t="shared" ca="1" si="351"/>
        <v>0</v>
      </c>
      <c r="AE514" s="358">
        <f t="shared" ca="1" si="351"/>
        <v>0</v>
      </c>
      <c r="AF514" s="358">
        <f t="shared" ca="1" si="351"/>
        <v>0</v>
      </c>
      <c r="AG514" s="358">
        <f t="shared" ca="1" si="351"/>
        <v>0</v>
      </c>
      <c r="AH514" s="358">
        <f t="shared" ca="1" si="351"/>
        <v>0</v>
      </c>
      <c r="AI514" s="358">
        <f t="shared" ca="1" si="351"/>
        <v>0</v>
      </c>
      <c r="AJ514" s="358">
        <f t="shared" ca="1" si="351"/>
        <v>0</v>
      </c>
      <c r="AK514" s="358">
        <f t="shared" ca="1" si="352"/>
        <v>0</v>
      </c>
      <c r="AL514" s="358">
        <f t="shared" ca="1" si="352"/>
        <v>0</v>
      </c>
      <c r="AM514" s="358">
        <f t="shared" ca="1" si="352"/>
        <v>0</v>
      </c>
      <c r="AN514" s="358">
        <f t="shared" ca="1" si="352"/>
        <v>0</v>
      </c>
      <c r="AO514" s="358">
        <f t="shared" ca="1" si="352"/>
        <v>0</v>
      </c>
      <c r="AP514" s="358">
        <f t="shared" ca="1" si="352"/>
        <v>0</v>
      </c>
      <c r="AQ514" s="358">
        <f t="shared" ca="1" si="352"/>
        <v>0</v>
      </c>
      <c r="AR514" s="358">
        <f t="shared" ca="1" si="352"/>
        <v>0</v>
      </c>
      <c r="AS514" s="358">
        <f t="shared" ca="1" si="352"/>
        <v>0</v>
      </c>
      <c r="AT514" s="358">
        <f t="shared" ca="1" si="352"/>
        <v>0</v>
      </c>
      <c r="AV514" s="358">
        <f t="shared" ca="1" si="291"/>
        <v>0</v>
      </c>
      <c r="AX514" s="358">
        <f t="shared" ca="1" si="292"/>
        <v>0</v>
      </c>
      <c r="AZ514" s="358">
        <f t="shared" ca="1" si="293"/>
        <v>0</v>
      </c>
      <c r="BB514" s="358">
        <f t="shared" ca="1" si="294"/>
        <v>0</v>
      </c>
      <c r="BD514" s="358">
        <f t="shared" ca="1" si="295"/>
        <v>0</v>
      </c>
      <c r="BF514" s="358">
        <f t="shared" ca="1" si="296"/>
        <v>0</v>
      </c>
      <c r="BH514" s="358">
        <f t="shared" ca="1" si="297"/>
        <v>0</v>
      </c>
    </row>
    <row r="515" spans="1:60" hidden="1" outlineLevel="1">
      <c r="A515" s="1464">
        <f t="shared" si="345"/>
        <v>18</v>
      </c>
      <c r="B515" s="1464">
        <f t="shared" si="346"/>
        <v>36</v>
      </c>
      <c r="C515" s="1464">
        <f t="shared" si="347"/>
        <v>14</v>
      </c>
      <c r="D515" s="1271" t="str">
        <f ca="1">IF(OFFSET(PortfolioDashboard!$A$3,C515-1,0)="","Blank",OFFSET(PortfolioDashboard!$A$3,C515-1,0))</f>
        <v>On-site Wind</v>
      </c>
      <c r="E515" s="1464" t="str">
        <f t="shared" si="348"/>
        <v>2010$</v>
      </c>
      <c r="F515" s="1460">
        <f t="shared" ca="1" si="344"/>
        <v>0</v>
      </c>
      <c r="G515" s="358">
        <f t="shared" ca="1" si="349"/>
        <v>0</v>
      </c>
      <c r="H515" s="358">
        <f t="shared" ca="1" si="349"/>
        <v>0</v>
      </c>
      <c r="I515" s="358">
        <f t="shared" ca="1" si="349"/>
        <v>0</v>
      </c>
      <c r="J515" s="358">
        <f t="shared" ca="1" si="349"/>
        <v>0</v>
      </c>
      <c r="K515" s="358">
        <f t="shared" ca="1" si="349"/>
        <v>0</v>
      </c>
      <c r="L515" s="358">
        <f t="shared" ca="1" si="349"/>
        <v>0</v>
      </c>
      <c r="M515" s="358">
        <f t="shared" ca="1" si="349"/>
        <v>0</v>
      </c>
      <c r="N515" s="358">
        <f t="shared" ca="1" si="349"/>
        <v>0</v>
      </c>
      <c r="O515" s="358">
        <f t="shared" ca="1" si="349"/>
        <v>0</v>
      </c>
      <c r="P515" s="358">
        <f t="shared" ca="1" si="349"/>
        <v>0</v>
      </c>
      <c r="Q515" s="358">
        <f t="shared" ca="1" si="350"/>
        <v>0</v>
      </c>
      <c r="R515" s="358">
        <f t="shared" ca="1" si="350"/>
        <v>0</v>
      </c>
      <c r="S515" s="358">
        <f t="shared" ca="1" si="350"/>
        <v>0</v>
      </c>
      <c r="T515" s="358">
        <f t="shared" ca="1" si="350"/>
        <v>0</v>
      </c>
      <c r="U515" s="358">
        <f t="shared" ca="1" si="350"/>
        <v>0</v>
      </c>
      <c r="V515" s="358">
        <f t="shared" ca="1" si="350"/>
        <v>0</v>
      </c>
      <c r="W515" s="358">
        <f t="shared" ca="1" si="350"/>
        <v>0</v>
      </c>
      <c r="X515" s="358">
        <f t="shared" ca="1" si="350"/>
        <v>0</v>
      </c>
      <c r="Y515" s="358">
        <f t="shared" ca="1" si="350"/>
        <v>0</v>
      </c>
      <c r="Z515" s="358">
        <f t="shared" ca="1" si="350"/>
        <v>0</v>
      </c>
      <c r="AA515" s="358">
        <f t="shared" ca="1" si="351"/>
        <v>0</v>
      </c>
      <c r="AB515" s="358">
        <f t="shared" ca="1" si="351"/>
        <v>0</v>
      </c>
      <c r="AC515" s="358">
        <f t="shared" ca="1" si="351"/>
        <v>0</v>
      </c>
      <c r="AD515" s="358">
        <f t="shared" ca="1" si="351"/>
        <v>0</v>
      </c>
      <c r="AE515" s="358">
        <f t="shared" ca="1" si="351"/>
        <v>0</v>
      </c>
      <c r="AF515" s="358">
        <f t="shared" ca="1" si="351"/>
        <v>0</v>
      </c>
      <c r="AG515" s="358">
        <f t="shared" ca="1" si="351"/>
        <v>0</v>
      </c>
      <c r="AH515" s="358">
        <f t="shared" ca="1" si="351"/>
        <v>0</v>
      </c>
      <c r="AI515" s="358">
        <f t="shared" ca="1" si="351"/>
        <v>0</v>
      </c>
      <c r="AJ515" s="358">
        <f t="shared" ca="1" si="351"/>
        <v>0</v>
      </c>
      <c r="AK515" s="358">
        <f t="shared" ca="1" si="352"/>
        <v>0</v>
      </c>
      <c r="AL515" s="358">
        <f t="shared" ca="1" si="352"/>
        <v>0</v>
      </c>
      <c r="AM515" s="358">
        <f t="shared" ca="1" si="352"/>
        <v>0</v>
      </c>
      <c r="AN515" s="358">
        <f t="shared" ca="1" si="352"/>
        <v>0</v>
      </c>
      <c r="AO515" s="358">
        <f t="shared" ca="1" si="352"/>
        <v>0</v>
      </c>
      <c r="AP515" s="358">
        <f t="shared" ca="1" si="352"/>
        <v>0</v>
      </c>
      <c r="AQ515" s="358">
        <f t="shared" ca="1" si="352"/>
        <v>0</v>
      </c>
      <c r="AR515" s="358">
        <f t="shared" ca="1" si="352"/>
        <v>0</v>
      </c>
      <c r="AS515" s="358">
        <f t="shared" ca="1" si="352"/>
        <v>0</v>
      </c>
      <c r="AT515" s="358">
        <f t="shared" ca="1" si="352"/>
        <v>0</v>
      </c>
      <c r="AV515" s="358">
        <f t="shared" ca="1" si="291"/>
        <v>0</v>
      </c>
      <c r="AX515" s="358">
        <f t="shared" ca="1" si="292"/>
        <v>0</v>
      </c>
      <c r="AZ515" s="358">
        <f t="shared" ca="1" si="293"/>
        <v>0</v>
      </c>
      <c r="BB515" s="358">
        <f t="shared" ca="1" si="294"/>
        <v>0</v>
      </c>
      <c r="BD515" s="358">
        <f t="shared" ca="1" si="295"/>
        <v>0</v>
      </c>
      <c r="BF515" s="358">
        <f t="shared" ca="1" si="296"/>
        <v>0</v>
      </c>
      <c r="BH515" s="358">
        <f t="shared" ca="1" si="297"/>
        <v>0</v>
      </c>
    </row>
    <row r="516" spans="1:60" hidden="1" outlineLevel="1">
      <c r="A516" s="1464">
        <f t="shared" si="345"/>
        <v>18</v>
      </c>
      <c r="B516" s="1464">
        <f t="shared" si="346"/>
        <v>36</v>
      </c>
      <c r="C516" s="1464">
        <f t="shared" si="347"/>
        <v>15</v>
      </c>
      <c r="D516" s="1271" t="str">
        <f ca="1">IF(OFFSET(PortfolioDashboard!$A$3,C516-1,0)="","Blank",OFFSET(PortfolioDashboard!$A$3,C516-1,0))</f>
        <v>Solar DHW</v>
      </c>
      <c r="E516" s="1464" t="str">
        <f t="shared" si="348"/>
        <v>2010$</v>
      </c>
      <c r="F516" s="1460">
        <f t="shared" ca="1" si="344"/>
        <v>0</v>
      </c>
      <c r="G516" s="358">
        <f t="shared" ca="1" si="349"/>
        <v>0</v>
      </c>
      <c r="H516" s="358">
        <f t="shared" ca="1" si="349"/>
        <v>0</v>
      </c>
      <c r="I516" s="358">
        <f t="shared" ca="1" si="349"/>
        <v>0</v>
      </c>
      <c r="J516" s="358">
        <f t="shared" ca="1" si="349"/>
        <v>0</v>
      </c>
      <c r="K516" s="358">
        <f t="shared" ca="1" si="349"/>
        <v>0</v>
      </c>
      <c r="L516" s="358">
        <f t="shared" ca="1" si="349"/>
        <v>0</v>
      </c>
      <c r="M516" s="358">
        <f t="shared" ca="1" si="349"/>
        <v>0</v>
      </c>
      <c r="N516" s="358">
        <f t="shared" ca="1" si="349"/>
        <v>0</v>
      </c>
      <c r="O516" s="358">
        <f t="shared" ca="1" si="349"/>
        <v>0</v>
      </c>
      <c r="P516" s="358">
        <f t="shared" ca="1" si="349"/>
        <v>0</v>
      </c>
      <c r="Q516" s="358">
        <f t="shared" ca="1" si="350"/>
        <v>0</v>
      </c>
      <c r="R516" s="358">
        <f t="shared" ca="1" si="350"/>
        <v>0</v>
      </c>
      <c r="S516" s="358">
        <f t="shared" ca="1" si="350"/>
        <v>0</v>
      </c>
      <c r="T516" s="358">
        <f t="shared" ca="1" si="350"/>
        <v>0</v>
      </c>
      <c r="U516" s="358">
        <f t="shared" ca="1" si="350"/>
        <v>0</v>
      </c>
      <c r="V516" s="358">
        <f t="shared" ca="1" si="350"/>
        <v>0</v>
      </c>
      <c r="W516" s="358">
        <f t="shared" ca="1" si="350"/>
        <v>0</v>
      </c>
      <c r="X516" s="358">
        <f t="shared" ca="1" si="350"/>
        <v>0</v>
      </c>
      <c r="Y516" s="358">
        <f t="shared" ca="1" si="350"/>
        <v>0</v>
      </c>
      <c r="Z516" s="358">
        <f t="shared" ca="1" si="350"/>
        <v>0</v>
      </c>
      <c r="AA516" s="358">
        <f t="shared" ca="1" si="351"/>
        <v>0</v>
      </c>
      <c r="AB516" s="358">
        <f t="shared" ca="1" si="351"/>
        <v>0</v>
      </c>
      <c r="AC516" s="358">
        <f t="shared" ca="1" si="351"/>
        <v>0</v>
      </c>
      <c r="AD516" s="358">
        <f t="shared" ca="1" si="351"/>
        <v>0</v>
      </c>
      <c r="AE516" s="358">
        <f t="shared" ca="1" si="351"/>
        <v>0</v>
      </c>
      <c r="AF516" s="358">
        <f t="shared" ca="1" si="351"/>
        <v>0</v>
      </c>
      <c r="AG516" s="358">
        <f t="shared" ca="1" si="351"/>
        <v>0</v>
      </c>
      <c r="AH516" s="358">
        <f t="shared" ca="1" si="351"/>
        <v>0</v>
      </c>
      <c r="AI516" s="358">
        <f t="shared" ca="1" si="351"/>
        <v>0</v>
      </c>
      <c r="AJ516" s="358">
        <f t="shared" ca="1" si="351"/>
        <v>0</v>
      </c>
      <c r="AK516" s="358">
        <f t="shared" ca="1" si="352"/>
        <v>0</v>
      </c>
      <c r="AL516" s="358">
        <f t="shared" ca="1" si="352"/>
        <v>0</v>
      </c>
      <c r="AM516" s="358">
        <f t="shared" ca="1" si="352"/>
        <v>0</v>
      </c>
      <c r="AN516" s="358">
        <f t="shared" ca="1" si="352"/>
        <v>0</v>
      </c>
      <c r="AO516" s="358">
        <f t="shared" ca="1" si="352"/>
        <v>0</v>
      </c>
      <c r="AP516" s="358">
        <f t="shared" ca="1" si="352"/>
        <v>0</v>
      </c>
      <c r="AQ516" s="358">
        <f t="shared" ca="1" si="352"/>
        <v>0</v>
      </c>
      <c r="AR516" s="358">
        <f t="shared" ca="1" si="352"/>
        <v>0</v>
      </c>
      <c r="AS516" s="358">
        <f t="shared" ca="1" si="352"/>
        <v>0</v>
      </c>
      <c r="AT516" s="358">
        <f t="shared" ca="1" si="352"/>
        <v>0</v>
      </c>
      <c r="AV516" s="358">
        <f t="shared" ref="AV516:AV609" ca="1" si="353">SUM(L516:P516)</f>
        <v>0</v>
      </c>
      <c r="AX516" s="358">
        <f t="shared" ref="AX516:AX609" ca="1" si="354">SUM(Q516:U516)</f>
        <v>0</v>
      </c>
      <c r="AZ516" s="358">
        <f t="shared" ref="AZ516:AZ609" ca="1" si="355">SUM(V516:Z516)</f>
        <v>0</v>
      </c>
      <c r="BB516" s="358">
        <f t="shared" ref="BB516:BB609" ca="1" si="356">SUM(AA516:AE516)</f>
        <v>0</v>
      </c>
      <c r="BD516" s="358">
        <f t="shared" ref="BD516:BD609" ca="1" si="357">SUM(AF516:AJ516)</f>
        <v>0</v>
      </c>
      <c r="BF516" s="358">
        <f t="shared" ref="BF516:BF609" ca="1" si="358">SUM(AK516:AO516)</f>
        <v>0</v>
      </c>
      <c r="BH516" s="358">
        <f t="shared" ref="BH516:BH609" ca="1" si="359">SUM(AP516:AT516)</f>
        <v>0</v>
      </c>
    </row>
    <row r="517" spans="1:60" hidden="1" outlineLevel="1">
      <c r="A517" s="1464">
        <f t="shared" si="345"/>
        <v>18</v>
      </c>
      <c r="B517" s="1464">
        <f t="shared" si="346"/>
        <v>36</v>
      </c>
      <c r="C517" s="1464">
        <f t="shared" si="347"/>
        <v>16</v>
      </c>
      <c r="D517" s="1271" t="str">
        <f ca="1">IF(OFFSET(PortfolioDashboard!$A$3,C517-1,0)="","Blank",OFFSET(PortfolioDashboard!$A$3,C517-1,0))</f>
        <v>Geo Exchange</v>
      </c>
      <c r="E517" s="1464" t="str">
        <f t="shared" si="348"/>
        <v>2010$</v>
      </c>
      <c r="F517" s="1460">
        <f t="shared" ca="1" si="344"/>
        <v>0</v>
      </c>
      <c r="G517" s="358">
        <f t="shared" ca="1" si="349"/>
        <v>0</v>
      </c>
      <c r="H517" s="358">
        <f t="shared" ca="1" si="349"/>
        <v>0</v>
      </c>
      <c r="I517" s="358">
        <f t="shared" ca="1" si="349"/>
        <v>0</v>
      </c>
      <c r="J517" s="358">
        <f t="shared" ca="1" si="349"/>
        <v>0</v>
      </c>
      <c r="K517" s="358">
        <f t="shared" ca="1" si="349"/>
        <v>0</v>
      </c>
      <c r="L517" s="358">
        <f t="shared" ca="1" si="349"/>
        <v>0</v>
      </c>
      <c r="M517" s="358">
        <f t="shared" ca="1" si="349"/>
        <v>0</v>
      </c>
      <c r="N517" s="358">
        <f t="shared" ca="1" si="349"/>
        <v>0</v>
      </c>
      <c r="O517" s="358">
        <f t="shared" ca="1" si="349"/>
        <v>0</v>
      </c>
      <c r="P517" s="358">
        <f t="shared" ca="1" si="349"/>
        <v>0</v>
      </c>
      <c r="Q517" s="358">
        <f t="shared" ca="1" si="350"/>
        <v>0</v>
      </c>
      <c r="R517" s="358">
        <f t="shared" ca="1" si="350"/>
        <v>0</v>
      </c>
      <c r="S517" s="358">
        <f t="shared" ca="1" si="350"/>
        <v>0</v>
      </c>
      <c r="T517" s="358">
        <f t="shared" ca="1" si="350"/>
        <v>0</v>
      </c>
      <c r="U517" s="358">
        <f t="shared" ca="1" si="350"/>
        <v>0</v>
      </c>
      <c r="V517" s="358">
        <f t="shared" ca="1" si="350"/>
        <v>0</v>
      </c>
      <c r="W517" s="358">
        <f t="shared" ca="1" si="350"/>
        <v>0</v>
      </c>
      <c r="X517" s="358">
        <f t="shared" ca="1" si="350"/>
        <v>0</v>
      </c>
      <c r="Y517" s="358">
        <f t="shared" ca="1" si="350"/>
        <v>0</v>
      </c>
      <c r="Z517" s="358">
        <f t="shared" ca="1" si="350"/>
        <v>0</v>
      </c>
      <c r="AA517" s="358">
        <f t="shared" ca="1" si="351"/>
        <v>0</v>
      </c>
      <c r="AB517" s="358">
        <f t="shared" ca="1" si="351"/>
        <v>0</v>
      </c>
      <c r="AC517" s="358">
        <f t="shared" ca="1" si="351"/>
        <v>0</v>
      </c>
      <c r="AD517" s="358">
        <f t="shared" ca="1" si="351"/>
        <v>0</v>
      </c>
      <c r="AE517" s="358">
        <f t="shared" ca="1" si="351"/>
        <v>0</v>
      </c>
      <c r="AF517" s="358">
        <f t="shared" ca="1" si="351"/>
        <v>0</v>
      </c>
      <c r="AG517" s="358">
        <f t="shared" ca="1" si="351"/>
        <v>0</v>
      </c>
      <c r="AH517" s="358">
        <f t="shared" ca="1" si="351"/>
        <v>0</v>
      </c>
      <c r="AI517" s="358">
        <f t="shared" ca="1" si="351"/>
        <v>0</v>
      </c>
      <c r="AJ517" s="358">
        <f t="shared" ca="1" si="351"/>
        <v>0</v>
      </c>
      <c r="AK517" s="358">
        <f t="shared" ca="1" si="352"/>
        <v>0</v>
      </c>
      <c r="AL517" s="358">
        <f t="shared" ca="1" si="352"/>
        <v>0</v>
      </c>
      <c r="AM517" s="358">
        <f t="shared" ca="1" si="352"/>
        <v>0</v>
      </c>
      <c r="AN517" s="358">
        <f t="shared" ca="1" si="352"/>
        <v>0</v>
      </c>
      <c r="AO517" s="358">
        <f t="shared" ca="1" si="352"/>
        <v>0</v>
      </c>
      <c r="AP517" s="358">
        <f t="shared" ca="1" si="352"/>
        <v>0</v>
      </c>
      <c r="AQ517" s="358">
        <f t="shared" ca="1" si="352"/>
        <v>0</v>
      </c>
      <c r="AR517" s="358">
        <f t="shared" ca="1" si="352"/>
        <v>0</v>
      </c>
      <c r="AS517" s="358">
        <f t="shared" ca="1" si="352"/>
        <v>0</v>
      </c>
      <c r="AT517" s="358">
        <f t="shared" ca="1" si="352"/>
        <v>0</v>
      </c>
      <c r="AV517" s="358">
        <f t="shared" ca="1" si="353"/>
        <v>0</v>
      </c>
      <c r="AX517" s="358">
        <f t="shared" ca="1" si="354"/>
        <v>0</v>
      </c>
      <c r="AZ517" s="358">
        <f t="shared" ca="1" si="355"/>
        <v>0</v>
      </c>
      <c r="BB517" s="358">
        <f t="shared" ca="1" si="356"/>
        <v>0</v>
      </c>
      <c r="BD517" s="358">
        <f t="shared" ca="1" si="357"/>
        <v>0</v>
      </c>
      <c r="BF517" s="358">
        <f t="shared" ca="1" si="358"/>
        <v>0</v>
      </c>
      <c r="BH517" s="358">
        <f t="shared" ca="1" si="359"/>
        <v>0</v>
      </c>
    </row>
    <row r="518" spans="1:60" hidden="1" outlineLevel="1">
      <c r="A518" s="1464">
        <f t="shared" si="345"/>
        <v>18</v>
      </c>
      <c r="B518" s="1464">
        <f t="shared" si="346"/>
        <v>36</v>
      </c>
      <c r="C518" s="1464">
        <f t="shared" si="347"/>
        <v>17</v>
      </c>
      <c r="D518" s="1271" t="str">
        <f ca="1">IF(OFFSET(PortfolioDashboard!$A$3,C518-1,0)="","Blank",OFFSET(PortfolioDashboard!$A$3,C518-1,0))</f>
        <v>Rooftop Solar PV</v>
      </c>
      <c r="E518" s="1464" t="str">
        <f t="shared" si="348"/>
        <v>2010$</v>
      </c>
      <c r="F518" s="1460">
        <f t="shared" ca="1" si="344"/>
        <v>0</v>
      </c>
      <c r="G518" s="358">
        <f t="shared" ca="1" si="349"/>
        <v>0</v>
      </c>
      <c r="H518" s="358">
        <f t="shared" ca="1" si="349"/>
        <v>0</v>
      </c>
      <c r="I518" s="358">
        <f t="shared" ca="1" si="349"/>
        <v>0</v>
      </c>
      <c r="J518" s="358">
        <f t="shared" ca="1" si="349"/>
        <v>0</v>
      </c>
      <c r="K518" s="358">
        <f t="shared" ca="1" si="349"/>
        <v>0</v>
      </c>
      <c r="L518" s="358">
        <f t="shared" ca="1" si="349"/>
        <v>0</v>
      </c>
      <c r="M518" s="358">
        <f t="shared" ca="1" si="349"/>
        <v>0</v>
      </c>
      <c r="N518" s="358">
        <f t="shared" ca="1" si="349"/>
        <v>0</v>
      </c>
      <c r="O518" s="358">
        <f t="shared" ca="1" si="349"/>
        <v>0</v>
      </c>
      <c r="P518" s="358">
        <f t="shared" ca="1" si="349"/>
        <v>0</v>
      </c>
      <c r="Q518" s="358">
        <f t="shared" ca="1" si="350"/>
        <v>0</v>
      </c>
      <c r="R518" s="358">
        <f t="shared" ca="1" si="350"/>
        <v>0</v>
      </c>
      <c r="S518" s="358">
        <f t="shared" ca="1" si="350"/>
        <v>0</v>
      </c>
      <c r="T518" s="358">
        <f t="shared" ca="1" si="350"/>
        <v>0</v>
      </c>
      <c r="U518" s="358">
        <f t="shared" ca="1" si="350"/>
        <v>0</v>
      </c>
      <c r="V518" s="358">
        <f t="shared" ca="1" si="350"/>
        <v>0</v>
      </c>
      <c r="W518" s="358">
        <f t="shared" ca="1" si="350"/>
        <v>0</v>
      </c>
      <c r="X518" s="358">
        <f t="shared" ca="1" si="350"/>
        <v>0</v>
      </c>
      <c r="Y518" s="358">
        <f t="shared" ca="1" si="350"/>
        <v>0</v>
      </c>
      <c r="Z518" s="358">
        <f t="shared" ca="1" si="350"/>
        <v>0</v>
      </c>
      <c r="AA518" s="358">
        <f t="shared" ca="1" si="351"/>
        <v>0</v>
      </c>
      <c r="AB518" s="358">
        <f t="shared" ca="1" si="351"/>
        <v>0</v>
      </c>
      <c r="AC518" s="358">
        <f t="shared" ca="1" si="351"/>
        <v>0</v>
      </c>
      <c r="AD518" s="358">
        <f t="shared" ca="1" si="351"/>
        <v>0</v>
      </c>
      <c r="AE518" s="358">
        <f t="shared" ca="1" si="351"/>
        <v>0</v>
      </c>
      <c r="AF518" s="358">
        <f t="shared" ca="1" si="351"/>
        <v>0</v>
      </c>
      <c r="AG518" s="358">
        <f t="shared" ca="1" si="351"/>
        <v>0</v>
      </c>
      <c r="AH518" s="358">
        <f t="shared" ca="1" si="351"/>
        <v>0</v>
      </c>
      <c r="AI518" s="358">
        <f t="shared" ca="1" si="351"/>
        <v>0</v>
      </c>
      <c r="AJ518" s="358">
        <f t="shared" ca="1" si="351"/>
        <v>0</v>
      </c>
      <c r="AK518" s="358">
        <f t="shared" ca="1" si="352"/>
        <v>0</v>
      </c>
      <c r="AL518" s="358">
        <f t="shared" ca="1" si="352"/>
        <v>0</v>
      </c>
      <c r="AM518" s="358">
        <f t="shared" ca="1" si="352"/>
        <v>0</v>
      </c>
      <c r="AN518" s="358">
        <f t="shared" ca="1" si="352"/>
        <v>0</v>
      </c>
      <c r="AO518" s="358">
        <f t="shared" ca="1" si="352"/>
        <v>0</v>
      </c>
      <c r="AP518" s="358">
        <f t="shared" ca="1" si="352"/>
        <v>0</v>
      </c>
      <c r="AQ518" s="358">
        <f t="shared" ca="1" si="352"/>
        <v>0</v>
      </c>
      <c r="AR518" s="358">
        <f t="shared" ca="1" si="352"/>
        <v>0</v>
      </c>
      <c r="AS518" s="358">
        <f t="shared" ca="1" si="352"/>
        <v>0</v>
      </c>
      <c r="AT518" s="358">
        <f t="shared" ca="1" si="352"/>
        <v>0</v>
      </c>
      <c r="AV518" s="358">
        <f t="shared" ca="1" si="353"/>
        <v>0</v>
      </c>
      <c r="AX518" s="358">
        <f t="shared" ca="1" si="354"/>
        <v>0</v>
      </c>
      <c r="AZ518" s="358">
        <f t="shared" ca="1" si="355"/>
        <v>0</v>
      </c>
      <c r="BB518" s="358">
        <f t="shared" ca="1" si="356"/>
        <v>0</v>
      </c>
      <c r="BD518" s="358">
        <f t="shared" ca="1" si="357"/>
        <v>0</v>
      </c>
      <c r="BF518" s="358">
        <f t="shared" ca="1" si="358"/>
        <v>0</v>
      </c>
      <c r="BH518" s="358">
        <f t="shared" ca="1" si="359"/>
        <v>0</v>
      </c>
    </row>
    <row r="519" spans="1:60" hidden="1" outlineLevel="1">
      <c r="A519" s="1464">
        <f t="shared" si="345"/>
        <v>18</v>
      </c>
      <c r="B519" s="1464">
        <f t="shared" si="346"/>
        <v>36</v>
      </c>
      <c r="C519" s="1464">
        <f t="shared" si="347"/>
        <v>18</v>
      </c>
      <c r="D519" s="1271" t="str">
        <f ca="1">IF(OFFSET(PortfolioDashboard!$A$3,C519-1,0)="","Blank",OFFSET(PortfolioDashboard!$A$3,C519-1,0))</f>
        <v>Blank</v>
      </c>
      <c r="E519" s="1464" t="str">
        <f t="shared" si="348"/>
        <v>2010$</v>
      </c>
      <c r="F519" s="1460">
        <f t="shared" ca="1" si="344"/>
        <v>0</v>
      </c>
      <c r="G519" s="358">
        <f t="shared" ca="1" si="349"/>
        <v>0</v>
      </c>
      <c r="H519" s="358">
        <f t="shared" ca="1" si="349"/>
        <v>0</v>
      </c>
      <c r="I519" s="358">
        <f t="shared" ca="1" si="349"/>
        <v>0</v>
      </c>
      <c r="J519" s="358">
        <f t="shared" ca="1" si="349"/>
        <v>0</v>
      </c>
      <c r="K519" s="358">
        <f t="shared" ca="1" si="349"/>
        <v>0</v>
      </c>
      <c r="L519" s="358">
        <f t="shared" ca="1" si="349"/>
        <v>0</v>
      </c>
      <c r="M519" s="358">
        <f t="shared" ca="1" si="349"/>
        <v>0</v>
      </c>
      <c r="N519" s="358">
        <f t="shared" ca="1" si="349"/>
        <v>0</v>
      </c>
      <c r="O519" s="358">
        <f t="shared" ca="1" si="349"/>
        <v>0</v>
      </c>
      <c r="P519" s="358">
        <f t="shared" ca="1" si="349"/>
        <v>0</v>
      </c>
      <c r="Q519" s="358">
        <f t="shared" ca="1" si="350"/>
        <v>0</v>
      </c>
      <c r="R519" s="358">
        <f t="shared" ca="1" si="350"/>
        <v>0</v>
      </c>
      <c r="S519" s="358">
        <f t="shared" ca="1" si="350"/>
        <v>0</v>
      </c>
      <c r="T519" s="358">
        <f t="shared" ca="1" si="350"/>
        <v>0</v>
      </c>
      <c r="U519" s="358">
        <f t="shared" ca="1" si="350"/>
        <v>0</v>
      </c>
      <c r="V519" s="358">
        <f t="shared" ca="1" si="350"/>
        <v>0</v>
      </c>
      <c r="W519" s="358">
        <f t="shared" ca="1" si="350"/>
        <v>0</v>
      </c>
      <c r="X519" s="358">
        <f t="shared" ca="1" si="350"/>
        <v>0</v>
      </c>
      <c r="Y519" s="358">
        <f t="shared" ca="1" si="350"/>
        <v>0</v>
      </c>
      <c r="Z519" s="358">
        <f t="shared" ca="1" si="350"/>
        <v>0</v>
      </c>
      <c r="AA519" s="358">
        <f t="shared" ca="1" si="351"/>
        <v>0</v>
      </c>
      <c r="AB519" s="358">
        <f t="shared" ca="1" si="351"/>
        <v>0</v>
      </c>
      <c r="AC519" s="358">
        <f t="shared" ca="1" si="351"/>
        <v>0</v>
      </c>
      <c r="AD519" s="358">
        <f t="shared" ca="1" si="351"/>
        <v>0</v>
      </c>
      <c r="AE519" s="358">
        <f t="shared" ca="1" si="351"/>
        <v>0</v>
      </c>
      <c r="AF519" s="358">
        <f t="shared" ca="1" si="351"/>
        <v>0</v>
      </c>
      <c r="AG519" s="358">
        <f t="shared" ca="1" si="351"/>
        <v>0</v>
      </c>
      <c r="AH519" s="358">
        <f t="shared" ca="1" si="351"/>
        <v>0</v>
      </c>
      <c r="AI519" s="358">
        <f t="shared" ca="1" si="351"/>
        <v>0</v>
      </c>
      <c r="AJ519" s="358">
        <f t="shared" ca="1" si="351"/>
        <v>0</v>
      </c>
      <c r="AK519" s="358">
        <f t="shared" ca="1" si="352"/>
        <v>0</v>
      </c>
      <c r="AL519" s="358">
        <f t="shared" ca="1" si="352"/>
        <v>0</v>
      </c>
      <c r="AM519" s="358">
        <f t="shared" ca="1" si="352"/>
        <v>0</v>
      </c>
      <c r="AN519" s="358">
        <f t="shared" ca="1" si="352"/>
        <v>0</v>
      </c>
      <c r="AO519" s="358">
        <f t="shared" ca="1" si="352"/>
        <v>0</v>
      </c>
      <c r="AP519" s="358">
        <f t="shared" ca="1" si="352"/>
        <v>0</v>
      </c>
      <c r="AQ519" s="358">
        <f t="shared" ca="1" si="352"/>
        <v>0</v>
      </c>
      <c r="AR519" s="358">
        <f t="shared" ca="1" si="352"/>
        <v>0</v>
      </c>
      <c r="AS519" s="358">
        <f t="shared" ca="1" si="352"/>
        <v>0</v>
      </c>
      <c r="AT519" s="358">
        <f t="shared" ca="1" si="352"/>
        <v>0</v>
      </c>
      <c r="AV519" s="358">
        <f t="shared" ca="1" si="353"/>
        <v>0</v>
      </c>
      <c r="AX519" s="358">
        <f t="shared" ca="1" si="354"/>
        <v>0</v>
      </c>
      <c r="AZ519" s="358">
        <f t="shared" ca="1" si="355"/>
        <v>0</v>
      </c>
      <c r="BB519" s="358">
        <f t="shared" ca="1" si="356"/>
        <v>0</v>
      </c>
      <c r="BD519" s="358">
        <f t="shared" ca="1" si="357"/>
        <v>0</v>
      </c>
      <c r="BF519" s="358">
        <f t="shared" ca="1" si="358"/>
        <v>0</v>
      </c>
      <c r="BH519" s="358">
        <f t="shared" ca="1" si="359"/>
        <v>0</v>
      </c>
    </row>
    <row r="520" spans="1:60" hidden="1" outlineLevel="1">
      <c r="A520" s="1464">
        <f t="shared" si="345"/>
        <v>18</v>
      </c>
      <c r="B520" s="1464">
        <f t="shared" si="346"/>
        <v>36</v>
      </c>
      <c r="C520" s="1464">
        <f t="shared" si="347"/>
        <v>19</v>
      </c>
      <c r="D520" s="1271" t="str">
        <f ca="1">IF(OFFSET(PortfolioDashboard!$A$3,C520-1,0)="","Blank",OFFSET(PortfolioDashboard!$A$3,C520-1,0))</f>
        <v>Blank</v>
      </c>
      <c r="E520" s="1464" t="str">
        <f t="shared" si="348"/>
        <v>2010$</v>
      </c>
      <c r="F520" s="1460">
        <f t="shared" ca="1" si="344"/>
        <v>0</v>
      </c>
      <c r="G520" s="358">
        <f t="shared" ca="1" si="349"/>
        <v>0</v>
      </c>
      <c r="H520" s="358">
        <f t="shared" ca="1" si="349"/>
        <v>0</v>
      </c>
      <c r="I520" s="358">
        <f t="shared" ca="1" si="349"/>
        <v>0</v>
      </c>
      <c r="J520" s="358">
        <f t="shared" ca="1" si="349"/>
        <v>0</v>
      </c>
      <c r="K520" s="358">
        <f t="shared" ca="1" si="349"/>
        <v>0</v>
      </c>
      <c r="L520" s="358">
        <f t="shared" ca="1" si="349"/>
        <v>0</v>
      </c>
      <c r="M520" s="358">
        <f t="shared" ca="1" si="349"/>
        <v>0</v>
      </c>
      <c r="N520" s="358">
        <f t="shared" ca="1" si="349"/>
        <v>0</v>
      </c>
      <c r="O520" s="358">
        <f t="shared" ca="1" si="349"/>
        <v>0</v>
      </c>
      <c r="P520" s="358">
        <f t="shared" ca="1" si="349"/>
        <v>0</v>
      </c>
      <c r="Q520" s="358">
        <f t="shared" ca="1" si="350"/>
        <v>0</v>
      </c>
      <c r="R520" s="358">
        <f t="shared" ca="1" si="350"/>
        <v>0</v>
      </c>
      <c r="S520" s="358">
        <f t="shared" ca="1" si="350"/>
        <v>0</v>
      </c>
      <c r="T520" s="358">
        <f t="shared" ca="1" si="350"/>
        <v>0</v>
      </c>
      <c r="U520" s="358">
        <f t="shared" ca="1" si="350"/>
        <v>0</v>
      </c>
      <c r="V520" s="358">
        <f t="shared" ca="1" si="350"/>
        <v>0</v>
      </c>
      <c r="W520" s="358">
        <f t="shared" ca="1" si="350"/>
        <v>0</v>
      </c>
      <c r="X520" s="358">
        <f t="shared" ca="1" si="350"/>
        <v>0</v>
      </c>
      <c r="Y520" s="358">
        <f t="shared" ca="1" si="350"/>
        <v>0</v>
      </c>
      <c r="Z520" s="358">
        <f t="shared" ca="1" si="350"/>
        <v>0</v>
      </c>
      <c r="AA520" s="358">
        <f t="shared" ca="1" si="351"/>
        <v>0</v>
      </c>
      <c r="AB520" s="358">
        <f t="shared" ca="1" si="351"/>
        <v>0</v>
      </c>
      <c r="AC520" s="358">
        <f t="shared" ca="1" si="351"/>
        <v>0</v>
      </c>
      <c r="AD520" s="358">
        <f t="shared" ca="1" si="351"/>
        <v>0</v>
      </c>
      <c r="AE520" s="358">
        <f t="shared" ca="1" si="351"/>
        <v>0</v>
      </c>
      <c r="AF520" s="358">
        <f t="shared" ca="1" si="351"/>
        <v>0</v>
      </c>
      <c r="AG520" s="358">
        <f t="shared" ca="1" si="351"/>
        <v>0</v>
      </c>
      <c r="AH520" s="358">
        <f t="shared" ca="1" si="351"/>
        <v>0</v>
      </c>
      <c r="AI520" s="358">
        <f t="shared" ca="1" si="351"/>
        <v>0</v>
      </c>
      <c r="AJ520" s="358">
        <f t="shared" ca="1" si="351"/>
        <v>0</v>
      </c>
      <c r="AK520" s="358">
        <f t="shared" ca="1" si="352"/>
        <v>0</v>
      </c>
      <c r="AL520" s="358">
        <f t="shared" ca="1" si="352"/>
        <v>0</v>
      </c>
      <c r="AM520" s="358">
        <f t="shared" ca="1" si="352"/>
        <v>0</v>
      </c>
      <c r="AN520" s="358">
        <f t="shared" ca="1" si="352"/>
        <v>0</v>
      </c>
      <c r="AO520" s="358">
        <f t="shared" ca="1" si="352"/>
        <v>0</v>
      </c>
      <c r="AP520" s="358">
        <f t="shared" ca="1" si="352"/>
        <v>0</v>
      </c>
      <c r="AQ520" s="358">
        <f t="shared" ca="1" si="352"/>
        <v>0</v>
      </c>
      <c r="AR520" s="358">
        <f t="shared" ca="1" si="352"/>
        <v>0</v>
      </c>
      <c r="AS520" s="358">
        <f t="shared" ca="1" si="352"/>
        <v>0</v>
      </c>
      <c r="AT520" s="358">
        <f t="shared" ca="1" si="352"/>
        <v>0</v>
      </c>
      <c r="AV520" s="358">
        <f t="shared" ca="1" si="353"/>
        <v>0</v>
      </c>
      <c r="AX520" s="358">
        <f t="shared" ca="1" si="354"/>
        <v>0</v>
      </c>
      <c r="AZ520" s="358">
        <f t="shared" ca="1" si="355"/>
        <v>0</v>
      </c>
      <c r="BB520" s="358">
        <f t="shared" ca="1" si="356"/>
        <v>0</v>
      </c>
      <c r="BD520" s="358">
        <f t="shared" ca="1" si="357"/>
        <v>0</v>
      </c>
      <c r="BF520" s="358">
        <f t="shared" ca="1" si="358"/>
        <v>0</v>
      </c>
      <c r="BH520" s="358">
        <f t="shared" ca="1" si="359"/>
        <v>0</v>
      </c>
    </row>
    <row r="521" spans="1:60" hidden="1" outlineLevel="1">
      <c r="A521" s="1464">
        <f t="shared" si="345"/>
        <v>18</v>
      </c>
      <c r="B521" s="1464">
        <f t="shared" si="346"/>
        <v>36</v>
      </c>
      <c r="C521" s="1464">
        <f t="shared" si="347"/>
        <v>20</v>
      </c>
      <c r="D521" s="1271" t="str">
        <f ca="1">IF(OFFSET(PortfolioDashboard!$A$3,C521-1,0)="","Blank",OFFSET(PortfolioDashboard!$A$3,C521-1,0))</f>
        <v>Blank</v>
      </c>
      <c r="E521" s="1464" t="str">
        <f t="shared" si="348"/>
        <v>2010$</v>
      </c>
      <c r="F521" s="1460">
        <f t="shared" ca="1" si="344"/>
        <v>0</v>
      </c>
      <c r="G521" s="358">
        <f t="shared" ca="1" si="349"/>
        <v>0</v>
      </c>
      <c r="H521" s="358">
        <f t="shared" ca="1" si="349"/>
        <v>0</v>
      </c>
      <c r="I521" s="358">
        <f t="shared" ca="1" si="349"/>
        <v>0</v>
      </c>
      <c r="J521" s="358">
        <f t="shared" ca="1" si="349"/>
        <v>0</v>
      </c>
      <c r="K521" s="358">
        <f t="shared" ca="1" si="349"/>
        <v>0</v>
      </c>
      <c r="L521" s="358">
        <f t="shared" ca="1" si="349"/>
        <v>0</v>
      </c>
      <c r="M521" s="358">
        <f t="shared" ca="1" si="349"/>
        <v>0</v>
      </c>
      <c r="N521" s="358">
        <f t="shared" ca="1" si="349"/>
        <v>0</v>
      </c>
      <c r="O521" s="358">
        <f t="shared" ca="1" si="349"/>
        <v>0</v>
      </c>
      <c r="P521" s="358">
        <f t="shared" ca="1" si="349"/>
        <v>0</v>
      </c>
      <c r="Q521" s="358">
        <f t="shared" ca="1" si="350"/>
        <v>0</v>
      </c>
      <c r="R521" s="358">
        <f t="shared" ca="1" si="350"/>
        <v>0</v>
      </c>
      <c r="S521" s="358">
        <f t="shared" ca="1" si="350"/>
        <v>0</v>
      </c>
      <c r="T521" s="358">
        <f t="shared" ca="1" si="350"/>
        <v>0</v>
      </c>
      <c r="U521" s="358">
        <f t="shared" ca="1" si="350"/>
        <v>0</v>
      </c>
      <c r="V521" s="358">
        <f t="shared" ca="1" si="350"/>
        <v>0</v>
      </c>
      <c r="W521" s="358">
        <f t="shared" ca="1" si="350"/>
        <v>0</v>
      </c>
      <c r="X521" s="358">
        <f t="shared" ca="1" si="350"/>
        <v>0</v>
      </c>
      <c r="Y521" s="358">
        <f t="shared" ca="1" si="350"/>
        <v>0</v>
      </c>
      <c r="Z521" s="358">
        <f t="shared" ca="1" si="350"/>
        <v>0</v>
      </c>
      <c r="AA521" s="358">
        <f t="shared" ca="1" si="351"/>
        <v>0</v>
      </c>
      <c r="AB521" s="358">
        <f t="shared" ca="1" si="351"/>
        <v>0</v>
      </c>
      <c r="AC521" s="358">
        <f t="shared" ca="1" si="351"/>
        <v>0</v>
      </c>
      <c r="AD521" s="358">
        <f t="shared" ca="1" si="351"/>
        <v>0</v>
      </c>
      <c r="AE521" s="358">
        <f t="shared" ca="1" si="351"/>
        <v>0</v>
      </c>
      <c r="AF521" s="358">
        <f t="shared" ca="1" si="351"/>
        <v>0</v>
      </c>
      <c r="AG521" s="358">
        <f t="shared" ca="1" si="351"/>
        <v>0</v>
      </c>
      <c r="AH521" s="358">
        <f t="shared" ca="1" si="351"/>
        <v>0</v>
      </c>
      <c r="AI521" s="358">
        <f t="shared" ca="1" si="351"/>
        <v>0</v>
      </c>
      <c r="AJ521" s="358">
        <f t="shared" ca="1" si="351"/>
        <v>0</v>
      </c>
      <c r="AK521" s="358">
        <f t="shared" ca="1" si="352"/>
        <v>0</v>
      </c>
      <c r="AL521" s="358">
        <f t="shared" ca="1" si="352"/>
        <v>0</v>
      </c>
      <c r="AM521" s="358">
        <f t="shared" ca="1" si="352"/>
        <v>0</v>
      </c>
      <c r="AN521" s="358">
        <f t="shared" ca="1" si="352"/>
        <v>0</v>
      </c>
      <c r="AO521" s="358">
        <f t="shared" ca="1" si="352"/>
        <v>0</v>
      </c>
      <c r="AP521" s="358">
        <f t="shared" ca="1" si="352"/>
        <v>0</v>
      </c>
      <c r="AQ521" s="358">
        <f t="shared" ca="1" si="352"/>
        <v>0</v>
      </c>
      <c r="AR521" s="358">
        <f t="shared" ca="1" si="352"/>
        <v>0</v>
      </c>
      <c r="AS521" s="358">
        <f t="shared" ca="1" si="352"/>
        <v>0</v>
      </c>
      <c r="AT521" s="358">
        <f t="shared" ca="1" si="352"/>
        <v>0</v>
      </c>
      <c r="AV521" s="358">
        <f t="shared" ca="1" si="353"/>
        <v>0</v>
      </c>
      <c r="AX521" s="358">
        <f t="shared" ca="1" si="354"/>
        <v>0</v>
      </c>
      <c r="AZ521" s="358">
        <f t="shared" ca="1" si="355"/>
        <v>0</v>
      </c>
      <c r="BB521" s="358">
        <f t="shared" ca="1" si="356"/>
        <v>0</v>
      </c>
      <c r="BD521" s="358">
        <f t="shared" ca="1" si="357"/>
        <v>0</v>
      </c>
      <c r="BF521" s="358">
        <f t="shared" ca="1" si="358"/>
        <v>0</v>
      </c>
      <c r="BH521" s="358">
        <f t="shared" ca="1" si="359"/>
        <v>0</v>
      </c>
    </row>
    <row r="522" spans="1:60" hidden="1" outlineLevel="1">
      <c r="A522" s="1464">
        <f t="shared" si="345"/>
        <v>18</v>
      </c>
      <c r="B522" s="1464">
        <f t="shared" si="346"/>
        <v>36</v>
      </c>
      <c r="C522" s="1464">
        <f t="shared" si="347"/>
        <v>21</v>
      </c>
      <c r="D522" s="1271" t="str">
        <f ca="1">IF(OFFSET(PortfolioDashboard!$A$3,C522-1,0)="","Blank",OFFSET(PortfolioDashboard!$A$3,C522-1,0))</f>
        <v>Blank</v>
      </c>
      <c r="E522" s="1464" t="str">
        <f t="shared" si="348"/>
        <v>2010$</v>
      </c>
      <c r="F522" s="1460">
        <f t="shared" ca="1" si="344"/>
        <v>0</v>
      </c>
      <c r="G522" s="358">
        <f t="shared" ref="G522:P531" ca="1" si="360">IFERROR(OFFSET(INDIRECT(INDEX(List_of_Alternatives,MATCH($D522,NameofAlternatives,0))),$A522+G$1-$G$1,$B522),0)</f>
        <v>0</v>
      </c>
      <c r="H522" s="358">
        <f t="shared" ca="1" si="360"/>
        <v>0</v>
      </c>
      <c r="I522" s="358">
        <f t="shared" ca="1" si="360"/>
        <v>0</v>
      </c>
      <c r="J522" s="358">
        <f t="shared" ca="1" si="360"/>
        <v>0</v>
      </c>
      <c r="K522" s="358">
        <f t="shared" ca="1" si="360"/>
        <v>0</v>
      </c>
      <c r="L522" s="358">
        <f t="shared" ca="1" si="360"/>
        <v>0</v>
      </c>
      <c r="M522" s="358">
        <f t="shared" ca="1" si="360"/>
        <v>0</v>
      </c>
      <c r="N522" s="358">
        <f t="shared" ca="1" si="360"/>
        <v>0</v>
      </c>
      <c r="O522" s="358">
        <f t="shared" ca="1" si="360"/>
        <v>0</v>
      </c>
      <c r="P522" s="358">
        <f t="shared" ca="1" si="360"/>
        <v>0</v>
      </c>
      <c r="Q522" s="358">
        <f t="shared" ref="Q522:Z531" ca="1" si="361">IFERROR(OFFSET(INDIRECT(INDEX(List_of_Alternatives,MATCH($D522,NameofAlternatives,0))),$A522+Q$1-$G$1,$B522),0)</f>
        <v>0</v>
      </c>
      <c r="R522" s="358">
        <f t="shared" ca="1" si="361"/>
        <v>0</v>
      </c>
      <c r="S522" s="358">
        <f t="shared" ca="1" si="361"/>
        <v>0</v>
      </c>
      <c r="T522" s="358">
        <f t="shared" ca="1" si="361"/>
        <v>0</v>
      </c>
      <c r="U522" s="358">
        <f t="shared" ca="1" si="361"/>
        <v>0</v>
      </c>
      <c r="V522" s="358">
        <f t="shared" ca="1" si="361"/>
        <v>0</v>
      </c>
      <c r="W522" s="358">
        <f t="shared" ca="1" si="361"/>
        <v>0</v>
      </c>
      <c r="X522" s="358">
        <f t="shared" ca="1" si="361"/>
        <v>0</v>
      </c>
      <c r="Y522" s="358">
        <f t="shared" ca="1" si="361"/>
        <v>0</v>
      </c>
      <c r="Z522" s="358">
        <f t="shared" ca="1" si="361"/>
        <v>0</v>
      </c>
      <c r="AA522" s="358">
        <f t="shared" ref="AA522:AJ531" ca="1" si="362">IFERROR(OFFSET(INDIRECT(INDEX(List_of_Alternatives,MATCH($D522,NameofAlternatives,0))),$A522+AA$1-$G$1,$B522),0)</f>
        <v>0</v>
      </c>
      <c r="AB522" s="358">
        <f t="shared" ca="1" si="362"/>
        <v>0</v>
      </c>
      <c r="AC522" s="358">
        <f t="shared" ca="1" si="362"/>
        <v>0</v>
      </c>
      <c r="AD522" s="358">
        <f t="shared" ca="1" si="362"/>
        <v>0</v>
      </c>
      <c r="AE522" s="358">
        <f t="shared" ca="1" si="362"/>
        <v>0</v>
      </c>
      <c r="AF522" s="358">
        <f t="shared" ca="1" si="362"/>
        <v>0</v>
      </c>
      <c r="AG522" s="358">
        <f t="shared" ca="1" si="362"/>
        <v>0</v>
      </c>
      <c r="AH522" s="358">
        <f t="shared" ca="1" si="362"/>
        <v>0</v>
      </c>
      <c r="AI522" s="358">
        <f t="shared" ca="1" si="362"/>
        <v>0</v>
      </c>
      <c r="AJ522" s="358">
        <f t="shared" ca="1" si="362"/>
        <v>0</v>
      </c>
      <c r="AK522" s="358">
        <f t="shared" ref="AK522:AT531" ca="1" si="363">IFERROR(OFFSET(INDIRECT(INDEX(List_of_Alternatives,MATCH($D522,NameofAlternatives,0))),$A522+AK$1-$G$1,$B522),0)</f>
        <v>0</v>
      </c>
      <c r="AL522" s="358">
        <f t="shared" ca="1" si="363"/>
        <v>0</v>
      </c>
      <c r="AM522" s="358">
        <f t="shared" ca="1" si="363"/>
        <v>0</v>
      </c>
      <c r="AN522" s="358">
        <f t="shared" ca="1" si="363"/>
        <v>0</v>
      </c>
      <c r="AO522" s="358">
        <f t="shared" ca="1" si="363"/>
        <v>0</v>
      </c>
      <c r="AP522" s="358">
        <f t="shared" ca="1" si="363"/>
        <v>0</v>
      </c>
      <c r="AQ522" s="358">
        <f t="shared" ca="1" si="363"/>
        <v>0</v>
      </c>
      <c r="AR522" s="358">
        <f t="shared" ca="1" si="363"/>
        <v>0</v>
      </c>
      <c r="AS522" s="358">
        <f t="shared" ca="1" si="363"/>
        <v>0</v>
      </c>
      <c r="AT522" s="358">
        <f t="shared" ca="1" si="363"/>
        <v>0</v>
      </c>
      <c r="AV522" s="358">
        <f t="shared" ca="1" si="353"/>
        <v>0</v>
      </c>
      <c r="AX522" s="358">
        <f t="shared" ca="1" si="354"/>
        <v>0</v>
      </c>
      <c r="AZ522" s="358">
        <f t="shared" ca="1" si="355"/>
        <v>0</v>
      </c>
      <c r="BB522" s="358">
        <f t="shared" ca="1" si="356"/>
        <v>0</v>
      </c>
      <c r="BD522" s="358">
        <f t="shared" ca="1" si="357"/>
        <v>0</v>
      </c>
      <c r="BF522" s="358">
        <f t="shared" ca="1" si="358"/>
        <v>0</v>
      </c>
      <c r="BH522" s="358">
        <f t="shared" ca="1" si="359"/>
        <v>0</v>
      </c>
    </row>
    <row r="523" spans="1:60" hidden="1" outlineLevel="1">
      <c r="A523" s="1464">
        <f t="shared" si="345"/>
        <v>18</v>
      </c>
      <c r="B523" s="1464">
        <f t="shared" si="346"/>
        <v>36</v>
      </c>
      <c r="C523" s="1464">
        <f t="shared" si="347"/>
        <v>22</v>
      </c>
      <c r="D523" s="1271" t="str">
        <f ca="1">IF(OFFSET(PortfolioDashboard!$A$3,C523-1,0)="","Blank",OFFSET(PortfolioDashboard!$A$3,C523-1,0))</f>
        <v>Blank</v>
      </c>
      <c r="E523" s="1464" t="str">
        <f t="shared" si="348"/>
        <v>2010$</v>
      </c>
      <c r="F523" s="1460">
        <f t="shared" ca="1" si="344"/>
        <v>0</v>
      </c>
      <c r="G523" s="358">
        <f t="shared" ca="1" si="360"/>
        <v>0</v>
      </c>
      <c r="H523" s="358">
        <f t="shared" ca="1" si="360"/>
        <v>0</v>
      </c>
      <c r="I523" s="358">
        <f t="shared" ca="1" si="360"/>
        <v>0</v>
      </c>
      <c r="J523" s="358">
        <f t="shared" ca="1" si="360"/>
        <v>0</v>
      </c>
      <c r="K523" s="358">
        <f t="shared" ca="1" si="360"/>
        <v>0</v>
      </c>
      <c r="L523" s="358">
        <f t="shared" ca="1" si="360"/>
        <v>0</v>
      </c>
      <c r="M523" s="358">
        <f t="shared" ca="1" si="360"/>
        <v>0</v>
      </c>
      <c r="N523" s="358">
        <f t="shared" ca="1" si="360"/>
        <v>0</v>
      </c>
      <c r="O523" s="358">
        <f t="shared" ca="1" si="360"/>
        <v>0</v>
      </c>
      <c r="P523" s="358">
        <f t="shared" ca="1" si="360"/>
        <v>0</v>
      </c>
      <c r="Q523" s="358">
        <f t="shared" ca="1" si="361"/>
        <v>0</v>
      </c>
      <c r="R523" s="358">
        <f t="shared" ca="1" si="361"/>
        <v>0</v>
      </c>
      <c r="S523" s="358">
        <f t="shared" ca="1" si="361"/>
        <v>0</v>
      </c>
      <c r="T523" s="358">
        <f t="shared" ca="1" si="361"/>
        <v>0</v>
      </c>
      <c r="U523" s="358">
        <f t="shared" ca="1" si="361"/>
        <v>0</v>
      </c>
      <c r="V523" s="358">
        <f t="shared" ca="1" si="361"/>
        <v>0</v>
      </c>
      <c r="W523" s="358">
        <f t="shared" ca="1" si="361"/>
        <v>0</v>
      </c>
      <c r="X523" s="358">
        <f t="shared" ca="1" si="361"/>
        <v>0</v>
      </c>
      <c r="Y523" s="358">
        <f t="shared" ca="1" si="361"/>
        <v>0</v>
      </c>
      <c r="Z523" s="358">
        <f t="shared" ca="1" si="361"/>
        <v>0</v>
      </c>
      <c r="AA523" s="358">
        <f t="shared" ca="1" si="362"/>
        <v>0</v>
      </c>
      <c r="AB523" s="358">
        <f t="shared" ca="1" si="362"/>
        <v>0</v>
      </c>
      <c r="AC523" s="358">
        <f t="shared" ca="1" si="362"/>
        <v>0</v>
      </c>
      <c r="AD523" s="358">
        <f t="shared" ca="1" si="362"/>
        <v>0</v>
      </c>
      <c r="AE523" s="358">
        <f t="shared" ca="1" si="362"/>
        <v>0</v>
      </c>
      <c r="AF523" s="358">
        <f t="shared" ca="1" si="362"/>
        <v>0</v>
      </c>
      <c r="AG523" s="358">
        <f t="shared" ca="1" si="362"/>
        <v>0</v>
      </c>
      <c r="AH523" s="358">
        <f t="shared" ca="1" si="362"/>
        <v>0</v>
      </c>
      <c r="AI523" s="358">
        <f t="shared" ca="1" si="362"/>
        <v>0</v>
      </c>
      <c r="AJ523" s="358">
        <f t="shared" ca="1" si="362"/>
        <v>0</v>
      </c>
      <c r="AK523" s="358">
        <f t="shared" ca="1" si="363"/>
        <v>0</v>
      </c>
      <c r="AL523" s="358">
        <f t="shared" ca="1" si="363"/>
        <v>0</v>
      </c>
      <c r="AM523" s="358">
        <f t="shared" ca="1" si="363"/>
        <v>0</v>
      </c>
      <c r="AN523" s="358">
        <f t="shared" ca="1" si="363"/>
        <v>0</v>
      </c>
      <c r="AO523" s="358">
        <f t="shared" ca="1" si="363"/>
        <v>0</v>
      </c>
      <c r="AP523" s="358">
        <f t="shared" ca="1" si="363"/>
        <v>0</v>
      </c>
      <c r="AQ523" s="358">
        <f t="shared" ca="1" si="363"/>
        <v>0</v>
      </c>
      <c r="AR523" s="358">
        <f t="shared" ca="1" si="363"/>
        <v>0</v>
      </c>
      <c r="AS523" s="358">
        <f t="shared" ca="1" si="363"/>
        <v>0</v>
      </c>
      <c r="AT523" s="358">
        <f t="shared" ca="1" si="363"/>
        <v>0</v>
      </c>
      <c r="AV523" s="358">
        <f t="shared" ca="1" si="353"/>
        <v>0</v>
      </c>
      <c r="AX523" s="358">
        <f t="shared" ca="1" si="354"/>
        <v>0</v>
      </c>
      <c r="AZ523" s="358">
        <f t="shared" ca="1" si="355"/>
        <v>0</v>
      </c>
      <c r="BB523" s="358">
        <f t="shared" ca="1" si="356"/>
        <v>0</v>
      </c>
      <c r="BD523" s="358">
        <f t="shared" ca="1" si="357"/>
        <v>0</v>
      </c>
      <c r="BF523" s="358">
        <f t="shared" ca="1" si="358"/>
        <v>0</v>
      </c>
      <c r="BH523" s="358">
        <f t="shared" ca="1" si="359"/>
        <v>0</v>
      </c>
    </row>
    <row r="524" spans="1:60" hidden="1" outlineLevel="1">
      <c r="A524" s="1464">
        <f t="shared" si="345"/>
        <v>18</v>
      </c>
      <c r="B524" s="1464">
        <f t="shared" si="346"/>
        <v>36</v>
      </c>
      <c r="C524" s="1464">
        <f t="shared" si="347"/>
        <v>23</v>
      </c>
      <c r="D524" s="1271" t="str">
        <f ca="1">IF(OFFSET(PortfolioDashboard!$A$3,C524-1,0)="","Blank",OFFSET(PortfolioDashboard!$A$3,C524-1,0))</f>
        <v>Blank</v>
      </c>
      <c r="E524" s="1464" t="str">
        <f t="shared" si="348"/>
        <v>2010$</v>
      </c>
      <c r="F524" s="1460">
        <f t="shared" ca="1" si="344"/>
        <v>0</v>
      </c>
      <c r="G524" s="358">
        <f t="shared" ca="1" si="360"/>
        <v>0</v>
      </c>
      <c r="H524" s="358">
        <f t="shared" ca="1" si="360"/>
        <v>0</v>
      </c>
      <c r="I524" s="358">
        <f t="shared" ca="1" si="360"/>
        <v>0</v>
      </c>
      <c r="J524" s="358">
        <f t="shared" ca="1" si="360"/>
        <v>0</v>
      </c>
      <c r="K524" s="358">
        <f t="shared" ca="1" si="360"/>
        <v>0</v>
      </c>
      <c r="L524" s="358">
        <f t="shared" ca="1" si="360"/>
        <v>0</v>
      </c>
      <c r="M524" s="358">
        <f t="shared" ca="1" si="360"/>
        <v>0</v>
      </c>
      <c r="N524" s="358">
        <f t="shared" ca="1" si="360"/>
        <v>0</v>
      </c>
      <c r="O524" s="358">
        <f t="shared" ca="1" si="360"/>
        <v>0</v>
      </c>
      <c r="P524" s="358">
        <f t="shared" ca="1" si="360"/>
        <v>0</v>
      </c>
      <c r="Q524" s="358">
        <f t="shared" ca="1" si="361"/>
        <v>0</v>
      </c>
      <c r="R524" s="358">
        <f t="shared" ca="1" si="361"/>
        <v>0</v>
      </c>
      <c r="S524" s="358">
        <f t="shared" ca="1" si="361"/>
        <v>0</v>
      </c>
      <c r="T524" s="358">
        <f t="shared" ca="1" si="361"/>
        <v>0</v>
      </c>
      <c r="U524" s="358">
        <f t="shared" ca="1" si="361"/>
        <v>0</v>
      </c>
      <c r="V524" s="358">
        <f t="shared" ca="1" si="361"/>
        <v>0</v>
      </c>
      <c r="W524" s="358">
        <f t="shared" ca="1" si="361"/>
        <v>0</v>
      </c>
      <c r="X524" s="358">
        <f t="shared" ca="1" si="361"/>
        <v>0</v>
      </c>
      <c r="Y524" s="358">
        <f t="shared" ca="1" si="361"/>
        <v>0</v>
      </c>
      <c r="Z524" s="358">
        <f t="shared" ca="1" si="361"/>
        <v>0</v>
      </c>
      <c r="AA524" s="358">
        <f t="shared" ca="1" si="362"/>
        <v>0</v>
      </c>
      <c r="AB524" s="358">
        <f t="shared" ca="1" si="362"/>
        <v>0</v>
      </c>
      <c r="AC524" s="358">
        <f t="shared" ca="1" si="362"/>
        <v>0</v>
      </c>
      <c r="AD524" s="358">
        <f t="shared" ca="1" si="362"/>
        <v>0</v>
      </c>
      <c r="AE524" s="358">
        <f t="shared" ca="1" si="362"/>
        <v>0</v>
      </c>
      <c r="AF524" s="358">
        <f t="shared" ca="1" si="362"/>
        <v>0</v>
      </c>
      <c r="AG524" s="358">
        <f t="shared" ca="1" si="362"/>
        <v>0</v>
      </c>
      <c r="AH524" s="358">
        <f t="shared" ca="1" si="362"/>
        <v>0</v>
      </c>
      <c r="AI524" s="358">
        <f t="shared" ca="1" si="362"/>
        <v>0</v>
      </c>
      <c r="AJ524" s="358">
        <f t="shared" ca="1" si="362"/>
        <v>0</v>
      </c>
      <c r="AK524" s="358">
        <f t="shared" ca="1" si="363"/>
        <v>0</v>
      </c>
      <c r="AL524" s="358">
        <f t="shared" ca="1" si="363"/>
        <v>0</v>
      </c>
      <c r="AM524" s="358">
        <f t="shared" ca="1" si="363"/>
        <v>0</v>
      </c>
      <c r="AN524" s="358">
        <f t="shared" ca="1" si="363"/>
        <v>0</v>
      </c>
      <c r="AO524" s="358">
        <f t="shared" ca="1" si="363"/>
        <v>0</v>
      </c>
      <c r="AP524" s="358">
        <f t="shared" ca="1" si="363"/>
        <v>0</v>
      </c>
      <c r="AQ524" s="358">
        <f t="shared" ca="1" si="363"/>
        <v>0</v>
      </c>
      <c r="AR524" s="358">
        <f t="shared" ca="1" si="363"/>
        <v>0</v>
      </c>
      <c r="AS524" s="358">
        <f t="shared" ca="1" si="363"/>
        <v>0</v>
      </c>
      <c r="AT524" s="358">
        <f t="shared" ca="1" si="363"/>
        <v>0</v>
      </c>
      <c r="AV524" s="358">
        <f t="shared" ca="1" si="353"/>
        <v>0</v>
      </c>
      <c r="AX524" s="358">
        <f t="shared" ca="1" si="354"/>
        <v>0</v>
      </c>
      <c r="AZ524" s="358">
        <f t="shared" ca="1" si="355"/>
        <v>0</v>
      </c>
      <c r="BB524" s="358">
        <f t="shared" ca="1" si="356"/>
        <v>0</v>
      </c>
      <c r="BD524" s="358">
        <f t="shared" ca="1" si="357"/>
        <v>0</v>
      </c>
      <c r="BF524" s="358">
        <f t="shared" ca="1" si="358"/>
        <v>0</v>
      </c>
      <c r="BH524" s="358">
        <f t="shared" ca="1" si="359"/>
        <v>0</v>
      </c>
    </row>
    <row r="525" spans="1:60" hidden="1" outlineLevel="1">
      <c r="A525" s="1464">
        <f t="shared" si="345"/>
        <v>18</v>
      </c>
      <c r="B525" s="1464">
        <f t="shared" si="346"/>
        <v>36</v>
      </c>
      <c r="C525" s="1464">
        <f t="shared" si="347"/>
        <v>24</v>
      </c>
      <c r="D525" s="1271" t="str">
        <f ca="1">IF(OFFSET(PortfolioDashboard!$A$3,C525-1,0)="","Blank",OFFSET(PortfolioDashboard!$A$3,C525-1,0))</f>
        <v>Blank</v>
      </c>
      <c r="E525" s="1464" t="str">
        <f t="shared" si="348"/>
        <v>2010$</v>
      </c>
      <c r="F525" s="1460">
        <f t="shared" ca="1" si="344"/>
        <v>0</v>
      </c>
      <c r="G525" s="358">
        <f t="shared" ca="1" si="360"/>
        <v>0</v>
      </c>
      <c r="H525" s="358">
        <f t="shared" ca="1" si="360"/>
        <v>0</v>
      </c>
      <c r="I525" s="358">
        <f t="shared" ca="1" si="360"/>
        <v>0</v>
      </c>
      <c r="J525" s="358">
        <f t="shared" ca="1" si="360"/>
        <v>0</v>
      </c>
      <c r="K525" s="358">
        <f t="shared" ca="1" si="360"/>
        <v>0</v>
      </c>
      <c r="L525" s="358">
        <f t="shared" ca="1" si="360"/>
        <v>0</v>
      </c>
      <c r="M525" s="358">
        <f t="shared" ca="1" si="360"/>
        <v>0</v>
      </c>
      <c r="N525" s="358">
        <f t="shared" ca="1" si="360"/>
        <v>0</v>
      </c>
      <c r="O525" s="358">
        <f t="shared" ca="1" si="360"/>
        <v>0</v>
      </c>
      <c r="P525" s="358">
        <f t="shared" ca="1" si="360"/>
        <v>0</v>
      </c>
      <c r="Q525" s="358">
        <f t="shared" ca="1" si="361"/>
        <v>0</v>
      </c>
      <c r="R525" s="358">
        <f t="shared" ca="1" si="361"/>
        <v>0</v>
      </c>
      <c r="S525" s="358">
        <f t="shared" ca="1" si="361"/>
        <v>0</v>
      </c>
      <c r="T525" s="358">
        <f t="shared" ca="1" si="361"/>
        <v>0</v>
      </c>
      <c r="U525" s="358">
        <f t="shared" ca="1" si="361"/>
        <v>0</v>
      </c>
      <c r="V525" s="358">
        <f t="shared" ca="1" si="361"/>
        <v>0</v>
      </c>
      <c r="W525" s="358">
        <f t="shared" ca="1" si="361"/>
        <v>0</v>
      </c>
      <c r="X525" s="358">
        <f t="shared" ca="1" si="361"/>
        <v>0</v>
      </c>
      <c r="Y525" s="358">
        <f t="shared" ca="1" si="361"/>
        <v>0</v>
      </c>
      <c r="Z525" s="358">
        <f t="shared" ca="1" si="361"/>
        <v>0</v>
      </c>
      <c r="AA525" s="358">
        <f t="shared" ca="1" si="362"/>
        <v>0</v>
      </c>
      <c r="AB525" s="358">
        <f t="shared" ca="1" si="362"/>
        <v>0</v>
      </c>
      <c r="AC525" s="358">
        <f t="shared" ca="1" si="362"/>
        <v>0</v>
      </c>
      <c r="AD525" s="358">
        <f t="shared" ca="1" si="362"/>
        <v>0</v>
      </c>
      <c r="AE525" s="358">
        <f t="shared" ca="1" si="362"/>
        <v>0</v>
      </c>
      <c r="AF525" s="358">
        <f t="shared" ca="1" si="362"/>
        <v>0</v>
      </c>
      <c r="AG525" s="358">
        <f t="shared" ca="1" si="362"/>
        <v>0</v>
      </c>
      <c r="AH525" s="358">
        <f t="shared" ca="1" si="362"/>
        <v>0</v>
      </c>
      <c r="AI525" s="358">
        <f t="shared" ca="1" si="362"/>
        <v>0</v>
      </c>
      <c r="AJ525" s="358">
        <f t="shared" ca="1" si="362"/>
        <v>0</v>
      </c>
      <c r="AK525" s="358">
        <f t="shared" ca="1" si="363"/>
        <v>0</v>
      </c>
      <c r="AL525" s="358">
        <f t="shared" ca="1" si="363"/>
        <v>0</v>
      </c>
      <c r="AM525" s="358">
        <f t="shared" ca="1" si="363"/>
        <v>0</v>
      </c>
      <c r="AN525" s="358">
        <f t="shared" ca="1" si="363"/>
        <v>0</v>
      </c>
      <c r="AO525" s="358">
        <f t="shared" ca="1" si="363"/>
        <v>0</v>
      </c>
      <c r="AP525" s="358">
        <f t="shared" ca="1" si="363"/>
        <v>0</v>
      </c>
      <c r="AQ525" s="358">
        <f t="shared" ca="1" si="363"/>
        <v>0</v>
      </c>
      <c r="AR525" s="358">
        <f t="shared" ca="1" si="363"/>
        <v>0</v>
      </c>
      <c r="AS525" s="358">
        <f t="shared" ca="1" si="363"/>
        <v>0</v>
      </c>
      <c r="AT525" s="358">
        <f t="shared" ca="1" si="363"/>
        <v>0</v>
      </c>
      <c r="AV525" s="358">
        <f t="shared" ca="1" si="353"/>
        <v>0</v>
      </c>
      <c r="AX525" s="358">
        <f t="shared" ca="1" si="354"/>
        <v>0</v>
      </c>
      <c r="AZ525" s="358">
        <f t="shared" ca="1" si="355"/>
        <v>0</v>
      </c>
      <c r="BB525" s="358">
        <f t="shared" ca="1" si="356"/>
        <v>0</v>
      </c>
      <c r="BD525" s="358">
        <f t="shared" ca="1" si="357"/>
        <v>0</v>
      </c>
      <c r="BF525" s="358">
        <f t="shared" ca="1" si="358"/>
        <v>0</v>
      </c>
      <c r="BH525" s="358">
        <f t="shared" ca="1" si="359"/>
        <v>0</v>
      </c>
    </row>
    <row r="526" spans="1:60" hidden="1" outlineLevel="1">
      <c r="A526" s="1464">
        <f t="shared" si="345"/>
        <v>18</v>
      </c>
      <c r="B526" s="1464">
        <f t="shared" si="346"/>
        <v>36</v>
      </c>
      <c r="C526" s="1464">
        <f t="shared" si="347"/>
        <v>25</v>
      </c>
      <c r="D526" s="1271" t="str">
        <f ca="1">IF(OFFSET(PortfolioDashboard!$A$3,C526-1,0)="","Blank",OFFSET(PortfolioDashboard!$A$3,C526-1,0))</f>
        <v>Blank</v>
      </c>
      <c r="E526" s="1464" t="str">
        <f t="shared" si="348"/>
        <v>2010$</v>
      </c>
      <c r="F526" s="1460">
        <f t="shared" ca="1" si="344"/>
        <v>0</v>
      </c>
      <c r="G526" s="358">
        <f t="shared" ca="1" si="360"/>
        <v>0</v>
      </c>
      <c r="H526" s="358">
        <f t="shared" ca="1" si="360"/>
        <v>0</v>
      </c>
      <c r="I526" s="358">
        <f t="shared" ca="1" si="360"/>
        <v>0</v>
      </c>
      <c r="J526" s="358">
        <f t="shared" ca="1" si="360"/>
        <v>0</v>
      </c>
      <c r="K526" s="358">
        <f t="shared" ca="1" si="360"/>
        <v>0</v>
      </c>
      <c r="L526" s="358">
        <f t="shared" ca="1" si="360"/>
        <v>0</v>
      </c>
      <c r="M526" s="358">
        <f t="shared" ca="1" si="360"/>
        <v>0</v>
      </c>
      <c r="N526" s="358">
        <f t="shared" ca="1" si="360"/>
        <v>0</v>
      </c>
      <c r="O526" s="358">
        <f t="shared" ca="1" si="360"/>
        <v>0</v>
      </c>
      <c r="P526" s="358">
        <f t="shared" ca="1" si="360"/>
        <v>0</v>
      </c>
      <c r="Q526" s="358">
        <f t="shared" ca="1" si="361"/>
        <v>0</v>
      </c>
      <c r="R526" s="358">
        <f t="shared" ca="1" si="361"/>
        <v>0</v>
      </c>
      <c r="S526" s="358">
        <f t="shared" ca="1" si="361"/>
        <v>0</v>
      </c>
      <c r="T526" s="358">
        <f t="shared" ca="1" si="361"/>
        <v>0</v>
      </c>
      <c r="U526" s="358">
        <f t="shared" ca="1" si="361"/>
        <v>0</v>
      </c>
      <c r="V526" s="358">
        <f t="shared" ca="1" si="361"/>
        <v>0</v>
      </c>
      <c r="W526" s="358">
        <f t="shared" ca="1" si="361"/>
        <v>0</v>
      </c>
      <c r="X526" s="358">
        <f t="shared" ca="1" si="361"/>
        <v>0</v>
      </c>
      <c r="Y526" s="358">
        <f t="shared" ca="1" si="361"/>
        <v>0</v>
      </c>
      <c r="Z526" s="358">
        <f t="shared" ca="1" si="361"/>
        <v>0</v>
      </c>
      <c r="AA526" s="358">
        <f t="shared" ca="1" si="362"/>
        <v>0</v>
      </c>
      <c r="AB526" s="358">
        <f t="shared" ca="1" si="362"/>
        <v>0</v>
      </c>
      <c r="AC526" s="358">
        <f t="shared" ca="1" si="362"/>
        <v>0</v>
      </c>
      <c r="AD526" s="358">
        <f t="shared" ca="1" si="362"/>
        <v>0</v>
      </c>
      <c r="AE526" s="358">
        <f t="shared" ca="1" si="362"/>
        <v>0</v>
      </c>
      <c r="AF526" s="358">
        <f t="shared" ca="1" si="362"/>
        <v>0</v>
      </c>
      <c r="AG526" s="358">
        <f t="shared" ca="1" si="362"/>
        <v>0</v>
      </c>
      <c r="AH526" s="358">
        <f t="shared" ca="1" si="362"/>
        <v>0</v>
      </c>
      <c r="AI526" s="358">
        <f t="shared" ca="1" si="362"/>
        <v>0</v>
      </c>
      <c r="AJ526" s="358">
        <f t="shared" ca="1" si="362"/>
        <v>0</v>
      </c>
      <c r="AK526" s="358">
        <f t="shared" ca="1" si="363"/>
        <v>0</v>
      </c>
      <c r="AL526" s="358">
        <f t="shared" ca="1" si="363"/>
        <v>0</v>
      </c>
      <c r="AM526" s="358">
        <f t="shared" ca="1" si="363"/>
        <v>0</v>
      </c>
      <c r="AN526" s="358">
        <f t="shared" ca="1" si="363"/>
        <v>0</v>
      </c>
      <c r="AO526" s="358">
        <f t="shared" ca="1" si="363"/>
        <v>0</v>
      </c>
      <c r="AP526" s="358">
        <f t="shared" ca="1" si="363"/>
        <v>0</v>
      </c>
      <c r="AQ526" s="358">
        <f t="shared" ca="1" si="363"/>
        <v>0</v>
      </c>
      <c r="AR526" s="358">
        <f t="shared" ca="1" si="363"/>
        <v>0</v>
      </c>
      <c r="AS526" s="358">
        <f t="shared" ca="1" si="363"/>
        <v>0</v>
      </c>
      <c r="AT526" s="358">
        <f t="shared" ca="1" si="363"/>
        <v>0</v>
      </c>
      <c r="AV526" s="358">
        <f t="shared" ca="1" si="353"/>
        <v>0</v>
      </c>
      <c r="AX526" s="358">
        <f t="shared" ca="1" si="354"/>
        <v>0</v>
      </c>
      <c r="AZ526" s="358">
        <f t="shared" ca="1" si="355"/>
        <v>0</v>
      </c>
      <c r="BB526" s="358">
        <f t="shared" ca="1" si="356"/>
        <v>0</v>
      </c>
      <c r="BD526" s="358">
        <f t="shared" ca="1" si="357"/>
        <v>0</v>
      </c>
      <c r="BF526" s="358">
        <f t="shared" ca="1" si="358"/>
        <v>0</v>
      </c>
      <c r="BH526" s="358">
        <f t="shared" ca="1" si="359"/>
        <v>0</v>
      </c>
    </row>
    <row r="527" spans="1:60" hidden="1" outlineLevel="1">
      <c r="A527" s="1464">
        <f t="shared" si="345"/>
        <v>18</v>
      </c>
      <c r="B527" s="1464">
        <f t="shared" si="346"/>
        <v>36</v>
      </c>
      <c r="C527" s="1464">
        <f t="shared" si="347"/>
        <v>26</v>
      </c>
      <c r="D527" s="1271" t="str">
        <f ca="1">IF(OFFSET(PortfolioDashboard!$A$3,C527-1,0)="","Blank",OFFSET(PortfolioDashboard!$A$3,C527-1,0))</f>
        <v>Blank</v>
      </c>
      <c r="E527" s="1464" t="str">
        <f t="shared" si="348"/>
        <v>2010$</v>
      </c>
      <c r="F527" s="1460">
        <f t="shared" ca="1" si="344"/>
        <v>0</v>
      </c>
      <c r="G527" s="358">
        <f t="shared" ca="1" si="360"/>
        <v>0</v>
      </c>
      <c r="H527" s="358">
        <f t="shared" ca="1" si="360"/>
        <v>0</v>
      </c>
      <c r="I527" s="358">
        <f t="shared" ca="1" si="360"/>
        <v>0</v>
      </c>
      <c r="J527" s="358">
        <f t="shared" ca="1" si="360"/>
        <v>0</v>
      </c>
      <c r="K527" s="358">
        <f t="shared" ca="1" si="360"/>
        <v>0</v>
      </c>
      <c r="L527" s="358">
        <f t="shared" ca="1" si="360"/>
        <v>0</v>
      </c>
      <c r="M527" s="358">
        <f t="shared" ca="1" si="360"/>
        <v>0</v>
      </c>
      <c r="N527" s="358">
        <f t="shared" ca="1" si="360"/>
        <v>0</v>
      </c>
      <c r="O527" s="358">
        <f t="shared" ca="1" si="360"/>
        <v>0</v>
      </c>
      <c r="P527" s="358">
        <f t="shared" ca="1" si="360"/>
        <v>0</v>
      </c>
      <c r="Q527" s="358">
        <f t="shared" ca="1" si="361"/>
        <v>0</v>
      </c>
      <c r="R527" s="358">
        <f t="shared" ca="1" si="361"/>
        <v>0</v>
      </c>
      <c r="S527" s="358">
        <f t="shared" ca="1" si="361"/>
        <v>0</v>
      </c>
      <c r="T527" s="358">
        <f t="shared" ca="1" si="361"/>
        <v>0</v>
      </c>
      <c r="U527" s="358">
        <f t="shared" ca="1" si="361"/>
        <v>0</v>
      </c>
      <c r="V527" s="358">
        <f t="shared" ca="1" si="361"/>
        <v>0</v>
      </c>
      <c r="W527" s="358">
        <f t="shared" ca="1" si="361"/>
        <v>0</v>
      </c>
      <c r="X527" s="358">
        <f t="shared" ca="1" si="361"/>
        <v>0</v>
      </c>
      <c r="Y527" s="358">
        <f t="shared" ca="1" si="361"/>
        <v>0</v>
      </c>
      <c r="Z527" s="358">
        <f t="shared" ca="1" si="361"/>
        <v>0</v>
      </c>
      <c r="AA527" s="358">
        <f t="shared" ca="1" si="362"/>
        <v>0</v>
      </c>
      <c r="AB527" s="358">
        <f t="shared" ca="1" si="362"/>
        <v>0</v>
      </c>
      <c r="AC527" s="358">
        <f t="shared" ca="1" si="362"/>
        <v>0</v>
      </c>
      <c r="AD527" s="358">
        <f t="shared" ca="1" si="362"/>
        <v>0</v>
      </c>
      <c r="AE527" s="358">
        <f t="shared" ca="1" si="362"/>
        <v>0</v>
      </c>
      <c r="AF527" s="358">
        <f t="shared" ca="1" si="362"/>
        <v>0</v>
      </c>
      <c r="AG527" s="358">
        <f t="shared" ca="1" si="362"/>
        <v>0</v>
      </c>
      <c r="AH527" s="358">
        <f t="shared" ca="1" si="362"/>
        <v>0</v>
      </c>
      <c r="AI527" s="358">
        <f t="shared" ca="1" si="362"/>
        <v>0</v>
      </c>
      <c r="AJ527" s="358">
        <f t="shared" ca="1" si="362"/>
        <v>0</v>
      </c>
      <c r="AK527" s="358">
        <f t="shared" ca="1" si="363"/>
        <v>0</v>
      </c>
      <c r="AL527" s="358">
        <f t="shared" ca="1" si="363"/>
        <v>0</v>
      </c>
      <c r="AM527" s="358">
        <f t="shared" ca="1" si="363"/>
        <v>0</v>
      </c>
      <c r="AN527" s="358">
        <f t="shared" ca="1" si="363"/>
        <v>0</v>
      </c>
      <c r="AO527" s="358">
        <f t="shared" ca="1" si="363"/>
        <v>0</v>
      </c>
      <c r="AP527" s="358">
        <f t="shared" ca="1" si="363"/>
        <v>0</v>
      </c>
      <c r="AQ527" s="358">
        <f t="shared" ca="1" si="363"/>
        <v>0</v>
      </c>
      <c r="AR527" s="358">
        <f t="shared" ca="1" si="363"/>
        <v>0</v>
      </c>
      <c r="AS527" s="358">
        <f t="shared" ca="1" si="363"/>
        <v>0</v>
      </c>
      <c r="AT527" s="358">
        <f t="shared" ca="1" si="363"/>
        <v>0</v>
      </c>
      <c r="AV527" s="358">
        <f t="shared" ca="1" si="353"/>
        <v>0</v>
      </c>
      <c r="AX527" s="358">
        <f t="shared" ca="1" si="354"/>
        <v>0</v>
      </c>
      <c r="AZ527" s="358">
        <f t="shared" ca="1" si="355"/>
        <v>0</v>
      </c>
      <c r="BB527" s="358">
        <f t="shared" ca="1" si="356"/>
        <v>0</v>
      </c>
      <c r="BD527" s="358">
        <f t="shared" ca="1" si="357"/>
        <v>0</v>
      </c>
      <c r="BF527" s="358">
        <f t="shared" ca="1" si="358"/>
        <v>0</v>
      </c>
      <c r="BH527" s="358">
        <f t="shared" ca="1" si="359"/>
        <v>0</v>
      </c>
    </row>
    <row r="528" spans="1:60" hidden="1" outlineLevel="1">
      <c r="A528" s="1464">
        <f t="shared" si="345"/>
        <v>18</v>
      </c>
      <c r="B528" s="1464">
        <f t="shared" si="346"/>
        <v>36</v>
      </c>
      <c r="C528" s="1464">
        <f t="shared" si="347"/>
        <v>27</v>
      </c>
      <c r="D528" s="1271" t="str">
        <f ca="1">IF(OFFSET(PortfolioDashboard!$A$3,C528-1,0)="","Blank",OFFSET(PortfolioDashboard!$A$3,C528-1,0))</f>
        <v>Blank</v>
      </c>
      <c r="E528" s="1464" t="str">
        <f t="shared" si="348"/>
        <v>2010$</v>
      </c>
      <c r="F528" s="1460">
        <f t="shared" ca="1" si="344"/>
        <v>0</v>
      </c>
      <c r="G528" s="358">
        <f t="shared" ca="1" si="360"/>
        <v>0</v>
      </c>
      <c r="H528" s="358">
        <f t="shared" ca="1" si="360"/>
        <v>0</v>
      </c>
      <c r="I528" s="358">
        <f t="shared" ca="1" si="360"/>
        <v>0</v>
      </c>
      <c r="J528" s="358">
        <f t="shared" ca="1" si="360"/>
        <v>0</v>
      </c>
      <c r="K528" s="358">
        <f t="shared" ca="1" si="360"/>
        <v>0</v>
      </c>
      <c r="L528" s="358">
        <f t="shared" ca="1" si="360"/>
        <v>0</v>
      </c>
      <c r="M528" s="358">
        <f t="shared" ca="1" si="360"/>
        <v>0</v>
      </c>
      <c r="N528" s="358">
        <f t="shared" ca="1" si="360"/>
        <v>0</v>
      </c>
      <c r="O528" s="358">
        <f t="shared" ca="1" si="360"/>
        <v>0</v>
      </c>
      <c r="P528" s="358">
        <f t="shared" ca="1" si="360"/>
        <v>0</v>
      </c>
      <c r="Q528" s="358">
        <f t="shared" ca="1" si="361"/>
        <v>0</v>
      </c>
      <c r="R528" s="358">
        <f t="shared" ca="1" si="361"/>
        <v>0</v>
      </c>
      <c r="S528" s="358">
        <f t="shared" ca="1" si="361"/>
        <v>0</v>
      </c>
      <c r="T528" s="358">
        <f t="shared" ca="1" si="361"/>
        <v>0</v>
      </c>
      <c r="U528" s="358">
        <f t="shared" ca="1" si="361"/>
        <v>0</v>
      </c>
      <c r="V528" s="358">
        <f t="shared" ca="1" si="361"/>
        <v>0</v>
      </c>
      <c r="W528" s="358">
        <f t="shared" ca="1" si="361"/>
        <v>0</v>
      </c>
      <c r="X528" s="358">
        <f t="shared" ca="1" si="361"/>
        <v>0</v>
      </c>
      <c r="Y528" s="358">
        <f t="shared" ca="1" si="361"/>
        <v>0</v>
      </c>
      <c r="Z528" s="358">
        <f t="shared" ca="1" si="361"/>
        <v>0</v>
      </c>
      <c r="AA528" s="358">
        <f t="shared" ca="1" si="362"/>
        <v>0</v>
      </c>
      <c r="AB528" s="358">
        <f t="shared" ca="1" si="362"/>
        <v>0</v>
      </c>
      <c r="AC528" s="358">
        <f t="shared" ca="1" si="362"/>
        <v>0</v>
      </c>
      <c r="AD528" s="358">
        <f t="shared" ca="1" si="362"/>
        <v>0</v>
      </c>
      <c r="AE528" s="358">
        <f t="shared" ca="1" si="362"/>
        <v>0</v>
      </c>
      <c r="AF528" s="358">
        <f t="shared" ca="1" si="362"/>
        <v>0</v>
      </c>
      <c r="AG528" s="358">
        <f t="shared" ca="1" si="362"/>
        <v>0</v>
      </c>
      <c r="AH528" s="358">
        <f t="shared" ca="1" si="362"/>
        <v>0</v>
      </c>
      <c r="AI528" s="358">
        <f t="shared" ca="1" si="362"/>
        <v>0</v>
      </c>
      <c r="AJ528" s="358">
        <f t="shared" ca="1" si="362"/>
        <v>0</v>
      </c>
      <c r="AK528" s="358">
        <f t="shared" ca="1" si="363"/>
        <v>0</v>
      </c>
      <c r="AL528" s="358">
        <f t="shared" ca="1" si="363"/>
        <v>0</v>
      </c>
      <c r="AM528" s="358">
        <f t="shared" ca="1" si="363"/>
        <v>0</v>
      </c>
      <c r="AN528" s="358">
        <f t="shared" ca="1" si="363"/>
        <v>0</v>
      </c>
      <c r="AO528" s="358">
        <f t="shared" ca="1" si="363"/>
        <v>0</v>
      </c>
      <c r="AP528" s="358">
        <f t="shared" ca="1" si="363"/>
        <v>0</v>
      </c>
      <c r="AQ528" s="358">
        <f t="shared" ca="1" si="363"/>
        <v>0</v>
      </c>
      <c r="AR528" s="358">
        <f t="shared" ca="1" si="363"/>
        <v>0</v>
      </c>
      <c r="AS528" s="358">
        <f t="shared" ca="1" si="363"/>
        <v>0</v>
      </c>
      <c r="AT528" s="358">
        <f t="shared" ca="1" si="363"/>
        <v>0</v>
      </c>
      <c r="AV528" s="358">
        <f t="shared" ca="1" si="353"/>
        <v>0</v>
      </c>
      <c r="AX528" s="358">
        <f t="shared" ca="1" si="354"/>
        <v>0</v>
      </c>
      <c r="AZ528" s="358">
        <f t="shared" ca="1" si="355"/>
        <v>0</v>
      </c>
      <c r="BB528" s="358">
        <f t="shared" ca="1" si="356"/>
        <v>0</v>
      </c>
      <c r="BD528" s="358">
        <f t="shared" ca="1" si="357"/>
        <v>0</v>
      </c>
      <c r="BF528" s="358">
        <f t="shared" ca="1" si="358"/>
        <v>0</v>
      </c>
      <c r="BH528" s="358">
        <f t="shared" ca="1" si="359"/>
        <v>0</v>
      </c>
    </row>
    <row r="529" spans="1:60" hidden="1" outlineLevel="1">
      <c r="A529" s="1464">
        <f t="shared" si="345"/>
        <v>18</v>
      </c>
      <c r="B529" s="1464">
        <f t="shared" si="346"/>
        <v>36</v>
      </c>
      <c r="C529" s="1464">
        <f t="shared" si="347"/>
        <v>28</v>
      </c>
      <c r="D529" s="1271" t="str">
        <f ca="1">IF(OFFSET(PortfolioDashboard!$A$3,C529-1,0)="","Blank",OFFSET(PortfolioDashboard!$A$3,C529-1,0))</f>
        <v>Blank</v>
      </c>
      <c r="E529" s="1464" t="str">
        <f t="shared" si="348"/>
        <v>2010$</v>
      </c>
      <c r="F529" s="1460">
        <f t="shared" ca="1" si="344"/>
        <v>0</v>
      </c>
      <c r="G529" s="358">
        <f t="shared" ca="1" si="360"/>
        <v>0</v>
      </c>
      <c r="H529" s="358">
        <f t="shared" ca="1" si="360"/>
        <v>0</v>
      </c>
      <c r="I529" s="358">
        <f t="shared" ca="1" si="360"/>
        <v>0</v>
      </c>
      <c r="J529" s="358">
        <f t="shared" ca="1" si="360"/>
        <v>0</v>
      </c>
      <c r="K529" s="358">
        <f t="shared" ca="1" si="360"/>
        <v>0</v>
      </c>
      <c r="L529" s="358">
        <f t="shared" ca="1" si="360"/>
        <v>0</v>
      </c>
      <c r="M529" s="358">
        <f t="shared" ca="1" si="360"/>
        <v>0</v>
      </c>
      <c r="N529" s="358">
        <f t="shared" ca="1" si="360"/>
        <v>0</v>
      </c>
      <c r="O529" s="358">
        <f t="shared" ca="1" si="360"/>
        <v>0</v>
      </c>
      <c r="P529" s="358">
        <f t="shared" ca="1" si="360"/>
        <v>0</v>
      </c>
      <c r="Q529" s="358">
        <f t="shared" ca="1" si="361"/>
        <v>0</v>
      </c>
      <c r="R529" s="358">
        <f t="shared" ca="1" si="361"/>
        <v>0</v>
      </c>
      <c r="S529" s="358">
        <f t="shared" ca="1" si="361"/>
        <v>0</v>
      </c>
      <c r="T529" s="358">
        <f t="shared" ca="1" si="361"/>
        <v>0</v>
      </c>
      <c r="U529" s="358">
        <f t="shared" ca="1" si="361"/>
        <v>0</v>
      </c>
      <c r="V529" s="358">
        <f t="shared" ca="1" si="361"/>
        <v>0</v>
      </c>
      <c r="W529" s="358">
        <f t="shared" ca="1" si="361"/>
        <v>0</v>
      </c>
      <c r="X529" s="358">
        <f t="shared" ca="1" si="361"/>
        <v>0</v>
      </c>
      <c r="Y529" s="358">
        <f t="shared" ca="1" si="361"/>
        <v>0</v>
      </c>
      <c r="Z529" s="358">
        <f t="shared" ca="1" si="361"/>
        <v>0</v>
      </c>
      <c r="AA529" s="358">
        <f t="shared" ca="1" si="362"/>
        <v>0</v>
      </c>
      <c r="AB529" s="358">
        <f t="shared" ca="1" si="362"/>
        <v>0</v>
      </c>
      <c r="AC529" s="358">
        <f t="shared" ca="1" si="362"/>
        <v>0</v>
      </c>
      <c r="AD529" s="358">
        <f t="shared" ca="1" si="362"/>
        <v>0</v>
      </c>
      <c r="AE529" s="358">
        <f t="shared" ca="1" si="362"/>
        <v>0</v>
      </c>
      <c r="AF529" s="358">
        <f t="shared" ca="1" si="362"/>
        <v>0</v>
      </c>
      <c r="AG529" s="358">
        <f t="shared" ca="1" si="362"/>
        <v>0</v>
      </c>
      <c r="AH529" s="358">
        <f t="shared" ca="1" si="362"/>
        <v>0</v>
      </c>
      <c r="AI529" s="358">
        <f t="shared" ca="1" si="362"/>
        <v>0</v>
      </c>
      <c r="AJ529" s="358">
        <f t="shared" ca="1" si="362"/>
        <v>0</v>
      </c>
      <c r="AK529" s="358">
        <f t="shared" ca="1" si="363"/>
        <v>0</v>
      </c>
      <c r="AL529" s="358">
        <f t="shared" ca="1" si="363"/>
        <v>0</v>
      </c>
      <c r="AM529" s="358">
        <f t="shared" ca="1" si="363"/>
        <v>0</v>
      </c>
      <c r="AN529" s="358">
        <f t="shared" ca="1" si="363"/>
        <v>0</v>
      </c>
      <c r="AO529" s="358">
        <f t="shared" ca="1" si="363"/>
        <v>0</v>
      </c>
      <c r="AP529" s="358">
        <f t="shared" ca="1" si="363"/>
        <v>0</v>
      </c>
      <c r="AQ529" s="358">
        <f t="shared" ca="1" si="363"/>
        <v>0</v>
      </c>
      <c r="AR529" s="358">
        <f t="shared" ca="1" si="363"/>
        <v>0</v>
      </c>
      <c r="AS529" s="358">
        <f t="shared" ca="1" si="363"/>
        <v>0</v>
      </c>
      <c r="AT529" s="358">
        <f t="shared" ca="1" si="363"/>
        <v>0</v>
      </c>
      <c r="AV529" s="358">
        <f t="shared" ca="1" si="353"/>
        <v>0</v>
      </c>
      <c r="AX529" s="358">
        <f t="shared" ca="1" si="354"/>
        <v>0</v>
      </c>
      <c r="AZ529" s="358">
        <f t="shared" ca="1" si="355"/>
        <v>0</v>
      </c>
      <c r="BB529" s="358">
        <f t="shared" ca="1" si="356"/>
        <v>0</v>
      </c>
      <c r="BD529" s="358">
        <f t="shared" ca="1" si="357"/>
        <v>0</v>
      </c>
      <c r="BF529" s="358">
        <f t="shared" ca="1" si="358"/>
        <v>0</v>
      </c>
      <c r="BH529" s="358">
        <f t="shared" ca="1" si="359"/>
        <v>0</v>
      </c>
    </row>
    <row r="530" spans="1:60" hidden="1" outlineLevel="1">
      <c r="A530" s="1464">
        <f t="shared" si="345"/>
        <v>18</v>
      </c>
      <c r="B530" s="1464">
        <f t="shared" si="346"/>
        <v>36</v>
      </c>
      <c r="C530" s="1464">
        <f t="shared" si="347"/>
        <v>29</v>
      </c>
      <c r="D530" s="1271" t="str">
        <f ca="1">IF(OFFSET(PortfolioDashboard!$A$3,C530-1,0)="","Blank",OFFSET(PortfolioDashboard!$A$3,C530-1,0))</f>
        <v>Blank</v>
      </c>
      <c r="E530" s="1464" t="str">
        <f t="shared" si="348"/>
        <v>2010$</v>
      </c>
      <c r="F530" s="1460">
        <f t="shared" ca="1" si="344"/>
        <v>0</v>
      </c>
      <c r="G530" s="358">
        <f t="shared" ca="1" si="360"/>
        <v>0</v>
      </c>
      <c r="H530" s="358">
        <f t="shared" ca="1" si="360"/>
        <v>0</v>
      </c>
      <c r="I530" s="358">
        <f t="shared" ca="1" si="360"/>
        <v>0</v>
      </c>
      <c r="J530" s="358">
        <f t="shared" ca="1" si="360"/>
        <v>0</v>
      </c>
      <c r="K530" s="358">
        <f t="shared" ca="1" si="360"/>
        <v>0</v>
      </c>
      <c r="L530" s="358">
        <f t="shared" ca="1" si="360"/>
        <v>0</v>
      </c>
      <c r="M530" s="358">
        <f t="shared" ca="1" si="360"/>
        <v>0</v>
      </c>
      <c r="N530" s="358">
        <f t="shared" ca="1" si="360"/>
        <v>0</v>
      </c>
      <c r="O530" s="358">
        <f t="shared" ca="1" si="360"/>
        <v>0</v>
      </c>
      <c r="P530" s="358">
        <f t="shared" ca="1" si="360"/>
        <v>0</v>
      </c>
      <c r="Q530" s="358">
        <f t="shared" ca="1" si="361"/>
        <v>0</v>
      </c>
      <c r="R530" s="358">
        <f t="shared" ca="1" si="361"/>
        <v>0</v>
      </c>
      <c r="S530" s="358">
        <f t="shared" ca="1" si="361"/>
        <v>0</v>
      </c>
      <c r="T530" s="358">
        <f t="shared" ca="1" si="361"/>
        <v>0</v>
      </c>
      <c r="U530" s="358">
        <f t="shared" ca="1" si="361"/>
        <v>0</v>
      </c>
      <c r="V530" s="358">
        <f t="shared" ca="1" si="361"/>
        <v>0</v>
      </c>
      <c r="W530" s="358">
        <f t="shared" ca="1" si="361"/>
        <v>0</v>
      </c>
      <c r="X530" s="358">
        <f t="shared" ca="1" si="361"/>
        <v>0</v>
      </c>
      <c r="Y530" s="358">
        <f t="shared" ca="1" si="361"/>
        <v>0</v>
      </c>
      <c r="Z530" s="358">
        <f t="shared" ca="1" si="361"/>
        <v>0</v>
      </c>
      <c r="AA530" s="358">
        <f t="shared" ca="1" si="362"/>
        <v>0</v>
      </c>
      <c r="AB530" s="358">
        <f t="shared" ca="1" si="362"/>
        <v>0</v>
      </c>
      <c r="AC530" s="358">
        <f t="shared" ca="1" si="362"/>
        <v>0</v>
      </c>
      <c r="AD530" s="358">
        <f t="shared" ca="1" si="362"/>
        <v>0</v>
      </c>
      <c r="AE530" s="358">
        <f t="shared" ca="1" si="362"/>
        <v>0</v>
      </c>
      <c r="AF530" s="358">
        <f t="shared" ca="1" si="362"/>
        <v>0</v>
      </c>
      <c r="AG530" s="358">
        <f t="shared" ca="1" si="362"/>
        <v>0</v>
      </c>
      <c r="AH530" s="358">
        <f t="shared" ca="1" si="362"/>
        <v>0</v>
      </c>
      <c r="AI530" s="358">
        <f t="shared" ca="1" si="362"/>
        <v>0</v>
      </c>
      <c r="AJ530" s="358">
        <f t="shared" ca="1" si="362"/>
        <v>0</v>
      </c>
      <c r="AK530" s="358">
        <f t="shared" ca="1" si="363"/>
        <v>0</v>
      </c>
      <c r="AL530" s="358">
        <f t="shared" ca="1" si="363"/>
        <v>0</v>
      </c>
      <c r="AM530" s="358">
        <f t="shared" ca="1" si="363"/>
        <v>0</v>
      </c>
      <c r="AN530" s="358">
        <f t="shared" ca="1" si="363"/>
        <v>0</v>
      </c>
      <c r="AO530" s="358">
        <f t="shared" ca="1" si="363"/>
        <v>0</v>
      </c>
      <c r="AP530" s="358">
        <f t="shared" ca="1" si="363"/>
        <v>0</v>
      </c>
      <c r="AQ530" s="358">
        <f t="shared" ca="1" si="363"/>
        <v>0</v>
      </c>
      <c r="AR530" s="358">
        <f t="shared" ca="1" si="363"/>
        <v>0</v>
      </c>
      <c r="AS530" s="358">
        <f t="shared" ca="1" si="363"/>
        <v>0</v>
      </c>
      <c r="AT530" s="358">
        <f t="shared" ca="1" si="363"/>
        <v>0</v>
      </c>
      <c r="AV530" s="358">
        <f t="shared" ca="1" si="353"/>
        <v>0</v>
      </c>
      <c r="AX530" s="358">
        <f t="shared" ca="1" si="354"/>
        <v>0</v>
      </c>
      <c r="AZ530" s="358">
        <f t="shared" ca="1" si="355"/>
        <v>0</v>
      </c>
      <c r="BB530" s="358">
        <f t="shared" ca="1" si="356"/>
        <v>0</v>
      </c>
      <c r="BD530" s="358">
        <f t="shared" ca="1" si="357"/>
        <v>0</v>
      </c>
      <c r="BF530" s="358">
        <f t="shared" ca="1" si="358"/>
        <v>0</v>
      </c>
      <c r="BH530" s="358">
        <f t="shared" ca="1" si="359"/>
        <v>0</v>
      </c>
    </row>
    <row r="531" spans="1:60" hidden="1" outlineLevel="1">
      <c r="A531" s="1464">
        <f t="shared" si="345"/>
        <v>18</v>
      </c>
      <c r="B531" s="1464">
        <f t="shared" si="346"/>
        <v>36</v>
      </c>
      <c r="C531" s="1464">
        <f t="shared" si="347"/>
        <v>30</v>
      </c>
      <c r="D531" s="1271" t="str">
        <f ca="1">IF(OFFSET(PortfolioDashboard!$A$3,C531-1,0)="","Blank",OFFSET(PortfolioDashboard!$A$3,C531-1,0))</f>
        <v>Blank</v>
      </c>
      <c r="E531" s="1464" t="str">
        <f t="shared" si="348"/>
        <v>2010$</v>
      </c>
      <c r="F531" s="1460">
        <f t="shared" ca="1" si="344"/>
        <v>0</v>
      </c>
      <c r="G531" s="358">
        <f t="shared" ca="1" si="360"/>
        <v>0</v>
      </c>
      <c r="H531" s="358">
        <f t="shared" ca="1" si="360"/>
        <v>0</v>
      </c>
      <c r="I531" s="358">
        <f t="shared" ca="1" si="360"/>
        <v>0</v>
      </c>
      <c r="J531" s="358">
        <f t="shared" ca="1" si="360"/>
        <v>0</v>
      </c>
      <c r="K531" s="358">
        <f t="shared" ca="1" si="360"/>
        <v>0</v>
      </c>
      <c r="L531" s="358">
        <f t="shared" ca="1" si="360"/>
        <v>0</v>
      </c>
      <c r="M531" s="358">
        <f t="shared" ca="1" si="360"/>
        <v>0</v>
      </c>
      <c r="N531" s="358">
        <f t="shared" ca="1" si="360"/>
        <v>0</v>
      </c>
      <c r="O531" s="358">
        <f t="shared" ca="1" si="360"/>
        <v>0</v>
      </c>
      <c r="P531" s="358">
        <f t="shared" ca="1" si="360"/>
        <v>0</v>
      </c>
      <c r="Q531" s="358">
        <f t="shared" ca="1" si="361"/>
        <v>0</v>
      </c>
      <c r="R531" s="358">
        <f t="shared" ca="1" si="361"/>
        <v>0</v>
      </c>
      <c r="S531" s="358">
        <f t="shared" ca="1" si="361"/>
        <v>0</v>
      </c>
      <c r="T531" s="358">
        <f t="shared" ca="1" si="361"/>
        <v>0</v>
      </c>
      <c r="U531" s="358">
        <f t="shared" ca="1" si="361"/>
        <v>0</v>
      </c>
      <c r="V531" s="358">
        <f t="shared" ca="1" si="361"/>
        <v>0</v>
      </c>
      <c r="W531" s="358">
        <f t="shared" ca="1" si="361"/>
        <v>0</v>
      </c>
      <c r="X531" s="358">
        <f t="shared" ca="1" si="361"/>
        <v>0</v>
      </c>
      <c r="Y531" s="358">
        <f t="shared" ca="1" si="361"/>
        <v>0</v>
      </c>
      <c r="Z531" s="358">
        <f t="shared" ca="1" si="361"/>
        <v>0</v>
      </c>
      <c r="AA531" s="358">
        <f t="shared" ca="1" si="362"/>
        <v>0</v>
      </c>
      <c r="AB531" s="358">
        <f t="shared" ca="1" si="362"/>
        <v>0</v>
      </c>
      <c r="AC531" s="358">
        <f t="shared" ca="1" si="362"/>
        <v>0</v>
      </c>
      <c r="AD531" s="358">
        <f t="shared" ca="1" si="362"/>
        <v>0</v>
      </c>
      <c r="AE531" s="358">
        <f t="shared" ca="1" si="362"/>
        <v>0</v>
      </c>
      <c r="AF531" s="358">
        <f t="shared" ca="1" si="362"/>
        <v>0</v>
      </c>
      <c r="AG531" s="358">
        <f t="shared" ca="1" si="362"/>
        <v>0</v>
      </c>
      <c r="AH531" s="358">
        <f t="shared" ca="1" si="362"/>
        <v>0</v>
      </c>
      <c r="AI531" s="358">
        <f t="shared" ca="1" si="362"/>
        <v>0</v>
      </c>
      <c r="AJ531" s="358">
        <f t="shared" ca="1" si="362"/>
        <v>0</v>
      </c>
      <c r="AK531" s="358">
        <f t="shared" ca="1" si="363"/>
        <v>0</v>
      </c>
      <c r="AL531" s="358">
        <f t="shared" ca="1" si="363"/>
        <v>0</v>
      </c>
      <c r="AM531" s="358">
        <f t="shared" ca="1" si="363"/>
        <v>0</v>
      </c>
      <c r="AN531" s="358">
        <f t="shared" ca="1" si="363"/>
        <v>0</v>
      </c>
      <c r="AO531" s="358">
        <f t="shared" ca="1" si="363"/>
        <v>0</v>
      </c>
      <c r="AP531" s="358">
        <f t="shared" ca="1" si="363"/>
        <v>0</v>
      </c>
      <c r="AQ531" s="358">
        <f t="shared" ca="1" si="363"/>
        <v>0</v>
      </c>
      <c r="AR531" s="358">
        <f t="shared" ca="1" si="363"/>
        <v>0</v>
      </c>
      <c r="AS531" s="358">
        <f t="shared" ca="1" si="363"/>
        <v>0</v>
      </c>
      <c r="AT531" s="358">
        <f t="shared" ca="1" si="363"/>
        <v>0</v>
      </c>
      <c r="AV531" s="358">
        <f t="shared" ca="1" si="353"/>
        <v>0</v>
      </c>
      <c r="AX531" s="358">
        <f t="shared" ca="1" si="354"/>
        <v>0</v>
      </c>
      <c r="AZ531" s="358">
        <f t="shared" ca="1" si="355"/>
        <v>0</v>
      </c>
      <c r="BB531" s="358">
        <f t="shared" ca="1" si="356"/>
        <v>0</v>
      </c>
      <c r="BD531" s="358">
        <f t="shared" ca="1" si="357"/>
        <v>0</v>
      </c>
      <c r="BF531" s="358">
        <f t="shared" ca="1" si="358"/>
        <v>0</v>
      </c>
      <c r="BH531" s="358">
        <f t="shared" ca="1" si="359"/>
        <v>0</v>
      </c>
    </row>
    <row r="532" spans="1:60" ht="15.75" collapsed="1" thickTop="1">
      <c r="A532" s="1464"/>
      <c r="B532" s="1464"/>
      <c r="C532" s="1464"/>
      <c r="D532" s="1272" t="s">
        <v>273</v>
      </c>
      <c r="E532" s="1270" t="str">
        <f>E502</f>
        <v>2010$</v>
      </c>
      <c r="F532" s="1461">
        <f t="shared" ca="1" si="344"/>
        <v>46899515.866305672</v>
      </c>
      <c r="G532" s="1277">
        <f t="shared" ref="G532:AT532" ca="1" si="364">SUM(G502:G531)</f>
        <v>0</v>
      </c>
      <c r="H532" s="1277">
        <f t="shared" ca="1" si="364"/>
        <v>532964.12108404108</v>
      </c>
      <c r="I532" s="1277">
        <f t="shared" ca="1" si="364"/>
        <v>746187.02030252025</v>
      </c>
      <c r="J532" s="1277">
        <f t="shared" ca="1" si="364"/>
        <v>951169.72816342895</v>
      </c>
      <c r="K532" s="1277">
        <f t="shared" ca="1" si="364"/>
        <v>1156104.7142660755</v>
      </c>
      <c r="L532" s="1277">
        <f t="shared" ca="1" si="364"/>
        <v>1361009.2035353554</v>
      </c>
      <c r="M532" s="1277">
        <f t="shared" ca="1" si="364"/>
        <v>1628388.6925991641</v>
      </c>
      <c r="N532" s="1277">
        <f t="shared" ca="1" si="364"/>
        <v>1833348.973617505</v>
      </c>
      <c r="O532" s="1277">
        <f t="shared" ca="1" si="364"/>
        <v>2038289.760907558</v>
      </c>
      <c r="P532" s="1277">
        <f t="shared" ca="1" si="364"/>
        <v>2243214.6169761792</v>
      </c>
      <c r="Q532" s="1277">
        <f t="shared" ca="1" si="364"/>
        <v>2448126.1356629175</v>
      </c>
      <c r="R532" s="1277">
        <f t="shared" ca="1" si="364"/>
        <v>2653026.275107123</v>
      </c>
      <c r="S532" s="1277">
        <f t="shared" ca="1" si="364"/>
        <v>2857916.5565882828</v>
      </c>
      <c r="T532" s="1277">
        <f t="shared" ca="1" si="364"/>
        <v>3062798.1899001109</v>
      </c>
      <c r="U532" s="1277">
        <f t="shared" ca="1" si="364"/>
        <v>3267672.1559387082</v>
      </c>
      <c r="V532" s="1277">
        <f t="shared" ca="1" si="364"/>
        <v>3472539.2631030949</v>
      </c>
      <c r="W532" s="1277">
        <f t="shared" ca="1" si="364"/>
        <v>3677400.1869942104</v>
      </c>
      <c r="X532" s="1277">
        <f t="shared" ca="1" si="364"/>
        <v>3882255.4990865872</v>
      </c>
      <c r="Y532" s="1277">
        <f t="shared" ca="1" si="364"/>
        <v>4087105.6879002955</v>
      </c>
      <c r="Z532" s="1277">
        <f t="shared" ca="1" si="364"/>
        <v>4291951.1749399966</v>
      </c>
      <c r="AA532" s="1277">
        <f t="shared" ca="1" si="364"/>
        <v>4496792.3269000379</v>
      </c>
      <c r="AB532" s="1277">
        <f t="shared" ca="1" si="364"/>
        <v>4701629.4651521798</v>
      </c>
      <c r="AC532" s="1277">
        <f t="shared" ca="1" si="364"/>
        <v>4906462.8732206617</v>
      </c>
      <c r="AD532" s="1277">
        <f t="shared" ca="1" si="364"/>
        <v>5111292.8027431378</v>
      </c>
      <c r="AE532" s="1277">
        <f t="shared" ca="1" si="364"/>
        <v>5316119.4782762444</v>
      </c>
      <c r="AF532" s="1277">
        <f t="shared" ca="1" si="364"/>
        <v>5520943.1012082286</v>
      </c>
      <c r="AG532" s="1277">
        <f t="shared" ca="1" si="364"/>
        <v>5725763.8529734733</v>
      </c>
      <c r="AH532" s="1277">
        <f t="shared" ca="1" si="364"/>
        <v>5930581.8977153562</v>
      </c>
      <c r="AI532" s="1277">
        <f t="shared" ca="1" si="364"/>
        <v>6135397.3845089078</v>
      </c>
      <c r="AJ532" s="1277">
        <f t="shared" ca="1" si="364"/>
        <v>6340210.4492290933</v>
      </c>
      <c r="AK532" s="1277">
        <f t="shared" ca="1" si="364"/>
        <v>6545021.2161314134</v>
      </c>
      <c r="AL532" s="1277">
        <f t="shared" ca="1" si="364"/>
        <v>6749829.7991971998</v>
      </c>
      <c r="AM532" s="1277">
        <f t="shared" ca="1" si="364"/>
        <v>6954636.3032850027</v>
      </c>
      <c r="AN532" s="1277">
        <f t="shared" ca="1" si="364"/>
        <v>7159440.8251212481</v>
      </c>
      <c r="AO532" s="1277">
        <f t="shared" ca="1" si="364"/>
        <v>7364243.4541567015</v>
      </c>
      <c r="AP532" s="1277">
        <f t="shared" ca="1" si="364"/>
        <v>7569044.2733103456</v>
      </c>
      <c r="AQ532" s="1277">
        <f t="shared" ca="1" si="364"/>
        <v>7773843.359618227</v>
      </c>
      <c r="AR532" s="1277">
        <f t="shared" ca="1" si="364"/>
        <v>7978640.7848017393</v>
      </c>
      <c r="AS532" s="1277">
        <f t="shared" ca="1" si="364"/>
        <v>8183436.6157671809</v>
      </c>
      <c r="AT532" s="1277">
        <f t="shared" ca="1" si="364"/>
        <v>8388230.9150465373</v>
      </c>
      <c r="AV532" s="1277">
        <f t="shared" ca="1" si="353"/>
        <v>9104251.2476357613</v>
      </c>
      <c r="AX532" s="1277">
        <f t="shared" ca="1" si="354"/>
        <v>14289539.313197143</v>
      </c>
      <c r="AZ532" s="1277">
        <f t="shared" ca="1" si="355"/>
        <v>19411251.812024184</v>
      </c>
      <c r="BB532" s="1277">
        <f t="shared" ca="1" si="356"/>
        <v>24532296.946292263</v>
      </c>
      <c r="BD532" s="1277">
        <f t="shared" ca="1" si="357"/>
        <v>29652896.68563506</v>
      </c>
      <c r="BF532" s="1277">
        <f t="shared" ca="1" si="358"/>
        <v>34773171.597891569</v>
      </c>
      <c r="BH532" s="1277">
        <f t="shared" ca="1" si="359"/>
        <v>39893195.948544033</v>
      </c>
    </row>
    <row r="533" spans="1:60" hidden="1" outlineLevel="1">
      <c r="A533" s="1464">
        <v>18</v>
      </c>
      <c r="B533" s="1464">
        <v>37</v>
      </c>
      <c r="C533" s="1464">
        <v>1</v>
      </c>
      <c r="D533" s="1271" t="str">
        <f ca="1">IF(OFFSET(PortfolioDashboard!$A$3,C533-1,0)="","Blank",OFFSET(PortfolioDashboard!$A$3,C533-1,0))</f>
        <v>Behavior Change</v>
      </c>
      <c r="E533" s="1464" t="s">
        <v>1197</v>
      </c>
      <c r="F533" s="1460">
        <f t="shared" ca="1" si="344"/>
        <v>-888587.81999004784</v>
      </c>
      <c r="G533" s="358">
        <f t="shared" ref="G533:P542" ca="1" si="365">IFERROR(OFFSET(INDIRECT(INDEX(List_of_Alternatives,MATCH($D533,NameofAlternatives,0))),$A533+G$1-$G$1,$B533),0)</f>
        <v>0</v>
      </c>
      <c r="H533" s="358">
        <f t="shared" ca="1" si="365"/>
        <v>0</v>
      </c>
      <c r="I533" s="358">
        <f t="shared" ca="1" si="365"/>
        <v>-100000</v>
      </c>
      <c r="J533" s="358">
        <f t="shared" ca="1" si="365"/>
        <v>-100000</v>
      </c>
      <c r="K533" s="358">
        <f t="shared" ca="1" si="365"/>
        <v>-100000</v>
      </c>
      <c r="L533" s="358">
        <f t="shared" ca="1" si="365"/>
        <v>-100000</v>
      </c>
      <c r="M533" s="358">
        <f t="shared" ca="1" si="365"/>
        <v>-100000</v>
      </c>
      <c r="N533" s="358">
        <f t="shared" ca="1" si="365"/>
        <v>-50000</v>
      </c>
      <c r="O533" s="358">
        <f t="shared" ca="1" si="365"/>
        <v>-50000</v>
      </c>
      <c r="P533" s="358">
        <f t="shared" ca="1" si="365"/>
        <v>-50000</v>
      </c>
      <c r="Q533" s="358">
        <f t="shared" ref="Q533:Z542" ca="1" si="366">IFERROR(OFFSET(INDIRECT(INDEX(List_of_Alternatives,MATCH($D533,NameofAlternatives,0))),$A533+Q$1-$G$1,$B533),0)</f>
        <v>-50000</v>
      </c>
      <c r="R533" s="358">
        <f t="shared" ca="1" si="366"/>
        <v>-50000</v>
      </c>
      <c r="S533" s="358">
        <f t="shared" ca="1" si="366"/>
        <v>-50000</v>
      </c>
      <c r="T533" s="358">
        <f t="shared" ca="1" si="366"/>
        <v>-50000</v>
      </c>
      <c r="U533" s="358">
        <f t="shared" ca="1" si="366"/>
        <v>-50000</v>
      </c>
      <c r="V533" s="358">
        <f t="shared" ca="1" si="366"/>
        <v>-50000</v>
      </c>
      <c r="W533" s="358">
        <f t="shared" ca="1" si="366"/>
        <v>-50000</v>
      </c>
      <c r="X533" s="358">
        <f t="shared" ca="1" si="366"/>
        <v>-50000</v>
      </c>
      <c r="Y533" s="358">
        <f t="shared" ca="1" si="366"/>
        <v>-50000</v>
      </c>
      <c r="Z533" s="358">
        <f t="shared" ca="1" si="366"/>
        <v>-50000</v>
      </c>
      <c r="AA533" s="358">
        <f t="shared" ref="AA533:AJ542" ca="1" si="367">IFERROR(OFFSET(INDIRECT(INDEX(List_of_Alternatives,MATCH($D533,NameofAlternatives,0))),$A533+AA$1-$G$1,$B533),0)</f>
        <v>-50000</v>
      </c>
      <c r="AB533" s="358">
        <f t="shared" ca="1" si="367"/>
        <v>-50000</v>
      </c>
      <c r="AC533" s="358">
        <f t="shared" ca="1" si="367"/>
        <v>-50000</v>
      </c>
      <c r="AD533" s="358">
        <f t="shared" ca="1" si="367"/>
        <v>-50000</v>
      </c>
      <c r="AE533" s="358">
        <f t="shared" ca="1" si="367"/>
        <v>-50000</v>
      </c>
      <c r="AF533" s="358">
        <f t="shared" ca="1" si="367"/>
        <v>-50000</v>
      </c>
      <c r="AG533" s="358">
        <f t="shared" ca="1" si="367"/>
        <v>-50000</v>
      </c>
      <c r="AH533" s="358">
        <f t="shared" ca="1" si="367"/>
        <v>-50000</v>
      </c>
      <c r="AI533" s="358">
        <f t="shared" ca="1" si="367"/>
        <v>-50000</v>
      </c>
      <c r="AJ533" s="358">
        <f t="shared" ca="1" si="367"/>
        <v>-50000</v>
      </c>
      <c r="AK533" s="358">
        <f t="shared" ref="AK533:AT542" ca="1" si="368">IFERROR(OFFSET(INDIRECT(INDEX(List_of_Alternatives,MATCH($D533,NameofAlternatives,0))),$A533+AK$1-$G$1,$B533),0)</f>
        <v>-50000</v>
      </c>
      <c r="AL533" s="358">
        <f t="shared" ca="1" si="368"/>
        <v>-50000</v>
      </c>
      <c r="AM533" s="358">
        <f t="shared" ca="1" si="368"/>
        <v>-50000</v>
      </c>
      <c r="AN533" s="358">
        <f t="shared" ca="1" si="368"/>
        <v>-50000</v>
      </c>
      <c r="AO533" s="358">
        <f t="shared" ca="1" si="368"/>
        <v>-50000</v>
      </c>
      <c r="AP533" s="358">
        <f t="shared" ca="1" si="368"/>
        <v>-50000</v>
      </c>
      <c r="AQ533" s="358">
        <f t="shared" ca="1" si="368"/>
        <v>-50000</v>
      </c>
      <c r="AR533" s="358">
        <f t="shared" ca="1" si="368"/>
        <v>-50000</v>
      </c>
      <c r="AS533" s="358">
        <f t="shared" ca="1" si="368"/>
        <v>-50000</v>
      </c>
      <c r="AT533" s="358">
        <f t="shared" ca="1" si="368"/>
        <v>-50000</v>
      </c>
      <c r="AV533" s="358">
        <f t="shared" ca="1" si="353"/>
        <v>-350000</v>
      </c>
      <c r="AX533" s="358">
        <f t="shared" ca="1" si="354"/>
        <v>-250000</v>
      </c>
      <c r="AZ533" s="358">
        <f t="shared" ca="1" si="355"/>
        <v>-250000</v>
      </c>
      <c r="BB533" s="358">
        <f t="shared" ca="1" si="356"/>
        <v>-250000</v>
      </c>
      <c r="BD533" s="358">
        <f t="shared" ca="1" si="357"/>
        <v>-250000</v>
      </c>
      <c r="BF533" s="358">
        <f t="shared" ca="1" si="358"/>
        <v>-250000</v>
      </c>
      <c r="BH533" s="358">
        <f t="shared" ca="1" si="359"/>
        <v>-250000</v>
      </c>
    </row>
    <row r="534" spans="1:60" hidden="1" outlineLevel="1">
      <c r="A534" s="1464">
        <f>A533</f>
        <v>18</v>
      </c>
      <c r="B534" s="1464">
        <f>B533</f>
        <v>37</v>
      </c>
      <c r="C534" s="1464">
        <f>C533+1</f>
        <v>2</v>
      </c>
      <c r="D534" s="1271" t="str">
        <f ca="1">IF(OFFSET(PortfolioDashboard!$A$3,C534-1,0)="","Blank",OFFSET(PortfolioDashboard!$A$3,C534-1,0))</f>
        <v>Building Design &amp; Construction Standards</v>
      </c>
      <c r="E534" s="1464" t="str">
        <f>E533</f>
        <v>2010$</v>
      </c>
      <c r="F534" s="1460">
        <f t="shared" ca="1" si="344"/>
        <v>-89643.645147354444</v>
      </c>
      <c r="G534" s="358">
        <f t="shared" ca="1" si="365"/>
        <v>0</v>
      </c>
      <c r="H534" s="358">
        <f t="shared" ca="1" si="365"/>
        <v>-100000</v>
      </c>
      <c r="I534" s="358">
        <f t="shared" ca="1" si="365"/>
        <v>0</v>
      </c>
      <c r="J534" s="358">
        <f t="shared" ca="1" si="365"/>
        <v>0</v>
      </c>
      <c r="K534" s="358">
        <f t="shared" ca="1" si="365"/>
        <v>0</v>
      </c>
      <c r="L534" s="358">
        <f t="shared" ca="1" si="365"/>
        <v>0</v>
      </c>
      <c r="M534" s="358">
        <f t="shared" ca="1" si="365"/>
        <v>0</v>
      </c>
      <c r="N534" s="358">
        <f t="shared" ca="1" si="365"/>
        <v>0</v>
      </c>
      <c r="O534" s="358">
        <f t="shared" ca="1" si="365"/>
        <v>0</v>
      </c>
      <c r="P534" s="358">
        <f t="shared" ca="1" si="365"/>
        <v>0</v>
      </c>
      <c r="Q534" s="358">
        <f t="shared" ca="1" si="366"/>
        <v>0</v>
      </c>
      <c r="R534" s="358">
        <f t="shared" ca="1" si="366"/>
        <v>0</v>
      </c>
      <c r="S534" s="358">
        <f t="shared" ca="1" si="366"/>
        <v>0</v>
      </c>
      <c r="T534" s="358">
        <f t="shared" ca="1" si="366"/>
        <v>0</v>
      </c>
      <c r="U534" s="358">
        <f t="shared" ca="1" si="366"/>
        <v>0</v>
      </c>
      <c r="V534" s="358">
        <f t="shared" ca="1" si="366"/>
        <v>0</v>
      </c>
      <c r="W534" s="358">
        <f t="shared" ca="1" si="366"/>
        <v>0</v>
      </c>
      <c r="X534" s="358">
        <f t="shared" ca="1" si="366"/>
        <v>0</v>
      </c>
      <c r="Y534" s="358">
        <f t="shared" ca="1" si="366"/>
        <v>0</v>
      </c>
      <c r="Z534" s="358">
        <f t="shared" ca="1" si="366"/>
        <v>0</v>
      </c>
      <c r="AA534" s="358">
        <f t="shared" ca="1" si="367"/>
        <v>0</v>
      </c>
      <c r="AB534" s="358">
        <f t="shared" ca="1" si="367"/>
        <v>0</v>
      </c>
      <c r="AC534" s="358">
        <f t="shared" ca="1" si="367"/>
        <v>0</v>
      </c>
      <c r="AD534" s="358">
        <f t="shared" ca="1" si="367"/>
        <v>0</v>
      </c>
      <c r="AE534" s="358">
        <f t="shared" ca="1" si="367"/>
        <v>0</v>
      </c>
      <c r="AF534" s="358">
        <f t="shared" ca="1" si="367"/>
        <v>0</v>
      </c>
      <c r="AG534" s="358">
        <f t="shared" ca="1" si="367"/>
        <v>0</v>
      </c>
      <c r="AH534" s="358">
        <f t="shared" ca="1" si="367"/>
        <v>0</v>
      </c>
      <c r="AI534" s="358">
        <f t="shared" ca="1" si="367"/>
        <v>0</v>
      </c>
      <c r="AJ534" s="358">
        <f t="shared" ca="1" si="367"/>
        <v>0</v>
      </c>
      <c r="AK534" s="358">
        <f t="shared" ca="1" si="368"/>
        <v>0</v>
      </c>
      <c r="AL534" s="358">
        <f t="shared" ca="1" si="368"/>
        <v>0</v>
      </c>
      <c r="AM534" s="358">
        <f t="shared" ca="1" si="368"/>
        <v>0</v>
      </c>
      <c r="AN534" s="358">
        <f t="shared" ca="1" si="368"/>
        <v>0</v>
      </c>
      <c r="AO534" s="358">
        <f t="shared" ca="1" si="368"/>
        <v>0</v>
      </c>
      <c r="AP534" s="358">
        <f t="shared" ca="1" si="368"/>
        <v>0</v>
      </c>
      <c r="AQ534" s="358">
        <f t="shared" ca="1" si="368"/>
        <v>0</v>
      </c>
      <c r="AR534" s="358">
        <f t="shared" ca="1" si="368"/>
        <v>0</v>
      </c>
      <c r="AS534" s="358">
        <f t="shared" ca="1" si="368"/>
        <v>0</v>
      </c>
      <c r="AT534" s="358">
        <f t="shared" ca="1" si="368"/>
        <v>0</v>
      </c>
      <c r="AV534" s="358">
        <f t="shared" ca="1" si="353"/>
        <v>0</v>
      </c>
      <c r="AX534" s="358">
        <f t="shared" ca="1" si="354"/>
        <v>0</v>
      </c>
      <c r="AZ534" s="358">
        <f t="shared" ca="1" si="355"/>
        <v>0</v>
      </c>
      <c r="BB534" s="358">
        <f t="shared" ca="1" si="356"/>
        <v>0</v>
      </c>
      <c r="BD534" s="358">
        <f t="shared" ca="1" si="357"/>
        <v>0</v>
      </c>
      <c r="BF534" s="358">
        <f t="shared" ca="1" si="358"/>
        <v>0</v>
      </c>
      <c r="BH534" s="358">
        <f t="shared" ca="1" si="359"/>
        <v>0</v>
      </c>
    </row>
    <row r="535" spans="1:60" hidden="1" outlineLevel="1">
      <c r="A535" s="1464">
        <f t="shared" ref="A535:A562" si="369">A534</f>
        <v>18</v>
      </c>
      <c r="B535" s="1464">
        <f t="shared" ref="B535:B562" si="370">B534</f>
        <v>37</v>
      </c>
      <c r="C535" s="1464">
        <f t="shared" ref="C535:C562" si="371">C534+1</f>
        <v>3</v>
      </c>
      <c r="D535" s="1271" t="str">
        <f ca="1">IF(OFFSET(PortfolioDashboard!$A$3,C535-1,0)="","Blank",OFFSET(PortfolioDashboard!$A$3,C535-1,0))</f>
        <v>Space Planning &amp; Management</v>
      </c>
      <c r="E535" s="1464" t="str">
        <f t="shared" ref="E535:E562" si="372">E534</f>
        <v>2010$</v>
      </c>
      <c r="F535" s="1460">
        <f t="shared" ca="1" si="344"/>
        <v>-268930.93544206338</v>
      </c>
      <c r="G535" s="358">
        <f t="shared" ca="1" si="365"/>
        <v>0</v>
      </c>
      <c r="H535" s="358">
        <f t="shared" ca="1" si="365"/>
        <v>-300000</v>
      </c>
      <c r="I535" s="358">
        <f t="shared" ca="1" si="365"/>
        <v>0</v>
      </c>
      <c r="J535" s="358">
        <f t="shared" ca="1" si="365"/>
        <v>0</v>
      </c>
      <c r="K535" s="358">
        <f t="shared" ca="1" si="365"/>
        <v>0</v>
      </c>
      <c r="L535" s="358">
        <f t="shared" ca="1" si="365"/>
        <v>0</v>
      </c>
      <c r="M535" s="358">
        <f t="shared" ca="1" si="365"/>
        <v>0</v>
      </c>
      <c r="N535" s="358">
        <f t="shared" ca="1" si="365"/>
        <v>0</v>
      </c>
      <c r="O535" s="358">
        <f t="shared" ca="1" si="365"/>
        <v>0</v>
      </c>
      <c r="P535" s="358">
        <f t="shared" ca="1" si="365"/>
        <v>0</v>
      </c>
      <c r="Q535" s="358">
        <f t="shared" ca="1" si="366"/>
        <v>0</v>
      </c>
      <c r="R535" s="358">
        <f t="shared" ca="1" si="366"/>
        <v>0</v>
      </c>
      <c r="S535" s="358">
        <f t="shared" ca="1" si="366"/>
        <v>0</v>
      </c>
      <c r="T535" s="358">
        <f t="shared" ca="1" si="366"/>
        <v>0</v>
      </c>
      <c r="U535" s="358">
        <f t="shared" ca="1" si="366"/>
        <v>0</v>
      </c>
      <c r="V535" s="358">
        <f t="shared" ca="1" si="366"/>
        <v>0</v>
      </c>
      <c r="W535" s="358">
        <f t="shared" ca="1" si="366"/>
        <v>0</v>
      </c>
      <c r="X535" s="358">
        <f t="shared" ca="1" si="366"/>
        <v>0</v>
      </c>
      <c r="Y535" s="358">
        <f t="shared" ca="1" si="366"/>
        <v>0</v>
      </c>
      <c r="Z535" s="358">
        <f t="shared" ca="1" si="366"/>
        <v>0</v>
      </c>
      <c r="AA535" s="358">
        <f t="shared" ca="1" si="367"/>
        <v>0</v>
      </c>
      <c r="AB535" s="358">
        <f t="shared" ca="1" si="367"/>
        <v>0</v>
      </c>
      <c r="AC535" s="358">
        <f t="shared" ca="1" si="367"/>
        <v>0</v>
      </c>
      <c r="AD535" s="358">
        <f t="shared" ca="1" si="367"/>
        <v>0</v>
      </c>
      <c r="AE535" s="358">
        <f t="shared" ca="1" si="367"/>
        <v>0</v>
      </c>
      <c r="AF535" s="358">
        <f t="shared" ca="1" si="367"/>
        <v>0</v>
      </c>
      <c r="AG535" s="358">
        <f t="shared" ca="1" si="367"/>
        <v>0</v>
      </c>
      <c r="AH535" s="358">
        <f t="shared" ca="1" si="367"/>
        <v>0</v>
      </c>
      <c r="AI535" s="358">
        <f t="shared" ca="1" si="367"/>
        <v>0</v>
      </c>
      <c r="AJ535" s="358">
        <f t="shared" ca="1" si="367"/>
        <v>0</v>
      </c>
      <c r="AK535" s="358">
        <f t="shared" ca="1" si="368"/>
        <v>0</v>
      </c>
      <c r="AL535" s="358">
        <f t="shared" ca="1" si="368"/>
        <v>0</v>
      </c>
      <c r="AM535" s="358">
        <f t="shared" ca="1" si="368"/>
        <v>0</v>
      </c>
      <c r="AN535" s="358">
        <f t="shared" ca="1" si="368"/>
        <v>0</v>
      </c>
      <c r="AO535" s="358">
        <f t="shared" ca="1" si="368"/>
        <v>0</v>
      </c>
      <c r="AP535" s="358">
        <f t="shared" ca="1" si="368"/>
        <v>0</v>
      </c>
      <c r="AQ535" s="358">
        <f t="shared" ca="1" si="368"/>
        <v>0</v>
      </c>
      <c r="AR535" s="358">
        <f t="shared" ca="1" si="368"/>
        <v>0</v>
      </c>
      <c r="AS535" s="358">
        <f t="shared" ca="1" si="368"/>
        <v>0</v>
      </c>
      <c r="AT535" s="358">
        <f t="shared" ca="1" si="368"/>
        <v>0</v>
      </c>
      <c r="AV535" s="358">
        <f t="shared" ca="1" si="353"/>
        <v>0</v>
      </c>
      <c r="AX535" s="358">
        <f t="shared" ca="1" si="354"/>
        <v>0</v>
      </c>
      <c r="AZ535" s="358">
        <f t="shared" ca="1" si="355"/>
        <v>0</v>
      </c>
      <c r="BB535" s="358">
        <f t="shared" ca="1" si="356"/>
        <v>0</v>
      </c>
      <c r="BD535" s="358">
        <f t="shared" ca="1" si="357"/>
        <v>0</v>
      </c>
      <c r="BF535" s="358">
        <f t="shared" ca="1" si="358"/>
        <v>0</v>
      </c>
      <c r="BH535" s="358">
        <f t="shared" ca="1" si="359"/>
        <v>0</v>
      </c>
    </row>
    <row r="536" spans="1:60" hidden="1" outlineLevel="1">
      <c r="A536" s="1464">
        <f t="shared" si="369"/>
        <v>18</v>
      </c>
      <c r="B536" s="1464">
        <f t="shared" si="370"/>
        <v>37</v>
      </c>
      <c r="C536" s="1464">
        <f t="shared" si="371"/>
        <v>4</v>
      </c>
      <c r="D536" s="1271" t="str">
        <f ca="1">IF(OFFSET(PortfolioDashboard!$A$3,C536-1,0)="","Blank",OFFSET(PortfolioDashboard!$A$3,C536-1,0))</f>
        <v>Central Chiller Expansion</v>
      </c>
      <c r="E536" s="1464" t="str">
        <f t="shared" si="372"/>
        <v>2010$</v>
      </c>
      <c r="F536" s="1460">
        <f t="shared" ca="1" si="344"/>
        <v>0</v>
      </c>
      <c r="G536" s="358">
        <f t="shared" ca="1" si="365"/>
        <v>0</v>
      </c>
      <c r="H536" s="358">
        <f t="shared" ca="1" si="365"/>
        <v>0</v>
      </c>
      <c r="I536" s="358">
        <f t="shared" ca="1" si="365"/>
        <v>0</v>
      </c>
      <c r="J536" s="358">
        <f t="shared" ca="1" si="365"/>
        <v>0</v>
      </c>
      <c r="K536" s="358">
        <f t="shared" ca="1" si="365"/>
        <v>0</v>
      </c>
      <c r="L536" s="358">
        <f t="shared" ca="1" si="365"/>
        <v>0</v>
      </c>
      <c r="M536" s="358">
        <f t="shared" ca="1" si="365"/>
        <v>0</v>
      </c>
      <c r="N536" s="358">
        <f t="shared" ca="1" si="365"/>
        <v>0</v>
      </c>
      <c r="O536" s="358">
        <f t="shared" ca="1" si="365"/>
        <v>0</v>
      </c>
      <c r="P536" s="358">
        <f t="shared" ca="1" si="365"/>
        <v>0</v>
      </c>
      <c r="Q536" s="358">
        <f t="shared" ca="1" si="366"/>
        <v>0</v>
      </c>
      <c r="R536" s="358">
        <f t="shared" ca="1" si="366"/>
        <v>0</v>
      </c>
      <c r="S536" s="358">
        <f t="shared" ca="1" si="366"/>
        <v>0</v>
      </c>
      <c r="T536" s="358">
        <f t="shared" ca="1" si="366"/>
        <v>0</v>
      </c>
      <c r="U536" s="358">
        <f t="shared" ca="1" si="366"/>
        <v>0</v>
      </c>
      <c r="V536" s="358">
        <f t="shared" ca="1" si="366"/>
        <v>0</v>
      </c>
      <c r="W536" s="358">
        <f t="shared" ca="1" si="366"/>
        <v>0</v>
      </c>
      <c r="X536" s="358">
        <f t="shared" ca="1" si="366"/>
        <v>0</v>
      </c>
      <c r="Y536" s="358">
        <f t="shared" ca="1" si="366"/>
        <v>0</v>
      </c>
      <c r="Z536" s="358">
        <f t="shared" ca="1" si="366"/>
        <v>0</v>
      </c>
      <c r="AA536" s="358">
        <f t="shared" ca="1" si="367"/>
        <v>0</v>
      </c>
      <c r="AB536" s="358">
        <f t="shared" ca="1" si="367"/>
        <v>0</v>
      </c>
      <c r="AC536" s="358">
        <f t="shared" ca="1" si="367"/>
        <v>0</v>
      </c>
      <c r="AD536" s="358">
        <f t="shared" ca="1" si="367"/>
        <v>0</v>
      </c>
      <c r="AE536" s="358">
        <f t="shared" ca="1" si="367"/>
        <v>0</v>
      </c>
      <c r="AF536" s="358">
        <f t="shared" ca="1" si="367"/>
        <v>0</v>
      </c>
      <c r="AG536" s="358">
        <f t="shared" ca="1" si="367"/>
        <v>0</v>
      </c>
      <c r="AH536" s="358">
        <f t="shared" ca="1" si="367"/>
        <v>0</v>
      </c>
      <c r="AI536" s="358">
        <f t="shared" ca="1" si="367"/>
        <v>0</v>
      </c>
      <c r="AJ536" s="358">
        <f t="shared" ca="1" si="367"/>
        <v>0</v>
      </c>
      <c r="AK536" s="358">
        <f t="shared" ca="1" si="368"/>
        <v>0</v>
      </c>
      <c r="AL536" s="358">
        <f t="shared" ca="1" si="368"/>
        <v>0</v>
      </c>
      <c r="AM536" s="358">
        <f t="shared" ca="1" si="368"/>
        <v>0</v>
      </c>
      <c r="AN536" s="358">
        <f t="shared" ca="1" si="368"/>
        <v>0</v>
      </c>
      <c r="AO536" s="358">
        <f t="shared" ca="1" si="368"/>
        <v>0</v>
      </c>
      <c r="AP536" s="358">
        <f t="shared" ca="1" si="368"/>
        <v>0</v>
      </c>
      <c r="AQ536" s="358">
        <f t="shared" ca="1" si="368"/>
        <v>0</v>
      </c>
      <c r="AR536" s="358">
        <f t="shared" ca="1" si="368"/>
        <v>0</v>
      </c>
      <c r="AS536" s="358">
        <f t="shared" ca="1" si="368"/>
        <v>0</v>
      </c>
      <c r="AT536" s="358">
        <f t="shared" ca="1" si="368"/>
        <v>0</v>
      </c>
      <c r="AV536" s="358">
        <f t="shared" ca="1" si="353"/>
        <v>0</v>
      </c>
      <c r="AX536" s="358">
        <f t="shared" ca="1" si="354"/>
        <v>0</v>
      </c>
      <c r="AZ536" s="358">
        <f t="shared" ca="1" si="355"/>
        <v>0</v>
      </c>
      <c r="BB536" s="358">
        <f t="shared" ca="1" si="356"/>
        <v>0</v>
      </c>
      <c r="BD536" s="358">
        <f t="shared" ca="1" si="357"/>
        <v>0</v>
      </c>
      <c r="BF536" s="358">
        <f t="shared" ca="1" si="358"/>
        <v>0</v>
      </c>
      <c r="BH536" s="358">
        <f t="shared" ca="1" si="359"/>
        <v>0</v>
      </c>
    </row>
    <row r="537" spans="1:60" hidden="1" outlineLevel="1">
      <c r="A537" s="1464">
        <f t="shared" si="369"/>
        <v>18</v>
      </c>
      <c r="B537" s="1464">
        <f t="shared" si="370"/>
        <v>37</v>
      </c>
      <c r="C537" s="1464">
        <f t="shared" si="371"/>
        <v>5</v>
      </c>
      <c r="D537" s="1271" t="str">
        <f ca="1">IF(OFFSET(PortfolioDashboard!$A$3,C537-1,0)="","Blank",OFFSET(PortfolioDashboard!$A$3,C537-1,0))</f>
        <v>Short-term Energy Conservation Measures</v>
      </c>
      <c r="E537" s="1464" t="str">
        <f t="shared" si="372"/>
        <v>2010$</v>
      </c>
      <c r="F537" s="1460">
        <f t="shared" ca="1" si="344"/>
        <v>0</v>
      </c>
      <c r="G537" s="358">
        <f t="shared" ca="1" si="365"/>
        <v>0</v>
      </c>
      <c r="H537" s="358">
        <f t="shared" ca="1" si="365"/>
        <v>0</v>
      </c>
      <c r="I537" s="358">
        <f t="shared" ca="1" si="365"/>
        <v>0</v>
      </c>
      <c r="J537" s="358">
        <f t="shared" ca="1" si="365"/>
        <v>0</v>
      </c>
      <c r="K537" s="358">
        <f t="shared" ca="1" si="365"/>
        <v>0</v>
      </c>
      <c r="L537" s="358">
        <f t="shared" ca="1" si="365"/>
        <v>0</v>
      </c>
      <c r="M537" s="358">
        <f t="shared" ca="1" si="365"/>
        <v>0</v>
      </c>
      <c r="N537" s="358">
        <f t="shared" ca="1" si="365"/>
        <v>0</v>
      </c>
      <c r="O537" s="358">
        <f t="shared" ca="1" si="365"/>
        <v>0</v>
      </c>
      <c r="P537" s="358">
        <f t="shared" ca="1" si="365"/>
        <v>0</v>
      </c>
      <c r="Q537" s="358">
        <f t="shared" ca="1" si="366"/>
        <v>0</v>
      </c>
      <c r="R537" s="358">
        <f t="shared" ca="1" si="366"/>
        <v>0</v>
      </c>
      <c r="S537" s="358">
        <f t="shared" ca="1" si="366"/>
        <v>0</v>
      </c>
      <c r="T537" s="358">
        <f t="shared" ca="1" si="366"/>
        <v>0</v>
      </c>
      <c r="U537" s="358">
        <f t="shared" ca="1" si="366"/>
        <v>0</v>
      </c>
      <c r="V537" s="358">
        <f t="shared" ca="1" si="366"/>
        <v>0</v>
      </c>
      <c r="W537" s="358">
        <f t="shared" ca="1" si="366"/>
        <v>0</v>
      </c>
      <c r="X537" s="358">
        <f t="shared" ca="1" si="366"/>
        <v>0</v>
      </c>
      <c r="Y537" s="358">
        <f t="shared" ca="1" si="366"/>
        <v>0</v>
      </c>
      <c r="Z537" s="358">
        <f t="shared" ca="1" si="366"/>
        <v>0</v>
      </c>
      <c r="AA537" s="358">
        <f t="shared" ca="1" si="367"/>
        <v>0</v>
      </c>
      <c r="AB537" s="358">
        <f t="shared" ca="1" si="367"/>
        <v>0</v>
      </c>
      <c r="AC537" s="358">
        <f t="shared" ca="1" si="367"/>
        <v>0</v>
      </c>
      <c r="AD537" s="358">
        <f t="shared" ca="1" si="367"/>
        <v>0</v>
      </c>
      <c r="AE537" s="358">
        <f t="shared" ca="1" si="367"/>
        <v>0</v>
      </c>
      <c r="AF537" s="358">
        <f t="shared" ca="1" si="367"/>
        <v>0</v>
      </c>
      <c r="AG537" s="358">
        <f t="shared" ca="1" si="367"/>
        <v>0</v>
      </c>
      <c r="AH537" s="358">
        <f t="shared" ca="1" si="367"/>
        <v>0</v>
      </c>
      <c r="AI537" s="358">
        <f t="shared" ca="1" si="367"/>
        <v>0</v>
      </c>
      <c r="AJ537" s="358">
        <f t="shared" ca="1" si="367"/>
        <v>0</v>
      </c>
      <c r="AK537" s="358">
        <f t="shared" ca="1" si="368"/>
        <v>0</v>
      </c>
      <c r="AL537" s="358">
        <f t="shared" ca="1" si="368"/>
        <v>0</v>
      </c>
      <c r="AM537" s="358">
        <f t="shared" ca="1" si="368"/>
        <v>0</v>
      </c>
      <c r="AN537" s="358">
        <f t="shared" ca="1" si="368"/>
        <v>0</v>
      </c>
      <c r="AO537" s="358">
        <f t="shared" ca="1" si="368"/>
        <v>0</v>
      </c>
      <c r="AP537" s="358">
        <f t="shared" ca="1" si="368"/>
        <v>0</v>
      </c>
      <c r="AQ537" s="358">
        <f t="shared" ca="1" si="368"/>
        <v>0</v>
      </c>
      <c r="AR537" s="358">
        <f t="shared" ca="1" si="368"/>
        <v>0</v>
      </c>
      <c r="AS537" s="358">
        <f t="shared" ca="1" si="368"/>
        <v>0</v>
      </c>
      <c r="AT537" s="358">
        <f t="shared" ca="1" si="368"/>
        <v>0</v>
      </c>
      <c r="AV537" s="358">
        <f t="shared" ca="1" si="353"/>
        <v>0</v>
      </c>
      <c r="AX537" s="358">
        <f t="shared" ca="1" si="354"/>
        <v>0</v>
      </c>
      <c r="AZ537" s="358">
        <f t="shared" ca="1" si="355"/>
        <v>0</v>
      </c>
      <c r="BB537" s="358">
        <f t="shared" ca="1" si="356"/>
        <v>0</v>
      </c>
      <c r="BD537" s="358">
        <f t="shared" ca="1" si="357"/>
        <v>0</v>
      </c>
      <c r="BF537" s="358">
        <f t="shared" ca="1" si="358"/>
        <v>0</v>
      </c>
      <c r="BH537" s="358">
        <f t="shared" ca="1" si="359"/>
        <v>0</v>
      </c>
    </row>
    <row r="538" spans="1:60" hidden="1" outlineLevel="1">
      <c r="A538" s="1464">
        <f t="shared" si="369"/>
        <v>18</v>
      </c>
      <c r="B538" s="1464">
        <f t="shared" si="370"/>
        <v>37</v>
      </c>
      <c r="C538" s="1464">
        <f t="shared" si="371"/>
        <v>6</v>
      </c>
      <c r="D538" s="1271" t="str">
        <f ca="1">IF(OFFSET(PortfolioDashboard!$A$3,C538-1,0)="","Blank",OFFSET(PortfolioDashboard!$A$3,C538-1,0))</f>
        <v>Mid-term Energy Conservation Measures</v>
      </c>
      <c r="E538" s="1464" t="str">
        <f t="shared" si="372"/>
        <v>2010$</v>
      </c>
      <c r="F538" s="1460">
        <f t="shared" ca="1" si="344"/>
        <v>0</v>
      </c>
      <c r="G538" s="358">
        <f t="shared" ca="1" si="365"/>
        <v>0</v>
      </c>
      <c r="H538" s="358">
        <f t="shared" ca="1" si="365"/>
        <v>0</v>
      </c>
      <c r="I538" s="358">
        <f t="shared" ca="1" si="365"/>
        <v>0</v>
      </c>
      <c r="J538" s="358">
        <f t="shared" ca="1" si="365"/>
        <v>0</v>
      </c>
      <c r="K538" s="358">
        <f t="shared" ca="1" si="365"/>
        <v>0</v>
      </c>
      <c r="L538" s="358">
        <f t="shared" ca="1" si="365"/>
        <v>0</v>
      </c>
      <c r="M538" s="358">
        <f t="shared" ca="1" si="365"/>
        <v>0</v>
      </c>
      <c r="N538" s="358">
        <f t="shared" ca="1" si="365"/>
        <v>0</v>
      </c>
      <c r="O538" s="358">
        <f t="shared" ca="1" si="365"/>
        <v>0</v>
      </c>
      <c r="P538" s="358">
        <f t="shared" ca="1" si="365"/>
        <v>0</v>
      </c>
      <c r="Q538" s="358">
        <f t="shared" ca="1" si="366"/>
        <v>0</v>
      </c>
      <c r="R538" s="358">
        <f t="shared" ca="1" si="366"/>
        <v>0</v>
      </c>
      <c r="S538" s="358">
        <f t="shared" ca="1" si="366"/>
        <v>0</v>
      </c>
      <c r="T538" s="358">
        <f t="shared" ca="1" si="366"/>
        <v>0</v>
      </c>
      <c r="U538" s="358">
        <f t="shared" ca="1" si="366"/>
        <v>0</v>
      </c>
      <c r="V538" s="358">
        <f t="shared" ca="1" si="366"/>
        <v>0</v>
      </c>
      <c r="W538" s="358">
        <f t="shared" ca="1" si="366"/>
        <v>0</v>
      </c>
      <c r="X538" s="358">
        <f t="shared" ca="1" si="366"/>
        <v>0</v>
      </c>
      <c r="Y538" s="358">
        <f t="shared" ca="1" si="366"/>
        <v>0</v>
      </c>
      <c r="Z538" s="358">
        <f t="shared" ca="1" si="366"/>
        <v>0</v>
      </c>
      <c r="AA538" s="358">
        <f t="shared" ca="1" si="367"/>
        <v>0</v>
      </c>
      <c r="AB538" s="358">
        <f t="shared" ca="1" si="367"/>
        <v>0</v>
      </c>
      <c r="AC538" s="358">
        <f t="shared" ca="1" si="367"/>
        <v>0</v>
      </c>
      <c r="AD538" s="358">
        <f t="shared" ca="1" si="367"/>
        <v>0</v>
      </c>
      <c r="AE538" s="358">
        <f t="shared" ca="1" si="367"/>
        <v>0</v>
      </c>
      <c r="AF538" s="358">
        <f t="shared" ca="1" si="367"/>
        <v>0</v>
      </c>
      <c r="AG538" s="358">
        <f t="shared" ca="1" si="367"/>
        <v>0</v>
      </c>
      <c r="AH538" s="358">
        <f t="shared" ca="1" si="367"/>
        <v>0</v>
      </c>
      <c r="AI538" s="358">
        <f t="shared" ca="1" si="367"/>
        <v>0</v>
      </c>
      <c r="AJ538" s="358">
        <f t="shared" ca="1" si="367"/>
        <v>0</v>
      </c>
      <c r="AK538" s="358">
        <f t="shared" ca="1" si="368"/>
        <v>0</v>
      </c>
      <c r="AL538" s="358">
        <f t="shared" ca="1" si="368"/>
        <v>0</v>
      </c>
      <c r="AM538" s="358">
        <f t="shared" ca="1" si="368"/>
        <v>0</v>
      </c>
      <c r="AN538" s="358">
        <f t="shared" ca="1" si="368"/>
        <v>0</v>
      </c>
      <c r="AO538" s="358">
        <f t="shared" ca="1" si="368"/>
        <v>0</v>
      </c>
      <c r="AP538" s="358">
        <f t="shared" ca="1" si="368"/>
        <v>0</v>
      </c>
      <c r="AQ538" s="358">
        <f t="shared" ca="1" si="368"/>
        <v>0</v>
      </c>
      <c r="AR538" s="358">
        <f t="shared" ca="1" si="368"/>
        <v>0</v>
      </c>
      <c r="AS538" s="358">
        <f t="shared" ca="1" si="368"/>
        <v>0</v>
      </c>
      <c r="AT538" s="358">
        <f t="shared" ca="1" si="368"/>
        <v>0</v>
      </c>
      <c r="AV538" s="358">
        <f t="shared" ca="1" si="353"/>
        <v>0</v>
      </c>
      <c r="AX538" s="358">
        <f t="shared" ca="1" si="354"/>
        <v>0</v>
      </c>
      <c r="AZ538" s="358">
        <f t="shared" ca="1" si="355"/>
        <v>0</v>
      </c>
      <c r="BB538" s="358">
        <f t="shared" ca="1" si="356"/>
        <v>0</v>
      </c>
      <c r="BD538" s="358">
        <f t="shared" ca="1" si="357"/>
        <v>0</v>
      </c>
      <c r="BF538" s="358">
        <f t="shared" ca="1" si="358"/>
        <v>0</v>
      </c>
      <c r="BH538" s="358">
        <f t="shared" ca="1" si="359"/>
        <v>0</v>
      </c>
    </row>
    <row r="539" spans="1:60" hidden="1" outlineLevel="1">
      <c r="A539" s="1464">
        <f t="shared" si="369"/>
        <v>18</v>
      </c>
      <c r="B539" s="1464">
        <f t="shared" si="370"/>
        <v>37</v>
      </c>
      <c r="C539" s="1464">
        <f t="shared" si="371"/>
        <v>7</v>
      </c>
      <c r="D539" s="1271" t="str">
        <f ca="1">IF(OFFSET(PortfolioDashboard!$A$3,C539-1,0)="","Blank",OFFSET(PortfolioDashboard!$A$3,C539-1,0))</f>
        <v>Long-term Energy Conservation Measures</v>
      </c>
      <c r="E539" s="1464" t="str">
        <f t="shared" si="372"/>
        <v>2010$</v>
      </c>
      <c r="F539" s="1460">
        <f t="shared" ca="1" si="344"/>
        <v>0</v>
      </c>
      <c r="G539" s="358">
        <f t="shared" ca="1" si="365"/>
        <v>0</v>
      </c>
      <c r="H539" s="358">
        <f t="shared" ca="1" si="365"/>
        <v>0</v>
      </c>
      <c r="I539" s="358">
        <f t="shared" ca="1" si="365"/>
        <v>0</v>
      </c>
      <c r="J539" s="358">
        <f t="shared" ca="1" si="365"/>
        <v>0</v>
      </c>
      <c r="K539" s="358">
        <f t="shared" ca="1" si="365"/>
        <v>0</v>
      </c>
      <c r="L539" s="358">
        <f t="shared" ca="1" si="365"/>
        <v>0</v>
      </c>
      <c r="M539" s="358">
        <f t="shared" ca="1" si="365"/>
        <v>0</v>
      </c>
      <c r="N539" s="358">
        <f t="shared" ca="1" si="365"/>
        <v>0</v>
      </c>
      <c r="O539" s="358">
        <f t="shared" ca="1" si="365"/>
        <v>0</v>
      </c>
      <c r="P539" s="358">
        <f t="shared" ca="1" si="365"/>
        <v>0</v>
      </c>
      <c r="Q539" s="358">
        <f t="shared" ca="1" si="366"/>
        <v>0</v>
      </c>
      <c r="R539" s="358">
        <f t="shared" ca="1" si="366"/>
        <v>0</v>
      </c>
      <c r="S539" s="358">
        <f t="shared" ca="1" si="366"/>
        <v>0</v>
      </c>
      <c r="T539" s="358">
        <f t="shared" ca="1" si="366"/>
        <v>0</v>
      </c>
      <c r="U539" s="358">
        <f t="shared" ca="1" si="366"/>
        <v>0</v>
      </c>
      <c r="V539" s="358">
        <f t="shared" ca="1" si="366"/>
        <v>0</v>
      </c>
      <c r="W539" s="358">
        <f t="shared" ca="1" si="366"/>
        <v>0</v>
      </c>
      <c r="X539" s="358">
        <f t="shared" ca="1" si="366"/>
        <v>0</v>
      </c>
      <c r="Y539" s="358">
        <f t="shared" ca="1" si="366"/>
        <v>0</v>
      </c>
      <c r="Z539" s="358">
        <f t="shared" ca="1" si="366"/>
        <v>0</v>
      </c>
      <c r="AA539" s="358">
        <f t="shared" ca="1" si="367"/>
        <v>0</v>
      </c>
      <c r="AB539" s="358">
        <f t="shared" ca="1" si="367"/>
        <v>0</v>
      </c>
      <c r="AC539" s="358">
        <f t="shared" ca="1" si="367"/>
        <v>0</v>
      </c>
      <c r="AD539" s="358">
        <f t="shared" ca="1" si="367"/>
        <v>0</v>
      </c>
      <c r="AE539" s="358">
        <f t="shared" ca="1" si="367"/>
        <v>0</v>
      </c>
      <c r="AF539" s="358">
        <f t="shared" ca="1" si="367"/>
        <v>0</v>
      </c>
      <c r="AG539" s="358">
        <f t="shared" ca="1" si="367"/>
        <v>0</v>
      </c>
      <c r="AH539" s="358">
        <f t="shared" ca="1" si="367"/>
        <v>0</v>
      </c>
      <c r="AI539" s="358">
        <f t="shared" ca="1" si="367"/>
        <v>0</v>
      </c>
      <c r="AJ539" s="358">
        <f t="shared" ca="1" si="367"/>
        <v>0</v>
      </c>
      <c r="AK539" s="358">
        <f t="shared" ca="1" si="368"/>
        <v>0</v>
      </c>
      <c r="AL539" s="358">
        <f t="shared" ca="1" si="368"/>
        <v>0</v>
      </c>
      <c r="AM539" s="358">
        <f t="shared" ca="1" si="368"/>
        <v>0</v>
      </c>
      <c r="AN539" s="358">
        <f t="shared" ca="1" si="368"/>
        <v>0</v>
      </c>
      <c r="AO539" s="358">
        <f t="shared" ca="1" si="368"/>
        <v>0</v>
      </c>
      <c r="AP539" s="358">
        <f t="shared" ca="1" si="368"/>
        <v>0</v>
      </c>
      <c r="AQ539" s="358">
        <f t="shared" ca="1" si="368"/>
        <v>0</v>
      </c>
      <c r="AR539" s="358">
        <f t="shared" ca="1" si="368"/>
        <v>0</v>
      </c>
      <c r="AS539" s="358">
        <f t="shared" ca="1" si="368"/>
        <v>0</v>
      </c>
      <c r="AT539" s="358">
        <f t="shared" ca="1" si="368"/>
        <v>0</v>
      </c>
      <c r="AV539" s="358">
        <f t="shared" ca="1" si="353"/>
        <v>0</v>
      </c>
      <c r="AX539" s="358">
        <f t="shared" ca="1" si="354"/>
        <v>0</v>
      </c>
      <c r="AZ539" s="358">
        <f t="shared" ca="1" si="355"/>
        <v>0</v>
      </c>
      <c r="BB539" s="358">
        <f t="shared" ca="1" si="356"/>
        <v>0</v>
      </c>
      <c r="BD539" s="358">
        <f t="shared" ca="1" si="357"/>
        <v>0</v>
      </c>
      <c r="BF539" s="358">
        <f t="shared" ca="1" si="358"/>
        <v>0</v>
      </c>
      <c r="BH539" s="358">
        <f t="shared" ca="1" si="359"/>
        <v>0</v>
      </c>
    </row>
    <row r="540" spans="1:60" hidden="1" outlineLevel="1">
      <c r="A540" s="1464">
        <f t="shared" si="369"/>
        <v>18</v>
      </c>
      <c r="B540" s="1464">
        <f t="shared" si="370"/>
        <v>37</v>
      </c>
      <c r="C540" s="1464">
        <f t="shared" si="371"/>
        <v>8</v>
      </c>
      <c r="D540" s="1271" t="str">
        <f ca="1">IF(OFFSET(PortfolioDashboard!$A$3,C540-1,0)="","Blank",OFFSET(PortfolioDashboard!$A$3,C540-1,0))</f>
        <v>Green IT</v>
      </c>
      <c r="E540" s="1464" t="str">
        <f t="shared" si="372"/>
        <v>2010$</v>
      </c>
      <c r="F540" s="1460">
        <f t="shared" ca="1" si="344"/>
        <v>-275571.08849616675</v>
      </c>
      <c r="G540" s="358">
        <f t="shared" ca="1" si="365"/>
        <v>0</v>
      </c>
      <c r="H540" s="358">
        <f t="shared" ca="1" si="365"/>
        <v>0</v>
      </c>
      <c r="I540" s="358">
        <f t="shared" ca="1" si="365"/>
        <v>-7000</v>
      </c>
      <c r="J540" s="358">
        <f t="shared" ca="1" si="365"/>
        <v>-14000</v>
      </c>
      <c r="K540" s="358">
        <f t="shared" ca="1" si="365"/>
        <v>-21000</v>
      </c>
      <c r="L540" s="358">
        <f t="shared" ca="1" si="365"/>
        <v>-21000</v>
      </c>
      <c r="M540" s="358">
        <f t="shared" ca="1" si="365"/>
        <v>-21000</v>
      </c>
      <c r="N540" s="358">
        <f t="shared" ca="1" si="365"/>
        <v>-21000</v>
      </c>
      <c r="O540" s="358">
        <f t="shared" ca="1" si="365"/>
        <v>-21000</v>
      </c>
      <c r="P540" s="358">
        <f t="shared" ca="1" si="365"/>
        <v>-21000</v>
      </c>
      <c r="Q540" s="358">
        <f t="shared" ca="1" si="366"/>
        <v>-21000</v>
      </c>
      <c r="R540" s="358">
        <f t="shared" ca="1" si="366"/>
        <v>-21000</v>
      </c>
      <c r="S540" s="358">
        <f t="shared" ca="1" si="366"/>
        <v>-21000</v>
      </c>
      <c r="T540" s="358">
        <f t="shared" ca="1" si="366"/>
        <v>-21000</v>
      </c>
      <c r="U540" s="358">
        <f t="shared" ca="1" si="366"/>
        <v>-21000</v>
      </c>
      <c r="V540" s="358">
        <f t="shared" ca="1" si="366"/>
        <v>-21000</v>
      </c>
      <c r="W540" s="358">
        <f t="shared" ca="1" si="366"/>
        <v>-21000</v>
      </c>
      <c r="X540" s="358">
        <f t="shared" ca="1" si="366"/>
        <v>-21000</v>
      </c>
      <c r="Y540" s="358">
        <f t="shared" ca="1" si="366"/>
        <v>-21000</v>
      </c>
      <c r="Z540" s="358">
        <f t="shared" ca="1" si="366"/>
        <v>-21000</v>
      </c>
      <c r="AA540" s="358">
        <f t="shared" ca="1" si="367"/>
        <v>-21000</v>
      </c>
      <c r="AB540" s="358">
        <f t="shared" ca="1" si="367"/>
        <v>-21000</v>
      </c>
      <c r="AC540" s="358">
        <f t="shared" ca="1" si="367"/>
        <v>-21000</v>
      </c>
      <c r="AD540" s="358">
        <f t="shared" ca="1" si="367"/>
        <v>-21000</v>
      </c>
      <c r="AE540" s="358">
        <f t="shared" ca="1" si="367"/>
        <v>-21000</v>
      </c>
      <c r="AF540" s="358">
        <f t="shared" ca="1" si="367"/>
        <v>-21000</v>
      </c>
      <c r="AG540" s="358">
        <f t="shared" ca="1" si="367"/>
        <v>-21000</v>
      </c>
      <c r="AH540" s="358">
        <f t="shared" ca="1" si="367"/>
        <v>-21000</v>
      </c>
      <c r="AI540" s="358">
        <f t="shared" ca="1" si="367"/>
        <v>-21000</v>
      </c>
      <c r="AJ540" s="358">
        <f t="shared" ca="1" si="367"/>
        <v>-21000</v>
      </c>
      <c r="AK540" s="358">
        <f t="shared" ca="1" si="368"/>
        <v>-21000</v>
      </c>
      <c r="AL540" s="358">
        <f t="shared" ca="1" si="368"/>
        <v>-21000</v>
      </c>
      <c r="AM540" s="358">
        <f t="shared" ca="1" si="368"/>
        <v>-21000</v>
      </c>
      <c r="AN540" s="358">
        <f t="shared" ca="1" si="368"/>
        <v>-21000</v>
      </c>
      <c r="AO540" s="358">
        <f t="shared" ca="1" si="368"/>
        <v>-21000</v>
      </c>
      <c r="AP540" s="358">
        <f t="shared" ca="1" si="368"/>
        <v>-21000</v>
      </c>
      <c r="AQ540" s="358">
        <f t="shared" ca="1" si="368"/>
        <v>-21000</v>
      </c>
      <c r="AR540" s="358">
        <f t="shared" ca="1" si="368"/>
        <v>-21000</v>
      </c>
      <c r="AS540" s="358">
        <f t="shared" ca="1" si="368"/>
        <v>-21000</v>
      </c>
      <c r="AT540" s="358">
        <f t="shared" ca="1" si="368"/>
        <v>-21000</v>
      </c>
      <c r="AV540" s="358">
        <f t="shared" ca="1" si="353"/>
        <v>-105000</v>
      </c>
      <c r="AX540" s="358">
        <f t="shared" ca="1" si="354"/>
        <v>-105000</v>
      </c>
      <c r="AZ540" s="358">
        <f t="shared" ca="1" si="355"/>
        <v>-105000</v>
      </c>
      <c r="BB540" s="358">
        <f t="shared" ca="1" si="356"/>
        <v>-105000</v>
      </c>
      <c r="BD540" s="358">
        <f t="shared" ca="1" si="357"/>
        <v>-105000</v>
      </c>
      <c r="BF540" s="358">
        <f t="shared" ca="1" si="358"/>
        <v>-105000</v>
      </c>
      <c r="BH540" s="358">
        <f t="shared" ca="1" si="359"/>
        <v>-105000</v>
      </c>
    </row>
    <row r="541" spans="1:60" hidden="1" outlineLevel="1">
      <c r="A541" s="1464">
        <f t="shared" si="369"/>
        <v>18</v>
      </c>
      <c r="B541" s="1464">
        <f t="shared" si="370"/>
        <v>37</v>
      </c>
      <c r="C541" s="1464">
        <f t="shared" si="371"/>
        <v>9</v>
      </c>
      <c r="D541" s="1271" t="str">
        <f ca="1">IF(OFFSET(PortfolioDashboard!$A$3,C541-1,0)="","Blank",OFFSET(PortfolioDashboard!$A$3,C541-1,0))</f>
        <v>Reduced Air Travel</v>
      </c>
      <c r="E541" s="1464" t="str">
        <f t="shared" si="372"/>
        <v>2010$</v>
      </c>
      <c r="F541" s="1460">
        <f t="shared" ca="1" si="344"/>
        <v>0</v>
      </c>
      <c r="G541" s="358">
        <f t="shared" ca="1" si="365"/>
        <v>0</v>
      </c>
      <c r="H541" s="358">
        <f t="shared" ca="1" si="365"/>
        <v>0</v>
      </c>
      <c r="I541" s="358">
        <f t="shared" ca="1" si="365"/>
        <v>0</v>
      </c>
      <c r="J541" s="358">
        <f t="shared" ca="1" si="365"/>
        <v>0</v>
      </c>
      <c r="K541" s="358">
        <f t="shared" ca="1" si="365"/>
        <v>0</v>
      </c>
      <c r="L541" s="358">
        <f t="shared" ca="1" si="365"/>
        <v>0</v>
      </c>
      <c r="M541" s="358">
        <f t="shared" ca="1" si="365"/>
        <v>0</v>
      </c>
      <c r="N541" s="358">
        <f t="shared" ca="1" si="365"/>
        <v>0</v>
      </c>
      <c r="O541" s="358">
        <f t="shared" ca="1" si="365"/>
        <v>0</v>
      </c>
      <c r="P541" s="358">
        <f t="shared" ca="1" si="365"/>
        <v>0</v>
      </c>
      <c r="Q541" s="358">
        <f t="shared" ca="1" si="366"/>
        <v>0</v>
      </c>
      <c r="R541" s="358">
        <f t="shared" ca="1" si="366"/>
        <v>0</v>
      </c>
      <c r="S541" s="358">
        <f t="shared" ca="1" si="366"/>
        <v>0</v>
      </c>
      <c r="T541" s="358">
        <f t="shared" ca="1" si="366"/>
        <v>0</v>
      </c>
      <c r="U541" s="358">
        <f t="shared" ca="1" si="366"/>
        <v>0</v>
      </c>
      <c r="V541" s="358">
        <f t="shared" ca="1" si="366"/>
        <v>0</v>
      </c>
      <c r="W541" s="358">
        <f t="shared" ca="1" si="366"/>
        <v>0</v>
      </c>
      <c r="X541" s="358">
        <f t="shared" ca="1" si="366"/>
        <v>0</v>
      </c>
      <c r="Y541" s="358">
        <f t="shared" ca="1" si="366"/>
        <v>0</v>
      </c>
      <c r="Z541" s="358">
        <f t="shared" ca="1" si="366"/>
        <v>0</v>
      </c>
      <c r="AA541" s="358">
        <f t="shared" ca="1" si="367"/>
        <v>0</v>
      </c>
      <c r="AB541" s="358">
        <f t="shared" ca="1" si="367"/>
        <v>0</v>
      </c>
      <c r="AC541" s="358">
        <f t="shared" ca="1" si="367"/>
        <v>0</v>
      </c>
      <c r="AD541" s="358">
        <f t="shared" ca="1" si="367"/>
        <v>0</v>
      </c>
      <c r="AE541" s="358">
        <f t="shared" ca="1" si="367"/>
        <v>0</v>
      </c>
      <c r="AF541" s="358">
        <f t="shared" ca="1" si="367"/>
        <v>0</v>
      </c>
      <c r="AG541" s="358">
        <f t="shared" ca="1" si="367"/>
        <v>0</v>
      </c>
      <c r="AH541" s="358">
        <f t="shared" ca="1" si="367"/>
        <v>0</v>
      </c>
      <c r="AI541" s="358">
        <f t="shared" ca="1" si="367"/>
        <v>0</v>
      </c>
      <c r="AJ541" s="358">
        <f t="shared" ca="1" si="367"/>
        <v>0</v>
      </c>
      <c r="AK541" s="358">
        <f t="shared" ca="1" si="368"/>
        <v>0</v>
      </c>
      <c r="AL541" s="358">
        <f t="shared" ca="1" si="368"/>
        <v>0</v>
      </c>
      <c r="AM541" s="358">
        <f t="shared" ca="1" si="368"/>
        <v>0</v>
      </c>
      <c r="AN541" s="358">
        <f t="shared" ca="1" si="368"/>
        <v>0</v>
      </c>
      <c r="AO541" s="358">
        <f t="shared" ca="1" si="368"/>
        <v>0</v>
      </c>
      <c r="AP541" s="358">
        <f t="shared" ca="1" si="368"/>
        <v>0</v>
      </c>
      <c r="AQ541" s="358">
        <f t="shared" ca="1" si="368"/>
        <v>0</v>
      </c>
      <c r="AR541" s="358">
        <f t="shared" ca="1" si="368"/>
        <v>0</v>
      </c>
      <c r="AS541" s="358">
        <f t="shared" ca="1" si="368"/>
        <v>0</v>
      </c>
      <c r="AT541" s="358">
        <f t="shared" ca="1" si="368"/>
        <v>0</v>
      </c>
      <c r="AV541" s="358">
        <f t="shared" ca="1" si="353"/>
        <v>0</v>
      </c>
      <c r="AX541" s="358">
        <f t="shared" ca="1" si="354"/>
        <v>0</v>
      </c>
      <c r="AZ541" s="358">
        <f t="shared" ca="1" si="355"/>
        <v>0</v>
      </c>
      <c r="BB541" s="358">
        <f t="shared" ca="1" si="356"/>
        <v>0</v>
      </c>
      <c r="BD541" s="358">
        <f t="shared" ca="1" si="357"/>
        <v>0</v>
      </c>
      <c r="BF541" s="358">
        <f t="shared" ca="1" si="358"/>
        <v>0</v>
      </c>
      <c r="BH541" s="358">
        <f t="shared" ca="1" si="359"/>
        <v>0</v>
      </c>
    </row>
    <row r="542" spans="1:60" hidden="1" outlineLevel="1">
      <c r="A542" s="1464">
        <f t="shared" si="369"/>
        <v>18</v>
      </c>
      <c r="B542" s="1464">
        <f t="shared" si="370"/>
        <v>37</v>
      </c>
      <c r="C542" s="1464">
        <f t="shared" si="371"/>
        <v>10</v>
      </c>
      <c r="D542" s="1271" t="str">
        <f ca="1">IF(OFFSET(PortfolioDashboard!$A$3,C542-1,0)="","Blank",OFFSET(PortfolioDashboard!$A$3,C542-1,0))</f>
        <v>Reduced Automobile Reliance Strategies</v>
      </c>
      <c r="E542" s="1464" t="str">
        <f t="shared" si="372"/>
        <v>2010$</v>
      </c>
      <c r="F542" s="1460">
        <f t="shared" ca="1" si="344"/>
        <v>-2165760.9658617252</v>
      </c>
      <c r="G542" s="358">
        <f t="shared" ca="1" si="365"/>
        <v>0</v>
      </c>
      <c r="H542" s="358">
        <f t="shared" ca="1" si="365"/>
        <v>0</v>
      </c>
      <c r="I542" s="358">
        <f t="shared" ca="1" si="365"/>
        <v>-102475</v>
      </c>
      <c r="J542" s="358">
        <f t="shared" ca="1" si="365"/>
        <v>-104950</v>
      </c>
      <c r="K542" s="358">
        <f t="shared" ca="1" si="365"/>
        <v>-107425</v>
      </c>
      <c r="L542" s="358">
        <f t="shared" ca="1" si="365"/>
        <v>-109900</v>
      </c>
      <c r="M542" s="358">
        <f t="shared" ca="1" si="365"/>
        <v>-112375</v>
      </c>
      <c r="N542" s="358">
        <f t="shared" ca="1" si="365"/>
        <v>-164850</v>
      </c>
      <c r="O542" s="358">
        <f t="shared" ca="1" si="365"/>
        <v>-167325</v>
      </c>
      <c r="P542" s="358">
        <f t="shared" ca="1" si="365"/>
        <v>-169800</v>
      </c>
      <c r="Q542" s="358">
        <f t="shared" ca="1" si="366"/>
        <v>-172275</v>
      </c>
      <c r="R542" s="358">
        <f t="shared" ca="1" si="366"/>
        <v>-174750</v>
      </c>
      <c r="S542" s="358">
        <f t="shared" ca="1" si="366"/>
        <v>-174750</v>
      </c>
      <c r="T542" s="358">
        <f t="shared" ca="1" si="366"/>
        <v>-174750</v>
      </c>
      <c r="U542" s="358">
        <f t="shared" ca="1" si="366"/>
        <v>-174750</v>
      </c>
      <c r="V542" s="358">
        <f t="shared" ca="1" si="366"/>
        <v>-174750</v>
      </c>
      <c r="W542" s="358">
        <f t="shared" ca="1" si="366"/>
        <v>-174750</v>
      </c>
      <c r="X542" s="358">
        <f t="shared" ca="1" si="366"/>
        <v>-174750</v>
      </c>
      <c r="Y542" s="358">
        <f t="shared" ca="1" si="366"/>
        <v>-174750</v>
      </c>
      <c r="Z542" s="358">
        <f t="shared" ca="1" si="366"/>
        <v>-174750</v>
      </c>
      <c r="AA542" s="358">
        <f t="shared" ca="1" si="367"/>
        <v>-174750</v>
      </c>
      <c r="AB542" s="358">
        <f t="shared" ca="1" si="367"/>
        <v>-174750</v>
      </c>
      <c r="AC542" s="358">
        <f t="shared" ca="1" si="367"/>
        <v>-174750</v>
      </c>
      <c r="AD542" s="358">
        <f t="shared" ca="1" si="367"/>
        <v>-174750</v>
      </c>
      <c r="AE542" s="358">
        <f t="shared" ca="1" si="367"/>
        <v>-174750</v>
      </c>
      <c r="AF542" s="358">
        <f t="shared" ca="1" si="367"/>
        <v>-174750</v>
      </c>
      <c r="AG542" s="358">
        <f t="shared" ca="1" si="367"/>
        <v>-174750</v>
      </c>
      <c r="AH542" s="358">
        <f t="shared" ca="1" si="367"/>
        <v>-174750</v>
      </c>
      <c r="AI542" s="358">
        <f t="shared" ca="1" si="367"/>
        <v>-174750</v>
      </c>
      <c r="AJ542" s="358">
        <f t="shared" ca="1" si="367"/>
        <v>-174750</v>
      </c>
      <c r="AK542" s="358">
        <f t="shared" ca="1" si="368"/>
        <v>-174750</v>
      </c>
      <c r="AL542" s="358">
        <f t="shared" ca="1" si="368"/>
        <v>-174750</v>
      </c>
      <c r="AM542" s="358">
        <f t="shared" ca="1" si="368"/>
        <v>-174750</v>
      </c>
      <c r="AN542" s="358">
        <f t="shared" ca="1" si="368"/>
        <v>-174750</v>
      </c>
      <c r="AO542" s="358">
        <f t="shared" ca="1" si="368"/>
        <v>-174750</v>
      </c>
      <c r="AP542" s="358">
        <f t="shared" ca="1" si="368"/>
        <v>-174750</v>
      </c>
      <c r="AQ542" s="358">
        <f t="shared" ca="1" si="368"/>
        <v>-174750</v>
      </c>
      <c r="AR542" s="358">
        <f t="shared" ca="1" si="368"/>
        <v>-174750</v>
      </c>
      <c r="AS542" s="358">
        <f t="shared" ca="1" si="368"/>
        <v>-174750</v>
      </c>
      <c r="AT542" s="358">
        <f t="shared" ca="1" si="368"/>
        <v>-174750</v>
      </c>
      <c r="AV542" s="358">
        <f t="shared" ca="1" si="353"/>
        <v>-724250</v>
      </c>
      <c r="AX542" s="358">
        <f t="shared" ca="1" si="354"/>
        <v>-871275</v>
      </c>
      <c r="AZ542" s="358">
        <f t="shared" ca="1" si="355"/>
        <v>-873750</v>
      </c>
      <c r="BB542" s="358">
        <f t="shared" ca="1" si="356"/>
        <v>-873750</v>
      </c>
      <c r="BD542" s="358">
        <f t="shared" ca="1" si="357"/>
        <v>-873750</v>
      </c>
      <c r="BF542" s="358">
        <f t="shared" ca="1" si="358"/>
        <v>-873750</v>
      </c>
      <c r="BH542" s="358">
        <f t="shared" ca="1" si="359"/>
        <v>-873750</v>
      </c>
    </row>
    <row r="543" spans="1:60" hidden="1" outlineLevel="1">
      <c r="A543" s="1464">
        <f t="shared" si="369"/>
        <v>18</v>
      </c>
      <c r="B543" s="1464">
        <f t="shared" si="370"/>
        <v>37</v>
      </c>
      <c r="C543" s="1464">
        <f t="shared" si="371"/>
        <v>11</v>
      </c>
      <c r="D543" s="1271" t="str">
        <f ca="1">IF(OFFSET(PortfolioDashboard!$A$3,C543-1,0)="","Blank",OFFSET(PortfolioDashboard!$A$3,C543-1,0))</f>
        <v>Waste Reduction</v>
      </c>
      <c r="E543" s="1464" t="str">
        <f t="shared" si="372"/>
        <v>2010$</v>
      </c>
      <c r="F543" s="1460">
        <f t="shared" ca="1" si="344"/>
        <v>-69780.657689482905</v>
      </c>
      <c r="G543" s="358">
        <f t="shared" ref="G543:P552" ca="1" si="373">IFERROR(OFFSET(INDIRECT(INDEX(List_of_Alternatives,MATCH($D543,NameofAlternatives,0))),$A543+G$1-$G$1,$B543),0)</f>
        <v>0</v>
      </c>
      <c r="H543" s="358">
        <f t="shared" ca="1" si="373"/>
        <v>0</v>
      </c>
      <c r="I543" s="358">
        <f t="shared" ca="1" si="373"/>
        <v>-5000</v>
      </c>
      <c r="J543" s="358">
        <f t="shared" ca="1" si="373"/>
        <v>-5000</v>
      </c>
      <c r="K543" s="358">
        <f t="shared" ca="1" si="373"/>
        <v>-5000</v>
      </c>
      <c r="L543" s="358">
        <f t="shared" ca="1" si="373"/>
        <v>-5000</v>
      </c>
      <c r="M543" s="358">
        <f t="shared" ca="1" si="373"/>
        <v>-5000</v>
      </c>
      <c r="N543" s="358">
        <f t="shared" ca="1" si="373"/>
        <v>-5000</v>
      </c>
      <c r="O543" s="358">
        <f t="shared" ca="1" si="373"/>
        <v>-5000</v>
      </c>
      <c r="P543" s="358">
        <f t="shared" ca="1" si="373"/>
        <v>-5000</v>
      </c>
      <c r="Q543" s="358">
        <f t="shared" ref="Q543:Z552" ca="1" si="374">IFERROR(OFFSET(INDIRECT(INDEX(List_of_Alternatives,MATCH($D543,NameofAlternatives,0))),$A543+Q$1-$G$1,$B543),0)</f>
        <v>-5000</v>
      </c>
      <c r="R543" s="358">
        <f t="shared" ca="1" si="374"/>
        <v>-5000</v>
      </c>
      <c r="S543" s="358">
        <f t="shared" ca="1" si="374"/>
        <v>-5000</v>
      </c>
      <c r="T543" s="358">
        <f t="shared" ca="1" si="374"/>
        <v>-5000</v>
      </c>
      <c r="U543" s="358">
        <f t="shared" ca="1" si="374"/>
        <v>-5000</v>
      </c>
      <c r="V543" s="358">
        <f t="shared" ca="1" si="374"/>
        <v>-5000</v>
      </c>
      <c r="W543" s="358">
        <f t="shared" ca="1" si="374"/>
        <v>-5000</v>
      </c>
      <c r="X543" s="358">
        <f t="shared" ca="1" si="374"/>
        <v>-5000</v>
      </c>
      <c r="Y543" s="358">
        <f t="shared" ca="1" si="374"/>
        <v>-5000</v>
      </c>
      <c r="Z543" s="358">
        <f t="shared" ca="1" si="374"/>
        <v>-5000</v>
      </c>
      <c r="AA543" s="358">
        <f t="shared" ref="AA543:AJ552" ca="1" si="375">IFERROR(OFFSET(INDIRECT(INDEX(List_of_Alternatives,MATCH($D543,NameofAlternatives,0))),$A543+AA$1-$G$1,$B543),0)</f>
        <v>-5000</v>
      </c>
      <c r="AB543" s="358">
        <f t="shared" ca="1" si="375"/>
        <v>-5000</v>
      </c>
      <c r="AC543" s="358">
        <f t="shared" ca="1" si="375"/>
        <v>-5000</v>
      </c>
      <c r="AD543" s="358">
        <f t="shared" ca="1" si="375"/>
        <v>-5000</v>
      </c>
      <c r="AE543" s="358">
        <f t="shared" ca="1" si="375"/>
        <v>-5000</v>
      </c>
      <c r="AF543" s="358">
        <f t="shared" ca="1" si="375"/>
        <v>-5000</v>
      </c>
      <c r="AG543" s="358">
        <f t="shared" ca="1" si="375"/>
        <v>-5000</v>
      </c>
      <c r="AH543" s="358">
        <f t="shared" ca="1" si="375"/>
        <v>-5000</v>
      </c>
      <c r="AI543" s="358">
        <f t="shared" ca="1" si="375"/>
        <v>-5000</v>
      </c>
      <c r="AJ543" s="358">
        <f t="shared" ca="1" si="375"/>
        <v>-5000</v>
      </c>
      <c r="AK543" s="358">
        <f t="shared" ref="AK543:AT552" ca="1" si="376">IFERROR(OFFSET(INDIRECT(INDEX(List_of_Alternatives,MATCH($D543,NameofAlternatives,0))),$A543+AK$1-$G$1,$B543),0)</f>
        <v>-5000</v>
      </c>
      <c r="AL543" s="358">
        <f t="shared" ca="1" si="376"/>
        <v>-5000</v>
      </c>
      <c r="AM543" s="358">
        <f t="shared" ca="1" si="376"/>
        <v>-5000</v>
      </c>
      <c r="AN543" s="358">
        <f t="shared" ca="1" si="376"/>
        <v>-5000</v>
      </c>
      <c r="AO543" s="358">
        <f t="shared" ca="1" si="376"/>
        <v>-5000</v>
      </c>
      <c r="AP543" s="358">
        <f t="shared" ca="1" si="376"/>
        <v>-5000</v>
      </c>
      <c r="AQ543" s="358">
        <f t="shared" ca="1" si="376"/>
        <v>-5000</v>
      </c>
      <c r="AR543" s="358">
        <f t="shared" ca="1" si="376"/>
        <v>-5000</v>
      </c>
      <c r="AS543" s="358">
        <f t="shared" ca="1" si="376"/>
        <v>-5000</v>
      </c>
      <c r="AT543" s="358">
        <f t="shared" ca="1" si="376"/>
        <v>-5000</v>
      </c>
      <c r="AV543" s="358">
        <f t="shared" ca="1" si="353"/>
        <v>-25000</v>
      </c>
      <c r="AX543" s="358">
        <f t="shared" ca="1" si="354"/>
        <v>-25000</v>
      </c>
      <c r="AZ543" s="358">
        <f t="shared" ca="1" si="355"/>
        <v>-25000</v>
      </c>
      <c r="BB543" s="358">
        <f t="shared" ca="1" si="356"/>
        <v>-25000</v>
      </c>
      <c r="BD543" s="358">
        <f t="shared" ca="1" si="357"/>
        <v>-25000</v>
      </c>
      <c r="BF543" s="358">
        <f t="shared" ca="1" si="358"/>
        <v>-25000</v>
      </c>
      <c r="BH543" s="358">
        <f t="shared" ca="1" si="359"/>
        <v>-25000</v>
      </c>
    </row>
    <row r="544" spans="1:60" hidden="1" outlineLevel="1">
      <c r="A544" s="1464">
        <f t="shared" si="369"/>
        <v>18</v>
      </c>
      <c r="B544" s="1464">
        <f t="shared" si="370"/>
        <v>37</v>
      </c>
      <c r="C544" s="1464">
        <f t="shared" si="371"/>
        <v>12</v>
      </c>
      <c r="D544" s="1271" t="str">
        <f ca="1">IF(OFFSET(PortfolioDashboard!$A$3,C544-1,0)="","Blank",OFFSET(PortfolioDashboard!$A$3,C544-1,0))</f>
        <v>Steam Line Improvements</v>
      </c>
      <c r="E544" s="1464" t="str">
        <f t="shared" si="372"/>
        <v>2010$</v>
      </c>
      <c r="F544" s="1460">
        <f t="shared" ca="1" si="344"/>
        <v>0</v>
      </c>
      <c r="G544" s="358">
        <f t="shared" ca="1" si="373"/>
        <v>0</v>
      </c>
      <c r="H544" s="358">
        <f t="shared" ca="1" si="373"/>
        <v>0</v>
      </c>
      <c r="I544" s="358">
        <f t="shared" ca="1" si="373"/>
        <v>0</v>
      </c>
      <c r="J544" s="358">
        <f t="shared" ca="1" si="373"/>
        <v>0</v>
      </c>
      <c r="K544" s="358">
        <f t="shared" ca="1" si="373"/>
        <v>0</v>
      </c>
      <c r="L544" s="358">
        <f t="shared" ca="1" si="373"/>
        <v>0</v>
      </c>
      <c r="M544" s="358">
        <f t="shared" ca="1" si="373"/>
        <v>0</v>
      </c>
      <c r="N544" s="358">
        <f t="shared" ca="1" si="373"/>
        <v>0</v>
      </c>
      <c r="O544" s="358">
        <f t="shared" ca="1" si="373"/>
        <v>0</v>
      </c>
      <c r="P544" s="358">
        <f t="shared" ca="1" si="373"/>
        <v>0</v>
      </c>
      <c r="Q544" s="358">
        <f t="shared" ca="1" si="374"/>
        <v>0</v>
      </c>
      <c r="R544" s="358">
        <f t="shared" ca="1" si="374"/>
        <v>0</v>
      </c>
      <c r="S544" s="358">
        <f t="shared" ca="1" si="374"/>
        <v>0</v>
      </c>
      <c r="T544" s="358">
        <f t="shared" ca="1" si="374"/>
        <v>0</v>
      </c>
      <c r="U544" s="358">
        <f t="shared" ca="1" si="374"/>
        <v>0</v>
      </c>
      <c r="V544" s="358">
        <f t="shared" ca="1" si="374"/>
        <v>0</v>
      </c>
      <c r="W544" s="358">
        <f t="shared" ca="1" si="374"/>
        <v>0</v>
      </c>
      <c r="X544" s="358">
        <f t="shared" ca="1" si="374"/>
        <v>0</v>
      </c>
      <c r="Y544" s="358">
        <f t="shared" ca="1" si="374"/>
        <v>0</v>
      </c>
      <c r="Z544" s="358">
        <f t="shared" ca="1" si="374"/>
        <v>0</v>
      </c>
      <c r="AA544" s="358">
        <f t="shared" ca="1" si="375"/>
        <v>0</v>
      </c>
      <c r="AB544" s="358">
        <f t="shared" ca="1" si="375"/>
        <v>0</v>
      </c>
      <c r="AC544" s="358">
        <f t="shared" ca="1" si="375"/>
        <v>0</v>
      </c>
      <c r="AD544" s="358">
        <f t="shared" ca="1" si="375"/>
        <v>0</v>
      </c>
      <c r="AE544" s="358">
        <f t="shared" ca="1" si="375"/>
        <v>0</v>
      </c>
      <c r="AF544" s="358">
        <f t="shared" ca="1" si="375"/>
        <v>0</v>
      </c>
      <c r="AG544" s="358">
        <f t="shared" ca="1" si="375"/>
        <v>0</v>
      </c>
      <c r="AH544" s="358">
        <f t="shared" ca="1" si="375"/>
        <v>0</v>
      </c>
      <c r="AI544" s="358">
        <f t="shared" ca="1" si="375"/>
        <v>0</v>
      </c>
      <c r="AJ544" s="358">
        <f t="shared" ca="1" si="375"/>
        <v>0</v>
      </c>
      <c r="AK544" s="358">
        <f t="shared" ca="1" si="376"/>
        <v>0</v>
      </c>
      <c r="AL544" s="358">
        <f t="shared" ca="1" si="376"/>
        <v>0</v>
      </c>
      <c r="AM544" s="358">
        <f t="shared" ca="1" si="376"/>
        <v>0</v>
      </c>
      <c r="AN544" s="358">
        <f t="shared" ca="1" si="376"/>
        <v>0</v>
      </c>
      <c r="AO544" s="358">
        <f t="shared" ca="1" si="376"/>
        <v>0</v>
      </c>
      <c r="AP544" s="358">
        <f t="shared" ca="1" si="376"/>
        <v>0</v>
      </c>
      <c r="AQ544" s="358">
        <f t="shared" ca="1" si="376"/>
        <v>0</v>
      </c>
      <c r="AR544" s="358">
        <f t="shared" ca="1" si="376"/>
        <v>0</v>
      </c>
      <c r="AS544" s="358">
        <f t="shared" ca="1" si="376"/>
        <v>0</v>
      </c>
      <c r="AT544" s="358">
        <f t="shared" ca="1" si="376"/>
        <v>0</v>
      </c>
      <c r="AV544" s="358">
        <f t="shared" ca="1" si="353"/>
        <v>0</v>
      </c>
      <c r="AX544" s="358">
        <f t="shared" ca="1" si="354"/>
        <v>0</v>
      </c>
      <c r="AZ544" s="358">
        <f t="shared" ca="1" si="355"/>
        <v>0</v>
      </c>
      <c r="BB544" s="358">
        <f t="shared" ca="1" si="356"/>
        <v>0</v>
      </c>
      <c r="BD544" s="358">
        <f t="shared" ca="1" si="357"/>
        <v>0</v>
      </c>
      <c r="BF544" s="358">
        <f t="shared" ca="1" si="358"/>
        <v>0</v>
      </c>
      <c r="BH544" s="358">
        <f t="shared" ca="1" si="359"/>
        <v>0</v>
      </c>
    </row>
    <row r="545" spans="1:60" hidden="1" outlineLevel="1">
      <c r="A545" s="1464">
        <f t="shared" si="369"/>
        <v>18</v>
      </c>
      <c r="B545" s="1464">
        <f t="shared" si="370"/>
        <v>37</v>
      </c>
      <c r="C545" s="1464">
        <f t="shared" si="371"/>
        <v>13</v>
      </c>
      <c r="D545" s="1271" t="str">
        <f ca="1">IF(OFFSET(PortfolioDashboard!$A$3,C545-1,0)="","Blank",OFFSET(PortfolioDashboard!$A$3,C545-1,0))</f>
        <v>Coal to Natural Gas Conversion @ Steam Plant</v>
      </c>
      <c r="E545" s="1464" t="str">
        <f t="shared" si="372"/>
        <v>2010$</v>
      </c>
      <c r="F545" s="1460">
        <f t="shared" ca="1" si="344"/>
        <v>0</v>
      </c>
      <c r="G545" s="358">
        <f t="shared" ca="1" si="373"/>
        <v>0</v>
      </c>
      <c r="H545" s="358">
        <f t="shared" ca="1" si="373"/>
        <v>0</v>
      </c>
      <c r="I545" s="358">
        <f t="shared" ca="1" si="373"/>
        <v>0</v>
      </c>
      <c r="J545" s="358">
        <f t="shared" ca="1" si="373"/>
        <v>0</v>
      </c>
      <c r="K545" s="358">
        <f t="shared" ca="1" si="373"/>
        <v>0</v>
      </c>
      <c r="L545" s="358">
        <f t="shared" ca="1" si="373"/>
        <v>0</v>
      </c>
      <c r="M545" s="358">
        <f t="shared" ca="1" si="373"/>
        <v>0</v>
      </c>
      <c r="N545" s="358">
        <f t="shared" ca="1" si="373"/>
        <v>0</v>
      </c>
      <c r="O545" s="358">
        <f t="shared" ca="1" si="373"/>
        <v>0</v>
      </c>
      <c r="P545" s="358">
        <f t="shared" ca="1" si="373"/>
        <v>0</v>
      </c>
      <c r="Q545" s="358">
        <f t="shared" ca="1" si="374"/>
        <v>0</v>
      </c>
      <c r="R545" s="358">
        <f t="shared" ca="1" si="374"/>
        <v>0</v>
      </c>
      <c r="S545" s="358">
        <f t="shared" ca="1" si="374"/>
        <v>0</v>
      </c>
      <c r="T545" s="358">
        <f t="shared" ca="1" si="374"/>
        <v>0</v>
      </c>
      <c r="U545" s="358">
        <f t="shared" ca="1" si="374"/>
        <v>0</v>
      </c>
      <c r="V545" s="358">
        <f t="shared" ca="1" si="374"/>
        <v>0</v>
      </c>
      <c r="W545" s="358">
        <f t="shared" ca="1" si="374"/>
        <v>0</v>
      </c>
      <c r="X545" s="358">
        <f t="shared" ca="1" si="374"/>
        <v>0</v>
      </c>
      <c r="Y545" s="358">
        <f t="shared" ca="1" si="374"/>
        <v>0</v>
      </c>
      <c r="Z545" s="358">
        <f t="shared" ca="1" si="374"/>
        <v>0</v>
      </c>
      <c r="AA545" s="358">
        <f t="shared" ca="1" si="375"/>
        <v>0</v>
      </c>
      <c r="AB545" s="358">
        <f t="shared" ca="1" si="375"/>
        <v>0</v>
      </c>
      <c r="AC545" s="358">
        <f t="shared" ca="1" si="375"/>
        <v>0</v>
      </c>
      <c r="AD545" s="358">
        <f t="shared" ca="1" si="375"/>
        <v>0</v>
      </c>
      <c r="AE545" s="358">
        <f t="shared" ca="1" si="375"/>
        <v>0</v>
      </c>
      <c r="AF545" s="358">
        <f t="shared" ca="1" si="375"/>
        <v>0</v>
      </c>
      <c r="AG545" s="358">
        <f t="shared" ca="1" si="375"/>
        <v>0</v>
      </c>
      <c r="AH545" s="358">
        <f t="shared" ca="1" si="375"/>
        <v>0</v>
      </c>
      <c r="AI545" s="358">
        <f t="shared" ca="1" si="375"/>
        <v>0</v>
      </c>
      <c r="AJ545" s="358">
        <f t="shared" ca="1" si="375"/>
        <v>0</v>
      </c>
      <c r="AK545" s="358">
        <f t="shared" ca="1" si="376"/>
        <v>0</v>
      </c>
      <c r="AL545" s="358">
        <f t="shared" ca="1" si="376"/>
        <v>0</v>
      </c>
      <c r="AM545" s="358">
        <f t="shared" ca="1" si="376"/>
        <v>0</v>
      </c>
      <c r="AN545" s="358">
        <f t="shared" ca="1" si="376"/>
        <v>0</v>
      </c>
      <c r="AO545" s="358">
        <f t="shared" ca="1" si="376"/>
        <v>0</v>
      </c>
      <c r="AP545" s="358">
        <f t="shared" ca="1" si="376"/>
        <v>0</v>
      </c>
      <c r="AQ545" s="358">
        <f t="shared" ca="1" si="376"/>
        <v>0</v>
      </c>
      <c r="AR545" s="358">
        <f t="shared" ca="1" si="376"/>
        <v>0</v>
      </c>
      <c r="AS545" s="358">
        <f t="shared" ca="1" si="376"/>
        <v>0</v>
      </c>
      <c r="AT545" s="358">
        <f t="shared" ca="1" si="376"/>
        <v>0</v>
      </c>
      <c r="AV545" s="358">
        <f t="shared" ca="1" si="353"/>
        <v>0</v>
      </c>
      <c r="AX545" s="358">
        <f t="shared" ca="1" si="354"/>
        <v>0</v>
      </c>
      <c r="AZ545" s="358">
        <f t="shared" ca="1" si="355"/>
        <v>0</v>
      </c>
      <c r="BB545" s="358">
        <f t="shared" ca="1" si="356"/>
        <v>0</v>
      </c>
      <c r="BD545" s="358">
        <f t="shared" ca="1" si="357"/>
        <v>0</v>
      </c>
      <c r="BF545" s="358">
        <f t="shared" ca="1" si="358"/>
        <v>0</v>
      </c>
      <c r="BH545" s="358">
        <f t="shared" ca="1" si="359"/>
        <v>0</v>
      </c>
    </row>
    <row r="546" spans="1:60" hidden="1" outlineLevel="1">
      <c r="A546" s="1464">
        <f t="shared" si="369"/>
        <v>18</v>
      </c>
      <c r="B546" s="1464">
        <f t="shared" si="370"/>
        <v>37</v>
      </c>
      <c r="C546" s="1464">
        <f t="shared" si="371"/>
        <v>14</v>
      </c>
      <c r="D546" s="1271" t="str">
        <f ca="1">IF(OFFSET(PortfolioDashboard!$A$3,C546-1,0)="","Blank",OFFSET(PortfolioDashboard!$A$3,C546-1,0))</f>
        <v>On-site Wind</v>
      </c>
      <c r="E546" s="1464" t="str">
        <f t="shared" si="372"/>
        <v>2010$</v>
      </c>
      <c r="F546" s="1460">
        <f t="shared" ca="1" si="344"/>
        <v>0</v>
      </c>
      <c r="G546" s="358">
        <f t="shared" ca="1" si="373"/>
        <v>0</v>
      </c>
      <c r="H546" s="358">
        <f t="shared" ca="1" si="373"/>
        <v>0</v>
      </c>
      <c r="I546" s="358">
        <f t="shared" ca="1" si="373"/>
        <v>0</v>
      </c>
      <c r="J546" s="358">
        <f t="shared" ca="1" si="373"/>
        <v>0</v>
      </c>
      <c r="K546" s="358">
        <f t="shared" ca="1" si="373"/>
        <v>0</v>
      </c>
      <c r="L546" s="358">
        <f t="shared" ca="1" si="373"/>
        <v>0</v>
      </c>
      <c r="M546" s="358">
        <f t="shared" ca="1" si="373"/>
        <v>0</v>
      </c>
      <c r="N546" s="358">
        <f t="shared" ca="1" si="373"/>
        <v>0</v>
      </c>
      <c r="O546" s="358">
        <f t="shared" ca="1" si="373"/>
        <v>0</v>
      </c>
      <c r="P546" s="358">
        <f t="shared" ca="1" si="373"/>
        <v>0</v>
      </c>
      <c r="Q546" s="358">
        <f t="shared" ca="1" si="374"/>
        <v>0</v>
      </c>
      <c r="R546" s="358">
        <f t="shared" ca="1" si="374"/>
        <v>0</v>
      </c>
      <c r="S546" s="358">
        <f t="shared" ca="1" si="374"/>
        <v>0</v>
      </c>
      <c r="T546" s="358">
        <f t="shared" ca="1" si="374"/>
        <v>0</v>
      </c>
      <c r="U546" s="358">
        <f t="shared" ca="1" si="374"/>
        <v>0</v>
      </c>
      <c r="V546" s="358">
        <f t="shared" ca="1" si="374"/>
        <v>0</v>
      </c>
      <c r="W546" s="358">
        <f t="shared" ca="1" si="374"/>
        <v>0</v>
      </c>
      <c r="X546" s="358">
        <f t="shared" ca="1" si="374"/>
        <v>0</v>
      </c>
      <c r="Y546" s="358">
        <f t="shared" ca="1" si="374"/>
        <v>0</v>
      </c>
      <c r="Z546" s="358">
        <f t="shared" ca="1" si="374"/>
        <v>0</v>
      </c>
      <c r="AA546" s="358">
        <f t="shared" ca="1" si="375"/>
        <v>0</v>
      </c>
      <c r="AB546" s="358">
        <f t="shared" ca="1" si="375"/>
        <v>0</v>
      </c>
      <c r="AC546" s="358">
        <f t="shared" ca="1" si="375"/>
        <v>0</v>
      </c>
      <c r="AD546" s="358">
        <f t="shared" ca="1" si="375"/>
        <v>0</v>
      </c>
      <c r="AE546" s="358">
        <f t="shared" ca="1" si="375"/>
        <v>0</v>
      </c>
      <c r="AF546" s="358">
        <f t="shared" ca="1" si="375"/>
        <v>0</v>
      </c>
      <c r="AG546" s="358">
        <f t="shared" ca="1" si="375"/>
        <v>0</v>
      </c>
      <c r="AH546" s="358">
        <f t="shared" ca="1" si="375"/>
        <v>0</v>
      </c>
      <c r="AI546" s="358">
        <f t="shared" ca="1" si="375"/>
        <v>0</v>
      </c>
      <c r="AJ546" s="358">
        <f t="shared" ca="1" si="375"/>
        <v>0</v>
      </c>
      <c r="AK546" s="358">
        <f t="shared" ca="1" si="376"/>
        <v>0</v>
      </c>
      <c r="AL546" s="358">
        <f t="shared" ca="1" si="376"/>
        <v>0</v>
      </c>
      <c r="AM546" s="358">
        <f t="shared" ca="1" si="376"/>
        <v>0</v>
      </c>
      <c r="AN546" s="358">
        <f t="shared" ca="1" si="376"/>
        <v>0</v>
      </c>
      <c r="AO546" s="358">
        <f t="shared" ca="1" si="376"/>
        <v>0</v>
      </c>
      <c r="AP546" s="358">
        <f t="shared" ca="1" si="376"/>
        <v>0</v>
      </c>
      <c r="AQ546" s="358">
        <f t="shared" ca="1" si="376"/>
        <v>0</v>
      </c>
      <c r="AR546" s="358">
        <f t="shared" ca="1" si="376"/>
        <v>0</v>
      </c>
      <c r="AS546" s="358">
        <f t="shared" ca="1" si="376"/>
        <v>0</v>
      </c>
      <c r="AT546" s="358">
        <f t="shared" ca="1" si="376"/>
        <v>0</v>
      </c>
      <c r="AV546" s="358">
        <f t="shared" ca="1" si="353"/>
        <v>0</v>
      </c>
      <c r="AX546" s="358">
        <f t="shared" ca="1" si="354"/>
        <v>0</v>
      </c>
      <c r="AZ546" s="358">
        <f t="shared" ca="1" si="355"/>
        <v>0</v>
      </c>
      <c r="BB546" s="358">
        <f t="shared" ca="1" si="356"/>
        <v>0</v>
      </c>
      <c r="BD546" s="358">
        <f t="shared" ca="1" si="357"/>
        <v>0</v>
      </c>
      <c r="BF546" s="358">
        <f t="shared" ca="1" si="358"/>
        <v>0</v>
      </c>
      <c r="BH546" s="358">
        <f t="shared" ca="1" si="359"/>
        <v>0</v>
      </c>
    </row>
    <row r="547" spans="1:60" hidden="1" outlineLevel="1">
      <c r="A547" s="1464">
        <f t="shared" si="369"/>
        <v>18</v>
      </c>
      <c r="B547" s="1464">
        <f t="shared" si="370"/>
        <v>37</v>
      </c>
      <c r="C547" s="1464">
        <f t="shared" si="371"/>
        <v>15</v>
      </c>
      <c r="D547" s="1271" t="str">
        <f ca="1">IF(OFFSET(PortfolioDashboard!$A$3,C547-1,0)="","Blank",OFFSET(PortfolioDashboard!$A$3,C547-1,0))</f>
        <v>Solar DHW</v>
      </c>
      <c r="E547" s="1464" t="str">
        <f t="shared" si="372"/>
        <v>2010$</v>
      </c>
      <c r="F547" s="1460">
        <f t="shared" ca="1" si="344"/>
        <v>0</v>
      </c>
      <c r="G547" s="358">
        <f t="shared" ca="1" si="373"/>
        <v>0</v>
      </c>
      <c r="H547" s="358">
        <f t="shared" ca="1" si="373"/>
        <v>0</v>
      </c>
      <c r="I547" s="358">
        <f t="shared" ca="1" si="373"/>
        <v>0</v>
      </c>
      <c r="J547" s="358">
        <f t="shared" ca="1" si="373"/>
        <v>0</v>
      </c>
      <c r="K547" s="358">
        <f t="shared" ca="1" si="373"/>
        <v>0</v>
      </c>
      <c r="L547" s="358">
        <f t="shared" ca="1" si="373"/>
        <v>0</v>
      </c>
      <c r="M547" s="358">
        <f t="shared" ca="1" si="373"/>
        <v>0</v>
      </c>
      <c r="N547" s="358">
        <f t="shared" ca="1" si="373"/>
        <v>0</v>
      </c>
      <c r="O547" s="358">
        <f t="shared" ca="1" si="373"/>
        <v>0</v>
      </c>
      <c r="P547" s="358">
        <f t="shared" ca="1" si="373"/>
        <v>0</v>
      </c>
      <c r="Q547" s="358">
        <f t="shared" ca="1" si="374"/>
        <v>0</v>
      </c>
      <c r="R547" s="358">
        <f t="shared" ca="1" si="374"/>
        <v>0</v>
      </c>
      <c r="S547" s="358">
        <f t="shared" ca="1" si="374"/>
        <v>0</v>
      </c>
      <c r="T547" s="358">
        <f t="shared" ca="1" si="374"/>
        <v>0</v>
      </c>
      <c r="U547" s="358">
        <f t="shared" ca="1" si="374"/>
        <v>0</v>
      </c>
      <c r="V547" s="358">
        <f t="shared" ca="1" si="374"/>
        <v>0</v>
      </c>
      <c r="W547" s="358">
        <f t="shared" ca="1" si="374"/>
        <v>0</v>
      </c>
      <c r="X547" s="358">
        <f t="shared" ca="1" si="374"/>
        <v>0</v>
      </c>
      <c r="Y547" s="358">
        <f t="shared" ca="1" si="374"/>
        <v>0</v>
      </c>
      <c r="Z547" s="358">
        <f t="shared" ca="1" si="374"/>
        <v>0</v>
      </c>
      <c r="AA547" s="358">
        <f t="shared" ca="1" si="375"/>
        <v>0</v>
      </c>
      <c r="AB547" s="358">
        <f t="shared" ca="1" si="375"/>
        <v>0</v>
      </c>
      <c r="AC547" s="358">
        <f t="shared" ca="1" si="375"/>
        <v>0</v>
      </c>
      <c r="AD547" s="358">
        <f t="shared" ca="1" si="375"/>
        <v>0</v>
      </c>
      <c r="AE547" s="358">
        <f t="shared" ca="1" si="375"/>
        <v>0</v>
      </c>
      <c r="AF547" s="358">
        <f t="shared" ca="1" si="375"/>
        <v>0</v>
      </c>
      <c r="AG547" s="358">
        <f t="shared" ca="1" si="375"/>
        <v>0</v>
      </c>
      <c r="AH547" s="358">
        <f t="shared" ca="1" si="375"/>
        <v>0</v>
      </c>
      <c r="AI547" s="358">
        <f t="shared" ca="1" si="375"/>
        <v>0</v>
      </c>
      <c r="AJ547" s="358">
        <f t="shared" ca="1" si="375"/>
        <v>0</v>
      </c>
      <c r="AK547" s="358">
        <f t="shared" ca="1" si="376"/>
        <v>0</v>
      </c>
      <c r="AL547" s="358">
        <f t="shared" ca="1" si="376"/>
        <v>0</v>
      </c>
      <c r="AM547" s="358">
        <f t="shared" ca="1" si="376"/>
        <v>0</v>
      </c>
      <c r="AN547" s="358">
        <f t="shared" ca="1" si="376"/>
        <v>0</v>
      </c>
      <c r="AO547" s="358">
        <f t="shared" ca="1" si="376"/>
        <v>0</v>
      </c>
      <c r="AP547" s="358">
        <f t="shared" ca="1" si="376"/>
        <v>0</v>
      </c>
      <c r="AQ547" s="358">
        <f t="shared" ca="1" si="376"/>
        <v>0</v>
      </c>
      <c r="AR547" s="358">
        <f t="shared" ca="1" si="376"/>
        <v>0</v>
      </c>
      <c r="AS547" s="358">
        <f t="shared" ca="1" si="376"/>
        <v>0</v>
      </c>
      <c r="AT547" s="358">
        <f t="shared" ca="1" si="376"/>
        <v>0</v>
      </c>
      <c r="AV547" s="358">
        <f t="shared" ca="1" si="353"/>
        <v>0</v>
      </c>
      <c r="AX547" s="358">
        <f t="shared" ca="1" si="354"/>
        <v>0</v>
      </c>
      <c r="AZ547" s="358">
        <f t="shared" ca="1" si="355"/>
        <v>0</v>
      </c>
      <c r="BB547" s="358">
        <f t="shared" ca="1" si="356"/>
        <v>0</v>
      </c>
      <c r="BD547" s="358">
        <f t="shared" ca="1" si="357"/>
        <v>0</v>
      </c>
      <c r="BF547" s="358">
        <f t="shared" ca="1" si="358"/>
        <v>0</v>
      </c>
      <c r="BH547" s="358">
        <f t="shared" ca="1" si="359"/>
        <v>0</v>
      </c>
    </row>
    <row r="548" spans="1:60" hidden="1" outlineLevel="1">
      <c r="A548" s="1464">
        <f t="shared" si="369"/>
        <v>18</v>
      </c>
      <c r="B548" s="1464">
        <f t="shared" si="370"/>
        <v>37</v>
      </c>
      <c r="C548" s="1464">
        <f t="shared" si="371"/>
        <v>16</v>
      </c>
      <c r="D548" s="1271" t="str">
        <f ca="1">IF(OFFSET(PortfolioDashboard!$A$3,C548-1,0)="","Blank",OFFSET(PortfolioDashboard!$A$3,C548-1,0))</f>
        <v>Geo Exchange</v>
      </c>
      <c r="E548" s="1464" t="str">
        <f t="shared" si="372"/>
        <v>2010$</v>
      </c>
      <c r="F548" s="1460">
        <f t="shared" ca="1" si="344"/>
        <v>-369754.75952019216</v>
      </c>
      <c r="G548" s="358">
        <f t="shared" ca="1" si="373"/>
        <v>0</v>
      </c>
      <c r="H548" s="358">
        <f t="shared" ca="1" si="373"/>
        <v>0</v>
      </c>
      <c r="I548" s="358">
        <f t="shared" ca="1" si="373"/>
        <v>0</v>
      </c>
      <c r="J548" s="358">
        <f t="shared" ca="1" si="373"/>
        <v>-15000</v>
      </c>
      <c r="K548" s="358">
        <f t="shared" ca="1" si="373"/>
        <v>-15000</v>
      </c>
      <c r="L548" s="358">
        <f t="shared" ca="1" si="373"/>
        <v>-30000</v>
      </c>
      <c r="M548" s="358">
        <f t="shared" ca="1" si="373"/>
        <v>-30000</v>
      </c>
      <c r="N548" s="358">
        <f t="shared" ca="1" si="373"/>
        <v>-30000</v>
      </c>
      <c r="O548" s="358">
        <f t="shared" ca="1" si="373"/>
        <v>-30000</v>
      </c>
      <c r="P548" s="358">
        <f t="shared" ca="1" si="373"/>
        <v>-30000</v>
      </c>
      <c r="Q548" s="358">
        <f t="shared" ca="1" si="374"/>
        <v>-30000</v>
      </c>
      <c r="R548" s="358">
        <f t="shared" ca="1" si="374"/>
        <v>-30000</v>
      </c>
      <c r="S548" s="358">
        <f t="shared" ca="1" si="374"/>
        <v>-30000</v>
      </c>
      <c r="T548" s="358">
        <f t="shared" ca="1" si="374"/>
        <v>-30000</v>
      </c>
      <c r="U548" s="358">
        <f t="shared" ca="1" si="374"/>
        <v>-30000</v>
      </c>
      <c r="V548" s="358">
        <f t="shared" ca="1" si="374"/>
        <v>-30000</v>
      </c>
      <c r="W548" s="358">
        <f t="shared" ca="1" si="374"/>
        <v>-30000</v>
      </c>
      <c r="X548" s="358">
        <f t="shared" ca="1" si="374"/>
        <v>-30000</v>
      </c>
      <c r="Y548" s="358">
        <f t="shared" ca="1" si="374"/>
        <v>-30000</v>
      </c>
      <c r="Z548" s="358">
        <f t="shared" ca="1" si="374"/>
        <v>-30000</v>
      </c>
      <c r="AA548" s="358">
        <f t="shared" ca="1" si="375"/>
        <v>-30000</v>
      </c>
      <c r="AB548" s="358">
        <f t="shared" ca="1" si="375"/>
        <v>-30000</v>
      </c>
      <c r="AC548" s="358">
        <f t="shared" ca="1" si="375"/>
        <v>-30000</v>
      </c>
      <c r="AD548" s="358">
        <f t="shared" ca="1" si="375"/>
        <v>-30000</v>
      </c>
      <c r="AE548" s="358">
        <f t="shared" ca="1" si="375"/>
        <v>-30000</v>
      </c>
      <c r="AF548" s="358">
        <f t="shared" ca="1" si="375"/>
        <v>-30000</v>
      </c>
      <c r="AG548" s="358">
        <f t="shared" ca="1" si="375"/>
        <v>-30000</v>
      </c>
      <c r="AH548" s="358">
        <f t="shared" ca="1" si="375"/>
        <v>-30000</v>
      </c>
      <c r="AI548" s="358">
        <f t="shared" ca="1" si="375"/>
        <v>-30000</v>
      </c>
      <c r="AJ548" s="358">
        <f t="shared" ca="1" si="375"/>
        <v>-30000</v>
      </c>
      <c r="AK548" s="358">
        <f t="shared" ca="1" si="376"/>
        <v>-30000</v>
      </c>
      <c r="AL548" s="358">
        <f t="shared" ca="1" si="376"/>
        <v>-30000</v>
      </c>
      <c r="AM548" s="358">
        <f t="shared" ca="1" si="376"/>
        <v>-30000</v>
      </c>
      <c r="AN548" s="358">
        <f t="shared" ca="1" si="376"/>
        <v>-30000</v>
      </c>
      <c r="AO548" s="358">
        <f t="shared" ca="1" si="376"/>
        <v>-30000</v>
      </c>
      <c r="AP548" s="358">
        <f t="shared" ca="1" si="376"/>
        <v>-30000</v>
      </c>
      <c r="AQ548" s="358">
        <f t="shared" ca="1" si="376"/>
        <v>-30000</v>
      </c>
      <c r="AR548" s="358">
        <f t="shared" ca="1" si="376"/>
        <v>-30000</v>
      </c>
      <c r="AS548" s="358">
        <f t="shared" ca="1" si="376"/>
        <v>-30000</v>
      </c>
      <c r="AT548" s="358">
        <f t="shared" ca="1" si="376"/>
        <v>-30000</v>
      </c>
      <c r="AV548" s="358">
        <f t="shared" ca="1" si="353"/>
        <v>-150000</v>
      </c>
      <c r="AX548" s="358">
        <f t="shared" ca="1" si="354"/>
        <v>-150000</v>
      </c>
      <c r="AZ548" s="358">
        <f t="shared" ca="1" si="355"/>
        <v>-150000</v>
      </c>
      <c r="BB548" s="358">
        <f t="shared" ca="1" si="356"/>
        <v>-150000</v>
      </c>
      <c r="BD548" s="358">
        <f t="shared" ca="1" si="357"/>
        <v>-150000</v>
      </c>
      <c r="BF548" s="358">
        <f t="shared" ca="1" si="358"/>
        <v>-150000</v>
      </c>
      <c r="BH548" s="358">
        <f t="shared" ca="1" si="359"/>
        <v>-150000</v>
      </c>
    </row>
    <row r="549" spans="1:60" hidden="1" outlineLevel="1">
      <c r="A549" s="1464">
        <f t="shared" si="369"/>
        <v>18</v>
      </c>
      <c r="B549" s="1464">
        <f t="shared" si="370"/>
        <v>37</v>
      </c>
      <c r="C549" s="1464">
        <f t="shared" si="371"/>
        <v>17</v>
      </c>
      <c r="D549" s="1271" t="str">
        <f ca="1">IF(OFFSET(PortfolioDashboard!$A$3,C549-1,0)="","Blank",OFFSET(PortfolioDashboard!$A$3,C549-1,0))</f>
        <v>Rooftop Solar PV</v>
      </c>
      <c r="E549" s="1464" t="str">
        <f t="shared" si="372"/>
        <v>2010$</v>
      </c>
      <c r="F549" s="1460">
        <f t="shared" ca="1" si="344"/>
        <v>0</v>
      </c>
      <c r="G549" s="358">
        <f t="shared" ca="1" si="373"/>
        <v>0</v>
      </c>
      <c r="H549" s="358">
        <f t="shared" ca="1" si="373"/>
        <v>0</v>
      </c>
      <c r="I549" s="358">
        <f t="shared" ca="1" si="373"/>
        <v>0</v>
      </c>
      <c r="J549" s="358">
        <f t="shared" ca="1" si="373"/>
        <v>0</v>
      </c>
      <c r="K549" s="358">
        <f t="shared" ca="1" si="373"/>
        <v>0</v>
      </c>
      <c r="L549" s="358">
        <f t="shared" ca="1" si="373"/>
        <v>0</v>
      </c>
      <c r="M549" s="358">
        <f t="shared" ca="1" si="373"/>
        <v>0</v>
      </c>
      <c r="N549" s="358">
        <f t="shared" ca="1" si="373"/>
        <v>0</v>
      </c>
      <c r="O549" s="358">
        <f t="shared" ca="1" si="373"/>
        <v>0</v>
      </c>
      <c r="P549" s="358">
        <f t="shared" ca="1" si="373"/>
        <v>0</v>
      </c>
      <c r="Q549" s="358">
        <f t="shared" ca="1" si="374"/>
        <v>0</v>
      </c>
      <c r="R549" s="358">
        <f t="shared" ca="1" si="374"/>
        <v>0</v>
      </c>
      <c r="S549" s="358">
        <f t="shared" ca="1" si="374"/>
        <v>0</v>
      </c>
      <c r="T549" s="358">
        <f t="shared" ca="1" si="374"/>
        <v>0</v>
      </c>
      <c r="U549" s="358">
        <f t="shared" ca="1" si="374"/>
        <v>0</v>
      </c>
      <c r="V549" s="358">
        <f t="shared" ca="1" si="374"/>
        <v>0</v>
      </c>
      <c r="W549" s="358">
        <f t="shared" ca="1" si="374"/>
        <v>0</v>
      </c>
      <c r="X549" s="358">
        <f t="shared" ca="1" si="374"/>
        <v>0</v>
      </c>
      <c r="Y549" s="358">
        <f t="shared" ca="1" si="374"/>
        <v>0</v>
      </c>
      <c r="Z549" s="358">
        <f t="shared" ca="1" si="374"/>
        <v>0</v>
      </c>
      <c r="AA549" s="358">
        <f t="shared" ca="1" si="375"/>
        <v>0</v>
      </c>
      <c r="AB549" s="358">
        <f t="shared" ca="1" si="375"/>
        <v>0</v>
      </c>
      <c r="AC549" s="358">
        <f t="shared" ca="1" si="375"/>
        <v>0</v>
      </c>
      <c r="AD549" s="358">
        <f t="shared" ca="1" si="375"/>
        <v>0</v>
      </c>
      <c r="AE549" s="358">
        <f t="shared" ca="1" si="375"/>
        <v>0</v>
      </c>
      <c r="AF549" s="358">
        <f t="shared" ca="1" si="375"/>
        <v>0</v>
      </c>
      <c r="AG549" s="358">
        <f t="shared" ca="1" si="375"/>
        <v>0</v>
      </c>
      <c r="AH549" s="358">
        <f t="shared" ca="1" si="375"/>
        <v>0</v>
      </c>
      <c r="AI549" s="358">
        <f t="shared" ca="1" si="375"/>
        <v>0</v>
      </c>
      <c r="AJ549" s="358">
        <f t="shared" ca="1" si="375"/>
        <v>0</v>
      </c>
      <c r="AK549" s="358">
        <f t="shared" ca="1" si="376"/>
        <v>0</v>
      </c>
      <c r="AL549" s="358">
        <f t="shared" ca="1" si="376"/>
        <v>0</v>
      </c>
      <c r="AM549" s="358">
        <f t="shared" ca="1" si="376"/>
        <v>0</v>
      </c>
      <c r="AN549" s="358">
        <f t="shared" ca="1" si="376"/>
        <v>0</v>
      </c>
      <c r="AO549" s="358">
        <f t="shared" ca="1" si="376"/>
        <v>0</v>
      </c>
      <c r="AP549" s="358">
        <f t="shared" ca="1" si="376"/>
        <v>0</v>
      </c>
      <c r="AQ549" s="358">
        <f t="shared" ca="1" si="376"/>
        <v>0</v>
      </c>
      <c r="AR549" s="358">
        <f t="shared" ca="1" si="376"/>
        <v>0</v>
      </c>
      <c r="AS549" s="358">
        <f t="shared" ca="1" si="376"/>
        <v>0</v>
      </c>
      <c r="AT549" s="358">
        <f t="shared" ca="1" si="376"/>
        <v>0</v>
      </c>
      <c r="AV549" s="358">
        <f t="shared" ca="1" si="353"/>
        <v>0</v>
      </c>
      <c r="AX549" s="358">
        <f t="shared" ca="1" si="354"/>
        <v>0</v>
      </c>
      <c r="AZ549" s="358">
        <f t="shared" ca="1" si="355"/>
        <v>0</v>
      </c>
      <c r="BB549" s="358">
        <f t="shared" ca="1" si="356"/>
        <v>0</v>
      </c>
      <c r="BD549" s="358">
        <f t="shared" ca="1" si="357"/>
        <v>0</v>
      </c>
      <c r="BF549" s="358">
        <f t="shared" ca="1" si="358"/>
        <v>0</v>
      </c>
      <c r="BH549" s="358">
        <f t="shared" ca="1" si="359"/>
        <v>0</v>
      </c>
    </row>
    <row r="550" spans="1:60" hidden="1" outlineLevel="1">
      <c r="A550" s="1464">
        <f t="shared" si="369"/>
        <v>18</v>
      </c>
      <c r="B550" s="1464">
        <f t="shared" si="370"/>
        <v>37</v>
      </c>
      <c r="C550" s="1464">
        <f t="shared" si="371"/>
        <v>18</v>
      </c>
      <c r="D550" s="1271" t="str">
        <f ca="1">IF(OFFSET(PortfolioDashboard!$A$3,C550-1,0)="","Blank",OFFSET(PortfolioDashboard!$A$3,C550-1,0))</f>
        <v>Blank</v>
      </c>
      <c r="E550" s="1464" t="str">
        <f t="shared" si="372"/>
        <v>2010$</v>
      </c>
      <c r="F550" s="1460">
        <f t="shared" ca="1" si="344"/>
        <v>0</v>
      </c>
      <c r="G550" s="358">
        <f t="shared" ca="1" si="373"/>
        <v>0</v>
      </c>
      <c r="H550" s="358">
        <f t="shared" ca="1" si="373"/>
        <v>0</v>
      </c>
      <c r="I550" s="358">
        <f t="shared" ca="1" si="373"/>
        <v>0</v>
      </c>
      <c r="J550" s="358">
        <f t="shared" ca="1" si="373"/>
        <v>0</v>
      </c>
      <c r="K550" s="358">
        <f t="shared" ca="1" si="373"/>
        <v>0</v>
      </c>
      <c r="L550" s="358">
        <f t="shared" ca="1" si="373"/>
        <v>0</v>
      </c>
      <c r="M550" s="358">
        <f t="shared" ca="1" si="373"/>
        <v>0</v>
      </c>
      <c r="N550" s="358">
        <f t="shared" ca="1" si="373"/>
        <v>0</v>
      </c>
      <c r="O550" s="358">
        <f t="shared" ca="1" si="373"/>
        <v>0</v>
      </c>
      <c r="P550" s="358">
        <f t="shared" ca="1" si="373"/>
        <v>0</v>
      </c>
      <c r="Q550" s="358">
        <f t="shared" ca="1" si="374"/>
        <v>0</v>
      </c>
      <c r="R550" s="358">
        <f t="shared" ca="1" si="374"/>
        <v>0</v>
      </c>
      <c r="S550" s="358">
        <f t="shared" ca="1" si="374"/>
        <v>0</v>
      </c>
      <c r="T550" s="358">
        <f t="shared" ca="1" si="374"/>
        <v>0</v>
      </c>
      <c r="U550" s="358">
        <f t="shared" ca="1" si="374"/>
        <v>0</v>
      </c>
      <c r="V550" s="358">
        <f t="shared" ca="1" si="374"/>
        <v>0</v>
      </c>
      <c r="W550" s="358">
        <f t="shared" ca="1" si="374"/>
        <v>0</v>
      </c>
      <c r="X550" s="358">
        <f t="shared" ca="1" si="374"/>
        <v>0</v>
      </c>
      <c r="Y550" s="358">
        <f t="shared" ca="1" si="374"/>
        <v>0</v>
      </c>
      <c r="Z550" s="358">
        <f t="shared" ca="1" si="374"/>
        <v>0</v>
      </c>
      <c r="AA550" s="358">
        <f t="shared" ca="1" si="375"/>
        <v>0</v>
      </c>
      <c r="AB550" s="358">
        <f t="shared" ca="1" si="375"/>
        <v>0</v>
      </c>
      <c r="AC550" s="358">
        <f t="shared" ca="1" si="375"/>
        <v>0</v>
      </c>
      <c r="AD550" s="358">
        <f t="shared" ca="1" si="375"/>
        <v>0</v>
      </c>
      <c r="AE550" s="358">
        <f t="shared" ca="1" si="375"/>
        <v>0</v>
      </c>
      <c r="AF550" s="358">
        <f t="shared" ca="1" si="375"/>
        <v>0</v>
      </c>
      <c r="AG550" s="358">
        <f t="shared" ca="1" si="375"/>
        <v>0</v>
      </c>
      <c r="AH550" s="358">
        <f t="shared" ca="1" si="375"/>
        <v>0</v>
      </c>
      <c r="AI550" s="358">
        <f t="shared" ca="1" si="375"/>
        <v>0</v>
      </c>
      <c r="AJ550" s="358">
        <f t="shared" ca="1" si="375"/>
        <v>0</v>
      </c>
      <c r="AK550" s="358">
        <f t="shared" ca="1" si="376"/>
        <v>0</v>
      </c>
      <c r="AL550" s="358">
        <f t="shared" ca="1" si="376"/>
        <v>0</v>
      </c>
      <c r="AM550" s="358">
        <f t="shared" ca="1" si="376"/>
        <v>0</v>
      </c>
      <c r="AN550" s="358">
        <f t="shared" ca="1" si="376"/>
        <v>0</v>
      </c>
      <c r="AO550" s="358">
        <f t="shared" ca="1" si="376"/>
        <v>0</v>
      </c>
      <c r="AP550" s="358">
        <f t="shared" ca="1" si="376"/>
        <v>0</v>
      </c>
      <c r="AQ550" s="358">
        <f t="shared" ca="1" si="376"/>
        <v>0</v>
      </c>
      <c r="AR550" s="358">
        <f t="shared" ca="1" si="376"/>
        <v>0</v>
      </c>
      <c r="AS550" s="358">
        <f t="shared" ca="1" si="376"/>
        <v>0</v>
      </c>
      <c r="AT550" s="358">
        <f t="shared" ca="1" si="376"/>
        <v>0</v>
      </c>
      <c r="AV550" s="358">
        <f t="shared" ca="1" si="353"/>
        <v>0</v>
      </c>
      <c r="AX550" s="358">
        <f t="shared" ca="1" si="354"/>
        <v>0</v>
      </c>
      <c r="AZ550" s="358">
        <f t="shared" ca="1" si="355"/>
        <v>0</v>
      </c>
      <c r="BB550" s="358">
        <f t="shared" ca="1" si="356"/>
        <v>0</v>
      </c>
      <c r="BD550" s="358">
        <f t="shared" ca="1" si="357"/>
        <v>0</v>
      </c>
      <c r="BF550" s="358">
        <f t="shared" ca="1" si="358"/>
        <v>0</v>
      </c>
      <c r="BH550" s="358">
        <f t="shared" ca="1" si="359"/>
        <v>0</v>
      </c>
    </row>
    <row r="551" spans="1:60" hidden="1" outlineLevel="1">
      <c r="A551" s="1464">
        <f t="shared" si="369"/>
        <v>18</v>
      </c>
      <c r="B551" s="1464">
        <f t="shared" si="370"/>
        <v>37</v>
      </c>
      <c r="C551" s="1464">
        <f t="shared" si="371"/>
        <v>19</v>
      </c>
      <c r="D551" s="1271" t="str">
        <f ca="1">IF(OFFSET(PortfolioDashboard!$A$3,C551-1,0)="","Blank",OFFSET(PortfolioDashboard!$A$3,C551-1,0))</f>
        <v>Blank</v>
      </c>
      <c r="E551" s="1464" t="str">
        <f t="shared" si="372"/>
        <v>2010$</v>
      </c>
      <c r="F551" s="1460">
        <f t="shared" ca="1" si="344"/>
        <v>0</v>
      </c>
      <c r="G551" s="358">
        <f t="shared" ca="1" si="373"/>
        <v>0</v>
      </c>
      <c r="H551" s="358">
        <f t="shared" ca="1" si="373"/>
        <v>0</v>
      </c>
      <c r="I551" s="358">
        <f t="shared" ca="1" si="373"/>
        <v>0</v>
      </c>
      <c r="J551" s="358">
        <f t="shared" ca="1" si="373"/>
        <v>0</v>
      </c>
      <c r="K551" s="358">
        <f t="shared" ca="1" si="373"/>
        <v>0</v>
      </c>
      <c r="L551" s="358">
        <f t="shared" ca="1" si="373"/>
        <v>0</v>
      </c>
      <c r="M551" s="358">
        <f t="shared" ca="1" si="373"/>
        <v>0</v>
      </c>
      <c r="N551" s="358">
        <f t="shared" ca="1" si="373"/>
        <v>0</v>
      </c>
      <c r="O551" s="358">
        <f t="shared" ca="1" si="373"/>
        <v>0</v>
      </c>
      <c r="P551" s="358">
        <f t="shared" ca="1" si="373"/>
        <v>0</v>
      </c>
      <c r="Q551" s="358">
        <f t="shared" ca="1" si="374"/>
        <v>0</v>
      </c>
      <c r="R551" s="358">
        <f t="shared" ca="1" si="374"/>
        <v>0</v>
      </c>
      <c r="S551" s="358">
        <f t="shared" ca="1" si="374"/>
        <v>0</v>
      </c>
      <c r="T551" s="358">
        <f t="shared" ca="1" si="374"/>
        <v>0</v>
      </c>
      <c r="U551" s="358">
        <f t="shared" ca="1" si="374"/>
        <v>0</v>
      </c>
      <c r="V551" s="358">
        <f t="shared" ca="1" si="374"/>
        <v>0</v>
      </c>
      <c r="W551" s="358">
        <f t="shared" ca="1" si="374"/>
        <v>0</v>
      </c>
      <c r="X551" s="358">
        <f t="shared" ca="1" si="374"/>
        <v>0</v>
      </c>
      <c r="Y551" s="358">
        <f t="shared" ca="1" si="374"/>
        <v>0</v>
      </c>
      <c r="Z551" s="358">
        <f t="shared" ca="1" si="374"/>
        <v>0</v>
      </c>
      <c r="AA551" s="358">
        <f t="shared" ca="1" si="375"/>
        <v>0</v>
      </c>
      <c r="AB551" s="358">
        <f t="shared" ca="1" si="375"/>
        <v>0</v>
      </c>
      <c r="AC551" s="358">
        <f t="shared" ca="1" si="375"/>
        <v>0</v>
      </c>
      <c r="AD551" s="358">
        <f t="shared" ca="1" si="375"/>
        <v>0</v>
      </c>
      <c r="AE551" s="358">
        <f t="shared" ca="1" si="375"/>
        <v>0</v>
      </c>
      <c r="AF551" s="358">
        <f t="shared" ca="1" si="375"/>
        <v>0</v>
      </c>
      <c r="AG551" s="358">
        <f t="shared" ca="1" si="375"/>
        <v>0</v>
      </c>
      <c r="AH551" s="358">
        <f t="shared" ca="1" si="375"/>
        <v>0</v>
      </c>
      <c r="AI551" s="358">
        <f t="shared" ca="1" si="375"/>
        <v>0</v>
      </c>
      <c r="AJ551" s="358">
        <f t="shared" ca="1" si="375"/>
        <v>0</v>
      </c>
      <c r="AK551" s="358">
        <f t="shared" ca="1" si="376"/>
        <v>0</v>
      </c>
      <c r="AL551" s="358">
        <f t="shared" ca="1" si="376"/>
        <v>0</v>
      </c>
      <c r="AM551" s="358">
        <f t="shared" ca="1" si="376"/>
        <v>0</v>
      </c>
      <c r="AN551" s="358">
        <f t="shared" ca="1" si="376"/>
        <v>0</v>
      </c>
      <c r="AO551" s="358">
        <f t="shared" ca="1" si="376"/>
        <v>0</v>
      </c>
      <c r="AP551" s="358">
        <f t="shared" ca="1" si="376"/>
        <v>0</v>
      </c>
      <c r="AQ551" s="358">
        <f t="shared" ca="1" si="376"/>
        <v>0</v>
      </c>
      <c r="AR551" s="358">
        <f t="shared" ca="1" si="376"/>
        <v>0</v>
      </c>
      <c r="AS551" s="358">
        <f t="shared" ca="1" si="376"/>
        <v>0</v>
      </c>
      <c r="AT551" s="358">
        <f t="shared" ca="1" si="376"/>
        <v>0</v>
      </c>
      <c r="AV551" s="358">
        <f t="shared" ca="1" si="353"/>
        <v>0</v>
      </c>
      <c r="AX551" s="358">
        <f t="shared" ca="1" si="354"/>
        <v>0</v>
      </c>
      <c r="AZ551" s="358">
        <f t="shared" ca="1" si="355"/>
        <v>0</v>
      </c>
      <c r="BB551" s="358">
        <f t="shared" ca="1" si="356"/>
        <v>0</v>
      </c>
      <c r="BD551" s="358">
        <f t="shared" ca="1" si="357"/>
        <v>0</v>
      </c>
      <c r="BF551" s="358">
        <f t="shared" ca="1" si="358"/>
        <v>0</v>
      </c>
      <c r="BH551" s="358">
        <f t="shared" ca="1" si="359"/>
        <v>0</v>
      </c>
    </row>
    <row r="552" spans="1:60" hidden="1" outlineLevel="1">
      <c r="A552" s="1464">
        <f t="shared" si="369"/>
        <v>18</v>
      </c>
      <c r="B552" s="1464">
        <f t="shared" si="370"/>
        <v>37</v>
      </c>
      <c r="C552" s="1464">
        <f t="shared" si="371"/>
        <v>20</v>
      </c>
      <c r="D552" s="1271" t="str">
        <f ca="1">IF(OFFSET(PortfolioDashboard!$A$3,C552-1,0)="","Blank",OFFSET(PortfolioDashboard!$A$3,C552-1,0))</f>
        <v>Blank</v>
      </c>
      <c r="E552" s="1464" t="str">
        <f t="shared" si="372"/>
        <v>2010$</v>
      </c>
      <c r="F552" s="1460">
        <f t="shared" ca="1" si="344"/>
        <v>0</v>
      </c>
      <c r="G552" s="358">
        <f t="shared" ca="1" si="373"/>
        <v>0</v>
      </c>
      <c r="H552" s="358">
        <f t="shared" ca="1" si="373"/>
        <v>0</v>
      </c>
      <c r="I552" s="358">
        <f t="shared" ca="1" si="373"/>
        <v>0</v>
      </c>
      <c r="J552" s="358">
        <f t="shared" ca="1" si="373"/>
        <v>0</v>
      </c>
      <c r="K552" s="358">
        <f t="shared" ca="1" si="373"/>
        <v>0</v>
      </c>
      <c r="L552" s="358">
        <f t="shared" ca="1" si="373"/>
        <v>0</v>
      </c>
      <c r="M552" s="358">
        <f t="shared" ca="1" si="373"/>
        <v>0</v>
      </c>
      <c r="N552" s="358">
        <f t="shared" ca="1" si="373"/>
        <v>0</v>
      </c>
      <c r="O552" s="358">
        <f t="shared" ca="1" si="373"/>
        <v>0</v>
      </c>
      <c r="P552" s="358">
        <f t="shared" ca="1" si="373"/>
        <v>0</v>
      </c>
      <c r="Q552" s="358">
        <f t="shared" ca="1" si="374"/>
        <v>0</v>
      </c>
      <c r="R552" s="358">
        <f t="shared" ca="1" si="374"/>
        <v>0</v>
      </c>
      <c r="S552" s="358">
        <f t="shared" ca="1" si="374"/>
        <v>0</v>
      </c>
      <c r="T552" s="358">
        <f t="shared" ca="1" si="374"/>
        <v>0</v>
      </c>
      <c r="U552" s="358">
        <f t="shared" ca="1" si="374"/>
        <v>0</v>
      </c>
      <c r="V552" s="358">
        <f t="shared" ca="1" si="374"/>
        <v>0</v>
      </c>
      <c r="W552" s="358">
        <f t="shared" ca="1" si="374"/>
        <v>0</v>
      </c>
      <c r="X552" s="358">
        <f t="shared" ca="1" si="374"/>
        <v>0</v>
      </c>
      <c r="Y552" s="358">
        <f t="shared" ca="1" si="374"/>
        <v>0</v>
      </c>
      <c r="Z552" s="358">
        <f t="shared" ca="1" si="374"/>
        <v>0</v>
      </c>
      <c r="AA552" s="358">
        <f t="shared" ca="1" si="375"/>
        <v>0</v>
      </c>
      <c r="AB552" s="358">
        <f t="shared" ca="1" si="375"/>
        <v>0</v>
      </c>
      <c r="AC552" s="358">
        <f t="shared" ca="1" si="375"/>
        <v>0</v>
      </c>
      <c r="AD552" s="358">
        <f t="shared" ca="1" si="375"/>
        <v>0</v>
      </c>
      <c r="AE552" s="358">
        <f t="shared" ca="1" si="375"/>
        <v>0</v>
      </c>
      <c r="AF552" s="358">
        <f t="shared" ca="1" si="375"/>
        <v>0</v>
      </c>
      <c r="AG552" s="358">
        <f t="shared" ca="1" si="375"/>
        <v>0</v>
      </c>
      <c r="AH552" s="358">
        <f t="shared" ca="1" si="375"/>
        <v>0</v>
      </c>
      <c r="AI552" s="358">
        <f t="shared" ca="1" si="375"/>
        <v>0</v>
      </c>
      <c r="AJ552" s="358">
        <f t="shared" ca="1" si="375"/>
        <v>0</v>
      </c>
      <c r="AK552" s="358">
        <f t="shared" ca="1" si="376"/>
        <v>0</v>
      </c>
      <c r="AL552" s="358">
        <f t="shared" ca="1" si="376"/>
        <v>0</v>
      </c>
      <c r="AM552" s="358">
        <f t="shared" ca="1" si="376"/>
        <v>0</v>
      </c>
      <c r="AN552" s="358">
        <f t="shared" ca="1" si="376"/>
        <v>0</v>
      </c>
      <c r="AO552" s="358">
        <f t="shared" ca="1" si="376"/>
        <v>0</v>
      </c>
      <c r="AP552" s="358">
        <f t="shared" ca="1" si="376"/>
        <v>0</v>
      </c>
      <c r="AQ552" s="358">
        <f t="shared" ca="1" si="376"/>
        <v>0</v>
      </c>
      <c r="AR552" s="358">
        <f t="shared" ca="1" si="376"/>
        <v>0</v>
      </c>
      <c r="AS552" s="358">
        <f t="shared" ca="1" si="376"/>
        <v>0</v>
      </c>
      <c r="AT552" s="358">
        <f t="shared" ca="1" si="376"/>
        <v>0</v>
      </c>
      <c r="AV552" s="358">
        <f t="shared" ca="1" si="353"/>
        <v>0</v>
      </c>
      <c r="AX552" s="358">
        <f t="shared" ca="1" si="354"/>
        <v>0</v>
      </c>
      <c r="AZ552" s="358">
        <f t="shared" ca="1" si="355"/>
        <v>0</v>
      </c>
      <c r="BB552" s="358">
        <f t="shared" ca="1" si="356"/>
        <v>0</v>
      </c>
      <c r="BD552" s="358">
        <f t="shared" ca="1" si="357"/>
        <v>0</v>
      </c>
      <c r="BF552" s="358">
        <f t="shared" ca="1" si="358"/>
        <v>0</v>
      </c>
      <c r="BH552" s="358">
        <f t="shared" ca="1" si="359"/>
        <v>0</v>
      </c>
    </row>
    <row r="553" spans="1:60" hidden="1" outlineLevel="1">
      <c r="A553" s="1464">
        <f t="shared" si="369"/>
        <v>18</v>
      </c>
      <c r="B553" s="1464">
        <f t="shared" si="370"/>
        <v>37</v>
      </c>
      <c r="C553" s="1464">
        <f t="shared" si="371"/>
        <v>21</v>
      </c>
      <c r="D553" s="1271" t="str">
        <f ca="1">IF(OFFSET(PortfolioDashboard!$A$3,C553-1,0)="","Blank",OFFSET(PortfolioDashboard!$A$3,C553-1,0))</f>
        <v>Blank</v>
      </c>
      <c r="E553" s="1464" t="str">
        <f t="shared" si="372"/>
        <v>2010$</v>
      </c>
      <c r="F553" s="1460">
        <f t="shared" ca="1" si="344"/>
        <v>0</v>
      </c>
      <c r="G553" s="358">
        <f t="shared" ref="G553:P560" ca="1" si="377">IFERROR(OFFSET(INDIRECT(INDEX(List_of_Alternatives,MATCH($D553,NameofAlternatives,0))),$A553+G$1-$G$1,$B553),0)</f>
        <v>0</v>
      </c>
      <c r="H553" s="358">
        <f t="shared" ca="1" si="377"/>
        <v>0</v>
      </c>
      <c r="I553" s="358">
        <f t="shared" ca="1" si="377"/>
        <v>0</v>
      </c>
      <c r="J553" s="358">
        <f t="shared" ca="1" si="377"/>
        <v>0</v>
      </c>
      <c r="K553" s="358">
        <f t="shared" ca="1" si="377"/>
        <v>0</v>
      </c>
      <c r="L553" s="358">
        <f t="shared" ca="1" si="377"/>
        <v>0</v>
      </c>
      <c r="M553" s="358">
        <f t="shared" ca="1" si="377"/>
        <v>0</v>
      </c>
      <c r="N553" s="358">
        <f t="shared" ca="1" si="377"/>
        <v>0</v>
      </c>
      <c r="O553" s="358">
        <f t="shared" ca="1" si="377"/>
        <v>0</v>
      </c>
      <c r="P553" s="358">
        <f t="shared" ca="1" si="377"/>
        <v>0</v>
      </c>
      <c r="Q553" s="358">
        <f t="shared" ref="Q553:Z560" ca="1" si="378">IFERROR(OFFSET(INDIRECT(INDEX(List_of_Alternatives,MATCH($D553,NameofAlternatives,0))),$A553+Q$1-$G$1,$B553),0)</f>
        <v>0</v>
      </c>
      <c r="R553" s="358">
        <f t="shared" ca="1" si="378"/>
        <v>0</v>
      </c>
      <c r="S553" s="358">
        <f t="shared" ca="1" si="378"/>
        <v>0</v>
      </c>
      <c r="T553" s="358">
        <f t="shared" ca="1" si="378"/>
        <v>0</v>
      </c>
      <c r="U553" s="358">
        <f t="shared" ca="1" si="378"/>
        <v>0</v>
      </c>
      <c r="V553" s="358">
        <f t="shared" ca="1" si="378"/>
        <v>0</v>
      </c>
      <c r="W553" s="358">
        <f t="shared" ca="1" si="378"/>
        <v>0</v>
      </c>
      <c r="X553" s="358">
        <f t="shared" ca="1" si="378"/>
        <v>0</v>
      </c>
      <c r="Y553" s="358">
        <f t="shared" ca="1" si="378"/>
        <v>0</v>
      </c>
      <c r="Z553" s="358">
        <f t="shared" ca="1" si="378"/>
        <v>0</v>
      </c>
      <c r="AA553" s="358">
        <f t="shared" ref="AA553:AJ560" ca="1" si="379">IFERROR(OFFSET(INDIRECT(INDEX(List_of_Alternatives,MATCH($D553,NameofAlternatives,0))),$A553+AA$1-$G$1,$B553),0)</f>
        <v>0</v>
      </c>
      <c r="AB553" s="358">
        <f t="shared" ca="1" si="379"/>
        <v>0</v>
      </c>
      <c r="AC553" s="358">
        <f t="shared" ca="1" si="379"/>
        <v>0</v>
      </c>
      <c r="AD553" s="358">
        <f t="shared" ca="1" si="379"/>
        <v>0</v>
      </c>
      <c r="AE553" s="358">
        <f t="shared" ca="1" si="379"/>
        <v>0</v>
      </c>
      <c r="AF553" s="358">
        <f t="shared" ca="1" si="379"/>
        <v>0</v>
      </c>
      <c r="AG553" s="358">
        <f t="shared" ca="1" si="379"/>
        <v>0</v>
      </c>
      <c r="AH553" s="358">
        <f t="shared" ca="1" si="379"/>
        <v>0</v>
      </c>
      <c r="AI553" s="358">
        <f t="shared" ca="1" si="379"/>
        <v>0</v>
      </c>
      <c r="AJ553" s="358">
        <f t="shared" ca="1" si="379"/>
        <v>0</v>
      </c>
      <c r="AK553" s="358">
        <f t="shared" ref="AK553:AT560" ca="1" si="380">IFERROR(OFFSET(INDIRECT(INDEX(List_of_Alternatives,MATCH($D553,NameofAlternatives,0))),$A553+AK$1-$G$1,$B553),0)</f>
        <v>0</v>
      </c>
      <c r="AL553" s="358">
        <f t="shared" ca="1" si="380"/>
        <v>0</v>
      </c>
      <c r="AM553" s="358">
        <f t="shared" ca="1" si="380"/>
        <v>0</v>
      </c>
      <c r="AN553" s="358">
        <f t="shared" ca="1" si="380"/>
        <v>0</v>
      </c>
      <c r="AO553" s="358">
        <f t="shared" ca="1" si="380"/>
        <v>0</v>
      </c>
      <c r="AP553" s="358">
        <f t="shared" ca="1" si="380"/>
        <v>0</v>
      </c>
      <c r="AQ553" s="358">
        <f t="shared" ca="1" si="380"/>
        <v>0</v>
      </c>
      <c r="AR553" s="358">
        <f t="shared" ca="1" si="380"/>
        <v>0</v>
      </c>
      <c r="AS553" s="358">
        <f t="shared" ca="1" si="380"/>
        <v>0</v>
      </c>
      <c r="AT553" s="358">
        <f t="shared" ca="1" si="380"/>
        <v>0</v>
      </c>
      <c r="AV553" s="358">
        <f t="shared" ca="1" si="353"/>
        <v>0</v>
      </c>
      <c r="AX553" s="358">
        <f t="shared" ca="1" si="354"/>
        <v>0</v>
      </c>
      <c r="AZ553" s="358">
        <f t="shared" ca="1" si="355"/>
        <v>0</v>
      </c>
      <c r="BB553" s="358">
        <f t="shared" ca="1" si="356"/>
        <v>0</v>
      </c>
      <c r="BD553" s="358">
        <f t="shared" ca="1" si="357"/>
        <v>0</v>
      </c>
      <c r="BF553" s="358">
        <f t="shared" ca="1" si="358"/>
        <v>0</v>
      </c>
      <c r="BH553" s="358">
        <f t="shared" ca="1" si="359"/>
        <v>0</v>
      </c>
    </row>
    <row r="554" spans="1:60" hidden="1" outlineLevel="1">
      <c r="A554" s="1464">
        <f t="shared" si="369"/>
        <v>18</v>
      </c>
      <c r="B554" s="1464">
        <f t="shared" si="370"/>
        <v>37</v>
      </c>
      <c r="C554" s="1464">
        <f t="shared" si="371"/>
        <v>22</v>
      </c>
      <c r="D554" s="1271" t="str">
        <f ca="1">IF(OFFSET(PortfolioDashboard!$A$3,C554-1,0)="","Blank",OFFSET(PortfolioDashboard!$A$3,C554-1,0))</f>
        <v>Blank</v>
      </c>
      <c r="E554" s="1464" t="str">
        <f t="shared" si="372"/>
        <v>2010$</v>
      </c>
      <c r="F554" s="1460">
        <f t="shared" ca="1" si="344"/>
        <v>0</v>
      </c>
      <c r="G554" s="358">
        <f t="shared" ca="1" si="377"/>
        <v>0</v>
      </c>
      <c r="H554" s="358">
        <f t="shared" ca="1" si="377"/>
        <v>0</v>
      </c>
      <c r="I554" s="358">
        <f t="shared" ca="1" si="377"/>
        <v>0</v>
      </c>
      <c r="J554" s="358">
        <f t="shared" ca="1" si="377"/>
        <v>0</v>
      </c>
      <c r="K554" s="358">
        <f t="shared" ca="1" si="377"/>
        <v>0</v>
      </c>
      <c r="L554" s="358">
        <f t="shared" ca="1" si="377"/>
        <v>0</v>
      </c>
      <c r="M554" s="358">
        <f t="shared" ca="1" si="377"/>
        <v>0</v>
      </c>
      <c r="N554" s="358">
        <f t="shared" ca="1" si="377"/>
        <v>0</v>
      </c>
      <c r="O554" s="358">
        <f t="shared" ca="1" si="377"/>
        <v>0</v>
      </c>
      <c r="P554" s="358">
        <f t="shared" ca="1" si="377"/>
        <v>0</v>
      </c>
      <c r="Q554" s="358">
        <f t="shared" ca="1" si="378"/>
        <v>0</v>
      </c>
      <c r="R554" s="358">
        <f t="shared" ca="1" si="378"/>
        <v>0</v>
      </c>
      <c r="S554" s="358">
        <f t="shared" ca="1" si="378"/>
        <v>0</v>
      </c>
      <c r="T554" s="358">
        <f t="shared" ca="1" si="378"/>
        <v>0</v>
      </c>
      <c r="U554" s="358">
        <f t="shared" ca="1" si="378"/>
        <v>0</v>
      </c>
      <c r="V554" s="358">
        <f t="shared" ca="1" si="378"/>
        <v>0</v>
      </c>
      <c r="W554" s="358">
        <f t="shared" ca="1" si="378"/>
        <v>0</v>
      </c>
      <c r="X554" s="358">
        <f t="shared" ca="1" si="378"/>
        <v>0</v>
      </c>
      <c r="Y554" s="358">
        <f t="shared" ca="1" si="378"/>
        <v>0</v>
      </c>
      <c r="Z554" s="358">
        <f t="shared" ca="1" si="378"/>
        <v>0</v>
      </c>
      <c r="AA554" s="358">
        <f t="shared" ca="1" si="379"/>
        <v>0</v>
      </c>
      <c r="AB554" s="358">
        <f t="shared" ca="1" si="379"/>
        <v>0</v>
      </c>
      <c r="AC554" s="358">
        <f t="shared" ca="1" si="379"/>
        <v>0</v>
      </c>
      <c r="AD554" s="358">
        <f t="shared" ca="1" si="379"/>
        <v>0</v>
      </c>
      <c r="AE554" s="358">
        <f t="shared" ca="1" si="379"/>
        <v>0</v>
      </c>
      <c r="AF554" s="358">
        <f t="shared" ca="1" si="379"/>
        <v>0</v>
      </c>
      <c r="AG554" s="358">
        <f t="shared" ca="1" si="379"/>
        <v>0</v>
      </c>
      <c r="AH554" s="358">
        <f t="shared" ca="1" si="379"/>
        <v>0</v>
      </c>
      <c r="AI554" s="358">
        <f t="shared" ca="1" si="379"/>
        <v>0</v>
      </c>
      <c r="AJ554" s="358">
        <f t="shared" ca="1" si="379"/>
        <v>0</v>
      </c>
      <c r="AK554" s="358">
        <f t="shared" ca="1" si="380"/>
        <v>0</v>
      </c>
      <c r="AL554" s="358">
        <f t="shared" ca="1" si="380"/>
        <v>0</v>
      </c>
      <c r="AM554" s="358">
        <f t="shared" ca="1" si="380"/>
        <v>0</v>
      </c>
      <c r="AN554" s="358">
        <f t="shared" ca="1" si="380"/>
        <v>0</v>
      </c>
      <c r="AO554" s="358">
        <f t="shared" ca="1" si="380"/>
        <v>0</v>
      </c>
      <c r="AP554" s="358">
        <f t="shared" ca="1" si="380"/>
        <v>0</v>
      </c>
      <c r="AQ554" s="358">
        <f t="shared" ca="1" si="380"/>
        <v>0</v>
      </c>
      <c r="AR554" s="358">
        <f t="shared" ca="1" si="380"/>
        <v>0</v>
      </c>
      <c r="AS554" s="358">
        <f t="shared" ca="1" si="380"/>
        <v>0</v>
      </c>
      <c r="AT554" s="358">
        <f t="shared" ca="1" si="380"/>
        <v>0</v>
      </c>
      <c r="AV554" s="358">
        <f t="shared" ca="1" si="353"/>
        <v>0</v>
      </c>
      <c r="AX554" s="358">
        <f t="shared" ca="1" si="354"/>
        <v>0</v>
      </c>
      <c r="AZ554" s="358">
        <f t="shared" ca="1" si="355"/>
        <v>0</v>
      </c>
      <c r="BB554" s="358">
        <f t="shared" ca="1" si="356"/>
        <v>0</v>
      </c>
      <c r="BD554" s="358">
        <f t="shared" ca="1" si="357"/>
        <v>0</v>
      </c>
      <c r="BF554" s="358">
        <f t="shared" ca="1" si="358"/>
        <v>0</v>
      </c>
      <c r="BH554" s="358">
        <f t="shared" ca="1" si="359"/>
        <v>0</v>
      </c>
    </row>
    <row r="555" spans="1:60" hidden="1" outlineLevel="1">
      <c r="A555" s="1464">
        <f t="shared" si="369"/>
        <v>18</v>
      </c>
      <c r="B555" s="1464">
        <f t="shared" si="370"/>
        <v>37</v>
      </c>
      <c r="C555" s="1464">
        <f t="shared" si="371"/>
        <v>23</v>
      </c>
      <c r="D555" s="1271" t="str">
        <f ca="1">IF(OFFSET(PortfolioDashboard!$A$3,C555-1,0)="","Blank",OFFSET(PortfolioDashboard!$A$3,C555-1,0))</f>
        <v>Blank</v>
      </c>
      <c r="E555" s="1464" t="str">
        <f t="shared" si="372"/>
        <v>2010$</v>
      </c>
      <c r="F555" s="1460">
        <f t="shared" ca="1" si="344"/>
        <v>0</v>
      </c>
      <c r="G555" s="358">
        <f t="shared" ca="1" si="377"/>
        <v>0</v>
      </c>
      <c r="H555" s="358">
        <f t="shared" ca="1" si="377"/>
        <v>0</v>
      </c>
      <c r="I555" s="358">
        <f t="shared" ca="1" si="377"/>
        <v>0</v>
      </c>
      <c r="J555" s="358">
        <f t="shared" ca="1" si="377"/>
        <v>0</v>
      </c>
      <c r="K555" s="358">
        <f t="shared" ca="1" si="377"/>
        <v>0</v>
      </c>
      <c r="L555" s="358">
        <f t="shared" ca="1" si="377"/>
        <v>0</v>
      </c>
      <c r="M555" s="358">
        <f t="shared" ca="1" si="377"/>
        <v>0</v>
      </c>
      <c r="N555" s="358">
        <f t="shared" ca="1" si="377"/>
        <v>0</v>
      </c>
      <c r="O555" s="358">
        <f t="shared" ca="1" si="377"/>
        <v>0</v>
      </c>
      <c r="P555" s="358">
        <f t="shared" ca="1" si="377"/>
        <v>0</v>
      </c>
      <c r="Q555" s="358">
        <f t="shared" ca="1" si="378"/>
        <v>0</v>
      </c>
      <c r="R555" s="358">
        <f t="shared" ca="1" si="378"/>
        <v>0</v>
      </c>
      <c r="S555" s="358">
        <f t="shared" ca="1" si="378"/>
        <v>0</v>
      </c>
      <c r="T555" s="358">
        <f t="shared" ca="1" si="378"/>
        <v>0</v>
      </c>
      <c r="U555" s="358">
        <f t="shared" ca="1" si="378"/>
        <v>0</v>
      </c>
      <c r="V555" s="358">
        <f t="shared" ca="1" si="378"/>
        <v>0</v>
      </c>
      <c r="W555" s="358">
        <f t="shared" ca="1" si="378"/>
        <v>0</v>
      </c>
      <c r="X555" s="358">
        <f t="shared" ca="1" si="378"/>
        <v>0</v>
      </c>
      <c r="Y555" s="358">
        <f t="shared" ca="1" si="378"/>
        <v>0</v>
      </c>
      <c r="Z555" s="358">
        <f t="shared" ca="1" si="378"/>
        <v>0</v>
      </c>
      <c r="AA555" s="358">
        <f t="shared" ca="1" si="379"/>
        <v>0</v>
      </c>
      <c r="AB555" s="358">
        <f t="shared" ca="1" si="379"/>
        <v>0</v>
      </c>
      <c r="AC555" s="358">
        <f t="shared" ca="1" si="379"/>
        <v>0</v>
      </c>
      <c r="AD555" s="358">
        <f t="shared" ca="1" si="379"/>
        <v>0</v>
      </c>
      <c r="AE555" s="358">
        <f t="shared" ca="1" si="379"/>
        <v>0</v>
      </c>
      <c r="AF555" s="358">
        <f t="shared" ca="1" si="379"/>
        <v>0</v>
      </c>
      <c r="AG555" s="358">
        <f t="shared" ca="1" si="379"/>
        <v>0</v>
      </c>
      <c r="AH555" s="358">
        <f t="shared" ca="1" si="379"/>
        <v>0</v>
      </c>
      <c r="AI555" s="358">
        <f t="shared" ca="1" si="379"/>
        <v>0</v>
      </c>
      <c r="AJ555" s="358">
        <f t="shared" ca="1" si="379"/>
        <v>0</v>
      </c>
      <c r="AK555" s="358">
        <f t="shared" ca="1" si="380"/>
        <v>0</v>
      </c>
      <c r="AL555" s="358">
        <f t="shared" ca="1" si="380"/>
        <v>0</v>
      </c>
      <c r="AM555" s="358">
        <f t="shared" ca="1" si="380"/>
        <v>0</v>
      </c>
      <c r="AN555" s="358">
        <f t="shared" ca="1" si="380"/>
        <v>0</v>
      </c>
      <c r="AO555" s="358">
        <f t="shared" ca="1" si="380"/>
        <v>0</v>
      </c>
      <c r="AP555" s="358">
        <f t="shared" ca="1" si="380"/>
        <v>0</v>
      </c>
      <c r="AQ555" s="358">
        <f t="shared" ca="1" si="380"/>
        <v>0</v>
      </c>
      <c r="AR555" s="358">
        <f t="shared" ca="1" si="380"/>
        <v>0</v>
      </c>
      <c r="AS555" s="358">
        <f t="shared" ca="1" si="380"/>
        <v>0</v>
      </c>
      <c r="AT555" s="358">
        <f t="shared" ca="1" si="380"/>
        <v>0</v>
      </c>
      <c r="AV555" s="358">
        <f t="shared" ca="1" si="353"/>
        <v>0</v>
      </c>
      <c r="AX555" s="358">
        <f t="shared" ca="1" si="354"/>
        <v>0</v>
      </c>
      <c r="AZ555" s="358">
        <f t="shared" ca="1" si="355"/>
        <v>0</v>
      </c>
      <c r="BB555" s="358">
        <f t="shared" ca="1" si="356"/>
        <v>0</v>
      </c>
      <c r="BD555" s="358">
        <f t="shared" ca="1" si="357"/>
        <v>0</v>
      </c>
      <c r="BF555" s="358">
        <f t="shared" ca="1" si="358"/>
        <v>0</v>
      </c>
      <c r="BH555" s="358">
        <f t="shared" ca="1" si="359"/>
        <v>0</v>
      </c>
    </row>
    <row r="556" spans="1:60" hidden="1" outlineLevel="1">
      <c r="A556" s="1464">
        <f t="shared" si="369"/>
        <v>18</v>
      </c>
      <c r="B556" s="1464">
        <f t="shared" si="370"/>
        <v>37</v>
      </c>
      <c r="C556" s="1464">
        <f t="shared" si="371"/>
        <v>24</v>
      </c>
      <c r="D556" s="1271" t="str">
        <f ca="1">IF(OFFSET(PortfolioDashboard!$A$3,C556-1,0)="","Blank",OFFSET(PortfolioDashboard!$A$3,C556-1,0))</f>
        <v>Blank</v>
      </c>
      <c r="E556" s="1464" t="str">
        <f t="shared" si="372"/>
        <v>2010$</v>
      </c>
      <c r="F556" s="1460">
        <f t="shared" ca="1" si="344"/>
        <v>0</v>
      </c>
      <c r="G556" s="358">
        <f t="shared" ca="1" si="377"/>
        <v>0</v>
      </c>
      <c r="H556" s="358">
        <f t="shared" ca="1" si="377"/>
        <v>0</v>
      </c>
      <c r="I556" s="358">
        <f t="shared" ca="1" si="377"/>
        <v>0</v>
      </c>
      <c r="J556" s="358">
        <f t="shared" ca="1" si="377"/>
        <v>0</v>
      </c>
      <c r="K556" s="358">
        <f t="shared" ca="1" si="377"/>
        <v>0</v>
      </c>
      <c r="L556" s="358">
        <f t="shared" ca="1" si="377"/>
        <v>0</v>
      </c>
      <c r="M556" s="358">
        <f t="shared" ca="1" si="377"/>
        <v>0</v>
      </c>
      <c r="N556" s="358">
        <f t="shared" ca="1" si="377"/>
        <v>0</v>
      </c>
      <c r="O556" s="358">
        <f t="shared" ca="1" si="377"/>
        <v>0</v>
      </c>
      <c r="P556" s="358">
        <f t="shared" ca="1" si="377"/>
        <v>0</v>
      </c>
      <c r="Q556" s="358">
        <f t="shared" ca="1" si="378"/>
        <v>0</v>
      </c>
      <c r="R556" s="358">
        <f t="shared" ca="1" si="378"/>
        <v>0</v>
      </c>
      <c r="S556" s="358">
        <f t="shared" ca="1" si="378"/>
        <v>0</v>
      </c>
      <c r="T556" s="358">
        <f t="shared" ca="1" si="378"/>
        <v>0</v>
      </c>
      <c r="U556" s="358">
        <f t="shared" ca="1" si="378"/>
        <v>0</v>
      </c>
      <c r="V556" s="358">
        <f t="shared" ca="1" si="378"/>
        <v>0</v>
      </c>
      <c r="W556" s="358">
        <f t="shared" ca="1" si="378"/>
        <v>0</v>
      </c>
      <c r="X556" s="358">
        <f t="shared" ca="1" si="378"/>
        <v>0</v>
      </c>
      <c r="Y556" s="358">
        <f t="shared" ca="1" si="378"/>
        <v>0</v>
      </c>
      <c r="Z556" s="358">
        <f t="shared" ca="1" si="378"/>
        <v>0</v>
      </c>
      <c r="AA556" s="358">
        <f t="shared" ca="1" si="379"/>
        <v>0</v>
      </c>
      <c r="AB556" s="358">
        <f t="shared" ca="1" si="379"/>
        <v>0</v>
      </c>
      <c r="AC556" s="358">
        <f t="shared" ca="1" si="379"/>
        <v>0</v>
      </c>
      <c r="AD556" s="358">
        <f t="shared" ca="1" si="379"/>
        <v>0</v>
      </c>
      <c r="AE556" s="358">
        <f t="shared" ca="1" si="379"/>
        <v>0</v>
      </c>
      <c r="AF556" s="358">
        <f t="shared" ca="1" si="379"/>
        <v>0</v>
      </c>
      <c r="AG556" s="358">
        <f t="shared" ca="1" si="379"/>
        <v>0</v>
      </c>
      <c r="AH556" s="358">
        <f t="shared" ca="1" si="379"/>
        <v>0</v>
      </c>
      <c r="AI556" s="358">
        <f t="shared" ca="1" si="379"/>
        <v>0</v>
      </c>
      <c r="AJ556" s="358">
        <f t="shared" ca="1" si="379"/>
        <v>0</v>
      </c>
      <c r="AK556" s="358">
        <f t="shared" ca="1" si="380"/>
        <v>0</v>
      </c>
      <c r="AL556" s="358">
        <f t="shared" ca="1" si="380"/>
        <v>0</v>
      </c>
      <c r="AM556" s="358">
        <f t="shared" ca="1" si="380"/>
        <v>0</v>
      </c>
      <c r="AN556" s="358">
        <f t="shared" ca="1" si="380"/>
        <v>0</v>
      </c>
      <c r="AO556" s="358">
        <f t="shared" ca="1" si="380"/>
        <v>0</v>
      </c>
      <c r="AP556" s="358">
        <f t="shared" ca="1" si="380"/>
        <v>0</v>
      </c>
      <c r="AQ556" s="358">
        <f t="shared" ca="1" si="380"/>
        <v>0</v>
      </c>
      <c r="AR556" s="358">
        <f t="shared" ca="1" si="380"/>
        <v>0</v>
      </c>
      <c r="AS556" s="358">
        <f t="shared" ca="1" si="380"/>
        <v>0</v>
      </c>
      <c r="AT556" s="358">
        <f t="shared" ca="1" si="380"/>
        <v>0</v>
      </c>
      <c r="AV556" s="358">
        <f t="shared" ca="1" si="353"/>
        <v>0</v>
      </c>
      <c r="AX556" s="358">
        <f t="shared" ca="1" si="354"/>
        <v>0</v>
      </c>
      <c r="AZ556" s="358">
        <f t="shared" ca="1" si="355"/>
        <v>0</v>
      </c>
      <c r="BB556" s="358">
        <f t="shared" ca="1" si="356"/>
        <v>0</v>
      </c>
      <c r="BD556" s="358">
        <f t="shared" ca="1" si="357"/>
        <v>0</v>
      </c>
      <c r="BF556" s="358">
        <f t="shared" ca="1" si="358"/>
        <v>0</v>
      </c>
      <c r="BH556" s="358">
        <f t="shared" ca="1" si="359"/>
        <v>0</v>
      </c>
    </row>
    <row r="557" spans="1:60" hidden="1" outlineLevel="1">
      <c r="A557" s="1464">
        <f t="shared" si="369"/>
        <v>18</v>
      </c>
      <c r="B557" s="1464">
        <f t="shared" si="370"/>
        <v>37</v>
      </c>
      <c r="C557" s="1464">
        <f t="shared" si="371"/>
        <v>25</v>
      </c>
      <c r="D557" s="1271" t="str">
        <f ca="1">IF(OFFSET(PortfolioDashboard!$A$3,C557-1,0)="","Blank",OFFSET(PortfolioDashboard!$A$3,C557-1,0))</f>
        <v>Blank</v>
      </c>
      <c r="E557" s="1464" t="str">
        <f t="shared" si="372"/>
        <v>2010$</v>
      </c>
      <c r="F557" s="1460">
        <f t="shared" ca="1" si="344"/>
        <v>0</v>
      </c>
      <c r="G557" s="358">
        <f t="shared" ca="1" si="377"/>
        <v>0</v>
      </c>
      <c r="H557" s="358">
        <f t="shared" ca="1" si="377"/>
        <v>0</v>
      </c>
      <c r="I557" s="358">
        <f t="shared" ca="1" si="377"/>
        <v>0</v>
      </c>
      <c r="J557" s="358">
        <f t="shared" ca="1" si="377"/>
        <v>0</v>
      </c>
      <c r="K557" s="358">
        <f t="shared" ca="1" si="377"/>
        <v>0</v>
      </c>
      <c r="L557" s="358">
        <f t="shared" ca="1" si="377"/>
        <v>0</v>
      </c>
      <c r="M557" s="358">
        <f t="shared" ca="1" si="377"/>
        <v>0</v>
      </c>
      <c r="N557" s="358">
        <f t="shared" ca="1" si="377"/>
        <v>0</v>
      </c>
      <c r="O557" s="358">
        <f t="shared" ca="1" si="377"/>
        <v>0</v>
      </c>
      <c r="P557" s="358">
        <f t="shared" ca="1" si="377"/>
        <v>0</v>
      </c>
      <c r="Q557" s="358">
        <f t="shared" ca="1" si="378"/>
        <v>0</v>
      </c>
      <c r="R557" s="358">
        <f t="shared" ca="1" si="378"/>
        <v>0</v>
      </c>
      <c r="S557" s="358">
        <f t="shared" ca="1" si="378"/>
        <v>0</v>
      </c>
      <c r="T557" s="358">
        <f t="shared" ca="1" si="378"/>
        <v>0</v>
      </c>
      <c r="U557" s="358">
        <f t="shared" ca="1" si="378"/>
        <v>0</v>
      </c>
      <c r="V557" s="358">
        <f t="shared" ca="1" si="378"/>
        <v>0</v>
      </c>
      <c r="W557" s="358">
        <f t="shared" ca="1" si="378"/>
        <v>0</v>
      </c>
      <c r="X557" s="358">
        <f t="shared" ca="1" si="378"/>
        <v>0</v>
      </c>
      <c r="Y557" s="358">
        <f t="shared" ca="1" si="378"/>
        <v>0</v>
      </c>
      <c r="Z557" s="358">
        <f t="shared" ca="1" si="378"/>
        <v>0</v>
      </c>
      <c r="AA557" s="358">
        <f t="shared" ca="1" si="379"/>
        <v>0</v>
      </c>
      <c r="AB557" s="358">
        <f t="shared" ca="1" si="379"/>
        <v>0</v>
      </c>
      <c r="AC557" s="358">
        <f t="shared" ca="1" si="379"/>
        <v>0</v>
      </c>
      <c r="AD557" s="358">
        <f t="shared" ca="1" si="379"/>
        <v>0</v>
      </c>
      <c r="AE557" s="358">
        <f t="shared" ca="1" si="379"/>
        <v>0</v>
      </c>
      <c r="AF557" s="358">
        <f t="shared" ca="1" si="379"/>
        <v>0</v>
      </c>
      <c r="AG557" s="358">
        <f t="shared" ca="1" si="379"/>
        <v>0</v>
      </c>
      <c r="AH557" s="358">
        <f t="shared" ca="1" si="379"/>
        <v>0</v>
      </c>
      <c r="AI557" s="358">
        <f t="shared" ca="1" si="379"/>
        <v>0</v>
      </c>
      <c r="AJ557" s="358">
        <f t="shared" ca="1" si="379"/>
        <v>0</v>
      </c>
      <c r="AK557" s="358">
        <f t="shared" ca="1" si="380"/>
        <v>0</v>
      </c>
      <c r="AL557" s="358">
        <f t="shared" ca="1" si="380"/>
        <v>0</v>
      </c>
      <c r="AM557" s="358">
        <f t="shared" ca="1" si="380"/>
        <v>0</v>
      </c>
      <c r="AN557" s="358">
        <f t="shared" ca="1" si="380"/>
        <v>0</v>
      </c>
      <c r="AO557" s="358">
        <f t="shared" ca="1" si="380"/>
        <v>0</v>
      </c>
      <c r="AP557" s="358">
        <f t="shared" ca="1" si="380"/>
        <v>0</v>
      </c>
      <c r="AQ557" s="358">
        <f t="shared" ca="1" si="380"/>
        <v>0</v>
      </c>
      <c r="AR557" s="358">
        <f t="shared" ca="1" si="380"/>
        <v>0</v>
      </c>
      <c r="AS557" s="358">
        <f t="shared" ca="1" si="380"/>
        <v>0</v>
      </c>
      <c r="AT557" s="358">
        <f t="shared" ca="1" si="380"/>
        <v>0</v>
      </c>
      <c r="AV557" s="358">
        <f t="shared" ca="1" si="353"/>
        <v>0</v>
      </c>
      <c r="AX557" s="358">
        <f t="shared" ca="1" si="354"/>
        <v>0</v>
      </c>
      <c r="AZ557" s="358">
        <f t="shared" ca="1" si="355"/>
        <v>0</v>
      </c>
      <c r="BB557" s="358">
        <f t="shared" ca="1" si="356"/>
        <v>0</v>
      </c>
      <c r="BD557" s="358">
        <f t="shared" ca="1" si="357"/>
        <v>0</v>
      </c>
      <c r="BF557" s="358">
        <f t="shared" ca="1" si="358"/>
        <v>0</v>
      </c>
      <c r="BH557" s="358">
        <f t="shared" ca="1" si="359"/>
        <v>0</v>
      </c>
    </row>
    <row r="558" spans="1:60" hidden="1" outlineLevel="1">
      <c r="A558" s="1464">
        <f t="shared" si="369"/>
        <v>18</v>
      </c>
      <c r="B558" s="1464">
        <f t="shared" si="370"/>
        <v>37</v>
      </c>
      <c r="C558" s="1464">
        <f t="shared" si="371"/>
        <v>26</v>
      </c>
      <c r="D558" s="1271" t="str">
        <f ca="1">IF(OFFSET(PortfolioDashboard!$A$3,C558-1,0)="","Blank",OFFSET(PortfolioDashboard!$A$3,C558-1,0))</f>
        <v>Blank</v>
      </c>
      <c r="E558" s="1464" t="str">
        <f t="shared" si="372"/>
        <v>2010$</v>
      </c>
      <c r="F558" s="1460">
        <f t="shared" ca="1" si="344"/>
        <v>0</v>
      </c>
      <c r="G558" s="358">
        <f t="shared" ca="1" si="377"/>
        <v>0</v>
      </c>
      <c r="H558" s="358">
        <f t="shared" ca="1" si="377"/>
        <v>0</v>
      </c>
      <c r="I558" s="358">
        <f t="shared" ca="1" si="377"/>
        <v>0</v>
      </c>
      <c r="J558" s="358">
        <f t="shared" ca="1" si="377"/>
        <v>0</v>
      </c>
      <c r="K558" s="358">
        <f t="shared" ca="1" si="377"/>
        <v>0</v>
      </c>
      <c r="L558" s="358">
        <f t="shared" ca="1" si="377"/>
        <v>0</v>
      </c>
      <c r="M558" s="358">
        <f t="shared" ca="1" si="377"/>
        <v>0</v>
      </c>
      <c r="N558" s="358">
        <f t="shared" ca="1" si="377"/>
        <v>0</v>
      </c>
      <c r="O558" s="358">
        <f t="shared" ca="1" si="377"/>
        <v>0</v>
      </c>
      <c r="P558" s="358">
        <f t="shared" ca="1" si="377"/>
        <v>0</v>
      </c>
      <c r="Q558" s="358">
        <f t="shared" ca="1" si="378"/>
        <v>0</v>
      </c>
      <c r="R558" s="358">
        <f t="shared" ca="1" si="378"/>
        <v>0</v>
      </c>
      <c r="S558" s="358">
        <f t="shared" ca="1" si="378"/>
        <v>0</v>
      </c>
      <c r="T558" s="358">
        <f t="shared" ca="1" si="378"/>
        <v>0</v>
      </c>
      <c r="U558" s="358">
        <f t="shared" ca="1" si="378"/>
        <v>0</v>
      </c>
      <c r="V558" s="358">
        <f t="shared" ca="1" si="378"/>
        <v>0</v>
      </c>
      <c r="W558" s="358">
        <f t="shared" ca="1" si="378"/>
        <v>0</v>
      </c>
      <c r="X558" s="358">
        <f t="shared" ca="1" si="378"/>
        <v>0</v>
      </c>
      <c r="Y558" s="358">
        <f t="shared" ca="1" si="378"/>
        <v>0</v>
      </c>
      <c r="Z558" s="358">
        <f t="shared" ca="1" si="378"/>
        <v>0</v>
      </c>
      <c r="AA558" s="358">
        <f t="shared" ca="1" si="379"/>
        <v>0</v>
      </c>
      <c r="AB558" s="358">
        <f t="shared" ca="1" si="379"/>
        <v>0</v>
      </c>
      <c r="AC558" s="358">
        <f t="shared" ca="1" si="379"/>
        <v>0</v>
      </c>
      <c r="AD558" s="358">
        <f t="shared" ca="1" si="379"/>
        <v>0</v>
      </c>
      <c r="AE558" s="358">
        <f t="shared" ca="1" si="379"/>
        <v>0</v>
      </c>
      <c r="AF558" s="358">
        <f t="shared" ca="1" si="379"/>
        <v>0</v>
      </c>
      <c r="AG558" s="358">
        <f t="shared" ca="1" si="379"/>
        <v>0</v>
      </c>
      <c r="AH558" s="358">
        <f t="shared" ca="1" si="379"/>
        <v>0</v>
      </c>
      <c r="AI558" s="358">
        <f t="shared" ca="1" si="379"/>
        <v>0</v>
      </c>
      <c r="AJ558" s="358">
        <f t="shared" ca="1" si="379"/>
        <v>0</v>
      </c>
      <c r="AK558" s="358">
        <f t="shared" ca="1" si="380"/>
        <v>0</v>
      </c>
      <c r="AL558" s="358">
        <f t="shared" ca="1" si="380"/>
        <v>0</v>
      </c>
      <c r="AM558" s="358">
        <f t="shared" ca="1" si="380"/>
        <v>0</v>
      </c>
      <c r="AN558" s="358">
        <f t="shared" ca="1" si="380"/>
        <v>0</v>
      </c>
      <c r="AO558" s="358">
        <f t="shared" ca="1" si="380"/>
        <v>0</v>
      </c>
      <c r="AP558" s="358">
        <f t="shared" ca="1" si="380"/>
        <v>0</v>
      </c>
      <c r="AQ558" s="358">
        <f t="shared" ca="1" si="380"/>
        <v>0</v>
      </c>
      <c r="AR558" s="358">
        <f t="shared" ca="1" si="380"/>
        <v>0</v>
      </c>
      <c r="AS558" s="358">
        <f t="shared" ca="1" si="380"/>
        <v>0</v>
      </c>
      <c r="AT558" s="358">
        <f t="shared" ca="1" si="380"/>
        <v>0</v>
      </c>
      <c r="AV558" s="358">
        <f t="shared" ca="1" si="353"/>
        <v>0</v>
      </c>
      <c r="AX558" s="358">
        <f t="shared" ca="1" si="354"/>
        <v>0</v>
      </c>
      <c r="AZ558" s="358">
        <f t="shared" ca="1" si="355"/>
        <v>0</v>
      </c>
      <c r="BB558" s="358">
        <f t="shared" ca="1" si="356"/>
        <v>0</v>
      </c>
      <c r="BD558" s="358">
        <f t="shared" ca="1" si="357"/>
        <v>0</v>
      </c>
      <c r="BF558" s="358">
        <f t="shared" ca="1" si="358"/>
        <v>0</v>
      </c>
      <c r="BH558" s="358">
        <f t="shared" ca="1" si="359"/>
        <v>0</v>
      </c>
    </row>
    <row r="559" spans="1:60" hidden="1" outlineLevel="1">
      <c r="A559" s="1464">
        <f t="shared" si="369"/>
        <v>18</v>
      </c>
      <c r="B559" s="1464">
        <f t="shared" si="370"/>
        <v>37</v>
      </c>
      <c r="C559" s="1464">
        <f t="shared" si="371"/>
        <v>27</v>
      </c>
      <c r="D559" s="1271" t="str">
        <f ca="1">IF(OFFSET(PortfolioDashboard!$A$3,C559-1,0)="","Blank",OFFSET(PortfolioDashboard!$A$3,C559-1,0))</f>
        <v>Blank</v>
      </c>
      <c r="E559" s="1464" t="str">
        <f t="shared" si="372"/>
        <v>2010$</v>
      </c>
      <c r="F559" s="1460">
        <f t="shared" ca="1" si="344"/>
        <v>0</v>
      </c>
      <c r="G559" s="358">
        <f t="shared" ca="1" si="377"/>
        <v>0</v>
      </c>
      <c r="H559" s="358">
        <f t="shared" ca="1" si="377"/>
        <v>0</v>
      </c>
      <c r="I559" s="358">
        <f t="shared" ca="1" si="377"/>
        <v>0</v>
      </c>
      <c r="J559" s="358">
        <f t="shared" ca="1" si="377"/>
        <v>0</v>
      </c>
      <c r="K559" s="358">
        <f t="shared" ca="1" si="377"/>
        <v>0</v>
      </c>
      <c r="L559" s="358">
        <f t="shared" ca="1" si="377"/>
        <v>0</v>
      </c>
      <c r="M559" s="358">
        <f t="shared" ca="1" si="377"/>
        <v>0</v>
      </c>
      <c r="N559" s="358">
        <f t="shared" ca="1" si="377"/>
        <v>0</v>
      </c>
      <c r="O559" s="358">
        <f t="shared" ca="1" si="377"/>
        <v>0</v>
      </c>
      <c r="P559" s="358">
        <f t="shared" ca="1" si="377"/>
        <v>0</v>
      </c>
      <c r="Q559" s="358">
        <f t="shared" ca="1" si="378"/>
        <v>0</v>
      </c>
      <c r="R559" s="358">
        <f t="shared" ca="1" si="378"/>
        <v>0</v>
      </c>
      <c r="S559" s="358">
        <f t="shared" ca="1" si="378"/>
        <v>0</v>
      </c>
      <c r="T559" s="358">
        <f t="shared" ca="1" si="378"/>
        <v>0</v>
      </c>
      <c r="U559" s="358">
        <f t="shared" ca="1" si="378"/>
        <v>0</v>
      </c>
      <c r="V559" s="358">
        <f t="shared" ca="1" si="378"/>
        <v>0</v>
      </c>
      <c r="W559" s="358">
        <f t="shared" ca="1" si="378"/>
        <v>0</v>
      </c>
      <c r="X559" s="358">
        <f t="shared" ca="1" si="378"/>
        <v>0</v>
      </c>
      <c r="Y559" s="358">
        <f t="shared" ca="1" si="378"/>
        <v>0</v>
      </c>
      <c r="Z559" s="358">
        <f t="shared" ca="1" si="378"/>
        <v>0</v>
      </c>
      <c r="AA559" s="358">
        <f t="shared" ca="1" si="379"/>
        <v>0</v>
      </c>
      <c r="AB559" s="358">
        <f t="shared" ca="1" si="379"/>
        <v>0</v>
      </c>
      <c r="AC559" s="358">
        <f t="shared" ca="1" si="379"/>
        <v>0</v>
      </c>
      <c r="AD559" s="358">
        <f t="shared" ca="1" si="379"/>
        <v>0</v>
      </c>
      <c r="AE559" s="358">
        <f t="shared" ca="1" si="379"/>
        <v>0</v>
      </c>
      <c r="AF559" s="358">
        <f t="shared" ca="1" si="379"/>
        <v>0</v>
      </c>
      <c r="AG559" s="358">
        <f t="shared" ca="1" si="379"/>
        <v>0</v>
      </c>
      <c r="AH559" s="358">
        <f t="shared" ca="1" si="379"/>
        <v>0</v>
      </c>
      <c r="AI559" s="358">
        <f t="shared" ca="1" si="379"/>
        <v>0</v>
      </c>
      <c r="AJ559" s="358">
        <f t="shared" ca="1" si="379"/>
        <v>0</v>
      </c>
      <c r="AK559" s="358">
        <f t="shared" ca="1" si="380"/>
        <v>0</v>
      </c>
      <c r="AL559" s="358">
        <f t="shared" ca="1" si="380"/>
        <v>0</v>
      </c>
      <c r="AM559" s="358">
        <f t="shared" ca="1" si="380"/>
        <v>0</v>
      </c>
      <c r="AN559" s="358">
        <f t="shared" ca="1" si="380"/>
        <v>0</v>
      </c>
      <c r="AO559" s="358">
        <f t="shared" ca="1" si="380"/>
        <v>0</v>
      </c>
      <c r="AP559" s="358">
        <f t="shared" ca="1" si="380"/>
        <v>0</v>
      </c>
      <c r="AQ559" s="358">
        <f t="shared" ca="1" si="380"/>
        <v>0</v>
      </c>
      <c r="AR559" s="358">
        <f t="shared" ca="1" si="380"/>
        <v>0</v>
      </c>
      <c r="AS559" s="358">
        <f t="shared" ca="1" si="380"/>
        <v>0</v>
      </c>
      <c r="AT559" s="358">
        <f t="shared" ca="1" si="380"/>
        <v>0</v>
      </c>
      <c r="AV559" s="358">
        <f t="shared" ca="1" si="353"/>
        <v>0</v>
      </c>
      <c r="AX559" s="358">
        <f t="shared" ca="1" si="354"/>
        <v>0</v>
      </c>
      <c r="AZ559" s="358">
        <f t="shared" ca="1" si="355"/>
        <v>0</v>
      </c>
      <c r="BB559" s="358">
        <f t="shared" ca="1" si="356"/>
        <v>0</v>
      </c>
      <c r="BD559" s="358">
        <f t="shared" ca="1" si="357"/>
        <v>0</v>
      </c>
      <c r="BF559" s="358">
        <f t="shared" ca="1" si="358"/>
        <v>0</v>
      </c>
      <c r="BH559" s="358">
        <f t="shared" ca="1" si="359"/>
        <v>0</v>
      </c>
    </row>
    <row r="560" spans="1:60" hidden="1" outlineLevel="1">
      <c r="A560" s="1464">
        <f t="shared" si="369"/>
        <v>18</v>
      </c>
      <c r="B560" s="1464">
        <f t="shared" si="370"/>
        <v>37</v>
      </c>
      <c r="C560" s="1464">
        <f t="shared" si="371"/>
        <v>28</v>
      </c>
      <c r="D560" s="1271" t="str">
        <f ca="1">IF(OFFSET(PortfolioDashboard!$A$3,C560-1,0)="","Blank",OFFSET(PortfolioDashboard!$A$3,C560-1,0))</f>
        <v>Blank</v>
      </c>
      <c r="E560" s="1464" t="str">
        <f t="shared" si="372"/>
        <v>2010$</v>
      </c>
      <c r="F560" s="1460">
        <f t="shared" ca="1" si="344"/>
        <v>0</v>
      </c>
      <c r="G560" s="358">
        <f t="shared" ca="1" si="377"/>
        <v>0</v>
      </c>
      <c r="H560" s="358">
        <f t="shared" ca="1" si="377"/>
        <v>0</v>
      </c>
      <c r="I560" s="358">
        <f t="shared" ca="1" si="377"/>
        <v>0</v>
      </c>
      <c r="J560" s="358">
        <f t="shared" ca="1" si="377"/>
        <v>0</v>
      </c>
      <c r="K560" s="358">
        <f t="shared" ca="1" si="377"/>
        <v>0</v>
      </c>
      <c r="L560" s="358">
        <f t="shared" ca="1" si="377"/>
        <v>0</v>
      </c>
      <c r="M560" s="358">
        <f t="shared" ca="1" si="377"/>
        <v>0</v>
      </c>
      <c r="N560" s="358">
        <f t="shared" ca="1" si="377"/>
        <v>0</v>
      </c>
      <c r="O560" s="358">
        <f t="shared" ca="1" si="377"/>
        <v>0</v>
      </c>
      <c r="P560" s="358">
        <f t="shared" ca="1" si="377"/>
        <v>0</v>
      </c>
      <c r="Q560" s="358">
        <f t="shared" ca="1" si="378"/>
        <v>0</v>
      </c>
      <c r="R560" s="358">
        <f t="shared" ca="1" si="378"/>
        <v>0</v>
      </c>
      <c r="S560" s="358">
        <f t="shared" ca="1" si="378"/>
        <v>0</v>
      </c>
      <c r="T560" s="358">
        <f t="shared" ca="1" si="378"/>
        <v>0</v>
      </c>
      <c r="U560" s="358">
        <f t="shared" ca="1" si="378"/>
        <v>0</v>
      </c>
      <c r="V560" s="358">
        <f t="shared" ca="1" si="378"/>
        <v>0</v>
      </c>
      <c r="W560" s="358">
        <f t="shared" ca="1" si="378"/>
        <v>0</v>
      </c>
      <c r="X560" s="358">
        <f t="shared" ca="1" si="378"/>
        <v>0</v>
      </c>
      <c r="Y560" s="358">
        <f t="shared" ca="1" si="378"/>
        <v>0</v>
      </c>
      <c r="Z560" s="358">
        <f t="shared" ca="1" si="378"/>
        <v>0</v>
      </c>
      <c r="AA560" s="358">
        <f t="shared" ca="1" si="379"/>
        <v>0</v>
      </c>
      <c r="AB560" s="358">
        <f t="shared" ca="1" si="379"/>
        <v>0</v>
      </c>
      <c r="AC560" s="358">
        <f t="shared" ca="1" si="379"/>
        <v>0</v>
      </c>
      <c r="AD560" s="358">
        <f t="shared" ca="1" si="379"/>
        <v>0</v>
      </c>
      <c r="AE560" s="358">
        <f t="shared" ca="1" si="379"/>
        <v>0</v>
      </c>
      <c r="AF560" s="358">
        <f t="shared" ca="1" si="379"/>
        <v>0</v>
      </c>
      <c r="AG560" s="358">
        <f t="shared" ca="1" si="379"/>
        <v>0</v>
      </c>
      <c r="AH560" s="358">
        <f t="shared" ca="1" si="379"/>
        <v>0</v>
      </c>
      <c r="AI560" s="358">
        <f t="shared" ca="1" si="379"/>
        <v>0</v>
      </c>
      <c r="AJ560" s="358">
        <f t="shared" ca="1" si="379"/>
        <v>0</v>
      </c>
      <c r="AK560" s="358">
        <f t="shared" ca="1" si="380"/>
        <v>0</v>
      </c>
      <c r="AL560" s="358">
        <f t="shared" ca="1" si="380"/>
        <v>0</v>
      </c>
      <c r="AM560" s="358">
        <f t="shared" ca="1" si="380"/>
        <v>0</v>
      </c>
      <c r="AN560" s="358">
        <f t="shared" ca="1" si="380"/>
        <v>0</v>
      </c>
      <c r="AO560" s="358">
        <f t="shared" ca="1" si="380"/>
        <v>0</v>
      </c>
      <c r="AP560" s="358">
        <f t="shared" ca="1" si="380"/>
        <v>0</v>
      </c>
      <c r="AQ560" s="358">
        <f t="shared" ca="1" si="380"/>
        <v>0</v>
      </c>
      <c r="AR560" s="358">
        <f t="shared" ca="1" si="380"/>
        <v>0</v>
      </c>
      <c r="AS560" s="358">
        <f t="shared" ca="1" si="380"/>
        <v>0</v>
      </c>
      <c r="AT560" s="358">
        <f t="shared" ca="1" si="380"/>
        <v>0</v>
      </c>
      <c r="AV560" s="358">
        <f t="shared" ca="1" si="353"/>
        <v>0</v>
      </c>
      <c r="AX560" s="358">
        <f t="shared" ca="1" si="354"/>
        <v>0</v>
      </c>
      <c r="AZ560" s="358">
        <f t="shared" ca="1" si="355"/>
        <v>0</v>
      </c>
      <c r="BB560" s="358">
        <f t="shared" ca="1" si="356"/>
        <v>0</v>
      </c>
      <c r="BD560" s="358">
        <f t="shared" ca="1" si="357"/>
        <v>0</v>
      </c>
      <c r="BF560" s="358">
        <f t="shared" ca="1" si="358"/>
        <v>0</v>
      </c>
      <c r="BH560" s="358">
        <f t="shared" ca="1" si="359"/>
        <v>0</v>
      </c>
    </row>
    <row r="561" spans="1:60" hidden="1" outlineLevel="1">
      <c r="A561" s="1464">
        <f t="shared" si="369"/>
        <v>18</v>
      </c>
      <c r="B561" s="1464">
        <f t="shared" si="370"/>
        <v>37</v>
      </c>
      <c r="C561" s="1464">
        <f t="shared" si="371"/>
        <v>29</v>
      </c>
      <c r="D561" s="1271" t="str">
        <f>'Other Cost'!A3</f>
        <v>Sustainability Driven-Master Plan</v>
      </c>
      <c r="E561" s="1464" t="str">
        <f t="shared" si="372"/>
        <v>2010$</v>
      </c>
      <c r="F561" s="1460">
        <f t="shared" si="344"/>
        <v>-537861.87088412675</v>
      </c>
      <c r="G561" s="358">
        <f>IF('Other Cost'!$B$3="X",'Other Cost'!D3,0)</f>
        <v>0</v>
      </c>
      <c r="H561" s="358">
        <f>IF('Other Cost'!$B$3="X",'Other Cost'!E3,0)</f>
        <v>-600000</v>
      </c>
      <c r="I561" s="358">
        <f>IF('Other Cost'!$B$3="X",'Other Cost'!F3,0)</f>
        <v>0</v>
      </c>
      <c r="J561" s="358">
        <f>IF('Other Cost'!$B$3="X",'Other Cost'!G3,0)</f>
        <v>0</v>
      </c>
      <c r="K561" s="358">
        <f>IF('Other Cost'!$B$3="X",'Other Cost'!H3,0)</f>
        <v>0</v>
      </c>
      <c r="L561" s="358">
        <f>IF('Other Cost'!$B$3="X",'Other Cost'!I3,0)</f>
        <v>0</v>
      </c>
      <c r="M561" s="358">
        <f>IF('Other Cost'!$B$3="X",'Other Cost'!J3,0)</f>
        <v>0</v>
      </c>
      <c r="N561" s="358">
        <f>IF('Other Cost'!$B$3="X",'Other Cost'!K3,0)</f>
        <v>0</v>
      </c>
      <c r="O561" s="358">
        <f>IF('Other Cost'!$B$3="X",'Other Cost'!L3,0)</f>
        <v>0</v>
      </c>
      <c r="P561" s="358">
        <f>IF('Other Cost'!$B$3="X",'Other Cost'!M3,0)</f>
        <v>0</v>
      </c>
      <c r="Q561" s="358">
        <f>IF('Other Cost'!$B$3="X",'Other Cost'!N3,0)</f>
        <v>0</v>
      </c>
      <c r="R561" s="358">
        <f>IF('Other Cost'!$B$3="X",'Other Cost'!O3,0)</f>
        <v>0</v>
      </c>
      <c r="S561" s="358">
        <f>IF('Other Cost'!$B$3="X",'Other Cost'!P3,0)</f>
        <v>0</v>
      </c>
      <c r="T561" s="358">
        <f>IF('Other Cost'!$B$3="X",'Other Cost'!Q3,0)</f>
        <v>0</v>
      </c>
      <c r="U561" s="358">
        <f>IF('Other Cost'!$B$3="X",'Other Cost'!R3,0)</f>
        <v>0</v>
      </c>
      <c r="V561" s="358">
        <f>IF('Other Cost'!$B$3="X",'Other Cost'!S3,0)</f>
        <v>0</v>
      </c>
      <c r="W561" s="358">
        <f>IF('Other Cost'!$B$3="X",'Other Cost'!T3,0)</f>
        <v>0</v>
      </c>
      <c r="X561" s="358">
        <f>IF('Other Cost'!$B$3="X",'Other Cost'!U3,0)</f>
        <v>0</v>
      </c>
      <c r="Y561" s="358">
        <f>IF('Other Cost'!$B$3="X",'Other Cost'!V3,0)</f>
        <v>0</v>
      </c>
      <c r="Z561" s="358">
        <f>IF('Other Cost'!$B$3="X",'Other Cost'!W3,0)</f>
        <v>0</v>
      </c>
      <c r="AA561" s="358">
        <f>IF('Other Cost'!$B$3="X",'Other Cost'!X3,0)</f>
        <v>0</v>
      </c>
      <c r="AB561" s="358">
        <f>IF('Other Cost'!$B$3="X",'Other Cost'!Y3,0)</f>
        <v>0</v>
      </c>
      <c r="AC561" s="358">
        <f>IF('Other Cost'!$B$3="X",'Other Cost'!Z3,0)</f>
        <v>0</v>
      </c>
      <c r="AD561" s="358">
        <f>IF('Other Cost'!$B$3="X",'Other Cost'!AA3,0)</f>
        <v>0</v>
      </c>
      <c r="AE561" s="358">
        <f>IF('Other Cost'!$B$3="X",'Other Cost'!AB3,0)</f>
        <v>0</v>
      </c>
      <c r="AF561" s="358">
        <f>IF('Other Cost'!$B$3="X",'Other Cost'!AC3,0)</f>
        <v>0</v>
      </c>
      <c r="AG561" s="358">
        <f>IF('Other Cost'!$B$3="X",'Other Cost'!AD3,0)</f>
        <v>0</v>
      </c>
      <c r="AH561" s="358">
        <f>IF('Other Cost'!$B$3="X",'Other Cost'!AE3,0)</f>
        <v>0</v>
      </c>
      <c r="AI561" s="358">
        <f>IF('Other Cost'!$B$3="X",'Other Cost'!AF3,0)</f>
        <v>0</v>
      </c>
      <c r="AJ561" s="358">
        <f>IF('Other Cost'!$B$3="X",'Other Cost'!AG3,0)</f>
        <v>0</v>
      </c>
      <c r="AK561" s="358">
        <f>IF('Other Cost'!$B$3="X",'Other Cost'!AH3,0)</f>
        <v>0</v>
      </c>
      <c r="AL561" s="358">
        <f>IF('Other Cost'!$B$3="X",'Other Cost'!AI3,0)</f>
        <v>0</v>
      </c>
      <c r="AM561" s="358">
        <f>IF('Other Cost'!$B$3="X",'Other Cost'!AJ3,0)</f>
        <v>0</v>
      </c>
      <c r="AN561" s="358">
        <f>IF('Other Cost'!$B$3="X",'Other Cost'!AK3,0)</f>
        <v>0</v>
      </c>
      <c r="AO561" s="358">
        <f>IF('Other Cost'!$B$3="X",'Other Cost'!AL3,0)</f>
        <v>0</v>
      </c>
      <c r="AP561" s="358">
        <f>IF('Other Cost'!$B$3="X",'Other Cost'!AM3,0)</f>
        <v>0</v>
      </c>
      <c r="AQ561" s="358">
        <f>IF('Other Cost'!$B$3="X",'Other Cost'!AN3,0)</f>
        <v>0</v>
      </c>
      <c r="AR561" s="358">
        <f>IF('Other Cost'!$B$3="X",'Other Cost'!AO3,0)</f>
        <v>0</v>
      </c>
      <c r="AS561" s="358">
        <f>IF('Other Cost'!$B$3="X",'Other Cost'!AP3,0)</f>
        <v>0</v>
      </c>
      <c r="AT561" s="358">
        <f>IF('Other Cost'!$B$3="X",'Other Cost'!AQ3,0)</f>
        <v>0</v>
      </c>
      <c r="AU561" s="358"/>
      <c r="AV561" s="358">
        <f t="shared" si="353"/>
        <v>0</v>
      </c>
      <c r="AX561" s="358">
        <f t="shared" si="354"/>
        <v>0</v>
      </c>
      <c r="AZ561" s="358">
        <f t="shared" si="355"/>
        <v>0</v>
      </c>
      <c r="BB561" s="358">
        <f t="shared" si="356"/>
        <v>0</v>
      </c>
      <c r="BD561" s="358">
        <f t="shared" si="357"/>
        <v>0</v>
      </c>
      <c r="BF561" s="358">
        <f t="shared" si="358"/>
        <v>0</v>
      </c>
      <c r="BH561" s="358">
        <f t="shared" si="359"/>
        <v>0</v>
      </c>
    </row>
    <row r="562" spans="1:60" hidden="1" outlineLevel="1">
      <c r="A562" s="1464">
        <f t="shared" si="369"/>
        <v>18</v>
      </c>
      <c r="B562" s="1464">
        <f t="shared" si="370"/>
        <v>37</v>
      </c>
      <c r="C562" s="1464">
        <f t="shared" si="371"/>
        <v>30</v>
      </c>
      <c r="D562" s="1271" t="str">
        <f>'Other Cost'!A4</f>
        <v>Research and Curriculum</v>
      </c>
      <c r="E562" s="1464" t="str">
        <f t="shared" si="372"/>
        <v>2010$</v>
      </c>
      <c r="F562" s="1460">
        <f t="shared" si="344"/>
        <v>-4867919.572699625</v>
      </c>
      <c r="G562" s="358">
        <f>IF('Other Cost'!$B$4="X",'Other Cost'!D4,0)</f>
        <v>-200000</v>
      </c>
      <c r="H562" s="358">
        <f>IF('Other Cost'!$B$4="X",'Other Cost'!E4,0)</f>
        <v>-315000</v>
      </c>
      <c r="I562" s="358">
        <f>IF('Other Cost'!$B$4="X",'Other Cost'!F4,0)</f>
        <v>-315000</v>
      </c>
      <c r="J562" s="358">
        <f>IF('Other Cost'!$B$4="X",'Other Cost'!G4,0)</f>
        <v>-315000</v>
      </c>
      <c r="K562" s="358">
        <f>IF('Other Cost'!$B$4="X",'Other Cost'!H4,0)</f>
        <v>-315000</v>
      </c>
      <c r="L562" s="358">
        <f>IF('Other Cost'!$B$4="X",'Other Cost'!I4,0)</f>
        <v>-315000</v>
      </c>
      <c r="M562" s="358">
        <f>IF('Other Cost'!$B$4="X",'Other Cost'!J4,0)</f>
        <v>-315000</v>
      </c>
      <c r="N562" s="358">
        <f>IF('Other Cost'!$B$4="X",'Other Cost'!K4,0)</f>
        <v>-315000</v>
      </c>
      <c r="O562" s="358">
        <f>IF('Other Cost'!$B$4="X",'Other Cost'!L4,0)</f>
        <v>-315000</v>
      </c>
      <c r="P562" s="358">
        <f>IF('Other Cost'!$B$4="X",'Other Cost'!M4,0)</f>
        <v>-315000</v>
      </c>
      <c r="Q562" s="358">
        <f>IF('Other Cost'!$B$4="X",'Other Cost'!N4,0)</f>
        <v>-315000</v>
      </c>
      <c r="R562" s="358">
        <f>IF('Other Cost'!$B$4="X",'Other Cost'!O4,0)</f>
        <v>-315000</v>
      </c>
      <c r="S562" s="358">
        <f>IF('Other Cost'!$B$4="X",'Other Cost'!P4,0)</f>
        <v>-315000</v>
      </c>
      <c r="T562" s="358">
        <f>IF('Other Cost'!$B$4="X",'Other Cost'!Q4,0)</f>
        <v>-315000</v>
      </c>
      <c r="U562" s="358">
        <f>IF('Other Cost'!$B$4="X",'Other Cost'!R4,0)</f>
        <v>-315000</v>
      </c>
      <c r="V562" s="358">
        <f>IF('Other Cost'!$B$4="X",'Other Cost'!S4,0)</f>
        <v>-315000</v>
      </c>
      <c r="W562" s="358">
        <f>IF('Other Cost'!$B$4="X",'Other Cost'!T4,0)</f>
        <v>-315000</v>
      </c>
      <c r="X562" s="358">
        <f>IF('Other Cost'!$B$4="X",'Other Cost'!U4,0)</f>
        <v>-315000</v>
      </c>
      <c r="Y562" s="358">
        <f>IF('Other Cost'!$B$4="X",'Other Cost'!V4,0)</f>
        <v>-315000</v>
      </c>
      <c r="Z562" s="358">
        <f>IF('Other Cost'!$B$4="X",'Other Cost'!W4,0)</f>
        <v>-315000</v>
      </c>
      <c r="AA562" s="358">
        <f>IF('Other Cost'!$B$4="X",'Other Cost'!X4,0)</f>
        <v>-315000</v>
      </c>
      <c r="AB562" s="358">
        <f>IF('Other Cost'!$B$4="X",'Other Cost'!Y4,0)</f>
        <v>-315000</v>
      </c>
      <c r="AC562" s="358">
        <f>IF('Other Cost'!$B$4="X",'Other Cost'!Z4,0)</f>
        <v>-315000</v>
      </c>
      <c r="AD562" s="358">
        <f>IF('Other Cost'!$B$4="X",'Other Cost'!AA4,0)</f>
        <v>-315000</v>
      </c>
      <c r="AE562" s="358">
        <f>IF('Other Cost'!$B$4="X",'Other Cost'!AB4,0)</f>
        <v>-315000</v>
      </c>
      <c r="AF562" s="358">
        <f>IF('Other Cost'!$B$4="X",'Other Cost'!AC4,0)</f>
        <v>-315000</v>
      </c>
      <c r="AG562" s="358">
        <f>IF('Other Cost'!$B$4="X",'Other Cost'!AD4,0)</f>
        <v>-315000</v>
      </c>
      <c r="AH562" s="358">
        <f>IF('Other Cost'!$B$4="X",'Other Cost'!AE4,0)</f>
        <v>-315000</v>
      </c>
      <c r="AI562" s="358">
        <f>IF('Other Cost'!$B$4="X",'Other Cost'!AF4,0)</f>
        <v>-315000</v>
      </c>
      <c r="AJ562" s="358">
        <f>IF('Other Cost'!$B$4="X",'Other Cost'!AG4,0)</f>
        <v>-315000</v>
      </c>
      <c r="AK562" s="358">
        <f>IF('Other Cost'!$B$4="X",'Other Cost'!AH4,0)</f>
        <v>-315000</v>
      </c>
      <c r="AL562" s="358">
        <f>IF('Other Cost'!$B$4="X",'Other Cost'!AI4,0)</f>
        <v>-315000</v>
      </c>
      <c r="AM562" s="358">
        <f>IF('Other Cost'!$B$4="X",'Other Cost'!AJ4,0)</f>
        <v>-315000</v>
      </c>
      <c r="AN562" s="358">
        <f>IF('Other Cost'!$B$4="X",'Other Cost'!AK4,0)</f>
        <v>-315000</v>
      </c>
      <c r="AO562" s="358">
        <f>IF('Other Cost'!$B$4="X",'Other Cost'!AL4,0)</f>
        <v>-315000</v>
      </c>
      <c r="AP562" s="358">
        <f>IF('Other Cost'!$B$4="X",'Other Cost'!AM4,0)</f>
        <v>-315000</v>
      </c>
      <c r="AQ562" s="358">
        <f>IF('Other Cost'!$B$4="X",'Other Cost'!AN4,0)</f>
        <v>-315000</v>
      </c>
      <c r="AR562" s="358">
        <f>IF('Other Cost'!$B$4="X",'Other Cost'!AO4,0)</f>
        <v>-315000</v>
      </c>
      <c r="AS562" s="358">
        <f>IF('Other Cost'!$B$4="X",'Other Cost'!AP4,0)</f>
        <v>-315000</v>
      </c>
      <c r="AT562" s="358">
        <f>IF('Other Cost'!$B$4="X",'Other Cost'!AQ4,0)</f>
        <v>-315000</v>
      </c>
      <c r="AU562" s="358"/>
      <c r="AV562" s="358">
        <f t="shared" si="353"/>
        <v>-1575000</v>
      </c>
      <c r="AX562" s="358">
        <f t="shared" si="354"/>
        <v>-1575000</v>
      </c>
      <c r="AZ562" s="358">
        <f t="shared" si="355"/>
        <v>-1575000</v>
      </c>
      <c r="BB562" s="358">
        <f t="shared" si="356"/>
        <v>-1575000</v>
      </c>
      <c r="BD562" s="358">
        <f t="shared" si="357"/>
        <v>-1575000</v>
      </c>
      <c r="BF562" s="358">
        <f t="shared" si="358"/>
        <v>-1575000</v>
      </c>
      <c r="BH562" s="358">
        <f t="shared" si="359"/>
        <v>-1575000</v>
      </c>
    </row>
    <row r="563" spans="1:60" collapsed="1">
      <c r="A563" s="1464"/>
      <c r="B563" s="1464"/>
      <c r="C563" s="1464"/>
      <c r="D563" s="1272" t="s">
        <v>274</v>
      </c>
      <c r="E563" s="1270" t="str">
        <f>E533</f>
        <v>2010$</v>
      </c>
      <c r="F563" s="1461">
        <f t="shared" ca="1" si="344"/>
        <v>-9533811.3157307822</v>
      </c>
      <c r="G563" s="1277">
        <f t="shared" ref="G563:AT563" ca="1" si="381">SUM(G533:G562)</f>
        <v>-200000</v>
      </c>
      <c r="H563" s="1277">
        <f t="shared" ca="1" si="381"/>
        <v>-1315000</v>
      </c>
      <c r="I563" s="1277">
        <f t="shared" ca="1" si="381"/>
        <v>-529475</v>
      </c>
      <c r="J563" s="1277">
        <f t="shared" ca="1" si="381"/>
        <v>-553950</v>
      </c>
      <c r="K563" s="1277">
        <f t="shared" ca="1" si="381"/>
        <v>-563425</v>
      </c>
      <c r="L563" s="1277">
        <f t="shared" ca="1" si="381"/>
        <v>-580900</v>
      </c>
      <c r="M563" s="1277">
        <f t="shared" ca="1" si="381"/>
        <v>-583375</v>
      </c>
      <c r="N563" s="1277">
        <f t="shared" ca="1" si="381"/>
        <v>-585850</v>
      </c>
      <c r="O563" s="1277">
        <f t="shared" ca="1" si="381"/>
        <v>-588325</v>
      </c>
      <c r="P563" s="1277">
        <f t="shared" ca="1" si="381"/>
        <v>-590800</v>
      </c>
      <c r="Q563" s="1277">
        <f t="shared" ca="1" si="381"/>
        <v>-593275</v>
      </c>
      <c r="R563" s="1277">
        <f t="shared" ca="1" si="381"/>
        <v>-595750</v>
      </c>
      <c r="S563" s="1277">
        <f t="shared" ca="1" si="381"/>
        <v>-595750</v>
      </c>
      <c r="T563" s="1277">
        <f t="shared" ca="1" si="381"/>
        <v>-595750</v>
      </c>
      <c r="U563" s="1277">
        <f t="shared" ca="1" si="381"/>
        <v>-595750</v>
      </c>
      <c r="V563" s="1277">
        <f t="shared" ca="1" si="381"/>
        <v>-595750</v>
      </c>
      <c r="W563" s="1277">
        <f t="shared" ca="1" si="381"/>
        <v>-595750</v>
      </c>
      <c r="X563" s="1277">
        <f t="shared" ca="1" si="381"/>
        <v>-595750</v>
      </c>
      <c r="Y563" s="1277">
        <f t="shared" ca="1" si="381"/>
        <v>-595750</v>
      </c>
      <c r="Z563" s="1277">
        <f t="shared" ca="1" si="381"/>
        <v>-595750</v>
      </c>
      <c r="AA563" s="1277">
        <f t="shared" ca="1" si="381"/>
        <v>-595750</v>
      </c>
      <c r="AB563" s="1277">
        <f t="shared" ca="1" si="381"/>
        <v>-595750</v>
      </c>
      <c r="AC563" s="1277">
        <f t="shared" ca="1" si="381"/>
        <v>-595750</v>
      </c>
      <c r="AD563" s="1277">
        <f t="shared" ca="1" si="381"/>
        <v>-595750</v>
      </c>
      <c r="AE563" s="1277">
        <f t="shared" ca="1" si="381"/>
        <v>-595750</v>
      </c>
      <c r="AF563" s="1277">
        <f t="shared" ca="1" si="381"/>
        <v>-595750</v>
      </c>
      <c r="AG563" s="1277">
        <f t="shared" ca="1" si="381"/>
        <v>-595750</v>
      </c>
      <c r="AH563" s="1277">
        <f t="shared" ca="1" si="381"/>
        <v>-595750</v>
      </c>
      <c r="AI563" s="1277">
        <f t="shared" ca="1" si="381"/>
        <v>-595750</v>
      </c>
      <c r="AJ563" s="1277">
        <f t="shared" ca="1" si="381"/>
        <v>-595750</v>
      </c>
      <c r="AK563" s="1277">
        <f t="shared" ca="1" si="381"/>
        <v>-595750</v>
      </c>
      <c r="AL563" s="1277">
        <f t="shared" ca="1" si="381"/>
        <v>-595750</v>
      </c>
      <c r="AM563" s="1277">
        <f t="shared" ca="1" si="381"/>
        <v>-595750</v>
      </c>
      <c r="AN563" s="1277">
        <f t="shared" ca="1" si="381"/>
        <v>-595750</v>
      </c>
      <c r="AO563" s="1277">
        <f t="shared" ca="1" si="381"/>
        <v>-595750</v>
      </c>
      <c r="AP563" s="1277">
        <f t="shared" ca="1" si="381"/>
        <v>-595750</v>
      </c>
      <c r="AQ563" s="1277">
        <f t="shared" ca="1" si="381"/>
        <v>-595750</v>
      </c>
      <c r="AR563" s="1277">
        <f t="shared" ca="1" si="381"/>
        <v>-595750</v>
      </c>
      <c r="AS563" s="1277">
        <f t="shared" ca="1" si="381"/>
        <v>-595750</v>
      </c>
      <c r="AT563" s="1277">
        <f t="shared" ca="1" si="381"/>
        <v>-595750</v>
      </c>
      <c r="AV563" s="1277">
        <f t="shared" ca="1" si="353"/>
        <v>-2929250</v>
      </c>
      <c r="AX563" s="1277">
        <f t="shared" ca="1" si="354"/>
        <v>-2976275</v>
      </c>
      <c r="AZ563" s="1277">
        <f t="shared" ca="1" si="355"/>
        <v>-2978750</v>
      </c>
      <c r="BB563" s="1277">
        <f t="shared" ca="1" si="356"/>
        <v>-2978750</v>
      </c>
      <c r="BD563" s="1277">
        <f t="shared" ca="1" si="357"/>
        <v>-2978750</v>
      </c>
      <c r="BF563" s="1277">
        <f t="shared" ca="1" si="358"/>
        <v>-2978750</v>
      </c>
      <c r="BH563" s="1277">
        <f t="shared" ca="1" si="359"/>
        <v>-2978750</v>
      </c>
    </row>
    <row r="564" spans="1:60" hidden="1" outlineLevel="1">
      <c r="A564" s="1464">
        <v>18</v>
      </c>
      <c r="B564" s="1464">
        <v>38</v>
      </c>
      <c r="C564" s="1464">
        <v>1</v>
      </c>
      <c r="D564" s="1271" t="str">
        <f ca="1">IF(OFFSET(PortfolioDashboard!$A$3,C564-1,0)="","Blank",OFFSET(PortfolioDashboard!$A$3,C564-1,0))</f>
        <v>Behavior Change</v>
      </c>
      <c r="E564" s="1464" t="s">
        <v>1197</v>
      </c>
      <c r="F564" s="1460">
        <f t="shared" ref="F564:F593" ca="1" si="382">NPV(DiscountRate,G564:AT564)</f>
        <v>-888587.81999004784</v>
      </c>
      <c r="G564" s="358">
        <f t="shared" ref="G564:G593" ca="1" si="383">G502+G533</f>
        <v>0</v>
      </c>
      <c r="H564" s="358">
        <f t="shared" ref="H564:AT570" ca="1" si="384">H502+H533</f>
        <v>0</v>
      </c>
      <c r="I564" s="358">
        <f t="shared" ca="1" si="384"/>
        <v>-100000</v>
      </c>
      <c r="J564" s="358">
        <f t="shared" ca="1" si="384"/>
        <v>-100000</v>
      </c>
      <c r="K564" s="358">
        <f t="shared" ca="1" si="384"/>
        <v>-100000</v>
      </c>
      <c r="L564" s="358">
        <f t="shared" ca="1" si="384"/>
        <v>-100000</v>
      </c>
      <c r="M564" s="358">
        <f t="shared" ca="1" si="384"/>
        <v>-100000</v>
      </c>
      <c r="N564" s="358">
        <f t="shared" ca="1" si="384"/>
        <v>-50000</v>
      </c>
      <c r="O564" s="358">
        <f t="shared" ca="1" si="384"/>
        <v>-50000</v>
      </c>
      <c r="P564" s="358">
        <f t="shared" ca="1" si="384"/>
        <v>-50000</v>
      </c>
      <c r="Q564" s="358">
        <f t="shared" ca="1" si="384"/>
        <v>-50000</v>
      </c>
      <c r="R564" s="358">
        <f t="shared" ca="1" si="384"/>
        <v>-50000</v>
      </c>
      <c r="S564" s="358">
        <f t="shared" ca="1" si="384"/>
        <v>-50000</v>
      </c>
      <c r="T564" s="358">
        <f t="shared" ca="1" si="384"/>
        <v>-50000</v>
      </c>
      <c r="U564" s="358">
        <f t="shared" ca="1" si="384"/>
        <v>-50000</v>
      </c>
      <c r="V564" s="358">
        <f t="shared" ca="1" si="384"/>
        <v>-50000</v>
      </c>
      <c r="W564" s="358">
        <f t="shared" ca="1" si="384"/>
        <v>-50000</v>
      </c>
      <c r="X564" s="358">
        <f t="shared" ca="1" si="384"/>
        <v>-50000</v>
      </c>
      <c r="Y564" s="358">
        <f t="shared" ca="1" si="384"/>
        <v>-50000</v>
      </c>
      <c r="Z564" s="358">
        <f t="shared" ca="1" si="384"/>
        <v>-50000</v>
      </c>
      <c r="AA564" s="358">
        <f t="shared" ca="1" si="384"/>
        <v>-50000</v>
      </c>
      <c r="AB564" s="358">
        <f t="shared" ca="1" si="384"/>
        <v>-50000</v>
      </c>
      <c r="AC564" s="358">
        <f t="shared" ca="1" si="384"/>
        <v>-50000</v>
      </c>
      <c r="AD564" s="358">
        <f t="shared" ca="1" si="384"/>
        <v>-50000</v>
      </c>
      <c r="AE564" s="358">
        <f t="shared" ca="1" si="384"/>
        <v>-50000</v>
      </c>
      <c r="AF564" s="358">
        <f t="shared" ca="1" si="384"/>
        <v>-50000</v>
      </c>
      <c r="AG564" s="358">
        <f t="shared" ca="1" si="384"/>
        <v>-50000</v>
      </c>
      <c r="AH564" s="358">
        <f t="shared" ca="1" si="384"/>
        <v>-50000</v>
      </c>
      <c r="AI564" s="358">
        <f t="shared" ca="1" si="384"/>
        <v>-50000</v>
      </c>
      <c r="AJ564" s="358">
        <f t="shared" ca="1" si="384"/>
        <v>-50000</v>
      </c>
      <c r="AK564" s="358">
        <f t="shared" ca="1" si="384"/>
        <v>-50000</v>
      </c>
      <c r="AL564" s="358">
        <f t="shared" ca="1" si="384"/>
        <v>-50000</v>
      </c>
      <c r="AM564" s="358">
        <f t="shared" ca="1" si="384"/>
        <v>-50000</v>
      </c>
      <c r="AN564" s="358">
        <f t="shared" ca="1" si="384"/>
        <v>-50000</v>
      </c>
      <c r="AO564" s="358">
        <f t="shared" ca="1" si="384"/>
        <v>-50000</v>
      </c>
      <c r="AP564" s="358">
        <f t="shared" ca="1" si="384"/>
        <v>-50000</v>
      </c>
      <c r="AQ564" s="358">
        <f t="shared" ca="1" si="384"/>
        <v>-50000</v>
      </c>
      <c r="AR564" s="358">
        <f t="shared" ca="1" si="384"/>
        <v>-50000</v>
      </c>
      <c r="AS564" s="358">
        <f t="shared" ca="1" si="384"/>
        <v>-50000</v>
      </c>
      <c r="AT564" s="358">
        <f t="shared" ca="1" si="384"/>
        <v>-50000</v>
      </c>
      <c r="AU564" s="358"/>
      <c r="AV564" s="358">
        <f t="shared" ref="AV564:AV593" ca="1" si="385">SUM(L564:P564)</f>
        <v>-350000</v>
      </c>
      <c r="AX564" s="358">
        <f t="shared" ref="AX564:AX593" ca="1" si="386">SUM(Q564:U564)</f>
        <v>-250000</v>
      </c>
      <c r="AZ564" s="358">
        <f t="shared" ref="AZ564:AZ593" ca="1" si="387">SUM(V564:Z564)</f>
        <v>-250000</v>
      </c>
      <c r="BB564" s="358">
        <f t="shared" ref="BB564:BB593" ca="1" si="388">SUM(AA564:AE564)</f>
        <v>-250000</v>
      </c>
      <c r="BD564" s="358">
        <f t="shared" ref="BD564:BD593" ca="1" si="389">SUM(AF564:AJ564)</f>
        <v>-250000</v>
      </c>
      <c r="BF564" s="358">
        <f t="shared" ref="BF564:BF593" ca="1" si="390">SUM(AK564:AO564)</f>
        <v>-250000</v>
      </c>
      <c r="BH564" s="358">
        <f t="shared" ref="BH564:BH593" ca="1" si="391">SUM(AP564:AT564)</f>
        <v>-250000</v>
      </c>
    </row>
    <row r="565" spans="1:60" hidden="1" outlineLevel="1">
      <c r="A565" s="1464">
        <f>A564</f>
        <v>18</v>
      </c>
      <c r="B565" s="1464">
        <f>B564</f>
        <v>38</v>
      </c>
      <c r="C565" s="1464">
        <f>C564+1</f>
        <v>2</v>
      </c>
      <c r="D565" s="1271" t="str">
        <f ca="1">IF(OFFSET(PortfolioDashboard!$A$3,C565-1,0)="","Blank",OFFSET(PortfolioDashboard!$A$3,C565-1,0))</f>
        <v>Building Design &amp; Construction Standards</v>
      </c>
      <c r="E565" s="1464" t="str">
        <f>E564</f>
        <v>2010$</v>
      </c>
      <c r="F565" s="1460">
        <f t="shared" ca="1" si="382"/>
        <v>-89643.645147354444</v>
      </c>
      <c r="G565" s="358">
        <f t="shared" ca="1" si="383"/>
        <v>0</v>
      </c>
      <c r="H565" s="358">
        <f t="shared" ref="H565:V565" ca="1" si="392">H503+H534</f>
        <v>-100000</v>
      </c>
      <c r="I565" s="358">
        <f t="shared" ca="1" si="392"/>
        <v>0</v>
      </c>
      <c r="J565" s="358">
        <f t="shared" ca="1" si="392"/>
        <v>0</v>
      </c>
      <c r="K565" s="358">
        <f t="shared" ca="1" si="392"/>
        <v>0</v>
      </c>
      <c r="L565" s="358">
        <f t="shared" ca="1" si="392"/>
        <v>0</v>
      </c>
      <c r="M565" s="358">
        <f t="shared" ca="1" si="392"/>
        <v>0</v>
      </c>
      <c r="N565" s="358">
        <f t="shared" ca="1" si="392"/>
        <v>0</v>
      </c>
      <c r="O565" s="358">
        <f t="shared" ca="1" si="392"/>
        <v>0</v>
      </c>
      <c r="P565" s="358">
        <f t="shared" ca="1" si="392"/>
        <v>0</v>
      </c>
      <c r="Q565" s="358">
        <f t="shared" ca="1" si="392"/>
        <v>0</v>
      </c>
      <c r="R565" s="358">
        <f t="shared" ca="1" si="392"/>
        <v>0</v>
      </c>
      <c r="S565" s="358">
        <f t="shared" ca="1" si="392"/>
        <v>0</v>
      </c>
      <c r="T565" s="358">
        <f t="shared" ca="1" si="392"/>
        <v>0</v>
      </c>
      <c r="U565" s="358">
        <f t="shared" ca="1" si="392"/>
        <v>0</v>
      </c>
      <c r="V565" s="358">
        <f t="shared" ca="1" si="392"/>
        <v>0</v>
      </c>
      <c r="W565" s="358">
        <f t="shared" ca="1" si="384"/>
        <v>0</v>
      </c>
      <c r="X565" s="358">
        <f t="shared" ca="1" si="384"/>
        <v>0</v>
      </c>
      <c r="Y565" s="358">
        <f t="shared" ca="1" si="384"/>
        <v>0</v>
      </c>
      <c r="Z565" s="358">
        <f t="shared" ca="1" si="384"/>
        <v>0</v>
      </c>
      <c r="AA565" s="358">
        <f t="shared" ca="1" si="384"/>
        <v>0</v>
      </c>
      <c r="AB565" s="358">
        <f t="shared" ca="1" si="384"/>
        <v>0</v>
      </c>
      <c r="AC565" s="358">
        <f t="shared" ca="1" si="384"/>
        <v>0</v>
      </c>
      <c r="AD565" s="358">
        <f t="shared" ca="1" si="384"/>
        <v>0</v>
      </c>
      <c r="AE565" s="358">
        <f t="shared" ca="1" si="384"/>
        <v>0</v>
      </c>
      <c r="AF565" s="358">
        <f t="shared" ca="1" si="384"/>
        <v>0</v>
      </c>
      <c r="AG565" s="358">
        <f t="shared" ca="1" si="384"/>
        <v>0</v>
      </c>
      <c r="AH565" s="358">
        <f t="shared" ca="1" si="384"/>
        <v>0</v>
      </c>
      <c r="AI565" s="358">
        <f t="shared" ca="1" si="384"/>
        <v>0</v>
      </c>
      <c r="AJ565" s="358">
        <f t="shared" ca="1" si="384"/>
        <v>0</v>
      </c>
      <c r="AK565" s="358">
        <f t="shared" ca="1" si="384"/>
        <v>0</v>
      </c>
      <c r="AL565" s="358">
        <f t="shared" ca="1" si="384"/>
        <v>0</v>
      </c>
      <c r="AM565" s="358">
        <f t="shared" ca="1" si="384"/>
        <v>0</v>
      </c>
      <c r="AN565" s="358">
        <f t="shared" ca="1" si="384"/>
        <v>0</v>
      </c>
      <c r="AO565" s="358">
        <f t="shared" ca="1" si="384"/>
        <v>0</v>
      </c>
      <c r="AP565" s="358">
        <f t="shared" ca="1" si="384"/>
        <v>0</v>
      </c>
      <c r="AQ565" s="358">
        <f t="shared" ca="1" si="384"/>
        <v>0</v>
      </c>
      <c r="AR565" s="358">
        <f t="shared" ca="1" si="384"/>
        <v>0</v>
      </c>
      <c r="AS565" s="358">
        <f t="shared" ca="1" si="384"/>
        <v>0</v>
      </c>
      <c r="AT565" s="358">
        <f t="shared" ca="1" si="384"/>
        <v>0</v>
      </c>
      <c r="AU565" s="358"/>
      <c r="AV565" s="358">
        <f t="shared" ca="1" si="385"/>
        <v>0</v>
      </c>
      <c r="AX565" s="358">
        <f t="shared" ca="1" si="386"/>
        <v>0</v>
      </c>
      <c r="AZ565" s="358">
        <f t="shared" ca="1" si="387"/>
        <v>0</v>
      </c>
      <c r="BB565" s="358">
        <f t="shared" ca="1" si="388"/>
        <v>0</v>
      </c>
      <c r="BD565" s="358">
        <f t="shared" ca="1" si="389"/>
        <v>0</v>
      </c>
      <c r="BF565" s="358">
        <f t="shared" ca="1" si="390"/>
        <v>0</v>
      </c>
      <c r="BH565" s="358">
        <f t="shared" ca="1" si="391"/>
        <v>0</v>
      </c>
    </row>
    <row r="566" spans="1:60" hidden="1" outlineLevel="1">
      <c r="A566" s="1464">
        <f t="shared" ref="A566:B581" si="393">A565</f>
        <v>18</v>
      </c>
      <c r="B566" s="1464">
        <f t="shared" si="393"/>
        <v>38</v>
      </c>
      <c r="C566" s="1464">
        <f t="shared" ref="C566:C593" si="394">C565+1</f>
        <v>3</v>
      </c>
      <c r="D566" s="1271" t="str">
        <f ca="1">IF(OFFSET(PortfolioDashboard!$A$3,C566-1,0)="","Blank",OFFSET(PortfolioDashboard!$A$3,C566-1,0))</f>
        <v>Space Planning &amp; Management</v>
      </c>
      <c r="E566" s="1464" t="str">
        <f t="shared" ref="E566:E593" si="395">E565</f>
        <v>2010$</v>
      </c>
      <c r="F566" s="1460">
        <f t="shared" ca="1" si="382"/>
        <v>43962326.807020895</v>
      </c>
      <c r="G566" s="358">
        <f t="shared" ca="1" si="383"/>
        <v>0</v>
      </c>
      <c r="H566" s="358">
        <f t="shared" ca="1" si="384"/>
        <v>109357.34419598413</v>
      </c>
      <c r="I566" s="358">
        <f t="shared" ca="1" si="384"/>
        <v>614036.0162939775</v>
      </c>
      <c r="J566" s="358">
        <f t="shared" ca="1" si="384"/>
        <v>818714.68839196826</v>
      </c>
      <c r="K566" s="358">
        <f t="shared" ca="1" si="384"/>
        <v>1023393.3604899617</v>
      </c>
      <c r="L566" s="358">
        <f t="shared" ca="1" si="384"/>
        <v>1228072.032587955</v>
      </c>
      <c r="M566" s="358">
        <f t="shared" ca="1" si="384"/>
        <v>1432750.7046859458</v>
      </c>
      <c r="N566" s="358">
        <f t="shared" ca="1" si="384"/>
        <v>1637429.3767839391</v>
      </c>
      <c r="O566" s="358">
        <f t="shared" ca="1" si="384"/>
        <v>1842108.0488819298</v>
      </c>
      <c r="P566" s="358">
        <f t="shared" ca="1" si="384"/>
        <v>2046786.7209799234</v>
      </c>
      <c r="Q566" s="358">
        <f t="shared" ca="1" si="384"/>
        <v>2251465.3930779141</v>
      </c>
      <c r="R566" s="358">
        <f t="shared" ca="1" si="384"/>
        <v>2456144.0651759072</v>
      </c>
      <c r="S566" s="358">
        <f t="shared" ca="1" si="384"/>
        <v>2660822.7372739008</v>
      </c>
      <c r="T566" s="358">
        <f t="shared" ca="1" si="384"/>
        <v>2865501.4093718915</v>
      </c>
      <c r="U566" s="358">
        <f t="shared" ca="1" si="384"/>
        <v>3070180.0814698851</v>
      </c>
      <c r="V566" s="358">
        <f t="shared" ca="1" si="384"/>
        <v>3274858.7535678782</v>
      </c>
      <c r="W566" s="358">
        <f t="shared" ca="1" si="384"/>
        <v>3479537.4256658689</v>
      </c>
      <c r="X566" s="358">
        <f t="shared" ca="1" si="384"/>
        <v>3684216.0977638625</v>
      </c>
      <c r="Y566" s="358">
        <f t="shared" ca="1" si="384"/>
        <v>3888894.7698618532</v>
      </c>
      <c r="Z566" s="358">
        <f t="shared" ca="1" si="384"/>
        <v>4093573.4419598468</v>
      </c>
      <c r="AA566" s="358">
        <f t="shared" ca="1" si="384"/>
        <v>4298252.1140578371</v>
      </c>
      <c r="AB566" s="358">
        <f t="shared" ca="1" si="384"/>
        <v>4502930.7861558311</v>
      </c>
      <c r="AC566" s="358">
        <f t="shared" ca="1" si="384"/>
        <v>4707609.4582538242</v>
      </c>
      <c r="AD566" s="358">
        <f t="shared" ca="1" si="384"/>
        <v>4912288.1303518144</v>
      </c>
      <c r="AE566" s="358">
        <f t="shared" ca="1" si="384"/>
        <v>5116966.8024498075</v>
      </c>
      <c r="AF566" s="358">
        <f t="shared" ca="1" si="384"/>
        <v>5321645.4745478015</v>
      </c>
      <c r="AG566" s="358">
        <f t="shared" ca="1" si="384"/>
        <v>5526324.1466457918</v>
      </c>
      <c r="AH566" s="358">
        <f t="shared" ca="1" si="384"/>
        <v>5731002.818743783</v>
      </c>
      <c r="AI566" s="358">
        <f t="shared" ca="1" si="384"/>
        <v>5935681.4908417761</v>
      </c>
      <c r="AJ566" s="358">
        <f t="shared" ca="1" si="384"/>
        <v>6140360.1629397701</v>
      </c>
      <c r="AK566" s="358">
        <f t="shared" ca="1" si="384"/>
        <v>6345038.8350377604</v>
      </c>
      <c r="AL566" s="358">
        <f t="shared" ca="1" si="384"/>
        <v>6549717.5071357545</v>
      </c>
      <c r="AM566" s="358">
        <f t="shared" ca="1" si="384"/>
        <v>6754396.1792337466</v>
      </c>
      <c r="AN566" s="358">
        <f t="shared" ca="1" si="384"/>
        <v>6959074.8513317378</v>
      </c>
      <c r="AO566" s="358">
        <f t="shared" ca="1" si="384"/>
        <v>7163753.5234297309</v>
      </c>
      <c r="AP566" s="358">
        <f t="shared" ca="1" si="384"/>
        <v>7368432.1955277249</v>
      </c>
      <c r="AQ566" s="358">
        <f t="shared" ca="1" si="384"/>
        <v>7573110.8676257152</v>
      </c>
      <c r="AR566" s="358">
        <f t="shared" ca="1" si="384"/>
        <v>7777789.5397237064</v>
      </c>
      <c r="AS566" s="358">
        <f t="shared" ca="1" si="384"/>
        <v>7982468.2118216995</v>
      </c>
      <c r="AT566" s="358">
        <f t="shared" ca="1" si="384"/>
        <v>8187146.8839196935</v>
      </c>
      <c r="AU566" s="358"/>
      <c r="AV566" s="358">
        <f t="shared" ca="1" si="385"/>
        <v>8187146.8839196935</v>
      </c>
      <c r="AX566" s="358">
        <f t="shared" ca="1" si="386"/>
        <v>13304113.686369497</v>
      </c>
      <c r="AZ566" s="358">
        <f t="shared" ca="1" si="387"/>
        <v>18421080.488819309</v>
      </c>
      <c r="BB566" s="358">
        <f t="shared" ca="1" si="388"/>
        <v>23538047.291269116</v>
      </c>
      <c r="BD566" s="358">
        <f t="shared" ca="1" si="389"/>
        <v>28655014.093718924</v>
      </c>
      <c r="BF566" s="358">
        <f t="shared" ca="1" si="390"/>
        <v>33771980.896168731</v>
      </c>
      <c r="BH566" s="358">
        <f t="shared" ca="1" si="391"/>
        <v>38888947.698618539</v>
      </c>
    </row>
    <row r="567" spans="1:60" hidden="1" outlineLevel="1">
      <c r="A567" s="1464">
        <f t="shared" si="393"/>
        <v>18</v>
      </c>
      <c r="B567" s="1464">
        <f t="shared" si="393"/>
        <v>38</v>
      </c>
      <c r="C567" s="1464">
        <f t="shared" si="394"/>
        <v>4</v>
      </c>
      <c r="D567" s="1271" t="str">
        <f ca="1">IF(OFFSET(PortfolioDashboard!$A$3,C567-1,0)="","Blank",OFFSET(PortfolioDashboard!$A$3,C567-1,0))</f>
        <v>Central Chiller Expansion</v>
      </c>
      <c r="E567" s="1464" t="str">
        <f t="shared" si="395"/>
        <v>2010$</v>
      </c>
      <c r="F567" s="1460">
        <f t="shared" ca="1" si="382"/>
        <v>0</v>
      </c>
      <c r="G567" s="358">
        <f t="shared" ca="1" si="383"/>
        <v>0</v>
      </c>
      <c r="H567" s="358">
        <f t="shared" ca="1" si="384"/>
        <v>0</v>
      </c>
      <c r="I567" s="358">
        <f t="shared" ca="1" si="384"/>
        <v>0</v>
      </c>
      <c r="J567" s="358">
        <f t="shared" ca="1" si="384"/>
        <v>0</v>
      </c>
      <c r="K567" s="358">
        <f t="shared" ca="1" si="384"/>
        <v>0</v>
      </c>
      <c r="L567" s="358">
        <f t="shared" ca="1" si="384"/>
        <v>0</v>
      </c>
      <c r="M567" s="358">
        <f t="shared" ca="1" si="384"/>
        <v>0</v>
      </c>
      <c r="N567" s="358">
        <f t="shared" ca="1" si="384"/>
        <v>0</v>
      </c>
      <c r="O567" s="358">
        <f t="shared" ca="1" si="384"/>
        <v>0</v>
      </c>
      <c r="P567" s="358">
        <f t="shared" ca="1" si="384"/>
        <v>0</v>
      </c>
      <c r="Q567" s="358">
        <f t="shared" ca="1" si="384"/>
        <v>0</v>
      </c>
      <c r="R567" s="358">
        <f t="shared" ca="1" si="384"/>
        <v>0</v>
      </c>
      <c r="S567" s="358">
        <f t="shared" ca="1" si="384"/>
        <v>0</v>
      </c>
      <c r="T567" s="358">
        <f t="shared" ca="1" si="384"/>
        <v>0</v>
      </c>
      <c r="U567" s="358">
        <f t="shared" ca="1" si="384"/>
        <v>0</v>
      </c>
      <c r="V567" s="358">
        <f t="shared" ca="1" si="384"/>
        <v>0</v>
      </c>
      <c r="W567" s="358">
        <f t="shared" ca="1" si="384"/>
        <v>0</v>
      </c>
      <c r="X567" s="358">
        <f t="shared" ca="1" si="384"/>
        <v>0</v>
      </c>
      <c r="Y567" s="358">
        <f t="shared" ca="1" si="384"/>
        <v>0</v>
      </c>
      <c r="Z567" s="358">
        <f t="shared" ca="1" si="384"/>
        <v>0</v>
      </c>
      <c r="AA567" s="358">
        <f t="shared" ca="1" si="384"/>
        <v>0</v>
      </c>
      <c r="AB567" s="358">
        <f t="shared" ca="1" si="384"/>
        <v>0</v>
      </c>
      <c r="AC567" s="358">
        <f t="shared" ca="1" si="384"/>
        <v>0</v>
      </c>
      <c r="AD567" s="358">
        <f t="shared" ca="1" si="384"/>
        <v>0</v>
      </c>
      <c r="AE567" s="358">
        <f t="shared" ca="1" si="384"/>
        <v>0</v>
      </c>
      <c r="AF567" s="358">
        <f t="shared" ca="1" si="384"/>
        <v>0</v>
      </c>
      <c r="AG567" s="358">
        <f t="shared" ca="1" si="384"/>
        <v>0</v>
      </c>
      <c r="AH567" s="358">
        <f t="shared" ca="1" si="384"/>
        <v>0</v>
      </c>
      <c r="AI567" s="358">
        <f t="shared" ca="1" si="384"/>
        <v>0</v>
      </c>
      <c r="AJ567" s="358">
        <f t="shared" ca="1" si="384"/>
        <v>0</v>
      </c>
      <c r="AK567" s="358">
        <f t="shared" ca="1" si="384"/>
        <v>0</v>
      </c>
      <c r="AL567" s="358">
        <f t="shared" ca="1" si="384"/>
        <v>0</v>
      </c>
      <c r="AM567" s="358">
        <f t="shared" ca="1" si="384"/>
        <v>0</v>
      </c>
      <c r="AN567" s="358">
        <f t="shared" ca="1" si="384"/>
        <v>0</v>
      </c>
      <c r="AO567" s="358">
        <f t="shared" ca="1" si="384"/>
        <v>0</v>
      </c>
      <c r="AP567" s="358">
        <f t="shared" ca="1" si="384"/>
        <v>0</v>
      </c>
      <c r="AQ567" s="358">
        <f t="shared" ca="1" si="384"/>
        <v>0</v>
      </c>
      <c r="AR567" s="358">
        <f t="shared" ca="1" si="384"/>
        <v>0</v>
      </c>
      <c r="AS567" s="358">
        <f t="shared" ca="1" si="384"/>
        <v>0</v>
      </c>
      <c r="AT567" s="358">
        <f t="shared" ca="1" si="384"/>
        <v>0</v>
      </c>
      <c r="AU567" s="358"/>
      <c r="AV567" s="358">
        <f t="shared" ca="1" si="385"/>
        <v>0</v>
      </c>
      <c r="AX567" s="358">
        <f t="shared" ca="1" si="386"/>
        <v>0</v>
      </c>
      <c r="AZ567" s="358">
        <f t="shared" ca="1" si="387"/>
        <v>0</v>
      </c>
      <c r="BB567" s="358">
        <f t="shared" ca="1" si="388"/>
        <v>0</v>
      </c>
      <c r="BD567" s="358">
        <f t="shared" ca="1" si="389"/>
        <v>0</v>
      </c>
      <c r="BF567" s="358">
        <f t="shared" ca="1" si="390"/>
        <v>0</v>
      </c>
      <c r="BH567" s="358">
        <f t="shared" ca="1" si="391"/>
        <v>0</v>
      </c>
    </row>
    <row r="568" spans="1:60" hidden="1" outlineLevel="1">
      <c r="A568" s="1464">
        <f t="shared" si="393"/>
        <v>18</v>
      </c>
      <c r="B568" s="1464">
        <f t="shared" si="393"/>
        <v>38</v>
      </c>
      <c r="C568" s="1464">
        <f t="shared" si="394"/>
        <v>5</v>
      </c>
      <c r="D568" s="1271" t="str">
        <f ca="1">IF(OFFSET(PortfolioDashboard!$A$3,C568-1,0)="","Blank",OFFSET(PortfolioDashboard!$A$3,C568-1,0))</f>
        <v>Short-term Energy Conservation Measures</v>
      </c>
      <c r="E568" s="1464" t="str">
        <f t="shared" si="395"/>
        <v>2010$</v>
      </c>
      <c r="F568" s="1460">
        <f t="shared" ca="1" si="382"/>
        <v>0</v>
      </c>
      <c r="G568" s="358">
        <f t="shared" ca="1" si="383"/>
        <v>0</v>
      </c>
      <c r="H568" s="358">
        <f t="shared" ca="1" si="384"/>
        <v>0</v>
      </c>
      <c r="I568" s="358">
        <f t="shared" ca="1" si="384"/>
        <v>0</v>
      </c>
      <c r="J568" s="358">
        <f t="shared" ca="1" si="384"/>
        <v>0</v>
      </c>
      <c r="K568" s="358">
        <f t="shared" ca="1" si="384"/>
        <v>0</v>
      </c>
      <c r="L568" s="358">
        <f t="shared" ca="1" si="384"/>
        <v>0</v>
      </c>
      <c r="M568" s="358">
        <f t="shared" ca="1" si="384"/>
        <v>0</v>
      </c>
      <c r="N568" s="358">
        <f t="shared" ca="1" si="384"/>
        <v>0</v>
      </c>
      <c r="O568" s="358">
        <f t="shared" ca="1" si="384"/>
        <v>0</v>
      </c>
      <c r="P568" s="358">
        <f t="shared" ca="1" si="384"/>
        <v>0</v>
      </c>
      <c r="Q568" s="358">
        <f t="shared" ca="1" si="384"/>
        <v>0</v>
      </c>
      <c r="R568" s="358">
        <f t="shared" ca="1" si="384"/>
        <v>0</v>
      </c>
      <c r="S568" s="358">
        <f t="shared" ca="1" si="384"/>
        <v>0</v>
      </c>
      <c r="T568" s="358">
        <f t="shared" ca="1" si="384"/>
        <v>0</v>
      </c>
      <c r="U568" s="358">
        <f t="shared" ca="1" si="384"/>
        <v>0</v>
      </c>
      <c r="V568" s="358">
        <f t="shared" ca="1" si="384"/>
        <v>0</v>
      </c>
      <c r="W568" s="358">
        <f t="shared" ca="1" si="384"/>
        <v>0</v>
      </c>
      <c r="X568" s="358">
        <f t="shared" ca="1" si="384"/>
        <v>0</v>
      </c>
      <c r="Y568" s="358">
        <f t="shared" ca="1" si="384"/>
        <v>0</v>
      </c>
      <c r="Z568" s="358">
        <f t="shared" ca="1" si="384"/>
        <v>0</v>
      </c>
      <c r="AA568" s="358">
        <f t="shared" ca="1" si="384"/>
        <v>0</v>
      </c>
      <c r="AB568" s="358">
        <f t="shared" ca="1" si="384"/>
        <v>0</v>
      </c>
      <c r="AC568" s="358">
        <f t="shared" ca="1" si="384"/>
        <v>0</v>
      </c>
      <c r="AD568" s="358">
        <f t="shared" ca="1" si="384"/>
        <v>0</v>
      </c>
      <c r="AE568" s="358">
        <f t="shared" ca="1" si="384"/>
        <v>0</v>
      </c>
      <c r="AF568" s="358">
        <f t="shared" ca="1" si="384"/>
        <v>0</v>
      </c>
      <c r="AG568" s="358">
        <f t="shared" ca="1" si="384"/>
        <v>0</v>
      </c>
      <c r="AH568" s="358">
        <f t="shared" ca="1" si="384"/>
        <v>0</v>
      </c>
      <c r="AI568" s="358">
        <f t="shared" ca="1" si="384"/>
        <v>0</v>
      </c>
      <c r="AJ568" s="358">
        <f t="shared" ca="1" si="384"/>
        <v>0</v>
      </c>
      <c r="AK568" s="358">
        <f t="shared" ca="1" si="384"/>
        <v>0</v>
      </c>
      <c r="AL568" s="358">
        <f t="shared" ca="1" si="384"/>
        <v>0</v>
      </c>
      <c r="AM568" s="358">
        <f t="shared" ca="1" si="384"/>
        <v>0</v>
      </c>
      <c r="AN568" s="358">
        <f t="shared" ca="1" si="384"/>
        <v>0</v>
      </c>
      <c r="AO568" s="358">
        <f t="shared" ca="1" si="384"/>
        <v>0</v>
      </c>
      <c r="AP568" s="358">
        <f t="shared" ca="1" si="384"/>
        <v>0</v>
      </c>
      <c r="AQ568" s="358">
        <f t="shared" ca="1" si="384"/>
        <v>0</v>
      </c>
      <c r="AR568" s="358">
        <f t="shared" ca="1" si="384"/>
        <v>0</v>
      </c>
      <c r="AS568" s="358">
        <f t="shared" ca="1" si="384"/>
        <v>0</v>
      </c>
      <c r="AT568" s="358">
        <f t="shared" ca="1" si="384"/>
        <v>0</v>
      </c>
      <c r="AU568" s="358"/>
      <c r="AV568" s="358">
        <f t="shared" ca="1" si="385"/>
        <v>0</v>
      </c>
      <c r="AX568" s="358">
        <f t="shared" ca="1" si="386"/>
        <v>0</v>
      </c>
      <c r="AZ568" s="358">
        <f t="shared" ca="1" si="387"/>
        <v>0</v>
      </c>
      <c r="BB568" s="358">
        <f t="shared" ca="1" si="388"/>
        <v>0</v>
      </c>
      <c r="BD568" s="358">
        <f t="shared" ca="1" si="389"/>
        <v>0</v>
      </c>
      <c r="BF568" s="358">
        <f t="shared" ca="1" si="390"/>
        <v>0</v>
      </c>
      <c r="BH568" s="358">
        <f t="shared" ca="1" si="391"/>
        <v>0</v>
      </c>
    </row>
    <row r="569" spans="1:60" hidden="1" outlineLevel="1">
      <c r="A569" s="1464">
        <f t="shared" si="393"/>
        <v>18</v>
      </c>
      <c r="B569" s="1464">
        <f t="shared" si="393"/>
        <v>38</v>
      </c>
      <c r="C569" s="1464">
        <f t="shared" si="394"/>
        <v>6</v>
      </c>
      <c r="D569" s="1271" t="str">
        <f ca="1">IF(OFFSET(PortfolioDashboard!$A$3,C569-1,0)="","Blank",OFFSET(PortfolioDashboard!$A$3,C569-1,0))</f>
        <v>Mid-term Energy Conservation Measures</v>
      </c>
      <c r="E569" s="1464" t="str">
        <f t="shared" si="395"/>
        <v>2010$</v>
      </c>
      <c r="F569" s="1460">
        <f t="shared" ca="1" si="382"/>
        <v>0</v>
      </c>
      <c r="G569" s="358">
        <f t="shared" ca="1" si="383"/>
        <v>0</v>
      </c>
      <c r="H569" s="358">
        <f t="shared" ca="1" si="384"/>
        <v>0</v>
      </c>
      <c r="I569" s="358">
        <f t="shared" ca="1" si="384"/>
        <v>0</v>
      </c>
      <c r="J569" s="358">
        <f t="shared" ca="1" si="384"/>
        <v>0</v>
      </c>
      <c r="K569" s="358">
        <f t="shared" ca="1" si="384"/>
        <v>0</v>
      </c>
      <c r="L569" s="358">
        <f t="shared" ca="1" si="384"/>
        <v>0</v>
      </c>
      <c r="M569" s="358">
        <f t="shared" ca="1" si="384"/>
        <v>0</v>
      </c>
      <c r="N569" s="358">
        <f t="shared" ca="1" si="384"/>
        <v>0</v>
      </c>
      <c r="O569" s="358">
        <f t="shared" ca="1" si="384"/>
        <v>0</v>
      </c>
      <c r="P569" s="358">
        <f t="shared" ca="1" si="384"/>
        <v>0</v>
      </c>
      <c r="Q569" s="358">
        <f t="shared" ca="1" si="384"/>
        <v>0</v>
      </c>
      <c r="R569" s="358">
        <f t="shared" ca="1" si="384"/>
        <v>0</v>
      </c>
      <c r="S569" s="358">
        <f t="shared" ca="1" si="384"/>
        <v>0</v>
      </c>
      <c r="T569" s="358">
        <f t="shared" ca="1" si="384"/>
        <v>0</v>
      </c>
      <c r="U569" s="358">
        <f t="shared" ca="1" si="384"/>
        <v>0</v>
      </c>
      <c r="V569" s="358">
        <f t="shared" ca="1" si="384"/>
        <v>0</v>
      </c>
      <c r="W569" s="358">
        <f t="shared" ca="1" si="384"/>
        <v>0</v>
      </c>
      <c r="X569" s="358">
        <f t="shared" ca="1" si="384"/>
        <v>0</v>
      </c>
      <c r="Y569" s="358">
        <f t="shared" ca="1" si="384"/>
        <v>0</v>
      </c>
      <c r="Z569" s="358">
        <f t="shared" ca="1" si="384"/>
        <v>0</v>
      </c>
      <c r="AA569" s="358">
        <f t="shared" ca="1" si="384"/>
        <v>0</v>
      </c>
      <c r="AB569" s="358">
        <f t="shared" ca="1" si="384"/>
        <v>0</v>
      </c>
      <c r="AC569" s="358">
        <f t="shared" ca="1" si="384"/>
        <v>0</v>
      </c>
      <c r="AD569" s="358">
        <f t="shared" ca="1" si="384"/>
        <v>0</v>
      </c>
      <c r="AE569" s="358">
        <f t="shared" ca="1" si="384"/>
        <v>0</v>
      </c>
      <c r="AF569" s="358">
        <f t="shared" ca="1" si="384"/>
        <v>0</v>
      </c>
      <c r="AG569" s="358">
        <f t="shared" ca="1" si="384"/>
        <v>0</v>
      </c>
      <c r="AH569" s="358">
        <f t="shared" ca="1" si="384"/>
        <v>0</v>
      </c>
      <c r="AI569" s="358">
        <f t="shared" ca="1" si="384"/>
        <v>0</v>
      </c>
      <c r="AJ569" s="358">
        <f t="shared" ca="1" si="384"/>
        <v>0</v>
      </c>
      <c r="AK569" s="358">
        <f t="shared" ca="1" si="384"/>
        <v>0</v>
      </c>
      <c r="AL569" s="358">
        <f t="shared" ca="1" si="384"/>
        <v>0</v>
      </c>
      <c r="AM569" s="358">
        <f t="shared" ca="1" si="384"/>
        <v>0</v>
      </c>
      <c r="AN569" s="358">
        <f t="shared" ca="1" si="384"/>
        <v>0</v>
      </c>
      <c r="AO569" s="358">
        <f t="shared" ca="1" si="384"/>
        <v>0</v>
      </c>
      <c r="AP569" s="358">
        <f t="shared" ca="1" si="384"/>
        <v>0</v>
      </c>
      <c r="AQ569" s="358">
        <f t="shared" ca="1" si="384"/>
        <v>0</v>
      </c>
      <c r="AR569" s="358">
        <f t="shared" ca="1" si="384"/>
        <v>0</v>
      </c>
      <c r="AS569" s="358">
        <f t="shared" ca="1" si="384"/>
        <v>0</v>
      </c>
      <c r="AT569" s="358">
        <f t="shared" ca="1" si="384"/>
        <v>0</v>
      </c>
      <c r="AU569" s="358"/>
      <c r="AV569" s="358">
        <f t="shared" ca="1" si="385"/>
        <v>0</v>
      </c>
      <c r="AX569" s="358">
        <f t="shared" ca="1" si="386"/>
        <v>0</v>
      </c>
      <c r="AZ569" s="358">
        <f t="shared" ca="1" si="387"/>
        <v>0</v>
      </c>
      <c r="BB569" s="358">
        <f t="shared" ca="1" si="388"/>
        <v>0</v>
      </c>
      <c r="BD569" s="358">
        <f t="shared" ca="1" si="389"/>
        <v>0</v>
      </c>
      <c r="BF569" s="358">
        <f t="shared" ca="1" si="390"/>
        <v>0</v>
      </c>
      <c r="BH569" s="358">
        <f t="shared" ca="1" si="391"/>
        <v>0</v>
      </c>
    </row>
    <row r="570" spans="1:60" hidden="1" outlineLevel="1">
      <c r="A570" s="1464">
        <f t="shared" si="393"/>
        <v>18</v>
      </c>
      <c r="B570" s="1464">
        <f t="shared" si="393"/>
        <v>38</v>
      </c>
      <c r="C570" s="1464">
        <f t="shared" si="394"/>
        <v>7</v>
      </c>
      <c r="D570" s="1271" t="str">
        <f ca="1">IF(OFFSET(PortfolioDashboard!$A$3,C570-1,0)="","Blank",OFFSET(PortfolioDashboard!$A$3,C570-1,0))</f>
        <v>Long-term Energy Conservation Measures</v>
      </c>
      <c r="E570" s="1464" t="str">
        <f t="shared" si="395"/>
        <v>2010$</v>
      </c>
      <c r="F570" s="1460">
        <f t="shared" ca="1" si="382"/>
        <v>0</v>
      </c>
      <c r="G570" s="358">
        <f t="shared" ca="1" si="383"/>
        <v>0</v>
      </c>
      <c r="H570" s="358">
        <f t="shared" ca="1" si="384"/>
        <v>0</v>
      </c>
      <c r="I570" s="358">
        <f t="shared" ca="1" si="384"/>
        <v>0</v>
      </c>
      <c r="J570" s="358">
        <f t="shared" ca="1" si="384"/>
        <v>0</v>
      </c>
      <c r="K570" s="358">
        <f t="shared" ca="1" si="384"/>
        <v>0</v>
      </c>
      <c r="L570" s="358">
        <f t="shared" ca="1" si="384"/>
        <v>0</v>
      </c>
      <c r="M570" s="358">
        <f t="shared" ca="1" si="384"/>
        <v>0</v>
      </c>
      <c r="N570" s="358">
        <f t="shared" ca="1" si="384"/>
        <v>0</v>
      </c>
      <c r="O570" s="358">
        <f t="shared" ca="1" si="384"/>
        <v>0</v>
      </c>
      <c r="P570" s="358">
        <f t="shared" ca="1" si="384"/>
        <v>0</v>
      </c>
      <c r="Q570" s="358">
        <f t="shared" ca="1" si="384"/>
        <v>0</v>
      </c>
      <c r="R570" s="358">
        <f t="shared" ca="1" si="384"/>
        <v>0</v>
      </c>
      <c r="S570" s="358">
        <f t="shared" ca="1" si="384"/>
        <v>0</v>
      </c>
      <c r="T570" s="358">
        <f t="shared" ca="1" si="384"/>
        <v>0</v>
      </c>
      <c r="U570" s="358">
        <f t="shared" ca="1" si="384"/>
        <v>0</v>
      </c>
      <c r="V570" s="358">
        <f t="shared" ca="1" si="384"/>
        <v>0</v>
      </c>
      <c r="W570" s="358">
        <f t="shared" ca="1" si="384"/>
        <v>0</v>
      </c>
      <c r="X570" s="358">
        <f t="shared" ca="1" si="384"/>
        <v>0</v>
      </c>
      <c r="Y570" s="358">
        <f t="shared" ca="1" si="384"/>
        <v>0</v>
      </c>
      <c r="Z570" s="358">
        <f t="shared" ca="1" si="384"/>
        <v>0</v>
      </c>
      <c r="AA570" s="358">
        <f t="shared" ca="1" si="384"/>
        <v>0</v>
      </c>
      <c r="AB570" s="358">
        <f t="shared" ca="1" si="384"/>
        <v>0</v>
      </c>
      <c r="AC570" s="358">
        <f t="shared" ca="1" si="384"/>
        <v>0</v>
      </c>
      <c r="AD570" s="358">
        <f t="shared" ca="1" si="384"/>
        <v>0</v>
      </c>
      <c r="AE570" s="358">
        <f t="shared" ca="1" si="384"/>
        <v>0</v>
      </c>
      <c r="AF570" s="358">
        <f t="shared" ca="1" si="384"/>
        <v>0</v>
      </c>
      <c r="AG570" s="358">
        <f t="shared" ca="1" si="384"/>
        <v>0</v>
      </c>
      <c r="AH570" s="358">
        <f t="shared" ca="1" si="384"/>
        <v>0</v>
      </c>
      <c r="AI570" s="358">
        <f t="shared" ca="1" si="384"/>
        <v>0</v>
      </c>
      <c r="AJ570" s="358">
        <f t="shared" ca="1" si="384"/>
        <v>0</v>
      </c>
      <c r="AK570" s="358">
        <f t="shared" ca="1" si="384"/>
        <v>0</v>
      </c>
      <c r="AL570" s="358">
        <f t="shared" ref="H570:AT577" ca="1" si="396">AL508+AL539</f>
        <v>0</v>
      </c>
      <c r="AM570" s="358">
        <f t="shared" ca="1" si="396"/>
        <v>0</v>
      </c>
      <c r="AN570" s="358">
        <f t="shared" ca="1" si="396"/>
        <v>0</v>
      </c>
      <c r="AO570" s="358">
        <f t="shared" ca="1" si="396"/>
        <v>0</v>
      </c>
      <c r="AP570" s="358">
        <f t="shared" ca="1" si="396"/>
        <v>0</v>
      </c>
      <c r="AQ570" s="358">
        <f t="shared" ca="1" si="396"/>
        <v>0</v>
      </c>
      <c r="AR570" s="358">
        <f t="shared" ca="1" si="396"/>
        <v>0</v>
      </c>
      <c r="AS570" s="358">
        <f t="shared" ca="1" si="396"/>
        <v>0</v>
      </c>
      <c r="AT570" s="358">
        <f t="shared" ca="1" si="396"/>
        <v>0</v>
      </c>
      <c r="AU570" s="358"/>
      <c r="AV570" s="358">
        <f t="shared" ca="1" si="385"/>
        <v>0</v>
      </c>
      <c r="AX570" s="358">
        <f t="shared" ca="1" si="386"/>
        <v>0</v>
      </c>
      <c r="AZ570" s="358">
        <f t="shared" ca="1" si="387"/>
        <v>0</v>
      </c>
      <c r="BB570" s="358">
        <f t="shared" ca="1" si="388"/>
        <v>0</v>
      </c>
      <c r="BD570" s="358">
        <f t="shared" ca="1" si="389"/>
        <v>0</v>
      </c>
      <c r="BF570" s="358">
        <f t="shared" ca="1" si="390"/>
        <v>0</v>
      </c>
      <c r="BH570" s="358">
        <f t="shared" ca="1" si="391"/>
        <v>0</v>
      </c>
    </row>
    <row r="571" spans="1:60" hidden="1" outlineLevel="1">
      <c r="A571" s="1464">
        <f t="shared" si="393"/>
        <v>18</v>
      </c>
      <c r="B571" s="1464">
        <f t="shared" si="393"/>
        <v>38</v>
      </c>
      <c r="C571" s="1464">
        <f t="shared" si="394"/>
        <v>8</v>
      </c>
      <c r="D571" s="1271" t="str">
        <f ca="1">IF(OFFSET(PortfolioDashboard!$A$3,C571-1,0)="","Blank",OFFSET(PortfolioDashboard!$A$3,C571-1,0))</f>
        <v>Green IT</v>
      </c>
      <c r="E571" s="1464" t="str">
        <f t="shared" si="395"/>
        <v>2010$</v>
      </c>
      <c r="F571" s="1460">
        <f t="shared" ca="1" si="382"/>
        <v>-275571.08849616675</v>
      </c>
      <c r="G571" s="358">
        <f t="shared" ca="1" si="383"/>
        <v>0</v>
      </c>
      <c r="H571" s="358">
        <f t="shared" ca="1" si="396"/>
        <v>0</v>
      </c>
      <c r="I571" s="358">
        <f t="shared" ca="1" si="396"/>
        <v>-7000</v>
      </c>
      <c r="J571" s="358">
        <f t="shared" ca="1" si="396"/>
        <v>-14000</v>
      </c>
      <c r="K571" s="358">
        <f t="shared" ca="1" si="396"/>
        <v>-21000</v>
      </c>
      <c r="L571" s="358">
        <f t="shared" ca="1" si="396"/>
        <v>-21000</v>
      </c>
      <c r="M571" s="358">
        <f t="shared" ca="1" si="396"/>
        <v>-21000</v>
      </c>
      <c r="N571" s="358">
        <f t="shared" ca="1" si="396"/>
        <v>-21000</v>
      </c>
      <c r="O571" s="358">
        <f t="shared" ca="1" si="396"/>
        <v>-21000</v>
      </c>
      <c r="P571" s="358">
        <f t="shared" ca="1" si="396"/>
        <v>-21000</v>
      </c>
      <c r="Q571" s="358">
        <f t="shared" ca="1" si="396"/>
        <v>-21000</v>
      </c>
      <c r="R571" s="358">
        <f t="shared" ca="1" si="396"/>
        <v>-21000</v>
      </c>
      <c r="S571" s="358">
        <f t="shared" ca="1" si="396"/>
        <v>-21000</v>
      </c>
      <c r="T571" s="358">
        <f t="shared" ca="1" si="396"/>
        <v>-21000</v>
      </c>
      <c r="U571" s="358">
        <f t="shared" ca="1" si="396"/>
        <v>-21000</v>
      </c>
      <c r="V571" s="358">
        <f t="shared" ca="1" si="396"/>
        <v>-21000</v>
      </c>
      <c r="W571" s="358">
        <f t="shared" ca="1" si="396"/>
        <v>-21000</v>
      </c>
      <c r="X571" s="358">
        <f t="shared" ca="1" si="396"/>
        <v>-21000</v>
      </c>
      <c r="Y571" s="358">
        <f t="shared" ca="1" si="396"/>
        <v>-21000</v>
      </c>
      <c r="Z571" s="358">
        <f t="shared" ca="1" si="396"/>
        <v>-21000</v>
      </c>
      <c r="AA571" s="358">
        <f t="shared" ca="1" si="396"/>
        <v>-21000</v>
      </c>
      <c r="AB571" s="358">
        <f t="shared" ca="1" si="396"/>
        <v>-21000</v>
      </c>
      <c r="AC571" s="358">
        <f t="shared" ca="1" si="396"/>
        <v>-21000</v>
      </c>
      <c r="AD571" s="358">
        <f t="shared" ca="1" si="396"/>
        <v>-21000</v>
      </c>
      <c r="AE571" s="358">
        <f t="shared" ca="1" si="396"/>
        <v>-21000</v>
      </c>
      <c r="AF571" s="358">
        <f t="shared" ca="1" si="396"/>
        <v>-21000</v>
      </c>
      <c r="AG571" s="358">
        <f t="shared" ca="1" si="396"/>
        <v>-21000</v>
      </c>
      <c r="AH571" s="358">
        <f t="shared" ca="1" si="396"/>
        <v>-21000</v>
      </c>
      <c r="AI571" s="358">
        <f t="shared" ca="1" si="396"/>
        <v>-21000</v>
      </c>
      <c r="AJ571" s="358">
        <f t="shared" ca="1" si="396"/>
        <v>-21000</v>
      </c>
      <c r="AK571" s="358">
        <f t="shared" ca="1" si="396"/>
        <v>-21000</v>
      </c>
      <c r="AL571" s="358">
        <f t="shared" ca="1" si="396"/>
        <v>-21000</v>
      </c>
      <c r="AM571" s="358">
        <f t="shared" ca="1" si="396"/>
        <v>-21000</v>
      </c>
      <c r="AN571" s="358">
        <f t="shared" ca="1" si="396"/>
        <v>-21000</v>
      </c>
      <c r="AO571" s="358">
        <f t="shared" ca="1" si="396"/>
        <v>-21000</v>
      </c>
      <c r="AP571" s="358">
        <f t="shared" ca="1" si="396"/>
        <v>-21000</v>
      </c>
      <c r="AQ571" s="358">
        <f t="shared" ca="1" si="396"/>
        <v>-21000</v>
      </c>
      <c r="AR571" s="358">
        <f t="shared" ca="1" si="396"/>
        <v>-21000</v>
      </c>
      <c r="AS571" s="358">
        <f t="shared" ca="1" si="396"/>
        <v>-21000</v>
      </c>
      <c r="AT571" s="358">
        <f t="shared" ca="1" si="396"/>
        <v>-21000</v>
      </c>
      <c r="AU571" s="358"/>
      <c r="AV571" s="358">
        <f t="shared" ca="1" si="385"/>
        <v>-105000</v>
      </c>
      <c r="AX571" s="358">
        <f t="shared" ca="1" si="386"/>
        <v>-105000</v>
      </c>
      <c r="AZ571" s="358">
        <f t="shared" ca="1" si="387"/>
        <v>-105000</v>
      </c>
      <c r="BB571" s="358">
        <f t="shared" ca="1" si="388"/>
        <v>-105000</v>
      </c>
      <c r="BD571" s="358">
        <f t="shared" ca="1" si="389"/>
        <v>-105000</v>
      </c>
      <c r="BF571" s="358">
        <f t="shared" ca="1" si="390"/>
        <v>-105000</v>
      </c>
      <c r="BH571" s="358">
        <f t="shared" ca="1" si="391"/>
        <v>-105000</v>
      </c>
    </row>
    <row r="572" spans="1:60" hidden="1" outlineLevel="1">
      <c r="A572" s="1464">
        <f t="shared" si="393"/>
        <v>18</v>
      </c>
      <c r="B572" s="1464">
        <f t="shared" si="393"/>
        <v>38</v>
      </c>
      <c r="C572" s="1464">
        <f t="shared" si="394"/>
        <v>9</v>
      </c>
      <c r="D572" s="1271" t="str">
        <f ca="1">IF(OFFSET(PortfolioDashboard!$A$3,C572-1,0)="","Blank",OFFSET(PortfolioDashboard!$A$3,C572-1,0))</f>
        <v>Reduced Air Travel</v>
      </c>
      <c r="E572" s="1464" t="str">
        <f t="shared" si="395"/>
        <v>2010$</v>
      </c>
      <c r="F572" s="1460">
        <f t="shared" ca="1" si="382"/>
        <v>2554543.5640719305</v>
      </c>
      <c r="G572" s="358">
        <f t="shared" ca="1" si="383"/>
        <v>0</v>
      </c>
      <c r="H572" s="358">
        <f t="shared" ca="1" si="396"/>
        <v>123606.77688805692</v>
      </c>
      <c r="I572" s="358">
        <f t="shared" ca="1" si="396"/>
        <v>124003.00400854273</v>
      </c>
      <c r="J572" s="358">
        <f t="shared" ca="1" si="396"/>
        <v>124307.03977146068</v>
      </c>
      <c r="K572" s="358">
        <f t="shared" ca="1" si="396"/>
        <v>124563.3537761138</v>
      </c>
      <c r="L572" s="358">
        <f t="shared" ca="1" si="396"/>
        <v>124789.17094740043</v>
      </c>
      <c r="M572" s="358">
        <f t="shared" ca="1" si="396"/>
        <v>187489.9879132183</v>
      </c>
      <c r="N572" s="358">
        <f t="shared" ca="1" si="396"/>
        <v>187771.59683356594</v>
      </c>
      <c r="O572" s="358">
        <f t="shared" ca="1" si="396"/>
        <v>188033.71202562816</v>
      </c>
      <c r="P572" s="358">
        <f t="shared" ca="1" si="396"/>
        <v>188279.89599625603</v>
      </c>
      <c r="Q572" s="358">
        <f t="shared" ca="1" si="396"/>
        <v>188512.74258500358</v>
      </c>
      <c r="R572" s="358">
        <f t="shared" ca="1" si="396"/>
        <v>188734.2099312158</v>
      </c>
      <c r="S572" s="358">
        <f t="shared" ca="1" si="396"/>
        <v>188945.81931438201</v>
      </c>
      <c r="T572" s="358">
        <f t="shared" ca="1" si="396"/>
        <v>189148.78052821939</v>
      </c>
      <c r="U572" s="358">
        <f t="shared" ca="1" si="396"/>
        <v>189344.074468823</v>
      </c>
      <c r="V572" s="358">
        <f t="shared" ca="1" si="396"/>
        <v>189532.50953521696</v>
      </c>
      <c r="W572" s="358">
        <f t="shared" ca="1" si="396"/>
        <v>189714.76132834144</v>
      </c>
      <c r="X572" s="358">
        <f t="shared" ca="1" si="396"/>
        <v>189891.40132272491</v>
      </c>
      <c r="Y572" s="358">
        <f t="shared" ca="1" si="396"/>
        <v>190062.91803844224</v>
      </c>
      <c r="Z572" s="358">
        <f t="shared" ca="1" si="396"/>
        <v>190229.73298014997</v>
      </c>
      <c r="AA572" s="358">
        <f t="shared" ca="1" si="396"/>
        <v>190392.21284220132</v>
      </c>
      <c r="AB572" s="358">
        <f t="shared" ca="1" si="396"/>
        <v>190550.67899634904</v>
      </c>
      <c r="AC572" s="358">
        <f t="shared" ca="1" si="396"/>
        <v>190705.41496683744</v>
      </c>
      <c r="AD572" s="358">
        <f t="shared" ca="1" si="396"/>
        <v>190856.67239132349</v>
      </c>
      <c r="AE572" s="358">
        <f t="shared" ca="1" si="396"/>
        <v>191004.67582643646</v>
      </c>
      <c r="AF572" s="358">
        <f t="shared" ca="1" si="396"/>
        <v>191149.62666042676</v>
      </c>
      <c r="AG572" s="358">
        <f t="shared" ca="1" si="396"/>
        <v>191291.70632768099</v>
      </c>
      <c r="AH572" s="358">
        <f t="shared" ca="1" si="396"/>
        <v>191431.07897157304</v>
      </c>
      <c r="AI572" s="358">
        <f t="shared" ca="1" si="396"/>
        <v>191567.89366713187</v>
      </c>
      <c r="AJ572" s="358">
        <f t="shared" ca="1" si="396"/>
        <v>191702.28628932338</v>
      </c>
      <c r="AK572" s="358">
        <f t="shared" ca="1" si="396"/>
        <v>191834.38109365286</v>
      </c>
      <c r="AL572" s="358">
        <f t="shared" ca="1" si="396"/>
        <v>191964.29206144507</v>
      </c>
      <c r="AM572" s="358">
        <f t="shared" ca="1" si="396"/>
        <v>192092.12405125631</v>
      </c>
      <c r="AN572" s="358">
        <f t="shared" ca="1" si="396"/>
        <v>192217.97378950985</v>
      </c>
      <c r="AO572" s="358">
        <f t="shared" ca="1" si="396"/>
        <v>192341.9307269709</v>
      </c>
      <c r="AP572" s="358">
        <f t="shared" ca="1" si="396"/>
        <v>192464.07778262065</v>
      </c>
      <c r="AQ572" s="358">
        <f t="shared" ca="1" si="396"/>
        <v>192584.49199251211</v>
      </c>
      <c r="AR572" s="358">
        <f t="shared" ca="1" si="396"/>
        <v>192703.24507803266</v>
      </c>
      <c r="AS572" s="358">
        <f t="shared" ca="1" si="396"/>
        <v>192820.40394548161</v>
      </c>
      <c r="AT572" s="358">
        <f t="shared" ca="1" si="396"/>
        <v>192936.03112684423</v>
      </c>
      <c r="AU572" s="358"/>
      <c r="AV572" s="358">
        <f t="shared" ca="1" si="385"/>
        <v>876364.36371606891</v>
      </c>
      <c r="AX572" s="358">
        <f t="shared" ca="1" si="386"/>
        <v>944685.62682764383</v>
      </c>
      <c r="AZ572" s="358">
        <f t="shared" ca="1" si="387"/>
        <v>949431.32320487546</v>
      </c>
      <c r="BB572" s="358">
        <f t="shared" ca="1" si="388"/>
        <v>953509.65502314782</v>
      </c>
      <c r="BD572" s="358">
        <f t="shared" ca="1" si="389"/>
        <v>957142.59191613598</v>
      </c>
      <c r="BF572" s="358">
        <f t="shared" ca="1" si="390"/>
        <v>960450.70172283496</v>
      </c>
      <c r="BH572" s="358">
        <f t="shared" ca="1" si="391"/>
        <v>963508.24992549128</v>
      </c>
    </row>
    <row r="573" spans="1:60" hidden="1" outlineLevel="1">
      <c r="A573" s="1464">
        <f t="shared" si="393"/>
        <v>18</v>
      </c>
      <c r="B573" s="1464">
        <f t="shared" si="393"/>
        <v>38</v>
      </c>
      <c r="C573" s="1464">
        <f t="shared" si="394"/>
        <v>10</v>
      </c>
      <c r="D573" s="1271" t="str">
        <f ca="1">IF(OFFSET(PortfolioDashboard!$A$3,C573-1,0)="","Blank",OFFSET(PortfolioDashboard!$A$3,C573-1,0))</f>
        <v>Reduced Automobile Reliance Strategies</v>
      </c>
      <c r="E573" s="1464" t="str">
        <f t="shared" si="395"/>
        <v>2010$</v>
      </c>
      <c r="F573" s="1460">
        <f t="shared" ca="1" si="382"/>
        <v>-2165760.9658617252</v>
      </c>
      <c r="G573" s="358">
        <f t="shared" ca="1" si="383"/>
        <v>0</v>
      </c>
      <c r="H573" s="358">
        <f t="shared" ca="1" si="396"/>
        <v>0</v>
      </c>
      <c r="I573" s="358">
        <f t="shared" ca="1" si="396"/>
        <v>-102475</v>
      </c>
      <c r="J573" s="358">
        <f t="shared" ca="1" si="396"/>
        <v>-104950</v>
      </c>
      <c r="K573" s="358">
        <f t="shared" ca="1" si="396"/>
        <v>-107425</v>
      </c>
      <c r="L573" s="358">
        <f t="shared" ca="1" si="396"/>
        <v>-109900</v>
      </c>
      <c r="M573" s="358">
        <f t="shared" ca="1" si="396"/>
        <v>-112375</v>
      </c>
      <c r="N573" s="358">
        <f t="shared" ca="1" si="396"/>
        <v>-164850</v>
      </c>
      <c r="O573" s="358">
        <f t="shared" ca="1" si="396"/>
        <v>-167325</v>
      </c>
      <c r="P573" s="358">
        <f t="shared" ca="1" si="396"/>
        <v>-169800</v>
      </c>
      <c r="Q573" s="358">
        <f t="shared" ca="1" si="396"/>
        <v>-172275</v>
      </c>
      <c r="R573" s="358">
        <f t="shared" ca="1" si="396"/>
        <v>-174750</v>
      </c>
      <c r="S573" s="358">
        <f t="shared" ca="1" si="396"/>
        <v>-174750</v>
      </c>
      <c r="T573" s="358">
        <f t="shared" ca="1" si="396"/>
        <v>-174750</v>
      </c>
      <c r="U573" s="358">
        <f t="shared" ca="1" si="396"/>
        <v>-174750</v>
      </c>
      <c r="V573" s="358">
        <f t="shared" ca="1" si="396"/>
        <v>-174750</v>
      </c>
      <c r="W573" s="358">
        <f t="shared" ca="1" si="396"/>
        <v>-174750</v>
      </c>
      <c r="X573" s="358">
        <f t="shared" ca="1" si="396"/>
        <v>-174750</v>
      </c>
      <c r="Y573" s="358">
        <f t="shared" ca="1" si="396"/>
        <v>-174750</v>
      </c>
      <c r="Z573" s="358">
        <f t="shared" ca="1" si="396"/>
        <v>-174750</v>
      </c>
      <c r="AA573" s="358">
        <f t="shared" ca="1" si="396"/>
        <v>-174750</v>
      </c>
      <c r="AB573" s="358">
        <f t="shared" ca="1" si="396"/>
        <v>-174750</v>
      </c>
      <c r="AC573" s="358">
        <f t="shared" ca="1" si="396"/>
        <v>-174750</v>
      </c>
      <c r="AD573" s="358">
        <f t="shared" ca="1" si="396"/>
        <v>-174750</v>
      </c>
      <c r="AE573" s="358">
        <f t="shared" ca="1" si="396"/>
        <v>-174750</v>
      </c>
      <c r="AF573" s="358">
        <f t="shared" ca="1" si="396"/>
        <v>-174750</v>
      </c>
      <c r="AG573" s="358">
        <f t="shared" ca="1" si="396"/>
        <v>-174750</v>
      </c>
      <c r="AH573" s="358">
        <f t="shared" ca="1" si="396"/>
        <v>-174750</v>
      </c>
      <c r="AI573" s="358">
        <f t="shared" ca="1" si="396"/>
        <v>-174750</v>
      </c>
      <c r="AJ573" s="358">
        <f t="shared" ca="1" si="396"/>
        <v>-174750</v>
      </c>
      <c r="AK573" s="358">
        <f t="shared" ca="1" si="396"/>
        <v>-174750</v>
      </c>
      <c r="AL573" s="358">
        <f t="shared" ca="1" si="396"/>
        <v>-174750</v>
      </c>
      <c r="AM573" s="358">
        <f t="shared" ca="1" si="396"/>
        <v>-174750</v>
      </c>
      <c r="AN573" s="358">
        <f t="shared" ca="1" si="396"/>
        <v>-174750</v>
      </c>
      <c r="AO573" s="358">
        <f t="shared" ca="1" si="396"/>
        <v>-174750</v>
      </c>
      <c r="AP573" s="358">
        <f t="shared" ca="1" si="396"/>
        <v>-174750</v>
      </c>
      <c r="AQ573" s="358">
        <f t="shared" ca="1" si="396"/>
        <v>-174750</v>
      </c>
      <c r="AR573" s="358">
        <f t="shared" ca="1" si="396"/>
        <v>-174750</v>
      </c>
      <c r="AS573" s="358">
        <f t="shared" ca="1" si="396"/>
        <v>-174750</v>
      </c>
      <c r="AT573" s="358">
        <f t="shared" ca="1" si="396"/>
        <v>-174750</v>
      </c>
      <c r="AU573" s="358"/>
      <c r="AV573" s="358">
        <f t="shared" ca="1" si="385"/>
        <v>-724250</v>
      </c>
      <c r="AX573" s="358">
        <f t="shared" ca="1" si="386"/>
        <v>-871275</v>
      </c>
      <c r="AZ573" s="358">
        <f t="shared" ca="1" si="387"/>
        <v>-873750</v>
      </c>
      <c r="BB573" s="358">
        <f t="shared" ca="1" si="388"/>
        <v>-873750</v>
      </c>
      <c r="BD573" s="358">
        <f t="shared" ca="1" si="389"/>
        <v>-873750</v>
      </c>
      <c r="BF573" s="358">
        <f t="shared" ca="1" si="390"/>
        <v>-873750</v>
      </c>
      <c r="BH573" s="358">
        <f t="shared" ca="1" si="391"/>
        <v>-873750</v>
      </c>
    </row>
    <row r="574" spans="1:60" hidden="1" outlineLevel="1">
      <c r="A574" s="1464">
        <f t="shared" si="393"/>
        <v>18</v>
      </c>
      <c r="B574" s="1464">
        <f t="shared" si="393"/>
        <v>38</v>
      </c>
      <c r="C574" s="1464">
        <f t="shared" si="394"/>
        <v>11</v>
      </c>
      <c r="D574" s="1271" t="str">
        <f ca="1">IF(OFFSET(PortfolioDashboard!$A$3,C574-1,0)="","Blank",OFFSET(PortfolioDashboard!$A$3,C574-1,0))</f>
        <v>Waste Reduction</v>
      </c>
      <c r="E574" s="1464" t="str">
        <f t="shared" si="395"/>
        <v>2010$</v>
      </c>
      <c r="F574" s="1460">
        <f t="shared" ca="1" si="382"/>
        <v>43933.902081298445</v>
      </c>
      <c r="G574" s="358">
        <f t="shared" ca="1" si="383"/>
        <v>0</v>
      </c>
      <c r="H574" s="358">
        <f t="shared" ca="1" si="396"/>
        <v>0</v>
      </c>
      <c r="I574" s="358">
        <f t="shared" ca="1" si="396"/>
        <v>3148</v>
      </c>
      <c r="J574" s="358">
        <f t="shared" ca="1" si="396"/>
        <v>3148</v>
      </c>
      <c r="K574" s="358">
        <f t="shared" ca="1" si="396"/>
        <v>3148</v>
      </c>
      <c r="L574" s="358">
        <f t="shared" ca="1" si="396"/>
        <v>3148</v>
      </c>
      <c r="M574" s="358">
        <f t="shared" ca="1" si="396"/>
        <v>3148</v>
      </c>
      <c r="N574" s="358">
        <f t="shared" ca="1" si="396"/>
        <v>3148</v>
      </c>
      <c r="O574" s="358">
        <f t="shared" ca="1" si="396"/>
        <v>3148</v>
      </c>
      <c r="P574" s="358">
        <f t="shared" ca="1" si="396"/>
        <v>3148</v>
      </c>
      <c r="Q574" s="358">
        <f t="shared" ca="1" si="396"/>
        <v>3148</v>
      </c>
      <c r="R574" s="358">
        <f t="shared" ca="1" si="396"/>
        <v>3148</v>
      </c>
      <c r="S574" s="358">
        <f t="shared" ca="1" si="396"/>
        <v>3148</v>
      </c>
      <c r="T574" s="358">
        <f t="shared" ca="1" si="396"/>
        <v>3148</v>
      </c>
      <c r="U574" s="358">
        <f t="shared" ca="1" si="396"/>
        <v>3148</v>
      </c>
      <c r="V574" s="358">
        <f t="shared" ca="1" si="396"/>
        <v>3148</v>
      </c>
      <c r="W574" s="358">
        <f t="shared" ca="1" si="396"/>
        <v>3148</v>
      </c>
      <c r="X574" s="358">
        <f t="shared" ca="1" si="396"/>
        <v>3148</v>
      </c>
      <c r="Y574" s="358">
        <f t="shared" ca="1" si="396"/>
        <v>3148</v>
      </c>
      <c r="Z574" s="358">
        <f t="shared" ca="1" si="396"/>
        <v>3148</v>
      </c>
      <c r="AA574" s="358">
        <f t="shared" ca="1" si="396"/>
        <v>3148</v>
      </c>
      <c r="AB574" s="358">
        <f t="shared" ca="1" si="396"/>
        <v>3148</v>
      </c>
      <c r="AC574" s="358">
        <f t="shared" ca="1" si="396"/>
        <v>3148</v>
      </c>
      <c r="AD574" s="358">
        <f t="shared" ca="1" si="396"/>
        <v>3148</v>
      </c>
      <c r="AE574" s="358">
        <f t="shared" ca="1" si="396"/>
        <v>3148</v>
      </c>
      <c r="AF574" s="358">
        <f t="shared" ca="1" si="396"/>
        <v>3148</v>
      </c>
      <c r="AG574" s="358">
        <f t="shared" ca="1" si="396"/>
        <v>3148</v>
      </c>
      <c r="AH574" s="358">
        <f t="shared" ca="1" si="396"/>
        <v>3148</v>
      </c>
      <c r="AI574" s="358">
        <f t="shared" ca="1" si="396"/>
        <v>3148</v>
      </c>
      <c r="AJ574" s="358">
        <f t="shared" ca="1" si="396"/>
        <v>3148</v>
      </c>
      <c r="AK574" s="358">
        <f t="shared" ca="1" si="396"/>
        <v>3148</v>
      </c>
      <c r="AL574" s="358">
        <f t="shared" ca="1" si="396"/>
        <v>3148</v>
      </c>
      <c r="AM574" s="358">
        <f t="shared" ca="1" si="396"/>
        <v>3148</v>
      </c>
      <c r="AN574" s="358">
        <f t="shared" ca="1" si="396"/>
        <v>3148</v>
      </c>
      <c r="AO574" s="358">
        <f t="shared" ca="1" si="396"/>
        <v>3148</v>
      </c>
      <c r="AP574" s="358">
        <f t="shared" ca="1" si="396"/>
        <v>3148</v>
      </c>
      <c r="AQ574" s="358">
        <f t="shared" ca="1" si="396"/>
        <v>3148</v>
      </c>
      <c r="AR574" s="358">
        <f t="shared" ca="1" si="396"/>
        <v>3148</v>
      </c>
      <c r="AS574" s="358">
        <f t="shared" ca="1" si="396"/>
        <v>3148</v>
      </c>
      <c r="AT574" s="358">
        <f t="shared" ca="1" si="396"/>
        <v>3148</v>
      </c>
      <c r="AU574" s="358"/>
      <c r="AV574" s="358">
        <f t="shared" ca="1" si="385"/>
        <v>15740</v>
      </c>
      <c r="AX574" s="358">
        <f t="shared" ca="1" si="386"/>
        <v>15740</v>
      </c>
      <c r="AZ574" s="358">
        <f t="shared" ca="1" si="387"/>
        <v>15740</v>
      </c>
      <c r="BB574" s="358">
        <f t="shared" ca="1" si="388"/>
        <v>15740</v>
      </c>
      <c r="BD574" s="358">
        <f t="shared" ca="1" si="389"/>
        <v>15740</v>
      </c>
      <c r="BF574" s="358">
        <f t="shared" ca="1" si="390"/>
        <v>15740</v>
      </c>
      <c r="BH574" s="358">
        <f t="shared" ca="1" si="391"/>
        <v>15740</v>
      </c>
    </row>
    <row r="575" spans="1:60" hidden="1" outlineLevel="1">
      <c r="A575" s="1464">
        <f t="shared" si="393"/>
        <v>18</v>
      </c>
      <c r="B575" s="1464">
        <f t="shared" si="393"/>
        <v>38</v>
      </c>
      <c r="C575" s="1464">
        <f t="shared" si="394"/>
        <v>12</v>
      </c>
      <c r="D575" s="1271" t="str">
        <f ca="1">IF(OFFSET(PortfolioDashboard!$A$3,C575-1,0)="","Blank",OFFSET(PortfolioDashboard!$A$3,C575-1,0))</f>
        <v>Steam Line Improvements</v>
      </c>
      <c r="E575" s="1464" t="str">
        <f t="shared" si="395"/>
        <v>2010$</v>
      </c>
      <c r="F575" s="1460">
        <f t="shared" ca="1" si="382"/>
        <v>0</v>
      </c>
      <c r="G575" s="358">
        <f t="shared" ca="1" si="383"/>
        <v>0</v>
      </c>
      <c r="H575" s="358">
        <f t="shared" ca="1" si="396"/>
        <v>0</v>
      </c>
      <c r="I575" s="358">
        <f t="shared" ca="1" si="396"/>
        <v>0</v>
      </c>
      <c r="J575" s="358">
        <f t="shared" ca="1" si="396"/>
        <v>0</v>
      </c>
      <c r="K575" s="358">
        <f t="shared" ca="1" si="396"/>
        <v>0</v>
      </c>
      <c r="L575" s="358">
        <f t="shared" ca="1" si="396"/>
        <v>0</v>
      </c>
      <c r="M575" s="358">
        <f t="shared" ca="1" si="396"/>
        <v>0</v>
      </c>
      <c r="N575" s="358">
        <f t="shared" ca="1" si="396"/>
        <v>0</v>
      </c>
      <c r="O575" s="358">
        <f t="shared" ca="1" si="396"/>
        <v>0</v>
      </c>
      <c r="P575" s="358">
        <f t="shared" ca="1" si="396"/>
        <v>0</v>
      </c>
      <c r="Q575" s="358">
        <f t="shared" ca="1" si="396"/>
        <v>0</v>
      </c>
      <c r="R575" s="358">
        <f t="shared" ca="1" si="396"/>
        <v>0</v>
      </c>
      <c r="S575" s="358">
        <f t="shared" ca="1" si="396"/>
        <v>0</v>
      </c>
      <c r="T575" s="358">
        <f t="shared" ca="1" si="396"/>
        <v>0</v>
      </c>
      <c r="U575" s="358">
        <f t="shared" ca="1" si="396"/>
        <v>0</v>
      </c>
      <c r="V575" s="358">
        <f t="shared" ca="1" si="396"/>
        <v>0</v>
      </c>
      <c r="W575" s="358">
        <f t="shared" ca="1" si="396"/>
        <v>0</v>
      </c>
      <c r="X575" s="358">
        <f t="shared" ca="1" si="396"/>
        <v>0</v>
      </c>
      <c r="Y575" s="358">
        <f t="shared" ca="1" si="396"/>
        <v>0</v>
      </c>
      <c r="Z575" s="358">
        <f t="shared" ca="1" si="396"/>
        <v>0</v>
      </c>
      <c r="AA575" s="358">
        <f t="shared" ca="1" si="396"/>
        <v>0</v>
      </c>
      <c r="AB575" s="358">
        <f t="shared" ca="1" si="396"/>
        <v>0</v>
      </c>
      <c r="AC575" s="358">
        <f t="shared" ca="1" si="396"/>
        <v>0</v>
      </c>
      <c r="AD575" s="358">
        <f t="shared" ca="1" si="396"/>
        <v>0</v>
      </c>
      <c r="AE575" s="358">
        <f t="shared" ca="1" si="396"/>
        <v>0</v>
      </c>
      <c r="AF575" s="358">
        <f t="shared" ca="1" si="396"/>
        <v>0</v>
      </c>
      <c r="AG575" s="358">
        <f t="shared" ca="1" si="396"/>
        <v>0</v>
      </c>
      <c r="AH575" s="358">
        <f t="shared" ca="1" si="396"/>
        <v>0</v>
      </c>
      <c r="AI575" s="358">
        <f t="shared" ca="1" si="396"/>
        <v>0</v>
      </c>
      <c r="AJ575" s="358">
        <f t="shared" ca="1" si="396"/>
        <v>0</v>
      </c>
      <c r="AK575" s="358">
        <f t="shared" ca="1" si="396"/>
        <v>0</v>
      </c>
      <c r="AL575" s="358">
        <f t="shared" ca="1" si="396"/>
        <v>0</v>
      </c>
      <c r="AM575" s="358">
        <f t="shared" ca="1" si="396"/>
        <v>0</v>
      </c>
      <c r="AN575" s="358">
        <f t="shared" ca="1" si="396"/>
        <v>0</v>
      </c>
      <c r="AO575" s="358">
        <f t="shared" ca="1" si="396"/>
        <v>0</v>
      </c>
      <c r="AP575" s="358">
        <f t="shared" ca="1" si="396"/>
        <v>0</v>
      </c>
      <c r="AQ575" s="358">
        <f t="shared" ca="1" si="396"/>
        <v>0</v>
      </c>
      <c r="AR575" s="358">
        <f t="shared" ca="1" si="396"/>
        <v>0</v>
      </c>
      <c r="AS575" s="358">
        <f t="shared" ca="1" si="396"/>
        <v>0</v>
      </c>
      <c r="AT575" s="358">
        <f t="shared" ca="1" si="396"/>
        <v>0</v>
      </c>
      <c r="AU575" s="358"/>
      <c r="AV575" s="358">
        <f t="shared" ca="1" si="385"/>
        <v>0</v>
      </c>
      <c r="AX575" s="358">
        <f t="shared" ca="1" si="386"/>
        <v>0</v>
      </c>
      <c r="AZ575" s="358">
        <f t="shared" ca="1" si="387"/>
        <v>0</v>
      </c>
      <c r="BB575" s="358">
        <f t="shared" ca="1" si="388"/>
        <v>0</v>
      </c>
      <c r="BD575" s="358">
        <f t="shared" ca="1" si="389"/>
        <v>0</v>
      </c>
      <c r="BF575" s="358">
        <f t="shared" ca="1" si="390"/>
        <v>0</v>
      </c>
      <c r="BH575" s="358">
        <f t="shared" ca="1" si="391"/>
        <v>0</v>
      </c>
    </row>
    <row r="576" spans="1:60" hidden="1" outlineLevel="1">
      <c r="A576" s="1464">
        <f t="shared" si="393"/>
        <v>18</v>
      </c>
      <c r="B576" s="1464">
        <f t="shared" si="393"/>
        <v>38</v>
      </c>
      <c r="C576" s="1464">
        <f t="shared" si="394"/>
        <v>13</v>
      </c>
      <c r="D576" s="1271" t="str">
        <f ca="1">IF(OFFSET(PortfolioDashboard!$A$3,C576-1,0)="","Blank",OFFSET(PortfolioDashboard!$A$3,C576-1,0))</f>
        <v>Coal to Natural Gas Conversion @ Steam Plant</v>
      </c>
      <c r="E576" s="1464" t="str">
        <f t="shared" si="395"/>
        <v>2010$</v>
      </c>
      <c r="F576" s="1460">
        <f t="shared" ca="1" si="382"/>
        <v>0</v>
      </c>
      <c r="G576" s="358">
        <f t="shared" ca="1" si="383"/>
        <v>0</v>
      </c>
      <c r="H576" s="358">
        <f t="shared" ca="1" si="396"/>
        <v>0</v>
      </c>
      <c r="I576" s="358">
        <f t="shared" ca="1" si="396"/>
        <v>0</v>
      </c>
      <c r="J576" s="358">
        <f t="shared" ca="1" si="396"/>
        <v>0</v>
      </c>
      <c r="K576" s="358">
        <f t="shared" ca="1" si="396"/>
        <v>0</v>
      </c>
      <c r="L576" s="358">
        <f t="shared" ca="1" si="396"/>
        <v>0</v>
      </c>
      <c r="M576" s="358">
        <f t="shared" ca="1" si="396"/>
        <v>0</v>
      </c>
      <c r="N576" s="358">
        <f t="shared" ca="1" si="396"/>
        <v>0</v>
      </c>
      <c r="O576" s="358">
        <f t="shared" ca="1" si="396"/>
        <v>0</v>
      </c>
      <c r="P576" s="358">
        <f t="shared" ca="1" si="396"/>
        <v>0</v>
      </c>
      <c r="Q576" s="358">
        <f t="shared" ca="1" si="396"/>
        <v>0</v>
      </c>
      <c r="R576" s="358">
        <f t="shared" ca="1" si="396"/>
        <v>0</v>
      </c>
      <c r="S576" s="358">
        <f t="shared" ca="1" si="396"/>
        <v>0</v>
      </c>
      <c r="T576" s="358">
        <f t="shared" ca="1" si="396"/>
        <v>0</v>
      </c>
      <c r="U576" s="358">
        <f t="shared" ca="1" si="396"/>
        <v>0</v>
      </c>
      <c r="V576" s="358">
        <f t="shared" ca="1" si="396"/>
        <v>0</v>
      </c>
      <c r="W576" s="358">
        <f t="shared" ca="1" si="396"/>
        <v>0</v>
      </c>
      <c r="X576" s="358">
        <f t="shared" ca="1" si="396"/>
        <v>0</v>
      </c>
      <c r="Y576" s="358">
        <f t="shared" ca="1" si="396"/>
        <v>0</v>
      </c>
      <c r="Z576" s="358">
        <f t="shared" ca="1" si="396"/>
        <v>0</v>
      </c>
      <c r="AA576" s="358">
        <f t="shared" ca="1" si="396"/>
        <v>0</v>
      </c>
      <c r="AB576" s="358">
        <f t="shared" ca="1" si="396"/>
        <v>0</v>
      </c>
      <c r="AC576" s="358">
        <f t="shared" ca="1" si="396"/>
        <v>0</v>
      </c>
      <c r="AD576" s="358">
        <f t="shared" ca="1" si="396"/>
        <v>0</v>
      </c>
      <c r="AE576" s="358">
        <f t="shared" ca="1" si="396"/>
        <v>0</v>
      </c>
      <c r="AF576" s="358">
        <f t="shared" ca="1" si="396"/>
        <v>0</v>
      </c>
      <c r="AG576" s="358">
        <f t="shared" ca="1" si="396"/>
        <v>0</v>
      </c>
      <c r="AH576" s="358">
        <f t="shared" ca="1" si="396"/>
        <v>0</v>
      </c>
      <c r="AI576" s="358">
        <f t="shared" ca="1" si="396"/>
        <v>0</v>
      </c>
      <c r="AJ576" s="358">
        <f t="shared" ca="1" si="396"/>
        <v>0</v>
      </c>
      <c r="AK576" s="358">
        <f t="shared" ca="1" si="396"/>
        <v>0</v>
      </c>
      <c r="AL576" s="358">
        <f t="shared" ca="1" si="396"/>
        <v>0</v>
      </c>
      <c r="AM576" s="358">
        <f t="shared" ca="1" si="396"/>
        <v>0</v>
      </c>
      <c r="AN576" s="358">
        <f t="shared" ca="1" si="396"/>
        <v>0</v>
      </c>
      <c r="AO576" s="358">
        <f t="shared" ca="1" si="396"/>
        <v>0</v>
      </c>
      <c r="AP576" s="358">
        <f t="shared" ca="1" si="396"/>
        <v>0</v>
      </c>
      <c r="AQ576" s="358">
        <f t="shared" ca="1" si="396"/>
        <v>0</v>
      </c>
      <c r="AR576" s="358">
        <f t="shared" ca="1" si="396"/>
        <v>0</v>
      </c>
      <c r="AS576" s="358">
        <f t="shared" ca="1" si="396"/>
        <v>0</v>
      </c>
      <c r="AT576" s="358">
        <f t="shared" ca="1" si="396"/>
        <v>0</v>
      </c>
      <c r="AU576" s="358"/>
      <c r="AV576" s="358">
        <f t="shared" ca="1" si="385"/>
        <v>0</v>
      </c>
      <c r="AX576" s="358">
        <f t="shared" ca="1" si="386"/>
        <v>0</v>
      </c>
      <c r="AZ576" s="358">
        <f t="shared" ca="1" si="387"/>
        <v>0</v>
      </c>
      <c r="BB576" s="358">
        <f t="shared" ca="1" si="388"/>
        <v>0</v>
      </c>
      <c r="BD576" s="358">
        <f t="shared" ca="1" si="389"/>
        <v>0</v>
      </c>
      <c r="BF576" s="358">
        <f t="shared" ca="1" si="390"/>
        <v>0</v>
      </c>
      <c r="BH576" s="358">
        <f t="shared" ca="1" si="391"/>
        <v>0</v>
      </c>
    </row>
    <row r="577" spans="1:60" hidden="1" outlineLevel="1">
      <c r="A577" s="1464">
        <f t="shared" si="393"/>
        <v>18</v>
      </c>
      <c r="B577" s="1464">
        <f t="shared" si="393"/>
        <v>38</v>
      </c>
      <c r="C577" s="1464">
        <f t="shared" si="394"/>
        <v>14</v>
      </c>
      <c r="D577" s="1271" t="str">
        <f ca="1">IF(OFFSET(PortfolioDashboard!$A$3,C577-1,0)="","Blank",OFFSET(PortfolioDashboard!$A$3,C577-1,0))</f>
        <v>On-site Wind</v>
      </c>
      <c r="E577" s="1464" t="str">
        <f t="shared" si="395"/>
        <v>2010$</v>
      </c>
      <c r="F577" s="1460">
        <f t="shared" ca="1" si="382"/>
        <v>0</v>
      </c>
      <c r="G577" s="358">
        <f t="shared" ca="1" si="383"/>
        <v>0</v>
      </c>
      <c r="H577" s="358">
        <f t="shared" ca="1" si="396"/>
        <v>0</v>
      </c>
      <c r="I577" s="358">
        <f t="shared" ca="1" si="396"/>
        <v>0</v>
      </c>
      <c r="J577" s="358">
        <f t="shared" ca="1" si="396"/>
        <v>0</v>
      </c>
      <c r="K577" s="358">
        <f t="shared" ca="1" si="396"/>
        <v>0</v>
      </c>
      <c r="L577" s="358">
        <f t="shared" ca="1" si="396"/>
        <v>0</v>
      </c>
      <c r="M577" s="358">
        <f t="shared" ref="H577:AT583" ca="1" si="397">M515+M546</f>
        <v>0</v>
      </c>
      <c r="N577" s="358">
        <f t="shared" ca="1" si="397"/>
        <v>0</v>
      </c>
      <c r="O577" s="358">
        <f t="shared" ca="1" si="397"/>
        <v>0</v>
      </c>
      <c r="P577" s="358">
        <f t="shared" ca="1" si="397"/>
        <v>0</v>
      </c>
      <c r="Q577" s="358">
        <f t="shared" ca="1" si="397"/>
        <v>0</v>
      </c>
      <c r="R577" s="358">
        <f t="shared" ca="1" si="397"/>
        <v>0</v>
      </c>
      <c r="S577" s="358">
        <f t="shared" ca="1" si="397"/>
        <v>0</v>
      </c>
      <c r="T577" s="358">
        <f t="shared" ca="1" si="397"/>
        <v>0</v>
      </c>
      <c r="U577" s="358">
        <f t="shared" ca="1" si="397"/>
        <v>0</v>
      </c>
      <c r="V577" s="358">
        <f t="shared" ca="1" si="397"/>
        <v>0</v>
      </c>
      <c r="W577" s="358">
        <f t="shared" ca="1" si="397"/>
        <v>0</v>
      </c>
      <c r="X577" s="358">
        <f t="shared" ca="1" si="397"/>
        <v>0</v>
      </c>
      <c r="Y577" s="358">
        <f t="shared" ca="1" si="397"/>
        <v>0</v>
      </c>
      <c r="Z577" s="358">
        <f t="shared" ca="1" si="397"/>
        <v>0</v>
      </c>
      <c r="AA577" s="358">
        <f t="shared" ca="1" si="397"/>
        <v>0</v>
      </c>
      <c r="AB577" s="358">
        <f t="shared" ca="1" si="397"/>
        <v>0</v>
      </c>
      <c r="AC577" s="358">
        <f t="shared" ca="1" si="397"/>
        <v>0</v>
      </c>
      <c r="AD577" s="358">
        <f t="shared" ca="1" si="397"/>
        <v>0</v>
      </c>
      <c r="AE577" s="358">
        <f t="shared" ca="1" si="397"/>
        <v>0</v>
      </c>
      <c r="AF577" s="358">
        <f t="shared" ca="1" si="397"/>
        <v>0</v>
      </c>
      <c r="AG577" s="358">
        <f t="shared" ca="1" si="397"/>
        <v>0</v>
      </c>
      <c r="AH577" s="358">
        <f t="shared" ca="1" si="397"/>
        <v>0</v>
      </c>
      <c r="AI577" s="358">
        <f t="shared" ca="1" si="397"/>
        <v>0</v>
      </c>
      <c r="AJ577" s="358">
        <f t="shared" ca="1" si="397"/>
        <v>0</v>
      </c>
      <c r="AK577" s="358">
        <f t="shared" ca="1" si="397"/>
        <v>0</v>
      </c>
      <c r="AL577" s="358">
        <f t="shared" ca="1" si="397"/>
        <v>0</v>
      </c>
      <c r="AM577" s="358">
        <f t="shared" ca="1" si="397"/>
        <v>0</v>
      </c>
      <c r="AN577" s="358">
        <f t="shared" ca="1" si="397"/>
        <v>0</v>
      </c>
      <c r="AO577" s="358">
        <f t="shared" ca="1" si="397"/>
        <v>0</v>
      </c>
      <c r="AP577" s="358">
        <f t="shared" ca="1" si="397"/>
        <v>0</v>
      </c>
      <c r="AQ577" s="358">
        <f t="shared" ca="1" si="397"/>
        <v>0</v>
      </c>
      <c r="AR577" s="358">
        <f t="shared" ca="1" si="397"/>
        <v>0</v>
      </c>
      <c r="AS577" s="358">
        <f t="shared" ca="1" si="397"/>
        <v>0</v>
      </c>
      <c r="AT577" s="358">
        <f t="shared" ca="1" si="397"/>
        <v>0</v>
      </c>
      <c r="AU577" s="358"/>
      <c r="AV577" s="358">
        <f t="shared" ca="1" si="385"/>
        <v>0</v>
      </c>
      <c r="AX577" s="358">
        <f t="shared" ca="1" si="386"/>
        <v>0</v>
      </c>
      <c r="AZ577" s="358">
        <f t="shared" ca="1" si="387"/>
        <v>0</v>
      </c>
      <c r="BB577" s="358">
        <f t="shared" ca="1" si="388"/>
        <v>0</v>
      </c>
      <c r="BD577" s="358">
        <f t="shared" ca="1" si="389"/>
        <v>0</v>
      </c>
      <c r="BF577" s="358">
        <f t="shared" ca="1" si="390"/>
        <v>0</v>
      </c>
      <c r="BH577" s="358">
        <f t="shared" ca="1" si="391"/>
        <v>0</v>
      </c>
    </row>
    <row r="578" spans="1:60" hidden="1" outlineLevel="1">
      <c r="A578" s="1464">
        <f t="shared" si="393"/>
        <v>18</v>
      </c>
      <c r="B578" s="1464">
        <f t="shared" si="393"/>
        <v>38</v>
      </c>
      <c r="C578" s="1464">
        <f t="shared" si="394"/>
        <v>15</v>
      </c>
      <c r="D578" s="1271" t="str">
        <f ca="1">IF(OFFSET(PortfolioDashboard!$A$3,C578-1,0)="","Blank",OFFSET(PortfolioDashboard!$A$3,C578-1,0))</f>
        <v>Solar DHW</v>
      </c>
      <c r="E578" s="1464" t="str">
        <f t="shared" si="395"/>
        <v>2010$</v>
      </c>
      <c r="F578" s="1460">
        <f t="shared" ca="1" si="382"/>
        <v>0</v>
      </c>
      <c r="G578" s="358">
        <f t="shared" ca="1" si="383"/>
        <v>0</v>
      </c>
      <c r="H578" s="358">
        <f t="shared" ca="1" si="397"/>
        <v>0</v>
      </c>
      <c r="I578" s="358">
        <f t="shared" ca="1" si="397"/>
        <v>0</v>
      </c>
      <c r="J578" s="358">
        <f t="shared" ca="1" si="397"/>
        <v>0</v>
      </c>
      <c r="K578" s="358">
        <f t="shared" ca="1" si="397"/>
        <v>0</v>
      </c>
      <c r="L578" s="358">
        <f t="shared" ca="1" si="397"/>
        <v>0</v>
      </c>
      <c r="M578" s="358">
        <f t="shared" ca="1" si="397"/>
        <v>0</v>
      </c>
      <c r="N578" s="358">
        <f t="shared" ca="1" si="397"/>
        <v>0</v>
      </c>
      <c r="O578" s="358">
        <f t="shared" ca="1" si="397"/>
        <v>0</v>
      </c>
      <c r="P578" s="358">
        <f t="shared" ca="1" si="397"/>
        <v>0</v>
      </c>
      <c r="Q578" s="358">
        <f t="shared" ca="1" si="397"/>
        <v>0</v>
      </c>
      <c r="R578" s="358">
        <f t="shared" ca="1" si="397"/>
        <v>0</v>
      </c>
      <c r="S578" s="358">
        <f t="shared" ca="1" si="397"/>
        <v>0</v>
      </c>
      <c r="T578" s="358">
        <f t="shared" ca="1" si="397"/>
        <v>0</v>
      </c>
      <c r="U578" s="358">
        <f t="shared" ca="1" si="397"/>
        <v>0</v>
      </c>
      <c r="V578" s="358">
        <f t="shared" ca="1" si="397"/>
        <v>0</v>
      </c>
      <c r="W578" s="358">
        <f t="shared" ca="1" si="397"/>
        <v>0</v>
      </c>
      <c r="X578" s="358">
        <f t="shared" ca="1" si="397"/>
        <v>0</v>
      </c>
      <c r="Y578" s="358">
        <f t="shared" ca="1" si="397"/>
        <v>0</v>
      </c>
      <c r="Z578" s="358">
        <f t="shared" ca="1" si="397"/>
        <v>0</v>
      </c>
      <c r="AA578" s="358">
        <f t="shared" ca="1" si="397"/>
        <v>0</v>
      </c>
      <c r="AB578" s="358">
        <f t="shared" ca="1" si="397"/>
        <v>0</v>
      </c>
      <c r="AC578" s="358">
        <f t="shared" ca="1" si="397"/>
        <v>0</v>
      </c>
      <c r="AD578" s="358">
        <f t="shared" ca="1" si="397"/>
        <v>0</v>
      </c>
      <c r="AE578" s="358">
        <f t="shared" ca="1" si="397"/>
        <v>0</v>
      </c>
      <c r="AF578" s="358">
        <f t="shared" ca="1" si="397"/>
        <v>0</v>
      </c>
      <c r="AG578" s="358">
        <f t="shared" ca="1" si="397"/>
        <v>0</v>
      </c>
      <c r="AH578" s="358">
        <f t="shared" ca="1" si="397"/>
        <v>0</v>
      </c>
      <c r="AI578" s="358">
        <f t="shared" ca="1" si="397"/>
        <v>0</v>
      </c>
      <c r="AJ578" s="358">
        <f t="shared" ca="1" si="397"/>
        <v>0</v>
      </c>
      <c r="AK578" s="358">
        <f t="shared" ca="1" si="397"/>
        <v>0</v>
      </c>
      <c r="AL578" s="358">
        <f t="shared" ca="1" si="397"/>
        <v>0</v>
      </c>
      <c r="AM578" s="358">
        <f t="shared" ca="1" si="397"/>
        <v>0</v>
      </c>
      <c r="AN578" s="358">
        <f t="shared" ca="1" si="397"/>
        <v>0</v>
      </c>
      <c r="AO578" s="358">
        <f t="shared" ca="1" si="397"/>
        <v>0</v>
      </c>
      <c r="AP578" s="358">
        <f t="shared" ca="1" si="397"/>
        <v>0</v>
      </c>
      <c r="AQ578" s="358">
        <f t="shared" ca="1" si="397"/>
        <v>0</v>
      </c>
      <c r="AR578" s="358">
        <f t="shared" ca="1" si="397"/>
        <v>0</v>
      </c>
      <c r="AS578" s="358">
        <f t="shared" ca="1" si="397"/>
        <v>0</v>
      </c>
      <c r="AT578" s="358">
        <f t="shared" ca="1" si="397"/>
        <v>0</v>
      </c>
      <c r="AU578" s="358"/>
      <c r="AV578" s="358">
        <f t="shared" ca="1" si="385"/>
        <v>0</v>
      </c>
      <c r="AX578" s="358">
        <f t="shared" ca="1" si="386"/>
        <v>0</v>
      </c>
      <c r="AZ578" s="358">
        <f t="shared" ca="1" si="387"/>
        <v>0</v>
      </c>
      <c r="BB578" s="358">
        <f t="shared" ca="1" si="388"/>
        <v>0</v>
      </c>
      <c r="BD578" s="358">
        <f t="shared" ca="1" si="389"/>
        <v>0</v>
      </c>
      <c r="BF578" s="358">
        <f t="shared" ca="1" si="390"/>
        <v>0</v>
      </c>
      <c r="BH578" s="358">
        <f t="shared" ca="1" si="391"/>
        <v>0</v>
      </c>
    </row>
    <row r="579" spans="1:60" hidden="1" outlineLevel="1">
      <c r="A579" s="1464">
        <f t="shared" si="393"/>
        <v>18</v>
      </c>
      <c r="B579" s="1464">
        <f t="shared" si="393"/>
        <v>38</v>
      </c>
      <c r="C579" s="1464">
        <f t="shared" si="394"/>
        <v>16</v>
      </c>
      <c r="D579" s="1271" t="str">
        <f ca="1">IF(OFFSET(PortfolioDashboard!$A$3,C579-1,0)="","Blank",OFFSET(PortfolioDashboard!$A$3,C579-1,0))</f>
        <v>Geo Exchange</v>
      </c>
      <c r="E579" s="1464" t="str">
        <f t="shared" si="395"/>
        <v>2010$</v>
      </c>
      <c r="F579" s="1460">
        <f t="shared" ca="1" si="382"/>
        <v>-369754.75952019216</v>
      </c>
      <c r="G579" s="358">
        <f t="shared" ca="1" si="383"/>
        <v>0</v>
      </c>
      <c r="H579" s="358">
        <f t="shared" ca="1" si="397"/>
        <v>0</v>
      </c>
      <c r="I579" s="358">
        <f t="shared" ca="1" si="397"/>
        <v>0</v>
      </c>
      <c r="J579" s="358">
        <f t="shared" ca="1" si="397"/>
        <v>-15000</v>
      </c>
      <c r="K579" s="358">
        <f t="shared" ca="1" si="397"/>
        <v>-15000</v>
      </c>
      <c r="L579" s="358">
        <f t="shared" ca="1" si="397"/>
        <v>-30000</v>
      </c>
      <c r="M579" s="358">
        <f t="shared" ca="1" si="397"/>
        <v>-30000</v>
      </c>
      <c r="N579" s="358">
        <f t="shared" ca="1" si="397"/>
        <v>-30000</v>
      </c>
      <c r="O579" s="358">
        <f t="shared" ca="1" si="397"/>
        <v>-30000</v>
      </c>
      <c r="P579" s="358">
        <f t="shared" ca="1" si="397"/>
        <v>-30000</v>
      </c>
      <c r="Q579" s="358">
        <f t="shared" ca="1" si="397"/>
        <v>-30000</v>
      </c>
      <c r="R579" s="358">
        <f t="shared" ca="1" si="397"/>
        <v>-30000</v>
      </c>
      <c r="S579" s="358">
        <f t="shared" ca="1" si="397"/>
        <v>-30000</v>
      </c>
      <c r="T579" s="358">
        <f t="shared" ca="1" si="397"/>
        <v>-30000</v>
      </c>
      <c r="U579" s="358">
        <f t="shared" ca="1" si="397"/>
        <v>-30000</v>
      </c>
      <c r="V579" s="358">
        <f t="shared" ca="1" si="397"/>
        <v>-30000</v>
      </c>
      <c r="W579" s="358">
        <f t="shared" ca="1" si="397"/>
        <v>-30000</v>
      </c>
      <c r="X579" s="358">
        <f t="shared" ca="1" si="397"/>
        <v>-30000</v>
      </c>
      <c r="Y579" s="358">
        <f t="shared" ca="1" si="397"/>
        <v>-30000</v>
      </c>
      <c r="Z579" s="358">
        <f t="shared" ca="1" si="397"/>
        <v>-30000</v>
      </c>
      <c r="AA579" s="358">
        <f t="shared" ca="1" si="397"/>
        <v>-30000</v>
      </c>
      <c r="AB579" s="358">
        <f t="shared" ca="1" si="397"/>
        <v>-30000</v>
      </c>
      <c r="AC579" s="358">
        <f t="shared" ca="1" si="397"/>
        <v>-30000</v>
      </c>
      <c r="AD579" s="358">
        <f t="shared" ca="1" si="397"/>
        <v>-30000</v>
      </c>
      <c r="AE579" s="358">
        <f t="shared" ca="1" si="397"/>
        <v>-30000</v>
      </c>
      <c r="AF579" s="358">
        <f t="shared" ca="1" si="397"/>
        <v>-30000</v>
      </c>
      <c r="AG579" s="358">
        <f t="shared" ca="1" si="397"/>
        <v>-30000</v>
      </c>
      <c r="AH579" s="358">
        <f t="shared" ca="1" si="397"/>
        <v>-30000</v>
      </c>
      <c r="AI579" s="358">
        <f t="shared" ca="1" si="397"/>
        <v>-30000</v>
      </c>
      <c r="AJ579" s="358">
        <f t="shared" ca="1" si="397"/>
        <v>-30000</v>
      </c>
      <c r="AK579" s="358">
        <f t="shared" ca="1" si="397"/>
        <v>-30000</v>
      </c>
      <c r="AL579" s="358">
        <f t="shared" ca="1" si="397"/>
        <v>-30000</v>
      </c>
      <c r="AM579" s="358">
        <f t="shared" ca="1" si="397"/>
        <v>-30000</v>
      </c>
      <c r="AN579" s="358">
        <f t="shared" ca="1" si="397"/>
        <v>-30000</v>
      </c>
      <c r="AO579" s="358">
        <f t="shared" ca="1" si="397"/>
        <v>-30000</v>
      </c>
      <c r="AP579" s="358">
        <f t="shared" ca="1" si="397"/>
        <v>-30000</v>
      </c>
      <c r="AQ579" s="358">
        <f t="shared" ca="1" si="397"/>
        <v>-30000</v>
      </c>
      <c r="AR579" s="358">
        <f t="shared" ca="1" si="397"/>
        <v>-30000</v>
      </c>
      <c r="AS579" s="358">
        <f t="shared" ca="1" si="397"/>
        <v>-30000</v>
      </c>
      <c r="AT579" s="358">
        <f t="shared" ca="1" si="397"/>
        <v>-30000</v>
      </c>
      <c r="AU579" s="358"/>
      <c r="AV579" s="358">
        <f t="shared" ca="1" si="385"/>
        <v>-150000</v>
      </c>
      <c r="AX579" s="358">
        <f t="shared" ca="1" si="386"/>
        <v>-150000</v>
      </c>
      <c r="AZ579" s="358">
        <f t="shared" ca="1" si="387"/>
        <v>-150000</v>
      </c>
      <c r="BB579" s="358">
        <f t="shared" ca="1" si="388"/>
        <v>-150000</v>
      </c>
      <c r="BD579" s="358">
        <f t="shared" ca="1" si="389"/>
        <v>-150000</v>
      </c>
      <c r="BF579" s="358">
        <f t="shared" ca="1" si="390"/>
        <v>-150000</v>
      </c>
      <c r="BH579" s="358">
        <f t="shared" ca="1" si="391"/>
        <v>-150000</v>
      </c>
    </row>
    <row r="580" spans="1:60" hidden="1" outlineLevel="1">
      <c r="A580" s="1464">
        <f t="shared" si="393"/>
        <v>18</v>
      </c>
      <c r="B580" s="1464">
        <f t="shared" si="393"/>
        <v>38</v>
      </c>
      <c r="C580" s="1464">
        <f t="shared" si="394"/>
        <v>17</v>
      </c>
      <c r="D580" s="1271" t="str">
        <f ca="1">IF(OFFSET(PortfolioDashboard!$A$3,C580-1,0)="","Blank",OFFSET(PortfolioDashboard!$A$3,C580-1,0))</f>
        <v>Rooftop Solar PV</v>
      </c>
      <c r="E580" s="1464" t="str">
        <f t="shared" si="395"/>
        <v>2010$</v>
      </c>
      <c r="F580" s="1460">
        <f t="shared" ca="1" si="382"/>
        <v>0</v>
      </c>
      <c r="G580" s="358">
        <f t="shared" ca="1" si="383"/>
        <v>0</v>
      </c>
      <c r="H580" s="358">
        <f t="shared" ca="1" si="397"/>
        <v>0</v>
      </c>
      <c r="I580" s="358">
        <f t="shared" ca="1" si="397"/>
        <v>0</v>
      </c>
      <c r="J580" s="358">
        <f t="shared" ca="1" si="397"/>
        <v>0</v>
      </c>
      <c r="K580" s="358">
        <f t="shared" ca="1" si="397"/>
        <v>0</v>
      </c>
      <c r="L580" s="358">
        <f t="shared" ca="1" si="397"/>
        <v>0</v>
      </c>
      <c r="M580" s="358">
        <f t="shared" ca="1" si="397"/>
        <v>0</v>
      </c>
      <c r="N580" s="358">
        <f t="shared" ca="1" si="397"/>
        <v>0</v>
      </c>
      <c r="O580" s="358">
        <f t="shared" ca="1" si="397"/>
        <v>0</v>
      </c>
      <c r="P580" s="358">
        <f t="shared" ca="1" si="397"/>
        <v>0</v>
      </c>
      <c r="Q580" s="358">
        <f t="shared" ca="1" si="397"/>
        <v>0</v>
      </c>
      <c r="R580" s="358">
        <f t="shared" ca="1" si="397"/>
        <v>0</v>
      </c>
      <c r="S580" s="358">
        <f t="shared" ca="1" si="397"/>
        <v>0</v>
      </c>
      <c r="T580" s="358">
        <f t="shared" ca="1" si="397"/>
        <v>0</v>
      </c>
      <c r="U580" s="358">
        <f t="shared" ca="1" si="397"/>
        <v>0</v>
      </c>
      <c r="V580" s="358">
        <f t="shared" ca="1" si="397"/>
        <v>0</v>
      </c>
      <c r="W580" s="358">
        <f t="shared" ca="1" si="397"/>
        <v>0</v>
      </c>
      <c r="X580" s="358">
        <f t="shared" ca="1" si="397"/>
        <v>0</v>
      </c>
      <c r="Y580" s="358">
        <f t="shared" ca="1" si="397"/>
        <v>0</v>
      </c>
      <c r="Z580" s="358">
        <f t="shared" ca="1" si="397"/>
        <v>0</v>
      </c>
      <c r="AA580" s="358">
        <f t="shared" ca="1" si="397"/>
        <v>0</v>
      </c>
      <c r="AB580" s="358">
        <f t="shared" ca="1" si="397"/>
        <v>0</v>
      </c>
      <c r="AC580" s="358">
        <f t="shared" ca="1" si="397"/>
        <v>0</v>
      </c>
      <c r="AD580" s="358">
        <f t="shared" ca="1" si="397"/>
        <v>0</v>
      </c>
      <c r="AE580" s="358">
        <f t="shared" ca="1" si="397"/>
        <v>0</v>
      </c>
      <c r="AF580" s="358">
        <f t="shared" ca="1" si="397"/>
        <v>0</v>
      </c>
      <c r="AG580" s="358">
        <f t="shared" ca="1" si="397"/>
        <v>0</v>
      </c>
      <c r="AH580" s="358">
        <f t="shared" ca="1" si="397"/>
        <v>0</v>
      </c>
      <c r="AI580" s="358">
        <f t="shared" ca="1" si="397"/>
        <v>0</v>
      </c>
      <c r="AJ580" s="358">
        <f t="shared" ca="1" si="397"/>
        <v>0</v>
      </c>
      <c r="AK580" s="358">
        <f t="shared" ca="1" si="397"/>
        <v>0</v>
      </c>
      <c r="AL580" s="358">
        <f t="shared" ca="1" si="397"/>
        <v>0</v>
      </c>
      <c r="AM580" s="358">
        <f t="shared" ca="1" si="397"/>
        <v>0</v>
      </c>
      <c r="AN580" s="358">
        <f t="shared" ca="1" si="397"/>
        <v>0</v>
      </c>
      <c r="AO580" s="358">
        <f t="shared" ca="1" si="397"/>
        <v>0</v>
      </c>
      <c r="AP580" s="358">
        <f t="shared" ca="1" si="397"/>
        <v>0</v>
      </c>
      <c r="AQ580" s="358">
        <f t="shared" ca="1" si="397"/>
        <v>0</v>
      </c>
      <c r="AR580" s="358">
        <f t="shared" ca="1" si="397"/>
        <v>0</v>
      </c>
      <c r="AS580" s="358">
        <f t="shared" ca="1" si="397"/>
        <v>0</v>
      </c>
      <c r="AT580" s="358">
        <f t="shared" ca="1" si="397"/>
        <v>0</v>
      </c>
      <c r="AU580" s="358"/>
      <c r="AV580" s="358">
        <f t="shared" ca="1" si="385"/>
        <v>0</v>
      </c>
      <c r="AX580" s="358">
        <f t="shared" ca="1" si="386"/>
        <v>0</v>
      </c>
      <c r="AZ580" s="358">
        <f t="shared" ca="1" si="387"/>
        <v>0</v>
      </c>
      <c r="BB580" s="358">
        <f t="shared" ca="1" si="388"/>
        <v>0</v>
      </c>
      <c r="BD580" s="358">
        <f t="shared" ca="1" si="389"/>
        <v>0</v>
      </c>
      <c r="BF580" s="358">
        <f t="shared" ca="1" si="390"/>
        <v>0</v>
      </c>
      <c r="BH580" s="358">
        <f t="shared" ca="1" si="391"/>
        <v>0</v>
      </c>
    </row>
    <row r="581" spans="1:60" hidden="1" outlineLevel="1">
      <c r="A581" s="1464">
        <f t="shared" si="393"/>
        <v>18</v>
      </c>
      <c r="B581" s="1464">
        <f t="shared" si="393"/>
        <v>38</v>
      </c>
      <c r="C581" s="1464">
        <f t="shared" si="394"/>
        <v>18</v>
      </c>
      <c r="D581" s="1271" t="str">
        <f ca="1">IF(OFFSET(PortfolioDashboard!$A$3,C581-1,0)="","Blank",OFFSET(PortfolioDashboard!$A$3,C581-1,0))</f>
        <v>Blank</v>
      </c>
      <c r="E581" s="1464" t="str">
        <f t="shared" si="395"/>
        <v>2010$</v>
      </c>
      <c r="F581" s="1460">
        <f t="shared" ca="1" si="382"/>
        <v>0</v>
      </c>
      <c r="G581" s="358">
        <f t="shared" ca="1" si="383"/>
        <v>0</v>
      </c>
      <c r="H581" s="358">
        <f t="shared" ca="1" si="397"/>
        <v>0</v>
      </c>
      <c r="I581" s="358">
        <f t="shared" ca="1" si="397"/>
        <v>0</v>
      </c>
      <c r="J581" s="358">
        <f t="shared" ca="1" si="397"/>
        <v>0</v>
      </c>
      <c r="K581" s="358">
        <f t="shared" ca="1" si="397"/>
        <v>0</v>
      </c>
      <c r="L581" s="358">
        <f t="shared" ca="1" si="397"/>
        <v>0</v>
      </c>
      <c r="M581" s="358">
        <f t="shared" ca="1" si="397"/>
        <v>0</v>
      </c>
      <c r="N581" s="358">
        <f t="shared" ca="1" si="397"/>
        <v>0</v>
      </c>
      <c r="O581" s="358">
        <f t="shared" ca="1" si="397"/>
        <v>0</v>
      </c>
      <c r="P581" s="358">
        <f t="shared" ca="1" si="397"/>
        <v>0</v>
      </c>
      <c r="Q581" s="358">
        <f t="shared" ca="1" si="397"/>
        <v>0</v>
      </c>
      <c r="R581" s="358">
        <f t="shared" ca="1" si="397"/>
        <v>0</v>
      </c>
      <c r="S581" s="358">
        <f t="shared" ca="1" si="397"/>
        <v>0</v>
      </c>
      <c r="T581" s="358">
        <f t="shared" ca="1" si="397"/>
        <v>0</v>
      </c>
      <c r="U581" s="358">
        <f t="shared" ca="1" si="397"/>
        <v>0</v>
      </c>
      <c r="V581" s="358">
        <f t="shared" ca="1" si="397"/>
        <v>0</v>
      </c>
      <c r="W581" s="358">
        <f t="shared" ca="1" si="397"/>
        <v>0</v>
      </c>
      <c r="X581" s="358">
        <f t="shared" ca="1" si="397"/>
        <v>0</v>
      </c>
      <c r="Y581" s="358">
        <f t="shared" ca="1" si="397"/>
        <v>0</v>
      </c>
      <c r="Z581" s="358">
        <f t="shared" ca="1" si="397"/>
        <v>0</v>
      </c>
      <c r="AA581" s="358">
        <f t="shared" ca="1" si="397"/>
        <v>0</v>
      </c>
      <c r="AB581" s="358">
        <f t="shared" ca="1" si="397"/>
        <v>0</v>
      </c>
      <c r="AC581" s="358">
        <f t="shared" ca="1" si="397"/>
        <v>0</v>
      </c>
      <c r="AD581" s="358">
        <f t="shared" ca="1" si="397"/>
        <v>0</v>
      </c>
      <c r="AE581" s="358">
        <f t="shared" ca="1" si="397"/>
        <v>0</v>
      </c>
      <c r="AF581" s="358">
        <f t="shared" ca="1" si="397"/>
        <v>0</v>
      </c>
      <c r="AG581" s="358">
        <f t="shared" ca="1" si="397"/>
        <v>0</v>
      </c>
      <c r="AH581" s="358">
        <f t="shared" ca="1" si="397"/>
        <v>0</v>
      </c>
      <c r="AI581" s="358">
        <f t="shared" ca="1" si="397"/>
        <v>0</v>
      </c>
      <c r="AJ581" s="358">
        <f t="shared" ca="1" si="397"/>
        <v>0</v>
      </c>
      <c r="AK581" s="358">
        <f t="shared" ca="1" si="397"/>
        <v>0</v>
      </c>
      <c r="AL581" s="358">
        <f t="shared" ca="1" si="397"/>
        <v>0</v>
      </c>
      <c r="AM581" s="358">
        <f t="shared" ca="1" si="397"/>
        <v>0</v>
      </c>
      <c r="AN581" s="358">
        <f t="shared" ca="1" si="397"/>
        <v>0</v>
      </c>
      <c r="AO581" s="358">
        <f t="shared" ca="1" si="397"/>
        <v>0</v>
      </c>
      <c r="AP581" s="358">
        <f t="shared" ca="1" si="397"/>
        <v>0</v>
      </c>
      <c r="AQ581" s="358">
        <f t="shared" ca="1" si="397"/>
        <v>0</v>
      </c>
      <c r="AR581" s="358">
        <f t="shared" ca="1" si="397"/>
        <v>0</v>
      </c>
      <c r="AS581" s="358">
        <f t="shared" ca="1" si="397"/>
        <v>0</v>
      </c>
      <c r="AT581" s="358">
        <f t="shared" ca="1" si="397"/>
        <v>0</v>
      </c>
      <c r="AU581" s="358"/>
      <c r="AV581" s="358">
        <f t="shared" ca="1" si="385"/>
        <v>0</v>
      </c>
      <c r="AX581" s="358">
        <f t="shared" ca="1" si="386"/>
        <v>0</v>
      </c>
      <c r="AZ581" s="358">
        <f t="shared" ca="1" si="387"/>
        <v>0</v>
      </c>
      <c r="BB581" s="358">
        <f t="shared" ca="1" si="388"/>
        <v>0</v>
      </c>
      <c r="BD581" s="358">
        <f t="shared" ca="1" si="389"/>
        <v>0</v>
      </c>
      <c r="BF581" s="358">
        <f t="shared" ca="1" si="390"/>
        <v>0</v>
      </c>
      <c r="BH581" s="358">
        <f t="shared" ca="1" si="391"/>
        <v>0</v>
      </c>
    </row>
    <row r="582" spans="1:60" hidden="1" outlineLevel="1">
      <c r="A582" s="1464">
        <f t="shared" ref="A582:B593" si="398">A581</f>
        <v>18</v>
      </c>
      <c r="B582" s="1464">
        <f t="shared" si="398"/>
        <v>38</v>
      </c>
      <c r="C582" s="1464">
        <f t="shared" si="394"/>
        <v>19</v>
      </c>
      <c r="D582" s="1271" t="str">
        <f ca="1">IF(OFFSET(PortfolioDashboard!$A$3,C582-1,0)="","Blank",OFFSET(PortfolioDashboard!$A$3,C582-1,0))</f>
        <v>Blank</v>
      </c>
      <c r="E582" s="1464" t="str">
        <f t="shared" si="395"/>
        <v>2010$</v>
      </c>
      <c r="F582" s="1460">
        <f t="shared" ca="1" si="382"/>
        <v>0</v>
      </c>
      <c r="G582" s="358">
        <f t="shared" ca="1" si="383"/>
        <v>0</v>
      </c>
      <c r="H582" s="358">
        <f t="shared" ca="1" si="397"/>
        <v>0</v>
      </c>
      <c r="I582" s="358">
        <f t="shared" ca="1" si="397"/>
        <v>0</v>
      </c>
      <c r="J582" s="358">
        <f t="shared" ca="1" si="397"/>
        <v>0</v>
      </c>
      <c r="K582" s="358">
        <f t="shared" ca="1" si="397"/>
        <v>0</v>
      </c>
      <c r="L582" s="358">
        <f t="shared" ca="1" si="397"/>
        <v>0</v>
      </c>
      <c r="M582" s="358">
        <f t="shared" ca="1" si="397"/>
        <v>0</v>
      </c>
      <c r="N582" s="358">
        <f t="shared" ca="1" si="397"/>
        <v>0</v>
      </c>
      <c r="O582" s="358">
        <f t="shared" ca="1" si="397"/>
        <v>0</v>
      </c>
      <c r="P582" s="358">
        <f t="shared" ca="1" si="397"/>
        <v>0</v>
      </c>
      <c r="Q582" s="358">
        <f t="shared" ca="1" si="397"/>
        <v>0</v>
      </c>
      <c r="R582" s="358">
        <f t="shared" ca="1" si="397"/>
        <v>0</v>
      </c>
      <c r="S582" s="358">
        <f t="shared" ca="1" si="397"/>
        <v>0</v>
      </c>
      <c r="T582" s="358">
        <f t="shared" ca="1" si="397"/>
        <v>0</v>
      </c>
      <c r="U582" s="358">
        <f t="shared" ca="1" si="397"/>
        <v>0</v>
      </c>
      <c r="V582" s="358">
        <f t="shared" ca="1" si="397"/>
        <v>0</v>
      </c>
      <c r="W582" s="358">
        <f t="shared" ca="1" si="397"/>
        <v>0</v>
      </c>
      <c r="X582" s="358">
        <f t="shared" ca="1" si="397"/>
        <v>0</v>
      </c>
      <c r="Y582" s="358">
        <f t="shared" ca="1" si="397"/>
        <v>0</v>
      </c>
      <c r="Z582" s="358">
        <f t="shared" ca="1" si="397"/>
        <v>0</v>
      </c>
      <c r="AA582" s="358">
        <f t="shared" ca="1" si="397"/>
        <v>0</v>
      </c>
      <c r="AB582" s="358">
        <f t="shared" ca="1" si="397"/>
        <v>0</v>
      </c>
      <c r="AC582" s="358">
        <f t="shared" ca="1" si="397"/>
        <v>0</v>
      </c>
      <c r="AD582" s="358">
        <f t="shared" ca="1" si="397"/>
        <v>0</v>
      </c>
      <c r="AE582" s="358">
        <f t="shared" ca="1" si="397"/>
        <v>0</v>
      </c>
      <c r="AF582" s="358">
        <f t="shared" ca="1" si="397"/>
        <v>0</v>
      </c>
      <c r="AG582" s="358">
        <f t="shared" ca="1" si="397"/>
        <v>0</v>
      </c>
      <c r="AH582" s="358">
        <f t="shared" ca="1" si="397"/>
        <v>0</v>
      </c>
      <c r="AI582" s="358">
        <f t="shared" ca="1" si="397"/>
        <v>0</v>
      </c>
      <c r="AJ582" s="358">
        <f t="shared" ca="1" si="397"/>
        <v>0</v>
      </c>
      <c r="AK582" s="358">
        <f t="shared" ca="1" si="397"/>
        <v>0</v>
      </c>
      <c r="AL582" s="358">
        <f t="shared" ca="1" si="397"/>
        <v>0</v>
      </c>
      <c r="AM582" s="358">
        <f t="shared" ca="1" si="397"/>
        <v>0</v>
      </c>
      <c r="AN582" s="358">
        <f t="shared" ca="1" si="397"/>
        <v>0</v>
      </c>
      <c r="AO582" s="358">
        <f t="shared" ca="1" si="397"/>
        <v>0</v>
      </c>
      <c r="AP582" s="358">
        <f t="shared" ca="1" si="397"/>
        <v>0</v>
      </c>
      <c r="AQ582" s="358">
        <f t="shared" ca="1" si="397"/>
        <v>0</v>
      </c>
      <c r="AR582" s="358">
        <f t="shared" ca="1" si="397"/>
        <v>0</v>
      </c>
      <c r="AS582" s="358">
        <f t="shared" ca="1" si="397"/>
        <v>0</v>
      </c>
      <c r="AT582" s="358">
        <f t="shared" ca="1" si="397"/>
        <v>0</v>
      </c>
      <c r="AU582" s="358"/>
      <c r="AV582" s="358">
        <f t="shared" ca="1" si="385"/>
        <v>0</v>
      </c>
      <c r="AX582" s="358">
        <f t="shared" ca="1" si="386"/>
        <v>0</v>
      </c>
      <c r="AZ582" s="358">
        <f t="shared" ca="1" si="387"/>
        <v>0</v>
      </c>
      <c r="BB582" s="358">
        <f t="shared" ca="1" si="388"/>
        <v>0</v>
      </c>
      <c r="BD582" s="358">
        <f t="shared" ca="1" si="389"/>
        <v>0</v>
      </c>
      <c r="BF582" s="358">
        <f t="shared" ca="1" si="390"/>
        <v>0</v>
      </c>
      <c r="BH582" s="358">
        <f t="shared" ca="1" si="391"/>
        <v>0</v>
      </c>
    </row>
    <row r="583" spans="1:60" hidden="1" outlineLevel="1">
      <c r="A583" s="1464">
        <f t="shared" si="398"/>
        <v>18</v>
      </c>
      <c r="B583" s="1464">
        <f t="shared" si="398"/>
        <v>38</v>
      </c>
      <c r="C583" s="1464">
        <f t="shared" si="394"/>
        <v>20</v>
      </c>
      <c r="D583" s="1271" t="str">
        <f ca="1">IF(OFFSET(PortfolioDashboard!$A$3,C583-1,0)="","Blank",OFFSET(PortfolioDashboard!$A$3,C583-1,0))</f>
        <v>Blank</v>
      </c>
      <c r="E583" s="1464" t="str">
        <f t="shared" si="395"/>
        <v>2010$</v>
      </c>
      <c r="F583" s="1460">
        <f t="shared" ca="1" si="382"/>
        <v>0</v>
      </c>
      <c r="G583" s="358">
        <f t="shared" ca="1" si="383"/>
        <v>0</v>
      </c>
      <c r="H583" s="358">
        <f t="shared" ca="1" si="397"/>
        <v>0</v>
      </c>
      <c r="I583" s="358">
        <f t="shared" ca="1" si="397"/>
        <v>0</v>
      </c>
      <c r="J583" s="358">
        <f t="shared" ca="1" si="397"/>
        <v>0</v>
      </c>
      <c r="K583" s="358">
        <f t="shared" ca="1" si="397"/>
        <v>0</v>
      </c>
      <c r="L583" s="358">
        <f t="shared" ca="1" si="397"/>
        <v>0</v>
      </c>
      <c r="M583" s="358">
        <f t="shared" ca="1" si="397"/>
        <v>0</v>
      </c>
      <c r="N583" s="358">
        <f t="shared" ca="1" si="397"/>
        <v>0</v>
      </c>
      <c r="O583" s="358">
        <f t="shared" ca="1" si="397"/>
        <v>0</v>
      </c>
      <c r="P583" s="358">
        <f t="shared" ca="1" si="397"/>
        <v>0</v>
      </c>
      <c r="Q583" s="358">
        <f t="shared" ca="1" si="397"/>
        <v>0</v>
      </c>
      <c r="R583" s="358">
        <f t="shared" ca="1" si="397"/>
        <v>0</v>
      </c>
      <c r="S583" s="358">
        <f t="shared" ca="1" si="397"/>
        <v>0</v>
      </c>
      <c r="T583" s="358">
        <f t="shared" ca="1" si="397"/>
        <v>0</v>
      </c>
      <c r="U583" s="358">
        <f t="shared" ca="1" si="397"/>
        <v>0</v>
      </c>
      <c r="V583" s="358">
        <f t="shared" ca="1" si="397"/>
        <v>0</v>
      </c>
      <c r="W583" s="358">
        <f t="shared" ca="1" si="397"/>
        <v>0</v>
      </c>
      <c r="X583" s="358">
        <f t="shared" ca="1" si="397"/>
        <v>0</v>
      </c>
      <c r="Y583" s="358">
        <f t="shared" ca="1" si="397"/>
        <v>0</v>
      </c>
      <c r="Z583" s="358">
        <f t="shared" ca="1" si="397"/>
        <v>0</v>
      </c>
      <c r="AA583" s="358">
        <f t="shared" ca="1" si="397"/>
        <v>0</v>
      </c>
      <c r="AB583" s="358">
        <f t="shared" ref="H583:AT589" ca="1" si="399">AB521+AB552</f>
        <v>0</v>
      </c>
      <c r="AC583" s="358">
        <f t="shared" ca="1" si="399"/>
        <v>0</v>
      </c>
      <c r="AD583" s="358">
        <f t="shared" ca="1" si="399"/>
        <v>0</v>
      </c>
      <c r="AE583" s="358">
        <f t="shared" ca="1" si="399"/>
        <v>0</v>
      </c>
      <c r="AF583" s="358">
        <f t="shared" ca="1" si="399"/>
        <v>0</v>
      </c>
      <c r="AG583" s="358">
        <f t="shared" ca="1" si="399"/>
        <v>0</v>
      </c>
      <c r="AH583" s="358">
        <f t="shared" ca="1" si="399"/>
        <v>0</v>
      </c>
      <c r="AI583" s="358">
        <f t="shared" ca="1" si="399"/>
        <v>0</v>
      </c>
      <c r="AJ583" s="358">
        <f t="shared" ca="1" si="399"/>
        <v>0</v>
      </c>
      <c r="AK583" s="358">
        <f t="shared" ca="1" si="399"/>
        <v>0</v>
      </c>
      <c r="AL583" s="358">
        <f t="shared" ca="1" si="399"/>
        <v>0</v>
      </c>
      <c r="AM583" s="358">
        <f t="shared" ca="1" si="399"/>
        <v>0</v>
      </c>
      <c r="AN583" s="358">
        <f t="shared" ca="1" si="399"/>
        <v>0</v>
      </c>
      <c r="AO583" s="358">
        <f t="shared" ca="1" si="399"/>
        <v>0</v>
      </c>
      <c r="AP583" s="358">
        <f t="shared" ca="1" si="399"/>
        <v>0</v>
      </c>
      <c r="AQ583" s="358">
        <f t="shared" ca="1" si="399"/>
        <v>0</v>
      </c>
      <c r="AR583" s="358">
        <f t="shared" ca="1" si="399"/>
        <v>0</v>
      </c>
      <c r="AS583" s="358">
        <f t="shared" ca="1" si="399"/>
        <v>0</v>
      </c>
      <c r="AT583" s="358">
        <f t="shared" ca="1" si="399"/>
        <v>0</v>
      </c>
      <c r="AU583" s="358"/>
      <c r="AV583" s="358">
        <f t="shared" ca="1" si="385"/>
        <v>0</v>
      </c>
      <c r="AX583" s="358">
        <f t="shared" ca="1" si="386"/>
        <v>0</v>
      </c>
      <c r="AZ583" s="358">
        <f t="shared" ca="1" si="387"/>
        <v>0</v>
      </c>
      <c r="BB583" s="358">
        <f t="shared" ca="1" si="388"/>
        <v>0</v>
      </c>
      <c r="BD583" s="358">
        <f t="shared" ca="1" si="389"/>
        <v>0</v>
      </c>
      <c r="BF583" s="358">
        <f t="shared" ca="1" si="390"/>
        <v>0</v>
      </c>
      <c r="BH583" s="358">
        <f t="shared" ca="1" si="391"/>
        <v>0</v>
      </c>
    </row>
    <row r="584" spans="1:60" hidden="1" outlineLevel="1">
      <c r="A584" s="1464">
        <f t="shared" si="398"/>
        <v>18</v>
      </c>
      <c r="B584" s="1464">
        <f t="shared" si="398"/>
        <v>38</v>
      </c>
      <c r="C584" s="1464">
        <f t="shared" si="394"/>
        <v>21</v>
      </c>
      <c r="D584" s="1271" t="str">
        <f ca="1">IF(OFFSET(PortfolioDashboard!$A$3,C584-1,0)="","Blank",OFFSET(PortfolioDashboard!$A$3,C584-1,0))</f>
        <v>Blank</v>
      </c>
      <c r="E584" s="1464" t="str">
        <f t="shared" si="395"/>
        <v>2010$</v>
      </c>
      <c r="F584" s="1460">
        <f t="shared" ca="1" si="382"/>
        <v>0</v>
      </c>
      <c r="G584" s="358">
        <f t="shared" ca="1" si="383"/>
        <v>0</v>
      </c>
      <c r="H584" s="358">
        <f t="shared" ca="1" si="399"/>
        <v>0</v>
      </c>
      <c r="I584" s="358">
        <f t="shared" ca="1" si="399"/>
        <v>0</v>
      </c>
      <c r="J584" s="358">
        <f t="shared" ca="1" si="399"/>
        <v>0</v>
      </c>
      <c r="K584" s="358">
        <f t="shared" ca="1" si="399"/>
        <v>0</v>
      </c>
      <c r="L584" s="358">
        <f t="shared" ca="1" si="399"/>
        <v>0</v>
      </c>
      <c r="M584" s="358">
        <f t="shared" ca="1" si="399"/>
        <v>0</v>
      </c>
      <c r="N584" s="358">
        <f t="shared" ca="1" si="399"/>
        <v>0</v>
      </c>
      <c r="O584" s="358">
        <f t="shared" ca="1" si="399"/>
        <v>0</v>
      </c>
      <c r="P584" s="358">
        <f t="shared" ca="1" si="399"/>
        <v>0</v>
      </c>
      <c r="Q584" s="358">
        <f t="shared" ca="1" si="399"/>
        <v>0</v>
      </c>
      <c r="R584" s="358">
        <f t="shared" ca="1" si="399"/>
        <v>0</v>
      </c>
      <c r="S584" s="358">
        <f t="shared" ca="1" si="399"/>
        <v>0</v>
      </c>
      <c r="T584" s="358">
        <f t="shared" ca="1" si="399"/>
        <v>0</v>
      </c>
      <c r="U584" s="358">
        <f t="shared" ca="1" si="399"/>
        <v>0</v>
      </c>
      <c r="V584" s="358">
        <f t="shared" ca="1" si="399"/>
        <v>0</v>
      </c>
      <c r="W584" s="358">
        <f t="shared" ca="1" si="399"/>
        <v>0</v>
      </c>
      <c r="X584" s="358">
        <f t="shared" ca="1" si="399"/>
        <v>0</v>
      </c>
      <c r="Y584" s="358">
        <f t="shared" ca="1" si="399"/>
        <v>0</v>
      </c>
      <c r="Z584" s="358">
        <f t="shared" ca="1" si="399"/>
        <v>0</v>
      </c>
      <c r="AA584" s="358">
        <f t="shared" ca="1" si="399"/>
        <v>0</v>
      </c>
      <c r="AB584" s="358">
        <f t="shared" ca="1" si="399"/>
        <v>0</v>
      </c>
      <c r="AC584" s="358">
        <f t="shared" ca="1" si="399"/>
        <v>0</v>
      </c>
      <c r="AD584" s="358">
        <f t="shared" ca="1" si="399"/>
        <v>0</v>
      </c>
      <c r="AE584" s="358">
        <f t="shared" ca="1" si="399"/>
        <v>0</v>
      </c>
      <c r="AF584" s="358">
        <f t="shared" ca="1" si="399"/>
        <v>0</v>
      </c>
      <c r="AG584" s="358">
        <f t="shared" ca="1" si="399"/>
        <v>0</v>
      </c>
      <c r="AH584" s="358">
        <f t="shared" ca="1" si="399"/>
        <v>0</v>
      </c>
      <c r="AI584" s="358">
        <f t="shared" ca="1" si="399"/>
        <v>0</v>
      </c>
      <c r="AJ584" s="358">
        <f t="shared" ca="1" si="399"/>
        <v>0</v>
      </c>
      <c r="AK584" s="358">
        <f t="shared" ca="1" si="399"/>
        <v>0</v>
      </c>
      <c r="AL584" s="358">
        <f t="shared" ca="1" si="399"/>
        <v>0</v>
      </c>
      <c r="AM584" s="358">
        <f t="shared" ca="1" si="399"/>
        <v>0</v>
      </c>
      <c r="AN584" s="358">
        <f t="shared" ca="1" si="399"/>
        <v>0</v>
      </c>
      <c r="AO584" s="358">
        <f t="shared" ca="1" si="399"/>
        <v>0</v>
      </c>
      <c r="AP584" s="358">
        <f t="shared" ca="1" si="399"/>
        <v>0</v>
      </c>
      <c r="AQ584" s="358">
        <f t="shared" ca="1" si="399"/>
        <v>0</v>
      </c>
      <c r="AR584" s="358">
        <f t="shared" ca="1" si="399"/>
        <v>0</v>
      </c>
      <c r="AS584" s="358">
        <f t="shared" ca="1" si="399"/>
        <v>0</v>
      </c>
      <c r="AT584" s="358">
        <f t="shared" ca="1" si="399"/>
        <v>0</v>
      </c>
      <c r="AU584" s="358"/>
      <c r="AV584" s="358">
        <f t="shared" ca="1" si="385"/>
        <v>0</v>
      </c>
      <c r="AX584" s="358">
        <f t="shared" ca="1" si="386"/>
        <v>0</v>
      </c>
      <c r="AZ584" s="358">
        <f t="shared" ca="1" si="387"/>
        <v>0</v>
      </c>
      <c r="BB584" s="358">
        <f t="shared" ca="1" si="388"/>
        <v>0</v>
      </c>
      <c r="BD584" s="358">
        <f t="shared" ca="1" si="389"/>
        <v>0</v>
      </c>
      <c r="BF584" s="358">
        <f t="shared" ca="1" si="390"/>
        <v>0</v>
      </c>
      <c r="BH584" s="358">
        <f t="shared" ca="1" si="391"/>
        <v>0</v>
      </c>
    </row>
    <row r="585" spans="1:60" hidden="1" outlineLevel="1">
      <c r="A585" s="1464">
        <f t="shared" si="398"/>
        <v>18</v>
      </c>
      <c r="B585" s="1464">
        <f t="shared" si="398"/>
        <v>38</v>
      </c>
      <c r="C585" s="1464">
        <f t="shared" si="394"/>
        <v>22</v>
      </c>
      <c r="D585" s="1271" t="str">
        <f ca="1">IF(OFFSET(PortfolioDashboard!$A$3,C585-1,0)="","Blank",OFFSET(PortfolioDashboard!$A$3,C585-1,0))</f>
        <v>Blank</v>
      </c>
      <c r="E585" s="1464" t="str">
        <f t="shared" si="395"/>
        <v>2010$</v>
      </c>
      <c r="F585" s="1460">
        <f t="shared" ca="1" si="382"/>
        <v>0</v>
      </c>
      <c r="G585" s="358">
        <f t="shared" ca="1" si="383"/>
        <v>0</v>
      </c>
      <c r="H585" s="358">
        <f t="shared" ca="1" si="399"/>
        <v>0</v>
      </c>
      <c r="I585" s="358">
        <f t="shared" ca="1" si="399"/>
        <v>0</v>
      </c>
      <c r="J585" s="358">
        <f t="shared" ca="1" si="399"/>
        <v>0</v>
      </c>
      <c r="K585" s="358">
        <f t="shared" ca="1" si="399"/>
        <v>0</v>
      </c>
      <c r="L585" s="358">
        <f t="shared" ca="1" si="399"/>
        <v>0</v>
      </c>
      <c r="M585" s="358">
        <f t="shared" ca="1" si="399"/>
        <v>0</v>
      </c>
      <c r="N585" s="358">
        <f t="shared" ca="1" si="399"/>
        <v>0</v>
      </c>
      <c r="O585" s="358">
        <f t="shared" ca="1" si="399"/>
        <v>0</v>
      </c>
      <c r="P585" s="358">
        <f t="shared" ca="1" si="399"/>
        <v>0</v>
      </c>
      <c r="Q585" s="358">
        <f t="shared" ca="1" si="399"/>
        <v>0</v>
      </c>
      <c r="R585" s="358">
        <f t="shared" ca="1" si="399"/>
        <v>0</v>
      </c>
      <c r="S585" s="358">
        <f t="shared" ca="1" si="399"/>
        <v>0</v>
      </c>
      <c r="T585" s="358">
        <f t="shared" ca="1" si="399"/>
        <v>0</v>
      </c>
      <c r="U585" s="358">
        <f t="shared" ca="1" si="399"/>
        <v>0</v>
      </c>
      <c r="V585" s="358">
        <f t="shared" ca="1" si="399"/>
        <v>0</v>
      </c>
      <c r="W585" s="358">
        <f t="shared" ca="1" si="399"/>
        <v>0</v>
      </c>
      <c r="X585" s="358">
        <f t="shared" ca="1" si="399"/>
        <v>0</v>
      </c>
      <c r="Y585" s="358">
        <f t="shared" ca="1" si="399"/>
        <v>0</v>
      </c>
      <c r="Z585" s="358">
        <f t="shared" ca="1" si="399"/>
        <v>0</v>
      </c>
      <c r="AA585" s="358">
        <f t="shared" ca="1" si="399"/>
        <v>0</v>
      </c>
      <c r="AB585" s="358">
        <f t="shared" ca="1" si="399"/>
        <v>0</v>
      </c>
      <c r="AC585" s="358">
        <f t="shared" ca="1" si="399"/>
        <v>0</v>
      </c>
      <c r="AD585" s="358">
        <f t="shared" ca="1" si="399"/>
        <v>0</v>
      </c>
      <c r="AE585" s="358">
        <f t="shared" ca="1" si="399"/>
        <v>0</v>
      </c>
      <c r="AF585" s="358">
        <f t="shared" ca="1" si="399"/>
        <v>0</v>
      </c>
      <c r="AG585" s="358">
        <f t="shared" ca="1" si="399"/>
        <v>0</v>
      </c>
      <c r="AH585" s="358">
        <f t="shared" ca="1" si="399"/>
        <v>0</v>
      </c>
      <c r="AI585" s="358">
        <f t="shared" ca="1" si="399"/>
        <v>0</v>
      </c>
      <c r="AJ585" s="358">
        <f t="shared" ca="1" si="399"/>
        <v>0</v>
      </c>
      <c r="AK585" s="358">
        <f t="shared" ca="1" si="399"/>
        <v>0</v>
      </c>
      <c r="AL585" s="358">
        <f t="shared" ca="1" si="399"/>
        <v>0</v>
      </c>
      <c r="AM585" s="358">
        <f t="shared" ca="1" si="399"/>
        <v>0</v>
      </c>
      <c r="AN585" s="358">
        <f t="shared" ca="1" si="399"/>
        <v>0</v>
      </c>
      <c r="AO585" s="358">
        <f t="shared" ca="1" si="399"/>
        <v>0</v>
      </c>
      <c r="AP585" s="358">
        <f t="shared" ca="1" si="399"/>
        <v>0</v>
      </c>
      <c r="AQ585" s="358">
        <f t="shared" ca="1" si="399"/>
        <v>0</v>
      </c>
      <c r="AR585" s="358">
        <f t="shared" ca="1" si="399"/>
        <v>0</v>
      </c>
      <c r="AS585" s="358">
        <f t="shared" ca="1" si="399"/>
        <v>0</v>
      </c>
      <c r="AT585" s="358">
        <f t="shared" ca="1" si="399"/>
        <v>0</v>
      </c>
      <c r="AU585" s="358"/>
      <c r="AV585" s="358">
        <f t="shared" ca="1" si="385"/>
        <v>0</v>
      </c>
      <c r="AX585" s="358">
        <f t="shared" ca="1" si="386"/>
        <v>0</v>
      </c>
      <c r="AZ585" s="358">
        <f t="shared" ca="1" si="387"/>
        <v>0</v>
      </c>
      <c r="BB585" s="358">
        <f t="shared" ca="1" si="388"/>
        <v>0</v>
      </c>
      <c r="BD585" s="358">
        <f t="shared" ca="1" si="389"/>
        <v>0</v>
      </c>
      <c r="BF585" s="358">
        <f t="shared" ca="1" si="390"/>
        <v>0</v>
      </c>
      <c r="BH585" s="358">
        <f t="shared" ca="1" si="391"/>
        <v>0</v>
      </c>
    </row>
    <row r="586" spans="1:60" hidden="1" outlineLevel="1">
      <c r="A586" s="1464">
        <f t="shared" si="398"/>
        <v>18</v>
      </c>
      <c r="B586" s="1464">
        <f t="shared" si="398"/>
        <v>38</v>
      </c>
      <c r="C586" s="1464">
        <f t="shared" si="394"/>
        <v>23</v>
      </c>
      <c r="D586" s="1271" t="str">
        <f ca="1">IF(OFFSET(PortfolioDashboard!$A$3,C586-1,0)="","Blank",OFFSET(PortfolioDashboard!$A$3,C586-1,0))</f>
        <v>Blank</v>
      </c>
      <c r="E586" s="1464" t="str">
        <f t="shared" si="395"/>
        <v>2010$</v>
      </c>
      <c r="F586" s="1460">
        <f t="shared" ca="1" si="382"/>
        <v>0</v>
      </c>
      <c r="G586" s="358">
        <f t="shared" ca="1" si="383"/>
        <v>0</v>
      </c>
      <c r="H586" s="358">
        <f t="shared" ca="1" si="399"/>
        <v>0</v>
      </c>
      <c r="I586" s="358">
        <f t="shared" ca="1" si="399"/>
        <v>0</v>
      </c>
      <c r="J586" s="358">
        <f t="shared" ca="1" si="399"/>
        <v>0</v>
      </c>
      <c r="K586" s="358">
        <f t="shared" ca="1" si="399"/>
        <v>0</v>
      </c>
      <c r="L586" s="358">
        <f t="shared" ca="1" si="399"/>
        <v>0</v>
      </c>
      <c r="M586" s="358">
        <f t="shared" ca="1" si="399"/>
        <v>0</v>
      </c>
      <c r="N586" s="358">
        <f t="shared" ca="1" si="399"/>
        <v>0</v>
      </c>
      <c r="O586" s="358">
        <f t="shared" ca="1" si="399"/>
        <v>0</v>
      </c>
      <c r="P586" s="358">
        <f t="shared" ca="1" si="399"/>
        <v>0</v>
      </c>
      <c r="Q586" s="358">
        <f t="shared" ca="1" si="399"/>
        <v>0</v>
      </c>
      <c r="R586" s="358">
        <f t="shared" ca="1" si="399"/>
        <v>0</v>
      </c>
      <c r="S586" s="358">
        <f t="shared" ca="1" si="399"/>
        <v>0</v>
      </c>
      <c r="T586" s="358">
        <f t="shared" ca="1" si="399"/>
        <v>0</v>
      </c>
      <c r="U586" s="358">
        <f t="shared" ca="1" si="399"/>
        <v>0</v>
      </c>
      <c r="V586" s="358">
        <f t="shared" ca="1" si="399"/>
        <v>0</v>
      </c>
      <c r="W586" s="358">
        <f t="shared" ca="1" si="399"/>
        <v>0</v>
      </c>
      <c r="X586" s="358">
        <f t="shared" ca="1" si="399"/>
        <v>0</v>
      </c>
      <c r="Y586" s="358">
        <f t="shared" ca="1" si="399"/>
        <v>0</v>
      </c>
      <c r="Z586" s="358">
        <f t="shared" ca="1" si="399"/>
        <v>0</v>
      </c>
      <c r="AA586" s="358">
        <f t="shared" ca="1" si="399"/>
        <v>0</v>
      </c>
      <c r="AB586" s="358">
        <f t="shared" ca="1" si="399"/>
        <v>0</v>
      </c>
      <c r="AC586" s="358">
        <f t="shared" ca="1" si="399"/>
        <v>0</v>
      </c>
      <c r="AD586" s="358">
        <f t="shared" ca="1" si="399"/>
        <v>0</v>
      </c>
      <c r="AE586" s="358">
        <f t="shared" ca="1" si="399"/>
        <v>0</v>
      </c>
      <c r="AF586" s="358">
        <f t="shared" ca="1" si="399"/>
        <v>0</v>
      </c>
      <c r="AG586" s="358">
        <f t="shared" ca="1" si="399"/>
        <v>0</v>
      </c>
      <c r="AH586" s="358">
        <f t="shared" ca="1" si="399"/>
        <v>0</v>
      </c>
      <c r="AI586" s="358">
        <f t="shared" ca="1" si="399"/>
        <v>0</v>
      </c>
      <c r="AJ586" s="358">
        <f t="shared" ca="1" si="399"/>
        <v>0</v>
      </c>
      <c r="AK586" s="358">
        <f t="shared" ca="1" si="399"/>
        <v>0</v>
      </c>
      <c r="AL586" s="358">
        <f t="shared" ca="1" si="399"/>
        <v>0</v>
      </c>
      <c r="AM586" s="358">
        <f t="shared" ca="1" si="399"/>
        <v>0</v>
      </c>
      <c r="AN586" s="358">
        <f t="shared" ca="1" si="399"/>
        <v>0</v>
      </c>
      <c r="AO586" s="358">
        <f t="shared" ca="1" si="399"/>
        <v>0</v>
      </c>
      <c r="AP586" s="358">
        <f t="shared" ca="1" si="399"/>
        <v>0</v>
      </c>
      <c r="AQ586" s="358">
        <f t="shared" ca="1" si="399"/>
        <v>0</v>
      </c>
      <c r="AR586" s="358">
        <f t="shared" ca="1" si="399"/>
        <v>0</v>
      </c>
      <c r="AS586" s="358">
        <f t="shared" ca="1" si="399"/>
        <v>0</v>
      </c>
      <c r="AT586" s="358">
        <f t="shared" ca="1" si="399"/>
        <v>0</v>
      </c>
      <c r="AU586" s="358"/>
      <c r="AV586" s="358">
        <f t="shared" ca="1" si="385"/>
        <v>0</v>
      </c>
      <c r="AX586" s="358">
        <f t="shared" ca="1" si="386"/>
        <v>0</v>
      </c>
      <c r="AZ586" s="358">
        <f t="shared" ca="1" si="387"/>
        <v>0</v>
      </c>
      <c r="BB586" s="358">
        <f t="shared" ca="1" si="388"/>
        <v>0</v>
      </c>
      <c r="BD586" s="358">
        <f t="shared" ca="1" si="389"/>
        <v>0</v>
      </c>
      <c r="BF586" s="358">
        <f t="shared" ca="1" si="390"/>
        <v>0</v>
      </c>
      <c r="BH586" s="358">
        <f t="shared" ca="1" si="391"/>
        <v>0</v>
      </c>
    </row>
    <row r="587" spans="1:60" hidden="1" outlineLevel="1">
      <c r="A587" s="1464">
        <f t="shared" si="398"/>
        <v>18</v>
      </c>
      <c r="B587" s="1464">
        <f t="shared" si="398"/>
        <v>38</v>
      </c>
      <c r="C587" s="1464">
        <f t="shared" si="394"/>
        <v>24</v>
      </c>
      <c r="D587" s="1271" t="str">
        <f ca="1">IF(OFFSET(PortfolioDashboard!$A$3,C587-1,0)="","Blank",OFFSET(PortfolioDashboard!$A$3,C587-1,0))</f>
        <v>Blank</v>
      </c>
      <c r="E587" s="1464" t="str">
        <f t="shared" si="395"/>
        <v>2010$</v>
      </c>
      <c r="F587" s="1460">
        <f t="shared" ca="1" si="382"/>
        <v>0</v>
      </c>
      <c r="G587" s="358">
        <f t="shared" ca="1" si="383"/>
        <v>0</v>
      </c>
      <c r="H587" s="358">
        <f t="shared" ca="1" si="399"/>
        <v>0</v>
      </c>
      <c r="I587" s="358">
        <f t="shared" ca="1" si="399"/>
        <v>0</v>
      </c>
      <c r="J587" s="358">
        <f t="shared" ca="1" si="399"/>
        <v>0</v>
      </c>
      <c r="K587" s="358">
        <f t="shared" ca="1" si="399"/>
        <v>0</v>
      </c>
      <c r="L587" s="358">
        <f t="shared" ca="1" si="399"/>
        <v>0</v>
      </c>
      <c r="M587" s="358">
        <f t="shared" ca="1" si="399"/>
        <v>0</v>
      </c>
      <c r="N587" s="358">
        <f t="shared" ca="1" si="399"/>
        <v>0</v>
      </c>
      <c r="O587" s="358">
        <f t="shared" ca="1" si="399"/>
        <v>0</v>
      </c>
      <c r="P587" s="358">
        <f t="shared" ca="1" si="399"/>
        <v>0</v>
      </c>
      <c r="Q587" s="358">
        <f t="shared" ca="1" si="399"/>
        <v>0</v>
      </c>
      <c r="R587" s="358">
        <f t="shared" ca="1" si="399"/>
        <v>0</v>
      </c>
      <c r="S587" s="358">
        <f t="shared" ca="1" si="399"/>
        <v>0</v>
      </c>
      <c r="T587" s="358">
        <f t="shared" ca="1" si="399"/>
        <v>0</v>
      </c>
      <c r="U587" s="358">
        <f t="shared" ca="1" si="399"/>
        <v>0</v>
      </c>
      <c r="V587" s="358">
        <f t="shared" ca="1" si="399"/>
        <v>0</v>
      </c>
      <c r="W587" s="358">
        <f t="shared" ca="1" si="399"/>
        <v>0</v>
      </c>
      <c r="X587" s="358">
        <f t="shared" ca="1" si="399"/>
        <v>0</v>
      </c>
      <c r="Y587" s="358">
        <f t="shared" ca="1" si="399"/>
        <v>0</v>
      </c>
      <c r="Z587" s="358">
        <f t="shared" ca="1" si="399"/>
        <v>0</v>
      </c>
      <c r="AA587" s="358">
        <f t="shared" ca="1" si="399"/>
        <v>0</v>
      </c>
      <c r="AB587" s="358">
        <f t="shared" ca="1" si="399"/>
        <v>0</v>
      </c>
      <c r="AC587" s="358">
        <f t="shared" ca="1" si="399"/>
        <v>0</v>
      </c>
      <c r="AD587" s="358">
        <f t="shared" ca="1" si="399"/>
        <v>0</v>
      </c>
      <c r="AE587" s="358">
        <f t="shared" ca="1" si="399"/>
        <v>0</v>
      </c>
      <c r="AF587" s="358">
        <f t="shared" ca="1" si="399"/>
        <v>0</v>
      </c>
      <c r="AG587" s="358">
        <f t="shared" ca="1" si="399"/>
        <v>0</v>
      </c>
      <c r="AH587" s="358">
        <f t="shared" ca="1" si="399"/>
        <v>0</v>
      </c>
      <c r="AI587" s="358">
        <f t="shared" ca="1" si="399"/>
        <v>0</v>
      </c>
      <c r="AJ587" s="358">
        <f t="shared" ca="1" si="399"/>
        <v>0</v>
      </c>
      <c r="AK587" s="358">
        <f t="shared" ca="1" si="399"/>
        <v>0</v>
      </c>
      <c r="AL587" s="358">
        <f t="shared" ca="1" si="399"/>
        <v>0</v>
      </c>
      <c r="AM587" s="358">
        <f t="shared" ca="1" si="399"/>
        <v>0</v>
      </c>
      <c r="AN587" s="358">
        <f t="shared" ca="1" si="399"/>
        <v>0</v>
      </c>
      <c r="AO587" s="358">
        <f t="shared" ca="1" si="399"/>
        <v>0</v>
      </c>
      <c r="AP587" s="358">
        <f t="shared" ca="1" si="399"/>
        <v>0</v>
      </c>
      <c r="AQ587" s="358">
        <f t="shared" ca="1" si="399"/>
        <v>0</v>
      </c>
      <c r="AR587" s="358">
        <f t="shared" ca="1" si="399"/>
        <v>0</v>
      </c>
      <c r="AS587" s="358">
        <f t="shared" ca="1" si="399"/>
        <v>0</v>
      </c>
      <c r="AT587" s="358">
        <f t="shared" ca="1" si="399"/>
        <v>0</v>
      </c>
      <c r="AU587" s="358"/>
      <c r="AV587" s="358">
        <f t="shared" ca="1" si="385"/>
        <v>0</v>
      </c>
      <c r="AX587" s="358">
        <f t="shared" ca="1" si="386"/>
        <v>0</v>
      </c>
      <c r="AZ587" s="358">
        <f t="shared" ca="1" si="387"/>
        <v>0</v>
      </c>
      <c r="BB587" s="358">
        <f t="shared" ca="1" si="388"/>
        <v>0</v>
      </c>
      <c r="BD587" s="358">
        <f t="shared" ca="1" si="389"/>
        <v>0</v>
      </c>
      <c r="BF587" s="358">
        <f t="shared" ca="1" si="390"/>
        <v>0</v>
      </c>
      <c r="BH587" s="358">
        <f t="shared" ca="1" si="391"/>
        <v>0</v>
      </c>
    </row>
    <row r="588" spans="1:60" hidden="1" outlineLevel="1">
      <c r="A588" s="1464">
        <f t="shared" si="398"/>
        <v>18</v>
      </c>
      <c r="B588" s="1464">
        <f t="shared" si="398"/>
        <v>38</v>
      </c>
      <c r="C588" s="1464">
        <f t="shared" si="394"/>
        <v>25</v>
      </c>
      <c r="D588" s="1271" t="str">
        <f ca="1">IF(OFFSET(PortfolioDashboard!$A$3,C588-1,0)="","Blank",OFFSET(PortfolioDashboard!$A$3,C588-1,0))</f>
        <v>Blank</v>
      </c>
      <c r="E588" s="1464" t="str">
        <f t="shared" si="395"/>
        <v>2010$</v>
      </c>
      <c r="F588" s="1460">
        <f t="shared" ca="1" si="382"/>
        <v>0</v>
      </c>
      <c r="G588" s="358">
        <f t="shared" ca="1" si="383"/>
        <v>0</v>
      </c>
      <c r="H588" s="358">
        <f t="shared" ca="1" si="399"/>
        <v>0</v>
      </c>
      <c r="I588" s="358">
        <f t="shared" ca="1" si="399"/>
        <v>0</v>
      </c>
      <c r="J588" s="358">
        <f t="shared" ca="1" si="399"/>
        <v>0</v>
      </c>
      <c r="K588" s="358">
        <f t="shared" ca="1" si="399"/>
        <v>0</v>
      </c>
      <c r="L588" s="358">
        <f t="shared" ca="1" si="399"/>
        <v>0</v>
      </c>
      <c r="M588" s="358">
        <f t="shared" ca="1" si="399"/>
        <v>0</v>
      </c>
      <c r="N588" s="358">
        <f t="shared" ca="1" si="399"/>
        <v>0</v>
      </c>
      <c r="O588" s="358">
        <f t="shared" ca="1" si="399"/>
        <v>0</v>
      </c>
      <c r="P588" s="358">
        <f t="shared" ca="1" si="399"/>
        <v>0</v>
      </c>
      <c r="Q588" s="358">
        <f t="shared" ca="1" si="399"/>
        <v>0</v>
      </c>
      <c r="R588" s="358">
        <f t="shared" ca="1" si="399"/>
        <v>0</v>
      </c>
      <c r="S588" s="358">
        <f t="shared" ca="1" si="399"/>
        <v>0</v>
      </c>
      <c r="T588" s="358">
        <f t="shared" ca="1" si="399"/>
        <v>0</v>
      </c>
      <c r="U588" s="358">
        <f t="shared" ca="1" si="399"/>
        <v>0</v>
      </c>
      <c r="V588" s="358">
        <f t="shared" ca="1" si="399"/>
        <v>0</v>
      </c>
      <c r="W588" s="358">
        <f t="shared" ca="1" si="399"/>
        <v>0</v>
      </c>
      <c r="X588" s="358">
        <f t="shared" ca="1" si="399"/>
        <v>0</v>
      </c>
      <c r="Y588" s="358">
        <f t="shared" ca="1" si="399"/>
        <v>0</v>
      </c>
      <c r="Z588" s="358">
        <f t="shared" ca="1" si="399"/>
        <v>0</v>
      </c>
      <c r="AA588" s="358">
        <f t="shared" ca="1" si="399"/>
        <v>0</v>
      </c>
      <c r="AB588" s="358">
        <f t="shared" ca="1" si="399"/>
        <v>0</v>
      </c>
      <c r="AC588" s="358">
        <f t="shared" ca="1" si="399"/>
        <v>0</v>
      </c>
      <c r="AD588" s="358">
        <f t="shared" ca="1" si="399"/>
        <v>0</v>
      </c>
      <c r="AE588" s="358">
        <f t="shared" ca="1" si="399"/>
        <v>0</v>
      </c>
      <c r="AF588" s="358">
        <f t="shared" ca="1" si="399"/>
        <v>0</v>
      </c>
      <c r="AG588" s="358">
        <f t="shared" ca="1" si="399"/>
        <v>0</v>
      </c>
      <c r="AH588" s="358">
        <f t="shared" ca="1" si="399"/>
        <v>0</v>
      </c>
      <c r="AI588" s="358">
        <f t="shared" ca="1" si="399"/>
        <v>0</v>
      </c>
      <c r="AJ588" s="358">
        <f t="shared" ca="1" si="399"/>
        <v>0</v>
      </c>
      <c r="AK588" s="358">
        <f t="shared" ca="1" si="399"/>
        <v>0</v>
      </c>
      <c r="AL588" s="358">
        <f t="shared" ca="1" si="399"/>
        <v>0</v>
      </c>
      <c r="AM588" s="358">
        <f t="shared" ca="1" si="399"/>
        <v>0</v>
      </c>
      <c r="AN588" s="358">
        <f t="shared" ca="1" si="399"/>
        <v>0</v>
      </c>
      <c r="AO588" s="358">
        <f t="shared" ca="1" si="399"/>
        <v>0</v>
      </c>
      <c r="AP588" s="358">
        <f t="shared" ca="1" si="399"/>
        <v>0</v>
      </c>
      <c r="AQ588" s="358">
        <f t="shared" ca="1" si="399"/>
        <v>0</v>
      </c>
      <c r="AR588" s="358">
        <f t="shared" ca="1" si="399"/>
        <v>0</v>
      </c>
      <c r="AS588" s="358">
        <f t="shared" ca="1" si="399"/>
        <v>0</v>
      </c>
      <c r="AT588" s="358">
        <f t="shared" ca="1" si="399"/>
        <v>0</v>
      </c>
      <c r="AU588" s="358"/>
      <c r="AV588" s="358">
        <f t="shared" ca="1" si="385"/>
        <v>0</v>
      </c>
      <c r="AX588" s="358">
        <f t="shared" ca="1" si="386"/>
        <v>0</v>
      </c>
      <c r="AZ588" s="358">
        <f t="shared" ca="1" si="387"/>
        <v>0</v>
      </c>
      <c r="BB588" s="358">
        <f t="shared" ca="1" si="388"/>
        <v>0</v>
      </c>
      <c r="BD588" s="358">
        <f t="shared" ca="1" si="389"/>
        <v>0</v>
      </c>
      <c r="BF588" s="358">
        <f t="shared" ca="1" si="390"/>
        <v>0</v>
      </c>
      <c r="BH588" s="358">
        <f t="shared" ca="1" si="391"/>
        <v>0</v>
      </c>
    </row>
    <row r="589" spans="1:60" hidden="1" outlineLevel="1">
      <c r="A589" s="1464">
        <f t="shared" si="398"/>
        <v>18</v>
      </c>
      <c r="B589" s="1464">
        <f t="shared" si="398"/>
        <v>38</v>
      </c>
      <c r="C589" s="1464">
        <f t="shared" si="394"/>
        <v>26</v>
      </c>
      <c r="D589" s="1271" t="str">
        <f ca="1">IF(OFFSET(PortfolioDashboard!$A$3,C589-1,0)="","Blank",OFFSET(PortfolioDashboard!$A$3,C589-1,0))</f>
        <v>Blank</v>
      </c>
      <c r="E589" s="1464" t="str">
        <f t="shared" si="395"/>
        <v>2010$</v>
      </c>
      <c r="F589" s="1460">
        <f t="shared" ca="1" si="382"/>
        <v>0</v>
      </c>
      <c r="G589" s="358">
        <f t="shared" ca="1" si="383"/>
        <v>0</v>
      </c>
      <c r="H589" s="358">
        <f t="shared" ca="1" si="399"/>
        <v>0</v>
      </c>
      <c r="I589" s="358">
        <f t="shared" ca="1" si="399"/>
        <v>0</v>
      </c>
      <c r="J589" s="358">
        <f t="shared" ca="1" si="399"/>
        <v>0</v>
      </c>
      <c r="K589" s="358">
        <f t="shared" ca="1" si="399"/>
        <v>0</v>
      </c>
      <c r="L589" s="358">
        <f t="shared" ca="1" si="399"/>
        <v>0</v>
      </c>
      <c r="M589" s="358">
        <f t="shared" ca="1" si="399"/>
        <v>0</v>
      </c>
      <c r="N589" s="358">
        <f t="shared" ca="1" si="399"/>
        <v>0</v>
      </c>
      <c r="O589" s="358">
        <f t="shared" ca="1" si="399"/>
        <v>0</v>
      </c>
      <c r="P589" s="358">
        <f t="shared" ca="1" si="399"/>
        <v>0</v>
      </c>
      <c r="Q589" s="358">
        <f t="shared" ca="1" si="399"/>
        <v>0</v>
      </c>
      <c r="R589" s="358">
        <f t="shared" ca="1" si="399"/>
        <v>0</v>
      </c>
      <c r="S589" s="358">
        <f t="shared" ca="1" si="399"/>
        <v>0</v>
      </c>
      <c r="T589" s="358">
        <f t="shared" ca="1" si="399"/>
        <v>0</v>
      </c>
      <c r="U589" s="358">
        <f t="shared" ca="1" si="399"/>
        <v>0</v>
      </c>
      <c r="V589" s="358">
        <f t="shared" ca="1" si="399"/>
        <v>0</v>
      </c>
      <c r="W589" s="358">
        <f t="shared" ca="1" si="399"/>
        <v>0</v>
      </c>
      <c r="X589" s="358">
        <f t="shared" ca="1" si="399"/>
        <v>0</v>
      </c>
      <c r="Y589" s="358">
        <f t="shared" ca="1" si="399"/>
        <v>0</v>
      </c>
      <c r="Z589" s="358">
        <f t="shared" ca="1" si="399"/>
        <v>0</v>
      </c>
      <c r="AA589" s="358">
        <f t="shared" ca="1" si="399"/>
        <v>0</v>
      </c>
      <c r="AB589" s="358">
        <f t="shared" ca="1" si="399"/>
        <v>0</v>
      </c>
      <c r="AC589" s="358">
        <f t="shared" ca="1" si="399"/>
        <v>0</v>
      </c>
      <c r="AD589" s="358">
        <f t="shared" ca="1" si="399"/>
        <v>0</v>
      </c>
      <c r="AE589" s="358">
        <f t="shared" ca="1" si="399"/>
        <v>0</v>
      </c>
      <c r="AF589" s="358">
        <f t="shared" ca="1" si="399"/>
        <v>0</v>
      </c>
      <c r="AG589" s="358">
        <f t="shared" ca="1" si="399"/>
        <v>0</v>
      </c>
      <c r="AH589" s="358">
        <f t="shared" ca="1" si="399"/>
        <v>0</v>
      </c>
      <c r="AI589" s="358">
        <f t="shared" ca="1" si="399"/>
        <v>0</v>
      </c>
      <c r="AJ589" s="358">
        <f t="shared" ca="1" si="399"/>
        <v>0</v>
      </c>
      <c r="AK589" s="358">
        <f t="shared" ca="1" si="399"/>
        <v>0</v>
      </c>
      <c r="AL589" s="358">
        <f t="shared" ca="1" si="399"/>
        <v>0</v>
      </c>
      <c r="AM589" s="358">
        <f t="shared" ca="1" si="399"/>
        <v>0</v>
      </c>
      <c r="AN589" s="358">
        <f t="shared" ca="1" si="399"/>
        <v>0</v>
      </c>
      <c r="AO589" s="358">
        <f t="shared" ca="1" si="399"/>
        <v>0</v>
      </c>
      <c r="AP589" s="358">
        <f t="shared" ca="1" si="399"/>
        <v>0</v>
      </c>
      <c r="AQ589" s="358">
        <f t="shared" ref="H589:AT593" ca="1" si="400">AQ527+AQ558</f>
        <v>0</v>
      </c>
      <c r="AR589" s="358">
        <f t="shared" ca="1" si="400"/>
        <v>0</v>
      </c>
      <c r="AS589" s="358">
        <f t="shared" ca="1" si="400"/>
        <v>0</v>
      </c>
      <c r="AT589" s="358">
        <f t="shared" ca="1" si="400"/>
        <v>0</v>
      </c>
      <c r="AU589" s="358"/>
      <c r="AV589" s="358">
        <f t="shared" ca="1" si="385"/>
        <v>0</v>
      </c>
      <c r="AX589" s="358">
        <f t="shared" ca="1" si="386"/>
        <v>0</v>
      </c>
      <c r="AZ589" s="358">
        <f t="shared" ca="1" si="387"/>
        <v>0</v>
      </c>
      <c r="BB589" s="358">
        <f t="shared" ca="1" si="388"/>
        <v>0</v>
      </c>
      <c r="BD589" s="358">
        <f t="shared" ca="1" si="389"/>
        <v>0</v>
      </c>
      <c r="BF589" s="358">
        <f t="shared" ca="1" si="390"/>
        <v>0</v>
      </c>
      <c r="BH589" s="358">
        <f t="shared" ca="1" si="391"/>
        <v>0</v>
      </c>
    </row>
    <row r="590" spans="1:60" hidden="1" outlineLevel="1">
      <c r="A590" s="1464">
        <f t="shared" si="398"/>
        <v>18</v>
      </c>
      <c r="B590" s="1464">
        <f t="shared" si="398"/>
        <v>38</v>
      </c>
      <c r="C590" s="1464">
        <f t="shared" si="394"/>
        <v>27</v>
      </c>
      <c r="D590" s="1271" t="str">
        <f ca="1">IF(OFFSET(PortfolioDashboard!$A$3,C590-1,0)="","Blank",OFFSET(PortfolioDashboard!$A$3,C590-1,0))</f>
        <v>Blank</v>
      </c>
      <c r="E590" s="1464" t="str">
        <f t="shared" si="395"/>
        <v>2010$</v>
      </c>
      <c r="F590" s="1460">
        <f t="shared" ca="1" si="382"/>
        <v>0</v>
      </c>
      <c r="G590" s="358">
        <f t="shared" ca="1" si="383"/>
        <v>0</v>
      </c>
      <c r="H590" s="358">
        <f t="shared" ca="1" si="400"/>
        <v>0</v>
      </c>
      <c r="I590" s="358">
        <f t="shared" ca="1" si="400"/>
        <v>0</v>
      </c>
      <c r="J590" s="358">
        <f t="shared" ca="1" si="400"/>
        <v>0</v>
      </c>
      <c r="K590" s="358">
        <f t="shared" ca="1" si="400"/>
        <v>0</v>
      </c>
      <c r="L590" s="358">
        <f t="shared" ca="1" si="400"/>
        <v>0</v>
      </c>
      <c r="M590" s="358">
        <f t="shared" ca="1" si="400"/>
        <v>0</v>
      </c>
      <c r="N590" s="358">
        <f t="shared" ca="1" si="400"/>
        <v>0</v>
      </c>
      <c r="O590" s="358">
        <f t="shared" ca="1" si="400"/>
        <v>0</v>
      </c>
      <c r="P590" s="358">
        <f t="shared" ca="1" si="400"/>
        <v>0</v>
      </c>
      <c r="Q590" s="358">
        <f t="shared" ca="1" si="400"/>
        <v>0</v>
      </c>
      <c r="R590" s="358">
        <f t="shared" ca="1" si="400"/>
        <v>0</v>
      </c>
      <c r="S590" s="358">
        <f t="shared" ca="1" si="400"/>
        <v>0</v>
      </c>
      <c r="T590" s="358">
        <f t="shared" ca="1" si="400"/>
        <v>0</v>
      </c>
      <c r="U590" s="358">
        <f t="shared" ca="1" si="400"/>
        <v>0</v>
      </c>
      <c r="V590" s="358">
        <f t="shared" ca="1" si="400"/>
        <v>0</v>
      </c>
      <c r="W590" s="358">
        <f t="shared" ca="1" si="400"/>
        <v>0</v>
      </c>
      <c r="X590" s="358">
        <f t="shared" ca="1" si="400"/>
        <v>0</v>
      </c>
      <c r="Y590" s="358">
        <f t="shared" ca="1" si="400"/>
        <v>0</v>
      </c>
      <c r="Z590" s="358">
        <f t="shared" ca="1" si="400"/>
        <v>0</v>
      </c>
      <c r="AA590" s="358">
        <f t="shared" ca="1" si="400"/>
        <v>0</v>
      </c>
      <c r="AB590" s="358">
        <f t="shared" ca="1" si="400"/>
        <v>0</v>
      </c>
      <c r="AC590" s="358">
        <f t="shared" ca="1" si="400"/>
        <v>0</v>
      </c>
      <c r="AD590" s="358">
        <f t="shared" ca="1" si="400"/>
        <v>0</v>
      </c>
      <c r="AE590" s="358">
        <f t="shared" ca="1" si="400"/>
        <v>0</v>
      </c>
      <c r="AF590" s="358">
        <f t="shared" ca="1" si="400"/>
        <v>0</v>
      </c>
      <c r="AG590" s="358">
        <f t="shared" ca="1" si="400"/>
        <v>0</v>
      </c>
      <c r="AH590" s="358">
        <f t="shared" ca="1" si="400"/>
        <v>0</v>
      </c>
      <c r="AI590" s="358">
        <f t="shared" ca="1" si="400"/>
        <v>0</v>
      </c>
      <c r="AJ590" s="358">
        <f t="shared" ca="1" si="400"/>
        <v>0</v>
      </c>
      <c r="AK590" s="358">
        <f t="shared" ca="1" si="400"/>
        <v>0</v>
      </c>
      <c r="AL590" s="358">
        <f t="shared" ca="1" si="400"/>
        <v>0</v>
      </c>
      <c r="AM590" s="358">
        <f t="shared" ca="1" si="400"/>
        <v>0</v>
      </c>
      <c r="AN590" s="358">
        <f t="shared" ca="1" si="400"/>
        <v>0</v>
      </c>
      <c r="AO590" s="358">
        <f t="shared" ca="1" si="400"/>
        <v>0</v>
      </c>
      <c r="AP590" s="358">
        <f t="shared" ca="1" si="400"/>
        <v>0</v>
      </c>
      <c r="AQ590" s="358">
        <f t="shared" ca="1" si="400"/>
        <v>0</v>
      </c>
      <c r="AR590" s="358">
        <f t="shared" ca="1" si="400"/>
        <v>0</v>
      </c>
      <c r="AS590" s="358">
        <f t="shared" ca="1" si="400"/>
        <v>0</v>
      </c>
      <c r="AT590" s="358">
        <f t="shared" ca="1" si="400"/>
        <v>0</v>
      </c>
      <c r="AU590" s="358"/>
      <c r="AV590" s="358">
        <f t="shared" ca="1" si="385"/>
        <v>0</v>
      </c>
      <c r="AX590" s="358">
        <f t="shared" ca="1" si="386"/>
        <v>0</v>
      </c>
      <c r="AZ590" s="358">
        <f t="shared" ca="1" si="387"/>
        <v>0</v>
      </c>
      <c r="BB590" s="358">
        <f t="shared" ca="1" si="388"/>
        <v>0</v>
      </c>
      <c r="BD590" s="358">
        <f t="shared" ca="1" si="389"/>
        <v>0</v>
      </c>
      <c r="BF590" s="358">
        <f t="shared" ca="1" si="390"/>
        <v>0</v>
      </c>
      <c r="BH590" s="358">
        <f t="shared" ca="1" si="391"/>
        <v>0</v>
      </c>
    </row>
    <row r="591" spans="1:60" hidden="1" outlineLevel="1">
      <c r="A591" s="1464">
        <f t="shared" si="398"/>
        <v>18</v>
      </c>
      <c r="B591" s="1464">
        <f t="shared" si="398"/>
        <v>38</v>
      </c>
      <c r="C591" s="1464">
        <f t="shared" si="394"/>
        <v>28</v>
      </c>
      <c r="D591" s="1271" t="str">
        <f ca="1">IF(OFFSET(PortfolioDashboard!$A$3,C591-1,0)="","Blank",OFFSET(PortfolioDashboard!$A$3,C591-1,0))</f>
        <v>Blank</v>
      </c>
      <c r="E591" s="1464" t="str">
        <f t="shared" si="395"/>
        <v>2010$</v>
      </c>
      <c r="F591" s="1460">
        <f t="shared" ca="1" si="382"/>
        <v>0</v>
      </c>
      <c r="G591" s="358">
        <f t="shared" ca="1" si="383"/>
        <v>0</v>
      </c>
      <c r="H591" s="358">
        <f t="shared" ca="1" si="400"/>
        <v>0</v>
      </c>
      <c r="I591" s="358">
        <f t="shared" ca="1" si="400"/>
        <v>0</v>
      </c>
      <c r="J591" s="358">
        <f t="shared" ca="1" si="400"/>
        <v>0</v>
      </c>
      <c r="K591" s="358">
        <f t="shared" ca="1" si="400"/>
        <v>0</v>
      </c>
      <c r="L591" s="358">
        <f t="shared" ca="1" si="400"/>
        <v>0</v>
      </c>
      <c r="M591" s="358">
        <f t="shared" ca="1" si="400"/>
        <v>0</v>
      </c>
      <c r="N591" s="358">
        <f t="shared" ca="1" si="400"/>
        <v>0</v>
      </c>
      <c r="O591" s="358">
        <f t="shared" ca="1" si="400"/>
        <v>0</v>
      </c>
      <c r="P591" s="358">
        <f t="shared" ca="1" si="400"/>
        <v>0</v>
      </c>
      <c r="Q591" s="358">
        <f t="shared" ca="1" si="400"/>
        <v>0</v>
      </c>
      <c r="R591" s="358">
        <f t="shared" ca="1" si="400"/>
        <v>0</v>
      </c>
      <c r="S591" s="358">
        <f t="shared" ca="1" si="400"/>
        <v>0</v>
      </c>
      <c r="T591" s="358">
        <f t="shared" ca="1" si="400"/>
        <v>0</v>
      </c>
      <c r="U591" s="358">
        <f t="shared" ca="1" si="400"/>
        <v>0</v>
      </c>
      <c r="V591" s="358">
        <f t="shared" ca="1" si="400"/>
        <v>0</v>
      </c>
      <c r="W591" s="358">
        <f t="shared" ca="1" si="400"/>
        <v>0</v>
      </c>
      <c r="X591" s="358">
        <f t="shared" ca="1" si="400"/>
        <v>0</v>
      </c>
      <c r="Y591" s="358">
        <f t="shared" ca="1" si="400"/>
        <v>0</v>
      </c>
      <c r="Z591" s="358">
        <f t="shared" ca="1" si="400"/>
        <v>0</v>
      </c>
      <c r="AA591" s="358">
        <f t="shared" ca="1" si="400"/>
        <v>0</v>
      </c>
      <c r="AB591" s="358">
        <f t="shared" ca="1" si="400"/>
        <v>0</v>
      </c>
      <c r="AC591" s="358">
        <f t="shared" ca="1" si="400"/>
        <v>0</v>
      </c>
      <c r="AD591" s="358">
        <f t="shared" ca="1" si="400"/>
        <v>0</v>
      </c>
      <c r="AE591" s="358">
        <f t="shared" ca="1" si="400"/>
        <v>0</v>
      </c>
      <c r="AF591" s="358">
        <f t="shared" ca="1" si="400"/>
        <v>0</v>
      </c>
      <c r="AG591" s="358">
        <f t="shared" ca="1" si="400"/>
        <v>0</v>
      </c>
      <c r="AH591" s="358">
        <f t="shared" ca="1" si="400"/>
        <v>0</v>
      </c>
      <c r="AI591" s="358">
        <f t="shared" ca="1" si="400"/>
        <v>0</v>
      </c>
      <c r="AJ591" s="358">
        <f t="shared" ca="1" si="400"/>
        <v>0</v>
      </c>
      <c r="AK591" s="358">
        <f t="shared" ca="1" si="400"/>
        <v>0</v>
      </c>
      <c r="AL591" s="358">
        <f t="shared" ca="1" si="400"/>
        <v>0</v>
      </c>
      <c r="AM591" s="358">
        <f t="shared" ca="1" si="400"/>
        <v>0</v>
      </c>
      <c r="AN591" s="358">
        <f t="shared" ca="1" si="400"/>
        <v>0</v>
      </c>
      <c r="AO591" s="358">
        <f t="shared" ca="1" si="400"/>
        <v>0</v>
      </c>
      <c r="AP591" s="358">
        <f t="shared" ca="1" si="400"/>
        <v>0</v>
      </c>
      <c r="AQ591" s="358">
        <f t="shared" ca="1" si="400"/>
        <v>0</v>
      </c>
      <c r="AR591" s="358">
        <f t="shared" ca="1" si="400"/>
        <v>0</v>
      </c>
      <c r="AS591" s="358">
        <f t="shared" ca="1" si="400"/>
        <v>0</v>
      </c>
      <c r="AT591" s="358">
        <f t="shared" ca="1" si="400"/>
        <v>0</v>
      </c>
      <c r="AU591" s="358"/>
      <c r="AV591" s="358">
        <f t="shared" ca="1" si="385"/>
        <v>0</v>
      </c>
      <c r="AX591" s="358">
        <f t="shared" ca="1" si="386"/>
        <v>0</v>
      </c>
      <c r="AZ591" s="358">
        <f t="shared" ca="1" si="387"/>
        <v>0</v>
      </c>
      <c r="BB591" s="358">
        <f t="shared" ca="1" si="388"/>
        <v>0</v>
      </c>
      <c r="BD591" s="358">
        <f t="shared" ca="1" si="389"/>
        <v>0</v>
      </c>
      <c r="BF591" s="358">
        <f t="shared" ca="1" si="390"/>
        <v>0</v>
      </c>
      <c r="BH591" s="358">
        <f t="shared" ca="1" si="391"/>
        <v>0</v>
      </c>
    </row>
    <row r="592" spans="1:60" hidden="1" outlineLevel="1">
      <c r="A592" s="1464">
        <f t="shared" si="398"/>
        <v>18</v>
      </c>
      <c r="B592" s="1464">
        <f t="shared" si="398"/>
        <v>38</v>
      </c>
      <c r="C592" s="1464">
        <f t="shared" si="394"/>
        <v>29</v>
      </c>
      <c r="D592" s="1271" t="str">
        <f>D561</f>
        <v>Sustainability Driven-Master Plan</v>
      </c>
      <c r="E592" s="1464" t="str">
        <f t="shared" si="395"/>
        <v>2010$</v>
      </c>
      <c r="F592" s="1460">
        <f t="shared" ca="1" si="382"/>
        <v>-537861.87088412675</v>
      </c>
      <c r="G592" s="358">
        <f t="shared" ca="1" si="383"/>
        <v>0</v>
      </c>
      <c r="H592" s="358">
        <f t="shared" ca="1" si="400"/>
        <v>-600000</v>
      </c>
      <c r="I592" s="358">
        <f t="shared" ca="1" si="400"/>
        <v>0</v>
      </c>
      <c r="J592" s="358">
        <f t="shared" ca="1" si="400"/>
        <v>0</v>
      </c>
      <c r="K592" s="358">
        <f t="shared" ca="1" si="400"/>
        <v>0</v>
      </c>
      <c r="L592" s="358">
        <f t="shared" ca="1" si="400"/>
        <v>0</v>
      </c>
      <c r="M592" s="358">
        <f t="shared" ca="1" si="400"/>
        <v>0</v>
      </c>
      <c r="N592" s="358">
        <f t="shared" ca="1" si="400"/>
        <v>0</v>
      </c>
      <c r="O592" s="358">
        <f t="shared" ca="1" si="400"/>
        <v>0</v>
      </c>
      <c r="P592" s="358">
        <f t="shared" ca="1" si="400"/>
        <v>0</v>
      </c>
      <c r="Q592" s="358">
        <f t="shared" ca="1" si="400"/>
        <v>0</v>
      </c>
      <c r="R592" s="358">
        <f t="shared" ca="1" si="400"/>
        <v>0</v>
      </c>
      <c r="S592" s="358">
        <f t="shared" ca="1" si="400"/>
        <v>0</v>
      </c>
      <c r="T592" s="358">
        <f t="shared" ca="1" si="400"/>
        <v>0</v>
      </c>
      <c r="U592" s="358">
        <f t="shared" ca="1" si="400"/>
        <v>0</v>
      </c>
      <c r="V592" s="358">
        <f t="shared" ca="1" si="400"/>
        <v>0</v>
      </c>
      <c r="W592" s="358">
        <f t="shared" ca="1" si="400"/>
        <v>0</v>
      </c>
      <c r="X592" s="358">
        <f t="shared" ca="1" si="400"/>
        <v>0</v>
      </c>
      <c r="Y592" s="358">
        <f t="shared" ca="1" si="400"/>
        <v>0</v>
      </c>
      <c r="Z592" s="358">
        <f t="shared" ca="1" si="400"/>
        <v>0</v>
      </c>
      <c r="AA592" s="358">
        <f t="shared" ca="1" si="400"/>
        <v>0</v>
      </c>
      <c r="AB592" s="358">
        <f t="shared" ca="1" si="400"/>
        <v>0</v>
      </c>
      <c r="AC592" s="358">
        <f t="shared" ca="1" si="400"/>
        <v>0</v>
      </c>
      <c r="AD592" s="358">
        <f t="shared" ca="1" si="400"/>
        <v>0</v>
      </c>
      <c r="AE592" s="358">
        <f t="shared" ca="1" si="400"/>
        <v>0</v>
      </c>
      <c r="AF592" s="358">
        <f t="shared" ca="1" si="400"/>
        <v>0</v>
      </c>
      <c r="AG592" s="358">
        <f t="shared" ca="1" si="400"/>
        <v>0</v>
      </c>
      <c r="AH592" s="358">
        <f t="shared" ca="1" si="400"/>
        <v>0</v>
      </c>
      <c r="AI592" s="358">
        <f t="shared" ca="1" si="400"/>
        <v>0</v>
      </c>
      <c r="AJ592" s="358">
        <f t="shared" ca="1" si="400"/>
        <v>0</v>
      </c>
      <c r="AK592" s="358">
        <f t="shared" ca="1" si="400"/>
        <v>0</v>
      </c>
      <c r="AL592" s="358">
        <f t="shared" ca="1" si="400"/>
        <v>0</v>
      </c>
      <c r="AM592" s="358">
        <f t="shared" ca="1" si="400"/>
        <v>0</v>
      </c>
      <c r="AN592" s="358">
        <f t="shared" ca="1" si="400"/>
        <v>0</v>
      </c>
      <c r="AO592" s="358">
        <f t="shared" ca="1" si="400"/>
        <v>0</v>
      </c>
      <c r="AP592" s="358">
        <f t="shared" ca="1" si="400"/>
        <v>0</v>
      </c>
      <c r="AQ592" s="358">
        <f t="shared" ca="1" si="400"/>
        <v>0</v>
      </c>
      <c r="AR592" s="358">
        <f t="shared" ca="1" si="400"/>
        <v>0</v>
      </c>
      <c r="AS592" s="358">
        <f t="shared" ca="1" si="400"/>
        <v>0</v>
      </c>
      <c r="AT592" s="358">
        <f t="shared" ca="1" si="400"/>
        <v>0</v>
      </c>
      <c r="AU592" s="358"/>
      <c r="AV592" s="358">
        <f t="shared" ca="1" si="385"/>
        <v>0</v>
      </c>
      <c r="AX592" s="358">
        <f t="shared" ca="1" si="386"/>
        <v>0</v>
      </c>
      <c r="AZ592" s="358">
        <f t="shared" ca="1" si="387"/>
        <v>0</v>
      </c>
      <c r="BB592" s="358">
        <f t="shared" ca="1" si="388"/>
        <v>0</v>
      </c>
      <c r="BD592" s="358">
        <f t="shared" ca="1" si="389"/>
        <v>0</v>
      </c>
      <c r="BF592" s="358">
        <f t="shared" ca="1" si="390"/>
        <v>0</v>
      </c>
      <c r="BH592" s="358">
        <f t="shared" ca="1" si="391"/>
        <v>0</v>
      </c>
    </row>
    <row r="593" spans="1:60" hidden="1" outlineLevel="1">
      <c r="A593" s="1464">
        <f t="shared" si="398"/>
        <v>18</v>
      </c>
      <c r="B593" s="1464">
        <f t="shared" si="398"/>
        <v>38</v>
      </c>
      <c r="C593" s="1464">
        <f t="shared" si="394"/>
        <v>30</v>
      </c>
      <c r="D593" s="1271" t="str">
        <f>D562</f>
        <v>Research and Curriculum</v>
      </c>
      <c r="E593" s="1464" t="str">
        <f t="shared" si="395"/>
        <v>2010$</v>
      </c>
      <c r="F593" s="1460">
        <f t="shared" ca="1" si="382"/>
        <v>-4867919.572699625</v>
      </c>
      <c r="G593" s="358">
        <f t="shared" ca="1" si="383"/>
        <v>-200000</v>
      </c>
      <c r="H593" s="358">
        <f t="shared" ca="1" si="400"/>
        <v>-315000</v>
      </c>
      <c r="I593" s="358">
        <f t="shared" ca="1" si="400"/>
        <v>-315000</v>
      </c>
      <c r="J593" s="358">
        <f t="shared" ca="1" si="400"/>
        <v>-315000</v>
      </c>
      <c r="K593" s="358">
        <f t="shared" ca="1" si="400"/>
        <v>-315000</v>
      </c>
      <c r="L593" s="358">
        <f t="shared" ca="1" si="400"/>
        <v>-315000</v>
      </c>
      <c r="M593" s="358">
        <f t="shared" ca="1" si="400"/>
        <v>-315000</v>
      </c>
      <c r="N593" s="358">
        <f t="shared" ca="1" si="400"/>
        <v>-315000</v>
      </c>
      <c r="O593" s="358">
        <f t="shared" ca="1" si="400"/>
        <v>-315000</v>
      </c>
      <c r="P593" s="358">
        <f t="shared" ca="1" si="400"/>
        <v>-315000</v>
      </c>
      <c r="Q593" s="358">
        <f t="shared" ca="1" si="400"/>
        <v>-315000</v>
      </c>
      <c r="R593" s="358">
        <f t="shared" ca="1" si="400"/>
        <v>-315000</v>
      </c>
      <c r="S593" s="358">
        <f t="shared" ca="1" si="400"/>
        <v>-315000</v>
      </c>
      <c r="T593" s="358">
        <f t="shared" ca="1" si="400"/>
        <v>-315000</v>
      </c>
      <c r="U593" s="358">
        <f t="shared" ca="1" si="400"/>
        <v>-315000</v>
      </c>
      <c r="V593" s="358">
        <f t="shared" ca="1" si="400"/>
        <v>-315000</v>
      </c>
      <c r="W593" s="358">
        <f t="shared" ca="1" si="400"/>
        <v>-315000</v>
      </c>
      <c r="X593" s="358">
        <f t="shared" ca="1" si="400"/>
        <v>-315000</v>
      </c>
      <c r="Y593" s="358">
        <f t="shared" ca="1" si="400"/>
        <v>-315000</v>
      </c>
      <c r="Z593" s="358">
        <f t="shared" ca="1" si="400"/>
        <v>-315000</v>
      </c>
      <c r="AA593" s="358">
        <f t="shared" ca="1" si="400"/>
        <v>-315000</v>
      </c>
      <c r="AB593" s="358">
        <f t="shared" ca="1" si="400"/>
        <v>-315000</v>
      </c>
      <c r="AC593" s="358">
        <f t="shared" ca="1" si="400"/>
        <v>-315000</v>
      </c>
      <c r="AD593" s="358">
        <f t="shared" ca="1" si="400"/>
        <v>-315000</v>
      </c>
      <c r="AE593" s="358">
        <f t="shared" ca="1" si="400"/>
        <v>-315000</v>
      </c>
      <c r="AF593" s="358">
        <f t="shared" ca="1" si="400"/>
        <v>-315000</v>
      </c>
      <c r="AG593" s="358">
        <f t="shared" ca="1" si="400"/>
        <v>-315000</v>
      </c>
      <c r="AH593" s="358">
        <f t="shared" ca="1" si="400"/>
        <v>-315000</v>
      </c>
      <c r="AI593" s="358">
        <f t="shared" ca="1" si="400"/>
        <v>-315000</v>
      </c>
      <c r="AJ593" s="358">
        <f t="shared" ca="1" si="400"/>
        <v>-315000</v>
      </c>
      <c r="AK593" s="358">
        <f t="shared" ca="1" si="400"/>
        <v>-315000</v>
      </c>
      <c r="AL593" s="358">
        <f t="shared" ca="1" si="400"/>
        <v>-315000</v>
      </c>
      <c r="AM593" s="358">
        <f t="shared" ca="1" si="400"/>
        <v>-315000</v>
      </c>
      <c r="AN593" s="358">
        <f t="shared" ca="1" si="400"/>
        <v>-315000</v>
      </c>
      <c r="AO593" s="358">
        <f t="shared" ca="1" si="400"/>
        <v>-315000</v>
      </c>
      <c r="AP593" s="358">
        <f t="shared" ca="1" si="400"/>
        <v>-315000</v>
      </c>
      <c r="AQ593" s="358">
        <f t="shared" ca="1" si="400"/>
        <v>-315000</v>
      </c>
      <c r="AR593" s="358">
        <f t="shared" ca="1" si="400"/>
        <v>-315000</v>
      </c>
      <c r="AS593" s="358">
        <f t="shared" ca="1" si="400"/>
        <v>-315000</v>
      </c>
      <c r="AT593" s="358">
        <f t="shared" ca="1" si="400"/>
        <v>-315000</v>
      </c>
      <c r="AU593" s="358"/>
      <c r="AV593" s="358">
        <f t="shared" ca="1" si="385"/>
        <v>-1575000</v>
      </c>
      <c r="AX593" s="358">
        <f t="shared" ca="1" si="386"/>
        <v>-1575000</v>
      </c>
      <c r="AZ593" s="358">
        <f t="shared" ca="1" si="387"/>
        <v>-1575000</v>
      </c>
      <c r="BB593" s="358">
        <f t="shared" ca="1" si="388"/>
        <v>-1575000</v>
      </c>
      <c r="BD593" s="358">
        <f t="shared" ca="1" si="389"/>
        <v>-1575000</v>
      </c>
      <c r="BF593" s="358">
        <f t="shared" ca="1" si="390"/>
        <v>-1575000</v>
      </c>
      <c r="BH593" s="358">
        <f t="shared" ca="1" si="391"/>
        <v>-1575000</v>
      </c>
    </row>
    <row r="594" spans="1:60" ht="15.75" collapsed="1" thickBot="1">
      <c r="A594" s="1464"/>
      <c r="B594" s="1464"/>
      <c r="C594" s="1464"/>
      <c r="D594" s="1274" t="s">
        <v>275</v>
      </c>
      <c r="E594" s="1275" t="str">
        <f>E534</f>
        <v>2010$</v>
      </c>
      <c r="F594" s="1462">
        <f t="shared" ca="1" si="344"/>
        <v>37365704.550574876</v>
      </c>
      <c r="G594" s="1276">
        <f ca="1">SUM(G563,G532)</f>
        <v>-200000</v>
      </c>
      <c r="H594" s="1276">
        <f t="shared" ref="H594:AT594" ca="1" si="401">SUM(H563,H532)</f>
        <v>-782035.87891595892</v>
      </c>
      <c r="I594" s="1276">
        <f t="shared" ca="1" si="401"/>
        <v>216712.02030252025</v>
      </c>
      <c r="J594" s="1276">
        <f t="shared" ca="1" si="401"/>
        <v>397219.72816342895</v>
      </c>
      <c r="K594" s="1276">
        <f t="shared" ca="1" si="401"/>
        <v>592679.71426607552</v>
      </c>
      <c r="L594" s="1276">
        <f t="shared" ca="1" si="401"/>
        <v>780109.20353535539</v>
      </c>
      <c r="M594" s="1276">
        <f t="shared" ca="1" si="401"/>
        <v>1045013.6925991641</v>
      </c>
      <c r="N594" s="1276">
        <f t="shared" ca="1" si="401"/>
        <v>1247498.973617505</v>
      </c>
      <c r="O594" s="1276">
        <f t="shared" ca="1" si="401"/>
        <v>1449964.760907558</v>
      </c>
      <c r="P594" s="1276">
        <f t="shared" ca="1" si="401"/>
        <v>1652414.6169761792</v>
      </c>
      <c r="Q594" s="1276">
        <f t="shared" ca="1" si="401"/>
        <v>1854851.1356629175</v>
      </c>
      <c r="R594" s="1276">
        <f t="shared" ca="1" si="401"/>
        <v>2057276.275107123</v>
      </c>
      <c r="S594" s="1276">
        <f t="shared" ca="1" si="401"/>
        <v>2262166.5565882828</v>
      </c>
      <c r="T594" s="1276">
        <f t="shared" ca="1" si="401"/>
        <v>2467048.1899001109</v>
      </c>
      <c r="U594" s="1276">
        <f t="shared" ca="1" si="401"/>
        <v>2671922.1559387082</v>
      </c>
      <c r="V594" s="1276">
        <f t="shared" ca="1" si="401"/>
        <v>2876789.2631030949</v>
      </c>
      <c r="W594" s="1276">
        <f t="shared" ca="1" si="401"/>
        <v>3081650.1869942104</v>
      </c>
      <c r="X594" s="1276">
        <f t="shared" ca="1" si="401"/>
        <v>3286505.4990865872</v>
      </c>
      <c r="Y594" s="1276">
        <f t="shared" ca="1" si="401"/>
        <v>3491355.6879002955</v>
      </c>
      <c r="Z594" s="1276">
        <f t="shared" ca="1" si="401"/>
        <v>3696201.1749399966</v>
      </c>
      <c r="AA594" s="1276">
        <f t="shared" ca="1" si="401"/>
        <v>3901042.3269000379</v>
      </c>
      <c r="AB594" s="1276">
        <f t="shared" ca="1" si="401"/>
        <v>4105879.4651521798</v>
      </c>
      <c r="AC594" s="1276">
        <f t="shared" ca="1" si="401"/>
        <v>4310712.8732206617</v>
      </c>
      <c r="AD594" s="1276">
        <f t="shared" ca="1" si="401"/>
        <v>4515542.8027431378</v>
      </c>
      <c r="AE594" s="1276">
        <f t="shared" ca="1" si="401"/>
        <v>4720369.4782762444</v>
      </c>
      <c r="AF594" s="1276">
        <f t="shared" ca="1" si="401"/>
        <v>4925193.1012082286</v>
      </c>
      <c r="AG594" s="1276">
        <f t="shared" ca="1" si="401"/>
        <v>5130013.8529734733</v>
      </c>
      <c r="AH594" s="1276">
        <f t="shared" ca="1" si="401"/>
        <v>5334831.8977153562</v>
      </c>
      <c r="AI594" s="1276">
        <f t="shared" ca="1" si="401"/>
        <v>5539647.3845089078</v>
      </c>
      <c r="AJ594" s="1276">
        <f t="shared" ca="1" si="401"/>
        <v>5744460.4492290933</v>
      </c>
      <c r="AK594" s="1276">
        <f t="shared" ca="1" si="401"/>
        <v>5949271.2161314134</v>
      </c>
      <c r="AL594" s="1276">
        <f t="shared" ca="1" si="401"/>
        <v>6154079.7991971998</v>
      </c>
      <c r="AM594" s="1276">
        <f t="shared" ca="1" si="401"/>
        <v>6358886.3032850027</v>
      </c>
      <c r="AN594" s="1276">
        <f t="shared" ca="1" si="401"/>
        <v>6563690.8251212481</v>
      </c>
      <c r="AO594" s="1276">
        <f t="shared" ca="1" si="401"/>
        <v>6768493.4541567015</v>
      </c>
      <c r="AP594" s="1276">
        <f t="shared" ca="1" si="401"/>
        <v>6973294.2733103456</v>
      </c>
      <c r="AQ594" s="1276">
        <f t="shared" ca="1" si="401"/>
        <v>7178093.359618227</v>
      </c>
      <c r="AR594" s="1276">
        <f t="shared" ca="1" si="401"/>
        <v>7382890.7848017393</v>
      </c>
      <c r="AS594" s="1276">
        <f t="shared" ca="1" si="401"/>
        <v>7587686.6157671809</v>
      </c>
      <c r="AT594" s="1276">
        <f t="shared" ca="1" si="401"/>
        <v>7792480.9150465373</v>
      </c>
      <c r="AV594" s="1276">
        <f t="shared" ca="1" si="353"/>
        <v>6175001.2476357613</v>
      </c>
      <c r="AX594" s="1276">
        <f t="shared" ca="1" si="354"/>
        <v>11313264.313197143</v>
      </c>
      <c r="AZ594" s="1276">
        <f t="shared" ca="1" si="355"/>
        <v>16432501.812024184</v>
      </c>
      <c r="BB594" s="1276">
        <f t="shared" ca="1" si="356"/>
        <v>21553546.946292263</v>
      </c>
      <c r="BD594" s="1276">
        <f t="shared" ca="1" si="357"/>
        <v>26674146.68563506</v>
      </c>
      <c r="BF594" s="1276">
        <f t="shared" ca="1" si="358"/>
        <v>31794421.597891565</v>
      </c>
      <c r="BH594" s="1276">
        <f t="shared" ca="1" si="359"/>
        <v>36914445.948544033</v>
      </c>
    </row>
    <row r="595" spans="1:60" ht="15.75" hidden="1" outlineLevel="1" thickTop="1">
      <c r="A595" s="1464">
        <v>18</v>
      </c>
      <c r="B595" s="1464">
        <v>39</v>
      </c>
      <c r="C595" s="1464">
        <v>1</v>
      </c>
      <c r="D595" s="1271" t="str">
        <f ca="1">IF(OFFSET(PortfolioDashboard!$A$3,C595-1,0)="","Blank",OFFSET(PortfolioDashboard!$A$3,C595-1,0))</f>
        <v>Behavior Change</v>
      </c>
      <c r="E595" s="1464" t="s">
        <v>1197</v>
      </c>
      <c r="F595" s="1460">
        <f t="shared" ca="1" si="344"/>
        <v>0</v>
      </c>
      <c r="G595" s="358">
        <f t="shared" ref="G595:P604" ca="1" si="402">IFERROR(OFFSET(INDIRECT(INDEX(List_of_Alternatives,MATCH($D595,NameofAlternatives,0))),$A595+G$1-$G$1,$B595),0)</f>
        <v>0</v>
      </c>
      <c r="H595" s="358">
        <f t="shared" ca="1" si="402"/>
        <v>0</v>
      </c>
      <c r="I595" s="358">
        <f t="shared" ca="1" si="402"/>
        <v>0</v>
      </c>
      <c r="J595" s="358">
        <f t="shared" ca="1" si="402"/>
        <v>0</v>
      </c>
      <c r="K595" s="358">
        <f t="shared" ca="1" si="402"/>
        <v>0</v>
      </c>
      <c r="L595" s="358">
        <f t="shared" ca="1" si="402"/>
        <v>0</v>
      </c>
      <c r="M595" s="358">
        <f t="shared" ca="1" si="402"/>
        <v>0</v>
      </c>
      <c r="N595" s="358">
        <f t="shared" ca="1" si="402"/>
        <v>0</v>
      </c>
      <c r="O595" s="358">
        <f t="shared" ca="1" si="402"/>
        <v>0</v>
      </c>
      <c r="P595" s="358">
        <f t="shared" ca="1" si="402"/>
        <v>0</v>
      </c>
      <c r="Q595" s="358">
        <f t="shared" ref="Q595:Z604" ca="1" si="403">IFERROR(OFFSET(INDIRECT(INDEX(List_of_Alternatives,MATCH($D595,NameofAlternatives,0))),$A595+Q$1-$G$1,$B595),0)</f>
        <v>0</v>
      </c>
      <c r="R595" s="358">
        <f t="shared" ca="1" si="403"/>
        <v>0</v>
      </c>
      <c r="S595" s="358">
        <f t="shared" ca="1" si="403"/>
        <v>0</v>
      </c>
      <c r="T595" s="358">
        <f t="shared" ca="1" si="403"/>
        <v>0</v>
      </c>
      <c r="U595" s="358">
        <f t="shared" ca="1" si="403"/>
        <v>0</v>
      </c>
      <c r="V595" s="358">
        <f t="shared" ca="1" si="403"/>
        <v>0</v>
      </c>
      <c r="W595" s="358">
        <f t="shared" ca="1" si="403"/>
        <v>0</v>
      </c>
      <c r="X595" s="358">
        <f t="shared" ca="1" si="403"/>
        <v>0</v>
      </c>
      <c r="Y595" s="358">
        <f t="shared" ca="1" si="403"/>
        <v>0</v>
      </c>
      <c r="Z595" s="358">
        <f t="shared" ca="1" si="403"/>
        <v>0</v>
      </c>
      <c r="AA595" s="358">
        <f t="shared" ref="AA595:AJ604" ca="1" si="404">IFERROR(OFFSET(INDIRECT(INDEX(List_of_Alternatives,MATCH($D595,NameofAlternatives,0))),$A595+AA$1-$G$1,$B595),0)</f>
        <v>0</v>
      </c>
      <c r="AB595" s="358">
        <f t="shared" ca="1" si="404"/>
        <v>0</v>
      </c>
      <c r="AC595" s="358">
        <f t="shared" ca="1" si="404"/>
        <v>0</v>
      </c>
      <c r="AD595" s="358">
        <f t="shared" ca="1" si="404"/>
        <v>0</v>
      </c>
      <c r="AE595" s="358">
        <f t="shared" ca="1" si="404"/>
        <v>0</v>
      </c>
      <c r="AF595" s="358">
        <f t="shared" ca="1" si="404"/>
        <v>0</v>
      </c>
      <c r="AG595" s="358">
        <f t="shared" ca="1" si="404"/>
        <v>0</v>
      </c>
      <c r="AH595" s="358">
        <f t="shared" ca="1" si="404"/>
        <v>0</v>
      </c>
      <c r="AI595" s="358">
        <f t="shared" ca="1" si="404"/>
        <v>0</v>
      </c>
      <c r="AJ595" s="358">
        <f t="shared" ca="1" si="404"/>
        <v>0</v>
      </c>
      <c r="AK595" s="358">
        <f t="shared" ref="AK595:AT604" ca="1" si="405">IFERROR(OFFSET(INDIRECT(INDEX(List_of_Alternatives,MATCH($D595,NameofAlternatives,0))),$A595+AK$1-$G$1,$B595),0)</f>
        <v>0</v>
      </c>
      <c r="AL595" s="358">
        <f t="shared" ca="1" si="405"/>
        <v>0</v>
      </c>
      <c r="AM595" s="358">
        <f t="shared" ca="1" si="405"/>
        <v>0</v>
      </c>
      <c r="AN595" s="358">
        <f t="shared" ca="1" si="405"/>
        <v>0</v>
      </c>
      <c r="AO595" s="358">
        <f t="shared" ca="1" si="405"/>
        <v>0</v>
      </c>
      <c r="AP595" s="358">
        <f t="shared" ca="1" si="405"/>
        <v>0</v>
      </c>
      <c r="AQ595" s="358">
        <f t="shared" ca="1" si="405"/>
        <v>0</v>
      </c>
      <c r="AR595" s="358">
        <f t="shared" ca="1" si="405"/>
        <v>0</v>
      </c>
      <c r="AS595" s="358">
        <f t="shared" ca="1" si="405"/>
        <v>0</v>
      </c>
      <c r="AT595" s="358">
        <f t="shared" ca="1" si="405"/>
        <v>0</v>
      </c>
      <c r="AV595" s="358">
        <f t="shared" ca="1" si="353"/>
        <v>0</v>
      </c>
      <c r="AX595" s="358">
        <f t="shared" ca="1" si="354"/>
        <v>0</v>
      </c>
      <c r="AZ595" s="358">
        <f t="shared" ca="1" si="355"/>
        <v>0</v>
      </c>
      <c r="BB595" s="358">
        <f t="shared" ca="1" si="356"/>
        <v>0</v>
      </c>
      <c r="BD595" s="358">
        <f t="shared" ca="1" si="357"/>
        <v>0</v>
      </c>
      <c r="BF595" s="358">
        <f t="shared" ca="1" si="358"/>
        <v>0</v>
      </c>
      <c r="BH595" s="358">
        <f t="shared" ca="1" si="359"/>
        <v>0</v>
      </c>
    </row>
    <row r="596" spans="1:60" hidden="1" outlineLevel="1">
      <c r="A596" s="1464">
        <f>A595</f>
        <v>18</v>
      </c>
      <c r="B596" s="1464">
        <f>B595</f>
        <v>39</v>
      </c>
      <c r="C596" s="1464">
        <f>C595+1</f>
        <v>2</v>
      </c>
      <c r="D596" s="1271" t="str">
        <f ca="1">IF(OFFSET(PortfolioDashboard!$A$3,C596-1,0)="","Blank",OFFSET(PortfolioDashboard!$A$3,C596-1,0))</f>
        <v>Building Design &amp; Construction Standards</v>
      </c>
      <c r="E596" s="1464" t="str">
        <f>E595</f>
        <v>2010$</v>
      </c>
      <c r="F596" s="1460">
        <f t="shared" ca="1" si="344"/>
        <v>0</v>
      </c>
      <c r="G596" s="358">
        <f t="shared" ca="1" si="402"/>
        <v>0</v>
      </c>
      <c r="H596" s="358">
        <f t="shared" ca="1" si="402"/>
        <v>0</v>
      </c>
      <c r="I596" s="358">
        <f t="shared" ca="1" si="402"/>
        <v>0</v>
      </c>
      <c r="J596" s="358">
        <f t="shared" ca="1" si="402"/>
        <v>0</v>
      </c>
      <c r="K596" s="358">
        <f t="shared" ca="1" si="402"/>
        <v>0</v>
      </c>
      <c r="L596" s="358">
        <f t="shared" ca="1" si="402"/>
        <v>0</v>
      </c>
      <c r="M596" s="358">
        <f t="shared" ca="1" si="402"/>
        <v>0</v>
      </c>
      <c r="N596" s="358">
        <f t="shared" ca="1" si="402"/>
        <v>0</v>
      </c>
      <c r="O596" s="358">
        <f t="shared" ca="1" si="402"/>
        <v>0</v>
      </c>
      <c r="P596" s="358">
        <f t="shared" ca="1" si="402"/>
        <v>0</v>
      </c>
      <c r="Q596" s="358">
        <f t="shared" ca="1" si="403"/>
        <v>0</v>
      </c>
      <c r="R596" s="358">
        <f t="shared" ca="1" si="403"/>
        <v>0</v>
      </c>
      <c r="S596" s="358">
        <f t="shared" ca="1" si="403"/>
        <v>0</v>
      </c>
      <c r="T596" s="358">
        <f t="shared" ca="1" si="403"/>
        <v>0</v>
      </c>
      <c r="U596" s="358">
        <f t="shared" ca="1" si="403"/>
        <v>0</v>
      </c>
      <c r="V596" s="358">
        <f t="shared" ca="1" si="403"/>
        <v>0</v>
      </c>
      <c r="W596" s="358">
        <f t="shared" ca="1" si="403"/>
        <v>0</v>
      </c>
      <c r="X596" s="358">
        <f t="shared" ca="1" si="403"/>
        <v>0</v>
      </c>
      <c r="Y596" s="358">
        <f t="shared" ca="1" si="403"/>
        <v>0</v>
      </c>
      <c r="Z596" s="358">
        <f t="shared" ca="1" si="403"/>
        <v>0</v>
      </c>
      <c r="AA596" s="358">
        <f t="shared" ca="1" si="404"/>
        <v>0</v>
      </c>
      <c r="AB596" s="358">
        <f t="shared" ca="1" si="404"/>
        <v>0</v>
      </c>
      <c r="AC596" s="358">
        <f t="shared" ca="1" si="404"/>
        <v>0</v>
      </c>
      <c r="AD596" s="358">
        <f t="shared" ca="1" si="404"/>
        <v>0</v>
      </c>
      <c r="AE596" s="358">
        <f t="shared" ca="1" si="404"/>
        <v>0</v>
      </c>
      <c r="AF596" s="358">
        <f t="shared" ca="1" si="404"/>
        <v>0</v>
      </c>
      <c r="AG596" s="358">
        <f t="shared" ca="1" si="404"/>
        <v>0</v>
      </c>
      <c r="AH596" s="358">
        <f t="shared" ca="1" si="404"/>
        <v>0</v>
      </c>
      <c r="AI596" s="358">
        <f t="shared" ca="1" si="404"/>
        <v>0</v>
      </c>
      <c r="AJ596" s="358">
        <f t="shared" ca="1" si="404"/>
        <v>0</v>
      </c>
      <c r="AK596" s="358">
        <f t="shared" ca="1" si="405"/>
        <v>0</v>
      </c>
      <c r="AL596" s="358">
        <f t="shared" ca="1" si="405"/>
        <v>0</v>
      </c>
      <c r="AM596" s="358">
        <f t="shared" ca="1" si="405"/>
        <v>0</v>
      </c>
      <c r="AN596" s="358">
        <f t="shared" ca="1" si="405"/>
        <v>0</v>
      </c>
      <c r="AO596" s="358">
        <f t="shared" ca="1" si="405"/>
        <v>0</v>
      </c>
      <c r="AP596" s="358">
        <f t="shared" ca="1" si="405"/>
        <v>0</v>
      </c>
      <c r="AQ596" s="358">
        <f t="shared" ca="1" si="405"/>
        <v>0</v>
      </c>
      <c r="AR596" s="358">
        <f t="shared" ca="1" si="405"/>
        <v>0</v>
      </c>
      <c r="AS596" s="358">
        <f t="shared" ca="1" si="405"/>
        <v>0</v>
      </c>
      <c r="AT596" s="358">
        <f t="shared" ca="1" si="405"/>
        <v>0</v>
      </c>
      <c r="AV596" s="358">
        <f t="shared" ca="1" si="353"/>
        <v>0</v>
      </c>
      <c r="AX596" s="358">
        <f t="shared" ca="1" si="354"/>
        <v>0</v>
      </c>
      <c r="AZ596" s="358">
        <f t="shared" ca="1" si="355"/>
        <v>0</v>
      </c>
      <c r="BB596" s="358">
        <f t="shared" ca="1" si="356"/>
        <v>0</v>
      </c>
      <c r="BD596" s="358">
        <f t="shared" ca="1" si="357"/>
        <v>0</v>
      </c>
      <c r="BF596" s="358">
        <f t="shared" ca="1" si="358"/>
        <v>0</v>
      </c>
      <c r="BH596" s="358">
        <f t="shared" ca="1" si="359"/>
        <v>0</v>
      </c>
    </row>
    <row r="597" spans="1:60" hidden="1" outlineLevel="1">
      <c r="A597" s="1464">
        <f t="shared" ref="A597:A624" si="406">A596</f>
        <v>18</v>
      </c>
      <c r="B597" s="1464">
        <f t="shared" ref="B597:B624" si="407">B596</f>
        <v>39</v>
      </c>
      <c r="C597" s="1464">
        <f t="shared" ref="C597:C624" si="408">C596+1</f>
        <v>3</v>
      </c>
      <c r="D597" s="1271" t="str">
        <f ca="1">IF(OFFSET(PortfolioDashboard!$A$3,C597-1,0)="","Blank",OFFSET(PortfolioDashboard!$A$3,C597-1,0))</f>
        <v>Space Planning &amp; Management</v>
      </c>
      <c r="E597" s="1464" t="str">
        <f t="shared" ref="E597:E624" si="409">E596</f>
        <v>2010$</v>
      </c>
      <c r="F597" s="1460">
        <f t="shared" ref="F597:F660" ca="1" si="410">NPV(DiscountRate,G597:AT597)</f>
        <v>0</v>
      </c>
      <c r="G597" s="358">
        <f t="shared" ca="1" si="402"/>
        <v>0</v>
      </c>
      <c r="H597" s="358">
        <f t="shared" ca="1" si="402"/>
        <v>0</v>
      </c>
      <c r="I597" s="358">
        <f t="shared" ca="1" si="402"/>
        <v>0</v>
      </c>
      <c r="J597" s="358">
        <f t="shared" ca="1" si="402"/>
        <v>0</v>
      </c>
      <c r="K597" s="358">
        <f t="shared" ca="1" si="402"/>
        <v>0</v>
      </c>
      <c r="L597" s="358">
        <f t="shared" ca="1" si="402"/>
        <v>0</v>
      </c>
      <c r="M597" s="358">
        <f t="shared" ca="1" si="402"/>
        <v>0</v>
      </c>
      <c r="N597" s="358">
        <f t="shared" ca="1" si="402"/>
        <v>0</v>
      </c>
      <c r="O597" s="358">
        <f t="shared" ca="1" si="402"/>
        <v>0</v>
      </c>
      <c r="P597" s="358">
        <f t="shared" ca="1" si="402"/>
        <v>0</v>
      </c>
      <c r="Q597" s="358">
        <f t="shared" ca="1" si="403"/>
        <v>0</v>
      </c>
      <c r="R597" s="358">
        <f t="shared" ca="1" si="403"/>
        <v>0</v>
      </c>
      <c r="S597" s="358">
        <f t="shared" ca="1" si="403"/>
        <v>0</v>
      </c>
      <c r="T597" s="358">
        <f t="shared" ca="1" si="403"/>
        <v>0</v>
      </c>
      <c r="U597" s="358">
        <f t="shared" ca="1" si="403"/>
        <v>0</v>
      </c>
      <c r="V597" s="358">
        <f t="shared" ca="1" si="403"/>
        <v>0</v>
      </c>
      <c r="W597" s="358">
        <f t="shared" ca="1" si="403"/>
        <v>0</v>
      </c>
      <c r="X597" s="358">
        <f t="shared" ca="1" si="403"/>
        <v>0</v>
      </c>
      <c r="Y597" s="358">
        <f t="shared" ca="1" si="403"/>
        <v>0</v>
      </c>
      <c r="Z597" s="358">
        <f t="shared" ca="1" si="403"/>
        <v>0</v>
      </c>
      <c r="AA597" s="358">
        <f t="shared" ca="1" si="404"/>
        <v>0</v>
      </c>
      <c r="AB597" s="358">
        <f t="shared" ca="1" si="404"/>
        <v>0</v>
      </c>
      <c r="AC597" s="358">
        <f t="shared" ca="1" si="404"/>
        <v>0</v>
      </c>
      <c r="AD597" s="358">
        <f t="shared" ca="1" si="404"/>
        <v>0</v>
      </c>
      <c r="AE597" s="358">
        <f t="shared" ca="1" si="404"/>
        <v>0</v>
      </c>
      <c r="AF597" s="358">
        <f t="shared" ca="1" si="404"/>
        <v>0</v>
      </c>
      <c r="AG597" s="358">
        <f t="shared" ca="1" si="404"/>
        <v>0</v>
      </c>
      <c r="AH597" s="358">
        <f t="shared" ca="1" si="404"/>
        <v>0</v>
      </c>
      <c r="AI597" s="358">
        <f t="shared" ca="1" si="404"/>
        <v>0</v>
      </c>
      <c r="AJ597" s="358">
        <f t="shared" ca="1" si="404"/>
        <v>0</v>
      </c>
      <c r="AK597" s="358">
        <f t="shared" ca="1" si="405"/>
        <v>0</v>
      </c>
      <c r="AL597" s="358">
        <f t="shared" ca="1" si="405"/>
        <v>0</v>
      </c>
      <c r="AM597" s="358">
        <f t="shared" ca="1" si="405"/>
        <v>0</v>
      </c>
      <c r="AN597" s="358">
        <f t="shared" ca="1" si="405"/>
        <v>0</v>
      </c>
      <c r="AO597" s="358">
        <f t="shared" ca="1" si="405"/>
        <v>0</v>
      </c>
      <c r="AP597" s="358">
        <f t="shared" ca="1" si="405"/>
        <v>0</v>
      </c>
      <c r="AQ597" s="358">
        <f t="shared" ca="1" si="405"/>
        <v>0</v>
      </c>
      <c r="AR597" s="358">
        <f t="shared" ca="1" si="405"/>
        <v>0</v>
      </c>
      <c r="AS597" s="358">
        <f t="shared" ca="1" si="405"/>
        <v>0</v>
      </c>
      <c r="AT597" s="358">
        <f t="shared" ca="1" si="405"/>
        <v>0</v>
      </c>
      <c r="AV597" s="358">
        <f t="shared" ca="1" si="353"/>
        <v>0</v>
      </c>
      <c r="AX597" s="358">
        <f t="shared" ca="1" si="354"/>
        <v>0</v>
      </c>
      <c r="AZ597" s="358">
        <f t="shared" ca="1" si="355"/>
        <v>0</v>
      </c>
      <c r="BB597" s="358">
        <f t="shared" ca="1" si="356"/>
        <v>0</v>
      </c>
      <c r="BD597" s="358">
        <f t="shared" ca="1" si="357"/>
        <v>0</v>
      </c>
      <c r="BF597" s="358">
        <f t="shared" ca="1" si="358"/>
        <v>0</v>
      </c>
      <c r="BH597" s="358">
        <f t="shared" ca="1" si="359"/>
        <v>0</v>
      </c>
    </row>
    <row r="598" spans="1:60" hidden="1" outlineLevel="1">
      <c r="A598" s="1464">
        <f t="shared" si="406"/>
        <v>18</v>
      </c>
      <c r="B598" s="1464">
        <f t="shared" si="407"/>
        <v>39</v>
      </c>
      <c r="C598" s="1464">
        <f t="shared" si="408"/>
        <v>4</v>
      </c>
      <c r="D598" s="1271" t="str">
        <f ca="1">IF(OFFSET(PortfolioDashboard!$A$3,C598-1,0)="","Blank",OFFSET(PortfolioDashboard!$A$3,C598-1,0))</f>
        <v>Central Chiller Expansion</v>
      </c>
      <c r="E598" s="1464" t="str">
        <f t="shared" si="409"/>
        <v>2010$</v>
      </c>
      <c r="F598" s="1460">
        <f t="shared" ca="1" si="410"/>
        <v>0</v>
      </c>
      <c r="G598" s="358">
        <f t="shared" ca="1" si="402"/>
        <v>0</v>
      </c>
      <c r="H598" s="358">
        <f t="shared" ca="1" si="402"/>
        <v>0</v>
      </c>
      <c r="I598" s="358">
        <f t="shared" ca="1" si="402"/>
        <v>0</v>
      </c>
      <c r="J598" s="358">
        <f t="shared" ca="1" si="402"/>
        <v>0</v>
      </c>
      <c r="K598" s="358">
        <f t="shared" ca="1" si="402"/>
        <v>0</v>
      </c>
      <c r="L598" s="358">
        <f t="shared" ca="1" si="402"/>
        <v>0</v>
      </c>
      <c r="M598" s="358">
        <f t="shared" ca="1" si="402"/>
        <v>0</v>
      </c>
      <c r="N598" s="358">
        <f t="shared" ca="1" si="402"/>
        <v>0</v>
      </c>
      <c r="O598" s="358">
        <f t="shared" ca="1" si="402"/>
        <v>0</v>
      </c>
      <c r="P598" s="358">
        <f t="shared" ca="1" si="402"/>
        <v>0</v>
      </c>
      <c r="Q598" s="358">
        <f t="shared" ca="1" si="403"/>
        <v>0</v>
      </c>
      <c r="R598" s="358">
        <f t="shared" ca="1" si="403"/>
        <v>0</v>
      </c>
      <c r="S598" s="358">
        <f t="shared" ca="1" si="403"/>
        <v>0</v>
      </c>
      <c r="T598" s="358">
        <f t="shared" ca="1" si="403"/>
        <v>0</v>
      </c>
      <c r="U598" s="358">
        <f t="shared" ca="1" si="403"/>
        <v>0</v>
      </c>
      <c r="V598" s="358">
        <f t="shared" ca="1" si="403"/>
        <v>0</v>
      </c>
      <c r="W598" s="358">
        <f t="shared" ca="1" si="403"/>
        <v>0</v>
      </c>
      <c r="X598" s="358">
        <f t="shared" ca="1" si="403"/>
        <v>0</v>
      </c>
      <c r="Y598" s="358">
        <f t="shared" ca="1" si="403"/>
        <v>0</v>
      </c>
      <c r="Z598" s="358">
        <f t="shared" ca="1" si="403"/>
        <v>0</v>
      </c>
      <c r="AA598" s="358">
        <f t="shared" ca="1" si="404"/>
        <v>0</v>
      </c>
      <c r="AB598" s="358">
        <f t="shared" ca="1" si="404"/>
        <v>0</v>
      </c>
      <c r="AC598" s="358">
        <f t="shared" ca="1" si="404"/>
        <v>0</v>
      </c>
      <c r="AD598" s="358">
        <f t="shared" ca="1" si="404"/>
        <v>0</v>
      </c>
      <c r="AE598" s="358">
        <f t="shared" ca="1" si="404"/>
        <v>0</v>
      </c>
      <c r="AF598" s="358">
        <f t="shared" ca="1" si="404"/>
        <v>0</v>
      </c>
      <c r="AG598" s="358">
        <f t="shared" ca="1" si="404"/>
        <v>0</v>
      </c>
      <c r="AH598" s="358">
        <f t="shared" ca="1" si="404"/>
        <v>0</v>
      </c>
      <c r="AI598" s="358">
        <f t="shared" ca="1" si="404"/>
        <v>0</v>
      </c>
      <c r="AJ598" s="358">
        <f t="shared" ca="1" si="404"/>
        <v>0</v>
      </c>
      <c r="AK598" s="358">
        <f t="shared" ca="1" si="405"/>
        <v>0</v>
      </c>
      <c r="AL598" s="358">
        <f t="shared" ca="1" si="405"/>
        <v>0</v>
      </c>
      <c r="AM598" s="358">
        <f t="shared" ca="1" si="405"/>
        <v>0</v>
      </c>
      <c r="AN598" s="358">
        <f t="shared" ca="1" si="405"/>
        <v>0</v>
      </c>
      <c r="AO598" s="358">
        <f t="shared" ca="1" si="405"/>
        <v>0</v>
      </c>
      <c r="AP598" s="358">
        <f t="shared" ca="1" si="405"/>
        <v>0</v>
      </c>
      <c r="AQ598" s="358">
        <f t="shared" ca="1" si="405"/>
        <v>0</v>
      </c>
      <c r="AR598" s="358">
        <f t="shared" ca="1" si="405"/>
        <v>0</v>
      </c>
      <c r="AS598" s="358">
        <f t="shared" ca="1" si="405"/>
        <v>0</v>
      </c>
      <c r="AT598" s="358">
        <f t="shared" ca="1" si="405"/>
        <v>0</v>
      </c>
      <c r="AV598" s="358">
        <f t="shared" ca="1" si="353"/>
        <v>0</v>
      </c>
      <c r="AX598" s="358">
        <f t="shared" ca="1" si="354"/>
        <v>0</v>
      </c>
      <c r="AZ598" s="358">
        <f t="shared" ca="1" si="355"/>
        <v>0</v>
      </c>
      <c r="BB598" s="358">
        <f t="shared" ca="1" si="356"/>
        <v>0</v>
      </c>
      <c r="BD598" s="358">
        <f t="shared" ca="1" si="357"/>
        <v>0</v>
      </c>
      <c r="BF598" s="358">
        <f t="shared" ca="1" si="358"/>
        <v>0</v>
      </c>
      <c r="BH598" s="358">
        <f t="shared" ca="1" si="359"/>
        <v>0</v>
      </c>
    </row>
    <row r="599" spans="1:60" hidden="1" outlineLevel="1">
      <c r="A599" s="1464">
        <f t="shared" si="406"/>
        <v>18</v>
      </c>
      <c r="B599" s="1464">
        <f t="shared" si="407"/>
        <v>39</v>
      </c>
      <c r="C599" s="1464">
        <f t="shared" si="408"/>
        <v>5</v>
      </c>
      <c r="D599" s="1271" t="str">
        <f ca="1">IF(OFFSET(PortfolioDashboard!$A$3,C599-1,0)="","Blank",OFFSET(PortfolioDashboard!$A$3,C599-1,0))</f>
        <v>Short-term Energy Conservation Measures</v>
      </c>
      <c r="E599" s="1464" t="str">
        <f t="shared" si="409"/>
        <v>2010$</v>
      </c>
      <c r="F599" s="1460">
        <f t="shared" ca="1" si="410"/>
        <v>0</v>
      </c>
      <c r="G599" s="358">
        <f t="shared" ca="1" si="402"/>
        <v>0</v>
      </c>
      <c r="H599" s="358">
        <f t="shared" ca="1" si="402"/>
        <v>0</v>
      </c>
      <c r="I599" s="358">
        <f t="shared" ca="1" si="402"/>
        <v>0</v>
      </c>
      <c r="J599" s="358">
        <f t="shared" ca="1" si="402"/>
        <v>0</v>
      </c>
      <c r="K599" s="358">
        <f t="shared" ca="1" si="402"/>
        <v>0</v>
      </c>
      <c r="L599" s="358">
        <f t="shared" ca="1" si="402"/>
        <v>0</v>
      </c>
      <c r="M599" s="358">
        <f t="shared" ca="1" si="402"/>
        <v>0</v>
      </c>
      <c r="N599" s="358">
        <f t="shared" ca="1" si="402"/>
        <v>0</v>
      </c>
      <c r="O599" s="358">
        <f t="shared" ca="1" si="402"/>
        <v>0</v>
      </c>
      <c r="P599" s="358">
        <f t="shared" ca="1" si="402"/>
        <v>0</v>
      </c>
      <c r="Q599" s="358">
        <f t="shared" ca="1" si="403"/>
        <v>0</v>
      </c>
      <c r="R599" s="358">
        <f t="shared" ca="1" si="403"/>
        <v>0</v>
      </c>
      <c r="S599" s="358">
        <f t="shared" ca="1" si="403"/>
        <v>0</v>
      </c>
      <c r="T599" s="358">
        <f t="shared" ca="1" si="403"/>
        <v>0</v>
      </c>
      <c r="U599" s="358">
        <f t="shared" ca="1" si="403"/>
        <v>0</v>
      </c>
      <c r="V599" s="358">
        <f t="shared" ca="1" si="403"/>
        <v>0</v>
      </c>
      <c r="W599" s="358">
        <f t="shared" ca="1" si="403"/>
        <v>0</v>
      </c>
      <c r="X599" s="358">
        <f t="shared" ca="1" si="403"/>
        <v>0</v>
      </c>
      <c r="Y599" s="358">
        <f t="shared" ca="1" si="403"/>
        <v>0</v>
      </c>
      <c r="Z599" s="358">
        <f t="shared" ca="1" si="403"/>
        <v>0</v>
      </c>
      <c r="AA599" s="358">
        <f t="shared" ca="1" si="404"/>
        <v>0</v>
      </c>
      <c r="AB599" s="358">
        <f t="shared" ca="1" si="404"/>
        <v>0</v>
      </c>
      <c r="AC599" s="358">
        <f t="shared" ca="1" si="404"/>
        <v>0</v>
      </c>
      <c r="AD599" s="358">
        <f t="shared" ca="1" si="404"/>
        <v>0</v>
      </c>
      <c r="AE599" s="358">
        <f t="shared" ca="1" si="404"/>
        <v>0</v>
      </c>
      <c r="AF599" s="358">
        <f t="shared" ca="1" si="404"/>
        <v>0</v>
      </c>
      <c r="AG599" s="358">
        <f t="shared" ca="1" si="404"/>
        <v>0</v>
      </c>
      <c r="AH599" s="358">
        <f t="shared" ca="1" si="404"/>
        <v>0</v>
      </c>
      <c r="AI599" s="358">
        <f t="shared" ca="1" si="404"/>
        <v>0</v>
      </c>
      <c r="AJ599" s="358">
        <f t="shared" ca="1" si="404"/>
        <v>0</v>
      </c>
      <c r="AK599" s="358">
        <f t="shared" ca="1" si="405"/>
        <v>0</v>
      </c>
      <c r="AL599" s="358">
        <f t="shared" ca="1" si="405"/>
        <v>0</v>
      </c>
      <c r="AM599" s="358">
        <f t="shared" ca="1" si="405"/>
        <v>0</v>
      </c>
      <c r="AN599" s="358">
        <f t="shared" ca="1" si="405"/>
        <v>0</v>
      </c>
      <c r="AO599" s="358">
        <f t="shared" ca="1" si="405"/>
        <v>0</v>
      </c>
      <c r="AP599" s="358">
        <f t="shared" ca="1" si="405"/>
        <v>0</v>
      </c>
      <c r="AQ599" s="358">
        <f t="shared" ca="1" si="405"/>
        <v>0</v>
      </c>
      <c r="AR599" s="358">
        <f t="shared" ca="1" si="405"/>
        <v>0</v>
      </c>
      <c r="AS599" s="358">
        <f t="shared" ca="1" si="405"/>
        <v>0</v>
      </c>
      <c r="AT599" s="358">
        <f t="shared" ca="1" si="405"/>
        <v>0</v>
      </c>
      <c r="AV599" s="358">
        <f t="shared" ca="1" si="353"/>
        <v>0</v>
      </c>
      <c r="AX599" s="358">
        <f t="shared" ca="1" si="354"/>
        <v>0</v>
      </c>
      <c r="AZ599" s="358">
        <f t="shared" ca="1" si="355"/>
        <v>0</v>
      </c>
      <c r="BB599" s="358">
        <f t="shared" ca="1" si="356"/>
        <v>0</v>
      </c>
      <c r="BD599" s="358">
        <f t="shared" ca="1" si="357"/>
        <v>0</v>
      </c>
      <c r="BF599" s="358">
        <f t="shared" ca="1" si="358"/>
        <v>0</v>
      </c>
      <c r="BH599" s="358">
        <f t="shared" ca="1" si="359"/>
        <v>0</v>
      </c>
    </row>
    <row r="600" spans="1:60" hidden="1" outlineLevel="1">
      <c r="A600" s="1464">
        <f t="shared" si="406"/>
        <v>18</v>
      </c>
      <c r="B600" s="1464">
        <f t="shared" si="407"/>
        <v>39</v>
      </c>
      <c r="C600" s="1464">
        <f t="shared" si="408"/>
        <v>6</v>
      </c>
      <c r="D600" s="1271" t="str">
        <f ca="1">IF(OFFSET(PortfolioDashboard!$A$3,C600-1,0)="","Blank",OFFSET(PortfolioDashboard!$A$3,C600-1,0))</f>
        <v>Mid-term Energy Conservation Measures</v>
      </c>
      <c r="E600" s="1464" t="str">
        <f t="shared" si="409"/>
        <v>2010$</v>
      </c>
      <c r="F600" s="1460">
        <f t="shared" ca="1" si="410"/>
        <v>0</v>
      </c>
      <c r="G600" s="358">
        <f t="shared" ca="1" si="402"/>
        <v>0</v>
      </c>
      <c r="H600" s="358">
        <f t="shared" ca="1" si="402"/>
        <v>0</v>
      </c>
      <c r="I600" s="358">
        <f t="shared" ca="1" si="402"/>
        <v>0</v>
      </c>
      <c r="J600" s="358">
        <f t="shared" ca="1" si="402"/>
        <v>0</v>
      </c>
      <c r="K600" s="358">
        <f t="shared" ca="1" si="402"/>
        <v>0</v>
      </c>
      <c r="L600" s="358">
        <f t="shared" ca="1" si="402"/>
        <v>0</v>
      </c>
      <c r="M600" s="358">
        <f t="shared" ca="1" si="402"/>
        <v>0</v>
      </c>
      <c r="N600" s="358">
        <f t="shared" ca="1" si="402"/>
        <v>0</v>
      </c>
      <c r="O600" s="358">
        <f t="shared" ca="1" si="402"/>
        <v>0</v>
      </c>
      <c r="P600" s="358">
        <f t="shared" ca="1" si="402"/>
        <v>0</v>
      </c>
      <c r="Q600" s="358">
        <f t="shared" ca="1" si="403"/>
        <v>0</v>
      </c>
      <c r="R600" s="358">
        <f t="shared" ca="1" si="403"/>
        <v>0</v>
      </c>
      <c r="S600" s="358">
        <f t="shared" ca="1" si="403"/>
        <v>0</v>
      </c>
      <c r="T600" s="358">
        <f t="shared" ca="1" si="403"/>
        <v>0</v>
      </c>
      <c r="U600" s="358">
        <f t="shared" ca="1" si="403"/>
        <v>0</v>
      </c>
      <c r="V600" s="358">
        <f t="shared" ca="1" si="403"/>
        <v>0</v>
      </c>
      <c r="W600" s="358">
        <f t="shared" ca="1" si="403"/>
        <v>0</v>
      </c>
      <c r="X600" s="358">
        <f t="shared" ca="1" si="403"/>
        <v>0</v>
      </c>
      <c r="Y600" s="358">
        <f t="shared" ca="1" si="403"/>
        <v>0</v>
      </c>
      <c r="Z600" s="358">
        <f t="shared" ca="1" si="403"/>
        <v>0</v>
      </c>
      <c r="AA600" s="358">
        <f t="shared" ca="1" si="404"/>
        <v>0</v>
      </c>
      <c r="AB600" s="358">
        <f t="shared" ca="1" si="404"/>
        <v>0</v>
      </c>
      <c r="AC600" s="358">
        <f t="shared" ca="1" si="404"/>
        <v>0</v>
      </c>
      <c r="AD600" s="358">
        <f t="shared" ca="1" si="404"/>
        <v>0</v>
      </c>
      <c r="AE600" s="358">
        <f t="shared" ca="1" si="404"/>
        <v>0</v>
      </c>
      <c r="AF600" s="358">
        <f t="shared" ca="1" si="404"/>
        <v>0</v>
      </c>
      <c r="AG600" s="358">
        <f t="shared" ca="1" si="404"/>
        <v>0</v>
      </c>
      <c r="AH600" s="358">
        <f t="shared" ca="1" si="404"/>
        <v>0</v>
      </c>
      <c r="AI600" s="358">
        <f t="shared" ca="1" si="404"/>
        <v>0</v>
      </c>
      <c r="AJ600" s="358">
        <f t="shared" ca="1" si="404"/>
        <v>0</v>
      </c>
      <c r="AK600" s="358">
        <f t="shared" ca="1" si="405"/>
        <v>0</v>
      </c>
      <c r="AL600" s="358">
        <f t="shared" ca="1" si="405"/>
        <v>0</v>
      </c>
      <c r="AM600" s="358">
        <f t="shared" ca="1" si="405"/>
        <v>0</v>
      </c>
      <c r="AN600" s="358">
        <f t="shared" ca="1" si="405"/>
        <v>0</v>
      </c>
      <c r="AO600" s="358">
        <f t="shared" ca="1" si="405"/>
        <v>0</v>
      </c>
      <c r="AP600" s="358">
        <f t="shared" ca="1" si="405"/>
        <v>0</v>
      </c>
      <c r="AQ600" s="358">
        <f t="shared" ca="1" si="405"/>
        <v>0</v>
      </c>
      <c r="AR600" s="358">
        <f t="shared" ca="1" si="405"/>
        <v>0</v>
      </c>
      <c r="AS600" s="358">
        <f t="shared" ca="1" si="405"/>
        <v>0</v>
      </c>
      <c r="AT600" s="358">
        <f t="shared" ca="1" si="405"/>
        <v>0</v>
      </c>
      <c r="AV600" s="358">
        <f t="shared" ca="1" si="353"/>
        <v>0</v>
      </c>
      <c r="AX600" s="358">
        <f t="shared" ca="1" si="354"/>
        <v>0</v>
      </c>
      <c r="AZ600" s="358">
        <f t="shared" ca="1" si="355"/>
        <v>0</v>
      </c>
      <c r="BB600" s="358">
        <f t="shared" ca="1" si="356"/>
        <v>0</v>
      </c>
      <c r="BD600" s="358">
        <f t="shared" ca="1" si="357"/>
        <v>0</v>
      </c>
      <c r="BF600" s="358">
        <f t="shared" ca="1" si="358"/>
        <v>0</v>
      </c>
      <c r="BH600" s="358">
        <f t="shared" ca="1" si="359"/>
        <v>0</v>
      </c>
    </row>
    <row r="601" spans="1:60" hidden="1" outlineLevel="1">
      <c r="A601" s="1464">
        <f t="shared" si="406"/>
        <v>18</v>
      </c>
      <c r="B601" s="1464">
        <f t="shared" si="407"/>
        <v>39</v>
      </c>
      <c r="C601" s="1464">
        <f t="shared" si="408"/>
        <v>7</v>
      </c>
      <c r="D601" s="1271" t="str">
        <f ca="1">IF(OFFSET(PortfolioDashboard!$A$3,C601-1,0)="","Blank",OFFSET(PortfolioDashboard!$A$3,C601-1,0))</f>
        <v>Long-term Energy Conservation Measures</v>
      </c>
      <c r="E601" s="1464" t="str">
        <f t="shared" si="409"/>
        <v>2010$</v>
      </c>
      <c r="F601" s="1460">
        <f t="shared" ca="1" si="410"/>
        <v>0</v>
      </c>
      <c r="G601" s="358">
        <f t="shared" ca="1" si="402"/>
        <v>0</v>
      </c>
      <c r="H601" s="358">
        <f t="shared" ca="1" si="402"/>
        <v>0</v>
      </c>
      <c r="I601" s="358">
        <f t="shared" ca="1" si="402"/>
        <v>0</v>
      </c>
      <c r="J601" s="358">
        <f t="shared" ca="1" si="402"/>
        <v>0</v>
      </c>
      <c r="K601" s="358">
        <f t="shared" ca="1" si="402"/>
        <v>0</v>
      </c>
      <c r="L601" s="358">
        <f t="shared" ca="1" si="402"/>
        <v>0</v>
      </c>
      <c r="M601" s="358">
        <f t="shared" ca="1" si="402"/>
        <v>0</v>
      </c>
      <c r="N601" s="358">
        <f t="shared" ca="1" si="402"/>
        <v>0</v>
      </c>
      <c r="O601" s="358">
        <f t="shared" ca="1" si="402"/>
        <v>0</v>
      </c>
      <c r="P601" s="358">
        <f t="shared" ca="1" si="402"/>
        <v>0</v>
      </c>
      <c r="Q601" s="358">
        <f t="shared" ca="1" si="403"/>
        <v>0</v>
      </c>
      <c r="R601" s="358">
        <f t="shared" ca="1" si="403"/>
        <v>0</v>
      </c>
      <c r="S601" s="358">
        <f t="shared" ca="1" si="403"/>
        <v>0</v>
      </c>
      <c r="T601" s="358">
        <f t="shared" ca="1" si="403"/>
        <v>0</v>
      </c>
      <c r="U601" s="358">
        <f t="shared" ca="1" si="403"/>
        <v>0</v>
      </c>
      <c r="V601" s="358">
        <f t="shared" ca="1" si="403"/>
        <v>0</v>
      </c>
      <c r="W601" s="358">
        <f t="shared" ca="1" si="403"/>
        <v>0</v>
      </c>
      <c r="X601" s="358">
        <f t="shared" ca="1" si="403"/>
        <v>0</v>
      </c>
      <c r="Y601" s="358">
        <f t="shared" ca="1" si="403"/>
        <v>0</v>
      </c>
      <c r="Z601" s="358">
        <f t="shared" ca="1" si="403"/>
        <v>0</v>
      </c>
      <c r="AA601" s="358">
        <f t="shared" ca="1" si="404"/>
        <v>0</v>
      </c>
      <c r="AB601" s="358">
        <f t="shared" ca="1" si="404"/>
        <v>0</v>
      </c>
      <c r="AC601" s="358">
        <f t="shared" ca="1" si="404"/>
        <v>0</v>
      </c>
      <c r="AD601" s="358">
        <f t="shared" ca="1" si="404"/>
        <v>0</v>
      </c>
      <c r="AE601" s="358">
        <f t="shared" ca="1" si="404"/>
        <v>0</v>
      </c>
      <c r="AF601" s="358">
        <f t="shared" ca="1" si="404"/>
        <v>0</v>
      </c>
      <c r="AG601" s="358">
        <f t="shared" ca="1" si="404"/>
        <v>0</v>
      </c>
      <c r="AH601" s="358">
        <f t="shared" ca="1" si="404"/>
        <v>0</v>
      </c>
      <c r="AI601" s="358">
        <f t="shared" ca="1" si="404"/>
        <v>0</v>
      </c>
      <c r="AJ601" s="358">
        <f t="shared" ca="1" si="404"/>
        <v>0</v>
      </c>
      <c r="AK601" s="358">
        <f t="shared" ca="1" si="405"/>
        <v>0</v>
      </c>
      <c r="AL601" s="358">
        <f t="shared" ca="1" si="405"/>
        <v>0</v>
      </c>
      <c r="AM601" s="358">
        <f t="shared" ca="1" si="405"/>
        <v>0</v>
      </c>
      <c r="AN601" s="358">
        <f t="shared" ca="1" si="405"/>
        <v>0</v>
      </c>
      <c r="AO601" s="358">
        <f t="shared" ca="1" si="405"/>
        <v>0</v>
      </c>
      <c r="AP601" s="358">
        <f t="shared" ca="1" si="405"/>
        <v>0</v>
      </c>
      <c r="AQ601" s="358">
        <f t="shared" ca="1" si="405"/>
        <v>0</v>
      </c>
      <c r="AR601" s="358">
        <f t="shared" ca="1" si="405"/>
        <v>0</v>
      </c>
      <c r="AS601" s="358">
        <f t="shared" ca="1" si="405"/>
        <v>0</v>
      </c>
      <c r="AT601" s="358">
        <f t="shared" ca="1" si="405"/>
        <v>0</v>
      </c>
      <c r="AV601" s="358">
        <f t="shared" ca="1" si="353"/>
        <v>0</v>
      </c>
      <c r="AX601" s="358">
        <f t="shared" ca="1" si="354"/>
        <v>0</v>
      </c>
      <c r="AZ601" s="358">
        <f t="shared" ca="1" si="355"/>
        <v>0</v>
      </c>
      <c r="BB601" s="358">
        <f t="shared" ca="1" si="356"/>
        <v>0</v>
      </c>
      <c r="BD601" s="358">
        <f t="shared" ca="1" si="357"/>
        <v>0</v>
      </c>
      <c r="BF601" s="358">
        <f t="shared" ca="1" si="358"/>
        <v>0</v>
      </c>
      <c r="BH601" s="358">
        <f t="shared" ca="1" si="359"/>
        <v>0</v>
      </c>
    </row>
    <row r="602" spans="1:60" hidden="1" outlineLevel="1">
      <c r="A602" s="1464">
        <f t="shared" si="406"/>
        <v>18</v>
      </c>
      <c r="B602" s="1464">
        <f t="shared" si="407"/>
        <v>39</v>
      </c>
      <c r="C602" s="1464">
        <f t="shared" si="408"/>
        <v>8</v>
      </c>
      <c r="D602" s="1271" t="str">
        <f ca="1">IF(OFFSET(PortfolioDashboard!$A$3,C602-1,0)="","Blank",OFFSET(PortfolioDashboard!$A$3,C602-1,0))</f>
        <v>Green IT</v>
      </c>
      <c r="E602" s="1464" t="str">
        <f t="shared" si="409"/>
        <v>2010$</v>
      </c>
      <c r="F602" s="1460">
        <f t="shared" ca="1" si="410"/>
        <v>0</v>
      </c>
      <c r="G602" s="358">
        <f t="shared" ca="1" si="402"/>
        <v>0</v>
      </c>
      <c r="H602" s="358">
        <f t="shared" ca="1" si="402"/>
        <v>0</v>
      </c>
      <c r="I602" s="358">
        <f t="shared" ca="1" si="402"/>
        <v>0</v>
      </c>
      <c r="J602" s="358">
        <f t="shared" ca="1" si="402"/>
        <v>0</v>
      </c>
      <c r="K602" s="358">
        <f t="shared" ca="1" si="402"/>
        <v>0</v>
      </c>
      <c r="L602" s="358">
        <f t="shared" ca="1" si="402"/>
        <v>0</v>
      </c>
      <c r="M602" s="358">
        <f t="shared" ca="1" si="402"/>
        <v>0</v>
      </c>
      <c r="N602" s="358">
        <f t="shared" ca="1" si="402"/>
        <v>0</v>
      </c>
      <c r="O602" s="358">
        <f t="shared" ca="1" si="402"/>
        <v>0</v>
      </c>
      <c r="P602" s="358">
        <f t="shared" ca="1" si="402"/>
        <v>0</v>
      </c>
      <c r="Q602" s="358">
        <f t="shared" ca="1" si="403"/>
        <v>0</v>
      </c>
      <c r="R602" s="358">
        <f t="shared" ca="1" si="403"/>
        <v>0</v>
      </c>
      <c r="S602" s="358">
        <f t="shared" ca="1" si="403"/>
        <v>0</v>
      </c>
      <c r="T602" s="358">
        <f t="shared" ca="1" si="403"/>
        <v>0</v>
      </c>
      <c r="U602" s="358">
        <f t="shared" ca="1" si="403"/>
        <v>0</v>
      </c>
      <c r="V602" s="358">
        <f t="shared" ca="1" si="403"/>
        <v>0</v>
      </c>
      <c r="W602" s="358">
        <f t="shared" ca="1" si="403"/>
        <v>0</v>
      </c>
      <c r="X602" s="358">
        <f t="shared" ca="1" si="403"/>
        <v>0</v>
      </c>
      <c r="Y602" s="358">
        <f t="shared" ca="1" si="403"/>
        <v>0</v>
      </c>
      <c r="Z602" s="358">
        <f t="shared" ca="1" si="403"/>
        <v>0</v>
      </c>
      <c r="AA602" s="358">
        <f t="shared" ca="1" si="404"/>
        <v>0</v>
      </c>
      <c r="AB602" s="358">
        <f t="shared" ca="1" si="404"/>
        <v>0</v>
      </c>
      <c r="AC602" s="358">
        <f t="shared" ca="1" si="404"/>
        <v>0</v>
      </c>
      <c r="AD602" s="358">
        <f t="shared" ca="1" si="404"/>
        <v>0</v>
      </c>
      <c r="AE602" s="358">
        <f t="shared" ca="1" si="404"/>
        <v>0</v>
      </c>
      <c r="AF602" s="358">
        <f t="shared" ca="1" si="404"/>
        <v>0</v>
      </c>
      <c r="AG602" s="358">
        <f t="shared" ca="1" si="404"/>
        <v>0</v>
      </c>
      <c r="AH602" s="358">
        <f t="shared" ca="1" si="404"/>
        <v>0</v>
      </c>
      <c r="AI602" s="358">
        <f t="shared" ca="1" si="404"/>
        <v>0</v>
      </c>
      <c r="AJ602" s="358">
        <f t="shared" ca="1" si="404"/>
        <v>0</v>
      </c>
      <c r="AK602" s="358">
        <f t="shared" ca="1" si="405"/>
        <v>0</v>
      </c>
      <c r="AL602" s="358">
        <f t="shared" ca="1" si="405"/>
        <v>0</v>
      </c>
      <c r="AM602" s="358">
        <f t="shared" ca="1" si="405"/>
        <v>0</v>
      </c>
      <c r="AN602" s="358">
        <f t="shared" ca="1" si="405"/>
        <v>0</v>
      </c>
      <c r="AO602" s="358">
        <f t="shared" ca="1" si="405"/>
        <v>0</v>
      </c>
      <c r="AP602" s="358">
        <f t="shared" ca="1" si="405"/>
        <v>0</v>
      </c>
      <c r="AQ602" s="358">
        <f t="shared" ca="1" si="405"/>
        <v>0</v>
      </c>
      <c r="AR602" s="358">
        <f t="shared" ca="1" si="405"/>
        <v>0</v>
      </c>
      <c r="AS602" s="358">
        <f t="shared" ca="1" si="405"/>
        <v>0</v>
      </c>
      <c r="AT602" s="358">
        <f t="shared" ca="1" si="405"/>
        <v>0</v>
      </c>
      <c r="AV602" s="358">
        <f t="shared" ca="1" si="353"/>
        <v>0</v>
      </c>
      <c r="AX602" s="358">
        <f t="shared" ca="1" si="354"/>
        <v>0</v>
      </c>
      <c r="AZ602" s="358">
        <f t="shared" ca="1" si="355"/>
        <v>0</v>
      </c>
      <c r="BB602" s="358">
        <f t="shared" ca="1" si="356"/>
        <v>0</v>
      </c>
      <c r="BD602" s="358">
        <f t="shared" ca="1" si="357"/>
        <v>0</v>
      </c>
      <c r="BF602" s="358">
        <f t="shared" ca="1" si="358"/>
        <v>0</v>
      </c>
      <c r="BH602" s="358">
        <f t="shared" ca="1" si="359"/>
        <v>0</v>
      </c>
    </row>
    <row r="603" spans="1:60" hidden="1" outlineLevel="1">
      <c r="A603" s="1464">
        <f t="shared" si="406"/>
        <v>18</v>
      </c>
      <c r="B603" s="1464">
        <f t="shared" si="407"/>
        <v>39</v>
      </c>
      <c r="C603" s="1464">
        <f t="shared" si="408"/>
        <v>9</v>
      </c>
      <c r="D603" s="1271" t="str">
        <f ca="1">IF(OFFSET(PortfolioDashboard!$A$3,C603-1,0)="","Blank",OFFSET(PortfolioDashboard!$A$3,C603-1,0))</f>
        <v>Reduced Air Travel</v>
      </c>
      <c r="E603" s="1464" t="str">
        <f t="shared" si="409"/>
        <v>2010$</v>
      </c>
      <c r="F603" s="1460">
        <f t="shared" ca="1" si="410"/>
        <v>0</v>
      </c>
      <c r="G603" s="358">
        <f t="shared" ca="1" si="402"/>
        <v>0</v>
      </c>
      <c r="H603" s="358">
        <f t="shared" ca="1" si="402"/>
        <v>0</v>
      </c>
      <c r="I603" s="358">
        <f t="shared" ca="1" si="402"/>
        <v>0</v>
      </c>
      <c r="J603" s="358">
        <f t="shared" ca="1" si="402"/>
        <v>0</v>
      </c>
      <c r="K603" s="358">
        <f t="shared" ca="1" si="402"/>
        <v>0</v>
      </c>
      <c r="L603" s="358">
        <f t="shared" ca="1" si="402"/>
        <v>0</v>
      </c>
      <c r="M603" s="358">
        <f t="shared" ca="1" si="402"/>
        <v>0</v>
      </c>
      <c r="N603" s="358">
        <f t="shared" ca="1" si="402"/>
        <v>0</v>
      </c>
      <c r="O603" s="358">
        <f t="shared" ca="1" si="402"/>
        <v>0</v>
      </c>
      <c r="P603" s="358">
        <f t="shared" ca="1" si="402"/>
        <v>0</v>
      </c>
      <c r="Q603" s="358">
        <f t="shared" ca="1" si="403"/>
        <v>0</v>
      </c>
      <c r="R603" s="358">
        <f t="shared" ca="1" si="403"/>
        <v>0</v>
      </c>
      <c r="S603" s="358">
        <f t="shared" ca="1" si="403"/>
        <v>0</v>
      </c>
      <c r="T603" s="358">
        <f t="shared" ca="1" si="403"/>
        <v>0</v>
      </c>
      <c r="U603" s="358">
        <f t="shared" ca="1" si="403"/>
        <v>0</v>
      </c>
      <c r="V603" s="358">
        <f t="shared" ca="1" si="403"/>
        <v>0</v>
      </c>
      <c r="W603" s="358">
        <f t="shared" ca="1" si="403"/>
        <v>0</v>
      </c>
      <c r="X603" s="358">
        <f t="shared" ca="1" si="403"/>
        <v>0</v>
      </c>
      <c r="Y603" s="358">
        <f t="shared" ca="1" si="403"/>
        <v>0</v>
      </c>
      <c r="Z603" s="358">
        <f t="shared" ca="1" si="403"/>
        <v>0</v>
      </c>
      <c r="AA603" s="358">
        <f t="shared" ca="1" si="404"/>
        <v>0</v>
      </c>
      <c r="AB603" s="358">
        <f t="shared" ca="1" si="404"/>
        <v>0</v>
      </c>
      <c r="AC603" s="358">
        <f t="shared" ca="1" si="404"/>
        <v>0</v>
      </c>
      <c r="AD603" s="358">
        <f t="shared" ca="1" si="404"/>
        <v>0</v>
      </c>
      <c r="AE603" s="358">
        <f t="shared" ca="1" si="404"/>
        <v>0</v>
      </c>
      <c r="AF603" s="358">
        <f t="shared" ca="1" si="404"/>
        <v>0</v>
      </c>
      <c r="AG603" s="358">
        <f t="shared" ca="1" si="404"/>
        <v>0</v>
      </c>
      <c r="AH603" s="358">
        <f t="shared" ca="1" si="404"/>
        <v>0</v>
      </c>
      <c r="AI603" s="358">
        <f t="shared" ca="1" si="404"/>
        <v>0</v>
      </c>
      <c r="AJ603" s="358">
        <f t="shared" ca="1" si="404"/>
        <v>0</v>
      </c>
      <c r="AK603" s="358">
        <f t="shared" ca="1" si="405"/>
        <v>0</v>
      </c>
      <c r="AL603" s="358">
        <f t="shared" ca="1" si="405"/>
        <v>0</v>
      </c>
      <c r="AM603" s="358">
        <f t="shared" ca="1" si="405"/>
        <v>0</v>
      </c>
      <c r="AN603" s="358">
        <f t="shared" ca="1" si="405"/>
        <v>0</v>
      </c>
      <c r="AO603" s="358">
        <f t="shared" ca="1" si="405"/>
        <v>0</v>
      </c>
      <c r="AP603" s="358">
        <f t="shared" ca="1" si="405"/>
        <v>0</v>
      </c>
      <c r="AQ603" s="358">
        <f t="shared" ca="1" si="405"/>
        <v>0</v>
      </c>
      <c r="AR603" s="358">
        <f t="shared" ca="1" si="405"/>
        <v>0</v>
      </c>
      <c r="AS603" s="358">
        <f t="shared" ca="1" si="405"/>
        <v>0</v>
      </c>
      <c r="AT603" s="358">
        <f t="shared" ca="1" si="405"/>
        <v>0</v>
      </c>
      <c r="AV603" s="358">
        <f t="shared" ca="1" si="353"/>
        <v>0</v>
      </c>
      <c r="AX603" s="358">
        <f t="shared" ca="1" si="354"/>
        <v>0</v>
      </c>
      <c r="AZ603" s="358">
        <f t="shared" ca="1" si="355"/>
        <v>0</v>
      </c>
      <c r="BB603" s="358">
        <f t="shared" ca="1" si="356"/>
        <v>0</v>
      </c>
      <c r="BD603" s="358">
        <f t="shared" ca="1" si="357"/>
        <v>0</v>
      </c>
      <c r="BF603" s="358">
        <f t="shared" ca="1" si="358"/>
        <v>0</v>
      </c>
      <c r="BH603" s="358">
        <f t="shared" ca="1" si="359"/>
        <v>0</v>
      </c>
    </row>
    <row r="604" spans="1:60" hidden="1" outlineLevel="1">
      <c r="A604" s="1464">
        <f t="shared" si="406"/>
        <v>18</v>
      </c>
      <c r="B604" s="1464">
        <f t="shared" si="407"/>
        <v>39</v>
      </c>
      <c r="C604" s="1464">
        <f t="shared" si="408"/>
        <v>10</v>
      </c>
      <c r="D604" s="1271" t="str">
        <f ca="1">IF(OFFSET(PortfolioDashboard!$A$3,C604-1,0)="","Blank",OFFSET(PortfolioDashboard!$A$3,C604-1,0))</f>
        <v>Reduced Automobile Reliance Strategies</v>
      </c>
      <c r="E604" s="1464" t="str">
        <f t="shared" si="409"/>
        <v>2010$</v>
      </c>
      <c r="F604" s="1460">
        <f t="shared" ca="1" si="410"/>
        <v>0</v>
      </c>
      <c r="G604" s="358">
        <f t="shared" ca="1" si="402"/>
        <v>0</v>
      </c>
      <c r="H604" s="358">
        <f t="shared" ca="1" si="402"/>
        <v>0</v>
      </c>
      <c r="I604" s="358">
        <f t="shared" ca="1" si="402"/>
        <v>0</v>
      </c>
      <c r="J604" s="358">
        <f t="shared" ca="1" si="402"/>
        <v>0</v>
      </c>
      <c r="K604" s="358">
        <f t="shared" ca="1" si="402"/>
        <v>0</v>
      </c>
      <c r="L604" s="358">
        <f t="shared" ca="1" si="402"/>
        <v>0</v>
      </c>
      <c r="M604" s="358">
        <f t="shared" ca="1" si="402"/>
        <v>0</v>
      </c>
      <c r="N604" s="358">
        <f t="shared" ca="1" si="402"/>
        <v>0</v>
      </c>
      <c r="O604" s="358">
        <f t="shared" ca="1" si="402"/>
        <v>0</v>
      </c>
      <c r="P604" s="358">
        <f t="shared" ca="1" si="402"/>
        <v>0</v>
      </c>
      <c r="Q604" s="358">
        <f t="shared" ca="1" si="403"/>
        <v>0</v>
      </c>
      <c r="R604" s="358">
        <f t="shared" ca="1" si="403"/>
        <v>0</v>
      </c>
      <c r="S604" s="358">
        <f t="shared" ca="1" si="403"/>
        <v>0</v>
      </c>
      <c r="T604" s="358">
        <f t="shared" ca="1" si="403"/>
        <v>0</v>
      </c>
      <c r="U604" s="358">
        <f t="shared" ca="1" si="403"/>
        <v>0</v>
      </c>
      <c r="V604" s="358">
        <f t="shared" ca="1" si="403"/>
        <v>0</v>
      </c>
      <c r="W604" s="358">
        <f t="shared" ca="1" si="403"/>
        <v>0</v>
      </c>
      <c r="X604" s="358">
        <f t="shared" ca="1" si="403"/>
        <v>0</v>
      </c>
      <c r="Y604" s="358">
        <f t="shared" ca="1" si="403"/>
        <v>0</v>
      </c>
      <c r="Z604" s="358">
        <f t="shared" ca="1" si="403"/>
        <v>0</v>
      </c>
      <c r="AA604" s="358">
        <f t="shared" ca="1" si="404"/>
        <v>0</v>
      </c>
      <c r="AB604" s="358">
        <f t="shared" ca="1" si="404"/>
        <v>0</v>
      </c>
      <c r="AC604" s="358">
        <f t="shared" ca="1" si="404"/>
        <v>0</v>
      </c>
      <c r="AD604" s="358">
        <f t="shared" ca="1" si="404"/>
        <v>0</v>
      </c>
      <c r="AE604" s="358">
        <f t="shared" ca="1" si="404"/>
        <v>0</v>
      </c>
      <c r="AF604" s="358">
        <f t="shared" ca="1" si="404"/>
        <v>0</v>
      </c>
      <c r="AG604" s="358">
        <f t="shared" ca="1" si="404"/>
        <v>0</v>
      </c>
      <c r="AH604" s="358">
        <f t="shared" ca="1" si="404"/>
        <v>0</v>
      </c>
      <c r="AI604" s="358">
        <f t="shared" ca="1" si="404"/>
        <v>0</v>
      </c>
      <c r="AJ604" s="358">
        <f t="shared" ca="1" si="404"/>
        <v>0</v>
      </c>
      <c r="AK604" s="358">
        <f t="shared" ca="1" si="405"/>
        <v>0</v>
      </c>
      <c r="AL604" s="358">
        <f t="shared" ca="1" si="405"/>
        <v>0</v>
      </c>
      <c r="AM604" s="358">
        <f t="shared" ca="1" si="405"/>
        <v>0</v>
      </c>
      <c r="AN604" s="358">
        <f t="shared" ca="1" si="405"/>
        <v>0</v>
      </c>
      <c r="AO604" s="358">
        <f t="shared" ca="1" si="405"/>
        <v>0</v>
      </c>
      <c r="AP604" s="358">
        <f t="shared" ca="1" si="405"/>
        <v>0</v>
      </c>
      <c r="AQ604" s="358">
        <f t="shared" ca="1" si="405"/>
        <v>0</v>
      </c>
      <c r="AR604" s="358">
        <f t="shared" ca="1" si="405"/>
        <v>0</v>
      </c>
      <c r="AS604" s="358">
        <f t="shared" ca="1" si="405"/>
        <v>0</v>
      </c>
      <c r="AT604" s="358">
        <f t="shared" ca="1" si="405"/>
        <v>0</v>
      </c>
      <c r="AV604" s="358">
        <f t="shared" ca="1" si="353"/>
        <v>0</v>
      </c>
      <c r="AX604" s="358">
        <f t="shared" ca="1" si="354"/>
        <v>0</v>
      </c>
      <c r="AZ604" s="358">
        <f t="shared" ca="1" si="355"/>
        <v>0</v>
      </c>
      <c r="BB604" s="358">
        <f t="shared" ca="1" si="356"/>
        <v>0</v>
      </c>
      <c r="BD604" s="358">
        <f t="shared" ca="1" si="357"/>
        <v>0</v>
      </c>
      <c r="BF604" s="358">
        <f t="shared" ca="1" si="358"/>
        <v>0</v>
      </c>
      <c r="BH604" s="358">
        <f t="shared" ca="1" si="359"/>
        <v>0</v>
      </c>
    </row>
    <row r="605" spans="1:60" hidden="1" outlineLevel="1">
      <c r="A605" s="1464">
        <f t="shared" si="406"/>
        <v>18</v>
      </c>
      <c r="B605" s="1464">
        <f t="shared" si="407"/>
        <v>39</v>
      </c>
      <c r="C605" s="1464">
        <f t="shared" si="408"/>
        <v>11</v>
      </c>
      <c r="D605" s="1271" t="str">
        <f ca="1">IF(OFFSET(PortfolioDashboard!$A$3,C605-1,0)="","Blank",OFFSET(PortfolioDashboard!$A$3,C605-1,0))</f>
        <v>Waste Reduction</v>
      </c>
      <c r="E605" s="1464" t="str">
        <f t="shared" si="409"/>
        <v>2010$</v>
      </c>
      <c r="F605" s="1460">
        <f t="shared" ca="1" si="410"/>
        <v>0</v>
      </c>
      <c r="G605" s="358">
        <f t="shared" ref="G605:P614" ca="1" si="411">IFERROR(OFFSET(INDIRECT(INDEX(List_of_Alternatives,MATCH($D605,NameofAlternatives,0))),$A605+G$1-$G$1,$B605),0)</f>
        <v>0</v>
      </c>
      <c r="H605" s="358">
        <f t="shared" ca="1" si="411"/>
        <v>0</v>
      </c>
      <c r="I605" s="358">
        <f t="shared" ca="1" si="411"/>
        <v>0</v>
      </c>
      <c r="J605" s="358">
        <f t="shared" ca="1" si="411"/>
        <v>0</v>
      </c>
      <c r="K605" s="358">
        <f t="shared" ca="1" si="411"/>
        <v>0</v>
      </c>
      <c r="L605" s="358">
        <f t="shared" ca="1" si="411"/>
        <v>0</v>
      </c>
      <c r="M605" s="358">
        <f t="shared" ca="1" si="411"/>
        <v>0</v>
      </c>
      <c r="N605" s="358">
        <f t="shared" ca="1" si="411"/>
        <v>0</v>
      </c>
      <c r="O605" s="358">
        <f t="shared" ca="1" si="411"/>
        <v>0</v>
      </c>
      <c r="P605" s="358">
        <f t="shared" ca="1" si="411"/>
        <v>0</v>
      </c>
      <c r="Q605" s="358">
        <f t="shared" ref="Q605:Z614" ca="1" si="412">IFERROR(OFFSET(INDIRECT(INDEX(List_of_Alternatives,MATCH($D605,NameofAlternatives,0))),$A605+Q$1-$G$1,$B605),0)</f>
        <v>0</v>
      </c>
      <c r="R605" s="358">
        <f t="shared" ca="1" si="412"/>
        <v>0</v>
      </c>
      <c r="S605" s="358">
        <f t="shared" ca="1" si="412"/>
        <v>0</v>
      </c>
      <c r="T605" s="358">
        <f t="shared" ca="1" si="412"/>
        <v>0</v>
      </c>
      <c r="U605" s="358">
        <f t="shared" ca="1" si="412"/>
        <v>0</v>
      </c>
      <c r="V605" s="358">
        <f t="shared" ca="1" si="412"/>
        <v>0</v>
      </c>
      <c r="W605" s="358">
        <f t="shared" ca="1" si="412"/>
        <v>0</v>
      </c>
      <c r="X605" s="358">
        <f t="shared" ca="1" si="412"/>
        <v>0</v>
      </c>
      <c r="Y605" s="358">
        <f t="shared" ca="1" si="412"/>
        <v>0</v>
      </c>
      <c r="Z605" s="358">
        <f t="shared" ca="1" si="412"/>
        <v>0</v>
      </c>
      <c r="AA605" s="358">
        <f t="shared" ref="AA605:AJ614" ca="1" si="413">IFERROR(OFFSET(INDIRECT(INDEX(List_of_Alternatives,MATCH($D605,NameofAlternatives,0))),$A605+AA$1-$G$1,$B605),0)</f>
        <v>0</v>
      </c>
      <c r="AB605" s="358">
        <f t="shared" ca="1" si="413"/>
        <v>0</v>
      </c>
      <c r="AC605" s="358">
        <f t="shared" ca="1" si="413"/>
        <v>0</v>
      </c>
      <c r="AD605" s="358">
        <f t="shared" ca="1" si="413"/>
        <v>0</v>
      </c>
      <c r="AE605" s="358">
        <f t="shared" ca="1" si="413"/>
        <v>0</v>
      </c>
      <c r="AF605" s="358">
        <f t="shared" ca="1" si="413"/>
        <v>0</v>
      </c>
      <c r="AG605" s="358">
        <f t="shared" ca="1" si="413"/>
        <v>0</v>
      </c>
      <c r="AH605" s="358">
        <f t="shared" ca="1" si="413"/>
        <v>0</v>
      </c>
      <c r="AI605" s="358">
        <f t="shared" ca="1" si="413"/>
        <v>0</v>
      </c>
      <c r="AJ605" s="358">
        <f t="shared" ca="1" si="413"/>
        <v>0</v>
      </c>
      <c r="AK605" s="358">
        <f t="shared" ref="AK605:AT614" ca="1" si="414">IFERROR(OFFSET(INDIRECT(INDEX(List_of_Alternatives,MATCH($D605,NameofAlternatives,0))),$A605+AK$1-$G$1,$B605),0)</f>
        <v>0</v>
      </c>
      <c r="AL605" s="358">
        <f t="shared" ca="1" si="414"/>
        <v>0</v>
      </c>
      <c r="AM605" s="358">
        <f t="shared" ca="1" si="414"/>
        <v>0</v>
      </c>
      <c r="AN605" s="358">
        <f t="shared" ca="1" si="414"/>
        <v>0</v>
      </c>
      <c r="AO605" s="358">
        <f t="shared" ca="1" si="414"/>
        <v>0</v>
      </c>
      <c r="AP605" s="358">
        <f t="shared" ca="1" si="414"/>
        <v>0</v>
      </c>
      <c r="AQ605" s="358">
        <f t="shared" ca="1" si="414"/>
        <v>0</v>
      </c>
      <c r="AR605" s="358">
        <f t="shared" ca="1" si="414"/>
        <v>0</v>
      </c>
      <c r="AS605" s="358">
        <f t="shared" ca="1" si="414"/>
        <v>0</v>
      </c>
      <c r="AT605" s="358">
        <f t="shared" ca="1" si="414"/>
        <v>0</v>
      </c>
      <c r="AV605" s="358">
        <f t="shared" ca="1" si="353"/>
        <v>0</v>
      </c>
      <c r="AX605" s="358">
        <f t="shared" ca="1" si="354"/>
        <v>0</v>
      </c>
      <c r="AZ605" s="358">
        <f t="shared" ca="1" si="355"/>
        <v>0</v>
      </c>
      <c r="BB605" s="358">
        <f t="shared" ca="1" si="356"/>
        <v>0</v>
      </c>
      <c r="BD605" s="358">
        <f t="shared" ca="1" si="357"/>
        <v>0</v>
      </c>
      <c r="BF605" s="358">
        <f t="shared" ca="1" si="358"/>
        <v>0</v>
      </c>
      <c r="BH605" s="358">
        <f t="shared" ca="1" si="359"/>
        <v>0</v>
      </c>
    </row>
    <row r="606" spans="1:60" hidden="1" outlineLevel="1">
      <c r="A606" s="1464">
        <f t="shared" si="406"/>
        <v>18</v>
      </c>
      <c r="B606" s="1464">
        <f t="shared" si="407"/>
        <v>39</v>
      </c>
      <c r="C606" s="1464">
        <f t="shared" si="408"/>
        <v>12</v>
      </c>
      <c r="D606" s="1271" t="str">
        <f ca="1">IF(OFFSET(PortfolioDashboard!$A$3,C606-1,0)="","Blank",OFFSET(PortfolioDashboard!$A$3,C606-1,0))</f>
        <v>Steam Line Improvements</v>
      </c>
      <c r="E606" s="1464" t="str">
        <f t="shared" si="409"/>
        <v>2010$</v>
      </c>
      <c r="F606" s="1460">
        <f t="shared" ca="1" si="410"/>
        <v>0</v>
      </c>
      <c r="G606" s="358">
        <f t="shared" ca="1" si="411"/>
        <v>0</v>
      </c>
      <c r="H606" s="358">
        <f t="shared" ca="1" si="411"/>
        <v>0</v>
      </c>
      <c r="I606" s="358">
        <f t="shared" ca="1" si="411"/>
        <v>0</v>
      </c>
      <c r="J606" s="358">
        <f t="shared" ca="1" si="411"/>
        <v>0</v>
      </c>
      <c r="K606" s="358">
        <f t="shared" ca="1" si="411"/>
        <v>0</v>
      </c>
      <c r="L606" s="358">
        <f t="shared" ca="1" si="411"/>
        <v>0</v>
      </c>
      <c r="M606" s="358">
        <f t="shared" ca="1" si="411"/>
        <v>0</v>
      </c>
      <c r="N606" s="358">
        <f t="shared" ca="1" si="411"/>
        <v>0</v>
      </c>
      <c r="O606" s="358">
        <f t="shared" ca="1" si="411"/>
        <v>0</v>
      </c>
      <c r="P606" s="358">
        <f t="shared" ca="1" si="411"/>
        <v>0</v>
      </c>
      <c r="Q606" s="358">
        <f t="shared" ca="1" si="412"/>
        <v>0</v>
      </c>
      <c r="R606" s="358">
        <f t="shared" ca="1" si="412"/>
        <v>0</v>
      </c>
      <c r="S606" s="358">
        <f t="shared" ca="1" si="412"/>
        <v>0</v>
      </c>
      <c r="T606" s="358">
        <f t="shared" ca="1" si="412"/>
        <v>0</v>
      </c>
      <c r="U606" s="358">
        <f t="shared" ca="1" si="412"/>
        <v>0</v>
      </c>
      <c r="V606" s="358">
        <f t="shared" ca="1" si="412"/>
        <v>0</v>
      </c>
      <c r="W606" s="358">
        <f t="shared" ca="1" si="412"/>
        <v>0</v>
      </c>
      <c r="X606" s="358">
        <f t="shared" ca="1" si="412"/>
        <v>0</v>
      </c>
      <c r="Y606" s="358">
        <f t="shared" ca="1" si="412"/>
        <v>0</v>
      </c>
      <c r="Z606" s="358">
        <f t="shared" ca="1" si="412"/>
        <v>0</v>
      </c>
      <c r="AA606" s="358">
        <f t="shared" ca="1" si="413"/>
        <v>0</v>
      </c>
      <c r="AB606" s="358">
        <f t="shared" ca="1" si="413"/>
        <v>0</v>
      </c>
      <c r="AC606" s="358">
        <f t="shared" ca="1" si="413"/>
        <v>0</v>
      </c>
      <c r="AD606" s="358">
        <f t="shared" ca="1" si="413"/>
        <v>0</v>
      </c>
      <c r="AE606" s="358">
        <f t="shared" ca="1" si="413"/>
        <v>0</v>
      </c>
      <c r="AF606" s="358">
        <f t="shared" ca="1" si="413"/>
        <v>0</v>
      </c>
      <c r="AG606" s="358">
        <f t="shared" ca="1" si="413"/>
        <v>0</v>
      </c>
      <c r="AH606" s="358">
        <f t="shared" ca="1" si="413"/>
        <v>0</v>
      </c>
      <c r="AI606" s="358">
        <f t="shared" ca="1" si="413"/>
        <v>0</v>
      </c>
      <c r="AJ606" s="358">
        <f t="shared" ca="1" si="413"/>
        <v>0</v>
      </c>
      <c r="AK606" s="358">
        <f t="shared" ca="1" si="414"/>
        <v>0</v>
      </c>
      <c r="AL606" s="358">
        <f t="shared" ca="1" si="414"/>
        <v>0</v>
      </c>
      <c r="AM606" s="358">
        <f t="shared" ca="1" si="414"/>
        <v>0</v>
      </c>
      <c r="AN606" s="358">
        <f t="shared" ca="1" si="414"/>
        <v>0</v>
      </c>
      <c r="AO606" s="358">
        <f t="shared" ca="1" si="414"/>
        <v>0</v>
      </c>
      <c r="AP606" s="358">
        <f t="shared" ca="1" si="414"/>
        <v>0</v>
      </c>
      <c r="AQ606" s="358">
        <f t="shared" ca="1" si="414"/>
        <v>0</v>
      </c>
      <c r="AR606" s="358">
        <f t="shared" ca="1" si="414"/>
        <v>0</v>
      </c>
      <c r="AS606" s="358">
        <f t="shared" ca="1" si="414"/>
        <v>0</v>
      </c>
      <c r="AT606" s="358">
        <f t="shared" ca="1" si="414"/>
        <v>0</v>
      </c>
      <c r="AV606" s="358">
        <f t="shared" ca="1" si="353"/>
        <v>0</v>
      </c>
      <c r="AX606" s="358">
        <f t="shared" ca="1" si="354"/>
        <v>0</v>
      </c>
      <c r="AZ606" s="358">
        <f t="shared" ca="1" si="355"/>
        <v>0</v>
      </c>
      <c r="BB606" s="358">
        <f t="shared" ca="1" si="356"/>
        <v>0</v>
      </c>
      <c r="BD606" s="358">
        <f t="shared" ca="1" si="357"/>
        <v>0</v>
      </c>
      <c r="BF606" s="358">
        <f t="shared" ca="1" si="358"/>
        <v>0</v>
      </c>
      <c r="BH606" s="358">
        <f t="shared" ca="1" si="359"/>
        <v>0</v>
      </c>
    </row>
    <row r="607" spans="1:60" hidden="1" outlineLevel="1">
      <c r="A607" s="1464">
        <f t="shared" si="406"/>
        <v>18</v>
      </c>
      <c r="B607" s="1464">
        <f t="shared" si="407"/>
        <v>39</v>
      </c>
      <c r="C607" s="1464">
        <f t="shared" si="408"/>
        <v>13</v>
      </c>
      <c r="D607" s="1271" t="str">
        <f ca="1">IF(OFFSET(PortfolioDashboard!$A$3,C607-1,0)="","Blank",OFFSET(PortfolioDashboard!$A$3,C607-1,0))</f>
        <v>Coal to Natural Gas Conversion @ Steam Plant</v>
      </c>
      <c r="E607" s="1464" t="str">
        <f t="shared" si="409"/>
        <v>2010$</v>
      </c>
      <c r="F607" s="1460">
        <f t="shared" ca="1" si="410"/>
        <v>0</v>
      </c>
      <c r="G607" s="358">
        <f t="shared" ca="1" si="411"/>
        <v>0</v>
      </c>
      <c r="H607" s="358">
        <f t="shared" ca="1" si="411"/>
        <v>0</v>
      </c>
      <c r="I607" s="358">
        <f t="shared" ca="1" si="411"/>
        <v>0</v>
      </c>
      <c r="J607" s="358">
        <f t="shared" ca="1" si="411"/>
        <v>0</v>
      </c>
      <c r="K607" s="358">
        <f t="shared" ca="1" si="411"/>
        <v>0</v>
      </c>
      <c r="L607" s="358">
        <f t="shared" ca="1" si="411"/>
        <v>0</v>
      </c>
      <c r="M607" s="358">
        <f t="shared" ca="1" si="411"/>
        <v>0</v>
      </c>
      <c r="N607" s="358">
        <f t="shared" ca="1" si="411"/>
        <v>0</v>
      </c>
      <c r="O607" s="358">
        <f t="shared" ca="1" si="411"/>
        <v>0</v>
      </c>
      <c r="P607" s="358">
        <f t="shared" ca="1" si="411"/>
        <v>0</v>
      </c>
      <c r="Q607" s="358">
        <f t="shared" ca="1" si="412"/>
        <v>0</v>
      </c>
      <c r="R607" s="358">
        <f t="shared" ca="1" si="412"/>
        <v>0</v>
      </c>
      <c r="S607" s="358">
        <f t="shared" ca="1" si="412"/>
        <v>0</v>
      </c>
      <c r="T607" s="358">
        <f t="shared" ca="1" si="412"/>
        <v>0</v>
      </c>
      <c r="U607" s="358">
        <f t="shared" ca="1" si="412"/>
        <v>0</v>
      </c>
      <c r="V607" s="358">
        <f t="shared" ca="1" si="412"/>
        <v>0</v>
      </c>
      <c r="W607" s="358">
        <f t="shared" ca="1" si="412"/>
        <v>0</v>
      </c>
      <c r="X607" s="358">
        <f t="shared" ca="1" si="412"/>
        <v>0</v>
      </c>
      <c r="Y607" s="358">
        <f t="shared" ca="1" si="412"/>
        <v>0</v>
      </c>
      <c r="Z607" s="358">
        <f t="shared" ca="1" si="412"/>
        <v>0</v>
      </c>
      <c r="AA607" s="358">
        <f t="shared" ca="1" si="413"/>
        <v>0</v>
      </c>
      <c r="AB607" s="358">
        <f t="shared" ca="1" si="413"/>
        <v>0</v>
      </c>
      <c r="AC607" s="358">
        <f t="shared" ca="1" si="413"/>
        <v>0</v>
      </c>
      <c r="AD607" s="358">
        <f t="shared" ca="1" si="413"/>
        <v>0</v>
      </c>
      <c r="AE607" s="358">
        <f t="shared" ca="1" si="413"/>
        <v>0</v>
      </c>
      <c r="AF607" s="358">
        <f t="shared" ca="1" si="413"/>
        <v>0</v>
      </c>
      <c r="AG607" s="358">
        <f t="shared" ca="1" si="413"/>
        <v>0</v>
      </c>
      <c r="AH607" s="358">
        <f t="shared" ca="1" si="413"/>
        <v>0</v>
      </c>
      <c r="AI607" s="358">
        <f t="shared" ca="1" si="413"/>
        <v>0</v>
      </c>
      <c r="AJ607" s="358">
        <f t="shared" ca="1" si="413"/>
        <v>0</v>
      </c>
      <c r="AK607" s="358">
        <f t="shared" ca="1" si="414"/>
        <v>0</v>
      </c>
      <c r="AL607" s="358">
        <f t="shared" ca="1" si="414"/>
        <v>0</v>
      </c>
      <c r="AM607" s="358">
        <f t="shared" ca="1" si="414"/>
        <v>0</v>
      </c>
      <c r="AN607" s="358">
        <f t="shared" ca="1" si="414"/>
        <v>0</v>
      </c>
      <c r="AO607" s="358">
        <f t="shared" ca="1" si="414"/>
        <v>0</v>
      </c>
      <c r="AP607" s="358">
        <f t="shared" ca="1" si="414"/>
        <v>0</v>
      </c>
      <c r="AQ607" s="358">
        <f t="shared" ca="1" si="414"/>
        <v>0</v>
      </c>
      <c r="AR607" s="358">
        <f t="shared" ca="1" si="414"/>
        <v>0</v>
      </c>
      <c r="AS607" s="358">
        <f t="shared" ca="1" si="414"/>
        <v>0</v>
      </c>
      <c r="AT607" s="358">
        <f t="shared" ca="1" si="414"/>
        <v>0</v>
      </c>
      <c r="AV607" s="358">
        <f t="shared" ca="1" si="353"/>
        <v>0</v>
      </c>
      <c r="AX607" s="358">
        <f t="shared" ca="1" si="354"/>
        <v>0</v>
      </c>
      <c r="AZ607" s="358">
        <f t="shared" ca="1" si="355"/>
        <v>0</v>
      </c>
      <c r="BB607" s="358">
        <f t="shared" ca="1" si="356"/>
        <v>0</v>
      </c>
      <c r="BD607" s="358">
        <f t="shared" ca="1" si="357"/>
        <v>0</v>
      </c>
      <c r="BF607" s="358">
        <f t="shared" ca="1" si="358"/>
        <v>0</v>
      </c>
      <c r="BH607" s="358">
        <f t="shared" ca="1" si="359"/>
        <v>0</v>
      </c>
    </row>
    <row r="608" spans="1:60" hidden="1" outlineLevel="1">
      <c r="A608" s="1464">
        <f t="shared" si="406"/>
        <v>18</v>
      </c>
      <c r="B608" s="1464">
        <f t="shared" si="407"/>
        <v>39</v>
      </c>
      <c r="C608" s="1464">
        <f t="shared" si="408"/>
        <v>14</v>
      </c>
      <c r="D608" s="1271" t="str">
        <f ca="1">IF(OFFSET(PortfolioDashboard!$A$3,C608-1,0)="","Blank",OFFSET(PortfolioDashboard!$A$3,C608-1,0))</f>
        <v>On-site Wind</v>
      </c>
      <c r="E608" s="1464" t="str">
        <f t="shared" si="409"/>
        <v>2010$</v>
      </c>
      <c r="F608" s="1460">
        <f t="shared" ca="1" si="410"/>
        <v>0</v>
      </c>
      <c r="G608" s="358">
        <f t="shared" ca="1" si="411"/>
        <v>0</v>
      </c>
      <c r="H608" s="358">
        <f t="shared" ca="1" si="411"/>
        <v>0</v>
      </c>
      <c r="I608" s="358">
        <f t="shared" ca="1" si="411"/>
        <v>0</v>
      </c>
      <c r="J608" s="358">
        <f t="shared" ca="1" si="411"/>
        <v>0</v>
      </c>
      <c r="K608" s="358">
        <f t="shared" ca="1" si="411"/>
        <v>0</v>
      </c>
      <c r="L608" s="358">
        <f t="shared" ca="1" si="411"/>
        <v>0</v>
      </c>
      <c r="M608" s="358">
        <f t="shared" ca="1" si="411"/>
        <v>0</v>
      </c>
      <c r="N608" s="358">
        <f t="shared" ca="1" si="411"/>
        <v>0</v>
      </c>
      <c r="O608" s="358">
        <f t="shared" ca="1" si="411"/>
        <v>0</v>
      </c>
      <c r="P608" s="358">
        <f t="shared" ca="1" si="411"/>
        <v>0</v>
      </c>
      <c r="Q608" s="358">
        <f t="shared" ca="1" si="412"/>
        <v>0</v>
      </c>
      <c r="R608" s="358">
        <f t="shared" ca="1" si="412"/>
        <v>0</v>
      </c>
      <c r="S608" s="358">
        <f t="shared" ca="1" si="412"/>
        <v>0</v>
      </c>
      <c r="T608" s="358">
        <f t="shared" ca="1" si="412"/>
        <v>0</v>
      </c>
      <c r="U608" s="358">
        <f t="shared" ca="1" si="412"/>
        <v>0</v>
      </c>
      <c r="V608" s="358">
        <f t="shared" ca="1" si="412"/>
        <v>0</v>
      </c>
      <c r="W608" s="358">
        <f t="shared" ca="1" si="412"/>
        <v>0</v>
      </c>
      <c r="X608" s="358">
        <f t="shared" ca="1" si="412"/>
        <v>0</v>
      </c>
      <c r="Y608" s="358">
        <f t="shared" ca="1" si="412"/>
        <v>0</v>
      </c>
      <c r="Z608" s="358">
        <f t="shared" ca="1" si="412"/>
        <v>0</v>
      </c>
      <c r="AA608" s="358">
        <f t="shared" ca="1" si="413"/>
        <v>0</v>
      </c>
      <c r="AB608" s="358">
        <f t="shared" ca="1" si="413"/>
        <v>0</v>
      </c>
      <c r="AC608" s="358">
        <f t="shared" ca="1" si="413"/>
        <v>0</v>
      </c>
      <c r="AD608" s="358">
        <f t="shared" ca="1" si="413"/>
        <v>0</v>
      </c>
      <c r="AE608" s="358">
        <f t="shared" ca="1" si="413"/>
        <v>0</v>
      </c>
      <c r="AF608" s="358">
        <f t="shared" ca="1" si="413"/>
        <v>0</v>
      </c>
      <c r="AG608" s="358">
        <f t="shared" ca="1" si="413"/>
        <v>0</v>
      </c>
      <c r="AH608" s="358">
        <f t="shared" ca="1" si="413"/>
        <v>0</v>
      </c>
      <c r="AI608" s="358">
        <f t="shared" ca="1" si="413"/>
        <v>0</v>
      </c>
      <c r="AJ608" s="358">
        <f t="shared" ca="1" si="413"/>
        <v>0</v>
      </c>
      <c r="AK608" s="358">
        <f t="shared" ca="1" si="414"/>
        <v>0</v>
      </c>
      <c r="AL608" s="358">
        <f t="shared" ca="1" si="414"/>
        <v>0</v>
      </c>
      <c r="AM608" s="358">
        <f t="shared" ca="1" si="414"/>
        <v>0</v>
      </c>
      <c r="AN608" s="358">
        <f t="shared" ca="1" si="414"/>
        <v>0</v>
      </c>
      <c r="AO608" s="358">
        <f t="shared" ca="1" si="414"/>
        <v>0</v>
      </c>
      <c r="AP608" s="358">
        <f t="shared" ca="1" si="414"/>
        <v>0</v>
      </c>
      <c r="AQ608" s="358">
        <f t="shared" ca="1" si="414"/>
        <v>0</v>
      </c>
      <c r="AR608" s="358">
        <f t="shared" ca="1" si="414"/>
        <v>0</v>
      </c>
      <c r="AS608" s="358">
        <f t="shared" ca="1" si="414"/>
        <v>0</v>
      </c>
      <c r="AT608" s="358">
        <f t="shared" ca="1" si="414"/>
        <v>0</v>
      </c>
      <c r="AV608" s="358">
        <f t="shared" ca="1" si="353"/>
        <v>0</v>
      </c>
      <c r="AX608" s="358">
        <f t="shared" ca="1" si="354"/>
        <v>0</v>
      </c>
      <c r="AZ608" s="358">
        <f t="shared" ca="1" si="355"/>
        <v>0</v>
      </c>
      <c r="BB608" s="358">
        <f t="shared" ca="1" si="356"/>
        <v>0</v>
      </c>
      <c r="BD608" s="358">
        <f t="shared" ca="1" si="357"/>
        <v>0</v>
      </c>
      <c r="BF608" s="358">
        <f t="shared" ca="1" si="358"/>
        <v>0</v>
      </c>
      <c r="BH608" s="358">
        <f t="shared" ca="1" si="359"/>
        <v>0</v>
      </c>
    </row>
    <row r="609" spans="1:60" hidden="1" outlineLevel="1">
      <c r="A609" s="1464">
        <f t="shared" si="406"/>
        <v>18</v>
      </c>
      <c r="B609" s="1464">
        <f t="shared" si="407"/>
        <v>39</v>
      </c>
      <c r="C609" s="1464">
        <f t="shared" si="408"/>
        <v>15</v>
      </c>
      <c r="D609" s="1271" t="str">
        <f ca="1">IF(OFFSET(PortfolioDashboard!$A$3,C609-1,0)="","Blank",OFFSET(PortfolioDashboard!$A$3,C609-1,0))</f>
        <v>Solar DHW</v>
      </c>
      <c r="E609" s="1464" t="str">
        <f t="shared" si="409"/>
        <v>2010$</v>
      </c>
      <c r="F609" s="1460">
        <f t="shared" ca="1" si="410"/>
        <v>0</v>
      </c>
      <c r="G609" s="358">
        <f t="shared" ca="1" si="411"/>
        <v>0</v>
      </c>
      <c r="H609" s="358">
        <f t="shared" ca="1" si="411"/>
        <v>0</v>
      </c>
      <c r="I609" s="358">
        <f t="shared" ca="1" si="411"/>
        <v>0</v>
      </c>
      <c r="J609" s="358">
        <f t="shared" ca="1" si="411"/>
        <v>0</v>
      </c>
      <c r="K609" s="358">
        <f t="shared" ca="1" si="411"/>
        <v>0</v>
      </c>
      <c r="L609" s="358">
        <f t="shared" ca="1" si="411"/>
        <v>0</v>
      </c>
      <c r="M609" s="358">
        <f t="shared" ca="1" si="411"/>
        <v>0</v>
      </c>
      <c r="N609" s="358">
        <f t="shared" ca="1" si="411"/>
        <v>0</v>
      </c>
      <c r="O609" s="358">
        <f t="shared" ca="1" si="411"/>
        <v>0</v>
      </c>
      <c r="P609" s="358">
        <f t="shared" ca="1" si="411"/>
        <v>0</v>
      </c>
      <c r="Q609" s="358">
        <f t="shared" ca="1" si="412"/>
        <v>0</v>
      </c>
      <c r="R609" s="358">
        <f t="shared" ca="1" si="412"/>
        <v>0</v>
      </c>
      <c r="S609" s="358">
        <f t="shared" ca="1" si="412"/>
        <v>0</v>
      </c>
      <c r="T609" s="358">
        <f t="shared" ca="1" si="412"/>
        <v>0</v>
      </c>
      <c r="U609" s="358">
        <f t="shared" ca="1" si="412"/>
        <v>0</v>
      </c>
      <c r="V609" s="358">
        <f t="shared" ca="1" si="412"/>
        <v>0</v>
      </c>
      <c r="W609" s="358">
        <f t="shared" ca="1" si="412"/>
        <v>0</v>
      </c>
      <c r="X609" s="358">
        <f t="shared" ca="1" si="412"/>
        <v>0</v>
      </c>
      <c r="Y609" s="358">
        <f t="shared" ca="1" si="412"/>
        <v>0</v>
      </c>
      <c r="Z609" s="358">
        <f t="shared" ca="1" si="412"/>
        <v>0</v>
      </c>
      <c r="AA609" s="358">
        <f t="shared" ca="1" si="413"/>
        <v>0</v>
      </c>
      <c r="AB609" s="358">
        <f t="shared" ca="1" si="413"/>
        <v>0</v>
      </c>
      <c r="AC609" s="358">
        <f t="shared" ca="1" si="413"/>
        <v>0</v>
      </c>
      <c r="AD609" s="358">
        <f t="shared" ca="1" si="413"/>
        <v>0</v>
      </c>
      <c r="AE609" s="358">
        <f t="shared" ca="1" si="413"/>
        <v>0</v>
      </c>
      <c r="AF609" s="358">
        <f t="shared" ca="1" si="413"/>
        <v>0</v>
      </c>
      <c r="AG609" s="358">
        <f t="shared" ca="1" si="413"/>
        <v>0</v>
      </c>
      <c r="AH609" s="358">
        <f t="shared" ca="1" si="413"/>
        <v>0</v>
      </c>
      <c r="AI609" s="358">
        <f t="shared" ca="1" si="413"/>
        <v>0</v>
      </c>
      <c r="AJ609" s="358">
        <f t="shared" ca="1" si="413"/>
        <v>0</v>
      </c>
      <c r="AK609" s="358">
        <f t="shared" ca="1" si="414"/>
        <v>0</v>
      </c>
      <c r="AL609" s="358">
        <f t="shared" ca="1" si="414"/>
        <v>0</v>
      </c>
      <c r="AM609" s="358">
        <f t="shared" ca="1" si="414"/>
        <v>0</v>
      </c>
      <c r="AN609" s="358">
        <f t="shared" ca="1" si="414"/>
        <v>0</v>
      </c>
      <c r="AO609" s="358">
        <f t="shared" ca="1" si="414"/>
        <v>0</v>
      </c>
      <c r="AP609" s="358">
        <f t="shared" ca="1" si="414"/>
        <v>0</v>
      </c>
      <c r="AQ609" s="358">
        <f t="shared" ca="1" si="414"/>
        <v>0</v>
      </c>
      <c r="AR609" s="358">
        <f t="shared" ca="1" si="414"/>
        <v>0</v>
      </c>
      <c r="AS609" s="358">
        <f t="shared" ca="1" si="414"/>
        <v>0</v>
      </c>
      <c r="AT609" s="358">
        <f t="shared" ca="1" si="414"/>
        <v>0</v>
      </c>
      <c r="AV609" s="358">
        <f t="shared" ca="1" si="353"/>
        <v>0</v>
      </c>
      <c r="AX609" s="358">
        <f t="shared" ca="1" si="354"/>
        <v>0</v>
      </c>
      <c r="AZ609" s="358">
        <f t="shared" ca="1" si="355"/>
        <v>0</v>
      </c>
      <c r="BB609" s="358">
        <f t="shared" ca="1" si="356"/>
        <v>0</v>
      </c>
      <c r="BD609" s="358">
        <f t="shared" ca="1" si="357"/>
        <v>0</v>
      </c>
      <c r="BF609" s="358">
        <f t="shared" ca="1" si="358"/>
        <v>0</v>
      </c>
      <c r="BH609" s="358">
        <f t="shared" ca="1" si="359"/>
        <v>0</v>
      </c>
    </row>
    <row r="610" spans="1:60" hidden="1" outlineLevel="1">
      <c r="A610" s="1464">
        <f t="shared" si="406"/>
        <v>18</v>
      </c>
      <c r="B610" s="1464">
        <f t="shared" si="407"/>
        <v>39</v>
      </c>
      <c r="C610" s="1464">
        <f t="shared" si="408"/>
        <v>16</v>
      </c>
      <c r="D610" s="1271" t="str">
        <f ca="1">IF(OFFSET(PortfolioDashboard!$A$3,C610-1,0)="","Blank",OFFSET(PortfolioDashboard!$A$3,C610-1,0))</f>
        <v>Geo Exchange</v>
      </c>
      <c r="E610" s="1464" t="str">
        <f t="shared" si="409"/>
        <v>2010$</v>
      </c>
      <c r="F610" s="1460">
        <f t="shared" ca="1" si="410"/>
        <v>0</v>
      </c>
      <c r="G610" s="358">
        <f t="shared" ca="1" si="411"/>
        <v>0</v>
      </c>
      <c r="H610" s="358">
        <f t="shared" ca="1" si="411"/>
        <v>0</v>
      </c>
      <c r="I610" s="358">
        <f t="shared" ca="1" si="411"/>
        <v>0</v>
      </c>
      <c r="J610" s="358">
        <f t="shared" ca="1" si="411"/>
        <v>0</v>
      </c>
      <c r="K610" s="358">
        <f t="shared" ca="1" si="411"/>
        <v>0</v>
      </c>
      <c r="L610" s="358">
        <f t="shared" ca="1" si="411"/>
        <v>0</v>
      </c>
      <c r="M610" s="358">
        <f t="shared" ca="1" si="411"/>
        <v>0</v>
      </c>
      <c r="N610" s="358">
        <f t="shared" ca="1" si="411"/>
        <v>0</v>
      </c>
      <c r="O610" s="358">
        <f t="shared" ca="1" si="411"/>
        <v>0</v>
      </c>
      <c r="P610" s="358">
        <f t="shared" ca="1" si="411"/>
        <v>0</v>
      </c>
      <c r="Q610" s="358">
        <f t="shared" ca="1" si="412"/>
        <v>0</v>
      </c>
      <c r="R610" s="358">
        <f t="shared" ca="1" si="412"/>
        <v>0</v>
      </c>
      <c r="S610" s="358">
        <f t="shared" ca="1" si="412"/>
        <v>0</v>
      </c>
      <c r="T610" s="358">
        <f t="shared" ca="1" si="412"/>
        <v>0</v>
      </c>
      <c r="U610" s="358">
        <f t="shared" ca="1" si="412"/>
        <v>0</v>
      </c>
      <c r="V610" s="358">
        <f t="shared" ca="1" si="412"/>
        <v>0</v>
      </c>
      <c r="W610" s="358">
        <f t="shared" ca="1" si="412"/>
        <v>0</v>
      </c>
      <c r="X610" s="358">
        <f t="shared" ca="1" si="412"/>
        <v>0</v>
      </c>
      <c r="Y610" s="358">
        <f t="shared" ca="1" si="412"/>
        <v>0</v>
      </c>
      <c r="Z610" s="358">
        <f t="shared" ca="1" si="412"/>
        <v>0</v>
      </c>
      <c r="AA610" s="358">
        <f t="shared" ca="1" si="413"/>
        <v>0</v>
      </c>
      <c r="AB610" s="358">
        <f t="shared" ca="1" si="413"/>
        <v>0</v>
      </c>
      <c r="AC610" s="358">
        <f t="shared" ca="1" si="413"/>
        <v>0</v>
      </c>
      <c r="AD610" s="358">
        <f t="shared" ca="1" si="413"/>
        <v>0</v>
      </c>
      <c r="AE610" s="358">
        <f t="shared" ca="1" si="413"/>
        <v>0</v>
      </c>
      <c r="AF610" s="358">
        <f t="shared" ca="1" si="413"/>
        <v>0</v>
      </c>
      <c r="AG610" s="358">
        <f t="shared" ca="1" si="413"/>
        <v>0</v>
      </c>
      <c r="AH610" s="358">
        <f t="shared" ca="1" si="413"/>
        <v>0</v>
      </c>
      <c r="AI610" s="358">
        <f t="shared" ca="1" si="413"/>
        <v>0</v>
      </c>
      <c r="AJ610" s="358">
        <f t="shared" ca="1" si="413"/>
        <v>0</v>
      </c>
      <c r="AK610" s="358">
        <f t="shared" ca="1" si="414"/>
        <v>0</v>
      </c>
      <c r="AL610" s="358">
        <f t="shared" ca="1" si="414"/>
        <v>0</v>
      </c>
      <c r="AM610" s="358">
        <f t="shared" ca="1" si="414"/>
        <v>0</v>
      </c>
      <c r="AN610" s="358">
        <f t="shared" ca="1" si="414"/>
        <v>0</v>
      </c>
      <c r="AO610" s="358">
        <f t="shared" ca="1" si="414"/>
        <v>0</v>
      </c>
      <c r="AP610" s="358">
        <f t="shared" ca="1" si="414"/>
        <v>0</v>
      </c>
      <c r="AQ610" s="358">
        <f t="shared" ca="1" si="414"/>
        <v>0</v>
      </c>
      <c r="AR610" s="358">
        <f t="shared" ca="1" si="414"/>
        <v>0</v>
      </c>
      <c r="AS610" s="358">
        <f t="shared" ca="1" si="414"/>
        <v>0</v>
      </c>
      <c r="AT610" s="358">
        <f t="shared" ca="1" si="414"/>
        <v>0</v>
      </c>
      <c r="AV610" s="358">
        <f t="shared" ref="AV610:AV625" ca="1" si="415">SUM(L610:P610)</f>
        <v>0</v>
      </c>
      <c r="AX610" s="358">
        <f t="shared" ref="AX610:AX625" ca="1" si="416">SUM(Q610:U610)</f>
        <v>0</v>
      </c>
      <c r="AZ610" s="358">
        <f t="shared" ref="AZ610:AZ625" ca="1" si="417">SUM(V610:Z610)</f>
        <v>0</v>
      </c>
      <c r="BB610" s="358">
        <f t="shared" ref="BB610:BB625" ca="1" si="418">SUM(AA610:AE610)</f>
        <v>0</v>
      </c>
      <c r="BD610" s="358">
        <f t="shared" ref="BD610:BD625" ca="1" si="419">SUM(AF610:AJ610)</f>
        <v>0</v>
      </c>
      <c r="BF610" s="358">
        <f t="shared" ref="BF610:BF625" ca="1" si="420">SUM(AK610:AO610)</f>
        <v>0</v>
      </c>
      <c r="BH610" s="358">
        <f t="shared" ref="BH610:BH625" ca="1" si="421">SUM(AP610:AT610)</f>
        <v>0</v>
      </c>
    </row>
    <row r="611" spans="1:60" hidden="1" outlineLevel="1">
      <c r="A611" s="1464">
        <f t="shared" si="406"/>
        <v>18</v>
      </c>
      <c r="B611" s="1464">
        <f t="shared" si="407"/>
        <v>39</v>
      </c>
      <c r="C611" s="1464">
        <f t="shared" si="408"/>
        <v>17</v>
      </c>
      <c r="D611" s="1271" t="str">
        <f ca="1">IF(OFFSET(PortfolioDashboard!$A$3,C611-1,0)="","Blank",OFFSET(PortfolioDashboard!$A$3,C611-1,0))</f>
        <v>Rooftop Solar PV</v>
      </c>
      <c r="E611" s="1464" t="str">
        <f t="shared" si="409"/>
        <v>2010$</v>
      </c>
      <c r="F611" s="1460">
        <f t="shared" ca="1" si="410"/>
        <v>0</v>
      </c>
      <c r="G611" s="358">
        <f t="shared" ca="1" si="411"/>
        <v>0</v>
      </c>
      <c r="H611" s="358">
        <f t="shared" ca="1" si="411"/>
        <v>0</v>
      </c>
      <c r="I611" s="358">
        <f t="shared" ca="1" si="411"/>
        <v>0</v>
      </c>
      <c r="J611" s="358">
        <f t="shared" ca="1" si="411"/>
        <v>0</v>
      </c>
      <c r="K611" s="358">
        <f t="shared" ca="1" si="411"/>
        <v>0</v>
      </c>
      <c r="L611" s="358">
        <f t="shared" ca="1" si="411"/>
        <v>0</v>
      </c>
      <c r="M611" s="358">
        <f t="shared" ca="1" si="411"/>
        <v>0</v>
      </c>
      <c r="N611" s="358">
        <f t="shared" ca="1" si="411"/>
        <v>0</v>
      </c>
      <c r="O611" s="358">
        <f t="shared" ca="1" si="411"/>
        <v>0</v>
      </c>
      <c r="P611" s="358">
        <f t="shared" ca="1" si="411"/>
        <v>0</v>
      </c>
      <c r="Q611" s="358">
        <f t="shared" ca="1" si="412"/>
        <v>0</v>
      </c>
      <c r="R611" s="358">
        <f t="shared" ca="1" si="412"/>
        <v>0</v>
      </c>
      <c r="S611" s="358">
        <f t="shared" ca="1" si="412"/>
        <v>0</v>
      </c>
      <c r="T611" s="358">
        <f t="shared" ca="1" si="412"/>
        <v>0</v>
      </c>
      <c r="U611" s="358">
        <f t="shared" ca="1" si="412"/>
        <v>0</v>
      </c>
      <c r="V611" s="358">
        <f t="shared" ca="1" si="412"/>
        <v>0</v>
      </c>
      <c r="W611" s="358">
        <f t="shared" ca="1" si="412"/>
        <v>0</v>
      </c>
      <c r="X611" s="358">
        <f t="shared" ca="1" si="412"/>
        <v>0</v>
      </c>
      <c r="Y611" s="358">
        <f t="shared" ca="1" si="412"/>
        <v>0</v>
      </c>
      <c r="Z611" s="358">
        <f t="shared" ca="1" si="412"/>
        <v>0</v>
      </c>
      <c r="AA611" s="358">
        <f t="shared" ca="1" si="413"/>
        <v>0</v>
      </c>
      <c r="AB611" s="358">
        <f t="shared" ca="1" si="413"/>
        <v>0</v>
      </c>
      <c r="AC611" s="358">
        <f t="shared" ca="1" si="413"/>
        <v>0</v>
      </c>
      <c r="AD611" s="358">
        <f t="shared" ca="1" si="413"/>
        <v>0</v>
      </c>
      <c r="AE611" s="358">
        <f t="shared" ca="1" si="413"/>
        <v>0</v>
      </c>
      <c r="AF611" s="358">
        <f t="shared" ca="1" si="413"/>
        <v>0</v>
      </c>
      <c r="AG611" s="358">
        <f t="shared" ca="1" si="413"/>
        <v>0</v>
      </c>
      <c r="AH611" s="358">
        <f t="shared" ca="1" si="413"/>
        <v>0</v>
      </c>
      <c r="AI611" s="358">
        <f t="shared" ca="1" si="413"/>
        <v>0</v>
      </c>
      <c r="AJ611" s="358">
        <f t="shared" ca="1" si="413"/>
        <v>0</v>
      </c>
      <c r="AK611" s="358">
        <f t="shared" ca="1" si="414"/>
        <v>0</v>
      </c>
      <c r="AL611" s="358">
        <f t="shared" ca="1" si="414"/>
        <v>0</v>
      </c>
      <c r="AM611" s="358">
        <f t="shared" ca="1" si="414"/>
        <v>0</v>
      </c>
      <c r="AN611" s="358">
        <f t="shared" ca="1" si="414"/>
        <v>0</v>
      </c>
      <c r="AO611" s="358">
        <f t="shared" ca="1" si="414"/>
        <v>0</v>
      </c>
      <c r="AP611" s="358">
        <f t="shared" ca="1" si="414"/>
        <v>0</v>
      </c>
      <c r="AQ611" s="358">
        <f t="shared" ca="1" si="414"/>
        <v>0</v>
      </c>
      <c r="AR611" s="358">
        <f t="shared" ca="1" si="414"/>
        <v>0</v>
      </c>
      <c r="AS611" s="358">
        <f t="shared" ca="1" si="414"/>
        <v>0</v>
      </c>
      <c r="AT611" s="358">
        <f t="shared" ca="1" si="414"/>
        <v>0</v>
      </c>
      <c r="AV611" s="358">
        <f t="shared" ca="1" si="415"/>
        <v>0</v>
      </c>
      <c r="AX611" s="358">
        <f t="shared" ca="1" si="416"/>
        <v>0</v>
      </c>
      <c r="AZ611" s="358">
        <f t="shared" ca="1" si="417"/>
        <v>0</v>
      </c>
      <c r="BB611" s="358">
        <f t="shared" ca="1" si="418"/>
        <v>0</v>
      </c>
      <c r="BD611" s="358">
        <f t="shared" ca="1" si="419"/>
        <v>0</v>
      </c>
      <c r="BF611" s="358">
        <f t="shared" ca="1" si="420"/>
        <v>0</v>
      </c>
      <c r="BH611" s="358">
        <f t="shared" ca="1" si="421"/>
        <v>0</v>
      </c>
    </row>
    <row r="612" spans="1:60" hidden="1" outlineLevel="1">
      <c r="A612" s="1464">
        <f t="shared" si="406"/>
        <v>18</v>
      </c>
      <c r="B612" s="1464">
        <f t="shared" si="407"/>
        <v>39</v>
      </c>
      <c r="C612" s="1464">
        <f t="shared" si="408"/>
        <v>18</v>
      </c>
      <c r="D612" s="1271" t="str">
        <f ca="1">IF(OFFSET(PortfolioDashboard!$A$3,C612-1,0)="","Blank",OFFSET(PortfolioDashboard!$A$3,C612-1,0))</f>
        <v>Blank</v>
      </c>
      <c r="E612" s="1464" t="str">
        <f t="shared" si="409"/>
        <v>2010$</v>
      </c>
      <c r="F612" s="1460">
        <f t="shared" ca="1" si="410"/>
        <v>0</v>
      </c>
      <c r="G612" s="358">
        <f t="shared" ca="1" si="411"/>
        <v>0</v>
      </c>
      <c r="H612" s="358">
        <f t="shared" ca="1" si="411"/>
        <v>0</v>
      </c>
      <c r="I612" s="358">
        <f t="shared" ca="1" si="411"/>
        <v>0</v>
      </c>
      <c r="J612" s="358">
        <f t="shared" ca="1" si="411"/>
        <v>0</v>
      </c>
      <c r="K612" s="358">
        <f t="shared" ca="1" si="411"/>
        <v>0</v>
      </c>
      <c r="L612" s="358">
        <f t="shared" ca="1" si="411"/>
        <v>0</v>
      </c>
      <c r="M612" s="358">
        <f t="shared" ca="1" si="411"/>
        <v>0</v>
      </c>
      <c r="N612" s="358">
        <f t="shared" ca="1" si="411"/>
        <v>0</v>
      </c>
      <c r="O612" s="358">
        <f t="shared" ca="1" si="411"/>
        <v>0</v>
      </c>
      <c r="P612" s="358">
        <f t="shared" ca="1" si="411"/>
        <v>0</v>
      </c>
      <c r="Q612" s="358">
        <f t="shared" ca="1" si="412"/>
        <v>0</v>
      </c>
      <c r="R612" s="358">
        <f t="shared" ca="1" si="412"/>
        <v>0</v>
      </c>
      <c r="S612" s="358">
        <f t="shared" ca="1" si="412"/>
        <v>0</v>
      </c>
      <c r="T612" s="358">
        <f t="shared" ca="1" si="412"/>
        <v>0</v>
      </c>
      <c r="U612" s="358">
        <f t="shared" ca="1" si="412"/>
        <v>0</v>
      </c>
      <c r="V612" s="358">
        <f t="shared" ca="1" si="412"/>
        <v>0</v>
      </c>
      <c r="W612" s="358">
        <f t="shared" ca="1" si="412"/>
        <v>0</v>
      </c>
      <c r="X612" s="358">
        <f t="shared" ca="1" si="412"/>
        <v>0</v>
      </c>
      <c r="Y612" s="358">
        <f t="shared" ca="1" si="412"/>
        <v>0</v>
      </c>
      <c r="Z612" s="358">
        <f t="shared" ca="1" si="412"/>
        <v>0</v>
      </c>
      <c r="AA612" s="358">
        <f t="shared" ca="1" si="413"/>
        <v>0</v>
      </c>
      <c r="AB612" s="358">
        <f t="shared" ca="1" si="413"/>
        <v>0</v>
      </c>
      <c r="AC612" s="358">
        <f t="shared" ca="1" si="413"/>
        <v>0</v>
      </c>
      <c r="AD612" s="358">
        <f t="shared" ca="1" si="413"/>
        <v>0</v>
      </c>
      <c r="AE612" s="358">
        <f t="shared" ca="1" si="413"/>
        <v>0</v>
      </c>
      <c r="AF612" s="358">
        <f t="shared" ca="1" si="413"/>
        <v>0</v>
      </c>
      <c r="AG612" s="358">
        <f t="shared" ca="1" si="413"/>
        <v>0</v>
      </c>
      <c r="AH612" s="358">
        <f t="shared" ca="1" si="413"/>
        <v>0</v>
      </c>
      <c r="AI612" s="358">
        <f t="shared" ca="1" si="413"/>
        <v>0</v>
      </c>
      <c r="AJ612" s="358">
        <f t="shared" ca="1" si="413"/>
        <v>0</v>
      </c>
      <c r="AK612" s="358">
        <f t="shared" ca="1" si="414"/>
        <v>0</v>
      </c>
      <c r="AL612" s="358">
        <f t="shared" ca="1" si="414"/>
        <v>0</v>
      </c>
      <c r="AM612" s="358">
        <f t="shared" ca="1" si="414"/>
        <v>0</v>
      </c>
      <c r="AN612" s="358">
        <f t="shared" ca="1" si="414"/>
        <v>0</v>
      </c>
      <c r="AO612" s="358">
        <f t="shared" ca="1" si="414"/>
        <v>0</v>
      </c>
      <c r="AP612" s="358">
        <f t="shared" ca="1" si="414"/>
        <v>0</v>
      </c>
      <c r="AQ612" s="358">
        <f t="shared" ca="1" si="414"/>
        <v>0</v>
      </c>
      <c r="AR612" s="358">
        <f t="shared" ca="1" si="414"/>
        <v>0</v>
      </c>
      <c r="AS612" s="358">
        <f t="shared" ca="1" si="414"/>
        <v>0</v>
      </c>
      <c r="AT612" s="358">
        <f t="shared" ca="1" si="414"/>
        <v>0</v>
      </c>
      <c r="AV612" s="358">
        <f t="shared" ca="1" si="415"/>
        <v>0</v>
      </c>
      <c r="AX612" s="358">
        <f t="shared" ca="1" si="416"/>
        <v>0</v>
      </c>
      <c r="AZ612" s="358">
        <f t="shared" ca="1" si="417"/>
        <v>0</v>
      </c>
      <c r="BB612" s="358">
        <f t="shared" ca="1" si="418"/>
        <v>0</v>
      </c>
      <c r="BD612" s="358">
        <f t="shared" ca="1" si="419"/>
        <v>0</v>
      </c>
      <c r="BF612" s="358">
        <f t="shared" ca="1" si="420"/>
        <v>0</v>
      </c>
      <c r="BH612" s="358">
        <f t="shared" ca="1" si="421"/>
        <v>0</v>
      </c>
    </row>
    <row r="613" spans="1:60" hidden="1" outlineLevel="1">
      <c r="A613" s="1464">
        <f t="shared" si="406"/>
        <v>18</v>
      </c>
      <c r="B613" s="1464">
        <f t="shared" si="407"/>
        <v>39</v>
      </c>
      <c r="C613" s="1464">
        <f t="shared" si="408"/>
        <v>19</v>
      </c>
      <c r="D613" s="1271" t="str">
        <f ca="1">IF(OFFSET(PortfolioDashboard!$A$3,C613-1,0)="","Blank",OFFSET(PortfolioDashboard!$A$3,C613-1,0))</f>
        <v>Blank</v>
      </c>
      <c r="E613" s="1464" t="str">
        <f t="shared" si="409"/>
        <v>2010$</v>
      </c>
      <c r="F613" s="1460">
        <f t="shared" ca="1" si="410"/>
        <v>0</v>
      </c>
      <c r="G613" s="358">
        <f t="shared" ca="1" si="411"/>
        <v>0</v>
      </c>
      <c r="H613" s="358">
        <f t="shared" ca="1" si="411"/>
        <v>0</v>
      </c>
      <c r="I613" s="358">
        <f t="shared" ca="1" si="411"/>
        <v>0</v>
      </c>
      <c r="J613" s="358">
        <f t="shared" ca="1" si="411"/>
        <v>0</v>
      </c>
      <c r="K613" s="358">
        <f t="shared" ca="1" si="411"/>
        <v>0</v>
      </c>
      <c r="L613" s="358">
        <f t="shared" ca="1" si="411"/>
        <v>0</v>
      </c>
      <c r="M613" s="358">
        <f t="shared" ca="1" si="411"/>
        <v>0</v>
      </c>
      <c r="N613" s="358">
        <f t="shared" ca="1" si="411"/>
        <v>0</v>
      </c>
      <c r="O613" s="358">
        <f t="shared" ca="1" si="411"/>
        <v>0</v>
      </c>
      <c r="P613" s="358">
        <f t="shared" ca="1" si="411"/>
        <v>0</v>
      </c>
      <c r="Q613" s="358">
        <f t="shared" ca="1" si="412"/>
        <v>0</v>
      </c>
      <c r="R613" s="358">
        <f t="shared" ca="1" si="412"/>
        <v>0</v>
      </c>
      <c r="S613" s="358">
        <f t="shared" ca="1" si="412"/>
        <v>0</v>
      </c>
      <c r="T613" s="358">
        <f t="shared" ca="1" si="412"/>
        <v>0</v>
      </c>
      <c r="U613" s="358">
        <f t="shared" ca="1" si="412"/>
        <v>0</v>
      </c>
      <c r="V613" s="358">
        <f t="shared" ca="1" si="412"/>
        <v>0</v>
      </c>
      <c r="W613" s="358">
        <f t="shared" ca="1" si="412"/>
        <v>0</v>
      </c>
      <c r="X613" s="358">
        <f t="shared" ca="1" si="412"/>
        <v>0</v>
      </c>
      <c r="Y613" s="358">
        <f t="shared" ca="1" si="412"/>
        <v>0</v>
      </c>
      <c r="Z613" s="358">
        <f t="shared" ca="1" si="412"/>
        <v>0</v>
      </c>
      <c r="AA613" s="358">
        <f t="shared" ca="1" si="413"/>
        <v>0</v>
      </c>
      <c r="AB613" s="358">
        <f t="shared" ca="1" si="413"/>
        <v>0</v>
      </c>
      <c r="AC613" s="358">
        <f t="shared" ca="1" si="413"/>
        <v>0</v>
      </c>
      <c r="AD613" s="358">
        <f t="shared" ca="1" si="413"/>
        <v>0</v>
      </c>
      <c r="AE613" s="358">
        <f t="shared" ca="1" si="413"/>
        <v>0</v>
      </c>
      <c r="AF613" s="358">
        <f t="shared" ca="1" si="413"/>
        <v>0</v>
      </c>
      <c r="AG613" s="358">
        <f t="shared" ca="1" si="413"/>
        <v>0</v>
      </c>
      <c r="AH613" s="358">
        <f t="shared" ca="1" si="413"/>
        <v>0</v>
      </c>
      <c r="AI613" s="358">
        <f t="shared" ca="1" si="413"/>
        <v>0</v>
      </c>
      <c r="AJ613" s="358">
        <f t="shared" ca="1" si="413"/>
        <v>0</v>
      </c>
      <c r="AK613" s="358">
        <f t="shared" ca="1" si="414"/>
        <v>0</v>
      </c>
      <c r="AL613" s="358">
        <f t="shared" ca="1" si="414"/>
        <v>0</v>
      </c>
      <c r="AM613" s="358">
        <f t="shared" ca="1" si="414"/>
        <v>0</v>
      </c>
      <c r="AN613" s="358">
        <f t="shared" ca="1" si="414"/>
        <v>0</v>
      </c>
      <c r="AO613" s="358">
        <f t="shared" ca="1" si="414"/>
        <v>0</v>
      </c>
      <c r="AP613" s="358">
        <f t="shared" ca="1" si="414"/>
        <v>0</v>
      </c>
      <c r="AQ613" s="358">
        <f t="shared" ca="1" si="414"/>
        <v>0</v>
      </c>
      <c r="AR613" s="358">
        <f t="shared" ca="1" si="414"/>
        <v>0</v>
      </c>
      <c r="AS613" s="358">
        <f t="shared" ca="1" si="414"/>
        <v>0</v>
      </c>
      <c r="AT613" s="358">
        <f t="shared" ca="1" si="414"/>
        <v>0</v>
      </c>
      <c r="AV613" s="358">
        <f t="shared" ca="1" si="415"/>
        <v>0</v>
      </c>
      <c r="AX613" s="358">
        <f t="shared" ca="1" si="416"/>
        <v>0</v>
      </c>
      <c r="AZ613" s="358">
        <f t="shared" ca="1" si="417"/>
        <v>0</v>
      </c>
      <c r="BB613" s="358">
        <f t="shared" ca="1" si="418"/>
        <v>0</v>
      </c>
      <c r="BD613" s="358">
        <f t="shared" ca="1" si="419"/>
        <v>0</v>
      </c>
      <c r="BF613" s="358">
        <f t="shared" ca="1" si="420"/>
        <v>0</v>
      </c>
      <c r="BH613" s="358">
        <f t="shared" ca="1" si="421"/>
        <v>0</v>
      </c>
    </row>
    <row r="614" spans="1:60" hidden="1" outlineLevel="1">
      <c r="A614" s="1464">
        <f t="shared" si="406"/>
        <v>18</v>
      </c>
      <c r="B614" s="1464">
        <f t="shared" si="407"/>
        <v>39</v>
      </c>
      <c r="C614" s="1464">
        <f t="shared" si="408"/>
        <v>20</v>
      </c>
      <c r="D614" s="1271" t="str">
        <f ca="1">IF(OFFSET(PortfolioDashboard!$A$3,C614-1,0)="","Blank",OFFSET(PortfolioDashboard!$A$3,C614-1,0))</f>
        <v>Blank</v>
      </c>
      <c r="E614" s="1464" t="str">
        <f t="shared" si="409"/>
        <v>2010$</v>
      </c>
      <c r="F614" s="1460">
        <f t="shared" ca="1" si="410"/>
        <v>0</v>
      </c>
      <c r="G614" s="358">
        <f t="shared" ca="1" si="411"/>
        <v>0</v>
      </c>
      <c r="H614" s="358">
        <f t="shared" ca="1" si="411"/>
        <v>0</v>
      </c>
      <c r="I614" s="358">
        <f t="shared" ca="1" si="411"/>
        <v>0</v>
      </c>
      <c r="J614" s="358">
        <f t="shared" ca="1" si="411"/>
        <v>0</v>
      </c>
      <c r="K614" s="358">
        <f t="shared" ca="1" si="411"/>
        <v>0</v>
      </c>
      <c r="L614" s="358">
        <f t="shared" ca="1" si="411"/>
        <v>0</v>
      </c>
      <c r="M614" s="358">
        <f t="shared" ca="1" si="411"/>
        <v>0</v>
      </c>
      <c r="N614" s="358">
        <f t="shared" ca="1" si="411"/>
        <v>0</v>
      </c>
      <c r="O614" s="358">
        <f t="shared" ca="1" si="411"/>
        <v>0</v>
      </c>
      <c r="P614" s="358">
        <f t="shared" ca="1" si="411"/>
        <v>0</v>
      </c>
      <c r="Q614" s="358">
        <f t="shared" ca="1" si="412"/>
        <v>0</v>
      </c>
      <c r="R614" s="358">
        <f t="shared" ca="1" si="412"/>
        <v>0</v>
      </c>
      <c r="S614" s="358">
        <f t="shared" ca="1" si="412"/>
        <v>0</v>
      </c>
      <c r="T614" s="358">
        <f t="shared" ca="1" si="412"/>
        <v>0</v>
      </c>
      <c r="U614" s="358">
        <f t="shared" ca="1" si="412"/>
        <v>0</v>
      </c>
      <c r="V614" s="358">
        <f t="shared" ca="1" si="412"/>
        <v>0</v>
      </c>
      <c r="W614" s="358">
        <f t="shared" ca="1" si="412"/>
        <v>0</v>
      </c>
      <c r="X614" s="358">
        <f t="shared" ca="1" si="412"/>
        <v>0</v>
      </c>
      <c r="Y614" s="358">
        <f t="shared" ca="1" si="412"/>
        <v>0</v>
      </c>
      <c r="Z614" s="358">
        <f t="shared" ca="1" si="412"/>
        <v>0</v>
      </c>
      <c r="AA614" s="358">
        <f t="shared" ca="1" si="413"/>
        <v>0</v>
      </c>
      <c r="AB614" s="358">
        <f t="shared" ca="1" si="413"/>
        <v>0</v>
      </c>
      <c r="AC614" s="358">
        <f t="shared" ca="1" si="413"/>
        <v>0</v>
      </c>
      <c r="AD614" s="358">
        <f t="shared" ca="1" si="413"/>
        <v>0</v>
      </c>
      <c r="AE614" s="358">
        <f t="shared" ca="1" si="413"/>
        <v>0</v>
      </c>
      <c r="AF614" s="358">
        <f t="shared" ca="1" si="413"/>
        <v>0</v>
      </c>
      <c r="AG614" s="358">
        <f t="shared" ca="1" si="413"/>
        <v>0</v>
      </c>
      <c r="AH614" s="358">
        <f t="shared" ca="1" si="413"/>
        <v>0</v>
      </c>
      <c r="AI614" s="358">
        <f t="shared" ca="1" si="413"/>
        <v>0</v>
      </c>
      <c r="AJ614" s="358">
        <f t="shared" ca="1" si="413"/>
        <v>0</v>
      </c>
      <c r="AK614" s="358">
        <f t="shared" ca="1" si="414"/>
        <v>0</v>
      </c>
      <c r="AL614" s="358">
        <f t="shared" ca="1" si="414"/>
        <v>0</v>
      </c>
      <c r="AM614" s="358">
        <f t="shared" ca="1" si="414"/>
        <v>0</v>
      </c>
      <c r="AN614" s="358">
        <f t="shared" ca="1" si="414"/>
        <v>0</v>
      </c>
      <c r="AO614" s="358">
        <f t="shared" ca="1" si="414"/>
        <v>0</v>
      </c>
      <c r="AP614" s="358">
        <f t="shared" ca="1" si="414"/>
        <v>0</v>
      </c>
      <c r="AQ614" s="358">
        <f t="shared" ca="1" si="414"/>
        <v>0</v>
      </c>
      <c r="AR614" s="358">
        <f t="shared" ca="1" si="414"/>
        <v>0</v>
      </c>
      <c r="AS614" s="358">
        <f t="shared" ca="1" si="414"/>
        <v>0</v>
      </c>
      <c r="AT614" s="358">
        <f t="shared" ca="1" si="414"/>
        <v>0</v>
      </c>
      <c r="AV614" s="358">
        <f t="shared" ca="1" si="415"/>
        <v>0</v>
      </c>
      <c r="AX614" s="358">
        <f t="shared" ca="1" si="416"/>
        <v>0</v>
      </c>
      <c r="AZ614" s="358">
        <f t="shared" ca="1" si="417"/>
        <v>0</v>
      </c>
      <c r="BB614" s="358">
        <f t="shared" ca="1" si="418"/>
        <v>0</v>
      </c>
      <c r="BD614" s="358">
        <f t="shared" ca="1" si="419"/>
        <v>0</v>
      </c>
      <c r="BF614" s="358">
        <f t="shared" ca="1" si="420"/>
        <v>0</v>
      </c>
      <c r="BH614" s="358">
        <f t="shared" ca="1" si="421"/>
        <v>0</v>
      </c>
    </row>
    <row r="615" spans="1:60" hidden="1" outlineLevel="1">
      <c r="A615" s="1464">
        <f t="shared" si="406"/>
        <v>18</v>
      </c>
      <c r="B615" s="1464">
        <f t="shared" si="407"/>
        <v>39</v>
      </c>
      <c r="C615" s="1464">
        <f t="shared" si="408"/>
        <v>21</v>
      </c>
      <c r="D615" s="1271" t="str">
        <f ca="1">IF(OFFSET(PortfolioDashboard!$A$3,C615-1,0)="","Blank",OFFSET(PortfolioDashboard!$A$3,C615-1,0))</f>
        <v>Blank</v>
      </c>
      <c r="E615" s="1464" t="str">
        <f t="shared" si="409"/>
        <v>2010$</v>
      </c>
      <c r="F615" s="1460">
        <f t="shared" ca="1" si="410"/>
        <v>0</v>
      </c>
      <c r="G615" s="358">
        <f t="shared" ref="G615:P624" ca="1" si="422">IFERROR(OFFSET(INDIRECT(INDEX(List_of_Alternatives,MATCH($D615,NameofAlternatives,0))),$A615+G$1-$G$1,$B615),0)</f>
        <v>0</v>
      </c>
      <c r="H615" s="358">
        <f t="shared" ca="1" si="422"/>
        <v>0</v>
      </c>
      <c r="I615" s="358">
        <f t="shared" ca="1" si="422"/>
        <v>0</v>
      </c>
      <c r="J615" s="358">
        <f t="shared" ca="1" si="422"/>
        <v>0</v>
      </c>
      <c r="K615" s="358">
        <f t="shared" ca="1" si="422"/>
        <v>0</v>
      </c>
      <c r="L615" s="358">
        <f t="shared" ca="1" si="422"/>
        <v>0</v>
      </c>
      <c r="M615" s="358">
        <f t="shared" ca="1" si="422"/>
        <v>0</v>
      </c>
      <c r="N615" s="358">
        <f t="shared" ca="1" si="422"/>
        <v>0</v>
      </c>
      <c r="O615" s="358">
        <f t="shared" ca="1" si="422"/>
        <v>0</v>
      </c>
      <c r="P615" s="358">
        <f t="shared" ca="1" si="422"/>
        <v>0</v>
      </c>
      <c r="Q615" s="358">
        <f t="shared" ref="Q615:Z624" ca="1" si="423">IFERROR(OFFSET(INDIRECT(INDEX(List_of_Alternatives,MATCH($D615,NameofAlternatives,0))),$A615+Q$1-$G$1,$B615),0)</f>
        <v>0</v>
      </c>
      <c r="R615" s="358">
        <f t="shared" ca="1" si="423"/>
        <v>0</v>
      </c>
      <c r="S615" s="358">
        <f t="shared" ca="1" si="423"/>
        <v>0</v>
      </c>
      <c r="T615" s="358">
        <f t="shared" ca="1" si="423"/>
        <v>0</v>
      </c>
      <c r="U615" s="358">
        <f t="shared" ca="1" si="423"/>
        <v>0</v>
      </c>
      <c r="V615" s="358">
        <f t="shared" ca="1" si="423"/>
        <v>0</v>
      </c>
      <c r="W615" s="358">
        <f t="shared" ca="1" si="423"/>
        <v>0</v>
      </c>
      <c r="X615" s="358">
        <f t="shared" ca="1" si="423"/>
        <v>0</v>
      </c>
      <c r="Y615" s="358">
        <f t="shared" ca="1" si="423"/>
        <v>0</v>
      </c>
      <c r="Z615" s="358">
        <f t="shared" ca="1" si="423"/>
        <v>0</v>
      </c>
      <c r="AA615" s="358">
        <f t="shared" ref="AA615:AJ624" ca="1" si="424">IFERROR(OFFSET(INDIRECT(INDEX(List_of_Alternatives,MATCH($D615,NameofAlternatives,0))),$A615+AA$1-$G$1,$B615),0)</f>
        <v>0</v>
      </c>
      <c r="AB615" s="358">
        <f t="shared" ca="1" si="424"/>
        <v>0</v>
      </c>
      <c r="AC615" s="358">
        <f t="shared" ca="1" si="424"/>
        <v>0</v>
      </c>
      <c r="AD615" s="358">
        <f t="shared" ca="1" si="424"/>
        <v>0</v>
      </c>
      <c r="AE615" s="358">
        <f t="shared" ca="1" si="424"/>
        <v>0</v>
      </c>
      <c r="AF615" s="358">
        <f t="shared" ca="1" si="424"/>
        <v>0</v>
      </c>
      <c r="AG615" s="358">
        <f t="shared" ca="1" si="424"/>
        <v>0</v>
      </c>
      <c r="AH615" s="358">
        <f t="shared" ca="1" si="424"/>
        <v>0</v>
      </c>
      <c r="AI615" s="358">
        <f t="shared" ca="1" si="424"/>
        <v>0</v>
      </c>
      <c r="AJ615" s="358">
        <f t="shared" ca="1" si="424"/>
        <v>0</v>
      </c>
      <c r="AK615" s="358">
        <f t="shared" ref="AK615:AT624" ca="1" si="425">IFERROR(OFFSET(INDIRECT(INDEX(List_of_Alternatives,MATCH($D615,NameofAlternatives,0))),$A615+AK$1-$G$1,$B615),0)</f>
        <v>0</v>
      </c>
      <c r="AL615" s="358">
        <f t="shared" ca="1" si="425"/>
        <v>0</v>
      </c>
      <c r="AM615" s="358">
        <f t="shared" ca="1" si="425"/>
        <v>0</v>
      </c>
      <c r="AN615" s="358">
        <f t="shared" ca="1" si="425"/>
        <v>0</v>
      </c>
      <c r="AO615" s="358">
        <f t="shared" ca="1" si="425"/>
        <v>0</v>
      </c>
      <c r="AP615" s="358">
        <f t="shared" ca="1" si="425"/>
        <v>0</v>
      </c>
      <c r="AQ615" s="358">
        <f t="shared" ca="1" si="425"/>
        <v>0</v>
      </c>
      <c r="AR615" s="358">
        <f t="shared" ca="1" si="425"/>
        <v>0</v>
      </c>
      <c r="AS615" s="358">
        <f t="shared" ca="1" si="425"/>
        <v>0</v>
      </c>
      <c r="AT615" s="358">
        <f t="shared" ca="1" si="425"/>
        <v>0</v>
      </c>
      <c r="AV615" s="358">
        <f t="shared" ca="1" si="415"/>
        <v>0</v>
      </c>
      <c r="AX615" s="358">
        <f t="shared" ca="1" si="416"/>
        <v>0</v>
      </c>
      <c r="AZ615" s="358">
        <f t="shared" ca="1" si="417"/>
        <v>0</v>
      </c>
      <c r="BB615" s="358">
        <f t="shared" ca="1" si="418"/>
        <v>0</v>
      </c>
      <c r="BD615" s="358">
        <f t="shared" ca="1" si="419"/>
        <v>0</v>
      </c>
      <c r="BF615" s="358">
        <f t="shared" ca="1" si="420"/>
        <v>0</v>
      </c>
      <c r="BH615" s="358">
        <f t="shared" ca="1" si="421"/>
        <v>0</v>
      </c>
    </row>
    <row r="616" spans="1:60" hidden="1" outlineLevel="1">
      <c r="A616" s="1464">
        <f t="shared" si="406"/>
        <v>18</v>
      </c>
      <c r="B616" s="1464">
        <f t="shared" si="407"/>
        <v>39</v>
      </c>
      <c r="C616" s="1464">
        <f t="shared" si="408"/>
        <v>22</v>
      </c>
      <c r="D616" s="1271" t="str">
        <f ca="1">IF(OFFSET(PortfolioDashboard!$A$3,C616-1,0)="","Blank",OFFSET(PortfolioDashboard!$A$3,C616-1,0))</f>
        <v>Blank</v>
      </c>
      <c r="E616" s="1464" t="str">
        <f t="shared" si="409"/>
        <v>2010$</v>
      </c>
      <c r="F616" s="1460">
        <f t="shared" ca="1" si="410"/>
        <v>0</v>
      </c>
      <c r="G616" s="358">
        <f t="shared" ca="1" si="422"/>
        <v>0</v>
      </c>
      <c r="H616" s="358">
        <f t="shared" ca="1" si="422"/>
        <v>0</v>
      </c>
      <c r="I616" s="358">
        <f t="shared" ca="1" si="422"/>
        <v>0</v>
      </c>
      <c r="J616" s="358">
        <f t="shared" ca="1" si="422"/>
        <v>0</v>
      </c>
      <c r="K616" s="358">
        <f t="shared" ca="1" si="422"/>
        <v>0</v>
      </c>
      <c r="L616" s="358">
        <f t="shared" ca="1" si="422"/>
        <v>0</v>
      </c>
      <c r="M616" s="358">
        <f t="shared" ca="1" si="422"/>
        <v>0</v>
      </c>
      <c r="N616" s="358">
        <f t="shared" ca="1" si="422"/>
        <v>0</v>
      </c>
      <c r="O616" s="358">
        <f t="shared" ca="1" si="422"/>
        <v>0</v>
      </c>
      <c r="P616" s="358">
        <f t="shared" ca="1" si="422"/>
        <v>0</v>
      </c>
      <c r="Q616" s="358">
        <f t="shared" ca="1" si="423"/>
        <v>0</v>
      </c>
      <c r="R616" s="358">
        <f t="shared" ca="1" si="423"/>
        <v>0</v>
      </c>
      <c r="S616" s="358">
        <f t="shared" ca="1" si="423"/>
        <v>0</v>
      </c>
      <c r="T616" s="358">
        <f t="shared" ca="1" si="423"/>
        <v>0</v>
      </c>
      <c r="U616" s="358">
        <f t="shared" ca="1" si="423"/>
        <v>0</v>
      </c>
      <c r="V616" s="358">
        <f t="shared" ca="1" si="423"/>
        <v>0</v>
      </c>
      <c r="W616" s="358">
        <f t="shared" ca="1" si="423"/>
        <v>0</v>
      </c>
      <c r="X616" s="358">
        <f t="shared" ca="1" si="423"/>
        <v>0</v>
      </c>
      <c r="Y616" s="358">
        <f t="shared" ca="1" si="423"/>
        <v>0</v>
      </c>
      <c r="Z616" s="358">
        <f t="shared" ca="1" si="423"/>
        <v>0</v>
      </c>
      <c r="AA616" s="358">
        <f t="shared" ca="1" si="424"/>
        <v>0</v>
      </c>
      <c r="AB616" s="358">
        <f t="shared" ca="1" si="424"/>
        <v>0</v>
      </c>
      <c r="AC616" s="358">
        <f t="shared" ca="1" si="424"/>
        <v>0</v>
      </c>
      <c r="AD616" s="358">
        <f t="shared" ca="1" si="424"/>
        <v>0</v>
      </c>
      <c r="AE616" s="358">
        <f t="shared" ca="1" si="424"/>
        <v>0</v>
      </c>
      <c r="AF616" s="358">
        <f t="shared" ca="1" si="424"/>
        <v>0</v>
      </c>
      <c r="AG616" s="358">
        <f t="shared" ca="1" si="424"/>
        <v>0</v>
      </c>
      <c r="AH616" s="358">
        <f t="shared" ca="1" si="424"/>
        <v>0</v>
      </c>
      <c r="AI616" s="358">
        <f t="shared" ca="1" si="424"/>
        <v>0</v>
      </c>
      <c r="AJ616" s="358">
        <f t="shared" ca="1" si="424"/>
        <v>0</v>
      </c>
      <c r="AK616" s="358">
        <f t="shared" ca="1" si="425"/>
        <v>0</v>
      </c>
      <c r="AL616" s="358">
        <f t="shared" ca="1" si="425"/>
        <v>0</v>
      </c>
      <c r="AM616" s="358">
        <f t="shared" ca="1" si="425"/>
        <v>0</v>
      </c>
      <c r="AN616" s="358">
        <f t="shared" ca="1" si="425"/>
        <v>0</v>
      </c>
      <c r="AO616" s="358">
        <f t="shared" ca="1" si="425"/>
        <v>0</v>
      </c>
      <c r="AP616" s="358">
        <f t="shared" ca="1" si="425"/>
        <v>0</v>
      </c>
      <c r="AQ616" s="358">
        <f t="shared" ca="1" si="425"/>
        <v>0</v>
      </c>
      <c r="AR616" s="358">
        <f t="shared" ca="1" si="425"/>
        <v>0</v>
      </c>
      <c r="AS616" s="358">
        <f t="shared" ca="1" si="425"/>
        <v>0</v>
      </c>
      <c r="AT616" s="358">
        <f t="shared" ca="1" si="425"/>
        <v>0</v>
      </c>
      <c r="AV616" s="358">
        <f t="shared" ca="1" si="415"/>
        <v>0</v>
      </c>
      <c r="AX616" s="358">
        <f t="shared" ca="1" si="416"/>
        <v>0</v>
      </c>
      <c r="AZ616" s="358">
        <f t="shared" ca="1" si="417"/>
        <v>0</v>
      </c>
      <c r="BB616" s="358">
        <f t="shared" ca="1" si="418"/>
        <v>0</v>
      </c>
      <c r="BD616" s="358">
        <f t="shared" ca="1" si="419"/>
        <v>0</v>
      </c>
      <c r="BF616" s="358">
        <f t="shared" ca="1" si="420"/>
        <v>0</v>
      </c>
      <c r="BH616" s="358">
        <f t="shared" ca="1" si="421"/>
        <v>0</v>
      </c>
    </row>
    <row r="617" spans="1:60" hidden="1" outlineLevel="1">
      <c r="A617" s="1464">
        <f t="shared" si="406"/>
        <v>18</v>
      </c>
      <c r="B617" s="1464">
        <f t="shared" si="407"/>
        <v>39</v>
      </c>
      <c r="C617" s="1464">
        <f t="shared" si="408"/>
        <v>23</v>
      </c>
      <c r="D617" s="1271" t="str">
        <f ca="1">IF(OFFSET(PortfolioDashboard!$A$3,C617-1,0)="","Blank",OFFSET(PortfolioDashboard!$A$3,C617-1,0))</f>
        <v>Blank</v>
      </c>
      <c r="E617" s="1464" t="str">
        <f t="shared" si="409"/>
        <v>2010$</v>
      </c>
      <c r="F617" s="1460">
        <f t="shared" ca="1" si="410"/>
        <v>0</v>
      </c>
      <c r="G617" s="358">
        <f t="shared" ca="1" si="422"/>
        <v>0</v>
      </c>
      <c r="H617" s="358">
        <f t="shared" ca="1" si="422"/>
        <v>0</v>
      </c>
      <c r="I617" s="358">
        <f t="shared" ca="1" si="422"/>
        <v>0</v>
      </c>
      <c r="J617" s="358">
        <f t="shared" ca="1" si="422"/>
        <v>0</v>
      </c>
      <c r="K617" s="358">
        <f t="shared" ca="1" si="422"/>
        <v>0</v>
      </c>
      <c r="L617" s="358">
        <f t="shared" ca="1" si="422"/>
        <v>0</v>
      </c>
      <c r="M617" s="358">
        <f t="shared" ca="1" si="422"/>
        <v>0</v>
      </c>
      <c r="N617" s="358">
        <f t="shared" ca="1" si="422"/>
        <v>0</v>
      </c>
      <c r="O617" s="358">
        <f t="shared" ca="1" si="422"/>
        <v>0</v>
      </c>
      <c r="P617" s="358">
        <f t="shared" ca="1" si="422"/>
        <v>0</v>
      </c>
      <c r="Q617" s="358">
        <f t="shared" ca="1" si="423"/>
        <v>0</v>
      </c>
      <c r="R617" s="358">
        <f t="shared" ca="1" si="423"/>
        <v>0</v>
      </c>
      <c r="S617" s="358">
        <f t="shared" ca="1" si="423"/>
        <v>0</v>
      </c>
      <c r="T617" s="358">
        <f t="shared" ca="1" si="423"/>
        <v>0</v>
      </c>
      <c r="U617" s="358">
        <f t="shared" ca="1" si="423"/>
        <v>0</v>
      </c>
      <c r="V617" s="358">
        <f t="shared" ca="1" si="423"/>
        <v>0</v>
      </c>
      <c r="W617" s="358">
        <f t="shared" ca="1" si="423"/>
        <v>0</v>
      </c>
      <c r="X617" s="358">
        <f t="shared" ca="1" si="423"/>
        <v>0</v>
      </c>
      <c r="Y617" s="358">
        <f t="shared" ca="1" si="423"/>
        <v>0</v>
      </c>
      <c r="Z617" s="358">
        <f t="shared" ca="1" si="423"/>
        <v>0</v>
      </c>
      <c r="AA617" s="358">
        <f t="shared" ca="1" si="424"/>
        <v>0</v>
      </c>
      <c r="AB617" s="358">
        <f t="shared" ca="1" si="424"/>
        <v>0</v>
      </c>
      <c r="AC617" s="358">
        <f t="shared" ca="1" si="424"/>
        <v>0</v>
      </c>
      <c r="AD617" s="358">
        <f t="shared" ca="1" si="424"/>
        <v>0</v>
      </c>
      <c r="AE617" s="358">
        <f t="shared" ca="1" si="424"/>
        <v>0</v>
      </c>
      <c r="AF617" s="358">
        <f t="shared" ca="1" si="424"/>
        <v>0</v>
      </c>
      <c r="AG617" s="358">
        <f t="shared" ca="1" si="424"/>
        <v>0</v>
      </c>
      <c r="AH617" s="358">
        <f t="shared" ca="1" si="424"/>
        <v>0</v>
      </c>
      <c r="AI617" s="358">
        <f t="shared" ca="1" si="424"/>
        <v>0</v>
      </c>
      <c r="AJ617" s="358">
        <f t="shared" ca="1" si="424"/>
        <v>0</v>
      </c>
      <c r="AK617" s="358">
        <f t="shared" ca="1" si="425"/>
        <v>0</v>
      </c>
      <c r="AL617" s="358">
        <f t="shared" ca="1" si="425"/>
        <v>0</v>
      </c>
      <c r="AM617" s="358">
        <f t="shared" ca="1" si="425"/>
        <v>0</v>
      </c>
      <c r="AN617" s="358">
        <f t="shared" ca="1" si="425"/>
        <v>0</v>
      </c>
      <c r="AO617" s="358">
        <f t="shared" ca="1" si="425"/>
        <v>0</v>
      </c>
      <c r="AP617" s="358">
        <f t="shared" ca="1" si="425"/>
        <v>0</v>
      </c>
      <c r="AQ617" s="358">
        <f t="shared" ca="1" si="425"/>
        <v>0</v>
      </c>
      <c r="AR617" s="358">
        <f t="shared" ca="1" si="425"/>
        <v>0</v>
      </c>
      <c r="AS617" s="358">
        <f t="shared" ca="1" si="425"/>
        <v>0</v>
      </c>
      <c r="AT617" s="358">
        <f t="shared" ca="1" si="425"/>
        <v>0</v>
      </c>
      <c r="AV617" s="358">
        <f t="shared" ca="1" si="415"/>
        <v>0</v>
      </c>
      <c r="AX617" s="358">
        <f t="shared" ca="1" si="416"/>
        <v>0</v>
      </c>
      <c r="AZ617" s="358">
        <f t="shared" ca="1" si="417"/>
        <v>0</v>
      </c>
      <c r="BB617" s="358">
        <f t="shared" ca="1" si="418"/>
        <v>0</v>
      </c>
      <c r="BD617" s="358">
        <f t="shared" ca="1" si="419"/>
        <v>0</v>
      </c>
      <c r="BF617" s="358">
        <f t="shared" ca="1" si="420"/>
        <v>0</v>
      </c>
      <c r="BH617" s="358">
        <f t="shared" ca="1" si="421"/>
        <v>0</v>
      </c>
    </row>
    <row r="618" spans="1:60" hidden="1" outlineLevel="1">
      <c r="A618" s="1464">
        <f t="shared" si="406"/>
        <v>18</v>
      </c>
      <c r="B618" s="1464">
        <f t="shared" si="407"/>
        <v>39</v>
      </c>
      <c r="C618" s="1464">
        <f t="shared" si="408"/>
        <v>24</v>
      </c>
      <c r="D618" s="1271" t="str">
        <f ca="1">IF(OFFSET(PortfolioDashboard!$A$3,C618-1,0)="","Blank",OFFSET(PortfolioDashboard!$A$3,C618-1,0))</f>
        <v>Blank</v>
      </c>
      <c r="E618" s="1464" t="str">
        <f t="shared" si="409"/>
        <v>2010$</v>
      </c>
      <c r="F618" s="1460">
        <f t="shared" ca="1" si="410"/>
        <v>0</v>
      </c>
      <c r="G618" s="358">
        <f t="shared" ca="1" si="422"/>
        <v>0</v>
      </c>
      <c r="H618" s="358">
        <f t="shared" ca="1" si="422"/>
        <v>0</v>
      </c>
      <c r="I618" s="358">
        <f t="shared" ca="1" si="422"/>
        <v>0</v>
      </c>
      <c r="J618" s="358">
        <f t="shared" ca="1" si="422"/>
        <v>0</v>
      </c>
      <c r="K618" s="358">
        <f t="shared" ca="1" si="422"/>
        <v>0</v>
      </c>
      <c r="L618" s="358">
        <f t="shared" ca="1" si="422"/>
        <v>0</v>
      </c>
      <c r="M618" s="358">
        <f t="shared" ca="1" si="422"/>
        <v>0</v>
      </c>
      <c r="N618" s="358">
        <f t="shared" ca="1" si="422"/>
        <v>0</v>
      </c>
      <c r="O618" s="358">
        <f t="shared" ca="1" si="422"/>
        <v>0</v>
      </c>
      <c r="P618" s="358">
        <f t="shared" ca="1" si="422"/>
        <v>0</v>
      </c>
      <c r="Q618" s="358">
        <f t="shared" ca="1" si="423"/>
        <v>0</v>
      </c>
      <c r="R618" s="358">
        <f t="shared" ca="1" si="423"/>
        <v>0</v>
      </c>
      <c r="S618" s="358">
        <f t="shared" ca="1" si="423"/>
        <v>0</v>
      </c>
      <c r="T618" s="358">
        <f t="shared" ca="1" si="423"/>
        <v>0</v>
      </c>
      <c r="U618" s="358">
        <f t="shared" ca="1" si="423"/>
        <v>0</v>
      </c>
      <c r="V618" s="358">
        <f t="shared" ca="1" si="423"/>
        <v>0</v>
      </c>
      <c r="W618" s="358">
        <f t="shared" ca="1" si="423"/>
        <v>0</v>
      </c>
      <c r="X618" s="358">
        <f t="shared" ca="1" si="423"/>
        <v>0</v>
      </c>
      <c r="Y618" s="358">
        <f t="shared" ca="1" si="423"/>
        <v>0</v>
      </c>
      <c r="Z618" s="358">
        <f t="shared" ca="1" si="423"/>
        <v>0</v>
      </c>
      <c r="AA618" s="358">
        <f t="shared" ca="1" si="424"/>
        <v>0</v>
      </c>
      <c r="AB618" s="358">
        <f t="shared" ca="1" si="424"/>
        <v>0</v>
      </c>
      <c r="AC618" s="358">
        <f t="shared" ca="1" si="424"/>
        <v>0</v>
      </c>
      <c r="AD618" s="358">
        <f t="shared" ca="1" si="424"/>
        <v>0</v>
      </c>
      <c r="AE618" s="358">
        <f t="shared" ca="1" si="424"/>
        <v>0</v>
      </c>
      <c r="AF618" s="358">
        <f t="shared" ca="1" si="424"/>
        <v>0</v>
      </c>
      <c r="AG618" s="358">
        <f t="shared" ca="1" si="424"/>
        <v>0</v>
      </c>
      <c r="AH618" s="358">
        <f t="shared" ca="1" si="424"/>
        <v>0</v>
      </c>
      <c r="AI618" s="358">
        <f t="shared" ca="1" si="424"/>
        <v>0</v>
      </c>
      <c r="AJ618" s="358">
        <f t="shared" ca="1" si="424"/>
        <v>0</v>
      </c>
      <c r="AK618" s="358">
        <f t="shared" ca="1" si="425"/>
        <v>0</v>
      </c>
      <c r="AL618" s="358">
        <f t="shared" ca="1" si="425"/>
        <v>0</v>
      </c>
      <c r="AM618" s="358">
        <f t="shared" ca="1" si="425"/>
        <v>0</v>
      </c>
      <c r="AN618" s="358">
        <f t="shared" ca="1" si="425"/>
        <v>0</v>
      </c>
      <c r="AO618" s="358">
        <f t="shared" ca="1" si="425"/>
        <v>0</v>
      </c>
      <c r="AP618" s="358">
        <f t="shared" ca="1" si="425"/>
        <v>0</v>
      </c>
      <c r="AQ618" s="358">
        <f t="shared" ca="1" si="425"/>
        <v>0</v>
      </c>
      <c r="AR618" s="358">
        <f t="shared" ca="1" si="425"/>
        <v>0</v>
      </c>
      <c r="AS618" s="358">
        <f t="shared" ca="1" si="425"/>
        <v>0</v>
      </c>
      <c r="AT618" s="358">
        <f t="shared" ca="1" si="425"/>
        <v>0</v>
      </c>
      <c r="AV618" s="358">
        <f t="shared" ca="1" si="415"/>
        <v>0</v>
      </c>
      <c r="AX618" s="358">
        <f t="shared" ca="1" si="416"/>
        <v>0</v>
      </c>
      <c r="AZ618" s="358">
        <f t="shared" ca="1" si="417"/>
        <v>0</v>
      </c>
      <c r="BB618" s="358">
        <f t="shared" ca="1" si="418"/>
        <v>0</v>
      </c>
      <c r="BD618" s="358">
        <f t="shared" ca="1" si="419"/>
        <v>0</v>
      </c>
      <c r="BF618" s="358">
        <f t="shared" ca="1" si="420"/>
        <v>0</v>
      </c>
      <c r="BH618" s="358">
        <f t="shared" ca="1" si="421"/>
        <v>0</v>
      </c>
    </row>
    <row r="619" spans="1:60" hidden="1" outlineLevel="1">
      <c r="A619" s="1464">
        <f t="shared" si="406"/>
        <v>18</v>
      </c>
      <c r="B619" s="1464">
        <f t="shared" si="407"/>
        <v>39</v>
      </c>
      <c r="C619" s="1464">
        <f t="shared" si="408"/>
        <v>25</v>
      </c>
      <c r="D619" s="1271" t="str">
        <f ca="1">IF(OFFSET(PortfolioDashboard!$A$3,C619-1,0)="","Blank",OFFSET(PortfolioDashboard!$A$3,C619-1,0))</f>
        <v>Blank</v>
      </c>
      <c r="E619" s="1464" t="str">
        <f t="shared" si="409"/>
        <v>2010$</v>
      </c>
      <c r="F619" s="1460">
        <f t="shared" ca="1" si="410"/>
        <v>0</v>
      </c>
      <c r="G619" s="358">
        <f t="shared" ca="1" si="422"/>
        <v>0</v>
      </c>
      <c r="H619" s="358">
        <f t="shared" ca="1" si="422"/>
        <v>0</v>
      </c>
      <c r="I619" s="358">
        <f t="shared" ca="1" si="422"/>
        <v>0</v>
      </c>
      <c r="J619" s="358">
        <f t="shared" ca="1" si="422"/>
        <v>0</v>
      </c>
      <c r="K619" s="358">
        <f t="shared" ca="1" si="422"/>
        <v>0</v>
      </c>
      <c r="L619" s="358">
        <f t="shared" ca="1" si="422"/>
        <v>0</v>
      </c>
      <c r="M619" s="358">
        <f t="shared" ca="1" si="422"/>
        <v>0</v>
      </c>
      <c r="N619" s="358">
        <f t="shared" ca="1" si="422"/>
        <v>0</v>
      </c>
      <c r="O619" s="358">
        <f t="shared" ca="1" si="422"/>
        <v>0</v>
      </c>
      <c r="P619" s="358">
        <f t="shared" ca="1" si="422"/>
        <v>0</v>
      </c>
      <c r="Q619" s="358">
        <f t="shared" ca="1" si="423"/>
        <v>0</v>
      </c>
      <c r="R619" s="358">
        <f t="shared" ca="1" si="423"/>
        <v>0</v>
      </c>
      <c r="S619" s="358">
        <f t="shared" ca="1" si="423"/>
        <v>0</v>
      </c>
      <c r="T619" s="358">
        <f t="shared" ca="1" si="423"/>
        <v>0</v>
      </c>
      <c r="U619" s="358">
        <f t="shared" ca="1" si="423"/>
        <v>0</v>
      </c>
      <c r="V619" s="358">
        <f t="shared" ca="1" si="423"/>
        <v>0</v>
      </c>
      <c r="W619" s="358">
        <f t="shared" ca="1" si="423"/>
        <v>0</v>
      </c>
      <c r="X619" s="358">
        <f t="shared" ca="1" si="423"/>
        <v>0</v>
      </c>
      <c r="Y619" s="358">
        <f t="shared" ca="1" si="423"/>
        <v>0</v>
      </c>
      <c r="Z619" s="358">
        <f t="shared" ca="1" si="423"/>
        <v>0</v>
      </c>
      <c r="AA619" s="358">
        <f t="shared" ca="1" si="424"/>
        <v>0</v>
      </c>
      <c r="AB619" s="358">
        <f t="shared" ca="1" si="424"/>
        <v>0</v>
      </c>
      <c r="AC619" s="358">
        <f t="shared" ca="1" si="424"/>
        <v>0</v>
      </c>
      <c r="AD619" s="358">
        <f t="shared" ca="1" si="424"/>
        <v>0</v>
      </c>
      <c r="AE619" s="358">
        <f t="shared" ca="1" si="424"/>
        <v>0</v>
      </c>
      <c r="AF619" s="358">
        <f t="shared" ca="1" si="424"/>
        <v>0</v>
      </c>
      <c r="AG619" s="358">
        <f t="shared" ca="1" si="424"/>
        <v>0</v>
      </c>
      <c r="AH619" s="358">
        <f t="shared" ca="1" si="424"/>
        <v>0</v>
      </c>
      <c r="AI619" s="358">
        <f t="shared" ca="1" si="424"/>
        <v>0</v>
      </c>
      <c r="AJ619" s="358">
        <f t="shared" ca="1" si="424"/>
        <v>0</v>
      </c>
      <c r="AK619" s="358">
        <f t="shared" ca="1" si="425"/>
        <v>0</v>
      </c>
      <c r="AL619" s="358">
        <f t="shared" ca="1" si="425"/>
        <v>0</v>
      </c>
      <c r="AM619" s="358">
        <f t="shared" ca="1" si="425"/>
        <v>0</v>
      </c>
      <c r="AN619" s="358">
        <f t="shared" ca="1" si="425"/>
        <v>0</v>
      </c>
      <c r="AO619" s="358">
        <f t="shared" ca="1" si="425"/>
        <v>0</v>
      </c>
      <c r="AP619" s="358">
        <f t="shared" ca="1" si="425"/>
        <v>0</v>
      </c>
      <c r="AQ619" s="358">
        <f t="shared" ca="1" si="425"/>
        <v>0</v>
      </c>
      <c r="AR619" s="358">
        <f t="shared" ca="1" si="425"/>
        <v>0</v>
      </c>
      <c r="AS619" s="358">
        <f t="shared" ca="1" si="425"/>
        <v>0</v>
      </c>
      <c r="AT619" s="358">
        <f t="shared" ca="1" si="425"/>
        <v>0</v>
      </c>
      <c r="AV619" s="358">
        <f t="shared" ca="1" si="415"/>
        <v>0</v>
      </c>
      <c r="AX619" s="358">
        <f t="shared" ca="1" si="416"/>
        <v>0</v>
      </c>
      <c r="AZ619" s="358">
        <f t="shared" ca="1" si="417"/>
        <v>0</v>
      </c>
      <c r="BB619" s="358">
        <f t="shared" ca="1" si="418"/>
        <v>0</v>
      </c>
      <c r="BD619" s="358">
        <f t="shared" ca="1" si="419"/>
        <v>0</v>
      </c>
      <c r="BF619" s="358">
        <f t="shared" ca="1" si="420"/>
        <v>0</v>
      </c>
      <c r="BH619" s="358">
        <f t="shared" ca="1" si="421"/>
        <v>0</v>
      </c>
    </row>
    <row r="620" spans="1:60" hidden="1" outlineLevel="1">
      <c r="A620" s="1464">
        <f t="shared" si="406"/>
        <v>18</v>
      </c>
      <c r="B620" s="1464">
        <f t="shared" si="407"/>
        <v>39</v>
      </c>
      <c r="C620" s="1464">
        <f t="shared" si="408"/>
        <v>26</v>
      </c>
      <c r="D620" s="1271" t="str">
        <f ca="1">IF(OFFSET(PortfolioDashboard!$A$3,C620-1,0)="","Blank",OFFSET(PortfolioDashboard!$A$3,C620-1,0))</f>
        <v>Blank</v>
      </c>
      <c r="E620" s="1464" t="str">
        <f t="shared" si="409"/>
        <v>2010$</v>
      </c>
      <c r="F620" s="1460">
        <f t="shared" ca="1" si="410"/>
        <v>0</v>
      </c>
      <c r="G620" s="358">
        <f t="shared" ca="1" si="422"/>
        <v>0</v>
      </c>
      <c r="H620" s="358">
        <f t="shared" ca="1" si="422"/>
        <v>0</v>
      </c>
      <c r="I620" s="358">
        <f t="shared" ca="1" si="422"/>
        <v>0</v>
      </c>
      <c r="J620" s="358">
        <f t="shared" ca="1" si="422"/>
        <v>0</v>
      </c>
      <c r="K620" s="358">
        <f t="shared" ca="1" si="422"/>
        <v>0</v>
      </c>
      <c r="L620" s="358">
        <f t="shared" ca="1" si="422"/>
        <v>0</v>
      </c>
      <c r="M620" s="358">
        <f t="shared" ca="1" si="422"/>
        <v>0</v>
      </c>
      <c r="N620" s="358">
        <f t="shared" ca="1" si="422"/>
        <v>0</v>
      </c>
      <c r="O620" s="358">
        <f t="shared" ca="1" si="422"/>
        <v>0</v>
      </c>
      <c r="P620" s="358">
        <f t="shared" ca="1" si="422"/>
        <v>0</v>
      </c>
      <c r="Q620" s="358">
        <f t="shared" ca="1" si="423"/>
        <v>0</v>
      </c>
      <c r="R620" s="358">
        <f t="shared" ca="1" si="423"/>
        <v>0</v>
      </c>
      <c r="S620" s="358">
        <f t="shared" ca="1" si="423"/>
        <v>0</v>
      </c>
      <c r="T620" s="358">
        <f t="shared" ca="1" si="423"/>
        <v>0</v>
      </c>
      <c r="U620" s="358">
        <f t="shared" ca="1" si="423"/>
        <v>0</v>
      </c>
      <c r="V620" s="358">
        <f t="shared" ca="1" si="423"/>
        <v>0</v>
      </c>
      <c r="W620" s="358">
        <f t="shared" ca="1" si="423"/>
        <v>0</v>
      </c>
      <c r="X620" s="358">
        <f t="shared" ca="1" si="423"/>
        <v>0</v>
      </c>
      <c r="Y620" s="358">
        <f t="shared" ca="1" si="423"/>
        <v>0</v>
      </c>
      <c r="Z620" s="358">
        <f t="shared" ca="1" si="423"/>
        <v>0</v>
      </c>
      <c r="AA620" s="358">
        <f t="shared" ca="1" si="424"/>
        <v>0</v>
      </c>
      <c r="AB620" s="358">
        <f t="shared" ca="1" si="424"/>
        <v>0</v>
      </c>
      <c r="AC620" s="358">
        <f t="shared" ca="1" si="424"/>
        <v>0</v>
      </c>
      <c r="AD620" s="358">
        <f t="shared" ca="1" si="424"/>
        <v>0</v>
      </c>
      <c r="AE620" s="358">
        <f t="shared" ca="1" si="424"/>
        <v>0</v>
      </c>
      <c r="AF620" s="358">
        <f t="shared" ca="1" si="424"/>
        <v>0</v>
      </c>
      <c r="AG620" s="358">
        <f t="shared" ca="1" si="424"/>
        <v>0</v>
      </c>
      <c r="AH620" s="358">
        <f t="shared" ca="1" si="424"/>
        <v>0</v>
      </c>
      <c r="AI620" s="358">
        <f t="shared" ca="1" si="424"/>
        <v>0</v>
      </c>
      <c r="AJ620" s="358">
        <f t="shared" ca="1" si="424"/>
        <v>0</v>
      </c>
      <c r="AK620" s="358">
        <f t="shared" ca="1" si="425"/>
        <v>0</v>
      </c>
      <c r="AL620" s="358">
        <f t="shared" ca="1" si="425"/>
        <v>0</v>
      </c>
      <c r="AM620" s="358">
        <f t="shared" ca="1" si="425"/>
        <v>0</v>
      </c>
      <c r="AN620" s="358">
        <f t="shared" ca="1" si="425"/>
        <v>0</v>
      </c>
      <c r="AO620" s="358">
        <f t="shared" ca="1" si="425"/>
        <v>0</v>
      </c>
      <c r="AP620" s="358">
        <f t="shared" ca="1" si="425"/>
        <v>0</v>
      </c>
      <c r="AQ620" s="358">
        <f t="shared" ca="1" si="425"/>
        <v>0</v>
      </c>
      <c r="AR620" s="358">
        <f t="shared" ca="1" si="425"/>
        <v>0</v>
      </c>
      <c r="AS620" s="358">
        <f t="shared" ca="1" si="425"/>
        <v>0</v>
      </c>
      <c r="AT620" s="358">
        <f t="shared" ca="1" si="425"/>
        <v>0</v>
      </c>
      <c r="AV620" s="358">
        <f t="shared" ca="1" si="415"/>
        <v>0</v>
      </c>
      <c r="AX620" s="358">
        <f t="shared" ca="1" si="416"/>
        <v>0</v>
      </c>
      <c r="AZ620" s="358">
        <f t="shared" ca="1" si="417"/>
        <v>0</v>
      </c>
      <c r="BB620" s="358">
        <f t="shared" ca="1" si="418"/>
        <v>0</v>
      </c>
      <c r="BD620" s="358">
        <f t="shared" ca="1" si="419"/>
        <v>0</v>
      </c>
      <c r="BF620" s="358">
        <f t="shared" ca="1" si="420"/>
        <v>0</v>
      </c>
      <c r="BH620" s="358">
        <f t="shared" ca="1" si="421"/>
        <v>0</v>
      </c>
    </row>
    <row r="621" spans="1:60" hidden="1" outlineLevel="1">
      <c r="A621" s="1464">
        <f t="shared" si="406"/>
        <v>18</v>
      </c>
      <c r="B621" s="1464">
        <f t="shared" si="407"/>
        <v>39</v>
      </c>
      <c r="C621" s="1464">
        <f t="shared" si="408"/>
        <v>27</v>
      </c>
      <c r="D621" s="1271" t="str">
        <f ca="1">IF(OFFSET(PortfolioDashboard!$A$3,C621-1,0)="","Blank",OFFSET(PortfolioDashboard!$A$3,C621-1,0))</f>
        <v>Blank</v>
      </c>
      <c r="E621" s="1464" t="str">
        <f t="shared" si="409"/>
        <v>2010$</v>
      </c>
      <c r="F621" s="1460">
        <f t="shared" ca="1" si="410"/>
        <v>0</v>
      </c>
      <c r="G621" s="358">
        <f t="shared" ca="1" si="422"/>
        <v>0</v>
      </c>
      <c r="H621" s="358">
        <f t="shared" ca="1" si="422"/>
        <v>0</v>
      </c>
      <c r="I621" s="358">
        <f t="shared" ca="1" si="422"/>
        <v>0</v>
      </c>
      <c r="J621" s="358">
        <f t="shared" ca="1" si="422"/>
        <v>0</v>
      </c>
      <c r="K621" s="358">
        <f t="shared" ca="1" si="422"/>
        <v>0</v>
      </c>
      <c r="L621" s="358">
        <f t="shared" ca="1" si="422"/>
        <v>0</v>
      </c>
      <c r="M621" s="358">
        <f t="shared" ca="1" si="422"/>
        <v>0</v>
      </c>
      <c r="N621" s="358">
        <f t="shared" ca="1" si="422"/>
        <v>0</v>
      </c>
      <c r="O621" s="358">
        <f t="shared" ca="1" si="422"/>
        <v>0</v>
      </c>
      <c r="P621" s="358">
        <f t="shared" ca="1" si="422"/>
        <v>0</v>
      </c>
      <c r="Q621" s="358">
        <f t="shared" ca="1" si="423"/>
        <v>0</v>
      </c>
      <c r="R621" s="358">
        <f t="shared" ca="1" si="423"/>
        <v>0</v>
      </c>
      <c r="S621" s="358">
        <f t="shared" ca="1" si="423"/>
        <v>0</v>
      </c>
      <c r="T621" s="358">
        <f t="shared" ca="1" si="423"/>
        <v>0</v>
      </c>
      <c r="U621" s="358">
        <f t="shared" ca="1" si="423"/>
        <v>0</v>
      </c>
      <c r="V621" s="358">
        <f t="shared" ca="1" si="423"/>
        <v>0</v>
      </c>
      <c r="W621" s="358">
        <f t="shared" ca="1" si="423"/>
        <v>0</v>
      </c>
      <c r="X621" s="358">
        <f t="shared" ca="1" si="423"/>
        <v>0</v>
      </c>
      <c r="Y621" s="358">
        <f t="shared" ca="1" si="423"/>
        <v>0</v>
      </c>
      <c r="Z621" s="358">
        <f t="shared" ca="1" si="423"/>
        <v>0</v>
      </c>
      <c r="AA621" s="358">
        <f t="shared" ca="1" si="424"/>
        <v>0</v>
      </c>
      <c r="AB621" s="358">
        <f t="shared" ca="1" si="424"/>
        <v>0</v>
      </c>
      <c r="AC621" s="358">
        <f t="shared" ca="1" si="424"/>
        <v>0</v>
      </c>
      <c r="AD621" s="358">
        <f t="shared" ca="1" si="424"/>
        <v>0</v>
      </c>
      <c r="AE621" s="358">
        <f t="shared" ca="1" si="424"/>
        <v>0</v>
      </c>
      <c r="AF621" s="358">
        <f t="shared" ca="1" si="424"/>
        <v>0</v>
      </c>
      <c r="AG621" s="358">
        <f t="shared" ca="1" si="424"/>
        <v>0</v>
      </c>
      <c r="AH621" s="358">
        <f t="shared" ca="1" si="424"/>
        <v>0</v>
      </c>
      <c r="AI621" s="358">
        <f t="shared" ca="1" si="424"/>
        <v>0</v>
      </c>
      <c r="AJ621" s="358">
        <f t="shared" ca="1" si="424"/>
        <v>0</v>
      </c>
      <c r="AK621" s="358">
        <f t="shared" ca="1" si="425"/>
        <v>0</v>
      </c>
      <c r="AL621" s="358">
        <f t="shared" ca="1" si="425"/>
        <v>0</v>
      </c>
      <c r="AM621" s="358">
        <f t="shared" ca="1" si="425"/>
        <v>0</v>
      </c>
      <c r="AN621" s="358">
        <f t="shared" ca="1" si="425"/>
        <v>0</v>
      </c>
      <c r="AO621" s="358">
        <f t="shared" ca="1" si="425"/>
        <v>0</v>
      </c>
      <c r="AP621" s="358">
        <f t="shared" ca="1" si="425"/>
        <v>0</v>
      </c>
      <c r="AQ621" s="358">
        <f t="shared" ca="1" si="425"/>
        <v>0</v>
      </c>
      <c r="AR621" s="358">
        <f t="shared" ca="1" si="425"/>
        <v>0</v>
      </c>
      <c r="AS621" s="358">
        <f t="shared" ca="1" si="425"/>
        <v>0</v>
      </c>
      <c r="AT621" s="358">
        <f t="shared" ca="1" si="425"/>
        <v>0</v>
      </c>
      <c r="AV621" s="358">
        <f t="shared" ca="1" si="415"/>
        <v>0</v>
      </c>
      <c r="AX621" s="358">
        <f t="shared" ca="1" si="416"/>
        <v>0</v>
      </c>
      <c r="AZ621" s="358">
        <f t="shared" ca="1" si="417"/>
        <v>0</v>
      </c>
      <c r="BB621" s="358">
        <f t="shared" ca="1" si="418"/>
        <v>0</v>
      </c>
      <c r="BD621" s="358">
        <f t="shared" ca="1" si="419"/>
        <v>0</v>
      </c>
      <c r="BF621" s="358">
        <f t="shared" ca="1" si="420"/>
        <v>0</v>
      </c>
      <c r="BH621" s="358">
        <f t="shared" ca="1" si="421"/>
        <v>0</v>
      </c>
    </row>
    <row r="622" spans="1:60" hidden="1" outlineLevel="1">
      <c r="A622" s="1464">
        <f t="shared" si="406"/>
        <v>18</v>
      </c>
      <c r="B622" s="1464">
        <f t="shared" si="407"/>
        <v>39</v>
      </c>
      <c r="C622" s="1464">
        <f t="shared" si="408"/>
        <v>28</v>
      </c>
      <c r="D622" s="1271" t="str">
        <f ca="1">IF(OFFSET(PortfolioDashboard!$A$3,C622-1,0)="","Blank",OFFSET(PortfolioDashboard!$A$3,C622-1,0))</f>
        <v>Blank</v>
      </c>
      <c r="E622" s="1464" t="str">
        <f t="shared" si="409"/>
        <v>2010$</v>
      </c>
      <c r="F622" s="1460">
        <f t="shared" ca="1" si="410"/>
        <v>0</v>
      </c>
      <c r="G622" s="358">
        <f t="shared" ca="1" si="422"/>
        <v>0</v>
      </c>
      <c r="H622" s="358">
        <f t="shared" ca="1" si="422"/>
        <v>0</v>
      </c>
      <c r="I622" s="358">
        <f t="shared" ca="1" si="422"/>
        <v>0</v>
      </c>
      <c r="J622" s="358">
        <f t="shared" ca="1" si="422"/>
        <v>0</v>
      </c>
      <c r="K622" s="358">
        <f t="shared" ca="1" si="422"/>
        <v>0</v>
      </c>
      <c r="L622" s="358">
        <f t="shared" ca="1" si="422"/>
        <v>0</v>
      </c>
      <c r="M622" s="358">
        <f t="shared" ca="1" si="422"/>
        <v>0</v>
      </c>
      <c r="N622" s="358">
        <f t="shared" ca="1" si="422"/>
        <v>0</v>
      </c>
      <c r="O622" s="358">
        <f t="shared" ca="1" si="422"/>
        <v>0</v>
      </c>
      <c r="P622" s="358">
        <f t="shared" ca="1" si="422"/>
        <v>0</v>
      </c>
      <c r="Q622" s="358">
        <f t="shared" ca="1" si="423"/>
        <v>0</v>
      </c>
      <c r="R622" s="358">
        <f t="shared" ca="1" si="423"/>
        <v>0</v>
      </c>
      <c r="S622" s="358">
        <f t="shared" ca="1" si="423"/>
        <v>0</v>
      </c>
      <c r="T622" s="358">
        <f t="shared" ca="1" si="423"/>
        <v>0</v>
      </c>
      <c r="U622" s="358">
        <f t="shared" ca="1" si="423"/>
        <v>0</v>
      </c>
      <c r="V622" s="358">
        <f t="shared" ca="1" si="423"/>
        <v>0</v>
      </c>
      <c r="W622" s="358">
        <f t="shared" ca="1" si="423"/>
        <v>0</v>
      </c>
      <c r="X622" s="358">
        <f t="shared" ca="1" si="423"/>
        <v>0</v>
      </c>
      <c r="Y622" s="358">
        <f t="shared" ca="1" si="423"/>
        <v>0</v>
      </c>
      <c r="Z622" s="358">
        <f t="shared" ca="1" si="423"/>
        <v>0</v>
      </c>
      <c r="AA622" s="358">
        <f t="shared" ca="1" si="424"/>
        <v>0</v>
      </c>
      <c r="AB622" s="358">
        <f t="shared" ca="1" si="424"/>
        <v>0</v>
      </c>
      <c r="AC622" s="358">
        <f t="shared" ca="1" si="424"/>
        <v>0</v>
      </c>
      <c r="AD622" s="358">
        <f t="shared" ca="1" si="424"/>
        <v>0</v>
      </c>
      <c r="AE622" s="358">
        <f t="shared" ca="1" si="424"/>
        <v>0</v>
      </c>
      <c r="AF622" s="358">
        <f t="shared" ca="1" si="424"/>
        <v>0</v>
      </c>
      <c r="AG622" s="358">
        <f t="shared" ca="1" si="424"/>
        <v>0</v>
      </c>
      <c r="AH622" s="358">
        <f t="shared" ca="1" si="424"/>
        <v>0</v>
      </c>
      <c r="AI622" s="358">
        <f t="shared" ca="1" si="424"/>
        <v>0</v>
      </c>
      <c r="AJ622" s="358">
        <f t="shared" ca="1" si="424"/>
        <v>0</v>
      </c>
      <c r="AK622" s="358">
        <f t="shared" ca="1" si="425"/>
        <v>0</v>
      </c>
      <c r="AL622" s="358">
        <f t="shared" ca="1" si="425"/>
        <v>0</v>
      </c>
      <c r="AM622" s="358">
        <f t="shared" ca="1" si="425"/>
        <v>0</v>
      </c>
      <c r="AN622" s="358">
        <f t="shared" ca="1" si="425"/>
        <v>0</v>
      </c>
      <c r="AO622" s="358">
        <f t="shared" ca="1" si="425"/>
        <v>0</v>
      </c>
      <c r="AP622" s="358">
        <f t="shared" ca="1" si="425"/>
        <v>0</v>
      </c>
      <c r="AQ622" s="358">
        <f t="shared" ca="1" si="425"/>
        <v>0</v>
      </c>
      <c r="AR622" s="358">
        <f t="shared" ca="1" si="425"/>
        <v>0</v>
      </c>
      <c r="AS622" s="358">
        <f t="shared" ca="1" si="425"/>
        <v>0</v>
      </c>
      <c r="AT622" s="358">
        <f t="shared" ca="1" si="425"/>
        <v>0</v>
      </c>
      <c r="AV622" s="358">
        <f t="shared" ca="1" si="415"/>
        <v>0</v>
      </c>
      <c r="AX622" s="358">
        <f t="shared" ca="1" si="416"/>
        <v>0</v>
      </c>
      <c r="AZ622" s="358">
        <f t="shared" ca="1" si="417"/>
        <v>0</v>
      </c>
      <c r="BB622" s="358">
        <f t="shared" ca="1" si="418"/>
        <v>0</v>
      </c>
      <c r="BD622" s="358">
        <f t="shared" ca="1" si="419"/>
        <v>0</v>
      </c>
      <c r="BF622" s="358">
        <f t="shared" ca="1" si="420"/>
        <v>0</v>
      </c>
      <c r="BH622" s="358">
        <f t="shared" ca="1" si="421"/>
        <v>0</v>
      </c>
    </row>
    <row r="623" spans="1:60" hidden="1" outlineLevel="1">
      <c r="A623" s="1464">
        <f t="shared" si="406"/>
        <v>18</v>
      </c>
      <c r="B623" s="1464">
        <f t="shared" si="407"/>
        <v>39</v>
      </c>
      <c r="C623" s="1464">
        <f t="shared" si="408"/>
        <v>29</v>
      </c>
      <c r="D623" s="1271" t="str">
        <f ca="1">IF(OFFSET(PortfolioDashboard!$A$3,C623-1,0)="","Blank",OFFSET(PortfolioDashboard!$A$3,C623-1,0))</f>
        <v>Blank</v>
      </c>
      <c r="E623" s="1464" t="str">
        <f t="shared" si="409"/>
        <v>2010$</v>
      </c>
      <c r="F623" s="1460">
        <f t="shared" ca="1" si="410"/>
        <v>0</v>
      </c>
      <c r="G623" s="358">
        <f t="shared" ca="1" si="422"/>
        <v>0</v>
      </c>
      <c r="H623" s="358">
        <f t="shared" ca="1" si="422"/>
        <v>0</v>
      </c>
      <c r="I623" s="358">
        <f t="shared" ca="1" si="422"/>
        <v>0</v>
      </c>
      <c r="J623" s="358">
        <f t="shared" ca="1" si="422"/>
        <v>0</v>
      </c>
      <c r="K623" s="358">
        <f t="shared" ca="1" si="422"/>
        <v>0</v>
      </c>
      <c r="L623" s="358">
        <f t="shared" ca="1" si="422"/>
        <v>0</v>
      </c>
      <c r="M623" s="358">
        <f t="shared" ca="1" si="422"/>
        <v>0</v>
      </c>
      <c r="N623" s="358">
        <f t="shared" ca="1" si="422"/>
        <v>0</v>
      </c>
      <c r="O623" s="358">
        <f t="shared" ca="1" si="422"/>
        <v>0</v>
      </c>
      <c r="P623" s="358">
        <f t="shared" ca="1" si="422"/>
        <v>0</v>
      </c>
      <c r="Q623" s="358">
        <f t="shared" ca="1" si="423"/>
        <v>0</v>
      </c>
      <c r="R623" s="358">
        <f t="shared" ca="1" si="423"/>
        <v>0</v>
      </c>
      <c r="S623" s="358">
        <f t="shared" ca="1" si="423"/>
        <v>0</v>
      </c>
      <c r="T623" s="358">
        <f t="shared" ca="1" si="423"/>
        <v>0</v>
      </c>
      <c r="U623" s="358">
        <f t="shared" ca="1" si="423"/>
        <v>0</v>
      </c>
      <c r="V623" s="358">
        <f t="shared" ca="1" si="423"/>
        <v>0</v>
      </c>
      <c r="W623" s="358">
        <f t="shared" ca="1" si="423"/>
        <v>0</v>
      </c>
      <c r="X623" s="358">
        <f t="shared" ca="1" si="423"/>
        <v>0</v>
      </c>
      <c r="Y623" s="358">
        <f t="shared" ca="1" si="423"/>
        <v>0</v>
      </c>
      <c r="Z623" s="358">
        <f t="shared" ca="1" si="423"/>
        <v>0</v>
      </c>
      <c r="AA623" s="358">
        <f t="shared" ca="1" si="424"/>
        <v>0</v>
      </c>
      <c r="AB623" s="358">
        <f t="shared" ca="1" si="424"/>
        <v>0</v>
      </c>
      <c r="AC623" s="358">
        <f t="shared" ca="1" si="424"/>
        <v>0</v>
      </c>
      <c r="AD623" s="358">
        <f t="shared" ca="1" si="424"/>
        <v>0</v>
      </c>
      <c r="AE623" s="358">
        <f t="shared" ca="1" si="424"/>
        <v>0</v>
      </c>
      <c r="AF623" s="358">
        <f t="shared" ca="1" si="424"/>
        <v>0</v>
      </c>
      <c r="AG623" s="358">
        <f t="shared" ca="1" si="424"/>
        <v>0</v>
      </c>
      <c r="AH623" s="358">
        <f t="shared" ca="1" si="424"/>
        <v>0</v>
      </c>
      <c r="AI623" s="358">
        <f t="shared" ca="1" si="424"/>
        <v>0</v>
      </c>
      <c r="AJ623" s="358">
        <f t="shared" ca="1" si="424"/>
        <v>0</v>
      </c>
      <c r="AK623" s="358">
        <f t="shared" ca="1" si="425"/>
        <v>0</v>
      </c>
      <c r="AL623" s="358">
        <f t="shared" ca="1" si="425"/>
        <v>0</v>
      </c>
      <c r="AM623" s="358">
        <f t="shared" ca="1" si="425"/>
        <v>0</v>
      </c>
      <c r="AN623" s="358">
        <f t="shared" ca="1" si="425"/>
        <v>0</v>
      </c>
      <c r="AO623" s="358">
        <f t="shared" ca="1" si="425"/>
        <v>0</v>
      </c>
      <c r="AP623" s="358">
        <f t="shared" ca="1" si="425"/>
        <v>0</v>
      </c>
      <c r="AQ623" s="358">
        <f t="shared" ca="1" si="425"/>
        <v>0</v>
      </c>
      <c r="AR623" s="358">
        <f t="shared" ca="1" si="425"/>
        <v>0</v>
      </c>
      <c r="AS623" s="358">
        <f t="shared" ca="1" si="425"/>
        <v>0</v>
      </c>
      <c r="AT623" s="358">
        <f t="shared" ca="1" si="425"/>
        <v>0</v>
      </c>
      <c r="AV623" s="358">
        <f t="shared" ca="1" si="415"/>
        <v>0</v>
      </c>
      <c r="AX623" s="358">
        <f t="shared" ca="1" si="416"/>
        <v>0</v>
      </c>
      <c r="AZ623" s="358">
        <f t="shared" ca="1" si="417"/>
        <v>0</v>
      </c>
      <c r="BB623" s="358">
        <f t="shared" ca="1" si="418"/>
        <v>0</v>
      </c>
      <c r="BD623" s="358">
        <f t="shared" ca="1" si="419"/>
        <v>0</v>
      </c>
      <c r="BF623" s="358">
        <f t="shared" ca="1" si="420"/>
        <v>0</v>
      </c>
      <c r="BH623" s="358">
        <f t="shared" ca="1" si="421"/>
        <v>0</v>
      </c>
    </row>
    <row r="624" spans="1:60" hidden="1" outlineLevel="1">
      <c r="A624" s="1464">
        <f t="shared" si="406"/>
        <v>18</v>
      </c>
      <c r="B624" s="1464">
        <f t="shared" si="407"/>
        <v>39</v>
      </c>
      <c r="C624" s="1464">
        <f t="shared" si="408"/>
        <v>30</v>
      </c>
      <c r="D624" s="1271" t="str">
        <f ca="1">IF(OFFSET(PortfolioDashboard!$A$3,C624-1,0)="","Blank",OFFSET(PortfolioDashboard!$A$3,C624-1,0))</f>
        <v>Blank</v>
      </c>
      <c r="E624" s="1464" t="str">
        <f t="shared" si="409"/>
        <v>2010$</v>
      </c>
      <c r="F624" s="1460">
        <f t="shared" ca="1" si="410"/>
        <v>0</v>
      </c>
      <c r="G624" s="358">
        <f t="shared" ca="1" si="422"/>
        <v>0</v>
      </c>
      <c r="H624" s="358">
        <f t="shared" ca="1" si="422"/>
        <v>0</v>
      </c>
      <c r="I624" s="358">
        <f t="shared" ca="1" si="422"/>
        <v>0</v>
      </c>
      <c r="J624" s="358">
        <f t="shared" ca="1" si="422"/>
        <v>0</v>
      </c>
      <c r="K624" s="358">
        <f t="shared" ca="1" si="422"/>
        <v>0</v>
      </c>
      <c r="L624" s="358">
        <f t="shared" ca="1" si="422"/>
        <v>0</v>
      </c>
      <c r="M624" s="358">
        <f t="shared" ca="1" si="422"/>
        <v>0</v>
      </c>
      <c r="N624" s="358">
        <f t="shared" ca="1" si="422"/>
        <v>0</v>
      </c>
      <c r="O624" s="358">
        <f t="shared" ca="1" si="422"/>
        <v>0</v>
      </c>
      <c r="P624" s="358">
        <f t="shared" ca="1" si="422"/>
        <v>0</v>
      </c>
      <c r="Q624" s="358">
        <f t="shared" ca="1" si="423"/>
        <v>0</v>
      </c>
      <c r="R624" s="358">
        <f t="shared" ca="1" si="423"/>
        <v>0</v>
      </c>
      <c r="S624" s="358">
        <f t="shared" ca="1" si="423"/>
        <v>0</v>
      </c>
      <c r="T624" s="358">
        <f t="shared" ca="1" si="423"/>
        <v>0</v>
      </c>
      <c r="U624" s="358">
        <f t="shared" ca="1" si="423"/>
        <v>0</v>
      </c>
      <c r="V624" s="358">
        <f t="shared" ca="1" si="423"/>
        <v>0</v>
      </c>
      <c r="W624" s="358">
        <f t="shared" ca="1" si="423"/>
        <v>0</v>
      </c>
      <c r="X624" s="358">
        <f t="shared" ca="1" si="423"/>
        <v>0</v>
      </c>
      <c r="Y624" s="358">
        <f t="shared" ca="1" si="423"/>
        <v>0</v>
      </c>
      <c r="Z624" s="358">
        <f t="shared" ca="1" si="423"/>
        <v>0</v>
      </c>
      <c r="AA624" s="358">
        <f t="shared" ca="1" si="424"/>
        <v>0</v>
      </c>
      <c r="AB624" s="358">
        <f t="shared" ca="1" si="424"/>
        <v>0</v>
      </c>
      <c r="AC624" s="358">
        <f t="shared" ca="1" si="424"/>
        <v>0</v>
      </c>
      <c r="AD624" s="358">
        <f t="shared" ca="1" si="424"/>
        <v>0</v>
      </c>
      <c r="AE624" s="358">
        <f t="shared" ca="1" si="424"/>
        <v>0</v>
      </c>
      <c r="AF624" s="358">
        <f t="shared" ca="1" si="424"/>
        <v>0</v>
      </c>
      <c r="AG624" s="358">
        <f t="shared" ca="1" si="424"/>
        <v>0</v>
      </c>
      <c r="AH624" s="358">
        <f t="shared" ca="1" si="424"/>
        <v>0</v>
      </c>
      <c r="AI624" s="358">
        <f t="shared" ca="1" si="424"/>
        <v>0</v>
      </c>
      <c r="AJ624" s="358">
        <f t="shared" ca="1" si="424"/>
        <v>0</v>
      </c>
      <c r="AK624" s="358">
        <f t="shared" ca="1" si="425"/>
        <v>0</v>
      </c>
      <c r="AL624" s="358">
        <f t="shared" ca="1" si="425"/>
        <v>0</v>
      </c>
      <c r="AM624" s="358">
        <f t="shared" ca="1" si="425"/>
        <v>0</v>
      </c>
      <c r="AN624" s="358">
        <f t="shared" ca="1" si="425"/>
        <v>0</v>
      </c>
      <c r="AO624" s="358">
        <f t="shared" ca="1" si="425"/>
        <v>0</v>
      </c>
      <c r="AP624" s="358">
        <f t="shared" ca="1" si="425"/>
        <v>0</v>
      </c>
      <c r="AQ624" s="358">
        <f t="shared" ca="1" si="425"/>
        <v>0</v>
      </c>
      <c r="AR624" s="358">
        <f t="shared" ca="1" si="425"/>
        <v>0</v>
      </c>
      <c r="AS624" s="358">
        <f t="shared" ca="1" si="425"/>
        <v>0</v>
      </c>
      <c r="AT624" s="358">
        <f t="shared" ca="1" si="425"/>
        <v>0</v>
      </c>
      <c r="AV624" s="358">
        <f t="shared" ca="1" si="415"/>
        <v>0</v>
      </c>
      <c r="AX624" s="358">
        <f t="shared" ca="1" si="416"/>
        <v>0</v>
      </c>
      <c r="AZ624" s="358">
        <f t="shared" ca="1" si="417"/>
        <v>0</v>
      </c>
      <c r="BB624" s="358">
        <f t="shared" ca="1" si="418"/>
        <v>0</v>
      </c>
      <c r="BD624" s="358">
        <f t="shared" ca="1" si="419"/>
        <v>0</v>
      </c>
      <c r="BF624" s="358">
        <f t="shared" ca="1" si="420"/>
        <v>0</v>
      </c>
      <c r="BH624" s="358">
        <f t="shared" ca="1" si="421"/>
        <v>0</v>
      </c>
    </row>
    <row r="625" spans="1:60" ht="15.75" collapsed="1" thickTop="1">
      <c r="A625" s="1464"/>
      <c r="B625" s="1464"/>
      <c r="C625" s="1464"/>
      <c r="D625" s="1272" t="s">
        <v>1509</v>
      </c>
      <c r="E625" s="1270" t="str">
        <f>E595</f>
        <v>2010$</v>
      </c>
      <c r="F625" s="1461">
        <f t="shared" ca="1" si="410"/>
        <v>0</v>
      </c>
      <c r="G625" s="1277">
        <f t="shared" ref="G625:AT625" ca="1" si="426">SUM(G595:G624)</f>
        <v>0</v>
      </c>
      <c r="H625" s="1277">
        <f t="shared" ca="1" si="426"/>
        <v>0</v>
      </c>
      <c r="I625" s="1277">
        <f t="shared" ca="1" si="426"/>
        <v>0</v>
      </c>
      <c r="J625" s="1277">
        <f t="shared" ca="1" si="426"/>
        <v>0</v>
      </c>
      <c r="K625" s="1277">
        <f t="shared" ca="1" si="426"/>
        <v>0</v>
      </c>
      <c r="L625" s="1277">
        <f t="shared" ca="1" si="426"/>
        <v>0</v>
      </c>
      <c r="M625" s="1277">
        <f t="shared" ca="1" si="426"/>
        <v>0</v>
      </c>
      <c r="N625" s="1277">
        <f t="shared" ca="1" si="426"/>
        <v>0</v>
      </c>
      <c r="O625" s="1277">
        <f t="shared" ca="1" si="426"/>
        <v>0</v>
      </c>
      <c r="P625" s="1277">
        <f t="shared" ca="1" si="426"/>
        <v>0</v>
      </c>
      <c r="Q625" s="1277">
        <f t="shared" ca="1" si="426"/>
        <v>0</v>
      </c>
      <c r="R625" s="1277">
        <f t="shared" ca="1" si="426"/>
        <v>0</v>
      </c>
      <c r="S625" s="1277">
        <f t="shared" ca="1" si="426"/>
        <v>0</v>
      </c>
      <c r="T625" s="1277">
        <f t="shared" ca="1" si="426"/>
        <v>0</v>
      </c>
      <c r="U625" s="1277">
        <f t="shared" ca="1" si="426"/>
        <v>0</v>
      </c>
      <c r="V625" s="1277">
        <f t="shared" ca="1" si="426"/>
        <v>0</v>
      </c>
      <c r="W625" s="1277">
        <f t="shared" ca="1" si="426"/>
        <v>0</v>
      </c>
      <c r="X625" s="1277">
        <f t="shared" ca="1" si="426"/>
        <v>0</v>
      </c>
      <c r="Y625" s="1277">
        <f t="shared" ca="1" si="426"/>
        <v>0</v>
      </c>
      <c r="Z625" s="1277">
        <f t="shared" ca="1" si="426"/>
        <v>0</v>
      </c>
      <c r="AA625" s="1277">
        <f t="shared" ca="1" si="426"/>
        <v>0</v>
      </c>
      <c r="AB625" s="1277">
        <f t="shared" ca="1" si="426"/>
        <v>0</v>
      </c>
      <c r="AC625" s="1277">
        <f t="shared" ca="1" si="426"/>
        <v>0</v>
      </c>
      <c r="AD625" s="1277">
        <f t="shared" ca="1" si="426"/>
        <v>0</v>
      </c>
      <c r="AE625" s="1277">
        <f t="shared" ca="1" si="426"/>
        <v>0</v>
      </c>
      <c r="AF625" s="1277">
        <f t="shared" ca="1" si="426"/>
        <v>0</v>
      </c>
      <c r="AG625" s="1277">
        <f t="shared" ca="1" si="426"/>
        <v>0</v>
      </c>
      <c r="AH625" s="1277">
        <f t="shared" ca="1" si="426"/>
        <v>0</v>
      </c>
      <c r="AI625" s="1277">
        <f t="shared" ca="1" si="426"/>
        <v>0</v>
      </c>
      <c r="AJ625" s="1277">
        <f t="shared" ca="1" si="426"/>
        <v>0</v>
      </c>
      <c r="AK625" s="1277">
        <f t="shared" ca="1" si="426"/>
        <v>0</v>
      </c>
      <c r="AL625" s="1277">
        <f t="shared" ca="1" si="426"/>
        <v>0</v>
      </c>
      <c r="AM625" s="1277">
        <f t="shared" ca="1" si="426"/>
        <v>0</v>
      </c>
      <c r="AN625" s="1277">
        <f t="shared" ca="1" si="426"/>
        <v>0</v>
      </c>
      <c r="AO625" s="1277">
        <f t="shared" ca="1" si="426"/>
        <v>0</v>
      </c>
      <c r="AP625" s="1277">
        <f t="shared" ca="1" si="426"/>
        <v>0</v>
      </c>
      <c r="AQ625" s="1277">
        <f t="shared" ca="1" si="426"/>
        <v>0</v>
      </c>
      <c r="AR625" s="1277">
        <f t="shared" ca="1" si="426"/>
        <v>0</v>
      </c>
      <c r="AS625" s="1277">
        <f t="shared" ca="1" si="426"/>
        <v>0</v>
      </c>
      <c r="AT625" s="1277">
        <f t="shared" ca="1" si="426"/>
        <v>0</v>
      </c>
      <c r="AV625" s="1277">
        <f t="shared" ca="1" si="415"/>
        <v>0</v>
      </c>
      <c r="AX625" s="1277">
        <f t="shared" ca="1" si="416"/>
        <v>0</v>
      </c>
      <c r="AZ625" s="1277">
        <f t="shared" ca="1" si="417"/>
        <v>0</v>
      </c>
      <c r="BB625" s="1277">
        <f t="shared" ca="1" si="418"/>
        <v>0</v>
      </c>
      <c r="BD625" s="1277">
        <f t="shared" ca="1" si="419"/>
        <v>0</v>
      </c>
      <c r="BF625" s="1277">
        <f t="shared" ca="1" si="420"/>
        <v>0</v>
      </c>
      <c r="BH625" s="1277">
        <f t="shared" ca="1" si="421"/>
        <v>0</v>
      </c>
    </row>
    <row r="626" spans="1:60" hidden="1" outlineLevel="1">
      <c r="A626" s="1464">
        <v>18</v>
      </c>
      <c r="B626" s="1464">
        <v>40</v>
      </c>
      <c r="C626" s="1464">
        <v>1</v>
      </c>
      <c r="D626" s="1271" t="str">
        <f ca="1">IF(OFFSET(PortfolioDashboard!$A$3,C626-1,0)="","Blank",OFFSET(PortfolioDashboard!$A$3,C626-1,0))</f>
        <v>Behavior Change</v>
      </c>
      <c r="E626" s="1464" t="s">
        <v>1197</v>
      </c>
      <c r="F626" s="1460">
        <f t="shared" ca="1" si="410"/>
        <v>4572154.9945188444</v>
      </c>
      <c r="G626" s="358">
        <f ca="1">G688-G657</f>
        <v>0</v>
      </c>
      <c r="H626" s="358">
        <f t="shared" ref="H626:AT626" ca="1" si="427">H688-H657</f>
        <v>0</v>
      </c>
      <c r="I626" s="358">
        <f t="shared" ca="1" si="427"/>
        <v>-46448.796041314905</v>
      </c>
      <c r="J626" s="358">
        <f t="shared" ca="1" si="427"/>
        <v>6568.7606326365349</v>
      </c>
      <c r="K626" s="358">
        <f t="shared" ca="1" si="427"/>
        <v>58816.497135064274</v>
      </c>
      <c r="L626" s="358">
        <f t="shared" ca="1" si="427"/>
        <v>111097.00682058393</v>
      </c>
      <c r="M626" s="358">
        <f t="shared" ca="1" si="427"/>
        <v>162678.66776701325</v>
      </c>
      <c r="N626" s="358">
        <f t="shared" ca="1" si="427"/>
        <v>263757.26014464517</v>
      </c>
      <c r="O626" s="358">
        <f t="shared" ca="1" si="427"/>
        <v>303910.49623076181</v>
      </c>
      <c r="P626" s="358">
        <f t="shared" ca="1" si="427"/>
        <v>343634.90475888533</v>
      </c>
      <c r="Q626" s="358">
        <f t="shared" ca="1" si="427"/>
        <v>382919.79512423207</v>
      </c>
      <c r="R626" s="358">
        <f t="shared" ca="1" si="427"/>
        <v>421754.40128885035</v>
      </c>
      <c r="S626" s="358">
        <f t="shared" ca="1" si="427"/>
        <v>460127.87908462167</v>
      </c>
      <c r="T626" s="358">
        <f t="shared" ca="1" si="427"/>
        <v>457434.54038558569</v>
      </c>
      <c r="U626" s="358">
        <f t="shared" ca="1" si="427"/>
        <v>458222.41153454722</v>
      </c>
      <c r="V626" s="358">
        <f t="shared" ca="1" si="427"/>
        <v>459000.35785039974</v>
      </c>
      <c r="W626" s="358">
        <f t="shared" ca="1" si="427"/>
        <v>459768.38845003967</v>
      </c>
      <c r="X626" s="358">
        <f t="shared" ca="1" si="427"/>
        <v>460526.50810804113</v>
      </c>
      <c r="Y626" s="358">
        <f t="shared" ca="1" si="427"/>
        <v>461274.7174313349</v>
      </c>
      <c r="Z626" s="358">
        <f t="shared" ca="1" si="427"/>
        <v>462013.01302345045</v>
      </c>
      <c r="AA626" s="358">
        <f t="shared" ca="1" si="427"/>
        <v>462741.38763903326</v>
      </c>
      <c r="AB626" s="358">
        <f t="shared" ca="1" si="427"/>
        <v>463459.83032926579</v>
      </c>
      <c r="AC626" s="358">
        <f t="shared" ca="1" si="427"/>
        <v>464168.32657880196</v>
      </c>
      <c r="AD626" s="358">
        <f t="shared" ca="1" si="427"/>
        <v>464866.85843475349</v>
      </c>
      <c r="AE626" s="358">
        <f t="shared" ca="1" si="427"/>
        <v>466831.57492687082</v>
      </c>
      <c r="AF626" s="358">
        <f t="shared" ca="1" si="427"/>
        <v>468799.0429892689</v>
      </c>
      <c r="AG626" s="358">
        <f t="shared" ca="1" si="427"/>
        <v>470769.33077116881</v>
      </c>
      <c r="AH626" s="358">
        <f t="shared" ca="1" si="427"/>
        <v>472742.50406854681</v>
      </c>
      <c r="AI626" s="358">
        <f t="shared" ca="1" si="427"/>
        <v>474718.62642436032</v>
      </c>
      <c r="AJ626" s="358">
        <f t="shared" ca="1" si="427"/>
        <v>476697.75922341394</v>
      </c>
      <c r="AK626" s="358">
        <f t="shared" ca="1" si="427"/>
        <v>478679.96178219956</v>
      </c>
      <c r="AL626" s="358">
        <f t="shared" ca="1" si="427"/>
        <v>480665.29143400711</v>
      </c>
      <c r="AM626" s="358">
        <f t="shared" ca="1" si="427"/>
        <v>482653.80360959511</v>
      </c>
      <c r="AN626" s="358">
        <f t="shared" ca="1" si="427"/>
        <v>484645.55191368348</v>
      </c>
      <c r="AO626" s="358">
        <f t="shared" ca="1" si="427"/>
        <v>486640.58819751546</v>
      </c>
      <c r="AP626" s="358">
        <f t="shared" ca="1" si="427"/>
        <v>488638.9626277184</v>
      </c>
      <c r="AQ626" s="358">
        <f t="shared" ca="1" si="427"/>
        <v>490640.72375167708</v>
      </c>
      <c r="AR626" s="358">
        <f t="shared" ca="1" si="427"/>
        <v>492645.91855962173</v>
      </c>
      <c r="AS626" s="358">
        <f t="shared" ca="1" si="427"/>
        <v>494654.59254361904</v>
      </c>
      <c r="AT626" s="358">
        <f t="shared" ca="1" si="427"/>
        <v>496666.78975363541</v>
      </c>
      <c r="AV626" s="358">
        <f t="shared" ref="AV626:AV656" ca="1" si="428">SUM(L626:P626)</f>
        <v>1185078.3357218895</v>
      </c>
      <c r="AX626" s="358">
        <f t="shared" ref="AX626:AX656" ca="1" si="429">SUM(Q626:U626)</f>
        <v>2180459.0274178372</v>
      </c>
      <c r="AZ626" s="358">
        <f t="shared" ref="AZ626:AZ656" ca="1" si="430">SUM(V626:Z626)</f>
        <v>2302582.9848632659</v>
      </c>
      <c r="BB626" s="358">
        <f t="shared" ref="BB626:BB656" ca="1" si="431">SUM(AA626:AE626)</f>
        <v>2322067.9779087254</v>
      </c>
      <c r="BD626" s="358">
        <f t="shared" ref="BD626:BD656" ca="1" si="432">SUM(AF626:AJ626)</f>
        <v>2363727.2634767587</v>
      </c>
      <c r="BF626" s="358">
        <f t="shared" ref="BF626:BF656" ca="1" si="433">SUM(AK626:AO626)</f>
        <v>2413285.1969370008</v>
      </c>
      <c r="BH626" s="358">
        <f t="shared" ref="BH626:BH656" ca="1" si="434">SUM(AP626:AT626)</f>
        <v>2463246.9872362716</v>
      </c>
    </row>
    <row r="627" spans="1:60" hidden="1" outlineLevel="1">
      <c r="A627" s="1464">
        <f>A626</f>
        <v>18</v>
      </c>
      <c r="B627" s="1464">
        <f>B626</f>
        <v>40</v>
      </c>
      <c r="C627" s="1464">
        <f>C626+1</f>
        <v>2</v>
      </c>
      <c r="D627" s="1271" t="str">
        <f ca="1">IF(OFFSET(PortfolioDashboard!$A$3,C627-1,0)="","Blank",OFFSET(PortfolioDashboard!$A$3,C627-1,0))</f>
        <v>Building Design &amp; Construction Standards</v>
      </c>
      <c r="E627" s="1464" t="str">
        <f>E626</f>
        <v>2010$</v>
      </c>
      <c r="F627" s="1460">
        <f t="shared" ca="1" si="410"/>
        <v>9488027.3311490174</v>
      </c>
      <c r="G627" s="358">
        <f t="shared" ref="G627:AT627" ca="1" si="435">G689-G658</f>
        <v>0</v>
      </c>
      <c r="H627" s="358">
        <f t="shared" ca="1" si="435"/>
        <v>-448837.06550606014</v>
      </c>
      <c r="I627" s="358">
        <f t="shared" ca="1" si="435"/>
        <v>-1955066.851913526</v>
      </c>
      <c r="J627" s="358">
        <f t="shared" ca="1" si="435"/>
        <v>-430152.95448686951</v>
      </c>
      <c r="K627" s="358">
        <f t="shared" ca="1" si="435"/>
        <v>146213.64348080289</v>
      </c>
      <c r="L627" s="358">
        <f t="shared" ca="1" si="435"/>
        <v>-998341.74806783267</v>
      </c>
      <c r="M627" s="358">
        <f t="shared" ca="1" si="435"/>
        <v>456159.2943389478</v>
      </c>
      <c r="N627" s="358">
        <f t="shared" ca="1" si="435"/>
        <v>511283.9552511574</v>
      </c>
      <c r="O627" s="358">
        <f t="shared" ca="1" si="435"/>
        <v>567032.56378171348</v>
      </c>
      <c r="P627" s="358">
        <f t="shared" ca="1" si="435"/>
        <v>623405.62504275271</v>
      </c>
      <c r="Q627" s="358">
        <f t="shared" ca="1" si="435"/>
        <v>680403.81233809586</v>
      </c>
      <c r="R627" s="358">
        <f t="shared" ca="1" si="435"/>
        <v>738027.95985765825</v>
      </c>
      <c r="S627" s="358">
        <f t="shared" ca="1" si="435"/>
        <v>796279.05583732598</v>
      </c>
      <c r="T627" s="358">
        <f t="shared" ca="1" si="435"/>
        <v>855158.23615112994</v>
      </c>
      <c r="U627" s="358">
        <f t="shared" ca="1" si="435"/>
        <v>914666.77830493171</v>
      </c>
      <c r="V627" s="358">
        <f t="shared" ca="1" si="435"/>
        <v>974806.09580306953</v>
      </c>
      <c r="W627" s="358">
        <f t="shared" ca="1" si="435"/>
        <v>1035577.7328629997</v>
      </c>
      <c r="X627" s="358">
        <f t="shared" ca="1" si="435"/>
        <v>1096983.3594528213</v>
      </c>
      <c r="Y627" s="358">
        <f t="shared" ca="1" si="435"/>
        <v>1159024.766630481</v>
      </c>
      <c r="Z627" s="358">
        <f t="shared" ca="1" si="435"/>
        <v>1221703.8621641712</v>
      </c>
      <c r="AA627" s="358">
        <f t="shared" ca="1" si="435"/>
        <v>1285022.6664148592</v>
      </c>
      <c r="AB627" s="358">
        <f t="shared" ca="1" si="435"/>
        <v>1348983.3084638293</v>
      </c>
      <c r="AC627" s="358">
        <f t="shared" ca="1" si="435"/>
        <v>1413588.0224693008</v>
      </c>
      <c r="AD627" s="358">
        <f t="shared" ca="1" si="435"/>
        <v>1478839.1442370471</v>
      </c>
      <c r="AE627" s="358">
        <f t="shared" ca="1" si="435"/>
        <v>1544739.1079914058</v>
      </c>
      <c r="AF627" s="358">
        <f t="shared" ca="1" si="435"/>
        <v>1611290.4433337233</v>
      </c>
      <c r="AG627" s="358">
        <f t="shared" ca="1" si="435"/>
        <v>1678495.7723768235</v>
      </c>
      <c r="AH627" s="358">
        <f t="shared" ca="1" si="435"/>
        <v>1746357.8070442812</v>
      </c>
      <c r="AI627" s="358">
        <f t="shared" ca="1" si="435"/>
        <v>1814879.3465238658</v>
      </c>
      <c r="AJ627" s="358">
        <f t="shared" ca="1" si="435"/>
        <v>1884063.27486677</v>
      </c>
      <c r="AK627" s="358">
        <f t="shared" ca="1" si="435"/>
        <v>1953912.5587227712</v>
      </c>
      <c r="AL627" s="358">
        <f t="shared" ca="1" si="435"/>
        <v>2024430.2452036554</v>
      </c>
      <c r="AM627" s="358">
        <f t="shared" ca="1" si="435"/>
        <v>2095619.4598671389</v>
      </c>
      <c r="AN627" s="358">
        <f t="shared" ca="1" si="435"/>
        <v>2167483.4048140165</v>
      </c>
      <c r="AO627" s="358">
        <f t="shared" ca="1" si="435"/>
        <v>2240025.3568925094</v>
      </c>
      <c r="AP627" s="358">
        <f t="shared" ca="1" si="435"/>
        <v>2313248.6660026331</v>
      </c>
      <c r="AQ627" s="358">
        <f t="shared" ca="1" si="435"/>
        <v>2387156.7534957859</v>
      </c>
      <c r="AR627" s="358">
        <f t="shared" ca="1" si="435"/>
        <v>2461753.1106635677</v>
      </c>
      <c r="AS627" s="358">
        <f t="shared" ca="1" si="435"/>
        <v>2537041.2973108902</v>
      </c>
      <c r="AT627" s="358">
        <f t="shared" ca="1" si="435"/>
        <v>2613024.9404089651</v>
      </c>
      <c r="AV627" s="358">
        <f t="shared" ca="1" si="428"/>
        <v>1159539.6903467388</v>
      </c>
      <c r="AX627" s="358">
        <f t="shared" ca="1" si="429"/>
        <v>3984535.842489142</v>
      </c>
      <c r="AZ627" s="358">
        <f t="shared" ca="1" si="430"/>
        <v>5488095.8169135433</v>
      </c>
      <c r="BB627" s="358">
        <f t="shared" ca="1" si="431"/>
        <v>7071172.2495764419</v>
      </c>
      <c r="BD627" s="358">
        <f t="shared" ca="1" si="432"/>
        <v>8735086.6441454627</v>
      </c>
      <c r="BF627" s="358">
        <f t="shared" ca="1" si="433"/>
        <v>10481471.025500091</v>
      </c>
      <c r="BH627" s="358">
        <f t="shared" ca="1" si="434"/>
        <v>12312224.767881842</v>
      </c>
    </row>
    <row r="628" spans="1:60" hidden="1" outlineLevel="1">
      <c r="A628" s="1464">
        <f t="shared" ref="A628:A655" si="436">A627</f>
        <v>18</v>
      </c>
      <c r="B628" s="1464">
        <f t="shared" ref="B628:B655" si="437">B627</f>
        <v>40</v>
      </c>
      <c r="C628" s="1464">
        <f t="shared" ref="C628:C655" si="438">C627+1</f>
        <v>3</v>
      </c>
      <c r="D628" s="1271" t="str">
        <f ca="1">IF(OFFSET(PortfolioDashboard!$A$3,C628-1,0)="","Blank",OFFSET(PortfolioDashboard!$A$3,C628-1,0))</f>
        <v>Space Planning &amp; Management</v>
      </c>
      <c r="E628" s="1464" t="str">
        <f t="shared" ref="E628:E655" si="439">E627</f>
        <v>2010$</v>
      </c>
      <c r="F628" s="1460">
        <f t="shared" ca="1" si="410"/>
        <v>474791606.03694373</v>
      </c>
      <c r="G628" s="358">
        <f t="shared" ref="G628:AT628" ca="1" si="440">G690-G659</f>
        <v>237052.05335287287</v>
      </c>
      <c r="H628" s="358">
        <f t="shared" ca="1" si="440"/>
        <v>25809943.284842934</v>
      </c>
      <c r="I628" s="358">
        <f t="shared" ca="1" si="440"/>
        <v>26555684.185293503</v>
      </c>
      <c r="J628" s="358">
        <f t="shared" ca="1" si="440"/>
        <v>27003452.746083707</v>
      </c>
      <c r="K628" s="358">
        <f t="shared" ca="1" si="440"/>
        <v>27453264.149572589</v>
      </c>
      <c r="L628" s="358">
        <f t="shared" ca="1" si="440"/>
        <v>27905133.679248996</v>
      </c>
      <c r="M628" s="358">
        <f t="shared" ca="1" si="440"/>
        <v>28359076.720366564</v>
      </c>
      <c r="N628" s="358">
        <f t="shared" ca="1" si="440"/>
        <v>28815108.760579303</v>
      </c>
      <c r="O628" s="358">
        <f t="shared" ca="1" si="440"/>
        <v>29273245.390577681</v>
      </c>
      <c r="P628" s="358">
        <f t="shared" ca="1" si="440"/>
        <v>29733502.304736707</v>
      </c>
      <c r="Q628" s="358">
        <f t="shared" ca="1" si="440"/>
        <v>30195895.301757794</v>
      </c>
      <c r="R628" s="358">
        <f t="shared" ca="1" si="440"/>
        <v>30660440.28532486</v>
      </c>
      <c r="S628" s="358">
        <f t="shared" ca="1" si="440"/>
        <v>31127153.264754325</v>
      </c>
      <c r="T628" s="358">
        <f t="shared" ca="1" si="440"/>
        <v>31596050.355657063</v>
      </c>
      <c r="U628" s="358">
        <f t="shared" ca="1" si="440"/>
        <v>32067147.780601166</v>
      </c>
      <c r="V628" s="358">
        <f t="shared" ca="1" si="440"/>
        <v>32540461.869775653</v>
      </c>
      <c r="W628" s="358">
        <f t="shared" ca="1" si="440"/>
        <v>33016009.061664049</v>
      </c>
      <c r="X628" s="358">
        <f t="shared" ca="1" si="440"/>
        <v>33493805.903719101</v>
      </c>
      <c r="Y628" s="358">
        <f t="shared" ca="1" si="440"/>
        <v>33973869.053038225</v>
      </c>
      <c r="Z628" s="358">
        <f t="shared" ca="1" si="440"/>
        <v>34456215.277051173</v>
      </c>
      <c r="AA628" s="358">
        <f t="shared" ca="1" si="440"/>
        <v>34940861.454201706</v>
      </c>
      <c r="AB628" s="358">
        <f t="shared" ca="1" si="440"/>
        <v>35427824.574643746</v>
      </c>
      <c r="AC628" s="358">
        <f t="shared" ca="1" si="440"/>
        <v>35917121.74093166</v>
      </c>
      <c r="AD628" s="358">
        <f t="shared" ca="1" si="440"/>
        <v>36408770.168722756</v>
      </c>
      <c r="AE628" s="358">
        <f t="shared" ca="1" si="440"/>
        <v>36902787.187480733</v>
      </c>
      <c r="AF628" s="358">
        <f t="shared" ca="1" si="440"/>
        <v>37399190.241180442</v>
      </c>
      <c r="AG628" s="358">
        <f t="shared" ca="1" si="440"/>
        <v>37897996.889022693</v>
      </c>
      <c r="AH628" s="358">
        <f t="shared" ca="1" si="440"/>
        <v>38399224.806150064</v>
      </c>
      <c r="AI628" s="358">
        <f t="shared" ca="1" si="440"/>
        <v>38902891.784366079</v>
      </c>
      <c r="AJ628" s="358">
        <f t="shared" ca="1" si="440"/>
        <v>39409015.732859887</v>
      </c>
      <c r="AK628" s="358">
        <f t="shared" ca="1" si="440"/>
        <v>39917614.678936668</v>
      </c>
      <c r="AL628" s="358">
        <f t="shared" ca="1" si="440"/>
        <v>40428706.768751375</v>
      </c>
      <c r="AM628" s="358">
        <f t="shared" ca="1" si="440"/>
        <v>40942310.268043607</v>
      </c>
      <c r="AN628" s="358">
        <f t="shared" ca="1" si="440"/>
        <v>41458443.562882751</v>
      </c>
      <c r="AO628" s="358">
        <f t="shared" ca="1" si="440"/>
        <v>41977125.160414614</v>
      </c>
      <c r="AP628" s="358">
        <f t="shared" ca="1" si="440"/>
        <v>42498373.689609662</v>
      </c>
      <c r="AQ628" s="358">
        <f t="shared" ca="1" si="440"/>
        <v>43022207.902021401</v>
      </c>
      <c r="AR628" s="358">
        <f t="shared" ca="1" si="440"/>
        <v>43548646.672546297</v>
      </c>
      <c r="AS628" s="358">
        <f t="shared" ca="1" si="440"/>
        <v>44077709.000187024</v>
      </c>
      <c r="AT628" s="358">
        <f t="shared" ca="1" si="440"/>
        <v>44609414.008821689</v>
      </c>
      <c r="AV628" s="358">
        <f t="shared" ca="1" si="428"/>
        <v>144086066.85550925</v>
      </c>
      <c r="AX628" s="358">
        <f t="shared" ca="1" si="429"/>
        <v>155646686.98809522</v>
      </c>
      <c r="AZ628" s="358">
        <f t="shared" ca="1" si="430"/>
        <v>167480361.16524819</v>
      </c>
      <c r="BB628" s="358">
        <f t="shared" ca="1" si="431"/>
        <v>179597365.12598062</v>
      </c>
      <c r="BD628" s="358">
        <f t="shared" ca="1" si="432"/>
        <v>192008319.45357916</v>
      </c>
      <c r="BF628" s="358">
        <f t="shared" ca="1" si="433"/>
        <v>204724200.43902901</v>
      </c>
      <c r="BH628" s="358">
        <f t="shared" ca="1" si="434"/>
        <v>217756351.27318606</v>
      </c>
    </row>
    <row r="629" spans="1:60" hidden="1" outlineLevel="1">
      <c r="A629" s="1464">
        <f t="shared" si="436"/>
        <v>18</v>
      </c>
      <c r="B629" s="1464">
        <f t="shared" si="437"/>
        <v>40</v>
      </c>
      <c r="C629" s="1464">
        <f t="shared" si="438"/>
        <v>4</v>
      </c>
      <c r="D629" s="1271" t="str">
        <f ca="1">IF(OFFSET(PortfolioDashboard!$A$3,C629-1,0)="","Blank",OFFSET(PortfolioDashboard!$A$3,C629-1,0))</f>
        <v>Central Chiller Expansion</v>
      </c>
      <c r="E629" s="1464" t="str">
        <f t="shared" si="439"/>
        <v>2010$</v>
      </c>
      <c r="F629" s="1460">
        <f t="shared" ca="1" si="410"/>
        <v>15511901.453723811</v>
      </c>
      <c r="G629" s="358">
        <f t="shared" ref="G629:AT629" ca="1" si="441">G691-G660</f>
        <v>0</v>
      </c>
      <c r="H629" s="358">
        <f t="shared" ca="1" si="441"/>
        <v>-600000</v>
      </c>
      <c r="I629" s="358">
        <f t="shared" ca="1" si="441"/>
        <v>514021.3965714135</v>
      </c>
      <c r="J629" s="358">
        <f t="shared" ca="1" si="441"/>
        <v>-446247.92182618973</v>
      </c>
      <c r="K629" s="358">
        <f t="shared" ca="1" si="441"/>
        <v>1437027.3780719491</v>
      </c>
      <c r="L629" s="358">
        <f t="shared" ca="1" si="441"/>
        <v>957215.51309398143</v>
      </c>
      <c r="M629" s="358">
        <f t="shared" ca="1" si="441"/>
        <v>1012293.5964125118</v>
      </c>
      <c r="N629" s="358">
        <f t="shared" ca="1" si="441"/>
        <v>1038482.7585486494</v>
      </c>
      <c r="O629" s="358">
        <f t="shared" ca="1" si="441"/>
        <v>976598.92461456498</v>
      </c>
      <c r="P629" s="358">
        <f t="shared" ca="1" si="441"/>
        <v>1003239.8917131561</v>
      </c>
      <c r="Q629" s="358">
        <f t="shared" ca="1" si="441"/>
        <v>1030109.166099789</v>
      </c>
      <c r="R629" s="358">
        <f t="shared" ca="1" si="441"/>
        <v>1057208.3648231677</v>
      </c>
      <c r="S629" s="358">
        <f t="shared" ca="1" si="441"/>
        <v>1084539.1153947988</v>
      </c>
      <c r="T629" s="358">
        <f t="shared" ca="1" si="441"/>
        <v>1112103.0558531985</v>
      </c>
      <c r="U629" s="358">
        <f t="shared" ca="1" si="441"/>
        <v>1139901.8348284687</v>
      </c>
      <c r="V629" s="358">
        <f t="shared" ca="1" si="441"/>
        <v>1167937.1116072671</v>
      </c>
      <c r="W629" s="358">
        <f t="shared" ca="1" si="441"/>
        <v>1196210.5561981548</v>
      </c>
      <c r="X629" s="358">
        <f t="shared" ca="1" si="441"/>
        <v>1224723.8493973331</v>
      </c>
      <c r="Y629" s="358">
        <f t="shared" ca="1" si="441"/>
        <v>1253478.6828547698</v>
      </c>
      <c r="Z629" s="358">
        <f t="shared" ca="1" si="441"/>
        <v>1282476.7591407178</v>
      </c>
      <c r="AA629" s="358">
        <f t="shared" ca="1" si="441"/>
        <v>1311719.7918126262</v>
      </c>
      <c r="AB629" s="358">
        <f t="shared" ca="1" si="441"/>
        <v>1321015.872737318</v>
      </c>
      <c r="AC629" s="358">
        <f t="shared" ca="1" si="441"/>
        <v>1477595.5164742202</v>
      </c>
      <c r="AD629" s="358">
        <f t="shared" ca="1" si="441"/>
        <v>1486984.7906101821</v>
      </c>
      <c r="AE629" s="358">
        <f t="shared" ca="1" si="441"/>
        <v>1146928.6803329373</v>
      </c>
      <c r="AF629" s="358">
        <f t="shared" ca="1" si="441"/>
        <v>1156412.0819421122</v>
      </c>
      <c r="AG629" s="358">
        <f t="shared" ca="1" si="441"/>
        <v>1827396.441667147</v>
      </c>
      <c r="AH629" s="358">
        <f t="shared" ca="1" si="441"/>
        <v>1836974.9143774542</v>
      </c>
      <c r="AI629" s="358">
        <f t="shared" ca="1" si="441"/>
        <v>1934899.3798456672</v>
      </c>
      <c r="AJ629" s="358">
        <f t="shared" ca="1" si="441"/>
        <v>1944573.8767448957</v>
      </c>
      <c r="AK629" s="358">
        <f t="shared" ca="1" si="441"/>
        <v>1954296.7461286201</v>
      </c>
      <c r="AL629" s="358">
        <f t="shared" ca="1" si="441"/>
        <v>1964068.229859262</v>
      </c>
      <c r="AM629" s="358">
        <f t="shared" ca="1" si="441"/>
        <v>1973888.5710085584</v>
      </c>
      <c r="AN629" s="358">
        <f t="shared" ca="1" si="441"/>
        <v>1983758.0138636008</v>
      </c>
      <c r="AO629" s="358">
        <f t="shared" ca="1" si="441"/>
        <v>1993676.8039329185</v>
      </c>
      <c r="AP629" s="358">
        <f t="shared" ca="1" si="441"/>
        <v>2003645.1879525832</v>
      </c>
      <c r="AQ629" s="358">
        <f t="shared" ca="1" si="441"/>
        <v>2013663.4138923455</v>
      </c>
      <c r="AR629" s="358">
        <f t="shared" ca="1" si="441"/>
        <v>2023731.7309618066</v>
      </c>
      <c r="AS629" s="358">
        <f t="shared" ca="1" si="441"/>
        <v>2033850.3896166151</v>
      </c>
      <c r="AT629" s="358">
        <f t="shared" ca="1" si="441"/>
        <v>2044019.641564698</v>
      </c>
      <c r="AV629" s="358">
        <f t="shared" ca="1" si="428"/>
        <v>4987830.6843828633</v>
      </c>
      <c r="AX629" s="358">
        <f t="shared" ca="1" si="429"/>
        <v>5423861.5369994231</v>
      </c>
      <c r="AZ629" s="358">
        <f t="shared" ca="1" si="430"/>
        <v>6124826.959198243</v>
      </c>
      <c r="BB629" s="358">
        <f t="shared" ca="1" si="431"/>
        <v>6744244.6519672833</v>
      </c>
      <c r="BD629" s="358">
        <f t="shared" ca="1" si="432"/>
        <v>8700256.6945772767</v>
      </c>
      <c r="BF629" s="358">
        <f t="shared" ca="1" si="433"/>
        <v>9869688.3647929598</v>
      </c>
      <c r="BH629" s="358">
        <f t="shared" ca="1" si="434"/>
        <v>10118910.363988049</v>
      </c>
    </row>
    <row r="630" spans="1:60" hidden="1" outlineLevel="1">
      <c r="A630" s="1464">
        <f t="shared" si="436"/>
        <v>18</v>
      </c>
      <c r="B630" s="1464">
        <f t="shared" si="437"/>
        <v>40</v>
      </c>
      <c r="C630" s="1464">
        <f t="shared" si="438"/>
        <v>5</v>
      </c>
      <c r="D630" s="1271" t="str">
        <f ca="1">IF(OFFSET(PortfolioDashboard!$A$3,C630-1,0)="","Blank",OFFSET(PortfolioDashboard!$A$3,C630-1,0))</f>
        <v>Short-term Energy Conservation Measures</v>
      </c>
      <c r="E630" s="1464" t="str">
        <f t="shared" si="439"/>
        <v>2010$</v>
      </c>
      <c r="F630" s="1460">
        <f t="shared" ca="1" si="410"/>
        <v>20838782.761688005</v>
      </c>
      <c r="G630" s="358">
        <f t="shared" ref="G630:AT630" ca="1" si="442">G692-G661</f>
        <v>0</v>
      </c>
      <c r="H630" s="358">
        <f t="shared" ca="1" si="442"/>
        <v>-68075.07580000005</v>
      </c>
      <c r="I630" s="358">
        <f t="shared" ca="1" si="442"/>
        <v>256098.78952999983</v>
      </c>
      <c r="J630" s="358">
        <f t="shared" ca="1" si="442"/>
        <v>582888.06554847455</v>
      </c>
      <c r="K630" s="358">
        <f t="shared" ca="1" si="442"/>
        <v>912312.35161095578</v>
      </c>
      <c r="L630" s="358">
        <f t="shared" ca="1" si="442"/>
        <v>1244391.3776812628</v>
      </c>
      <c r="M630" s="358">
        <f t="shared" ca="1" si="442"/>
        <v>1640665.0042896688</v>
      </c>
      <c r="N630" s="358">
        <f t="shared" ca="1" si="442"/>
        <v>1647318.7340311171</v>
      </c>
      <c r="O630" s="358">
        <f t="shared" ca="1" si="442"/>
        <v>1654005.7324212724</v>
      </c>
      <c r="P630" s="358">
        <f t="shared" ca="1" si="442"/>
        <v>1660726.1658033789</v>
      </c>
      <c r="Q630" s="358">
        <f t="shared" ca="1" si="442"/>
        <v>1667480.2013523954</v>
      </c>
      <c r="R630" s="358">
        <f t="shared" ca="1" si="442"/>
        <v>1674268.0070791575</v>
      </c>
      <c r="S630" s="358">
        <f t="shared" ca="1" si="442"/>
        <v>1681089.7518345527</v>
      </c>
      <c r="T630" s="358">
        <f t="shared" ca="1" si="442"/>
        <v>1687945.6053137253</v>
      </c>
      <c r="U630" s="358">
        <f t="shared" ca="1" si="442"/>
        <v>1694835.7380602937</v>
      </c>
      <c r="V630" s="358">
        <f t="shared" ca="1" si="442"/>
        <v>1701760.321470595</v>
      </c>
      <c r="W630" s="358">
        <f t="shared" ca="1" si="442"/>
        <v>1708719.5277979479</v>
      </c>
      <c r="X630" s="358">
        <f t="shared" ca="1" si="442"/>
        <v>1715713.5301569374</v>
      </c>
      <c r="Y630" s="358">
        <f t="shared" ca="1" si="442"/>
        <v>1722742.5025277217</v>
      </c>
      <c r="Z630" s="358">
        <f t="shared" ca="1" si="442"/>
        <v>1729806.6197603601</v>
      </c>
      <c r="AA630" s="358">
        <f t="shared" ca="1" si="442"/>
        <v>1736906.0575791618</v>
      </c>
      <c r="AB630" s="358">
        <f t="shared" ca="1" si="442"/>
        <v>1744040.9925870569</v>
      </c>
      <c r="AC630" s="358">
        <f t="shared" ca="1" si="442"/>
        <v>1751211.6022699922</v>
      </c>
      <c r="AD630" s="358">
        <f t="shared" ca="1" si="442"/>
        <v>1758418.0650013417</v>
      </c>
      <c r="AE630" s="358">
        <f t="shared" ca="1" si="442"/>
        <v>1765660.5600463487</v>
      </c>
      <c r="AF630" s="358">
        <f t="shared" ca="1" si="442"/>
        <v>1772939.2675665803</v>
      </c>
      <c r="AG630" s="358">
        <f t="shared" ca="1" si="442"/>
        <v>1780254.3686244129</v>
      </c>
      <c r="AH630" s="358">
        <f t="shared" ca="1" si="442"/>
        <v>1787606.0451875348</v>
      </c>
      <c r="AI630" s="358">
        <f t="shared" ca="1" si="442"/>
        <v>1794994.480133472</v>
      </c>
      <c r="AJ630" s="358">
        <f t="shared" ca="1" si="442"/>
        <v>1802419.8572541394</v>
      </c>
      <c r="AK630" s="358">
        <f t="shared" ca="1" si="442"/>
        <v>1809882.3612604097</v>
      </c>
      <c r="AL630" s="358">
        <f t="shared" ca="1" si="442"/>
        <v>1817382.1777867116</v>
      </c>
      <c r="AM630" s="358">
        <f t="shared" ca="1" si="442"/>
        <v>1824919.4933956449</v>
      </c>
      <c r="AN630" s="358">
        <f t="shared" ca="1" si="442"/>
        <v>1832494.4955826227</v>
      </c>
      <c r="AO630" s="358">
        <f t="shared" ca="1" si="442"/>
        <v>1840107.3727805358</v>
      </c>
      <c r="AP630" s="358">
        <f t="shared" ca="1" si="442"/>
        <v>1847758.3143644382</v>
      </c>
      <c r="AQ630" s="358">
        <f t="shared" ca="1" si="442"/>
        <v>1855447.51065626</v>
      </c>
      <c r="AR630" s="358">
        <f t="shared" ca="1" si="442"/>
        <v>1863175.152929541</v>
      </c>
      <c r="AS630" s="358">
        <f t="shared" ca="1" si="442"/>
        <v>1870941.4334141887</v>
      </c>
      <c r="AT630" s="358">
        <f t="shared" ca="1" si="442"/>
        <v>1878746.5453012588</v>
      </c>
      <c r="AV630" s="358">
        <f t="shared" ca="1" si="428"/>
        <v>7847107.0142267011</v>
      </c>
      <c r="AX630" s="358">
        <f t="shared" ca="1" si="429"/>
        <v>8405619.3036401253</v>
      </c>
      <c r="AZ630" s="358">
        <f t="shared" ca="1" si="430"/>
        <v>8578742.5017135628</v>
      </c>
      <c r="BB630" s="358">
        <f t="shared" ca="1" si="431"/>
        <v>8756237.277483901</v>
      </c>
      <c r="BD630" s="358">
        <f t="shared" ca="1" si="432"/>
        <v>8938214.0187661406</v>
      </c>
      <c r="BF630" s="358">
        <f t="shared" ca="1" si="433"/>
        <v>9124785.9008059241</v>
      </c>
      <c r="BH630" s="358">
        <f t="shared" ca="1" si="434"/>
        <v>9316068.9566656854</v>
      </c>
    </row>
    <row r="631" spans="1:60" hidden="1" outlineLevel="1">
      <c r="A631" s="1464">
        <f t="shared" si="436"/>
        <v>18</v>
      </c>
      <c r="B631" s="1464">
        <f t="shared" si="437"/>
        <v>40</v>
      </c>
      <c r="C631" s="1464">
        <f t="shared" si="438"/>
        <v>6</v>
      </c>
      <c r="D631" s="1271" t="str">
        <f ca="1">IF(OFFSET(PortfolioDashboard!$A$3,C631-1,0)="","Blank",OFFSET(PortfolioDashboard!$A$3,C631-1,0))</f>
        <v>Mid-term Energy Conservation Measures</v>
      </c>
      <c r="E631" s="1464" t="str">
        <f t="shared" si="439"/>
        <v>2010$</v>
      </c>
      <c r="F631" s="1460">
        <f t="shared" ca="1" si="410"/>
        <v>10900063.055624584</v>
      </c>
      <c r="G631" s="358">
        <f t="shared" ref="G631:AT631" ca="1" si="443">G693-G662</f>
        <v>0</v>
      </c>
      <c r="H631" s="358">
        <f t="shared" ca="1" si="443"/>
        <v>0</v>
      </c>
      <c r="I631" s="358">
        <f t="shared" ca="1" si="443"/>
        <v>0</v>
      </c>
      <c r="J631" s="358">
        <f t="shared" ca="1" si="443"/>
        <v>0</v>
      </c>
      <c r="K631" s="358">
        <f t="shared" ca="1" si="443"/>
        <v>0</v>
      </c>
      <c r="L631" s="358">
        <f t="shared" ca="1" si="443"/>
        <v>0</v>
      </c>
      <c r="M631" s="358">
        <f t="shared" ca="1" si="443"/>
        <v>-559723.72098640632</v>
      </c>
      <c r="N631" s="358">
        <f t="shared" ca="1" si="443"/>
        <v>-364435.21479267668</v>
      </c>
      <c r="O631" s="358">
        <f t="shared" ca="1" si="443"/>
        <v>-167365.59752746025</v>
      </c>
      <c r="P631" s="358">
        <f t="shared" ca="1" si="443"/>
        <v>31498.478093203375</v>
      </c>
      <c r="Q631" s="358">
        <f t="shared" ca="1" si="443"/>
        <v>232170.44829833644</v>
      </c>
      <c r="R631" s="358">
        <f t="shared" ca="1" si="443"/>
        <v>434663.83881779376</v>
      </c>
      <c r="S631" s="358">
        <f t="shared" ca="1" si="443"/>
        <v>638992.26544136275</v>
      </c>
      <c r="T631" s="358">
        <f t="shared" ca="1" si="443"/>
        <v>845169.43458122236</v>
      </c>
      <c r="U631" s="358">
        <f t="shared" ca="1" si="443"/>
        <v>1605736.461189128</v>
      </c>
      <c r="V631" s="358">
        <f t="shared" ca="1" si="443"/>
        <v>1613095.7260550736</v>
      </c>
      <c r="W631" s="358">
        <f t="shared" ca="1" si="443"/>
        <v>1620491.7872453486</v>
      </c>
      <c r="X631" s="358">
        <f t="shared" ca="1" si="443"/>
        <v>1627924.8287415754</v>
      </c>
      <c r="Y631" s="358">
        <f t="shared" ca="1" si="443"/>
        <v>1635395.0354452829</v>
      </c>
      <c r="Z631" s="358">
        <f t="shared" ca="1" si="443"/>
        <v>1642902.5931825088</v>
      </c>
      <c r="AA631" s="358">
        <f t="shared" ca="1" si="443"/>
        <v>1650447.6887084213</v>
      </c>
      <c r="AB631" s="358">
        <f t="shared" ca="1" si="443"/>
        <v>1658030.5097119629</v>
      </c>
      <c r="AC631" s="358">
        <f t="shared" ca="1" si="443"/>
        <v>1665651.2448205228</v>
      </c>
      <c r="AD631" s="358">
        <f t="shared" ca="1" si="443"/>
        <v>1673310.083604625</v>
      </c>
      <c r="AE631" s="358">
        <f t="shared" ca="1" si="443"/>
        <v>1681007.2165826485</v>
      </c>
      <c r="AF631" s="358">
        <f t="shared" ca="1" si="443"/>
        <v>1688742.8352255612</v>
      </c>
      <c r="AG631" s="358">
        <f t="shared" ca="1" si="443"/>
        <v>1696517.1319616886</v>
      </c>
      <c r="AH631" s="358">
        <f t="shared" ca="1" si="443"/>
        <v>1704330.3001814971</v>
      </c>
      <c r="AI631" s="358">
        <f t="shared" ca="1" si="443"/>
        <v>1712182.5342424044</v>
      </c>
      <c r="AJ631" s="358">
        <f t="shared" ca="1" si="443"/>
        <v>1720074.0294736158</v>
      </c>
      <c r="AK631" s="358">
        <f t="shared" ca="1" si="443"/>
        <v>1728004.9821809838</v>
      </c>
      <c r="AL631" s="358">
        <f t="shared" ca="1" si="443"/>
        <v>1735975.5896518882</v>
      </c>
      <c r="AM631" s="358">
        <f t="shared" ca="1" si="443"/>
        <v>1743986.0501601475</v>
      </c>
      <c r="AN631" s="358">
        <f t="shared" ca="1" si="443"/>
        <v>1752036.5629709482</v>
      </c>
      <c r="AO631" s="358">
        <f t="shared" ca="1" si="443"/>
        <v>1760127.3283458028</v>
      </c>
      <c r="AP631" s="358">
        <f t="shared" ca="1" si="443"/>
        <v>1768258.5475475315</v>
      </c>
      <c r="AQ631" s="358">
        <f t="shared" ca="1" si="443"/>
        <v>1776430.4228452684</v>
      </c>
      <c r="AR631" s="358">
        <f t="shared" ca="1" si="443"/>
        <v>1784643.1575194946</v>
      </c>
      <c r="AS631" s="358">
        <f t="shared" ca="1" si="443"/>
        <v>1792896.9558670921</v>
      </c>
      <c r="AT631" s="358">
        <f t="shared" ca="1" si="443"/>
        <v>1801192.0232064275</v>
      </c>
      <c r="AV631" s="358">
        <f t="shared" ca="1" si="428"/>
        <v>-1060026.0552133399</v>
      </c>
      <c r="AX631" s="358">
        <f t="shared" ca="1" si="429"/>
        <v>3756732.4483278436</v>
      </c>
      <c r="AZ631" s="358">
        <f t="shared" ca="1" si="430"/>
        <v>8139809.9706697892</v>
      </c>
      <c r="BB631" s="358">
        <f t="shared" ca="1" si="431"/>
        <v>8328446.74342818</v>
      </c>
      <c r="BD631" s="358">
        <f t="shared" ca="1" si="432"/>
        <v>8521846.8310847674</v>
      </c>
      <c r="BF631" s="358">
        <f t="shared" ca="1" si="433"/>
        <v>8720130.5133097712</v>
      </c>
      <c r="BH631" s="358">
        <f t="shared" ca="1" si="434"/>
        <v>8923421.106985813</v>
      </c>
    </row>
    <row r="632" spans="1:60" hidden="1" outlineLevel="1">
      <c r="A632" s="1464">
        <f t="shared" si="436"/>
        <v>18</v>
      </c>
      <c r="B632" s="1464">
        <f t="shared" si="437"/>
        <v>40</v>
      </c>
      <c r="C632" s="1464">
        <f t="shared" si="438"/>
        <v>7</v>
      </c>
      <c r="D632" s="1271" t="str">
        <f ca="1">IF(OFFSET(PortfolioDashboard!$A$3,C632-1,0)="","Blank",OFFSET(PortfolioDashboard!$A$3,C632-1,0))</f>
        <v>Long-term Energy Conservation Measures</v>
      </c>
      <c r="E632" s="1464" t="str">
        <f t="shared" si="439"/>
        <v>2010$</v>
      </c>
      <c r="F632" s="1460">
        <f t="shared" ca="1" si="410"/>
        <v>3062993.3419032823</v>
      </c>
      <c r="G632" s="358">
        <f t="shared" ref="G632:AT632" ca="1" si="444">G694-G663</f>
        <v>0</v>
      </c>
      <c r="H632" s="358">
        <f t="shared" ca="1" si="444"/>
        <v>0</v>
      </c>
      <c r="I632" s="358">
        <f t="shared" ca="1" si="444"/>
        <v>0</v>
      </c>
      <c r="J632" s="358">
        <f t="shared" ca="1" si="444"/>
        <v>0</v>
      </c>
      <c r="K632" s="358">
        <f t="shared" ca="1" si="444"/>
        <v>0</v>
      </c>
      <c r="L632" s="358">
        <f t="shared" ca="1" si="444"/>
        <v>0</v>
      </c>
      <c r="M632" s="358">
        <f t="shared" ca="1" si="444"/>
        <v>0</v>
      </c>
      <c r="N632" s="358">
        <f t="shared" ca="1" si="444"/>
        <v>0</v>
      </c>
      <c r="O632" s="358">
        <f t="shared" ca="1" si="444"/>
        <v>0</v>
      </c>
      <c r="P632" s="358">
        <f t="shared" ca="1" si="444"/>
        <v>0</v>
      </c>
      <c r="Q632" s="358">
        <f t="shared" ca="1" si="444"/>
        <v>0</v>
      </c>
      <c r="R632" s="358">
        <f t="shared" ca="1" si="444"/>
        <v>0</v>
      </c>
      <c r="S632" s="358">
        <f t="shared" ca="1" si="444"/>
        <v>0</v>
      </c>
      <c r="T632" s="358">
        <f t="shared" ca="1" si="444"/>
        <v>0</v>
      </c>
      <c r="U632" s="358">
        <f t="shared" ca="1" si="444"/>
        <v>-706802.72570023313</v>
      </c>
      <c r="V632" s="358">
        <f t="shared" ca="1" si="444"/>
        <v>-580821.00966546847</v>
      </c>
      <c r="W632" s="358">
        <f t="shared" ca="1" si="444"/>
        <v>-453909.93358269392</v>
      </c>
      <c r="X632" s="358">
        <f t="shared" ca="1" si="444"/>
        <v>-326062.53301680984</v>
      </c>
      <c r="Y632" s="358">
        <f t="shared" ca="1" si="444"/>
        <v>-197271.79712236748</v>
      </c>
      <c r="Z632" s="358">
        <f t="shared" ca="1" si="444"/>
        <v>-67530.66835357534</v>
      </c>
      <c r="AA632" s="358">
        <f t="shared" ca="1" si="444"/>
        <v>63167.957827433129</v>
      </c>
      <c r="AB632" s="358">
        <f t="shared" ca="1" si="444"/>
        <v>194831.23324407992</v>
      </c>
      <c r="AC632" s="358">
        <f t="shared" ca="1" si="444"/>
        <v>327466.35730058776</v>
      </c>
      <c r="AD632" s="358">
        <f t="shared" ca="1" si="444"/>
        <v>461080.5772789896</v>
      </c>
      <c r="AE632" s="358">
        <f t="shared" ca="1" si="444"/>
        <v>1297766.5351253846</v>
      </c>
      <c r="AF632" s="358">
        <f t="shared" ca="1" si="444"/>
        <v>1302614.6127610113</v>
      </c>
      <c r="AG632" s="358">
        <f t="shared" ca="1" si="444"/>
        <v>1307486.9307848162</v>
      </c>
      <c r="AH632" s="358">
        <f t="shared" ca="1" si="444"/>
        <v>1312383.61039874</v>
      </c>
      <c r="AI632" s="358">
        <f t="shared" ca="1" si="444"/>
        <v>1317304.7734107333</v>
      </c>
      <c r="AJ632" s="358">
        <f t="shared" ca="1" si="444"/>
        <v>1322250.542237787</v>
      </c>
      <c r="AK632" s="358">
        <f t="shared" ca="1" si="444"/>
        <v>1327221.0399089758</v>
      </c>
      <c r="AL632" s="358">
        <f t="shared" ca="1" si="444"/>
        <v>1332216.3900685203</v>
      </c>
      <c r="AM632" s="358">
        <f t="shared" ca="1" si="444"/>
        <v>1337236.7169788629</v>
      </c>
      <c r="AN632" s="358">
        <f t="shared" ca="1" si="444"/>
        <v>1342282.1455237574</v>
      </c>
      <c r="AO632" s="358">
        <f t="shared" ca="1" si="444"/>
        <v>1347352.8012113757</v>
      </c>
      <c r="AP632" s="358">
        <f t="shared" ca="1" si="444"/>
        <v>1352448.8101774324</v>
      </c>
      <c r="AQ632" s="358">
        <f t="shared" ca="1" si="444"/>
        <v>1357570.2991883194</v>
      </c>
      <c r="AR632" s="358">
        <f t="shared" ca="1" si="444"/>
        <v>1362717.3956442606</v>
      </c>
      <c r="AS632" s="358">
        <f t="shared" ca="1" si="444"/>
        <v>1367890.2275824824</v>
      </c>
      <c r="AT632" s="358">
        <f t="shared" ca="1" si="444"/>
        <v>1373088.9236803944</v>
      </c>
      <c r="AV632" s="358">
        <f t="shared" ca="1" si="428"/>
        <v>0</v>
      </c>
      <c r="AX632" s="358">
        <f t="shared" ca="1" si="429"/>
        <v>-706802.72570023313</v>
      </c>
      <c r="AZ632" s="358">
        <f t="shared" ca="1" si="430"/>
        <v>-1625595.9417409149</v>
      </c>
      <c r="BB632" s="358">
        <f t="shared" ca="1" si="431"/>
        <v>2344312.660776475</v>
      </c>
      <c r="BD632" s="358">
        <f t="shared" ca="1" si="432"/>
        <v>6562040.4695930872</v>
      </c>
      <c r="BF632" s="358">
        <f t="shared" ca="1" si="433"/>
        <v>6686309.0936914925</v>
      </c>
      <c r="BH632" s="358">
        <f t="shared" ca="1" si="434"/>
        <v>6813715.65627289</v>
      </c>
    </row>
    <row r="633" spans="1:60" hidden="1" outlineLevel="1">
      <c r="A633" s="1464">
        <f t="shared" si="436"/>
        <v>18</v>
      </c>
      <c r="B633" s="1464">
        <f t="shared" si="437"/>
        <v>40</v>
      </c>
      <c r="C633" s="1464">
        <f t="shared" si="438"/>
        <v>8</v>
      </c>
      <c r="D633" s="1271" t="str">
        <f ca="1">IF(OFFSET(PortfolioDashboard!$A$3,C633-1,0)="","Blank",OFFSET(PortfolioDashboard!$A$3,C633-1,0))</f>
        <v>Green IT</v>
      </c>
      <c r="E633" s="1464" t="str">
        <f t="shared" si="439"/>
        <v>2010$</v>
      </c>
      <c r="F633" s="1460">
        <f t="shared" ca="1" si="410"/>
        <v>9612537.1158375181</v>
      </c>
      <c r="G633" s="358">
        <f t="shared" ref="G633:AT633" ca="1" si="445">G695-G664</f>
        <v>0</v>
      </c>
      <c r="H633" s="358">
        <f t="shared" ca="1" si="445"/>
        <v>0</v>
      </c>
      <c r="I633" s="358">
        <f t="shared" ca="1" si="445"/>
        <v>219187.6629166666</v>
      </c>
      <c r="J633" s="358">
        <f t="shared" ca="1" si="445"/>
        <v>450063.86912916653</v>
      </c>
      <c r="K633" s="358">
        <f t="shared" ca="1" si="445"/>
        <v>683312.94937888486</v>
      </c>
      <c r="L633" s="358">
        <f t="shared" ca="1" si="445"/>
        <v>696214.51412577927</v>
      </c>
      <c r="M633" s="358">
        <f t="shared" ca="1" si="445"/>
        <v>699800.58669640811</v>
      </c>
      <c r="N633" s="358">
        <f t="shared" ca="1" si="445"/>
        <v>703404.58962989005</v>
      </c>
      <c r="O633" s="358">
        <f t="shared" ca="1" si="445"/>
        <v>707026.61257803941</v>
      </c>
      <c r="P633" s="358">
        <f t="shared" ca="1" si="445"/>
        <v>710666.74564092956</v>
      </c>
      <c r="Q633" s="358">
        <f t="shared" ca="1" si="445"/>
        <v>714325.07936913404</v>
      </c>
      <c r="R633" s="358">
        <f t="shared" ca="1" si="445"/>
        <v>718001.70476597967</v>
      </c>
      <c r="S633" s="358">
        <f t="shared" ca="1" si="445"/>
        <v>721696.7132898093</v>
      </c>
      <c r="T633" s="358">
        <f t="shared" ca="1" si="445"/>
        <v>725410.19685625832</v>
      </c>
      <c r="U633" s="358">
        <f t="shared" ca="1" si="445"/>
        <v>729142.24784053955</v>
      </c>
      <c r="V633" s="358">
        <f t="shared" ca="1" si="445"/>
        <v>732892.95907974197</v>
      </c>
      <c r="W633" s="358">
        <f t="shared" ca="1" si="445"/>
        <v>736662.42387514061</v>
      </c>
      <c r="X633" s="358">
        <f t="shared" ca="1" si="445"/>
        <v>740450.73599451629</v>
      </c>
      <c r="Y633" s="358">
        <f t="shared" ca="1" si="445"/>
        <v>744257.98967448866</v>
      </c>
      <c r="Z633" s="358">
        <f t="shared" ca="1" si="445"/>
        <v>748084.27962286095</v>
      </c>
      <c r="AA633" s="358">
        <f t="shared" ca="1" si="445"/>
        <v>751929.70102097513</v>
      </c>
      <c r="AB633" s="358">
        <f t="shared" ca="1" si="445"/>
        <v>755794.34952607984</v>
      </c>
      <c r="AC633" s="358">
        <f t="shared" ca="1" si="445"/>
        <v>759678.32127371035</v>
      </c>
      <c r="AD633" s="358">
        <f t="shared" ca="1" si="445"/>
        <v>763581.71288007859</v>
      </c>
      <c r="AE633" s="358">
        <f t="shared" ca="1" si="445"/>
        <v>767504.62144447921</v>
      </c>
      <c r="AF633" s="358">
        <f t="shared" ca="1" si="445"/>
        <v>771447.14455170115</v>
      </c>
      <c r="AG633" s="358">
        <f t="shared" ca="1" si="445"/>
        <v>775409.38027445972</v>
      </c>
      <c r="AH633" s="358">
        <f t="shared" ca="1" si="445"/>
        <v>779391.42717583175</v>
      </c>
      <c r="AI633" s="358">
        <f t="shared" ca="1" si="445"/>
        <v>783393.38431171083</v>
      </c>
      <c r="AJ633" s="358">
        <f t="shared" ca="1" si="445"/>
        <v>787415.35123326932</v>
      </c>
      <c r="AK633" s="358">
        <f t="shared" ca="1" si="445"/>
        <v>791457.4279894355</v>
      </c>
      <c r="AL633" s="358">
        <f t="shared" ca="1" si="445"/>
        <v>795519.71512938244</v>
      </c>
      <c r="AM633" s="358">
        <f t="shared" ca="1" si="445"/>
        <v>799602.3137050292</v>
      </c>
      <c r="AN633" s="358">
        <f t="shared" ca="1" si="445"/>
        <v>803705.32527355431</v>
      </c>
      <c r="AO633" s="358">
        <f t="shared" ca="1" si="445"/>
        <v>807828.85189992201</v>
      </c>
      <c r="AP633" s="358">
        <f t="shared" ca="1" si="445"/>
        <v>811972.9961594214</v>
      </c>
      <c r="AQ633" s="358">
        <f t="shared" ca="1" si="445"/>
        <v>816137.86114021821</v>
      </c>
      <c r="AR633" s="358">
        <f t="shared" ca="1" si="445"/>
        <v>820323.55044591927</v>
      </c>
      <c r="AS633" s="358">
        <f t="shared" ca="1" si="445"/>
        <v>824530.16819814884</v>
      </c>
      <c r="AT633" s="358">
        <f t="shared" ca="1" si="445"/>
        <v>828757.81903913943</v>
      </c>
      <c r="AV633" s="358">
        <f t="shared" ca="1" si="428"/>
        <v>3517113.0486710463</v>
      </c>
      <c r="AX633" s="358">
        <f t="shared" ca="1" si="429"/>
        <v>3608575.9421217209</v>
      </c>
      <c r="AZ633" s="358">
        <f t="shared" ca="1" si="430"/>
        <v>3702348.3882467486</v>
      </c>
      <c r="BB633" s="358">
        <f t="shared" ca="1" si="431"/>
        <v>3798488.7061453233</v>
      </c>
      <c r="BD633" s="358">
        <f t="shared" ca="1" si="432"/>
        <v>3897056.6875469731</v>
      </c>
      <c r="BF633" s="358">
        <f t="shared" ca="1" si="433"/>
        <v>3998113.6339973235</v>
      </c>
      <c r="BH633" s="358">
        <f t="shared" ca="1" si="434"/>
        <v>4101722.3949828469</v>
      </c>
    </row>
    <row r="634" spans="1:60" hidden="1" outlineLevel="1">
      <c r="A634" s="1464">
        <f t="shared" si="436"/>
        <v>18</v>
      </c>
      <c r="B634" s="1464">
        <f t="shared" si="437"/>
        <v>40</v>
      </c>
      <c r="C634" s="1464">
        <f t="shared" si="438"/>
        <v>9</v>
      </c>
      <c r="D634" s="1271" t="str">
        <f ca="1">IF(OFFSET(PortfolioDashboard!$A$3,C634-1,0)="","Blank",OFFSET(PortfolioDashboard!$A$3,C634-1,0))</f>
        <v>Reduced Air Travel</v>
      </c>
      <c r="E634" s="1464" t="str">
        <f t="shared" si="439"/>
        <v>2010$</v>
      </c>
      <c r="F634" s="1460">
        <f t="shared" ca="1" si="410"/>
        <v>2554543.5640719305</v>
      </c>
      <c r="G634" s="358">
        <f t="shared" ref="G634:AT634" ca="1" si="446">G696-G665</f>
        <v>0</v>
      </c>
      <c r="H634" s="358">
        <f t="shared" ca="1" si="446"/>
        <v>123606.77688805692</v>
      </c>
      <c r="I634" s="358">
        <f t="shared" ca="1" si="446"/>
        <v>124003.00400854273</v>
      </c>
      <c r="J634" s="358">
        <f t="shared" ca="1" si="446"/>
        <v>124307.03977146068</v>
      </c>
      <c r="K634" s="358">
        <f t="shared" ca="1" si="446"/>
        <v>124563.3537761138</v>
      </c>
      <c r="L634" s="358">
        <f t="shared" ca="1" si="446"/>
        <v>124789.17094740043</v>
      </c>
      <c r="M634" s="358">
        <f t="shared" ca="1" si="446"/>
        <v>187489.9879132183</v>
      </c>
      <c r="N634" s="358">
        <f t="shared" ca="1" si="446"/>
        <v>187771.59683356594</v>
      </c>
      <c r="O634" s="358">
        <f t="shared" ca="1" si="446"/>
        <v>188033.71202562816</v>
      </c>
      <c r="P634" s="358">
        <f t="shared" ca="1" si="446"/>
        <v>188279.89599625603</v>
      </c>
      <c r="Q634" s="358">
        <f t="shared" ca="1" si="446"/>
        <v>188512.74258500358</v>
      </c>
      <c r="R634" s="358">
        <f t="shared" ca="1" si="446"/>
        <v>188734.2099312158</v>
      </c>
      <c r="S634" s="358">
        <f t="shared" ca="1" si="446"/>
        <v>188945.81931438198</v>
      </c>
      <c r="T634" s="358">
        <f t="shared" ca="1" si="446"/>
        <v>189148.78052821942</v>
      </c>
      <c r="U634" s="358">
        <f t="shared" ca="1" si="446"/>
        <v>189344.074468823</v>
      </c>
      <c r="V634" s="358">
        <f t="shared" ca="1" si="446"/>
        <v>189532.50953521696</v>
      </c>
      <c r="W634" s="358">
        <f t="shared" ca="1" si="446"/>
        <v>189714.76132834144</v>
      </c>
      <c r="X634" s="358">
        <f t="shared" ca="1" si="446"/>
        <v>189891.40132272491</v>
      </c>
      <c r="Y634" s="358">
        <f t="shared" ca="1" si="446"/>
        <v>190062.91803844224</v>
      </c>
      <c r="Z634" s="358">
        <f t="shared" ca="1" si="446"/>
        <v>190229.73298014997</v>
      </c>
      <c r="AA634" s="358">
        <f t="shared" ca="1" si="446"/>
        <v>190392.21284220132</v>
      </c>
      <c r="AB634" s="358">
        <f t="shared" ca="1" si="446"/>
        <v>190550.67899634904</v>
      </c>
      <c r="AC634" s="358">
        <f t="shared" ca="1" si="446"/>
        <v>190705.41496683744</v>
      </c>
      <c r="AD634" s="358">
        <f t="shared" ca="1" si="446"/>
        <v>190856.67239132349</v>
      </c>
      <c r="AE634" s="358">
        <f t="shared" ca="1" si="446"/>
        <v>191004.67582643649</v>
      </c>
      <c r="AF634" s="358">
        <f t="shared" ca="1" si="446"/>
        <v>191149.62666042676</v>
      </c>
      <c r="AG634" s="358">
        <f t="shared" ca="1" si="446"/>
        <v>191291.70632768099</v>
      </c>
      <c r="AH634" s="358">
        <f t="shared" ca="1" si="446"/>
        <v>191431.07897157304</v>
      </c>
      <c r="AI634" s="358">
        <f t="shared" ca="1" si="446"/>
        <v>191567.89366713184</v>
      </c>
      <c r="AJ634" s="358">
        <f t="shared" ca="1" si="446"/>
        <v>191702.28628932338</v>
      </c>
      <c r="AK634" s="358">
        <f t="shared" ca="1" si="446"/>
        <v>191834.38109365286</v>
      </c>
      <c r="AL634" s="358">
        <f t="shared" ca="1" si="446"/>
        <v>191964.29206144504</v>
      </c>
      <c r="AM634" s="358">
        <f t="shared" ca="1" si="446"/>
        <v>192092.12405125628</v>
      </c>
      <c r="AN634" s="358">
        <f t="shared" ca="1" si="446"/>
        <v>192217.97378950985</v>
      </c>
      <c r="AO634" s="358">
        <f t="shared" ca="1" si="446"/>
        <v>192341.9307269709</v>
      </c>
      <c r="AP634" s="358">
        <f t="shared" ca="1" si="446"/>
        <v>192464.07778262065</v>
      </c>
      <c r="AQ634" s="358">
        <f t="shared" ca="1" si="446"/>
        <v>192584.49199251208</v>
      </c>
      <c r="AR634" s="358">
        <f t="shared" ca="1" si="446"/>
        <v>192703.24507803266</v>
      </c>
      <c r="AS634" s="358">
        <f t="shared" ca="1" si="446"/>
        <v>192820.40394548164</v>
      </c>
      <c r="AT634" s="358">
        <f t="shared" ca="1" si="446"/>
        <v>192936.03112684423</v>
      </c>
      <c r="AV634" s="358">
        <f t="shared" ca="1" si="428"/>
        <v>876364.36371606891</v>
      </c>
      <c r="AX634" s="358">
        <f t="shared" ca="1" si="429"/>
        <v>944685.62682764383</v>
      </c>
      <c r="AZ634" s="358">
        <f t="shared" ca="1" si="430"/>
        <v>949431.32320487546</v>
      </c>
      <c r="BB634" s="358">
        <f t="shared" ca="1" si="431"/>
        <v>953509.65502314782</v>
      </c>
      <c r="BD634" s="358">
        <f t="shared" ca="1" si="432"/>
        <v>957142.59191613598</v>
      </c>
      <c r="BF634" s="358">
        <f t="shared" ca="1" si="433"/>
        <v>960450.70172283484</v>
      </c>
      <c r="BH634" s="358">
        <f t="shared" ca="1" si="434"/>
        <v>963508.24992549117</v>
      </c>
    </row>
    <row r="635" spans="1:60" hidden="1" outlineLevel="1">
      <c r="A635" s="1464">
        <f t="shared" si="436"/>
        <v>18</v>
      </c>
      <c r="B635" s="1464">
        <f t="shared" si="437"/>
        <v>40</v>
      </c>
      <c r="C635" s="1464">
        <f t="shared" si="438"/>
        <v>10</v>
      </c>
      <c r="D635" s="1271" t="str">
        <f ca="1">IF(OFFSET(PortfolioDashboard!$A$3,C635-1,0)="","Blank",OFFSET(PortfolioDashboard!$A$3,C635-1,0))</f>
        <v>Reduced Automobile Reliance Strategies</v>
      </c>
      <c r="E635" s="1464" t="str">
        <f t="shared" si="439"/>
        <v>2010$</v>
      </c>
      <c r="F635" s="1460">
        <f t="shared" ca="1" si="410"/>
        <v>-2165760.9658617252</v>
      </c>
      <c r="G635" s="358">
        <f t="shared" ref="G635:AT635" ca="1" si="447">G697-G666</f>
        <v>0</v>
      </c>
      <c r="H635" s="358">
        <f t="shared" ca="1" si="447"/>
        <v>0</v>
      </c>
      <c r="I635" s="358">
        <f t="shared" ca="1" si="447"/>
        <v>-102475</v>
      </c>
      <c r="J635" s="358">
        <f t="shared" ca="1" si="447"/>
        <v>-104950</v>
      </c>
      <c r="K635" s="358">
        <f t="shared" ca="1" si="447"/>
        <v>-107425</v>
      </c>
      <c r="L635" s="358">
        <f t="shared" ca="1" si="447"/>
        <v>-109900</v>
      </c>
      <c r="M635" s="358">
        <f t="shared" ca="1" si="447"/>
        <v>-112375</v>
      </c>
      <c r="N635" s="358">
        <f t="shared" ca="1" si="447"/>
        <v>-164850</v>
      </c>
      <c r="O635" s="358">
        <f t="shared" ca="1" si="447"/>
        <v>-167325</v>
      </c>
      <c r="P635" s="358">
        <f t="shared" ca="1" si="447"/>
        <v>-169800</v>
      </c>
      <c r="Q635" s="358">
        <f t="shared" ca="1" si="447"/>
        <v>-172275</v>
      </c>
      <c r="R635" s="358">
        <f t="shared" ca="1" si="447"/>
        <v>-174750</v>
      </c>
      <c r="S635" s="358">
        <f t="shared" ca="1" si="447"/>
        <v>-174750</v>
      </c>
      <c r="T635" s="358">
        <f t="shared" ca="1" si="447"/>
        <v>-174750</v>
      </c>
      <c r="U635" s="358">
        <f t="shared" ca="1" si="447"/>
        <v>-174750</v>
      </c>
      <c r="V635" s="358">
        <f t="shared" ca="1" si="447"/>
        <v>-174750</v>
      </c>
      <c r="W635" s="358">
        <f t="shared" ca="1" si="447"/>
        <v>-174750</v>
      </c>
      <c r="X635" s="358">
        <f t="shared" ca="1" si="447"/>
        <v>-174750</v>
      </c>
      <c r="Y635" s="358">
        <f t="shared" ca="1" si="447"/>
        <v>-174750</v>
      </c>
      <c r="Z635" s="358">
        <f t="shared" ca="1" si="447"/>
        <v>-174750</v>
      </c>
      <c r="AA635" s="358">
        <f t="shared" ca="1" si="447"/>
        <v>-174750</v>
      </c>
      <c r="AB635" s="358">
        <f t="shared" ca="1" si="447"/>
        <v>-174750</v>
      </c>
      <c r="AC635" s="358">
        <f t="shared" ca="1" si="447"/>
        <v>-174750</v>
      </c>
      <c r="AD635" s="358">
        <f t="shared" ca="1" si="447"/>
        <v>-174750</v>
      </c>
      <c r="AE635" s="358">
        <f t="shared" ca="1" si="447"/>
        <v>-174750</v>
      </c>
      <c r="AF635" s="358">
        <f t="shared" ca="1" si="447"/>
        <v>-174750</v>
      </c>
      <c r="AG635" s="358">
        <f t="shared" ca="1" si="447"/>
        <v>-174750</v>
      </c>
      <c r="AH635" s="358">
        <f t="shared" ca="1" si="447"/>
        <v>-174750</v>
      </c>
      <c r="AI635" s="358">
        <f t="shared" ca="1" si="447"/>
        <v>-174750</v>
      </c>
      <c r="AJ635" s="358">
        <f t="shared" ca="1" si="447"/>
        <v>-174750</v>
      </c>
      <c r="AK635" s="358">
        <f t="shared" ca="1" si="447"/>
        <v>-174750</v>
      </c>
      <c r="AL635" s="358">
        <f t="shared" ca="1" si="447"/>
        <v>-174750</v>
      </c>
      <c r="AM635" s="358">
        <f t="shared" ca="1" si="447"/>
        <v>-174750</v>
      </c>
      <c r="AN635" s="358">
        <f t="shared" ca="1" si="447"/>
        <v>-174750</v>
      </c>
      <c r="AO635" s="358">
        <f t="shared" ca="1" si="447"/>
        <v>-174750</v>
      </c>
      <c r="AP635" s="358">
        <f t="shared" ca="1" si="447"/>
        <v>-174750</v>
      </c>
      <c r="AQ635" s="358">
        <f t="shared" ca="1" si="447"/>
        <v>-174750</v>
      </c>
      <c r="AR635" s="358">
        <f t="shared" ca="1" si="447"/>
        <v>-174750</v>
      </c>
      <c r="AS635" s="358">
        <f t="shared" ca="1" si="447"/>
        <v>-174750</v>
      </c>
      <c r="AT635" s="358">
        <f t="shared" ca="1" si="447"/>
        <v>-174750</v>
      </c>
      <c r="AV635" s="358">
        <f t="shared" ca="1" si="428"/>
        <v>-724250</v>
      </c>
      <c r="AX635" s="358">
        <f t="shared" ca="1" si="429"/>
        <v>-871275</v>
      </c>
      <c r="AZ635" s="358">
        <f t="shared" ca="1" si="430"/>
        <v>-873750</v>
      </c>
      <c r="BB635" s="358">
        <f t="shared" ca="1" si="431"/>
        <v>-873750</v>
      </c>
      <c r="BD635" s="358">
        <f t="shared" ca="1" si="432"/>
        <v>-873750</v>
      </c>
      <c r="BF635" s="358">
        <f t="shared" ca="1" si="433"/>
        <v>-873750</v>
      </c>
      <c r="BH635" s="358">
        <f t="shared" ca="1" si="434"/>
        <v>-873750</v>
      </c>
    </row>
    <row r="636" spans="1:60" hidden="1" outlineLevel="1">
      <c r="A636" s="1464">
        <f t="shared" si="436"/>
        <v>18</v>
      </c>
      <c r="B636" s="1464">
        <f t="shared" si="437"/>
        <v>40</v>
      </c>
      <c r="C636" s="1464">
        <f t="shared" si="438"/>
        <v>11</v>
      </c>
      <c r="D636" s="1271" t="str">
        <f ca="1">IF(OFFSET(PortfolioDashboard!$A$3,C636-1,0)="","Blank",OFFSET(PortfolioDashboard!$A$3,C636-1,0))</f>
        <v>Waste Reduction</v>
      </c>
      <c r="E636" s="1464" t="str">
        <f t="shared" si="439"/>
        <v>2010$</v>
      </c>
      <c r="F636" s="1460">
        <f t="shared" ca="1" si="410"/>
        <v>43933.902081298445</v>
      </c>
      <c r="G636" s="358">
        <f t="shared" ref="G636:AT636" ca="1" si="448">G698-G667</f>
        <v>0</v>
      </c>
      <c r="H636" s="358">
        <f t="shared" ca="1" si="448"/>
        <v>0</v>
      </c>
      <c r="I636" s="358">
        <f t="shared" ca="1" si="448"/>
        <v>3148</v>
      </c>
      <c r="J636" s="358">
        <f t="shared" ca="1" si="448"/>
        <v>3148</v>
      </c>
      <c r="K636" s="358">
        <f t="shared" ca="1" si="448"/>
        <v>3148</v>
      </c>
      <c r="L636" s="358">
        <f t="shared" ca="1" si="448"/>
        <v>3147.9999999999995</v>
      </c>
      <c r="M636" s="358">
        <f t="shared" ca="1" si="448"/>
        <v>3148</v>
      </c>
      <c r="N636" s="358">
        <f t="shared" ca="1" si="448"/>
        <v>3148.0000000000005</v>
      </c>
      <c r="O636" s="358">
        <f t="shared" ca="1" si="448"/>
        <v>3148</v>
      </c>
      <c r="P636" s="358">
        <f t="shared" ca="1" si="448"/>
        <v>3148</v>
      </c>
      <c r="Q636" s="358">
        <f t="shared" ca="1" si="448"/>
        <v>3147.9999999999995</v>
      </c>
      <c r="R636" s="358">
        <f t="shared" ca="1" si="448"/>
        <v>3148</v>
      </c>
      <c r="S636" s="358">
        <f t="shared" ca="1" si="448"/>
        <v>3148</v>
      </c>
      <c r="T636" s="358">
        <f t="shared" ca="1" si="448"/>
        <v>3148</v>
      </c>
      <c r="U636" s="358">
        <f t="shared" ca="1" si="448"/>
        <v>3148.0000000000009</v>
      </c>
      <c r="V636" s="358">
        <f t="shared" ca="1" si="448"/>
        <v>3148</v>
      </c>
      <c r="W636" s="358">
        <f t="shared" ca="1" si="448"/>
        <v>3148</v>
      </c>
      <c r="X636" s="358">
        <f t="shared" ca="1" si="448"/>
        <v>3148</v>
      </c>
      <c r="Y636" s="358">
        <f t="shared" ca="1" si="448"/>
        <v>3148.0000000000009</v>
      </c>
      <c r="Z636" s="358">
        <f t="shared" ca="1" si="448"/>
        <v>3148</v>
      </c>
      <c r="AA636" s="358">
        <f t="shared" ca="1" si="448"/>
        <v>3148</v>
      </c>
      <c r="AB636" s="358">
        <f t="shared" ca="1" si="448"/>
        <v>3148</v>
      </c>
      <c r="AC636" s="358">
        <f t="shared" ca="1" si="448"/>
        <v>3148</v>
      </c>
      <c r="AD636" s="358">
        <f t="shared" ca="1" si="448"/>
        <v>3148</v>
      </c>
      <c r="AE636" s="358">
        <f t="shared" ca="1" si="448"/>
        <v>3148</v>
      </c>
      <c r="AF636" s="358">
        <f t="shared" ca="1" si="448"/>
        <v>3148</v>
      </c>
      <c r="AG636" s="358">
        <f t="shared" ca="1" si="448"/>
        <v>3148</v>
      </c>
      <c r="AH636" s="358">
        <f t="shared" ca="1" si="448"/>
        <v>3147.9999999999982</v>
      </c>
      <c r="AI636" s="358">
        <f t="shared" ca="1" si="448"/>
        <v>3148</v>
      </c>
      <c r="AJ636" s="358">
        <f t="shared" ca="1" si="448"/>
        <v>3148</v>
      </c>
      <c r="AK636" s="358">
        <f t="shared" ca="1" si="448"/>
        <v>3148</v>
      </c>
      <c r="AL636" s="358">
        <f t="shared" ca="1" si="448"/>
        <v>3148</v>
      </c>
      <c r="AM636" s="358">
        <f t="shared" ca="1" si="448"/>
        <v>3148</v>
      </c>
      <c r="AN636" s="358">
        <f t="shared" ca="1" si="448"/>
        <v>3148</v>
      </c>
      <c r="AO636" s="358">
        <f t="shared" ca="1" si="448"/>
        <v>3148</v>
      </c>
      <c r="AP636" s="358">
        <f t="shared" ca="1" si="448"/>
        <v>3148</v>
      </c>
      <c r="AQ636" s="358">
        <f t="shared" ca="1" si="448"/>
        <v>3148</v>
      </c>
      <c r="AR636" s="358">
        <f t="shared" ca="1" si="448"/>
        <v>3148</v>
      </c>
      <c r="AS636" s="358">
        <f t="shared" ca="1" si="448"/>
        <v>3148</v>
      </c>
      <c r="AT636" s="358">
        <f t="shared" ca="1" si="448"/>
        <v>3148</v>
      </c>
      <c r="AV636" s="358">
        <f t="shared" ca="1" si="428"/>
        <v>15740</v>
      </c>
      <c r="AX636" s="358">
        <f t="shared" ca="1" si="429"/>
        <v>15740</v>
      </c>
      <c r="AZ636" s="358">
        <f t="shared" ca="1" si="430"/>
        <v>15740</v>
      </c>
      <c r="BB636" s="358">
        <f t="shared" ca="1" si="431"/>
        <v>15740</v>
      </c>
      <c r="BD636" s="358">
        <f t="shared" ca="1" si="432"/>
        <v>15739.999999999998</v>
      </c>
      <c r="BF636" s="358">
        <f t="shared" ca="1" si="433"/>
        <v>15740</v>
      </c>
      <c r="BH636" s="358">
        <f t="shared" ca="1" si="434"/>
        <v>15740</v>
      </c>
    </row>
    <row r="637" spans="1:60" hidden="1" outlineLevel="1">
      <c r="A637" s="1464">
        <f t="shared" si="436"/>
        <v>18</v>
      </c>
      <c r="B637" s="1464">
        <f t="shared" si="437"/>
        <v>40</v>
      </c>
      <c r="C637" s="1464">
        <f t="shared" si="438"/>
        <v>12</v>
      </c>
      <c r="D637" s="1271" t="str">
        <f ca="1">IF(OFFSET(PortfolioDashboard!$A$3,C637-1,0)="","Blank",OFFSET(PortfolioDashboard!$A$3,C637-1,0))</f>
        <v>Steam Line Improvements</v>
      </c>
      <c r="E637" s="1464" t="str">
        <f t="shared" si="439"/>
        <v>2010$</v>
      </c>
      <c r="F637" s="1460">
        <f t="shared" ca="1" si="410"/>
        <v>4845763.9455082519</v>
      </c>
      <c r="G637" s="358">
        <f t="shared" ref="G637:AT637" ca="1" si="449">G699-G668</f>
        <v>0</v>
      </c>
      <c r="H637" s="358">
        <f t="shared" ca="1" si="449"/>
        <v>-600000</v>
      </c>
      <c r="I637" s="358">
        <f t="shared" ca="1" si="449"/>
        <v>318930.98821845633</v>
      </c>
      <c r="J637" s="358">
        <f t="shared" ca="1" si="449"/>
        <v>325674.38291916944</v>
      </c>
      <c r="K637" s="358">
        <f t="shared" ca="1" si="449"/>
        <v>331089.05995406612</v>
      </c>
      <c r="L637" s="358">
        <f t="shared" ca="1" si="449"/>
        <v>340270.05984589568</v>
      </c>
      <c r="M637" s="358">
        <f t="shared" ca="1" si="449"/>
        <v>345795.67297425686</v>
      </c>
      <c r="N637" s="358">
        <f t="shared" ca="1" si="449"/>
        <v>351368.03548240557</v>
      </c>
      <c r="O637" s="358">
        <f t="shared" ca="1" si="449"/>
        <v>356987.47672381124</v>
      </c>
      <c r="P637" s="358">
        <f t="shared" ca="1" si="449"/>
        <v>362654.32817674411</v>
      </c>
      <c r="Q637" s="358">
        <f t="shared" ca="1" si="449"/>
        <v>368368.92345728818</v>
      </c>
      <c r="R637" s="358">
        <f t="shared" ca="1" si="449"/>
        <v>374131.59833243315</v>
      </c>
      <c r="S637" s="358">
        <f t="shared" ca="1" si="449"/>
        <v>379942.69073324313</v>
      </c>
      <c r="T637" s="358">
        <f t="shared" ca="1" si="449"/>
        <v>385802.54076810298</v>
      </c>
      <c r="U637" s="358">
        <f t="shared" ca="1" si="449"/>
        <v>391711.49073604308</v>
      </c>
      <c r="V637" s="358">
        <f t="shared" ca="1" si="449"/>
        <v>397669.88514014328</v>
      </c>
      <c r="W637" s="358">
        <f t="shared" ca="1" si="449"/>
        <v>403678.07070101611</v>
      </c>
      <c r="X637" s="358">
        <f t="shared" ca="1" si="449"/>
        <v>409736.39637036924</v>
      </c>
      <c r="Y637" s="358">
        <f t="shared" ca="1" si="449"/>
        <v>415845.21334464825</v>
      </c>
      <c r="Z637" s="358">
        <f t="shared" ca="1" si="449"/>
        <v>422004.87507876102</v>
      </c>
      <c r="AA637" s="358">
        <f t="shared" ca="1" si="449"/>
        <v>428215.73729988118</v>
      </c>
      <c r="AB637" s="358">
        <f t="shared" ca="1" si="449"/>
        <v>434478.15802133561</v>
      </c>
      <c r="AC637" s="358">
        <f t="shared" ca="1" si="449"/>
        <v>440792.49755657197</v>
      </c>
      <c r="AD637" s="358">
        <f t="shared" ca="1" si="449"/>
        <v>447159.11853321025</v>
      </c>
      <c r="AE637" s="358">
        <f t="shared" ca="1" si="449"/>
        <v>453578.38590717595</v>
      </c>
      <c r="AF637" s="358">
        <f t="shared" ca="1" si="449"/>
        <v>460050.66697691794</v>
      </c>
      <c r="AG637" s="358">
        <f t="shared" ca="1" si="449"/>
        <v>-133423.66860229021</v>
      </c>
      <c r="AH637" s="358">
        <f t="shared" ca="1" si="449"/>
        <v>473155.75119603513</v>
      </c>
      <c r="AI637" s="358">
        <f t="shared" ca="1" si="449"/>
        <v>479789.30078405864</v>
      </c>
      <c r="AJ637" s="358">
        <f t="shared" ca="1" si="449"/>
        <v>486477.35697418259</v>
      </c>
      <c r="AK637" s="358">
        <f t="shared" ca="1" si="449"/>
        <v>493220.29899368813</v>
      </c>
      <c r="AL637" s="358">
        <f t="shared" ca="1" si="449"/>
        <v>500018.50849946431</v>
      </c>
      <c r="AM637" s="358">
        <f t="shared" ca="1" si="449"/>
        <v>506872.36959282332</v>
      </c>
      <c r="AN637" s="358">
        <f t="shared" ca="1" si="449"/>
        <v>513782.26883440366</v>
      </c>
      <c r="AO637" s="358">
        <f t="shared" ca="1" si="449"/>
        <v>520748.59525916004</v>
      </c>
      <c r="AP637" s="358">
        <f t="shared" ca="1" si="449"/>
        <v>527771.74039144302</v>
      </c>
      <c r="AQ637" s="358">
        <f t="shared" ca="1" si="449"/>
        <v>534852.09826016682</v>
      </c>
      <c r="AR637" s="358">
        <f t="shared" ca="1" si="449"/>
        <v>541990.06541406852</v>
      </c>
      <c r="AS637" s="358">
        <f t="shared" ca="1" si="449"/>
        <v>549186.04093705327</v>
      </c>
      <c r="AT637" s="358">
        <f t="shared" ca="1" si="449"/>
        <v>556440.42646363203</v>
      </c>
      <c r="AV637" s="358">
        <f t="shared" ca="1" si="428"/>
        <v>1757075.5732031134</v>
      </c>
      <c r="AX637" s="358">
        <f t="shared" ca="1" si="429"/>
        <v>1899957.2440271105</v>
      </c>
      <c r="AZ637" s="358">
        <f t="shared" ca="1" si="430"/>
        <v>2048934.440634938</v>
      </c>
      <c r="BB637" s="358">
        <f t="shared" ca="1" si="431"/>
        <v>2204223.8973181751</v>
      </c>
      <c r="BD637" s="358">
        <f t="shared" ca="1" si="432"/>
        <v>1766049.4073289041</v>
      </c>
      <c r="BF637" s="358">
        <f t="shared" ca="1" si="433"/>
        <v>2534642.0411795396</v>
      </c>
      <c r="BH637" s="358">
        <f t="shared" ca="1" si="434"/>
        <v>2710240.3714663638</v>
      </c>
    </row>
    <row r="638" spans="1:60" hidden="1" outlineLevel="1">
      <c r="A638" s="1464">
        <f t="shared" si="436"/>
        <v>18</v>
      </c>
      <c r="B638" s="1464">
        <f t="shared" si="437"/>
        <v>40</v>
      </c>
      <c r="C638" s="1464">
        <f t="shared" si="438"/>
        <v>13</v>
      </c>
      <c r="D638" s="1271" t="str">
        <f ca="1">IF(OFFSET(PortfolioDashboard!$A$3,C638-1,0)="","Blank",OFFSET(PortfolioDashboard!$A$3,C638-1,0))</f>
        <v>Coal to Natural Gas Conversion @ Steam Plant</v>
      </c>
      <c r="E638" s="1464" t="str">
        <f t="shared" si="439"/>
        <v>2010$</v>
      </c>
      <c r="F638" s="1460">
        <f t="shared" ca="1" si="410"/>
        <v>-4228976.1405559285</v>
      </c>
      <c r="G638" s="358">
        <f t="shared" ref="G638:AT638" ca="1" si="450">G700-G669</f>
        <v>0</v>
      </c>
      <c r="H638" s="358">
        <f t="shared" ca="1" si="450"/>
        <v>0</v>
      </c>
      <c r="I638" s="358">
        <f t="shared" ca="1" si="450"/>
        <v>0</v>
      </c>
      <c r="J638" s="358">
        <f t="shared" ca="1" si="450"/>
        <v>0</v>
      </c>
      <c r="K638" s="358">
        <f t="shared" ca="1" si="450"/>
        <v>0</v>
      </c>
      <c r="L638" s="358">
        <f t="shared" ca="1" si="450"/>
        <v>-303812.55343383551</v>
      </c>
      <c r="M638" s="358">
        <f t="shared" ca="1" si="450"/>
        <v>-308746.13658415806</v>
      </c>
      <c r="N638" s="358">
        <f t="shared" ca="1" si="450"/>
        <v>-313721.4602521481</v>
      </c>
      <c r="O638" s="358">
        <f t="shared" ca="1" si="450"/>
        <v>-318738.8185034031</v>
      </c>
      <c r="P638" s="358">
        <f t="shared" ca="1" si="450"/>
        <v>-323798.50730066467</v>
      </c>
      <c r="Q638" s="358">
        <f t="shared" ca="1" si="450"/>
        <v>-328900.82451543584</v>
      </c>
      <c r="R638" s="358">
        <f t="shared" ca="1" si="450"/>
        <v>-334046.06993967295</v>
      </c>
      <c r="S638" s="358">
        <f t="shared" ca="1" si="450"/>
        <v>-339234.54529753793</v>
      </c>
      <c r="T638" s="358">
        <f t="shared" ca="1" si="450"/>
        <v>-344466.55425723549</v>
      </c>
      <c r="U638" s="358">
        <f t="shared" ca="1" si="450"/>
        <v>-349742.40244289581</v>
      </c>
      <c r="V638" s="358">
        <f t="shared" ca="1" si="450"/>
        <v>-355062.39744655695</v>
      </c>
      <c r="W638" s="358">
        <f t="shared" ca="1" si="450"/>
        <v>-360426.84884019289</v>
      </c>
      <c r="X638" s="358">
        <f t="shared" ca="1" si="450"/>
        <v>-365836.06818782911</v>
      </c>
      <c r="Y638" s="358">
        <f t="shared" ca="1" si="450"/>
        <v>-371290.36905772146</v>
      </c>
      <c r="Z638" s="358">
        <f t="shared" ca="1" si="450"/>
        <v>-376790.06703460775</v>
      </c>
      <c r="AA638" s="358">
        <f t="shared" ca="1" si="450"/>
        <v>-382335.47973203566</v>
      </c>
      <c r="AB638" s="358">
        <f t="shared" ca="1" si="450"/>
        <v>-387926.9268047642</v>
      </c>
      <c r="AC638" s="358">
        <f t="shared" ca="1" si="450"/>
        <v>-393564.72996122483</v>
      </c>
      <c r="AD638" s="358">
        <f t="shared" ca="1" si="450"/>
        <v>-399249.21297608037</v>
      </c>
      <c r="AE638" s="358">
        <f t="shared" ca="1" si="450"/>
        <v>-404980.70170283597</v>
      </c>
      <c r="AF638" s="358">
        <f t="shared" ca="1" si="450"/>
        <v>-410759.52408653311</v>
      </c>
      <c r="AG638" s="358">
        <f t="shared" ca="1" si="450"/>
        <v>-416586.01017652731</v>
      </c>
      <c r="AH638" s="358">
        <f t="shared" ca="1" si="450"/>
        <v>-422460.49213931803</v>
      </c>
      <c r="AI638" s="358">
        <f t="shared" ca="1" si="450"/>
        <v>-428383.304271481</v>
      </c>
      <c r="AJ638" s="358">
        <f t="shared" ca="1" si="450"/>
        <v>-434354.78301266301</v>
      </c>
      <c r="AK638" s="358">
        <f t="shared" ca="1" si="450"/>
        <v>-440375.2669586502</v>
      </c>
      <c r="AL638" s="358">
        <f t="shared" ca="1" si="450"/>
        <v>-446445.09687452111</v>
      </c>
      <c r="AM638" s="358">
        <f t="shared" ca="1" si="450"/>
        <v>-452564.61570787802</v>
      </c>
      <c r="AN638" s="358">
        <f t="shared" ca="1" si="450"/>
        <v>-458734.16860214621</v>
      </c>
      <c r="AO638" s="358">
        <f t="shared" ca="1" si="450"/>
        <v>-464954.10290996451</v>
      </c>
      <c r="AP638" s="358">
        <f t="shared" ca="1" si="450"/>
        <v>-471224.7682066448</v>
      </c>
      <c r="AQ638" s="358">
        <f t="shared" ca="1" si="450"/>
        <v>-477546.51630371995</v>
      </c>
      <c r="AR638" s="358">
        <f t="shared" ca="1" si="450"/>
        <v>-483919.70126256067</v>
      </c>
      <c r="AS638" s="358">
        <f t="shared" ca="1" si="450"/>
        <v>-490344.67940808367</v>
      </c>
      <c r="AT638" s="358">
        <f t="shared" ca="1" si="450"/>
        <v>-496821.80934252869</v>
      </c>
      <c r="AV638" s="358">
        <f t="shared" ca="1" si="428"/>
        <v>-1568817.4760742094</v>
      </c>
      <c r="AX638" s="358">
        <f t="shared" ca="1" si="429"/>
        <v>-1696390.396452778</v>
      </c>
      <c r="AZ638" s="358">
        <f t="shared" ca="1" si="430"/>
        <v>-1829405.7505669082</v>
      </c>
      <c r="BB638" s="358">
        <f t="shared" ca="1" si="431"/>
        <v>-1968057.051176941</v>
      </c>
      <c r="BD638" s="358">
        <f t="shared" ca="1" si="432"/>
        <v>-2112544.1136865225</v>
      </c>
      <c r="BF638" s="358">
        <f t="shared" ca="1" si="433"/>
        <v>-2263073.2510531601</v>
      </c>
      <c r="BH638" s="358">
        <f t="shared" ca="1" si="434"/>
        <v>-2419857.4745235378</v>
      </c>
    </row>
    <row r="639" spans="1:60" hidden="1" outlineLevel="1">
      <c r="A639" s="1464">
        <f t="shared" si="436"/>
        <v>18</v>
      </c>
      <c r="B639" s="1464">
        <f t="shared" si="437"/>
        <v>40</v>
      </c>
      <c r="C639" s="1464">
        <f t="shared" si="438"/>
        <v>14</v>
      </c>
      <c r="D639" s="1271" t="str">
        <f ca="1">IF(OFFSET(PortfolioDashboard!$A$3,C639-1,0)="","Blank",OFFSET(PortfolioDashboard!$A$3,C639-1,0))</f>
        <v>On-site Wind</v>
      </c>
      <c r="E639" s="1464" t="str">
        <f t="shared" si="439"/>
        <v>2010$</v>
      </c>
      <c r="F639" s="1460">
        <f t="shared" ca="1" si="410"/>
        <v>-169986.95356264481</v>
      </c>
      <c r="G639" s="358">
        <f t="shared" ref="G639:AT639" ca="1" si="451">G701-G670</f>
        <v>-100000</v>
      </c>
      <c r="H639" s="358">
        <f t="shared" ca="1" si="451"/>
        <v>-6057.5400000000009</v>
      </c>
      <c r="I639" s="358">
        <f t="shared" ca="1" si="451"/>
        <v>-5982.7077000000063</v>
      </c>
      <c r="J639" s="358">
        <f t="shared" ca="1" si="451"/>
        <v>-5907.5012385000064</v>
      </c>
      <c r="K639" s="358">
        <f t="shared" ca="1" si="451"/>
        <v>-5831.9187446925116</v>
      </c>
      <c r="L639" s="358">
        <f t="shared" ca="1" si="451"/>
        <v>-5755.9583384159741</v>
      </c>
      <c r="M639" s="358">
        <f t="shared" ca="1" si="451"/>
        <v>-5679.6181301080578</v>
      </c>
      <c r="N639" s="358">
        <f t="shared" ca="1" si="451"/>
        <v>-5602.896220758601</v>
      </c>
      <c r="O639" s="358">
        <f t="shared" ca="1" si="451"/>
        <v>-5525.7907018623955</v>
      </c>
      <c r="P639" s="358">
        <f t="shared" ca="1" si="451"/>
        <v>-5448.2996553717057</v>
      </c>
      <c r="Q639" s="358">
        <f t="shared" ca="1" si="451"/>
        <v>-5370.4211536485691</v>
      </c>
      <c r="R639" s="358">
        <f t="shared" ca="1" si="451"/>
        <v>-5292.1532594168129</v>
      </c>
      <c r="S639" s="358">
        <f t="shared" ca="1" si="451"/>
        <v>-5213.4940257139042</v>
      </c>
      <c r="T639" s="358">
        <f t="shared" ca="1" si="451"/>
        <v>-5134.4414958424732</v>
      </c>
      <c r="U639" s="358">
        <f t="shared" ca="1" si="451"/>
        <v>-5054.9937033216884</v>
      </c>
      <c r="V639" s="358">
        <f t="shared" ca="1" si="451"/>
        <v>-4975.1486718383003</v>
      </c>
      <c r="W639" s="358">
        <f t="shared" ca="1" si="451"/>
        <v>-4894.9044151974922</v>
      </c>
      <c r="X639" s="358">
        <f t="shared" ca="1" si="451"/>
        <v>-4814.2589372734819</v>
      </c>
      <c r="Y639" s="358">
        <f t="shared" ca="1" si="451"/>
        <v>-4733.2102319598544</v>
      </c>
      <c r="Z639" s="358">
        <f t="shared" ca="1" si="451"/>
        <v>-4651.7562831196556</v>
      </c>
      <c r="AA639" s="358">
        <f t="shared" ca="1" si="451"/>
        <v>-4569.8950645352561</v>
      </c>
      <c r="AB639" s="358">
        <f t="shared" ca="1" si="451"/>
        <v>-4487.6245398579376</v>
      </c>
      <c r="AC639" s="358">
        <f t="shared" ca="1" si="451"/>
        <v>-4404.9426625572269</v>
      </c>
      <c r="AD639" s="358">
        <f t="shared" ca="1" si="451"/>
        <v>-4321.8473758700165</v>
      </c>
      <c r="AE639" s="358">
        <f t="shared" ca="1" si="451"/>
        <v>-4238.3366127493646</v>
      </c>
      <c r="AF639" s="358">
        <f t="shared" ca="1" si="451"/>
        <v>-4154.4082958131185</v>
      </c>
      <c r="AG639" s="358">
        <f t="shared" ca="1" si="451"/>
        <v>-4070.0603372921832</v>
      </c>
      <c r="AH639" s="358">
        <f t="shared" ca="1" si="451"/>
        <v>-3985.2906389786476</v>
      </c>
      <c r="AI639" s="358">
        <f t="shared" ca="1" si="451"/>
        <v>-3900.0970921735461</v>
      </c>
      <c r="AJ639" s="358">
        <f t="shared" ca="1" si="451"/>
        <v>-3814.477577634414</v>
      </c>
      <c r="AK639" s="358">
        <f t="shared" ca="1" si="451"/>
        <v>-3728.4299655225877</v>
      </c>
      <c r="AL639" s="358">
        <f t="shared" ca="1" si="451"/>
        <v>-3641.9521153502064</v>
      </c>
      <c r="AM639" s="358">
        <f t="shared" ca="1" si="451"/>
        <v>-3555.0418759269596</v>
      </c>
      <c r="AN639" s="358">
        <f t="shared" ca="1" si="451"/>
        <v>-3467.6970853065977</v>
      </c>
      <c r="AO639" s="358">
        <f t="shared" ca="1" si="451"/>
        <v>-3379.9155707331338</v>
      </c>
      <c r="AP639" s="358">
        <f t="shared" ca="1" si="451"/>
        <v>-3291.6951485868012</v>
      </c>
      <c r="AQ639" s="358">
        <f t="shared" ca="1" si="451"/>
        <v>-3203.0336243297388</v>
      </c>
      <c r="AR639" s="358">
        <f t="shared" ca="1" si="451"/>
        <v>-3113.9287924513919</v>
      </c>
      <c r="AS639" s="358">
        <f t="shared" ca="1" si="451"/>
        <v>-3024.3784364136518</v>
      </c>
      <c r="AT639" s="358">
        <f t="shared" ca="1" si="451"/>
        <v>-2934.3803285957219</v>
      </c>
      <c r="AV639" s="358">
        <f t="shared" ca="1" si="428"/>
        <v>-28012.563046516734</v>
      </c>
      <c r="AX639" s="358">
        <f t="shared" ca="1" si="429"/>
        <v>-26065.50363794345</v>
      </c>
      <c r="AZ639" s="358">
        <f t="shared" ca="1" si="430"/>
        <v>-24069.278539388783</v>
      </c>
      <c r="BB639" s="358">
        <f t="shared" ca="1" si="431"/>
        <v>-22022.646255569802</v>
      </c>
      <c r="BD639" s="358">
        <f t="shared" ca="1" si="432"/>
        <v>-19924.333941891909</v>
      </c>
      <c r="BF639" s="358">
        <f t="shared" ca="1" si="433"/>
        <v>-17773.036612839485</v>
      </c>
      <c r="BH639" s="358">
        <f t="shared" ca="1" si="434"/>
        <v>-15567.416330377306</v>
      </c>
    </row>
    <row r="640" spans="1:60" hidden="1" outlineLevel="1">
      <c r="A640" s="1464">
        <f t="shared" si="436"/>
        <v>18</v>
      </c>
      <c r="B640" s="1464">
        <f t="shared" si="437"/>
        <v>40</v>
      </c>
      <c r="C640" s="1464">
        <f t="shared" si="438"/>
        <v>15</v>
      </c>
      <c r="D640" s="1271" t="str">
        <f ca="1">IF(OFFSET(PortfolioDashboard!$A$3,C640-1,0)="","Blank",OFFSET(PortfolioDashboard!$A$3,C640-1,0))</f>
        <v>Solar DHW</v>
      </c>
      <c r="E640" s="1464" t="str">
        <f t="shared" si="439"/>
        <v>2010$</v>
      </c>
      <c r="F640" s="1460">
        <f t="shared" ca="1" si="410"/>
        <v>-4192.9152921190052</v>
      </c>
      <c r="G640" s="358">
        <f t="shared" ref="G640:AT640" ca="1" si="452">G702-G671</f>
        <v>0</v>
      </c>
      <c r="H640" s="358">
        <f t="shared" ca="1" si="452"/>
        <v>-61400</v>
      </c>
      <c r="I640" s="358">
        <f t="shared" ca="1" si="452"/>
        <v>4365.7750911300864</v>
      </c>
      <c r="J640" s="358">
        <f t="shared" ca="1" si="452"/>
        <v>4387.6039665857361</v>
      </c>
      <c r="K640" s="358">
        <f t="shared" ca="1" si="452"/>
        <v>4409.5419864186642</v>
      </c>
      <c r="L640" s="358">
        <f t="shared" ca="1" si="452"/>
        <v>4431.5896963507566</v>
      </c>
      <c r="M640" s="358">
        <f t="shared" ca="1" si="452"/>
        <v>4453.7476448325087</v>
      </c>
      <c r="N640" s="358">
        <f t="shared" ca="1" si="452"/>
        <v>4476.0163830566726</v>
      </c>
      <c r="O640" s="358">
        <f t="shared" ca="1" si="452"/>
        <v>4498.3964649719546</v>
      </c>
      <c r="P640" s="358">
        <f t="shared" ca="1" si="452"/>
        <v>4520.8884472968148</v>
      </c>
      <c r="Q640" s="358">
        <f t="shared" ca="1" si="452"/>
        <v>4543.4928895332978</v>
      </c>
      <c r="R640" s="358">
        <f t="shared" ca="1" si="452"/>
        <v>4566.210353980965</v>
      </c>
      <c r="S640" s="358">
        <f t="shared" ca="1" si="452"/>
        <v>4589.041405750866</v>
      </c>
      <c r="T640" s="358">
        <f t="shared" ca="1" si="452"/>
        <v>4611.9866127796213</v>
      </c>
      <c r="U640" s="358">
        <f t="shared" ca="1" si="452"/>
        <v>4635.0465458435183</v>
      </c>
      <c r="V640" s="358">
        <f t="shared" ca="1" si="452"/>
        <v>4658.2217785727353</v>
      </c>
      <c r="W640" s="358">
        <f t="shared" ca="1" si="452"/>
        <v>4681.5128874655975</v>
      </c>
      <c r="X640" s="358">
        <f t="shared" ca="1" si="452"/>
        <v>4704.9204519029254</v>
      </c>
      <c r="Y640" s="358">
        <f t="shared" ca="1" si="452"/>
        <v>4728.4450541624392</v>
      </c>
      <c r="Z640" s="358">
        <f t="shared" ca="1" si="452"/>
        <v>4752.0872794332499</v>
      </c>
      <c r="AA640" s="358">
        <f t="shared" ca="1" si="452"/>
        <v>4775.8477158304177</v>
      </c>
      <c r="AB640" s="358">
        <f t="shared" ca="1" si="452"/>
        <v>4799.726954409568</v>
      </c>
      <c r="AC640" s="358">
        <f t="shared" ca="1" si="452"/>
        <v>4823.7255891816149</v>
      </c>
      <c r="AD640" s="358">
        <f t="shared" ca="1" si="452"/>
        <v>4847.8442171275219</v>
      </c>
      <c r="AE640" s="358">
        <f t="shared" ca="1" si="452"/>
        <v>4872.0834382131616</v>
      </c>
      <c r="AF640" s="358">
        <f t="shared" ca="1" si="452"/>
        <v>4896.4438554042245</v>
      </c>
      <c r="AG640" s="358">
        <f t="shared" ca="1" si="452"/>
        <v>-56479.073925318749</v>
      </c>
      <c r="AH640" s="358">
        <f t="shared" ca="1" si="452"/>
        <v>4945.5307050546508</v>
      </c>
      <c r="AI640" s="358">
        <f t="shared" ca="1" si="452"/>
        <v>4970.2583585799221</v>
      </c>
      <c r="AJ640" s="358">
        <f t="shared" ca="1" si="452"/>
        <v>4995.1096503728222</v>
      </c>
      <c r="AK640" s="358">
        <f t="shared" ca="1" si="452"/>
        <v>5020.0851986246853</v>
      </c>
      <c r="AL640" s="358">
        <f t="shared" ca="1" si="452"/>
        <v>5045.1856246178086</v>
      </c>
      <c r="AM640" s="358">
        <f t="shared" ca="1" si="452"/>
        <v>5070.4115527408958</v>
      </c>
      <c r="AN640" s="358">
        <f t="shared" ca="1" si="452"/>
        <v>5095.7636105045985</v>
      </c>
      <c r="AO640" s="358">
        <f t="shared" ca="1" si="452"/>
        <v>5121.2424285571215</v>
      </c>
      <c r="AP640" s="358">
        <f t="shared" ca="1" si="452"/>
        <v>5146.8486406999073</v>
      </c>
      <c r="AQ640" s="358">
        <f t="shared" ca="1" si="452"/>
        <v>5172.5828839034039</v>
      </c>
      <c r="AR640" s="358">
        <f t="shared" ca="1" si="452"/>
        <v>5198.4457983229195</v>
      </c>
      <c r="AS640" s="358">
        <f t="shared" ca="1" si="452"/>
        <v>5224.4380273145352</v>
      </c>
      <c r="AT640" s="358">
        <f t="shared" ca="1" si="452"/>
        <v>5250.5602174511077</v>
      </c>
      <c r="AV640" s="358">
        <f t="shared" ca="1" si="428"/>
        <v>22380.638636508709</v>
      </c>
      <c r="AX640" s="358">
        <f t="shared" ca="1" si="429"/>
        <v>22945.777807888266</v>
      </c>
      <c r="AZ640" s="358">
        <f t="shared" ca="1" si="430"/>
        <v>23525.187451536949</v>
      </c>
      <c r="BB640" s="358">
        <f t="shared" ca="1" si="431"/>
        <v>24119.227914762283</v>
      </c>
      <c r="BD640" s="358">
        <f t="shared" ca="1" si="432"/>
        <v>-36671.731355907119</v>
      </c>
      <c r="BF640" s="358">
        <f t="shared" ca="1" si="433"/>
        <v>25352.688415045111</v>
      </c>
      <c r="BH640" s="358">
        <f t="shared" ca="1" si="434"/>
        <v>25992.875567691874</v>
      </c>
    </row>
    <row r="641" spans="1:60" hidden="1" outlineLevel="1">
      <c r="A641" s="1464">
        <f t="shared" si="436"/>
        <v>18</v>
      </c>
      <c r="B641" s="1464">
        <f t="shared" si="437"/>
        <v>40</v>
      </c>
      <c r="C641" s="1464">
        <f t="shared" si="438"/>
        <v>16</v>
      </c>
      <c r="D641" s="1271" t="str">
        <f ca="1">IF(OFFSET(PortfolioDashboard!$A$3,C641-1,0)="","Blank",OFFSET(PortfolioDashboard!$A$3,C641-1,0))</f>
        <v>Geo Exchange</v>
      </c>
      <c r="E641" s="1464" t="str">
        <f t="shared" si="439"/>
        <v>2010$</v>
      </c>
      <c r="F641" s="1460">
        <f t="shared" ca="1" si="410"/>
        <v>-58357.22780386595</v>
      </c>
      <c r="G641" s="358">
        <f t="shared" ref="G641:AT641" ca="1" si="453">G703-G672</f>
        <v>0</v>
      </c>
      <c r="H641" s="358">
        <f t="shared" ca="1" si="453"/>
        <v>0</v>
      </c>
      <c r="I641" s="358">
        <f t="shared" ca="1" si="453"/>
        <v>-862500</v>
      </c>
      <c r="J641" s="358">
        <f t="shared" ca="1" si="453"/>
        <v>49582.351449977352</v>
      </c>
      <c r="K641" s="358">
        <f t="shared" ca="1" si="453"/>
        <v>-812594.73679277278</v>
      </c>
      <c r="L641" s="358">
        <f t="shared" ca="1" si="453"/>
        <v>100459.57904652671</v>
      </c>
      <c r="M641" s="358">
        <f t="shared" ca="1" si="453"/>
        <v>101111.87694175931</v>
      </c>
      <c r="N641" s="358">
        <f t="shared" ca="1" si="453"/>
        <v>101767.43632646813</v>
      </c>
      <c r="O641" s="358">
        <f t="shared" ca="1" si="453"/>
        <v>102426.27350810042</v>
      </c>
      <c r="P641" s="358">
        <f t="shared" ca="1" si="453"/>
        <v>103088.40487564093</v>
      </c>
      <c r="Q641" s="358">
        <f t="shared" ca="1" si="453"/>
        <v>103753.84690001914</v>
      </c>
      <c r="R641" s="358">
        <f t="shared" ca="1" si="453"/>
        <v>104422.61613451922</v>
      </c>
      <c r="S641" s="358">
        <f t="shared" ca="1" si="453"/>
        <v>105094.72921519179</v>
      </c>
      <c r="T641" s="358">
        <f t="shared" ca="1" si="453"/>
        <v>105770.20286126772</v>
      </c>
      <c r="U641" s="358">
        <f t="shared" ca="1" si="453"/>
        <v>106449.05387557404</v>
      </c>
      <c r="V641" s="358">
        <f t="shared" ca="1" si="453"/>
        <v>107131.29914495192</v>
      </c>
      <c r="W641" s="358">
        <f t="shared" ca="1" si="453"/>
        <v>107816.95564067662</v>
      </c>
      <c r="X641" s="358">
        <f t="shared" ca="1" si="453"/>
        <v>108506.04041887994</v>
      </c>
      <c r="Y641" s="358">
        <f t="shared" ca="1" si="453"/>
        <v>109198.57062097434</v>
      </c>
      <c r="Z641" s="358">
        <f t="shared" ca="1" si="453"/>
        <v>109894.56347407923</v>
      </c>
      <c r="AA641" s="358">
        <f t="shared" ca="1" si="453"/>
        <v>110594.03629144956</v>
      </c>
      <c r="AB641" s="358">
        <f t="shared" ca="1" si="453"/>
        <v>111297.00647290681</v>
      </c>
      <c r="AC641" s="358">
        <f t="shared" ca="1" si="453"/>
        <v>112003.49150527129</v>
      </c>
      <c r="AD641" s="358">
        <f t="shared" ca="1" si="453"/>
        <v>112713.50896279766</v>
      </c>
      <c r="AE641" s="358">
        <f t="shared" ca="1" si="453"/>
        <v>113427.07650761167</v>
      </c>
      <c r="AF641" s="358">
        <f t="shared" ca="1" si="453"/>
        <v>114144.21189014967</v>
      </c>
      <c r="AG641" s="358">
        <f t="shared" ca="1" si="453"/>
        <v>114864.93294960039</v>
      </c>
      <c r="AH641" s="358">
        <f t="shared" ca="1" si="453"/>
        <v>115589.2576143484</v>
      </c>
      <c r="AI641" s="358">
        <f t="shared" ca="1" si="453"/>
        <v>116317.20390242008</v>
      </c>
      <c r="AJ641" s="358">
        <f t="shared" ca="1" si="453"/>
        <v>117048.78992193214</v>
      </c>
      <c r="AK641" s="358">
        <f t="shared" ca="1" si="453"/>
        <v>117784.0338715418</v>
      </c>
      <c r="AL641" s="358">
        <f t="shared" ca="1" si="453"/>
        <v>118522.95404089945</v>
      </c>
      <c r="AM641" s="358">
        <f t="shared" ca="1" si="453"/>
        <v>119265.56881110391</v>
      </c>
      <c r="AN641" s="358">
        <f t="shared" ca="1" si="453"/>
        <v>120011.89665515949</v>
      </c>
      <c r="AO641" s="358">
        <f t="shared" ca="1" si="453"/>
        <v>120761.95613843523</v>
      </c>
      <c r="AP641" s="358">
        <f t="shared" ca="1" si="453"/>
        <v>121515.76591912739</v>
      </c>
      <c r="AQ641" s="358">
        <f t="shared" ca="1" si="453"/>
        <v>122273.34474872297</v>
      </c>
      <c r="AR641" s="358">
        <f t="shared" ca="1" si="453"/>
        <v>123034.71147246653</v>
      </c>
      <c r="AS641" s="358">
        <f t="shared" ca="1" si="453"/>
        <v>123799.8850298289</v>
      </c>
      <c r="AT641" s="358">
        <f t="shared" ca="1" si="453"/>
        <v>124568.88445497802</v>
      </c>
      <c r="AV641" s="358">
        <f t="shared" ca="1" si="428"/>
        <v>508853.57069849549</v>
      </c>
      <c r="AX641" s="358">
        <f t="shared" ca="1" si="429"/>
        <v>525490.44898657198</v>
      </c>
      <c r="AZ641" s="358">
        <f t="shared" ca="1" si="430"/>
        <v>542547.42929956201</v>
      </c>
      <c r="BB641" s="358">
        <f t="shared" ca="1" si="431"/>
        <v>560035.11974003701</v>
      </c>
      <c r="BD641" s="358">
        <f t="shared" ca="1" si="432"/>
        <v>577964.39627845061</v>
      </c>
      <c r="BF641" s="358">
        <f t="shared" ca="1" si="433"/>
        <v>596346.40951713989</v>
      </c>
      <c r="BH641" s="358">
        <f t="shared" ca="1" si="434"/>
        <v>615192.59162512387</v>
      </c>
    </row>
    <row r="642" spans="1:60" hidden="1" outlineLevel="1">
      <c r="A642" s="1464">
        <f t="shared" si="436"/>
        <v>18</v>
      </c>
      <c r="B642" s="1464">
        <f t="shared" si="437"/>
        <v>40</v>
      </c>
      <c r="C642" s="1464">
        <f t="shared" si="438"/>
        <v>17</v>
      </c>
      <c r="D642" s="1271" t="str">
        <f ca="1">IF(OFFSET(PortfolioDashboard!$A$3,C642-1,0)="","Blank",OFFSET(PortfolioDashboard!$A$3,C642-1,0))</f>
        <v>Rooftop Solar PV</v>
      </c>
      <c r="E642" s="1464" t="str">
        <f t="shared" si="439"/>
        <v>2010$</v>
      </c>
      <c r="F642" s="1460">
        <f t="shared" ca="1" si="410"/>
        <v>-2480359.4054602776</v>
      </c>
      <c r="G642" s="358">
        <f t="shared" ref="G642:AT642" ca="1" si="454">G704-G673</f>
        <v>0</v>
      </c>
      <c r="H642" s="358">
        <f t="shared" ca="1" si="454"/>
        <v>0</v>
      </c>
      <c r="I642" s="358">
        <f t="shared" ca="1" si="454"/>
        <v>0</v>
      </c>
      <c r="J642" s="358">
        <f t="shared" ca="1" si="454"/>
        <v>0</v>
      </c>
      <c r="K642" s="358">
        <f t="shared" ca="1" si="454"/>
        <v>-4243000</v>
      </c>
      <c r="L642" s="358">
        <f t="shared" ca="1" si="454"/>
        <v>61044.988312129484</v>
      </c>
      <c r="M642" s="358">
        <f t="shared" ca="1" si="454"/>
        <v>61350.213253690126</v>
      </c>
      <c r="N642" s="358">
        <f t="shared" ca="1" si="454"/>
        <v>61656.964319958577</v>
      </c>
      <c r="O642" s="358">
        <f t="shared" ca="1" si="454"/>
        <v>61965.249141558357</v>
      </c>
      <c r="P642" s="358">
        <f t="shared" ca="1" si="454"/>
        <v>62275.075387266144</v>
      </c>
      <c r="Q642" s="358">
        <f t="shared" ca="1" si="454"/>
        <v>62586.450764202462</v>
      </c>
      <c r="R642" s="358">
        <f t="shared" ca="1" si="454"/>
        <v>62899.38301802348</v>
      </c>
      <c r="S642" s="358">
        <f t="shared" ca="1" si="454"/>
        <v>63213.87993311356</v>
      </c>
      <c r="T642" s="358">
        <f t="shared" ca="1" si="454"/>
        <v>63529.949332779128</v>
      </c>
      <c r="U642" s="358">
        <f t="shared" ca="1" si="454"/>
        <v>63847.599079443018</v>
      </c>
      <c r="V642" s="358">
        <f t="shared" ca="1" si="454"/>
        <v>64166.837074840223</v>
      </c>
      <c r="W642" s="358">
        <f t="shared" ca="1" si="454"/>
        <v>64487.671260214411</v>
      </c>
      <c r="X642" s="358">
        <f t="shared" ca="1" si="454"/>
        <v>64810.109616515474</v>
      </c>
      <c r="Y642" s="358">
        <f t="shared" ca="1" si="454"/>
        <v>65134.160164598034</v>
      </c>
      <c r="Z642" s="358">
        <f t="shared" ca="1" si="454"/>
        <v>65459.830965421017</v>
      </c>
      <c r="AA642" s="358">
        <f t="shared" ca="1" si="454"/>
        <v>65787.130120248112</v>
      </c>
      <c r="AB642" s="358">
        <f t="shared" ca="1" si="454"/>
        <v>66116.065770849338</v>
      </c>
      <c r="AC642" s="358">
        <f t="shared" ca="1" si="454"/>
        <v>66446.646099703576</v>
      </c>
      <c r="AD642" s="358">
        <f t="shared" ca="1" si="454"/>
        <v>66778.879330202079</v>
      </c>
      <c r="AE642" s="358">
        <f t="shared" ca="1" si="454"/>
        <v>67112.773726853076</v>
      </c>
      <c r="AF642" s="358">
        <f t="shared" ca="1" si="454"/>
        <v>67448.337595487348</v>
      </c>
      <c r="AG642" s="358">
        <f t="shared" ca="1" si="454"/>
        <v>67785.579283464773</v>
      </c>
      <c r="AH642" s="358">
        <f t="shared" ca="1" si="454"/>
        <v>68124.507179882086</v>
      </c>
      <c r="AI642" s="358">
        <f t="shared" ca="1" si="454"/>
        <v>68465.129715781484</v>
      </c>
      <c r="AJ642" s="358">
        <f t="shared" ca="1" si="454"/>
        <v>68807.455364360387</v>
      </c>
      <c r="AK642" s="358">
        <f t="shared" ca="1" si="454"/>
        <v>69151.49264118218</v>
      </c>
      <c r="AL642" s="358">
        <f t="shared" ca="1" si="454"/>
        <v>69497.250104388047</v>
      </c>
      <c r="AM642" s="358">
        <f t="shared" ca="1" si="454"/>
        <v>69844.736354909997</v>
      </c>
      <c r="AN642" s="358">
        <f t="shared" ca="1" si="454"/>
        <v>70193.960036684541</v>
      </c>
      <c r="AO642" s="358">
        <f t="shared" ca="1" si="454"/>
        <v>70544.929836867959</v>
      </c>
      <c r="AP642" s="358">
        <f t="shared" ca="1" si="454"/>
        <v>70897.654486052284</v>
      </c>
      <c r="AQ642" s="358">
        <f t="shared" ca="1" si="454"/>
        <v>71252.142758482543</v>
      </c>
      <c r="AR642" s="358">
        <f t="shared" ca="1" si="454"/>
        <v>71608.40347227492</v>
      </c>
      <c r="AS642" s="358">
        <f t="shared" ca="1" si="454"/>
        <v>71966.445489636288</v>
      </c>
      <c r="AT642" s="358">
        <f t="shared" ca="1" si="454"/>
        <v>72326.277717084449</v>
      </c>
      <c r="AV642" s="358">
        <f t="shared" ca="1" si="428"/>
        <v>308292.49041460268</v>
      </c>
      <c r="AX642" s="358">
        <f t="shared" ca="1" si="429"/>
        <v>316077.26212756161</v>
      </c>
      <c r="AZ642" s="358">
        <f t="shared" ca="1" si="430"/>
        <v>324058.60908158915</v>
      </c>
      <c r="BB642" s="358">
        <f t="shared" ca="1" si="431"/>
        <v>332241.49504785618</v>
      </c>
      <c r="BD642" s="358">
        <f t="shared" ca="1" si="432"/>
        <v>340631.00913897611</v>
      </c>
      <c r="BF642" s="358">
        <f t="shared" ca="1" si="433"/>
        <v>349232.3689740327</v>
      </c>
      <c r="BH642" s="358">
        <f t="shared" ca="1" si="434"/>
        <v>358050.9239235305</v>
      </c>
    </row>
    <row r="643" spans="1:60" hidden="1" outlineLevel="1">
      <c r="A643" s="1464">
        <f t="shared" si="436"/>
        <v>18</v>
      </c>
      <c r="B643" s="1464">
        <f t="shared" si="437"/>
        <v>40</v>
      </c>
      <c r="C643" s="1464">
        <f t="shared" si="438"/>
        <v>18</v>
      </c>
      <c r="D643" s="1271" t="str">
        <f ca="1">IF(OFFSET(PortfolioDashboard!$A$3,C643-1,0)="","Blank",OFFSET(PortfolioDashboard!$A$3,C643-1,0))</f>
        <v>Blank</v>
      </c>
      <c r="E643" s="1464" t="str">
        <f t="shared" si="439"/>
        <v>2010$</v>
      </c>
      <c r="F643" s="1460">
        <f t="shared" ca="1" si="410"/>
        <v>0</v>
      </c>
      <c r="G643" s="358">
        <f t="shared" ref="G643:AT643" ca="1" si="455">G705-G674</f>
        <v>0</v>
      </c>
      <c r="H643" s="358">
        <f t="shared" ca="1" si="455"/>
        <v>0</v>
      </c>
      <c r="I643" s="358">
        <f t="shared" ca="1" si="455"/>
        <v>0</v>
      </c>
      <c r="J643" s="358">
        <f t="shared" ca="1" si="455"/>
        <v>0</v>
      </c>
      <c r="K643" s="358">
        <f t="shared" ca="1" si="455"/>
        <v>0</v>
      </c>
      <c r="L643" s="358">
        <f t="shared" ca="1" si="455"/>
        <v>0</v>
      </c>
      <c r="M643" s="358">
        <f t="shared" ca="1" si="455"/>
        <v>0</v>
      </c>
      <c r="N643" s="358">
        <f t="shared" ca="1" si="455"/>
        <v>0</v>
      </c>
      <c r="O643" s="358">
        <f t="shared" ca="1" si="455"/>
        <v>0</v>
      </c>
      <c r="P643" s="358">
        <f t="shared" ca="1" si="455"/>
        <v>0</v>
      </c>
      <c r="Q643" s="358">
        <f t="shared" ca="1" si="455"/>
        <v>0</v>
      </c>
      <c r="R643" s="358">
        <f t="shared" ca="1" si="455"/>
        <v>0</v>
      </c>
      <c r="S643" s="358">
        <f t="shared" ca="1" si="455"/>
        <v>0</v>
      </c>
      <c r="T643" s="358">
        <f t="shared" ca="1" si="455"/>
        <v>0</v>
      </c>
      <c r="U643" s="358">
        <f t="shared" ca="1" si="455"/>
        <v>0</v>
      </c>
      <c r="V643" s="358">
        <f t="shared" ca="1" si="455"/>
        <v>0</v>
      </c>
      <c r="W643" s="358">
        <f t="shared" ca="1" si="455"/>
        <v>0</v>
      </c>
      <c r="X643" s="358">
        <f t="shared" ca="1" si="455"/>
        <v>0</v>
      </c>
      <c r="Y643" s="358">
        <f t="shared" ca="1" si="455"/>
        <v>0</v>
      </c>
      <c r="Z643" s="358">
        <f t="shared" ca="1" si="455"/>
        <v>0</v>
      </c>
      <c r="AA643" s="358">
        <f t="shared" ca="1" si="455"/>
        <v>0</v>
      </c>
      <c r="AB643" s="358">
        <f t="shared" ca="1" si="455"/>
        <v>0</v>
      </c>
      <c r="AC643" s="358">
        <f t="shared" ca="1" si="455"/>
        <v>0</v>
      </c>
      <c r="AD643" s="358">
        <f t="shared" ca="1" si="455"/>
        <v>0</v>
      </c>
      <c r="AE643" s="358">
        <f t="shared" ca="1" si="455"/>
        <v>0</v>
      </c>
      <c r="AF643" s="358">
        <f t="shared" ca="1" si="455"/>
        <v>0</v>
      </c>
      <c r="AG643" s="358">
        <f t="shared" ca="1" si="455"/>
        <v>0</v>
      </c>
      <c r="AH643" s="358">
        <f t="shared" ca="1" si="455"/>
        <v>0</v>
      </c>
      <c r="AI643" s="358">
        <f t="shared" ca="1" si="455"/>
        <v>0</v>
      </c>
      <c r="AJ643" s="358">
        <f t="shared" ca="1" si="455"/>
        <v>0</v>
      </c>
      <c r="AK643" s="358">
        <f t="shared" ca="1" si="455"/>
        <v>0</v>
      </c>
      <c r="AL643" s="358">
        <f t="shared" ca="1" si="455"/>
        <v>0</v>
      </c>
      <c r="AM643" s="358">
        <f t="shared" ca="1" si="455"/>
        <v>0</v>
      </c>
      <c r="AN643" s="358">
        <f t="shared" ca="1" si="455"/>
        <v>0</v>
      </c>
      <c r="AO643" s="358">
        <f t="shared" ca="1" si="455"/>
        <v>0</v>
      </c>
      <c r="AP643" s="358">
        <f t="shared" ca="1" si="455"/>
        <v>0</v>
      </c>
      <c r="AQ643" s="358">
        <f t="shared" ca="1" si="455"/>
        <v>0</v>
      </c>
      <c r="AR643" s="358">
        <f t="shared" ca="1" si="455"/>
        <v>0</v>
      </c>
      <c r="AS643" s="358">
        <f t="shared" ca="1" si="455"/>
        <v>0</v>
      </c>
      <c r="AT643" s="358">
        <f t="shared" ca="1" si="455"/>
        <v>0</v>
      </c>
      <c r="AV643" s="358">
        <f t="shared" ca="1" si="428"/>
        <v>0</v>
      </c>
      <c r="AX643" s="358">
        <f t="shared" ca="1" si="429"/>
        <v>0</v>
      </c>
      <c r="AZ643" s="358">
        <f t="shared" ca="1" si="430"/>
        <v>0</v>
      </c>
      <c r="BB643" s="358">
        <f t="shared" ca="1" si="431"/>
        <v>0</v>
      </c>
      <c r="BD643" s="358">
        <f t="shared" ca="1" si="432"/>
        <v>0</v>
      </c>
      <c r="BF643" s="358">
        <f t="shared" ca="1" si="433"/>
        <v>0</v>
      </c>
      <c r="BH643" s="358">
        <f t="shared" ca="1" si="434"/>
        <v>0</v>
      </c>
    </row>
    <row r="644" spans="1:60" hidden="1" outlineLevel="1">
      <c r="A644" s="1464">
        <f t="shared" si="436"/>
        <v>18</v>
      </c>
      <c r="B644" s="1464">
        <f t="shared" si="437"/>
        <v>40</v>
      </c>
      <c r="C644" s="1464">
        <f t="shared" si="438"/>
        <v>19</v>
      </c>
      <c r="D644" s="1271" t="str">
        <f ca="1">IF(OFFSET(PortfolioDashboard!$A$3,C644-1,0)="","Blank",OFFSET(PortfolioDashboard!$A$3,C644-1,0))</f>
        <v>Blank</v>
      </c>
      <c r="E644" s="1464" t="str">
        <f t="shared" si="439"/>
        <v>2010$</v>
      </c>
      <c r="F644" s="1460">
        <f t="shared" ca="1" si="410"/>
        <v>0</v>
      </c>
      <c r="G644" s="358">
        <f t="shared" ref="G644:AT644" ca="1" si="456">G706-G675</f>
        <v>0</v>
      </c>
      <c r="H644" s="358">
        <f t="shared" ca="1" si="456"/>
        <v>0</v>
      </c>
      <c r="I644" s="358">
        <f t="shared" ca="1" si="456"/>
        <v>0</v>
      </c>
      <c r="J644" s="358">
        <f t="shared" ca="1" si="456"/>
        <v>0</v>
      </c>
      <c r="K644" s="358">
        <f t="shared" ca="1" si="456"/>
        <v>0</v>
      </c>
      <c r="L644" s="358">
        <f t="shared" ca="1" si="456"/>
        <v>0</v>
      </c>
      <c r="M644" s="358">
        <f t="shared" ca="1" si="456"/>
        <v>0</v>
      </c>
      <c r="N644" s="358">
        <f t="shared" ca="1" si="456"/>
        <v>0</v>
      </c>
      <c r="O644" s="358">
        <f t="shared" ca="1" si="456"/>
        <v>0</v>
      </c>
      <c r="P644" s="358">
        <f t="shared" ca="1" si="456"/>
        <v>0</v>
      </c>
      <c r="Q644" s="358">
        <f t="shared" ca="1" si="456"/>
        <v>0</v>
      </c>
      <c r="R644" s="358">
        <f t="shared" ca="1" si="456"/>
        <v>0</v>
      </c>
      <c r="S644" s="358">
        <f t="shared" ca="1" si="456"/>
        <v>0</v>
      </c>
      <c r="T644" s="358">
        <f t="shared" ca="1" si="456"/>
        <v>0</v>
      </c>
      <c r="U644" s="358">
        <f t="shared" ca="1" si="456"/>
        <v>0</v>
      </c>
      <c r="V644" s="358">
        <f t="shared" ca="1" si="456"/>
        <v>0</v>
      </c>
      <c r="W644" s="358">
        <f t="shared" ca="1" si="456"/>
        <v>0</v>
      </c>
      <c r="X644" s="358">
        <f t="shared" ca="1" si="456"/>
        <v>0</v>
      </c>
      <c r="Y644" s="358">
        <f t="shared" ca="1" si="456"/>
        <v>0</v>
      </c>
      <c r="Z644" s="358">
        <f t="shared" ca="1" si="456"/>
        <v>0</v>
      </c>
      <c r="AA644" s="358">
        <f t="shared" ca="1" si="456"/>
        <v>0</v>
      </c>
      <c r="AB644" s="358">
        <f t="shared" ca="1" si="456"/>
        <v>0</v>
      </c>
      <c r="AC644" s="358">
        <f t="shared" ca="1" si="456"/>
        <v>0</v>
      </c>
      <c r="AD644" s="358">
        <f t="shared" ca="1" si="456"/>
        <v>0</v>
      </c>
      <c r="AE644" s="358">
        <f t="shared" ca="1" si="456"/>
        <v>0</v>
      </c>
      <c r="AF644" s="358">
        <f t="shared" ca="1" si="456"/>
        <v>0</v>
      </c>
      <c r="AG644" s="358">
        <f t="shared" ca="1" si="456"/>
        <v>0</v>
      </c>
      <c r="AH644" s="358">
        <f t="shared" ca="1" si="456"/>
        <v>0</v>
      </c>
      <c r="AI644" s="358">
        <f t="shared" ca="1" si="456"/>
        <v>0</v>
      </c>
      <c r="AJ644" s="358">
        <f t="shared" ca="1" si="456"/>
        <v>0</v>
      </c>
      <c r="AK644" s="358">
        <f t="shared" ca="1" si="456"/>
        <v>0</v>
      </c>
      <c r="AL644" s="358">
        <f t="shared" ca="1" si="456"/>
        <v>0</v>
      </c>
      <c r="AM644" s="358">
        <f t="shared" ca="1" si="456"/>
        <v>0</v>
      </c>
      <c r="AN644" s="358">
        <f t="shared" ca="1" si="456"/>
        <v>0</v>
      </c>
      <c r="AO644" s="358">
        <f t="shared" ca="1" si="456"/>
        <v>0</v>
      </c>
      <c r="AP644" s="358">
        <f t="shared" ca="1" si="456"/>
        <v>0</v>
      </c>
      <c r="AQ644" s="358">
        <f t="shared" ca="1" si="456"/>
        <v>0</v>
      </c>
      <c r="AR644" s="358">
        <f t="shared" ca="1" si="456"/>
        <v>0</v>
      </c>
      <c r="AS644" s="358">
        <f t="shared" ca="1" si="456"/>
        <v>0</v>
      </c>
      <c r="AT644" s="358">
        <f t="shared" ca="1" si="456"/>
        <v>0</v>
      </c>
      <c r="AV644" s="358">
        <f t="shared" ca="1" si="428"/>
        <v>0</v>
      </c>
      <c r="AX644" s="358">
        <f t="shared" ca="1" si="429"/>
        <v>0</v>
      </c>
      <c r="AZ644" s="358">
        <f t="shared" ca="1" si="430"/>
        <v>0</v>
      </c>
      <c r="BB644" s="358">
        <f t="shared" ca="1" si="431"/>
        <v>0</v>
      </c>
      <c r="BD644" s="358">
        <f t="shared" ca="1" si="432"/>
        <v>0</v>
      </c>
      <c r="BF644" s="358">
        <f t="shared" ca="1" si="433"/>
        <v>0</v>
      </c>
      <c r="BH644" s="358">
        <f t="shared" ca="1" si="434"/>
        <v>0</v>
      </c>
    </row>
    <row r="645" spans="1:60" hidden="1" outlineLevel="1">
      <c r="A645" s="1464">
        <f t="shared" si="436"/>
        <v>18</v>
      </c>
      <c r="B645" s="1464">
        <f t="shared" si="437"/>
        <v>40</v>
      </c>
      <c r="C645" s="1464">
        <f t="shared" si="438"/>
        <v>20</v>
      </c>
      <c r="D645" s="1271" t="str">
        <f ca="1">IF(OFFSET(PortfolioDashboard!$A$3,C645-1,0)="","Blank",OFFSET(PortfolioDashboard!$A$3,C645-1,0))</f>
        <v>Blank</v>
      </c>
      <c r="E645" s="1464" t="str">
        <f t="shared" si="439"/>
        <v>2010$</v>
      </c>
      <c r="F645" s="1460">
        <f t="shared" ca="1" si="410"/>
        <v>0</v>
      </c>
      <c r="G645" s="358">
        <f t="shared" ref="G645:AT645" ca="1" si="457">G707-G676</f>
        <v>0</v>
      </c>
      <c r="H645" s="358">
        <f t="shared" ca="1" si="457"/>
        <v>0</v>
      </c>
      <c r="I645" s="358">
        <f t="shared" ca="1" si="457"/>
        <v>0</v>
      </c>
      <c r="J645" s="358">
        <f t="shared" ca="1" si="457"/>
        <v>0</v>
      </c>
      <c r="K645" s="358">
        <f t="shared" ca="1" si="457"/>
        <v>0</v>
      </c>
      <c r="L645" s="358">
        <f t="shared" ca="1" si="457"/>
        <v>0</v>
      </c>
      <c r="M645" s="358">
        <f t="shared" ca="1" si="457"/>
        <v>0</v>
      </c>
      <c r="N645" s="358">
        <f t="shared" ca="1" si="457"/>
        <v>0</v>
      </c>
      <c r="O645" s="358">
        <f t="shared" ca="1" si="457"/>
        <v>0</v>
      </c>
      <c r="P645" s="358">
        <f t="shared" ca="1" si="457"/>
        <v>0</v>
      </c>
      <c r="Q645" s="358">
        <f t="shared" ca="1" si="457"/>
        <v>0</v>
      </c>
      <c r="R645" s="358">
        <f t="shared" ca="1" si="457"/>
        <v>0</v>
      </c>
      <c r="S645" s="358">
        <f t="shared" ca="1" si="457"/>
        <v>0</v>
      </c>
      <c r="T645" s="358">
        <f t="shared" ca="1" si="457"/>
        <v>0</v>
      </c>
      <c r="U645" s="358">
        <f t="shared" ca="1" si="457"/>
        <v>0</v>
      </c>
      <c r="V645" s="358">
        <f t="shared" ca="1" si="457"/>
        <v>0</v>
      </c>
      <c r="W645" s="358">
        <f t="shared" ca="1" si="457"/>
        <v>0</v>
      </c>
      <c r="X645" s="358">
        <f t="shared" ca="1" si="457"/>
        <v>0</v>
      </c>
      <c r="Y645" s="358">
        <f t="shared" ca="1" si="457"/>
        <v>0</v>
      </c>
      <c r="Z645" s="358">
        <f t="shared" ca="1" si="457"/>
        <v>0</v>
      </c>
      <c r="AA645" s="358">
        <f t="shared" ca="1" si="457"/>
        <v>0</v>
      </c>
      <c r="AB645" s="358">
        <f t="shared" ca="1" si="457"/>
        <v>0</v>
      </c>
      <c r="AC645" s="358">
        <f t="shared" ca="1" si="457"/>
        <v>0</v>
      </c>
      <c r="AD645" s="358">
        <f t="shared" ca="1" si="457"/>
        <v>0</v>
      </c>
      <c r="AE645" s="358">
        <f t="shared" ca="1" si="457"/>
        <v>0</v>
      </c>
      <c r="AF645" s="358">
        <f t="shared" ca="1" si="457"/>
        <v>0</v>
      </c>
      <c r="AG645" s="358">
        <f t="shared" ca="1" si="457"/>
        <v>0</v>
      </c>
      <c r="AH645" s="358">
        <f t="shared" ca="1" si="457"/>
        <v>0</v>
      </c>
      <c r="AI645" s="358">
        <f t="shared" ca="1" si="457"/>
        <v>0</v>
      </c>
      <c r="AJ645" s="358">
        <f t="shared" ca="1" si="457"/>
        <v>0</v>
      </c>
      <c r="AK645" s="358">
        <f t="shared" ca="1" si="457"/>
        <v>0</v>
      </c>
      <c r="AL645" s="358">
        <f t="shared" ca="1" si="457"/>
        <v>0</v>
      </c>
      <c r="AM645" s="358">
        <f t="shared" ca="1" si="457"/>
        <v>0</v>
      </c>
      <c r="AN645" s="358">
        <f t="shared" ca="1" si="457"/>
        <v>0</v>
      </c>
      <c r="AO645" s="358">
        <f t="shared" ca="1" si="457"/>
        <v>0</v>
      </c>
      <c r="AP645" s="358">
        <f t="shared" ca="1" si="457"/>
        <v>0</v>
      </c>
      <c r="AQ645" s="358">
        <f t="shared" ca="1" si="457"/>
        <v>0</v>
      </c>
      <c r="AR645" s="358">
        <f t="shared" ca="1" si="457"/>
        <v>0</v>
      </c>
      <c r="AS645" s="358">
        <f t="shared" ca="1" si="457"/>
        <v>0</v>
      </c>
      <c r="AT645" s="358">
        <f t="shared" ca="1" si="457"/>
        <v>0</v>
      </c>
      <c r="AV645" s="358">
        <f t="shared" ca="1" si="428"/>
        <v>0</v>
      </c>
      <c r="AX645" s="358">
        <f t="shared" ca="1" si="429"/>
        <v>0</v>
      </c>
      <c r="AZ645" s="358">
        <f t="shared" ca="1" si="430"/>
        <v>0</v>
      </c>
      <c r="BB645" s="358">
        <f t="shared" ca="1" si="431"/>
        <v>0</v>
      </c>
      <c r="BD645" s="358">
        <f t="shared" ca="1" si="432"/>
        <v>0</v>
      </c>
      <c r="BF645" s="358">
        <f t="shared" ca="1" si="433"/>
        <v>0</v>
      </c>
      <c r="BH645" s="358">
        <f t="shared" ca="1" si="434"/>
        <v>0</v>
      </c>
    </row>
    <row r="646" spans="1:60" hidden="1" outlineLevel="1">
      <c r="A646" s="1464">
        <f t="shared" si="436"/>
        <v>18</v>
      </c>
      <c r="B646" s="1464">
        <f t="shared" si="437"/>
        <v>40</v>
      </c>
      <c r="C646" s="1464">
        <f t="shared" si="438"/>
        <v>21</v>
      </c>
      <c r="D646" s="1271" t="str">
        <f ca="1">IF(OFFSET(PortfolioDashboard!$A$3,C646-1,0)="","Blank",OFFSET(PortfolioDashboard!$A$3,C646-1,0))</f>
        <v>Blank</v>
      </c>
      <c r="E646" s="1464" t="str">
        <f t="shared" si="439"/>
        <v>2010$</v>
      </c>
      <c r="F646" s="1460">
        <f t="shared" ca="1" si="410"/>
        <v>0</v>
      </c>
      <c r="G646" s="358">
        <f t="shared" ref="G646:AT646" ca="1" si="458">G708-G677</f>
        <v>0</v>
      </c>
      <c r="H646" s="358">
        <f t="shared" ca="1" si="458"/>
        <v>0</v>
      </c>
      <c r="I646" s="358">
        <f t="shared" ca="1" si="458"/>
        <v>0</v>
      </c>
      <c r="J646" s="358">
        <f t="shared" ca="1" si="458"/>
        <v>0</v>
      </c>
      <c r="K646" s="358">
        <f t="shared" ca="1" si="458"/>
        <v>0</v>
      </c>
      <c r="L646" s="358">
        <f t="shared" ca="1" si="458"/>
        <v>0</v>
      </c>
      <c r="M646" s="358">
        <f t="shared" ca="1" si="458"/>
        <v>0</v>
      </c>
      <c r="N646" s="358">
        <f t="shared" ca="1" si="458"/>
        <v>0</v>
      </c>
      <c r="O646" s="358">
        <f t="shared" ca="1" si="458"/>
        <v>0</v>
      </c>
      <c r="P646" s="358">
        <f t="shared" ca="1" si="458"/>
        <v>0</v>
      </c>
      <c r="Q646" s="358">
        <f t="shared" ca="1" si="458"/>
        <v>0</v>
      </c>
      <c r="R646" s="358">
        <f t="shared" ca="1" si="458"/>
        <v>0</v>
      </c>
      <c r="S646" s="358">
        <f t="shared" ca="1" si="458"/>
        <v>0</v>
      </c>
      <c r="T646" s="358">
        <f t="shared" ca="1" si="458"/>
        <v>0</v>
      </c>
      <c r="U646" s="358">
        <f t="shared" ca="1" si="458"/>
        <v>0</v>
      </c>
      <c r="V646" s="358">
        <f t="shared" ca="1" si="458"/>
        <v>0</v>
      </c>
      <c r="W646" s="358">
        <f t="shared" ca="1" si="458"/>
        <v>0</v>
      </c>
      <c r="X646" s="358">
        <f t="shared" ca="1" si="458"/>
        <v>0</v>
      </c>
      <c r="Y646" s="358">
        <f t="shared" ca="1" si="458"/>
        <v>0</v>
      </c>
      <c r="Z646" s="358">
        <f t="shared" ca="1" si="458"/>
        <v>0</v>
      </c>
      <c r="AA646" s="358">
        <f t="shared" ca="1" si="458"/>
        <v>0</v>
      </c>
      <c r="AB646" s="358">
        <f t="shared" ca="1" si="458"/>
        <v>0</v>
      </c>
      <c r="AC646" s="358">
        <f t="shared" ca="1" si="458"/>
        <v>0</v>
      </c>
      <c r="AD646" s="358">
        <f t="shared" ca="1" si="458"/>
        <v>0</v>
      </c>
      <c r="AE646" s="358">
        <f t="shared" ca="1" si="458"/>
        <v>0</v>
      </c>
      <c r="AF646" s="358">
        <f t="shared" ca="1" si="458"/>
        <v>0</v>
      </c>
      <c r="AG646" s="358">
        <f t="shared" ca="1" si="458"/>
        <v>0</v>
      </c>
      <c r="AH646" s="358">
        <f t="shared" ca="1" si="458"/>
        <v>0</v>
      </c>
      <c r="AI646" s="358">
        <f t="shared" ca="1" si="458"/>
        <v>0</v>
      </c>
      <c r="AJ646" s="358">
        <f t="shared" ca="1" si="458"/>
        <v>0</v>
      </c>
      <c r="AK646" s="358">
        <f t="shared" ca="1" si="458"/>
        <v>0</v>
      </c>
      <c r="AL646" s="358">
        <f t="shared" ca="1" si="458"/>
        <v>0</v>
      </c>
      <c r="AM646" s="358">
        <f t="shared" ca="1" si="458"/>
        <v>0</v>
      </c>
      <c r="AN646" s="358">
        <f t="shared" ca="1" si="458"/>
        <v>0</v>
      </c>
      <c r="AO646" s="358">
        <f t="shared" ca="1" si="458"/>
        <v>0</v>
      </c>
      <c r="AP646" s="358">
        <f t="shared" ca="1" si="458"/>
        <v>0</v>
      </c>
      <c r="AQ646" s="358">
        <f t="shared" ca="1" si="458"/>
        <v>0</v>
      </c>
      <c r="AR646" s="358">
        <f t="shared" ca="1" si="458"/>
        <v>0</v>
      </c>
      <c r="AS646" s="358">
        <f t="shared" ca="1" si="458"/>
        <v>0</v>
      </c>
      <c r="AT646" s="358">
        <f t="shared" ca="1" si="458"/>
        <v>0</v>
      </c>
      <c r="AV646" s="358">
        <f t="shared" ca="1" si="428"/>
        <v>0</v>
      </c>
      <c r="AX646" s="358">
        <f t="shared" ca="1" si="429"/>
        <v>0</v>
      </c>
      <c r="AZ646" s="358">
        <f t="shared" ca="1" si="430"/>
        <v>0</v>
      </c>
      <c r="BB646" s="358">
        <f t="shared" ca="1" si="431"/>
        <v>0</v>
      </c>
      <c r="BD646" s="358">
        <f t="shared" ca="1" si="432"/>
        <v>0</v>
      </c>
      <c r="BF646" s="358">
        <f t="shared" ca="1" si="433"/>
        <v>0</v>
      </c>
      <c r="BH646" s="358">
        <f t="shared" ca="1" si="434"/>
        <v>0</v>
      </c>
    </row>
    <row r="647" spans="1:60" hidden="1" outlineLevel="1">
      <c r="A647" s="1464">
        <f t="shared" si="436"/>
        <v>18</v>
      </c>
      <c r="B647" s="1464">
        <f t="shared" si="437"/>
        <v>40</v>
      </c>
      <c r="C647" s="1464">
        <f t="shared" si="438"/>
        <v>22</v>
      </c>
      <c r="D647" s="1271" t="str">
        <f ca="1">IF(OFFSET(PortfolioDashboard!$A$3,C647-1,0)="","Blank",OFFSET(PortfolioDashboard!$A$3,C647-1,0))</f>
        <v>Blank</v>
      </c>
      <c r="E647" s="1464" t="str">
        <f t="shared" si="439"/>
        <v>2010$</v>
      </c>
      <c r="F647" s="1460">
        <f t="shared" ca="1" si="410"/>
        <v>0</v>
      </c>
      <c r="G647" s="358">
        <f t="shared" ref="G647:AT647" ca="1" si="459">G709-G678</f>
        <v>0</v>
      </c>
      <c r="H647" s="358">
        <f t="shared" ca="1" si="459"/>
        <v>0</v>
      </c>
      <c r="I647" s="358">
        <f t="shared" ca="1" si="459"/>
        <v>0</v>
      </c>
      <c r="J647" s="358">
        <f t="shared" ca="1" si="459"/>
        <v>0</v>
      </c>
      <c r="K647" s="358">
        <f t="shared" ca="1" si="459"/>
        <v>0</v>
      </c>
      <c r="L647" s="358">
        <f t="shared" ca="1" si="459"/>
        <v>0</v>
      </c>
      <c r="M647" s="358">
        <f t="shared" ca="1" si="459"/>
        <v>0</v>
      </c>
      <c r="N647" s="358">
        <f t="shared" ca="1" si="459"/>
        <v>0</v>
      </c>
      <c r="O647" s="358">
        <f t="shared" ca="1" si="459"/>
        <v>0</v>
      </c>
      <c r="P647" s="358">
        <f t="shared" ca="1" si="459"/>
        <v>0</v>
      </c>
      <c r="Q647" s="358">
        <f t="shared" ca="1" si="459"/>
        <v>0</v>
      </c>
      <c r="R647" s="358">
        <f t="shared" ca="1" si="459"/>
        <v>0</v>
      </c>
      <c r="S647" s="358">
        <f t="shared" ca="1" si="459"/>
        <v>0</v>
      </c>
      <c r="T647" s="358">
        <f t="shared" ca="1" si="459"/>
        <v>0</v>
      </c>
      <c r="U647" s="358">
        <f t="shared" ca="1" si="459"/>
        <v>0</v>
      </c>
      <c r="V647" s="358">
        <f t="shared" ca="1" si="459"/>
        <v>0</v>
      </c>
      <c r="W647" s="358">
        <f t="shared" ca="1" si="459"/>
        <v>0</v>
      </c>
      <c r="X647" s="358">
        <f t="shared" ca="1" si="459"/>
        <v>0</v>
      </c>
      <c r="Y647" s="358">
        <f t="shared" ca="1" si="459"/>
        <v>0</v>
      </c>
      <c r="Z647" s="358">
        <f t="shared" ca="1" si="459"/>
        <v>0</v>
      </c>
      <c r="AA647" s="358">
        <f t="shared" ca="1" si="459"/>
        <v>0</v>
      </c>
      <c r="AB647" s="358">
        <f t="shared" ca="1" si="459"/>
        <v>0</v>
      </c>
      <c r="AC647" s="358">
        <f t="shared" ca="1" si="459"/>
        <v>0</v>
      </c>
      <c r="AD647" s="358">
        <f t="shared" ca="1" si="459"/>
        <v>0</v>
      </c>
      <c r="AE647" s="358">
        <f t="shared" ca="1" si="459"/>
        <v>0</v>
      </c>
      <c r="AF647" s="358">
        <f t="shared" ca="1" si="459"/>
        <v>0</v>
      </c>
      <c r="AG647" s="358">
        <f t="shared" ca="1" si="459"/>
        <v>0</v>
      </c>
      <c r="AH647" s="358">
        <f t="shared" ca="1" si="459"/>
        <v>0</v>
      </c>
      <c r="AI647" s="358">
        <f t="shared" ca="1" si="459"/>
        <v>0</v>
      </c>
      <c r="AJ647" s="358">
        <f t="shared" ca="1" si="459"/>
        <v>0</v>
      </c>
      <c r="AK647" s="358">
        <f t="shared" ca="1" si="459"/>
        <v>0</v>
      </c>
      <c r="AL647" s="358">
        <f t="shared" ca="1" si="459"/>
        <v>0</v>
      </c>
      <c r="AM647" s="358">
        <f t="shared" ca="1" si="459"/>
        <v>0</v>
      </c>
      <c r="AN647" s="358">
        <f t="shared" ca="1" si="459"/>
        <v>0</v>
      </c>
      <c r="AO647" s="358">
        <f t="shared" ca="1" si="459"/>
        <v>0</v>
      </c>
      <c r="AP647" s="358">
        <f t="shared" ca="1" si="459"/>
        <v>0</v>
      </c>
      <c r="AQ647" s="358">
        <f t="shared" ca="1" si="459"/>
        <v>0</v>
      </c>
      <c r="AR647" s="358">
        <f t="shared" ca="1" si="459"/>
        <v>0</v>
      </c>
      <c r="AS647" s="358">
        <f t="shared" ca="1" si="459"/>
        <v>0</v>
      </c>
      <c r="AT647" s="358">
        <f t="shared" ca="1" si="459"/>
        <v>0</v>
      </c>
      <c r="AV647" s="358">
        <f t="shared" ca="1" si="428"/>
        <v>0</v>
      </c>
      <c r="AX647" s="358">
        <f t="shared" ca="1" si="429"/>
        <v>0</v>
      </c>
      <c r="AZ647" s="358">
        <f t="shared" ca="1" si="430"/>
        <v>0</v>
      </c>
      <c r="BB647" s="358">
        <f t="shared" ca="1" si="431"/>
        <v>0</v>
      </c>
      <c r="BD647" s="358">
        <f t="shared" ca="1" si="432"/>
        <v>0</v>
      </c>
      <c r="BF647" s="358">
        <f t="shared" ca="1" si="433"/>
        <v>0</v>
      </c>
      <c r="BH647" s="358">
        <f t="shared" ca="1" si="434"/>
        <v>0</v>
      </c>
    </row>
    <row r="648" spans="1:60" hidden="1" outlineLevel="1">
      <c r="A648" s="1464">
        <f t="shared" si="436"/>
        <v>18</v>
      </c>
      <c r="B648" s="1464">
        <f t="shared" si="437"/>
        <v>40</v>
      </c>
      <c r="C648" s="1464">
        <f t="shared" si="438"/>
        <v>23</v>
      </c>
      <c r="D648" s="1271" t="str">
        <f ca="1">IF(OFFSET(PortfolioDashboard!$A$3,C648-1,0)="","Blank",OFFSET(PortfolioDashboard!$A$3,C648-1,0))</f>
        <v>Blank</v>
      </c>
      <c r="E648" s="1464" t="str">
        <f t="shared" si="439"/>
        <v>2010$</v>
      </c>
      <c r="F648" s="1460">
        <f t="shared" ca="1" si="410"/>
        <v>0</v>
      </c>
      <c r="G648" s="358">
        <f t="shared" ref="G648:AT648" ca="1" si="460">G710-G679</f>
        <v>0</v>
      </c>
      <c r="H648" s="358">
        <f t="shared" ca="1" si="460"/>
        <v>0</v>
      </c>
      <c r="I648" s="358">
        <f t="shared" ca="1" si="460"/>
        <v>0</v>
      </c>
      <c r="J648" s="358">
        <f t="shared" ca="1" si="460"/>
        <v>0</v>
      </c>
      <c r="K648" s="358">
        <f t="shared" ca="1" si="460"/>
        <v>0</v>
      </c>
      <c r="L648" s="358">
        <f t="shared" ca="1" si="460"/>
        <v>0</v>
      </c>
      <c r="M648" s="358">
        <f t="shared" ca="1" si="460"/>
        <v>0</v>
      </c>
      <c r="N648" s="358">
        <f t="shared" ca="1" si="460"/>
        <v>0</v>
      </c>
      <c r="O648" s="358">
        <f t="shared" ca="1" si="460"/>
        <v>0</v>
      </c>
      <c r="P648" s="358">
        <f t="shared" ca="1" si="460"/>
        <v>0</v>
      </c>
      <c r="Q648" s="358">
        <f t="shared" ca="1" si="460"/>
        <v>0</v>
      </c>
      <c r="R648" s="358">
        <f t="shared" ca="1" si="460"/>
        <v>0</v>
      </c>
      <c r="S648" s="358">
        <f t="shared" ca="1" si="460"/>
        <v>0</v>
      </c>
      <c r="T648" s="358">
        <f t="shared" ca="1" si="460"/>
        <v>0</v>
      </c>
      <c r="U648" s="358">
        <f t="shared" ca="1" si="460"/>
        <v>0</v>
      </c>
      <c r="V648" s="358">
        <f t="shared" ca="1" si="460"/>
        <v>0</v>
      </c>
      <c r="W648" s="358">
        <f t="shared" ca="1" si="460"/>
        <v>0</v>
      </c>
      <c r="X648" s="358">
        <f t="shared" ca="1" si="460"/>
        <v>0</v>
      </c>
      <c r="Y648" s="358">
        <f t="shared" ca="1" si="460"/>
        <v>0</v>
      </c>
      <c r="Z648" s="358">
        <f t="shared" ca="1" si="460"/>
        <v>0</v>
      </c>
      <c r="AA648" s="358">
        <f t="shared" ca="1" si="460"/>
        <v>0</v>
      </c>
      <c r="AB648" s="358">
        <f t="shared" ca="1" si="460"/>
        <v>0</v>
      </c>
      <c r="AC648" s="358">
        <f t="shared" ca="1" si="460"/>
        <v>0</v>
      </c>
      <c r="AD648" s="358">
        <f t="shared" ca="1" si="460"/>
        <v>0</v>
      </c>
      <c r="AE648" s="358">
        <f t="shared" ca="1" si="460"/>
        <v>0</v>
      </c>
      <c r="AF648" s="358">
        <f t="shared" ca="1" si="460"/>
        <v>0</v>
      </c>
      <c r="AG648" s="358">
        <f t="shared" ca="1" si="460"/>
        <v>0</v>
      </c>
      <c r="AH648" s="358">
        <f t="shared" ca="1" si="460"/>
        <v>0</v>
      </c>
      <c r="AI648" s="358">
        <f t="shared" ca="1" si="460"/>
        <v>0</v>
      </c>
      <c r="AJ648" s="358">
        <f t="shared" ca="1" si="460"/>
        <v>0</v>
      </c>
      <c r="AK648" s="358">
        <f t="shared" ca="1" si="460"/>
        <v>0</v>
      </c>
      <c r="AL648" s="358">
        <f t="shared" ca="1" si="460"/>
        <v>0</v>
      </c>
      <c r="AM648" s="358">
        <f t="shared" ca="1" si="460"/>
        <v>0</v>
      </c>
      <c r="AN648" s="358">
        <f t="shared" ca="1" si="460"/>
        <v>0</v>
      </c>
      <c r="AO648" s="358">
        <f t="shared" ca="1" si="460"/>
        <v>0</v>
      </c>
      <c r="AP648" s="358">
        <f t="shared" ca="1" si="460"/>
        <v>0</v>
      </c>
      <c r="AQ648" s="358">
        <f t="shared" ca="1" si="460"/>
        <v>0</v>
      </c>
      <c r="AR648" s="358">
        <f t="shared" ca="1" si="460"/>
        <v>0</v>
      </c>
      <c r="AS648" s="358">
        <f t="shared" ca="1" si="460"/>
        <v>0</v>
      </c>
      <c r="AT648" s="358">
        <f t="shared" ca="1" si="460"/>
        <v>0</v>
      </c>
      <c r="AV648" s="358">
        <f t="shared" ca="1" si="428"/>
        <v>0</v>
      </c>
      <c r="AX648" s="358">
        <f t="shared" ca="1" si="429"/>
        <v>0</v>
      </c>
      <c r="AZ648" s="358">
        <f t="shared" ca="1" si="430"/>
        <v>0</v>
      </c>
      <c r="BB648" s="358">
        <f t="shared" ca="1" si="431"/>
        <v>0</v>
      </c>
      <c r="BD648" s="358">
        <f t="shared" ca="1" si="432"/>
        <v>0</v>
      </c>
      <c r="BF648" s="358">
        <f t="shared" ca="1" si="433"/>
        <v>0</v>
      </c>
      <c r="BH648" s="358">
        <f t="shared" ca="1" si="434"/>
        <v>0</v>
      </c>
    </row>
    <row r="649" spans="1:60" hidden="1" outlineLevel="1">
      <c r="A649" s="1464">
        <f t="shared" si="436"/>
        <v>18</v>
      </c>
      <c r="B649" s="1464">
        <f t="shared" si="437"/>
        <v>40</v>
      </c>
      <c r="C649" s="1464">
        <f t="shared" si="438"/>
        <v>24</v>
      </c>
      <c r="D649" s="1271" t="str">
        <f ca="1">IF(OFFSET(PortfolioDashboard!$A$3,C649-1,0)="","Blank",OFFSET(PortfolioDashboard!$A$3,C649-1,0))</f>
        <v>Blank</v>
      </c>
      <c r="E649" s="1464" t="str">
        <f t="shared" si="439"/>
        <v>2010$</v>
      </c>
      <c r="F649" s="1460">
        <f t="shared" ca="1" si="410"/>
        <v>0</v>
      </c>
      <c r="G649" s="358">
        <f t="shared" ref="G649:AT649" ca="1" si="461">G711-G680</f>
        <v>0</v>
      </c>
      <c r="H649" s="358">
        <f t="shared" ca="1" si="461"/>
        <v>0</v>
      </c>
      <c r="I649" s="358">
        <f t="shared" ca="1" si="461"/>
        <v>0</v>
      </c>
      <c r="J649" s="358">
        <f t="shared" ca="1" si="461"/>
        <v>0</v>
      </c>
      <c r="K649" s="358">
        <f t="shared" ca="1" si="461"/>
        <v>0</v>
      </c>
      <c r="L649" s="358">
        <f t="shared" ca="1" si="461"/>
        <v>0</v>
      </c>
      <c r="M649" s="358">
        <f t="shared" ca="1" si="461"/>
        <v>0</v>
      </c>
      <c r="N649" s="358">
        <f t="shared" ca="1" si="461"/>
        <v>0</v>
      </c>
      <c r="O649" s="358">
        <f t="shared" ca="1" si="461"/>
        <v>0</v>
      </c>
      <c r="P649" s="358">
        <f t="shared" ca="1" si="461"/>
        <v>0</v>
      </c>
      <c r="Q649" s="358">
        <f t="shared" ca="1" si="461"/>
        <v>0</v>
      </c>
      <c r="R649" s="358">
        <f t="shared" ca="1" si="461"/>
        <v>0</v>
      </c>
      <c r="S649" s="358">
        <f t="shared" ca="1" si="461"/>
        <v>0</v>
      </c>
      <c r="T649" s="358">
        <f t="shared" ca="1" si="461"/>
        <v>0</v>
      </c>
      <c r="U649" s="358">
        <f t="shared" ca="1" si="461"/>
        <v>0</v>
      </c>
      <c r="V649" s="358">
        <f t="shared" ca="1" si="461"/>
        <v>0</v>
      </c>
      <c r="W649" s="358">
        <f t="shared" ca="1" si="461"/>
        <v>0</v>
      </c>
      <c r="X649" s="358">
        <f t="shared" ca="1" si="461"/>
        <v>0</v>
      </c>
      <c r="Y649" s="358">
        <f t="shared" ca="1" si="461"/>
        <v>0</v>
      </c>
      <c r="Z649" s="358">
        <f t="shared" ca="1" si="461"/>
        <v>0</v>
      </c>
      <c r="AA649" s="358">
        <f t="shared" ca="1" si="461"/>
        <v>0</v>
      </c>
      <c r="AB649" s="358">
        <f t="shared" ca="1" si="461"/>
        <v>0</v>
      </c>
      <c r="AC649" s="358">
        <f t="shared" ca="1" si="461"/>
        <v>0</v>
      </c>
      <c r="AD649" s="358">
        <f t="shared" ca="1" si="461"/>
        <v>0</v>
      </c>
      <c r="AE649" s="358">
        <f t="shared" ca="1" si="461"/>
        <v>0</v>
      </c>
      <c r="AF649" s="358">
        <f t="shared" ca="1" si="461"/>
        <v>0</v>
      </c>
      <c r="AG649" s="358">
        <f t="shared" ca="1" si="461"/>
        <v>0</v>
      </c>
      <c r="AH649" s="358">
        <f t="shared" ca="1" si="461"/>
        <v>0</v>
      </c>
      <c r="AI649" s="358">
        <f t="shared" ca="1" si="461"/>
        <v>0</v>
      </c>
      <c r="AJ649" s="358">
        <f t="shared" ca="1" si="461"/>
        <v>0</v>
      </c>
      <c r="AK649" s="358">
        <f t="shared" ca="1" si="461"/>
        <v>0</v>
      </c>
      <c r="AL649" s="358">
        <f t="shared" ca="1" si="461"/>
        <v>0</v>
      </c>
      <c r="AM649" s="358">
        <f t="shared" ca="1" si="461"/>
        <v>0</v>
      </c>
      <c r="AN649" s="358">
        <f t="shared" ca="1" si="461"/>
        <v>0</v>
      </c>
      <c r="AO649" s="358">
        <f t="shared" ca="1" si="461"/>
        <v>0</v>
      </c>
      <c r="AP649" s="358">
        <f t="shared" ca="1" si="461"/>
        <v>0</v>
      </c>
      <c r="AQ649" s="358">
        <f t="shared" ca="1" si="461"/>
        <v>0</v>
      </c>
      <c r="AR649" s="358">
        <f t="shared" ca="1" si="461"/>
        <v>0</v>
      </c>
      <c r="AS649" s="358">
        <f t="shared" ca="1" si="461"/>
        <v>0</v>
      </c>
      <c r="AT649" s="358">
        <f t="shared" ca="1" si="461"/>
        <v>0</v>
      </c>
      <c r="AV649" s="358">
        <f t="shared" ca="1" si="428"/>
        <v>0</v>
      </c>
      <c r="AX649" s="358">
        <f t="shared" ca="1" si="429"/>
        <v>0</v>
      </c>
      <c r="AZ649" s="358">
        <f t="shared" ca="1" si="430"/>
        <v>0</v>
      </c>
      <c r="BB649" s="358">
        <f t="shared" ca="1" si="431"/>
        <v>0</v>
      </c>
      <c r="BD649" s="358">
        <f t="shared" ca="1" si="432"/>
        <v>0</v>
      </c>
      <c r="BF649" s="358">
        <f t="shared" ca="1" si="433"/>
        <v>0</v>
      </c>
      <c r="BH649" s="358">
        <f t="shared" ca="1" si="434"/>
        <v>0</v>
      </c>
    </row>
    <row r="650" spans="1:60" hidden="1" outlineLevel="1">
      <c r="A650" s="1464">
        <f t="shared" si="436"/>
        <v>18</v>
      </c>
      <c r="B650" s="1464">
        <f t="shared" si="437"/>
        <v>40</v>
      </c>
      <c r="C650" s="1464">
        <f t="shared" si="438"/>
        <v>25</v>
      </c>
      <c r="D650" s="1271" t="str">
        <f ca="1">IF(OFFSET(PortfolioDashboard!$A$3,C650-1,0)="","Blank",OFFSET(PortfolioDashboard!$A$3,C650-1,0))</f>
        <v>Blank</v>
      </c>
      <c r="E650" s="1464" t="str">
        <f t="shared" si="439"/>
        <v>2010$</v>
      </c>
      <c r="F650" s="1460">
        <f t="shared" ca="1" si="410"/>
        <v>0</v>
      </c>
      <c r="G650" s="358">
        <f t="shared" ref="G650:AT650" ca="1" si="462">G712-G681</f>
        <v>0</v>
      </c>
      <c r="H650" s="358">
        <f t="shared" ca="1" si="462"/>
        <v>0</v>
      </c>
      <c r="I650" s="358">
        <f t="shared" ca="1" si="462"/>
        <v>0</v>
      </c>
      <c r="J650" s="358">
        <f t="shared" ca="1" si="462"/>
        <v>0</v>
      </c>
      <c r="K650" s="358">
        <f t="shared" ca="1" si="462"/>
        <v>0</v>
      </c>
      <c r="L650" s="358">
        <f t="shared" ca="1" si="462"/>
        <v>0</v>
      </c>
      <c r="M650" s="358">
        <f t="shared" ca="1" si="462"/>
        <v>0</v>
      </c>
      <c r="N650" s="358">
        <f t="shared" ca="1" si="462"/>
        <v>0</v>
      </c>
      <c r="O650" s="358">
        <f t="shared" ca="1" si="462"/>
        <v>0</v>
      </c>
      <c r="P650" s="358">
        <f t="shared" ca="1" si="462"/>
        <v>0</v>
      </c>
      <c r="Q650" s="358">
        <f t="shared" ca="1" si="462"/>
        <v>0</v>
      </c>
      <c r="R650" s="358">
        <f t="shared" ca="1" si="462"/>
        <v>0</v>
      </c>
      <c r="S650" s="358">
        <f t="shared" ca="1" si="462"/>
        <v>0</v>
      </c>
      <c r="T650" s="358">
        <f t="shared" ca="1" si="462"/>
        <v>0</v>
      </c>
      <c r="U650" s="358">
        <f t="shared" ca="1" si="462"/>
        <v>0</v>
      </c>
      <c r="V650" s="358">
        <f t="shared" ca="1" si="462"/>
        <v>0</v>
      </c>
      <c r="W650" s="358">
        <f t="shared" ca="1" si="462"/>
        <v>0</v>
      </c>
      <c r="X650" s="358">
        <f t="shared" ca="1" si="462"/>
        <v>0</v>
      </c>
      <c r="Y650" s="358">
        <f t="shared" ca="1" si="462"/>
        <v>0</v>
      </c>
      <c r="Z650" s="358">
        <f t="shared" ca="1" si="462"/>
        <v>0</v>
      </c>
      <c r="AA650" s="358">
        <f t="shared" ca="1" si="462"/>
        <v>0</v>
      </c>
      <c r="AB650" s="358">
        <f t="shared" ca="1" si="462"/>
        <v>0</v>
      </c>
      <c r="AC650" s="358">
        <f t="shared" ca="1" si="462"/>
        <v>0</v>
      </c>
      <c r="AD650" s="358">
        <f t="shared" ca="1" si="462"/>
        <v>0</v>
      </c>
      <c r="AE650" s="358">
        <f t="shared" ca="1" si="462"/>
        <v>0</v>
      </c>
      <c r="AF650" s="358">
        <f t="shared" ca="1" si="462"/>
        <v>0</v>
      </c>
      <c r="AG650" s="358">
        <f t="shared" ca="1" si="462"/>
        <v>0</v>
      </c>
      <c r="AH650" s="358">
        <f t="shared" ca="1" si="462"/>
        <v>0</v>
      </c>
      <c r="AI650" s="358">
        <f t="shared" ca="1" si="462"/>
        <v>0</v>
      </c>
      <c r="AJ650" s="358">
        <f t="shared" ca="1" si="462"/>
        <v>0</v>
      </c>
      <c r="AK650" s="358">
        <f t="shared" ca="1" si="462"/>
        <v>0</v>
      </c>
      <c r="AL650" s="358">
        <f t="shared" ca="1" si="462"/>
        <v>0</v>
      </c>
      <c r="AM650" s="358">
        <f t="shared" ca="1" si="462"/>
        <v>0</v>
      </c>
      <c r="AN650" s="358">
        <f t="shared" ca="1" si="462"/>
        <v>0</v>
      </c>
      <c r="AO650" s="358">
        <f t="shared" ca="1" si="462"/>
        <v>0</v>
      </c>
      <c r="AP650" s="358">
        <f t="shared" ca="1" si="462"/>
        <v>0</v>
      </c>
      <c r="AQ650" s="358">
        <f t="shared" ca="1" si="462"/>
        <v>0</v>
      </c>
      <c r="AR650" s="358">
        <f t="shared" ca="1" si="462"/>
        <v>0</v>
      </c>
      <c r="AS650" s="358">
        <f t="shared" ca="1" si="462"/>
        <v>0</v>
      </c>
      <c r="AT650" s="358">
        <f t="shared" ca="1" si="462"/>
        <v>0</v>
      </c>
      <c r="AV650" s="358">
        <f t="shared" ca="1" si="428"/>
        <v>0</v>
      </c>
      <c r="AX650" s="358">
        <f t="shared" ca="1" si="429"/>
        <v>0</v>
      </c>
      <c r="AZ650" s="358">
        <f t="shared" ca="1" si="430"/>
        <v>0</v>
      </c>
      <c r="BB650" s="358">
        <f t="shared" ca="1" si="431"/>
        <v>0</v>
      </c>
      <c r="BD650" s="358">
        <f t="shared" ca="1" si="432"/>
        <v>0</v>
      </c>
      <c r="BF650" s="358">
        <f t="shared" ca="1" si="433"/>
        <v>0</v>
      </c>
      <c r="BH650" s="358">
        <f t="shared" ca="1" si="434"/>
        <v>0</v>
      </c>
    </row>
    <row r="651" spans="1:60" hidden="1" outlineLevel="1">
      <c r="A651" s="1464">
        <f t="shared" si="436"/>
        <v>18</v>
      </c>
      <c r="B651" s="1464">
        <f t="shared" si="437"/>
        <v>40</v>
      </c>
      <c r="C651" s="1464">
        <f t="shared" si="438"/>
        <v>26</v>
      </c>
      <c r="D651" s="1271" t="str">
        <f ca="1">IF(OFFSET(PortfolioDashboard!$A$3,C651-1,0)="","Blank",OFFSET(PortfolioDashboard!$A$3,C651-1,0))</f>
        <v>Blank</v>
      </c>
      <c r="E651" s="1464" t="str">
        <f t="shared" si="439"/>
        <v>2010$</v>
      </c>
      <c r="F651" s="1460">
        <f t="shared" ca="1" si="410"/>
        <v>0</v>
      </c>
      <c r="G651" s="358">
        <f t="shared" ref="G651:AT651" ca="1" si="463">G713-G682</f>
        <v>0</v>
      </c>
      <c r="H651" s="358">
        <f t="shared" ca="1" si="463"/>
        <v>0</v>
      </c>
      <c r="I651" s="358">
        <f t="shared" ca="1" si="463"/>
        <v>0</v>
      </c>
      <c r="J651" s="358">
        <f t="shared" ca="1" si="463"/>
        <v>0</v>
      </c>
      <c r="K651" s="358">
        <f t="shared" ca="1" si="463"/>
        <v>0</v>
      </c>
      <c r="L651" s="358">
        <f t="shared" ca="1" si="463"/>
        <v>0</v>
      </c>
      <c r="M651" s="358">
        <f t="shared" ca="1" si="463"/>
        <v>0</v>
      </c>
      <c r="N651" s="358">
        <f t="shared" ca="1" si="463"/>
        <v>0</v>
      </c>
      <c r="O651" s="358">
        <f t="shared" ca="1" si="463"/>
        <v>0</v>
      </c>
      <c r="P651" s="358">
        <f t="shared" ca="1" si="463"/>
        <v>0</v>
      </c>
      <c r="Q651" s="358">
        <f t="shared" ca="1" si="463"/>
        <v>0</v>
      </c>
      <c r="R651" s="358">
        <f t="shared" ca="1" si="463"/>
        <v>0</v>
      </c>
      <c r="S651" s="358">
        <f t="shared" ca="1" si="463"/>
        <v>0</v>
      </c>
      <c r="T651" s="358">
        <f t="shared" ca="1" si="463"/>
        <v>0</v>
      </c>
      <c r="U651" s="358">
        <f t="shared" ca="1" si="463"/>
        <v>0</v>
      </c>
      <c r="V651" s="358">
        <f t="shared" ca="1" si="463"/>
        <v>0</v>
      </c>
      <c r="W651" s="358">
        <f t="shared" ca="1" si="463"/>
        <v>0</v>
      </c>
      <c r="X651" s="358">
        <f t="shared" ca="1" si="463"/>
        <v>0</v>
      </c>
      <c r="Y651" s="358">
        <f t="shared" ca="1" si="463"/>
        <v>0</v>
      </c>
      <c r="Z651" s="358">
        <f t="shared" ca="1" si="463"/>
        <v>0</v>
      </c>
      <c r="AA651" s="358">
        <f t="shared" ca="1" si="463"/>
        <v>0</v>
      </c>
      <c r="AB651" s="358">
        <f t="shared" ca="1" si="463"/>
        <v>0</v>
      </c>
      <c r="AC651" s="358">
        <f t="shared" ca="1" si="463"/>
        <v>0</v>
      </c>
      <c r="AD651" s="358">
        <f t="shared" ca="1" si="463"/>
        <v>0</v>
      </c>
      <c r="AE651" s="358">
        <f t="shared" ca="1" si="463"/>
        <v>0</v>
      </c>
      <c r="AF651" s="358">
        <f t="shared" ca="1" si="463"/>
        <v>0</v>
      </c>
      <c r="AG651" s="358">
        <f t="shared" ca="1" si="463"/>
        <v>0</v>
      </c>
      <c r="AH651" s="358">
        <f t="shared" ca="1" si="463"/>
        <v>0</v>
      </c>
      <c r="AI651" s="358">
        <f t="shared" ca="1" si="463"/>
        <v>0</v>
      </c>
      <c r="AJ651" s="358">
        <f t="shared" ca="1" si="463"/>
        <v>0</v>
      </c>
      <c r="AK651" s="358">
        <f t="shared" ca="1" si="463"/>
        <v>0</v>
      </c>
      <c r="AL651" s="358">
        <f t="shared" ca="1" si="463"/>
        <v>0</v>
      </c>
      <c r="AM651" s="358">
        <f t="shared" ca="1" si="463"/>
        <v>0</v>
      </c>
      <c r="AN651" s="358">
        <f t="shared" ca="1" si="463"/>
        <v>0</v>
      </c>
      <c r="AO651" s="358">
        <f t="shared" ca="1" si="463"/>
        <v>0</v>
      </c>
      <c r="AP651" s="358">
        <f t="shared" ca="1" si="463"/>
        <v>0</v>
      </c>
      <c r="AQ651" s="358">
        <f t="shared" ca="1" si="463"/>
        <v>0</v>
      </c>
      <c r="AR651" s="358">
        <f t="shared" ca="1" si="463"/>
        <v>0</v>
      </c>
      <c r="AS651" s="358">
        <f t="shared" ca="1" si="463"/>
        <v>0</v>
      </c>
      <c r="AT651" s="358">
        <f t="shared" ca="1" si="463"/>
        <v>0</v>
      </c>
      <c r="AV651" s="358">
        <f t="shared" ca="1" si="428"/>
        <v>0</v>
      </c>
      <c r="AX651" s="358">
        <f t="shared" ca="1" si="429"/>
        <v>0</v>
      </c>
      <c r="AZ651" s="358">
        <f t="shared" ca="1" si="430"/>
        <v>0</v>
      </c>
      <c r="BB651" s="358">
        <f t="shared" ca="1" si="431"/>
        <v>0</v>
      </c>
      <c r="BD651" s="358">
        <f t="shared" ca="1" si="432"/>
        <v>0</v>
      </c>
      <c r="BF651" s="358">
        <f t="shared" ca="1" si="433"/>
        <v>0</v>
      </c>
      <c r="BH651" s="358">
        <f t="shared" ca="1" si="434"/>
        <v>0</v>
      </c>
    </row>
    <row r="652" spans="1:60" hidden="1" outlineLevel="1">
      <c r="A652" s="1464">
        <f t="shared" si="436"/>
        <v>18</v>
      </c>
      <c r="B652" s="1464">
        <f t="shared" si="437"/>
        <v>40</v>
      </c>
      <c r="C652" s="1464">
        <f t="shared" si="438"/>
        <v>27</v>
      </c>
      <c r="D652" s="1271" t="str">
        <f ca="1">IF(OFFSET(PortfolioDashboard!$A$3,C652-1,0)="","Blank",OFFSET(PortfolioDashboard!$A$3,C652-1,0))</f>
        <v>Blank</v>
      </c>
      <c r="E652" s="1464" t="str">
        <f t="shared" si="439"/>
        <v>2010$</v>
      </c>
      <c r="F652" s="1460">
        <f t="shared" ca="1" si="410"/>
        <v>0</v>
      </c>
      <c r="G652" s="358">
        <f t="shared" ref="G652:AT652" ca="1" si="464">G714-G683</f>
        <v>0</v>
      </c>
      <c r="H652" s="358">
        <f t="shared" ca="1" si="464"/>
        <v>0</v>
      </c>
      <c r="I652" s="358">
        <f t="shared" ca="1" si="464"/>
        <v>0</v>
      </c>
      <c r="J652" s="358">
        <f t="shared" ca="1" si="464"/>
        <v>0</v>
      </c>
      <c r="K652" s="358">
        <f t="shared" ca="1" si="464"/>
        <v>0</v>
      </c>
      <c r="L652" s="358">
        <f t="shared" ca="1" si="464"/>
        <v>0</v>
      </c>
      <c r="M652" s="358">
        <f t="shared" ca="1" si="464"/>
        <v>0</v>
      </c>
      <c r="N652" s="358">
        <f t="shared" ca="1" si="464"/>
        <v>0</v>
      </c>
      <c r="O652" s="358">
        <f t="shared" ca="1" si="464"/>
        <v>0</v>
      </c>
      <c r="P652" s="358">
        <f t="shared" ca="1" si="464"/>
        <v>0</v>
      </c>
      <c r="Q652" s="358">
        <f t="shared" ca="1" si="464"/>
        <v>0</v>
      </c>
      <c r="R652" s="358">
        <f t="shared" ca="1" si="464"/>
        <v>0</v>
      </c>
      <c r="S652" s="358">
        <f t="shared" ca="1" si="464"/>
        <v>0</v>
      </c>
      <c r="T652" s="358">
        <f t="shared" ca="1" si="464"/>
        <v>0</v>
      </c>
      <c r="U652" s="358">
        <f t="shared" ca="1" si="464"/>
        <v>0</v>
      </c>
      <c r="V652" s="358">
        <f t="shared" ca="1" si="464"/>
        <v>0</v>
      </c>
      <c r="W652" s="358">
        <f t="shared" ca="1" si="464"/>
        <v>0</v>
      </c>
      <c r="X652" s="358">
        <f t="shared" ca="1" si="464"/>
        <v>0</v>
      </c>
      <c r="Y652" s="358">
        <f t="shared" ca="1" si="464"/>
        <v>0</v>
      </c>
      <c r="Z652" s="358">
        <f t="shared" ca="1" si="464"/>
        <v>0</v>
      </c>
      <c r="AA652" s="358">
        <f t="shared" ca="1" si="464"/>
        <v>0</v>
      </c>
      <c r="AB652" s="358">
        <f t="shared" ca="1" si="464"/>
        <v>0</v>
      </c>
      <c r="AC652" s="358">
        <f t="shared" ca="1" si="464"/>
        <v>0</v>
      </c>
      <c r="AD652" s="358">
        <f t="shared" ca="1" si="464"/>
        <v>0</v>
      </c>
      <c r="AE652" s="358">
        <f t="shared" ca="1" si="464"/>
        <v>0</v>
      </c>
      <c r="AF652" s="358">
        <f t="shared" ca="1" si="464"/>
        <v>0</v>
      </c>
      <c r="AG652" s="358">
        <f t="shared" ca="1" si="464"/>
        <v>0</v>
      </c>
      <c r="AH652" s="358">
        <f t="shared" ca="1" si="464"/>
        <v>0</v>
      </c>
      <c r="AI652" s="358">
        <f t="shared" ca="1" si="464"/>
        <v>0</v>
      </c>
      <c r="AJ652" s="358">
        <f t="shared" ca="1" si="464"/>
        <v>0</v>
      </c>
      <c r="AK652" s="358">
        <f t="shared" ca="1" si="464"/>
        <v>0</v>
      </c>
      <c r="AL652" s="358">
        <f t="shared" ca="1" si="464"/>
        <v>0</v>
      </c>
      <c r="AM652" s="358">
        <f t="shared" ca="1" si="464"/>
        <v>0</v>
      </c>
      <c r="AN652" s="358">
        <f t="shared" ca="1" si="464"/>
        <v>0</v>
      </c>
      <c r="AO652" s="358">
        <f t="shared" ca="1" si="464"/>
        <v>0</v>
      </c>
      <c r="AP652" s="358">
        <f t="shared" ca="1" si="464"/>
        <v>0</v>
      </c>
      <c r="AQ652" s="358">
        <f t="shared" ca="1" si="464"/>
        <v>0</v>
      </c>
      <c r="AR652" s="358">
        <f t="shared" ca="1" si="464"/>
        <v>0</v>
      </c>
      <c r="AS652" s="358">
        <f t="shared" ca="1" si="464"/>
        <v>0</v>
      </c>
      <c r="AT652" s="358">
        <f t="shared" ca="1" si="464"/>
        <v>0</v>
      </c>
      <c r="AV652" s="358">
        <f t="shared" ca="1" si="428"/>
        <v>0</v>
      </c>
      <c r="AX652" s="358">
        <f t="shared" ca="1" si="429"/>
        <v>0</v>
      </c>
      <c r="AZ652" s="358">
        <f t="shared" ca="1" si="430"/>
        <v>0</v>
      </c>
      <c r="BB652" s="358">
        <f t="shared" ca="1" si="431"/>
        <v>0</v>
      </c>
      <c r="BD652" s="358">
        <f t="shared" ca="1" si="432"/>
        <v>0</v>
      </c>
      <c r="BF652" s="358">
        <f t="shared" ca="1" si="433"/>
        <v>0</v>
      </c>
      <c r="BH652" s="358">
        <f t="shared" ca="1" si="434"/>
        <v>0</v>
      </c>
    </row>
    <row r="653" spans="1:60" hidden="1" outlineLevel="1">
      <c r="A653" s="1464">
        <f t="shared" si="436"/>
        <v>18</v>
      </c>
      <c r="B653" s="1464">
        <f t="shared" si="437"/>
        <v>40</v>
      </c>
      <c r="C653" s="1464">
        <f t="shared" si="438"/>
        <v>28</v>
      </c>
      <c r="D653" s="1271" t="str">
        <f ca="1">IF(OFFSET(PortfolioDashboard!$A$3,C653-1,0)="","Blank",OFFSET(PortfolioDashboard!$A$3,C653-1,0))</f>
        <v>Blank</v>
      </c>
      <c r="E653" s="1464" t="str">
        <f t="shared" si="439"/>
        <v>2010$</v>
      </c>
      <c r="F653" s="1460">
        <f t="shared" ca="1" si="410"/>
        <v>0</v>
      </c>
      <c r="G653" s="358">
        <f t="shared" ref="G653:AT653" ca="1" si="465">G715-G684</f>
        <v>0</v>
      </c>
      <c r="H653" s="358">
        <f t="shared" ca="1" si="465"/>
        <v>0</v>
      </c>
      <c r="I653" s="358">
        <f t="shared" ca="1" si="465"/>
        <v>0</v>
      </c>
      <c r="J653" s="358">
        <f t="shared" ca="1" si="465"/>
        <v>0</v>
      </c>
      <c r="K653" s="358">
        <f t="shared" ca="1" si="465"/>
        <v>0</v>
      </c>
      <c r="L653" s="358">
        <f t="shared" ca="1" si="465"/>
        <v>0</v>
      </c>
      <c r="M653" s="358">
        <f t="shared" ca="1" si="465"/>
        <v>0</v>
      </c>
      <c r="N653" s="358">
        <f t="shared" ca="1" si="465"/>
        <v>0</v>
      </c>
      <c r="O653" s="358">
        <f t="shared" ca="1" si="465"/>
        <v>0</v>
      </c>
      <c r="P653" s="358">
        <f t="shared" ca="1" si="465"/>
        <v>0</v>
      </c>
      <c r="Q653" s="358">
        <f t="shared" ca="1" si="465"/>
        <v>0</v>
      </c>
      <c r="R653" s="358">
        <f t="shared" ca="1" si="465"/>
        <v>0</v>
      </c>
      <c r="S653" s="358">
        <f t="shared" ca="1" si="465"/>
        <v>0</v>
      </c>
      <c r="T653" s="358">
        <f t="shared" ca="1" si="465"/>
        <v>0</v>
      </c>
      <c r="U653" s="358">
        <f t="shared" ca="1" si="465"/>
        <v>0</v>
      </c>
      <c r="V653" s="358">
        <f t="shared" ca="1" si="465"/>
        <v>0</v>
      </c>
      <c r="W653" s="358">
        <f t="shared" ca="1" si="465"/>
        <v>0</v>
      </c>
      <c r="X653" s="358">
        <f t="shared" ca="1" si="465"/>
        <v>0</v>
      </c>
      <c r="Y653" s="358">
        <f t="shared" ca="1" si="465"/>
        <v>0</v>
      </c>
      <c r="Z653" s="358">
        <f t="shared" ca="1" si="465"/>
        <v>0</v>
      </c>
      <c r="AA653" s="358">
        <f t="shared" ca="1" si="465"/>
        <v>0</v>
      </c>
      <c r="AB653" s="358">
        <f t="shared" ca="1" si="465"/>
        <v>0</v>
      </c>
      <c r="AC653" s="358">
        <f t="shared" ca="1" si="465"/>
        <v>0</v>
      </c>
      <c r="AD653" s="358">
        <f t="shared" ca="1" si="465"/>
        <v>0</v>
      </c>
      <c r="AE653" s="358">
        <f t="shared" ca="1" si="465"/>
        <v>0</v>
      </c>
      <c r="AF653" s="358">
        <f t="shared" ca="1" si="465"/>
        <v>0</v>
      </c>
      <c r="AG653" s="358">
        <f t="shared" ca="1" si="465"/>
        <v>0</v>
      </c>
      <c r="AH653" s="358">
        <f t="shared" ca="1" si="465"/>
        <v>0</v>
      </c>
      <c r="AI653" s="358">
        <f t="shared" ca="1" si="465"/>
        <v>0</v>
      </c>
      <c r="AJ653" s="358">
        <f t="shared" ca="1" si="465"/>
        <v>0</v>
      </c>
      <c r="AK653" s="358">
        <f t="shared" ca="1" si="465"/>
        <v>0</v>
      </c>
      <c r="AL653" s="358">
        <f t="shared" ca="1" si="465"/>
        <v>0</v>
      </c>
      <c r="AM653" s="358">
        <f t="shared" ca="1" si="465"/>
        <v>0</v>
      </c>
      <c r="AN653" s="358">
        <f t="shared" ca="1" si="465"/>
        <v>0</v>
      </c>
      <c r="AO653" s="358">
        <f t="shared" ca="1" si="465"/>
        <v>0</v>
      </c>
      <c r="AP653" s="358">
        <f t="shared" ca="1" si="465"/>
        <v>0</v>
      </c>
      <c r="AQ653" s="358">
        <f t="shared" ca="1" si="465"/>
        <v>0</v>
      </c>
      <c r="AR653" s="358">
        <f t="shared" ca="1" si="465"/>
        <v>0</v>
      </c>
      <c r="AS653" s="358">
        <f t="shared" ca="1" si="465"/>
        <v>0</v>
      </c>
      <c r="AT653" s="358">
        <f t="shared" ca="1" si="465"/>
        <v>0</v>
      </c>
      <c r="AV653" s="358">
        <f t="shared" ca="1" si="428"/>
        <v>0</v>
      </c>
      <c r="AX653" s="358">
        <f t="shared" ca="1" si="429"/>
        <v>0</v>
      </c>
      <c r="AZ653" s="358">
        <f t="shared" ca="1" si="430"/>
        <v>0</v>
      </c>
      <c r="BB653" s="358">
        <f t="shared" ca="1" si="431"/>
        <v>0</v>
      </c>
      <c r="BD653" s="358">
        <f t="shared" ca="1" si="432"/>
        <v>0</v>
      </c>
      <c r="BF653" s="358">
        <f t="shared" ca="1" si="433"/>
        <v>0</v>
      </c>
      <c r="BH653" s="358">
        <f t="shared" ca="1" si="434"/>
        <v>0</v>
      </c>
    </row>
    <row r="654" spans="1:60" hidden="1" outlineLevel="1">
      <c r="A654" s="1464">
        <f t="shared" si="436"/>
        <v>18</v>
      </c>
      <c r="B654" s="1464">
        <f t="shared" si="437"/>
        <v>40</v>
      </c>
      <c r="C654" s="1464">
        <f t="shared" si="438"/>
        <v>29</v>
      </c>
      <c r="D654" s="1271" t="str">
        <f>D561</f>
        <v>Sustainability Driven-Master Plan</v>
      </c>
      <c r="E654" s="1464" t="str">
        <f t="shared" si="439"/>
        <v>2010$</v>
      </c>
      <c r="F654" s="1460">
        <f t="shared" si="410"/>
        <v>-537861.87088412675</v>
      </c>
      <c r="G654" s="358">
        <f>G561</f>
        <v>0</v>
      </c>
      <c r="H654" s="358">
        <f t="shared" ref="H654:AT654" si="466">H561</f>
        <v>-600000</v>
      </c>
      <c r="I654" s="358">
        <f t="shared" si="466"/>
        <v>0</v>
      </c>
      <c r="J654" s="358">
        <f t="shared" si="466"/>
        <v>0</v>
      </c>
      <c r="K654" s="358">
        <f t="shared" si="466"/>
        <v>0</v>
      </c>
      <c r="L654" s="358">
        <f t="shared" si="466"/>
        <v>0</v>
      </c>
      <c r="M654" s="358">
        <f t="shared" si="466"/>
        <v>0</v>
      </c>
      <c r="N654" s="358">
        <f t="shared" si="466"/>
        <v>0</v>
      </c>
      <c r="O654" s="358">
        <f t="shared" si="466"/>
        <v>0</v>
      </c>
      <c r="P654" s="358">
        <f t="shared" si="466"/>
        <v>0</v>
      </c>
      <c r="Q654" s="358">
        <f t="shared" si="466"/>
        <v>0</v>
      </c>
      <c r="R654" s="358">
        <f t="shared" si="466"/>
        <v>0</v>
      </c>
      <c r="S654" s="358">
        <f t="shared" si="466"/>
        <v>0</v>
      </c>
      <c r="T654" s="358">
        <f t="shared" si="466"/>
        <v>0</v>
      </c>
      <c r="U654" s="358">
        <f t="shared" si="466"/>
        <v>0</v>
      </c>
      <c r="V654" s="358">
        <f t="shared" si="466"/>
        <v>0</v>
      </c>
      <c r="W654" s="358">
        <f t="shared" si="466"/>
        <v>0</v>
      </c>
      <c r="X654" s="358">
        <f t="shared" si="466"/>
        <v>0</v>
      </c>
      <c r="Y654" s="358">
        <f t="shared" si="466"/>
        <v>0</v>
      </c>
      <c r="Z654" s="358">
        <f t="shared" si="466"/>
        <v>0</v>
      </c>
      <c r="AA654" s="358">
        <f t="shared" si="466"/>
        <v>0</v>
      </c>
      <c r="AB654" s="358">
        <f t="shared" si="466"/>
        <v>0</v>
      </c>
      <c r="AC654" s="358">
        <f t="shared" si="466"/>
        <v>0</v>
      </c>
      <c r="AD654" s="358">
        <f t="shared" si="466"/>
        <v>0</v>
      </c>
      <c r="AE654" s="358">
        <f t="shared" si="466"/>
        <v>0</v>
      </c>
      <c r="AF654" s="358">
        <f t="shared" si="466"/>
        <v>0</v>
      </c>
      <c r="AG654" s="358">
        <f t="shared" si="466"/>
        <v>0</v>
      </c>
      <c r="AH654" s="358">
        <f t="shared" si="466"/>
        <v>0</v>
      </c>
      <c r="AI654" s="358">
        <f t="shared" si="466"/>
        <v>0</v>
      </c>
      <c r="AJ654" s="358">
        <f t="shared" si="466"/>
        <v>0</v>
      </c>
      <c r="AK654" s="358">
        <f t="shared" si="466"/>
        <v>0</v>
      </c>
      <c r="AL654" s="358">
        <f t="shared" si="466"/>
        <v>0</v>
      </c>
      <c r="AM654" s="358">
        <f t="shared" si="466"/>
        <v>0</v>
      </c>
      <c r="AN654" s="358">
        <f t="shared" si="466"/>
        <v>0</v>
      </c>
      <c r="AO654" s="358">
        <f t="shared" si="466"/>
        <v>0</v>
      </c>
      <c r="AP654" s="358">
        <f t="shared" si="466"/>
        <v>0</v>
      </c>
      <c r="AQ654" s="358">
        <f t="shared" si="466"/>
        <v>0</v>
      </c>
      <c r="AR654" s="358">
        <f t="shared" si="466"/>
        <v>0</v>
      </c>
      <c r="AS654" s="358">
        <f t="shared" si="466"/>
        <v>0</v>
      </c>
      <c r="AT654" s="358">
        <f t="shared" si="466"/>
        <v>0</v>
      </c>
      <c r="AV654" s="358">
        <f t="shared" si="428"/>
        <v>0</v>
      </c>
      <c r="AX654" s="358">
        <f t="shared" si="429"/>
        <v>0</v>
      </c>
      <c r="AZ654" s="358">
        <f t="shared" si="430"/>
        <v>0</v>
      </c>
      <c r="BB654" s="358">
        <f t="shared" si="431"/>
        <v>0</v>
      </c>
      <c r="BD654" s="358">
        <f t="shared" si="432"/>
        <v>0</v>
      </c>
      <c r="BF654" s="358">
        <f t="shared" si="433"/>
        <v>0</v>
      </c>
      <c r="BH654" s="358">
        <f t="shared" si="434"/>
        <v>0</v>
      </c>
    </row>
    <row r="655" spans="1:60" hidden="1" outlineLevel="1">
      <c r="A655" s="1464">
        <f t="shared" si="436"/>
        <v>18</v>
      </c>
      <c r="B655" s="1464">
        <f t="shared" si="437"/>
        <v>40</v>
      </c>
      <c r="C655" s="1464">
        <f t="shared" si="438"/>
        <v>30</v>
      </c>
      <c r="D655" s="1271" t="str">
        <f>D562</f>
        <v>Research and Curriculum</v>
      </c>
      <c r="E655" s="1464" t="str">
        <f t="shared" si="439"/>
        <v>2010$</v>
      </c>
      <c r="F655" s="1460">
        <f t="shared" si="410"/>
        <v>-4867919.572699625</v>
      </c>
      <c r="G655" s="358">
        <f>G562</f>
        <v>-200000</v>
      </c>
      <c r="H655" s="358">
        <f t="shared" ref="H655:AT655" si="467">H562</f>
        <v>-315000</v>
      </c>
      <c r="I655" s="358">
        <f t="shared" si="467"/>
        <v>-315000</v>
      </c>
      <c r="J655" s="358">
        <f t="shared" si="467"/>
        <v>-315000</v>
      </c>
      <c r="K655" s="358">
        <f t="shared" si="467"/>
        <v>-315000</v>
      </c>
      <c r="L655" s="358">
        <f t="shared" si="467"/>
        <v>-315000</v>
      </c>
      <c r="M655" s="358">
        <f t="shared" si="467"/>
        <v>-315000</v>
      </c>
      <c r="N655" s="358">
        <f t="shared" si="467"/>
        <v>-315000</v>
      </c>
      <c r="O655" s="358">
        <f t="shared" si="467"/>
        <v>-315000</v>
      </c>
      <c r="P655" s="358">
        <f t="shared" si="467"/>
        <v>-315000</v>
      </c>
      <c r="Q655" s="358">
        <f t="shared" si="467"/>
        <v>-315000</v>
      </c>
      <c r="R655" s="358">
        <f t="shared" si="467"/>
        <v>-315000</v>
      </c>
      <c r="S655" s="358">
        <f t="shared" si="467"/>
        <v>-315000</v>
      </c>
      <c r="T655" s="358">
        <f t="shared" si="467"/>
        <v>-315000</v>
      </c>
      <c r="U655" s="358">
        <f t="shared" si="467"/>
        <v>-315000</v>
      </c>
      <c r="V655" s="358">
        <f t="shared" si="467"/>
        <v>-315000</v>
      </c>
      <c r="W655" s="358">
        <f t="shared" si="467"/>
        <v>-315000</v>
      </c>
      <c r="X655" s="358">
        <f t="shared" si="467"/>
        <v>-315000</v>
      </c>
      <c r="Y655" s="358">
        <f t="shared" si="467"/>
        <v>-315000</v>
      </c>
      <c r="Z655" s="358">
        <f t="shared" si="467"/>
        <v>-315000</v>
      </c>
      <c r="AA655" s="358">
        <f t="shared" si="467"/>
        <v>-315000</v>
      </c>
      <c r="AB655" s="358">
        <f t="shared" si="467"/>
        <v>-315000</v>
      </c>
      <c r="AC655" s="358">
        <f t="shared" si="467"/>
        <v>-315000</v>
      </c>
      <c r="AD655" s="358">
        <f t="shared" si="467"/>
        <v>-315000</v>
      </c>
      <c r="AE655" s="358">
        <f t="shared" si="467"/>
        <v>-315000</v>
      </c>
      <c r="AF655" s="358">
        <f t="shared" si="467"/>
        <v>-315000</v>
      </c>
      <c r="AG655" s="358">
        <f t="shared" si="467"/>
        <v>-315000</v>
      </c>
      <c r="AH655" s="358">
        <f t="shared" si="467"/>
        <v>-315000</v>
      </c>
      <c r="AI655" s="358">
        <f t="shared" si="467"/>
        <v>-315000</v>
      </c>
      <c r="AJ655" s="358">
        <f t="shared" si="467"/>
        <v>-315000</v>
      </c>
      <c r="AK655" s="358">
        <f t="shared" si="467"/>
        <v>-315000</v>
      </c>
      <c r="AL655" s="358">
        <f t="shared" si="467"/>
        <v>-315000</v>
      </c>
      <c r="AM655" s="358">
        <f t="shared" si="467"/>
        <v>-315000</v>
      </c>
      <c r="AN655" s="358">
        <f t="shared" si="467"/>
        <v>-315000</v>
      </c>
      <c r="AO655" s="358">
        <f t="shared" si="467"/>
        <v>-315000</v>
      </c>
      <c r="AP655" s="358">
        <f t="shared" si="467"/>
        <v>-315000</v>
      </c>
      <c r="AQ655" s="358">
        <f t="shared" si="467"/>
        <v>-315000</v>
      </c>
      <c r="AR655" s="358">
        <f t="shared" si="467"/>
        <v>-315000</v>
      </c>
      <c r="AS655" s="358">
        <f t="shared" si="467"/>
        <v>-315000</v>
      </c>
      <c r="AT655" s="358">
        <f t="shared" si="467"/>
        <v>-315000</v>
      </c>
      <c r="AV655" s="358">
        <f t="shared" si="428"/>
        <v>-1575000</v>
      </c>
      <c r="AX655" s="358">
        <f t="shared" si="429"/>
        <v>-1575000</v>
      </c>
      <c r="AZ655" s="358">
        <f t="shared" si="430"/>
        <v>-1575000</v>
      </c>
      <c r="BB655" s="358">
        <f t="shared" si="431"/>
        <v>-1575000</v>
      </c>
      <c r="BD655" s="358">
        <f t="shared" si="432"/>
        <v>-1575000</v>
      </c>
      <c r="BF655" s="358">
        <f t="shared" si="433"/>
        <v>-1575000</v>
      </c>
      <c r="BH655" s="358">
        <f t="shared" si="434"/>
        <v>-1575000</v>
      </c>
    </row>
    <row r="656" spans="1:60" ht="15.75" collapsed="1" thickBot="1">
      <c r="A656" s="1464"/>
      <c r="B656" s="1464"/>
      <c r="C656" s="1464"/>
      <c r="D656" s="1278" t="s">
        <v>1519</v>
      </c>
      <c r="E656" s="1279" t="str">
        <f>E626</f>
        <v>2010$</v>
      </c>
      <c r="F656" s="1463">
        <f t="shared" ca="1" si="410"/>
        <v>541708892.45093</v>
      </c>
      <c r="G656" s="1280">
        <f t="shared" ref="G656:AT656" ca="1" si="468">SUM(G626:G655)</f>
        <v>-62947.94664712713</v>
      </c>
      <c r="H656" s="1280">
        <f t="shared" ca="1" si="468"/>
        <v>23234180.380424932</v>
      </c>
      <c r="I656" s="1280">
        <f t="shared" ca="1" si="468"/>
        <v>24707966.445974875</v>
      </c>
      <c r="J656" s="1280">
        <f t="shared" ca="1" si="468"/>
        <v>27247814.441949621</v>
      </c>
      <c r="K656" s="1280">
        <f t="shared" ca="1" si="468"/>
        <v>25670305.269429374</v>
      </c>
      <c r="L656" s="1280">
        <f t="shared" ca="1" si="468"/>
        <v>29815385.218978819</v>
      </c>
      <c r="M656" s="1280">
        <f t="shared" ca="1" si="468"/>
        <v>31732498.892898202</v>
      </c>
      <c r="N656" s="1280">
        <f t="shared" ca="1" si="468"/>
        <v>32525934.536264632</v>
      </c>
      <c r="O656" s="1280">
        <f t="shared" ca="1" si="468"/>
        <v>33224923.621335376</v>
      </c>
      <c r="P656" s="1280">
        <f t="shared" ca="1" si="468"/>
        <v>34016593.901716188</v>
      </c>
      <c r="Q656" s="1280">
        <f t="shared" ca="1" si="468"/>
        <v>34812671.015266731</v>
      </c>
      <c r="R656" s="1280">
        <f t="shared" ca="1" si="468"/>
        <v>35613178.356528543</v>
      </c>
      <c r="S656" s="1280">
        <f t="shared" ca="1" si="468"/>
        <v>36420614.166915223</v>
      </c>
      <c r="T656" s="1280">
        <f t="shared" ca="1" si="468"/>
        <v>37191931.88914825</v>
      </c>
      <c r="U656" s="1280">
        <f t="shared" ca="1" si="468"/>
        <v>37817438.395218357</v>
      </c>
      <c r="V656" s="1280">
        <f t="shared" ca="1" si="468"/>
        <v>38525652.638531663</v>
      </c>
      <c r="W656" s="1280">
        <f t="shared" ca="1" si="468"/>
        <v>39237984.763073303</v>
      </c>
      <c r="X656" s="1280">
        <f t="shared" ca="1" si="468"/>
        <v>39954462.723608792</v>
      </c>
      <c r="Y656" s="1280">
        <f t="shared" ca="1" si="468"/>
        <v>40675114.678413078</v>
      </c>
      <c r="Z656" s="1280">
        <f t="shared" ca="1" si="468"/>
        <v>41399969.002051778</v>
      </c>
      <c r="AA656" s="1280">
        <f t="shared" ca="1" si="468"/>
        <v>42129054.294677272</v>
      </c>
      <c r="AB656" s="1280">
        <f t="shared" ca="1" si="468"/>
        <v>42842205.756114565</v>
      </c>
      <c r="AC656" s="1280">
        <f t="shared" ca="1" si="468"/>
        <v>43706681.235212564</v>
      </c>
      <c r="AD656" s="1280">
        <f t="shared" ca="1" si="468"/>
        <v>44428034.363852471</v>
      </c>
      <c r="AE656" s="1280">
        <f t="shared" ca="1" si="468"/>
        <v>45507399.441021517</v>
      </c>
      <c r="AF656" s="1280">
        <f t="shared" ca="1" si="468"/>
        <v>46107609.024146438</v>
      </c>
      <c r="AG656" s="1280">
        <f t="shared" ca="1" si="468"/>
        <v>46711107.651002541</v>
      </c>
      <c r="AH656" s="1280">
        <f t="shared" ca="1" si="468"/>
        <v>47979209.757472552</v>
      </c>
      <c r="AI656" s="1280">
        <f t="shared" ca="1" si="468"/>
        <v>48677488.694322608</v>
      </c>
      <c r="AJ656" s="1280">
        <f t="shared" ca="1" si="468"/>
        <v>49290770.161503658</v>
      </c>
      <c r="AK656" s="1280">
        <f t="shared" ca="1" si="468"/>
        <v>49907374.351784579</v>
      </c>
      <c r="AL656" s="1280">
        <f t="shared" ca="1" si="468"/>
        <v>50527323.549225762</v>
      </c>
      <c r="AM656" s="1280">
        <f t="shared" ca="1" si="468"/>
        <v>51150640.229547612</v>
      </c>
      <c r="AN656" s="1280">
        <f t="shared" ca="1" si="468"/>
        <v>51777347.06006375</v>
      </c>
      <c r="AO656" s="1280">
        <f t="shared" ca="1" si="468"/>
        <v>52407466.89958448</v>
      </c>
      <c r="AP656" s="1280">
        <f t="shared" ca="1" si="468"/>
        <v>53041022.798306145</v>
      </c>
      <c r="AQ656" s="1280">
        <f t="shared" ca="1" si="468"/>
        <v>53678037.997707002</v>
      </c>
      <c r="AR656" s="1280">
        <f t="shared" ca="1" si="468"/>
        <v>54318535.93045067</v>
      </c>
      <c r="AS656" s="1280">
        <f t="shared" ca="1" si="468"/>
        <v>54962540.220304877</v>
      </c>
      <c r="AT656" s="1280">
        <f t="shared" ca="1" si="468"/>
        <v>55610074.682085067</v>
      </c>
      <c r="AV656" s="1280">
        <f t="shared" ca="1" si="428"/>
        <v>161315336.17119321</v>
      </c>
      <c r="AX656" s="1280">
        <f t="shared" ca="1" si="429"/>
        <v>181855833.82307708</v>
      </c>
      <c r="AZ656" s="1280">
        <f t="shared" ca="1" si="430"/>
        <v>199793183.80567861</v>
      </c>
      <c r="BB656" s="1280">
        <f t="shared" ca="1" si="431"/>
        <v>218613375.09087837</v>
      </c>
      <c r="BD656" s="1280">
        <f t="shared" ca="1" si="432"/>
        <v>238766185.2884478</v>
      </c>
      <c r="BF656" s="1280">
        <f t="shared" ca="1" si="433"/>
        <v>255770152.09020618</v>
      </c>
      <c r="BH656" s="1280">
        <f t="shared" ca="1" si="434"/>
        <v>271610211.6288538</v>
      </c>
    </row>
    <row r="657" spans="1:60" hidden="1" outlineLevel="1">
      <c r="A657" s="1464">
        <f ca="1">OFFSET(GHGComplianceSavings,-2,2)</f>
        <v>18</v>
      </c>
      <c r="B657" s="1464">
        <f ca="1">OFFSET(GHGComplianceSavings,-1,2)</f>
        <v>23</v>
      </c>
      <c r="C657" s="1464">
        <v>1</v>
      </c>
      <c r="D657" s="1271" t="str">
        <f ca="1">IF(OFFSET(PortfolioDashboard!$A$3,C657-1,0)="","Blank",OFFSET(PortfolioDashboard!$A$3,C657-1,0))</f>
        <v>Behavior Change</v>
      </c>
      <c r="E657" s="1464" t="s">
        <v>1197</v>
      </c>
      <c r="F657" s="1460">
        <f t="shared" ca="1" si="410"/>
        <v>1665440.4871373114</v>
      </c>
      <c r="G657" s="358">
        <f t="shared" ref="G657:P666" ca="1" si="469">IFERROR(OFFSET(INDIRECT(INDEX(List_of_Alternatives,MATCH($D657,NameofAlternatives,0))),$A657+G$1-$G$1,$B657),0)</f>
        <v>0</v>
      </c>
      <c r="H657" s="358">
        <f t="shared" ca="1" si="469"/>
        <v>0</v>
      </c>
      <c r="I657" s="358">
        <f t="shared" ca="1" si="469"/>
        <v>0</v>
      </c>
      <c r="J657" s="358">
        <f t="shared" ca="1" si="469"/>
        <v>0</v>
      </c>
      <c r="K657" s="358">
        <f t="shared" ca="1" si="469"/>
        <v>0</v>
      </c>
      <c r="L657" s="358">
        <f t="shared" ca="1" si="469"/>
        <v>17496.082799065818</v>
      </c>
      <c r="M657" s="358">
        <f t="shared" ca="1" si="469"/>
        <v>25005.623885359433</v>
      </c>
      <c r="N657" s="358">
        <f t="shared" ca="1" si="469"/>
        <v>33877.529456898701</v>
      </c>
      <c r="O657" s="358">
        <f t="shared" ca="1" si="469"/>
        <v>42891.306290425833</v>
      </c>
      <c r="P657" s="358">
        <f t="shared" ca="1" si="469"/>
        <v>53072.128647579862</v>
      </c>
      <c r="Q657" s="358">
        <f t="shared" ref="Q657:Z666" ca="1" si="470">IFERROR(OFFSET(INDIRECT(INDEX(List_of_Alternatives,MATCH($D657,NameofAlternatives,0))),$A657+Q$1-$G$1,$B657),0)</f>
        <v>64439.503765234709</v>
      </c>
      <c r="R657" s="358">
        <f t="shared" ca="1" si="470"/>
        <v>77828.269244053256</v>
      </c>
      <c r="S657" s="358">
        <f t="shared" ca="1" si="470"/>
        <v>92632.820287329843</v>
      </c>
      <c r="T657" s="358">
        <f t="shared" ca="1" si="470"/>
        <v>100800.75003856682</v>
      </c>
      <c r="U657" s="358">
        <f t="shared" ca="1" si="470"/>
        <v>109838.87196290676</v>
      </c>
      <c r="V657" s="358">
        <f t="shared" ca="1" si="470"/>
        <v>119096.97307828412</v>
      </c>
      <c r="W657" s="358">
        <f t="shared" ca="1" si="470"/>
        <v>129539.595403036</v>
      </c>
      <c r="X657" s="358">
        <f t="shared" ca="1" si="470"/>
        <v>140241.06869841157</v>
      </c>
      <c r="Y657" s="358">
        <f t="shared" ca="1" si="470"/>
        <v>151181.33297927052</v>
      </c>
      <c r="Z657" s="358">
        <f t="shared" ca="1" si="470"/>
        <v>162340.63731958537</v>
      </c>
      <c r="AA657" s="358">
        <f t="shared" ref="AA657:AJ666" ca="1" si="471">IFERROR(OFFSET(INDIRECT(INDEX(List_of_Alternatives,MATCH($D657,NameofAlternatives,0))),$A657+AA$1-$G$1,$B657),0)</f>
        <v>173699.53846243749</v>
      </c>
      <c r="AB657" s="358">
        <f t="shared" ca="1" si="471"/>
        <v>186697.34209565757</v>
      </c>
      <c r="AC657" s="358">
        <f t="shared" ca="1" si="471"/>
        <v>199927.78008540967</v>
      </c>
      <c r="AD657" s="358">
        <f t="shared" ca="1" si="471"/>
        <v>211621.3794844074</v>
      </c>
      <c r="AE657" s="358">
        <f t="shared" ca="1" si="471"/>
        <v>222272.19995466043</v>
      </c>
      <c r="AF657" s="358">
        <f t="shared" ca="1" si="471"/>
        <v>233119.04548541587</v>
      </c>
      <c r="AG657" s="358">
        <f t="shared" ca="1" si="471"/>
        <v>245823.88672131029</v>
      </c>
      <c r="AH657" s="358">
        <f t="shared" ca="1" si="471"/>
        <v>258439.35608886936</v>
      </c>
      <c r="AI657" s="358">
        <f t="shared" ca="1" si="471"/>
        <v>270931.24932232767</v>
      </c>
      <c r="AJ657" s="358">
        <f t="shared" ca="1" si="471"/>
        <v>283271.85535673302</v>
      </c>
      <c r="AK657" s="358">
        <f t="shared" ref="AK657:AT666" ca="1" si="472">IFERROR(OFFSET(INDIRECT(INDEX(List_of_Alternatives,MATCH($D657,NameofAlternatives,0))),$A657+AK$1-$G$1,$B657),0)</f>
        <v>296196.58992165932</v>
      </c>
      <c r="AL657" s="358">
        <f t="shared" ca="1" si="472"/>
        <v>308672.33159682597</v>
      </c>
      <c r="AM657" s="358">
        <f t="shared" ca="1" si="472"/>
        <v>320614.32632339705</v>
      </c>
      <c r="AN657" s="358">
        <f t="shared" ca="1" si="472"/>
        <v>334059.37643705012</v>
      </c>
      <c r="AO657" s="358">
        <f t="shared" ca="1" si="472"/>
        <v>349314.06440003065</v>
      </c>
      <c r="AP657" s="358">
        <f t="shared" ca="1" si="472"/>
        <v>366818.44058535231</v>
      </c>
      <c r="AQ657" s="358">
        <f t="shared" ca="1" si="472"/>
        <v>385478.50836981251</v>
      </c>
      <c r="AR657" s="358">
        <f t="shared" ca="1" si="472"/>
        <v>405439.80866217898</v>
      </c>
      <c r="AS657" s="358">
        <f t="shared" ca="1" si="472"/>
        <v>426859.70222122659</v>
      </c>
      <c r="AT657" s="358">
        <f t="shared" ca="1" si="472"/>
        <v>449905.95761288202</v>
      </c>
      <c r="AV657" s="358">
        <f t="shared" ref="AV657:AV687" ca="1" si="473">SUM(L657:P657)</f>
        <v>172342.67107932965</v>
      </c>
      <c r="AX657" s="358">
        <f t="shared" ref="AX657:AX687" ca="1" si="474">SUM(Q657:U657)</f>
        <v>445540.21529809141</v>
      </c>
      <c r="AZ657" s="358">
        <f t="shared" ref="AZ657:AZ687" ca="1" si="475">SUM(V657:Z657)</f>
        <v>702399.60747858766</v>
      </c>
      <c r="BB657" s="358">
        <f t="shared" ref="BB657:BB687" ca="1" si="476">SUM(AA657:AE657)</f>
        <v>994218.24008257245</v>
      </c>
      <c r="BD657" s="358">
        <f t="shared" ref="BD657:BD687" ca="1" si="477">SUM(AF657:AJ657)</f>
        <v>1291585.3929746563</v>
      </c>
      <c r="BF657" s="358">
        <f t="shared" ref="BF657:BF687" ca="1" si="478">SUM(AK657:AO657)</f>
        <v>1608856.6886789631</v>
      </c>
      <c r="BH657" s="358">
        <f t="shared" ref="BH657:BH687" ca="1" si="479">SUM(AP657:AT657)</f>
        <v>2034502.4174514525</v>
      </c>
    </row>
    <row r="658" spans="1:60" hidden="1" outlineLevel="1">
      <c r="A658" s="1464">
        <f ca="1">A657</f>
        <v>18</v>
      </c>
      <c r="B658" s="1464">
        <f ca="1">B657</f>
        <v>23</v>
      </c>
      <c r="C658" s="1464">
        <f>C657+1</f>
        <v>2</v>
      </c>
      <c r="D658" s="1271" t="str">
        <f ca="1">IF(OFFSET(PortfolioDashboard!$A$3,C658-1,0)="","Blank",OFFSET(PortfolioDashboard!$A$3,C658-1,0))</f>
        <v>Building Design &amp; Construction Standards</v>
      </c>
      <c r="E658" s="1464" t="str">
        <f>E657</f>
        <v>2010$</v>
      </c>
      <c r="F658" s="1460">
        <f t="shared" ca="1" si="410"/>
        <v>6813058.1047312561</v>
      </c>
      <c r="G658" s="358">
        <f t="shared" ca="1" si="469"/>
        <v>0</v>
      </c>
      <c r="H658" s="358">
        <f t="shared" ca="1" si="469"/>
        <v>0</v>
      </c>
      <c r="I658" s="358">
        <f t="shared" ca="1" si="469"/>
        <v>0</v>
      </c>
      <c r="J658" s="358">
        <f t="shared" ca="1" si="469"/>
        <v>0</v>
      </c>
      <c r="K658" s="358">
        <f t="shared" ca="1" si="469"/>
        <v>0</v>
      </c>
      <c r="L658" s="358">
        <f t="shared" ca="1" si="469"/>
        <v>73487.263821772271</v>
      </c>
      <c r="M658" s="358">
        <f t="shared" ca="1" si="469"/>
        <v>89816.906834069232</v>
      </c>
      <c r="N658" s="358">
        <f t="shared" ca="1" si="469"/>
        <v>108087.76577715263</v>
      </c>
      <c r="O658" s="358">
        <f t="shared" ca="1" si="469"/>
        <v>128379.44704642137</v>
      </c>
      <c r="P658" s="358">
        <f t="shared" ca="1" si="469"/>
        <v>150768.15523207784</v>
      </c>
      <c r="Q658" s="358">
        <f t="shared" ca="1" si="470"/>
        <v>175326.70979346914</v>
      </c>
      <c r="R658" s="358">
        <f t="shared" ca="1" si="470"/>
        <v>204278.39830349787</v>
      </c>
      <c r="S658" s="358">
        <f t="shared" ca="1" si="470"/>
        <v>235932.08092468753</v>
      </c>
      <c r="T658" s="358">
        <f t="shared" ca="1" si="470"/>
        <v>270364.93831232237</v>
      </c>
      <c r="U658" s="358">
        <f t="shared" ca="1" si="470"/>
        <v>307648.88781283196</v>
      </c>
      <c r="V658" s="358">
        <f t="shared" ca="1" si="470"/>
        <v>347850.59107927594</v>
      </c>
      <c r="W658" s="358">
        <f t="shared" ca="1" si="470"/>
        <v>394013.93525231071</v>
      </c>
      <c r="X658" s="358">
        <f t="shared" ca="1" si="470"/>
        <v>443675.31030509446</v>
      </c>
      <c r="Y658" s="358">
        <f t="shared" ca="1" si="470"/>
        <v>496899.95826281962</v>
      </c>
      <c r="Z658" s="358">
        <f t="shared" ca="1" si="470"/>
        <v>553746.30846772087</v>
      </c>
      <c r="AA658" s="358">
        <f t="shared" ca="1" si="471"/>
        <v>614265.97885240603</v>
      </c>
      <c r="AB658" s="358">
        <f t="shared" ca="1" si="471"/>
        <v>683845.84736944898</v>
      </c>
      <c r="AC658" s="358">
        <f t="shared" ca="1" si="471"/>
        <v>757823.27502777812</v>
      </c>
      <c r="AD658" s="358">
        <f t="shared" ca="1" si="471"/>
        <v>829399.52198487974</v>
      </c>
      <c r="AE658" s="358">
        <f t="shared" ca="1" si="471"/>
        <v>897801.48089181597</v>
      </c>
      <c r="AF658" s="358">
        <f t="shared" ca="1" si="471"/>
        <v>969689.35155097651</v>
      </c>
      <c r="AG658" s="358">
        <f t="shared" ca="1" si="471"/>
        <v>1052263.9779986974</v>
      </c>
      <c r="AH658" s="358">
        <f t="shared" ca="1" si="471"/>
        <v>1137645.7230835902</v>
      </c>
      <c r="AI658" s="358">
        <f t="shared" ca="1" si="471"/>
        <v>1225665.7271711442</v>
      </c>
      <c r="AJ658" s="358">
        <f t="shared" ca="1" si="471"/>
        <v>1316168.2700211494</v>
      </c>
      <c r="AK658" s="358">
        <f t="shared" ca="1" si="472"/>
        <v>1412623.1423385399</v>
      </c>
      <c r="AL658" s="358">
        <f t="shared" ca="1" si="472"/>
        <v>1510209.914541946</v>
      </c>
      <c r="AM658" s="358">
        <f t="shared" ca="1" si="472"/>
        <v>1608355.4034412066</v>
      </c>
      <c r="AN658" s="358">
        <f t="shared" ca="1" si="472"/>
        <v>1717349.5514637427</v>
      </c>
      <c r="AO658" s="358">
        <f t="shared" ca="1" si="472"/>
        <v>1839387.1682524015</v>
      </c>
      <c r="AP658" s="358">
        <f t="shared" ca="1" si="472"/>
        <v>1977540.7428852944</v>
      </c>
      <c r="AQ658" s="358">
        <f t="shared" ca="1" si="472"/>
        <v>2126646.4081364316</v>
      </c>
      <c r="AR658" s="358">
        <f t="shared" ca="1" si="472"/>
        <v>2287989.1012910986</v>
      </c>
      <c r="AS658" s="358">
        <f t="shared" ca="1" si="472"/>
        <v>2462999.2039601761</v>
      </c>
      <c r="AT658" s="358">
        <f t="shared" ca="1" si="472"/>
        <v>2653252.4562896597</v>
      </c>
      <c r="AV658" s="358">
        <f t="shared" ca="1" si="473"/>
        <v>550539.53871149337</v>
      </c>
      <c r="AX658" s="358">
        <f t="shared" ca="1" si="474"/>
        <v>1193551.0151468089</v>
      </c>
      <c r="AZ658" s="358">
        <f t="shared" ca="1" si="475"/>
        <v>2236186.1033672215</v>
      </c>
      <c r="BB658" s="358">
        <f t="shared" ca="1" si="476"/>
        <v>3783136.1041263286</v>
      </c>
      <c r="BD658" s="358">
        <f t="shared" ca="1" si="477"/>
        <v>5701433.0498255584</v>
      </c>
      <c r="BF658" s="358">
        <f t="shared" ca="1" si="478"/>
        <v>8087925.1800378375</v>
      </c>
      <c r="BH658" s="358">
        <f t="shared" ca="1" si="479"/>
        <v>11508427.912562661</v>
      </c>
    </row>
    <row r="659" spans="1:60" hidden="1" outlineLevel="1">
      <c r="A659" s="1464">
        <f t="shared" ref="A659:A686" ca="1" si="480">A658</f>
        <v>18</v>
      </c>
      <c r="B659" s="1464">
        <f t="shared" ref="B659:B686" ca="1" si="481">B658</f>
        <v>23</v>
      </c>
      <c r="C659" s="1464">
        <f t="shared" ref="C659:C686" si="482">C658+1</f>
        <v>3</v>
      </c>
      <c r="D659" s="1271" t="str">
        <f ca="1">IF(OFFSET(PortfolioDashboard!$A$3,C659-1,0)="","Blank",OFFSET(PortfolioDashboard!$A$3,C659-1,0))</f>
        <v>Space Planning &amp; Management</v>
      </c>
      <c r="E659" s="1464" t="str">
        <f t="shared" ref="E659:E686" si="483">E658</f>
        <v>2010$</v>
      </c>
      <c r="F659" s="1460">
        <f t="shared" ca="1" si="410"/>
        <v>21886802.898574583</v>
      </c>
      <c r="G659" s="358">
        <f t="shared" ca="1" si="469"/>
        <v>0</v>
      </c>
      <c r="H659" s="358">
        <f t="shared" ca="1" si="469"/>
        <v>0</v>
      </c>
      <c r="I659" s="358">
        <f t="shared" ca="1" si="469"/>
        <v>0</v>
      </c>
      <c r="J659" s="358">
        <f t="shared" ca="1" si="469"/>
        <v>0</v>
      </c>
      <c r="K659" s="358">
        <f t="shared" ca="1" si="469"/>
        <v>0</v>
      </c>
      <c r="L659" s="358">
        <f t="shared" ca="1" si="469"/>
        <v>122735.47540132786</v>
      </c>
      <c r="M659" s="358">
        <f t="shared" ca="1" si="469"/>
        <v>165286.39221349719</v>
      </c>
      <c r="N659" s="358">
        <f t="shared" ca="1" si="469"/>
        <v>215327.83163209885</v>
      </c>
      <c r="O659" s="358">
        <f t="shared" ca="1" si="469"/>
        <v>273260.35848172446</v>
      </c>
      <c r="P659" s="358">
        <f t="shared" ca="1" si="469"/>
        <v>339466.76456672506</v>
      </c>
      <c r="Q659" s="358">
        <f t="shared" ca="1" si="470"/>
        <v>414312.31830958859</v>
      </c>
      <c r="R659" s="358">
        <f t="shared" ca="1" si="470"/>
        <v>503453.23689434386</v>
      </c>
      <c r="S659" s="358">
        <f t="shared" ca="1" si="470"/>
        <v>603325.55533471052</v>
      </c>
      <c r="T659" s="358">
        <f t="shared" ca="1" si="470"/>
        <v>714332.44540090126</v>
      </c>
      <c r="U659" s="358">
        <f t="shared" ca="1" si="470"/>
        <v>836851.06893244968</v>
      </c>
      <c r="V659" s="358">
        <f t="shared" ca="1" si="470"/>
        <v>971232.80989693839</v>
      </c>
      <c r="W659" s="358">
        <f t="shared" ca="1" si="470"/>
        <v>1126329.2047873025</v>
      </c>
      <c r="X659" s="358">
        <f t="shared" ca="1" si="470"/>
        <v>1295633.8046212837</v>
      </c>
      <c r="Y659" s="358">
        <f t="shared" ca="1" si="470"/>
        <v>1479504.7558076496</v>
      </c>
      <c r="Z659" s="358">
        <f t="shared" ca="1" si="470"/>
        <v>1678267.6250978755</v>
      </c>
      <c r="AA659" s="358">
        <f t="shared" ca="1" si="471"/>
        <v>1892215.6061981767</v>
      </c>
      <c r="AB659" s="358">
        <f t="shared" ca="1" si="471"/>
        <v>2138313.8061876986</v>
      </c>
      <c r="AC659" s="358">
        <f t="shared" ca="1" si="471"/>
        <v>2402585.3162595769</v>
      </c>
      <c r="AD659" s="358">
        <f t="shared" ca="1" si="471"/>
        <v>2663330.5192886963</v>
      </c>
      <c r="AE659" s="358">
        <f t="shared" ca="1" si="471"/>
        <v>2917369.2472353484</v>
      </c>
      <c r="AF659" s="358">
        <f t="shared" ca="1" si="471"/>
        <v>3185908.3772368035</v>
      </c>
      <c r="AG659" s="358">
        <f t="shared" ca="1" si="471"/>
        <v>3492929.7498865351</v>
      </c>
      <c r="AH659" s="358">
        <f t="shared" ca="1" si="471"/>
        <v>3812785.1651424663</v>
      </c>
      <c r="AI659" s="358">
        <f t="shared" ca="1" si="471"/>
        <v>4144862.6693947506</v>
      </c>
      <c r="AJ659" s="358">
        <f t="shared" ca="1" si="471"/>
        <v>4488578.2646077331</v>
      </c>
      <c r="AK659" s="358">
        <f t="shared" ca="1" si="472"/>
        <v>4855797.3180808295</v>
      </c>
      <c r="AL659" s="358">
        <f t="shared" ca="1" si="472"/>
        <v>5230036.4075893108</v>
      </c>
      <c r="AM659" s="358">
        <f t="shared" ca="1" si="472"/>
        <v>5609131.323392407</v>
      </c>
      <c r="AN659" s="358">
        <f t="shared" ca="1" si="472"/>
        <v>6029016.3722301759</v>
      </c>
      <c r="AO659" s="358">
        <f t="shared" ca="1" si="472"/>
        <v>6497952.0036616335</v>
      </c>
      <c r="AP659" s="358">
        <f t="shared" ca="1" si="472"/>
        <v>7027451.5087957187</v>
      </c>
      <c r="AQ659" s="358">
        <f t="shared" ca="1" si="472"/>
        <v>7599782.4662880013</v>
      </c>
      <c r="AR659" s="358">
        <f t="shared" ca="1" si="472"/>
        <v>8219918.8314336129</v>
      </c>
      <c r="AS659" s="358">
        <f t="shared" ca="1" si="472"/>
        <v>8893418.7346112933</v>
      </c>
      <c r="AT659" s="358">
        <f t="shared" ca="1" si="472"/>
        <v>9626429.9058348089</v>
      </c>
      <c r="AV659" s="358">
        <f t="shared" ca="1" si="473"/>
        <v>1116076.8222953735</v>
      </c>
      <c r="AX659" s="358">
        <f t="shared" ca="1" si="474"/>
        <v>3072274.6248719934</v>
      </c>
      <c r="AZ659" s="358">
        <f t="shared" ca="1" si="475"/>
        <v>6550968.2002110491</v>
      </c>
      <c r="BB659" s="358">
        <f t="shared" ca="1" si="476"/>
        <v>12013814.495169496</v>
      </c>
      <c r="BD659" s="358">
        <f t="shared" ca="1" si="477"/>
        <v>19125064.226268291</v>
      </c>
      <c r="BF659" s="358">
        <f t="shared" ca="1" si="478"/>
        <v>28221933.424954355</v>
      </c>
      <c r="BH659" s="358">
        <f t="shared" ca="1" si="479"/>
        <v>41367001.446963437</v>
      </c>
    </row>
    <row r="660" spans="1:60" hidden="1" outlineLevel="1">
      <c r="A660" s="1464">
        <f t="shared" ca="1" si="480"/>
        <v>18</v>
      </c>
      <c r="B660" s="1464">
        <f t="shared" ca="1" si="481"/>
        <v>23</v>
      </c>
      <c r="C660" s="1464">
        <f t="shared" si="482"/>
        <v>4</v>
      </c>
      <c r="D660" s="1271" t="str">
        <f ca="1">IF(OFFSET(PortfolioDashboard!$A$3,C660-1,0)="","Blank",OFFSET(PortfolioDashboard!$A$3,C660-1,0))</f>
        <v>Central Chiller Expansion</v>
      </c>
      <c r="E660" s="1464" t="str">
        <f t="shared" si="483"/>
        <v>2010$</v>
      </c>
      <c r="F660" s="1460">
        <f t="shared" ca="1" si="410"/>
        <v>2371417.3732633032</v>
      </c>
      <c r="G660" s="358">
        <f t="shared" ca="1" si="469"/>
        <v>0</v>
      </c>
      <c r="H660" s="358">
        <f t="shared" ca="1" si="469"/>
        <v>0</v>
      </c>
      <c r="I660" s="358">
        <f t="shared" ca="1" si="469"/>
        <v>0</v>
      </c>
      <c r="J660" s="358">
        <f t="shared" ca="1" si="469"/>
        <v>0</v>
      </c>
      <c r="K660" s="358">
        <f t="shared" ca="1" si="469"/>
        <v>0</v>
      </c>
      <c r="L660" s="358">
        <f t="shared" ca="1" si="469"/>
        <v>41243.715550787223</v>
      </c>
      <c r="M660" s="358">
        <f t="shared" ca="1" si="469"/>
        <v>55317.803067885754</v>
      </c>
      <c r="N660" s="358">
        <f t="shared" ca="1" si="469"/>
        <v>63735.173812197834</v>
      </c>
      <c r="O660" s="358">
        <f t="shared" ca="1" si="469"/>
        <v>72660.29111211632</v>
      </c>
      <c r="P660" s="358">
        <f t="shared" ca="1" si="469"/>
        <v>82093.013350032998</v>
      </c>
      <c r="Q660" s="358">
        <f t="shared" ca="1" si="470"/>
        <v>92032.86301170908</v>
      </c>
      <c r="R660" s="358">
        <f t="shared" ca="1" si="470"/>
        <v>103571.04851356204</v>
      </c>
      <c r="S660" s="358">
        <f t="shared" ca="1" si="470"/>
        <v>115738.1058966859</v>
      </c>
      <c r="T660" s="358">
        <f t="shared" ca="1" si="470"/>
        <v>128529.72581900941</v>
      </c>
      <c r="U660" s="358">
        <f t="shared" ca="1" si="470"/>
        <v>141941.04375809454</v>
      </c>
      <c r="V660" s="358">
        <f t="shared" ca="1" si="470"/>
        <v>155966.64609520053</v>
      </c>
      <c r="W660" s="358">
        <f t="shared" ca="1" si="470"/>
        <v>171901.7789107775</v>
      </c>
      <c r="X660" s="358">
        <f t="shared" ca="1" si="470"/>
        <v>188568.16696599306</v>
      </c>
      <c r="Y660" s="358">
        <f t="shared" ca="1" si="470"/>
        <v>205956.69670166046</v>
      </c>
      <c r="Z660" s="358">
        <f t="shared" ca="1" si="470"/>
        <v>224057.53142522086</v>
      </c>
      <c r="AA660" s="358">
        <f t="shared" ca="1" si="471"/>
        <v>242860.11467141582</v>
      </c>
      <c r="AB660" s="358">
        <f t="shared" ca="1" si="471"/>
        <v>261971.24836418717</v>
      </c>
      <c r="AC660" s="358">
        <f t="shared" ca="1" si="471"/>
        <v>281550.20825438743</v>
      </c>
      <c r="AD660" s="358">
        <f t="shared" ca="1" si="471"/>
        <v>299101.57122325705</v>
      </c>
      <c r="AE660" s="358">
        <f t="shared" ca="1" si="471"/>
        <v>314525.79039373831</v>
      </c>
      <c r="AF660" s="358">
        <f t="shared" ca="1" si="471"/>
        <v>330266.71316646546</v>
      </c>
      <c r="AG660" s="358">
        <f t="shared" ca="1" si="471"/>
        <v>348683.14734241267</v>
      </c>
      <c r="AH660" s="358">
        <f t="shared" ca="1" si="471"/>
        <v>367019.52966835676</v>
      </c>
      <c r="AI660" s="358">
        <f t="shared" ca="1" si="471"/>
        <v>385227.26585105283</v>
      </c>
      <c r="AJ660" s="358">
        <f t="shared" ca="1" si="471"/>
        <v>403266.75244536728</v>
      </c>
      <c r="AK660" s="358">
        <f t="shared" ca="1" si="472"/>
        <v>422185.90262014099</v>
      </c>
      <c r="AL660" s="358">
        <f t="shared" ca="1" si="472"/>
        <v>440513.88733079209</v>
      </c>
      <c r="AM660" s="358">
        <f t="shared" ca="1" si="472"/>
        <v>458127.68633416953</v>
      </c>
      <c r="AN660" s="358">
        <f t="shared" ca="1" si="472"/>
        <v>477938.94064013439</v>
      </c>
      <c r="AO660" s="358">
        <f t="shared" ca="1" si="472"/>
        <v>500395.41907467245</v>
      </c>
      <c r="AP660" s="358">
        <f t="shared" ca="1" si="472"/>
        <v>526138.67555509985</v>
      </c>
      <c r="AQ660" s="358">
        <f t="shared" ca="1" si="472"/>
        <v>553610.4862224916</v>
      </c>
      <c r="AR660" s="358">
        <f t="shared" ca="1" si="472"/>
        <v>583027.18186560099</v>
      </c>
      <c r="AS660" s="358">
        <f t="shared" ca="1" si="472"/>
        <v>614623.27778147988</v>
      </c>
      <c r="AT660" s="358">
        <f t="shared" ca="1" si="472"/>
        <v>648649.56622989138</v>
      </c>
      <c r="AV660" s="358">
        <f t="shared" ca="1" si="473"/>
        <v>315049.99689302011</v>
      </c>
      <c r="AX660" s="358">
        <f t="shared" ca="1" si="474"/>
        <v>581812.78699906101</v>
      </c>
      <c r="AZ660" s="358">
        <f t="shared" ca="1" si="475"/>
        <v>946450.82009885251</v>
      </c>
      <c r="BB660" s="358">
        <f t="shared" ca="1" si="476"/>
        <v>1400008.9329069857</v>
      </c>
      <c r="BD660" s="358">
        <f t="shared" ca="1" si="477"/>
        <v>1834463.4084736551</v>
      </c>
      <c r="BF660" s="358">
        <f t="shared" ca="1" si="478"/>
        <v>2299161.8359999093</v>
      </c>
      <c r="BH660" s="358">
        <f t="shared" ca="1" si="479"/>
        <v>2926049.1876545637</v>
      </c>
    </row>
    <row r="661" spans="1:60" hidden="1" outlineLevel="1">
      <c r="A661" s="1464">
        <f t="shared" ca="1" si="480"/>
        <v>18</v>
      </c>
      <c r="B661" s="1464">
        <f t="shared" ca="1" si="481"/>
        <v>23</v>
      </c>
      <c r="C661" s="1464">
        <f t="shared" si="482"/>
        <v>5</v>
      </c>
      <c r="D661" s="1271" t="str">
        <f ca="1">IF(OFFSET(PortfolioDashboard!$A$3,C661-1,0)="","Blank",OFFSET(PortfolioDashboard!$A$3,C661-1,0))</f>
        <v>Short-term Energy Conservation Measures</v>
      </c>
      <c r="E661" s="1464" t="str">
        <f t="shared" si="483"/>
        <v>2010$</v>
      </c>
      <c r="F661" s="1460">
        <f t="shared" ref="F661:F718" ca="1" si="484">NPV(DiscountRate,G661:AT661)</f>
        <v>6161159.3489328222</v>
      </c>
      <c r="G661" s="358">
        <f t="shared" ca="1" si="469"/>
        <v>0</v>
      </c>
      <c r="H661" s="358">
        <f t="shared" ca="1" si="469"/>
        <v>0</v>
      </c>
      <c r="I661" s="358">
        <f t="shared" ca="1" si="469"/>
        <v>0</v>
      </c>
      <c r="J661" s="358">
        <f t="shared" ca="1" si="469"/>
        <v>0</v>
      </c>
      <c r="K661" s="358">
        <f t="shared" ca="1" si="469"/>
        <v>0</v>
      </c>
      <c r="L661" s="358">
        <f t="shared" ca="1" si="469"/>
        <v>139422.98218556857</v>
      </c>
      <c r="M661" s="358">
        <f t="shared" ca="1" si="469"/>
        <v>160936.50633664211</v>
      </c>
      <c r="N661" s="358">
        <f t="shared" ca="1" si="469"/>
        <v>183453.36791705477</v>
      </c>
      <c r="O661" s="358">
        <f t="shared" ca="1" si="469"/>
        <v>206942.47238103967</v>
      </c>
      <c r="P661" s="358">
        <f t="shared" ca="1" si="469"/>
        <v>231373.04930307259</v>
      </c>
      <c r="Q661" s="358">
        <f t="shared" ca="1" si="470"/>
        <v>256714.6597304951</v>
      </c>
      <c r="R661" s="358">
        <f t="shared" ca="1" si="470"/>
        <v>285952.17254532914</v>
      </c>
      <c r="S661" s="358">
        <f t="shared" ca="1" si="470"/>
        <v>316317.97964177968</v>
      </c>
      <c r="T661" s="358">
        <f t="shared" ca="1" si="470"/>
        <v>347766.584369622</v>
      </c>
      <c r="U661" s="358">
        <f t="shared" ca="1" si="470"/>
        <v>380252.80398915778</v>
      </c>
      <c r="V661" s="358">
        <f t="shared" ca="1" si="470"/>
        <v>413731.77042799263</v>
      </c>
      <c r="W661" s="358">
        <f t="shared" ca="1" si="470"/>
        <v>451577.1235295001</v>
      </c>
      <c r="X661" s="358">
        <f t="shared" ca="1" si="470"/>
        <v>490597.43666901661</v>
      </c>
      <c r="Y661" s="358">
        <f t="shared" ca="1" si="470"/>
        <v>530735.66598908568</v>
      </c>
      <c r="Z661" s="358">
        <f t="shared" ca="1" si="470"/>
        <v>571935.07361631049</v>
      </c>
      <c r="AA661" s="358">
        <f t="shared" ca="1" si="471"/>
        <v>614139.22186619951</v>
      </c>
      <c r="AB661" s="358">
        <f t="shared" ca="1" si="471"/>
        <v>662467.02897005144</v>
      </c>
      <c r="AC661" s="358">
        <f t="shared" ca="1" si="471"/>
        <v>711977.86449026689</v>
      </c>
      <c r="AD661" s="358">
        <f t="shared" ca="1" si="471"/>
        <v>756361.35830100044</v>
      </c>
      <c r="AE661" s="358">
        <f t="shared" ca="1" si="471"/>
        <v>795365.77848777873</v>
      </c>
      <c r="AF661" s="358">
        <f t="shared" ca="1" si="471"/>
        <v>835171.07165490894</v>
      </c>
      <c r="AG661" s="358">
        <f t="shared" ca="1" si="471"/>
        <v>881742.13817058131</v>
      </c>
      <c r="AH661" s="358">
        <f t="shared" ca="1" si="471"/>
        <v>928110.77135982446</v>
      </c>
      <c r="AI661" s="358">
        <f t="shared" ca="1" si="471"/>
        <v>974154.08706160262</v>
      </c>
      <c r="AJ661" s="358">
        <f t="shared" ca="1" si="471"/>
        <v>1019771.9369703343</v>
      </c>
      <c r="AK661" s="358">
        <f t="shared" ca="1" si="472"/>
        <v>1067614.2604511806</v>
      </c>
      <c r="AL661" s="358">
        <f t="shared" ca="1" si="472"/>
        <v>1113961.6579388408</v>
      </c>
      <c r="AM661" s="358">
        <f t="shared" ca="1" si="472"/>
        <v>1158503.0385960864</v>
      </c>
      <c r="AN661" s="358">
        <f t="shared" ca="1" si="472"/>
        <v>1208601.2950352721</v>
      </c>
      <c r="AO661" s="358">
        <f t="shared" ca="1" si="472"/>
        <v>1265388.7350408151</v>
      </c>
      <c r="AP661" s="358">
        <f t="shared" ca="1" si="472"/>
        <v>1330487.7057984557</v>
      </c>
      <c r="AQ661" s="358">
        <f t="shared" ca="1" si="472"/>
        <v>1399957.8056926038</v>
      </c>
      <c r="AR661" s="358">
        <f t="shared" ca="1" si="472"/>
        <v>1474346.0871795693</v>
      </c>
      <c r="AS661" s="358">
        <f t="shared" ca="1" si="472"/>
        <v>1554245.5872932104</v>
      </c>
      <c r="AT661" s="358">
        <f t="shared" ca="1" si="472"/>
        <v>1640290.5038863502</v>
      </c>
      <c r="AV661" s="358">
        <f t="shared" ca="1" si="473"/>
        <v>922128.37812337768</v>
      </c>
      <c r="AX661" s="358">
        <f t="shared" ca="1" si="474"/>
        <v>1587004.2002763837</v>
      </c>
      <c r="AZ661" s="358">
        <f t="shared" ca="1" si="475"/>
        <v>2458577.0702319052</v>
      </c>
      <c r="BB661" s="358">
        <f t="shared" ca="1" si="476"/>
        <v>3540311.2521152967</v>
      </c>
      <c r="BD661" s="358">
        <f t="shared" ca="1" si="477"/>
        <v>4638950.0052172514</v>
      </c>
      <c r="BF661" s="358">
        <f t="shared" ca="1" si="478"/>
        <v>5814068.9870621953</v>
      </c>
      <c r="BH661" s="358">
        <f t="shared" ca="1" si="479"/>
        <v>7399327.6898501897</v>
      </c>
    </row>
    <row r="662" spans="1:60" hidden="1" outlineLevel="1">
      <c r="A662" s="1464">
        <f t="shared" ca="1" si="480"/>
        <v>18</v>
      </c>
      <c r="B662" s="1464">
        <f t="shared" ca="1" si="481"/>
        <v>23</v>
      </c>
      <c r="C662" s="1464">
        <f t="shared" si="482"/>
        <v>6</v>
      </c>
      <c r="D662" s="1271" t="str">
        <f ca="1">IF(OFFSET(PortfolioDashboard!$A$3,C662-1,0)="","Blank",OFFSET(PortfolioDashboard!$A$3,C662-1,0))</f>
        <v>Mid-term Energy Conservation Measures</v>
      </c>
      <c r="E662" s="1464" t="str">
        <f t="shared" si="483"/>
        <v>2010$</v>
      </c>
      <c r="F662" s="1460">
        <f t="shared" ca="1" si="484"/>
        <v>5416909.234040617</v>
      </c>
      <c r="G662" s="358">
        <f t="shared" ca="1" si="469"/>
        <v>0</v>
      </c>
      <c r="H662" s="358">
        <f t="shared" ca="1" si="469"/>
        <v>0</v>
      </c>
      <c r="I662" s="358">
        <f t="shared" ca="1" si="469"/>
        <v>0</v>
      </c>
      <c r="J662" s="358">
        <f t="shared" ca="1" si="469"/>
        <v>0</v>
      </c>
      <c r="K662" s="358">
        <f t="shared" ca="1" si="469"/>
        <v>0</v>
      </c>
      <c r="L662" s="358">
        <f t="shared" ca="1" si="469"/>
        <v>0</v>
      </c>
      <c r="M662" s="358">
        <f t="shared" ca="1" si="469"/>
        <v>19388.416491967022</v>
      </c>
      <c r="N662" s="358">
        <f t="shared" ca="1" si="469"/>
        <v>44202.156303676245</v>
      </c>
      <c r="O662" s="358">
        <f t="shared" ca="1" si="469"/>
        <v>74792.60490484738</v>
      </c>
      <c r="P662" s="358">
        <f t="shared" ca="1" si="469"/>
        <v>111496.31981002005</v>
      </c>
      <c r="Q662" s="358">
        <f t="shared" ca="1" si="470"/>
        <v>154635.23024530828</v>
      </c>
      <c r="R662" s="358">
        <f t="shared" ca="1" si="470"/>
        <v>206696.16649293559</v>
      </c>
      <c r="S662" s="358">
        <f t="shared" ca="1" si="470"/>
        <v>266753.23150451784</v>
      </c>
      <c r="T662" s="358">
        <f t="shared" ca="1" si="470"/>
        <v>335170.36168999283</v>
      </c>
      <c r="U662" s="358">
        <f t="shared" ca="1" si="470"/>
        <v>366479.91950607003</v>
      </c>
      <c r="V662" s="358">
        <f t="shared" ca="1" si="470"/>
        <v>398746.26651767665</v>
      </c>
      <c r="W662" s="358">
        <f t="shared" ca="1" si="470"/>
        <v>435220.84819811763</v>
      </c>
      <c r="X662" s="358">
        <f t="shared" ca="1" si="470"/>
        <v>472827.83246871718</v>
      </c>
      <c r="Y662" s="358">
        <f t="shared" ca="1" si="470"/>
        <v>511512.24161972647</v>
      </c>
      <c r="Z662" s="358">
        <f t="shared" ca="1" si="470"/>
        <v>551219.39284261037</v>
      </c>
      <c r="AA662" s="358">
        <f t="shared" ca="1" si="471"/>
        <v>591894.89264479617</v>
      </c>
      <c r="AB662" s="358">
        <f t="shared" ca="1" si="471"/>
        <v>638472.25031716586</v>
      </c>
      <c r="AC662" s="358">
        <f t="shared" ca="1" si="471"/>
        <v>686189.78671867051</v>
      </c>
      <c r="AD662" s="358">
        <f t="shared" ca="1" si="471"/>
        <v>728965.6954523233</v>
      </c>
      <c r="AE662" s="358">
        <f t="shared" ca="1" si="471"/>
        <v>766557.36241827952</v>
      </c>
      <c r="AF662" s="358">
        <f t="shared" ca="1" si="471"/>
        <v>804920.89447581396</v>
      </c>
      <c r="AG662" s="358">
        <f t="shared" ca="1" si="471"/>
        <v>849805.14129510126</v>
      </c>
      <c r="AH662" s="358">
        <f t="shared" ca="1" si="471"/>
        <v>894494.2869911443</v>
      </c>
      <c r="AI662" s="358">
        <f t="shared" ca="1" si="471"/>
        <v>938869.89830855955</v>
      </c>
      <c r="AJ662" s="358">
        <f t="shared" ca="1" si="471"/>
        <v>982835.45434708556</v>
      </c>
      <c r="AK662" s="358">
        <f t="shared" ca="1" si="472"/>
        <v>1028944.9127765988</v>
      </c>
      <c r="AL662" s="358">
        <f t="shared" ca="1" si="472"/>
        <v>1073613.5919353142</v>
      </c>
      <c r="AM662" s="358">
        <f t="shared" ca="1" si="472"/>
        <v>1116541.6688007831</v>
      </c>
      <c r="AN662" s="358">
        <f t="shared" ca="1" si="472"/>
        <v>1164825.3495379558</v>
      </c>
      <c r="AO662" s="358">
        <f t="shared" ca="1" si="472"/>
        <v>1219555.9293623732</v>
      </c>
      <c r="AP662" s="358">
        <f t="shared" ca="1" si="472"/>
        <v>1282296.9934989267</v>
      </c>
      <c r="AQ662" s="358">
        <f t="shared" ca="1" si="472"/>
        <v>1349250.863004152</v>
      </c>
      <c r="AR662" s="358">
        <f t="shared" ca="1" si="472"/>
        <v>1420944.7759103547</v>
      </c>
      <c r="AS662" s="358">
        <f t="shared" ca="1" si="472"/>
        <v>1497950.2892505201</v>
      </c>
      <c r="AT662" s="358">
        <f t="shared" ca="1" si="472"/>
        <v>1580878.630017889</v>
      </c>
      <c r="AV662" s="358">
        <f t="shared" ca="1" si="473"/>
        <v>249879.49751051067</v>
      </c>
      <c r="AX662" s="358">
        <f t="shared" ca="1" si="474"/>
        <v>1329734.9094388245</v>
      </c>
      <c r="AZ662" s="358">
        <f t="shared" ca="1" si="475"/>
        <v>2369526.5816468485</v>
      </c>
      <c r="BB662" s="358">
        <f t="shared" ca="1" si="476"/>
        <v>3412079.9875512356</v>
      </c>
      <c r="BD662" s="358">
        <f t="shared" ca="1" si="477"/>
        <v>4470925.6754177045</v>
      </c>
      <c r="BF662" s="358">
        <f t="shared" ca="1" si="478"/>
        <v>5603481.4524130253</v>
      </c>
      <c r="BH662" s="358">
        <f t="shared" ca="1" si="479"/>
        <v>7131321.5516818417</v>
      </c>
    </row>
    <row r="663" spans="1:60" hidden="1" outlineLevel="1">
      <c r="A663" s="1464">
        <f t="shared" ca="1" si="480"/>
        <v>18</v>
      </c>
      <c r="B663" s="1464">
        <f t="shared" ca="1" si="481"/>
        <v>23</v>
      </c>
      <c r="C663" s="1464">
        <f t="shared" si="482"/>
        <v>7</v>
      </c>
      <c r="D663" s="1271" t="str">
        <f ca="1">IF(OFFSET(PortfolioDashboard!$A$3,C663-1,0)="","Blank",OFFSET(PortfolioDashboard!$A$3,C663-1,0))</f>
        <v>Long-term Energy Conservation Measures</v>
      </c>
      <c r="E663" s="1464" t="str">
        <f t="shared" si="483"/>
        <v>2010$</v>
      </c>
      <c r="F663" s="1460">
        <f t="shared" ca="1" si="484"/>
        <v>3054066.3958560647</v>
      </c>
      <c r="G663" s="358">
        <f t="shared" ca="1" si="469"/>
        <v>0</v>
      </c>
      <c r="H663" s="358">
        <f t="shared" ca="1" si="469"/>
        <v>0</v>
      </c>
      <c r="I663" s="358">
        <f t="shared" ca="1" si="469"/>
        <v>0</v>
      </c>
      <c r="J663" s="358">
        <f t="shared" ca="1" si="469"/>
        <v>0</v>
      </c>
      <c r="K663" s="358">
        <f t="shared" ca="1" si="469"/>
        <v>0</v>
      </c>
      <c r="L663" s="358">
        <f t="shared" ca="1" si="469"/>
        <v>0</v>
      </c>
      <c r="M663" s="358">
        <f t="shared" ca="1" si="469"/>
        <v>0</v>
      </c>
      <c r="N663" s="358">
        <f t="shared" ca="1" si="469"/>
        <v>0</v>
      </c>
      <c r="O663" s="358">
        <f t="shared" ca="1" si="469"/>
        <v>0</v>
      </c>
      <c r="P663" s="358">
        <f t="shared" ca="1" si="469"/>
        <v>0</v>
      </c>
      <c r="Q663" s="358">
        <f t="shared" ca="1" si="470"/>
        <v>0</v>
      </c>
      <c r="R663" s="358">
        <f t="shared" ca="1" si="470"/>
        <v>0</v>
      </c>
      <c r="S663" s="358">
        <f t="shared" ca="1" si="470"/>
        <v>0</v>
      </c>
      <c r="T663" s="358">
        <f t="shared" ca="1" si="470"/>
        <v>0</v>
      </c>
      <c r="U663" s="358">
        <f t="shared" ca="1" si="470"/>
        <v>27963.259149218313</v>
      </c>
      <c r="V663" s="358">
        <f t="shared" ca="1" si="470"/>
        <v>60850.510993590105</v>
      </c>
      <c r="W663" s="358">
        <f t="shared" ca="1" si="470"/>
        <v>99625.049430068379</v>
      </c>
      <c r="X663" s="358">
        <f t="shared" ca="1" si="470"/>
        <v>144311.39616168712</v>
      </c>
      <c r="Y663" s="358">
        <f t="shared" ca="1" si="470"/>
        <v>195147.79131265712</v>
      </c>
      <c r="Z663" s="358">
        <f t="shared" ca="1" si="470"/>
        <v>252355.83031518414</v>
      </c>
      <c r="AA663" s="358">
        <f t="shared" ca="1" si="471"/>
        <v>316140.57343449432</v>
      </c>
      <c r="AB663" s="358">
        <f t="shared" ca="1" si="471"/>
        <v>389735.18700323295</v>
      </c>
      <c r="AC663" s="358">
        <f t="shared" ca="1" si="471"/>
        <v>471220.70348847302</v>
      </c>
      <c r="AD663" s="358">
        <f t="shared" ca="1" si="471"/>
        <v>556217.55975870998</v>
      </c>
      <c r="AE663" s="358">
        <f t="shared" ca="1" si="471"/>
        <v>584900.86460763309</v>
      </c>
      <c r="AF663" s="358">
        <f t="shared" ca="1" si="471"/>
        <v>614173.12024035712</v>
      </c>
      <c r="AG663" s="358">
        <f t="shared" ca="1" si="471"/>
        <v>648420.8309257559</v>
      </c>
      <c r="AH663" s="358">
        <f t="shared" ca="1" si="471"/>
        <v>682519.67497537984</v>
      </c>
      <c r="AI663" s="358">
        <f t="shared" ca="1" si="471"/>
        <v>716379.28509661916</v>
      </c>
      <c r="AJ663" s="358">
        <f t="shared" ca="1" si="471"/>
        <v>749926.01362684136</v>
      </c>
      <c r="AK663" s="358">
        <f t="shared" ca="1" si="472"/>
        <v>785108.58889678691</v>
      </c>
      <c r="AL663" s="358">
        <f t="shared" ca="1" si="472"/>
        <v>819191.81650860037</v>
      </c>
      <c r="AM663" s="358">
        <f t="shared" ca="1" si="472"/>
        <v>851946.92461341934</v>
      </c>
      <c r="AN663" s="358">
        <f t="shared" ca="1" si="472"/>
        <v>888788.48141553276</v>
      </c>
      <c r="AO663" s="358">
        <f t="shared" ca="1" si="472"/>
        <v>930549.17021615908</v>
      </c>
      <c r="AP663" s="358">
        <f t="shared" ca="1" si="472"/>
        <v>978422.04243553651</v>
      </c>
      <c r="AQ663" s="358">
        <f t="shared" ca="1" si="472"/>
        <v>1029509.3818603244</v>
      </c>
      <c r="AR663" s="358">
        <f t="shared" ca="1" si="472"/>
        <v>1084213.4832124431</v>
      </c>
      <c r="AS663" s="358">
        <f t="shared" ca="1" si="472"/>
        <v>1142970.4576287169</v>
      </c>
      <c r="AT663" s="358">
        <f t="shared" ca="1" si="472"/>
        <v>1206246.6853363095</v>
      </c>
      <c r="AV663" s="358">
        <f t="shared" ca="1" si="473"/>
        <v>0</v>
      </c>
      <c r="AX663" s="358">
        <f t="shared" ca="1" si="474"/>
        <v>27963.259149218313</v>
      </c>
      <c r="AZ663" s="358">
        <f t="shared" ca="1" si="475"/>
        <v>752290.57821318693</v>
      </c>
      <c r="BB663" s="358">
        <f t="shared" ca="1" si="476"/>
        <v>2318214.8882925436</v>
      </c>
      <c r="BD663" s="358">
        <f t="shared" ca="1" si="477"/>
        <v>3411418.9248649534</v>
      </c>
      <c r="BF663" s="358">
        <f t="shared" ca="1" si="478"/>
        <v>4275584.9816504987</v>
      </c>
      <c r="BH663" s="358">
        <f t="shared" ca="1" si="479"/>
        <v>5441362.0504733305</v>
      </c>
    </row>
    <row r="664" spans="1:60" hidden="1" outlineLevel="1">
      <c r="A664" s="1464">
        <f t="shared" ca="1" si="480"/>
        <v>18</v>
      </c>
      <c r="B664" s="1464">
        <f t="shared" ca="1" si="481"/>
        <v>23</v>
      </c>
      <c r="C664" s="1464">
        <f t="shared" si="482"/>
        <v>8</v>
      </c>
      <c r="D664" s="1271" t="str">
        <f ca="1">IF(OFFSET(PortfolioDashboard!$A$3,C664-1,0)="","Blank",OFFSET(PortfolioDashboard!$A$3,C664-1,0))</f>
        <v>Green IT</v>
      </c>
      <c r="E664" s="1464" t="str">
        <f t="shared" si="483"/>
        <v>2010$</v>
      </c>
      <c r="F664" s="1460">
        <f t="shared" ca="1" si="484"/>
        <v>2626853.7435454847</v>
      </c>
      <c r="G664" s="358">
        <f t="shared" ca="1" si="469"/>
        <v>0</v>
      </c>
      <c r="H664" s="358">
        <f t="shared" ca="1" si="469"/>
        <v>0</v>
      </c>
      <c r="I664" s="358">
        <f t="shared" ca="1" si="469"/>
        <v>0</v>
      </c>
      <c r="J664" s="358">
        <f t="shared" ca="1" si="469"/>
        <v>0</v>
      </c>
      <c r="K664" s="358">
        <f t="shared" ca="1" si="469"/>
        <v>0</v>
      </c>
      <c r="L664" s="358">
        <f t="shared" ca="1" si="469"/>
        <v>59443.971815770929</v>
      </c>
      <c r="M664" s="358">
        <f t="shared" ca="1" si="469"/>
        <v>68616.414574111914</v>
      </c>
      <c r="N664" s="358">
        <f t="shared" ca="1" si="469"/>
        <v>78216.637322067254</v>
      </c>
      <c r="O664" s="358">
        <f t="shared" ca="1" si="469"/>
        <v>88231.382680736991</v>
      </c>
      <c r="P664" s="358">
        <f t="shared" ca="1" si="469"/>
        <v>98647.531462172759</v>
      </c>
      <c r="Q664" s="358">
        <f t="shared" ca="1" si="470"/>
        <v>109452.10580422032</v>
      </c>
      <c r="R664" s="358">
        <f t="shared" ca="1" si="470"/>
        <v>121917.72560723824</v>
      </c>
      <c r="S664" s="358">
        <f t="shared" ca="1" si="470"/>
        <v>134864.40163516917</v>
      </c>
      <c r="T664" s="358">
        <f t="shared" ca="1" si="470"/>
        <v>148272.73607029844</v>
      </c>
      <c r="U664" s="358">
        <f t="shared" ca="1" si="470"/>
        <v>162123.46493287844</v>
      </c>
      <c r="V664" s="358">
        <f t="shared" ca="1" si="470"/>
        <v>176397.45840378583</v>
      </c>
      <c r="W664" s="358">
        <f t="shared" ca="1" si="470"/>
        <v>192533.09162478268</v>
      </c>
      <c r="X664" s="358">
        <f t="shared" ca="1" si="470"/>
        <v>209169.67734506761</v>
      </c>
      <c r="Y664" s="358">
        <f t="shared" ca="1" si="470"/>
        <v>226282.89451367946</v>
      </c>
      <c r="Z664" s="358">
        <f t="shared" ca="1" si="470"/>
        <v>243848.55253811897</v>
      </c>
      <c r="AA664" s="358">
        <f t="shared" ca="1" si="471"/>
        <v>261842.58881354373</v>
      </c>
      <c r="AB664" s="358">
        <f t="shared" ca="1" si="471"/>
        <v>282447.49023198965</v>
      </c>
      <c r="AC664" s="358">
        <f t="shared" ca="1" si="471"/>
        <v>303556.78415974206</v>
      </c>
      <c r="AD664" s="358">
        <f t="shared" ca="1" si="471"/>
        <v>322479.99978612375</v>
      </c>
      <c r="AE664" s="358">
        <f t="shared" ca="1" si="471"/>
        <v>339109.8094339146</v>
      </c>
      <c r="AF664" s="358">
        <f t="shared" ca="1" si="471"/>
        <v>356081.0769254968</v>
      </c>
      <c r="AG664" s="358">
        <f t="shared" ca="1" si="471"/>
        <v>375936.97960374673</v>
      </c>
      <c r="AH664" s="358">
        <f t="shared" ca="1" si="471"/>
        <v>395706.5734054959</v>
      </c>
      <c r="AI664" s="358">
        <f t="shared" ca="1" si="471"/>
        <v>415337.46580197511</v>
      </c>
      <c r="AJ664" s="358">
        <f t="shared" ca="1" si="471"/>
        <v>434786.95785674633</v>
      </c>
      <c r="AK664" s="358">
        <f t="shared" ca="1" si="472"/>
        <v>455184.86990837066</v>
      </c>
      <c r="AL664" s="358">
        <f t="shared" ca="1" si="472"/>
        <v>474945.40971897286</v>
      </c>
      <c r="AM664" s="358">
        <f t="shared" ca="1" si="472"/>
        <v>493935.94151595299</v>
      </c>
      <c r="AN664" s="358">
        <f t="shared" ca="1" si="472"/>
        <v>515295.68649563316</v>
      </c>
      <c r="AO664" s="358">
        <f t="shared" ca="1" si="472"/>
        <v>539507.41206815268</v>
      </c>
      <c r="AP664" s="358">
        <f t="shared" ca="1" si="472"/>
        <v>567262.81739869097</v>
      </c>
      <c r="AQ664" s="358">
        <f t="shared" ca="1" si="472"/>
        <v>596881.88446648733</v>
      </c>
      <c r="AR664" s="358">
        <f t="shared" ca="1" si="472"/>
        <v>628597.85294469225</v>
      </c>
      <c r="AS664" s="358">
        <f t="shared" ca="1" si="472"/>
        <v>662663.56835542654</v>
      </c>
      <c r="AT664" s="358">
        <f t="shared" ca="1" si="472"/>
        <v>699349.42542628758</v>
      </c>
      <c r="AV664" s="358">
        <f t="shared" ca="1" si="473"/>
        <v>393155.93785485986</v>
      </c>
      <c r="AX664" s="358">
        <f t="shared" ca="1" si="474"/>
        <v>676630.43404980469</v>
      </c>
      <c r="AZ664" s="358">
        <f t="shared" ca="1" si="475"/>
        <v>1048231.6744254346</v>
      </c>
      <c r="BB664" s="358">
        <f t="shared" ca="1" si="476"/>
        <v>1509436.6724253139</v>
      </c>
      <c r="BD664" s="358">
        <f t="shared" ca="1" si="477"/>
        <v>1977849.0535934609</v>
      </c>
      <c r="BF664" s="358">
        <f t="shared" ca="1" si="478"/>
        <v>2478869.3197070821</v>
      </c>
      <c r="BH664" s="358">
        <f t="shared" ca="1" si="479"/>
        <v>3154755.5485915849</v>
      </c>
    </row>
    <row r="665" spans="1:60" hidden="1" outlineLevel="1">
      <c r="A665" s="1464">
        <f t="shared" ca="1" si="480"/>
        <v>18</v>
      </c>
      <c r="B665" s="1464">
        <f t="shared" ca="1" si="481"/>
        <v>23</v>
      </c>
      <c r="C665" s="1464">
        <f t="shared" si="482"/>
        <v>9</v>
      </c>
      <c r="D665" s="1271" t="str">
        <f ca="1">IF(OFFSET(PortfolioDashboard!$A$3,C665-1,0)="","Blank",OFFSET(PortfolioDashboard!$A$3,C665-1,0))</f>
        <v>Reduced Air Travel</v>
      </c>
      <c r="E665" s="1464" t="str">
        <f t="shared" si="483"/>
        <v>2010$</v>
      </c>
      <c r="F665" s="1460">
        <f t="shared" ca="1" si="484"/>
        <v>387375.52984974621</v>
      </c>
      <c r="G665" s="358">
        <f t="shared" ca="1" si="469"/>
        <v>0</v>
      </c>
      <c r="H665" s="358">
        <f t="shared" ca="1" si="469"/>
        <v>0</v>
      </c>
      <c r="I665" s="358">
        <f t="shared" ca="1" si="469"/>
        <v>0</v>
      </c>
      <c r="J665" s="358">
        <f t="shared" ca="1" si="469"/>
        <v>0</v>
      </c>
      <c r="K665" s="358">
        <f t="shared" ca="1" si="469"/>
        <v>0</v>
      </c>
      <c r="L665" s="358">
        <f t="shared" ca="1" si="469"/>
        <v>5766.4986715287514</v>
      </c>
      <c r="M665" s="358">
        <f t="shared" ca="1" si="469"/>
        <v>10000.773224241382</v>
      </c>
      <c r="N665" s="358">
        <f t="shared" ca="1" si="469"/>
        <v>11417.118738569285</v>
      </c>
      <c r="O665" s="358">
        <f t="shared" ca="1" si="469"/>
        <v>12896.928201513143</v>
      </c>
      <c r="P665" s="358">
        <f t="shared" ca="1" si="469"/>
        <v>14438.352782641783</v>
      </c>
      <c r="Q665" s="358">
        <f t="shared" ca="1" si="470"/>
        <v>16039.554837929236</v>
      </c>
      <c r="R665" s="358">
        <f t="shared" ca="1" si="470"/>
        <v>17887.306840137651</v>
      </c>
      <c r="S665" s="358">
        <f t="shared" ca="1" si="470"/>
        <v>19808.979116144983</v>
      </c>
      <c r="T665" s="358">
        <f t="shared" ca="1" si="470"/>
        <v>21801.798659870939</v>
      </c>
      <c r="U665" s="358">
        <f t="shared" ca="1" si="470"/>
        <v>23863.001727256778</v>
      </c>
      <c r="V665" s="358">
        <f t="shared" ca="1" si="470"/>
        <v>25989.834480178448</v>
      </c>
      <c r="W665" s="358">
        <f t="shared" ca="1" si="470"/>
        <v>28394.484316667786</v>
      </c>
      <c r="X665" s="358">
        <f t="shared" ca="1" si="470"/>
        <v>30876.744436090801</v>
      </c>
      <c r="Y665" s="358">
        <f t="shared" ca="1" si="470"/>
        <v>33433.096003216859</v>
      </c>
      <c r="Z665" s="358">
        <f t="shared" ca="1" si="470"/>
        <v>36060.027832174092</v>
      </c>
      <c r="AA665" s="358">
        <f t="shared" ca="1" si="471"/>
        <v>38754.036586871021</v>
      </c>
      <c r="AB665" s="358">
        <f t="shared" ca="1" si="471"/>
        <v>41838.460716169888</v>
      </c>
      <c r="AC665" s="358">
        <f t="shared" ca="1" si="471"/>
        <v>45001.858043105094</v>
      </c>
      <c r="AD665" s="358">
        <f t="shared" ca="1" si="471"/>
        <v>47845.115764107228</v>
      </c>
      <c r="AE665" s="358">
        <f t="shared" ca="1" si="471"/>
        <v>50351.432303536581</v>
      </c>
      <c r="AF665" s="358">
        <f t="shared" ca="1" si="471"/>
        <v>52911.469850755871</v>
      </c>
      <c r="AG665" s="358">
        <f t="shared" ca="1" si="471"/>
        <v>55903.457164338826</v>
      </c>
      <c r="AH665" s="358">
        <f t="shared" ca="1" si="471"/>
        <v>58886.153838620339</v>
      </c>
      <c r="AI665" s="358">
        <f t="shared" ca="1" si="471"/>
        <v>61851.652906990712</v>
      </c>
      <c r="AJ665" s="358">
        <f t="shared" ca="1" si="471"/>
        <v>64793.475791868754</v>
      </c>
      <c r="AK665" s="358">
        <f t="shared" ca="1" si="472"/>
        <v>67879.985438770716</v>
      </c>
      <c r="AL665" s="358">
        <f t="shared" ca="1" si="472"/>
        <v>70874.763631201378</v>
      </c>
      <c r="AM665" s="358">
        <f t="shared" ca="1" si="472"/>
        <v>73757.750858322659</v>
      </c>
      <c r="AN665" s="358">
        <f t="shared" ca="1" si="472"/>
        <v>76997.740194707221</v>
      </c>
      <c r="AO665" s="358">
        <f t="shared" ca="1" si="472"/>
        <v>80667.549474717103</v>
      </c>
      <c r="AP665" s="358">
        <f t="shared" ca="1" si="472"/>
        <v>84871.421849185863</v>
      </c>
      <c r="AQ665" s="358">
        <f t="shared" ca="1" si="472"/>
        <v>89358.771137774515</v>
      </c>
      <c r="AR665" s="358">
        <f t="shared" ca="1" si="472"/>
        <v>94164.975710355153</v>
      </c>
      <c r="AS665" s="358">
        <f t="shared" ca="1" si="472"/>
        <v>99328.42757734179</v>
      </c>
      <c r="AT665" s="358">
        <f t="shared" ca="1" si="472"/>
        <v>104890.23058209317</v>
      </c>
      <c r="AV665" s="358">
        <f t="shared" ca="1" si="473"/>
        <v>54519.671618494351</v>
      </c>
      <c r="AX665" s="358">
        <f t="shared" ca="1" si="474"/>
        <v>99400.641181339597</v>
      </c>
      <c r="AZ665" s="358">
        <f t="shared" ca="1" si="475"/>
        <v>154754.18706832797</v>
      </c>
      <c r="BB665" s="358">
        <f t="shared" ca="1" si="476"/>
        <v>223790.90341378981</v>
      </c>
      <c r="BD665" s="358">
        <f t="shared" ca="1" si="477"/>
        <v>294346.2095525745</v>
      </c>
      <c r="BF665" s="358">
        <f t="shared" ca="1" si="478"/>
        <v>370177.78959771909</v>
      </c>
      <c r="BH665" s="358">
        <f t="shared" ca="1" si="479"/>
        <v>472613.82685675047</v>
      </c>
    </row>
    <row r="666" spans="1:60" hidden="1" outlineLevel="1">
      <c r="A666" s="1464">
        <f t="shared" ca="1" si="480"/>
        <v>18</v>
      </c>
      <c r="B666" s="1464">
        <f t="shared" ca="1" si="481"/>
        <v>23</v>
      </c>
      <c r="C666" s="1464">
        <f t="shared" si="482"/>
        <v>10</v>
      </c>
      <c r="D666" s="1271" t="str">
        <f ca="1">IF(OFFSET(PortfolioDashboard!$A$3,C666-1,0)="","Blank",OFFSET(PortfolioDashboard!$A$3,C666-1,0))</f>
        <v>Reduced Automobile Reliance Strategies</v>
      </c>
      <c r="E666" s="1464" t="str">
        <f t="shared" si="483"/>
        <v>2010$</v>
      </c>
      <c r="F666" s="1460">
        <f t="shared" ca="1" si="484"/>
        <v>0</v>
      </c>
      <c r="G666" s="358">
        <f t="shared" ca="1" si="469"/>
        <v>0</v>
      </c>
      <c r="H666" s="358">
        <f t="shared" ca="1" si="469"/>
        <v>0</v>
      </c>
      <c r="I666" s="358">
        <f t="shared" ca="1" si="469"/>
        <v>0</v>
      </c>
      <c r="J666" s="358">
        <f t="shared" ca="1" si="469"/>
        <v>0</v>
      </c>
      <c r="K666" s="358">
        <f t="shared" ca="1" si="469"/>
        <v>0</v>
      </c>
      <c r="L666" s="358">
        <f t="shared" ca="1" si="469"/>
        <v>0</v>
      </c>
      <c r="M666" s="358">
        <f t="shared" ca="1" si="469"/>
        <v>0</v>
      </c>
      <c r="N666" s="358">
        <f t="shared" ca="1" si="469"/>
        <v>0</v>
      </c>
      <c r="O666" s="358">
        <f t="shared" ca="1" si="469"/>
        <v>0</v>
      </c>
      <c r="P666" s="358">
        <f t="shared" ca="1" si="469"/>
        <v>0</v>
      </c>
      <c r="Q666" s="358">
        <f t="shared" ca="1" si="470"/>
        <v>0</v>
      </c>
      <c r="R666" s="358">
        <f t="shared" ca="1" si="470"/>
        <v>0</v>
      </c>
      <c r="S666" s="358">
        <f t="shared" ca="1" si="470"/>
        <v>0</v>
      </c>
      <c r="T666" s="358">
        <f t="shared" ca="1" si="470"/>
        <v>0</v>
      </c>
      <c r="U666" s="358">
        <f t="shared" ca="1" si="470"/>
        <v>0</v>
      </c>
      <c r="V666" s="358">
        <f t="shared" ca="1" si="470"/>
        <v>0</v>
      </c>
      <c r="W666" s="358">
        <f t="shared" ca="1" si="470"/>
        <v>0</v>
      </c>
      <c r="X666" s="358">
        <f t="shared" ca="1" si="470"/>
        <v>0</v>
      </c>
      <c r="Y666" s="358">
        <f t="shared" ca="1" si="470"/>
        <v>0</v>
      </c>
      <c r="Z666" s="358">
        <f t="shared" ca="1" si="470"/>
        <v>0</v>
      </c>
      <c r="AA666" s="358">
        <f t="shared" ca="1" si="471"/>
        <v>0</v>
      </c>
      <c r="AB666" s="358">
        <f t="shared" ca="1" si="471"/>
        <v>0</v>
      </c>
      <c r="AC666" s="358">
        <f t="shared" ca="1" si="471"/>
        <v>0</v>
      </c>
      <c r="AD666" s="358">
        <f t="shared" ca="1" si="471"/>
        <v>0</v>
      </c>
      <c r="AE666" s="358">
        <f t="shared" ca="1" si="471"/>
        <v>0</v>
      </c>
      <c r="AF666" s="358">
        <f t="shared" ca="1" si="471"/>
        <v>0</v>
      </c>
      <c r="AG666" s="358">
        <f t="shared" ca="1" si="471"/>
        <v>0</v>
      </c>
      <c r="AH666" s="358">
        <f t="shared" ca="1" si="471"/>
        <v>0</v>
      </c>
      <c r="AI666" s="358">
        <f t="shared" ca="1" si="471"/>
        <v>0</v>
      </c>
      <c r="AJ666" s="358">
        <f t="shared" ca="1" si="471"/>
        <v>0</v>
      </c>
      <c r="AK666" s="358">
        <f t="shared" ca="1" si="472"/>
        <v>0</v>
      </c>
      <c r="AL666" s="358">
        <f t="shared" ca="1" si="472"/>
        <v>0</v>
      </c>
      <c r="AM666" s="358">
        <f t="shared" ca="1" si="472"/>
        <v>0</v>
      </c>
      <c r="AN666" s="358">
        <f t="shared" ca="1" si="472"/>
        <v>0</v>
      </c>
      <c r="AO666" s="358">
        <f t="shared" ca="1" si="472"/>
        <v>0</v>
      </c>
      <c r="AP666" s="358">
        <f t="shared" ca="1" si="472"/>
        <v>0</v>
      </c>
      <c r="AQ666" s="358">
        <f t="shared" ca="1" si="472"/>
        <v>0</v>
      </c>
      <c r="AR666" s="358">
        <f t="shared" ca="1" si="472"/>
        <v>0</v>
      </c>
      <c r="AS666" s="358">
        <f t="shared" ca="1" si="472"/>
        <v>0</v>
      </c>
      <c r="AT666" s="358">
        <f t="shared" ca="1" si="472"/>
        <v>0</v>
      </c>
      <c r="AV666" s="358">
        <f t="shared" ca="1" si="473"/>
        <v>0</v>
      </c>
      <c r="AX666" s="358">
        <f t="shared" ca="1" si="474"/>
        <v>0</v>
      </c>
      <c r="AZ666" s="358">
        <f t="shared" ca="1" si="475"/>
        <v>0</v>
      </c>
      <c r="BB666" s="358">
        <f t="shared" ca="1" si="476"/>
        <v>0</v>
      </c>
      <c r="BD666" s="358">
        <f t="shared" ca="1" si="477"/>
        <v>0</v>
      </c>
      <c r="BF666" s="358">
        <f t="shared" ca="1" si="478"/>
        <v>0</v>
      </c>
      <c r="BH666" s="358">
        <f t="shared" ca="1" si="479"/>
        <v>0</v>
      </c>
    </row>
    <row r="667" spans="1:60" hidden="1" outlineLevel="1">
      <c r="A667" s="1464">
        <f t="shared" ca="1" si="480"/>
        <v>18</v>
      </c>
      <c r="B667" s="1464">
        <f t="shared" ca="1" si="481"/>
        <v>23</v>
      </c>
      <c r="C667" s="1464">
        <f t="shared" si="482"/>
        <v>11</v>
      </c>
      <c r="D667" s="1271" t="str">
        <f ca="1">IF(OFFSET(PortfolioDashboard!$A$3,C667-1,0)="","Blank",OFFSET(PortfolioDashboard!$A$3,C667-1,0))</f>
        <v>Waste Reduction</v>
      </c>
      <c r="E667" s="1464" t="str">
        <f t="shared" si="483"/>
        <v>2010$</v>
      </c>
      <c r="F667" s="1460">
        <f t="shared" ca="1" si="484"/>
        <v>93740.370003289834</v>
      </c>
      <c r="G667" s="358">
        <f t="shared" ref="G667:P676" ca="1" si="485">IFERROR(OFFSET(INDIRECT(INDEX(List_of_Alternatives,MATCH($D667,NameofAlternatives,0))),$A667+G$1-$G$1,$B667),0)</f>
        <v>0</v>
      </c>
      <c r="H667" s="358">
        <f t="shared" ca="1" si="485"/>
        <v>0</v>
      </c>
      <c r="I667" s="358">
        <f t="shared" ca="1" si="485"/>
        <v>0</v>
      </c>
      <c r="J667" s="358">
        <f t="shared" ca="1" si="485"/>
        <v>0</v>
      </c>
      <c r="K667" s="358">
        <f t="shared" ca="1" si="485"/>
        <v>0</v>
      </c>
      <c r="L667" s="358">
        <f t="shared" ca="1" si="485"/>
        <v>1672.2602911792515</v>
      </c>
      <c r="M667" s="358">
        <f t="shared" ca="1" si="485"/>
        <v>2416.4950522919544</v>
      </c>
      <c r="N667" s="358">
        <f t="shared" ca="1" si="485"/>
        <v>2758.4356067679014</v>
      </c>
      <c r="O667" s="358">
        <f t="shared" ca="1" si="485"/>
        <v>3115.6956253460958</v>
      </c>
      <c r="P667" s="358">
        <f t="shared" ca="1" si="485"/>
        <v>3487.8269049360006</v>
      </c>
      <c r="Q667" s="358">
        <f t="shared" ref="Q667:Z676" ca="1" si="486">IFERROR(OFFSET(INDIRECT(INDEX(List_of_Alternatives,MATCH($D667,NameofAlternatives,0))),$A667+Q$1-$G$1,$B667),0)</f>
        <v>3874.3846792431527</v>
      </c>
      <c r="R667" s="358">
        <f t="shared" ca="1" si="486"/>
        <v>4320.4812913478672</v>
      </c>
      <c r="S667" s="358">
        <f t="shared" ca="1" si="486"/>
        <v>4784.4152408516129</v>
      </c>
      <c r="T667" s="358">
        <f t="shared" ca="1" si="486"/>
        <v>5265.5168841692885</v>
      </c>
      <c r="U667" s="358">
        <f t="shared" ca="1" si="486"/>
        <v>5763.1188991398913</v>
      </c>
      <c r="V667" s="358">
        <f t="shared" ca="1" si="486"/>
        <v>6276.5564164460939</v>
      </c>
      <c r="W667" s="358">
        <f t="shared" ca="1" si="486"/>
        <v>6857.0714325545105</v>
      </c>
      <c r="X667" s="358">
        <f t="shared" ca="1" si="486"/>
        <v>7456.3126283988549</v>
      </c>
      <c r="Y667" s="358">
        <f t="shared" ca="1" si="486"/>
        <v>8073.4305435557571</v>
      </c>
      <c r="Z667" s="358">
        <f t="shared" ca="1" si="486"/>
        <v>8707.5775932468114</v>
      </c>
      <c r="AA667" s="358">
        <f t="shared" ref="AA667:AJ676" ca="1" si="487">IFERROR(OFFSET(INDIRECT(INDEX(List_of_Alternatives,MATCH($D667,NameofAlternatives,0))),$A667+AA$1-$G$1,$B667),0)</f>
        <v>9357.9081125472567</v>
      </c>
      <c r="AB667" s="358">
        <f t="shared" ca="1" si="487"/>
        <v>10102.497099752361</v>
      </c>
      <c r="AC667" s="358">
        <f t="shared" ca="1" si="487"/>
        <v>10866.139607992709</v>
      </c>
      <c r="AD667" s="358">
        <f t="shared" ca="1" si="487"/>
        <v>11552.467980511932</v>
      </c>
      <c r="AE667" s="358">
        <f t="shared" ca="1" si="487"/>
        <v>12157.430529000159</v>
      </c>
      <c r="AF667" s="358">
        <f t="shared" ca="1" si="487"/>
        <v>12775.356423488065</v>
      </c>
      <c r="AG667" s="358">
        <f t="shared" ca="1" si="487"/>
        <v>13497.56677436415</v>
      </c>
      <c r="AH667" s="358">
        <f t="shared" ca="1" si="487"/>
        <v>14217.524276483166</v>
      </c>
      <c r="AI667" s="358">
        <f t="shared" ca="1" si="487"/>
        <v>14933.320661841983</v>
      </c>
      <c r="AJ667" s="358">
        <f t="shared" ca="1" si="487"/>
        <v>15643.392538508546</v>
      </c>
      <c r="AK667" s="358">
        <f t="shared" ref="AK667:AT676" ca="1" si="488">IFERROR(OFFSET(INDIRECT(INDEX(List_of_Alternatives,MATCH($D667,NameofAlternatives,0))),$A667+AK$1-$G$1,$B667),0)</f>
        <v>16388.388819263651</v>
      </c>
      <c r="AL667" s="358">
        <f t="shared" ca="1" si="488"/>
        <v>17111.230557616724</v>
      </c>
      <c r="AM667" s="358">
        <f t="shared" ca="1" si="488"/>
        <v>17807.076053914559</v>
      </c>
      <c r="AN667" s="358">
        <f t="shared" ca="1" si="488"/>
        <v>18589.104457284615</v>
      </c>
      <c r="AO667" s="358">
        <f t="shared" ca="1" si="488"/>
        <v>19474.893364188742</v>
      </c>
      <c r="AP667" s="358">
        <f t="shared" ca="1" si="488"/>
        <v>20489.606578441249</v>
      </c>
      <c r="AQ667" s="358">
        <f t="shared" ca="1" si="488"/>
        <v>21572.745296519337</v>
      </c>
      <c r="AR667" s="358">
        <f t="shared" ca="1" si="488"/>
        <v>22732.849213522153</v>
      </c>
      <c r="AS667" s="358">
        <f t="shared" ca="1" si="488"/>
        <v>23979.18536271984</v>
      </c>
      <c r="AT667" s="358">
        <f t="shared" ca="1" si="488"/>
        <v>25321.675244514816</v>
      </c>
      <c r="AV667" s="358">
        <f t="shared" ca="1" si="473"/>
        <v>13450.713480521203</v>
      </c>
      <c r="AX667" s="358">
        <f t="shared" ca="1" si="474"/>
        <v>24007.916994751813</v>
      </c>
      <c r="AZ667" s="358">
        <f t="shared" ca="1" si="475"/>
        <v>37370.948614202032</v>
      </c>
      <c r="BB667" s="358">
        <f t="shared" ca="1" si="476"/>
        <v>54036.443329804417</v>
      </c>
      <c r="BD667" s="358">
        <f t="shared" ca="1" si="477"/>
        <v>71067.160674685903</v>
      </c>
      <c r="BF667" s="358">
        <f t="shared" ca="1" si="478"/>
        <v>89370.693252268291</v>
      </c>
      <c r="BH667" s="358">
        <f t="shared" ca="1" si="479"/>
        <v>114096.06169571739</v>
      </c>
    </row>
    <row r="668" spans="1:60" hidden="1" outlineLevel="1">
      <c r="A668" s="1464">
        <f t="shared" ca="1" si="480"/>
        <v>18</v>
      </c>
      <c r="B668" s="1464">
        <f t="shared" ca="1" si="481"/>
        <v>23</v>
      </c>
      <c r="C668" s="1464">
        <f t="shared" si="482"/>
        <v>12</v>
      </c>
      <c r="D668" s="1271" t="str">
        <f ca="1">IF(OFFSET(PortfolioDashboard!$A$3,C668-1,0)="","Blank",OFFSET(PortfolioDashboard!$A$3,C668-1,0))</f>
        <v>Steam Line Improvements</v>
      </c>
      <c r="E668" s="1464" t="str">
        <f t="shared" si="483"/>
        <v>2010$</v>
      </c>
      <c r="F668" s="1460">
        <f t="shared" ca="1" si="484"/>
        <v>1748796.2417629571</v>
      </c>
      <c r="G668" s="358">
        <f t="shared" ca="1" si="485"/>
        <v>0</v>
      </c>
      <c r="H668" s="358">
        <f t="shared" ca="1" si="485"/>
        <v>0</v>
      </c>
      <c r="I668" s="358">
        <f t="shared" ca="1" si="485"/>
        <v>0</v>
      </c>
      <c r="J668" s="358">
        <f t="shared" ca="1" si="485"/>
        <v>0</v>
      </c>
      <c r="K668" s="358">
        <f t="shared" ca="1" si="485"/>
        <v>0</v>
      </c>
      <c r="L668" s="358">
        <f t="shared" ca="1" si="485"/>
        <v>32877.938707109228</v>
      </c>
      <c r="M668" s="358">
        <f t="shared" ca="1" si="485"/>
        <v>38375.543407555328</v>
      </c>
      <c r="N668" s="358">
        <f t="shared" ca="1" si="485"/>
        <v>44228.508317648877</v>
      </c>
      <c r="O668" s="358">
        <f t="shared" ca="1" si="485"/>
        <v>50437.192630102036</v>
      </c>
      <c r="P668" s="358">
        <f t="shared" ca="1" si="485"/>
        <v>57001.707389915086</v>
      </c>
      <c r="Q668" s="358">
        <f t="shared" ca="1" si="486"/>
        <v>63921.921598881265</v>
      </c>
      <c r="R668" s="358">
        <f t="shared" ca="1" si="486"/>
        <v>71956.146186071681</v>
      </c>
      <c r="S668" s="358">
        <f t="shared" ca="1" si="486"/>
        <v>80431.471833990217</v>
      </c>
      <c r="T668" s="358">
        <f t="shared" ca="1" si="486"/>
        <v>89345.136249247065</v>
      </c>
      <c r="U668" s="358">
        <f t="shared" ca="1" si="486"/>
        <v>98693.978694828198</v>
      </c>
      <c r="V668" s="358">
        <f t="shared" ca="1" si="486"/>
        <v>108474.44432759333</v>
      </c>
      <c r="W668" s="358">
        <f t="shared" ca="1" si="486"/>
        <v>119587.80298167359</v>
      </c>
      <c r="X668" s="358">
        <f t="shared" ca="1" si="486"/>
        <v>131215.02071387976</v>
      </c>
      <c r="Y668" s="358">
        <f t="shared" ca="1" si="486"/>
        <v>143349.98565741605</v>
      </c>
      <c r="Z668" s="358">
        <f t="shared" ca="1" si="486"/>
        <v>155986.06767413343</v>
      </c>
      <c r="AA668" s="358">
        <f t="shared" ca="1" si="487"/>
        <v>169116.1207932797</v>
      </c>
      <c r="AB668" s="358">
        <f t="shared" ca="1" si="487"/>
        <v>184171.19453671575</v>
      </c>
      <c r="AC668" s="358">
        <f t="shared" ca="1" si="487"/>
        <v>199813.17095670223</v>
      </c>
      <c r="AD668" s="358">
        <f t="shared" ca="1" si="487"/>
        <v>214263.79314996989</v>
      </c>
      <c r="AE668" s="358">
        <f t="shared" ca="1" si="487"/>
        <v>227410.52199051436</v>
      </c>
      <c r="AF668" s="358">
        <f t="shared" ca="1" si="487"/>
        <v>240994.06580486492</v>
      </c>
      <c r="AG668" s="358">
        <f t="shared" ca="1" si="487"/>
        <v>256757.70160468121</v>
      </c>
      <c r="AH668" s="358">
        <f t="shared" ca="1" si="487"/>
        <v>272707.48226325499</v>
      </c>
      <c r="AI668" s="358">
        <f t="shared" ca="1" si="487"/>
        <v>288805.37506016018</v>
      </c>
      <c r="AJ668" s="358">
        <f t="shared" ca="1" si="487"/>
        <v>305018.85144635959</v>
      </c>
      <c r="AK668" s="358">
        <f t="shared" ca="1" si="488"/>
        <v>322144.14362842118</v>
      </c>
      <c r="AL668" s="358">
        <f t="shared" ca="1" si="488"/>
        <v>339066.74233589187</v>
      </c>
      <c r="AM668" s="358">
        <f t="shared" ca="1" si="488"/>
        <v>355679.31076232437</v>
      </c>
      <c r="AN668" s="358">
        <f t="shared" ca="1" si="488"/>
        <v>374247.50568016042</v>
      </c>
      <c r="AO668" s="358">
        <f t="shared" ca="1" si="488"/>
        <v>395168.8983373465</v>
      </c>
      <c r="AP668" s="358">
        <f t="shared" ca="1" si="488"/>
        <v>419007.33100381139</v>
      </c>
      <c r="AQ668" s="358">
        <f t="shared" ca="1" si="488"/>
        <v>444577.22634142119</v>
      </c>
      <c r="AR668" s="358">
        <f t="shared" ca="1" si="488"/>
        <v>472088.33299160184</v>
      </c>
      <c r="AS668" s="358">
        <f t="shared" ca="1" si="488"/>
        <v>501771.01575727831</v>
      </c>
      <c r="AT668" s="358">
        <f t="shared" ca="1" si="488"/>
        <v>533875.29191673861</v>
      </c>
      <c r="AV668" s="358">
        <f t="shared" ca="1" si="473"/>
        <v>222920.89045233058</v>
      </c>
      <c r="AX668" s="358">
        <f t="shared" ca="1" si="474"/>
        <v>404348.65456301847</v>
      </c>
      <c r="AZ668" s="358">
        <f t="shared" ca="1" si="475"/>
        <v>658613.32135469618</v>
      </c>
      <c r="BB668" s="358">
        <f t="shared" ca="1" si="476"/>
        <v>994774.80142718193</v>
      </c>
      <c r="BD668" s="358">
        <f t="shared" ca="1" si="477"/>
        <v>1364283.4761793211</v>
      </c>
      <c r="BF668" s="358">
        <f t="shared" ca="1" si="478"/>
        <v>1786306.6007441443</v>
      </c>
      <c r="BH668" s="358">
        <f t="shared" ca="1" si="479"/>
        <v>2371319.1980108512</v>
      </c>
    </row>
    <row r="669" spans="1:60" hidden="1" outlineLevel="1">
      <c r="A669" s="1464">
        <f t="shared" ca="1" si="480"/>
        <v>18</v>
      </c>
      <c r="B669" s="1464">
        <f t="shared" ca="1" si="481"/>
        <v>23</v>
      </c>
      <c r="C669" s="1464">
        <f t="shared" si="482"/>
        <v>13</v>
      </c>
      <c r="D669" s="1271" t="str">
        <f ca="1">IF(OFFSET(PortfolioDashboard!$A$3,C669-1,0)="","Blank",OFFSET(PortfolioDashboard!$A$3,C669-1,0))</f>
        <v>Coal to Natural Gas Conversion @ Steam Plant</v>
      </c>
      <c r="E669" s="1464" t="str">
        <f t="shared" si="483"/>
        <v>2010$</v>
      </c>
      <c r="F669" s="1460">
        <f t="shared" ca="1" si="484"/>
        <v>9766919.3668284863</v>
      </c>
      <c r="G669" s="358">
        <f t="shared" ca="1" si="485"/>
        <v>0</v>
      </c>
      <c r="H669" s="358">
        <f t="shared" ca="1" si="485"/>
        <v>0</v>
      </c>
      <c r="I669" s="358">
        <f t="shared" ca="1" si="485"/>
        <v>0</v>
      </c>
      <c r="J669" s="358">
        <f t="shared" ca="1" si="485"/>
        <v>0</v>
      </c>
      <c r="K669" s="358">
        <f t="shared" ca="1" si="485"/>
        <v>0</v>
      </c>
      <c r="L669" s="358">
        <f t="shared" ca="1" si="485"/>
        <v>183621.26394790778</v>
      </c>
      <c r="M669" s="358">
        <f t="shared" ca="1" si="485"/>
        <v>214325.04780658349</v>
      </c>
      <c r="N669" s="358">
        <f t="shared" ca="1" si="485"/>
        <v>247013.49656270165</v>
      </c>
      <c r="O669" s="358">
        <f t="shared" ca="1" si="485"/>
        <v>281688.61628545017</v>
      </c>
      <c r="P669" s="358">
        <f t="shared" ca="1" si="485"/>
        <v>318351.02715432027</v>
      </c>
      <c r="Q669" s="358">
        <f t="shared" ca="1" si="486"/>
        <v>356999.99755239056</v>
      </c>
      <c r="R669" s="358">
        <f t="shared" ca="1" si="486"/>
        <v>401870.64734231401</v>
      </c>
      <c r="S669" s="358">
        <f t="shared" ca="1" si="486"/>
        <v>449204.81940537051</v>
      </c>
      <c r="T669" s="358">
        <f t="shared" ca="1" si="486"/>
        <v>498987.08650300425</v>
      </c>
      <c r="U669" s="358">
        <f t="shared" ca="1" si="486"/>
        <v>551199.79611354484</v>
      </c>
      <c r="V669" s="358">
        <f t="shared" ca="1" si="486"/>
        <v>605823.09465686511</v>
      </c>
      <c r="W669" s="358">
        <f t="shared" ca="1" si="486"/>
        <v>667890.51868084713</v>
      </c>
      <c r="X669" s="358">
        <f t="shared" ca="1" si="486"/>
        <v>732827.81402666413</v>
      </c>
      <c r="Y669" s="358">
        <f t="shared" ca="1" si="486"/>
        <v>800600.84629446454</v>
      </c>
      <c r="Z669" s="358">
        <f t="shared" ca="1" si="486"/>
        <v>871172.58657079085</v>
      </c>
      <c r="AA669" s="358">
        <f t="shared" ca="1" si="487"/>
        <v>944503.12504884624</v>
      </c>
      <c r="AB669" s="358">
        <f t="shared" ca="1" si="487"/>
        <v>1028584.7852230258</v>
      </c>
      <c r="AC669" s="358">
        <f t="shared" ca="1" si="487"/>
        <v>1115944.2607201994</v>
      </c>
      <c r="AD669" s="358">
        <f t="shared" ca="1" si="487"/>
        <v>1196650.0961924132</v>
      </c>
      <c r="AE669" s="358">
        <f t="shared" ca="1" si="487"/>
        <v>1270073.7675480391</v>
      </c>
      <c r="AF669" s="358">
        <f t="shared" ca="1" si="487"/>
        <v>1345937.0236451591</v>
      </c>
      <c r="AG669" s="358">
        <f t="shared" ca="1" si="487"/>
        <v>1433975.9592901985</v>
      </c>
      <c r="AH669" s="358">
        <f t="shared" ca="1" si="487"/>
        <v>1523054.5025136492</v>
      </c>
      <c r="AI669" s="358">
        <f t="shared" ca="1" si="487"/>
        <v>1612960.2429129556</v>
      </c>
      <c r="AJ669" s="358">
        <f t="shared" ca="1" si="487"/>
        <v>1703511.5105439688</v>
      </c>
      <c r="AK669" s="358">
        <f t="shared" ca="1" si="488"/>
        <v>1799155.2132699979</v>
      </c>
      <c r="AL669" s="358">
        <f t="shared" ca="1" si="488"/>
        <v>1893666.8854168016</v>
      </c>
      <c r="AM669" s="358">
        <f t="shared" ca="1" si="488"/>
        <v>1986447.0575272585</v>
      </c>
      <c r="AN669" s="358">
        <f t="shared" ca="1" si="488"/>
        <v>2090149.2832177919</v>
      </c>
      <c r="AO669" s="358">
        <f t="shared" ca="1" si="488"/>
        <v>2206993.9734365349</v>
      </c>
      <c r="AP669" s="358">
        <f t="shared" ca="1" si="488"/>
        <v>2340130.1525549316</v>
      </c>
      <c r="AQ669" s="358">
        <f t="shared" ca="1" si="488"/>
        <v>2482936.444115188</v>
      </c>
      <c r="AR669" s="358">
        <f t="shared" ca="1" si="488"/>
        <v>2636584.2813690342</v>
      </c>
      <c r="AS669" s="358">
        <f t="shared" ca="1" si="488"/>
        <v>2802360.2375611942</v>
      </c>
      <c r="AT669" s="358">
        <f t="shared" ca="1" si="488"/>
        <v>2981660.64380163</v>
      </c>
      <c r="AV669" s="358">
        <f t="shared" ca="1" si="473"/>
        <v>1244999.4517569635</v>
      </c>
      <c r="AX669" s="358">
        <f t="shared" ca="1" si="474"/>
        <v>2258262.3469166243</v>
      </c>
      <c r="AZ669" s="358">
        <f t="shared" ca="1" si="475"/>
        <v>3678314.8602296319</v>
      </c>
      <c r="BB669" s="358">
        <f t="shared" ca="1" si="476"/>
        <v>5555756.0347325243</v>
      </c>
      <c r="BD669" s="358">
        <f t="shared" ca="1" si="477"/>
        <v>7619439.2389059309</v>
      </c>
      <c r="BF669" s="358">
        <f t="shared" ca="1" si="478"/>
        <v>9976412.4128683843</v>
      </c>
      <c r="BH669" s="358">
        <f t="shared" ca="1" si="479"/>
        <v>13243671.759401977</v>
      </c>
    </row>
    <row r="670" spans="1:60" hidden="1" outlineLevel="1">
      <c r="A670" s="1464">
        <f t="shared" ca="1" si="480"/>
        <v>18</v>
      </c>
      <c r="B670" s="1464">
        <f t="shared" ca="1" si="481"/>
        <v>23</v>
      </c>
      <c r="C670" s="1464">
        <f t="shared" si="482"/>
        <v>14</v>
      </c>
      <c r="D670" s="1271" t="str">
        <f ca="1">IF(OFFSET(PortfolioDashboard!$A$3,C670-1,0)="","Blank",OFFSET(PortfolioDashboard!$A$3,C670-1,0))</f>
        <v>On-site Wind</v>
      </c>
      <c r="E670" s="1464" t="str">
        <f t="shared" si="483"/>
        <v>2010$</v>
      </c>
      <c r="F670" s="1460">
        <f t="shared" ca="1" si="484"/>
        <v>55920.385889327939</v>
      </c>
      <c r="G670" s="358">
        <f t="shared" ca="1" si="485"/>
        <v>0</v>
      </c>
      <c r="H670" s="358">
        <f t="shared" ca="1" si="485"/>
        <v>0</v>
      </c>
      <c r="I670" s="358">
        <f t="shared" ca="1" si="485"/>
        <v>0</v>
      </c>
      <c r="J670" s="358">
        <f t="shared" ca="1" si="485"/>
        <v>0</v>
      </c>
      <c r="K670" s="358">
        <f t="shared" ca="1" si="485"/>
        <v>0</v>
      </c>
      <c r="L670" s="358">
        <f t="shared" ca="1" si="485"/>
        <v>1265.4415385325717</v>
      </c>
      <c r="M670" s="358">
        <f t="shared" ca="1" si="485"/>
        <v>1460.7042324889924</v>
      </c>
      <c r="N670" s="358">
        <f t="shared" ca="1" si="485"/>
        <v>1665.0734943895725</v>
      </c>
      <c r="O670" s="358">
        <f t="shared" ca="1" si="485"/>
        <v>1878.2671015388967</v>
      </c>
      <c r="P670" s="358">
        <f t="shared" ca="1" si="485"/>
        <v>2100.0057730464964</v>
      </c>
      <c r="Q670" s="358">
        <f t="shared" ca="1" si="486"/>
        <v>2330.0132365612876</v>
      </c>
      <c r="R670" s="358">
        <f t="shared" ca="1" si="486"/>
        <v>2595.3809874104663</v>
      </c>
      <c r="S670" s="358">
        <f t="shared" ca="1" si="486"/>
        <v>2870.9894491472219</v>
      </c>
      <c r="T670" s="358">
        <f t="shared" ca="1" si="486"/>
        <v>3156.4256815937165</v>
      </c>
      <c r="U670" s="358">
        <f t="shared" ca="1" si="486"/>
        <v>3451.2795937108508</v>
      </c>
      <c r="V670" s="358">
        <f t="shared" ca="1" si="486"/>
        <v>3755.1439504669834</v>
      </c>
      <c r="W670" s="358">
        <f t="shared" ca="1" si="486"/>
        <v>4098.6388399346197</v>
      </c>
      <c r="X670" s="358">
        <f t="shared" ca="1" si="486"/>
        <v>4452.7979915985225</v>
      </c>
      <c r="Y670" s="358">
        <f t="shared" ca="1" si="486"/>
        <v>4817.1036596350714</v>
      </c>
      <c r="Z670" s="358">
        <f t="shared" ca="1" si="486"/>
        <v>5191.0408754165783</v>
      </c>
      <c r="AA670" s="358">
        <f t="shared" ca="1" si="487"/>
        <v>5574.0973949128611</v>
      </c>
      <c r="AB670" s="358">
        <f t="shared" ca="1" si="487"/>
        <v>6012.733935436765</v>
      </c>
      <c r="AC670" s="358">
        <f t="shared" ca="1" si="487"/>
        <v>6462.1079689898907</v>
      </c>
      <c r="AD670" s="358">
        <f t="shared" ca="1" si="487"/>
        <v>6864.9448314129859</v>
      </c>
      <c r="AE670" s="358">
        <f t="shared" ca="1" si="487"/>
        <v>7218.9597342432362</v>
      </c>
      <c r="AF670" s="358">
        <f t="shared" ca="1" si="487"/>
        <v>7580.2435816946581</v>
      </c>
      <c r="AG670" s="358">
        <f t="shared" ca="1" si="487"/>
        <v>8002.935458879273</v>
      </c>
      <c r="AH670" s="358">
        <f t="shared" ca="1" si="487"/>
        <v>8423.789995217845</v>
      </c>
      <c r="AI670" s="358">
        <f t="shared" ca="1" si="487"/>
        <v>8841.6918600857862</v>
      </c>
      <c r="AJ670" s="358">
        <f t="shared" ca="1" si="487"/>
        <v>9255.7320797693737</v>
      </c>
      <c r="AK670" s="358">
        <f t="shared" ca="1" si="488"/>
        <v>9689.9622366885214</v>
      </c>
      <c r="AL670" s="358">
        <f t="shared" ca="1" si="488"/>
        <v>10110.624031927586</v>
      </c>
      <c r="AM670" s="358">
        <f t="shared" ca="1" si="488"/>
        <v>10514.893919027334</v>
      </c>
      <c r="AN670" s="358">
        <f t="shared" ca="1" si="488"/>
        <v>10969.59954727034</v>
      </c>
      <c r="AO670" s="358">
        <f t="shared" ca="1" si="488"/>
        <v>11485.018055205386</v>
      </c>
      <c r="AP670" s="358">
        <f t="shared" ca="1" si="488"/>
        <v>12075.874314489751</v>
      </c>
      <c r="AQ670" s="358">
        <f t="shared" ca="1" si="488"/>
        <v>12706.404150489498</v>
      </c>
      <c r="AR670" s="358">
        <f t="shared" ca="1" si="488"/>
        <v>13381.572762565014</v>
      </c>
      <c r="AS670" s="358">
        <f t="shared" ca="1" si="488"/>
        <v>14106.762718817828</v>
      </c>
      <c r="AT670" s="358">
        <f t="shared" ca="1" si="488"/>
        <v>14887.730174323884</v>
      </c>
      <c r="AV670" s="358">
        <f t="shared" ca="1" si="473"/>
        <v>8369.4921399965297</v>
      </c>
      <c r="AX670" s="358">
        <f t="shared" ca="1" si="474"/>
        <v>14404.088948423545</v>
      </c>
      <c r="AZ670" s="358">
        <f t="shared" ca="1" si="475"/>
        <v>22314.725317051772</v>
      </c>
      <c r="BB670" s="358">
        <f t="shared" ca="1" si="476"/>
        <v>32132.843864995735</v>
      </c>
      <c r="BD670" s="358">
        <f t="shared" ca="1" si="477"/>
        <v>42104.392975646937</v>
      </c>
      <c r="BF670" s="358">
        <f t="shared" ca="1" si="478"/>
        <v>52770.097790119165</v>
      </c>
      <c r="BH670" s="358">
        <f t="shared" ca="1" si="479"/>
        <v>67158.344120685972</v>
      </c>
    </row>
    <row r="671" spans="1:60" hidden="1" outlineLevel="1">
      <c r="A671" s="1464">
        <f t="shared" ca="1" si="480"/>
        <v>18</v>
      </c>
      <c r="B671" s="1464">
        <f t="shared" ca="1" si="481"/>
        <v>23</v>
      </c>
      <c r="C671" s="1464">
        <f t="shared" si="482"/>
        <v>15</v>
      </c>
      <c r="D671" s="1271" t="str">
        <f ca="1">IF(OFFSET(PortfolioDashboard!$A$3,C671-1,0)="","Blank",OFFSET(PortfolioDashboard!$A$3,C671-1,0))</f>
        <v>Solar DHW</v>
      </c>
      <c r="E671" s="1464" t="str">
        <f t="shared" si="483"/>
        <v>2010$</v>
      </c>
      <c r="F671" s="1460">
        <f t="shared" ca="1" si="484"/>
        <v>18922.062011771799</v>
      </c>
      <c r="G671" s="358">
        <f t="shared" ca="1" si="485"/>
        <v>0</v>
      </c>
      <c r="H671" s="358">
        <f t="shared" ca="1" si="485"/>
        <v>0</v>
      </c>
      <c r="I671" s="358">
        <f t="shared" ca="1" si="485"/>
        <v>0</v>
      </c>
      <c r="J671" s="358">
        <f t="shared" ca="1" si="485"/>
        <v>0</v>
      </c>
      <c r="K671" s="358">
        <f t="shared" ca="1" si="485"/>
        <v>0</v>
      </c>
      <c r="L671" s="358">
        <f t="shared" ca="1" si="485"/>
        <v>428.19381310734025</v>
      </c>
      <c r="M671" s="358">
        <f t="shared" ca="1" si="485"/>
        <v>494.26583219070881</v>
      </c>
      <c r="N671" s="358">
        <f t="shared" ca="1" si="485"/>
        <v>563.41928643610981</v>
      </c>
      <c r="O671" s="358">
        <f t="shared" ca="1" si="485"/>
        <v>635.55867873173247</v>
      </c>
      <c r="P671" s="358">
        <f t="shared" ca="1" si="485"/>
        <v>710.58950739909028</v>
      </c>
      <c r="Q671" s="358">
        <f t="shared" ca="1" si="486"/>
        <v>788.41828877428838</v>
      </c>
      <c r="R671" s="358">
        <f t="shared" ca="1" si="486"/>
        <v>878.21210828458709</v>
      </c>
      <c r="S671" s="358">
        <f t="shared" ca="1" si="486"/>
        <v>971.4711286045308</v>
      </c>
      <c r="T671" s="358">
        <f t="shared" ca="1" si="486"/>
        <v>1068.055621090836</v>
      </c>
      <c r="U671" s="358">
        <f t="shared" ca="1" si="486"/>
        <v>1167.8268211776131</v>
      </c>
      <c r="V671" s="358">
        <f t="shared" ca="1" si="486"/>
        <v>1270.6469307005696</v>
      </c>
      <c r="W671" s="358">
        <f t="shared" ca="1" si="486"/>
        <v>1386.8770227478014</v>
      </c>
      <c r="X671" s="358">
        <f t="shared" ca="1" si="486"/>
        <v>1506.7156347896364</v>
      </c>
      <c r="Y671" s="358">
        <f t="shared" ca="1" si="486"/>
        <v>1629.9875745697066</v>
      </c>
      <c r="Z671" s="358">
        <f t="shared" ca="1" si="486"/>
        <v>1756.5185895653899</v>
      </c>
      <c r="AA671" s="358">
        <f t="shared" ca="1" si="487"/>
        <v>1886.1353491898158</v>
      </c>
      <c r="AB671" s="358">
        <f t="shared" ca="1" si="487"/>
        <v>2034.5589998571897</v>
      </c>
      <c r="AC671" s="358">
        <f t="shared" ca="1" si="487"/>
        <v>2186.615950004149</v>
      </c>
      <c r="AD671" s="358">
        <f t="shared" ca="1" si="487"/>
        <v>2322.9258836745475</v>
      </c>
      <c r="AE671" s="358">
        <f t="shared" ca="1" si="487"/>
        <v>2442.7156855135895</v>
      </c>
      <c r="AF671" s="358">
        <f t="shared" ca="1" si="487"/>
        <v>2564.9651166755443</v>
      </c>
      <c r="AG671" s="358">
        <f t="shared" ca="1" si="487"/>
        <v>2707.9934914759033</v>
      </c>
      <c r="AH671" s="358">
        <f t="shared" ca="1" si="487"/>
        <v>2850.4001560202855</v>
      </c>
      <c r="AI671" s="358">
        <f t="shared" ca="1" si="487"/>
        <v>2991.8077102799457</v>
      </c>
      <c r="AJ671" s="358">
        <f t="shared" ca="1" si="487"/>
        <v>3131.9085802511522</v>
      </c>
      <c r="AK671" s="358">
        <f t="shared" ca="1" si="488"/>
        <v>3278.8412207530769</v>
      </c>
      <c r="AL671" s="358">
        <f t="shared" ca="1" si="488"/>
        <v>3421.1826665229623</v>
      </c>
      <c r="AM671" s="358">
        <f t="shared" ca="1" si="488"/>
        <v>3557.9774999551341</v>
      </c>
      <c r="AN671" s="358">
        <f t="shared" ca="1" si="488"/>
        <v>3711.8385285922391</v>
      </c>
      <c r="AO671" s="358">
        <f t="shared" ca="1" si="488"/>
        <v>3886.2432794547167</v>
      </c>
      <c r="AP671" s="358">
        <f t="shared" ca="1" si="488"/>
        <v>4086.1742813678479</v>
      </c>
      <c r="AQ671" s="358">
        <f t="shared" ca="1" si="488"/>
        <v>4299.5298308211732</v>
      </c>
      <c r="AR671" s="358">
        <f t="shared" ca="1" si="488"/>
        <v>4527.9900272758068</v>
      </c>
      <c r="AS671" s="358">
        <f t="shared" ca="1" si="488"/>
        <v>4773.376197351371</v>
      </c>
      <c r="AT671" s="358">
        <f t="shared" ca="1" si="488"/>
        <v>5037.6360801695519</v>
      </c>
      <c r="AV671" s="358">
        <f t="shared" ca="1" si="473"/>
        <v>2832.0271178649818</v>
      </c>
      <c r="AX671" s="358">
        <f t="shared" ca="1" si="474"/>
        <v>4873.9839679318557</v>
      </c>
      <c r="AZ671" s="358">
        <f t="shared" ca="1" si="475"/>
        <v>7550.7457523731027</v>
      </c>
      <c r="BB671" s="358">
        <f t="shared" ca="1" si="476"/>
        <v>10872.95186823929</v>
      </c>
      <c r="BD671" s="358">
        <f t="shared" ca="1" si="477"/>
        <v>14247.075054702831</v>
      </c>
      <c r="BF671" s="358">
        <f t="shared" ca="1" si="478"/>
        <v>17856.08319527813</v>
      </c>
      <c r="BH671" s="358">
        <f t="shared" ca="1" si="479"/>
        <v>22724.706416985751</v>
      </c>
    </row>
    <row r="672" spans="1:60" hidden="1" outlineLevel="1">
      <c r="A672" s="1464">
        <f t="shared" ca="1" si="480"/>
        <v>18</v>
      </c>
      <c r="B672" s="1464">
        <f t="shared" ca="1" si="481"/>
        <v>23</v>
      </c>
      <c r="C672" s="1464">
        <f t="shared" si="482"/>
        <v>16</v>
      </c>
      <c r="D672" s="1271" t="str">
        <f ca="1">IF(OFFSET(PortfolioDashboard!$A$3,C672-1,0)="","Blank",OFFSET(PortfolioDashboard!$A$3,C672-1,0))</f>
        <v>Geo Exchange</v>
      </c>
      <c r="E672" s="1464" t="str">
        <f t="shared" si="483"/>
        <v>2010$</v>
      </c>
      <c r="F672" s="1460">
        <f t="shared" ca="1" si="484"/>
        <v>611893.31510591356</v>
      </c>
      <c r="G672" s="358">
        <f t="shared" ca="1" si="485"/>
        <v>0</v>
      </c>
      <c r="H672" s="358">
        <f t="shared" ca="1" si="485"/>
        <v>0</v>
      </c>
      <c r="I672" s="358">
        <f t="shared" ca="1" si="485"/>
        <v>0</v>
      </c>
      <c r="J672" s="358">
        <f t="shared" ca="1" si="485"/>
        <v>0</v>
      </c>
      <c r="K672" s="358">
        <f t="shared" ca="1" si="485"/>
        <v>0</v>
      </c>
      <c r="L672" s="358">
        <f t="shared" ca="1" si="485"/>
        <v>13846.74311114145</v>
      </c>
      <c r="M672" s="358">
        <f t="shared" ca="1" si="485"/>
        <v>15983.350990743145</v>
      </c>
      <c r="N672" s="358">
        <f t="shared" ca="1" si="485"/>
        <v>18219.60496469793</v>
      </c>
      <c r="O672" s="358">
        <f t="shared" ca="1" si="485"/>
        <v>20552.416889425433</v>
      </c>
      <c r="P672" s="358">
        <f t="shared" ca="1" si="485"/>
        <v>22978.730811230114</v>
      </c>
      <c r="Q672" s="358">
        <f t="shared" ca="1" si="486"/>
        <v>25495.523696524338</v>
      </c>
      <c r="R672" s="358">
        <f t="shared" ca="1" si="486"/>
        <v>28399.236720083652</v>
      </c>
      <c r="S672" s="358">
        <f t="shared" ca="1" si="486"/>
        <v>31415.005882641046</v>
      </c>
      <c r="T672" s="358">
        <f t="shared" ca="1" si="486"/>
        <v>34538.312700814487</v>
      </c>
      <c r="U672" s="358">
        <f t="shared" ca="1" si="486"/>
        <v>37764.669867132485</v>
      </c>
      <c r="V672" s="358">
        <f t="shared" ca="1" si="486"/>
        <v>41089.621325193148</v>
      </c>
      <c r="W672" s="358">
        <f t="shared" ca="1" si="486"/>
        <v>44848.218897360537</v>
      </c>
      <c r="X672" s="358">
        <f t="shared" ca="1" si="486"/>
        <v>48723.507201264758</v>
      </c>
      <c r="Y672" s="358">
        <f t="shared" ca="1" si="486"/>
        <v>52709.820946808861</v>
      </c>
      <c r="Z672" s="358">
        <f t="shared" ca="1" si="486"/>
        <v>56801.525232592205</v>
      </c>
      <c r="AA672" s="358">
        <f t="shared" ca="1" si="487"/>
        <v>60993.014970366814</v>
      </c>
      <c r="AB672" s="358">
        <f t="shared" ca="1" si="487"/>
        <v>65792.673675135928</v>
      </c>
      <c r="AC672" s="358">
        <f t="shared" ca="1" si="487"/>
        <v>70709.824419723591</v>
      </c>
      <c r="AD672" s="358">
        <f t="shared" ca="1" si="487"/>
        <v>75117.75507461511</v>
      </c>
      <c r="AE672" s="358">
        <f t="shared" ca="1" si="487"/>
        <v>78991.46497565927</v>
      </c>
      <c r="AF672" s="358">
        <f t="shared" ca="1" si="487"/>
        <v>82944.713287442821</v>
      </c>
      <c r="AG672" s="358">
        <f t="shared" ca="1" si="487"/>
        <v>87569.901935295056</v>
      </c>
      <c r="AH672" s="358">
        <f t="shared" ca="1" si="487"/>
        <v>92174.985990459216</v>
      </c>
      <c r="AI672" s="358">
        <f t="shared" ca="1" si="487"/>
        <v>96747.761256872196</v>
      </c>
      <c r="AJ672" s="358">
        <f t="shared" ca="1" si="487"/>
        <v>101278.2815417424</v>
      </c>
      <c r="AK672" s="358">
        <f t="shared" ca="1" si="488"/>
        <v>106029.72461586694</v>
      </c>
      <c r="AL672" s="358">
        <f t="shared" ca="1" si="488"/>
        <v>110632.69965499949</v>
      </c>
      <c r="AM672" s="358">
        <f t="shared" ca="1" si="488"/>
        <v>115056.31078501794</v>
      </c>
      <c r="AN672" s="358">
        <f t="shared" ca="1" si="488"/>
        <v>120031.80102597548</v>
      </c>
      <c r="AO672" s="358">
        <f t="shared" ca="1" si="488"/>
        <v>125671.625116451</v>
      </c>
      <c r="AP672" s="358">
        <f t="shared" ca="1" si="488"/>
        <v>132136.90588114591</v>
      </c>
      <c r="AQ672" s="358">
        <f t="shared" ca="1" si="488"/>
        <v>139036.3037570233</v>
      </c>
      <c r="AR672" s="358">
        <f t="shared" ca="1" si="488"/>
        <v>146424.14906116651</v>
      </c>
      <c r="AS672" s="358">
        <f t="shared" ca="1" si="488"/>
        <v>154359.33905236665</v>
      </c>
      <c r="AT672" s="358">
        <f t="shared" ca="1" si="488"/>
        <v>162904.8588612818</v>
      </c>
      <c r="AV672" s="358">
        <f t="shared" ca="1" si="473"/>
        <v>91580.846767238079</v>
      </c>
      <c r="AX672" s="358">
        <f t="shared" ca="1" si="474"/>
        <v>157612.74886719603</v>
      </c>
      <c r="AZ672" s="358">
        <f t="shared" ca="1" si="475"/>
        <v>244172.69360321946</v>
      </c>
      <c r="BB672" s="358">
        <f t="shared" ca="1" si="476"/>
        <v>351604.73311550071</v>
      </c>
      <c r="BD672" s="358">
        <f t="shared" ca="1" si="477"/>
        <v>460715.6440118117</v>
      </c>
      <c r="BF672" s="358">
        <f t="shared" ca="1" si="478"/>
        <v>577422.16119831079</v>
      </c>
      <c r="BH672" s="358">
        <f t="shared" ca="1" si="479"/>
        <v>734861.55661298416</v>
      </c>
    </row>
    <row r="673" spans="1:60" hidden="1" outlineLevel="1">
      <c r="A673" s="1464">
        <f t="shared" ca="1" si="480"/>
        <v>18</v>
      </c>
      <c r="B673" s="1464">
        <f t="shared" ca="1" si="481"/>
        <v>23</v>
      </c>
      <c r="C673" s="1464">
        <f t="shared" si="482"/>
        <v>17</v>
      </c>
      <c r="D673" s="1271" t="str">
        <f ca="1">IF(OFFSET(PortfolioDashboard!$A$3,C673-1,0)="","Blank",OFFSET(PortfolioDashboard!$A$3,C673-1,0))</f>
        <v>Rooftop Solar PV</v>
      </c>
      <c r="E673" s="1464" t="str">
        <f t="shared" si="483"/>
        <v>2010$</v>
      </c>
      <c r="F673" s="1460">
        <f t="shared" ca="1" si="484"/>
        <v>223582.00080190477</v>
      </c>
      <c r="G673" s="358">
        <f t="shared" ca="1" si="485"/>
        <v>0</v>
      </c>
      <c r="H673" s="358">
        <f t="shared" ca="1" si="485"/>
        <v>0</v>
      </c>
      <c r="I673" s="358">
        <f t="shared" ca="1" si="485"/>
        <v>0</v>
      </c>
      <c r="J673" s="358">
        <f t="shared" ca="1" si="485"/>
        <v>0</v>
      </c>
      <c r="K673" s="358">
        <f t="shared" ca="1" si="485"/>
        <v>0</v>
      </c>
      <c r="L673" s="358">
        <f t="shared" ca="1" si="485"/>
        <v>5059.5135670719428</v>
      </c>
      <c r="M673" s="358">
        <f t="shared" ca="1" si="485"/>
        <v>5840.2167596991985</v>
      </c>
      <c r="N673" s="358">
        <f t="shared" ca="1" si="485"/>
        <v>6657.3300136844582</v>
      </c>
      <c r="O673" s="358">
        <f t="shared" ca="1" si="485"/>
        <v>7509.7249406250112</v>
      </c>
      <c r="P673" s="358">
        <f t="shared" ca="1" si="485"/>
        <v>8396.284914101283</v>
      </c>
      <c r="Q673" s="358">
        <f t="shared" ca="1" si="486"/>
        <v>9315.9053364957999</v>
      </c>
      <c r="R673" s="358">
        <f t="shared" ca="1" si="486"/>
        <v>10376.903964090818</v>
      </c>
      <c r="S673" s="358">
        <f t="shared" ca="1" si="486"/>
        <v>11478.847205952441</v>
      </c>
      <c r="T673" s="358">
        <f t="shared" ca="1" si="486"/>
        <v>12620.084036435834</v>
      </c>
      <c r="U673" s="358">
        <f t="shared" ca="1" si="486"/>
        <v>13798.974821379417</v>
      </c>
      <c r="V673" s="358">
        <f t="shared" ca="1" si="486"/>
        <v>15013.891345567525</v>
      </c>
      <c r="W673" s="358">
        <f t="shared" ca="1" si="486"/>
        <v>16387.259455086594</v>
      </c>
      <c r="X673" s="358">
        <f t="shared" ca="1" si="486"/>
        <v>17803.265630151858</v>
      </c>
      <c r="Y673" s="358">
        <f t="shared" ca="1" si="486"/>
        <v>19259.839809097764</v>
      </c>
      <c r="Z673" s="358">
        <f t="shared" ca="1" si="486"/>
        <v>20754.923034098869</v>
      </c>
      <c r="AA673" s="358">
        <f t="shared" ca="1" si="487"/>
        <v>22286.467240869762</v>
      </c>
      <c r="AB673" s="358">
        <f t="shared" ca="1" si="487"/>
        <v>24040.232594872377</v>
      </c>
      <c r="AC673" s="358">
        <f t="shared" ca="1" si="487"/>
        <v>25836.928807396271</v>
      </c>
      <c r="AD673" s="358">
        <f t="shared" ca="1" si="487"/>
        <v>27447.559175283375</v>
      </c>
      <c r="AE673" s="358">
        <f t="shared" ca="1" si="487"/>
        <v>28862.988611788482</v>
      </c>
      <c r="AF673" s="358">
        <f t="shared" ca="1" si="487"/>
        <v>30307.480887475991</v>
      </c>
      <c r="AG673" s="358">
        <f t="shared" ca="1" si="487"/>
        <v>31997.495970896318</v>
      </c>
      <c r="AH673" s="358">
        <f t="shared" ca="1" si="487"/>
        <v>33680.16496154599</v>
      </c>
      <c r="AI673" s="358">
        <f t="shared" ca="1" si="487"/>
        <v>35351.02852230431</v>
      </c>
      <c r="AJ673" s="358">
        <f t="shared" ca="1" si="487"/>
        <v>37006.452376362206</v>
      </c>
      <c r="AK673" s="358">
        <f t="shared" ca="1" si="488"/>
        <v>38742.600039660734</v>
      </c>
      <c r="AL673" s="358">
        <f t="shared" ca="1" si="488"/>
        <v>40424.498409006941</v>
      </c>
      <c r="AM673" s="358">
        <f t="shared" ca="1" si="488"/>
        <v>42040.858324702218</v>
      </c>
      <c r="AN673" s="358">
        <f t="shared" ca="1" si="488"/>
        <v>43858.871425321049</v>
      </c>
      <c r="AO673" s="358">
        <f t="shared" ca="1" si="488"/>
        <v>45919.627970930698</v>
      </c>
      <c r="AP673" s="358">
        <f t="shared" ca="1" si="488"/>
        <v>48282.001236712087</v>
      </c>
      <c r="AQ673" s="358">
        <f t="shared" ca="1" si="488"/>
        <v>50802.998187218189</v>
      </c>
      <c r="AR673" s="358">
        <f t="shared" ca="1" si="488"/>
        <v>53502.470781438933</v>
      </c>
      <c r="AS673" s="358">
        <f t="shared" ca="1" si="488"/>
        <v>56401.939710379083</v>
      </c>
      <c r="AT673" s="358">
        <f t="shared" ca="1" si="488"/>
        <v>59524.419347926443</v>
      </c>
      <c r="AV673" s="358">
        <f t="shared" ca="1" si="473"/>
        <v>33463.070195181892</v>
      </c>
      <c r="AX673" s="358">
        <f t="shared" ca="1" si="474"/>
        <v>57590.715364354306</v>
      </c>
      <c r="AZ673" s="358">
        <f t="shared" ca="1" si="475"/>
        <v>89219.179274002614</v>
      </c>
      <c r="BB673" s="358">
        <f t="shared" ca="1" si="476"/>
        <v>128474.17643021027</v>
      </c>
      <c r="BD673" s="358">
        <f t="shared" ca="1" si="477"/>
        <v>168342.62271858481</v>
      </c>
      <c r="BF673" s="358">
        <f t="shared" ca="1" si="478"/>
        <v>210986.45616962167</v>
      </c>
      <c r="BH673" s="358">
        <f t="shared" ca="1" si="479"/>
        <v>268513.82926367474</v>
      </c>
    </row>
    <row r="674" spans="1:60" hidden="1" outlineLevel="1">
      <c r="A674" s="1464">
        <f t="shared" ca="1" si="480"/>
        <v>18</v>
      </c>
      <c r="B674" s="1464">
        <f t="shared" ca="1" si="481"/>
        <v>23</v>
      </c>
      <c r="C674" s="1464">
        <f t="shared" si="482"/>
        <v>18</v>
      </c>
      <c r="D674" s="1271" t="str">
        <f ca="1">IF(OFFSET(PortfolioDashboard!$A$3,C674-1,0)="","Blank",OFFSET(PortfolioDashboard!$A$3,C674-1,0))</f>
        <v>Blank</v>
      </c>
      <c r="E674" s="1464" t="str">
        <f t="shared" si="483"/>
        <v>2010$</v>
      </c>
      <c r="F674" s="1460">
        <f t="shared" ca="1" si="484"/>
        <v>0</v>
      </c>
      <c r="G674" s="358">
        <f t="shared" ca="1" si="485"/>
        <v>0</v>
      </c>
      <c r="H674" s="358">
        <f t="shared" ca="1" si="485"/>
        <v>0</v>
      </c>
      <c r="I674" s="358">
        <f t="shared" ca="1" si="485"/>
        <v>0</v>
      </c>
      <c r="J674" s="358">
        <f t="shared" ca="1" si="485"/>
        <v>0</v>
      </c>
      <c r="K674" s="358">
        <f t="shared" ca="1" si="485"/>
        <v>0</v>
      </c>
      <c r="L674" s="358">
        <f t="shared" ca="1" si="485"/>
        <v>0</v>
      </c>
      <c r="M674" s="358">
        <f t="shared" ca="1" si="485"/>
        <v>0</v>
      </c>
      <c r="N674" s="358">
        <f t="shared" ca="1" si="485"/>
        <v>0</v>
      </c>
      <c r="O674" s="358">
        <f t="shared" ca="1" si="485"/>
        <v>0</v>
      </c>
      <c r="P674" s="358">
        <f t="shared" ca="1" si="485"/>
        <v>0</v>
      </c>
      <c r="Q674" s="358">
        <f t="shared" ca="1" si="486"/>
        <v>0</v>
      </c>
      <c r="R674" s="358">
        <f t="shared" ca="1" si="486"/>
        <v>0</v>
      </c>
      <c r="S674" s="358">
        <f t="shared" ca="1" si="486"/>
        <v>0</v>
      </c>
      <c r="T674" s="358">
        <f t="shared" ca="1" si="486"/>
        <v>0</v>
      </c>
      <c r="U674" s="358">
        <f t="shared" ca="1" si="486"/>
        <v>0</v>
      </c>
      <c r="V674" s="358">
        <f t="shared" ca="1" si="486"/>
        <v>0</v>
      </c>
      <c r="W674" s="358">
        <f t="shared" ca="1" si="486"/>
        <v>0</v>
      </c>
      <c r="X674" s="358">
        <f t="shared" ca="1" si="486"/>
        <v>0</v>
      </c>
      <c r="Y674" s="358">
        <f t="shared" ca="1" si="486"/>
        <v>0</v>
      </c>
      <c r="Z674" s="358">
        <f t="shared" ca="1" si="486"/>
        <v>0</v>
      </c>
      <c r="AA674" s="358">
        <f t="shared" ca="1" si="487"/>
        <v>0</v>
      </c>
      <c r="AB674" s="358">
        <f t="shared" ca="1" si="487"/>
        <v>0</v>
      </c>
      <c r="AC674" s="358">
        <f t="shared" ca="1" si="487"/>
        <v>0</v>
      </c>
      <c r="AD674" s="358">
        <f t="shared" ca="1" si="487"/>
        <v>0</v>
      </c>
      <c r="AE674" s="358">
        <f t="shared" ca="1" si="487"/>
        <v>0</v>
      </c>
      <c r="AF674" s="358">
        <f t="shared" ca="1" si="487"/>
        <v>0</v>
      </c>
      <c r="AG674" s="358">
        <f t="shared" ca="1" si="487"/>
        <v>0</v>
      </c>
      <c r="AH674" s="358">
        <f t="shared" ca="1" si="487"/>
        <v>0</v>
      </c>
      <c r="AI674" s="358">
        <f t="shared" ca="1" si="487"/>
        <v>0</v>
      </c>
      <c r="AJ674" s="358">
        <f t="shared" ca="1" si="487"/>
        <v>0</v>
      </c>
      <c r="AK674" s="358">
        <f t="shared" ca="1" si="488"/>
        <v>0</v>
      </c>
      <c r="AL674" s="358">
        <f t="shared" ca="1" si="488"/>
        <v>0</v>
      </c>
      <c r="AM674" s="358">
        <f t="shared" ca="1" si="488"/>
        <v>0</v>
      </c>
      <c r="AN674" s="358">
        <f t="shared" ca="1" si="488"/>
        <v>0</v>
      </c>
      <c r="AO674" s="358">
        <f t="shared" ca="1" si="488"/>
        <v>0</v>
      </c>
      <c r="AP674" s="358">
        <f t="shared" ca="1" si="488"/>
        <v>0</v>
      </c>
      <c r="AQ674" s="358">
        <f t="shared" ca="1" si="488"/>
        <v>0</v>
      </c>
      <c r="AR674" s="358">
        <f t="shared" ca="1" si="488"/>
        <v>0</v>
      </c>
      <c r="AS674" s="358">
        <f t="shared" ca="1" si="488"/>
        <v>0</v>
      </c>
      <c r="AT674" s="358">
        <f t="shared" ca="1" si="488"/>
        <v>0</v>
      </c>
      <c r="AV674" s="358">
        <f t="shared" ca="1" si="473"/>
        <v>0</v>
      </c>
      <c r="AX674" s="358">
        <f t="shared" ca="1" si="474"/>
        <v>0</v>
      </c>
      <c r="AZ674" s="358">
        <f t="shared" ca="1" si="475"/>
        <v>0</v>
      </c>
      <c r="BB674" s="358">
        <f t="shared" ca="1" si="476"/>
        <v>0</v>
      </c>
      <c r="BD674" s="358">
        <f t="shared" ca="1" si="477"/>
        <v>0</v>
      </c>
      <c r="BF674" s="358">
        <f t="shared" ca="1" si="478"/>
        <v>0</v>
      </c>
      <c r="BH674" s="358">
        <f t="shared" ca="1" si="479"/>
        <v>0</v>
      </c>
    </row>
    <row r="675" spans="1:60" hidden="1" outlineLevel="1">
      <c r="A675" s="1464">
        <f t="shared" ca="1" si="480"/>
        <v>18</v>
      </c>
      <c r="B675" s="1464">
        <f t="shared" ca="1" si="481"/>
        <v>23</v>
      </c>
      <c r="C675" s="1464">
        <f t="shared" si="482"/>
        <v>19</v>
      </c>
      <c r="D675" s="1271" t="str">
        <f ca="1">IF(OFFSET(PortfolioDashboard!$A$3,C675-1,0)="","Blank",OFFSET(PortfolioDashboard!$A$3,C675-1,0))</f>
        <v>Blank</v>
      </c>
      <c r="E675" s="1464" t="str">
        <f t="shared" si="483"/>
        <v>2010$</v>
      </c>
      <c r="F675" s="1460">
        <f t="shared" ca="1" si="484"/>
        <v>0</v>
      </c>
      <c r="G675" s="358">
        <f t="shared" ca="1" si="485"/>
        <v>0</v>
      </c>
      <c r="H675" s="358">
        <f t="shared" ca="1" si="485"/>
        <v>0</v>
      </c>
      <c r="I675" s="358">
        <f t="shared" ca="1" si="485"/>
        <v>0</v>
      </c>
      <c r="J675" s="358">
        <f t="shared" ca="1" si="485"/>
        <v>0</v>
      </c>
      <c r="K675" s="358">
        <f t="shared" ca="1" si="485"/>
        <v>0</v>
      </c>
      <c r="L675" s="358">
        <f t="shared" ca="1" si="485"/>
        <v>0</v>
      </c>
      <c r="M675" s="358">
        <f t="shared" ca="1" si="485"/>
        <v>0</v>
      </c>
      <c r="N675" s="358">
        <f t="shared" ca="1" si="485"/>
        <v>0</v>
      </c>
      <c r="O675" s="358">
        <f t="shared" ca="1" si="485"/>
        <v>0</v>
      </c>
      <c r="P675" s="358">
        <f t="shared" ca="1" si="485"/>
        <v>0</v>
      </c>
      <c r="Q675" s="358">
        <f t="shared" ca="1" si="486"/>
        <v>0</v>
      </c>
      <c r="R675" s="358">
        <f t="shared" ca="1" si="486"/>
        <v>0</v>
      </c>
      <c r="S675" s="358">
        <f t="shared" ca="1" si="486"/>
        <v>0</v>
      </c>
      <c r="T675" s="358">
        <f t="shared" ca="1" si="486"/>
        <v>0</v>
      </c>
      <c r="U675" s="358">
        <f t="shared" ca="1" si="486"/>
        <v>0</v>
      </c>
      <c r="V675" s="358">
        <f t="shared" ca="1" si="486"/>
        <v>0</v>
      </c>
      <c r="W675" s="358">
        <f t="shared" ca="1" si="486"/>
        <v>0</v>
      </c>
      <c r="X675" s="358">
        <f t="shared" ca="1" si="486"/>
        <v>0</v>
      </c>
      <c r="Y675" s="358">
        <f t="shared" ca="1" si="486"/>
        <v>0</v>
      </c>
      <c r="Z675" s="358">
        <f t="shared" ca="1" si="486"/>
        <v>0</v>
      </c>
      <c r="AA675" s="358">
        <f t="shared" ca="1" si="487"/>
        <v>0</v>
      </c>
      <c r="AB675" s="358">
        <f t="shared" ca="1" si="487"/>
        <v>0</v>
      </c>
      <c r="AC675" s="358">
        <f t="shared" ca="1" si="487"/>
        <v>0</v>
      </c>
      <c r="AD675" s="358">
        <f t="shared" ca="1" si="487"/>
        <v>0</v>
      </c>
      <c r="AE675" s="358">
        <f t="shared" ca="1" si="487"/>
        <v>0</v>
      </c>
      <c r="AF675" s="358">
        <f t="shared" ca="1" si="487"/>
        <v>0</v>
      </c>
      <c r="AG675" s="358">
        <f t="shared" ca="1" si="487"/>
        <v>0</v>
      </c>
      <c r="AH675" s="358">
        <f t="shared" ca="1" si="487"/>
        <v>0</v>
      </c>
      <c r="AI675" s="358">
        <f t="shared" ca="1" si="487"/>
        <v>0</v>
      </c>
      <c r="AJ675" s="358">
        <f t="shared" ca="1" si="487"/>
        <v>0</v>
      </c>
      <c r="AK675" s="358">
        <f t="shared" ca="1" si="488"/>
        <v>0</v>
      </c>
      <c r="AL675" s="358">
        <f t="shared" ca="1" si="488"/>
        <v>0</v>
      </c>
      <c r="AM675" s="358">
        <f t="shared" ca="1" si="488"/>
        <v>0</v>
      </c>
      <c r="AN675" s="358">
        <f t="shared" ca="1" si="488"/>
        <v>0</v>
      </c>
      <c r="AO675" s="358">
        <f t="shared" ca="1" si="488"/>
        <v>0</v>
      </c>
      <c r="AP675" s="358">
        <f t="shared" ca="1" si="488"/>
        <v>0</v>
      </c>
      <c r="AQ675" s="358">
        <f t="shared" ca="1" si="488"/>
        <v>0</v>
      </c>
      <c r="AR675" s="358">
        <f t="shared" ca="1" si="488"/>
        <v>0</v>
      </c>
      <c r="AS675" s="358">
        <f t="shared" ca="1" si="488"/>
        <v>0</v>
      </c>
      <c r="AT675" s="358">
        <f t="shared" ca="1" si="488"/>
        <v>0</v>
      </c>
      <c r="AV675" s="358">
        <f t="shared" ca="1" si="473"/>
        <v>0</v>
      </c>
      <c r="AX675" s="358">
        <f t="shared" ca="1" si="474"/>
        <v>0</v>
      </c>
      <c r="AZ675" s="358">
        <f t="shared" ca="1" si="475"/>
        <v>0</v>
      </c>
      <c r="BB675" s="358">
        <f t="shared" ca="1" si="476"/>
        <v>0</v>
      </c>
      <c r="BD675" s="358">
        <f t="shared" ca="1" si="477"/>
        <v>0</v>
      </c>
      <c r="BF675" s="358">
        <f t="shared" ca="1" si="478"/>
        <v>0</v>
      </c>
      <c r="BH675" s="358">
        <f t="shared" ca="1" si="479"/>
        <v>0</v>
      </c>
    </row>
    <row r="676" spans="1:60" hidden="1" outlineLevel="1">
      <c r="A676" s="1464">
        <f t="shared" ca="1" si="480"/>
        <v>18</v>
      </c>
      <c r="B676" s="1464">
        <f t="shared" ca="1" si="481"/>
        <v>23</v>
      </c>
      <c r="C676" s="1464">
        <f t="shared" si="482"/>
        <v>20</v>
      </c>
      <c r="D676" s="1271" t="str">
        <f ca="1">IF(OFFSET(PortfolioDashboard!$A$3,C676-1,0)="","Blank",OFFSET(PortfolioDashboard!$A$3,C676-1,0))</f>
        <v>Blank</v>
      </c>
      <c r="E676" s="1464" t="str">
        <f t="shared" si="483"/>
        <v>2010$</v>
      </c>
      <c r="F676" s="1460">
        <f t="shared" ca="1" si="484"/>
        <v>0</v>
      </c>
      <c r="G676" s="358">
        <f t="shared" ca="1" si="485"/>
        <v>0</v>
      </c>
      <c r="H676" s="358">
        <f t="shared" ca="1" si="485"/>
        <v>0</v>
      </c>
      <c r="I676" s="358">
        <f t="shared" ca="1" si="485"/>
        <v>0</v>
      </c>
      <c r="J676" s="358">
        <f t="shared" ca="1" si="485"/>
        <v>0</v>
      </c>
      <c r="K676" s="358">
        <f t="shared" ca="1" si="485"/>
        <v>0</v>
      </c>
      <c r="L676" s="358">
        <f t="shared" ca="1" si="485"/>
        <v>0</v>
      </c>
      <c r="M676" s="358">
        <f t="shared" ca="1" si="485"/>
        <v>0</v>
      </c>
      <c r="N676" s="358">
        <f t="shared" ca="1" si="485"/>
        <v>0</v>
      </c>
      <c r="O676" s="358">
        <f t="shared" ca="1" si="485"/>
        <v>0</v>
      </c>
      <c r="P676" s="358">
        <f t="shared" ca="1" si="485"/>
        <v>0</v>
      </c>
      <c r="Q676" s="358">
        <f t="shared" ca="1" si="486"/>
        <v>0</v>
      </c>
      <c r="R676" s="358">
        <f t="shared" ca="1" si="486"/>
        <v>0</v>
      </c>
      <c r="S676" s="358">
        <f t="shared" ca="1" si="486"/>
        <v>0</v>
      </c>
      <c r="T676" s="358">
        <f t="shared" ca="1" si="486"/>
        <v>0</v>
      </c>
      <c r="U676" s="358">
        <f t="shared" ca="1" si="486"/>
        <v>0</v>
      </c>
      <c r="V676" s="358">
        <f t="shared" ca="1" si="486"/>
        <v>0</v>
      </c>
      <c r="W676" s="358">
        <f t="shared" ca="1" si="486"/>
        <v>0</v>
      </c>
      <c r="X676" s="358">
        <f t="shared" ca="1" si="486"/>
        <v>0</v>
      </c>
      <c r="Y676" s="358">
        <f t="shared" ca="1" si="486"/>
        <v>0</v>
      </c>
      <c r="Z676" s="358">
        <f t="shared" ca="1" si="486"/>
        <v>0</v>
      </c>
      <c r="AA676" s="358">
        <f t="shared" ca="1" si="487"/>
        <v>0</v>
      </c>
      <c r="AB676" s="358">
        <f t="shared" ca="1" si="487"/>
        <v>0</v>
      </c>
      <c r="AC676" s="358">
        <f t="shared" ca="1" si="487"/>
        <v>0</v>
      </c>
      <c r="AD676" s="358">
        <f t="shared" ca="1" si="487"/>
        <v>0</v>
      </c>
      <c r="AE676" s="358">
        <f t="shared" ca="1" si="487"/>
        <v>0</v>
      </c>
      <c r="AF676" s="358">
        <f t="shared" ca="1" si="487"/>
        <v>0</v>
      </c>
      <c r="AG676" s="358">
        <f t="shared" ca="1" si="487"/>
        <v>0</v>
      </c>
      <c r="AH676" s="358">
        <f t="shared" ca="1" si="487"/>
        <v>0</v>
      </c>
      <c r="AI676" s="358">
        <f t="shared" ca="1" si="487"/>
        <v>0</v>
      </c>
      <c r="AJ676" s="358">
        <f t="shared" ca="1" si="487"/>
        <v>0</v>
      </c>
      <c r="AK676" s="358">
        <f t="shared" ca="1" si="488"/>
        <v>0</v>
      </c>
      <c r="AL676" s="358">
        <f t="shared" ca="1" si="488"/>
        <v>0</v>
      </c>
      <c r="AM676" s="358">
        <f t="shared" ca="1" si="488"/>
        <v>0</v>
      </c>
      <c r="AN676" s="358">
        <f t="shared" ca="1" si="488"/>
        <v>0</v>
      </c>
      <c r="AO676" s="358">
        <f t="shared" ca="1" si="488"/>
        <v>0</v>
      </c>
      <c r="AP676" s="358">
        <f t="shared" ca="1" si="488"/>
        <v>0</v>
      </c>
      <c r="AQ676" s="358">
        <f t="shared" ca="1" si="488"/>
        <v>0</v>
      </c>
      <c r="AR676" s="358">
        <f t="shared" ca="1" si="488"/>
        <v>0</v>
      </c>
      <c r="AS676" s="358">
        <f t="shared" ca="1" si="488"/>
        <v>0</v>
      </c>
      <c r="AT676" s="358">
        <f t="shared" ca="1" si="488"/>
        <v>0</v>
      </c>
      <c r="AV676" s="358">
        <f t="shared" ca="1" si="473"/>
        <v>0</v>
      </c>
      <c r="AX676" s="358">
        <f t="shared" ca="1" si="474"/>
        <v>0</v>
      </c>
      <c r="AZ676" s="358">
        <f t="shared" ca="1" si="475"/>
        <v>0</v>
      </c>
      <c r="BB676" s="358">
        <f t="shared" ca="1" si="476"/>
        <v>0</v>
      </c>
      <c r="BD676" s="358">
        <f t="shared" ca="1" si="477"/>
        <v>0</v>
      </c>
      <c r="BF676" s="358">
        <f t="shared" ca="1" si="478"/>
        <v>0</v>
      </c>
      <c r="BH676" s="358">
        <f t="shared" ca="1" si="479"/>
        <v>0</v>
      </c>
    </row>
    <row r="677" spans="1:60" hidden="1" outlineLevel="1">
      <c r="A677" s="1464">
        <f t="shared" ca="1" si="480"/>
        <v>18</v>
      </c>
      <c r="B677" s="1464">
        <f t="shared" ca="1" si="481"/>
        <v>23</v>
      </c>
      <c r="C677" s="1464">
        <f t="shared" si="482"/>
        <v>21</v>
      </c>
      <c r="D677" s="1271" t="str">
        <f ca="1">IF(OFFSET(PortfolioDashboard!$A$3,C677-1,0)="","Blank",OFFSET(PortfolioDashboard!$A$3,C677-1,0))</f>
        <v>Blank</v>
      </c>
      <c r="E677" s="1464" t="str">
        <f t="shared" si="483"/>
        <v>2010$</v>
      </c>
      <c r="F677" s="1460">
        <f t="shared" ca="1" si="484"/>
        <v>0</v>
      </c>
      <c r="G677" s="358">
        <f t="shared" ref="G677:P686" ca="1" si="489">IFERROR(OFFSET(INDIRECT(INDEX(List_of_Alternatives,MATCH($D677,NameofAlternatives,0))),$A677+G$1-$G$1,$B677),0)</f>
        <v>0</v>
      </c>
      <c r="H677" s="358">
        <f t="shared" ca="1" si="489"/>
        <v>0</v>
      </c>
      <c r="I677" s="358">
        <f t="shared" ca="1" si="489"/>
        <v>0</v>
      </c>
      <c r="J677" s="358">
        <f t="shared" ca="1" si="489"/>
        <v>0</v>
      </c>
      <c r="K677" s="358">
        <f t="shared" ca="1" si="489"/>
        <v>0</v>
      </c>
      <c r="L677" s="358">
        <f t="shared" ca="1" si="489"/>
        <v>0</v>
      </c>
      <c r="M677" s="358">
        <f t="shared" ca="1" si="489"/>
        <v>0</v>
      </c>
      <c r="N677" s="358">
        <f t="shared" ca="1" si="489"/>
        <v>0</v>
      </c>
      <c r="O677" s="358">
        <f t="shared" ca="1" si="489"/>
        <v>0</v>
      </c>
      <c r="P677" s="358">
        <f t="shared" ca="1" si="489"/>
        <v>0</v>
      </c>
      <c r="Q677" s="358">
        <f t="shared" ref="Q677:Z686" ca="1" si="490">IFERROR(OFFSET(INDIRECT(INDEX(List_of_Alternatives,MATCH($D677,NameofAlternatives,0))),$A677+Q$1-$G$1,$B677),0)</f>
        <v>0</v>
      </c>
      <c r="R677" s="358">
        <f t="shared" ca="1" si="490"/>
        <v>0</v>
      </c>
      <c r="S677" s="358">
        <f t="shared" ca="1" si="490"/>
        <v>0</v>
      </c>
      <c r="T677" s="358">
        <f t="shared" ca="1" si="490"/>
        <v>0</v>
      </c>
      <c r="U677" s="358">
        <f t="shared" ca="1" si="490"/>
        <v>0</v>
      </c>
      <c r="V677" s="358">
        <f t="shared" ca="1" si="490"/>
        <v>0</v>
      </c>
      <c r="W677" s="358">
        <f t="shared" ca="1" si="490"/>
        <v>0</v>
      </c>
      <c r="X677" s="358">
        <f t="shared" ca="1" si="490"/>
        <v>0</v>
      </c>
      <c r="Y677" s="358">
        <f t="shared" ca="1" si="490"/>
        <v>0</v>
      </c>
      <c r="Z677" s="358">
        <f t="shared" ca="1" si="490"/>
        <v>0</v>
      </c>
      <c r="AA677" s="358">
        <f t="shared" ref="AA677:AJ686" ca="1" si="491">IFERROR(OFFSET(INDIRECT(INDEX(List_of_Alternatives,MATCH($D677,NameofAlternatives,0))),$A677+AA$1-$G$1,$B677),0)</f>
        <v>0</v>
      </c>
      <c r="AB677" s="358">
        <f t="shared" ca="1" si="491"/>
        <v>0</v>
      </c>
      <c r="AC677" s="358">
        <f t="shared" ca="1" si="491"/>
        <v>0</v>
      </c>
      <c r="AD677" s="358">
        <f t="shared" ca="1" si="491"/>
        <v>0</v>
      </c>
      <c r="AE677" s="358">
        <f t="shared" ca="1" si="491"/>
        <v>0</v>
      </c>
      <c r="AF677" s="358">
        <f t="shared" ca="1" si="491"/>
        <v>0</v>
      </c>
      <c r="AG677" s="358">
        <f t="shared" ca="1" si="491"/>
        <v>0</v>
      </c>
      <c r="AH677" s="358">
        <f t="shared" ca="1" si="491"/>
        <v>0</v>
      </c>
      <c r="AI677" s="358">
        <f t="shared" ca="1" si="491"/>
        <v>0</v>
      </c>
      <c r="AJ677" s="358">
        <f t="shared" ca="1" si="491"/>
        <v>0</v>
      </c>
      <c r="AK677" s="358">
        <f t="shared" ref="AK677:AT686" ca="1" si="492">IFERROR(OFFSET(INDIRECT(INDEX(List_of_Alternatives,MATCH($D677,NameofAlternatives,0))),$A677+AK$1-$G$1,$B677),0)</f>
        <v>0</v>
      </c>
      <c r="AL677" s="358">
        <f t="shared" ca="1" si="492"/>
        <v>0</v>
      </c>
      <c r="AM677" s="358">
        <f t="shared" ca="1" si="492"/>
        <v>0</v>
      </c>
      <c r="AN677" s="358">
        <f t="shared" ca="1" si="492"/>
        <v>0</v>
      </c>
      <c r="AO677" s="358">
        <f t="shared" ca="1" si="492"/>
        <v>0</v>
      </c>
      <c r="AP677" s="358">
        <f t="shared" ca="1" si="492"/>
        <v>0</v>
      </c>
      <c r="AQ677" s="358">
        <f t="shared" ca="1" si="492"/>
        <v>0</v>
      </c>
      <c r="AR677" s="358">
        <f t="shared" ca="1" si="492"/>
        <v>0</v>
      </c>
      <c r="AS677" s="358">
        <f t="shared" ca="1" si="492"/>
        <v>0</v>
      </c>
      <c r="AT677" s="358">
        <f t="shared" ca="1" si="492"/>
        <v>0</v>
      </c>
      <c r="AV677" s="358">
        <f t="shared" ca="1" si="473"/>
        <v>0</v>
      </c>
      <c r="AX677" s="358">
        <f t="shared" ca="1" si="474"/>
        <v>0</v>
      </c>
      <c r="AZ677" s="358">
        <f t="shared" ca="1" si="475"/>
        <v>0</v>
      </c>
      <c r="BB677" s="358">
        <f t="shared" ca="1" si="476"/>
        <v>0</v>
      </c>
      <c r="BD677" s="358">
        <f t="shared" ca="1" si="477"/>
        <v>0</v>
      </c>
      <c r="BF677" s="358">
        <f t="shared" ca="1" si="478"/>
        <v>0</v>
      </c>
      <c r="BH677" s="358">
        <f t="shared" ca="1" si="479"/>
        <v>0</v>
      </c>
    </row>
    <row r="678" spans="1:60" hidden="1" outlineLevel="1">
      <c r="A678" s="1464">
        <f t="shared" ca="1" si="480"/>
        <v>18</v>
      </c>
      <c r="B678" s="1464">
        <f t="shared" ca="1" si="481"/>
        <v>23</v>
      </c>
      <c r="C678" s="1464">
        <f t="shared" si="482"/>
        <v>22</v>
      </c>
      <c r="D678" s="1271" t="str">
        <f ca="1">IF(OFFSET(PortfolioDashboard!$A$3,C678-1,0)="","Blank",OFFSET(PortfolioDashboard!$A$3,C678-1,0))</f>
        <v>Blank</v>
      </c>
      <c r="E678" s="1464" t="str">
        <f t="shared" si="483"/>
        <v>2010$</v>
      </c>
      <c r="F678" s="1460">
        <f t="shared" ca="1" si="484"/>
        <v>0</v>
      </c>
      <c r="G678" s="358">
        <f t="shared" ca="1" si="489"/>
        <v>0</v>
      </c>
      <c r="H678" s="358">
        <f t="shared" ca="1" si="489"/>
        <v>0</v>
      </c>
      <c r="I678" s="358">
        <f t="shared" ca="1" si="489"/>
        <v>0</v>
      </c>
      <c r="J678" s="358">
        <f t="shared" ca="1" si="489"/>
        <v>0</v>
      </c>
      <c r="K678" s="358">
        <f t="shared" ca="1" si="489"/>
        <v>0</v>
      </c>
      <c r="L678" s="358">
        <f t="shared" ca="1" si="489"/>
        <v>0</v>
      </c>
      <c r="M678" s="358">
        <f t="shared" ca="1" si="489"/>
        <v>0</v>
      </c>
      <c r="N678" s="358">
        <f t="shared" ca="1" si="489"/>
        <v>0</v>
      </c>
      <c r="O678" s="358">
        <f t="shared" ca="1" si="489"/>
        <v>0</v>
      </c>
      <c r="P678" s="358">
        <f t="shared" ca="1" si="489"/>
        <v>0</v>
      </c>
      <c r="Q678" s="358">
        <f t="shared" ca="1" si="490"/>
        <v>0</v>
      </c>
      <c r="R678" s="358">
        <f t="shared" ca="1" si="490"/>
        <v>0</v>
      </c>
      <c r="S678" s="358">
        <f t="shared" ca="1" si="490"/>
        <v>0</v>
      </c>
      <c r="T678" s="358">
        <f t="shared" ca="1" si="490"/>
        <v>0</v>
      </c>
      <c r="U678" s="358">
        <f t="shared" ca="1" si="490"/>
        <v>0</v>
      </c>
      <c r="V678" s="358">
        <f t="shared" ca="1" si="490"/>
        <v>0</v>
      </c>
      <c r="W678" s="358">
        <f t="shared" ca="1" si="490"/>
        <v>0</v>
      </c>
      <c r="X678" s="358">
        <f t="shared" ca="1" si="490"/>
        <v>0</v>
      </c>
      <c r="Y678" s="358">
        <f t="shared" ca="1" si="490"/>
        <v>0</v>
      </c>
      <c r="Z678" s="358">
        <f t="shared" ca="1" si="490"/>
        <v>0</v>
      </c>
      <c r="AA678" s="358">
        <f t="shared" ca="1" si="491"/>
        <v>0</v>
      </c>
      <c r="AB678" s="358">
        <f t="shared" ca="1" si="491"/>
        <v>0</v>
      </c>
      <c r="AC678" s="358">
        <f t="shared" ca="1" si="491"/>
        <v>0</v>
      </c>
      <c r="AD678" s="358">
        <f t="shared" ca="1" si="491"/>
        <v>0</v>
      </c>
      <c r="AE678" s="358">
        <f t="shared" ca="1" si="491"/>
        <v>0</v>
      </c>
      <c r="AF678" s="358">
        <f t="shared" ca="1" si="491"/>
        <v>0</v>
      </c>
      <c r="AG678" s="358">
        <f t="shared" ca="1" si="491"/>
        <v>0</v>
      </c>
      <c r="AH678" s="358">
        <f t="shared" ca="1" si="491"/>
        <v>0</v>
      </c>
      <c r="AI678" s="358">
        <f t="shared" ca="1" si="491"/>
        <v>0</v>
      </c>
      <c r="AJ678" s="358">
        <f t="shared" ca="1" si="491"/>
        <v>0</v>
      </c>
      <c r="AK678" s="358">
        <f t="shared" ca="1" si="492"/>
        <v>0</v>
      </c>
      <c r="AL678" s="358">
        <f t="shared" ca="1" si="492"/>
        <v>0</v>
      </c>
      <c r="AM678" s="358">
        <f t="shared" ca="1" si="492"/>
        <v>0</v>
      </c>
      <c r="AN678" s="358">
        <f t="shared" ca="1" si="492"/>
        <v>0</v>
      </c>
      <c r="AO678" s="358">
        <f t="shared" ca="1" si="492"/>
        <v>0</v>
      </c>
      <c r="AP678" s="358">
        <f t="shared" ca="1" si="492"/>
        <v>0</v>
      </c>
      <c r="AQ678" s="358">
        <f t="shared" ca="1" si="492"/>
        <v>0</v>
      </c>
      <c r="AR678" s="358">
        <f t="shared" ca="1" si="492"/>
        <v>0</v>
      </c>
      <c r="AS678" s="358">
        <f t="shared" ca="1" si="492"/>
        <v>0</v>
      </c>
      <c r="AT678" s="358">
        <f t="shared" ca="1" si="492"/>
        <v>0</v>
      </c>
      <c r="AV678" s="358">
        <f t="shared" ca="1" si="473"/>
        <v>0</v>
      </c>
      <c r="AX678" s="358">
        <f t="shared" ca="1" si="474"/>
        <v>0</v>
      </c>
      <c r="AZ678" s="358">
        <f t="shared" ca="1" si="475"/>
        <v>0</v>
      </c>
      <c r="BB678" s="358">
        <f t="shared" ca="1" si="476"/>
        <v>0</v>
      </c>
      <c r="BD678" s="358">
        <f t="shared" ca="1" si="477"/>
        <v>0</v>
      </c>
      <c r="BF678" s="358">
        <f t="shared" ca="1" si="478"/>
        <v>0</v>
      </c>
      <c r="BH678" s="358">
        <f t="shared" ca="1" si="479"/>
        <v>0</v>
      </c>
    </row>
    <row r="679" spans="1:60" hidden="1" outlineLevel="1">
      <c r="A679" s="1464">
        <f t="shared" ca="1" si="480"/>
        <v>18</v>
      </c>
      <c r="B679" s="1464">
        <f t="shared" ca="1" si="481"/>
        <v>23</v>
      </c>
      <c r="C679" s="1464">
        <f t="shared" si="482"/>
        <v>23</v>
      </c>
      <c r="D679" s="1271" t="str">
        <f ca="1">IF(OFFSET(PortfolioDashboard!$A$3,C679-1,0)="","Blank",OFFSET(PortfolioDashboard!$A$3,C679-1,0))</f>
        <v>Blank</v>
      </c>
      <c r="E679" s="1464" t="str">
        <f t="shared" si="483"/>
        <v>2010$</v>
      </c>
      <c r="F679" s="1460">
        <f t="shared" ca="1" si="484"/>
        <v>0</v>
      </c>
      <c r="G679" s="358">
        <f t="shared" ca="1" si="489"/>
        <v>0</v>
      </c>
      <c r="H679" s="358">
        <f t="shared" ca="1" si="489"/>
        <v>0</v>
      </c>
      <c r="I679" s="358">
        <f t="shared" ca="1" si="489"/>
        <v>0</v>
      </c>
      <c r="J679" s="358">
        <f t="shared" ca="1" si="489"/>
        <v>0</v>
      </c>
      <c r="K679" s="358">
        <f t="shared" ca="1" si="489"/>
        <v>0</v>
      </c>
      <c r="L679" s="358">
        <f t="shared" ca="1" si="489"/>
        <v>0</v>
      </c>
      <c r="M679" s="358">
        <f t="shared" ca="1" si="489"/>
        <v>0</v>
      </c>
      <c r="N679" s="358">
        <f t="shared" ca="1" si="489"/>
        <v>0</v>
      </c>
      <c r="O679" s="358">
        <f t="shared" ca="1" si="489"/>
        <v>0</v>
      </c>
      <c r="P679" s="358">
        <f t="shared" ca="1" si="489"/>
        <v>0</v>
      </c>
      <c r="Q679" s="358">
        <f t="shared" ca="1" si="490"/>
        <v>0</v>
      </c>
      <c r="R679" s="358">
        <f t="shared" ca="1" si="490"/>
        <v>0</v>
      </c>
      <c r="S679" s="358">
        <f t="shared" ca="1" si="490"/>
        <v>0</v>
      </c>
      <c r="T679" s="358">
        <f t="shared" ca="1" si="490"/>
        <v>0</v>
      </c>
      <c r="U679" s="358">
        <f t="shared" ca="1" si="490"/>
        <v>0</v>
      </c>
      <c r="V679" s="358">
        <f t="shared" ca="1" si="490"/>
        <v>0</v>
      </c>
      <c r="W679" s="358">
        <f t="shared" ca="1" si="490"/>
        <v>0</v>
      </c>
      <c r="X679" s="358">
        <f t="shared" ca="1" si="490"/>
        <v>0</v>
      </c>
      <c r="Y679" s="358">
        <f t="shared" ca="1" si="490"/>
        <v>0</v>
      </c>
      <c r="Z679" s="358">
        <f t="shared" ca="1" si="490"/>
        <v>0</v>
      </c>
      <c r="AA679" s="358">
        <f t="shared" ca="1" si="491"/>
        <v>0</v>
      </c>
      <c r="AB679" s="358">
        <f t="shared" ca="1" si="491"/>
        <v>0</v>
      </c>
      <c r="AC679" s="358">
        <f t="shared" ca="1" si="491"/>
        <v>0</v>
      </c>
      <c r="AD679" s="358">
        <f t="shared" ca="1" si="491"/>
        <v>0</v>
      </c>
      <c r="AE679" s="358">
        <f t="shared" ca="1" si="491"/>
        <v>0</v>
      </c>
      <c r="AF679" s="358">
        <f t="shared" ca="1" si="491"/>
        <v>0</v>
      </c>
      <c r="AG679" s="358">
        <f t="shared" ca="1" si="491"/>
        <v>0</v>
      </c>
      <c r="AH679" s="358">
        <f t="shared" ca="1" si="491"/>
        <v>0</v>
      </c>
      <c r="AI679" s="358">
        <f t="shared" ca="1" si="491"/>
        <v>0</v>
      </c>
      <c r="AJ679" s="358">
        <f t="shared" ca="1" si="491"/>
        <v>0</v>
      </c>
      <c r="AK679" s="358">
        <f t="shared" ca="1" si="492"/>
        <v>0</v>
      </c>
      <c r="AL679" s="358">
        <f t="shared" ca="1" si="492"/>
        <v>0</v>
      </c>
      <c r="AM679" s="358">
        <f t="shared" ca="1" si="492"/>
        <v>0</v>
      </c>
      <c r="AN679" s="358">
        <f t="shared" ca="1" si="492"/>
        <v>0</v>
      </c>
      <c r="AO679" s="358">
        <f t="shared" ca="1" si="492"/>
        <v>0</v>
      </c>
      <c r="AP679" s="358">
        <f t="shared" ca="1" si="492"/>
        <v>0</v>
      </c>
      <c r="AQ679" s="358">
        <f t="shared" ca="1" si="492"/>
        <v>0</v>
      </c>
      <c r="AR679" s="358">
        <f t="shared" ca="1" si="492"/>
        <v>0</v>
      </c>
      <c r="AS679" s="358">
        <f t="shared" ca="1" si="492"/>
        <v>0</v>
      </c>
      <c r="AT679" s="358">
        <f t="shared" ca="1" si="492"/>
        <v>0</v>
      </c>
      <c r="AV679" s="358">
        <f t="shared" ca="1" si="473"/>
        <v>0</v>
      </c>
      <c r="AX679" s="358">
        <f t="shared" ca="1" si="474"/>
        <v>0</v>
      </c>
      <c r="AZ679" s="358">
        <f t="shared" ca="1" si="475"/>
        <v>0</v>
      </c>
      <c r="BB679" s="358">
        <f t="shared" ca="1" si="476"/>
        <v>0</v>
      </c>
      <c r="BD679" s="358">
        <f t="shared" ca="1" si="477"/>
        <v>0</v>
      </c>
      <c r="BF679" s="358">
        <f t="shared" ca="1" si="478"/>
        <v>0</v>
      </c>
      <c r="BH679" s="358">
        <f t="shared" ca="1" si="479"/>
        <v>0</v>
      </c>
    </row>
    <row r="680" spans="1:60" hidden="1" outlineLevel="1">
      <c r="A680" s="1464">
        <f t="shared" ca="1" si="480"/>
        <v>18</v>
      </c>
      <c r="B680" s="1464">
        <f t="shared" ca="1" si="481"/>
        <v>23</v>
      </c>
      <c r="C680" s="1464">
        <f t="shared" si="482"/>
        <v>24</v>
      </c>
      <c r="D680" s="1271" t="str">
        <f ca="1">IF(OFFSET(PortfolioDashboard!$A$3,C680-1,0)="","Blank",OFFSET(PortfolioDashboard!$A$3,C680-1,0))</f>
        <v>Blank</v>
      </c>
      <c r="E680" s="1464" t="str">
        <f t="shared" si="483"/>
        <v>2010$</v>
      </c>
      <c r="F680" s="1460">
        <f t="shared" ca="1" si="484"/>
        <v>0</v>
      </c>
      <c r="G680" s="358">
        <f t="shared" ca="1" si="489"/>
        <v>0</v>
      </c>
      <c r="H680" s="358">
        <f t="shared" ca="1" si="489"/>
        <v>0</v>
      </c>
      <c r="I680" s="358">
        <f t="shared" ca="1" si="489"/>
        <v>0</v>
      </c>
      <c r="J680" s="358">
        <f t="shared" ca="1" si="489"/>
        <v>0</v>
      </c>
      <c r="K680" s="358">
        <f t="shared" ca="1" si="489"/>
        <v>0</v>
      </c>
      <c r="L680" s="358">
        <f t="shared" ca="1" si="489"/>
        <v>0</v>
      </c>
      <c r="M680" s="358">
        <f t="shared" ca="1" si="489"/>
        <v>0</v>
      </c>
      <c r="N680" s="358">
        <f t="shared" ca="1" si="489"/>
        <v>0</v>
      </c>
      <c r="O680" s="358">
        <f t="shared" ca="1" si="489"/>
        <v>0</v>
      </c>
      <c r="P680" s="358">
        <f t="shared" ca="1" si="489"/>
        <v>0</v>
      </c>
      <c r="Q680" s="358">
        <f t="shared" ca="1" si="490"/>
        <v>0</v>
      </c>
      <c r="R680" s="358">
        <f t="shared" ca="1" si="490"/>
        <v>0</v>
      </c>
      <c r="S680" s="358">
        <f t="shared" ca="1" si="490"/>
        <v>0</v>
      </c>
      <c r="T680" s="358">
        <f t="shared" ca="1" si="490"/>
        <v>0</v>
      </c>
      <c r="U680" s="358">
        <f t="shared" ca="1" si="490"/>
        <v>0</v>
      </c>
      <c r="V680" s="358">
        <f t="shared" ca="1" si="490"/>
        <v>0</v>
      </c>
      <c r="W680" s="358">
        <f t="shared" ca="1" si="490"/>
        <v>0</v>
      </c>
      <c r="X680" s="358">
        <f t="shared" ca="1" si="490"/>
        <v>0</v>
      </c>
      <c r="Y680" s="358">
        <f t="shared" ca="1" si="490"/>
        <v>0</v>
      </c>
      <c r="Z680" s="358">
        <f t="shared" ca="1" si="490"/>
        <v>0</v>
      </c>
      <c r="AA680" s="358">
        <f t="shared" ca="1" si="491"/>
        <v>0</v>
      </c>
      <c r="AB680" s="358">
        <f t="shared" ca="1" si="491"/>
        <v>0</v>
      </c>
      <c r="AC680" s="358">
        <f t="shared" ca="1" si="491"/>
        <v>0</v>
      </c>
      <c r="AD680" s="358">
        <f t="shared" ca="1" si="491"/>
        <v>0</v>
      </c>
      <c r="AE680" s="358">
        <f t="shared" ca="1" si="491"/>
        <v>0</v>
      </c>
      <c r="AF680" s="358">
        <f t="shared" ca="1" si="491"/>
        <v>0</v>
      </c>
      <c r="AG680" s="358">
        <f t="shared" ca="1" si="491"/>
        <v>0</v>
      </c>
      <c r="AH680" s="358">
        <f t="shared" ca="1" si="491"/>
        <v>0</v>
      </c>
      <c r="AI680" s="358">
        <f t="shared" ca="1" si="491"/>
        <v>0</v>
      </c>
      <c r="AJ680" s="358">
        <f t="shared" ca="1" si="491"/>
        <v>0</v>
      </c>
      <c r="AK680" s="358">
        <f t="shared" ca="1" si="492"/>
        <v>0</v>
      </c>
      <c r="AL680" s="358">
        <f t="shared" ca="1" si="492"/>
        <v>0</v>
      </c>
      <c r="AM680" s="358">
        <f t="shared" ca="1" si="492"/>
        <v>0</v>
      </c>
      <c r="AN680" s="358">
        <f t="shared" ca="1" si="492"/>
        <v>0</v>
      </c>
      <c r="AO680" s="358">
        <f t="shared" ca="1" si="492"/>
        <v>0</v>
      </c>
      <c r="AP680" s="358">
        <f t="shared" ca="1" si="492"/>
        <v>0</v>
      </c>
      <c r="AQ680" s="358">
        <f t="shared" ca="1" si="492"/>
        <v>0</v>
      </c>
      <c r="AR680" s="358">
        <f t="shared" ca="1" si="492"/>
        <v>0</v>
      </c>
      <c r="AS680" s="358">
        <f t="shared" ca="1" si="492"/>
        <v>0</v>
      </c>
      <c r="AT680" s="358">
        <f t="shared" ca="1" si="492"/>
        <v>0</v>
      </c>
      <c r="AV680" s="358">
        <f t="shared" ca="1" si="473"/>
        <v>0</v>
      </c>
      <c r="AX680" s="358">
        <f t="shared" ca="1" si="474"/>
        <v>0</v>
      </c>
      <c r="AZ680" s="358">
        <f t="shared" ca="1" si="475"/>
        <v>0</v>
      </c>
      <c r="BB680" s="358">
        <f t="shared" ca="1" si="476"/>
        <v>0</v>
      </c>
      <c r="BD680" s="358">
        <f t="shared" ca="1" si="477"/>
        <v>0</v>
      </c>
      <c r="BF680" s="358">
        <f t="shared" ca="1" si="478"/>
        <v>0</v>
      </c>
      <c r="BH680" s="358">
        <f t="shared" ca="1" si="479"/>
        <v>0</v>
      </c>
    </row>
    <row r="681" spans="1:60" hidden="1" outlineLevel="1">
      <c r="A681" s="1464">
        <f t="shared" ca="1" si="480"/>
        <v>18</v>
      </c>
      <c r="B681" s="1464">
        <f t="shared" ca="1" si="481"/>
        <v>23</v>
      </c>
      <c r="C681" s="1464">
        <f t="shared" si="482"/>
        <v>25</v>
      </c>
      <c r="D681" s="1271" t="str">
        <f ca="1">IF(OFFSET(PortfolioDashboard!$A$3,C681-1,0)="","Blank",OFFSET(PortfolioDashboard!$A$3,C681-1,0))</f>
        <v>Blank</v>
      </c>
      <c r="E681" s="1464" t="str">
        <f t="shared" si="483"/>
        <v>2010$</v>
      </c>
      <c r="F681" s="1460">
        <f t="shared" ca="1" si="484"/>
        <v>0</v>
      </c>
      <c r="G681" s="358">
        <f t="shared" ca="1" si="489"/>
        <v>0</v>
      </c>
      <c r="H681" s="358">
        <f t="shared" ca="1" si="489"/>
        <v>0</v>
      </c>
      <c r="I681" s="358">
        <f t="shared" ca="1" si="489"/>
        <v>0</v>
      </c>
      <c r="J681" s="358">
        <f t="shared" ca="1" si="489"/>
        <v>0</v>
      </c>
      <c r="K681" s="358">
        <f t="shared" ca="1" si="489"/>
        <v>0</v>
      </c>
      <c r="L681" s="358">
        <f t="shared" ca="1" si="489"/>
        <v>0</v>
      </c>
      <c r="M681" s="358">
        <f t="shared" ca="1" si="489"/>
        <v>0</v>
      </c>
      <c r="N681" s="358">
        <f t="shared" ca="1" si="489"/>
        <v>0</v>
      </c>
      <c r="O681" s="358">
        <f t="shared" ca="1" si="489"/>
        <v>0</v>
      </c>
      <c r="P681" s="358">
        <f t="shared" ca="1" si="489"/>
        <v>0</v>
      </c>
      <c r="Q681" s="358">
        <f t="shared" ca="1" si="490"/>
        <v>0</v>
      </c>
      <c r="R681" s="358">
        <f t="shared" ca="1" si="490"/>
        <v>0</v>
      </c>
      <c r="S681" s="358">
        <f t="shared" ca="1" si="490"/>
        <v>0</v>
      </c>
      <c r="T681" s="358">
        <f t="shared" ca="1" si="490"/>
        <v>0</v>
      </c>
      <c r="U681" s="358">
        <f t="shared" ca="1" si="490"/>
        <v>0</v>
      </c>
      <c r="V681" s="358">
        <f t="shared" ca="1" si="490"/>
        <v>0</v>
      </c>
      <c r="W681" s="358">
        <f t="shared" ca="1" si="490"/>
        <v>0</v>
      </c>
      <c r="X681" s="358">
        <f t="shared" ca="1" si="490"/>
        <v>0</v>
      </c>
      <c r="Y681" s="358">
        <f t="shared" ca="1" si="490"/>
        <v>0</v>
      </c>
      <c r="Z681" s="358">
        <f t="shared" ca="1" si="490"/>
        <v>0</v>
      </c>
      <c r="AA681" s="358">
        <f t="shared" ca="1" si="491"/>
        <v>0</v>
      </c>
      <c r="AB681" s="358">
        <f t="shared" ca="1" si="491"/>
        <v>0</v>
      </c>
      <c r="AC681" s="358">
        <f t="shared" ca="1" si="491"/>
        <v>0</v>
      </c>
      <c r="AD681" s="358">
        <f t="shared" ca="1" si="491"/>
        <v>0</v>
      </c>
      <c r="AE681" s="358">
        <f t="shared" ca="1" si="491"/>
        <v>0</v>
      </c>
      <c r="AF681" s="358">
        <f t="shared" ca="1" si="491"/>
        <v>0</v>
      </c>
      <c r="AG681" s="358">
        <f t="shared" ca="1" si="491"/>
        <v>0</v>
      </c>
      <c r="AH681" s="358">
        <f t="shared" ca="1" si="491"/>
        <v>0</v>
      </c>
      <c r="AI681" s="358">
        <f t="shared" ca="1" si="491"/>
        <v>0</v>
      </c>
      <c r="AJ681" s="358">
        <f t="shared" ca="1" si="491"/>
        <v>0</v>
      </c>
      <c r="AK681" s="358">
        <f t="shared" ca="1" si="492"/>
        <v>0</v>
      </c>
      <c r="AL681" s="358">
        <f t="shared" ca="1" si="492"/>
        <v>0</v>
      </c>
      <c r="AM681" s="358">
        <f t="shared" ca="1" si="492"/>
        <v>0</v>
      </c>
      <c r="AN681" s="358">
        <f t="shared" ca="1" si="492"/>
        <v>0</v>
      </c>
      <c r="AO681" s="358">
        <f t="shared" ca="1" si="492"/>
        <v>0</v>
      </c>
      <c r="AP681" s="358">
        <f t="shared" ca="1" si="492"/>
        <v>0</v>
      </c>
      <c r="AQ681" s="358">
        <f t="shared" ca="1" si="492"/>
        <v>0</v>
      </c>
      <c r="AR681" s="358">
        <f t="shared" ca="1" si="492"/>
        <v>0</v>
      </c>
      <c r="AS681" s="358">
        <f t="shared" ca="1" si="492"/>
        <v>0</v>
      </c>
      <c r="AT681" s="358">
        <f t="shared" ca="1" si="492"/>
        <v>0</v>
      </c>
      <c r="AV681" s="358">
        <f t="shared" ca="1" si="473"/>
        <v>0</v>
      </c>
      <c r="AX681" s="358">
        <f t="shared" ca="1" si="474"/>
        <v>0</v>
      </c>
      <c r="AZ681" s="358">
        <f t="shared" ca="1" si="475"/>
        <v>0</v>
      </c>
      <c r="BB681" s="358">
        <f t="shared" ca="1" si="476"/>
        <v>0</v>
      </c>
      <c r="BD681" s="358">
        <f t="shared" ca="1" si="477"/>
        <v>0</v>
      </c>
      <c r="BF681" s="358">
        <f t="shared" ca="1" si="478"/>
        <v>0</v>
      </c>
      <c r="BH681" s="358">
        <f t="shared" ca="1" si="479"/>
        <v>0</v>
      </c>
    </row>
    <row r="682" spans="1:60" hidden="1" outlineLevel="1">
      <c r="A682" s="1464">
        <f t="shared" ca="1" si="480"/>
        <v>18</v>
      </c>
      <c r="B682" s="1464">
        <f t="shared" ca="1" si="481"/>
        <v>23</v>
      </c>
      <c r="C682" s="1464">
        <f t="shared" si="482"/>
        <v>26</v>
      </c>
      <c r="D682" s="1271" t="str">
        <f ca="1">IF(OFFSET(PortfolioDashboard!$A$3,C682-1,0)="","Blank",OFFSET(PortfolioDashboard!$A$3,C682-1,0))</f>
        <v>Blank</v>
      </c>
      <c r="E682" s="1464" t="str">
        <f t="shared" si="483"/>
        <v>2010$</v>
      </c>
      <c r="F682" s="1460">
        <f t="shared" ca="1" si="484"/>
        <v>0</v>
      </c>
      <c r="G682" s="358">
        <f t="shared" ca="1" si="489"/>
        <v>0</v>
      </c>
      <c r="H682" s="358">
        <f t="shared" ca="1" si="489"/>
        <v>0</v>
      </c>
      <c r="I682" s="358">
        <f t="shared" ca="1" si="489"/>
        <v>0</v>
      </c>
      <c r="J682" s="358">
        <f t="shared" ca="1" si="489"/>
        <v>0</v>
      </c>
      <c r="K682" s="358">
        <f t="shared" ca="1" si="489"/>
        <v>0</v>
      </c>
      <c r="L682" s="358">
        <f t="shared" ca="1" si="489"/>
        <v>0</v>
      </c>
      <c r="M682" s="358">
        <f t="shared" ca="1" si="489"/>
        <v>0</v>
      </c>
      <c r="N682" s="358">
        <f t="shared" ca="1" si="489"/>
        <v>0</v>
      </c>
      <c r="O682" s="358">
        <f t="shared" ca="1" si="489"/>
        <v>0</v>
      </c>
      <c r="P682" s="358">
        <f t="shared" ca="1" si="489"/>
        <v>0</v>
      </c>
      <c r="Q682" s="358">
        <f t="shared" ca="1" si="490"/>
        <v>0</v>
      </c>
      <c r="R682" s="358">
        <f t="shared" ca="1" si="490"/>
        <v>0</v>
      </c>
      <c r="S682" s="358">
        <f t="shared" ca="1" si="490"/>
        <v>0</v>
      </c>
      <c r="T682" s="358">
        <f t="shared" ca="1" si="490"/>
        <v>0</v>
      </c>
      <c r="U682" s="358">
        <f t="shared" ca="1" si="490"/>
        <v>0</v>
      </c>
      <c r="V682" s="358">
        <f t="shared" ca="1" si="490"/>
        <v>0</v>
      </c>
      <c r="W682" s="358">
        <f t="shared" ca="1" si="490"/>
        <v>0</v>
      </c>
      <c r="X682" s="358">
        <f t="shared" ca="1" si="490"/>
        <v>0</v>
      </c>
      <c r="Y682" s="358">
        <f t="shared" ca="1" si="490"/>
        <v>0</v>
      </c>
      <c r="Z682" s="358">
        <f t="shared" ca="1" si="490"/>
        <v>0</v>
      </c>
      <c r="AA682" s="358">
        <f t="shared" ca="1" si="491"/>
        <v>0</v>
      </c>
      <c r="AB682" s="358">
        <f t="shared" ca="1" si="491"/>
        <v>0</v>
      </c>
      <c r="AC682" s="358">
        <f t="shared" ca="1" si="491"/>
        <v>0</v>
      </c>
      <c r="AD682" s="358">
        <f t="shared" ca="1" si="491"/>
        <v>0</v>
      </c>
      <c r="AE682" s="358">
        <f t="shared" ca="1" si="491"/>
        <v>0</v>
      </c>
      <c r="AF682" s="358">
        <f t="shared" ca="1" si="491"/>
        <v>0</v>
      </c>
      <c r="AG682" s="358">
        <f t="shared" ca="1" si="491"/>
        <v>0</v>
      </c>
      <c r="AH682" s="358">
        <f t="shared" ca="1" si="491"/>
        <v>0</v>
      </c>
      <c r="AI682" s="358">
        <f t="shared" ca="1" si="491"/>
        <v>0</v>
      </c>
      <c r="AJ682" s="358">
        <f t="shared" ca="1" si="491"/>
        <v>0</v>
      </c>
      <c r="AK682" s="358">
        <f t="shared" ca="1" si="492"/>
        <v>0</v>
      </c>
      <c r="AL682" s="358">
        <f t="shared" ca="1" si="492"/>
        <v>0</v>
      </c>
      <c r="AM682" s="358">
        <f t="shared" ca="1" si="492"/>
        <v>0</v>
      </c>
      <c r="AN682" s="358">
        <f t="shared" ca="1" si="492"/>
        <v>0</v>
      </c>
      <c r="AO682" s="358">
        <f t="shared" ca="1" si="492"/>
        <v>0</v>
      </c>
      <c r="AP682" s="358">
        <f t="shared" ca="1" si="492"/>
        <v>0</v>
      </c>
      <c r="AQ682" s="358">
        <f t="shared" ca="1" si="492"/>
        <v>0</v>
      </c>
      <c r="AR682" s="358">
        <f t="shared" ca="1" si="492"/>
        <v>0</v>
      </c>
      <c r="AS682" s="358">
        <f t="shared" ca="1" si="492"/>
        <v>0</v>
      </c>
      <c r="AT682" s="358">
        <f t="shared" ca="1" si="492"/>
        <v>0</v>
      </c>
      <c r="AV682" s="358">
        <f t="shared" ca="1" si="473"/>
        <v>0</v>
      </c>
      <c r="AX682" s="358">
        <f t="shared" ca="1" si="474"/>
        <v>0</v>
      </c>
      <c r="AZ682" s="358">
        <f t="shared" ca="1" si="475"/>
        <v>0</v>
      </c>
      <c r="BB682" s="358">
        <f t="shared" ca="1" si="476"/>
        <v>0</v>
      </c>
      <c r="BD682" s="358">
        <f t="shared" ca="1" si="477"/>
        <v>0</v>
      </c>
      <c r="BF682" s="358">
        <f t="shared" ca="1" si="478"/>
        <v>0</v>
      </c>
      <c r="BH682" s="358">
        <f t="shared" ca="1" si="479"/>
        <v>0</v>
      </c>
    </row>
    <row r="683" spans="1:60" hidden="1" outlineLevel="1">
      <c r="A683" s="1464">
        <f t="shared" ca="1" si="480"/>
        <v>18</v>
      </c>
      <c r="B683" s="1464">
        <f t="shared" ca="1" si="481"/>
        <v>23</v>
      </c>
      <c r="C683" s="1464">
        <f t="shared" si="482"/>
        <v>27</v>
      </c>
      <c r="D683" s="1271" t="str">
        <f ca="1">IF(OFFSET(PortfolioDashboard!$A$3,C683-1,0)="","Blank",OFFSET(PortfolioDashboard!$A$3,C683-1,0))</f>
        <v>Blank</v>
      </c>
      <c r="E683" s="1464" t="str">
        <f t="shared" si="483"/>
        <v>2010$</v>
      </c>
      <c r="F683" s="1460">
        <f t="shared" ca="1" si="484"/>
        <v>0</v>
      </c>
      <c r="G683" s="358">
        <f t="shared" ca="1" si="489"/>
        <v>0</v>
      </c>
      <c r="H683" s="358">
        <f t="shared" ca="1" si="489"/>
        <v>0</v>
      </c>
      <c r="I683" s="358">
        <f t="shared" ca="1" si="489"/>
        <v>0</v>
      </c>
      <c r="J683" s="358">
        <f t="shared" ca="1" si="489"/>
        <v>0</v>
      </c>
      <c r="K683" s="358">
        <f t="shared" ca="1" si="489"/>
        <v>0</v>
      </c>
      <c r="L683" s="358">
        <f t="shared" ca="1" si="489"/>
        <v>0</v>
      </c>
      <c r="M683" s="358">
        <f t="shared" ca="1" si="489"/>
        <v>0</v>
      </c>
      <c r="N683" s="358">
        <f t="shared" ca="1" si="489"/>
        <v>0</v>
      </c>
      <c r="O683" s="358">
        <f t="shared" ca="1" si="489"/>
        <v>0</v>
      </c>
      <c r="P683" s="358">
        <f t="shared" ca="1" si="489"/>
        <v>0</v>
      </c>
      <c r="Q683" s="358">
        <f t="shared" ca="1" si="490"/>
        <v>0</v>
      </c>
      <c r="R683" s="358">
        <f t="shared" ca="1" si="490"/>
        <v>0</v>
      </c>
      <c r="S683" s="358">
        <f t="shared" ca="1" si="490"/>
        <v>0</v>
      </c>
      <c r="T683" s="358">
        <f t="shared" ca="1" si="490"/>
        <v>0</v>
      </c>
      <c r="U683" s="358">
        <f t="shared" ca="1" si="490"/>
        <v>0</v>
      </c>
      <c r="V683" s="358">
        <f t="shared" ca="1" si="490"/>
        <v>0</v>
      </c>
      <c r="W683" s="358">
        <f t="shared" ca="1" si="490"/>
        <v>0</v>
      </c>
      <c r="X683" s="358">
        <f t="shared" ca="1" si="490"/>
        <v>0</v>
      </c>
      <c r="Y683" s="358">
        <f t="shared" ca="1" si="490"/>
        <v>0</v>
      </c>
      <c r="Z683" s="358">
        <f t="shared" ca="1" si="490"/>
        <v>0</v>
      </c>
      <c r="AA683" s="358">
        <f t="shared" ca="1" si="491"/>
        <v>0</v>
      </c>
      <c r="AB683" s="358">
        <f t="shared" ca="1" si="491"/>
        <v>0</v>
      </c>
      <c r="AC683" s="358">
        <f t="shared" ca="1" si="491"/>
        <v>0</v>
      </c>
      <c r="AD683" s="358">
        <f t="shared" ca="1" si="491"/>
        <v>0</v>
      </c>
      <c r="AE683" s="358">
        <f t="shared" ca="1" si="491"/>
        <v>0</v>
      </c>
      <c r="AF683" s="358">
        <f t="shared" ca="1" si="491"/>
        <v>0</v>
      </c>
      <c r="AG683" s="358">
        <f t="shared" ca="1" si="491"/>
        <v>0</v>
      </c>
      <c r="AH683" s="358">
        <f t="shared" ca="1" si="491"/>
        <v>0</v>
      </c>
      <c r="AI683" s="358">
        <f t="shared" ca="1" si="491"/>
        <v>0</v>
      </c>
      <c r="AJ683" s="358">
        <f t="shared" ca="1" si="491"/>
        <v>0</v>
      </c>
      <c r="AK683" s="358">
        <f t="shared" ca="1" si="492"/>
        <v>0</v>
      </c>
      <c r="AL683" s="358">
        <f t="shared" ca="1" si="492"/>
        <v>0</v>
      </c>
      <c r="AM683" s="358">
        <f t="shared" ca="1" si="492"/>
        <v>0</v>
      </c>
      <c r="AN683" s="358">
        <f t="shared" ca="1" si="492"/>
        <v>0</v>
      </c>
      <c r="AO683" s="358">
        <f t="shared" ca="1" si="492"/>
        <v>0</v>
      </c>
      <c r="AP683" s="358">
        <f t="shared" ca="1" si="492"/>
        <v>0</v>
      </c>
      <c r="AQ683" s="358">
        <f t="shared" ca="1" si="492"/>
        <v>0</v>
      </c>
      <c r="AR683" s="358">
        <f t="shared" ca="1" si="492"/>
        <v>0</v>
      </c>
      <c r="AS683" s="358">
        <f t="shared" ca="1" si="492"/>
        <v>0</v>
      </c>
      <c r="AT683" s="358">
        <f t="shared" ca="1" si="492"/>
        <v>0</v>
      </c>
      <c r="AV683" s="358">
        <f t="shared" ca="1" si="473"/>
        <v>0</v>
      </c>
      <c r="AX683" s="358">
        <f t="shared" ca="1" si="474"/>
        <v>0</v>
      </c>
      <c r="AZ683" s="358">
        <f t="shared" ca="1" si="475"/>
        <v>0</v>
      </c>
      <c r="BB683" s="358">
        <f t="shared" ca="1" si="476"/>
        <v>0</v>
      </c>
      <c r="BD683" s="358">
        <f t="shared" ca="1" si="477"/>
        <v>0</v>
      </c>
      <c r="BF683" s="358">
        <f t="shared" ca="1" si="478"/>
        <v>0</v>
      </c>
      <c r="BH683" s="358">
        <f t="shared" ca="1" si="479"/>
        <v>0</v>
      </c>
    </row>
    <row r="684" spans="1:60" hidden="1" outlineLevel="1">
      <c r="A684" s="1464">
        <f t="shared" ca="1" si="480"/>
        <v>18</v>
      </c>
      <c r="B684" s="1464">
        <f t="shared" ca="1" si="481"/>
        <v>23</v>
      </c>
      <c r="C684" s="1464">
        <f t="shared" si="482"/>
        <v>28</v>
      </c>
      <c r="D684" s="1271" t="str">
        <f ca="1">IF(OFFSET(PortfolioDashboard!$A$3,C684-1,0)="","Blank",OFFSET(PortfolioDashboard!$A$3,C684-1,0))</f>
        <v>Blank</v>
      </c>
      <c r="E684" s="1464" t="str">
        <f t="shared" si="483"/>
        <v>2010$</v>
      </c>
      <c r="F684" s="1460">
        <f t="shared" ca="1" si="484"/>
        <v>0</v>
      </c>
      <c r="G684" s="358">
        <f t="shared" ca="1" si="489"/>
        <v>0</v>
      </c>
      <c r="H684" s="358">
        <f t="shared" ca="1" si="489"/>
        <v>0</v>
      </c>
      <c r="I684" s="358">
        <f t="shared" ca="1" si="489"/>
        <v>0</v>
      </c>
      <c r="J684" s="358">
        <f t="shared" ca="1" si="489"/>
        <v>0</v>
      </c>
      <c r="K684" s="358">
        <f t="shared" ca="1" si="489"/>
        <v>0</v>
      </c>
      <c r="L684" s="358">
        <f t="shared" ca="1" si="489"/>
        <v>0</v>
      </c>
      <c r="M684" s="358">
        <f t="shared" ca="1" si="489"/>
        <v>0</v>
      </c>
      <c r="N684" s="358">
        <f t="shared" ca="1" si="489"/>
        <v>0</v>
      </c>
      <c r="O684" s="358">
        <f t="shared" ca="1" si="489"/>
        <v>0</v>
      </c>
      <c r="P684" s="358">
        <f t="shared" ca="1" si="489"/>
        <v>0</v>
      </c>
      <c r="Q684" s="358">
        <f t="shared" ca="1" si="490"/>
        <v>0</v>
      </c>
      <c r="R684" s="358">
        <f t="shared" ca="1" si="490"/>
        <v>0</v>
      </c>
      <c r="S684" s="358">
        <f t="shared" ca="1" si="490"/>
        <v>0</v>
      </c>
      <c r="T684" s="358">
        <f t="shared" ca="1" si="490"/>
        <v>0</v>
      </c>
      <c r="U684" s="358">
        <f t="shared" ca="1" si="490"/>
        <v>0</v>
      </c>
      <c r="V684" s="358">
        <f t="shared" ca="1" si="490"/>
        <v>0</v>
      </c>
      <c r="W684" s="358">
        <f t="shared" ca="1" si="490"/>
        <v>0</v>
      </c>
      <c r="X684" s="358">
        <f t="shared" ca="1" si="490"/>
        <v>0</v>
      </c>
      <c r="Y684" s="358">
        <f t="shared" ca="1" si="490"/>
        <v>0</v>
      </c>
      <c r="Z684" s="358">
        <f t="shared" ca="1" si="490"/>
        <v>0</v>
      </c>
      <c r="AA684" s="358">
        <f t="shared" ca="1" si="491"/>
        <v>0</v>
      </c>
      <c r="AB684" s="358">
        <f t="shared" ca="1" si="491"/>
        <v>0</v>
      </c>
      <c r="AC684" s="358">
        <f t="shared" ca="1" si="491"/>
        <v>0</v>
      </c>
      <c r="AD684" s="358">
        <f t="shared" ca="1" si="491"/>
        <v>0</v>
      </c>
      <c r="AE684" s="358">
        <f t="shared" ca="1" si="491"/>
        <v>0</v>
      </c>
      <c r="AF684" s="358">
        <f t="shared" ca="1" si="491"/>
        <v>0</v>
      </c>
      <c r="AG684" s="358">
        <f t="shared" ca="1" si="491"/>
        <v>0</v>
      </c>
      <c r="AH684" s="358">
        <f t="shared" ca="1" si="491"/>
        <v>0</v>
      </c>
      <c r="AI684" s="358">
        <f t="shared" ca="1" si="491"/>
        <v>0</v>
      </c>
      <c r="AJ684" s="358">
        <f t="shared" ca="1" si="491"/>
        <v>0</v>
      </c>
      <c r="AK684" s="358">
        <f t="shared" ca="1" si="492"/>
        <v>0</v>
      </c>
      <c r="AL684" s="358">
        <f t="shared" ca="1" si="492"/>
        <v>0</v>
      </c>
      <c r="AM684" s="358">
        <f t="shared" ca="1" si="492"/>
        <v>0</v>
      </c>
      <c r="AN684" s="358">
        <f t="shared" ca="1" si="492"/>
        <v>0</v>
      </c>
      <c r="AO684" s="358">
        <f t="shared" ca="1" si="492"/>
        <v>0</v>
      </c>
      <c r="AP684" s="358">
        <f t="shared" ca="1" si="492"/>
        <v>0</v>
      </c>
      <c r="AQ684" s="358">
        <f t="shared" ca="1" si="492"/>
        <v>0</v>
      </c>
      <c r="AR684" s="358">
        <f t="shared" ca="1" si="492"/>
        <v>0</v>
      </c>
      <c r="AS684" s="358">
        <f t="shared" ca="1" si="492"/>
        <v>0</v>
      </c>
      <c r="AT684" s="358">
        <f t="shared" ca="1" si="492"/>
        <v>0</v>
      </c>
      <c r="AV684" s="358">
        <f t="shared" ca="1" si="473"/>
        <v>0</v>
      </c>
      <c r="AX684" s="358">
        <f t="shared" ca="1" si="474"/>
        <v>0</v>
      </c>
      <c r="AZ684" s="358">
        <f t="shared" ca="1" si="475"/>
        <v>0</v>
      </c>
      <c r="BB684" s="358">
        <f t="shared" ca="1" si="476"/>
        <v>0</v>
      </c>
      <c r="BD684" s="358">
        <f t="shared" ca="1" si="477"/>
        <v>0</v>
      </c>
      <c r="BF684" s="358">
        <f t="shared" ca="1" si="478"/>
        <v>0</v>
      </c>
      <c r="BH684" s="358">
        <f t="shared" ca="1" si="479"/>
        <v>0</v>
      </c>
    </row>
    <row r="685" spans="1:60" hidden="1" outlineLevel="1">
      <c r="A685" s="1464">
        <f t="shared" ca="1" si="480"/>
        <v>18</v>
      </c>
      <c r="B685" s="1464">
        <f t="shared" ca="1" si="481"/>
        <v>23</v>
      </c>
      <c r="C685" s="1464">
        <f t="shared" si="482"/>
        <v>29</v>
      </c>
      <c r="D685" s="1271" t="str">
        <f ca="1">IF(OFFSET(PortfolioDashboard!$A$3,C685-1,0)="","Blank",OFFSET(PortfolioDashboard!$A$3,C685-1,0))</f>
        <v>Blank</v>
      </c>
      <c r="E685" s="1464" t="str">
        <f t="shared" si="483"/>
        <v>2010$</v>
      </c>
      <c r="F685" s="1460">
        <f t="shared" ca="1" si="484"/>
        <v>0</v>
      </c>
      <c r="G685" s="358">
        <f t="shared" ca="1" si="489"/>
        <v>0</v>
      </c>
      <c r="H685" s="358">
        <f t="shared" ca="1" si="489"/>
        <v>0</v>
      </c>
      <c r="I685" s="358">
        <f t="shared" ca="1" si="489"/>
        <v>0</v>
      </c>
      <c r="J685" s="358">
        <f t="shared" ca="1" si="489"/>
        <v>0</v>
      </c>
      <c r="K685" s="358">
        <f t="shared" ca="1" si="489"/>
        <v>0</v>
      </c>
      <c r="L685" s="358">
        <f t="shared" ca="1" si="489"/>
        <v>0</v>
      </c>
      <c r="M685" s="358">
        <f t="shared" ca="1" si="489"/>
        <v>0</v>
      </c>
      <c r="N685" s="358">
        <f t="shared" ca="1" si="489"/>
        <v>0</v>
      </c>
      <c r="O685" s="358">
        <f t="shared" ca="1" si="489"/>
        <v>0</v>
      </c>
      <c r="P685" s="358">
        <f t="shared" ca="1" si="489"/>
        <v>0</v>
      </c>
      <c r="Q685" s="358">
        <f t="shared" ca="1" si="490"/>
        <v>0</v>
      </c>
      <c r="R685" s="358">
        <f t="shared" ca="1" si="490"/>
        <v>0</v>
      </c>
      <c r="S685" s="358">
        <f t="shared" ca="1" si="490"/>
        <v>0</v>
      </c>
      <c r="T685" s="358">
        <f t="shared" ca="1" si="490"/>
        <v>0</v>
      </c>
      <c r="U685" s="358">
        <f t="shared" ca="1" si="490"/>
        <v>0</v>
      </c>
      <c r="V685" s="358">
        <f t="shared" ca="1" si="490"/>
        <v>0</v>
      </c>
      <c r="W685" s="358">
        <f t="shared" ca="1" si="490"/>
        <v>0</v>
      </c>
      <c r="X685" s="358">
        <f t="shared" ca="1" si="490"/>
        <v>0</v>
      </c>
      <c r="Y685" s="358">
        <f t="shared" ca="1" si="490"/>
        <v>0</v>
      </c>
      <c r="Z685" s="358">
        <f t="shared" ca="1" si="490"/>
        <v>0</v>
      </c>
      <c r="AA685" s="358">
        <f t="shared" ca="1" si="491"/>
        <v>0</v>
      </c>
      <c r="AB685" s="358">
        <f t="shared" ca="1" si="491"/>
        <v>0</v>
      </c>
      <c r="AC685" s="358">
        <f t="shared" ca="1" si="491"/>
        <v>0</v>
      </c>
      <c r="AD685" s="358">
        <f t="shared" ca="1" si="491"/>
        <v>0</v>
      </c>
      <c r="AE685" s="358">
        <f t="shared" ca="1" si="491"/>
        <v>0</v>
      </c>
      <c r="AF685" s="358">
        <f t="shared" ca="1" si="491"/>
        <v>0</v>
      </c>
      <c r="AG685" s="358">
        <f t="shared" ca="1" si="491"/>
        <v>0</v>
      </c>
      <c r="AH685" s="358">
        <f t="shared" ca="1" si="491"/>
        <v>0</v>
      </c>
      <c r="AI685" s="358">
        <f t="shared" ca="1" si="491"/>
        <v>0</v>
      </c>
      <c r="AJ685" s="358">
        <f t="shared" ca="1" si="491"/>
        <v>0</v>
      </c>
      <c r="AK685" s="358">
        <f t="shared" ca="1" si="492"/>
        <v>0</v>
      </c>
      <c r="AL685" s="358">
        <f t="shared" ca="1" si="492"/>
        <v>0</v>
      </c>
      <c r="AM685" s="358">
        <f t="shared" ca="1" si="492"/>
        <v>0</v>
      </c>
      <c r="AN685" s="358">
        <f t="shared" ca="1" si="492"/>
        <v>0</v>
      </c>
      <c r="AO685" s="358">
        <f t="shared" ca="1" si="492"/>
        <v>0</v>
      </c>
      <c r="AP685" s="358">
        <f t="shared" ca="1" si="492"/>
        <v>0</v>
      </c>
      <c r="AQ685" s="358">
        <f t="shared" ca="1" si="492"/>
        <v>0</v>
      </c>
      <c r="AR685" s="358">
        <f t="shared" ca="1" si="492"/>
        <v>0</v>
      </c>
      <c r="AS685" s="358">
        <f t="shared" ca="1" si="492"/>
        <v>0</v>
      </c>
      <c r="AT685" s="358">
        <f t="shared" ca="1" si="492"/>
        <v>0</v>
      </c>
      <c r="AV685" s="358">
        <f t="shared" ca="1" si="473"/>
        <v>0</v>
      </c>
      <c r="AX685" s="358">
        <f t="shared" ca="1" si="474"/>
        <v>0</v>
      </c>
      <c r="AZ685" s="358">
        <f t="shared" ca="1" si="475"/>
        <v>0</v>
      </c>
      <c r="BB685" s="358">
        <f t="shared" ca="1" si="476"/>
        <v>0</v>
      </c>
      <c r="BD685" s="358">
        <f t="shared" ca="1" si="477"/>
        <v>0</v>
      </c>
      <c r="BF685" s="358">
        <f t="shared" ca="1" si="478"/>
        <v>0</v>
      </c>
      <c r="BH685" s="358">
        <f t="shared" ca="1" si="479"/>
        <v>0</v>
      </c>
    </row>
    <row r="686" spans="1:60" hidden="1" outlineLevel="1">
      <c r="A686" s="1464">
        <f t="shared" ca="1" si="480"/>
        <v>18</v>
      </c>
      <c r="B686" s="1464">
        <f t="shared" ca="1" si="481"/>
        <v>23</v>
      </c>
      <c r="C686" s="1464">
        <f t="shared" si="482"/>
        <v>30</v>
      </c>
      <c r="D686" s="1271" t="str">
        <f ca="1">IF(OFFSET(PortfolioDashboard!$A$3,C686-1,0)="","Blank",OFFSET(PortfolioDashboard!$A$3,C686-1,0))</f>
        <v>Blank</v>
      </c>
      <c r="E686" s="1464" t="str">
        <f t="shared" si="483"/>
        <v>2010$</v>
      </c>
      <c r="F686" s="1460">
        <f t="shared" ca="1" si="484"/>
        <v>0</v>
      </c>
      <c r="G686" s="358">
        <f t="shared" ca="1" si="489"/>
        <v>0</v>
      </c>
      <c r="H686" s="358">
        <f t="shared" ca="1" si="489"/>
        <v>0</v>
      </c>
      <c r="I686" s="358">
        <f t="shared" ca="1" si="489"/>
        <v>0</v>
      </c>
      <c r="J686" s="358">
        <f t="shared" ca="1" si="489"/>
        <v>0</v>
      </c>
      <c r="K686" s="358">
        <f t="shared" ca="1" si="489"/>
        <v>0</v>
      </c>
      <c r="L686" s="358">
        <f t="shared" ca="1" si="489"/>
        <v>0</v>
      </c>
      <c r="M686" s="358">
        <f t="shared" ca="1" si="489"/>
        <v>0</v>
      </c>
      <c r="N686" s="358">
        <f t="shared" ca="1" si="489"/>
        <v>0</v>
      </c>
      <c r="O686" s="358">
        <f t="shared" ca="1" si="489"/>
        <v>0</v>
      </c>
      <c r="P686" s="358">
        <f t="shared" ca="1" si="489"/>
        <v>0</v>
      </c>
      <c r="Q686" s="358">
        <f t="shared" ca="1" si="490"/>
        <v>0</v>
      </c>
      <c r="R686" s="358">
        <f t="shared" ca="1" si="490"/>
        <v>0</v>
      </c>
      <c r="S686" s="358">
        <f t="shared" ca="1" si="490"/>
        <v>0</v>
      </c>
      <c r="T686" s="358">
        <f t="shared" ca="1" si="490"/>
        <v>0</v>
      </c>
      <c r="U686" s="358">
        <f t="shared" ca="1" si="490"/>
        <v>0</v>
      </c>
      <c r="V686" s="358">
        <f t="shared" ca="1" si="490"/>
        <v>0</v>
      </c>
      <c r="W686" s="358">
        <f t="shared" ca="1" si="490"/>
        <v>0</v>
      </c>
      <c r="X686" s="358">
        <f t="shared" ca="1" si="490"/>
        <v>0</v>
      </c>
      <c r="Y686" s="358">
        <f t="shared" ca="1" si="490"/>
        <v>0</v>
      </c>
      <c r="Z686" s="358">
        <f t="shared" ca="1" si="490"/>
        <v>0</v>
      </c>
      <c r="AA686" s="358">
        <f t="shared" ca="1" si="491"/>
        <v>0</v>
      </c>
      <c r="AB686" s="358">
        <f t="shared" ca="1" si="491"/>
        <v>0</v>
      </c>
      <c r="AC686" s="358">
        <f t="shared" ca="1" si="491"/>
        <v>0</v>
      </c>
      <c r="AD686" s="358">
        <f t="shared" ca="1" si="491"/>
        <v>0</v>
      </c>
      <c r="AE686" s="358">
        <f t="shared" ca="1" si="491"/>
        <v>0</v>
      </c>
      <c r="AF686" s="358">
        <f t="shared" ca="1" si="491"/>
        <v>0</v>
      </c>
      <c r="AG686" s="358">
        <f t="shared" ca="1" si="491"/>
        <v>0</v>
      </c>
      <c r="AH686" s="358">
        <f t="shared" ca="1" si="491"/>
        <v>0</v>
      </c>
      <c r="AI686" s="358">
        <f t="shared" ca="1" si="491"/>
        <v>0</v>
      </c>
      <c r="AJ686" s="358">
        <f t="shared" ca="1" si="491"/>
        <v>0</v>
      </c>
      <c r="AK686" s="358">
        <f t="shared" ca="1" si="492"/>
        <v>0</v>
      </c>
      <c r="AL686" s="358">
        <f t="shared" ca="1" si="492"/>
        <v>0</v>
      </c>
      <c r="AM686" s="358">
        <f t="shared" ca="1" si="492"/>
        <v>0</v>
      </c>
      <c r="AN686" s="358">
        <f t="shared" ca="1" si="492"/>
        <v>0</v>
      </c>
      <c r="AO686" s="358">
        <f t="shared" ca="1" si="492"/>
        <v>0</v>
      </c>
      <c r="AP686" s="358">
        <f t="shared" ca="1" si="492"/>
        <v>0</v>
      </c>
      <c r="AQ686" s="358">
        <f t="shared" ca="1" si="492"/>
        <v>0</v>
      </c>
      <c r="AR686" s="358">
        <f t="shared" ca="1" si="492"/>
        <v>0</v>
      </c>
      <c r="AS686" s="358">
        <f t="shared" ca="1" si="492"/>
        <v>0</v>
      </c>
      <c r="AT686" s="358">
        <f t="shared" ca="1" si="492"/>
        <v>0</v>
      </c>
      <c r="AV686" s="358">
        <f t="shared" ca="1" si="473"/>
        <v>0</v>
      </c>
      <c r="AX686" s="358">
        <f t="shared" ca="1" si="474"/>
        <v>0</v>
      </c>
      <c r="AZ686" s="358">
        <f t="shared" ca="1" si="475"/>
        <v>0</v>
      </c>
      <c r="BB686" s="358">
        <f t="shared" ca="1" si="476"/>
        <v>0</v>
      </c>
      <c r="BD686" s="358">
        <f t="shared" ca="1" si="477"/>
        <v>0</v>
      </c>
      <c r="BF686" s="358">
        <f t="shared" ca="1" si="478"/>
        <v>0</v>
      </c>
      <c r="BH686" s="358">
        <f t="shared" ca="1" si="479"/>
        <v>0</v>
      </c>
    </row>
    <row r="687" spans="1:60" ht="15.75" collapsed="1" thickBot="1">
      <c r="A687" s="1464"/>
      <c r="B687" s="1464"/>
      <c r="C687" s="1464"/>
      <c r="D687" s="1274" t="s">
        <v>265</v>
      </c>
      <c r="E687" s="1275" t="str">
        <f>E657</f>
        <v>2010$</v>
      </c>
      <c r="F687" s="1462">
        <f t="shared" ca="1" si="484"/>
        <v>62902856.858334839</v>
      </c>
      <c r="G687" s="1276">
        <f t="shared" ref="G687:AT687" ca="1" si="493">SUM(G657:G686)</f>
        <v>0</v>
      </c>
      <c r="H687" s="1276">
        <f t="shared" ca="1" si="493"/>
        <v>0</v>
      </c>
      <c r="I687" s="1276">
        <f t="shared" ca="1" si="493"/>
        <v>0</v>
      </c>
      <c r="J687" s="1276">
        <f t="shared" ca="1" si="493"/>
        <v>0</v>
      </c>
      <c r="K687" s="1276">
        <f t="shared" ca="1" si="493"/>
        <v>0</v>
      </c>
      <c r="L687" s="1276">
        <f t="shared" ca="1" si="493"/>
        <v>698367.34522187116</v>
      </c>
      <c r="M687" s="1276">
        <f t="shared" ca="1" si="493"/>
        <v>873264.4607093269</v>
      </c>
      <c r="N687" s="1276">
        <f t="shared" ca="1" si="493"/>
        <v>1059423.4492060419</v>
      </c>
      <c r="O687" s="1276">
        <f t="shared" ca="1" si="493"/>
        <v>1265872.2632500443</v>
      </c>
      <c r="P687" s="1276">
        <f t="shared" ca="1" si="493"/>
        <v>1494381.4876092714</v>
      </c>
      <c r="Q687" s="1276">
        <f t="shared" ca="1" si="493"/>
        <v>1745679.1098868251</v>
      </c>
      <c r="R687" s="1276">
        <f t="shared" ca="1" si="493"/>
        <v>2041981.3330407008</v>
      </c>
      <c r="S687" s="1276">
        <f t="shared" ca="1" si="493"/>
        <v>2366530.1744875829</v>
      </c>
      <c r="T687" s="1276">
        <f t="shared" ca="1" si="493"/>
        <v>2712019.9580369396</v>
      </c>
      <c r="U687" s="1276">
        <f t="shared" ca="1" si="493"/>
        <v>3068801.9665817777</v>
      </c>
      <c r="V687" s="1276">
        <f t="shared" ca="1" si="493"/>
        <v>3451566.2599257552</v>
      </c>
      <c r="W687" s="1276">
        <f t="shared" ca="1" si="493"/>
        <v>3890191.4987627687</v>
      </c>
      <c r="X687" s="1276">
        <f t="shared" ca="1" si="493"/>
        <v>4359886.8714981098</v>
      </c>
      <c r="Y687" s="1276">
        <f t="shared" ca="1" si="493"/>
        <v>4861095.4476753138</v>
      </c>
      <c r="Z687" s="1276">
        <f t="shared" ca="1" si="493"/>
        <v>5394201.2190246442</v>
      </c>
      <c r="AA687" s="1276">
        <f t="shared" ca="1" si="493"/>
        <v>5959529.4204403516</v>
      </c>
      <c r="AB687" s="1276">
        <f t="shared" ca="1" si="493"/>
        <v>6606527.3373203995</v>
      </c>
      <c r="AC687" s="1276">
        <f t="shared" ca="1" si="493"/>
        <v>7291652.6249584192</v>
      </c>
      <c r="AD687" s="1276">
        <f t="shared" ca="1" si="493"/>
        <v>7949542.2633313853</v>
      </c>
      <c r="AE687" s="1276">
        <f t="shared" ca="1" si="493"/>
        <v>8515411.814801462</v>
      </c>
      <c r="AF687" s="1276">
        <f t="shared" ca="1" si="493"/>
        <v>9105344.9693337977</v>
      </c>
      <c r="AG687" s="1276">
        <f t="shared" ca="1" si="493"/>
        <v>9786018.8636342697</v>
      </c>
      <c r="AH687" s="1276">
        <f t="shared" ca="1" si="493"/>
        <v>10482716.084710382</v>
      </c>
      <c r="AI687" s="1276">
        <f t="shared" ca="1" si="493"/>
        <v>11193910.528899522</v>
      </c>
      <c r="AJ687" s="1276">
        <f t="shared" ca="1" si="493"/>
        <v>11918245.11013082</v>
      </c>
      <c r="AK687" s="1276">
        <f t="shared" ca="1" si="493"/>
        <v>12686964.444263531</v>
      </c>
      <c r="AL687" s="1276">
        <f t="shared" ca="1" si="493"/>
        <v>13456453.643864574</v>
      </c>
      <c r="AM687" s="1276">
        <f t="shared" ca="1" si="493"/>
        <v>14222017.548747944</v>
      </c>
      <c r="AN687" s="1276">
        <f t="shared" ca="1" si="493"/>
        <v>15074430.797332603</v>
      </c>
      <c r="AO687" s="1276">
        <f t="shared" ca="1" si="493"/>
        <v>16031317.73111107</v>
      </c>
      <c r="AP687" s="1276">
        <f t="shared" ca="1" si="493"/>
        <v>17117498.39465316</v>
      </c>
      <c r="AQ687" s="1276">
        <f t="shared" ca="1" si="493"/>
        <v>18286408.226856757</v>
      </c>
      <c r="AR687" s="1276">
        <f t="shared" ca="1" si="493"/>
        <v>19547883.744416509</v>
      </c>
      <c r="AS687" s="1276">
        <f t="shared" ca="1" si="493"/>
        <v>20912811.105039503</v>
      </c>
      <c r="AT687" s="1276">
        <f t="shared" ca="1" si="493"/>
        <v>22393105.616642755</v>
      </c>
      <c r="AV687" s="1276">
        <f t="shared" ca="1" si="473"/>
        <v>5391309.0059965551</v>
      </c>
      <c r="AX687" s="1276">
        <f t="shared" ca="1" si="474"/>
        <v>11935012.542033825</v>
      </c>
      <c r="AZ687" s="1276">
        <f t="shared" ca="1" si="475"/>
        <v>21956941.296886593</v>
      </c>
      <c r="BB687" s="1276">
        <f t="shared" ca="1" si="476"/>
        <v>36322663.460852019</v>
      </c>
      <c r="BD687" s="1276">
        <f t="shared" ca="1" si="477"/>
        <v>52486235.556708798</v>
      </c>
      <c r="BF687" s="1276">
        <f t="shared" ca="1" si="478"/>
        <v>71471184.165319711</v>
      </c>
      <c r="BH687" s="1276">
        <f t="shared" ca="1" si="479"/>
        <v>98257707.087608695</v>
      </c>
    </row>
    <row r="688" spans="1:60" ht="15.75" hidden="1" outlineLevel="1" thickTop="1">
      <c r="A688" s="1464">
        <v>18</v>
      </c>
      <c r="B688" s="1464">
        <v>40</v>
      </c>
      <c r="C688" s="1464">
        <v>1</v>
      </c>
      <c r="D688" s="1271" t="str">
        <f ca="1">IF(OFFSET(PortfolioDashboard!$A$3,C688-1,0)="","Blank",OFFSET(PortfolioDashboard!$A$3,C688-1,0))</f>
        <v>Behavior Change</v>
      </c>
      <c r="E688" s="1464" t="s">
        <v>1197</v>
      </c>
      <c r="F688" s="1460">
        <f t="shared" ca="1" si="484"/>
        <v>6237595.4816561555</v>
      </c>
      <c r="G688" s="358">
        <f t="shared" ref="G688:P697" ca="1" si="494">IFERROR(OFFSET(INDIRECT(INDEX(List_of_Alternatives,MATCH($D688,NameofAlternatives,0))),$A688+G$1-$G$1,$B688),0)</f>
        <v>0</v>
      </c>
      <c r="H688" s="358">
        <f t="shared" ca="1" si="494"/>
        <v>0</v>
      </c>
      <c r="I688" s="358">
        <f t="shared" ca="1" si="494"/>
        <v>-46448.796041314905</v>
      </c>
      <c r="J688" s="358">
        <f t="shared" ca="1" si="494"/>
        <v>6568.7606326365349</v>
      </c>
      <c r="K688" s="358">
        <f t="shared" ca="1" si="494"/>
        <v>58816.497135064274</v>
      </c>
      <c r="L688" s="358">
        <f t="shared" ca="1" si="494"/>
        <v>128593.08961964975</v>
      </c>
      <c r="M688" s="358">
        <f t="shared" ca="1" si="494"/>
        <v>187684.29165237269</v>
      </c>
      <c r="N688" s="358">
        <f t="shared" ca="1" si="494"/>
        <v>297634.78960154386</v>
      </c>
      <c r="O688" s="358">
        <f t="shared" ca="1" si="494"/>
        <v>346801.80252118764</v>
      </c>
      <c r="P688" s="358">
        <f t="shared" ca="1" si="494"/>
        <v>396707.0334064652</v>
      </c>
      <c r="Q688" s="358">
        <f t="shared" ref="Q688:Z697" ca="1" si="495">IFERROR(OFFSET(INDIRECT(INDEX(List_of_Alternatives,MATCH($D688,NameofAlternatives,0))),$A688+Q$1-$G$1,$B688),0)</f>
        <v>447359.29888946679</v>
      </c>
      <c r="R688" s="358">
        <f t="shared" ca="1" si="495"/>
        <v>499582.67053290363</v>
      </c>
      <c r="S688" s="358">
        <f t="shared" ca="1" si="495"/>
        <v>552760.69937195152</v>
      </c>
      <c r="T688" s="358">
        <f t="shared" ca="1" si="495"/>
        <v>558235.29042415251</v>
      </c>
      <c r="U688" s="358">
        <f t="shared" ca="1" si="495"/>
        <v>568061.28349745402</v>
      </c>
      <c r="V688" s="358">
        <f t="shared" ca="1" si="495"/>
        <v>578097.33092868386</v>
      </c>
      <c r="W688" s="358">
        <f t="shared" ca="1" si="495"/>
        <v>589307.98385307565</v>
      </c>
      <c r="X688" s="358">
        <f t="shared" ca="1" si="495"/>
        <v>600767.57680645271</v>
      </c>
      <c r="Y688" s="358">
        <f t="shared" ca="1" si="495"/>
        <v>612456.05041060538</v>
      </c>
      <c r="Z688" s="358">
        <f t="shared" ca="1" si="495"/>
        <v>624353.65034303581</v>
      </c>
      <c r="AA688" s="358">
        <f t="shared" ref="AA688:AJ697" ca="1" si="496">IFERROR(OFFSET(INDIRECT(INDEX(List_of_Alternatives,MATCH($D688,NameofAlternatives,0))),$A688+AA$1-$G$1,$B688),0)</f>
        <v>636440.92610147072</v>
      </c>
      <c r="AB688" s="358">
        <f t="shared" ca="1" si="496"/>
        <v>650157.1724249234</v>
      </c>
      <c r="AC688" s="358">
        <f t="shared" ca="1" si="496"/>
        <v>664096.10666421161</v>
      </c>
      <c r="AD688" s="358">
        <f t="shared" ca="1" si="496"/>
        <v>676488.23791916086</v>
      </c>
      <c r="AE688" s="358">
        <f t="shared" ca="1" si="496"/>
        <v>689103.77488153125</v>
      </c>
      <c r="AF688" s="358">
        <f t="shared" ca="1" si="496"/>
        <v>701918.08847468474</v>
      </c>
      <c r="AG688" s="358">
        <f t="shared" ca="1" si="496"/>
        <v>716593.21749247913</v>
      </c>
      <c r="AH688" s="358">
        <f t="shared" ca="1" si="496"/>
        <v>731181.8601574162</v>
      </c>
      <c r="AI688" s="358">
        <f t="shared" ca="1" si="496"/>
        <v>745649.87574668799</v>
      </c>
      <c r="AJ688" s="358">
        <f t="shared" ca="1" si="496"/>
        <v>759969.61458014697</v>
      </c>
      <c r="AK688" s="358">
        <f t="shared" ref="AK688:AT697" ca="1" si="497">IFERROR(OFFSET(INDIRECT(INDEX(List_of_Alternatives,MATCH($D688,NameofAlternatives,0))),$A688+AK$1-$G$1,$B688),0)</f>
        <v>774876.55170385889</v>
      </c>
      <c r="AL688" s="358">
        <f t="shared" ca="1" si="497"/>
        <v>789337.62303083309</v>
      </c>
      <c r="AM688" s="358">
        <f t="shared" ca="1" si="497"/>
        <v>803268.12993299216</v>
      </c>
      <c r="AN688" s="358">
        <f t="shared" ca="1" si="497"/>
        <v>818704.92835073359</v>
      </c>
      <c r="AO688" s="358">
        <f t="shared" ca="1" si="497"/>
        <v>835954.65259754611</v>
      </c>
      <c r="AP688" s="358">
        <f t="shared" ca="1" si="497"/>
        <v>855457.40321307071</v>
      </c>
      <c r="AQ688" s="358">
        <f t="shared" ca="1" si="497"/>
        <v>876119.23212148959</v>
      </c>
      <c r="AR688" s="358">
        <f t="shared" ca="1" si="497"/>
        <v>898085.72722180071</v>
      </c>
      <c r="AS688" s="358">
        <f t="shared" ca="1" si="497"/>
        <v>921514.29476484563</v>
      </c>
      <c r="AT688" s="358">
        <f t="shared" ca="1" si="497"/>
        <v>946572.74736651743</v>
      </c>
      <c r="AV688" s="358">
        <f t="shared" ref="AV688:AV718" ca="1" si="498">SUM(L688:P688)</f>
        <v>1357421.0068012192</v>
      </c>
      <c r="AX688" s="358">
        <f t="shared" ref="AX688:AX718" ca="1" si="499">SUM(Q688:U688)</f>
        <v>2625999.2427159282</v>
      </c>
      <c r="AZ688" s="358">
        <f t="shared" ref="AZ688:AZ718" ca="1" si="500">SUM(V688:Z688)</f>
        <v>3004982.5923418533</v>
      </c>
      <c r="BB688" s="358">
        <f t="shared" ref="BB688:BB718" ca="1" si="501">SUM(AA688:AE688)</f>
        <v>3316286.2179912981</v>
      </c>
      <c r="BD688" s="358">
        <f t="shared" ref="BD688:BD718" ca="1" si="502">SUM(AF688:AJ688)</f>
        <v>3655312.6564514148</v>
      </c>
      <c r="BF688" s="358">
        <f t="shared" ref="BF688:BF718" ca="1" si="503">SUM(AK688:AO688)</f>
        <v>4022141.885615964</v>
      </c>
      <c r="BH688" s="358">
        <f t="shared" ref="BH688:BH718" ca="1" si="504">SUM(AP688:AT688)</f>
        <v>4497749.4046877241</v>
      </c>
    </row>
    <row r="689" spans="1:60" hidden="1" outlineLevel="1">
      <c r="A689" s="1464">
        <f>A688</f>
        <v>18</v>
      </c>
      <c r="B689" s="1464">
        <f>B688</f>
        <v>40</v>
      </c>
      <c r="C689" s="1464">
        <f>C688+1</f>
        <v>2</v>
      </c>
      <c r="D689" s="1271" t="str">
        <f ca="1">IF(OFFSET(PortfolioDashboard!$A$3,C689-1,0)="","Blank",OFFSET(PortfolioDashboard!$A$3,C689-1,0))</f>
        <v>Building Design &amp; Construction Standards</v>
      </c>
      <c r="E689" s="1464" t="str">
        <f>E688</f>
        <v>2010$</v>
      </c>
      <c r="F689" s="1460">
        <f t="shared" ca="1" si="484"/>
        <v>16301085.43588027</v>
      </c>
      <c r="G689" s="358">
        <f t="shared" ca="1" si="494"/>
        <v>0</v>
      </c>
      <c r="H689" s="358">
        <f t="shared" ca="1" si="494"/>
        <v>-448837.06550606014</v>
      </c>
      <c r="I689" s="358">
        <f t="shared" ca="1" si="494"/>
        <v>-1955066.851913526</v>
      </c>
      <c r="J689" s="358">
        <f t="shared" ca="1" si="494"/>
        <v>-430152.95448686951</v>
      </c>
      <c r="K689" s="358">
        <f t="shared" ca="1" si="494"/>
        <v>146213.64348080289</v>
      </c>
      <c r="L689" s="358">
        <f t="shared" ca="1" si="494"/>
        <v>-924854.48424606037</v>
      </c>
      <c r="M689" s="358">
        <f t="shared" ca="1" si="494"/>
        <v>545976.20117301703</v>
      </c>
      <c r="N689" s="358">
        <f t="shared" ca="1" si="494"/>
        <v>619371.72102831001</v>
      </c>
      <c r="O689" s="358">
        <f t="shared" ca="1" si="494"/>
        <v>695412.01082813484</v>
      </c>
      <c r="P689" s="358">
        <f t="shared" ca="1" si="494"/>
        <v>774173.78027483053</v>
      </c>
      <c r="Q689" s="358">
        <f t="shared" ca="1" si="495"/>
        <v>855730.52213156503</v>
      </c>
      <c r="R689" s="358">
        <f t="shared" ca="1" si="495"/>
        <v>942306.35816115618</v>
      </c>
      <c r="S689" s="358">
        <f t="shared" ca="1" si="495"/>
        <v>1032211.1367620135</v>
      </c>
      <c r="T689" s="358">
        <f t="shared" ca="1" si="495"/>
        <v>1125523.1744634523</v>
      </c>
      <c r="U689" s="358">
        <f t="shared" ca="1" si="495"/>
        <v>1222315.6661177636</v>
      </c>
      <c r="V689" s="358">
        <f t="shared" ca="1" si="495"/>
        <v>1322656.6868823455</v>
      </c>
      <c r="W689" s="358">
        <f t="shared" ca="1" si="495"/>
        <v>1429591.6681153104</v>
      </c>
      <c r="X689" s="358">
        <f t="shared" ca="1" si="495"/>
        <v>1540658.6697579157</v>
      </c>
      <c r="Y689" s="358">
        <f t="shared" ca="1" si="495"/>
        <v>1655924.7248933006</v>
      </c>
      <c r="Z689" s="358">
        <f t="shared" ca="1" si="495"/>
        <v>1775450.170631892</v>
      </c>
      <c r="AA689" s="358">
        <f t="shared" ca="1" si="496"/>
        <v>1899288.6452672654</v>
      </c>
      <c r="AB689" s="358">
        <f t="shared" ca="1" si="496"/>
        <v>2032829.1558332783</v>
      </c>
      <c r="AC689" s="358">
        <f t="shared" ca="1" si="496"/>
        <v>2171411.2974970788</v>
      </c>
      <c r="AD689" s="358">
        <f t="shared" ca="1" si="496"/>
        <v>2308238.6662219269</v>
      </c>
      <c r="AE689" s="358">
        <f t="shared" ca="1" si="496"/>
        <v>2442540.5888832216</v>
      </c>
      <c r="AF689" s="358">
        <f t="shared" ca="1" si="496"/>
        <v>2580979.7948846999</v>
      </c>
      <c r="AG689" s="358">
        <f t="shared" ca="1" si="496"/>
        <v>2730759.7503755209</v>
      </c>
      <c r="AH689" s="358">
        <f t="shared" ca="1" si="496"/>
        <v>2884003.5301278713</v>
      </c>
      <c r="AI689" s="358">
        <f t="shared" ca="1" si="496"/>
        <v>3040545.07369501</v>
      </c>
      <c r="AJ689" s="358">
        <f t="shared" ca="1" si="496"/>
        <v>3200231.5448879194</v>
      </c>
      <c r="AK689" s="358">
        <f t="shared" ca="1" si="497"/>
        <v>3366535.7010613112</v>
      </c>
      <c r="AL689" s="358">
        <f t="shared" ca="1" si="497"/>
        <v>3534640.1597456015</v>
      </c>
      <c r="AM689" s="358">
        <f t="shared" ca="1" si="497"/>
        <v>3703974.8633083454</v>
      </c>
      <c r="AN689" s="358">
        <f t="shared" ca="1" si="497"/>
        <v>3884832.9562777593</v>
      </c>
      <c r="AO689" s="358">
        <f t="shared" ca="1" si="497"/>
        <v>4079412.5251449109</v>
      </c>
      <c r="AP689" s="358">
        <f t="shared" ca="1" si="497"/>
        <v>4290789.4088879274</v>
      </c>
      <c r="AQ689" s="358">
        <f t="shared" ca="1" si="497"/>
        <v>4513803.1616322175</v>
      </c>
      <c r="AR689" s="358">
        <f t="shared" ca="1" si="497"/>
        <v>4749742.2119546663</v>
      </c>
      <c r="AS689" s="358">
        <f t="shared" ca="1" si="497"/>
        <v>5000040.5012710663</v>
      </c>
      <c r="AT689" s="358">
        <f t="shared" ca="1" si="497"/>
        <v>5266277.3966986248</v>
      </c>
      <c r="AV689" s="358">
        <f t="shared" ca="1" si="498"/>
        <v>1710079.2290582322</v>
      </c>
      <c r="AX689" s="358">
        <f t="shared" ca="1" si="499"/>
        <v>5178086.8576359507</v>
      </c>
      <c r="AZ689" s="358">
        <f t="shared" ca="1" si="500"/>
        <v>7724281.9202807639</v>
      </c>
      <c r="BB689" s="358">
        <f t="shared" ca="1" si="501"/>
        <v>10854308.353702771</v>
      </c>
      <c r="BD689" s="358">
        <f t="shared" ca="1" si="502"/>
        <v>14436519.693971021</v>
      </c>
      <c r="BF689" s="358">
        <f t="shared" ca="1" si="503"/>
        <v>18569396.20553793</v>
      </c>
      <c r="BH689" s="358">
        <f t="shared" ca="1" si="504"/>
        <v>23820652.680444501</v>
      </c>
    </row>
    <row r="690" spans="1:60" hidden="1" outlineLevel="1">
      <c r="A690" s="1464">
        <f t="shared" ref="A690:A717" si="505">A689</f>
        <v>18</v>
      </c>
      <c r="B690" s="1464">
        <f t="shared" ref="B690:B717" si="506">B689</f>
        <v>40</v>
      </c>
      <c r="C690" s="1464">
        <f t="shared" ref="C690:C717" si="507">C689+1</f>
        <v>3</v>
      </c>
      <c r="D690" s="1271" t="str">
        <f ca="1">IF(OFFSET(PortfolioDashboard!$A$3,C690-1,0)="","Blank",OFFSET(PortfolioDashboard!$A$3,C690-1,0))</f>
        <v>Space Planning &amp; Management</v>
      </c>
      <c r="E690" s="1464" t="str">
        <f t="shared" ref="E690:E717" si="508">E689</f>
        <v>2010$</v>
      </c>
      <c r="F690" s="1460">
        <f t="shared" ca="1" si="484"/>
        <v>496678408.93551826</v>
      </c>
      <c r="G690" s="358">
        <f t="shared" ca="1" si="494"/>
        <v>237052.05335287287</v>
      </c>
      <c r="H690" s="358">
        <f t="shared" ca="1" si="494"/>
        <v>25809943.284842934</v>
      </c>
      <c r="I690" s="358">
        <f t="shared" ca="1" si="494"/>
        <v>26555684.185293503</v>
      </c>
      <c r="J690" s="358">
        <f t="shared" ca="1" si="494"/>
        <v>27003452.746083707</v>
      </c>
      <c r="K690" s="358">
        <f t="shared" ca="1" si="494"/>
        <v>27453264.149572589</v>
      </c>
      <c r="L690" s="358">
        <f t="shared" ca="1" si="494"/>
        <v>28027869.154650323</v>
      </c>
      <c r="M690" s="358">
        <f t="shared" ca="1" si="494"/>
        <v>28524363.112580061</v>
      </c>
      <c r="N690" s="358">
        <f t="shared" ca="1" si="494"/>
        <v>29030436.592211403</v>
      </c>
      <c r="O690" s="358">
        <f t="shared" ca="1" si="494"/>
        <v>29546505.749059405</v>
      </c>
      <c r="P690" s="358">
        <f t="shared" ca="1" si="494"/>
        <v>30072969.069303431</v>
      </c>
      <c r="Q690" s="358">
        <f t="shared" ca="1" si="495"/>
        <v>30610207.620067384</v>
      </c>
      <c r="R690" s="358">
        <f t="shared" ca="1" si="495"/>
        <v>31163893.522219203</v>
      </c>
      <c r="S690" s="358">
        <f t="shared" ca="1" si="495"/>
        <v>31730478.820089035</v>
      </c>
      <c r="T690" s="358">
        <f t="shared" ca="1" si="495"/>
        <v>32310382.801057965</v>
      </c>
      <c r="U690" s="358">
        <f t="shared" ca="1" si="495"/>
        <v>32903998.849533617</v>
      </c>
      <c r="V690" s="358">
        <f t="shared" ca="1" si="495"/>
        <v>33511694.679672591</v>
      </c>
      <c r="W690" s="358">
        <f t="shared" ca="1" si="495"/>
        <v>34142338.266451351</v>
      </c>
      <c r="X690" s="358">
        <f t="shared" ca="1" si="495"/>
        <v>34789439.708340384</v>
      </c>
      <c r="Y690" s="358">
        <f t="shared" ca="1" si="495"/>
        <v>35453373.808845878</v>
      </c>
      <c r="Z690" s="358">
        <f t="shared" ca="1" si="495"/>
        <v>36134482.902149051</v>
      </c>
      <c r="AA690" s="358">
        <f t="shared" ca="1" si="496"/>
        <v>36833077.060399882</v>
      </c>
      <c r="AB690" s="358">
        <f t="shared" ca="1" si="496"/>
        <v>37566138.380831443</v>
      </c>
      <c r="AC690" s="358">
        <f t="shared" ca="1" si="496"/>
        <v>38319707.057191238</v>
      </c>
      <c r="AD690" s="358">
        <f t="shared" ca="1" si="496"/>
        <v>39072100.688011453</v>
      </c>
      <c r="AE690" s="358">
        <f t="shared" ca="1" si="496"/>
        <v>39820156.434716083</v>
      </c>
      <c r="AF690" s="358">
        <f t="shared" ca="1" si="496"/>
        <v>40585098.618417248</v>
      </c>
      <c r="AG690" s="358">
        <f t="shared" ca="1" si="496"/>
        <v>41390926.638909228</v>
      </c>
      <c r="AH690" s="358">
        <f t="shared" ca="1" si="496"/>
        <v>42212009.971292533</v>
      </c>
      <c r="AI690" s="358">
        <f t="shared" ca="1" si="496"/>
        <v>43047754.453760833</v>
      </c>
      <c r="AJ690" s="358">
        <f t="shared" ca="1" si="496"/>
        <v>43897593.997467622</v>
      </c>
      <c r="AK690" s="358">
        <f t="shared" ca="1" si="497"/>
        <v>44773411.997017495</v>
      </c>
      <c r="AL690" s="358">
        <f t="shared" ca="1" si="497"/>
        <v>45658743.176340684</v>
      </c>
      <c r="AM690" s="358">
        <f t="shared" ca="1" si="497"/>
        <v>46551441.591436014</v>
      </c>
      <c r="AN690" s="358">
        <f t="shared" ca="1" si="497"/>
        <v>47487459.935112923</v>
      </c>
      <c r="AO690" s="358">
        <f t="shared" ca="1" si="497"/>
        <v>48475077.164076246</v>
      </c>
      <c r="AP690" s="358">
        <f t="shared" ca="1" si="497"/>
        <v>49525825.198405378</v>
      </c>
      <c r="AQ690" s="358">
        <f t="shared" ca="1" si="497"/>
        <v>50621990.368309401</v>
      </c>
      <c r="AR690" s="358">
        <f t="shared" ca="1" si="497"/>
        <v>51768565.503979914</v>
      </c>
      <c r="AS690" s="358">
        <f t="shared" ca="1" si="497"/>
        <v>52971127.73479832</v>
      </c>
      <c r="AT690" s="358">
        <f t="shared" ca="1" si="497"/>
        <v>54235843.914656498</v>
      </c>
      <c r="AV690" s="358">
        <f t="shared" ca="1" si="498"/>
        <v>145202143.67780462</v>
      </c>
      <c r="AX690" s="358">
        <f t="shared" ca="1" si="499"/>
        <v>158718961.61296719</v>
      </c>
      <c r="AZ690" s="358">
        <f t="shared" ca="1" si="500"/>
        <v>174031329.36545926</v>
      </c>
      <c r="BB690" s="358">
        <f t="shared" ca="1" si="501"/>
        <v>191611179.62115011</v>
      </c>
      <c r="BD690" s="358">
        <f t="shared" ca="1" si="502"/>
        <v>211133383.67984748</v>
      </c>
      <c r="BF690" s="358">
        <f t="shared" ca="1" si="503"/>
        <v>232946133.86398333</v>
      </c>
      <c r="BH690" s="358">
        <f t="shared" ca="1" si="504"/>
        <v>259123352.72014949</v>
      </c>
    </row>
    <row r="691" spans="1:60" hidden="1" outlineLevel="1">
      <c r="A691" s="1464">
        <f t="shared" si="505"/>
        <v>18</v>
      </c>
      <c r="B691" s="1464">
        <f t="shared" si="506"/>
        <v>40</v>
      </c>
      <c r="C691" s="1464">
        <f t="shared" si="507"/>
        <v>4</v>
      </c>
      <c r="D691" s="1271" t="str">
        <f ca="1">IF(OFFSET(PortfolioDashboard!$A$3,C691-1,0)="","Blank",OFFSET(PortfolioDashboard!$A$3,C691-1,0))</f>
        <v>Central Chiller Expansion</v>
      </c>
      <c r="E691" s="1464" t="str">
        <f t="shared" si="508"/>
        <v>2010$</v>
      </c>
      <c r="F691" s="1460">
        <f t="shared" ca="1" si="484"/>
        <v>17883318.82698711</v>
      </c>
      <c r="G691" s="358">
        <f t="shared" ca="1" si="494"/>
        <v>0</v>
      </c>
      <c r="H691" s="358">
        <f t="shared" ca="1" si="494"/>
        <v>-600000</v>
      </c>
      <c r="I691" s="358">
        <f t="shared" ca="1" si="494"/>
        <v>514021.3965714135</v>
      </c>
      <c r="J691" s="358">
        <f t="shared" ca="1" si="494"/>
        <v>-446247.92182618973</v>
      </c>
      <c r="K691" s="358">
        <f t="shared" ca="1" si="494"/>
        <v>1437027.3780719491</v>
      </c>
      <c r="L691" s="358">
        <f t="shared" ca="1" si="494"/>
        <v>998459.22864476859</v>
      </c>
      <c r="M691" s="358">
        <f t="shared" ca="1" si="494"/>
        <v>1067611.3994803976</v>
      </c>
      <c r="N691" s="358">
        <f t="shared" ca="1" si="494"/>
        <v>1102217.9323608472</v>
      </c>
      <c r="O691" s="358">
        <f t="shared" ca="1" si="494"/>
        <v>1049259.2157266813</v>
      </c>
      <c r="P691" s="358">
        <f t="shared" ca="1" si="494"/>
        <v>1085332.9050631891</v>
      </c>
      <c r="Q691" s="358">
        <f t="shared" ca="1" si="495"/>
        <v>1122142.029111498</v>
      </c>
      <c r="R691" s="358">
        <f t="shared" ca="1" si="495"/>
        <v>1160779.4133367296</v>
      </c>
      <c r="S691" s="358">
        <f t="shared" ca="1" si="495"/>
        <v>1200277.2212914848</v>
      </c>
      <c r="T691" s="358">
        <f t="shared" ca="1" si="495"/>
        <v>1240632.7816722079</v>
      </c>
      <c r="U691" s="358">
        <f t="shared" ca="1" si="495"/>
        <v>1281842.8785865633</v>
      </c>
      <c r="V691" s="358">
        <f t="shared" ca="1" si="495"/>
        <v>1323903.7577024675</v>
      </c>
      <c r="W691" s="358">
        <f t="shared" ca="1" si="495"/>
        <v>1368112.3351089323</v>
      </c>
      <c r="X691" s="358">
        <f t="shared" ca="1" si="495"/>
        <v>1413292.0163633262</v>
      </c>
      <c r="Y691" s="358">
        <f t="shared" ca="1" si="495"/>
        <v>1459435.3795564303</v>
      </c>
      <c r="Z691" s="358">
        <f t="shared" ca="1" si="495"/>
        <v>1506534.2905659387</v>
      </c>
      <c r="AA691" s="358">
        <f t="shared" ca="1" si="496"/>
        <v>1554579.9064840421</v>
      </c>
      <c r="AB691" s="358">
        <f t="shared" ca="1" si="496"/>
        <v>1582987.1211015051</v>
      </c>
      <c r="AC691" s="358">
        <f t="shared" ca="1" si="496"/>
        <v>1759145.7247286076</v>
      </c>
      <c r="AD691" s="358">
        <f t="shared" ca="1" si="496"/>
        <v>1786086.3618334392</v>
      </c>
      <c r="AE691" s="358">
        <f t="shared" ca="1" si="496"/>
        <v>1461454.4707266756</v>
      </c>
      <c r="AF691" s="358">
        <f t="shared" ca="1" si="496"/>
        <v>1486678.7951085777</v>
      </c>
      <c r="AG691" s="358">
        <f t="shared" ca="1" si="496"/>
        <v>2176079.5890095597</v>
      </c>
      <c r="AH691" s="358">
        <f t="shared" ca="1" si="496"/>
        <v>2203994.444045811</v>
      </c>
      <c r="AI691" s="358">
        <f t="shared" ca="1" si="496"/>
        <v>2320126.6456967201</v>
      </c>
      <c r="AJ691" s="358">
        <f t="shared" ca="1" si="496"/>
        <v>2347840.6291902629</v>
      </c>
      <c r="AK691" s="358">
        <f t="shared" ca="1" si="497"/>
        <v>2376482.648748761</v>
      </c>
      <c r="AL691" s="358">
        <f t="shared" ca="1" si="497"/>
        <v>2404582.1171900542</v>
      </c>
      <c r="AM691" s="358">
        <f t="shared" ca="1" si="497"/>
        <v>2432016.2573427279</v>
      </c>
      <c r="AN691" s="358">
        <f t="shared" ca="1" si="497"/>
        <v>2461696.9545037351</v>
      </c>
      <c r="AO691" s="358">
        <f t="shared" ca="1" si="497"/>
        <v>2494072.223007591</v>
      </c>
      <c r="AP691" s="358">
        <f t="shared" ca="1" si="497"/>
        <v>2529783.8635076829</v>
      </c>
      <c r="AQ691" s="358">
        <f t="shared" ca="1" si="497"/>
        <v>2567273.9001148371</v>
      </c>
      <c r="AR691" s="358">
        <f t="shared" ca="1" si="497"/>
        <v>2606758.9128274075</v>
      </c>
      <c r="AS691" s="358">
        <f t="shared" ca="1" si="497"/>
        <v>2648473.6673980951</v>
      </c>
      <c r="AT691" s="358">
        <f t="shared" ca="1" si="497"/>
        <v>2692669.2077945895</v>
      </c>
      <c r="AV691" s="358">
        <f t="shared" ca="1" si="498"/>
        <v>5302880.6812758837</v>
      </c>
      <c r="AX691" s="358">
        <f t="shared" ca="1" si="499"/>
        <v>6005674.3239984838</v>
      </c>
      <c r="AZ691" s="358">
        <f t="shared" ca="1" si="500"/>
        <v>7071277.7792970957</v>
      </c>
      <c r="BB691" s="358">
        <f t="shared" ca="1" si="501"/>
        <v>8144253.5848742696</v>
      </c>
      <c r="BD691" s="358">
        <f t="shared" ca="1" si="502"/>
        <v>10534720.10305093</v>
      </c>
      <c r="BF691" s="358">
        <f t="shared" ca="1" si="503"/>
        <v>12168850.20079287</v>
      </c>
      <c r="BH691" s="358">
        <f t="shared" ca="1" si="504"/>
        <v>13044959.551642613</v>
      </c>
    </row>
    <row r="692" spans="1:60" hidden="1" outlineLevel="1">
      <c r="A692" s="1464">
        <f t="shared" si="505"/>
        <v>18</v>
      </c>
      <c r="B692" s="1464">
        <f t="shared" si="506"/>
        <v>40</v>
      </c>
      <c r="C692" s="1464">
        <f t="shared" si="507"/>
        <v>5</v>
      </c>
      <c r="D692" s="1271" t="str">
        <f ca="1">IF(OFFSET(PortfolioDashboard!$A$3,C692-1,0)="","Blank",OFFSET(PortfolioDashboard!$A$3,C692-1,0))</f>
        <v>Short-term Energy Conservation Measures</v>
      </c>
      <c r="E692" s="1464" t="str">
        <f t="shared" si="508"/>
        <v>2010$</v>
      </c>
      <c r="F692" s="1460">
        <f t="shared" ca="1" si="484"/>
        <v>26999942.110620826</v>
      </c>
      <c r="G692" s="358">
        <f t="shared" ca="1" si="494"/>
        <v>0</v>
      </c>
      <c r="H692" s="358">
        <f t="shared" ca="1" si="494"/>
        <v>-68075.07580000005</v>
      </c>
      <c r="I692" s="358">
        <f t="shared" ca="1" si="494"/>
        <v>256098.78952999983</v>
      </c>
      <c r="J692" s="358">
        <f t="shared" ca="1" si="494"/>
        <v>582888.06554847455</v>
      </c>
      <c r="K692" s="358">
        <f t="shared" ca="1" si="494"/>
        <v>912312.35161095578</v>
      </c>
      <c r="L692" s="358">
        <f t="shared" ca="1" si="494"/>
        <v>1383814.3598668315</v>
      </c>
      <c r="M692" s="358">
        <f t="shared" ca="1" si="494"/>
        <v>1801601.5106263109</v>
      </c>
      <c r="N692" s="358">
        <f t="shared" ca="1" si="494"/>
        <v>1830772.1019481719</v>
      </c>
      <c r="O692" s="358">
        <f t="shared" ca="1" si="494"/>
        <v>1860948.2048023122</v>
      </c>
      <c r="P692" s="358">
        <f t="shared" ca="1" si="494"/>
        <v>1892099.2151064514</v>
      </c>
      <c r="Q692" s="358">
        <f t="shared" ca="1" si="495"/>
        <v>1924194.8610828905</v>
      </c>
      <c r="R692" s="358">
        <f t="shared" ca="1" si="495"/>
        <v>1960220.1796244867</v>
      </c>
      <c r="S692" s="358">
        <f t="shared" ca="1" si="495"/>
        <v>1997407.7314763325</v>
      </c>
      <c r="T692" s="358">
        <f t="shared" ca="1" si="495"/>
        <v>2035712.1896833472</v>
      </c>
      <c r="U692" s="358">
        <f t="shared" ca="1" si="495"/>
        <v>2075088.5420494515</v>
      </c>
      <c r="V692" s="358">
        <f t="shared" ca="1" si="495"/>
        <v>2115492.0918985875</v>
      </c>
      <c r="W692" s="358">
        <f t="shared" ca="1" si="495"/>
        <v>2160296.651327448</v>
      </c>
      <c r="X692" s="358">
        <f t="shared" ca="1" si="495"/>
        <v>2206310.9668259542</v>
      </c>
      <c r="Y692" s="358">
        <f t="shared" ca="1" si="495"/>
        <v>2253478.1685168073</v>
      </c>
      <c r="Z692" s="358">
        <f t="shared" ca="1" si="495"/>
        <v>2301741.6933766706</v>
      </c>
      <c r="AA692" s="358">
        <f t="shared" ca="1" si="496"/>
        <v>2351045.2794453613</v>
      </c>
      <c r="AB692" s="358">
        <f t="shared" ca="1" si="496"/>
        <v>2406508.0215571085</v>
      </c>
      <c r="AC692" s="358">
        <f t="shared" ca="1" si="496"/>
        <v>2463189.4667602591</v>
      </c>
      <c r="AD692" s="358">
        <f t="shared" ca="1" si="496"/>
        <v>2514779.4233023422</v>
      </c>
      <c r="AE692" s="358">
        <f t="shared" ca="1" si="496"/>
        <v>2561026.3385341275</v>
      </c>
      <c r="AF692" s="358">
        <f t="shared" ca="1" si="496"/>
        <v>2608110.3392214892</v>
      </c>
      <c r="AG692" s="358">
        <f t="shared" ca="1" si="496"/>
        <v>2661996.5067949942</v>
      </c>
      <c r="AH692" s="358">
        <f t="shared" ca="1" si="496"/>
        <v>2715716.8165473593</v>
      </c>
      <c r="AI692" s="358">
        <f t="shared" ca="1" si="496"/>
        <v>2769148.5671950746</v>
      </c>
      <c r="AJ692" s="358">
        <f t="shared" ca="1" si="496"/>
        <v>2822191.7942244736</v>
      </c>
      <c r="AK692" s="358">
        <f t="shared" ca="1" si="497"/>
        <v>2877496.6217115903</v>
      </c>
      <c r="AL692" s="358">
        <f t="shared" ca="1" si="497"/>
        <v>2931343.8357255524</v>
      </c>
      <c r="AM692" s="358">
        <f t="shared" ca="1" si="497"/>
        <v>2983422.5319917314</v>
      </c>
      <c r="AN692" s="358">
        <f t="shared" ca="1" si="497"/>
        <v>3041095.7906178948</v>
      </c>
      <c r="AO692" s="358">
        <f t="shared" ca="1" si="497"/>
        <v>3105496.1078213509</v>
      </c>
      <c r="AP692" s="358">
        <f t="shared" ca="1" si="497"/>
        <v>3178246.0201628939</v>
      </c>
      <c r="AQ692" s="358">
        <f t="shared" ca="1" si="497"/>
        <v>3255405.3163488638</v>
      </c>
      <c r="AR692" s="358">
        <f t="shared" ca="1" si="497"/>
        <v>3337521.2401091103</v>
      </c>
      <c r="AS692" s="358">
        <f t="shared" ca="1" si="497"/>
        <v>3425187.0207073991</v>
      </c>
      <c r="AT692" s="358">
        <f t="shared" ca="1" si="497"/>
        <v>3519037.049187609</v>
      </c>
      <c r="AV692" s="358">
        <f t="shared" ca="1" si="498"/>
        <v>8769235.3923500776</v>
      </c>
      <c r="AX692" s="358">
        <f t="shared" ca="1" si="499"/>
        <v>9992623.5039165076</v>
      </c>
      <c r="AZ692" s="358">
        <f t="shared" ca="1" si="500"/>
        <v>11037319.571945466</v>
      </c>
      <c r="BB692" s="358">
        <f t="shared" ca="1" si="501"/>
        <v>12296548.529599199</v>
      </c>
      <c r="BD692" s="358">
        <f t="shared" ca="1" si="502"/>
        <v>13577164.023983393</v>
      </c>
      <c r="BF692" s="358">
        <f t="shared" ca="1" si="503"/>
        <v>14938854.887868119</v>
      </c>
      <c r="BH692" s="358">
        <f t="shared" ca="1" si="504"/>
        <v>16715396.646515876</v>
      </c>
    </row>
    <row r="693" spans="1:60" hidden="1" outlineLevel="1">
      <c r="A693" s="1464">
        <f t="shared" si="505"/>
        <v>18</v>
      </c>
      <c r="B693" s="1464">
        <f t="shared" si="506"/>
        <v>40</v>
      </c>
      <c r="C693" s="1464">
        <f t="shared" si="507"/>
        <v>6</v>
      </c>
      <c r="D693" s="1271" t="str">
        <f ca="1">IF(OFFSET(PortfolioDashboard!$A$3,C693-1,0)="","Blank",OFFSET(PortfolioDashboard!$A$3,C693-1,0))</f>
        <v>Mid-term Energy Conservation Measures</v>
      </c>
      <c r="E693" s="1464" t="str">
        <f t="shared" si="508"/>
        <v>2010$</v>
      </c>
      <c r="F693" s="1460">
        <f t="shared" ca="1" si="484"/>
        <v>16316972.289665204</v>
      </c>
      <c r="G693" s="358">
        <f t="shared" ca="1" si="494"/>
        <v>0</v>
      </c>
      <c r="H693" s="358">
        <f t="shared" ca="1" si="494"/>
        <v>0</v>
      </c>
      <c r="I693" s="358">
        <f t="shared" ca="1" si="494"/>
        <v>0</v>
      </c>
      <c r="J693" s="358">
        <f t="shared" ca="1" si="494"/>
        <v>0</v>
      </c>
      <c r="K693" s="358">
        <f t="shared" ca="1" si="494"/>
        <v>0</v>
      </c>
      <c r="L693" s="358">
        <f t="shared" ca="1" si="494"/>
        <v>0</v>
      </c>
      <c r="M693" s="358">
        <f t="shared" ca="1" si="494"/>
        <v>-540335.30449443928</v>
      </c>
      <c r="N693" s="358">
        <f t="shared" ca="1" si="494"/>
        <v>-320233.05848900042</v>
      </c>
      <c r="O693" s="358">
        <f t="shared" ca="1" si="494"/>
        <v>-92572.992622612859</v>
      </c>
      <c r="P693" s="358">
        <f t="shared" ca="1" si="494"/>
        <v>142994.79790322343</v>
      </c>
      <c r="Q693" s="358">
        <f t="shared" ca="1" si="495"/>
        <v>386805.67854364472</v>
      </c>
      <c r="R693" s="358">
        <f t="shared" ca="1" si="495"/>
        <v>641360.00531072938</v>
      </c>
      <c r="S693" s="358">
        <f t="shared" ca="1" si="495"/>
        <v>905745.49694588059</v>
      </c>
      <c r="T693" s="358">
        <f t="shared" ca="1" si="495"/>
        <v>1180339.7962712152</v>
      </c>
      <c r="U693" s="358">
        <f t="shared" ca="1" si="495"/>
        <v>1972216.380695198</v>
      </c>
      <c r="V693" s="358">
        <f t="shared" ca="1" si="495"/>
        <v>2011841.9925727502</v>
      </c>
      <c r="W693" s="358">
        <f t="shared" ca="1" si="495"/>
        <v>2055712.6354434662</v>
      </c>
      <c r="X693" s="358">
        <f t="shared" ca="1" si="495"/>
        <v>2100752.6612102925</v>
      </c>
      <c r="Y693" s="358">
        <f t="shared" ca="1" si="495"/>
        <v>2146907.2770650093</v>
      </c>
      <c r="Z693" s="358">
        <f t="shared" ca="1" si="495"/>
        <v>2194121.9860251192</v>
      </c>
      <c r="AA693" s="358">
        <f t="shared" ca="1" si="496"/>
        <v>2242342.5813532174</v>
      </c>
      <c r="AB693" s="358">
        <f t="shared" ca="1" si="496"/>
        <v>2296502.7600291288</v>
      </c>
      <c r="AC693" s="358">
        <f t="shared" ca="1" si="496"/>
        <v>2351841.0315391934</v>
      </c>
      <c r="AD693" s="358">
        <f t="shared" ca="1" si="496"/>
        <v>2402275.7790569481</v>
      </c>
      <c r="AE693" s="358">
        <f t="shared" ca="1" si="496"/>
        <v>2447564.579000928</v>
      </c>
      <c r="AF693" s="358">
        <f t="shared" ca="1" si="496"/>
        <v>2493663.7297013751</v>
      </c>
      <c r="AG693" s="358">
        <f t="shared" ca="1" si="496"/>
        <v>2546322.2732567899</v>
      </c>
      <c r="AH693" s="358">
        <f t="shared" ca="1" si="496"/>
        <v>2598824.5871726414</v>
      </c>
      <c r="AI693" s="358">
        <f t="shared" ca="1" si="496"/>
        <v>2651052.4325509639</v>
      </c>
      <c r="AJ693" s="358">
        <f t="shared" ca="1" si="496"/>
        <v>2702909.4838207015</v>
      </c>
      <c r="AK693" s="358">
        <f t="shared" ca="1" si="497"/>
        <v>2756949.8949575825</v>
      </c>
      <c r="AL693" s="358">
        <f t="shared" ca="1" si="497"/>
        <v>2809589.1815872025</v>
      </c>
      <c r="AM693" s="358">
        <f t="shared" ca="1" si="497"/>
        <v>2860527.7189609306</v>
      </c>
      <c r="AN693" s="358">
        <f t="shared" ca="1" si="497"/>
        <v>2916861.912508904</v>
      </c>
      <c r="AO693" s="358">
        <f t="shared" ca="1" si="497"/>
        <v>2979683.257708176</v>
      </c>
      <c r="AP693" s="358">
        <f t="shared" ca="1" si="497"/>
        <v>3050555.5410464583</v>
      </c>
      <c r="AQ693" s="358">
        <f t="shared" ca="1" si="497"/>
        <v>3125681.2858494204</v>
      </c>
      <c r="AR693" s="358">
        <f t="shared" ca="1" si="497"/>
        <v>3205587.9334298493</v>
      </c>
      <c r="AS693" s="358">
        <f t="shared" ca="1" si="497"/>
        <v>3290847.2451176122</v>
      </c>
      <c r="AT693" s="358">
        <f t="shared" ca="1" si="497"/>
        <v>3382070.6532243164</v>
      </c>
      <c r="AV693" s="358">
        <f t="shared" ca="1" si="498"/>
        <v>-810146.55770282913</v>
      </c>
      <c r="AX693" s="358">
        <f t="shared" ca="1" si="499"/>
        <v>5086467.3577666674</v>
      </c>
      <c r="AZ693" s="358">
        <f t="shared" ca="1" si="500"/>
        <v>10509336.552316638</v>
      </c>
      <c r="BB693" s="358">
        <f t="shared" ca="1" si="501"/>
        <v>11740526.730979415</v>
      </c>
      <c r="BD693" s="358">
        <f t="shared" ca="1" si="502"/>
        <v>12992772.506502472</v>
      </c>
      <c r="BF693" s="358">
        <f t="shared" ca="1" si="503"/>
        <v>14323611.965722796</v>
      </c>
      <c r="BH693" s="358">
        <f t="shared" ca="1" si="504"/>
        <v>16054742.658667658</v>
      </c>
    </row>
    <row r="694" spans="1:60" hidden="1" outlineLevel="1">
      <c r="A694" s="1464">
        <f t="shared" si="505"/>
        <v>18</v>
      </c>
      <c r="B694" s="1464">
        <f t="shared" si="506"/>
        <v>40</v>
      </c>
      <c r="C694" s="1464">
        <f t="shared" si="507"/>
        <v>7</v>
      </c>
      <c r="D694" s="1271" t="str">
        <f ca="1">IF(OFFSET(PortfolioDashboard!$A$3,C694-1,0)="","Blank",OFFSET(PortfolioDashboard!$A$3,C694-1,0))</f>
        <v>Long-term Energy Conservation Measures</v>
      </c>
      <c r="E694" s="1464" t="str">
        <f t="shared" si="508"/>
        <v>2010$</v>
      </c>
      <c r="F694" s="1460">
        <f t="shared" ca="1" si="484"/>
        <v>6117059.7377593461</v>
      </c>
      <c r="G694" s="358">
        <f t="shared" ca="1" si="494"/>
        <v>0</v>
      </c>
      <c r="H694" s="358">
        <f t="shared" ca="1" si="494"/>
        <v>0</v>
      </c>
      <c r="I694" s="358">
        <f t="shared" ca="1" si="494"/>
        <v>0</v>
      </c>
      <c r="J694" s="358">
        <f t="shared" ca="1" si="494"/>
        <v>0</v>
      </c>
      <c r="K694" s="358">
        <f t="shared" ca="1" si="494"/>
        <v>0</v>
      </c>
      <c r="L694" s="358">
        <f t="shared" ca="1" si="494"/>
        <v>0</v>
      </c>
      <c r="M694" s="358">
        <f t="shared" ca="1" si="494"/>
        <v>0</v>
      </c>
      <c r="N694" s="358">
        <f t="shared" ca="1" si="494"/>
        <v>0</v>
      </c>
      <c r="O694" s="358">
        <f t="shared" ca="1" si="494"/>
        <v>0</v>
      </c>
      <c r="P694" s="358">
        <f t="shared" ca="1" si="494"/>
        <v>0</v>
      </c>
      <c r="Q694" s="358">
        <f t="shared" ca="1" si="495"/>
        <v>0</v>
      </c>
      <c r="R694" s="358">
        <f t="shared" ca="1" si="495"/>
        <v>0</v>
      </c>
      <c r="S694" s="358">
        <f t="shared" ca="1" si="495"/>
        <v>0</v>
      </c>
      <c r="T694" s="358">
        <f t="shared" ca="1" si="495"/>
        <v>0</v>
      </c>
      <c r="U694" s="358">
        <f t="shared" ca="1" si="495"/>
        <v>-678839.4665510148</v>
      </c>
      <c r="V694" s="358">
        <f t="shared" ca="1" si="495"/>
        <v>-519970.49867187842</v>
      </c>
      <c r="W694" s="358">
        <f t="shared" ca="1" si="495"/>
        <v>-354284.88415262557</v>
      </c>
      <c r="X694" s="358">
        <f t="shared" ca="1" si="495"/>
        <v>-181751.13685512275</v>
      </c>
      <c r="Y694" s="358">
        <f t="shared" ca="1" si="495"/>
        <v>-2124.0058097103611</v>
      </c>
      <c r="Z694" s="358">
        <f t="shared" ca="1" si="495"/>
        <v>184825.1619616088</v>
      </c>
      <c r="AA694" s="358">
        <f t="shared" ca="1" si="496"/>
        <v>379308.53126192745</v>
      </c>
      <c r="AB694" s="358">
        <f t="shared" ca="1" si="496"/>
        <v>584566.42024731287</v>
      </c>
      <c r="AC694" s="358">
        <f t="shared" ca="1" si="496"/>
        <v>798687.06078906078</v>
      </c>
      <c r="AD694" s="358">
        <f t="shared" ca="1" si="496"/>
        <v>1017298.1370376996</v>
      </c>
      <c r="AE694" s="358">
        <f t="shared" ca="1" si="496"/>
        <v>1882667.3997330177</v>
      </c>
      <c r="AF694" s="358">
        <f t="shared" ca="1" si="496"/>
        <v>1916787.7330013686</v>
      </c>
      <c r="AG694" s="358">
        <f t="shared" ca="1" si="496"/>
        <v>1955907.7617105721</v>
      </c>
      <c r="AH694" s="358">
        <f t="shared" ca="1" si="496"/>
        <v>1994903.2853741199</v>
      </c>
      <c r="AI694" s="358">
        <f t="shared" ca="1" si="496"/>
        <v>2033684.0585073526</v>
      </c>
      <c r="AJ694" s="358">
        <f t="shared" ca="1" si="496"/>
        <v>2072176.5558646284</v>
      </c>
      <c r="AK694" s="358">
        <f t="shared" ca="1" si="497"/>
        <v>2112329.6288057626</v>
      </c>
      <c r="AL694" s="358">
        <f t="shared" ca="1" si="497"/>
        <v>2151408.2065771208</v>
      </c>
      <c r="AM694" s="358">
        <f t="shared" ca="1" si="497"/>
        <v>2189183.6415922823</v>
      </c>
      <c r="AN694" s="358">
        <f t="shared" ca="1" si="497"/>
        <v>2231070.6269392902</v>
      </c>
      <c r="AO694" s="358">
        <f t="shared" ca="1" si="497"/>
        <v>2277901.9714275347</v>
      </c>
      <c r="AP694" s="358">
        <f t="shared" ca="1" si="497"/>
        <v>2330870.852612969</v>
      </c>
      <c r="AQ694" s="358">
        <f t="shared" ca="1" si="497"/>
        <v>2387079.6810486438</v>
      </c>
      <c r="AR694" s="358">
        <f t="shared" ca="1" si="497"/>
        <v>2446930.8788567036</v>
      </c>
      <c r="AS694" s="358">
        <f t="shared" ca="1" si="497"/>
        <v>2510860.6852111993</v>
      </c>
      <c r="AT694" s="358">
        <f t="shared" ca="1" si="497"/>
        <v>2579335.6090167039</v>
      </c>
      <c r="AV694" s="358">
        <f t="shared" ca="1" si="498"/>
        <v>0</v>
      </c>
      <c r="AX694" s="358">
        <f t="shared" ca="1" si="499"/>
        <v>-678839.4665510148</v>
      </c>
      <c r="AZ694" s="358">
        <f t="shared" ca="1" si="500"/>
        <v>-873305.36352772848</v>
      </c>
      <c r="BB694" s="358">
        <f t="shared" ca="1" si="501"/>
        <v>4662527.549069019</v>
      </c>
      <c r="BD694" s="358">
        <f t="shared" ca="1" si="502"/>
        <v>9973459.3944580425</v>
      </c>
      <c r="BF694" s="358">
        <f t="shared" ca="1" si="503"/>
        <v>10961894.075341988</v>
      </c>
      <c r="BH694" s="358">
        <f t="shared" ca="1" si="504"/>
        <v>12255077.706746219</v>
      </c>
    </row>
    <row r="695" spans="1:60" hidden="1" outlineLevel="1">
      <c r="A695" s="1464">
        <f t="shared" si="505"/>
        <v>18</v>
      </c>
      <c r="B695" s="1464">
        <f t="shared" si="506"/>
        <v>40</v>
      </c>
      <c r="C695" s="1464">
        <f t="shared" si="507"/>
        <v>8</v>
      </c>
      <c r="D695" s="1271" t="str">
        <f ca="1">IF(OFFSET(PortfolioDashboard!$A$3,C695-1,0)="","Blank",OFFSET(PortfolioDashboard!$A$3,C695-1,0))</f>
        <v>Green IT</v>
      </c>
      <c r="E695" s="1464" t="str">
        <f t="shared" si="508"/>
        <v>2010$</v>
      </c>
      <c r="F695" s="1460">
        <f t="shared" ca="1" si="484"/>
        <v>12239390.859383004</v>
      </c>
      <c r="G695" s="358">
        <f t="shared" ca="1" si="494"/>
        <v>0</v>
      </c>
      <c r="H695" s="358">
        <f t="shared" ca="1" si="494"/>
        <v>0</v>
      </c>
      <c r="I695" s="358">
        <f t="shared" ca="1" si="494"/>
        <v>219187.6629166666</v>
      </c>
      <c r="J695" s="358">
        <f t="shared" ca="1" si="494"/>
        <v>450063.86912916653</v>
      </c>
      <c r="K695" s="358">
        <f t="shared" ca="1" si="494"/>
        <v>683312.94937888486</v>
      </c>
      <c r="L695" s="358">
        <f t="shared" ca="1" si="494"/>
        <v>755658.48594155023</v>
      </c>
      <c r="M695" s="358">
        <f t="shared" ca="1" si="494"/>
        <v>768417.00127052004</v>
      </c>
      <c r="N695" s="358">
        <f t="shared" ca="1" si="494"/>
        <v>781621.22695195733</v>
      </c>
      <c r="O695" s="358">
        <f t="shared" ca="1" si="494"/>
        <v>795257.99525877635</v>
      </c>
      <c r="P695" s="358">
        <f t="shared" ca="1" si="494"/>
        <v>809314.2771031023</v>
      </c>
      <c r="Q695" s="358">
        <f t="shared" ca="1" si="495"/>
        <v>823777.18517335434</v>
      </c>
      <c r="R695" s="358">
        <f t="shared" ca="1" si="495"/>
        <v>839919.43037321791</v>
      </c>
      <c r="S695" s="358">
        <f t="shared" ca="1" si="495"/>
        <v>856561.11492497846</v>
      </c>
      <c r="T695" s="358">
        <f t="shared" ca="1" si="495"/>
        <v>873682.93292655679</v>
      </c>
      <c r="U695" s="358">
        <f t="shared" ca="1" si="495"/>
        <v>891265.71277341805</v>
      </c>
      <c r="V695" s="358">
        <f t="shared" ca="1" si="495"/>
        <v>909290.4174835278</v>
      </c>
      <c r="W695" s="358">
        <f t="shared" ca="1" si="495"/>
        <v>929195.51549992326</v>
      </c>
      <c r="X695" s="358">
        <f t="shared" ca="1" si="495"/>
        <v>949620.4133395839</v>
      </c>
      <c r="Y695" s="358">
        <f t="shared" ca="1" si="495"/>
        <v>970540.8841881681</v>
      </c>
      <c r="Z695" s="358">
        <f t="shared" ca="1" si="495"/>
        <v>991932.83216097998</v>
      </c>
      <c r="AA695" s="358">
        <f t="shared" ca="1" si="496"/>
        <v>1013772.2898345189</v>
      </c>
      <c r="AB695" s="358">
        <f t="shared" ca="1" si="496"/>
        <v>1038241.8397580695</v>
      </c>
      <c r="AC695" s="358">
        <f t="shared" ca="1" si="496"/>
        <v>1063235.1054334524</v>
      </c>
      <c r="AD695" s="358">
        <f t="shared" ca="1" si="496"/>
        <v>1086061.7126662023</v>
      </c>
      <c r="AE695" s="358">
        <f t="shared" ca="1" si="496"/>
        <v>1106614.4308783938</v>
      </c>
      <c r="AF695" s="358">
        <f t="shared" ca="1" si="496"/>
        <v>1127528.2214771979</v>
      </c>
      <c r="AG695" s="358">
        <f t="shared" ca="1" si="496"/>
        <v>1151346.3598782064</v>
      </c>
      <c r="AH695" s="358">
        <f t="shared" ca="1" si="496"/>
        <v>1175098.0005813276</v>
      </c>
      <c r="AI695" s="358">
        <f t="shared" ca="1" si="496"/>
        <v>1198730.8501136859</v>
      </c>
      <c r="AJ695" s="358">
        <f t="shared" ca="1" si="496"/>
        <v>1222202.3090900157</v>
      </c>
      <c r="AK695" s="358">
        <f t="shared" ca="1" si="497"/>
        <v>1246642.2978978062</v>
      </c>
      <c r="AL695" s="358">
        <f t="shared" ca="1" si="497"/>
        <v>1270465.1248483553</v>
      </c>
      <c r="AM695" s="358">
        <f t="shared" ca="1" si="497"/>
        <v>1293538.2552209822</v>
      </c>
      <c r="AN695" s="358">
        <f t="shared" ca="1" si="497"/>
        <v>1319001.0117691874</v>
      </c>
      <c r="AO695" s="358">
        <f t="shared" ca="1" si="497"/>
        <v>1347336.2639680747</v>
      </c>
      <c r="AP695" s="358">
        <f t="shared" ca="1" si="497"/>
        <v>1379235.8135581124</v>
      </c>
      <c r="AQ695" s="358">
        <f t="shared" ca="1" si="497"/>
        <v>1413019.7456067055</v>
      </c>
      <c r="AR695" s="358">
        <f t="shared" ca="1" si="497"/>
        <v>1448921.4033906115</v>
      </c>
      <c r="AS695" s="358">
        <f t="shared" ca="1" si="497"/>
        <v>1487193.7365535754</v>
      </c>
      <c r="AT695" s="358">
        <f t="shared" ca="1" si="497"/>
        <v>1528107.244465427</v>
      </c>
      <c r="AV695" s="358">
        <f t="shared" ca="1" si="498"/>
        <v>3910268.9865259062</v>
      </c>
      <c r="AX695" s="358">
        <f t="shared" ca="1" si="499"/>
        <v>4285206.3761715256</v>
      </c>
      <c r="AZ695" s="358">
        <f t="shared" ca="1" si="500"/>
        <v>4750580.0626721829</v>
      </c>
      <c r="BB695" s="358">
        <f t="shared" ca="1" si="501"/>
        <v>5307925.3785706367</v>
      </c>
      <c r="BD695" s="358">
        <f t="shared" ca="1" si="502"/>
        <v>5874905.7411404336</v>
      </c>
      <c r="BF695" s="358">
        <f t="shared" ca="1" si="503"/>
        <v>6476982.9537044056</v>
      </c>
      <c r="BH695" s="358">
        <f t="shared" ca="1" si="504"/>
        <v>7256477.9435744323</v>
      </c>
    </row>
    <row r="696" spans="1:60" hidden="1" outlineLevel="1">
      <c r="A696" s="1464">
        <f t="shared" si="505"/>
        <v>18</v>
      </c>
      <c r="B696" s="1464">
        <f t="shared" si="506"/>
        <v>40</v>
      </c>
      <c r="C696" s="1464">
        <f t="shared" si="507"/>
        <v>9</v>
      </c>
      <c r="D696" s="1271" t="str">
        <f ca="1">IF(OFFSET(PortfolioDashboard!$A$3,C696-1,0)="","Blank",OFFSET(PortfolioDashboard!$A$3,C696-1,0))</f>
        <v>Reduced Air Travel</v>
      </c>
      <c r="E696" s="1464" t="str">
        <f t="shared" si="508"/>
        <v>2010$</v>
      </c>
      <c r="F696" s="1460">
        <f t="shared" ca="1" si="484"/>
        <v>2941919.0939216767</v>
      </c>
      <c r="G696" s="358">
        <f t="shared" ca="1" si="494"/>
        <v>0</v>
      </c>
      <c r="H696" s="358">
        <f t="shared" ca="1" si="494"/>
        <v>123606.77688805692</v>
      </c>
      <c r="I696" s="358">
        <f t="shared" ca="1" si="494"/>
        <v>124003.00400854273</v>
      </c>
      <c r="J696" s="358">
        <f t="shared" ca="1" si="494"/>
        <v>124307.03977146068</v>
      </c>
      <c r="K696" s="358">
        <f t="shared" ca="1" si="494"/>
        <v>124563.3537761138</v>
      </c>
      <c r="L696" s="358">
        <f t="shared" ca="1" si="494"/>
        <v>130555.66961892918</v>
      </c>
      <c r="M696" s="358">
        <f t="shared" ca="1" si="494"/>
        <v>197490.76113745969</v>
      </c>
      <c r="N696" s="358">
        <f t="shared" ca="1" si="494"/>
        <v>199188.71557213523</v>
      </c>
      <c r="O696" s="358">
        <f t="shared" ca="1" si="494"/>
        <v>200930.6402271413</v>
      </c>
      <c r="P696" s="358">
        <f t="shared" ca="1" si="494"/>
        <v>202718.2487788978</v>
      </c>
      <c r="Q696" s="358">
        <f t="shared" ca="1" si="495"/>
        <v>204552.29742293281</v>
      </c>
      <c r="R696" s="358">
        <f t="shared" ca="1" si="495"/>
        <v>206621.51677135343</v>
      </c>
      <c r="S696" s="358">
        <f t="shared" ca="1" si="495"/>
        <v>208754.79843052698</v>
      </c>
      <c r="T696" s="358">
        <f t="shared" ca="1" si="495"/>
        <v>210950.57918809034</v>
      </c>
      <c r="U696" s="358">
        <f t="shared" ca="1" si="495"/>
        <v>213207.07619607978</v>
      </c>
      <c r="V696" s="358">
        <f t="shared" ca="1" si="495"/>
        <v>215522.34401539541</v>
      </c>
      <c r="W696" s="358">
        <f t="shared" ca="1" si="495"/>
        <v>218109.24564500921</v>
      </c>
      <c r="X696" s="358">
        <f t="shared" ca="1" si="495"/>
        <v>220768.14575881572</v>
      </c>
      <c r="Y696" s="358">
        <f t="shared" ca="1" si="495"/>
        <v>223496.0140416591</v>
      </c>
      <c r="Z696" s="358">
        <f t="shared" ca="1" si="495"/>
        <v>226289.76081232406</v>
      </c>
      <c r="AA696" s="358">
        <f t="shared" ca="1" si="496"/>
        <v>229146.24942907234</v>
      </c>
      <c r="AB696" s="358">
        <f t="shared" ca="1" si="496"/>
        <v>232389.13971251893</v>
      </c>
      <c r="AC696" s="358">
        <f t="shared" ca="1" si="496"/>
        <v>235707.27300994255</v>
      </c>
      <c r="AD696" s="358">
        <f t="shared" ca="1" si="496"/>
        <v>238701.78815543072</v>
      </c>
      <c r="AE696" s="358">
        <f t="shared" ca="1" si="496"/>
        <v>241356.10812997306</v>
      </c>
      <c r="AF696" s="358">
        <f t="shared" ca="1" si="496"/>
        <v>244061.09651118264</v>
      </c>
      <c r="AG696" s="358">
        <f t="shared" ca="1" si="496"/>
        <v>247195.16349201981</v>
      </c>
      <c r="AH696" s="358">
        <f t="shared" ca="1" si="496"/>
        <v>250317.23281019338</v>
      </c>
      <c r="AI696" s="358">
        <f t="shared" ca="1" si="496"/>
        <v>253419.54657412256</v>
      </c>
      <c r="AJ696" s="358">
        <f t="shared" ca="1" si="496"/>
        <v>256495.76208119214</v>
      </c>
      <c r="AK696" s="358">
        <f t="shared" ca="1" si="497"/>
        <v>259714.36653242359</v>
      </c>
      <c r="AL696" s="358">
        <f t="shared" ca="1" si="497"/>
        <v>262839.05569264642</v>
      </c>
      <c r="AM696" s="358">
        <f t="shared" ca="1" si="497"/>
        <v>265849.87490957894</v>
      </c>
      <c r="AN696" s="358">
        <f t="shared" ca="1" si="497"/>
        <v>269215.71398421709</v>
      </c>
      <c r="AO696" s="358">
        <f t="shared" ca="1" si="497"/>
        <v>273009.48020168801</v>
      </c>
      <c r="AP696" s="358">
        <f t="shared" ca="1" si="497"/>
        <v>277335.49963180651</v>
      </c>
      <c r="AQ696" s="358">
        <f t="shared" ca="1" si="497"/>
        <v>281943.26313028659</v>
      </c>
      <c r="AR696" s="358">
        <f t="shared" ca="1" si="497"/>
        <v>286868.22078838781</v>
      </c>
      <c r="AS696" s="358">
        <f t="shared" ca="1" si="497"/>
        <v>292148.83152282343</v>
      </c>
      <c r="AT696" s="358">
        <f t="shared" ca="1" si="497"/>
        <v>297826.26170893741</v>
      </c>
      <c r="AV696" s="358">
        <f t="shared" ca="1" si="498"/>
        <v>930884.03533456323</v>
      </c>
      <c r="AX696" s="358">
        <f t="shared" ca="1" si="499"/>
        <v>1044086.2680089835</v>
      </c>
      <c r="AZ696" s="358">
        <f t="shared" ca="1" si="500"/>
        <v>1104185.5102732035</v>
      </c>
      <c r="BB696" s="358">
        <f t="shared" ca="1" si="501"/>
        <v>1177300.5584369376</v>
      </c>
      <c r="BD696" s="358">
        <f t="shared" ca="1" si="502"/>
        <v>1251488.8014687104</v>
      </c>
      <c r="BF696" s="358">
        <f t="shared" ca="1" si="503"/>
        <v>1330628.4913205542</v>
      </c>
      <c r="BH696" s="358">
        <f t="shared" ca="1" si="504"/>
        <v>1436122.0767822417</v>
      </c>
    </row>
    <row r="697" spans="1:60" hidden="1" outlineLevel="1">
      <c r="A697" s="1464">
        <f t="shared" si="505"/>
        <v>18</v>
      </c>
      <c r="B697" s="1464">
        <f t="shared" si="506"/>
        <v>40</v>
      </c>
      <c r="C697" s="1464">
        <f t="shared" si="507"/>
        <v>10</v>
      </c>
      <c r="D697" s="1271" t="str">
        <f ca="1">IF(OFFSET(PortfolioDashboard!$A$3,C697-1,0)="","Blank",OFFSET(PortfolioDashboard!$A$3,C697-1,0))</f>
        <v>Reduced Automobile Reliance Strategies</v>
      </c>
      <c r="E697" s="1464" t="str">
        <f t="shared" si="508"/>
        <v>2010$</v>
      </c>
      <c r="F697" s="1460">
        <f t="shared" ca="1" si="484"/>
        <v>-2165760.9658617252</v>
      </c>
      <c r="G697" s="358">
        <f t="shared" ca="1" si="494"/>
        <v>0</v>
      </c>
      <c r="H697" s="358">
        <f t="shared" ca="1" si="494"/>
        <v>0</v>
      </c>
      <c r="I697" s="358">
        <f t="shared" ca="1" si="494"/>
        <v>-102475</v>
      </c>
      <c r="J697" s="358">
        <f t="shared" ca="1" si="494"/>
        <v>-104950</v>
      </c>
      <c r="K697" s="358">
        <f t="shared" ca="1" si="494"/>
        <v>-107425</v>
      </c>
      <c r="L697" s="358">
        <f t="shared" ca="1" si="494"/>
        <v>-109900</v>
      </c>
      <c r="M697" s="358">
        <f t="shared" ca="1" si="494"/>
        <v>-112375</v>
      </c>
      <c r="N697" s="358">
        <f t="shared" ca="1" si="494"/>
        <v>-164850</v>
      </c>
      <c r="O697" s="358">
        <f t="shared" ca="1" si="494"/>
        <v>-167325</v>
      </c>
      <c r="P697" s="358">
        <f t="shared" ca="1" si="494"/>
        <v>-169800</v>
      </c>
      <c r="Q697" s="358">
        <f t="shared" ca="1" si="495"/>
        <v>-172275</v>
      </c>
      <c r="R697" s="358">
        <f t="shared" ca="1" si="495"/>
        <v>-174750</v>
      </c>
      <c r="S697" s="358">
        <f t="shared" ca="1" si="495"/>
        <v>-174750</v>
      </c>
      <c r="T697" s="358">
        <f t="shared" ca="1" si="495"/>
        <v>-174750</v>
      </c>
      <c r="U697" s="358">
        <f t="shared" ca="1" si="495"/>
        <v>-174750</v>
      </c>
      <c r="V697" s="358">
        <f t="shared" ca="1" si="495"/>
        <v>-174750</v>
      </c>
      <c r="W697" s="358">
        <f t="shared" ca="1" si="495"/>
        <v>-174750</v>
      </c>
      <c r="X697" s="358">
        <f t="shared" ca="1" si="495"/>
        <v>-174750</v>
      </c>
      <c r="Y697" s="358">
        <f t="shared" ca="1" si="495"/>
        <v>-174750</v>
      </c>
      <c r="Z697" s="358">
        <f t="shared" ca="1" si="495"/>
        <v>-174750</v>
      </c>
      <c r="AA697" s="358">
        <f t="shared" ca="1" si="496"/>
        <v>-174750</v>
      </c>
      <c r="AB697" s="358">
        <f t="shared" ca="1" si="496"/>
        <v>-174750</v>
      </c>
      <c r="AC697" s="358">
        <f t="shared" ca="1" si="496"/>
        <v>-174750</v>
      </c>
      <c r="AD697" s="358">
        <f t="shared" ca="1" si="496"/>
        <v>-174750</v>
      </c>
      <c r="AE697" s="358">
        <f t="shared" ca="1" si="496"/>
        <v>-174750</v>
      </c>
      <c r="AF697" s="358">
        <f t="shared" ca="1" si="496"/>
        <v>-174750</v>
      </c>
      <c r="AG697" s="358">
        <f t="shared" ca="1" si="496"/>
        <v>-174750</v>
      </c>
      <c r="AH697" s="358">
        <f t="shared" ca="1" si="496"/>
        <v>-174750</v>
      </c>
      <c r="AI697" s="358">
        <f t="shared" ca="1" si="496"/>
        <v>-174750</v>
      </c>
      <c r="AJ697" s="358">
        <f t="shared" ca="1" si="496"/>
        <v>-174750</v>
      </c>
      <c r="AK697" s="358">
        <f t="shared" ca="1" si="497"/>
        <v>-174750</v>
      </c>
      <c r="AL697" s="358">
        <f t="shared" ca="1" si="497"/>
        <v>-174750</v>
      </c>
      <c r="AM697" s="358">
        <f t="shared" ca="1" si="497"/>
        <v>-174750</v>
      </c>
      <c r="AN697" s="358">
        <f t="shared" ca="1" si="497"/>
        <v>-174750</v>
      </c>
      <c r="AO697" s="358">
        <f t="shared" ca="1" si="497"/>
        <v>-174750</v>
      </c>
      <c r="AP697" s="358">
        <f t="shared" ca="1" si="497"/>
        <v>-174750</v>
      </c>
      <c r="AQ697" s="358">
        <f t="shared" ca="1" si="497"/>
        <v>-174750</v>
      </c>
      <c r="AR697" s="358">
        <f t="shared" ca="1" si="497"/>
        <v>-174750</v>
      </c>
      <c r="AS697" s="358">
        <f t="shared" ca="1" si="497"/>
        <v>-174750</v>
      </c>
      <c r="AT697" s="358">
        <f t="shared" ca="1" si="497"/>
        <v>-174750</v>
      </c>
      <c r="AV697" s="358">
        <f t="shared" ca="1" si="498"/>
        <v>-724250</v>
      </c>
      <c r="AX697" s="358">
        <f t="shared" ca="1" si="499"/>
        <v>-871275</v>
      </c>
      <c r="AZ697" s="358">
        <f t="shared" ca="1" si="500"/>
        <v>-873750</v>
      </c>
      <c r="BB697" s="358">
        <f t="shared" ca="1" si="501"/>
        <v>-873750</v>
      </c>
      <c r="BD697" s="358">
        <f t="shared" ca="1" si="502"/>
        <v>-873750</v>
      </c>
      <c r="BF697" s="358">
        <f t="shared" ca="1" si="503"/>
        <v>-873750</v>
      </c>
      <c r="BH697" s="358">
        <f t="shared" ca="1" si="504"/>
        <v>-873750</v>
      </c>
    </row>
    <row r="698" spans="1:60" hidden="1" outlineLevel="1">
      <c r="A698" s="1464">
        <f t="shared" si="505"/>
        <v>18</v>
      </c>
      <c r="B698" s="1464">
        <f t="shared" si="506"/>
        <v>40</v>
      </c>
      <c r="C698" s="1464">
        <f t="shared" si="507"/>
        <v>11</v>
      </c>
      <c r="D698" s="1271" t="str">
        <f ca="1">IF(OFFSET(PortfolioDashboard!$A$3,C698-1,0)="","Blank",OFFSET(PortfolioDashboard!$A$3,C698-1,0))</f>
        <v>Waste Reduction</v>
      </c>
      <c r="E698" s="1464" t="str">
        <f t="shared" si="508"/>
        <v>2010$</v>
      </c>
      <c r="F698" s="1460">
        <f t="shared" ca="1" si="484"/>
        <v>137674.27208458824</v>
      </c>
      <c r="G698" s="358">
        <f t="shared" ref="G698:P707" ca="1" si="509">IFERROR(OFFSET(INDIRECT(INDEX(List_of_Alternatives,MATCH($D698,NameofAlternatives,0))),$A698+G$1-$G$1,$B698),0)</f>
        <v>0</v>
      </c>
      <c r="H698" s="358">
        <f t="shared" ca="1" si="509"/>
        <v>0</v>
      </c>
      <c r="I698" s="358">
        <f t="shared" ca="1" si="509"/>
        <v>3148</v>
      </c>
      <c r="J698" s="358">
        <f t="shared" ca="1" si="509"/>
        <v>3148</v>
      </c>
      <c r="K698" s="358">
        <f t="shared" ca="1" si="509"/>
        <v>3148</v>
      </c>
      <c r="L698" s="358">
        <f t="shared" ca="1" si="509"/>
        <v>4820.260291179251</v>
      </c>
      <c r="M698" s="358">
        <f t="shared" ca="1" si="509"/>
        <v>5564.4950522919544</v>
      </c>
      <c r="N698" s="358">
        <f t="shared" ca="1" si="509"/>
        <v>5906.4356067679018</v>
      </c>
      <c r="O698" s="358">
        <f t="shared" ca="1" si="509"/>
        <v>6263.6956253460958</v>
      </c>
      <c r="P698" s="358">
        <f t="shared" ca="1" si="509"/>
        <v>6635.8269049360006</v>
      </c>
      <c r="Q698" s="358">
        <f t="shared" ref="Q698:Z707" ca="1" si="510">IFERROR(OFFSET(INDIRECT(INDEX(List_of_Alternatives,MATCH($D698,NameofAlternatives,0))),$A698+Q$1-$G$1,$B698),0)</f>
        <v>7022.3846792431523</v>
      </c>
      <c r="R698" s="358">
        <f t="shared" ca="1" si="510"/>
        <v>7468.4812913478672</v>
      </c>
      <c r="S698" s="358">
        <f t="shared" ca="1" si="510"/>
        <v>7932.4152408516129</v>
      </c>
      <c r="T698" s="358">
        <f t="shared" ca="1" si="510"/>
        <v>8413.5168841692885</v>
      </c>
      <c r="U698" s="358">
        <f t="shared" ca="1" si="510"/>
        <v>8911.1188991398922</v>
      </c>
      <c r="V698" s="358">
        <f t="shared" ca="1" si="510"/>
        <v>9424.5564164460939</v>
      </c>
      <c r="W698" s="358">
        <f t="shared" ca="1" si="510"/>
        <v>10005.07143255451</v>
      </c>
      <c r="X698" s="358">
        <f t="shared" ca="1" si="510"/>
        <v>10604.312628398855</v>
      </c>
      <c r="Y698" s="358">
        <f t="shared" ca="1" si="510"/>
        <v>11221.430543555758</v>
      </c>
      <c r="Z698" s="358">
        <f t="shared" ca="1" si="510"/>
        <v>11855.577593246811</v>
      </c>
      <c r="AA698" s="358">
        <f t="shared" ref="AA698:AJ707" ca="1" si="511">IFERROR(OFFSET(INDIRECT(INDEX(List_of_Alternatives,MATCH($D698,NameofAlternatives,0))),$A698+AA$1-$G$1,$B698),0)</f>
        <v>12505.908112547257</v>
      </c>
      <c r="AB698" s="358">
        <f t="shared" ca="1" si="511"/>
        <v>13250.497099752361</v>
      </c>
      <c r="AC698" s="358">
        <f t="shared" ca="1" si="511"/>
        <v>14014.139607992709</v>
      </c>
      <c r="AD698" s="358">
        <f t="shared" ca="1" si="511"/>
        <v>14700.467980511932</v>
      </c>
      <c r="AE698" s="358">
        <f t="shared" ca="1" si="511"/>
        <v>15305.430529000159</v>
      </c>
      <c r="AF698" s="358">
        <f t="shared" ca="1" si="511"/>
        <v>15923.356423488065</v>
      </c>
      <c r="AG698" s="358">
        <f t="shared" ca="1" si="511"/>
        <v>16645.56677436415</v>
      </c>
      <c r="AH698" s="358">
        <f t="shared" ca="1" si="511"/>
        <v>17365.524276483164</v>
      </c>
      <c r="AI698" s="358">
        <f t="shared" ca="1" si="511"/>
        <v>18081.320661841983</v>
      </c>
      <c r="AJ698" s="358">
        <f t="shared" ca="1" si="511"/>
        <v>18791.392538508546</v>
      </c>
      <c r="AK698" s="358">
        <f t="shared" ref="AK698:AT707" ca="1" si="512">IFERROR(OFFSET(INDIRECT(INDEX(List_of_Alternatives,MATCH($D698,NameofAlternatives,0))),$A698+AK$1-$G$1,$B698),0)</f>
        <v>19536.388819263651</v>
      </c>
      <c r="AL698" s="358">
        <f t="shared" ca="1" si="512"/>
        <v>20259.230557616724</v>
      </c>
      <c r="AM698" s="358">
        <f t="shared" ca="1" si="512"/>
        <v>20955.076053914559</v>
      </c>
      <c r="AN698" s="358">
        <f t="shared" ca="1" si="512"/>
        <v>21737.104457284615</v>
      </c>
      <c r="AO698" s="358">
        <f t="shared" ca="1" si="512"/>
        <v>22622.893364188742</v>
      </c>
      <c r="AP698" s="358">
        <f t="shared" ca="1" si="512"/>
        <v>23637.606578441249</v>
      </c>
      <c r="AQ698" s="358">
        <f t="shared" ca="1" si="512"/>
        <v>24720.745296519337</v>
      </c>
      <c r="AR698" s="358">
        <f t="shared" ca="1" si="512"/>
        <v>25880.849213522153</v>
      </c>
      <c r="AS698" s="358">
        <f t="shared" ca="1" si="512"/>
        <v>27127.18536271984</v>
      </c>
      <c r="AT698" s="358">
        <f t="shared" ca="1" si="512"/>
        <v>28469.675244514816</v>
      </c>
      <c r="AV698" s="358">
        <f t="shared" ca="1" si="498"/>
        <v>29190.713480521204</v>
      </c>
      <c r="AX698" s="358">
        <f t="shared" ca="1" si="499"/>
        <v>39747.916994751809</v>
      </c>
      <c r="AZ698" s="358">
        <f t="shared" ca="1" si="500"/>
        <v>53110.948614202032</v>
      </c>
      <c r="BB698" s="358">
        <f t="shared" ca="1" si="501"/>
        <v>69776.443329804417</v>
      </c>
      <c r="BD698" s="358">
        <f t="shared" ca="1" si="502"/>
        <v>86807.160674685903</v>
      </c>
      <c r="BF698" s="358">
        <f t="shared" ca="1" si="503"/>
        <v>105110.69325226829</v>
      </c>
      <c r="BH698" s="358">
        <f t="shared" ca="1" si="504"/>
        <v>129836.06169571741</v>
      </c>
    </row>
    <row r="699" spans="1:60" hidden="1" outlineLevel="1">
      <c r="A699" s="1464">
        <f t="shared" si="505"/>
        <v>18</v>
      </c>
      <c r="B699" s="1464">
        <f t="shared" si="506"/>
        <v>40</v>
      </c>
      <c r="C699" s="1464">
        <f t="shared" si="507"/>
        <v>12</v>
      </c>
      <c r="D699" s="1271" t="str">
        <f ca="1">IF(OFFSET(PortfolioDashboard!$A$3,C699-1,0)="","Blank",OFFSET(PortfolioDashboard!$A$3,C699-1,0))</f>
        <v>Steam Line Improvements</v>
      </c>
      <c r="E699" s="1464" t="str">
        <f t="shared" si="508"/>
        <v>2010$</v>
      </c>
      <c r="F699" s="1460">
        <f t="shared" ca="1" si="484"/>
        <v>6594560.1872712085</v>
      </c>
      <c r="G699" s="358">
        <f t="shared" ca="1" si="509"/>
        <v>0</v>
      </c>
      <c r="H699" s="358">
        <f t="shared" ca="1" si="509"/>
        <v>-600000</v>
      </c>
      <c r="I699" s="358">
        <f t="shared" ca="1" si="509"/>
        <v>318930.98821845633</v>
      </c>
      <c r="J699" s="358">
        <f t="shared" ca="1" si="509"/>
        <v>325674.38291916944</v>
      </c>
      <c r="K699" s="358">
        <f t="shared" ca="1" si="509"/>
        <v>331089.05995406612</v>
      </c>
      <c r="L699" s="358">
        <f t="shared" ca="1" si="509"/>
        <v>373147.99855300493</v>
      </c>
      <c r="M699" s="358">
        <f t="shared" ca="1" si="509"/>
        <v>384171.21638181218</v>
      </c>
      <c r="N699" s="358">
        <f t="shared" ca="1" si="509"/>
        <v>395596.54380005447</v>
      </c>
      <c r="O699" s="358">
        <f t="shared" ca="1" si="509"/>
        <v>407424.66935391328</v>
      </c>
      <c r="P699" s="358">
        <f t="shared" ca="1" si="509"/>
        <v>419656.03556665918</v>
      </c>
      <c r="Q699" s="358">
        <f t="shared" ca="1" si="510"/>
        <v>432290.84505616943</v>
      </c>
      <c r="R699" s="358">
        <f t="shared" ca="1" si="510"/>
        <v>446087.74451850483</v>
      </c>
      <c r="S699" s="358">
        <f t="shared" ca="1" si="510"/>
        <v>460374.16256723332</v>
      </c>
      <c r="T699" s="358">
        <f t="shared" ca="1" si="510"/>
        <v>475147.67701735004</v>
      </c>
      <c r="U699" s="358">
        <f t="shared" ca="1" si="510"/>
        <v>490405.46943087131</v>
      </c>
      <c r="V699" s="358">
        <f t="shared" ca="1" si="510"/>
        <v>506144.32946773659</v>
      </c>
      <c r="W699" s="358">
        <f t="shared" ca="1" si="510"/>
        <v>523265.87368268974</v>
      </c>
      <c r="X699" s="358">
        <f t="shared" ca="1" si="510"/>
        <v>540951.41708424897</v>
      </c>
      <c r="Y699" s="358">
        <f t="shared" ca="1" si="510"/>
        <v>559195.1990020643</v>
      </c>
      <c r="Z699" s="358">
        <f t="shared" ca="1" si="510"/>
        <v>577990.94275289448</v>
      </c>
      <c r="AA699" s="358">
        <f t="shared" ca="1" si="511"/>
        <v>597331.8580931609</v>
      </c>
      <c r="AB699" s="358">
        <f t="shared" ca="1" si="511"/>
        <v>618649.35255805135</v>
      </c>
      <c r="AC699" s="358">
        <f t="shared" ca="1" si="511"/>
        <v>640605.66851327417</v>
      </c>
      <c r="AD699" s="358">
        <f t="shared" ca="1" si="511"/>
        <v>661422.91168318014</v>
      </c>
      <c r="AE699" s="358">
        <f t="shared" ca="1" si="511"/>
        <v>680988.90789769031</v>
      </c>
      <c r="AF699" s="358">
        <f t="shared" ca="1" si="511"/>
        <v>701044.73278178286</v>
      </c>
      <c r="AG699" s="358">
        <f t="shared" ca="1" si="511"/>
        <v>123334.03300239099</v>
      </c>
      <c r="AH699" s="358">
        <f t="shared" ca="1" si="511"/>
        <v>745863.23345929012</v>
      </c>
      <c r="AI699" s="358">
        <f t="shared" ca="1" si="511"/>
        <v>768594.67584421881</v>
      </c>
      <c r="AJ699" s="358">
        <f t="shared" ca="1" si="511"/>
        <v>791496.20842054219</v>
      </c>
      <c r="AK699" s="358">
        <f t="shared" ca="1" si="512"/>
        <v>815364.44262210932</v>
      </c>
      <c r="AL699" s="358">
        <f t="shared" ca="1" si="512"/>
        <v>839085.25083535619</v>
      </c>
      <c r="AM699" s="358">
        <f t="shared" ca="1" si="512"/>
        <v>862551.68035514769</v>
      </c>
      <c r="AN699" s="358">
        <f t="shared" ca="1" si="512"/>
        <v>888029.77451456408</v>
      </c>
      <c r="AO699" s="358">
        <f t="shared" ca="1" si="512"/>
        <v>915917.49359650654</v>
      </c>
      <c r="AP699" s="358">
        <f t="shared" ca="1" si="512"/>
        <v>946779.07139525446</v>
      </c>
      <c r="AQ699" s="358">
        <f t="shared" ca="1" si="512"/>
        <v>979429.32460158807</v>
      </c>
      <c r="AR699" s="358">
        <f t="shared" ca="1" si="512"/>
        <v>1014078.3984056704</v>
      </c>
      <c r="AS699" s="358">
        <f t="shared" ca="1" si="512"/>
        <v>1050957.0566943316</v>
      </c>
      <c r="AT699" s="358">
        <f t="shared" ca="1" si="512"/>
        <v>1090315.7183803706</v>
      </c>
      <c r="AV699" s="358">
        <f t="shared" ca="1" si="498"/>
        <v>1979996.4636554441</v>
      </c>
      <c r="AX699" s="358">
        <f t="shared" ca="1" si="499"/>
        <v>2304305.8985901289</v>
      </c>
      <c r="AZ699" s="358">
        <f t="shared" ca="1" si="500"/>
        <v>2707547.761989634</v>
      </c>
      <c r="BB699" s="358">
        <f t="shared" ca="1" si="501"/>
        <v>3198998.6987453569</v>
      </c>
      <c r="BD699" s="358">
        <f t="shared" ca="1" si="502"/>
        <v>3130332.883508225</v>
      </c>
      <c r="BF699" s="358">
        <f t="shared" ca="1" si="503"/>
        <v>4320948.6419236837</v>
      </c>
      <c r="BH699" s="358">
        <f t="shared" ca="1" si="504"/>
        <v>5081559.5694772154</v>
      </c>
    </row>
    <row r="700" spans="1:60" hidden="1" outlineLevel="1">
      <c r="A700" s="1464">
        <f t="shared" si="505"/>
        <v>18</v>
      </c>
      <c r="B700" s="1464">
        <f t="shared" si="506"/>
        <v>40</v>
      </c>
      <c r="C700" s="1464">
        <f t="shared" si="507"/>
        <v>13</v>
      </c>
      <c r="D700" s="1271" t="str">
        <f ca="1">IF(OFFSET(PortfolioDashboard!$A$3,C700-1,0)="","Blank",OFFSET(PortfolioDashboard!$A$3,C700-1,0))</f>
        <v>Coal to Natural Gas Conversion @ Steam Plant</v>
      </c>
      <c r="E700" s="1464" t="str">
        <f t="shared" si="508"/>
        <v>2010$</v>
      </c>
      <c r="F700" s="1460">
        <f t="shared" ca="1" si="484"/>
        <v>5537943.2262725588</v>
      </c>
      <c r="G700" s="358">
        <f t="shared" ca="1" si="509"/>
        <v>0</v>
      </c>
      <c r="H700" s="358">
        <f t="shared" ca="1" si="509"/>
        <v>0</v>
      </c>
      <c r="I700" s="358">
        <f t="shared" ca="1" si="509"/>
        <v>0</v>
      </c>
      <c r="J700" s="358">
        <f t="shared" ca="1" si="509"/>
        <v>0</v>
      </c>
      <c r="K700" s="358">
        <f t="shared" ca="1" si="509"/>
        <v>0</v>
      </c>
      <c r="L700" s="358">
        <f t="shared" ca="1" si="509"/>
        <v>-120191.28948592773</v>
      </c>
      <c r="M700" s="358">
        <f t="shared" ca="1" si="509"/>
        <v>-94421.088777574565</v>
      </c>
      <c r="N700" s="358">
        <f t="shared" ca="1" si="509"/>
        <v>-66707.963689446449</v>
      </c>
      <c r="O700" s="358">
        <f t="shared" ca="1" si="509"/>
        <v>-37050.20221795293</v>
      </c>
      <c r="P700" s="358">
        <f t="shared" ca="1" si="509"/>
        <v>-5447.4801463444019</v>
      </c>
      <c r="Q700" s="358">
        <f t="shared" ca="1" si="510"/>
        <v>28099.173036954715</v>
      </c>
      <c r="R700" s="358">
        <f t="shared" ca="1" si="510"/>
        <v>67824.577402641065</v>
      </c>
      <c r="S700" s="358">
        <f t="shared" ca="1" si="510"/>
        <v>109970.27410783258</v>
      </c>
      <c r="T700" s="358">
        <f t="shared" ca="1" si="510"/>
        <v>154520.53224576876</v>
      </c>
      <c r="U700" s="358">
        <f t="shared" ca="1" si="510"/>
        <v>201457.39367064903</v>
      </c>
      <c r="V700" s="358">
        <f t="shared" ca="1" si="510"/>
        <v>250760.69721030816</v>
      </c>
      <c r="W700" s="358">
        <f t="shared" ca="1" si="510"/>
        <v>307463.66984065424</v>
      </c>
      <c r="X700" s="358">
        <f t="shared" ca="1" si="510"/>
        <v>366991.74583883502</v>
      </c>
      <c r="Y700" s="358">
        <f t="shared" ca="1" si="510"/>
        <v>429310.47723674309</v>
      </c>
      <c r="Z700" s="358">
        <f t="shared" ca="1" si="510"/>
        <v>494382.5195361831</v>
      </c>
      <c r="AA700" s="358">
        <f t="shared" ca="1" si="511"/>
        <v>562167.64531681058</v>
      </c>
      <c r="AB700" s="358">
        <f t="shared" ca="1" si="511"/>
        <v>640657.85841826163</v>
      </c>
      <c r="AC700" s="358">
        <f t="shared" ca="1" si="511"/>
        <v>722379.53075897461</v>
      </c>
      <c r="AD700" s="358">
        <f t="shared" ca="1" si="511"/>
        <v>797400.88321633288</v>
      </c>
      <c r="AE700" s="358">
        <f t="shared" ca="1" si="511"/>
        <v>865093.06584520312</v>
      </c>
      <c r="AF700" s="358">
        <f t="shared" ca="1" si="511"/>
        <v>935177.49955862598</v>
      </c>
      <c r="AG700" s="358">
        <f t="shared" ca="1" si="511"/>
        <v>1017389.9491136712</v>
      </c>
      <c r="AH700" s="358">
        <f t="shared" ca="1" si="511"/>
        <v>1100594.0103743311</v>
      </c>
      <c r="AI700" s="358">
        <f t="shared" ca="1" si="511"/>
        <v>1184576.9386414746</v>
      </c>
      <c r="AJ700" s="358">
        <f t="shared" ca="1" si="511"/>
        <v>1269156.7275313057</v>
      </c>
      <c r="AK700" s="358">
        <f t="shared" ca="1" si="512"/>
        <v>1358779.9463113477</v>
      </c>
      <c r="AL700" s="358">
        <f t="shared" ca="1" si="512"/>
        <v>1447221.7885422804</v>
      </c>
      <c r="AM700" s="358">
        <f t="shared" ca="1" si="512"/>
        <v>1533882.4418193805</v>
      </c>
      <c r="AN700" s="358">
        <f t="shared" ca="1" si="512"/>
        <v>1631415.1146156457</v>
      </c>
      <c r="AO700" s="358">
        <f t="shared" ca="1" si="512"/>
        <v>1742039.8705265704</v>
      </c>
      <c r="AP700" s="358">
        <f t="shared" ca="1" si="512"/>
        <v>1868905.3843482868</v>
      </c>
      <c r="AQ700" s="358">
        <f t="shared" ca="1" si="512"/>
        <v>2005389.927811468</v>
      </c>
      <c r="AR700" s="358">
        <f t="shared" ca="1" si="512"/>
        <v>2152664.5801064735</v>
      </c>
      <c r="AS700" s="358">
        <f t="shared" ca="1" si="512"/>
        <v>2312015.5581531106</v>
      </c>
      <c r="AT700" s="358">
        <f t="shared" ca="1" si="512"/>
        <v>2484838.8344591013</v>
      </c>
      <c r="AV700" s="358">
        <f t="shared" ca="1" si="498"/>
        <v>-323818.02431724605</v>
      </c>
      <c r="AX700" s="358">
        <f t="shared" ca="1" si="499"/>
        <v>561871.95046384609</v>
      </c>
      <c r="AZ700" s="358">
        <f t="shared" ca="1" si="500"/>
        <v>1848909.1096627237</v>
      </c>
      <c r="BB700" s="358">
        <f t="shared" ca="1" si="501"/>
        <v>3587698.9835555828</v>
      </c>
      <c r="BD700" s="358">
        <f t="shared" ca="1" si="502"/>
        <v>5506895.1252194084</v>
      </c>
      <c r="BF700" s="358">
        <f t="shared" ca="1" si="503"/>
        <v>7713339.1618152242</v>
      </c>
      <c r="BH700" s="358">
        <f t="shared" ca="1" si="504"/>
        <v>10823814.28487844</v>
      </c>
    </row>
    <row r="701" spans="1:60" hidden="1" outlineLevel="1">
      <c r="A701" s="1464">
        <f t="shared" si="505"/>
        <v>18</v>
      </c>
      <c r="B701" s="1464">
        <f t="shared" si="506"/>
        <v>40</v>
      </c>
      <c r="C701" s="1464">
        <f t="shared" si="507"/>
        <v>14</v>
      </c>
      <c r="D701" s="1271" t="str">
        <f ca="1">IF(OFFSET(PortfolioDashboard!$A$3,C701-1,0)="","Blank",OFFSET(PortfolioDashboard!$A$3,C701-1,0))</f>
        <v>On-site Wind</v>
      </c>
      <c r="E701" s="1464" t="str">
        <f t="shared" si="508"/>
        <v>2010$</v>
      </c>
      <c r="F701" s="1460">
        <f t="shared" ca="1" si="484"/>
        <v>-114066.56767331688</v>
      </c>
      <c r="G701" s="358">
        <f t="shared" ca="1" si="509"/>
        <v>-100000</v>
      </c>
      <c r="H701" s="358">
        <f t="shared" ca="1" si="509"/>
        <v>-6057.5400000000009</v>
      </c>
      <c r="I701" s="358">
        <f t="shared" ca="1" si="509"/>
        <v>-5982.7077000000063</v>
      </c>
      <c r="J701" s="358">
        <f t="shared" ca="1" si="509"/>
        <v>-5907.5012385000064</v>
      </c>
      <c r="K701" s="358">
        <f t="shared" ca="1" si="509"/>
        <v>-5831.9187446925116</v>
      </c>
      <c r="L701" s="358">
        <f t="shared" ca="1" si="509"/>
        <v>-4490.5167998834022</v>
      </c>
      <c r="M701" s="358">
        <f t="shared" ca="1" si="509"/>
        <v>-4218.9138976190652</v>
      </c>
      <c r="N701" s="358">
        <f t="shared" ca="1" si="509"/>
        <v>-3937.8227263690287</v>
      </c>
      <c r="O701" s="358">
        <f t="shared" ca="1" si="509"/>
        <v>-3647.5236003234986</v>
      </c>
      <c r="P701" s="358">
        <f t="shared" ca="1" si="509"/>
        <v>-3348.2938823252093</v>
      </c>
      <c r="Q701" s="358">
        <f t="shared" ca="1" si="510"/>
        <v>-3040.4079170872815</v>
      </c>
      <c r="R701" s="358">
        <f t="shared" ca="1" si="510"/>
        <v>-2696.7722720063466</v>
      </c>
      <c r="S701" s="358">
        <f t="shared" ca="1" si="510"/>
        <v>-2342.5045765666823</v>
      </c>
      <c r="T701" s="358">
        <f t="shared" ca="1" si="510"/>
        <v>-1978.0158142487567</v>
      </c>
      <c r="U701" s="358">
        <f t="shared" ca="1" si="510"/>
        <v>-1603.7141096108376</v>
      </c>
      <c r="V701" s="358">
        <f t="shared" ca="1" si="510"/>
        <v>-1220.0047213713169</v>
      </c>
      <c r="W701" s="358">
        <f t="shared" ca="1" si="510"/>
        <v>-796.26557526287252</v>
      </c>
      <c r="X701" s="358">
        <f t="shared" ca="1" si="510"/>
        <v>-361.46094567495948</v>
      </c>
      <c r="Y701" s="358">
        <f t="shared" ca="1" si="510"/>
        <v>83.893427675217026</v>
      </c>
      <c r="Z701" s="358">
        <f t="shared" ca="1" si="510"/>
        <v>539.28459229692271</v>
      </c>
      <c r="AA701" s="358">
        <f t="shared" ca="1" si="511"/>
        <v>1004.202330377605</v>
      </c>
      <c r="AB701" s="358">
        <f t="shared" ca="1" si="511"/>
        <v>1525.1093955788274</v>
      </c>
      <c r="AC701" s="358">
        <f t="shared" ca="1" si="511"/>
        <v>2057.1653064326638</v>
      </c>
      <c r="AD701" s="358">
        <f t="shared" ca="1" si="511"/>
        <v>2543.0974555429693</v>
      </c>
      <c r="AE701" s="358">
        <f t="shared" ca="1" si="511"/>
        <v>2980.6231214938716</v>
      </c>
      <c r="AF701" s="358">
        <f t="shared" ca="1" si="511"/>
        <v>3425.8352858815397</v>
      </c>
      <c r="AG701" s="358">
        <f t="shared" ca="1" si="511"/>
        <v>3932.8751215870898</v>
      </c>
      <c r="AH701" s="358">
        <f t="shared" ca="1" si="511"/>
        <v>4438.4993562391974</v>
      </c>
      <c r="AI701" s="358">
        <f t="shared" ca="1" si="511"/>
        <v>4941.5947679122401</v>
      </c>
      <c r="AJ701" s="358">
        <f t="shared" ca="1" si="511"/>
        <v>5441.2545021349597</v>
      </c>
      <c r="AK701" s="358">
        <f t="shared" ca="1" si="512"/>
        <v>5961.5322711659337</v>
      </c>
      <c r="AL701" s="358">
        <f t="shared" ca="1" si="512"/>
        <v>6468.6719165773793</v>
      </c>
      <c r="AM701" s="358">
        <f t="shared" ca="1" si="512"/>
        <v>6959.8520431003744</v>
      </c>
      <c r="AN701" s="358">
        <f t="shared" ca="1" si="512"/>
        <v>7501.9024619637421</v>
      </c>
      <c r="AO701" s="358">
        <f t="shared" ca="1" si="512"/>
        <v>8105.1024844722524</v>
      </c>
      <c r="AP701" s="358">
        <f t="shared" ca="1" si="512"/>
        <v>8784.1791659029495</v>
      </c>
      <c r="AQ701" s="358">
        <f t="shared" ca="1" si="512"/>
        <v>9503.3705261597588</v>
      </c>
      <c r="AR701" s="358">
        <f t="shared" ca="1" si="512"/>
        <v>10267.643970113622</v>
      </c>
      <c r="AS701" s="358">
        <f t="shared" ca="1" si="512"/>
        <v>11082.384282404177</v>
      </c>
      <c r="AT701" s="358">
        <f t="shared" ca="1" si="512"/>
        <v>11953.349845728162</v>
      </c>
      <c r="AV701" s="358">
        <f t="shared" ca="1" si="498"/>
        <v>-19643.070906520203</v>
      </c>
      <c r="AX701" s="358">
        <f t="shared" ca="1" si="499"/>
        <v>-11661.414689519903</v>
      </c>
      <c r="AZ701" s="358">
        <f t="shared" ca="1" si="500"/>
        <v>-1754.5532223370092</v>
      </c>
      <c r="BB701" s="358">
        <f t="shared" ca="1" si="501"/>
        <v>10110.197609425937</v>
      </c>
      <c r="BD701" s="358">
        <f t="shared" ca="1" si="502"/>
        <v>22180.059033755024</v>
      </c>
      <c r="BF701" s="358">
        <f t="shared" ca="1" si="503"/>
        <v>34997.061177279684</v>
      </c>
      <c r="BH701" s="358">
        <f t="shared" ca="1" si="504"/>
        <v>51590.92779030867</v>
      </c>
    </row>
    <row r="702" spans="1:60" hidden="1" outlineLevel="1">
      <c r="A702" s="1464">
        <f t="shared" si="505"/>
        <v>18</v>
      </c>
      <c r="B702" s="1464">
        <f t="shared" si="506"/>
        <v>40</v>
      </c>
      <c r="C702" s="1464">
        <f t="shared" si="507"/>
        <v>15</v>
      </c>
      <c r="D702" s="1271" t="str">
        <f ca="1">IF(OFFSET(PortfolioDashboard!$A$3,C702-1,0)="","Blank",OFFSET(PortfolioDashboard!$A$3,C702-1,0))</f>
        <v>Solar DHW</v>
      </c>
      <c r="E702" s="1464" t="str">
        <f t="shared" si="508"/>
        <v>2010$</v>
      </c>
      <c r="F702" s="1460">
        <f t="shared" ca="1" si="484"/>
        <v>14729.146719652781</v>
      </c>
      <c r="G702" s="358">
        <f t="shared" ca="1" si="509"/>
        <v>0</v>
      </c>
      <c r="H702" s="358">
        <f t="shared" ca="1" si="509"/>
        <v>-61400</v>
      </c>
      <c r="I702" s="358">
        <f t="shared" ca="1" si="509"/>
        <v>4365.7750911300864</v>
      </c>
      <c r="J702" s="358">
        <f t="shared" ca="1" si="509"/>
        <v>4387.6039665857361</v>
      </c>
      <c r="K702" s="358">
        <f t="shared" ca="1" si="509"/>
        <v>4409.5419864186642</v>
      </c>
      <c r="L702" s="358">
        <f t="shared" ca="1" si="509"/>
        <v>4859.7835094580969</v>
      </c>
      <c r="M702" s="358">
        <f t="shared" ca="1" si="509"/>
        <v>4948.013477023218</v>
      </c>
      <c r="N702" s="358">
        <f t="shared" ca="1" si="509"/>
        <v>5039.4356694927828</v>
      </c>
      <c r="O702" s="358">
        <f t="shared" ca="1" si="509"/>
        <v>5133.9551437036871</v>
      </c>
      <c r="P702" s="358">
        <f t="shared" ca="1" si="509"/>
        <v>5231.4779546959053</v>
      </c>
      <c r="Q702" s="358">
        <f t="shared" ca="1" si="510"/>
        <v>5331.9111783075859</v>
      </c>
      <c r="R702" s="358">
        <f t="shared" ca="1" si="510"/>
        <v>5444.422462265552</v>
      </c>
      <c r="S702" s="358">
        <f t="shared" ca="1" si="510"/>
        <v>5560.5125343553973</v>
      </c>
      <c r="T702" s="358">
        <f t="shared" ca="1" si="510"/>
        <v>5680.0422338704575</v>
      </c>
      <c r="U702" s="358">
        <f t="shared" ca="1" si="510"/>
        <v>5802.8733670211313</v>
      </c>
      <c r="V702" s="358">
        <f t="shared" ca="1" si="510"/>
        <v>5928.8687092733053</v>
      </c>
      <c r="W702" s="358">
        <f t="shared" ca="1" si="510"/>
        <v>6068.3899102133992</v>
      </c>
      <c r="X702" s="358">
        <f t="shared" ca="1" si="510"/>
        <v>6211.6360866925615</v>
      </c>
      <c r="Y702" s="358">
        <f t="shared" ca="1" si="510"/>
        <v>6358.4326287321455</v>
      </c>
      <c r="Z702" s="358">
        <f t="shared" ca="1" si="510"/>
        <v>6508.6058689986403</v>
      </c>
      <c r="AA702" s="358">
        <f t="shared" ca="1" si="511"/>
        <v>6661.983065020233</v>
      </c>
      <c r="AB702" s="358">
        <f t="shared" ca="1" si="511"/>
        <v>6834.2859542667575</v>
      </c>
      <c r="AC702" s="358">
        <f t="shared" ca="1" si="511"/>
        <v>7010.3415391857634</v>
      </c>
      <c r="AD702" s="358">
        <f t="shared" ca="1" si="511"/>
        <v>7170.7701008020695</v>
      </c>
      <c r="AE702" s="358">
        <f t="shared" ca="1" si="511"/>
        <v>7314.7991237267506</v>
      </c>
      <c r="AF702" s="358">
        <f t="shared" ca="1" si="511"/>
        <v>7461.4089720797692</v>
      </c>
      <c r="AG702" s="358">
        <f t="shared" ca="1" si="511"/>
        <v>-53771.08043384285</v>
      </c>
      <c r="AH702" s="358">
        <f t="shared" ca="1" si="511"/>
        <v>7795.9308610749358</v>
      </c>
      <c r="AI702" s="358">
        <f t="shared" ca="1" si="511"/>
        <v>7962.0660688598673</v>
      </c>
      <c r="AJ702" s="358">
        <f t="shared" ca="1" si="511"/>
        <v>8127.0182306239749</v>
      </c>
      <c r="AK702" s="358">
        <f t="shared" ca="1" si="512"/>
        <v>8298.9264193777617</v>
      </c>
      <c r="AL702" s="358">
        <f t="shared" ca="1" si="512"/>
        <v>8466.3682911407705</v>
      </c>
      <c r="AM702" s="358">
        <f t="shared" ca="1" si="512"/>
        <v>8628.3890526960295</v>
      </c>
      <c r="AN702" s="358">
        <f t="shared" ca="1" si="512"/>
        <v>8807.6021390968381</v>
      </c>
      <c r="AO702" s="358">
        <f t="shared" ca="1" si="512"/>
        <v>9007.4857080118381</v>
      </c>
      <c r="AP702" s="358">
        <f t="shared" ca="1" si="512"/>
        <v>9233.0229220677556</v>
      </c>
      <c r="AQ702" s="358">
        <f t="shared" ca="1" si="512"/>
        <v>9472.112714724577</v>
      </c>
      <c r="AR702" s="358">
        <f t="shared" ca="1" si="512"/>
        <v>9726.4358255987263</v>
      </c>
      <c r="AS702" s="358">
        <f t="shared" ca="1" si="512"/>
        <v>9997.8142246659063</v>
      </c>
      <c r="AT702" s="358">
        <f t="shared" ca="1" si="512"/>
        <v>10288.19629762066</v>
      </c>
      <c r="AV702" s="358">
        <f t="shared" ca="1" si="498"/>
        <v>25212.665754373687</v>
      </c>
      <c r="AX702" s="358">
        <f t="shared" ca="1" si="499"/>
        <v>27819.761775820123</v>
      </c>
      <c r="AZ702" s="358">
        <f t="shared" ca="1" si="500"/>
        <v>31075.933203910048</v>
      </c>
      <c r="BB702" s="358">
        <f t="shared" ca="1" si="501"/>
        <v>34992.179783001578</v>
      </c>
      <c r="BD702" s="358">
        <f t="shared" ca="1" si="502"/>
        <v>-22424.656301204304</v>
      </c>
      <c r="BF702" s="358">
        <f t="shared" ca="1" si="503"/>
        <v>43208.771610323238</v>
      </c>
      <c r="BH702" s="358">
        <f t="shared" ca="1" si="504"/>
        <v>48717.581984677628</v>
      </c>
    </row>
    <row r="703" spans="1:60" hidden="1" outlineLevel="1">
      <c r="A703" s="1464">
        <f t="shared" si="505"/>
        <v>18</v>
      </c>
      <c r="B703" s="1464">
        <f t="shared" si="506"/>
        <v>40</v>
      </c>
      <c r="C703" s="1464">
        <f t="shared" si="507"/>
        <v>16</v>
      </c>
      <c r="D703" s="1271" t="str">
        <f ca="1">IF(OFFSET(PortfolioDashboard!$A$3,C703-1,0)="","Blank",OFFSET(PortfolioDashboard!$A$3,C703-1,0))</f>
        <v>Geo Exchange</v>
      </c>
      <c r="E703" s="1464" t="str">
        <f t="shared" si="508"/>
        <v>2010$</v>
      </c>
      <c r="F703" s="1460">
        <f t="shared" ca="1" si="484"/>
        <v>553536.08730204764</v>
      </c>
      <c r="G703" s="358">
        <f t="shared" ca="1" si="509"/>
        <v>0</v>
      </c>
      <c r="H703" s="358">
        <f t="shared" ca="1" si="509"/>
        <v>0</v>
      </c>
      <c r="I703" s="358">
        <f t="shared" ca="1" si="509"/>
        <v>-862500</v>
      </c>
      <c r="J703" s="358">
        <f t="shared" ca="1" si="509"/>
        <v>49582.351449977352</v>
      </c>
      <c r="K703" s="358">
        <f t="shared" ca="1" si="509"/>
        <v>-812594.73679277278</v>
      </c>
      <c r="L703" s="358">
        <f t="shared" ca="1" si="509"/>
        <v>114306.32215766815</v>
      </c>
      <c r="M703" s="358">
        <f t="shared" ca="1" si="509"/>
        <v>117095.22793250246</v>
      </c>
      <c r="N703" s="358">
        <f t="shared" ca="1" si="509"/>
        <v>119987.04129116607</v>
      </c>
      <c r="O703" s="358">
        <f t="shared" ca="1" si="509"/>
        <v>122978.69039752585</v>
      </c>
      <c r="P703" s="358">
        <f t="shared" ca="1" si="509"/>
        <v>126067.13568687104</v>
      </c>
      <c r="Q703" s="358">
        <f t="shared" ca="1" si="510"/>
        <v>129249.37059654348</v>
      </c>
      <c r="R703" s="358">
        <f t="shared" ca="1" si="510"/>
        <v>132821.85285460288</v>
      </c>
      <c r="S703" s="358">
        <f t="shared" ca="1" si="510"/>
        <v>136509.73509783283</v>
      </c>
      <c r="T703" s="358">
        <f t="shared" ca="1" si="510"/>
        <v>140308.5155620822</v>
      </c>
      <c r="U703" s="358">
        <f t="shared" ca="1" si="510"/>
        <v>144213.72374270653</v>
      </c>
      <c r="V703" s="358">
        <f t="shared" ca="1" si="510"/>
        <v>148220.92047014507</v>
      </c>
      <c r="W703" s="358">
        <f t="shared" ca="1" si="510"/>
        <v>152665.17453803716</v>
      </c>
      <c r="X703" s="358">
        <f t="shared" ca="1" si="510"/>
        <v>157229.5476201447</v>
      </c>
      <c r="Y703" s="358">
        <f t="shared" ca="1" si="510"/>
        <v>161908.3915677832</v>
      </c>
      <c r="Z703" s="358">
        <f t="shared" ca="1" si="510"/>
        <v>166696.08870667143</v>
      </c>
      <c r="AA703" s="358">
        <f t="shared" ca="1" si="511"/>
        <v>171587.05126181638</v>
      </c>
      <c r="AB703" s="358">
        <f t="shared" ca="1" si="511"/>
        <v>177089.68014804274</v>
      </c>
      <c r="AC703" s="358">
        <f t="shared" ca="1" si="511"/>
        <v>182713.31592499488</v>
      </c>
      <c r="AD703" s="358">
        <f t="shared" ca="1" si="511"/>
        <v>187831.26403741277</v>
      </c>
      <c r="AE703" s="358">
        <f t="shared" ca="1" si="511"/>
        <v>192418.54148327094</v>
      </c>
      <c r="AF703" s="358">
        <f t="shared" ca="1" si="511"/>
        <v>197088.92517759249</v>
      </c>
      <c r="AG703" s="358">
        <f t="shared" ca="1" si="511"/>
        <v>202434.83488489545</v>
      </c>
      <c r="AH703" s="358">
        <f t="shared" ca="1" si="511"/>
        <v>207764.24360480762</v>
      </c>
      <c r="AI703" s="358">
        <f t="shared" ca="1" si="511"/>
        <v>213064.96515929227</v>
      </c>
      <c r="AJ703" s="358">
        <f t="shared" ca="1" si="511"/>
        <v>218327.07146367454</v>
      </c>
      <c r="AK703" s="358">
        <f t="shared" ca="1" si="512"/>
        <v>223813.75848740875</v>
      </c>
      <c r="AL703" s="358">
        <f t="shared" ca="1" si="512"/>
        <v>229155.65369589895</v>
      </c>
      <c r="AM703" s="358">
        <f t="shared" ca="1" si="512"/>
        <v>234321.87959612184</v>
      </c>
      <c r="AN703" s="358">
        <f t="shared" ca="1" si="512"/>
        <v>240043.69768113497</v>
      </c>
      <c r="AO703" s="358">
        <f t="shared" ca="1" si="512"/>
        <v>246433.58125488623</v>
      </c>
      <c r="AP703" s="358">
        <f t="shared" ca="1" si="512"/>
        <v>253652.6718002733</v>
      </c>
      <c r="AQ703" s="358">
        <f t="shared" ca="1" si="512"/>
        <v>261309.64850574627</v>
      </c>
      <c r="AR703" s="358">
        <f t="shared" ca="1" si="512"/>
        <v>269458.86053363304</v>
      </c>
      <c r="AS703" s="358">
        <f t="shared" ca="1" si="512"/>
        <v>278159.22408219555</v>
      </c>
      <c r="AT703" s="358">
        <f t="shared" ca="1" si="512"/>
        <v>287473.74331625982</v>
      </c>
      <c r="AV703" s="358">
        <f t="shared" ca="1" si="498"/>
        <v>600434.4174657336</v>
      </c>
      <c r="AX703" s="358">
        <f t="shared" ca="1" si="499"/>
        <v>683103.19785376801</v>
      </c>
      <c r="AZ703" s="358">
        <f t="shared" ca="1" si="500"/>
        <v>786720.12290278147</v>
      </c>
      <c r="BB703" s="358">
        <f t="shared" ca="1" si="501"/>
        <v>911639.85285553779</v>
      </c>
      <c r="BD703" s="358">
        <f t="shared" ca="1" si="502"/>
        <v>1038680.0402902623</v>
      </c>
      <c r="BF703" s="358">
        <f t="shared" ca="1" si="503"/>
        <v>1173768.5707154507</v>
      </c>
      <c r="BH703" s="358">
        <f t="shared" ca="1" si="504"/>
        <v>1350054.148238108</v>
      </c>
    </row>
    <row r="704" spans="1:60" hidden="1" outlineLevel="1">
      <c r="A704" s="1464">
        <f t="shared" si="505"/>
        <v>18</v>
      </c>
      <c r="B704" s="1464">
        <f t="shared" si="506"/>
        <v>40</v>
      </c>
      <c r="C704" s="1464">
        <f t="shared" si="507"/>
        <v>17</v>
      </c>
      <c r="D704" s="1271" t="str">
        <f ca="1">IF(OFFSET(PortfolioDashboard!$A$3,C704-1,0)="","Blank",OFFSET(PortfolioDashboard!$A$3,C704-1,0))</f>
        <v>Rooftop Solar PV</v>
      </c>
      <c r="E704" s="1464" t="str">
        <f t="shared" si="508"/>
        <v>2010$</v>
      </c>
      <c r="F704" s="1460">
        <f t="shared" ca="1" si="484"/>
        <v>-2256777.4046583739</v>
      </c>
      <c r="G704" s="358">
        <f t="shared" ca="1" si="509"/>
        <v>0</v>
      </c>
      <c r="H704" s="358">
        <f t="shared" ca="1" si="509"/>
        <v>0</v>
      </c>
      <c r="I704" s="358">
        <f t="shared" ca="1" si="509"/>
        <v>0</v>
      </c>
      <c r="J704" s="358">
        <f t="shared" ca="1" si="509"/>
        <v>0</v>
      </c>
      <c r="K704" s="358">
        <f t="shared" ca="1" si="509"/>
        <v>-4243000</v>
      </c>
      <c r="L704" s="358">
        <f t="shared" ca="1" si="509"/>
        <v>66104.501879201431</v>
      </c>
      <c r="M704" s="358">
        <f t="shared" ca="1" si="509"/>
        <v>67190.430013389327</v>
      </c>
      <c r="N704" s="358">
        <f t="shared" ca="1" si="509"/>
        <v>68314.294333643033</v>
      </c>
      <c r="O704" s="358">
        <f t="shared" ca="1" si="509"/>
        <v>69474.974082183369</v>
      </c>
      <c r="P704" s="358">
        <f t="shared" ca="1" si="509"/>
        <v>70671.360301367429</v>
      </c>
      <c r="Q704" s="358">
        <f t="shared" ca="1" si="510"/>
        <v>71902.356100698264</v>
      </c>
      <c r="R704" s="358">
        <f t="shared" ca="1" si="510"/>
        <v>73276.286982114296</v>
      </c>
      <c r="S704" s="358">
        <f t="shared" ca="1" si="510"/>
        <v>74692.727139066003</v>
      </c>
      <c r="T704" s="358">
        <f t="shared" ca="1" si="510"/>
        <v>76150.033369214958</v>
      </c>
      <c r="U704" s="358">
        <f t="shared" ca="1" si="510"/>
        <v>77646.573900822434</v>
      </c>
      <c r="V704" s="358">
        <f t="shared" ca="1" si="510"/>
        <v>79180.728420407744</v>
      </c>
      <c r="W704" s="358">
        <f t="shared" ca="1" si="510"/>
        <v>80874.930715301001</v>
      </c>
      <c r="X704" s="358">
        <f t="shared" ca="1" si="510"/>
        <v>82613.375246667332</v>
      </c>
      <c r="Y704" s="358">
        <f t="shared" ca="1" si="510"/>
        <v>84393.999973695798</v>
      </c>
      <c r="Z704" s="358">
        <f t="shared" ca="1" si="510"/>
        <v>86214.753999519889</v>
      </c>
      <c r="AA704" s="358">
        <f t="shared" ca="1" si="511"/>
        <v>88073.597361117878</v>
      </c>
      <c r="AB704" s="358">
        <f t="shared" ca="1" si="511"/>
        <v>90156.298365721712</v>
      </c>
      <c r="AC704" s="358">
        <f t="shared" ca="1" si="511"/>
        <v>92283.574907099843</v>
      </c>
      <c r="AD704" s="358">
        <f t="shared" ca="1" si="511"/>
        <v>94226.43850548545</v>
      </c>
      <c r="AE704" s="358">
        <f t="shared" ca="1" si="511"/>
        <v>95975.762338641565</v>
      </c>
      <c r="AF704" s="358">
        <f t="shared" ca="1" si="511"/>
        <v>97755.818482963339</v>
      </c>
      <c r="AG704" s="358">
        <f t="shared" ca="1" si="511"/>
        <v>99783.075254361087</v>
      </c>
      <c r="AH704" s="358">
        <f t="shared" ca="1" si="511"/>
        <v>101804.67214142808</v>
      </c>
      <c r="AI704" s="358">
        <f t="shared" ca="1" si="511"/>
        <v>103816.1582380858</v>
      </c>
      <c r="AJ704" s="358">
        <f t="shared" ca="1" si="511"/>
        <v>105813.90774072259</v>
      </c>
      <c r="AK704" s="358">
        <f t="shared" ca="1" si="512"/>
        <v>107894.09268084291</v>
      </c>
      <c r="AL704" s="358">
        <f t="shared" ca="1" si="512"/>
        <v>109921.748513395</v>
      </c>
      <c r="AM704" s="358">
        <f t="shared" ca="1" si="512"/>
        <v>111885.59467961222</v>
      </c>
      <c r="AN704" s="358">
        <f t="shared" ca="1" si="512"/>
        <v>114052.83146200559</v>
      </c>
      <c r="AO704" s="358">
        <f t="shared" ca="1" si="512"/>
        <v>116464.55780779866</v>
      </c>
      <c r="AP704" s="358">
        <f t="shared" ca="1" si="512"/>
        <v>119179.65572276438</v>
      </c>
      <c r="AQ704" s="358">
        <f t="shared" ca="1" si="512"/>
        <v>122055.14094570072</v>
      </c>
      <c r="AR704" s="358">
        <f t="shared" ca="1" si="512"/>
        <v>125110.87425371385</v>
      </c>
      <c r="AS704" s="358">
        <f t="shared" ca="1" si="512"/>
        <v>128368.38520001537</v>
      </c>
      <c r="AT704" s="358">
        <f t="shared" ca="1" si="512"/>
        <v>131850.6970650109</v>
      </c>
      <c r="AV704" s="358">
        <f t="shared" ca="1" si="498"/>
        <v>341755.56060978462</v>
      </c>
      <c r="AX704" s="358">
        <f t="shared" ca="1" si="499"/>
        <v>373667.97749191592</v>
      </c>
      <c r="AZ704" s="358">
        <f t="shared" ca="1" si="500"/>
        <v>413277.78835559182</v>
      </c>
      <c r="BB704" s="358">
        <f t="shared" ca="1" si="501"/>
        <v>460715.67147806648</v>
      </c>
      <c r="BD704" s="358">
        <f t="shared" ca="1" si="502"/>
        <v>508973.63185756089</v>
      </c>
      <c r="BF704" s="358">
        <f t="shared" ca="1" si="503"/>
        <v>560218.82514365437</v>
      </c>
      <c r="BH704" s="358">
        <f t="shared" ca="1" si="504"/>
        <v>626564.75318720518</v>
      </c>
    </row>
    <row r="705" spans="1:60" hidden="1" outlineLevel="1">
      <c r="A705" s="1464">
        <f t="shared" si="505"/>
        <v>18</v>
      </c>
      <c r="B705" s="1464">
        <f t="shared" si="506"/>
        <v>40</v>
      </c>
      <c r="C705" s="1464">
        <f t="shared" si="507"/>
        <v>18</v>
      </c>
      <c r="D705" s="1271" t="str">
        <f ca="1">IF(OFFSET(PortfolioDashboard!$A$3,C705-1,0)="","Blank",OFFSET(PortfolioDashboard!$A$3,C705-1,0))</f>
        <v>Blank</v>
      </c>
      <c r="E705" s="1464" t="str">
        <f t="shared" si="508"/>
        <v>2010$</v>
      </c>
      <c r="F705" s="1460">
        <f t="shared" ca="1" si="484"/>
        <v>0</v>
      </c>
      <c r="G705" s="358">
        <f t="shared" ca="1" si="509"/>
        <v>0</v>
      </c>
      <c r="H705" s="358">
        <f t="shared" ca="1" si="509"/>
        <v>0</v>
      </c>
      <c r="I705" s="358">
        <f t="shared" ca="1" si="509"/>
        <v>0</v>
      </c>
      <c r="J705" s="358">
        <f t="shared" ca="1" si="509"/>
        <v>0</v>
      </c>
      <c r="K705" s="358">
        <f t="shared" ca="1" si="509"/>
        <v>0</v>
      </c>
      <c r="L705" s="358">
        <f t="shared" ca="1" si="509"/>
        <v>0</v>
      </c>
      <c r="M705" s="358">
        <f t="shared" ca="1" si="509"/>
        <v>0</v>
      </c>
      <c r="N705" s="358">
        <f t="shared" ca="1" si="509"/>
        <v>0</v>
      </c>
      <c r="O705" s="358">
        <f t="shared" ca="1" si="509"/>
        <v>0</v>
      </c>
      <c r="P705" s="358">
        <f t="shared" ca="1" si="509"/>
        <v>0</v>
      </c>
      <c r="Q705" s="358">
        <f t="shared" ca="1" si="510"/>
        <v>0</v>
      </c>
      <c r="R705" s="358">
        <f t="shared" ca="1" si="510"/>
        <v>0</v>
      </c>
      <c r="S705" s="358">
        <f t="shared" ca="1" si="510"/>
        <v>0</v>
      </c>
      <c r="T705" s="358">
        <f t="shared" ca="1" si="510"/>
        <v>0</v>
      </c>
      <c r="U705" s="358">
        <f t="shared" ca="1" si="510"/>
        <v>0</v>
      </c>
      <c r="V705" s="358">
        <f t="shared" ca="1" si="510"/>
        <v>0</v>
      </c>
      <c r="W705" s="358">
        <f t="shared" ca="1" si="510"/>
        <v>0</v>
      </c>
      <c r="X705" s="358">
        <f t="shared" ca="1" si="510"/>
        <v>0</v>
      </c>
      <c r="Y705" s="358">
        <f t="shared" ca="1" si="510"/>
        <v>0</v>
      </c>
      <c r="Z705" s="358">
        <f t="shared" ca="1" si="510"/>
        <v>0</v>
      </c>
      <c r="AA705" s="358">
        <f t="shared" ca="1" si="511"/>
        <v>0</v>
      </c>
      <c r="AB705" s="358">
        <f t="shared" ca="1" si="511"/>
        <v>0</v>
      </c>
      <c r="AC705" s="358">
        <f t="shared" ca="1" si="511"/>
        <v>0</v>
      </c>
      <c r="AD705" s="358">
        <f t="shared" ca="1" si="511"/>
        <v>0</v>
      </c>
      <c r="AE705" s="358">
        <f t="shared" ca="1" si="511"/>
        <v>0</v>
      </c>
      <c r="AF705" s="358">
        <f t="shared" ca="1" si="511"/>
        <v>0</v>
      </c>
      <c r="AG705" s="358">
        <f t="shared" ca="1" si="511"/>
        <v>0</v>
      </c>
      <c r="AH705" s="358">
        <f t="shared" ca="1" si="511"/>
        <v>0</v>
      </c>
      <c r="AI705" s="358">
        <f t="shared" ca="1" si="511"/>
        <v>0</v>
      </c>
      <c r="AJ705" s="358">
        <f t="shared" ca="1" si="511"/>
        <v>0</v>
      </c>
      <c r="AK705" s="358">
        <f t="shared" ca="1" si="512"/>
        <v>0</v>
      </c>
      <c r="AL705" s="358">
        <f t="shared" ca="1" si="512"/>
        <v>0</v>
      </c>
      <c r="AM705" s="358">
        <f t="shared" ca="1" si="512"/>
        <v>0</v>
      </c>
      <c r="AN705" s="358">
        <f t="shared" ca="1" si="512"/>
        <v>0</v>
      </c>
      <c r="AO705" s="358">
        <f t="shared" ca="1" si="512"/>
        <v>0</v>
      </c>
      <c r="AP705" s="358">
        <f t="shared" ca="1" si="512"/>
        <v>0</v>
      </c>
      <c r="AQ705" s="358">
        <f t="shared" ca="1" si="512"/>
        <v>0</v>
      </c>
      <c r="AR705" s="358">
        <f t="shared" ca="1" si="512"/>
        <v>0</v>
      </c>
      <c r="AS705" s="358">
        <f t="shared" ca="1" si="512"/>
        <v>0</v>
      </c>
      <c r="AT705" s="358">
        <f t="shared" ca="1" si="512"/>
        <v>0</v>
      </c>
      <c r="AV705" s="358">
        <f t="shared" ca="1" si="498"/>
        <v>0</v>
      </c>
      <c r="AX705" s="358">
        <f t="shared" ca="1" si="499"/>
        <v>0</v>
      </c>
      <c r="AZ705" s="358">
        <f t="shared" ca="1" si="500"/>
        <v>0</v>
      </c>
      <c r="BB705" s="358">
        <f t="shared" ca="1" si="501"/>
        <v>0</v>
      </c>
      <c r="BD705" s="358">
        <f t="shared" ca="1" si="502"/>
        <v>0</v>
      </c>
      <c r="BF705" s="358">
        <f t="shared" ca="1" si="503"/>
        <v>0</v>
      </c>
      <c r="BH705" s="358">
        <f t="shared" ca="1" si="504"/>
        <v>0</v>
      </c>
    </row>
    <row r="706" spans="1:60" hidden="1" outlineLevel="1">
      <c r="A706" s="1464">
        <f t="shared" si="505"/>
        <v>18</v>
      </c>
      <c r="B706" s="1464">
        <f t="shared" si="506"/>
        <v>40</v>
      </c>
      <c r="C706" s="1464">
        <f t="shared" si="507"/>
        <v>19</v>
      </c>
      <c r="D706" s="1271" t="str">
        <f ca="1">IF(OFFSET(PortfolioDashboard!$A$3,C706-1,0)="","Blank",OFFSET(PortfolioDashboard!$A$3,C706-1,0))</f>
        <v>Blank</v>
      </c>
      <c r="E706" s="1464" t="str">
        <f t="shared" si="508"/>
        <v>2010$</v>
      </c>
      <c r="F706" s="1460">
        <f t="shared" ca="1" si="484"/>
        <v>0</v>
      </c>
      <c r="G706" s="358">
        <f t="shared" ca="1" si="509"/>
        <v>0</v>
      </c>
      <c r="H706" s="358">
        <f t="shared" ca="1" si="509"/>
        <v>0</v>
      </c>
      <c r="I706" s="358">
        <f t="shared" ca="1" si="509"/>
        <v>0</v>
      </c>
      <c r="J706" s="358">
        <f t="shared" ca="1" si="509"/>
        <v>0</v>
      </c>
      <c r="K706" s="358">
        <f t="shared" ca="1" si="509"/>
        <v>0</v>
      </c>
      <c r="L706" s="358">
        <f t="shared" ca="1" si="509"/>
        <v>0</v>
      </c>
      <c r="M706" s="358">
        <f t="shared" ca="1" si="509"/>
        <v>0</v>
      </c>
      <c r="N706" s="358">
        <f t="shared" ca="1" si="509"/>
        <v>0</v>
      </c>
      <c r="O706" s="358">
        <f t="shared" ca="1" si="509"/>
        <v>0</v>
      </c>
      <c r="P706" s="358">
        <f t="shared" ca="1" si="509"/>
        <v>0</v>
      </c>
      <c r="Q706" s="358">
        <f t="shared" ca="1" si="510"/>
        <v>0</v>
      </c>
      <c r="R706" s="358">
        <f t="shared" ca="1" si="510"/>
        <v>0</v>
      </c>
      <c r="S706" s="358">
        <f t="shared" ca="1" si="510"/>
        <v>0</v>
      </c>
      <c r="T706" s="358">
        <f t="shared" ca="1" si="510"/>
        <v>0</v>
      </c>
      <c r="U706" s="358">
        <f t="shared" ca="1" si="510"/>
        <v>0</v>
      </c>
      <c r="V706" s="358">
        <f t="shared" ca="1" si="510"/>
        <v>0</v>
      </c>
      <c r="W706" s="358">
        <f t="shared" ca="1" si="510"/>
        <v>0</v>
      </c>
      <c r="X706" s="358">
        <f t="shared" ca="1" si="510"/>
        <v>0</v>
      </c>
      <c r="Y706" s="358">
        <f t="shared" ca="1" si="510"/>
        <v>0</v>
      </c>
      <c r="Z706" s="358">
        <f t="shared" ca="1" si="510"/>
        <v>0</v>
      </c>
      <c r="AA706" s="358">
        <f t="shared" ca="1" si="511"/>
        <v>0</v>
      </c>
      <c r="AB706" s="358">
        <f t="shared" ca="1" si="511"/>
        <v>0</v>
      </c>
      <c r="AC706" s="358">
        <f t="shared" ca="1" si="511"/>
        <v>0</v>
      </c>
      <c r="AD706" s="358">
        <f t="shared" ca="1" si="511"/>
        <v>0</v>
      </c>
      <c r="AE706" s="358">
        <f t="shared" ca="1" si="511"/>
        <v>0</v>
      </c>
      <c r="AF706" s="358">
        <f t="shared" ca="1" si="511"/>
        <v>0</v>
      </c>
      <c r="AG706" s="358">
        <f t="shared" ca="1" si="511"/>
        <v>0</v>
      </c>
      <c r="AH706" s="358">
        <f t="shared" ca="1" si="511"/>
        <v>0</v>
      </c>
      <c r="AI706" s="358">
        <f t="shared" ca="1" si="511"/>
        <v>0</v>
      </c>
      <c r="AJ706" s="358">
        <f t="shared" ca="1" si="511"/>
        <v>0</v>
      </c>
      <c r="AK706" s="358">
        <f t="shared" ca="1" si="512"/>
        <v>0</v>
      </c>
      <c r="AL706" s="358">
        <f t="shared" ca="1" si="512"/>
        <v>0</v>
      </c>
      <c r="AM706" s="358">
        <f t="shared" ca="1" si="512"/>
        <v>0</v>
      </c>
      <c r="AN706" s="358">
        <f t="shared" ca="1" si="512"/>
        <v>0</v>
      </c>
      <c r="AO706" s="358">
        <f t="shared" ca="1" si="512"/>
        <v>0</v>
      </c>
      <c r="AP706" s="358">
        <f t="shared" ca="1" si="512"/>
        <v>0</v>
      </c>
      <c r="AQ706" s="358">
        <f t="shared" ca="1" si="512"/>
        <v>0</v>
      </c>
      <c r="AR706" s="358">
        <f t="shared" ca="1" si="512"/>
        <v>0</v>
      </c>
      <c r="AS706" s="358">
        <f t="shared" ca="1" si="512"/>
        <v>0</v>
      </c>
      <c r="AT706" s="358">
        <f t="shared" ca="1" si="512"/>
        <v>0</v>
      </c>
      <c r="AV706" s="358">
        <f t="shared" ca="1" si="498"/>
        <v>0</v>
      </c>
      <c r="AX706" s="358">
        <f t="shared" ca="1" si="499"/>
        <v>0</v>
      </c>
      <c r="AZ706" s="358">
        <f t="shared" ca="1" si="500"/>
        <v>0</v>
      </c>
      <c r="BB706" s="358">
        <f t="shared" ca="1" si="501"/>
        <v>0</v>
      </c>
      <c r="BD706" s="358">
        <f t="shared" ca="1" si="502"/>
        <v>0</v>
      </c>
      <c r="BF706" s="358">
        <f t="shared" ca="1" si="503"/>
        <v>0</v>
      </c>
      <c r="BH706" s="358">
        <f t="shared" ca="1" si="504"/>
        <v>0</v>
      </c>
    </row>
    <row r="707" spans="1:60" hidden="1" outlineLevel="1">
      <c r="A707" s="1464">
        <f t="shared" si="505"/>
        <v>18</v>
      </c>
      <c r="B707" s="1464">
        <f t="shared" si="506"/>
        <v>40</v>
      </c>
      <c r="C707" s="1464">
        <f t="shared" si="507"/>
        <v>20</v>
      </c>
      <c r="D707" s="1271" t="str">
        <f ca="1">IF(OFFSET(PortfolioDashboard!$A$3,C707-1,0)="","Blank",OFFSET(PortfolioDashboard!$A$3,C707-1,0))</f>
        <v>Blank</v>
      </c>
      <c r="E707" s="1464" t="str">
        <f t="shared" si="508"/>
        <v>2010$</v>
      </c>
      <c r="F707" s="1460">
        <f t="shared" ca="1" si="484"/>
        <v>0</v>
      </c>
      <c r="G707" s="358">
        <f t="shared" ca="1" si="509"/>
        <v>0</v>
      </c>
      <c r="H707" s="358">
        <f t="shared" ca="1" si="509"/>
        <v>0</v>
      </c>
      <c r="I707" s="358">
        <f t="shared" ca="1" si="509"/>
        <v>0</v>
      </c>
      <c r="J707" s="358">
        <f t="shared" ca="1" si="509"/>
        <v>0</v>
      </c>
      <c r="K707" s="358">
        <f t="shared" ca="1" si="509"/>
        <v>0</v>
      </c>
      <c r="L707" s="358">
        <f t="shared" ca="1" si="509"/>
        <v>0</v>
      </c>
      <c r="M707" s="358">
        <f t="shared" ca="1" si="509"/>
        <v>0</v>
      </c>
      <c r="N707" s="358">
        <f t="shared" ca="1" si="509"/>
        <v>0</v>
      </c>
      <c r="O707" s="358">
        <f t="shared" ca="1" si="509"/>
        <v>0</v>
      </c>
      <c r="P707" s="358">
        <f t="shared" ca="1" si="509"/>
        <v>0</v>
      </c>
      <c r="Q707" s="358">
        <f t="shared" ca="1" si="510"/>
        <v>0</v>
      </c>
      <c r="R707" s="358">
        <f t="shared" ca="1" si="510"/>
        <v>0</v>
      </c>
      <c r="S707" s="358">
        <f t="shared" ca="1" si="510"/>
        <v>0</v>
      </c>
      <c r="T707" s="358">
        <f t="shared" ca="1" si="510"/>
        <v>0</v>
      </c>
      <c r="U707" s="358">
        <f t="shared" ca="1" si="510"/>
        <v>0</v>
      </c>
      <c r="V707" s="358">
        <f t="shared" ca="1" si="510"/>
        <v>0</v>
      </c>
      <c r="W707" s="358">
        <f t="shared" ca="1" si="510"/>
        <v>0</v>
      </c>
      <c r="X707" s="358">
        <f t="shared" ca="1" si="510"/>
        <v>0</v>
      </c>
      <c r="Y707" s="358">
        <f t="shared" ca="1" si="510"/>
        <v>0</v>
      </c>
      <c r="Z707" s="358">
        <f t="shared" ca="1" si="510"/>
        <v>0</v>
      </c>
      <c r="AA707" s="358">
        <f t="shared" ca="1" si="511"/>
        <v>0</v>
      </c>
      <c r="AB707" s="358">
        <f t="shared" ca="1" si="511"/>
        <v>0</v>
      </c>
      <c r="AC707" s="358">
        <f t="shared" ca="1" si="511"/>
        <v>0</v>
      </c>
      <c r="AD707" s="358">
        <f t="shared" ca="1" si="511"/>
        <v>0</v>
      </c>
      <c r="AE707" s="358">
        <f t="shared" ca="1" si="511"/>
        <v>0</v>
      </c>
      <c r="AF707" s="358">
        <f t="shared" ca="1" si="511"/>
        <v>0</v>
      </c>
      <c r="AG707" s="358">
        <f t="shared" ca="1" si="511"/>
        <v>0</v>
      </c>
      <c r="AH707" s="358">
        <f t="shared" ca="1" si="511"/>
        <v>0</v>
      </c>
      <c r="AI707" s="358">
        <f t="shared" ca="1" si="511"/>
        <v>0</v>
      </c>
      <c r="AJ707" s="358">
        <f t="shared" ca="1" si="511"/>
        <v>0</v>
      </c>
      <c r="AK707" s="358">
        <f t="shared" ca="1" si="512"/>
        <v>0</v>
      </c>
      <c r="AL707" s="358">
        <f t="shared" ca="1" si="512"/>
        <v>0</v>
      </c>
      <c r="AM707" s="358">
        <f t="shared" ca="1" si="512"/>
        <v>0</v>
      </c>
      <c r="AN707" s="358">
        <f t="shared" ca="1" si="512"/>
        <v>0</v>
      </c>
      <c r="AO707" s="358">
        <f t="shared" ca="1" si="512"/>
        <v>0</v>
      </c>
      <c r="AP707" s="358">
        <f t="shared" ca="1" si="512"/>
        <v>0</v>
      </c>
      <c r="AQ707" s="358">
        <f t="shared" ca="1" si="512"/>
        <v>0</v>
      </c>
      <c r="AR707" s="358">
        <f t="shared" ca="1" si="512"/>
        <v>0</v>
      </c>
      <c r="AS707" s="358">
        <f t="shared" ca="1" si="512"/>
        <v>0</v>
      </c>
      <c r="AT707" s="358">
        <f t="shared" ca="1" si="512"/>
        <v>0</v>
      </c>
      <c r="AV707" s="358">
        <f t="shared" ca="1" si="498"/>
        <v>0</v>
      </c>
      <c r="AX707" s="358">
        <f t="shared" ca="1" si="499"/>
        <v>0</v>
      </c>
      <c r="AZ707" s="358">
        <f t="shared" ca="1" si="500"/>
        <v>0</v>
      </c>
      <c r="BB707" s="358">
        <f t="shared" ca="1" si="501"/>
        <v>0</v>
      </c>
      <c r="BD707" s="358">
        <f t="shared" ca="1" si="502"/>
        <v>0</v>
      </c>
      <c r="BF707" s="358">
        <f t="shared" ca="1" si="503"/>
        <v>0</v>
      </c>
      <c r="BH707" s="358">
        <f t="shared" ca="1" si="504"/>
        <v>0</v>
      </c>
    </row>
    <row r="708" spans="1:60" hidden="1" outlineLevel="1">
      <c r="A708" s="1464">
        <f t="shared" si="505"/>
        <v>18</v>
      </c>
      <c r="B708" s="1464">
        <f t="shared" si="506"/>
        <v>40</v>
      </c>
      <c r="C708" s="1464">
        <f t="shared" si="507"/>
        <v>21</v>
      </c>
      <c r="D708" s="1271" t="str">
        <f ca="1">IF(OFFSET(PortfolioDashboard!$A$3,C708-1,0)="","Blank",OFFSET(PortfolioDashboard!$A$3,C708-1,0))</f>
        <v>Blank</v>
      </c>
      <c r="E708" s="1464" t="str">
        <f t="shared" si="508"/>
        <v>2010$</v>
      </c>
      <c r="F708" s="1460">
        <f t="shared" ca="1" si="484"/>
        <v>0</v>
      </c>
      <c r="G708" s="358">
        <f t="shared" ref="G708:P715" ca="1" si="513">IFERROR(OFFSET(INDIRECT(INDEX(List_of_Alternatives,MATCH($D708,NameofAlternatives,0))),$A708+G$1-$G$1,$B708),0)</f>
        <v>0</v>
      </c>
      <c r="H708" s="358">
        <f t="shared" ca="1" si="513"/>
        <v>0</v>
      </c>
      <c r="I708" s="358">
        <f t="shared" ca="1" si="513"/>
        <v>0</v>
      </c>
      <c r="J708" s="358">
        <f t="shared" ca="1" si="513"/>
        <v>0</v>
      </c>
      <c r="K708" s="358">
        <f t="shared" ca="1" si="513"/>
        <v>0</v>
      </c>
      <c r="L708" s="358">
        <f t="shared" ca="1" si="513"/>
        <v>0</v>
      </c>
      <c r="M708" s="358">
        <f t="shared" ca="1" si="513"/>
        <v>0</v>
      </c>
      <c r="N708" s="358">
        <f t="shared" ca="1" si="513"/>
        <v>0</v>
      </c>
      <c r="O708" s="358">
        <f t="shared" ca="1" si="513"/>
        <v>0</v>
      </c>
      <c r="P708" s="358">
        <f t="shared" ca="1" si="513"/>
        <v>0</v>
      </c>
      <c r="Q708" s="358">
        <f t="shared" ref="Q708:Z715" ca="1" si="514">IFERROR(OFFSET(INDIRECT(INDEX(List_of_Alternatives,MATCH($D708,NameofAlternatives,0))),$A708+Q$1-$G$1,$B708),0)</f>
        <v>0</v>
      </c>
      <c r="R708" s="358">
        <f t="shared" ca="1" si="514"/>
        <v>0</v>
      </c>
      <c r="S708" s="358">
        <f t="shared" ca="1" si="514"/>
        <v>0</v>
      </c>
      <c r="T708" s="358">
        <f t="shared" ca="1" si="514"/>
        <v>0</v>
      </c>
      <c r="U708" s="358">
        <f t="shared" ca="1" si="514"/>
        <v>0</v>
      </c>
      <c r="V708" s="358">
        <f t="shared" ca="1" si="514"/>
        <v>0</v>
      </c>
      <c r="W708" s="358">
        <f t="shared" ca="1" si="514"/>
        <v>0</v>
      </c>
      <c r="X708" s="358">
        <f t="shared" ca="1" si="514"/>
        <v>0</v>
      </c>
      <c r="Y708" s="358">
        <f t="shared" ca="1" si="514"/>
        <v>0</v>
      </c>
      <c r="Z708" s="358">
        <f t="shared" ca="1" si="514"/>
        <v>0</v>
      </c>
      <c r="AA708" s="358">
        <f t="shared" ref="AA708:AJ715" ca="1" si="515">IFERROR(OFFSET(INDIRECT(INDEX(List_of_Alternatives,MATCH($D708,NameofAlternatives,0))),$A708+AA$1-$G$1,$B708),0)</f>
        <v>0</v>
      </c>
      <c r="AB708" s="358">
        <f t="shared" ca="1" si="515"/>
        <v>0</v>
      </c>
      <c r="AC708" s="358">
        <f t="shared" ca="1" si="515"/>
        <v>0</v>
      </c>
      <c r="AD708" s="358">
        <f t="shared" ca="1" si="515"/>
        <v>0</v>
      </c>
      <c r="AE708" s="358">
        <f t="shared" ca="1" si="515"/>
        <v>0</v>
      </c>
      <c r="AF708" s="358">
        <f t="shared" ca="1" si="515"/>
        <v>0</v>
      </c>
      <c r="AG708" s="358">
        <f t="shared" ca="1" si="515"/>
        <v>0</v>
      </c>
      <c r="AH708" s="358">
        <f t="shared" ca="1" si="515"/>
        <v>0</v>
      </c>
      <c r="AI708" s="358">
        <f t="shared" ca="1" si="515"/>
        <v>0</v>
      </c>
      <c r="AJ708" s="358">
        <f t="shared" ca="1" si="515"/>
        <v>0</v>
      </c>
      <c r="AK708" s="358">
        <f t="shared" ref="AK708:AT715" ca="1" si="516">IFERROR(OFFSET(INDIRECT(INDEX(List_of_Alternatives,MATCH($D708,NameofAlternatives,0))),$A708+AK$1-$G$1,$B708),0)</f>
        <v>0</v>
      </c>
      <c r="AL708" s="358">
        <f t="shared" ca="1" si="516"/>
        <v>0</v>
      </c>
      <c r="AM708" s="358">
        <f t="shared" ca="1" si="516"/>
        <v>0</v>
      </c>
      <c r="AN708" s="358">
        <f t="shared" ca="1" si="516"/>
        <v>0</v>
      </c>
      <c r="AO708" s="358">
        <f t="shared" ca="1" si="516"/>
        <v>0</v>
      </c>
      <c r="AP708" s="358">
        <f t="shared" ca="1" si="516"/>
        <v>0</v>
      </c>
      <c r="AQ708" s="358">
        <f t="shared" ca="1" si="516"/>
        <v>0</v>
      </c>
      <c r="AR708" s="358">
        <f t="shared" ca="1" si="516"/>
        <v>0</v>
      </c>
      <c r="AS708" s="358">
        <f t="shared" ca="1" si="516"/>
        <v>0</v>
      </c>
      <c r="AT708" s="358">
        <f t="shared" ca="1" si="516"/>
        <v>0</v>
      </c>
      <c r="AV708" s="358">
        <f t="shared" ca="1" si="498"/>
        <v>0</v>
      </c>
      <c r="AX708" s="358">
        <f t="shared" ca="1" si="499"/>
        <v>0</v>
      </c>
      <c r="AZ708" s="358">
        <f t="shared" ca="1" si="500"/>
        <v>0</v>
      </c>
      <c r="BB708" s="358">
        <f t="shared" ca="1" si="501"/>
        <v>0</v>
      </c>
      <c r="BD708" s="358">
        <f t="shared" ca="1" si="502"/>
        <v>0</v>
      </c>
      <c r="BF708" s="358">
        <f t="shared" ca="1" si="503"/>
        <v>0</v>
      </c>
      <c r="BH708" s="358">
        <f t="shared" ca="1" si="504"/>
        <v>0</v>
      </c>
    </row>
    <row r="709" spans="1:60" hidden="1" outlineLevel="1">
      <c r="A709" s="1464">
        <f t="shared" si="505"/>
        <v>18</v>
      </c>
      <c r="B709" s="1464">
        <f t="shared" si="506"/>
        <v>40</v>
      </c>
      <c r="C709" s="1464">
        <f t="shared" si="507"/>
        <v>22</v>
      </c>
      <c r="D709" s="1271" t="str">
        <f ca="1">IF(OFFSET(PortfolioDashboard!$A$3,C709-1,0)="","Blank",OFFSET(PortfolioDashboard!$A$3,C709-1,0))</f>
        <v>Blank</v>
      </c>
      <c r="E709" s="1464" t="str">
        <f t="shared" si="508"/>
        <v>2010$</v>
      </c>
      <c r="F709" s="1460">
        <f t="shared" ca="1" si="484"/>
        <v>0</v>
      </c>
      <c r="G709" s="358">
        <f t="shared" ca="1" si="513"/>
        <v>0</v>
      </c>
      <c r="H709" s="358">
        <f t="shared" ca="1" si="513"/>
        <v>0</v>
      </c>
      <c r="I709" s="358">
        <f t="shared" ca="1" si="513"/>
        <v>0</v>
      </c>
      <c r="J709" s="358">
        <f t="shared" ca="1" si="513"/>
        <v>0</v>
      </c>
      <c r="K709" s="358">
        <f t="shared" ca="1" si="513"/>
        <v>0</v>
      </c>
      <c r="L709" s="358">
        <f t="shared" ca="1" si="513"/>
        <v>0</v>
      </c>
      <c r="M709" s="358">
        <f t="shared" ca="1" si="513"/>
        <v>0</v>
      </c>
      <c r="N709" s="358">
        <f t="shared" ca="1" si="513"/>
        <v>0</v>
      </c>
      <c r="O709" s="358">
        <f t="shared" ca="1" si="513"/>
        <v>0</v>
      </c>
      <c r="P709" s="358">
        <f t="shared" ca="1" si="513"/>
        <v>0</v>
      </c>
      <c r="Q709" s="358">
        <f t="shared" ca="1" si="514"/>
        <v>0</v>
      </c>
      <c r="R709" s="358">
        <f t="shared" ca="1" si="514"/>
        <v>0</v>
      </c>
      <c r="S709" s="358">
        <f t="shared" ca="1" si="514"/>
        <v>0</v>
      </c>
      <c r="T709" s="358">
        <f t="shared" ca="1" si="514"/>
        <v>0</v>
      </c>
      <c r="U709" s="358">
        <f t="shared" ca="1" si="514"/>
        <v>0</v>
      </c>
      <c r="V709" s="358">
        <f t="shared" ca="1" si="514"/>
        <v>0</v>
      </c>
      <c r="W709" s="358">
        <f t="shared" ca="1" si="514"/>
        <v>0</v>
      </c>
      <c r="X709" s="358">
        <f t="shared" ca="1" si="514"/>
        <v>0</v>
      </c>
      <c r="Y709" s="358">
        <f t="shared" ca="1" si="514"/>
        <v>0</v>
      </c>
      <c r="Z709" s="358">
        <f t="shared" ca="1" si="514"/>
        <v>0</v>
      </c>
      <c r="AA709" s="358">
        <f t="shared" ca="1" si="515"/>
        <v>0</v>
      </c>
      <c r="AB709" s="358">
        <f t="shared" ca="1" si="515"/>
        <v>0</v>
      </c>
      <c r="AC709" s="358">
        <f t="shared" ca="1" si="515"/>
        <v>0</v>
      </c>
      <c r="AD709" s="358">
        <f t="shared" ca="1" si="515"/>
        <v>0</v>
      </c>
      <c r="AE709" s="358">
        <f t="shared" ca="1" si="515"/>
        <v>0</v>
      </c>
      <c r="AF709" s="358">
        <f t="shared" ca="1" si="515"/>
        <v>0</v>
      </c>
      <c r="AG709" s="358">
        <f t="shared" ca="1" si="515"/>
        <v>0</v>
      </c>
      <c r="AH709" s="358">
        <f t="shared" ca="1" si="515"/>
        <v>0</v>
      </c>
      <c r="AI709" s="358">
        <f t="shared" ca="1" si="515"/>
        <v>0</v>
      </c>
      <c r="AJ709" s="358">
        <f t="shared" ca="1" si="515"/>
        <v>0</v>
      </c>
      <c r="AK709" s="358">
        <f t="shared" ca="1" si="516"/>
        <v>0</v>
      </c>
      <c r="AL709" s="358">
        <f t="shared" ca="1" si="516"/>
        <v>0</v>
      </c>
      <c r="AM709" s="358">
        <f t="shared" ca="1" si="516"/>
        <v>0</v>
      </c>
      <c r="AN709" s="358">
        <f t="shared" ca="1" si="516"/>
        <v>0</v>
      </c>
      <c r="AO709" s="358">
        <f t="shared" ca="1" si="516"/>
        <v>0</v>
      </c>
      <c r="AP709" s="358">
        <f t="shared" ca="1" si="516"/>
        <v>0</v>
      </c>
      <c r="AQ709" s="358">
        <f t="shared" ca="1" si="516"/>
        <v>0</v>
      </c>
      <c r="AR709" s="358">
        <f t="shared" ca="1" si="516"/>
        <v>0</v>
      </c>
      <c r="AS709" s="358">
        <f t="shared" ca="1" si="516"/>
        <v>0</v>
      </c>
      <c r="AT709" s="358">
        <f t="shared" ca="1" si="516"/>
        <v>0</v>
      </c>
      <c r="AV709" s="358">
        <f t="shared" ca="1" si="498"/>
        <v>0</v>
      </c>
      <c r="AX709" s="358">
        <f t="shared" ca="1" si="499"/>
        <v>0</v>
      </c>
      <c r="AZ709" s="358">
        <f t="shared" ca="1" si="500"/>
        <v>0</v>
      </c>
      <c r="BB709" s="358">
        <f t="shared" ca="1" si="501"/>
        <v>0</v>
      </c>
      <c r="BD709" s="358">
        <f t="shared" ca="1" si="502"/>
        <v>0</v>
      </c>
      <c r="BF709" s="358">
        <f t="shared" ca="1" si="503"/>
        <v>0</v>
      </c>
      <c r="BH709" s="358">
        <f t="shared" ca="1" si="504"/>
        <v>0</v>
      </c>
    </row>
    <row r="710" spans="1:60" hidden="1" outlineLevel="1">
      <c r="A710" s="1464">
        <f t="shared" si="505"/>
        <v>18</v>
      </c>
      <c r="B710" s="1464">
        <f t="shared" si="506"/>
        <v>40</v>
      </c>
      <c r="C710" s="1464">
        <f t="shared" si="507"/>
        <v>23</v>
      </c>
      <c r="D710" s="1271" t="str">
        <f ca="1">IF(OFFSET(PortfolioDashboard!$A$3,C710-1,0)="","Blank",OFFSET(PortfolioDashboard!$A$3,C710-1,0))</f>
        <v>Blank</v>
      </c>
      <c r="E710" s="1464" t="str">
        <f t="shared" si="508"/>
        <v>2010$</v>
      </c>
      <c r="F710" s="1460">
        <f t="shared" ca="1" si="484"/>
        <v>0</v>
      </c>
      <c r="G710" s="358">
        <f t="shared" ca="1" si="513"/>
        <v>0</v>
      </c>
      <c r="H710" s="358">
        <f t="shared" ca="1" si="513"/>
        <v>0</v>
      </c>
      <c r="I710" s="358">
        <f t="shared" ca="1" si="513"/>
        <v>0</v>
      </c>
      <c r="J710" s="358">
        <f t="shared" ca="1" si="513"/>
        <v>0</v>
      </c>
      <c r="K710" s="358">
        <f t="shared" ca="1" si="513"/>
        <v>0</v>
      </c>
      <c r="L710" s="358">
        <f t="shared" ca="1" si="513"/>
        <v>0</v>
      </c>
      <c r="M710" s="358">
        <f t="shared" ca="1" si="513"/>
        <v>0</v>
      </c>
      <c r="N710" s="358">
        <f t="shared" ca="1" si="513"/>
        <v>0</v>
      </c>
      <c r="O710" s="358">
        <f t="shared" ca="1" si="513"/>
        <v>0</v>
      </c>
      <c r="P710" s="358">
        <f t="shared" ca="1" si="513"/>
        <v>0</v>
      </c>
      <c r="Q710" s="358">
        <f t="shared" ca="1" si="514"/>
        <v>0</v>
      </c>
      <c r="R710" s="358">
        <f t="shared" ca="1" si="514"/>
        <v>0</v>
      </c>
      <c r="S710" s="358">
        <f t="shared" ca="1" si="514"/>
        <v>0</v>
      </c>
      <c r="T710" s="358">
        <f t="shared" ca="1" si="514"/>
        <v>0</v>
      </c>
      <c r="U710" s="358">
        <f t="shared" ca="1" si="514"/>
        <v>0</v>
      </c>
      <c r="V710" s="358">
        <f t="shared" ca="1" si="514"/>
        <v>0</v>
      </c>
      <c r="W710" s="358">
        <f t="shared" ca="1" si="514"/>
        <v>0</v>
      </c>
      <c r="X710" s="358">
        <f t="shared" ca="1" si="514"/>
        <v>0</v>
      </c>
      <c r="Y710" s="358">
        <f t="shared" ca="1" si="514"/>
        <v>0</v>
      </c>
      <c r="Z710" s="358">
        <f t="shared" ca="1" si="514"/>
        <v>0</v>
      </c>
      <c r="AA710" s="358">
        <f t="shared" ca="1" si="515"/>
        <v>0</v>
      </c>
      <c r="AB710" s="358">
        <f t="shared" ca="1" si="515"/>
        <v>0</v>
      </c>
      <c r="AC710" s="358">
        <f t="shared" ca="1" si="515"/>
        <v>0</v>
      </c>
      <c r="AD710" s="358">
        <f t="shared" ca="1" si="515"/>
        <v>0</v>
      </c>
      <c r="AE710" s="358">
        <f t="shared" ca="1" si="515"/>
        <v>0</v>
      </c>
      <c r="AF710" s="358">
        <f t="shared" ca="1" si="515"/>
        <v>0</v>
      </c>
      <c r="AG710" s="358">
        <f t="shared" ca="1" si="515"/>
        <v>0</v>
      </c>
      <c r="AH710" s="358">
        <f t="shared" ca="1" si="515"/>
        <v>0</v>
      </c>
      <c r="AI710" s="358">
        <f t="shared" ca="1" si="515"/>
        <v>0</v>
      </c>
      <c r="AJ710" s="358">
        <f t="shared" ca="1" si="515"/>
        <v>0</v>
      </c>
      <c r="AK710" s="358">
        <f t="shared" ca="1" si="516"/>
        <v>0</v>
      </c>
      <c r="AL710" s="358">
        <f t="shared" ca="1" si="516"/>
        <v>0</v>
      </c>
      <c r="AM710" s="358">
        <f t="shared" ca="1" si="516"/>
        <v>0</v>
      </c>
      <c r="AN710" s="358">
        <f t="shared" ca="1" si="516"/>
        <v>0</v>
      </c>
      <c r="AO710" s="358">
        <f t="shared" ca="1" si="516"/>
        <v>0</v>
      </c>
      <c r="AP710" s="358">
        <f t="shared" ca="1" si="516"/>
        <v>0</v>
      </c>
      <c r="AQ710" s="358">
        <f t="shared" ca="1" si="516"/>
        <v>0</v>
      </c>
      <c r="AR710" s="358">
        <f t="shared" ca="1" si="516"/>
        <v>0</v>
      </c>
      <c r="AS710" s="358">
        <f t="shared" ca="1" si="516"/>
        <v>0</v>
      </c>
      <c r="AT710" s="358">
        <f t="shared" ca="1" si="516"/>
        <v>0</v>
      </c>
      <c r="AV710" s="358">
        <f t="shared" ca="1" si="498"/>
        <v>0</v>
      </c>
      <c r="AX710" s="358">
        <f t="shared" ca="1" si="499"/>
        <v>0</v>
      </c>
      <c r="AZ710" s="358">
        <f t="shared" ca="1" si="500"/>
        <v>0</v>
      </c>
      <c r="BB710" s="358">
        <f t="shared" ca="1" si="501"/>
        <v>0</v>
      </c>
      <c r="BD710" s="358">
        <f t="shared" ca="1" si="502"/>
        <v>0</v>
      </c>
      <c r="BF710" s="358">
        <f t="shared" ca="1" si="503"/>
        <v>0</v>
      </c>
      <c r="BH710" s="358">
        <f t="shared" ca="1" si="504"/>
        <v>0</v>
      </c>
    </row>
    <row r="711" spans="1:60" hidden="1" outlineLevel="1">
      <c r="A711" s="1464">
        <f t="shared" si="505"/>
        <v>18</v>
      </c>
      <c r="B711" s="1464">
        <f t="shared" si="506"/>
        <v>40</v>
      </c>
      <c r="C711" s="1464">
        <f t="shared" si="507"/>
        <v>24</v>
      </c>
      <c r="D711" s="1271" t="str">
        <f ca="1">IF(OFFSET(PortfolioDashboard!$A$3,C711-1,0)="","Blank",OFFSET(PortfolioDashboard!$A$3,C711-1,0))</f>
        <v>Blank</v>
      </c>
      <c r="E711" s="1464" t="str">
        <f t="shared" si="508"/>
        <v>2010$</v>
      </c>
      <c r="F711" s="1460">
        <f t="shared" ca="1" si="484"/>
        <v>0</v>
      </c>
      <c r="G711" s="358">
        <f t="shared" ca="1" si="513"/>
        <v>0</v>
      </c>
      <c r="H711" s="358">
        <f t="shared" ca="1" si="513"/>
        <v>0</v>
      </c>
      <c r="I711" s="358">
        <f t="shared" ca="1" si="513"/>
        <v>0</v>
      </c>
      <c r="J711" s="358">
        <f t="shared" ca="1" si="513"/>
        <v>0</v>
      </c>
      <c r="K711" s="358">
        <f t="shared" ca="1" si="513"/>
        <v>0</v>
      </c>
      <c r="L711" s="358">
        <f t="shared" ca="1" si="513"/>
        <v>0</v>
      </c>
      <c r="M711" s="358">
        <f t="shared" ca="1" si="513"/>
        <v>0</v>
      </c>
      <c r="N711" s="358">
        <f t="shared" ca="1" si="513"/>
        <v>0</v>
      </c>
      <c r="O711" s="358">
        <f t="shared" ca="1" si="513"/>
        <v>0</v>
      </c>
      <c r="P711" s="358">
        <f t="shared" ca="1" si="513"/>
        <v>0</v>
      </c>
      <c r="Q711" s="358">
        <f t="shared" ca="1" si="514"/>
        <v>0</v>
      </c>
      <c r="R711" s="358">
        <f t="shared" ca="1" si="514"/>
        <v>0</v>
      </c>
      <c r="S711" s="358">
        <f t="shared" ca="1" si="514"/>
        <v>0</v>
      </c>
      <c r="T711" s="358">
        <f t="shared" ca="1" si="514"/>
        <v>0</v>
      </c>
      <c r="U711" s="358">
        <f t="shared" ca="1" si="514"/>
        <v>0</v>
      </c>
      <c r="V711" s="358">
        <f t="shared" ca="1" si="514"/>
        <v>0</v>
      </c>
      <c r="W711" s="358">
        <f t="shared" ca="1" si="514"/>
        <v>0</v>
      </c>
      <c r="X711" s="358">
        <f t="shared" ca="1" si="514"/>
        <v>0</v>
      </c>
      <c r="Y711" s="358">
        <f t="shared" ca="1" si="514"/>
        <v>0</v>
      </c>
      <c r="Z711" s="358">
        <f t="shared" ca="1" si="514"/>
        <v>0</v>
      </c>
      <c r="AA711" s="358">
        <f t="shared" ca="1" si="515"/>
        <v>0</v>
      </c>
      <c r="AB711" s="358">
        <f t="shared" ca="1" si="515"/>
        <v>0</v>
      </c>
      <c r="AC711" s="358">
        <f t="shared" ca="1" si="515"/>
        <v>0</v>
      </c>
      <c r="AD711" s="358">
        <f t="shared" ca="1" si="515"/>
        <v>0</v>
      </c>
      <c r="AE711" s="358">
        <f t="shared" ca="1" si="515"/>
        <v>0</v>
      </c>
      <c r="AF711" s="358">
        <f t="shared" ca="1" si="515"/>
        <v>0</v>
      </c>
      <c r="AG711" s="358">
        <f t="shared" ca="1" si="515"/>
        <v>0</v>
      </c>
      <c r="AH711" s="358">
        <f t="shared" ca="1" si="515"/>
        <v>0</v>
      </c>
      <c r="AI711" s="358">
        <f t="shared" ca="1" si="515"/>
        <v>0</v>
      </c>
      <c r="AJ711" s="358">
        <f t="shared" ca="1" si="515"/>
        <v>0</v>
      </c>
      <c r="AK711" s="358">
        <f t="shared" ca="1" si="516"/>
        <v>0</v>
      </c>
      <c r="AL711" s="358">
        <f t="shared" ca="1" si="516"/>
        <v>0</v>
      </c>
      <c r="AM711" s="358">
        <f t="shared" ca="1" si="516"/>
        <v>0</v>
      </c>
      <c r="AN711" s="358">
        <f t="shared" ca="1" si="516"/>
        <v>0</v>
      </c>
      <c r="AO711" s="358">
        <f t="shared" ca="1" si="516"/>
        <v>0</v>
      </c>
      <c r="AP711" s="358">
        <f t="shared" ca="1" si="516"/>
        <v>0</v>
      </c>
      <c r="AQ711" s="358">
        <f t="shared" ca="1" si="516"/>
        <v>0</v>
      </c>
      <c r="AR711" s="358">
        <f t="shared" ca="1" si="516"/>
        <v>0</v>
      </c>
      <c r="AS711" s="358">
        <f t="shared" ca="1" si="516"/>
        <v>0</v>
      </c>
      <c r="AT711" s="358">
        <f t="shared" ca="1" si="516"/>
        <v>0</v>
      </c>
      <c r="AV711" s="358">
        <f t="shared" ca="1" si="498"/>
        <v>0</v>
      </c>
      <c r="AX711" s="358">
        <f t="shared" ca="1" si="499"/>
        <v>0</v>
      </c>
      <c r="AZ711" s="358">
        <f t="shared" ca="1" si="500"/>
        <v>0</v>
      </c>
      <c r="BB711" s="358">
        <f t="shared" ca="1" si="501"/>
        <v>0</v>
      </c>
      <c r="BD711" s="358">
        <f t="shared" ca="1" si="502"/>
        <v>0</v>
      </c>
      <c r="BF711" s="358">
        <f t="shared" ca="1" si="503"/>
        <v>0</v>
      </c>
      <c r="BH711" s="358">
        <f t="shared" ca="1" si="504"/>
        <v>0</v>
      </c>
    </row>
    <row r="712" spans="1:60" hidden="1" outlineLevel="1">
      <c r="A712" s="1464">
        <f t="shared" si="505"/>
        <v>18</v>
      </c>
      <c r="B712" s="1464">
        <f t="shared" si="506"/>
        <v>40</v>
      </c>
      <c r="C712" s="1464">
        <f t="shared" si="507"/>
        <v>25</v>
      </c>
      <c r="D712" s="1271" t="str">
        <f ca="1">IF(OFFSET(PortfolioDashboard!$A$3,C712-1,0)="","Blank",OFFSET(PortfolioDashboard!$A$3,C712-1,0))</f>
        <v>Blank</v>
      </c>
      <c r="E712" s="1464" t="str">
        <f t="shared" si="508"/>
        <v>2010$</v>
      </c>
      <c r="F712" s="1460">
        <f t="shared" ca="1" si="484"/>
        <v>0</v>
      </c>
      <c r="G712" s="358">
        <f t="shared" ca="1" si="513"/>
        <v>0</v>
      </c>
      <c r="H712" s="358">
        <f t="shared" ca="1" si="513"/>
        <v>0</v>
      </c>
      <c r="I712" s="358">
        <f t="shared" ca="1" si="513"/>
        <v>0</v>
      </c>
      <c r="J712" s="358">
        <f t="shared" ca="1" si="513"/>
        <v>0</v>
      </c>
      <c r="K712" s="358">
        <f t="shared" ca="1" si="513"/>
        <v>0</v>
      </c>
      <c r="L712" s="358">
        <f t="shared" ca="1" si="513"/>
        <v>0</v>
      </c>
      <c r="M712" s="358">
        <f t="shared" ca="1" si="513"/>
        <v>0</v>
      </c>
      <c r="N712" s="358">
        <f t="shared" ca="1" si="513"/>
        <v>0</v>
      </c>
      <c r="O712" s="358">
        <f t="shared" ca="1" si="513"/>
        <v>0</v>
      </c>
      <c r="P712" s="358">
        <f t="shared" ca="1" si="513"/>
        <v>0</v>
      </c>
      <c r="Q712" s="358">
        <f t="shared" ca="1" si="514"/>
        <v>0</v>
      </c>
      <c r="R712" s="358">
        <f t="shared" ca="1" si="514"/>
        <v>0</v>
      </c>
      <c r="S712" s="358">
        <f t="shared" ca="1" si="514"/>
        <v>0</v>
      </c>
      <c r="T712" s="358">
        <f t="shared" ca="1" si="514"/>
        <v>0</v>
      </c>
      <c r="U712" s="358">
        <f t="shared" ca="1" si="514"/>
        <v>0</v>
      </c>
      <c r="V712" s="358">
        <f t="shared" ca="1" si="514"/>
        <v>0</v>
      </c>
      <c r="W712" s="358">
        <f t="shared" ca="1" si="514"/>
        <v>0</v>
      </c>
      <c r="X712" s="358">
        <f t="shared" ca="1" si="514"/>
        <v>0</v>
      </c>
      <c r="Y712" s="358">
        <f t="shared" ca="1" si="514"/>
        <v>0</v>
      </c>
      <c r="Z712" s="358">
        <f t="shared" ca="1" si="514"/>
        <v>0</v>
      </c>
      <c r="AA712" s="358">
        <f t="shared" ca="1" si="515"/>
        <v>0</v>
      </c>
      <c r="AB712" s="358">
        <f t="shared" ca="1" si="515"/>
        <v>0</v>
      </c>
      <c r="AC712" s="358">
        <f t="shared" ca="1" si="515"/>
        <v>0</v>
      </c>
      <c r="AD712" s="358">
        <f t="shared" ca="1" si="515"/>
        <v>0</v>
      </c>
      <c r="AE712" s="358">
        <f t="shared" ca="1" si="515"/>
        <v>0</v>
      </c>
      <c r="AF712" s="358">
        <f t="shared" ca="1" si="515"/>
        <v>0</v>
      </c>
      <c r="AG712" s="358">
        <f t="shared" ca="1" si="515"/>
        <v>0</v>
      </c>
      <c r="AH712" s="358">
        <f t="shared" ca="1" si="515"/>
        <v>0</v>
      </c>
      <c r="AI712" s="358">
        <f t="shared" ca="1" si="515"/>
        <v>0</v>
      </c>
      <c r="AJ712" s="358">
        <f t="shared" ca="1" si="515"/>
        <v>0</v>
      </c>
      <c r="AK712" s="358">
        <f t="shared" ca="1" si="516"/>
        <v>0</v>
      </c>
      <c r="AL712" s="358">
        <f t="shared" ca="1" si="516"/>
        <v>0</v>
      </c>
      <c r="AM712" s="358">
        <f t="shared" ca="1" si="516"/>
        <v>0</v>
      </c>
      <c r="AN712" s="358">
        <f t="shared" ca="1" si="516"/>
        <v>0</v>
      </c>
      <c r="AO712" s="358">
        <f t="shared" ca="1" si="516"/>
        <v>0</v>
      </c>
      <c r="AP712" s="358">
        <f t="shared" ca="1" si="516"/>
        <v>0</v>
      </c>
      <c r="AQ712" s="358">
        <f t="shared" ca="1" si="516"/>
        <v>0</v>
      </c>
      <c r="AR712" s="358">
        <f t="shared" ca="1" si="516"/>
        <v>0</v>
      </c>
      <c r="AS712" s="358">
        <f t="shared" ca="1" si="516"/>
        <v>0</v>
      </c>
      <c r="AT712" s="358">
        <f t="shared" ca="1" si="516"/>
        <v>0</v>
      </c>
      <c r="AV712" s="358">
        <f t="shared" ca="1" si="498"/>
        <v>0</v>
      </c>
      <c r="AX712" s="358">
        <f t="shared" ca="1" si="499"/>
        <v>0</v>
      </c>
      <c r="AZ712" s="358">
        <f t="shared" ca="1" si="500"/>
        <v>0</v>
      </c>
      <c r="BB712" s="358">
        <f t="shared" ca="1" si="501"/>
        <v>0</v>
      </c>
      <c r="BD712" s="358">
        <f t="shared" ca="1" si="502"/>
        <v>0</v>
      </c>
      <c r="BF712" s="358">
        <f t="shared" ca="1" si="503"/>
        <v>0</v>
      </c>
      <c r="BH712" s="358">
        <f t="shared" ca="1" si="504"/>
        <v>0</v>
      </c>
    </row>
    <row r="713" spans="1:60" hidden="1" outlineLevel="1">
      <c r="A713" s="1464">
        <f t="shared" si="505"/>
        <v>18</v>
      </c>
      <c r="B713" s="1464">
        <f t="shared" si="506"/>
        <v>40</v>
      </c>
      <c r="C713" s="1464">
        <f t="shared" si="507"/>
        <v>26</v>
      </c>
      <c r="D713" s="1271" t="str">
        <f ca="1">IF(OFFSET(PortfolioDashboard!$A$3,C713-1,0)="","Blank",OFFSET(PortfolioDashboard!$A$3,C713-1,0))</f>
        <v>Blank</v>
      </c>
      <c r="E713" s="1464" t="str">
        <f t="shared" si="508"/>
        <v>2010$</v>
      </c>
      <c r="F713" s="1460">
        <f t="shared" ca="1" si="484"/>
        <v>0</v>
      </c>
      <c r="G713" s="358">
        <f t="shared" ca="1" si="513"/>
        <v>0</v>
      </c>
      <c r="H713" s="358">
        <f t="shared" ca="1" si="513"/>
        <v>0</v>
      </c>
      <c r="I713" s="358">
        <f t="shared" ca="1" si="513"/>
        <v>0</v>
      </c>
      <c r="J713" s="358">
        <f t="shared" ca="1" si="513"/>
        <v>0</v>
      </c>
      <c r="K713" s="358">
        <f t="shared" ca="1" si="513"/>
        <v>0</v>
      </c>
      <c r="L713" s="358">
        <f t="shared" ca="1" si="513"/>
        <v>0</v>
      </c>
      <c r="M713" s="358">
        <f t="shared" ca="1" si="513"/>
        <v>0</v>
      </c>
      <c r="N713" s="358">
        <f t="shared" ca="1" si="513"/>
        <v>0</v>
      </c>
      <c r="O713" s="358">
        <f t="shared" ca="1" si="513"/>
        <v>0</v>
      </c>
      <c r="P713" s="358">
        <f t="shared" ca="1" si="513"/>
        <v>0</v>
      </c>
      <c r="Q713" s="358">
        <f t="shared" ca="1" si="514"/>
        <v>0</v>
      </c>
      <c r="R713" s="358">
        <f t="shared" ca="1" si="514"/>
        <v>0</v>
      </c>
      <c r="S713" s="358">
        <f t="shared" ca="1" si="514"/>
        <v>0</v>
      </c>
      <c r="T713" s="358">
        <f t="shared" ca="1" si="514"/>
        <v>0</v>
      </c>
      <c r="U713" s="358">
        <f t="shared" ca="1" si="514"/>
        <v>0</v>
      </c>
      <c r="V713" s="358">
        <f t="shared" ca="1" si="514"/>
        <v>0</v>
      </c>
      <c r="W713" s="358">
        <f t="shared" ca="1" si="514"/>
        <v>0</v>
      </c>
      <c r="X713" s="358">
        <f t="shared" ca="1" si="514"/>
        <v>0</v>
      </c>
      <c r="Y713" s="358">
        <f t="shared" ca="1" si="514"/>
        <v>0</v>
      </c>
      <c r="Z713" s="358">
        <f t="shared" ca="1" si="514"/>
        <v>0</v>
      </c>
      <c r="AA713" s="358">
        <f t="shared" ca="1" si="515"/>
        <v>0</v>
      </c>
      <c r="AB713" s="358">
        <f t="shared" ca="1" si="515"/>
        <v>0</v>
      </c>
      <c r="AC713" s="358">
        <f t="shared" ca="1" si="515"/>
        <v>0</v>
      </c>
      <c r="AD713" s="358">
        <f t="shared" ca="1" si="515"/>
        <v>0</v>
      </c>
      <c r="AE713" s="358">
        <f t="shared" ca="1" si="515"/>
        <v>0</v>
      </c>
      <c r="AF713" s="358">
        <f t="shared" ca="1" si="515"/>
        <v>0</v>
      </c>
      <c r="AG713" s="358">
        <f t="shared" ca="1" si="515"/>
        <v>0</v>
      </c>
      <c r="AH713" s="358">
        <f t="shared" ca="1" si="515"/>
        <v>0</v>
      </c>
      <c r="AI713" s="358">
        <f t="shared" ca="1" si="515"/>
        <v>0</v>
      </c>
      <c r="AJ713" s="358">
        <f t="shared" ca="1" si="515"/>
        <v>0</v>
      </c>
      <c r="AK713" s="358">
        <f t="shared" ca="1" si="516"/>
        <v>0</v>
      </c>
      <c r="AL713" s="358">
        <f t="shared" ca="1" si="516"/>
        <v>0</v>
      </c>
      <c r="AM713" s="358">
        <f t="shared" ca="1" si="516"/>
        <v>0</v>
      </c>
      <c r="AN713" s="358">
        <f t="shared" ca="1" si="516"/>
        <v>0</v>
      </c>
      <c r="AO713" s="358">
        <f t="shared" ca="1" si="516"/>
        <v>0</v>
      </c>
      <c r="AP713" s="358">
        <f t="shared" ca="1" si="516"/>
        <v>0</v>
      </c>
      <c r="AQ713" s="358">
        <f t="shared" ca="1" si="516"/>
        <v>0</v>
      </c>
      <c r="AR713" s="358">
        <f t="shared" ca="1" si="516"/>
        <v>0</v>
      </c>
      <c r="AS713" s="358">
        <f t="shared" ca="1" si="516"/>
        <v>0</v>
      </c>
      <c r="AT713" s="358">
        <f t="shared" ca="1" si="516"/>
        <v>0</v>
      </c>
      <c r="AV713" s="358">
        <f t="shared" ca="1" si="498"/>
        <v>0</v>
      </c>
      <c r="AX713" s="358">
        <f t="shared" ca="1" si="499"/>
        <v>0</v>
      </c>
      <c r="AZ713" s="358">
        <f t="shared" ca="1" si="500"/>
        <v>0</v>
      </c>
      <c r="BB713" s="358">
        <f t="shared" ca="1" si="501"/>
        <v>0</v>
      </c>
      <c r="BD713" s="358">
        <f t="shared" ca="1" si="502"/>
        <v>0</v>
      </c>
      <c r="BF713" s="358">
        <f t="shared" ca="1" si="503"/>
        <v>0</v>
      </c>
      <c r="BH713" s="358">
        <f t="shared" ca="1" si="504"/>
        <v>0</v>
      </c>
    </row>
    <row r="714" spans="1:60" hidden="1" outlineLevel="1">
      <c r="A714" s="1464">
        <f t="shared" si="505"/>
        <v>18</v>
      </c>
      <c r="B714" s="1464">
        <f t="shared" si="506"/>
        <v>40</v>
      </c>
      <c r="C714" s="1464">
        <f t="shared" si="507"/>
        <v>27</v>
      </c>
      <c r="D714" s="1271" t="str">
        <f ca="1">IF(OFFSET(PortfolioDashboard!$A$3,C714-1,0)="","Blank",OFFSET(PortfolioDashboard!$A$3,C714-1,0))</f>
        <v>Blank</v>
      </c>
      <c r="E714" s="1464" t="str">
        <f t="shared" si="508"/>
        <v>2010$</v>
      </c>
      <c r="F714" s="1460">
        <f t="shared" ca="1" si="484"/>
        <v>0</v>
      </c>
      <c r="G714" s="358">
        <f t="shared" ca="1" si="513"/>
        <v>0</v>
      </c>
      <c r="H714" s="358">
        <f t="shared" ca="1" si="513"/>
        <v>0</v>
      </c>
      <c r="I714" s="358">
        <f t="shared" ca="1" si="513"/>
        <v>0</v>
      </c>
      <c r="J714" s="358">
        <f t="shared" ca="1" si="513"/>
        <v>0</v>
      </c>
      <c r="K714" s="358">
        <f t="shared" ca="1" si="513"/>
        <v>0</v>
      </c>
      <c r="L714" s="358">
        <f t="shared" ca="1" si="513"/>
        <v>0</v>
      </c>
      <c r="M714" s="358">
        <f t="shared" ca="1" si="513"/>
        <v>0</v>
      </c>
      <c r="N714" s="358">
        <f t="shared" ca="1" si="513"/>
        <v>0</v>
      </c>
      <c r="O714" s="358">
        <f t="shared" ca="1" si="513"/>
        <v>0</v>
      </c>
      <c r="P714" s="358">
        <f t="shared" ca="1" si="513"/>
        <v>0</v>
      </c>
      <c r="Q714" s="358">
        <f t="shared" ca="1" si="514"/>
        <v>0</v>
      </c>
      <c r="R714" s="358">
        <f t="shared" ca="1" si="514"/>
        <v>0</v>
      </c>
      <c r="S714" s="358">
        <f t="shared" ca="1" si="514"/>
        <v>0</v>
      </c>
      <c r="T714" s="358">
        <f t="shared" ca="1" si="514"/>
        <v>0</v>
      </c>
      <c r="U714" s="358">
        <f t="shared" ca="1" si="514"/>
        <v>0</v>
      </c>
      <c r="V714" s="358">
        <f t="shared" ca="1" si="514"/>
        <v>0</v>
      </c>
      <c r="W714" s="358">
        <f t="shared" ca="1" si="514"/>
        <v>0</v>
      </c>
      <c r="X714" s="358">
        <f t="shared" ca="1" si="514"/>
        <v>0</v>
      </c>
      <c r="Y714" s="358">
        <f t="shared" ca="1" si="514"/>
        <v>0</v>
      </c>
      <c r="Z714" s="358">
        <f t="shared" ca="1" si="514"/>
        <v>0</v>
      </c>
      <c r="AA714" s="358">
        <f t="shared" ca="1" si="515"/>
        <v>0</v>
      </c>
      <c r="AB714" s="358">
        <f t="shared" ca="1" si="515"/>
        <v>0</v>
      </c>
      <c r="AC714" s="358">
        <f t="shared" ca="1" si="515"/>
        <v>0</v>
      </c>
      <c r="AD714" s="358">
        <f t="shared" ca="1" si="515"/>
        <v>0</v>
      </c>
      <c r="AE714" s="358">
        <f t="shared" ca="1" si="515"/>
        <v>0</v>
      </c>
      <c r="AF714" s="358">
        <f t="shared" ca="1" si="515"/>
        <v>0</v>
      </c>
      <c r="AG714" s="358">
        <f t="shared" ca="1" si="515"/>
        <v>0</v>
      </c>
      <c r="AH714" s="358">
        <f t="shared" ca="1" si="515"/>
        <v>0</v>
      </c>
      <c r="AI714" s="358">
        <f t="shared" ca="1" si="515"/>
        <v>0</v>
      </c>
      <c r="AJ714" s="358">
        <f t="shared" ca="1" si="515"/>
        <v>0</v>
      </c>
      <c r="AK714" s="358">
        <f t="shared" ca="1" si="516"/>
        <v>0</v>
      </c>
      <c r="AL714" s="358">
        <f t="shared" ca="1" si="516"/>
        <v>0</v>
      </c>
      <c r="AM714" s="358">
        <f t="shared" ca="1" si="516"/>
        <v>0</v>
      </c>
      <c r="AN714" s="358">
        <f t="shared" ca="1" si="516"/>
        <v>0</v>
      </c>
      <c r="AO714" s="358">
        <f t="shared" ca="1" si="516"/>
        <v>0</v>
      </c>
      <c r="AP714" s="358">
        <f t="shared" ca="1" si="516"/>
        <v>0</v>
      </c>
      <c r="AQ714" s="358">
        <f t="shared" ca="1" si="516"/>
        <v>0</v>
      </c>
      <c r="AR714" s="358">
        <f t="shared" ca="1" si="516"/>
        <v>0</v>
      </c>
      <c r="AS714" s="358">
        <f t="shared" ca="1" si="516"/>
        <v>0</v>
      </c>
      <c r="AT714" s="358">
        <f t="shared" ca="1" si="516"/>
        <v>0</v>
      </c>
      <c r="AV714" s="358">
        <f t="shared" ca="1" si="498"/>
        <v>0</v>
      </c>
      <c r="AX714" s="358">
        <f t="shared" ca="1" si="499"/>
        <v>0</v>
      </c>
      <c r="AZ714" s="358">
        <f t="shared" ca="1" si="500"/>
        <v>0</v>
      </c>
      <c r="BB714" s="358">
        <f t="shared" ca="1" si="501"/>
        <v>0</v>
      </c>
      <c r="BD714" s="358">
        <f t="shared" ca="1" si="502"/>
        <v>0</v>
      </c>
      <c r="BF714" s="358">
        <f t="shared" ca="1" si="503"/>
        <v>0</v>
      </c>
      <c r="BH714" s="358">
        <f t="shared" ca="1" si="504"/>
        <v>0</v>
      </c>
    </row>
    <row r="715" spans="1:60" hidden="1" outlineLevel="1">
      <c r="A715" s="1464">
        <f t="shared" si="505"/>
        <v>18</v>
      </c>
      <c r="B715" s="1464">
        <f t="shared" si="506"/>
        <v>40</v>
      </c>
      <c r="C715" s="1464">
        <f t="shared" si="507"/>
        <v>28</v>
      </c>
      <c r="D715" s="1271" t="str">
        <f ca="1">IF(OFFSET(PortfolioDashboard!$A$3,C715-1,0)="","Blank",OFFSET(PortfolioDashboard!$A$3,C715-1,0))</f>
        <v>Blank</v>
      </c>
      <c r="E715" s="1464" t="str">
        <f t="shared" si="508"/>
        <v>2010$</v>
      </c>
      <c r="F715" s="1460">
        <f t="shared" ca="1" si="484"/>
        <v>0</v>
      </c>
      <c r="G715" s="358">
        <f t="shared" ca="1" si="513"/>
        <v>0</v>
      </c>
      <c r="H715" s="358">
        <f t="shared" ca="1" si="513"/>
        <v>0</v>
      </c>
      <c r="I715" s="358">
        <f t="shared" ca="1" si="513"/>
        <v>0</v>
      </c>
      <c r="J715" s="358">
        <f t="shared" ca="1" si="513"/>
        <v>0</v>
      </c>
      <c r="K715" s="358">
        <f t="shared" ca="1" si="513"/>
        <v>0</v>
      </c>
      <c r="L715" s="358">
        <f t="shared" ca="1" si="513"/>
        <v>0</v>
      </c>
      <c r="M715" s="358">
        <f t="shared" ca="1" si="513"/>
        <v>0</v>
      </c>
      <c r="N715" s="358">
        <f t="shared" ca="1" si="513"/>
        <v>0</v>
      </c>
      <c r="O715" s="358">
        <f t="shared" ca="1" si="513"/>
        <v>0</v>
      </c>
      <c r="P715" s="358">
        <f t="shared" ca="1" si="513"/>
        <v>0</v>
      </c>
      <c r="Q715" s="358">
        <f t="shared" ca="1" si="514"/>
        <v>0</v>
      </c>
      <c r="R715" s="358">
        <f t="shared" ca="1" si="514"/>
        <v>0</v>
      </c>
      <c r="S715" s="358">
        <f t="shared" ca="1" si="514"/>
        <v>0</v>
      </c>
      <c r="T715" s="358">
        <f t="shared" ca="1" si="514"/>
        <v>0</v>
      </c>
      <c r="U715" s="358">
        <f t="shared" ca="1" si="514"/>
        <v>0</v>
      </c>
      <c r="V715" s="358">
        <f t="shared" ca="1" si="514"/>
        <v>0</v>
      </c>
      <c r="W715" s="358">
        <f t="shared" ca="1" si="514"/>
        <v>0</v>
      </c>
      <c r="X715" s="358">
        <f t="shared" ca="1" si="514"/>
        <v>0</v>
      </c>
      <c r="Y715" s="358">
        <f t="shared" ca="1" si="514"/>
        <v>0</v>
      </c>
      <c r="Z715" s="358">
        <f t="shared" ca="1" si="514"/>
        <v>0</v>
      </c>
      <c r="AA715" s="358">
        <f t="shared" ca="1" si="515"/>
        <v>0</v>
      </c>
      <c r="AB715" s="358">
        <f t="shared" ca="1" si="515"/>
        <v>0</v>
      </c>
      <c r="AC715" s="358">
        <f t="shared" ca="1" si="515"/>
        <v>0</v>
      </c>
      <c r="AD715" s="358">
        <f t="shared" ca="1" si="515"/>
        <v>0</v>
      </c>
      <c r="AE715" s="358">
        <f t="shared" ca="1" si="515"/>
        <v>0</v>
      </c>
      <c r="AF715" s="358">
        <f t="shared" ca="1" si="515"/>
        <v>0</v>
      </c>
      <c r="AG715" s="358">
        <f t="shared" ca="1" si="515"/>
        <v>0</v>
      </c>
      <c r="AH715" s="358">
        <f t="shared" ca="1" si="515"/>
        <v>0</v>
      </c>
      <c r="AI715" s="358">
        <f t="shared" ca="1" si="515"/>
        <v>0</v>
      </c>
      <c r="AJ715" s="358">
        <f t="shared" ca="1" si="515"/>
        <v>0</v>
      </c>
      <c r="AK715" s="358">
        <f t="shared" ca="1" si="516"/>
        <v>0</v>
      </c>
      <c r="AL715" s="358">
        <f t="shared" ca="1" si="516"/>
        <v>0</v>
      </c>
      <c r="AM715" s="358">
        <f t="shared" ca="1" si="516"/>
        <v>0</v>
      </c>
      <c r="AN715" s="358">
        <f t="shared" ca="1" si="516"/>
        <v>0</v>
      </c>
      <c r="AO715" s="358">
        <f t="shared" ca="1" si="516"/>
        <v>0</v>
      </c>
      <c r="AP715" s="358">
        <f t="shared" ca="1" si="516"/>
        <v>0</v>
      </c>
      <c r="AQ715" s="358">
        <f t="shared" ca="1" si="516"/>
        <v>0</v>
      </c>
      <c r="AR715" s="358">
        <f t="shared" ca="1" si="516"/>
        <v>0</v>
      </c>
      <c r="AS715" s="358">
        <f t="shared" ca="1" si="516"/>
        <v>0</v>
      </c>
      <c r="AT715" s="358">
        <f t="shared" ca="1" si="516"/>
        <v>0</v>
      </c>
      <c r="AV715" s="358">
        <f t="shared" ca="1" si="498"/>
        <v>0</v>
      </c>
      <c r="AX715" s="358">
        <f t="shared" ca="1" si="499"/>
        <v>0</v>
      </c>
      <c r="AZ715" s="358">
        <f t="shared" ca="1" si="500"/>
        <v>0</v>
      </c>
      <c r="BB715" s="358">
        <f t="shared" ca="1" si="501"/>
        <v>0</v>
      </c>
      <c r="BD715" s="358">
        <f t="shared" ca="1" si="502"/>
        <v>0</v>
      </c>
      <c r="BF715" s="358">
        <f t="shared" ca="1" si="503"/>
        <v>0</v>
      </c>
      <c r="BH715" s="358">
        <f t="shared" ca="1" si="504"/>
        <v>0</v>
      </c>
    </row>
    <row r="716" spans="1:60" hidden="1" outlineLevel="1">
      <c r="A716" s="1464">
        <f t="shared" si="505"/>
        <v>18</v>
      </c>
      <c r="B716" s="1464">
        <f t="shared" si="506"/>
        <v>40</v>
      </c>
      <c r="C716" s="1464">
        <f t="shared" si="507"/>
        <v>29</v>
      </c>
      <c r="D716" s="1271" t="str">
        <f>D654</f>
        <v>Sustainability Driven-Master Plan</v>
      </c>
      <c r="E716" s="1464" t="str">
        <f t="shared" si="508"/>
        <v>2010$</v>
      </c>
      <c r="F716" s="1460">
        <f t="shared" si="484"/>
        <v>-537861.87088412675</v>
      </c>
      <c r="G716" s="358">
        <f>G654</f>
        <v>0</v>
      </c>
      <c r="H716" s="358">
        <f t="shared" ref="H716:AT716" si="517">H654</f>
        <v>-600000</v>
      </c>
      <c r="I716" s="358">
        <f t="shared" si="517"/>
        <v>0</v>
      </c>
      <c r="J716" s="358">
        <f t="shared" si="517"/>
        <v>0</v>
      </c>
      <c r="K716" s="358">
        <f t="shared" si="517"/>
        <v>0</v>
      </c>
      <c r="L716" s="358">
        <f t="shared" si="517"/>
        <v>0</v>
      </c>
      <c r="M716" s="358">
        <f t="shared" si="517"/>
        <v>0</v>
      </c>
      <c r="N716" s="358">
        <f t="shared" si="517"/>
        <v>0</v>
      </c>
      <c r="O716" s="358">
        <f t="shared" si="517"/>
        <v>0</v>
      </c>
      <c r="P716" s="358">
        <f t="shared" si="517"/>
        <v>0</v>
      </c>
      <c r="Q716" s="358">
        <f t="shared" si="517"/>
        <v>0</v>
      </c>
      <c r="R716" s="358">
        <f t="shared" si="517"/>
        <v>0</v>
      </c>
      <c r="S716" s="358">
        <f t="shared" si="517"/>
        <v>0</v>
      </c>
      <c r="T716" s="358">
        <f t="shared" si="517"/>
        <v>0</v>
      </c>
      <c r="U716" s="358">
        <f t="shared" si="517"/>
        <v>0</v>
      </c>
      <c r="V716" s="358">
        <f t="shared" si="517"/>
        <v>0</v>
      </c>
      <c r="W716" s="358">
        <f t="shared" si="517"/>
        <v>0</v>
      </c>
      <c r="X716" s="358">
        <f t="shared" si="517"/>
        <v>0</v>
      </c>
      <c r="Y716" s="358">
        <f t="shared" si="517"/>
        <v>0</v>
      </c>
      <c r="Z716" s="358">
        <f t="shared" si="517"/>
        <v>0</v>
      </c>
      <c r="AA716" s="358">
        <f t="shared" si="517"/>
        <v>0</v>
      </c>
      <c r="AB716" s="358">
        <f t="shared" si="517"/>
        <v>0</v>
      </c>
      <c r="AC716" s="358">
        <f t="shared" si="517"/>
        <v>0</v>
      </c>
      <c r="AD716" s="358">
        <f t="shared" si="517"/>
        <v>0</v>
      </c>
      <c r="AE716" s="358">
        <f t="shared" si="517"/>
        <v>0</v>
      </c>
      <c r="AF716" s="358">
        <f t="shared" si="517"/>
        <v>0</v>
      </c>
      <c r="AG716" s="358">
        <f t="shared" si="517"/>
        <v>0</v>
      </c>
      <c r="AH716" s="358">
        <f t="shared" si="517"/>
        <v>0</v>
      </c>
      <c r="AI716" s="358">
        <f t="shared" si="517"/>
        <v>0</v>
      </c>
      <c r="AJ716" s="358">
        <f t="shared" si="517"/>
        <v>0</v>
      </c>
      <c r="AK716" s="358">
        <f t="shared" si="517"/>
        <v>0</v>
      </c>
      <c r="AL716" s="358">
        <f t="shared" si="517"/>
        <v>0</v>
      </c>
      <c r="AM716" s="358">
        <f t="shared" si="517"/>
        <v>0</v>
      </c>
      <c r="AN716" s="358">
        <f t="shared" si="517"/>
        <v>0</v>
      </c>
      <c r="AO716" s="358">
        <f t="shared" si="517"/>
        <v>0</v>
      </c>
      <c r="AP716" s="358">
        <f t="shared" si="517"/>
        <v>0</v>
      </c>
      <c r="AQ716" s="358">
        <f t="shared" si="517"/>
        <v>0</v>
      </c>
      <c r="AR716" s="358">
        <f t="shared" si="517"/>
        <v>0</v>
      </c>
      <c r="AS716" s="358">
        <f t="shared" si="517"/>
        <v>0</v>
      </c>
      <c r="AT716" s="358">
        <f t="shared" si="517"/>
        <v>0</v>
      </c>
      <c r="AV716" s="358">
        <f t="shared" si="498"/>
        <v>0</v>
      </c>
      <c r="AX716" s="358">
        <f t="shared" si="499"/>
        <v>0</v>
      </c>
      <c r="AZ716" s="358">
        <f t="shared" si="500"/>
        <v>0</v>
      </c>
      <c r="BB716" s="358">
        <f t="shared" si="501"/>
        <v>0</v>
      </c>
      <c r="BD716" s="358">
        <f t="shared" si="502"/>
        <v>0</v>
      </c>
      <c r="BF716" s="358">
        <f t="shared" si="503"/>
        <v>0</v>
      </c>
      <c r="BH716" s="358">
        <f t="shared" si="504"/>
        <v>0</v>
      </c>
    </row>
    <row r="717" spans="1:60" hidden="1" outlineLevel="1">
      <c r="A717" s="1464">
        <f t="shared" si="505"/>
        <v>18</v>
      </c>
      <c r="B717" s="1464">
        <f t="shared" si="506"/>
        <v>40</v>
      </c>
      <c r="C717" s="1464">
        <f t="shared" si="507"/>
        <v>30</v>
      </c>
      <c r="D717" s="1271" t="str">
        <f>D655</f>
        <v>Research and Curriculum</v>
      </c>
      <c r="E717" s="1464" t="str">
        <f t="shared" si="508"/>
        <v>2010$</v>
      </c>
      <c r="F717" s="1460">
        <f t="shared" si="484"/>
        <v>-4867919.572699625</v>
      </c>
      <c r="G717" s="358">
        <f>G655</f>
        <v>-200000</v>
      </c>
      <c r="H717" s="358">
        <f t="shared" ref="H717:AT717" si="518">H655</f>
        <v>-315000</v>
      </c>
      <c r="I717" s="358">
        <f t="shared" si="518"/>
        <v>-315000</v>
      </c>
      <c r="J717" s="358">
        <f t="shared" si="518"/>
        <v>-315000</v>
      </c>
      <c r="K717" s="358">
        <f t="shared" si="518"/>
        <v>-315000</v>
      </c>
      <c r="L717" s="358">
        <f t="shared" si="518"/>
        <v>-315000</v>
      </c>
      <c r="M717" s="358">
        <f t="shared" si="518"/>
        <v>-315000</v>
      </c>
      <c r="N717" s="358">
        <f t="shared" si="518"/>
        <v>-315000</v>
      </c>
      <c r="O717" s="358">
        <f t="shared" si="518"/>
        <v>-315000</v>
      </c>
      <c r="P717" s="358">
        <f t="shared" si="518"/>
        <v>-315000</v>
      </c>
      <c r="Q717" s="358">
        <f t="shared" si="518"/>
        <v>-315000</v>
      </c>
      <c r="R717" s="358">
        <f t="shared" si="518"/>
        <v>-315000</v>
      </c>
      <c r="S717" s="358">
        <f t="shared" si="518"/>
        <v>-315000</v>
      </c>
      <c r="T717" s="358">
        <f t="shared" si="518"/>
        <v>-315000</v>
      </c>
      <c r="U717" s="358">
        <f t="shared" si="518"/>
        <v>-315000</v>
      </c>
      <c r="V717" s="358">
        <f t="shared" si="518"/>
        <v>-315000</v>
      </c>
      <c r="W717" s="358">
        <f t="shared" si="518"/>
        <v>-315000</v>
      </c>
      <c r="X717" s="358">
        <f t="shared" si="518"/>
        <v>-315000</v>
      </c>
      <c r="Y717" s="358">
        <f t="shared" si="518"/>
        <v>-315000</v>
      </c>
      <c r="Z717" s="358">
        <f t="shared" si="518"/>
        <v>-315000</v>
      </c>
      <c r="AA717" s="358">
        <f t="shared" si="518"/>
        <v>-315000</v>
      </c>
      <c r="AB717" s="358">
        <f t="shared" si="518"/>
        <v>-315000</v>
      </c>
      <c r="AC717" s="358">
        <f t="shared" si="518"/>
        <v>-315000</v>
      </c>
      <c r="AD717" s="358">
        <f t="shared" si="518"/>
        <v>-315000</v>
      </c>
      <c r="AE717" s="358">
        <f t="shared" si="518"/>
        <v>-315000</v>
      </c>
      <c r="AF717" s="358">
        <f t="shared" si="518"/>
        <v>-315000</v>
      </c>
      <c r="AG717" s="358">
        <f t="shared" si="518"/>
        <v>-315000</v>
      </c>
      <c r="AH717" s="358">
        <f t="shared" si="518"/>
        <v>-315000</v>
      </c>
      <c r="AI717" s="358">
        <f t="shared" si="518"/>
        <v>-315000</v>
      </c>
      <c r="AJ717" s="358">
        <f t="shared" si="518"/>
        <v>-315000</v>
      </c>
      <c r="AK717" s="358">
        <f t="shared" si="518"/>
        <v>-315000</v>
      </c>
      <c r="AL717" s="358">
        <f t="shared" si="518"/>
        <v>-315000</v>
      </c>
      <c r="AM717" s="358">
        <f t="shared" si="518"/>
        <v>-315000</v>
      </c>
      <c r="AN717" s="358">
        <f t="shared" si="518"/>
        <v>-315000</v>
      </c>
      <c r="AO717" s="358">
        <f t="shared" si="518"/>
        <v>-315000</v>
      </c>
      <c r="AP717" s="358">
        <f t="shared" si="518"/>
        <v>-315000</v>
      </c>
      <c r="AQ717" s="358">
        <f t="shared" si="518"/>
        <v>-315000</v>
      </c>
      <c r="AR717" s="358">
        <f t="shared" si="518"/>
        <v>-315000</v>
      </c>
      <c r="AS717" s="358">
        <f t="shared" si="518"/>
        <v>-315000</v>
      </c>
      <c r="AT717" s="358">
        <f t="shared" si="518"/>
        <v>-315000</v>
      </c>
      <c r="AV717" s="358">
        <f t="shared" si="498"/>
        <v>-1575000</v>
      </c>
      <c r="AX717" s="358">
        <f t="shared" si="499"/>
        <v>-1575000</v>
      </c>
      <c r="AZ717" s="358">
        <f t="shared" si="500"/>
        <v>-1575000</v>
      </c>
      <c r="BB717" s="358">
        <f t="shared" si="501"/>
        <v>-1575000</v>
      </c>
      <c r="BD717" s="358">
        <f t="shared" si="502"/>
        <v>-1575000</v>
      </c>
      <c r="BF717" s="358">
        <f t="shared" si="503"/>
        <v>-1575000</v>
      </c>
      <c r="BH717" s="358">
        <f t="shared" si="504"/>
        <v>-1575000</v>
      </c>
    </row>
    <row r="718" spans="1:60" ht="16.5" collapsed="1" thickTop="1" thickBot="1">
      <c r="A718" s="1464"/>
      <c r="B718" s="1464"/>
      <c r="C718" s="1464"/>
      <c r="D718" s="1278" t="s">
        <v>1520</v>
      </c>
      <c r="E718" s="1279" t="str">
        <f>E688</f>
        <v>2010$</v>
      </c>
      <c r="F718" s="1463">
        <f t="shared" ca="1" si="484"/>
        <v>604611749.30926466</v>
      </c>
      <c r="G718" s="1280">
        <f t="shared" ref="G718:AT718" ca="1" si="519">SUM(G688:G717)</f>
        <v>-62947.94664712713</v>
      </c>
      <c r="H718" s="1280">
        <f t="shared" ca="1" si="519"/>
        <v>23234180.380424932</v>
      </c>
      <c r="I718" s="1280">
        <f t="shared" ca="1" si="519"/>
        <v>24707966.445974875</v>
      </c>
      <c r="J718" s="1280">
        <f t="shared" ca="1" si="519"/>
        <v>27247814.441949621</v>
      </c>
      <c r="K718" s="1280">
        <f t="shared" ca="1" si="519"/>
        <v>25670305.269429374</v>
      </c>
      <c r="L718" s="1280">
        <f t="shared" ca="1" si="519"/>
        <v>30513752.564200699</v>
      </c>
      <c r="M718" s="1280">
        <f t="shared" ca="1" si="519"/>
        <v>32605763.353607524</v>
      </c>
      <c r="N718" s="1280">
        <f t="shared" ca="1" si="519"/>
        <v>33585357.985470667</v>
      </c>
      <c r="O718" s="1280">
        <f t="shared" ca="1" si="519"/>
        <v>34490795.88458541</v>
      </c>
      <c r="P718" s="1280">
        <f t="shared" ca="1" si="519"/>
        <v>35510975.389325455</v>
      </c>
      <c r="Q718" s="1280">
        <f t="shared" ca="1" si="519"/>
        <v>36558350.125153556</v>
      </c>
      <c r="R718" s="1280">
        <f t="shared" ca="1" si="519"/>
        <v>37655159.68956925</v>
      </c>
      <c r="S718" s="1280">
        <f t="shared" ca="1" si="519"/>
        <v>38787144.341402814</v>
      </c>
      <c r="T718" s="1280">
        <f t="shared" ca="1" si="519"/>
        <v>39903951.847185194</v>
      </c>
      <c r="U718" s="1280">
        <f t="shared" ca="1" si="519"/>
        <v>40886240.361800127</v>
      </c>
      <c r="V718" s="1280">
        <f t="shared" ca="1" si="519"/>
        <v>41977218.898457415</v>
      </c>
      <c r="W718" s="1280">
        <f t="shared" ca="1" si="519"/>
        <v>43128176.261836074</v>
      </c>
      <c r="X718" s="1280">
        <f t="shared" ca="1" si="519"/>
        <v>44314349.595106907</v>
      </c>
      <c r="Y718" s="1280">
        <f t="shared" ca="1" si="519"/>
        <v>45536210.126088403</v>
      </c>
      <c r="Z718" s="1280">
        <f t="shared" ca="1" si="519"/>
        <v>46794170.221076421</v>
      </c>
      <c r="AA718" s="1280">
        <f t="shared" ca="1" si="519"/>
        <v>48088583.715117618</v>
      </c>
      <c r="AB718" s="1280">
        <f t="shared" ca="1" si="519"/>
        <v>49448733.093434967</v>
      </c>
      <c r="AC718" s="1280">
        <f t="shared" ca="1" si="519"/>
        <v>50998333.860171005</v>
      </c>
      <c r="AD718" s="1280">
        <f t="shared" ca="1" si="519"/>
        <v>52377576.627183892</v>
      </c>
      <c r="AE718" s="1280">
        <f t="shared" ca="1" si="519"/>
        <v>54022811.255822964</v>
      </c>
      <c r="AF718" s="1280">
        <f t="shared" ca="1" si="519"/>
        <v>55212953.993480243</v>
      </c>
      <c r="AG718" s="1280">
        <f t="shared" ca="1" si="519"/>
        <v>56497126.514636785</v>
      </c>
      <c r="AH718" s="1280">
        <f t="shared" ca="1" si="519"/>
        <v>58461925.842182927</v>
      </c>
      <c r="AI718" s="1280">
        <f t="shared" ca="1" si="519"/>
        <v>59871399.223222136</v>
      </c>
      <c r="AJ718" s="1280">
        <f t="shared" ca="1" si="519"/>
        <v>61209015.271634474</v>
      </c>
      <c r="AK718" s="1280">
        <f t="shared" ca="1" si="519"/>
        <v>62594338.796048112</v>
      </c>
      <c r="AL718" s="1280">
        <f t="shared" ca="1" si="519"/>
        <v>63983777.193090312</v>
      </c>
      <c r="AM718" s="1280">
        <f t="shared" ca="1" si="519"/>
        <v>65372657.778295554</v>
      </c>
      <c r="AN718" s="1280">
        <f t="shared" ca="1" si="519"/>
        <v>66851777.857396349</v>
      </c>
      <c r="AO718" s="1280">
        <f t="shared" ca="1" si="519"/>
        <v>68438784.630695581</v>
      </c>
      <c r="AP718" s="1280">
        <f t="shared" ca="1" si="519"/>
        <v>70158521.192959279</v>
      </c>
      <c r="AQ718" s="1280">
        <f t="shared" ca="1" si="519"/>
        <v>71964446.224563792</v>
      </c>
      <c r="AR718" s="1280">
        <f t="shared" ca="1" si="519"/>
        <v>73866419.674867213</v>
      </c>
      <c r="AS718" s="1280">
        <f t="shared" ca="1" si="519"/>
        <v>75875351.325344369</v>
      </c>
      <c r="AT718" s="1280">
        <f t="shared" ca="1" si="519"/>
        <v>78003180.29872781</v>
      </c>
      <c r="AV718" s="1280">
        <f t="shared" ca="1" si="498"/>
        <v>166706645.17718977</v>
      </c>
      <c r="AX718" s="1280">
        <f t="shared" ca="1" si="499"/>
        <v>193790846.36511093</v>
      </c>
      <c r="AZ718" s="1280">
        <f t="shared" ca="1" si="500"/>
        <v>221750125.10256523</v>
      </c>
      <c r="BB718" s="1280">
        <f t="shared" ca="1" si="501"/>
        <v>254936038.55173042</v>
      </c>
      <c r="BD718" s="1280">
        <f t="shared" ca="1" si="502"/>
        <v>291252420.84515655</v>
      </c>
      <c r="BF718" s="1280">
        <f t="shared" ca="1" si="503"/>
        <v>327241336.25552589</v>
      </c>
      <c r="BH718" s="1280">
        <f t="shared" ca="1" si="504"/>
        <v>369867918.71646249</v>
      </c>
    </row>
    <row r="719" spans="1:60">
      <c r="A719" s="1464"/>
      <c r="B719" s="1464"/>
      <c r="C719" s="1464"/>
      <c r="D719" s="1281" t="s">
        <v>277</v>
      </c>
      <c r="E719" s="1270" t="str">
        <f>E689</f>
        <v>2010$</v>
      </c>
      <c r="F719" s="1270"/>
      <c r="G719" s="1277">
        <f ca="1">G718</f>
        <v>-62947.94664712713</v>
      </c>
      <c r="H719" s="1277">
        <f ca="1">G719+H718</f>
        <v>23171232.433777805</v>
      </c>
      <c r="I719" s="1277">
        <f t="shared" ref="I719:AT719" ca="1" si="520">H719+I718</f>
        <v>47879198.879752681</v>
      </c>
      <c r="J719" s="1277">
        <f t="shared" ca="1" si="520"/>
        <v>75127013.321702302</v>
      </c>
      <c r="K719" s="1277">
        <f t="shared" ca="1" si="520"/>
        <v>100797318.59113167</v>
      </c>
      <c r="L719" s="1277">
        <f t="shared" ca="1" si="520"/>
        <v>131311071.15533237</v>
      </c>
      <c r="M719" s="1277">
        <f t="shared" ca="1" si="520"/>
        <v>163916834.50893989</v>
      </c>
      <c r="N719" s="1277">
        <f t="shared" ca="1" si="520"/>
        <v>197502192.49441057</v>
      </c>
      <c r="O719" s="1277">
        <f t="shared" ca="1" si="520"/>
        <v>231992988.37899598</v>
      </c>
      <c r="P719" s="1277">
        <f t="shared" ca="1" si="520"/>
        <v>267503963.76832145</v>
      </c>
      <c r="Q719" s="1277">
        <f t="shared" ca="1" si="520"/>
        <v>304062313.893475</v>
      </c>
      <c r="R719" s="1277">
        <f t="shared" ca="1" si="520"/>
        <v>341717473.58304423</v>
      </c>
      <c r="S719" s="1277">
        <f t="shared" ca="1" si="520"/>
        <v>380504617.92444706</v>
      </c>
      <c r="T719" s="1277">
        <f t="shared" ca="1" si="520"/>
        <v>420408569.77163225</v>
      </c>
      <c r="U719" s="1277">
        <f t="shared" ca="1" si="520"/>
        <v>461294810.13343239</v>
      </c>
      <c r="V719" s="1277">
        <f t="shared" ca="1" si="520"/>
        <v>503272029.0318898</v>
      </c>
      <c r="W719" s="1277">
        <f t="shared" ca="1" si="520"/>
        <v>546400205.29372585</v>
      </c>
      <c r="X719" s="1277">
        <f t="shared" ca="1" si="520"/>
        <v>590714554.88883281</v>
      </c>
      <c r="Y719" s="1277">
        <f t="shared" ca="1" si="520"/>
        <v>636250765.01492119</v>
      </c>
      <c r="Z719" s="1277">
        <f t="shared" ca="1" si="520"/>
        <v>683044935.23599756</v>
      </c>
      <c r="AA719" s="1277">
        <f t="shared" ca="1" si="520"/>
        <v>731133518.95111513</v>
      </c>
      <c r="AB719" s="1277">
        <f t="shared" ca="1" si="520"/>
        <v>780582252.04455006</v>
      </c>
      <c r="AC719" s="1277">
        <f t="shared" ca="1" si="520"/>
        <v>831580585.90472102</v>
      </c>
      <c r="AD719" s="1277">
        <f t="shared" ca="1" si="520"/>
        <v>883958162.53190494</v>
      </c>
      <c r="AE719" s="1277">
        <f t="shared" ca="1" si="520"/>
        <v>937980973.78772795</v>
      </c>
      <c r="AF719" s="1277">
        <f t="shared" ca="1" si="520"/>
        <v>993193927.78120816</v>
      </c>
      <c r="AG719" s="1277">
        <f t="shared" ca="1" si="520"/>
        <v>1049691054.2958449</v>
      </c>
      <c r="AH719" s="1277">
        <f t="shared" ca="1" si="520"/>
        <v>1108152980.1380279</v>
      </c>
      <c r="AI719" s="1277">
        <f t="shared" ca="1" si="520"/>
        <v>1168024379.3612499</v>
      </c>
      <c r="AJ719" s="1277">
        <f t="shared" ca="1" si="520"/>
        <v>1229233394.6328845</v>
      </c>
      <c r="AK719" s="1277">
        <f t="shared" ca="1" si="520"/>
        <v>1291827733.4289327</v>
      </c>
      <c r="AL719" s="1277">
        <f t="shared" ca="1" si="520"/>
        <v>1355811510.6220229</v>
      </c>
      <c r="AM719" s="1277">
        <f t="shared" ca="1" si="520"/>
        <v>1421184168.4003184</v>
      </c>
      <c r="AN719" s="1277">
        <f t="shared" ca="1" si="520"/>
        <v>1488035946.2577147</v>
      </c>
      <c r="AO719" s="1277">
        <f t="shared" ca="1" si="520"/>
        <v>1556474730.8884103</v>
      </c>
      <c r="AP719" s="1277">
        <f t="shared" ca="1" si="520"/>
        <v>1626633252.0813696</v>
      </c>
      <c r="AQ719" s="1277">
        <f t="shared" ca="1" si="520"/>
        <v>1698597698.3059335</v>
      </c>
      <c r="AR719" s="1277">
        <f t="shared" ca="1" si="520"/>
        <v>1772464117.9808006</v>
      </c>
      <c r="AS719" s="1277">
        <f t="shared" ca="1" si="520"/>
        <v>1848339469.306145</v>
      </c>
      <c r="AT719" s="1277">
        <f t="shared" ca="1" si="520"/>
        <v>1926342649.6048727</v>
      </c>
      <c r="AV719" s="1277">
        <f ca="1">P719</f>
        <v>267503963.76832145</v>
      </c>
      <c r="AX719" s="1277">
        <f ca="1">U719</f>
        <v>461294810.13343239</v>
      </c>
      <c r="AZ719" s="1277">
        <f ca="1">Z719</f>
        <v>683044935.23599756</v>
      </c>
      <c r="BB719" s="1277">
        <f ca="1">AE719</f>
        <v>937980973.78772795</v>
      </c>
      <c r="BD719" s="1277">
        <f ca="1">AJ719</f>
        <v>1229233394.6328845</v>
      </c>
      <c r="BF719" s="1277">
        <f ca="1">AO719</f>
        <v>1556474730.8884103</v>
      </c>
      <c r="BH719" s="1277">
        <f ca="1">AT719</f>
        <v>1926342649.6048727</v>
      </c>
    </row>
    <row r="721" spans="1:60">
      <c r="A721" s="1301"/>
      <c r="B721" s="1301"/>
      <c r="C721" s="1301"/>
      <c r="E721" s="1301"/>
      <c r="F721" s="1301"/>
    </row>
    <row r="722" spans="1:60">
      <c r="A722" s="1301"/>
      <c r="B722" s="1301"/>
      <c r="C722" s="1301"/>
      <c r="E722" s="1301"/>
      <c r="F722" s="1301"/>
    </row>
    <row r="723" spans="1:60">
      <c r="A723" s="1301"/>
      <c r="B723" s="1301"/>
      <c r="C723" s="1301"/>
      <c r="E723" s="1301"/>
      <c r="F723" s="1301"/>
    </row>
    <row r="724" spans="1:60">
      <c r="A724" s="1301"/>
      <c r="B724" s="1301"/>
      <c r="C724" s="1301"/>
      <c r="E724" s="1301"/>
      <c r="F724" s="1301"/>
    </row>
    <row r="725" spans="1:60">
      <c r="A725" s="1746" t="s">
        <v>1505</v>
      </c>
      <c r="B725" s="1746"/>
      <c r="C725" s="1301"/>
      <c r="D725" s="16" t="s">
        <v>2935</v>
      </c>
      <c r="E725" s="1270" t="s">
        <v>838</v>
      </c>
      <c r="F725" s="1458" t="s">
        <v>2930</v>
      </c>
      <c r="G725" s="1270">
        <v>2011</v>
      </c>
      <c r="H725" s="1270">
        <f t="shared" ref="H725:AT725" si="521">G725+1</f>
        <v>2012</v>
      </c>
      <c r="I725" s="1270">
        <f t="shared" si="521"/>
        <v>2013</v>
      </c>
      <c r="J725" s="1270">
        <f t="shared" si="521"/>
        <v>2014</v>
      </c>
      <c r="K725" s="1270">
        <f t="shared" si="521"/>
        <v>2015</v>
      </c>
      <c r="L725" s="1270">
        <f t="shared" si="521"/>
        <v>2016</v>
      </c>
      <c r="M725" s="1270">
        <f t="shared" si="521"/>
        <v>2017</v>
      </c>
      <c r="N725" s="1270">
        <f t="shared" si="521"/>
        <v>2018</v>
      </c>
      <c r="O725" s="1270">
        <f t="shared" si="521"/>
        <v>2019</v>
      </c>
      <c r="P725" s="1270">
        <f t="shared" si="521"/>
        <v>2020</v>
      </c>
      <c r="Q725" s="1270">
        <f t="shared" si="521"/>
        <v>2021</v>
      </c>
      <c r="R725" s="1270">
        <f t="shared" si="521"/>
        <v>2022</v>
      </c>
      <c r="S725" s="1270">
        <f t="shared" si="521"/>
        <v>2023</v>
      </c>
      <c r="T725" s="1270">
        <f t="shared" si="521"/>
        <v>2024</v>
      </c>
      <c r="U725" s="1270">
        <f t="shared" si="521"/>
        <v>2025</v>
      </c>
      <c r="V725" s="1270">
        <f t="shared" si="521"/>
        <v>2026</v>
      </c>
      <c r="W725" s="1270">
        <f t="shared" si="521"/>
        <v>2027</v>
      </c>
      <c r="X725" s="1270">
        <f t="shared" si="521"/>
        <v>2028</v>
      </c>
      <c r="Y725" s="1270">
        <f t="shared" si="521"/>
        <v>2029</v>
      </c>
      <c r="Z725" s="1270">
        <f t="shared" si="521"/>
        <v>2030</v>
      </c>
      <c r="AA725" s="1270">
        <f t="shared" si="521"/>
        <v>2031</v>
      </c>
      <c r="AB725" s="1270">
        <f t="shared" si="521"/>
        <v>2032</v>
      </c>
      <c r="AC725" s="1270">
        <f t="shared" si="521"/>
        <v>2033</v>
      </c>
      <c r="AD725" s="1270">
        <f t="shared" si="521"/>
        <v>2034</v>
      </c>
      <c r="AE725" s="1270">
        <f t="shared" si="521"/>
        <v>2035</v>
      </c>
      <c r="AF725" s="1270">
        <f t="shared" si="521"/>
        <v>2036</v>
      </c>
      <c r="AG725" s="1270">
        <f t="shared" si="521"/>
        <v>2037</v>
      </c>
      <c r="AH725" s="1270">
        <f t="shared" si="521"/>
        <v>2038</v>
      </c>
      <c r="AI725" s="1270">
        <f t="shared" si="521"/>
        <v>2039</v>
      </c>
      <c r="AJ725" s="1270">
        <f t="shared" si="521"/>
        <v>2040</v>
      </c>
      <c r="AK725" s="1270">
        <f t="shared" si="521"/>
        <v>2041</v>
      </c>
      <c r="AL725" s="1270">
        <f t="shared" si="521"/>
        <v>2042</v>
      </c>
      <c r="AM725" s="1270">
        <f t="shared" si="521"/>
        <v>2043</v>
      </c>
      <c r="AN725" s="1270">
        <f t="shared" si="521"/>
        <v>2044</v>
      </c>
      <c r="AO725" s="1270">
        <f t="shared" si="521"/>
        <v>2045</v>
      </c>
      <c r="AP725" s="1270">
        <f t="shared" si="521"/>
        <v>2046</v>
      </c>
      <c r="AQ725" s="1270">
        <f t="shared" si="521"/>
        <v>2047</v>
      </c>
      <c r="AR725" s="1270">
        <f t="shared" si="521"/>
        <v>2048</v>
      </c>
      <c r="AS725" s="1270">
        <f t="shared" si="521"/>
        <v>2049</v>
      </c>
      <c r="AT725" s="1270">
        <f t="shared" si="521"/>
        <v>2050</v>
      </c>
      <c r="AV725" s="1270" t="s">
        <v>1511</v>
      </c>
      <c r="AX725" s="1270" t="s">
        <v>1512</v>
      </c>
      <c r="AZ725" s="1270" t="s">
        <v>1513</v>
      </c>
      <c r="BB725" s="1270" t="s">
        <v>1514</v>
      </c>
      <c r="BD725" s="1270" t="s">
        <v>1515</v>
      </c>
      <c r="BF725" s="1270" t="s">
        <v>1516</v>
      </c>
      <c r="BH725" s="1270" t="s">
        <v>1517</v>
      </c>
    </row>
    <row r="726" spans="1:60" hidden="1" outlineLevel="1">
      <c r="A726" s="1466">
        <v>18</v>
      </c>
      <c r="B726" s="1466">
        <v>36</v>
      </c>
      <c r="C726" s="1466">
        <v>1</v>
      </c>
      <c r="D726" s="1465" t="str">
        <f ca="1">IF(OFFSET(PortfolioDashboard!$A$3,C726-1,0)="","Blank",OFFSET(PortfolioDashboard!$A$3,C726-1,0))</f>
        <v>Behavior Change</v>
      </c>
      <c r="E726" s="1466" t="s">
        <v>1197</v>
      </c>
      <c r="F726" s="1460">
        <f t="shared" ref="F726:F789" ca="1" si="522">NPV(DiscountRate,G726:AT726)</f>
        <v>5460742.8145088917</v>
      </c>
      <c r="G726" s="1467">
        <f t="shared" ref="G726:AT726" ca="1" si="523">G129+G191+G253+G346+G502</f>
        <v>0</v>
      </c>
      <c r="H726" s="1467">
        <f t="shared" ca="1" si="523"/>
        <v>0</v>
      </c>
      <c r="I726" s="1467">
        <f t="shared" ca="1" si="523"/>
        <v>53551.203958685095</v>
      </c>
      <c r="J726" s="1467">
        <f t="shared" ca="1" si="523"/>
        <v>106568.76063263653</v>
      </c>
      <c r="K726" s="1467">
        <f t="shared" ca="1" si="523"/>
        <v>158816.49713506427</v>
      </c>
      <c r="L726" s="1467">
        <f t="shared" ca="1" si="523"/>
        <v>211097.00682058392</v>
      </c>
      <c r="M726" s="1467">
        <f t="shared" ca="1" si="523"/>
        <v>262678.66776701325</v>
      </c>
      <c r="N726" s="1467">
        <f t="shared" ca="1" si="523"/>
        <v>313757.26014464517</v>
      </c>
      <c r="O726" s="1467">
        <f t="shared" ca="1" si="523"/>
        <v>353910.49623076181</v>
      </c>
      <c r="P726" s="1467">
        <f t="shared" ca="1" si="523"/>
        <v>393634.90475888533</v>
      </c>
      <c r="Q726" s="1467">
        <f t="shared" ca="1" si="523"/>
        <v>432919.79512423207</v>
      </c>
      <c r="R726" s="1467">
        <f t="shared" ca="1" si="523"/>
        <v>471754.40128885041</v>
      </c>
      <c r="S726" s="1467">
        <f t="shared" ca="1" si="523"/>
        <v>510127.87908462167</v>
      </c>
      <c r="T726" s="1467">
        <f t="shared" ca="1" si="523"/>
        <v>507434.54038558574</v>
      </c>
      <c r="U726" s="1467">
        <f t="shared" ca="1" si="523"/>
        <v>508222.41153454722</v>
      </c>
      <c r="V726" s="1467">
        <f t="shared" ca="1" si="523"/>
        <v>509000.35785039974</v>
      </c>
      <c r="W726" s="1467">
        <f t="shared" ca="1" si="523"/>
        <v>509768.38845003967</v>
      </c>
      <c r="X726" s="1467">
        <f t="shared" ca="1" si="523"/>
        <v>510526.50810804113</v>
      </c>
      <c r="Y726" s="1467">
        <f t="shared" ca="1" si="523"/>
        <v>511274.71743133484</v>
      </c>
      <c r="Z726" s="1467">
        <f t="shared" ca="1" si="523"/>
        <v>512013.0130234505</v>
      </c>
      <c r="AA726" s="1467">
        <f t="shared" ca="1" si="523"/>
        <v>512741.38763903326</v>
      </c>
      <c r="AB726" s="1467">
        <f t="shared" ca="1" si="523"/>
        <v>513459.83032926579</v>
      </c>
      <c r="AC726" s="1467">
        <f t="shared" ca="1" si="523"/>
        <v>514168.32657880191</v>
      </c>
      <c r="AD726" s="1467">
        <f t="shared" ca="1" si="523"/>
        <v>514866.85843475343</v>
      </c>
      <c r="AE726" s="1467">
        <f t="shared" ca="1" si="523"/>
        <v>516831.57492687076</v>
      </c>
      <c r="AF726" s="1467">
        <f t="shared" ca="1" si="523"/>
        <v>518799.04298926884</v>
      </c>
      <c r="AG726" s="1467">
        <f t="shared" ca="1" si="523"/>
        <v>520769.33077116887</v>
      </c>
      <c r="AH726" s="1467">
        <f t="shared" ca="1" si="523"/>
        <v>522742.50406854681</v>
      </c>
      <c r="AI726" s="1467">
        <f t="shared" ca="1" si="523"/>
        <v>524718.62642436032</v>
      </c>
      <c r="AJ726" s="1467">
        <f t="shared" ca="1" si="523"/>
        <v>526697.759223414</v>
      </c>
      <c r="AK726" s="1467">
        <f t="shared" ca="1" si="523"/>
        <v>528679.96178219956</v>
      </c>
      <c r="AL726" s="1467">
        <f t="shared" ca="1" si="523"/>
        <v>530665.29143400711</v>
      </c>
      <c r="AM726" s="1467">
        <f t="shared" ca="1" si="523"/>
        <v>532653.80360959505</v>
      </c>
      <c r="AN726" s="1467">
        <f t="shared" ca="1" si="523"/>
        <v>534645.55191368342</v>
      </c>
      <c r="AO726" s="1467">
        <f t="shared" ca="1" si="523"/>
        <v>536640.58819751546</v>
      </c>
      <c r="AP726" s="1467">
        <f t="shared" ca="1" si="523"/>
        <v>538638.96262771834</v>
      </c>
      <c r="AQ726" s="1467">
        <f t="shared" ca="1" si="523"/>
        <v>540640.72375167708</v>
      </c>
      <c r="AR726" s="1467">
        <f t="shared" ca="1" si="523"/>
        <v>542645.91855962179</v>
      </c>
      <c r="AS726" s="1467">
        <f t="shared" ca="1" si="523"/>
        <v>544654.59254361899</v>
      </c>
      <c r="AT726" s="1467">
        <f t="shared" ca="1" si="523"/>
        <v>546666.78975363541</v>
      </c>
      <c r="AU726" s="1467"/>
      <c r="AV726" s="1467">
        <f t="shared" ref="AV726:AV818" ca="1" si="524">SUM(L726:P726)</f>
        <v>1535078.3357218893</v>
      </c>
      <c r="AW726" s="1468"/>
      <c r="AX726" s="1467">
        <f t="shared" ref="AX726:AX818" ca="1" si="525">SUM(Q726:U726)</f>
        <v>2430459.0274178372</v>
      </c>
      <c r="AY726" s="1468"/>
      <c r="AZ726" s="1467">
        <f t="shared" ref="AZ726:AZ818" ca="1" si="526">SUM(V726:Z726)</f>
        <v>2552582.9848632659</v>
      </c>
      <c r="BA726" s="1468"/>
      <c r="BB726" s="1467">
        <f t="shared" ref="BB726:BB818" ca="1" si="527">SUM(AA726:AE726)</f>
        <v>2572067.9779087254</v>
      </c>
      <c r="BC726" s="1468"/>
      <c r="BD726" s="1467">
        <f t="shared" ref="BD726:BD818" ca="1" si="528">SUM(AF726:AJ726)</f>
        <v>2613727.2634767587</v>
      </c>
      <c r="BE726" s="1468"/>
      <c r="BF726" s="1467">
        <f t="shared" ref="BF726:BF818" ca="1" si="529">SUM(AK726:AO726)</f>
        <v>2663285.1969370004</v>
      </c>
      <c r="BG726" s="1468"/>
      <c r="BH726" s="1467">
        <f t="shared" ref="BH726:BH818" ca="1" si="530">SUM(AP726:AT726)</f>
        <v>2713246.9872362716</v>
      </c>
    </row>
    <row r="727" spans="1:60" hidden="1" outlineLevel="1">
      <c r="A727" s="1466">
        <f>A726</f>
        <v>18</v>
      </c>
      <c r="B727" s="1466">
        <f>B726</f>
        <v>36</v>
      </c>
      <c r="C727" s="1466">
        <f>C726+1</f>
        <v>2</v>
      </c>
      <c r="D727" s="1465" t="str">
        <f ca="1">IF(OFFSET(PortfolioDashboard!$A$3,C727-1,0)="","Blank",OFFSET(PortfolioDashboard!$A$3,C727-1,0))</f>
        <v>Building Design &amp; Construction Standards</v>
      </c>
      <c r="E727" s="1466" t="str">
        <f>E726</f>
        <v>2010$</v>
      </c>
      <c r="F727" s="1460">
        <f t="shared" ca="1" si="522"/>
        <v>19180497.972776499</v>
      </c>
      <c r="G727" s="1467">
        <f t="shared" ref="G727:AT727" ca="1" si="531">G130+G192+G254+G347+G503</f>
        <v>0</v>
      </c>
      <c r="H727" s="1467">
        <f t="shared" ca="1" si="531"/>
        <v>91394.641811032852</v>
      </c>
      <c r="I727" s="1467">
        <f t="shared" ca="1" si="531"/>
        <v>410164.85540353489</v>
      </c>
      <c r="J727" s="1467">
        <f t="shared" ca="1" si="531"/>
        <v>535078.75283020758</v>
      </c>
      <c r="K727" s="1467">
        <f t="shared" ca="1" si="531"/>
        <v>586445.35079787998</v>
      </c>
      <c r="L727" s="1467">
        <f t="shared" ca="1" si="531"/>
        <v>841889.95924922836</v>
      </c>
      <c r="M727" s="1467">
        <f t="shared" ca="1" si="531"/>
        <v>896391.00165602495</v>
      </c>
      <c r="N727" s="1467">
        <f t="shared" ca="1" si="531"/>
        <v>951515.66256823449</v>
      </c>
      <c r="O727" s="1467">
        <f t="shared" ca="1" si="531"/>
        <v>1007264.2710987905</v>
      </c>
      <c r="P727" s="1467">
        <f t="shared" ca="1" si="531"/>
        <v>1063637.3323598297</v>
      </c>
      <c r="Q727" s="1467">
        <f t="shared" ca="1" si="531"/>
        <v>1120635.5196551729</v>
      </c>
      <c r="R727" s="1467">
        <f t="shared" ca="1" si="531"/>
        <v>1178259.6671747195</v>
      </c>
      <c r="S727" s="1467">
        <f t="shared" ca="1" si="531"/>
        <v>1236510.7631543872</v>
      </c>
      <c r="T727" s="1467">
        <f t="shared" ca="1" si="531"/>
        <v>1295389.9434682229</v>
      </c>
      <c r="U727" s="1467">
        <f t="shared" ca="1" si="531"/>
        <v>1354898.485621993</v>
      </c>
      <c r="V727" s="1467">
        <f t="shared" ca="1" si="531"/>
        <v>1415037.8031201465</v>
      </c>
      <c r="W727" s="1467">
        <f t="shared" ca="1" si="531"/>
        <v>1475809.4401800768</v>
      </c>
      <c r="X727" s="1467">
        <f t="shared" ca="1" si="531"/>
        <v>1537215.0667698823</v>
      </c>
      <c r="Y727" s="1467">
        <f t="shared" ca="1" si="531"/>
        <v>1599256.4739475581</v>
      </c>
      <c r="Z727" s="1467">
        <f t="shared" ca="1" si="531"/>
        <v>1661935.5694812641</v>
      </c>
      <c r="AA727" s="1467">
        <f t="shared" ca="1" si="531"/>
        <v>1725254.3737319363</v>
      </c>
      <c r="AB727" s="1467">
        <f t="shared" ca="1" si="531"/>
        <v>1789215.0157808908</v>
      </c>
      <c r="AC727" s="1467">
        <f t="shared" ca="1" si="531"/>
        <v>1853819.729786362</v>
      </c>
      <c r="AD727" s="1467">
        <f t="shared" ca="1" si="531"/>
        <v>1919070.8515541244</v>
      </c>
      <c r="AE727" s="1467">
        <f t="shared" ca="1" si="531"/>
        <v>1984970.815308467</v>
      </c>
      <c r="AF727" s="1467">
        <f t="shared" ca="1" si="531"/>
        <v>2051522.1506507846</v>
      </c>
      <c r="AG727" s="1467">
        <f t="shared" ca="1" si="531"/>
        <v>2118727.4796939325</v>
      </c>
      <c r="AH727" s="1467">
        <f t="shared" ca="1" si="531"/>
        <v>2186589.5143613582</v>
      </c>
      <c r="AI727" s="1467">
        <f t="shared" ca="1" si="531"/>
        <v>2255111.0538409273</v>
      </c>
      <c r="AJ727" s="1467">
        <f t="shared" ca="1" si="531"/>
        <v>2324294.9821838313</v>
      </c>
      <c r="AK727" s="1467">
        <f t="shared" ca="1" si="531"/>
        <v>2394144.2660398483</v>
      </c>
      <c r="AL727" s="1467">
        <f t="shared" ca="1" si="531"/>
        <v>2464661.9525207486</v>
      </c>
      <c r="AM727" s="1467">
        <f t="shared" ca="1" si="531"/>
        <v>2535851.1671842001</v>
      </c>
      <c r="AN727" s="1467">
        <f t="shared" ca="1" si="531"/>
        <v>2607715.1121310932</v>
      </c>
      <c r="AO727" s="1467">
        <f t="shared" ca="1" si="531"/>
        <v>2680257.0642095702</v>
      </c>
      <c r="AP727" s="1467">
        <f t="shared" ca="1" si="531"/>
        <v>2753480.3733196943</v>
      </c>
      <c r="AQ727" s="1467">
        <f t="shared" ca="1" si="531"/>
        <v>2827388.460812862</v>
      </c>
      <c r="AR727" s="1467">
        <f t="shared" ca="1" si="531"/>
        <v>2901984.8179806438</v>
      </c>
      <c r="AS727" s="1467">
        <f t="shared" ca="1" si="531"/>
        <v>2977273.0046279836</v>
      </c>
      <c r="AT727" s="1467">
        <f t="shared" ca="1" si="531"/>
        <v>3053256.6477260254</v>
      </c>
      <c r="AU727" s="1467"/>
      <c r="AV727" s="1467">
        <f t="shared" ca="1" si="524"/>
        <v>4760698.2269321084</v>
      </c>
      <c r="AW727" s="1468"/>
      <c r="AX727" s="1467">
        <f t="shared" ca="1" si="525"/>
        <v>6185694.3790744953</v>
      </c>
      <c r="AY727" s="1468"/>
      <c r="AZ727" s="1467">
        <f t="shared" ca="1" si="526"/>
        <v>7689254.3534989273</v>
      </c>
      <c r="BA727" s="1468"/>
      <c r="BB727" s="1467">
        <f t="shared" ca="1" si="527"/>
        <v>9272330.7861617804</v>
      </c>
      <c r="BC727" s="1468"/>
      <c r="BD727" s="1467">
        <f t="shared" ca="1" si="528"/>
        <v>10936245.180730833</v>
      </c>
      <c r="BE727" s="1468"/>
      <c r="BF727" s="1467">
        <f t="shared" ca="1" si="529"/>
        <v>12682629.562085461</v>
      </c>
      <c r="BG727" s="1468"/>
      <c r="BH727" s="1467">
        <f t="shared" ca="1" si="530"/>
        <v>14513383.304467209</v>
      </c>
    </row>
    <row r="728" spans="1:60" hidden="1" outlineLevel="1">
      <c r="A728" s="1466">
        <f t="shared" ref="A728:B743" si="532">A727</f>
        <v>18</v>
      </c>
      <c r="B728" s="1466">
        <f t="shared" si="532"/>
        <v>36</v>
      </c>
      <c r="C728" s="1466">
        <f t="shared" ref="C728:C755" si="533">C727+1</f>
        <v>3</v>
      </c>
      <c r="D728" s="1465" t="str">
        <f ca="1">IF(OFFSET(PortfolioDashboard!$A$3,C728-1,0)="","Blank",OFFSET(PortfolioDashboard!$A$3,C728-1,0))</f>
        <v>Space Planning &amp; Management</v>
      </c>
      <c r="E728" s="1466" t="str">
        <f t="shared" ref="E728:E755" si="534">E727</f>
        <v>2010$</v>
      </c>
      <c r="F728" s="1460">
        <f t="shared" ca="1" si="522"/>
        <v>100412169.83918199</v>
      </c>
      <c r="G728" s="1467">
        <f t="shared" ref="G728:AT728" ca="1" si="535">G131+G193+G255+G348+G504</f>
        <v>237052.05335287287</v>
      </c>
      <c r="H728" s="1467">
        <f t="shared" ca="1" si="535"/>
        <v>885459.04741449398</v>
      </c>
      <c r="I728" s="1467">
        <f t="shared" ca="1" si="535"/>
        <v>1331199.9478647406</v>
      </c>
      <c r="J728" s="1467">
        <f t="shared" ca="1" si="535"/>
        <v>1778968.5086552657</v>
      </c>
      <c r="K728" s="1467">
        <f t="shared" ca="1" si="535"/>
        <v>2228779.9121438265</v>
      </c>
      <c r="L728" s="1467">
        <f t="shared" ca="1" si="535"/>
        <v>2680649.4418202331</v>
      </c>
      <c r="M728" s="1467">
        <f t="shared" ca="1" si="535"/>
        <v>3134592.4829381239</v>
      </c>
      <c r="N728" s="1467">
        <f t="shared" ca="1" si="535"/>
        <v>3590624.5231505395</v>
      </c>
      <c r="O728" s="1467">
        <f t="shared" ca="1" si="535"/>
        <v>4048761.1531492383</v>
      </c>
      <c r="P728" s="1467">
        <f t="shared" ca="1" si="535"/>
        <v>4509018.0673079453</v>
      </c>
      <c r="Q728" s="1467">
        <f t="shared" ca="1" si="535"/>
        <v>4971411.0643293522</v>
      </c>
      <c r="R728" s="1467">
        <f t="shared" ca="1" si="535"/>
        <v>5435956.0478960983</v>
      </c>
      <c r="S728" s="1467">
        <f t="shared" ca="1" si="535"/>
        <v>5902669.0273255594</v>
      </c>
      <c r="T728" s="1467">
        <f t="shared" ca="1" si="535"/>
        <v>6371566.1182286236</v>
      </c>
      <c r="U728" s="1467">
        <f t="shared" ca="1" si="535"/>
        <v>6842663.543172407</v>
      </c>
      <c r="V728" s="1467">
        <f t="shared" ca="1" si="535"/>
        <v>7315977.6323468909</v>
      </c>
      <c r="W728" s="1467">
        <f t="shared" ca="1" si="535"/>
        <v>7791524.8242356069</v>
      </c>
      <c r="X728" s="1467">
        <f t="shared" ca="1" si="535"/>
        <v>8269321.6662903382</v>
      </c>
      <c r="Y728" s="1467">
        <f t="shared" ca="1" si="535"/>
        <v>8749384.8156097867</v>
      </c>
      <c r="Z728" s="1467">
        <f t="shared" ca="1" si="535"/>
        <v>9231731.0396224149</v>
      </c>
      <c r="AA728" s="1467">
        <f t="shared" ca="1" si="535"/>
        <v>9716377.2167732641</v>
      </c>
      <c r="AB728" s="1467">
        <f t="shared" ca="1" si="535"/>
        <v>10203340.337214984</v>
      </c>
      <c r="AC728" s="1467">
        <f t="shared" ca="1" si="535"/>
        <v>10692637.503502902</v>
      </c>
      <c r="AD728" s="1467">
        <f t="shared" ca="1" si="535"/>
        <v>11184285.931294315</v>
      </c>
      <c r="AE728" s="1467">
        <f t="shared" ca="1" si="535"/>
        <v>11678302.950051971</v>
      </c>
      <c r="AF728" s="1467">
        <f t="shared" ca="1" si="535"/>
        <v>12174706.003751684</v>
      </c>
      <c r="AG728" s="1467">
        <f t="shared" ca="1" si="535"/>
        <v>12673512.651594253</v>
      </c>
      <c r="AH728" s="1467">
        <f t="shared" ca="1" si="535"/>
        <v>13174740.568721628</v>
      </c>
      <c r="AI728" s="1467">
        <f t="shared" ca="1" si="535"/>
        <v>13678407.546937317</v>
      </c>
      <c r="AJ728" s="1467">
        <f t="shared" ca="1" si="535"/>
        <v>14184531.495431127</v>
      </c>
      <c r="AK728" s="1467">
        <f t="shared" ca="1" si="535"/>
        <v>14693130.44150823</v>
      </c>
      <c r="AL728" s="1467">
        <f t="shared" ca="1" si="535"/>
        <v>15204222.531322611</v>
      </c>
      <c r="AM728" s="1467">
        <f t="shared" ca="1" si="535"/>
        <v>15717826.030614842</v>
      </c>
      <c r="AN728" s="1467">
        <f t="shared" ca="1" si="535"/>
        <v>16233959.325454306</v>
      </c>
      <c r="AO728" s="1467">
        <f t="shared" ca="1" si="535"/>
        <v>16752640.922985857</v>
      </c>
      <c r="AP728" s="1467">
        <f t="shared" ca="1" si="535"/>
        <v>17273889.452180896</v>
      </c>
      <c r="AQ728" s="1467">
        <f t="shared" ca="1" si="535"/>
        <v>17797723.664592959</v>
      </c>
      <c r="AR728" s="1467">
        <f t="shared" ca="1" si="535"/>
        <v>18324162.435117859</v>
      </c>
      <c r="AS728" s="1467">
        <f t="shared" ca="1" si="535"/>
        <v>18853224.76275827</v>
      </c>
      <c r="AT728" s="1467">
        <f t="shared" ca="1" si="535"/>
        <v>19384929.771392927</v>
      </c>
      <c r="AU728" s="1467"/>
      <c r="AV728" s="1467">
        <f t="shared" ca="1" si="524"/>
        <v>17963645.668366082</v>
      </c>
      <c r="AW728" s="1468"/>
      <c r="AX728" s="1467">
        <f t="shared" ca="1" si="525"/>
        <v>29524265.800952043</v>
      </c>
      <c r="AY728" s="1468"/>
      <c r="AZ728" s="1467">
        <f t="shared" ca="1" si="526"/>
        <v>41357939.978105038</v>
      </c>
      <c r="BA728" s="1468"/>
      <c r="BB728" s="1467">
        <f t="shared" ca="1" si="527"/>
        <v>53474943.938837431</v>
      </c>
      <c r="BC728" s="1468"/>
      <c r="BD728" s="1467">
        <f t="shared" ca="1" si="528"/>
        <v>65885898.266436011</v>
      </c>
      <c r="BE728" s="1468"/>
      <c r="BF728" s="1467">
        <f t="shared" ca="1" si="529"/>
        <v>78601779.251885846</v>
      </c>
      <c r="BG728" s="1468"/>
      <c r="BH728" s="1467">
        <f t="shared" ca="1" si="530"/>
        <v>91633930.086042911</v>
      </c>
    </row>
    <row r="729" spans="1:60" hidden="1" outlineLevel="1">
      <c r="A729" s="1466">
        <f t="shared" si="532"/>
        <v>18</v>
      </c>
      <c r="B729" s="1466">
        <f t="shared" si="532"/>
        <v>36</v>
      </c>
      <c r="C729" s="1466">
        <f t="shared" si="533"/>
        <v>4</v>
      </c>
      <c r="D729" s="1465" t="str">
        <f ca="1">IF(OFFSET(PortfolioDashboard!$A$3,C729-1,0)="","Blank",OFFSET(PortfolioDashboard!$A$3,C729-1,0))</f>
        <v>Central Chiller Expansion</v>
      </c>
      <c r="E729" s="1466" t="str">
        <f t="shared" si="534"/>
        <v>2010$</v>
      </c>
      <c r="F729" s="1460">
        <f t="shared" ca="1" si="522"/>
        <v>21754307.609112911</v>
      </c>
      <c r="G729" s="1467">
        <f t="shared" ref="G729:AT729" ca="1" si="536">G132+G194+G256+G349+G505</f>
        <v>0</v>
      </c>
      <c r="H729" s="1467">
        <f t="shared" ca="1" si="536"/>
        <v>0</v>
      </c>
      <c r="I729" s="1467">
        <f t="shared" ca="1" si="536"/>
        <v>661258.47897899977</v>
      </c>
      <c r="J729" s="1467">
        <f t="shared" ca="1" si="536"/>
        <v>683024.50126559229</v>
      </c>
      <c r="K729" s="1467">
        <f t="shared" ca="1" si="536"/>
        <v>1234772.1296956481</v>
      </c>
      <c r="L729" s="1467">
        <f t="shared" ca="1" si="536"/>
        <v>1259590.779027988</v>
      </c>
      <c r="M729" s="1467">
        <f t="shared" ca="1" si="536"/>
        <v>1471491.8891440243</v>
      </c>
      <c r="N729" s="1467">
        <f t="shared" ca="1" si="536"/>
        <v>1497681.0512801618</v>
      </c>
      <c r="O729" s="1467">
        <f t="shared" ca="1" si="536"/>
        <v>1524095.317740432</v>
      </c>
      <c r="P729" s="1467">
        <f t="shared" ca="1" si="536"/>
        <v>1550736.2848390231</v>
      </c>
      <c r="Q729" s="1467">
        <f t="shared" ca="1" si="536"/>
        <v>1577605.5592256561</v>
      </c>
      <c r="R729" s="1467">
        <f t="shared" ca="1" si="536"/>
        <v>1604704.7579490347</v>
      </c>
      <c r="S729" s="1467">
        <f t="shared" ca="1" si="536"/>
        <v>1632035.508520666</v>
      </c>
      <c r="T729" s="1467">
        <f t="shared" ca="1" si="536"/>
        <v>1659599.4489790655</v>
      </c>
      <c r="U729" s="1467">
        <f t="shared" ca="1" si="536"/>
        <v>1687398.2279543357</v>
      </c>
      <c r="V729" s="1467">
        <f t="shared" ca="1" si="536"/>
        <v>1715433.5047331341</v>
      </c>
      <c r="W729" s="1467">
        <f t="shared" ca="1" si="536"/>
        <v>1743706.9493240218</v>
      </c>
      <c r="X729" s="1467">
        <f t="shared" ca="1" si="536"/>
        <v>1772220.2425232001</v>
      </c>
      <c r="Y729" s="1467">
        <f t="shared" ca="1" si="536"/>
        <v>1800975.0759806368</v>
      </c>
      <c r="Z729" s="1467">
        <f t="shared" ca="1" si="536"/>
        <v>1829973.1522665848</v>
      </c>
      <c r="AA729" s="1467">
        <f t="shared" ca="1" si="536"/>
        <v>1859216.1849384932</v>
      </c>
      <c r="AB729" s="1467">
        <f t="shared" ca="1" si="536"/>
        <v>1868512.265863185</v>
      </c>
      <c r="AC729" s="1467">
        <f t="shared" ca="1" si="536"/>
        <v>1877854.8271925009</v>
      </c>
      <c r="AD729" s="1467">
        <f t="shared" ca="1" si="536"/>
        <v>1887244.1013284628</v>
      </c>
      <c r="AE729" s="1467">
        <f t="shared" ca="1" si="536"/>
        <v>1896680.3218351053</v>
      </c>
      <c r="AF729" s="1467">
        <f t="shared" ca="1" si="536"/>
        <v>1906163.7234442804</v>
      </c>
      <c r="AG729" s="1467">
        <f t="shared" ca="1" si="536"/>
        <v>1915694.5420615016</v>
      </c>
      <c r="AH729" s="1467">
        <f t="shared" ca="1" si="536"/>
        <v>1925273.0147718086</v>
      </c>
      <c r="AI729" s="1467">
        <f t="shared" ca="1" si="536"/>
        <v>1934899.3798456674</v>
      </c>
      <c r="AJ729" s="1467">
        <f t="shared" ca="1" si="536"/>
        <v>1944573.8767448955</v>
      </c>
      <c r="AK729" s="1467">
        <f t="shared" ca="1" si="536"/>
        <v>1954296.7461286199</v>
      </c>
      <c r="AL729" s="1467">
        <f t="shared" ca="1" si="536"/>
        <v>1964068.2298592622</v>
      </c>
      <c r="AM729" s="1467">
        <f t="shared" ca="1" si="536"/>
        <v>1973888.5710085582</v>
      </c>
      <c r="AN729" s="1467">
        <f t="shared" ca="1" si="536"/>
        <v>1983758.0138636008</v>
      </c>
      <c r="AO729" s="1467">
        <f t="shared" ca="1" si="536"/>
        <v>1993676.8039329187</v>
      </c>
      <c r="AP729" s="1467">
        <f t="shared" ca="1" si="536"/>
        <v>2003645.187952583</v>
      </c>
      <c r="AQ729" s="1467">
        <f t="shared" ca="1" si="536"/>
        <v>2013663.4138923453</v>
      </c>
      <c r="AR729" s="1467">
        <f t="shared" ca="1" si="536"/>
        <v>2023731.7309618066</v>
      </c>
      <c r="AS729" s="1467">
        <f t="shared" ca="1" si="536"/>
        <v>2033850.3896166154</v>
      </c>
      <c r="AT729" s="1467">
        <f t="shared" ca="1" si="536"/>
        <v>2044019.6415646982</v>
      </c>
      <c r="AU729" s="1467"/>
      <c r="AV729" s="1467">
        <f t="shared" ca="1" si="524"/>
        <v>7303595.3220316293</v>
      </c>
      <c r="AW729" s="1468"/>
      <c r="AX729" s="1467">
        <f t="shared" ca="1" si="525"/>
        <v>8161343.5026287576</v>
      </c>
      <c r="AY729" s="1468"/>
      <c r="AZ729" s="1467">
        <f t="shared" ca="1" si="526"/>
        <v>8862308.9248275775</v>
      </c>
      <c r="BA729" s="1468"/>
      <c r="BB729" s="1467">
        <f t="shared" ca="1" si="527"/>
        <v>9389507.7011577487</v>
      </c>
      <c r="BC729" s="1468"/>
      <c r="BD729" s="1467">
        <f t="shared" ca="1" si="528"/>
        <v>9626604.536868155</v>
      </c>
      <c r="BE729" s="1468"/>
      <c r="BF729" s="1467">
        <f t="shared" ca="1" si="529"/>
        <v>9869688.3647929598</v>
      </c>
      <c r="BG729" s="1468"/>
      <c r="BH729" s="1467">
        <f t="shared" ca="1" si="530"/>
        <v>10118910.363988047</v>
      </c>
    </row>
    <row r="730" spans="1:60" hidden="1" outlineLevel="1">
      <c r="A730" s="1466">
        <f t="shared" si="532"/>
        <v>18</v>
      </c>
      <c r="B730" s="1466">
        <f t="shared" si="532"/>
        <v>36</v>
      </c>
      <c r="C730" s="1466">
        <f t="shared" si="533"/>
        <v>5</v>
      </c>
      <c r="D730" s="1465" t="str">
        <f ca="1">IF(OFFSET(PortfolioDashboard!$A$3,C730-1,0)="","Blank",OFFSET(PortfolioDashboard!$A$3,C730-1,0))</f>
        <v>Short-term Energy Conservation Measures</v>
      </c>
      <c r="E730" s="1466" t="str">
        <f t="shared" si="534"/>
        <v>2010$</v>
      </c>
      <c r="F730" s="1460">
        <f t="shared" ca="1" si="522"/>
        <v>22409087.496942502</v>
      </c>
      <c r="G730" s="1467">
        <f t="shared" ref="G730:AT730" ca="1" si="537">G133+G195+G257+G350+G506</f>
        <v>0</v>
      </c>
      <c r="H730" s="1467">
        <f t="shared" ca="1" si="537"/>
        <v>321577.92419999995</v>
      </c>
      <c r="I730" s="1467">
        <f t="shared" ca="1" si="537"/>
        <v>645751.78952999983</v>
      </c>
      <c r="J730" s="1467">
        <f t="shared" ca="1" si="537"/>
        <v>972541.06554847455</v>
      </c>
      <c r="K730" s="1467">
        <f t="shared" ca="1" si="537"/>
        <v>1301965.3516109558</v>
      </c>
      <c r="L730" s="1467">
        <f t="shared" ca="1" si="537"/>
        <v>1634044.3776812628</v>
      </c>
      <c r="M730" s="1467">
        <f t="shared" ca="1" si="537"/>
        <v>1640665.0042896688</v>
      </c>
      <c r="N730" s="1467">
        <f t="shared" ca="1" si="537"/>
        <v>1647318.7340311171</v>
      </c>
      <c r="O730" s="1467">
        <f t="shared" ca="1" si="537"/>
        <v>1654005.7324212724</v>
      </c>
      <c r="P730" s="1467">
        <f t="shared" ca="1" si="537"/>
        <v>1660726.1658033789</v>
      </c>
      <c r="Q730" s="1467">
        <f t="shared" ca="1" si="537"/>
        <v>1667480.2013523954</v>
      </c>
      <c r="R730" s="1467">
        <f t="shared" ca="1" si="537"/>
        <v>1674268.0070791575</v>
      </c>
      <c r="S730" s="1467">
        <f t="shared" ca="1" si="537"/>
        <v>1681089.7518345527</v>
      </c>
      <c r="T730" s="1467">
        <f t="shared" ca="1" si="537"/>
        <v>1687945.6053137253</v>
      </c>
      <c r="U730" s="1467">
        <f t="shared" ca="1" si="537"/>
        <v>1694835.7380602937</v>
      </c>
      <c r="V730" s="1467">
        <f t="shared" ca="1" si="537"/>
        <v>1701760.321470595</v>
      </c>
      <c r="W730" s="1467">
        <f t="shared" ca="1" si="537"/>
        <v>1708719.5277979476</v>
      </c>
      <c r="X730" s="1467">
        <f t="shared" ca="1" si="537"/>
        <v>1715713.5301569374</v>
      </c>
      <c r="Y730" s="1467">
        <f t="shared" ca="1" si="537"/>
        <v>1722742.5025277217</v>
      </c>
      <c r="Z730" s="1467">
        <f t="shared" ca="1" si="537"/>
        <v>1729806.6197603601</v>
      </c>
      <c r="AA730" s="1467">
        <f t="shared" ca="1" si="537"/>
        <v>1736906.0575791616</v>
      </c>
      <c r="AB730" s="1467">
        <f t="shared" ca="1" si="537"/>
        <v>1744040.9925870569</v>
      </c>
      <c r="AC730" s="1467">
        <f t="shared" ca="1" si="537"/>
        <v>1751211.6022699922</v>
      </c>
      <c r="AD730" s="1467">
        <f t="shared" ca="1" si="537"/>
        <v>1758418.065001342</v>
      </c>
      <c r="AE730" s="1467">
        <f t="shared" ca="1" si="537"/>
        <v>1765660.5600463487</v>
      </c>
      <c r="AF730" s="1467">
        <f t="shared" ca="1" si="537"/>
        <v>1772939.2675665803</v>
      </c>
      <c r="AG730" s="1467">
        <f t="shared" ca="1" si="537"/>
        <v>1780254.3686244129</v>
      </c>
      <c r="AH730" s="1467">
        <f t="shared" ca="1" si="537"/>
        <v>1787606.0451875348</v>
      </c>
      <c r="AI730" s="1467">
        <f t="shared" ca="1" si="537"/>
        <v>1794994.480133472</v>
      </c>
      <c r="AJ730" s="1467">
        <f t="shared" ca="1" si="537"/>
        <v>1802419.8572541391</v>
      </c>
      <c r="AK730" s="1467">
        <f t="shared" ca="1" si="537"/>
        <v>1809882.3612604097</v>
      </c>
      <c r="AL730" s="1467">
        <f t="shared" ca="1" si="537"/>
        <v>1817382.1777867114</v>
      </c>
      <c r="AM730" s="1467">
        <f t="shared" ca="1" si="537"/>
        <v>1824919.4933956447</v>
      </c>
      <c r="AN730" s="1467">
        <f t="shared" ca="1" si="537"/>
        <v>1832494.4955826227</v>
      </c>
      <c r="AO730" s="1467">
        <f t="shared" ca="1" si="537"/>
        <v>1840107.3727805358</v>
      </c>
      <c r="AP730" s="1467">
        <f t="shared" ca="1" si="537"/>
        <v>1847758.3143644382</v>
      </c>
      <c r="AQ730" s="1467">
        <f t="shared" ca="1" si="537"/>
        <v>1855447.5106562597</v>
      </c>
      <c r="AR730" s="1467">
        <f t="shared" ca="1" si="537"/>
        <v>1863175.1529295407</v>
      </c>
      <c r="AS730" s="1467">
        <f t="shared" ca="1" si="537"/>
        <v>1870941.4334141887</v>
      </c>
      <c r="AT730" s="1467">
        <f t="shared" ca="1" si="537"/>
        <v>1878746.545301259</v>
      </c>
      <c r="AU730" s="1467"/>
      <c r="AV730" s="1467">
        <f t="shared" ca="1" si="524"/>
        <v>8236760.0142267011</v>
      </c>
      <c r="AW730" s="1468"/>
      <c r="AX730" s="1467">
        <f t="shared" ca="1" si="525"/>
        <v>8405619.3036401253</v>
      </c>
      <c r="AY730" s="1468"/>
      <c r="AZ730" s="1467">
        <f t="shared" ca="1" si="526"/>
        <v>8578742.5017135628</v>
      </c>
      <c r="BA730" s="1468"/>
      <c r="BB730" s="1467">
        <f t="shared" ca="1" si="527"/>
        <v>8756237.277483901</v>
      </c>
      <c r="BC730" s="1468"/>
      <c r="BD730" s="1467">
        <f t="shared" ca="1" si="528"/>
        <v>8938214.0187661387</v>
      </c>
      <c r="BE730" s="1468"/>
      <c r="BF730" s="1467">
        <f t="shared" ca="1" si="529"/>
        <v>9124785.9008059241</v>
      </c>
      <c r="BG730" s="1468"/>
      <c r="BH730" s="1467">
        <f t="shared" ca="1" si="530"/>
        <v>9316068.9566656854</v>
      </c>
    </row>
    <row r="731" spans="1:60" hidden="1" outlineLevel="1">
      <c r="A731" s="1466">
        <f t="shared" si="532"/>
        <v>18</v>
      </c>
      <c r="B731" s="1466">
        <f t="shared" si="532"/>
        <v>36</v>
      </c>
      <c r="C731" s="1466">
        <f t="shared" si="533"/>
        <v>6</v>
      </c>
      <c r="D731" s="1465" t="str">
        <f ca="1">IF(OFFSET(PortfolioDashboard!$A$3,C731-1,0)="","Blank",OFFSET(PortfolioDashboard!$A$3,C731-1,0))</f>
        <v>Mid-term Energy Conservation Measures</v>
      </c>
      <c r="E731" s="1466" t="str">
        <f t="shared" si="534"/>
        <v>2010$</v>
      </c>
      <c r="F731" s="1460">
        <f t="shared" ca="1" si="522"/>
        <v>14321073.169442052</v>
      </c>
      <c r="G731" s="1467">
        <f t="shared" ref="G731:AT731" ca="1" si="538">G134+G196+G258+G351+G507</f>
        <v>0</v>
      </c>
      <c r="H731" s="1467">
        <f t="shared" ca="1" si="538"/>
        <v>0</v>
      </c>
      <c r="I731" s="1467">
        <f t="shared" ca="1" si="538"/>
        <v>0</v>
      </c>
      <c r="J731" s="1467">
        <f t="shared" ca="1" si="538"/>
        <v>0</v>
      </c>
      <c r="K731" s="1467">
        <f t="shared" ca="1" si="538"/>
        <v>0</v>
      </c>
      <c r="L731" s="1467">
        <f t="shared" ca="1" si="538"/>
        <v>0</v>
      </c>
      <c r="M731" s="1467">
        <f t="shared" ca="1" si="538"/>
        <v>193520.65401359371</v>
      </c>
      <c r="N731" s="1467">
        <f t="shared" ca="1" si="538"/>
        <v>388809.16020732332</v>
      </c>
      <c r="O731" s="1467">
        <f t="shared" ca="1" si="538"/>
        <v>585878.7774725398</v>
      </c>
      <c r="P731" s="1467">
        <f t="shared" ca="1" si="538"/>
        <v>784742.85309320339</v>
      </c>
      <c r="Q731" s="1467">
        <f t="shared" ca="1" si="538"/>
        <v>985414.82329833647</v>
      </c>
      <c r="R731" s="1467">
        <f t="shared" ca="1" si="538"/>
        <v>1187908.2138177939</v>
      </c>
      <c r="S731" s="1467">
        <f t="shared" ca="1" si="538"/>
        <v>1392236.6404413627</v>
      </c>
      <c r="T731" s="1467">
        <f t="shared" ca="1" si="538"/>
        <v>1598413.8095812225</v>
      </c>
      <c r="U731" s="1467">
        <f t="shared" ca="1" si="538"/>
        <v>1605736.461189128</v>
      </c>
      <c r="V731" s="1467">
        <f t="shared" ca="1" si="538"/>
        <v>1613095.7260550736</v>
      </c>
      <c r="W731" s="1467">
        <f t="shared" ca="1" si="538"/>
        <v>1620491.7872453486</v>
      </c>
      <c r="X731" s="1467">
        <f t="shared" ca="1" si="538"/>
        <v>1627924.8287415751</v>
      </c>
      <c r="Y731" s="1467">
        <f t="shared" ca="1" si="538"/>
        <v>1635395.0354452827</v>
      </c>
      <c r="Z731" s="1467">
        <f t="shared" ca="1" si="538"/>
        <v>1642902.5931825088</v>
      </c>
      <c r="AA731" s="1467">
        <f t="shared" ca="1" si="538"/>
        <v>1650447.6887084213</v>
      </c>
      <c r="AB731" s="1467">
        <f t="shared" ca="1" si="538"/>
        <v>1658030.5097119631</v>
      </c>
      <c r="AC731" s="1467">
        <f t="shared" ca="1" si="538"/>
        <v>1665651.2448205226</v>
      </c>
      <c r="AD731" s="1467">
        <f t="shared" ca="1" si="538"/>
        <v>1673310.083604625</v>
      </c>
      <c r="AE731" s="1467">
        <f t="shared" ca="1" si="538"/>
        <v>1681007.2165826485</v>
      </c>
      <c r="AF731" s="1467">
        <f t="shared" ca="1" si="538"/>
        <v>1688742.8352255612</v>
      </c>
      <c r="AG731" s="1467">
        <f t="shared" ca="1" si="538"/>
        <v>1696517.1319616889</v>
      </c>
      <c r="AH731" s="1467">
        <f t="shared" ca="1" si="538"/>
        <v>1704330.3001814969</v>
      </c>
      <c r="AI731" s="1467">
        <f t="shared" ca="1" si="538"/>
        <v>1712182.5342424042</v>
      </c>
      <c r="AJ731" s="1467">
        <f t="shared" ca="1" si="538"/>
        <v>1720074.0294736158</v>
      </c>
      <c r="AK731" s="1467">
        <f t="shared" ca="1" si="538"/>
        <v>1728004.9821809838</v>
      </c>
      <c r="AL731" s="1467">
        <f t="shared" ca="1" si="538"/>
        <v>1735975.5896518882</v>
      </c>
      <c r="AM731" s="1467">
        <f t="shared" ca="1" si="538"/>
        <v>1743986.0501601472</v>
      </c>
      <c r="AN731" s="1467">
        <f t="shared" ca="1" si="538"/>
        <v>1752036.5629709479</v>
      </c>
      <c r="AO731" s="1467">
        <f t="shared" ca="1" si="538"/>
        <v>1760127.3283458026</v>
      </c>
      <c r="AP731" s="1467">
        <f t="shared" ca="1" si="538"/>
        <v>1768258.5475475313</v>
      </c>
      <c r="AQ731" s="1467">
        <f t="shared" ca="1" si="538"/>
        <v>1776430.4228452686</v>
      </c>
      <c r="AR731" s="1467">
        <f t="shared" ca="1" si="538"/>
        <v>1784643.1575194946</v>
      </c>
      <c r="AS731" s="1467">
        <f t="shared" ca="1" si="538"/>
        <v>1792896.9558670921</v>
      </c>
      <c r="AT731" s="1467">
        <f t="shared" ca="1" si="538"/>
        <v>1801192.0232064272</v>
      </c>
      <c r="AU731" s="1467"/>
      <c r="AV731" s="1467">
        <f t="shared" ca="1" si="524"/>
        <v>1952951.4447866601</v>
      </c>
      <c r="AW731" s="1468"/>
      <c r="AX731" s="1467">
        <f t="shared" ca="1" si="525"/>
        <v>6769709.9483278431</v>
      </c>
      <c r="AY731" s="1468"/>
      <c r="AZ731" s="1467">
        <f t="shared" ca="1" si="526"/>
        <v>8139809.9706697883</v>
      </c>
      <c r="BA731" s="1468"/>
      <c r="BB731" s="1467">
        <f t="shared" ca="1" si="527"/>
        <v>8328446.74342818</v>
      </c>
      <c r="BC731" s="1468"/>
      <c r="BD731" s="1467">
        <f t="shared" ca="1" si="528"/>
        <v>8521846.8310847674</v>
      </c>
      <c r="BE731" s="1468"/>
      <c r="BF731" s="1467">
        <f t="shared" ca="1" si="529"/>
        <v>8720130.5133097693</v>
      </c>
      <c r="BG731" s="1468"/>
      <c r="BH731" s="1467">
        <f t="shared" ca="1" si="530"/>
        <v>8923421.106985813</v>
      </c>
    </row>
    <row r="732" spans="1:60" hidden="1" outlineLevel="1">
      <c r="A732" s="1466">
        <f t="shared" si="532"/>
        <v>18</v>
      </c>
      <c r="B732" s="1466">
        <f t="shared" si="532"/>
        <v>36</v>
      </c>
      <c r="C732" s="1466">
        <f t="shared" si="533"/>
        <v>7</v>
      </c>
      <c r="D732" s="1465" t="str">
        <f ca="1">IF(OFFSET(PortfolioDashboard!$A$3,C732-1,0)="","Blank",OFFSET(PortfolioDashboard!$A$3,C732-1,0))</f>
        <v>Long-term Energy Conservation Measures</v>
      </c>
      <c r="E732" s="1466" t="str">
        <f t="shared" si="534"/>
        <v>2010$</v>
      </c>
      <c r="F732" s="1460">
        <f t="shared" ca="1" si="522"/>
        <v>5963382.3137100497</v>
      </c>
      <c r="G732" s="1467">
        <f t="shared" ref="G732:AT732" ca="1" si="539">G135+G197+G259+G352+G508</f>
        <v>0</v>
      </c>
      <c r="H732" s="1467">
        <f t="shared" ca="1" si="539"/>
        <v>0</v>
      </c>
      <c r="I732" s="1467">
        <f t="shared" ca="1" si="539"/>
        <v>0</v>
      </c>
      <c r="J732" s="1467">
        <f t="shared" ca="1" si="539"/>
        <v>0</v>
      </c>
      <c r="K732" s="1467">
        <f t="shared" ca="1" si="539"/>
        <v>0</v>
      </c>
      <c r="L732" s="1467">
        <f t="shared" ca="1" si="539"/>
        <v>0</v>
      </c>
      <c r="M732" s="1467">
        <f t="shared" ca="1" si="539"/>
        <v>0</v>
      </c>
      <c r="N732" s="1467">
        <f t="shared" ca="1" si="539"/>
        <v>0</v>
      </c>
      <c r="O732" s="1467">
        <f t="shared" ca="1" si="539"/>
        <v>0</v>
      </c>
      <c r="P732" s="1467">
        <f t="shared" ca="1" si="539"/>
        <v>0</v>
      </c>
      <c r="Q732" s="1467">
        <f t="shared" ca="1" si="539"/>
        <v>0</v>
      </c>
      <c r="R732" s="1467">
        <f t="shared" ca="1" si="539"/>
        <v>0</v>
      </c>
      <c r="S732" s="1467">
        <f t="shared" ca="1" si="539"/>
        <v>0</v>
      </c>
      <c r="T732" s="1467">
        <f t="shared" ca="1" si="539"/>
        <v>0</v>
      </c>
      <c r="U732" s="1467">
        <f t="shared" ca="1" si="539"/>
        <v>125059.2742997669</v>
      </c>
      <c r="V732" s="1467">
        <f t="shared" ca="1" si="539"/>
        <v>251040.99033453147</v>
      </c>
      <c r="W732" s="1467">
        <f t="shared" ca="1" si="539"/>
        <v>377952.06641730608</v>
      </c>
      <c r="X732" s="1467">
        <f t="shared" ca="1" si="539"/>
        <v>505799.46698319016</v>
      </c>
      <c r="Y732" s="1467">
        <f t="shared" ca="1" si="539"/>
        <v>634590.20287763246</v>
      </c>
      <c r="Z732" s="1467">
        <f t="shared" ca="1" si="539"/>
        <v>764331.33164642472</v>
      </c>
      <c r="AA732" s="1467">
        <f t="shared" ca="1" si="539"/>
        <v>895029.95782743301</v>
      </c>
      <c r="AB732" s="1467">
        <f t="shared" ca="1" si="539"/>
        <v>1026693.2332440799</v>
      </c>
      <c r="AC732" s="1467">
        <f t="shared" ca="1" si="539"/>
        <v>1159328.3573005877</v>
      </c>
      <c r="AD732" s="1467">
        <f t="shared" ca="1" si="539"/>
        <v>1292942.5772789896</v>
      </c>
      <c r="AE732" s="1467">
        <f t="shared" ca="1" si="539"/>
        <v>1297766.5351253846</v>
      </c>
      <c r="AF732" s="1467">
        <f t="shared" ca="1" si="539"/>
        <v>1302614.6127610113</v>
      </c>
      <c r="AG732" s="1467">
        <f t="shared" ca="1" si="539"/>
        <v>1307486.9307848162</v>
      </c>
      <c r="AH732" s="1467">
        <f t="shared" ca="1" si="539"/>
        <v>1312383.61039874</v>
      </c>
      <c r="AI732" s="1467">
        <f t="shared" ca="1" si="539"/>
        <v>1317304.7734107336</v>
      </c>
      <c r="AJ732" s="1467">
        <f t="shared" ca="1" si="539"/>
        <v>1322250.542237787</v>
      </c>
      <c r="AK732" s="1467">
        <f t="shared" ca="1" si="539"/>
        <v>1327221.0399089758</v>
      </c>
      <c r="AL732" s="1467">
        <f t="shared" ca="1" si="539"/>
        <v>1332216.3900685206</v>
      </c>
      <c r="AM732" s="1467">
        <f t="shared" ca="1" si="539"/>
        <v>1337236.7169788629</v>
      </c>
      <c r="AN732" s="1467">
        <f t="shared" ca="1" si="539"/>
        <v>1342282.1455237572</v>
      </c>
      <c r="AO732" s="1467">
        <f t="shared" ca="1" si="539"/>
        <v>1347352.8012113757</v>
      </c>
      <c r="AP732" s="1467">
        <f t="shared" ca="1" si="539"/>
        <v>1352448.8101774326</v>
      </c>
      <c r="AQ732" s="1467">
        <f t="shared" ca="1" si="539"/>
        <v>1357570.2991883194</v>
      </c>
      <c r="AR732" s="1467">
        <f t="shared" ca="1" si="539"/>
        <v>1362717.3956442606</v>
      </c>
      <c r="AS732" s="1467">
        <f t="shared" ca="1" si="539"/>
        <v>1367890.2275824822</v>
      </c>
      <c r="AT732" s="1467">
        <f t="shared" ca="1" si="539"/>
        <v>1373088.9236803944</v>
      </c>
      <c r="AU732" s="1467"/>
      <c r="AV732" s="1467">
        <f t="shared" ca="1" si="524"/>
        <v>0</v>
      </c>
      <c r="AW732" s="1468"/>
      <c r="AX732" s="1467">
        <f t="shared" ca="1" si="525"/>
        <v>125059.2742997669</v>
      </c>
      <c r="AY732" s="1468"/>
      <c r="AZ732" s="1467">
        <f t="shared" ca="1" si="526"/>
        <v>2533714.0582590848</v>
      </c>
      <c r="BA732" s="1468"/>
      <c r="BB732" s="1467">
        <f t="shared" ca="1" si="527"/>
        <v>5671760.6607764754</v>
      </c>
      <c r="BC732" s="1468"/>
      <c r="BD732" s="1467">
        <f t="shared" ca="1" si="528"/>
        <v>6562040.4695930872</v>
      </c>
      <c r="BE732" s="1468"/>
      <c r="BF732" s="1467">
        <f t="shared" ca="1" si="529"/>
        <v>6686309.0936914925</v>
      </c>
      <c r="BG732" s="1468"/>
      <c r="BH732" s="1467">
        <f t="shared" ca="1" si="530"/>
        <v>6813715.65627289</v>
      </c>
    </row>
    <row r="733" spans="1:60" hidden="1" outlineLevel="1">
      <c r="A733" s="1466">
        <f t="shared" si="532"/>
        <v>18</v>
      </c>
      <c r="B733" s="1466">
        <f t="shared" si="532"/>
        <v>36</v>
      </c>
      <c r="C733" s="1466">
        <f t="shared" si="533"/>
        <v>8</v>
      </c>
      <c r="D733" s="1465" t="str">
        <f ca="1">IF(OFFSET(PortfolioDashboard!$A$3,C733-1,0)="","Blank",OFFSET(PortfolioDashboard!$A$3,C733-1,0))</f>
        <v>Green IT</v>
      </c>
      <c r="E733" s="1466" t="str">
        <f t="shared" si="534"/>
        <v>2010$</v>
      </c>
      <c r="F733" s="1460">
        <f t="shared" ca="1" si="522"/>
        <v>9910631.3744825535</v>
      </c>
      <c r="G733" s="1467">
        <f t="shared" ref="G733:AT733" ca="1" si="540">G136+G198+G260+G353+G509</f>
        <v>0</v>
      </c>
      <c r="H733" s="1467">
        <f t="shared" ca="1" si="540"/>
        <v>0</v>
      </c>
      <c r="I733" s="1467">
        <f t="shared" ca="1" si="540"/>
        <v>235520.99624999994</v>
      </c>
      <c r="J733" s="1467">
        <f t="shared" ca="1" si="540"/>
        <v>473397.20246249984</v>
      </c>
      <c r="K733" s="1467">
        <f t="shared" ca="1" si="540"/>
        <v>713646.28271221824</v>
      </c>
      <c r="L733" s="1467">
        <f t="shared" ca="1" si="540"/>
        <v>717214.51412577927</v>
      </c>
      <c r="M733" s="1467">
        <f t="shared" ca="1" si="540"/>
        <v>720800.58669640811</v>
      </c>
      <c r="N733" s="1467">
        <f t="shared" ca="1" si="540"/>
        <v>724404.58962989005</v>
      </c>
      <c r="O733" s="1467">
        <f t="shared" ca="1" si="540"/>
        <v>728026.61257803941</v>
      </c>
      <c r="P733" s="1467">
        <f t="shared" ca="1" si="540"/>
        <v>731666.74564092956</v>
      </c>
      <c r="Q733" s="1467">
        <f t="shared" ca="1" si="540"/>
        <v>735325.07936913404</v>
      </c>
      <c r="R733" s="1467">
        <f t="shared" ca="1" si="540"/>
        <v>739001.70476597967</v>
      </c>
      <c r="S733" s="1467">
        <f t="shared" ca="1" si="540"/>
        <v>742696.7132898093</v>
      </c>
      <c r="T733" s="1467">
        <f t="shared" ca="1" si="540"/>
        <v>746410.19685625832</v>
      </c>
      <c r="U733" s="1467">
        <f t="shared" ca="1" si="540"/>
        <v>750142.24784053955</v>
      </c>
      <c r="V733" s="1467">
        <f t="shared" ca="1" si="540"/>
        <v>753892.95907974197</v>
      </c>
      <c r="W733" s="1467">
        <f t="shared" ca="1" si="540"/>
        <v>757662.42387514061</v>
      </c>
      <c r="X733" s="1467">
        <f t="shared" ca="1" si="540"/>
        <v>761450.73599451629</v>
      </c>
      <c r="Y733" s="1467">
        <f t="shared" ca="1" si="540"/>
        <v>765257.98967448866</v>
      </c>
      <c r="Z733" s="1467">
        <f t="shared" ca="1" si="540"/>
        <v>769084.27962286095</v>
      </c>
      <c r="AA733" s="1467">
        <f t="shared" ca="1" si="540"/>
        <v>772929.70102097525</v>
      </c>
      <c r="AB733" s="1467">
        <f t="shared" ca="1" si="540"/>
        <v>776794.34952607984</v>
      </c>
      <c r="AC733" s="1467">
        <f t="shared" ca="1" si="540"/>
        <v>780678.32127371023</v>
      </c>
      <c r="AD733" s="1467">
        <f t="shared" ca="1" si="540"/>
        <v>784581.71288007859</v>
      </c>
      <c r="AE733" s="1467">
        <f t="shared" ca="1" si="540"/>
        <v>788504.6214444791</v>
      </c>
      <c r="AF733" s="1467">
        <f t="shared" ca="1" si="540"/>
        <v>792447.14455170126</v>
      </c>
      <c r="AG733" s="1467">
        <f t="shared" ca="1" si="540"/>
        <v>796409.38027445972</v>
      </c>
      <c r="AH733" s="1467">
        <f t="shared" ca="1" si="540"/>
        <v>800391.42717583175</v>
      </c>
      <c r="AI733" s="1467">
        <f t="shared" ca="1" si="540"/>
        <v>804393.38431171083</v>
      </c>
      <c r="AJ733" s="1467">
        <f t="shared" ca="1" si="540"/>
        <v>808415.35123326932</v>
      </c>
      <c r="AK733" s="1467">
        <f t="shared" ca="1" si="540"/>
        <v>812457.4279894355</v>
      </c>
      <c r="AL733" s="1467">
        <f t="shared" ca="1" si="540"/>
        <v>816519.71512938244</v>
      </c>
      <c r="AM733" s="1467">
        <f t="shared" ca="1" si="540"/>
        <v>820602.3137050292</v>
      </c>
      <c r="AN733" s="1467">
        <f t="shared" ca="1" si="540"/>
        <v>824705.32527355431</v>
      </c>
      <c r="AO733" s="1467">
        <f t="shared" ca="1" si="540"/>
        <v>828828.85189992201</v>
      </c>
      <c r="AP733" s="1467">
        <f t="shared" ca="1" si="540"/>
        <v>832972.99615942151</v>
      </c>
      <c r="AQ733" s="1467">
        <f t="shared" ca="1" si="540"/>
        <v>837137.86114021833</v>
      </c>
      <c r="AR733" s="1467">
        <f t="shared" ca="1" si="540"/>
        <v>841323.55044591927</v>
      </c>
      <c r="AS733" s="1467">
        <f t="shared" ca="1" si="540"/>
        <v>845530.16819814884</v>
      </c>
      <c r="AT733" s="1467">
        <f t="shared" ca="1" si="540"/>
        <v>849757.81903913943</v>
      </c>
      <c r="AU733" s="1467"/>
      <c r="AV733" s="1467">
        <f t="shared" ca="1" si="524"/>
        <v>3622113.0486710463</v>
      </c>
      <c r="AW733" s="1468"/>
      <c r="AX733" s="1467">
        <f t="shared" ca="1" si="525"/>
        <v>3713575.9421217209</v>
      </c>
      <c r="AY733" s="1468"/>
      <c r="AZ733" s="1467">
        <f t="shared" ca="1" si="526"/>
        <v>3807348.3882467486</v>
      </c>
      <c r="BA733" s="1468"/>
      <c r="BB733" s="1467">
        <f t="shared" ca="1" si="527"/>
        <v>3903488.7061453229</v>
      </c>
      <c r="BC733" s="1468"/>
      <c r="BD733" s="1467">
        <f t="shared" ca="1" si="528"/>
        <v>4002056.6875469731</v>
      </c>
      <c r="BE733" s="1468"/>
      <c r="BF733" s="1467">
        <f t="shared" ca="1" si="529"/>
        <v>4103113.6339973235</v>
      </c>
      <c r="BG733" s="1468"/>
      <c r="BH733" s="1467">
        <f t="shared" ca="1" si="530"/>
        <v>4206722.3949828474</v>
      </c>
    </row>
    <row r="734" spans="1:60" hidden="1" outlineLevel="1">
      <c r="A734" s="1466">
        <f t="shared" si="532"/>
        <v>18</v>
      </c>
      <c r="B734" s="1466">
        <f t="shared" si="532"/>
        <v>36</v>
      </c>
      <c r="C734" s="1466">
        <f t="shared" si="533"/>
        <v>9</v>
      </c>
      <c r="D734" s="1465" t="str">
        <f ca="1">IF(OFFSET(PortfolioDashboard!$A$3,C734-1,0)="","Blank",OFFSET(PortfolioDashboard!$A$3,C734-1,0))</f>
        <v>Reduced Air Travel</v>
      </c>
      <c r="E734" s="1466" t="str">
        <f t="shared" si="534"/>
        <v>2010$</v>
      </c>
      <c r="F734" s="1460">
        <f t="shared" ca="1" si="522"/>
        <v>2554543.5640719305</v>
      </c>
      <c r="G734" s="1467">
        <f t="shared" ref="G734:AT734" ca="1" si="541">G137+G199+G261+G354+G510</f>
        <v>0</v>
      </c>
      <c r="H734" s="1467">
        <f t="shared" ca="1" si="541"/>
        <v>123606.77688805692</v>
      </c>
      <c r="I734" s="1467">
        <f t="shared" ca="1" si="541"/>
        <v>124003.00400854273</v>
      </c>
      <c r="J734" s="1467">
        <f t="shared" ca="1" si="541"/>
        <v>124307.03977146068</v>
      </c>
      <c r="K734" s="1467">
        <f t="shared" ca="1" si="541"/>
        <v>124563.3537761138</v>
      </c>
      <c r="L734" s="1467">
        <f t="shared" ca="1" si="541"/>
        <v>124789.17094740043</v>
      </c>
      <c r="M734" s="1467">
        <f t="shared" ca="1" si="541"/>
        <v>187489.9879132183</v>
      </c>
      <c r="N734" s="1467">
        <f t="shared" ca="1" si="541"/>
        <v>187771.59683356594</v>
      </c>
      <c r="O734" s="1467">
        <f t="shared" ca="1" si="541"/>
        <v>188033.71202562816</v>
      </c>
      <c r="P734" s="1467">
        <f t="shared" ca="1" si="541"/>
        <v>188279.89599625603</v>
      </c>
      <c r="Q734" s="1467">
        <f t="shared" ca="1" si="541"/>
        <v>188512.74258500358</v>
      </c>
      <c r="R734" s="1467">
        <f t="shared" ca="1" si="541"/>
        <v>188734.2099312158</v>
      </c>
      <c r="S734" s="1467">
        <f t="shared" ca="1" si="541"/>
        <v>188945.81931438201</v>
      </c>
      <c r="T734" s="1467">
        <f t="shared" ca="1" si="541"/>
        <v>189148.78052821939</v>
      </c>
      <c r="U734" s="1467">
        <f t="shared" ca="1" si="541"/>
        <v>189344.074468823</v>
      </c>
      <c r="V734" s="1467">
        <f t="shared" ca="1" si="541"/>
        <v>189532.50953521696</v>
      </c>
      <c r="W734" s="1467">
        <f t="shared" ca="1" si="541"/>
        <v>189714.76132834144</v>
      </c>
      <c r="X734" s="1467">
        <f t="shared" ca="1" si="541"/>
        <v>189891.40132272491</v>
      </c>
      <c r="Y734" s="1467">
        <f t="shared" ca="1" si="541"/>
        <v>190062.91803844224</v>
      </c>
      <c r="Z734" s="1467">
        <f t="shared" ca="1" si="541"/>
        <v>190229.73298014997</v>
      </c>
      <c r="AA734" s="1467">
        <f t="shared" ca="1" si="541"/>
        <v>190392.21284220132</v>
      </c>
      <c r="AB734" s="1467">
        <f t="shared" ca="1" si="541"/>
        <v>190550.67899634904</v>
      </c>
      <c r="AC734" s="1467">
        <f t="shared" ca="1" si="541"/>
        <v>190705.41496683744</v>
      </c>
      <c r="AD734" s="1467">
        <f t="shared" ca="1" si="541"/>
        <v>190856.67239132349</v>
      </c>
      <c r="AE734" s="1467">
        <f t="shared" ca="1" si="541"/>
        <v>191004.67582643646</v>
      </c>
      <c r="AF734" s="1467">
        <f t="shared" ca="1" si="541"/>
        <v>191149.62666042676</v>
      </c>
      <c r="AG734" s="1467">
        <f t="shared" ca="1" si="541"/>
        <v>191291.70632768099</v>
      </c>
      <c r="AH734" s="1467">
        <f t="shared" ca="1" si="541"/>
        <v>191431.07897157304</v>
      </c>
      <c r="AI734" s="1467">
        <f t="shared" ca="1" si="541"/>
        <v>191567.89366713187</v>
      </c>
      <c r="AJ734" s="1467">
        <f t="shared" ca="1" si="541"/>
        <v>191702.28628932338</v>
      </c>
      <c r="AK734" s="1467">
        <f t="shared" ca="1" si="541"/>
        <v>191834.38109365286</v>
      </c>
      <c r="AL734" s="1467">
        <f t="shared" ca="1" si="541"/>
        <v>191964.29206144507</v>
      </c>
      <c r="AM734" s="1467">
        <f t="shared" ca="1" si="541"/>
        <v>192092.12405125631</v>
      </c>
      <c r="AN734" s="1467">
        <f t="shared" ca="1" si="541"/>
        <v>192217.97378950985</v>
      </c>
      <c r="AO734" s="1467">
        <f t="shared" ca="1" si="541"/>
        <v>192341.9307269709</v>
      </c>
      <c r="AP734" s="1467">
        <f t="shared" ca="1" si="541"/>
        <v>192464.07778262065</v>
      </c>
      <c r="AQ734" s="1467">
        <f t="shared" ca="1" si="541"/>
        <v>192584.49199251211</v>
      </c>
      <c r="AR734" s="1467">
        <f t="shared" ca="1" si="541"/>
        <v>192703.24507803266</v>
      </c>
      <c r="AS734" s="1467">
        <f t="shared" ca="1" si="541"/>
        <v>192820.40394548161</v>
      </c>
      <c r="AT734" s="1467">
        <f t="shared" ca="1" si="541"/>
        <v>192936.03112684423</v>
      </c>
      <c r="AU734" s="1467"/>
      <c r="AV734" s="1467">
        <f t="shared" ca="1" si="524"/>
        <v>876364.36371606891</v>
      </c>
      <c r="AW734" s="1468"/>
      <c r="AX734" s="1467">
        <f t="shared" ca="1" si="525"/>
        <v>944685.62682764383</v>
      </c>
      <c r="AY734" s="1468"/>
      <c r="AZ734" s="1467">
        <f t="shared" ca="1" si="526"/>
        <v>949431.32320487546</v>
      </c>
      <c r="BA734" s="1468"/>
      <c r="BB734" s="1467">
        <f t="shared" ca="1" si="527"/>
        <v>953509.65502314782</v>
      </c>
      <c r="BC734" s="1468"/>
      <c r="BD734" s="1467">
        <f t="shared" ca="1" si="528"/>
        <v>957142.59191613598</v>
      </c>
      <c r="BE734" s="1468"/>
      <c r="BF734" s="1467">
        <f t="shared" ca="1" si="529"/>
        <v>960450.70172283496</v>
      </c>
      <c r="BG734" s="1468"/>
      <c r="BH734" s="1467">
        <f t="shared" ca="1" si="530"/>
        <v>963508.24992549128</v>
      </c>
    </row>
    <row r="735" spans="1:60" hidden="1" outlineLevel="1">
      <c r="A735" s="1466">
        <f t="shared" si="532"/>
        <v>18</v>
      </c>
      <c r="B735" s="1466">
        <f t="shared" si="532"/>
        <v>36</v>
      </c>
      <c r="C735" s="1466">
        <f t="shared" si="533"/>
        <v>10</v>
      </c>
      <c r="D735" s="1465" t="str">
        <f ca="1">IF(OFFSET(PortfolioDashboard!$A$3,C735-1,0)="","Blank",OFFSET(PortfolioDashboard!$A$3,C735-1,0))</f>
        <v>Reduced Automobile Reliance Strategies</v>
      </c>
      <c r="E735" s="1466" t="str">
        <f t="shared" si="534"/>
        <v>2010$</v>
      </c>
      <c r="F735" s="1460">
        <f t="shared" ca="1" si="522"/>
        <v>0</v>
      </c>
      <c r="G735" s="1467">
        <f t="shared" ref="G735:AT735" ca="1" si="542">G138+G200+G262+G355+G511</f>
        <v>0</v>
      </c>
      <c r="H735" s="1467">
        <f t="shared" ca="1" si="542"/>
        <v>0</v>
      </c>
      <c r="I735" s="1467">
        <f t="shared" ca="1" si="542"/>
        <v>0</v>
      </c>
      <c r="J735" s="1467">
        <f t="shared" ca="1" si="542"/>
        <v>0</v>
      </c>
      <c r="K735" s="1467">
        <f t="shared" ca="1" si="542"/>
        <v>0</v>
      </c>
      <c r="L735" s="1467">
        <f t="shared" ca="1" si="542"/>
        <v>0</v>
      </c>
      <c r="M735" s="1467">
        <f t="shared" ca="1" si="542"/>
        <v>0</v>
      </c>
      <c r="N735" s="1467">
        <f t="shared" ca="1" si="542"/>
        <v>0</v>
      </c>
      <c r="O735" s="1467">
        <f t="shared" ca="1" si="542"/>
        <v>0</v>
      </c>
      <c r="P735" s="1467">
        <f t="shared" ca="1" si="542"/>
        <v>0</v>
      </c>
      <c r="Q735" s="1467">
        <f t="shared" ca="1" si="542"/>
        <v>0</v>
      </c>
      <c r="R735" s="1467">
        <f t="shared" ca="1" si="542"/>
        <v>0</v>
      </c>
      <c r="S735" s="1467">
        <f t="shared" ca="1" si="542"/>
        <v>0</v>
      </c>
      <c r="T735" s="1467">
        <f t="shared" ca="1" si="542"/>
        <v>0</v>
      </c>
      <c r="U735" s="1467">
        <f t="shared" ca="1" si="542"/>
        <v>0</v>
      </c>
      <c r="V735" s="1467">
        <f t="shared" ca="1" si="542"/>
        <v>0</v>
      </c>
      <c r="W735" s="1467">
        <f t="shared" ca="1" si="542"/>
        <v>0</v>
      </c>
      <c r="X735" s="1467">
        <f t="shared" ca="1" si="542"/>
        <v>0</v>
      </c>
      <c r="Y735" s="1467">
        <f t="shared" ca="1" si="542"/>
        <v>0</v>
      </c>
      <c r="Z735" s="1467">
        <f t="shared" ca="1" si="542"/>
        <v>0</v>
      </c>
      <c r="AA735" s="1467">
        <f t="shared" ca="1" si="542"/>
        <v>0</v>
      </c>
      <c r="AB735" s="1467">
        <f t="shared" ca="1" si="542"/>
        <v>0</v>
      </c>
      <c r="AC735" s="1467">
        <f t="shared" ca="1" si="542"/>
        <v>0</v>
      </c>
      <c r="AD735" s="1467">
        <f t="shared" ca="1" si="542"/>
        <v>0</v>
      </c>
      <c r="AE735" s="1467">
        <f t="shared" ca="1" si="542"/>
        <v>0</v>
      </c>
      <c r="AF735" s="1467">
        <f t="shared" ca="1" si="542"/>
        <v>0</v>
      </c>
      <c r="AG735" s="1467">
        <f t="shared" ca="1" si="542"/>
        <v>0</v>
      </c>
      <c r="AH735" s="1467">
        <f t="shared" ca="1" si="542"/>
        <v>0</v>
      </c>
      <c r="AI735" s="1467">
        <f t="shared" ca="1" si="542"/>
        <v>0</v>
      </c>
      <c r="AJ735" s="1467">
        <f t="shared" ca="1" si="542"/>
        <v>0</v>
      </c>
      <c r="AK735" s="1467">
        <f t="shared" ca="1" si="542"/>
        <v>0</v>
      </c>
      <c r="AL735" s="1467">
        <f t="shared" ca="1" si="542"/>
        <v>0</v>
      </c>
      <c r="AM735" s="1467">
        <f t="shared" ca="1" si="542"/>
        <v>0</v>
      </c>
      <c r="AN735" s="1467">
        <f t="shared" ca="1" si="542"/>
        <v>0</v>
      </c>
      <c r="AO735" s="1467">
        <f t="shared" ca="1" si="542"/>
        <v>0</v>
      </c>
      <c r="AP735" s="1467">
        <f t="shared" ca="1" si="542"/>
        <v>0</v>
      </c>
      <c r="AQ735" s="1467">
        <f t="shared" ca="1" si="542"/>
        <v>0</v>
      </c>
      <c r="AR735" s="1467">
        <f t="shared" ca="1" si="542"/>
        <v>0</v>
      </c>
      <c r="AS735" s="1467">
        <f t="shared" ca="1" si="542"/>
        <v>0</v>
      </c>
      <c r="AT735" s="1467">
        <f t="shared" ca="1" si="542"/>
        <v>0</v>
      </c>
      <c r="AU735" s="1467"/>
      <c r="AV735" s="1467">
        <f t="shared" ca="1" si="524"/>
        <v>0</v>
      </c>
      <c r="AW735" s="1468"/>
      <c r="AX735" s="1467">
        <f t="shared" ca="1" si="525"/>
        <v>0</v>
      </c>
      <c r="AY735" s="1468"/>
      <c r="AZ735" s="1467">
        <f t="shared" ca="1" si="526"/>
        <v>0</v>
      </c>
      <c r="BA735" s="1468"/>
      <c r="BB735" s="1467">
        <f t="shared" ca="1" si="527"/>
        <v>0</v>
      </c>
      <c r="BC735" s="1468"/>
      <c r="BD735" s="1467">
        <f t="shared" ca="1" si="528"/>
        <v>0</v>
      </c>
      <c r="BE735" s="1468"/>
      <c r="BF735" s="1467">
        <f t="shared" ca="1" si="529"/>
        <v>0</v>
      </c>
      <c r="BG735" s="1468"/>
      <c r="BH735" s="1467">
        <f t="shared" ca="1" si="530"/>
        <v>0</v>
      </c>
    </row>
    <row r="736" spans="1:60" hidden="1" outlineLevel="1">
      <c r="A736" s="1466">
        <f t="shared" si="532"/>
        <v>18</v>
      </c>
      <c r="B736" s="1466">
        <f t="shared" si="532"/>
        <v>36</v>
      </c>
      <c r="C736" s="1466">
        <f t="shared" si="533"/>
        <v>11</v>
      </c>
      <c r="D736" s="1465" t="str">
        <f ca="1">IF(OFFSET(PortfolioDashboard!$A$3,C736-1,0)="","Blank",OFFSET(PortfolioDashboard!$A$3,C736-1,0))</f>
        <v>Waste Reduction</v>
      </c>
      <c r="E736" s="1466" t="str">
        <f t="shared" si="534"/>
        <v>2010$</v>
      </c>
      <c r="F736" s="1460">
        <f t="shared" ca="1" si="522"/>
        <v>113714.55977078136</v>
      </c>
      <c r="G736" s="1467">
        <f t="shared" ref="G736:AT736" ca="1" si="543">G139+G201+G263+G356+G512</f>
        <v>0</v>
      </c>
      <c r="H736" s="1467">
        <f t="shared" ca="1" si="543"/>
        <v>0</v>
      </c>
      <c r="I736" s="1467">
        <f t="shared" ca="1" si="543"/>
        <v>8148</v>
      </c>
      <c r="J736" s="1467">
        <f t="shared" ca="1" si="543"/>
        <v>8148</v>
      </c>
      <c r="K736" s="1467">
        <f t="shared" ca="1" si="543"/>
        <v>8148</v>
      </c>
      <c r="L736" s="1467">
        <f t="shared" ca="1" si="543"/>
        <v>8148</v>
      </c>
      <c r="M736" s="1467">
        <f t="shared" ca="1" si="543"/>
        <v>8148</v>
      </c>
      <c r="N736" s="1467">
        <f t="shared" ca="1" si="543"/>
        <v>8148</v>
      </c>
      <c r="O736" s="1467">
        <f t="shared" ca="1" si="543"/>
        <v>8148</v>
      </c>
      <c r="P736" s="1467">
        <f t="shared" ca="1" si="543"/>
        <v>8148</v>
      </c>
      <c r="Q736" s="1467">
        <f t="shared" ca="1" si="543"/>
        <v>8148</v>
      </c>
      <c r="R736" s="1467">
        <f t="shared" ca="1" si="543"/>
        <v>8148</v>
      </c>
      <c r="S736" s="1467">
        <f t="shared" ca="1" si="543"/>
        <v>8148</v>
      </c>
      <c r="T736" s="1467">
        <f t="shared" ca="1" si="543"/>
        <v>8148</v>
      </c>
      <c r="U736" s="1467">
        <f t="shared" ca="1" si="543"/>
        <v>8148</v>
      </c>
      <c r="V736" s="1467">
        <f t="shared" ca="1" si="543"/>
        <v>8148</v>
      </c>
      <c r="W736" s="1467">
        <f t="shared" ca="1" si="543"/>
        <v>8148</v>
      </c>
      <c r="X736" s="1467">
        <f t="shared" ca="1" si="543"/>
        <v>8148</v>
      </c>
      <c r="Y736" s="1467">
        <f t="shared" ca="1" si="543"/>
        <v>8148</v>
      </c>
      <c r="Z736" s="1467">
        <f t="shared" ca="1" si="543"/>
        <v>8148</v>
      </c>
      <c r="AA736" s="1467">
        <f t="shared" ca="1" si="543"/>
        <v>8148</v>
      </c>
      <c r="AB736" s="1467">
        <f t="shared" ca="1" si="543"/>
        <v>8148</v>
      </c>
      <c r="AC736" s="1467">
        <f t="shared" ca="1" si="543"/>
        <v>8148</v>
      </c>
      <c r="AD736" s="1467">
        <f t="shared" ca="1" si="543"/>
        <v>8148</v>
      </c>
      <c r="AE736" s="1467">
        <f t="shared" ca="1" si="543"/>
        <v>8148</v>
      </c>
      <c r="AF736" s="1467">
        <f t="shared" ca="1" si="543"/>
        <v>8148</v>
      </c>
      <c r="AG736" s="1467">
        <f t="shared" ca="1" si="543"/>
        <v>8148</v>
      </c>
      <c r="AH736" s="1467">
        <f t="shared" ca="1" si="543"/>
        <v>8148</v>
      </c>
      <c r="AI736" s="1467">
        <f t="shared" ca="1" si="543"/>
        <v>8148</v>
      </c>
      <c r="AJ736" s="1467">
        <f t="shared" ca="1" si="543"/>
        <v>8148</v>
      </c>
      <c r="AK736" s="1467">
        <f t="shared" ca="1" si="543"/>
        <v>8148</v>
      </c>
      <c r="AL736" s="1467">
        <f t="shared" ca="1" si="543"/>
        <v>8148</v>
      </c>
      <c r="AM736" s="1467">
        <f t="shared" ca="1" si="543"/>
        <v>8148</v>
      </c>
      <c r="AN736" s="1467">
        <f t="shared" ca="1" si="543"/>
        <v>8148</v>
      </c>
      <c r="AO736" s="1467">
        <f t="shared" ca="1" si="543"/>
        <v>8148</v>
      </c>
      <c r="AP736" s="1467">
        <f t="shared" ca="1" si="543"/>
        <v>8148</v>
      </c>
      <c r="AQ736" s="1467">
        <f t="shared" ca="1" si="543"/>
        <v>8148</v>
      </c>
      <c r="AR736" s="1467">
        <f t="shared" ca="1" si="543"/>
        <v>8148</v>
      </c>
      <c r="AS736" s="1467">
        <f t="shared" ca="1" si="543"/>
        <v>8148</v>
      </c>
      <c r="AT736" s="1467">
        <f t="shared" ca="1" si="543"/>
        <v>8148</v>
      </c>
      <c r="AU736" s="1467"/>
      <c r="AV736" s="1467">
        <f t="shared" ca="1" si="524"/>
        <v>40740</v>
      </c>
      <c r="AW736" s="1468"/>
      <c r="AX736" s="1467">
        <f t="shared" ca="1" si="525"/>
        <v>40740</v>
      </c>
      <c r="AY736" s="1468"/>
      <c r="AZ736" s="1467">
        <f t="shared" ca="1" si="526"/>
        <v>40740</v>
      </c>
      <c r="BA736" s="1468"/>
      <c r="BB736" s="1467">
        <f t="shared" ca="1" si="527"/>
        <v>40740</v>
      </c>
      <c r="BC736" s="1468"/>
      <c r="BD736" s="1467">
        <f t="shared" ca="1" si="528"/>
        <v>40740</v>
      </c>
      <c r="BE736" s="1468"/>
      <c r="BF736" s="1467">
        <f t="shared" ca="1" si="529"/>
        <v>40740</v>
      </c>
      <c r="BG736" s="1468"/>
      <c r="BH736" s="1467">
        <f t="shared" ca="1" si="530"/>
        <v>40740</v>
      </c>
    </row>
    <row r="737" spans="1:60" hidden="1" outlineLevel="1">
      <c r="A737" s="1466">
        <f t="shared" si="532"/>
        <v>18</v>
      </c>
      <c r="B737" s="1466">
        <f t="shared" si="532"/>
        <v>36</v>
      </c>
      <c r="C737" s="1466">
        <f t="shared" si="533"/>
        <v>12</v>
      </c>
      <c r="D737" s="1465" t="str">
        <f ca="1">IF(OFFSET(PortfolioDashboard!$A$3,C737-1,0)="","Blank",OFFSET(PortfolioDashboard!$A$3,C737-1,0))</f>
        <v>Steam Line Improvements</v>
      </c>
      <c r="E737" s="1466" t="str">
        <f t="shared" si="534"/>
        <v>2010$</v>
      </c>
      <c r="F737" s="1460">
        <f t="shared" ca="1" si="522"/>
        <v>5520765.9617507318</v>
      </c>
      <c r="G737" s="1467">
        <f t="shared" ref="G737:AT737" ca="1" si="544">G140+G202+G264+G357+G513</f>
        <v>0</v>
      </c>
      <c r="H737" s="1467">
        <f t="shared" ca="1" si="544"/>
        <v>0</v>
      </c>
      <c r="I737" s="1467">
        <f t="shared" ca="1" si="544"/>
        <v>318930.98821845633</v>
      </c>
      <c r="J737" s="1467">
        <f t="shared" ca="1" si="544"/>
        <v>325674.38291916944</v>
      </c>
      <c r="K737" s="1467">
        <f t="shared" ca="1" si="544"/>
        <v>331089.05995406612</v>
      </c>
      <c r="L737" s="1467">
        <f t="shared" ca="1" si="544"/>
        <v>340270.05984589568</v>
      </c>
      <c r="M737" s="1467">
        <f t="shared" ca="1" si="544"/>
        <v>345795.67297425686</v>
      </c>
      <c r="N737" s="1467">
        <f t="shared" ca="1" si="544"/>
        <v>351368.03548240557</v>
      </c>
      <c r="O737" s="1467">
        <f t="shared" ca="1" si="544"/>
        <v>356987.47672381124</v>
      </c>
      <c r="P737" s="1467">
        <f t="shared" ca="1" si="544"/>
        <v>362654.32817674411</v>
      </c>
      <c r="Q737" s="1467">
        <f t="shared" ca="1" si="544"/>
        <v>368368.92345728818</v>
      </c>
      <c r="R737" s="1467">
        <f t="shared" ca="1" si="544"/>
        <v>374131.59833243315</v>
      </c>
      <c r="S737" s="1467">
        <f t="shared" ca="1" si="544"/>
        <v>379942.69073324307</v>
      </c>
      <c r="T737" s="1467">
        <f t="shared" ca="1" si="544"/>
        <v>385802.54076810298</v>
      </c>
      <c r="U737" s="1467">
        <f t="shared" ca="1" si="544"/>
        <v>391711.49073604314</v>
      </c>
      <c r="V737" s="1467">
        <f t="shared" ca="1" si="544"/>
        <v>397669.88514014328</v>
      </c>
      <c r="W737" s="1467">
        <f t="shared" ca="1" si="544"/>
        <v>403678.07070101617</v>
      </c>
      <c r="X737" s="1467">
        <f t="shared" ca="1" si="544"/>
        <v>409736.39637036924</v>
      </c>
      <c r="Y737" s="1467">
        <f t="shared" ca="1" si="544"/>
        <v>415845.21334464825</v>
      </c>
      <c r="Z737" s="1467">
        <f t="shared" ca="1" si="544"/>
        <v>422004.87507876102</v>
      </c>
      <c r="AA737" s="1467">
        <f t="shared" ca="1" si="544"/>
        <v>428215.73729988118</v>
      </c>
      <c r="AB737" s="1467">
        <f t="shared" ca="1" si="544"/>
        <v>434478.15802133561</v>
      </c>
      <c r="AC737" s="1467">
        <f t="shared" ca="1" si="544"/>
        <v>440792.49755657191</v>
      </c>
      <c r="AD737" s="1467">
        <f t="shared" ca="1" si="544"/>
        <v>447159.11853321025</v>
      </c>
      <c r="AE737" s="1467">
        <f t="shared" ca="1" si="544"/>
        <v>453578.38590717589</v>
      </c>
      <c r="AF737" s="1467">
        <f t="shared" ca="1" si="544"/>
        <v>460050.66697691794</v>
      </c>
      <c r="AG737" s="1467">
        <f t="shared" ca="1" si="544"/>
        <v>466576.33139770979</v>
      </c>
      <c r="AH737" s="1467">
        <f t="shared" ca="1" si="544"/>
        <v>473155.75119603518</v>
      </c>
      <c r="AI737" s="1467">
        <f t="shared" ca="1" si="544"/>
        <v>479789.30078405864</v>
      </c>
      <c r="AJ737" s="1467">
        <f t="shared" ca="1" si="544"/>
        <v>486477.35697418259</v>
      </c>
      <c r="AK737" s="1467">
        <f t="shared" ca="1" si="544"/>
        <v>493220.29899368808</v>
      </c>
      <c r="AL737" s="1467">
        <f t="shared" ca="1" si="544"/>
        <v>500018.50849946431</v>
      </c>
      <c r="AM737" s="1467">
        <f t="shared" ca="1" si="544"/>
        <v>506872.36959282338</v>
      </c>
      <c r="AN737" s="1467">
        <f t="shared" ca="1" si="544"/>
        <v>513782.26883440372</v>
      </c>
      <c r="AO737" s="1467">
        <f t="shared" ca="1" si="544"/>
        <v>520748.59525915998</v>
      </c>
      <c r="AP737" s="1467">
        <f t="shared" ca="1" si="544"/>
        <v>527771.74039144302</v>
      </c>
      <c r="AQ737" s="1467">
        <f t="shared" ca="1" si="544"/>
        <v>534852.09826016694</v>
      </c>
      <c r="AR737" s="1467">
        <f t="shared" ca="1" si="544"/>
        <v>541990.06541406864</v>
      </c>
      <c r="AS737" s="1467">
        <f t="shared" ca="1" si="544"/>
        <v>549186.04093705327</v>
      </c>
      <c r="AT737" s="1467">
        <f t="shared" ca="1" si="544"/>
        <v>556440.42646363203</v>
      </c>
      <c r="AU737" s="1467"/>
      <c r="AV737" s="1467">
        <f t="shared" ca="1" si="524"/>
        <v>1757075.5732031134</v>
      </c>
      <c r="AW737" s="1468"/>
      <c r="AX737" s="1467">
        <f t="shared" ca="1" si="525"/>
        <v>1899957.2440271105</v>
      </c>
      <c r="AY737" s="1468"/>
      <c r="AZ737" s="1467">
        <f t="shared" ca="1" si="526"/>
        <v>2048934.440634938</v>
      </c>
      <c r="BA737" s="1468"/>
      <c r="BB737" s="1467">
        <f t="shared" ca="1" si="527"/>
        <v>2204223.8973181751</v>
      </c>
      <c r="BC737" s="1468"/>
      <c r="BD737" s="1467">
        <f t="shared" ca="1" si="528"/>
        <v>2366049.4073289041</v>
      </c>
      <c r="BE737" s="1468"/>
      <c r="BF737" s="1467">
        <f t="shared" ca="1" si="529"/>
        <v>2534642.0411795392</v>
      </c>
      <c r="BG737" s="1468"/>
      <c r="BH737" s="1467">
        <f t="shared" ca="1" si="530"/>
        <v>2710240.3714663638</v>
      </c>
    </row>
    <row r="738" spans="1:60" hidden="1" outlineLevel="1">
      <c r="A738" s="1466">
        <f t="shared" si="532"/>
        <v>18</v>
      </c>
      <c r="B738" s="1466">
        <f t="shared" si="532"/>
        <v>36</v>
      </c>
      <c r="C738" s="1466">
        <f t="shared" si="533"/>
        <v>13</v>
      </c>
      <c r="D738" s="1465" t="str">
        <f ca="1">IF(OFFSET(PortfolioDashboard!$A$3,C738-1,0)="","Blank",OFFSET(PortfolioDashboard!$A$3,C738-1,0))</f>
        <v>Coal to Natural Gas Conversion @ Steam Plant</v>
      </c>
      <c r="E738" s="1466" t="str">
        <f t="shared" si="534"/>
        <v>2010$</v>
      </c>
      <c r="F738" s="1460">
        <f t="shared" ca="1" si="522"/>
        <v>0</v>
      </c>
      <c r="G738" s="1467">
        <f t="shared" ref="G738:AT738" ca="1" si="545">G141+G203+G265+G358+G514</f>
        <v>0</v>
      </c>
      <c r="H738" s="1467">
        <f t="shared" ca="1" si="545"/>
        <v>0</v>
      </c>
      <c r="I738" s="1467">
        <f t="shared" ca="1" si="545"/>
        <v>0</v>
      </c>
      <c r="J738" s="1467">
        <f t="shared" ca="1" si="545"/>
        <v>0</v>
      </c>
      <c r="K738" s="1467">
        <f t="shared" ca="1" si="545"/>
        <v>0</v>
      </c>
      <c r="L738" s="1467">
        <f t="shared" ca="1" si="545"/>
        <v>0</v>
      </c>
      <c r="M738" s="1467">
        <f t="shared" ca="1" si="545"/>
        <v>0</v>
      </c>
      <c r="N738" s="1467">
        <f t="shared" ca="1" si="545"/>
        <v>0</v>
      </c>
      <c r="O738" s="1467">
        <f t="shared" ca="1" si="545"/>
        <v>0</v>
      </c>
      <c r="P738" s="1467">
        <f t="shared" ca="1" si="545"/>
        <v>0</v>
      </c>
      <c r="Q738" s="1467">
        <f t="shared" ca="1" si="545"/>
        <v>0</v>
      </c>
      <c r="R738" s="1467">
        <f t="shared" ca="1" si="545"/>
        <v>0</v>
      </c>
      <c r="S738" s="1467">
        <f t="shared" ca="1" si="545"/>
        <v>0</v>
      </c>
      <c r="T738" s="1467">
        <f t="shared" ca="1" si="545"/>
        <v>0</v>
      </c>
      <c r="U738" s="1467">
        <f t="shared" ca="1" si="545"/>
        <v>0</v>
      </c>
      <c r="V738" s="1467">
        <f t="shared" ca="1" si="545"/>
        <v>0</v>
      </c>
      <c r="W738" s="1467">
        <f t="shared" ca="1" si="545"/>
        <v>0</v>
      </c>
      <c r="X738" s="1467">
        <f t="shared" ca="1" si="545"/>
        <v>0</v>
      </c>
      <c r="Y738" s="1467">
        <f t="shared" ca="1" si="545"/>
        <v>0</v>
      </c>
      <c r="Z738" s="1467">
        <f t="shared" ca="1" si="545"/>
        <v>0</v>
      </c>
      <c r="AA738" s="1467">
        <f t="shared" ca="1" si="545"/>
        <v>0</v>
      </c>
      <c r="AB738" s="1467">
        <f t="shared" ca="1" si="545"/>
        <v>0</v>
      </c>
      <c r="AC738" s="1467">
        <f t="shared" ca="1" si="545"/>
        <v>0</v>
      </c>
      <c r="AD738" s="1467">
        <f t="shared" ca="1" si="545"/>
        <v>0</v>
      </c>
      <c r="AE738" s="1467">
        <f t="shared" ca="1" si="545"/>
        <v>0</v>
      </c>
      <c r="AF738" s="1467">
        <f t="shared" ca="1" si="545"/>
        <v>0</v>
      </c>
      <c r="AG738" s="1467">
        <f t="shared" ca="1" si="545"/>
        <v>0</v>
      </c>
      <c r="AH738" s="1467">
        <f t="shared" ca="1" si="545"/>
        <v>0</v>
      </c>
      <c r="AI738" s="1467">
        <f t="shared" ca="1" si="545"/>
        <v>0</v>
      </c>
      <c r="AJ738" s="1467">
        <f t="shared" ca="1" si="545"/>
        <v>0</v>
      </c>
      <c r="AK738" s="1467">
        <f t="shared" ca="1" si="545"/>
        <v>0</v>
      </c>
      <c r="AL738" s="1467">
        <f t="shared" ca="1" si="545"/>
        <v>0</v>
      </c>
      <c r="AM738" s="1467">
        <f t="shared" ca="1" si="545"/>
        <v>0</v>
      </c>
      <c r="AN738" s="1467">
        <f t="shared" ca="1" si="545"/>
        <v>0</v>
      </c>
      <c r="AO738" s="1467">
        <f t="shared" ca="1" si="545"/>
        <v>0</v>
      </c>
      <c r="AP738" s="1467">
        <f t="shared" ca="1" si="545"/>
        <v>0</v>
      </c>
      <c r="AQ738" s="1467">
        <f t="shared" ca="1" si="545"/>
        <v>0</v>
      </c>
      <c r="AR738" s="1467">
        <f t="shared" ca="1" si="545"/>
        <v>0</v>
      </c>
      <c r="AS738" s="1467">
        <f t="shared" ca="1" si="545"/>
        <v>0</v>
      </c>
      <c r="AT738" s="1467">
        <f t="shared" ca="1" si="545"/>
        <v>0</v>
      </c>
      <c r="AU738" s="1467"/>
      <c r="AV738" s="1467">
        <f t="shared" ca="1" si="524"/>
        <v>0</v>
      </c>
      <c r="AW738" s="1468"/>
      <c r="AX738" s="1467">
        <f t="shared" ca="1" si="525"/>
        <v>0</v>
      </c>
      <c r="AY738" s="1468"/>
      <c r="AZ738" s="1467">
        <f t="shared" ca="1" si="526"/>
        <v>0</v>
      </c>
      <c r="BA738" s="1468"/>
      <c r="BB738" s="1467">
        <f t="shared" ca="1" si="527"/>
        <v>0</v>
      </c>
      <c r="BC738" s="1468"/>
      <c r="BD738" s="1467">
        <f t="shared" ca="1" si="528"/>
        <v>0</v>
      </c>
      <c r="BE738" s="1468"/>
      <c r="BF738" s="1467">
        <f t="shared" ca="1" si="529"/>
        <v>0</v>
      </c>
      <c r="BG738" s="1468"/>
      <c r="BH738" s="1467">
        <f t="shared" ca="1" si="530"/>
        <v>0</v>
      </c>
    </row>
    <row r="739" spans="1:60" hidden="1" outlineLevel="1">
      <c r="A739" s="1466">
        <f t="shared" si="532"/>
        <v>18</v>
      </c>
      <c r="B739" s="1466">
        <f t="shared" si="532"/>
        <v>36</v>
      </c>
      <c r="C739" s="1466">
        <f t="shared" si="533"/>
        <v>14</v>
      </c>
      <c r="D739" s="1465" t="str">
        <f ca="1">IF(OFFSET(PortfolioDashboard!$A$3,C739-1,0)="","Blank",OFFSET(PortfolioDashboard!$A$3,C739-1,0))</f>
        <v>On-site Wind</v>
      </c>
      <c r="E739" s="1466" t="str">
        <f t="shared" si="534"/>
        <v>2010$</v>
      </c>
      <c r="F739" s="1460">
        <f t="shared" ca="1" si="522"/>
        <v>236953.76386988963</v>
      </c>
      <c r="G739" s="1467">
        <f t="shared" ref="G739:AT739" ca="1" si="546">G142+G204+G266+G359+G515</f>
        <v>0</v>
      </c>
      <c r="H739" s="1467">
        <f t="shared" ca="1" si="546"/>
        <v>14966.46</v>
      </c>
      <c r="I739" s="1467">
        <f t="shared" ca="1" si="546"/>
        <v>15041.292299999994</v>
      </c>
      <c r="J739" s="1467">
        <f t="shared" ca="1" si="546"/>
        <v>15116.498761499994</v>
      </c>
      <c r="K739" s="1467">
        <f t="shared" ca="1" si="546"/>
        <v>15192.081255307488</v>
      </c>
      <c r="L739" s="1467">
        <f t="shared" ca="1" si="546"/>
        <v>15268.041661584026</v>
      </c>
      <c r="M739" s="1467">
        <f t="shared" ca="1" si="546"/>
        <v>15344.381869891942</v>
      </c>
      <c r="N739" s="1467">
        <f t="shared" ca="1" si="546"/>
        <v>15421.103779241399</v>
      </c>
      <c r="O739" s="1467">
        <f t="shared" ca="1" si="546"/>
        <v>15498.209298137604</v>
      </c>
      <c r="P739" s="1467">
        <f t="shared" ca="1" si="546"/>
        <v>15575.700344628294</v>
      </c>
      <c r="Q739" s="1467">
        <f t="shared" ca="1" si="546"/>
        <v>15653.578846351431</v>
      </c>
      <c r="R739" s="1467">
        <f t="shared" ca="1" si="546"/>
        <v>15731.846740583187</v>
      </c>
      <c r="S739" s="1467">
        <f t="shared" ca="1" si="546"/>
        <v>15810.505974286096</v>
      </c>
      <c r="T739" s="1467">
        <f t="shared" ca="1" si="546"/>
        <v>15889.558504157527</v>
      </c>
      <c r="U739" s="1467">
        <f t="shared" ca="1" si="546"/>
        <v>15969.006296678312</v>
      </c>
      <c r="V739" s="1467">
        <f t="shared" ca="1" si="546"/>
        <v>16048.8513281617</v>
      </c>
      <c r="W739" s="1467">
        <f t="shared" ca="1" si="546"/>
        <v>16129.095584802508</v>
      </c>
      <c r="X739" s="1467">
        <f t="shared" ca="1" si="546"/>
        <v>16209.741062726518</v>
      </c>
      <c r="Y739" s="1467">
        <f t="shared" ca="1" si="546"/>
        <v>16290.789768040146</v>
      </c>
      <c r="Z739" s="1467">
        <f t="shared" ca="1" si="546"/>
        <v>16372.243716880344</v>
      </c>
      <c r="AA739" s="1467">
        <f t="shared" ca="1" si="546"/>
        <v>16454.104935464744</v>
      </c>
      <c r="AB739" s="1467">
        <f t="shared" ca="1" si="546"/>
        <v>16536.375460142062</v>
      </c>
      <c r="AC739" s="1467">
        <f t="shared" ca="1" si="546"/>
        <v>16619.057337442773</v>
      </c>
      <c r="AD739" s="1467">
        <f t="shared" ca="1" si="546"/>
        <v>16702.152624129983</v>
      </c>
      <c r="AE739" s="1467">
        <f t="shared" ca="1" si="546"/>
        <v>16785.663387250635</v>
      </c>
      <c r="AF739" s="1467">
        <f t="shared" ca="1" si="546"/>
        <v>16869.591704186882</v>
      </c>
      <c r="AG739" s="1467">
        <f t="shared" ca="1" si="546"/>
        <v>16953.939662707817</v>
      </c>
      <c r="AH739" s="1467">
        <f t="shared" ca="1" si="546"/>
        <v>17038.709361021352</v>
      </c>
      <c r="AI739" s="1467">
        <f t="shared" ca="1" si="546"/>
        <v>17123.902907826454</v>
      </c>
      <c r="AJ739" s="1467">
        <f t="shared" ca="1" si="546"/>
        <v>17209.522422365586</v>
      </c>
      <c r="AK739" s="1467">
        <f t="shared" ca="1" si="546"/>
        <v>17295.570034477412</v>
      </c>
      <c r="AL739" s="1467">
        <f t="shared" ca="1" si="546"/>
        <v>17382.047884649794</v>
      </c>
      <c r="AM739" s="1467">
        <f t="shared" ca="1" si="546"/>
        <v>17468.95812407304</v>
      </c>
      <c r="AN739" s="1467">
        <f t="shared" ca="1" si="546"/>
        <v>17556.302914693402</v>
      </c>
      <c r="AO739" s="1467">
        <f t="shared" ca="1" si="546"/>
        <v>17644.084429266866</v>
      </c>
      <c r="AP739" s="1467">
        <f t="shared" ca="1" si="546"/>
        <v>17732.304851413199</v>
      </c>
      <c r="AQ739" s="1467">
        <f t="shared" ca="1" si="546"/>
        <v>17820.966375670261</v>
      </c>
      <c r="AR739" s="1467">
        <f t="shared" ca="1" si="546"/>
        <v>17910.071207548608</v>
      </c>
      <c r="AS739" s="1467">
        <f t="shared" ca="1" si="546"/>
        <v>17999.621563586348</v>
      </c>
      <c r="AT739" s="1467">
        <f t="shared" ca="1" si="546"/>
        <v>18089.619671404278</v>
      </c>
      <c r="AU739" s="1467"/>
      <c r="AV739" s="1467">
        <f t="shared" ca="1" si="524"/>
        <v>77107.436953483266</v>
      </c>
      <c r="AW739" s="1468"/>
      <c r="AX739" s="1467">
        <f t="shared" ca="1" si="525"/>
        <v>79054.496362056554</v>
      </c>
      <c r="AY739" s="1468"/>
      <c r="AZ739" s="1467">
        <f t="shared" ca="1" si="526"/>
        <v>81050.72146061121</v>
      </c>
      <c r="BA739" s="1468"/>
      <c r="BB739" s="1467">
        <f t="shared" ca="1" si="527"/>
        <v>83097.353744430206</v>
      </c>
      <c r="BC739" s="1468"/>
      <c r="BD739" s="1467">
        <f t="shared" ca="1" si="528"/>
        <v>85195.666058108094</v>
      </c>
      <c r="BE739" s="1468"/>
      <c r="BF739" s="1467">
        <f t="shared" ca="1" si="529"/>
        <v>87346.963387160518</v>
      </c>
      <c r="BG739" s="1468"/>
      <c r="BH739" s="1467">
        <f t="shared" ca="1" si="530"/>
        <v>89552.583669622691</v>
      </c>
    </row>
    <row r="740" spans="1:60" hidden="1" outlineLevel="1">
      <c r="A740" s="1466">
        <f t="shared" si="532"/>
        <v>18</v>
      </c>
      <c r="B740" s="1466">
        <f t="shared" si="532"/>
        <v>36</v>
      </c>
      <c r="C740" s="1466">
        <f t="shared" si="533"/>
        <v>15</v>
      </c>
      <c r="D740" s="1465" t="str">
        <f ca="1">IF(OFFSET(PortfolioDashboard!$A$3,C740-1,0)="","Blank",OFFSET(PortfolioDashboard!$A$3,C740-1,0))</f>
        <v>Solar DHW</v>
      </c>
      <c r="E740" s="1466" t="str">
        <f t="shared" si="534"/>
        <v>2010$</v>
      </c>
      <c r="F740" s="1460">
        <f t="shared" ca="1" si="522"/>
        <v>64882.291036694667</v>
      </c>
      <c r="G740" s="1467">
        <f t="shared" ref="G740:AT740" ca="1" si="547">G143+G205+G267+G360+G516</f>
        <v>0</v>
      </c>
      <c r="H740" s="1467">
        <f t="shared" ca="1" si="547"/>
        <v>0</v>
      </c>
      <c r="I740" s="1467">
        <f t="shared" ca="1" si="547"/>
        <v>4365.7750911300864</v>
      </c>
      <c r="J740" s="1467">
        <f t="shared" ca="1" si="547"/>
        <v>4387.6039665857361</v>
      </c>
      <c r="K740" s="1467">
        <f t="shared" ca="1" si="547"/>
        <v>4409.5419864186642</v>
      </c>
      <c r="L740" s="1467">
        <f t="shared" ca="1" si="547"/>
        <v>4431.5896963507566</v>
      </c>
      <c r="M740" s="1467">
        <f t="shared" ca="1" si="547"/>
        <v>4453.7476448325096</v>
      </c>
      <c r="N740" s="1467">
        <f t="shared" ca="1" si="547"/>
        <v>4476.0163830566726</v>
      </c>
      <c r="O740" s="1467">
        <f t="shared" ca="1" si="547"/>
        <v>4498.3964649719546</v>
      </c>
      <c r="P740" s="1467">
        <f t="shared" ca="1" si="547"/>
        <v>4520.8884472968148</v>
      </c>
      <c r="Q740" s="1467">
        <f t="shared" ca="1" si="547"/>
        <v>4543.4928895332978</v>
      </c>
      <c r="R740" s="1467">
        <f t="shared" ca="1" si="547"/>
        <v>4566.210353980965</v>
      </c>
      <c r="S740" s="1467">
        <f t="shared" ca="1" si="547"/>
        <v>4589.0414057508669</v>
      </c>
      <c r="T740" s="1467">
        <f t="shared" ca="1" si="547"/>
        <v>4611.9866127796213</v>
      </c>
      <c r="U740" s="1467">
        <f t="shared" ca="1" si="547"/>
        <v>4635.0465458435183</v>
      </c>
      <c r="V740" s="1467">
        <f t="shared" ca="1" si="547"/>
        <v>4658.2217785727362</v>
      </c>
      <c r="W740" s="1467">
        <f t="shared" ca="1" si="547"/>
        <v>4681.5128874655975</v>
      </c>
      <c r="X740" s="1467">
        <f t="shared" ca="1" si="547"/>
        <v>4704.9204519029254</v>
      </c>
      <c r="Y740" s="1467">
        <f t="shared" ca="1" si="547"/>
        <v>4728.4450541624392</v>
      </c>
      <c r="Z740" s="1467">
        <f t="shared" ca="1" si="547"/>
        <v>4752.0872794332508</v>
      </c>
      <c r="AA740" s="1467">
        <f t="shared" ca="1" si="547"/>
        <v>4775.8477158304167</v>
      </c>
      <c r="AB740" s="1467">
        <f t="shared" ca="1" si="547"/>
        <v>4799.726954409568</v>
      </c>
      <c r="AC740" s="1467">
        <f t="shared" ca="1" si="547"/>
        <v>4823.7255891816149</v>
      </c>
      <c r="AD740" s="1467">
        <f t="shared" ca="1" si="547"/>
        <v>4847.8442171275219</v>
      </c>
      <c r="AE740" s="1467">
        <f t="shared" ca="1" si="547"/>
        <v>4872.0834382131607</v>
      </c>
      <c r="AF740" s="1467">
        <f t="shared" ca="1" si="547"/>
        <v>4896.4438554042254</v>
      </c>
      <c r="AG740" s="1467">
        <f t="shared" ca="1" si="547"/>
        <v>4920.9260746812452</v>
      </c>
      <c r="AH740" s="1467">
        <f t="shared" ca="1" si="547"/>
        <v>4945.5307050546508</v>
      </c>
      <c r="AI740" s="1467">
        <f t="shared" ca="1" si="547"/>
        <v>4970.2583585799221</v>
      </c>
      <c r="AJ740" s="1467">
        <f t="shared" ca="1" si="547"/>
        <v>4995.1096503728222</v>
      </c>
      <c r="AK740" s="1467">
        <f t="shared" ca="1" si="547"/>
        <v>5020.0851986246853</v>
      </c>
      <c r="AL740" s="1467">
        <f t="shared" ca="1" si="547"/>
        <v>5045.1856246178077</v>
      </c>
      <c r="AM740" s="1467">
        <f t="shared" ca="1" si="547"/>
        <v>5070.4115527408958</v>
      </c>
      <c r="AN740" s="1467">
        <f t="shared" ca="1" si="547"/>
        <v>5095.7636105045995</v>
      </c>
      <c r="AO740" s="1467">
        <f t="shared" ca="1" si="547"/>
        <v>5121.2424285571224</v>
      </c>
      <c r="AP740" s="1467">
        <f t="shared" ca="1" si="547"/>
        <v>5146.8486406999073</v>
      </c>
      <c r="AQ740" s="1467">
        <f t="shared" ca="1" si="547"/>
        <v>5172.5828839034039</v>
      </c>
      <c r="AR740" s="1467">
        <f t="shared" ca="1" si="547"/>
        <v>5198.4457983229195</v>
      </c>
      <c r="AS740" s="1467">
        <f t="shared" ca="1" si="547"/>
        <v>5224.4380273145352</v>
      </c>
      <c r="AT740" s="1467">
        <f t="shared" ca="1" si="547"/>
        <v>5250.5602174511068</v>
      </c>
      <c r="AU740" s="1467"/>
      <c r="AV740" s="1467">
        <f t="shared" ca="1" si="524"/>
        <v>22380.638636508709</v>
      </c>
      <c r="AW740" s="1468"/>
      <c r="AX740" s="1467">
        <f t="shared" ca="1" si="525"/>
        <v>22945.777807888266</v>
      </c>
      <c r="AY740" s="1468"/>
      <c r="AZ740" s="1467">
        <f t="shared" ca="1" si="526"/>
        <v>23525.187451536949</v>
      </c>
      <c r="BA740" s="1468"/>
      <c r="BB740" s="1467">
        <f t="shared" ca="1" si="527"/>
        <v>24119.227914762283</v>
      </c>
      <c r="BC740" s="1468"/>
      <c r="BD740" s="1467">
        <f t="shared" ca="1" si="528"/>
        <v>24728.268644092866</v>
      </c>
      <c r="BE740" s="1468"/>
      <c r="BF740" s="1467">
        <f t="shared" ca="1" si="529"/>
        <v>25352.688415045108</v>
      </c>
      <c r="BG740" s="1468"/>
      <c r="BH740" s="1467">
        <f t="shared" ca="1" si="530"/>
        <v>25992.875567691874</v>
      </c>
    </row>
    <row r="741" spans="1:60" hidden="1" outlineLevel="1">
      <c r="A741" s="1466">
        <f t="shared" si="532"/>
        <v>18</v>
      </c>
      <c r="B741" s="1466">
        <f t="shared" si="532"/>
        <v>36</v>
      </c>
      <c r="C741" s="1466">
        <f t="shared" si="533"/>
        <v>16</v>
      </c>
      <c r="D741" s="1465" t="str">
        <f ca="1">IF(OFFSET(PortfolioDashboard!$A$3,C741-1,0)="","Blank",OFFSET(PortfolioDashboard!$A$3,C741-1,0))</f>
        <v>Geo Exchange</v>
      </c>
      <c r="E741" s="1466" t="str">
        <f t="shared" si="534"/>
        <v>2010$</v>
      </c>
      <c r="F741" s="1460">
        <f t="shared" ca="1" si="522"/>
        <v>2876606.3207084471</v>
      </c>
      <c r="G741" s="1467">
        <f t="shared" ref="G741:AT741" ca="1" si="548">G144+G206+G268+G361+G517</f>
        <v>0</v>
      </c>
      <c r="H741" s="1467">
        <f t="shared" ca="1" si="548"/>
        <v>0</v>
      </c>
      <c r="I741" s="1467">
        <f t="shared" ca="1" si="548"/>
        <v>0</v>
      </c>
      <c r="J741" s="1467">
        <f t="shared" ca="1" si="548"/>
        <v>109301.99361941483</v>
      </c>
      <c r="K741" s="1467">
        <f t="shared" ca="1" si="548"/>
        <v>109848.50358751189</v>
      </c>
      <c r="L741" s="1467">
        <f t="shared" ca="1" si="548"/>
        <v>220795.49221089884</v>
      </c>
      <c r="M741" s="1467">
        <f t="shared" ca="1" si="548"/>
        <v>221899.46967195329</v>
      </c>
      <c r="N741" s="1467">
        <f t="shared" ca="1" si="548"/>
        <v>223008.96702031308</v>
      </c>
      <c r="O741" s="1467">
        <f t="shared" ca="1" si="548"/>
        <v>224124.0118554146</v>
      </c>
      <c r="P741" s="1467">
        <f t="shared" ca="1" si="548"/>
        <v>225244.63191469168</v>
      </c>
      <c r="Q741" s="1467">
        <f t="shared" ca="1" si="548"/>
        <v>226370.8550742651</v>
      </c>
      <c r="R741" s="1467">
        <f t="shared" ca="1" si="548"/>
        <v>227502.70934963643</v>
      </c>
      <c r="S741" s="1467">
        <f t="shared" ca="1" si="548"/>
        <v>228640.22289638451</v>
      </c>
      <c r="T741" s="1467">
        <f t="shared" ca="1" si="548"/>
        <v>229783.42401086641</v>
      </c>
      <c r="U741" s="1467">
        <f t="shared" ca="1" si="548"/>
        <v>230932.34113092071</v>
      </c>
      <c r="V741" s="1467">
        <f t="shared" ca="1" si="548"/>
        <v>232087.0028365753</v>
      </c>
      <c r="W741" s="1467">
        <f t="shared" ca="1" si="548"/>
        <v>233247.43785075808</v>
      </c>
      <c r="X741" s="1467">
        <f t="shared" ca="1" si="548"/>
        <v>234413.67504001185</v>
      </c>
      <c r="Y741" s="1467">
        <f t="shared" ca="1" si="548"/>
        <v>235585.74341521188</v>
      </c>
      <c r="Z741" s="1467">
        <f t="shared" ca="1" si="548"/>
        <v>236763.67213228793</v>
      </c>
      <c r="AA741" s="1467">
        <f t="shared" ca="1" si="548"/>
        <v>237947.49049294932</v>
      </c>
      <c r="AB741" s="1467">
        <f t="shared" ca="1" si="548"/>
        <v>239137.22794541399</v>
      </c>
      <c r="AC741" s="1467">
        <f t="shared" ca="1" si="548"/>
        <v>240332.91408514103</v>
      </c>
      <c r="AD741" s="1467">
        <f t="shared" ca="1" si="548"/>
        <v>241534.57865556673</v>
      </c>
      <c r="AE741" s="1467">
        <f t="shared" ca="1" si="548"/>
        <v>242742.25154884456</v>
      </c>
      <c r="AF741" s="1467">
        <f t="shared" ca="1" si="548"/>
        <v>243955.96280658874</v>
      </c>
      <c r="AG741" s="1467">
        <f t="shared" ca="1" si="548"/>
        <v>245175.74262062163</v>
      </c>
      <c r="AH741" s="1467">
        <f t="shared" ca="1" si="548"/>
        <v>246401.62133372473</v>
      </c>
      <c r="AI741" s="1467">
        <f t="shared" ca="1" si="548"/>
        <v>247633.62944039327</v>
      </c>
      <c r="AJ741" s="1467">
        <f t="shared" ca="1" si="548"/>
        <v>248871.79758759521</v>
      </c>
      <c r="AK741" s="1467">
        <f t="shared" ca="1" si="548"/>
        <v>250116.15657553315</v>
      </c>
      <c r="AL741" s="1467">
        <f t="shared" ca="1" si="548"/>
        <v>251366.73735841076</v>
      </c>
      <c r="AM741" s="1467">
        <f t="shared" ca="1" si="548"/>
        <v>252623.57104520276</v>
      </c>
      <c r="AN741" s="1467">
        <f t="shared" ca="1" si="548"/>
        <v>253886.68890042877</v>
      </c>
      <c r="AO741" s="1467">
        <f t="shared" ca="1" si="548"/>
        <v>255156.12234493089</v>
      </c>
      <c r="AP741" s="1467">
        <f t="shared" ca="1" si="548"/>
        <v>256431.90295665548</v>
      </c>
      <c r="AQ741" s="1467">
        <f t="shared" ca="1" si="548"/>
        <v>257714.06247143866</v>
      </c>
      <c r="AR741" s="1467">
        <f t="shared" ca="1" si="548"/>
        <v>259002.63278379579</v>
      </c>
      <c r="AS741" s="1467">
        <f t="shared" ca="1" si="548"/>
        <v>260297.6459477148</v>
      </c>
      <c r="AT741" s="1467">
        <f t="shared" ca="1" si="548"/>
        <v>261599.13417745332</v>
      </c>
      <c r="AU741" s="1467"/>
      <c r="AV741" s="1467">
        <f t="shared" ca="1" si="524"/>
        <v>1115072.5726732716</v>
      </c>
      <c r="AW741" s="1468"/>
      <c r="AX741" s="1467">
        <f t="shared" ca="1" si="525"/>
        <v>1143229.5524620733</v>
      </c>
      <c r="AY741" s="1468"/>
      <c r="AZ741" s="1467">
        <f t="shared" ca="1" si="526"/>
        <v>1172097.5312748451</v>
      </c>
      <c r="BA741" s="1468"/>
      <c r="BB741" s="1467">
        <f t="shared" ca="1" si="527"/>
        <v>1201694.4627279157</v>
      </c>
      <c r="BC741" s="1468"/>
      <c r="BD741" s="1467">
        <f t="shared" ca="1" si="528"/>
        <v>1232038.7537889236</v>
      </c>
      <c r="BE741" s="1468"/>
      <c r="BF741" s="1467">
        <f t="shared" ca="1" si="529"/>
        <v>1263149.2762245063</v>
      </c>
      <c r="BG741" s="1468"/>
      <c r="BH741" s="1467">
        <f t="shared" ca="1" si="530"/>
        <v>1295045.378337058</v>
      </c>
    </row>
    <row r="742" spans="1:60" hidden="1" outlineLevel="1">
      <c r="A742" s="1466">
        <f t="shared" si="532"/>
        <v>18</v>
      </c>
      <c r="B742" s="1466">
        <f t="shared" si="532"/>
        <v>36</v>
      </c>
      <c r="C742" s="1466">
        <f t="shared" si="533"/>
        <v>17</v>
      </c>
      <c r="D742" s="1465" t="str">
        <f ca="1">IF(OFFSET(PortfolioDashboard!$A$3,C742-1,0)="","Blank",OFFSET(PortfolioDashboard!$A$3,C742-1,0))</f>
        <v>Rooftop Solar PV</v>
      </c>
      <c r="E742" s="1466" t="str">
        <f t="shared" si="534"/>
        <v>2010$</v>
      </c>
      <c r="F742" s="1460">
        <f t="shared" ca="1" si="522"/>
        <v>747925.0966664661</v>
      </c>
      <c r="G742" s="1467">
        <f t="shared" ref="G742:AT742" ca="1" si="549">G145+G207+G269+G362+G518</f>
        <v>0</v>
      </c>
      <c r="H742" s="1467">
        <f t="shared" ca="1" si="549"/>
        <v>0</v>
      </c>
      <c r="I742" s="1467">
        <f t="shared" ca="1" si="549"/>
        <v>0</v>
      </c>
      <c r="J742" s="1467">
        <f t="shared" ca="1" si="549"/>
        <v>0</v>
      </c>
      <c r="K742" s="1467">
        <f t="shared" ca="1" si="549"/>
        <v>0</v>
      </c>
      <c r="L742" s="1467">
        <f t="shared" ca="1" si="549"/>
        <v>61044.988312129492</v>
      </c>
      <c r="M742" s="1467">
        <f t="shared" ca="1" si="549"/>
        <v>61350.213253690126</v>
      </c>
      <c r="N742" s="1467">
        <f t="shared" ca="1" si="549"/>
        <v>61656.96431995857</v>
      </c>
      <c r="O742" s="1467">
        <f t="shared" ca="1" si="549"/>
        <v>61965.249141558357</v>
      </c>
      <c r="P742" s="1467">
        <f t="shared" ca="1" si="549"/>
        <v>62275.075387266144</v>
      </c>
      <c r="Q742" s="1467">
        <f t="shared" ca="1" si="549"/>
        <v>62586.450764202462</v>
      </c>
      <c r="R742" s="1467">
        <f t="shared" ca="1" si="549"/>
        <v>62899.383018023473</v>
      </c>
      <c r="S742" s="1467">
        <f t="shared" ca="1" si="549"/>
        <v>63213.87993311356</v>
      </c>
      <c r="T742" s="1467">
        <f t="shared" ca="1" si="549"/>
        <v>63529.949332779128</v>
      </c>
      <c r="U742" s="1467">
        <f t="shared" ca="1" si="549"/>
        <v>63847.599079443018</v>
      </c>
      <c r="V742" s="1467">
        <f t="shared" ca="1" si="549"/>
        <v>64166.837074840216</v>
      </c>
      <c r="W742" s="1467">
        <f t="shared" ca="1" si="549"/>
        <v>64487.671260214411</v>
      </c>
      <c r="X742" s="1467">
        <f t="shared" ca="1" si="549"/>
        <v>64810.109616515474</v>
      </c>
      <c r="Y742" s="1467">
        <f t="shared" ca="1" si="549"/>
        <v>65134.160164598034</v>
      </c>
      <c r="Z742" s="1467">
        <f t="shared" ca="1" si="549"/>
        <v>65459.830965421017</v>
      </c>
      <c r="AA742" s="1467">
        <f t="shared" ca="1" si="549"/>
        <v>65787.130120248112</v>
      </c>
      <c r="AB742" s="1467">
        <f t="shared" ca="1" si="549"/>
        <v>66116.065770849338</v>
      </c>
      <c r="AC742" s="1467">
        <f t="shared" ca="1" si="549"/>
        <v>66446.646099703576</v>
      </c>
      <c r="AD742" s="1467">
        <f t="shared" ca="1" si="549"/>
        <v>66778.879330202079</v>
      </c>
      <c r="AE742" s="1467">
        <f t="shared" ca="1" si="549"/>
        <v>67112.773726853091</v>
      </c>
      <c r="AF742" s="1467">
        <f t="shared" ca="1" si="549"/>
        <v>67448.337595487348</v>
      </c>
      <c r="AG742" s="1467">
        <f t="shared" ca="1" si="549"/>
        <v>67785.579283464773</v>
      </c>
      <c r="AH742" s="1467">
        <f t="shared" ca="1" si="549"/>
        <v>68124.507179882086</v>
      </c>
      <c r="AI742" s="1467">
        <f t="shared" ca="1" si="549"/>
        <v>68465.129715781484</v>
      </c>
      <c r="AJ742" s="1467">
        <f t="shared" ca="1" si="549"/>
        <v>68807.455364360387</v>
      </c>
      <c r="AK742" s="1467">
        <f t="shared" ca="1" si="549"/>
        <v>69151.49264118218</v>
      </c>
      <c r="AL742" s="1467">
        <f t="shared" ca="1" si="549"/>
        <v>69497.250104388062</v>
      </c>
      <c r="AM742" s="1467">
        <f t="shared" ca="1" si="549"/>
        <v>69844.736354909997</v>
      </c>
      <c r="AN742" s="1467">
        <f t="shared" ca="1" si="549"/>
        <v>70193.960036684541</v>
      </c>
      <c r="AO742" s="1467">
        <f t="shared" ca="1" si="549"/>
        <v>70544.929836867959</v>
      </c>
      <c r="AP742" s="1467">
        <f t="shared" ca="1" si="549"/>
        <v>70897.654486052284</v>
      </c>
      <c r="AQ742" s="1467">
        <f t="shared" ca="1" si="549"/>
        <v>71252.142758482529</v>
      </c>
      <c r="AR742" s="1467">
        <f t="shared" ca="1" si="549"/>
        <v>71608.40347227492</v>
      </c>
      <c r="AS742" s="1467">
        <f t="shared" ca="1" si="549"/>
        <v>71966.445489636288</v>
      </c>
      <c r="AT742" s="1467">
        <f t="shared" ca="1" si="549"/>
        <v>72326.277717084464</v>
      </c>
      <c r="AU742" s="1467"/>
      <c r="AV742" s="1467">
        <f t="shared" ca="1" si="524"/>
        <v>308292.49041460268</v>
      </c>
      <c r="AW742" s="1468"/>
      <c r="AX742" s="1467">
        <f t="shared" ca="1" si="525"/>
        <v>316077.26212756161</v>
      </c>
      <c r="AY742" s="1468"/>
      <c r="AZ742" s="1467">
        <f t="shared" ca="1" si="526"/>
        <v>324058.60908158915</v>
      </c>
      <c r="BA742" s="1468"/>
      <c r="BB742" s="1467">
        <f t="shared" ca="1" si="527"/>
        <v>332241.49504785618</v>
      </c>
      <c r="BC742" s="1468"/>
      <c r="BD742" s="1467">
        <f t="shared" ca="1" si="528"/>
        <v>340631.00913897611</v>
      </c>
      <c r="BE742" s="1468"/>
      <c r="BF742" s="1467">
        <f t="shared" ca="1" si="529"/>
        <v>349232.36897403275</v>
      </c>
      <c r="BG742" s="1468"/>
      <c r="BH742" s="1467">
        <f t="shared" ca="1" si="530"/>
        <v>358050.9239235305</v>
      </c>
    </row>
    <row r="743" spans="1:60" hidden="1" outlineLevel="1">
      <c r="A743" s="1466">
        <f t="shared" si="532"/>
        <v>18</v>
      </c>
      <c r="B743" s="1466">
        <f t="shared" si="532"/>
        <v>36</v>
      </c>
      <c r="C743" s="1466">
        <f t="shared" si="533"/>
        <v>18</v>
      </c>
      <c r="D743" s="1465" t="str">
        <f ca="1">IF(OFFSET(PortfolioDashboard!$A$3,C743-1,0)="","Blank",OFFSET(PortfolioDashboard!$A$3,C743-1,0))</f>
        <v>Blank</v>
      </c>
      <c r="E743" s="1466" t="str">
        <f t="shared" si="534"/>
        <v>2010$</v>
      </c>
      <c r="F743" s="1460">
        <f t="shared" ca="1" si="522"/>
        <v>0</v>
      </c>
      <c r="G743" s="1467">
        <f t="shared" ref="G743:AT743" ca="1" si="550">G146+G208+G270+G363+G519</f>
        <v>0</v>
      </c>
      <c r="H743" s="1467">
        <f t="shared" ca="1" si="550"/>
        <v>0</v>
      </c>
      <c r="I743" s="1467">
        <f t="shared" ca="1" si="550"/>
        <v>0</v>
      </c>
      <c r="J743" s="1467">
        <f t="shared" ca="1" si="550"/>
        <v>0</v>
      </c>
      <c r="K743" s="1467">
        <f t="shared" ca="1" si="550"/>
        <v>0</v>
      </c>
      <c r="L743" s="1467">
        <f t="shared" ca="1" si="550"/>
        <v>0</v>
      </c>
      <c r="M743" s="1467">
        <f t="shared" ca="1" si="550"/>
        <v>0</v>
      </c>
      <c r="N743" s="1467">
        <f t="shared" ca="1" si="550"/>
        <v>0</v>
      </c>
      <c r="O743" s="1467">
        <f t="shared" ca="1" si="550"/>
        <v>0</v>
      </c>
      <c r="P743" s="1467">
        <f t="shared" ca="1" si="550"/>
        <v>0</v>
      </c>
      <c r="Q743" s="1467">
        <f t="shared" ca="1" si="550"/>
        <v>0</v>
      </c>
      <c r="R743" s="1467">
        <f t="shared" ca="1" si="550"/>
        <v>0</v>
      </c>
      <c r="S743" s="1467">
        <f t="shared" ca="1" si="550"/>
        <v>0</v>
      </c>
      <c r="T743" s="1467">
        <f t="shared" ca="1" si="550"/>
        <v>0</v>
      </c>
      <c r="U743" s="1467">
        <f t="shared" ca="1" si="550"/>
        <v>0</v>
      </c>
      <c r="V743" s="1467">
        <f t="shared" ca="1" si="550"/>
        <v>0</v>
      </c>
      <c r="W743" s="1467">
        <f t="shared" ca="1" si="550"/>
        <v>0</v>
      </c>
      <c r="X743" s="1467">
        <f t="shared" ca="1" si="550"/>
        <v>0</v>
      </c>
      <c r="Y743" s="1467">
        <f t="shared" ca="1" si="550"/>
        <v>0</v>
      </c>
      <c r="Z743" s="1467">
        <f t="shared" ca="1" si="550"/>
        <v>0</v>
      </c>
      <c r="AA743" s="1467">
        <f t="shared" ca="1" si="550"/>
        <v>0</v>
      </c>
      <c r="AB743" s="1467">
        <f t="shared" ca="1" si="550"/>
        <v>0</v>
      </c>
      <c r="AC743" s="1467">
        <f t="shared" ca="1" si="550"/>
        <v>0</v>
      </c>
      <c r="AD743" s="1467">
        <f t="shared" ca="1" si="550"/>
        <v>0</v>
      </c>
      <c r="AE743" s="1467">
        <f t="shared" ca="1" si="550"/>
        <v>0</v>
      </c>
      <c r="AF743" s="1467">
        <f t="shared" ca="1" si="550"/>
        <v>0</v>
      </c>
      <c r="AG743" s="1467">
        <f t="shared" ca="1" si="550"/>
        <v>0</v>
      </c>
      <c r="AH743" s="1467">
        <f t="shared" ca="1" si="550"/>
        <v>0</v>
      </c>
      <c r="AI743" s="1467">
        <f t="shared" ca="1" si="550"/>
        <v>0</v>
      </c>
      <c r="AJ743" s="1467">
        <f t="shared" ca="1" si="550"/>
        <v>0</v>
      </c>
      <c r="AK743" s="1467">
        <f t="shared" ca="1" si="550"/>
        <v>0</v>
      </c>
      <c r="AL743" s="1467">
        <f t="shared" ca="1" si="550"/>
        <v>0</v>
      </c>
      <c r="AM743" s="1467">
        <f t="shared" ca="1" si="550"/>
        <v>0</v>
      </c>
      <c r="AN743" s="1467">
        <f t="shared" ca="1" si="550"/>
        <v>0</v>
      </c>
      <c r="AO743" s="1467">
        <f t="shared" ca="1" si="550"/>
        <v>0</v>
      </c>
      <c r="AP743" s="1467">
        <f t="shared" ca="1" si="550"/>
        <v>0</v>
      </c>
      <c r="AQ743" s="1467">
        <f t="shared" ca="1" si="550"/>
        <v>0</v>
      </c>
      <c r="AR743" s="1467">
        <f t="shared" ca="1" si="550"/>
        <v>0</v>
      </c>
      <c r="AS743" s="1467">
        <f t="shared" ca="1" si="550"/>
        <v>0</v>
      </c>
      <c r="AT743" s="1467">
        <f t="shared" ca="1" si="550"/>
        <v>0</v>
      </c>
      <c r="AU743" s="1467"/>
      <c r="AV743" s="1467">
        <f t="shared" ca="1" si="524"/>
        <v>0</v>
      </c>
      <c r="AW743" s="1468"/>
      <c r="AX743" s="1467">
        <f t="shared" ca="1" si="525"/>
        <v>0</v>
      </c>
      <c r="AY743" s="1468"/>
      <c r="AZ743" s="1467">
        <f t="shared" ca="1" si="526"/>
        <v>0</v>
      </c>
      <c r="BA743" s="1468"/>
      <c r="BB743" s="1467">
        <f t="shared" ca="1" si="527"/>
        <v>0</v>
      </c>
      <c r="BC743" s="1468"/>
      <c r="BD743" s="1467">
        <f t="shared" ca="1" si="528"/>
        <v>0</v>
      </c>
      <c r="BE743" s="1468"/>
      <c r="BF743" s="1467">
        <f t="shared" ca="1" si="529"/>
        <v>0</v>
      </c>
      <c r="BG743" s="1468"/>
      <c r="BH743" s="1467">
        <f t="shared" ca="1" si="530"/>
        <v>0</v>
      </c>
    </row>
    <row r="744" spans="1:60" hidden="1" outlineLevel="1">
      <c r="A744" s="1466">
        <f t="shared" ref="A744:B755" si="551">A743</f>
        <v>18</v>
      </c>
      <c r="B744" s="1466">
        <f t="shared" si="551"/>
        <v>36</v>
      </c>
      <c r="C744" s="1466">
        <f t="shared" si="533"/>
        <v>19</v>
      </c>
      <c r="D744" s="1465" t="str">
        <f ca="1">IF(OFFSET(PortfolioDashboard!$A$3,C744-1,0)="","Blank",OFFSET(PortfolioDashboard!$A$3,C744-1,0))</f>
        <v>Blank</v>
      </c>
      <c r="E744" s="1466" t="str">
        <f t="shared" si="534"/>
        <v>2010$</v>
      </c>
      <c r="F744" s="1460">
        <f t="shared" ca="1" si="522"/>
        <v>0</v>
      </c>
      <c r="G744" s="1467">
        <f t="shared" ref="G744:AT744" ca="1" si="552">G147+G209+G271+G364+G520</f>
        <v>0</v>
      </c>
      <c r="H744" s="1467">
        <f t="shared" ca="1" si="552"/>
        <v>0</v>
      </c>
      <c r="I744" s="1467">
        <f t="shared" ca="1" si="552"/>
        <v>0</v>
      </c>
      <c r="J744" s="1467">
        <f t="shared" ca="1" si="552"/>
        <v>0</v>
      </c>
      <c r="K744" s="1467">
        <f t="shared" ca="1" si="552"/>
        <v>0</v>
      </c>
      <c r="L744" s="1467">
        <f t="shared" ca="1" si="552"/>
        <v>0</v>
      </c>
      <c r="M744" s="1467">
        <f t="shared" ca="1" si="552"/>
        <v>0</v>
      </c>
      <c r="N744" s="1467">
        <f t="shared" ca="1" si="552"/>
        <v>0</v>
      </c>
      <c r="O744" s="1467">
        <f t="shared" ca="1" si="552"/>
        <v>0</v>
      </c>
      <c r="P744" s="1467">
        <f t="shared" ca="1" si="552"/>
        <v>0</v>
      </c>
      <c r="Q744" s="1467">
        <f t="shared" ca="1" si="552"/>
        <v>0</v>
      </c>
      <c r="R744" s="1467">
        <f t="shared" ca="1" si="552"/>
        <v>0</v>
      </c>
      <c r="S744" s="1467">
        <f t="shared" ca="1" si="552"/>
        <v>0</v>
      </c>
      <c r="T744" s="1467">
        <f t="shared" ca="1" si="552"/>
        <v>0</v>
      </c>
      <c r="U744" s="1467">
        <f t="shared" ca="1" si="552"/>
        <v>0</v>
      </c>
      <c r="V744" s="1467">
        <f t="shared" ca="1" si="552"/>
        <v>0</v>
      </c>
      <c r="W744" s="1467">
        <f t="shared" ca="1" si="552"/>
        <v>0</v>
      </c>
      <c r="X744" s="1467">
        <f t="shared" ca="1" si="552"/>
        <v>0</v>
      </c>
      <c r="Y744" s="1467">
        <f t="shared" ca="1" si="552"/>
        <v>0</v>
      </c>
      <c r="Z744" s="1467">
        <f t="shared" ca="1" si="552"/>
        <v>0</v>
      </c>
      <c r="AA744" s="1467">
        <f t="shared" ca="1" si="552"/>
        <v>0</v>
      </c>
      <c r="AB744" s="1467">
        <f t="shared" ca="1" si="552"/>
        <v>0</v>
      </c>
      <c r="AC744" s="1467">
        <f t="shared" ca="1" si="552"/>
        <v>0</v>
      </c>
      <c r="AD744" s="1467">
        <f t="shared" ca="1" si="552"/>
        <v>0</v>
      </c>
      <c r="AE744" s="1467">
        <f t="shared" ca="1" si="552"/>
        <v>0</v>
      </c>
      <c r="AF744" s="1467">
        <f t="shared" ca="1" si="552"/>
        <v>0</v>
      </c>
      <c r="AG744" s="1467">
        <f t="shared" ca="1" si="552"/>
        <v>0</v>
      </c>
      <c r="AH744" s="1467">
        <f t="shared" ca="1" si="552"/>
        <v>0</v>
      </c>
      <c r="AI744" s="1467">
        <f t="shared" ca="1" si="552"/>
        <v>0</v>
      </c>
      <c r="AJ744" s="1467">
        <f t="shared" ca="1" si="552"/>
        <v>0</v>
      </c>
      <c r="AK744" s="1467">
        <f t="shared" ca="1" si="552"/>
        <v>0</v>
      </c>
      <c r="AL744" s="1467">
        <f t="shared" ca="1" si="552"/>
        <v>0</v>
      </c>
      <c r="AM744" s="1467">
        <f t="shared" ca="1" si="552"/>
        <v>0</v>
      </c>
      <c r="AN744" s="1467">
        <f t="shared" ca="1" si="552"/>
        <v>0</v>
      </c>
      <c r="AO744" s="1467">
        <f t="shared" ca="1" si="552"/>
        <v>0</v>
      </c>
      <c r="AP744" s="1467">
        <f t="shared" ca="1" si="552"/>
        <v>0</v>
      </c>
      <c r="AQ744" s="1467">
        <f t="shared" ca="1" si="552"/>
        <v>0</v>
      </c>
      <c r="AR744" s="1467">
        <f t="shared" ca="1" si="552"/>
        <v>0</v>
      </c>
      <c r="AS744" s="1467">
        <f t="shared" ca="1" si="552"/>
        <v>0</v>
      </c>
      <c r="AT744" s="1467">
        <f t="shared" ca="1" si="552"/>
        <v>0</v>
      </c>
      <c r="AU744" s="1467"/>
      <c r="AV744" s="1467">
        <f t="shared" ca="1" si="524"/>
        <v>0</v>
      </c>
      <c r="AW744" s="1468"/>
      <c r="AX744" s="1467">
        <f t="shared" ca="1" si="525"/>
        <v>0</v>
      </c>
      <c r="AY744" s="1468"/>
      <c r="AZ744" s="1467">
        <f t="shared" ca="1" si="526"/>
        <v>0</v>
      </c>
      <c r="BA744" s="1468"/>
      <c r="BB744" s="1467">
        <f t="shared" ca="1" si="527"/>
        <v>0</v>
      </c>
      <c r="BC744" s="1468"/>
      <c r="BD744" s="1467">
        <f t="shared" ca="1" si="528"/>
        <v>0</v>
      </c>
      <c r="BE744" s="1468"/>
      <c r="BF744" s="1467">
        <f t="shared" ca="1" si="529"/>
        <v>0</v>
      </c>
      <c r="BG744" s="1468"/>
      <c r="BH744" s="1467">
        <f t="shared" ca="1" si="530"/>
        <v>0</v>
      </c>
    </row>
    <row r="745" spans="1:60" hidden="1" outlineLevel="1">
      <c r="A745" s="1466">
        <f t="shared" si="551"/>
        <v>18</v>
      </c>
      <c r="B745" s="1466">
        <f t="shared" si="551"/>
        <v>36</v>
      </c>
      <c r="C745" s="1466">
        <f t="shared" si="533"/>
        <v>20</v>
      </c>
      <c r="D745" s="1465" t="str">
        <f ca="1">IF(OFFSET(PortfolioDashboard!$A$3,C745-1,0)="","Blank",OFFSET(PortfolioDashboard!$A$3,C745-1,0))</f>
        <v>Blank</v>
      </c>
      <c r="E745" s="1466" t="str">
        <f t="shared" si="534"/>
        <v>2010$</v>
      </c>
      <c r="F745" s="1460">
        <f t="shared" ca="1" si="522"/>
        <v>0</v>
      </c>
      <c r="G745" s="1467">
        <f t="shared" ref="G745:AT745" ca="1" si="553">G148+G210+G272+G365+G521</f>
        <v>0</v>
      </c>
      <c r="H745" s="1467">
        <f t="shared" ca="1" si="553"/>
        <v>0</v>
      </c>
      <c r="I745" s="1467">
        <f t="shared" ca="1" si="553"/>
        <v>0</v>
      </c>
      <c r="J745" s="1467">
        <f t="shared" ca="1" si="553"/>
        <v>0</v>
      </c>
      <c r="K745" s="1467">
        <f t="shared" ca="1" si="553"/>
        <v>0</v>
      </c>
      <c r="L745" s="1467">
        <f t="shared" ca="1" si="553"/>
        <v>0</v>
      </c>
      <c r="M745" s="1467">
        <f t="shared" ca="1" si="553"/>
        <v>0</v>
      </c>
      <c r="N745" s="1467">
        <f t="shared" ca="1" si="553"/>
        <v>0</v>
      </c>
      <c r="O745" s="1467">
        <f t="shared" ca="1" si="553"/>
        <v>0</v>
      </c>
      <c r="P745" s="1467">
        <f t="shared" ca="1" si="553"/>
        <v>0</v>
      </c>
      <c r="Q745" s="1467">
        <f t="shared" ca="1" si="553"/>
        <v>0</v>
      </c>
      <c r="R745" s="1467">
        <f t="shared" ca="1" si="553"/>
        <v>0</v>
      </c>
      <c r="S745" s="1467">
        <f t="shared" ca="1" si="553"/>
        <v>0</v>
      </c>
      <c r="T745" s="1467">
        <f t="shared" ca="1" si="553"/>
        <v>0</v>
      </c>
      <c r="U745" s="1467">
        <f t="shared" ca="1" si="553"/>
        <v>0</v>
      </c>
      <c r="V745" s="1467">
        <f t="shared" ca="1" si="553"/>
        <v>0</v>
      </c>
      <c r="W745" s="1467">
        <f t="shared" ca="1" si="553"/>
        <v>0</v>
      </c>
      <c r="X745" s="1467">
        <f t="shared" ca="1" si="553"/>
        <v>0</v>
      </c>
      <c r="Y745" s="1467">
        <f t="shared" ca="1" si="553"/>
        <v>0</v>
      </c>
      <c r="Z745" s="1467">
        <f t="shared" ca="1" si="553"/>
        <v>0</v>
      </c>
      <c r="AA745" s="1467">
        <f t="shared" ca="1" si="553"/>
        <v>0</v>
      </c>
      <c r="AB745" s="1467">
        <f t="shared" ca="1" si="553"/>
        <v>0</v>
      </c>
      <c r="AC745" s="1467">
        <f t="shared" ca="1" si="553"/>
        <v>0</v>
      </c>
      <c r="AD745" s="1467">
        <f t="shared" ca="1" si="553"/>
        <v>0</v>
      </c>
      <c r="AE745" s="1467">
        <f t="shared" ca="1" si="553"/>
        <v>0</v>
      </c>
      <c r="AF745" s="1467">
        <f t="shared" ca="1" si="553"/>
        <v>0</v>
      </c>
      <c r="AG745" s="1467">
        <f t="shared" ca="1" si="553"/>
        <v>0</v>
      </c>
      <c r="AH745" s="1467">
        <f t="shared" ca="1" si="553"/>
        <v>0</v>
      </c>
      <c r="AI745" s="1467">
        <f t="shared" ca="1" si="553"/>
        <v>0</v>
      </c>
      <c r="AJ745" s="1467">
        <f t="shared" ca="1" si="553"/>
        <v>0</v>
      </c>
      <c r="AK745" s="1467">
        <f t="shared" ca="1" si="553"/>
        <v>0</v>
      </c>
      <c r="AL745" s="1467">
        <f t="shared" ca="1" si="553"/>
        <v>0</v>
      </c>
      <c r="AM745" s="1467">
        <f t="shared" ca="1" si="553"/>
        <v>0</v>
      </c>
      <c r="AN745" s="1467">
        <f t="shared" ca="1" si="553"/>
        <v>0</v>
      </c>
      <c r="AO745" s="1467">
        <f t="shared" ca="1" si="553"/>
        <v>0</v>
      </c>
      <c r="AP745" s="1467">
        <f t="shared" ca="1" si="553"/>
        <v>0</v>
      </c>
      <c r="AQ745" s="1467">
        <f t="shared" ca="1" si="553"/>
        <v>0</v>
      </c>
      <c r="AR745" s="1467">
        <f t="shared" ca="1" si="553"/>
        <v>0</v>
      </c>
      <c r="AS745" s="1467">
        <f t="shared" ca="1" si="553"/>
        <v>0</v>
      </c>
      <c r="AT745" s="1467">
        <f t="shared" ca="1" si="553"/>
        <v>0</v>
      </c>
      <c r="AU745" s="1467"/>
      <c r="AV745" s="1467">
        <f t="shared" ca="1" si="524"/>
        <v>0</v>
      </c>
      <c r="AW745" s="1468"/>
      <c r="AX745" s="1467">
        <f t="shared" ca="1" si="525"/>
        <v>0</v>
      </c>
      <c r="AY745" s="1468"/>
      <c r="AZ745" s="1467">
        <f t="shared" ca="1" si="526"/>
        <v>0</v>
      </c>
      <c r="BA745" s="1468"/>
      <c r="BB745" s="1467">
        <f t="shared" ca="1" si="527"/>
        <v>0</v>
      </c>
      <c r="BC745" s="1468"/>
      <c r="BD745" s="1467">
        <f t="shared" ca="1" si="528"/>
        <v>0</v>
      </c>
      <c r="BE745" s="1468"/>
      <c r="BF745" s="1467">
        <f t="shared" ca="1" si="529"/>
        <v>0</v>
      </c>
      <c r="BG745" s="1468"/>
      <c r="BH745" s="1467">
        <f t="shared" ca="1" si="530"/>
        <v>0</v>
      </c>
    </row>
    <row r="746" spans="1:60" hidden="1" outlineLevel="1">
      <c r="A746" s="1466">
        <f t="shared" si="551"/>
        <v>18</v>
      </c>
      <c r="B746" s="1466">
        <f t="shared" si="551"/>
        <v>36</v>
      </c>
      <c r="C746" s="1466">
        <f t="shared" si="533"/>
        <v>21</v>
      </c>
      <c r="D746" s="1465" t="str">
        <f ca="1">IF(OFFSET(PortfolioDashboard!$A$3,C746-1,0)="","Blank",OFFSET(PortfolioDashboard!$A$3,C746-1,0))</f>
        <v>Blank</v>
      </c>
      <c r="E746" s="1466" t="str">
        <f t="shared" si="534"/>
        <v>2010$</v>
      </c>
      <c r="F746" s="1460">
        <f t="shared" ca="1" si="522"/>
        <v>0</v>
      </c>
      <c r="G746" s="1467">
        <f t="shared" ref="G746:AT746" ca="1" si="554">G149+G211+G273+G366+G522</f>
        <v>0</v>
      </c>
      <c r="H746" s="1467">
        <f t="shared" ca="1" si="554"/>
        <v>0</v>
      </c>
      <c r="I746" s="1467">
        <f t="shared" ca="1" si="554"/>
        <v>0</v>
      </c>
      <c r="J746" s="1467">
        <f t="shared" ca="1" si="554"/>
        <v>0</v>
      </c>
      <c r="K746" s="1467">
        <f t="shared" ca="1" si="554"/>
        <v>0</v>
      </c>
      <c r="L746" s="1467">
        <f t="shared" ca="1" si="554"/>
        <v>0</v>
      </c>
      <c r="M746" s="1467">
        <f t="shared" ca="1" si="554"/>
        <v>0</v>
      </c>
      <c r="N746" s="1467">
        <f t="shared" ca="1" si="554"/>
        <v>0</v>
      </c>
      <c r="O746" s="1467">
        <f t="shared" ca="1" si="554"/>
        <v>0</v>
      </c>
      <c r="P746" s="1467">
        <f t="shared" ca="1" si="554"/>
        <v>0</v>
      </c>
      <c r="Q746" s="1467">
        <f t="shared" ca="1" si="554"/>
        <v>0</v>
      </c>
      <c r="R746" s="1467">
        <f t="shared" ca="1" si="554"/>
        <v>0</v>
      </c>
      <c r="S746" s="1467">
        <f t="shared" ca="1" si="554"/>
        <v>0</v>
      </c>
      <c r="T746" s="1467">
        <f t="shared" ca="1" si="554"/>
        <v>0</v>
      </c>
      <c r="U746" s="1467">
        <f t="shared" ca="1" si="554"/>
        <v>0</v>
      </c>
      <c r="V746" s="1467">
        <f t="shared" ca="1" si="554"/>
        <v>0</v>
      </c>
      <c r="W746" s="1467">
        <f t="shared" ca="1" si="554"/>
        <v>0</v>
      </c>
      <c r="X746" s="1467">
        <f t="shared" ca="1" si="554"/>
        <v>0</v>
      </c>
      <c r="Y746" s="1467">
        <f t="shared" ca="1" si="554"/>
        <v>0</v>
      </c>
      <c r="Z746" s="1467">
        <f t="shared" ca="1" si="554"/>
        <v>0</v>
      </c>
      <c r="AA746" s="1467">
        <f t="shared" ca="1" si="554"/>
        <v>0</v>
      </c>
      <c r="AB746" s="1467">
        <f t="shared" ca="1" si="554"/>
        <v>0</v>
      </c>
      <c r="AC746" s="1467">
        <f t="shared" ca="1" si="554"/>
        <v>0</v>
      </c>
      <c r="AD746" s="1467">
        <f t="shared" ca="1" si="554"/>
        <v>0</v>
      </c>
      <c r="AE746" s="1467">
        <f t="shared" ca="1" si="554"/>
        <v>0</v>
      </c>
      <c r="AF746" s="1467">
        <f t="shared" ca="1" si="554"/>
        <v>0</v>
      </c>
      <c r="AG746" s="1467">
        <f t="shared" ca="1" si="554"/>
        <v>0</v>
      </c>
      <c r="AH746" s="1467">
        <f t="shared" ca="1" si="554"/>
        <v>0</v>
      </c>
      <c r="AI746" s="1467">
        <f t="shared" ca="1" si="554"/>
        <v>0</v>
      </c>
      <c r="AJ746" s="1467">
        <f t="shared" ca="1" si="554"/>
        <v>0</v>
      </c>
      <c r="AK746" s="1467">
        <f t="shared" ca="1" si="554"/>
        <v>0</v>
      </c>
      <c r="AL746" s="1467">
        <f t="shared" ca="1" si="554"/>
        <v>0</v>
      </c>
      <c r="AM746" s="1467">
        <f t="shared" ca="1" si="554"/>
        <v>0</v>
      </c>
      <c r="AN746" s="1467">
        <f t="shared" ca="1" si="554"/>
        <v>0</v>
      </c>
      <c r="AO746" s="1467">
        <f t="shared" ca="1" si="554"/>
        <v>0</v>
      </c>
      <c r="AP746" s="1467">
        <f t="shared" ca="1" si="554"/>
        <v>0</v>
      </c>
      <c r="AQ746" s="1467">
        <f t="shared" ca="1" si="554"/>
        <v>0</v>
      </c>
      <c r="AR746" s="1467">
        <f t="shared" ca="1" si="554"/>
        <v>0</v>
      </c>
      <c r="AS746" s="1467">
        <f t="shared" ca="1" si="554"/>
        <v>0</v>
      </c>
      <c r="AT746" s="1467">
        <f t="shared" ca="1" si="554"/>
        <v>0</v>
      </c>
      <c r="AU746" s="1467"/>
      <c r="AV746" s="1467">
        <f t="shared" ca="1" si="524"/>
        <v>0</v>
      </c>
      <c r="AW746" s="1468"/>
      <c r="AX746" s="1467">
        <f t="shared" ca="1" si="525"/>
        <v>0</v>
      </c>
      <c r="AY746" s="1468"/>
      <c r="AZ746" s="1467">
        <f t="shared" ca="1" si="526"/>
        <v>0</v>
      </c>
      <c r="BA746" s="1468"/>
      <c r="BB746" s="1467">
        <f t="shared" ca="1" si="527"/>
        <v>0</v>
      </c>
      <c r="BC746" s="1468"/>
      <c r="BD746" s="1467">
        <f t="shared" ca="1" si="528"/>
        <v>0</v>
      </c>
      <c r="BE746" s="1468"/>
      <c r="BF746" s="1467">
        <f t="shared" ca="1" si="529"/>
        <v>0</v>
      </c>
      <c r="BG746" s="1468"/>
      <c r="BH746" s="1467">
        <f t="shared" ca="1" si="530"/>
        <v>0</v>
      </c>
    </row>
    <row r="747" spans="1:60" hidden="1" outlineLevel="1">
      <c r="A747" s="1466">
        <f t="shared" si="551"/>
        <v>18</v>
      </c>
      <c r="B747" s="1466">
        <f t="shared" si="551"/>
        <v>36</v>
      </c>
      <c r="C747" s="1466">
        <f t="shared" si="533"/>
        <v>22</v>
      </c>
      <c r="D747" s="1465" t="str">
        <f ca="1">IF(OFFSET(PortfolioDashboard!$A$3,C747-1,0)="","Blank",OFFSET(PortfolioDashboard!$A$3,C747-1,0))</f>
        <v>Blank</v>
      </c>
      <c r="E747" s="1466" t="str">
        <f t="shared" si="534"/>
        <v>2010$</v>
      </c>
      <c r="F747" s="1460">
        <f t="shared" ca="1" si="522"/>
        <v>0</v>
      </c>
      <c r="G747" s="1467">
        <f t="shared" ref="G747:AT747" ca="1" si="555">G150+G212+G274+G367+G523</f>
        <v>0</v>
      </c>
      <c r="H747" s="1467">
        <f t="shared" ca="1" si="555"/>
        <v>0</v>
      </c>
      <c r="I747" s="1467">
        <f t="shared" ca="1" si="555"/>
        <v>0</v>
      </c>
      <c r="J747" s="1467">
        <f t="shared" ca="1" si="555"/>
        <v>0</v>
      </c>
      <c r="K747" s="1467">
        <f t="shared" ca="1" si="555"/>
        <v>0</v>
      </c>
      <c r="L747" s="1467">
        <f t="shared" ca="1" si="555"/>
        <v>0</v>
      </c>
      <c r="M747" s="1467">
        <f t="shared" ca="1" si="555"/>
        <v>0</v>
      </c>
      <c r="N747" s="1467">
        <f t="shared" ca="1" si="555"/>
        <v>0</v>
      </c>
      <c r="O747" s="1467">
        <f t="shared" ca="1" si="555"/>
        <v>0</v>
      </c>
      <c r="P747" s="1467">
        <f t="shared" ca="1" si="555"/>
        <v>0</v>
      </c>
      <c r="Q747" s="1467">
        <f t="shared" ca="1" si="555"/>
        <v>0</v>
      </c>
      <c r="R747" s="1467">
        <f t="shared" ca="1" si="555"/>
        <v>0</v>
      </c>
      <c r="S747" s="1467">
        <f t="shared" ca="1" si="555"/>
        <v>0</v>
      </c>
      <c r="T747" s="1467">
        <f t="shared" ca="1" si="555"/>
        <v>0</v>
      </c>
      <c r="U747" s="1467">
        <f t="shared" ca="1" si="555"/>
        <v>0</v>
      </c>
      <c r="V747" s="1467">
        <f t="shared" ca="1" si="555"/>
        <v>0</v>
      </c>
      <c r="W747" s="1467">
        <f t="shared" ca="1" si="555"/>
        <v>0</v>
      </c>
      <c r="X747" s="1467">
        <f t="shared" ca="1" si="555"/>
        <v>0</v>
      </c>
      <c r="Y747" s="1467">
        <f t="shared" ca="1" si="555"/>
        <v>0</v>
      </c>
      <c r="Z747" s="1467">
        <f t="shared" ca="1" si="555"/>
        <v>0</v>
      </c>
      <c r="AA747" s="1467">
        <f t="shared" ca="1" si="555"/>
        <v>0</v>
      </c>
      <c r="AB747" s="1467">
        <f t="shared" ca="1" si="555"/>
        <v>0</v>
      </c>
      <c r="AC747" s="1467">
        <f t="shared" ca="1" si="555"/>
        <v>0</v>
      </c>
      <c r="AD747" s="1467">
        <f t="shared" ca="1" si="555"/>
        <v>0</v>
      </c>
      <c r="AE747" s="1467">
        <f t="shared" ca="1" si="555"/>
        <v>0</v>
      </c>
      <c r="AF747" s="1467">
        <f t="shared" ca="1" si="555"/>
        <v>0</v>
      </c>
      <c r="AG747" s="1467">
        <f t="shared" ca="1" si="555"/>
        <v>0</v>
      </c>
      <c r="AH747" s="1467">
        <f t="shared" ca="1" si="555"/>
        <v>0</v>
      </c>
      <c r="AI747" s="1467">
        <f t="shared" ca="1" si="555"/>
        <v>0</v>
      </c>
      <c r="AJ747" s="1467">
        <f t="shared" ca="1" si="555"/>
        <v>0</v>
      </c>
      <c r="AK747" s="1467">
        <f t="shared" ca="1" si="555"/>
        <v>0</v>
      </c>
      <c r="AL747" s="1467">
        <f t="shared" ca="1" si="555"/>
        <v>0</v>
      </c>
      <c r="AM747" s="1467">
        <f t="shared" ca="1" si="555"/>
        <v>0</v>
      </c>
      <c r="AN747" s="1467">
        <f t="shared" ca="1" si="555"/>
        <v>0</v>
      </c>
      <c r="AO747" s="1467">
        <f t="shared" ca="1" si="555"/>
        <v>0</v>
      </c>
      <c r="AP747" s="1467">
        <f t="shared" ca="1" si="555"/>
        <v>0</v>
      </c>
      <c r="AQ747" s="1467">
        <f t="shared" ca="1" si="555"/>
        <v>0</v>
      </c>
      <c r="AR747" s="1467">
        <f t="shared" ca="1" si="555"/>
        <v>0</v>
      </c>
      <c r="AS747" s="1467">
        <f t="shared" ca="1" si="555"/>
        <v>0</v>
      </c>
      <c r="AT747" s="1467">
        <f t="shared" ca="1" si="555"/>
        <v>0</v>
      </c>
      <c r="AU747" s="1467"/>
      <c r="AV747" s="1467">
        <f t="shared" ca="1" si="524"/>
        <v>0</v>
      </c>
      <c r="AW747" s="1468"/>
      <c r="AX747" s="1467">
        <f t="shared" ca="1" si="525"/>
        <v>0</v>
      </c>
      <c r="AY747" s="1468"/>
      <c r="AZ747" s="1467">
        <f t="shared" ca="1" si="526"/>
        <v>0</v>
      </c>
      <c r="BA747" s="1468"/>
      <c r="BB747" s="1467">
        <f t="shared" ca="1" si="527"/>
        <v>0</v>
      </c>
      <c r="BC747" s="1468"/>
      <c r="BD747" s="1467">
        <f t="shared" ca="1" si="528"/>
        <v>0</v>
      </c>
      <c r="BE747" s="1468"/>
      <c r="BF747" s="1467">
        <f t="shared" ca="1" si="529"/>
        <v>0</v>
      </c>
      <c r="BG747" s="1468"/>
      <c r="BH747" s="1467">
        <f t="shared" ca="1" si="530"/>
        <v>0</v>
      </c>
    </row>
    <row r="748" spans="1:60" hidden="1" outlineLevel="1">
      <c r="A748" s="1466">
        <f t="shared" si="551"/>
        <v>18</v>
      </c>
      <c r="B748" s="1466">
        <f t="shared" si="551"/>
        <v>36</v>
      </c>
      <c r="C748" s="1466">
        <f t="shared" si="533"/>
        <v>23</v>
      </c>
      <c r="D748" s="1465" t="str">
        <f ca="1">IF(OFFSET(PortfolioDashboard!$A$3,C748-1,0)="","Blank",OFFSET(PortfolioDashboard!$A$3,C748-1,0))</f>
        <v>Blank</v>
      </c>
      <c r="E748" s="1466" t="str">
        <f t="shared" si="534"/>
        <v>2010$</v>
      </c>
      <c r="F748" s="1460">
        <f t="shared" ca="1" si="522"/>
        <v>0</v>
      </c>
      <c r="G748" s="1467">
        <f t="shared" ref="G748:AT748" ca="1" si="556">G151+G213+G275+G368+G524</f>
        <v>0</v>
      </c>
      <c r="H748" s="1467">
        <f t="shared" ca="1" si="556"/>
        <v>0</v>
      </c>
      <c r="I748" s="1467">
        <f t="shared" ca="1" si="556"/>
        <v>0</v>
      </c>
      <c r="J748" s="1467">
        <f t="shared" ca="1" si="556"/>
        <v>0</v>
      </c>
      <c r="K748" s="1467">
        <f t="shared" ca="1" si="556"/>
        <v>0</v>
      </c>
      <c r="L748" s="1467">
        <f t="shared" ca="1" si="556"/>
        <v>0</v>
      </c>
      <c r="M748" s="1467">
        <f t="shared" ca="1" si="556"/>
        <v>0</v>
      </c>
      <c r="N748" s="1467">
        <f t="shared" ca="1" si="556"/>
        <v>0</v>
      </c>
      <c r="O748" s="1467">
        <f t="shared" ca="1" si="556"/>
        <v>0</v>
      </c>
      <c r="P748" s="1467">
        <f t="shared" ca="1" si="556"/>
        <v>0</v>
      </c>
      <c r="Q748" s="1467">
        <f t="shared" ca="1" si="556"/>
        <v>0</v>
      </c>
      <c r="R748" s="1467">
        <f t="shared" ca="1" si="556"/>
        <v>0</v>
      </c>
      <c r="S748" s="1467">
        <f t="shared" ca="1" si="556"/>
        <v>0</v>
      </c>
      <c r="T748" s="1467">
        <f t="shared" ca="1" si="556"/>
        <v>0</v>
      </c>
      <c r="U748" s="1467">
        <f t="shared" ca="1" si="556"/>
        <v>0</v>
      </c>
      <c r="V748" s="1467">
        <f t="shared" ca="1" si="556"/>
        <v>0</v>
      </c>
      <c r="W748" s="1467">
        <f t="shared" ca="1" si="556"/>
        <v>0</v>
      </c>
      <c r="X748" s="1467">
        <f t="shared" ca="1" si="556"/>
        <v>0</v>
      </c>
      <c r="Y748" s="1467">
        <f t="shared" ca="1" si="556"/>
        <v>0</v>
      </c>
      <c r="Z748" s="1467">
        <f t="shared" ca="1" si="556"/>
        <v>0</v>
      </c>
      <c r="AA748" s="1467">
        <f t="shared" ca="1" si="556"/>
        <v>0</v>
      </c>
      <c r="AB748" s="1467">
        <f t="shared" ca="1" si="556"/>
        <v>0</v>
      </c>
      <c r="AC748" s="1467">
        <f t="shared" ca="1" si="556"/>
        <v>0</v>
      </c>
      <c r="AD748" s="1467">
        <f t="shared" ca="1" si="556"/>
        <v>0</v>
      </c>
      <c r="AE748" s="1467">
        <f t="shared" ca="1" si="556"/>
        <v>0</v>
      </c>
      <c r="AF748" s="1467">
        <f t="shared" ca="1" si="556"/>
        <v>0</v>
      </c>
      <c r="AG748" s="1467">
        <f t="shared" ca="1" si="556"/>
        <v>0</v>
      </c>
      <c r="AH748" s="1467">
        <f t="shared" ca="1" si="556"/>
        <v>0</v>
      </c>
      <c r="AI748" s="1467">
        <f t="shared" ca="1" si="556"/>
        <v>0</v>
      </c>
      <c r="AJ748" s="1467">
        <f t="shared" ca="1" si="556"/>
        <v>0</v>
      </c>
      <c r="AK748" s="1467">
        <f t="shared" ca="1" si="556"/>
        <v>0</v>
      </c>
      <c r="AL748" s="1467">
        <f t="shared" ca="1" si="556"/>
        <v>0</v>
      </c>
      <c r="AM748" s="1467">
        <f t="shared" ca="1" si="556"/>
        <v>0</v>
      </c>
      <c r="AN748" s="1467">
        <f t="shared" ca="1" si="556"/>
        <v>0</v>
      </c>
      <c r="AO748" s="1467">
        <f t="shared" ca="1" si="556"/>
        <v>0</v>
      </c>
      <c r="AP748" s="1467">
        <f t="shared" ca="1" si="556"/>
        <v>0</v>
      </c>
      <c r="AQ748" s="1467">
        <f t="shared" ca="1" si="556"/>
        <v>0</v>
      </c>
      <c r="AR748" s="1467">
        <f t="shared" ca="1" si="556"/>
        <v>0</v>
      </c>
      <c r="AS748" s="1467">
        <f t="shared" ca="1" si="556"/>
        <v>0</v>
      </c>
      <c r="AT748" s="1467">
        <f t="shared" ca="1" si="556"/>
        <v>0</v>
      </c>
      <c r="AU748" s="1467"/>
      <c r="AV748" s="1467">
        <f t="shared" ca="1" si="524"/>
        <v>0</v>
      </c>
      <c r="AW748" s="1468"/>
      <c r="AX748" s="1467">
        <f t="shared" ca="1" si="525"/>
        <v>0</v>
      </c>
      <c r="AY748" s="1468"/>
      <c r="AZ748" s="1467">
        <f t="shared" ca="1" si="526"/>
        <v>0</v>
      </c>
      <c r="BA748" s="1468"/>
      <c r="BB748" s="1467">
        <f t="shared" ca="1" si="527"/>
        <v>0</v>
      </c>
      <c r="BC748" s="1468"/>
      <c r="BD748" s="1467">
        <f t="shared" ca="1" si="528"/>
        <v>0</v>
      </c>
      <c r="BE748" s="1468"/>
      <c r="BF748" s="1467">
        <f t="shared" ca="1" si="529"/>
        <v>0</v>
      </c>
      <c r="BG748" s="1468"/>
      <c r="BH748" s="1467">
        <f t="shared" ca="1" si="530"/>
        <v>0</v>
      </c>
    </row>
    <row r="749" spans="1:60" hidden="1" outlineLevel="1">
      <c r="A749" s="1466">
        <f t="shared" si="551"/>
        <v>18</v>
      </c>
      <c r="B749" s="1466">
        <f t="shared" si="551"/>
        <v>36</v>
      </c>
      <c r="C749" s="1466">
        <f t="shared" si="533"/>
        <v>24</v>
      </c>
      <c r="D749" s="1465" t="str">
        <f ca="1">IF(OFFSET(PortfolioDashboard!$A$3,C749-1,0)="","Blank",OFFSET(PortfolioDashboard!$A$3,C749-1,0))</f>
        <v>Blank</v>
      </c>
      <c r="E749" s="1466" t="str">
        <f t="shared" si="534"/>
        <v>2010$</v>
      </c>
      <c r="F749" s="1460">
        <f t="shared" ca="1" si="522"/>
        <v>0</v>
      </c>
      <c r="G749" s="1467">
        <f t="shared" ref="G749:AT749" ca="1" si="557">G152+G214+G276+G369+G525</f>
        <v>0</v>
      </c>
      <c r="H749" s="1467">
        <f t="shared" ca="1" si="557"/>
        <v>0</v>
      </c>
      <c r="I749" s="1467">
        <f t="shared" ca="1" si="557"/>
        <v>0</v>
      </c>
      <c r="J749" s="1467">
        <f t="shared" ca="1" si="557"/>
        <v>0</v>
      </c>
      <c r="K749" s="1467">
        <f t="shared" ca="1" si="557"/>
        <v>0</v>
      </c>
      <c r="L749" s="1467">
        <f t="shared" ca="1" si="557"/>
        <v>0</v>
      </c>
      <c r="M749" s="1467">
        <f t="shared" ca="1" si="557"/>
        <v>0</v>
      </c>
      <c r="N749" s="1467">
        <f t="shared" ca="1" si="557"/>
        <v>0</v>
      </c>
      <c r="O749" s="1467">
        <f t="shared" ca="1" si="557"/>
        <v>0</v>
      </c>
      <c r="P749" s="1467">
        <f t="shared" ca="1" si="557"/>
        <v>0</v>
      </c>
      <c r="Q749" s="1467">
        <f t="shared" ca="1" si="557"/>
        <v>0</v>
      </c>
      <c r="R749" s="1467">
        <f t="shared" ca="1" si="557"/>
        <v>0</v>
      </c>
      <c r="S749" s="1467">
        <f t="shared" ca="1" si="557"/>
        <v>0</v>
      </c>
      <c r="T749" s="1467">
        <f t="shared" ca="1" si="557"/>
        <v>0</v>
      </c>
      <c r="U749" s="1467">
        <f t="shared" ca="1" si="557"/>
        <v>0</v>
      </c>
      <c r="V749" s="1467">
        <f t="shared" ca="1" si="557"/>
        <v>0</v>
      </c>
      <c r="W749" s="1467">
        <f t="shared" ca="1" si="557"/>
        <v>0</v>
      </c>
      <c r="X749" s="1467">
        <f t="shared" ca="1" si="557"/>
        <v>0</v>
      </c>
      <c r="Y749" s="1467">
        <f t="shared" ca="1" si="557"/>
        <v>0</v>
      </c>
      <c r="Z749" s="1467">
        <f t="shared" ca="1" si="557"/>
        <v>0</v>
      </c>
      <c r="AA749" s="1467">
        <f t="shared" ca="1" si="557"/>
        <v>0</v>
      </c>
      <c r="AB749" s="1467">
        <f t="shared" ca="1" si="557"/>
        <v>0</v>
      </c>
      <c r="AC749" s="1467">
        <f t="shared" ca="1" si="557"/>
        <v>0</v>
      </c>
      <c r="AD749" s="1467">
        <f t="shared" ca="1" si="557"/>
        <v>0</v>
      </c>
      <c r="AE749" s="1467">
        <f t="shared" ca="1" si="557"/>
        <v>0</v>
      </c>
      <c r="AF749" s="1467">
        <f t="shared" ca="1" si="557"/>
        <v>0</v>
      </c>
      <c r="AG749" s="1467">
        <f t="shared" ca="1" si="557"/>
        <v>0</v>
      </c>
      <c r="AH749" s="1467">
        <f t="shared" ca="1" si="557"/>
        <v>0</v>
      </c>
      <c r="AI749" s="1467">
        <f t="shared" ca="1" si="557"/>
        <v>0</v>
      </c>
      <c r="AJ749" s="1467">
        <f t="shared" ca="1" si="557"/>
        <v>0</v>
      </c>
      <c r="AK749" s="1467">
        <f t="shared" ca="1" si="557"/>
        <v>0</v>
      </c>
      <c r="AL749" s="1467">
        <f t="shared" ca="1" si="557"/>
        <v>0</v>
      </c>
      <c r="AM749" s="1467">
        <f t="shared" ca="1" si="557"/>
        <v>0</v>
      </c>
      <c r="AN749" s="1467">
        <f t="shared" ca="1" si="557"/>
        <v>0</v>
      </c>
      <c r="AO749" s="1467">
        <f t="shared" ca="1" si="557"/>
        <v>0</v>
      </c>
      <c r="AP749" s="1467">
        <f t="shared" ca="1" si="557"/>
        <v>0</v>
      </c>
      <c r="AQ749" s="1467">
        <f t="shared" ca="1" si="557"/>
        <v>0</v>
      </c>
      <c r="AR749" s="1467">
        <f t="shared" ca="1" si="557"/>
        <v>0</v>
      </c>
      <c r="AS749" s="1467">
        <f t="shared" ca="1" si="557"/>
        <v>0</v>
      </c>
      <c r="AT749" s="1467">
        <f t="shared" ca="1" si="557"/>
        <v>0</v>
      </c>
      <c r="AU749" s="1467"/>
      <c r="AV749" s="1467">
        <f t="shared" ca="1" si="524"/>
        <v>0</v>
      </c>
      <c r="AW749" s="1468"/>
      <c r="AX749" s="1467">
        <f t="shared" ca="1" si="525"/>
        <v>0</v>
      </c>
      <c r="AY749" s="1468"/>
      <c r="AZ749" s="1467">
        <f t="shared" ca="1" si="526"/>
        <v>0</v>
      </c>
      <c r="BA749" s="1468"/>
      <c r="BB749" s="1467">
        <f t="shared" ca="1" si="527"/>
        <v>0</v>
      </c>
      <c r="BC749" s="1468"/>
      <c r="BD749" s="1467">
        <f t="shared" ca="1" si="528"/>
        <v>0</v>
      </c>
      <c r="BE749" s="1468"/>
      <c r="BF749" s="1467">
        <f t="shared" ca="1" si="529"/>
        <v>0</v>
      </c>
      <c r="BG749" s="1468"/>
      <c r="BH749" s="1467">
        <f t="shared" ca="1" si="530"/>
        <v>0</v>
      </c>
    </row>
    <row r="750" spans="1:60" hidden="1" outlineLevel="1">
      <c r="A750" s="1466">
        <f t="shared" si="551"/>
        <v>18</v>
      </c>
      <c r="B750" s="1466">
        <f t="shared" si="551"/>
        <v>36</v>
      </c>
      <c r="C750" s="1466">
        <f t="shared" si="533"/>
        <v>25</v>
      </c>
      <c r="D750" s="1465" t="str">
        <f ca="1">IF(OFFSET(PortfolioDashboard!$A$3,C750-1,0)="","Blank",OFFSET(PortfolioDashboard!$A$3,C750-1,0))</f>
        <v>Blank</v>
      </c>
      <c r="E750" s="1466" t="str">
        <f t="shared" si="534"/>
        <v>2010$</v>
      </c>
      <c r="F750" s="1460">
        <f t="shared" ca="1" si="522"/>
        <v>0</v>
      </c>
      <c r="G750" s="1467">
        <f t="shared" ref="G750:AT750" ca="1" si="558">G153+G215+G277+G370+G526</f>
        <v>0</v>
      </c>
      <c r="H750" s="1467">
        <f t="shared" ca="1" si="558"/>
        <v>0</v>
      </c>
      <c r="I750" s="1467">
        <f t="shared" ca="1" si="558"/>
        <v>0</v>
      </c>
      <c r="J750" s="1467">
        <f t="shared" ca="1" si="558"/>
        <v>0</v>
      </c>
      <c r="K750" s="1467">
        <f t="shared" ca="1" si="558"/>
        <v>0</v>
      </c>
      <c r="L750" s="1467">
        <f t="shared" ca="1" si="558"/>
        <v>0</v>
      </c>
      <c r="M750" s="1467">
        <f t="shared" ca="1" si="558"/>
        <v>0</v>
      </c>
      <c r="N750" s="1467">
        <f t="shared" ca="1" si="558"/>
        <v>0</v>
      </c>
      <c r="O750" s="1467">
        <f t="shared" ca="1" si="558"/>
        <v>0</v>
      </c>
      <c r="P750" s="1467">
        <f t="shared" ca="1" si="558"/>
        <v>0</v>
      </c>
      <c r="Q750" s="1467">
        <f t="shared" ca="1" si="558"/>
        <v>0</v>
      </c>
      <c r="R750" s="1467">
        <f t="shared" ca="1" si="558"/>
        <v>0</v>
      </c>
      <c r="S750" s="1467">
        <f t="shared" ca="1" si="558"/>
        <v>0</v>
      </c>
      <c r="T750" s="1467">
        <f t="shared" ca="1" si="558"/>
        <v>0</v>
      </c>
      <c r="U750" s="1467">
        <f t="shared" ca="1" si="558"/>
        <v>0</v>
      </c>
      <c r="V750" s="1467">
        <f t="shared" ca="1" si="558"/>
        <v>0</v>
      </c>
      <c r="W750" s="1467">
        <f t="shared" ca="1" si="558"/>
        <v>0</v>
      </c>
      <c r="X750" s="1467">
        <f t="shared" ca="1" si="558"/>
        <v>0</v>
      </c>
      <c r="Y750" s="1467">
        <f t="shared" ca="1" si="558"/>
        <v>0</v>
      </c>
      <c r="Z750" s="1467">
        <f t="shared" ca="1" si="558"/>
        <v>0</v>
      </c>
      <c r="AA750" s="1467">
        <f t="shared" ca="1" si="558"/>
        <v>0</v>
      </c>
      <c r="AB750" s="1467">
        <f t="shared" ca="1" si="558"/>
        <v>0</v>
      </c>
      <c r="AC750" s="1467">
        <f t="shared" ca="1" si="558"/>
        <v>0</v>
      </c>
      <c r="AD750" s="1467">
        <f t="shared" ca="1" si="558"/>
        <v>0</v>
      </c>
      <c r="AE750" s="1467">
        <f t="shared" ca="1" si="558"/>
        <v>0</v>
      </c>
      <c r="AF750" s="1467">
        <f t="shared" ca="1" si="558"/>
        <v>0</v>
      </c>
      <c r="AG750" s="1467">
        <f t="shared" ca="1" si="558"/>
        <v>0</v>
      </c>
      <c r="AH750" s="1467">
        <f t="shared" ca="1" si="558"/>
        <v>0</v>
      </c>
      <c r="AI750" s="1467">
        <f t="shared" ca="1" si="558"/>
        <v>0</v>
      </c>
      <c r="AJ750" s="1467">
        <f t="shared" ca="1" si="558"/>
        <v>0</v>
      </c>
      <c r="AK750" s="1467">
        <f t="shared" ca="1" si="558"/>
        <v>0</v>
      </c>
      <c r="AL750" s="1467">
        <f t="shared" ca="1" si="558"/>
        <v>0</v>
      </c>
      <c r="AM750" s="1467">
        <f t="shared" ca="1" si="558"/>
        <v>0</v>
      </c>
      <c r="AN750" s="1467">
        <f t="shared" ca="1" si="558"/>
        <v>0</v>
      </c>
      <c r="AO750" s="1467">
        <f t="shared" ca="1" si="558"/>
        <v>0</v>
      </c>
      <c r="AP750" s="1467">
        <f t="shared" ca="1" si="558"/>
        <v>0</v>
      </c>
      <c r="AQ750" s="1467">
        <f t="shared" ca="1" si="558"/>
        <v>0</v>
      </c>
      <c r="AR750" s="1467">
        <f t="shared" ca="1" si="558"/>
        <v>0</v>
      </c>
      <c r="AS750" s="1467">
        <f t="shared" ca="1" si="558"/>
        <v>0</v>
      </c>
      <c r="AT750" s="1467">
        <f t="shared" ca="1" si="558"/>
        <v>0</v>
      </c>
      <c r="AU750" s="1467"/>
      <c r="AV750" s="1467">
        <f t="shared" ca="1" si="524"/>
        <v>0</v>
      </c>
      <c r="AW750" s="1468"/>
      <c r="AX750" s="1467">
        <f t="shared" ca="1" si="525"/>
        <v>0</v>
      </c>
      <c r="AY750" s="1468"/>
      <c r="AZ750" s="1467">
        <f t="shared" ca="1" si="526"/>
        <v>0</v>
      </c>
      <c r="BA750" s="1468"/>
      <c r="BB750" s="1467">
        <f t="shared" ca="1" si="527"/>
        <v>0</v>
      </c>
      <c r="BC750" s="1468"/>
      <c r="BD750" s="1467">
        <f t="shared" ca="1" si="528"/>
        <v>0</v>
      </c>
      <c r="BE750" s="1468"/>
      <c r="BF750" s="1467">
        <f t="shared" ca="1" si="529"/>
        <v>0</v>
      </c>
      <c r="BG750" s="1468"/>
      <c r="BH750" s="1467">
        <f t="shared" ca="1" si="530"/>
        <v>0</v>
      </c>
    </row>
    <row r="751" spans="1:60" hidden="1" outlineLevel="1">
      <c r="A751" s="1466">
        <f t="shared" si="551"/>
        <v>18</v>
      </c>
      <c r="B751" s="1466">
        <f t="shared" si="551"/>
        <v>36</v>
      </c>
      <c r="C751" s="1466">
        <f t="shared" si="533"/>
        <v>26</v>
      </c>
      <c r="D751" s="1465" t="str">
        <f ca="1">IF(OFFSET(PortfolioDashboard!$A$3,C751-1,0)="","Blank",OFFSET(PortfolioDashboard!$A$3,C751-1,0))</f>
        <v>Blank</v>
      </c>
      <c r="E751" s="1466" t="str">
        <f t="shared" si="534"/>
        <v>2010$</v>
      </c>
      <c r="F751" s="1460">
        <f t="shared" ca="1" si="522"/>
        <v>0</v>
      </c>
      <c r="G751" s="1467">
        <f t="shared" ref="G751:AT751" ca="1" si="559">G154+G216+G278+G371+G527</f>
        <v>0</v>
      </c>
      <c r="H751" s="1467">
        <f t="shared" ca="1" si="559"/>
        <v>0</v>
      </c>
      <c r="I751" s="1467">
        <f t="shared" ca="1" si="559"/>
        <v>0</v>
      </c>
      <c r="J751" s="1467">
        <f t="shared" ca="1" si="559"/>
        <v>0</v>
      </c>
      <c r="K751" s="1467">
        <f t="shared" ca="1" si="559"/>
        <v>0</v>
      </c>
      <c r="L751" s="1467">
        <f t="shared" ca="1" si="559"/>
        <v>0</v>
      </c>
      <c r="M751" s="1467">
        <f t="shared" ca="1" si="559"/>
        <v>0</v>
      </c>
      <c r="N751" s="1467">
        <f t="shared" ca="1" si="559"/>
        <v>0</v>
      </c>
      <c r="O751" s="1467">
        <f t="shared" ca="1" si="559"/>
        <v>0</v>
      </c>
      <c r="P751" s="1467">
        <f t="shared" ca="1" si="559"/>
        <v>0</v>
      </c>
      <c r="Q751" s="1467">
        <f t="shared" ca="1" si="559"/>
        <v>0</v>
      </c>
      <c r="R751" s="1467">
        <f t="shared" ca="1" si="559"/>
        <v>0</v>
      </c>
      <c r="S751" s="1467">
        <f t="shared" ca="1" si="559"/>
        <v>0</v>
      </c>
      <c r="T751" s="1467">
        <f t="shared" ca="1" si="559"/>
        <v>0</v>
      </c>
      <c r="U751" s="1467">
        <f t="shared" ca="1" si="559"/>
        <v>0</v>
      </c>
      <c r="V751" s="1467">
        <f t="shared" ca="1" si="559"/>
        <v>0</v>
      </c>
      <c r="W751" s="1467">
        <f t="shared" ca="1" si="559"/>
        <v>0</v>
      </c>
      <c r="X751" s="1467">
        <f t="shared" ca="1" si="559"/>
        <v>0</v>
      </c>
      <c r="Y751" s="1467">
        <f t="shared" ca="1" si="559"/>
        <v>0</v>
      </c>
      <c r="Z751" s="1467">
        <f t="shared" ca="1" si="559"/>
        <v>0</v>
      </c>
      <c r="AA751" s="1467">
        <f t="shared" ca="1" si="559"/>
        <v>0</v>
      </c>
      <c r="AB751" s="1467">
        <f t="shared" ca="1" si="559"/>
        <v>0</v>
      </c>
      <c r="AC751" s="1467">
        <f t="shared" ca="1" si="559"/>
        <v>0</v>
      </c>
      <c r="AD751" s="1467">
        <f t="shared" ca="1" si="559"/>
        <v>0</v>
      </c>
      <c r="AE751" s="1467">
        <f t="shared" ca="1" si="559"/>
        <v>0</v>
      </c>
      <c r="AF751" s="1467">
        <f t="shared" ca="1" si="559"/>
        <v>0</v>
      </c>
      <c r="AG751" s="1467">
        <f t="shared" ca="1" si="559"/>
        <v>0</v>
      </c>
      <c r="AH751" s="1467">
        <f t="shared" ca="1" si="559"/>
        <v>0</v>
      </c>
      <c r="AI751" s="1467">
        <f t="shared" ca="1" si="559"/>
        <v>0</v>
      </c>
      <c r="AJ751" s="1467">
        <f t="shared" ca="1" si="559"/>
        <v>0</v>
      </c>
      <c r="AK751" s="1467">
        <f t="shared" ca="1" si="559"/>
        <v>0</v>
      </c>
      <c r="AL751" s="1467">
        <f t="shared" ca="1" si="559"/>
        <v>0</v>
      </c>
      <c r="AM751" s="1467">
        <f t="shared" ca="1" si="559"/>
        <v>0</v>
      </c>
      <c r="AN751" s="1467">
        <f t="shared" ca="1" si="559"/>
        <v>0</v>
      </c>
      <c r="AO751" s="1467">
        <f t="shared" ca="1" si="559"/>
        <v>0</v>
      </c>
      <c r="AP751" s="1467">
        <f t="shared" ca="1" si="559"/>
        <v>0</v>
      </c>
      <c r="AQ751" s="1467">
        <f t="shared" ca="1" si="559"/>
        <v>0</v>
      </c>
      <c r="AR751" s="1467">
        <f t="shared" ca="1" si="559"/>
        <v>0</v>
      </c>
      <c r="AS751" s="1467">
        <f t="shared" ca="1" si="559"/>
        <v>0</v>
      </c>
      <c r="AT751" s="1467">
        <f t="shared" ca="1" si="559"/>
        <v>0</v>
      </c>
      <c r="AU751" s="1467"/>
      <c r="AV751" s="1467">
        <f t="shared" ca="1" si="524"/>
        <v>0</v>
      </c>
      <c r="AW751" s="1468"/>
      <c r="AX751" s="1467">
        <f t="shared" ca="1" si="525"/>
        <v>0</v>
      </c>
      <c r="AY751" s="1468"/>
      <c r="AZ751" s="1467">
        <f t="shared" ca="1" si="526"/>
        <v>0</v>
      </c>
      <c r="BA751" s="1468"/>
      <c r="BB751" s="1467">
        <f t="shared" ca="1" si="527"/>
        <v>0</v>
      </c>
      <c r="BC751" s="1468"/>
      <c r="BD751" s="1467">
        <f t="shared" ca="1" si="528"/>
        <v>0</v>
      </c>
      <c r="BE751" s="1468"/>
      <c r="BF751" s="1467">
        <f t="shared" ca="1" si="529"/>
        <v>0</v>
      </c>
      <c r="BG751" s="1468"/>
      <c r="BH751" s="1467">
        <f t="shared" ca="1" si="530"/>
        <v>0</v>
      </c>
    </row>
    <row r="752" spans="1:60" hidden="1" outlineLevel="1">
      <c r="A752" s="1466">
        <f t="shared" si="551"/>
        <v>18</v>
      </c>
      <c r="B752" s="1466">
        <f t="shared" si="551"/>
        <v>36</v>
      </c>
      <c r="C752" s="1466">
        <f t="shared" si="533"/>
        <v>27</v>
      </c>
      <c r="D752" s="1465" t="str">
        <f ca="1">IF(OFFSET(PortfolioDashboard!$A$3,C752-1,0)="","Blank",OFFSET(PortfolioDashboard!$A$3,C752-1,0))</f>
        <v>Blank</v>
      </c>
      <c r="E752" s="1466" t="str">
        <f t="shared" si="534"/>
        <v>2010$</v>
      </c>
      <c r="F752" s="1460">
        <f t="shared" ca="1" si="522"/>
        <v>0</v>
      </c>
      <c r="G752" s="1467">
        <f t="shared" ref="G752:AT752" ca="1" si="560">G155+G217+G279+G372+G528</f>
        <v>0</v>
      </c>
      <c r="H752" s="1467">
        <f t="shared" ca="1" si="560"/>
        <v>0</v>
      </c>
      <c r="I752" s="1467">
        <f t="shared" ca="1" si="560"/>
        <v>0</v>
      </c>
      <c r="J752" s="1467">
        <f t="shared" ca="1" si="560"/>
        <v>0</v>
      </c>
      <c r="K752" s="1467">
        <f t="shared" ca="1" si="560"/>
        <v>0</v>
      </c>
      <c r="L752" s="1467">
        <f t="shared" ca="1" si="560"/>
        <v>0</v>
      </c>
      <c r="M752" s="1467">
        <f t="shared" ca="1" si="560"/>
        <v>0</v>
      </c>
      <c r="N752" s="1467">
        <f t="shared" ca="1" si="560"/>
        <v>0</v>
      </c>
      <c r="O752" s="1467">
        <f t="shared" ca="1" si="560"/>
        <v>0</v>
      </c>
      <c r="P752" s="1467">
        <f t="shared" ca="1" si="560"/>
        <v>0</v>
      </c>
      <c r="Q752" s="1467">
        <f t="shared" ca="1" si="560"/>
        <v>0</v>
      </c>
      <c r="R752" s="1467">
        <f t="shared" ca="1" si="560"/>
        <v>0</v>
      </c>
      <c r="S752" s="1467">
        <f t="shared" ca="1" si="560"/>
        <v>0</v>
      </c>
      <c r="T752" s="1467">
        <f t="shared" ca="1" si="560"/>
        <v>0</v>
      </c>
      <c r="U752" s="1467">
        <f t="shared" ca="1" si="560"/>
        <v>0</v>
      </c>
      <c r="V752" s="1467">
        <f t="shared" ca="1" si="560"/>
        <v>0</v>
      </c>
      <c r="W752" s="1467">
        <f t="shared" ca="1" si="560"/>
        <v>0</v>
      </c>
      <c r="X752" s="1467">
        <f t="shared" ca="1" si="560"/>
        <v>0</v>
      </c>
      <c r="Y752" s="1467">
        <f t="shared" ca="1" si="560"/>
        <v>0</v>
      </c>
      <c r="Z752" s="1467">
        <f t="shared" ca="1" si="560"/>
        <v>0</v>
      </c>
      <c r="AA752" s="1467">
        <f t="shared" ca="1" si="560"/>
        <v>0</v>
      </c>
      <c r="AB752" s="1467">
        <f t="shared" ca="1" si="560"/>
        <v>0</v>
      </c>
      <c r="AC752" s="1467">
        <f t="shared" ca="1" si="560"/>
        <v>0</v>
      </c>
      <c r="AD752" s="1467">
        <f t="shared" ca="1" si="560"/>
        <v>0</v>
      </c>
      <c r="AE752" s="1467">
        <f t="shared" ca="1" si="560"/>
        <v>0</v>
      </c>
      <c r="AF752" s="1467">
        <f t="shared" ca="1" si="560"/>
        <v>0</v>
      </c>
      <c r="AG752" s="1467">
        <f t="shared" ca="1" si="560"/>
        <v>0</v>
      </c>
      <c r="AH752" s="1467">
        <f t="shared" ca="1" si="560"/>
        <v>0</v>
      </c>
      <c r="AI752" s="1467">
        <f t="shared" ca="1" si="560"/>
        <v>0</v>
      </c>
      <c r="AJ752" s="1467">
        <f t="shared" ca="1" si="560"/>
        <v>0</v>
      </c>
      <c r="AK752" s="1467">
        <f t="shared" ca="1" si="560"/>
        <v>0</v>
      </c>
      <c r="AL752" s="1467">
        <f t="shared" ca="1" si="560"/>
        <v>0</v>
      </c>
      <c r="AM752" s="1467">
        <f t="shared" ca="1" si="560"/>
        <v>0</v>
      </c>
      <c r="AN752" s="1467">
        <f t="shared" ca="1" si="560"/>
        <v>0</v>
      </c>
      <c r="AO752" s="1467">
        <f t="shared" ca="1" si="560"/>
        <v>0</v>
      </c>
      <c r="AP752" s="1467">
        <f t="shared" ca="1" si="560"/>
        <v>0</v>
      </c>
      <c r="AQ752" s="1467">
        <f t="shared" ca="1" si="560"/>
        <v>0</v>
      </c>
      <c r="AR752" s="1467">
        <f t="shared" ca="1" si="560"/>
        <v>0</v>
      </c>
      <c r="AS752" s="1467">
        <f t="shared" ca="1" si="560"/>
        <v>0</v>
      </c>
      <c r="AT752" s="1467">
        <f t="shared" ca="1" si="560"/>
        <v>0</v>
      </c>
      <c r="AU752" s="1467"/>
      <c r="AV752" s="1467">
        <f t="shared" ca="1" si="524"/>
        <v>0</v>
      </c>
      <c r="AW752" s="1468"/>
      <c r="AX752" s="1467">
        <f t="shared" ca="1" si="525"/>
        <v>0</v>
      </c>
      <c r="AY752" s="1468"/>
      <c r="AZ752" s="1467">
        <f t="shared" ca="1" si="526"/>
        <v>0</v>
      </c>
      <c r="BA752" s="1468"/>
      <c r="BB752" s="1467">
        <f t="shared" ca="1" si="527"/>
        <v>0</v>
      </c>
      <c r="BC752" s="1468"/>
      <c r="BD752" s="1467">
        <f t="shared" ca="1" si="528"/>
        <v>0</v>
      </c>
      <c r="BE752" s="1468"/>
      <c r="BF752" s="1467">
        <f t="shared" ca="1" si="529"/>
        <v>0</v>
      </c>
      <c r="BG752" s="1468"/>
      <c r="BH752" s="1467">
        <f t="shared" ca="1" si="530"/>
        <v>0</v>
      </c>
    </row>
    <row r="753" spans="1:60" hidden="1" outlineLevel="1">
      <c r="A753" s="1466">
        <f t="shared" si="551"/>
        <v>18</v>
      </c>
      <c r="B753" s="1466">
        <f t="shared" si="551"/>
        <v>36</v>
      </c>
      <c r="C753" s="1466">
        <f t="shared" si="533"/>
        <v>28</v>
      </c>
      <c r="D753" s="1465" t="str">
        <f ca="1">IF(OFFSET(PortfolioDashboard!$A$3,C753-1,0)="","Blank",OFFSET(PortfolioDashboard!$A$3,C753-1,0))</f>
        <v>Blank</v>
      </c>
      <c r="E753" s="1466" t="str">
        <f t="shared" si="534"/>
        <v>2010$</v>
      </c>
      <c r="F753" s="1460">
        <f t="shared" ca="1" si="522"/>
        <v>0</v>
      </c>
      <c r="G753" s="1467">
        <f t="shared" ref="G753:AT753" ca="1" si="561">G156+G218+G280+G373+G529</f>
        <v>0</v>
      </c>
      <c r="H753" s="1467">
        <f t="shared" ca="1" si="561"/>
        <v>0</v>
      </c>
      <c r="I753" s="1467">
        <f t="shared" ca="1" si="561"/>
        <v>0</v>
      </c>
      <c r="J753" s="1467">
        <f t="shared" ca="1" si="561"/>
        <v>0</v>
      </c>
      <c r="K753" s="1467">
        <f t="shared" ca="1" si="561"/>
        <v>0</v>
      </c>
      <c r="L753" s="1467">
        <f t="shared" ca="1" si="561"/>
        <v>0</v>
      </c>
      <c r="M753" s="1467">
        <f t="shared" ca="1" si="561"/>
        <v>0</v>
      </c>
      <c r="N753" s="1467">
        <f t="shared" ca="1" si="561"/>
        <v>0</v>
      </c>
      <c r="O753" s="1467">
        <f t="shared" ca="1" si="561"/>
        <v>0</v>
      </c>
      <c r="P753" s="1467">
        <f t="shared" ca="1" si="561"/>
        <v>0</v>
      </c>
      <c r="Q753" s="1467">
        <f t="shared" ca="1" si="561"/>
        <v>0</v>
      </c>
      <c r="R753" s="1467">
        <f t="shared" ca="1" si="561"/>
        <v>0</v>
      </c>
      <c r="S753" s="1467">
        <f t="shared" ca="1" si="561"/>
        <v>0</v>
      </c>
      <c r="T753" s="1467">
        <f t="shared" ca="1" si="561"/>
        <v>0</v>
      </c>
      <c r="U753" s="1467">
        <f t="shared" ca="1" si="561"/>
        <v>0</v>
      </c>
      <c r="V753" s="1467">
        <f t="shared" ca="1" si="561"/>
        <v>0</v>
      </c>
      <c r="W753" s="1467">
        <f t="shared" ca="1" si="561"/>
        <v>0</v>
      </c>
      <c r="X753" s="1467">
        <f t="shared" ca="1" si="561"/>
        <v>0</v>
      </c>
      <c r="Y753" s="1467">
        <f t="shared" ca="1" si="561"/>
        <v>0</v>
      </c>
      <c r="Z753" s="1467">
        <f t="shared" ca="1" si="561"/>
        <v>0</v>
      </c>
      <c r="AA753" s="1467">
        <f t="shared" ca="1" si="561"/>
        <v>0</v>
      </c>
      <c r="AB753" s="1467">
        <f t="shared" ca="1" si="561"/>
        <v>0</v>
      </c>
      <c r="AC753" s="1467">
        <f t="shared" ca="1" si="561"/>
        <v>0</v>
      </c>
      <c r="AD753" s="1467">
        <f t="shared" ca="1" si="561"/>
        <v>0</v>
      </c>
      <c r="AE753" s="1467">
        <f t="shared" ca="1" si="561"/>
        <v>0</v>
      </c>
      <c r="AF753" s="1467">
        <f t="shared" ca="1" si="561"/>
        <v>0</v>
      </c>
      <c r="AG753" s="1467">
        <f t="shared" ca="1" si="561"/>
        <v>0</v>
      </c>
      <c r="AH753" s="1467">
        <f t="shared" ca="1" si="561"/>
        <v>0</v>
      </c>
      <c r="AI753" s="1467">
        <f t="shared" ca="1" si="561"/>
        <v>0</v>
      </c>
      <c r="AJ753" s="1467">
        <f t="shared" ca="1" si="561"/>
        <v>0</v>
      </c>
      <c r="AK753" s="1467">
        <f t="shared" ca="1" si="561"/>
        <v>0</v>
      </c>
      <c r="AL753" s="1467">
        <f t="shared" ca="1" si="561"/>
        <v>0</v>
      </c>
      <c r="AM753" s="1467">
        <f t="shared" ca="1" si="561"/>
        <v>0</v>
      </c>
      <c r="AN753" s="1467">
        <f t="shared" ca="1" si="561"/>
        <v>0</v>
      </c>
      <c r="AO753" s="1467">
        <f t="shared" ca="1" si="561"/>
        <v>0</v>
      </c>
      <c r="AP753" s="1467">
        <f t="shared" ca="1" si="561"/>
        <v>0</v>
      </c>
      <c r="AQ753" s="1467">
        <f t="shared" ca="1" si="561"/>
        <v>0</v>
      </c>
      <c r="AR753" s="1467">
        <f t="shared" ca="1" si="561"/>
        <v>0</v>
      </c>
      <c r="AS753" s="1467">
        <f t="shared" ca="1" si="561"/>
        <v>0</v>
      </c>
      <c r="AT753" s="1467">
        <f t="shared" ca="1" si="561"/>
        <v>0</v>
      </c>
      <c r="AU753" s="1467"/>
      <c r="AV753" s="1467">
        <f t="shared" ca="1" si="524"/>
        <v>0</v>
      </c>
      <c r="AW753" s="1468"/>
      <c r="AX753" s="1467">
        <f t="shared" ca="1" si="525"/>
        <v>0</v>
      </c>
      <c r="AY753" s="1468"/>
      <c r="AZ753" s="1467">
        <f t="shared" ca="1" si="526"/>
        <v>0</v>
      </c>
      <c r="BA753" s="1468"/>
      <c r="BB753" s="1467">
        <f t="shared" ca="1" si="527"/>
        <v>0</v>
      </c>
      <c r="BC753" s="1468"/>
      <c r="BD753" s="1467">
        <f t="shared" ca="1" si="528"/>
        <v>0</v>
      </c>
      <c r="BE753" s="1468"/>
      <c r="BF753" s="1467">
        <f t="shared" ca="1" si="529"/>
        <v>0</v>
      </c>
      <c r="BG753" s="1468"/>
      <c r="BH753" s="1467">
        <f t="shared" ca="1" si="530"/>
        <v>0</v>
      </c>
    </row>
    <row r="754" spans="1:60" hidden="1" outlineLevel="1">
      <c r="A754" s="1466">
        <f t="shared" si="551"/>
        <v>18</v>
      </c>
      <c r="B754" s="1466">
        <f t="shared" si="551"/>
        <v>36</v>
      </c>
      <c r="C754" s="1466">
        <f t="shared" si="533"/>
        <v>29</v>
      </c>
      <c r="D754" s="1465" t="str">
        <f ca="1">IF(OFFSET(PortfolioDashboard!$A$3,C754-1,0)="","Blank",OFFSET(PortfolioDashboard!$A$3,C754-1,0))</f>
        <v>Blank</v>
      </c>
      <c r="E754" s="1466" t="str">
        <f t="shared" si="534"/>
        <v>2010$</v>
      </c>
      <c r="F754" s="1460">
        <f t="shared" ca="1" si="522"/>
        <v>0</v>
      </c>
      <c r="G754" s="1467">
        <f t="shared" ref="G754:AT754" ca="1" si="562">G157+G219+G281+G374+G530</f>
        <v>0</v>
      </c>
      <c r="H754" s="1467">
        <f t="shared" ca="1" si="562"/>
        <v>0</v>
      </c>
      <c r="I754" s="1467">
        <f t="shared" ca="1" si="562"/>
        <v>0</v>
      </c>
      <c r="J754" s="1467">
        <f t="shared" ca="1" si="562"/>
        <v>0</v>
      </c>
      <c r="K754" s="1467">
        <f t="shared" ca="1" si="562"/>
        <v>0</v>
      </c>
      <c r="L754" s="1467">
        <f t="shared" ca="1" si="562"/>
        <v>0</v>
      </c>
      <c r="M754" s="1467">
        <f t="shared" ca="1" si="562"/>
        <v>0</v>
      </c>
      <c r="N754" s="1467">
        <f t="shared" ca="1" si="562"/>
        <v>0</v>
      </c>
      <c r="O754" s="1467">
        <f t="shared" ca="1" si="562"/>
        <v>0</v>
      </c>
      <c r="P754" s="1467">
        <f t="shared" ca="1" si="562"/>
        <v>0</v>
      </c>
      <c r="Q754" s="1467">
        <f t="shared" ca="1" si="562"/>
        <v>0</v>
      </c>
      <c r="R754" s="1467">
        <f t="shared" ca="1" si="562"/>
        <v>0</v>
      </c>
      <c r="S754" s="1467">
        <f t="shared" ca="1" si="562"/>
        <v>0</v>
      </c>
      <c r="T754" s="1467">
        <f t="shared" ca="1" si="562"/>
        <v>0</v>
      </c>
      <c r="U754" s="1467">
        <f t="shared" ca="1" si="562"/>
        <v>0</v>
      </c>
      <c r="V754" s="1467">
        <f t="shared" ca="1" si="562"/>
        <v>0</v>
      </c>
      <c r="W754" s="1467">
        <f t="shared" ca="1" si="562"/>
        <v>0</v>
      </c>
      <c r="X754" s="1467">
        <f t="shared" ca="1" si="562"/>
        <v>0</v>
      </c>
      <c r="Y754" s="1467">
        <f t="shared" ca="1" si="562"/>
        <v>0</v>
      </c>
      <c r="Z754" s="1467">
        <f t="shared" ca="1" si="562"/>
        <v>0</v>
      </c>
      <c r="AA754" s="1467">
        <f t="shared" ca="1" si="562"/>
        <v>0</v>
      </c>
      <c r="AB754" s="1467">
        <f t="shared" ca="1" si="562"/>
        <v>0</v>
      </c>
      <c r="AC754" s="1467">
        <f t="shared" ca="1" si="562"/>
        <v>0</v>
      </c>
      <c r="AD754" s="1467">
        <f t="shared" ca="1" si="562"/>
        <v>0</v>
      </c>
      <c r="AE754" s="1467">
        <f t="shared" ca="1" si="562"/>
        <v>0</v>
      </c>
      <c r="AF754" s="1467">
        <f t="shared" ca="1" si="562"/>
        <v>0</v>
      </c>
      <c r="AG754" s="1467">
        <f t="shared" ca="1" si="562"/>
        <v>0</v>
      </c>
      <c r="AH754" s="1467">
        <f t="shared" ca="1" si="562"/>
        <v>0</v>
      </c>
      <c r="AI754" s="1467">
        <f t="shared" ca="1" si="562"/>
        <v>0</v>
      </c>
      <c r="AJ754" s="1467">
        <f t="shared" ca="1" si="562"/>
        <v>0</v>
      </c>
      <c r="AK754" s="1467">
        <f t="shared" ca="1" si="562"/>
        <v>0</v>
      </c>
      <c r="AL754" s="1467">
        <f t="shared" ca="1" si="562"/>
        <v>0</v>
      </c>
      <c r="AM754" s="1467">
        <f t="shared" ca="1" si="562"/>
        <v>0</v>
      </c>
      <c r="AN754" s="1467">
        <f t="shared" ca="1" si="562"/>
        <v>0</v>
      </c>
      <c r="AO754" s="1467">
        <f t="shared" ca="1" si="562"/>
        <v>0</v>
      </c>
      <c r="AP754" s="1467">
        <f t="shared" ca="1" si="562"/>
        <v>0</v>
      </c>
      <c r="AQ754" s="1467">
        <f t="shared" ca="1" si="562"/>
        <v>0</v>
      </c>
      <c r="AR754" s="1467">
        <f t="shared" ca="1" si="562"/>
        <v>0</v>
      </c>
      <c r="AS754" s="1467">
        <f t="shared" ca="1" si="562"/>
        <v>0</v>
      </c>
      <c r="AT754" s="1467">
        <f t="shared" ca="1" si="562"/>
        <v>0</v>
      </c>
      <c r="AU754" s="1467"/>
      <c r="AV754" s="1467">
        <f t="shared" ca="1" si="524"/>
        <v>0</v>
      </c>
      <c r="AW754" s="1468"/>
      <c r="AX754" s="1467">
        <f t="shared" ca="1" si="525"/>
        <v>0</v>
      </c>
      <c r="AY754" s="1468"/>
      <c r="AZ754" s="1467">
        <f t="shared" ca="1" si="526"/>
        <v>0</v>
      </c>
      <c r="BA754" s="1468"/>
      <c r="BB754" s="1467">
        <f t="shared" ca="1" si="527"/>
        <v>0</v>
      </c>
      <c r="BC754" s="1468"/>
      <c r="BD754" s="1467">
        <f t="shared" ca="1" si="528"/>
        <v>0</v>
      </c>
      <c r="BE754" s="1468"/>
      <c r="BF754" s="1467">
        <f t="shared" ca="1" si="529"/>
        <v>0</v>
      </c>
      <c r="BG754" s="1468"/>
      <c r="BH754" s="1467">
        <f t="shared" ca="1" si="530"/>
        <v>0</v>
      </c>
    </row>
    <row r="755" spans="1:60" hidden="1" outlineLevel="1">
      <c r="A755" s="1466">
        <f t="shared" si="551"/>
        <v>18</v>
      </c>
      <c r="B755" s="1466">
        <f t="shared" si="551"/>
        <v>36</v>
      </c>
      <c r="C755" s="1466">
        <f t="shared" si="533"/>
        <v>30</v>
      </c>
      <c r="D755" s="1465" t="str">
        <f ca="1">IF(OFFSET(PortfolioDashboard!$A$3,C755-1,0)="","Blank",OFFSET(PortfolioDashboard!$A$3,C755-1,0))</f>
        <v>Blank</v>
      </c>
      <c r="E755" s="1466" t="str">
        <f t="shared" si="534"/>
        <v>2010$</v>
      </c>
      <c r="F755" s="1460">
        <f t="shared" ca="1" si="522"/>
        <v>0</v>
      </c>
      <c r="G755" s="1467">
        <f t="shared" ref="G755:AT755" ca="1" si="563">G158+G220+G282+G375+G531</f>
        <v>0</v>
      </c>
      <c r="H755" s="1467">
        <f t="shared" ca="1" si="563"/>
        <v>0</v>
      </c>
      <c r="I755" s="1467">
        <f t="shared" ca="1" si="563"/>
        <v>0</v>
      </c>
      <c r="J755" s="1467">
        <f t="shared" ca="1" si="563"/>
        <v>0</v>
      </c>
      <c r="K755" s="1467">
        <f t="shared" ca="1" si="563"/>
        <v>0</v>
      </c>
      <c r="L755" s="1467">
        <f t="shared" ca="1" si="563"/>
        <v>0</v>
      </c>
      <c r="M755" s="1467">
        <f t="shared" ca="1" si="563"/>
        <v>0</v>
      </c>
      <c r="N755" s="1467">
        <f t="shared" ca="1" si="563"/>
        <v>0</v>
      </c>
      <c r="O755" s="1467">
        <f t="shared" ca="1" si="563"/>
        <v>0</v>
      </c>
      <c r="P755" s="1467">
        <f t="shared" ca="1" si="563"/>
        <v>0</v>
      </c>
      <c r="Q755" s="1467">
        <f t="shared" ca="1" si="563"/>
        <v>0</v>
      </c>
      <c r="R755" s="1467">
        <f t="shared" ca="1" si="563"/>
        <v>0</v>
      </c>
      <c r="S755" s="1467">
        <f t="shared" ca="1" si="563"/>
        <v>0</v>
      </c>
      <c r="T755" s="1467">
        <f t="shared" ca="1" si="563"/>
        <v>0</v>
      </c>
      <c r="U755" s="1467">
        <f t="shared" ca="1" si="563"/>
        <v>0</v>
      </c>
      <c r="V755" s="1467">
        <f t="shared" ca="1" si="563"/>
        <v>0</v>
      </c>
      <c r="W755" s="1467">
        <f t="shared" ca="1" si="563"/>
        <v>0</v>
      </c>
      <c r="X755" s="1467">
        <f t="shared" ca="1" si="563"/>
        <v>0</v>
      </c>
      <c r="Y755" s="1467">
        <f t="shared" ca="1" si="563"/>
        <v>0</v>
      </c>
      <c r="Z755" s="1467">
        <f t="shared" ca="1" si="563"/>
        <v>0</v>
      </c>
      <c r="AA755" s="1467">
        <f t="shared" ca="1" si="563"/>
        <v>0</v>
      </c>
      <c r="AB755" s="1467">
        <f t="shared" ca="1" si="563"/>
        <v>0</v>
      </c>
      <c r="AC755" s="1467">
        <f t="shared" ca="1" si="563"/>
        <v>0</v>
      </c>
      <c r="AD755" s="1467">
        <f t="shared" ca="1" si="563"/>
        <v>0</v>
      </c>
      <c r="AE755" s="1467">
        <f t="shared" ca="1" si="563"/>
        <v>0</v>
      </c>
      <c r="AF755" s="1467">
        <f t="shared" ca="1" si="563"/>
        <v>0</v>
      </c>
      <c r="AG755" s="1467">
        <f t="shared" ca="1" si="563"/>
        <v>0</v>
      </c>
      <c r="AH755" s="1467">
        <f t="shared" ca="1" si="563"/>
        <v>0</v>
      </c>
      <c r="AI755" s="1467">
        <f t="shared" ca="1" si="563"/>
        <v>0</v>
      </c>
      <c r="AJ755" s="1467">
        <f t="shared" ca="1" si="563"/>
        <v>0</v>
      </c>
      <c r="AK755" s="1467">
        <f t="shared" ca="1" si="563"/>
        <v>0</v>
      </c>
      <c r="AL755" s="1467">
        <f t="shared" ca="1" si="563"/>
        <v>0</v>
      </c>
      <c r="AM755" s="1467">
        <f t="shared" ca="1" si="563"/>
        <v>0</v>
      </c>
      <c r="AN755" s="1467">
        <f t="shared" ca="1" si="563"/>
        <v>0</v>
      </c>
      <c r="AO755" s="1467">
        <f t="shared" ca="1" si="563"/>
        <v>0</v>
      </c>
      <c r="AP755" s="1467">
        <f t="shared" ca="1" si="563"/>
        <v>0</v>
      </c>
      <c r="AQ755" s="1467">
        <f t="shared" ca="1" si="563"/>
        <v>0</v>
      </c>
      <c r="AR755" s="1467">
        <f t="shared" ca="1" si="563"/>
        <v>0</v>
      </c>
      <c r="AS755" s="1467">
        <f t="shared" ca="1" si="563"/>
        <v>0</v>
      </c>
      <c r="AT755" s="1467">
        <f t="shared" ca="1" si="563"/>
        <v>0</v>
      </c>
      <c r="AU755" s="1467"/>
      <c r="AV755" s="1467">
        <f t="shared" ca="1" si="524"/>
        <v>0</v>
      </c>
      <c r="AW755" s="1468"/>
      <c r="AX755" s="1467">
        <f t="shared" ca="1" si="525"/>
        <v>0</v>
      </c>
      <c r="AY755" s="1468"/>
      <c r="AZ755" s="1467">
        <f t="shared" ca="1" si="526"/>
        <v>0</v>
      </c>
      <c r="BA755" s="1468"/>
      <c r="BB755" s="1467">
        <f t="shared" ca="1" si="527"/>
        <v>0</v>
      </c>
      <c r="BC755" s="1468"/>
      <c r="BD755" s="1467">
        <f t="shared" ca="1" si="528"/>
        <v>0</v>
      </c>
      <c r="BE755" s="1468"/>
      <c r="BF755" s="1467">
        <f t="shared" ca="1" si="529"/>
        <v>0</v>
      </c>
      <c r="BG755" s="1468"/>
      <c r="BH755" s="1467">
        <f t="shared" ca="1" si="530"/>
        <v>0</v>
      </c>
    </row>
    <row r="756" spans="1:60" collapsed="1">
      <c r="A756" s="1466"/>
      <c r="B756" s="1466"/>
      <c r="C756" s="1466"/>
      <c r="D756" s="1469" t="s">
        <v>2936</v>
      </c>
      <c r="E756" s="1470" t="str">
        <f>E726</f>
        <v>2010$</v>
      </c>
      <c r="F756" s="1461">
        <f t="shared" ca="1" si="522"/>
        <v>211527284.14803228</v>
      </c>
      <c r="G756" s="1471">
        <f t="shared" ref="G756:AT756" ca="1" si="564">SUM(G726:G755)</f>
        <v>237052.05335287287</v>
      </c>
      <c r="H756" s="1471">
        <f t="shared" ca="1" si="564"/>
        <v>1437004.8503135836</v>
      </c>
      <c r="I756" s="1471">
        <f t="shared" ca="1" si="564"/>
        <v>3807936.3316040896</v>
      </c>
      <c r="J756" s="1471">
        <f t="shared" ca="1" si="564"/>
        <v>5136514.3104328066</v>
      </c>
      <c r="K756" s="1471">
        <f t="shared" ca="1" si="564"/>
        <v>6817676.0646550115</v>
      </c>
      <c r="L756" s="1471">
        <f t="shared" ca="1" si="564"/>
        <v>8119233.4213993344</v>
      </c>
      <c r="M756" s="1471">
        <f t="shared" ca="1" si="564"/>
        <v>9164621.7598326989</v>
      </c>
      <c r="N756" s="1471">
        <f t="shared" ca="1" si="564"/>
        <v>9965961.6648304537</v>
      </c>
      <c r="O756" s="1471">
        <f t="shared" ca="1" si="564"/>
        <v>10761197.416200597</v>
      </c>
      <c r="P756" s="1471">
        <f t="shared" ca="1" si="564"/>
        <v>11560860.874070078</v>
      </c>
      <c r="Q756" s="1471">
        <f t="shared" ca="1" si="564"/>
        <v>12364976.085970921</v>
      </c>
      <c r="R756" s="1471">
        <f t="shared" ca="1" si="564"/>
        <v>13173566.757697506</v>
      </c>
      <c r="S756" s="1471">
        <f t="shared" ca="1" si="564"/>
        <v>13986656.443908114</v>
      </c>
      <c r="T756" s="1471">
        <f t="shared" ca="1" si="564"/>
        <v>14763673.902569611</v>
      </c>
      <c r="U756" s="1471">
        <f t="shared" ca="1" si="564"/>
        <v>15473543.947930764</v>
      </c>
      <c r="V756" s="1471">
        <f t="shared" ca="1" si="564"/>
        <v>16187550.602684028</v>
      </c>
      <c r="W756" s="1471">
        <f t="shared" ca="1" si="564"/>
        <v>16905721.957138084</v>
      </c>
      <c r="X756" s="1471">
        <f t="shared" ca="1" si="564"/>
        <v>17628086.289431926</v>
      </c>
      <c r="Y756" s="1471">
        <f t="shared" ca="1" si="564"/>
        <v>18354672.083279546</v>
      </c>
      <c r="Z756" s="1471">
        <f t="shared" ca="1" si="564"/>
        <v>19085508.0407588</v>
      </c>
      <c r="AA756" s="1471">
        <f t="shared" ca="1" si="564"/>
        <v>19820623.091625292</v>
      </c>
      <c r="AB756" s="1471">
        <f t="shared" ca="1" si="564"/>
        <v>20539852.767406005</v>
      </c>
      <c r="AC756" s="1471">
        <f t="shared" ca="1" si="564"/>
        <v>21263218.168360259</v>
      </c>
      <c r="AD756" s="1471">
        <f t="shared" ca="1" si="564"/>
        <v>21990747.427128255</v>
      </c>
      <c r="AE756" s="1471">
        <f t="shared" ca="1" si="564"/>
        <v>22593968.429156054</v>
      </c>
      <c r="AF756" s="1471">
        <f t="shared" ca="1" si="564"/>
        <v>23200453.410539888</v>
      </c>
      <c r="AG756" s="1471">
        <f t="shared" ca="1" si="564"/>
        <v>23810224.041133095</v>
      </c>
      <c r="AH756" s="1471">
        <f t="shared" ca="1" si="564"/>
        <v>24423302.183614235</v>
      </c>
      <c r="AI756" s="1471">
        <f t="shared" ca="1" si="564"/>
        <v>25039709.894020364</v>
      </c>
      <c r="AJ756" s="1471">
        <f t="shared" ca="1" si="564"/>
        <v>25659469.422070283</v>
      </c>
      <c r="AK756" s="1471">
        <f t="shared" ca="1" si="564"/>
        <v>26282603.211335856</v>
      </c>
      <c r="AL756" s="1471">
        <f t="shared" ca="1" si="564"/>
        <v>26909133.899306107</v>
      </c>
      <c r="AM756" s="1471">
        <f t="shared" ca="1" si="564"/>
        <v>27539084.317377888</v>
      </c>
      <c r="AN756" s="1471">
        <f t="shared" ca="1" si="564"/>
        <v>28172477.490799788</v>
      </c>
      <c r="AO756" s="1471">
        <f t="shared" ca="1" si="564"/>
        <v>28809336.638589252</v>
      </c>
      <c r="AP756" s="1471">
        <f t="shared" ca="1" si="564"/>
        <v>29449685.173438601</v>
      </c>
      <c r="AQ756" s="1471">
        <f t="shared" ca="1" si="564"/>
        <v>30093546.701622076</v>
      </c>
      <c r="AR756" s="1471">
        <f t="shared" ca="1" si="564"/>
        <v>30740945.022913184</v>
      </c>
      <c r="AS756" s="1471">
        <f t="shared" ca="1" si="564"/>
        <v>31391904.130519193</v>
      </c>
      <c r="AT756" s="1471">
        <f t="shared" ca="1" si="564"/>
        <v>32046448.211038377</v>
      </c>
      <c r="AU756" s="1468"/>
      <c r="AV756" s="1471">
        <f t="shared" ca="1" si="524"/>
        <v>49571875.136333168</v>
      </c>
      <c r="AW756" s="1468"/>
      <c r="AX756" s="1471">
        <f t="shared" ca="1" si="525"/>
        <v>69762417.138076916</v>
      </c>
      <c r="AY756" s="1468"/>
      <c r="AZ756" s="1471">
        <f t="shared" ca="1" si="526"/>
        <v>88161538.973292395</v>
      </c>
      <c r="BA756" s="1468"/>
      <c r="BB756" s="1471">
        <f t="shared" ca="1" si="527"/>
        <v>106208409.88367586</v>
      </c>
      <c r="BC756" s="1468"/>
      <c r="BD756" s="1471">
        <f t="shared" ca="1" si="528"/>
        <v>122133158.95137787</v>
      </c>
      <c r="BE756" s="1468"/>
      <c r="BF756" s="1471">
        <f t="shared" ca="1" si="529"/>
        <v>137712635.5574089</v>
      </c>
      <c r="BG756" s="1468"/>
      <c r="BH756" s="1471">
        <f t="shared" ca="1" si="530"/>
        <v>153722529.23953143</v>
      </c>
    </row>
    <row r="757" spans="1:60" hidden="1" outlineLevel="1">
      <c r="A757" s="1301">
        <v>18</v>
      </c>
      <c r="B757" s="1301">
        <v>37</v>
      </c>
      <c r="C757" s="1301">
        <v>1</v>
      </c>
      <c r="D757" s="1271" t="str">
        <f ca="1">IF(OFFSET(PortfolioDashboard!$A$3,C757-1,0)="","Blank",OFFSET(PortfolioDashboard!$A$3,C757-1,0))</f>
        <v>Behavior Change</v>
      </c>
      <c r="E757" s="1301" t="s">
        <v>1197</v>
      </c>
      <c r="F757" s="1460">
        <f t="shared" ca="1" si="522"/>
        <v>-888587.81999004784</v>
      </c>
      <c r="G757" s="358">
        <f t="shared" ref="G757:AT757" ca="1" si="565">G160+G222+G284+G315+G533</f>
        <v>0</v>
      </c>
      <c r="H757" s="358">
        <f t="shared" ca="1" si="565"/>
        <v>0</v>
      </c>
      <c r="I757" s="358">
        <f t="shared" ca="1" si="565"/>
        <v>-100000</v>
      </c>
      <c r="J757" s="358">
        <f t="shared" ca="1" si="565"/>
        <v>-100000</v>
      </c>
      <c r="K757" s="358">
        <f t="shared" ca="1" si="565"/>
        <v>-100000</v>
      </c>
      <c r="L757" s="358">
        <f t="shared" ca="1" si="565"/>
        <v>-100000</v>
      </c>
      <c r="M757" s="358">
        <f t="shared" ca="1" si="565"/>
        <v>-100000</v>
      </c>
      <c r="N757" s="358">
        <f t="shared" ca="1" si="565"/>
        <v>-50000</v>
      </c>
      <c r="O757" s="358">
        <f t="shared" ca="1" si="565"/>
        <v>-50000</v>
      </c>
      <c r="P757" s="358">
        <f t="shared" ca="1" si="565"/>
        <v>-50000</v>
      </c>
      <c r="Q757" s="358">
        <f t="shared" ca="1" si="565"/>
        <v>-50000</v>
      </c>
      <c r="R757" s="358">
        <f t="shared" ca="1" si="565"/>
        <v>-50000</v>
      </c>
      <c r="S757" s="358">
        <f t="shared" ca="1" si="565"/>
        <v>-50000</v>
      </c>
      <c r="T757" s="358">
        <f t="shared" ca="1" si="565"/>
        <v>-50000</v>
      </c>
      <c r="U757" s="358">
        <f t="shared" ca="1" si="565"/>
        <v>-50000</v>
      </c>
      <c r="V757" s="358">
        <f t="shared" ca="1" si="565"/>
        <v>-50000</v>
      </c>
      <c r="W757" s="358">
        <f t="shared" ca="1" si="565"/>
        <v>-50000</v>
      </c>
      <c r="X757" s="358">
        <f t="shared" ca="1" si="565"/>
        <v>-50000</v>
      </c>
      <c r="Y757" s="358">
        <f t="shared" ca="1" si="565"/>
        <v>-50000</v>
      </c>
      <c r="Z757" s="358">
        <f t="shared" ca="1" si="565"/>
        <v>-50000</v>
      </c>
      <c r="AA757" s="358">
        <f t="shared" ca="1" si="565"/>
        <v>-50000</v>
      </c>
      <c r="AB757" s="358">
        <f t="shared" ca="1" si="565"/>
        <v>-50000</v>
      </c>
      <c r="AC757" s="358">
        <f t="shared" ca="1" si="565"/>
        <v>-50000</v>
      </c>
      <c r="AD757" s="358">
        <f t="shared" ca="1" si="565"/>
        <v>-50000</v>
      </c>
      <c r="AE757" s="358">
        <f t="shared" ca="1" si="565"/>
        <v>-50000</v>
      </c>
      <c r="AF757" s="358">
        <f t="shared" ca="1" si="565"/>
        <v>-50000</v>
      </c>
      <c r="AG757" s="358">
        <f t="shared" ca="1" si="565"/>
        <v>-50000</v>
      </c>
      <c r="AH757" s="358">
        <f t="shared" ca="1" si="565"/>
        <v>-50000</v>
      </c>
      <c r="AI757" s="358">
        <f t="shared" ca="1" si="565"/>
        <v>-50000</v>
      </c>
      <c r="AJ757" s="358">
        <f t="shared" ca="1" si="565"/>
        <v>-50000</v>
      </c>
      <c r="AK757" s="358">
        <f t="shared" ca="1" si="565"/>
        <v>-50000</v>
      </c>
      <c r="AL757" s="358">
        <f t="shared" ca="1" si="565"/>
        <v>-50000</v>
      </c>
      <c r="AM757" s="358">
        <f t="shared" ca="1" si="565"/>
        <v>-50000</v>
      </c>
      <c r="AN757" s="358">
        <f t="shared" ca="1" si="565"/>
        <v>-50000</v>
      </c>
      <c r="AO757" s="358">
        <f t="shared" ca="1" si="565"/>
        <v>-50000</v>
      </c>
      <c r="AP757" s="358">
        <f t="shared" ca="1" si="565"/>
        <v>-50000</v>
      </c>
      <c r="AQ757" s="358">
        <f t="shared" ca="1" si="565"/>
        <v>-50000</v>
      </c>
      <c r="AR757" s="358">
        <f t="shared" ca="1" si="565"/>
        <v>-50000</v>
      </c>
      <c r="AS757" s="358">
        <f t="shared" ca="1" si="565"/>
        <v>-50000</v>
      </c>
      <c r="AT757" s="358">
        <f t="shared" ca="1" si="565"/>
        <v>-50000</v>
      </c>
      <c r="AU757" s="358"/>
      <c r="AV757" s="358">
        <f t="shared" ca="1" si="524"/>
        <v>-350000</v>
      </c>
      <c r="AX757" s="358">
        <f t="shared" ca="1" si="525"/>
        <v>-250000</v>
      </c>
      <c r="AZ757" s="358">
        <f t="shared" ca="1" si="526"/>
        <v>-250000</v>
      </c>
      <c r="BB757" s="358">
        <f t="shared" ca="1" si="527"/>
        <v>-250000</v>
      </c>
      <c r="BD757" s="358">
        <f t="shared" ca="1" si="528"/>
        <v>-250000</v>
      </c>
      <c r="BF757" s="358">
        <f t="shared" ca="1" si="529"/>
        <v>-250000</v>
      </c>
      <c r="BH757" s="358">
        <f t="shared" ca="1" si="530"/>
        <v>-250000</v>
      </c>
    </row>
    <row r="758" spans="1:60" hidden="1" outlineLevel="1">
      <c r="A758" s="1301">
        <f>A757</f>
        <v>18</v>
      </c>
      <c r="B758" s="1301">
        <f>B757</f>
        <v>37</v>
      </c>
      <c r="C758" s="1301">
        <f>C757+1</f>
        <v>2</v>
      </c>
      <c r="D758" s="1271" t="str">
        <f ca="1">IF(OFFSET(PortfolioDashboard!$A$3,C758-1,0)="","Blank",OFFSET(PortfolioDashboard!$A$3,C758-1,0))</f>
        <v>Building Design &amp; Construction Standards</v>
      </c>
      <c r="E758" s="1301" t="str">
        <f>E757</f>
        <v>2010$</v>
      </c>
      <c r="F758" s="1460">
        <f t="shared" ca="1" si="522"/>
        <v>-89643.645147354444</v>
      </c>
      <c r="G758" s="358">
        <f t="shared" ref="G758:AT758" ca="1" si="566">G161+G223+G285+G316+G534</f>
        <v>0</v>
      </c>
      <c r="H758" s="358">
        <f t="shared" ca="1" si="566"/>
        <v>-100000</v>
      </c>
      <c r="I758" s="358">
        <f t="shared" ca="1" si="566"/>
        <v>0</v>
      </c>
      <c r="J758" s="358">
        <f t="shared" ca="1" si="566"/>
        <v>0</v>
      </c>
      <c r="K758" s="358">
        <f t="shared" ca="1" si="566"/>
        <v>0</v>
      </c>
      <c r="L758" s="358">
        <f t="shared" ca="1" si="566"/>
        <v>0</v>
      </c>
      <c r="M758" s="358">
        <f t="shared" ca="1" si="566"/>
        <v>0</v>
      </c>
      <c r="N758" s="358">
        <f t="shared" ca="1" si="566"/>
        <v>0</v>
      </c>
      <c r="O758" s="358">
        <f t="shared" ca="1" si="566"/>
        <v>0</v>
      </c>
      <c r="P758" s="358">
        <f t="shared" ca="1" si="566"/>
        <v>0</v>
      </c>
      <c r="Q758" s="358">
        <f t="shared" ca="1" si="566"/>
        <v>0</v>
      </c>
      <c r="R758" s="358">
        <f t="shared" ca="1" si="566"/>
        <v>0</v>
      </c>
      <c r="S758" s="358">
        <f t="shared" ca="1" si="566"/>
        <v>0</v>
      </c>
      <c r="T758" s="358">
        <f t="shared" ca="1" si="566"/>
        <v>0</v>
      </c>
      <c r="U758" s="358">
        <f t="shared" ca="1" si="566"/>
        <v>0</v>
      </c>
      <c r="V758" s="358">
        <f t="shared" ca="1" si="566"/>
        <v>0</v>
      </c>
      <c r="W758" s="358">
        <f t="shared" ca="1" si="566"/>
        <v>0</v>
      </c>
      <c r="X758" s="358">
        <f t="shared" ca="1" si="566"/>
        <v>0</v>
      </c>
      <c r="Y758" s="358">
        <f t="shared" ca="1" si="566"/>
        <v>0</v>
      </c>
      <c r="Z758" s="358">
        <f t="shared" ca="1" si="566"/>
        <v>0</v>
      </c>
      <c r="AA758" s="358">
        <f t="shared" ca="1" si="566"/>
        <v>0</v>
      </c>
      <c r="AB758" s="358">
        <f t="shared" ca="1" si="566"/>
        <v>0</v>
      </c>
      <c r="AC758" s="358">
        <f t="shared" ca="1" si="566"/>
        <v>0</v>
      </c>
      <c r="AD758" s="358">
        <f t="shared" ca="1" si="566"/>
        <v>0</v>
      </c>
      <c r="AE758" s="358">
        <f t="shared" ca="1" si="566"/>
        <v>0</v>
      </c>
      <c r="AF758" s="358">
        <f t="shared" ca="1" si="566"/>
        <v>0</v>
      </c>
      <c r="AG758" s="358">
        <f t="shared" ca="1" si="566"/>
        <v>0</v>
      </c>
      <c r="AH758" s="358">
        <f t="shared" ca="1" si="566"/>
        <v>0</v>
      </c>
      <c r="AI758" s="358">
        <f t="shared" ca="1" si="566"/>
        <v>0</v>
      </c>
      <c r="AJ758" s="358">
        <f t="shared" ca="1" si="566"/>
        <v>0</v>
      </c>
      <c r="AK758" s="358">
        <f t="shared" ca="1" si="566"/>
        <v>0</v>
      </c>
      <c r="AL758" s="358">
        <f t="shared" ca="1" si="566"/>
        <v>0</v>
      </c>
      <c r="AM758" s="358">
        <f t="shared" ca="1" si="566"/>
        <v>0</v>
      </c>
      <c r="AN758" s="358">
        <f t="shared" ca="1" si="566"/>
        <v>0</v>
      </c>
      <c r="AO758" s="358">
        <f t="shared" ca="1" si="566"/>
        <v>0</v>
      </c>
      <c r="AP758" s="358">
        <f t="shared" ca="1" si="566"/>
        <v>0</v>
      </c>
      <c r="AQ758" s="358">
        <f t="shared" ca="1" si="566"/>
        <v>0</v>
      </c>
      <c r="AR758" s="358">
        <f t="shared" ca="1" si="566"/>
        <v>0</v>
      </c>
      <c r="AS758" s="358">
        <f t="shared" ca="1" si="566"/>
        <v>0</v>
      </c>
      <c r="AT758" s="358">
        <f t="shared" ca="1" si="566"/>
        <v>0</v>
      </c>
      <c r="AU758" s="358"/>
      <c r="AV758" s="358">
        <f t="shared" ca="1" si="524"/>
        <v>0</v>
      </c>
      <c r="AX758" s="358">
        <f t="shared" ca="1" si="525"/>
        <v>0</v>
      </c>
      <c r="AZ758" s="358">
        <f t="shared" ca="1" si="526"/>
        <v>0</v>
      </c>
      <c r="BB758" s="358">
        <f t="shared" ca="1" si="527"/>
        <v>0</v>
      </c>
      <c r="BD758" s="358">
        <f t="shared" ca="1" si="528"/>
        <v>0</v>
      </c>
      <c r="BF758" s="358">
        <f t="shared" ca="1" si="529"/>
        <v>0</v>
      </c>
      <c r="BH758" s="358">
        <f t="shared" ca="1" si="530"/>
        <v>0</v>
      </c>
    </row>
    <row r="759" spans="1:60" hidden="1" outlineLevel="1">
      <c r="A759" s="1301">
        <f t="shared" ref="A759:B774" si="567">A758</f>
        <v>18</v>
      </c>
      <c r="B759" s="1301">
        <f t="shared" si="567"/>
        <v>37</v>
      </c>
      <c r="C759" s="1301">
        <f t="shared" ref="C759:C786" si="568">C758+1</f>
        <v>3</v>
      </c>
      <c r="D759" s="1271" t="str">
        <f ca="1">IF(OFFSET(PortfolioDashboard!$A$3,C759-1,0)="","Blank",OFFSET(PortfolioDashboard!$A$3,C759-1,0))</f>
        <v>Space Planning &amp; Management</v>
      </c>
      <c r="E759" s="1301" t="str">
        <f t="shared" ref="E759:E786" si="569">E758</f>
        <v>2010$</v>
      </c>
      <c r="F759" s="1460">
        <f t="shared" ca="1" si="522"/>
        <v>-268930.93544206338</v>
      </c>
      <c r="G759" s="358">
        <f t="shared" ref="G759:AT759" ca="1" si="570">G162+G224+G286+G317+G535</f>
        <v>0</v>
      </c>
      <c r="H759" s="358">
        <f t="shared" ca="1" si="570"/>
        <v>-300000</v>
      </c>
      <c r="I759" s="358">
        <f t="shared" ca="1" si="570"/>
        <v>0</v>
      </c>
      <c r="J759" s="358">
        <f t="shared" ca="1" si="570"/>
        <v>0</v>
      </c>
      <c r="K759" s="358">
        <f t="shared" ca="1" si="570"/>
        <v>0</v>
      </c>
      <c r="L759" s="358">
        <f t="shared" ca="1" si="570"/>
        <v>0</v>
      </c>
      <c r="M759" s="358">
        <f t="shared" ca="1" si="570"/>
        <v>0</v>
      </c>
      <c r="N759" s="358">
        <f t="shared" ca="1" si="570"/>
        <v>0</v>
      </c>
      <c r="O759" s="358">
        <f t="shared" ca="1" si="570"/>
        <v>0</v>
      </c>
      <c r="P759" s="358">
        <f t="shared" ca="1" si="570"/>
        <v>0</v>
      </c>
      <c r="Q759" s="358">
        <f t="shared" ca="1" si="570"/>
        <v>0</v>
      </c>
      <c r="R759" s="358">
        <f t="shared" ca="1" si="570"/>
        <v>0</v>
      </c>
      <c r="S759" s="358">
        <f t="shared" ca="1" si="570"/>
        <v>0</v>
      </c>
      <c r="T759" s="358">
        <f t="shared" ca="1" si="570"/>
        <v>0</v>
      </c>
      <c r="U759" s="358">
        <f t="shared" ca="1" si="570"/>
        <v>0</v>
      </c>
      <c r="V759" s="358">
        <f t="shared" ca="1" si="570"/>
        <v>0</v>
      </c>
      <c r="W759" s="358">
        <f t="shared" ca="1" si="570"/>
        <v>0</v>
      </c>
      <c r="X759" s="358">
        <f t="shared" ca="1" si="570"/>
        <v>0</v>
      </c>
      <c r="Y759" s="358">
        <f t="shared" ca="1" si="570"/>
        <v>0</v>
      </c>
      <c r="Z759" s="358">
        <f t="shared" ca="1" si="570"/>
        <v>0</v>
      </c>
      <c r="AA759" s="358">
        <f t="shared" ca="1" si="570"/>
        <v>0</v>
      </c>
      <c r="AB759" s="358">
        <f t="shared" ca="1" si="570"/>
        <v>0</v>
      </c>
      <c r="AC759" s="358">
        <f t="shared" ca="1" si="570"/>
        <v>0</v>
      </c>
      <c r="AD759" s="358">
        <f t="shared" ca="1" si="570"/>
        <v>0</v>
      </c>
      <c r="AE759" s="358">
        <f t="shared" ca="1" si="570"/>
        <v>0</v>
      </c>
      <c r="AF759" s="358">
        <f t="shared" ca="1" si="570"/>
        <v>0</v>
      </c>
      <c r="AG759" s="358">
        <f t="shared" ca="1" si="570"/>
        <v>0</v>
      </c>
      <c r="AH759" s="358">
        <f t="shared" ca="1" si="570"/>
        <v>0</v>
      </c>
      <c r="AI759" s="358">
        <f t="shared" ca="1" si="570"/>
        <v>0</v>
      </c>
      <c r="AJ759" s="358">
        <f t="shared" ca="1" si="570"/>
        <v>0</v>
      </c>
      <c r="AK759" s="358">
        <f t="shared" ca="1" si="570"/>
        <v>0</v>
      </c>
      <c r="AL759" s="358">
        <f t="shared" ca="1" si="570"/>
        <v>0</v>
      </c>
      <c r="AM759" s="358">
        <f t="shared" ca="1" si="570"/>
        <v>0</v>
      </c>
      <c r="AN759" s="358">
        <f t="shared" ca="1" si="570"/>
        <v>0</v>
      </c>
      <c r="AO759" s="358">
        <f t="shared" ca="1" si="570"/>
        <v>0</v>
      </c>
      <c r="AP759" s="358">
        <f t="shared" ca="1" si="570"/>
        <v>0</v>
      </c>
      <c r="AQ759" s="358">
        <f t="shared" ca="1" si="570"/>
        <v>0</v>
      </c>
      <c r="AR759" s="358">
        <f t="shared" ca="1" si="570"/>
        <v>0</v>
      </c>
      <c r="AS759" s="358">
        <f t="shared" ca="1" si="570"/>
        <v>0</v>
      </c>
      <c r="AT759" s="358">
        <f t="shared" ca="1" si="570"/>
        <v>0</v>
      </c>
      <c r="AU759" s="358"/>
      <c r="AV759" s="358">
        <f t="shared" ca="1" si="524"/>
        <v>0</v>
      </c>
      <c r="AX759" s="358">
        <f t="shared" ca="1" si="525"/>
        <v>0</v>
      </c>
      <c r="AZ759" s="358">
        <f t="shared" ca="1" si="526"/>
        <v>0</v>
      </c>
      <c r="BB759" s="358">
        <f t="shared" ca="1" si="527"/>
        <v>0</v>
      </c>
      <c r="BD759" s="358">
        <f t="shared" ca="1" si="528"/>
        <v>0</v>
      </c>
      <c r="BF759" s="358">
        <f t="shared" ca="1" si="529"/>
        <v>0</v>
      </c>
      <c r="BH759" s="358">
        <f t="shared" ca="1" si="530"/>
        <v>0</v>
      </c>
    </row>
    <row r="760" spans="1:60" hidden="1" outlineLevel="1">
      <c r="A760" s="1301">
        <f t="shared" si="567"/>
        <v>18</v>
      </c>
      <c r="B760" s="1301">
        <f t="shared" si="567"/>
        <v>37</v>
      </c>
      <c r="C760" s="1301">
        <f t="shared" si="568"/>
        <v>4</v>
      </c>
      <c r="D760" s="1271" t="str">
        <f ca="1">IF(OFFSET(PortfolioDashboard!$A$3,C760-1,0)="","Blank",OFFSET(PortfolioDashboard!$A$3,C760-1,0))</f>
        <v>Central Chiller Expansion</v>
      </c>
      <c r="E760" s="1301" t="str">
        <f t="shared" si="569"/>
        <v>2010$</v>
      </c>
      <c r="F760" s="1460">
        <f t="shared" ca="1" si="522"/>
        <v>-9782110.2226704974</v>
      </c>
      <c r="G760" s="358">
        <f t="shared" ref="G760:AT760" ca="1" si="571">G163+G225+G287+G318+G536</f>
        <v>0</v>
      </c>
      <c r="H760" s="358">
        <f t="shared" ca="1" si="571"/>
        <v>0</v>
      </c>
      <c r="I760" s="358">
        <f t="shared" ca="1" si="571"/>
        <v>-147237.08240758628</v>
      </c>
      <c r="J760" s="358">
        <f t="shared" ca="1" si="571"/>
        <v>-147237.08240758628</v>
      </c>
      <c r="K760" s="358">
        <f t="shared" ca="1" si="571"/>
        <v>-347744.75162369892</v>
      </c>
      <c r="L760" s="358">
        <f t="shared" ca="1" si="571"/>
        <v>-347744.75162369892</v>
      </c>
      <c r="M760" s="358">
        <f t="shared" ca="1" si="571"/>
        <v>-1009198.2927315125</v>
      </c>
      <c r="N760" s="358">
        <f t="shared" ca="1" si="571"/>
        <v>-1009198.2927315125</v>
      </c>
      <c r="O760" s="358">
        <f t="shared" ca="1" si="571"/>
        <v>-1097496.393125867</v>
      </c>
      <c r="P760" s="358">
        <f t="shared" ca="1" si="571"/>
        <v>-1097496.393125867</v>
      </c>
      <c r="Q760" s="358">
        <f t="shared" ca="1" si="571"/>
        <v>-1097496.393125867</v>
      </c>
      <c r="R760" s="358">
        <f t="shared" ca="1" si="571"/>
        <v>-1097496.393125867</v>
      </c>
      <c r="S760" s="358">
        <f t="shared" ca="1" si="571"/>
        <v>-1097496.393125867</v>
      </c>
      <c r="T760" s="358">
        <f t="shared" ca="1" si="571"/>
        <v>-1097496.393125867</v>
      </c>
      <c r="U760" s="358">
        <f t="shared" ca="1" si="571"/>
        <v>-1097496.393125867</v>
      </c>
      <c r="V760" s="358">
        <f t="shared" ca="1" si="571"/>
        <v>-1097496.393125867</v>
      </c>
      <c r="W760" s="358">
        <f t="shared" ca="1" si="571"/>
        <v>-1097496.393125867</v>
      </c>
      <c r="X760" s="358">
        <f t="shared" ca="1" si="571"/>
        <v>-1097496.393125867</v>
      </c>
      <c r="Y760" s="358">
        <f t="shared" ca="1" si="571"/>
        <v>-1097496.393125867</v>
      </c>
      <c r="Z760" s="358">
        <f t="shared" ca="1" si="571"/>
        <v>-1097496.393125867</v>
      </c>
      <c r="AA760" s="358">
        <f t="shared" ca="1" si="571"/>
        <v>-1097496.393125867</v>
      </c>
      <c r="AB760" s="358">
        <f t="shared" ca="1" si="571"/>
        <v>-1097496.393125867</v>
      </c>
      <c r="AC760" s="358">
        <f t="shared" ca="1" si="571"/>
        <v>-950259.31071828073</v>
      </c>
      <c r="AD760" s="358">
        <f t="shared" ca="1" si="571"/>
        <v>-950259.31071828073</v>
      </c>
      <c r="AE760" s="358">
        <f t="shared" ca="1" si="571"/>
        <v>-749751.64150216815</v>
      </c>
      <c r="AF760" s="358">
        <f t="shared" ca="1" si="571"/>
        <v>-749751.64150216815</v>
      </c>
      <c r="AG760" s="358">
        <f t="shared" ca="1" si="571"/>
        <v>-88298.100394354595</v>
      </c>
      <c r="AH760" s="358">
        <f t="shared" ca="1" si="571"/>
        <v>-88298.100394354595</v>
      </c>
      <c r="AI760" s="358">
        <f t="shared" ca="1" si="571"/>
        <v>0</v>
      </c>
      <c r="AJ760" s="358">
        <f t="shared" ca="1" si="571"/>
        <v>0</v>
      </c>
      <c r="AK760" s="358">
        <f t="shared" ca="1" si="571"/>
        <v>0</v>
      </c>
      <c r="AL760" s="358">
        <f t="shared" ca="1" si="571"/>
        <v>0</v>
      </c>
      <c r="AM760" s="358">
        <f t="shared" ca="1" si="571"/>
        <v>0</v>
      </c>
      <c r="AN760" s="358">
        <f t="shared" ca="1" si="571"/>
        <v>0</v>
      </c>
      <c r="AO760" s="358">
        <f t="shared" ca="1" si="571"/>
        <v>0</v>
      </c>
      <c r="AP760" s="358">
        <f t="shared" ca="1" si="571"/>
        <v>0</v>
      </c>
      <c r="AQ760" s="358">
        <f t="shared" ca="1" si="571"/>
        <v>0</v>
      </c>
      <c r="AR760" s="358">
        <f t="shared" ca="1" si="571"/>
        <v>0</v>
      </c>
      <c r="AS760" s="358">
        <f t="shared" ca="1" si="571"/>
        <v>0</v>
      </c>
      <c r="AT760" s="358">
        <f t="shared" ca="1" si="571"/>
        <v>0</v>
      </c>
      <c r="AU760" s="358"/>
      <c r="AV760" s="358">
        <f t="shared" ca="1" si="524"/>
        <v>-4561134.1233384572</v>
      </c>
      <c r="AX760" s="358">
        <f t="shared" ca="1" si="525"/>
        <v>-5487481.9656293355</v>
      </c>
      <c r="AZ760" s="358">
        <f t="shared" ca="1" si="526"/>
        <v>-5487481.9656293355</v>
      </c>
      <c r="BB760" s="358">
        <f t="shared" ca="1" si="527"/>
        <v>-4845263.0491904635</v>
      </c>
      <c r="BD760" s="358">
        <f t="shared" ca="1" si="528"/>
        <v>-926347.84229087725</v>
      </c>
      <c r="BF760" s="358">
        <f t="shared" ca="1" si="529"/>
        <v>0</v>
      </c>
      <c r="BH760" s="358">
        <f t="shared" ca="1" si="530"/>
        <v>0</v>
      </c>
    </row>
    <row r="761" spans="1:60" hidden="1" outlineLevel="1">
      <c r="A761" s="1301">
        <f t="shared" si="567"/>
        <v>18</v>
      </c>
      <c r="B761" s="1301">
        <f t="shared" si="567"/>
        <v>37</v>
      </c>
      <c r="C761" s="1301">
        <f t="shared" si="568"/>
        <v>5</v>
      </c>
      <c r="D761" s="1271" t="str">
        <f ca="1">IF(OFFSET(PortfolioDashboard!$A$3,C761-1,0)="","Blank",OFFSET(PortfolioDashboard!$A$3,C761-1,0))</f>
        <v>Short-term Energy Conservation Measures</v>
      </c>
      <c r="E761" s="1301" t="str">
        <f t="shared" si="569"/>
        <v>2010$</v>
      </c>
      <c r="F761" s="1460">
        <f t="shared" ca="1" si="522"/>
        <v>0</v>
      </c>
      <c r="G761" s="358">
        <f t="shared" ref="G761:AT761" ca="1" si="572">G164+G226+G288+G319+G537</f>
        <v>0</v>
      </c>
      <c r="H761" s="358">
        <f t="shared" ca="1" si="572"/>
        <v>0</v>
      </c>
      <c r="I761" s="358">
        <f t="shared" ca="1" si="572"/>
        <v>0</v>
      </c>
      <c r="J761" s="358">
        <f t="shared" ca="1" si="572"/>
        <v>0</v>
      </c>
      <c r="K761" s="358">
        <f t="shared" ca="1" si="572"/>
        <v>0</v>
      </c>
      <c r="L761" s="358">
        <f t="shared" ca="1" si="572"/>
        <v>0</v>
      </c>
      <c r="M761" s="358">
        <f t="shared" ca="1" si="572"/>
        <v>0</v>
      </c>
      <c r="N761" s="358">
        <f t="shared" ca="1" si="572"/>
        <v>0</v>
      </c>
      <c r="O761" s="358">
        <f t="shared" ca="1" si="572"/>
        <v>0</v>
      </c>
      <c r="P761" s="358">
        <f t="shared" ca="1" si="572"/>
        <v>0</v>
      </c>
      <c r="Q761" s="358">
        <f t="shared" ca="1" si="572"/>
        <v>0</v>
      </c>
      <c r="R761" s="358">
        <f t="shared" ca="1" si="572"/>
        <v>0</v>
      </c>
      <c r="S761" s="358">
        <f t="shared" ca="1" si="572"/>
        <v>0</v>
      </c>
      <c r="T761" s="358">
        <f t="shared" ca="1" si="572"/>
        <v>0</v>
      </c>
      <c r="U761" s="358">
        <f t="shared" ca="1" si="572"/>
        <v>0</v>
      </c>
      <c r="V761" s="358">
        <f t="shared" ca="1" si="572"/>
        <v>0</v>
      </c>
      <c r="W761" s="358">
        <f t="shared" ca="1" si="572"/>
        <v>0</v>
      </c>
      <c r="X761" s="358">
        <f t="shared" ca="1" si="572"/>
        <v>0</v>
      </c>
      <c r="Y761" s="358">
        <f t="shared" ca="1" si="572"/>
        <v>0</v>
      </c>
      <c r="Z761" s="358">
        <f t="shared" ca="1" si="572"/>
        <v>0</v>
      </c>
      <c r="AA761" s="358">
        <f t="shared" ca="1" si="572"/>
        <v>0</v>
      </c>
      <c r="AB761" s="358">
        <f t="shared" ca="1" si="572"/>
        <v>0</v>
      </c>
      <c r="AC761" s="358">
        <f t="shared" ca="1" si="572"/>
        <v>0</v>
      </c>
      <c r="AD761" s="358">
        <f t="shared" ca="1" si="572"/>
        <v>0</v>
      </c>
      <c r="AE761" s="358">
        <f t="shared" ca="1" si="572"/>
        <v>0</v>
      </c>
      <c r="AF761" s="358">
        <f t="shared" ca="1" si="572"/>
        <v>0</v>
      </c>
      <c r="AG761" s="358">
        <f t="shared" ca="1" si="572"/>
        <v>0</v>
      </c>
      <c r="AH761" s="358">
        <f t="shared" ca="1" si="572"/>
        <v>0</v>
      </c>
      <c r="AI761" s="358">
        <f t="shared" ca="1" si="572"/>
        <v>0</v>
      </c>
      <c r="AJ761" s="358">
        <f t="shared" ca="1" si="572"/>
        <v>0</v>
      </c>
      <c r="AK761" s="358">
        <f t="shared" ca="1" si="572"/>
        <v>0</v>
      </c>
      <c r="AL761" s="358">
        <f t="shared" ca="1" si="572"/>
        <v>0</v>
      </c>
      <c r="AM761" s="358">
        <f t="shared" ca="1" si="572"/>
        <v>0</v>
      </c>
      <c r="AN761" s="358">
        <f t="shared" ca="1" si="572"/>
        <v>0</v>
      </c>
      <c r="AO761" s="358">
        <f t="shared" ca="1" si="572"/>
        <v>0</v>
      </c>
      <c r="AP761" s="358">
        <f t="shared" ca="1" si="572"/>
        <v>0</v>
      </c>
      <c r="AQ761" s="358">
        <f t="shared" ca="1" si="572"/>
        <v>0</v>
      </c>
      <c r="AR761" s="358">
        <f t="shared" ca="1" si="572"/>
        <v>0</v>
      </c>
      <c r="AS761" s="358">
        <f t="shared" ca="1" si="572"/>
        <v>0</v>
      </c>
      <c r="AT761" s="358">
        <f t="shared" ca="1" si="572"/>
        <v>0</v>
      </c>
      <c r="AU761" s="358"/>
      <c r="AV761" s="358">
        <f t="shared" ca="1" si="524"/>
        <v>0</v>
      </c>
      <c r="AX761" s="358">
        <f t="shared" ca="1" si="525"/>
        <v>0</v>
      </c>
      <c r="AZ761" s="358">
        <f t="shared" ca="1" si="526"/>
        <v>0</v>
      </c>
      <c r="BB761" s="358">
        <f t="shared" ca="1" si="527"/>
        <v>0</v>
      </c>
      <c r="BD761" s="358">
        <f t="shared" ca="1" si="528"/>
        <v>0</v>
      </c>
      <c r="BF761" s="358">
        <f t="shared" ca="1" si="529"/>
        <v>0</v>
      </c>
      <c r="BH761" s="358">
        <f t="shared" ca="1" si="530"/>
        <v>0</v>
      </c>
    </row>
    <row r="762" spans="1:60" hidden="1" outlineLevel="1">
      <c r="A762" s="1301">
        <f t="shared" si="567"/>
        <v>18</v>
      </c>
      <c r="B762" s="1301">
        <f t="shared" si="567"/>
        <v>37</v>
      </c>
      <c r="C762" s="1301">
        <f t="shared" si="568"/>
        <v>6</v>
      </c>
      <c r="D762" s="1271" t="str">
        <f ca="1">IF(OFFSET(PortfolioDashboard!$A$3,C762-1,0)="","Blank",OFFSET(PortfolioDashboard!$A$3,C762-1,0))</f>
        <v>Mid-term Energy Conservation Measures</v>
      </c>
      <c r="E762" s="1301" t="str">
        <f t="shared" si="569"/>
        <v>2010$</v>
      </c>
      <c r="F762" s="1460">
        <f t="shared" ca="1" si="522"/>
        <v>0</v>
      </c>
      <c r="G762" s="358">
        <f t="shared" ref="G762:AT762" ca="1" si="573">G165+G227+G289+G320+G538</f>
        <v>0</v>
      </c>
      <c r="H762" s="358">
        <f t="shared" ca="1" si="573"/>
        <v>0</v>
      </c>
      <c r="I762" s="358">
        <f t="shared" ca="1" si="573"/>
        <v>0</v>
      </c>
      <c r="J762" s="358">
        <f t="shared" ca="1" si="573"/>
        <v>0</v>
      </c>
      <c r="K762" s="358">
        <f t="shared" ca="1" si="573"/>
        <v>0</v>
      </c>
      <c r="L762" s="358">
        <f t="shared" ca="1" si="573"/>
        <v>0</v>
      </c>
      <c r="M762" s="358">
        <f t="shared" ca="1" si="573"/>
        <v>0</v>
      </c>
      <c r="N762" s="358">
        <f t="shared" ca="1" si="573"/>
        <v>0</v>
      </c>
      <c r="O762" s="358">
        <f t="shared" ca="1" si="573"/>
        <v>0</v>
      </c>
      <c r="P762" s="358">
        <f t="shared" ca="1" si="573"/>
        <v>0</v>
      </c>
      <c r="Q762" s="358">
        <f t="shared" ca="1" si="573"/>
        <v>0</v>
      </c>
      <c r="R762" s="358">
        <f t="shared" ca="1" si="573"/>
        <v>0</v>
      </c>
      <c r="S762" s="358">
        <f t="shared" ca="1" si="573"/>
        <v>0</v>
      </c>
      <c r="T762" s="358">
        <f t="shared" ca="1" si="573"/>
        <v>0</v>
      </c>
      <c r="U762" s="358">
        <f t="shared" ca="1" si="573"/>
        <v>0</v>
      </c>
      <c r="V762" s="358">
        <f t="shared" ca="1" si="573"/>
        <v>0</v>
      </c>
      <c r="W762" s="358">
        <f t="shared" ca="1" si="573"/>
        <v>0</v>
      </c>
      <c r="X762" s="358">
        <f t="shared" ca="1" si="573"/>
        <v>0</v>
      </c>
      <c r="Y762" s="358">
        <f t="shared" ca="1" si="573"/>
        <v>0</v>
      </c>
      <c r="Z762" s="358">
        <f t="shared" ca="1" si="573"/>
        <v>0</v>
      </c>
      <c r="AA762" s="358">
        <f t="shared" ca="1" si="573"/>
        <v>0</v>
      </c>
      <c r="AB762" s="358">
        <f t="shared" ca="1" si="573"/>
        <v>0</v>
      </c>
      <c r="AC762" s="358">
        <f t="shared" ca="1" si="573"/>
        <v>0</v>
      </c>
      <c r="AD762" s="358">
        <f t="shared" ca="1" si="573"/>
        <v>0</v>
      </c>
      <c r="AE762" s="358">
        <f t="shared" ca="1" si="573"/>
        <v>0</v>
      </c>
      <c r="AF762" s="358">
        <f t="shared" ca="1" si="573"/>
        <v>0</v>
      </c>
      <c r="AG762" s="358">
        <f t="shared" ca="1" si="573"/>
        <v>0</v>
      </c>
      <c r="AH762" s="358">
        <f t="shared" ca="1" si="573"/>
        <v>0</v>
      </c>
      <c r="AI762" s="358">
        <f t="shared" ca="1" si="573"/>
        <v>0</v>
      </c>
      <c r="AJ762" s="358">
        <f t="shared" ca="1" si="573"/>
        <v>0</v>
      </c>
      <c r="AK762" s="358">
        <f t="shared" ca="1" si="573"/>
        <v>0</v>
      </c>
      <c r="AL762" s="358">
        <f t="shared" ca="1" si="573"/>
        <v>0</v>
      </c>
      <c r="AM762" s="358">
        <f t="shared" ca="1" si="573"/>
        <v>0</v>
      </c>
      <c r="AN762" s="358">
        <f t="shared" ca="1" si="573"/>
        <v>0</v>
      </c>
      <c r="AO762" s="358">
        <f t="shared" ca="1" si="573"/>
        <v>0</v>
      </c>
      <c r="AP762" s="358">
        <f t="shared" ca="1" si="573"/>
        <v>0</v>
      </c>
      <c r="AQ762" s="358">
        <f t="shared" ca="1" si="573"/>
        <v>0</v>
      </c>
      <c r="AR762" s="358">
        <f t="shared" ca="1" si="573"/>
        <v>0</v>
      </c>
      <c r="AS762" s="358">
        <f t="shared" ca="1" si="573"/>
        <v>0</v>
      </c>
      <c r="AT762" s="358">
        <f t="shared" ca="1" si="573"/>
        <v>0</v>
      </c>
      <c r="AU762" s="358"/>
      <c r="AV762" s="358">
        <f t="shared" ca="1" si="524"/>
        <v>0</v>
      </c>
      <c r="AX762" s="358">
        <f t="shared" ca="1" si="525"/>
        <v>0</v>
      </c>
      <c r="AZ762" s="358">
        <f t="shared" ca="1" si="526"/>
        <v>0</v>
      </c>
      <c r="BB762" s="358">
        <f t="shared" ca="1" si="527"/>
        <v>0</v>
      </c>
      <c r="BD762" s="358">
        <f t="shared" ca="1" si="528"/>
        <v>0</v>
      </c>
      <c r="BF762" s="358">
        <f t="shared" ca="1" si="529"/>
        <v>0</v>
      </c>
      <c r="BH762" s="358">
        <f t="shared" ca="1" si="530"/>
        <v>0</v>
      </c>
    </row>
    <row r="763" spans="1:60" hidden="1" outlineLevel="1">
      <c r="A763" s="1301">
        <f t="shared" si="567"/>
        <v>18</v>
      </c>
      <c r="B763" s="1301">
        <f t="shared" si="567"/>
        <v>37</v>
      </c>
      <c r="C763" s="1301">
        <f t="shared" si="568"/>
        <v>7</v>
      </c>
      <c r="D763" s="1271" t="str">
        <f ca="1">IF(OFFSET(PortfolioDashboard!$A$3,C763-1,0)="","Blank",OFFSET(PortfolioDashboard!$A$3,C763-1,0))</f>
        <v>Long-term Energy Conservation Measures</v>
      </c>
      <c r="E763" s="1301" t="str">
        <f t="shared" si="569"/>
        <v>2010$</v>
      </c>
      <c r="F763" s="1460">
        <f t="shared" ca="1" si="522"/>
        <v>0</v>
      </c>
      <c r="G763" s="358">
        <f t="shared" ref="G763:AT763" ca="1" si="574">G166+G228+G290+G321+G539</f>
        <v>0</v>
      </c>
      <c r="H763" s="358">
        <f t="shared" ca="1" si="574"/>
        <v>0</v>
      </c>
      <c r="I763" s="358">
        <f t="shared" ca="1" si="574"/>
        <v>0</v>
      </c>
      <c r="J763" s="358">
        <f t="shared" ca="1" si="574"/>
        <v>0</v>
      </c>
      <c r="K763" s="358">
        <f t="shared" ca="1" si="574"/>
        <v>0</v>
      </c>
      <c r="L763" s="358">
        <f t="shared" ca="1" si="574"/>
        <v>0</v>
      </c>
      <c r="M763" s="358">
        <f t="shared" ca="1" si="574"/>
        <v>0</v>
      </c>
      <c r="N763" s="358">
        <f t="shared" ca="1" si="574"/>
        <v>0</v>
      </c>
      <c r="O763" s="358">
        <f t="shared" ca="1" si="574"/>
        <v>0</v>
      </c>
      <c r="P763" s="358">
        <f t="shared" ca="1" si="574"/>
        <v>0</v>
      </c>
      <c r="Q763" s="358">
        <f t="shared" ca="1" si="574"/>
        <v>0</v>
      </c>
      <c r="R763" s="358">
        <f t="shared" ca="1" si="574"/>
        <v>0</v>
      </c>
      <c r="S763" s="358">
        <f t="shared" ca="1" si="574"/>
        <v>0</v>
      </c>
      <c r="T763" s="358">
        <f t="shared" ca="1" si="574"/>
        <v>0</v>
      </c>
      <c r="U763" s="358">
        <f t="shared" ca="1" si="574"/>
        <v>0</v>
      </c>
      <c r="V763" s="358">
        <f t="shared" ca="1" si="574"/>
        <v>0</v>
      </c>
      <c r="W763" s="358">
        <f t="shared" ca="1" si="574"/>
        <v>0</v>
      </c>
      <c r="X763" s="358">
        <f t="shared" ca="1" si="574"/>
        <v>0</v>
      </c>
      <c r="Y763" s="358">
        <f t="shared" ca="1" si="574"/>
        <v>0</v>
      </c>
      <c r="Z763" s="358">
        <f t="shared" ca="1" si="574"/>
        <v>0</v>
      </c>
      <c r="AA763" s="358">
        <f t="shared" ca="1" si="574"/>
        <v>0</v>
      </c>
      <c r="AB763" s="358">
        <f t="shared" ca="1" si="574"/>
        <v>0</v>
      </c>
      <c r="AC763" s="358">
        <f t="shared" ca="1" si="574"/>
        <v>0</v>
      </c>
      <c r="AD763" s="358">
        <f t="shared" ca="1" si="574"/>
        <v>0</v>
      </c>
      <c r="AE763" s="358">
        <f t="shared" ca="1" si="574"/>
        <v>0</v>
      </c>
      <c r="AF763" s="358">
        <f t="shared" ca="1" si="574"/>
        <v>0</v>
      </c>
      <c r="AG763" s="358">
        <f t="shared" ca="1" si="574"/>
        <v>0</v>
      </c>
      <c r="AH763" s="358">
        <f t="shared" ca="1" si="574"/>
        <v>0</v>
      </c>
      <c r="AI763" s="358">
        <f t="shared" ca="1" si="574"/>
        <v>0</v>
      </c>
      <c r="AJ763" s="358">
        <f t="shared" ca="1" si="574"/>
        <v>0</v>
      </c>
      <c r="AK763" s="358">
        <f t="shared" ca="1" si="574"/>
        <v>0</v>
      </c>
      <c r="AL763" s="358">
        <f t="shared" ca="1" si="574"/>
        <v>0</v>
      </c>
      <c r="AM763" s="358">
        <f t="shared" ca="1" si="574"/>
        <v>0</v>
      </c>
      <c r="AN763" s="358">
        <f t="shared" ca="1" si="574"/>
        <v>0</v>
      </c>
      <c r="AO763" s="358">
        <f t="shared" ca="1" si="574"/>
        <v>0</v>
      </c>
      <c r="AP763" s="358">
        <f t="shared" ca="1" si="574"/>
        <v>0</v>
      </c>
      <c r="AQ763" s="358">
        <f t="shared" ca="1" si="574"/>
        <v>0</v>
      </c>
      <c r="AR763" s="358">
        <f t="shared" ca="1" si="574"/>
        <v>0</v>
      </c>
      <c r="AS763" s="358">
        <f t="shared" ca="1" si="574"/>
        <v>0</v>
      </c>
      <c r="AT763" s="358">
        <f t="shared" ca="1" si="574"/>
        <v>0</v>
      </c>
      <c r="AU763" s="358"/>
      <c r="AV763" s="358">
        <f t="shared" ca="1" si="524"/>
        <v>0</v>
      </c>
      <c r="AX763" s="358">
        <f t="shared" ca="1" si="525"/>
        <v>0</v>
      </c>
      <c r="AZ763" s="358">
        <f t="shared" ca="1" si="526"/>
        <v>0</v>
      </c>
      <c r="BB763" s="358">
        <f t="shared" ca="1" si="527"/>
        <v>0</v>
      </c>
      <c r="BD763" s="358">
        <f t="shared" ca="1" si="528"/>
        <v>0</v>
      </c>
      <c r="BF763" s="358">
        <f t="shared" ca="1" si="529"/>
        <v>0</v>
      </c>
      <c r="BH763" s="358">
        <f t="shared" ca="1" si="530"/>
        <v>0</v>
      </c>
    </row>
    <row r="764" spans="1:60" hidden="1" outlineLevel="1">
      <c r="A764" s="1301">
        <f t="shared" si="567"/>
        <v>18</v>
      </c>
      <c r="B764" s="1301">
        <f t="shared" si="567"/>
        <v>37</v>
      </c>
      <c r="C764" s="1301">
        <f t="shared" si="568"/>
        <v>8</v>
      </c>
      <c r="D764" s="1271" t="str">
        <f ca="1">IF(OFFSET(PortfolioDashboard!$A$3,C764-1,0)="","Blank",OFFSET(PortfolioDashboard!$A$3,C764-1,0))</f>
        <v>Green IT</v>
      </c>
      <c r="E764" s="1301" t="str">
        <f t="shared" si="569"/>
        <v>2010$</v>
      </c>
      <c r="F764" s="1460">
        <f t="shared" ca="1" si="522"/>
        <v>-275571.08849616675</v>
      </c>
      <c r="G764" s="358">
        <f t="shared" ref="G764:AT764" ca="1" si="575">G167+G229+G291+G322+G540</f>
        <v>0</v>
      </c>
      <c r="H764" s="358">
        <f t="shared" ca="1" si="575"/>
        <v>0</v>
      </c>
      <c r="I764" s="358">
        <f t="shared" ca="1" si="575"/>
        <v>-7000</v>
      </c>
      <c r="J764" s="358">
        <f t="shared" ca="1" si="575"/>
        <v>-14000</v>
      </c>
      <c r="K764" s="358">
        <f t="shared" ca="1" si="575"/>
        <v>-21000</v>
      </c>
      <c r="L764" s="358">
        <f t="shared" ca="1" si="575"/>
        <v>-21000</v>
      </c>
      <c r="M764" s="358">
        <f t="shared" ca="1" si="575"/>
        <v>-21000</v>
      </c>
      <c r="N764" s="358">
        <f t="shared" ca="1" si="575"/>
        <v>-21000</v>
      </c>
      <c r="O764" s="358">
        <f t="shared" ca="1" si="575"/>
        <v>-21000</v>
      </c>
      <c r="P764" s="358">
        <f t="shared" ca="1" si="575"/>
        <v>-21000</v>
      </c>
      <c r="Q764" s="358">
        <f t="shared" ca="1" si="575"/>
        <v>-21000</v>
      </c>
      <c r="R764" s="358">
        <f t="shared" ca="1" si="575"/>
        <v>-21000</v>
      </c>
      <c r="S764" s="358">
        <f t="shared" ca="1" si="575"/>
        <v>-21000</v>
      </c>
      <c r="T764" s="358">
        <f t="shared" ca="1" si="575"/>
        <v>-21000</v>
      </c>
      <c r="U764" s="358">
        <f t="shared" ca="1" si="575"/>
        <v>-21000</v>
      </c>
      <c r="V764" s="358">
        <f t="shared" ca="1" si="575"/>
        <v>-21000</v>
      </c>
      <c r="W764" s="358">
        <f t="shared" ca="1" si="575"/>
        <v>-21000</v>
      </c>
      <c r="X764" s="358">
        <f t="shared" ca="1" si="575"/>
        <v>-21000</v>
      </c>
      <c r="Y764" s="358">
        <f t="shared" ca="1" si="575"/>
        <v>-21000</v>
      </c>
      <c r="Z764" s="358">
        <f t="shared" ca="1" si="575"/>
        <v>-21000</v>
      </c>
      <c r="AA764" s="358">
        <f t="shared" ca="1" si="575"/>
        <v>-21000</v>
      </c>
      <c r="AB764" s="358">
        <f t="shared" ca="1" si="575"/>
        <v>-21000</v>
      </c>
      <c r="AC764" s="358">
        <f t="shared" ca="1" si="575"/>
        <v>-21000</v>
      </c>
      <c r="AD764" s="358">
        <f t="shared" ca="1" si="575"/>
        <v>-21000</v>
      </c>
      <c r="AE764" s="358">
        <f t="shared" ca="1" si="575"/>
        <v>-21000</v>
      </c>
      <c r="AF764" s="358">
        <f t="shared" ca="1" si="575"/>
        <v>-21000</v>
      </c>
      <c r="AG764" s="358">
        <f t="shared" ca="1" si="575"/>
        <v>-21000</v>
      </c>
      <c r="AH764" s="358">
        <f t="shared" ca="1" si="575"/>
        <v>-21000</v>
      </c>
      <c r="AI764" s="358">
        <f t="shared" ca="1" si="575"/>
        <v>-21000</v>
      </c>
      <c r="AJ764" s="358">
        <f t="shared" ca="1" si="575"/>
        <v>-21000</v>
      </c>
      <c r="AK764" s="358">
        <f t="shared" ca="1" si="575"/>
        <v>-21000</v>
      </c>
      <c r="AL764" s="358">
        <f t="shared" ca="1" si="575"/>
        <v>-21000</v>
      </c>
      <c r="AM764" s="358">
        <f t="shared" ca="1" si="575"/>
        <v>-21000</v>
      </c>
      <c r="AN764" s="358">
        <f t="shared" ca="1" si="575"/>
        <v>-21000</v>
      </c>
      <c r="AO764" s="358">
        <f t="shared" ca="1" si="575"/>
        <v>-21000</v>
      </c>
      <c r="AP764" s="358">
        <f t="shared" ca="1" si="575"/>
        <v>-21000</v>
      </c>
      <c r="AQ764" s="358">
        <f t="shared" ca="1" si="575"/>
        <v>-21000</v>
      </c>
      <c r="AR764" s="358">
        <f t="shared" ca="1" si="575"/>
        <v>-21000</v>
      </c>
      <c r="AS764" s="358">
        <f t="shared" ca="1" si="575"/>
        <v>-21000</v>
      </c>
      <c r="AT764" s="358">
        <f t="shared" ca="1" si="575"/>
        <v>-21000</v>
      </c>
      <c r="AU764" s="358"/>
      <c r="AV764" s="358">
        <f t="shared" ca="1" si="524"/>
        <v>-105000</v>
      </c>
      <c r="AX764" s="358">
        <f t="shared" ca="1" si="525"/>
        <v>-105000</v>
      </c>
      <c r="AZ764" s="358">
        <f t="shared" ca="1" si="526"/>
        <v>-105000</v>
      </c>
      <c r="BB764" s="358">
        <f t="shared" ca="1" si="527"/>
        <v>-105000</v>
      </c>
      <c r="BD764" s="358">
        <f t="shared" ca="1" si="528"/>
        <v>-105000</v>
      </c>
      <c r="BF764" s="358">
        <f t="shared" ca="1" si="529"/>
        <v>-105000</v>
      </c>
      <c r="BH764" s="358">
        <f t="shared" ca="1" si="530"/>
        <v>-105000</v>
      </c>
    </row>
    <row r="765" spans="1:60" hidden="1" outlineLevel="1">
      <c r="A765" s="1301">
        <f t="shared" si="567"/>
        <v>18</v>
      </c>
      <c r="B765" s="1301">
        <f t="shared" si="567"/>
        <v>37</v>
      </c>
      <c r="C765" s="1301">
        <f t="shared" si="568"/>
        <v>9</v>
      </c>
      <c r="D765" s="1271" t="str">
        <f ca="1">IF(OFFSET(PortfolioDashboard!$A$3,C765-1,0)="","Blank",OFFSET(PortfolioDashboard!$A$3,C765-1,0))</f>
        <v>Reduced Air Travel</v>
      </c>
      <c r="E765" s="1301" t="str">
        <f t="shared" si="569"/>
        <v>2010$</v>
      </c>
      <c r="F765" s="1460">
        <f t="shared" ca="1" si="522"/>
        <v>0</v>
      </c>
      <c r="G765" s="358">
        <f t="shared" ref="G765:AT765" ca="1" si="576">G168+G230+G292+G323+G541</f>
        <v>0</v>
      </c>
      <c r="H765" s="358">
        <f t="shared" ca="1" si="576"/>
        <v>0</v>
      </c>
      <c r="I765" s="358">
        <f t="shared" ca="1" si="576"/>
        <v>0</v>
      </c>
      <c r="J765" s="358">
        <f t="shared" ca="1" si="576"/>
        <v>0</v>
      </c>
      <c r="K765" s="358">
        <f t="shared" ca="1" si="576"/>
        <v>0</v>
      </c>
      <c r="L765" s="358">
        <f t="shared" ca="1" si="576"/>
        <v>0</v>
      </c>
      <c r="M765" s="358">
        <f t="shared" ca="1" si="576"/>
        <v>0</v>
      </c>
      <c r="N765" s="358">
        <f t="shared" ca="1" si="576"/>
        <v>0</v>
      </c>
      <c r="O765" s="358">
        <f t="shared" ca="1" si="576"/>
        <v>0</v>
      </c>
      <c r="P765" s="358">
        <f t="shared" ca="1" si="576"/>
        <v>0</v>
      </c>
      <c r="Q765" s="358">
        <f t="shared" ca="1" si="576"/>
        <v>0</v>
      </c>
      <c r="R765" s="358">
        <f t="shared" ca="1" si="576"/>
        <v>0</v>
      </c>
      <c r="S765" s="358">
        <f t="shared" ca="1" si="576"/>
        <v>0</v>
      </c>
      <c r="T765" s="358">
        <f t="shared" ca="1" si="576"/>
        <v>0</v>
      </c>
      <c r="U765" s="358">
        <f t="shared" ca="1" si="576"/>
        <v>0</v>
      </c>
      <c r="V765" s="358">
        <f t="shared" ca="1" si="576"/>
        <v>0</v>
      </c>
      <c r="W765" s="358">
        <f t="shared" ca="1" si="576"/>
        <v>0</v>
      </c>
      <c r="X765" s="358">
        <f t="shared" ca="1" si="576"/>
        <v>0</v>
      </c>
      <c r="Y765" s="358">
        <f t="shared" ca="1" si="576"/>
        <v>0</v>
      </c>
      <c r="Z765" s="358">
        <f t="shared" ca="1" si="576"/>
        <v>0</v>
      </c>
      <c r="AA765" s="358">
        <f t="shared" ca="1" si="576"/>
        <v>0</v>
      </c>
      <c r="AB765" s="358">
        <f t="shared" ca="1" si="576"/>
        <v>0</v>
      </c>
      <c r="AC765" s="358">
        <f t="shared" ca="1" si="576"/>
        <v>0</v>
      </c>
      <c r="AD765" s="358">
        <f t="shared" ca="1" si="576"/>
        <v>0</v>
      </c>
      <c r="AE765" s="358">
        <f t="shared" ca="1" si="576"/>
        <v>0</v>
      </c>
      <c r="AF765" s="358">
        <f t="shared" ca="1" si="576"/>
        <v>0</v>
      </c>
      <c r="AG765" s="358">
        <f t="shared" ca="1" si="576"/>
        <v>0</v>
      </c>
      <c r="AH765" s="358">
        <f t="shared" ca="1" si="576"/>
        <v>0</v>
      </c>
      <c r="AI765" s="358">
        <f t="shared" ca="1" si="576"/>
        <v>0</v>
      </c>
      <c r="AJ765" s="358">
        <f t="shared" ca="1" si="576"/>
        <v>0</v>
      </c>
      <c r="AK765" s="358">
        <f t="shared" ca="1" si="576"/>
        <v>0</v>
      </c>
      <c r="AL765" s="358">
        <f t="shared" ca="1" si="576"/>
        <v>0</v>
      </c>
      <c r="AM765" s="358">
        <f t="shared" ca="1" si="576"/>
        <v>0</v>
      </c>
      <c r="AN765" s="358">
        <f t="shared" ca="1" si="576"/>
        <v>0</v>
      </c>
      <c r="AO765" s="358">
        <f t="shared" ca="1" si="576"/>
        <v>0</v>
      </c>
      <c r="AP765" s="358">
        <f t="shared" ca="1" si="576"/>
        <v>0</v>
      </c>
      <c r="AQ765" s="358">
        <f t="shared" ca="1" si="576"/>
        <v>0</v>
      </c>
      <c r="AR765" s="358">
        <f t="shared" ca="1" si="576"/>
        <v>0</v>
      </c>
      <c r="AS765" s="358">
        <f t="shared" ca="1" si="576"/>
        <v>0</v>
      </c>
      <c r="AT765" s="358">
        <f t="shared" ca="1" si="576"/>
        <v>0</v>
      </c>
      <c r="AU765" s="358"/>
      <c r="AV765" s="358">
        <f t="shared" ca="1" si="524"/>
        <v>0</v>
      </c>
      <c r="AX765" s="358">
        <f t="shared" ca="1" si="525"/>
        <v>0</v>
      </c>
      <c r="AZ765" s="358">
        <f t="shared" ca="1" si="526"/>
        <v>0</v>
      </c>
      <c r="BB765" s="358">
        <f t="shared" ca="1" si="527"/>
        <v>0</v>
      </c>
      <c r="BD765" s="358">
        <f t="shared" ca="1" si="528"/>
        <v>0</v>
      </c>
      <c r="BF765" s="358">
        <f t="shared" ca="1" si="529"/>
        <v>0</v>
      </c>
      <c r="BH765" s="358">
        <f t="shared" ca="1" si="530"/>
        <v>0</v>
      </c>
    </row>
    <row r="766" spans="1:60" hidden="1" outlineLevel="1">
      <c r="A766" s="1301">
        <f t="shared" si="567"/>
        <v>18</v>
      </c>
      <c r="B766" s="1301">
        <f t="shared" si="567"/>
        <v>37</v>
      </c>
      <c r="C766" s="1301">
        <f t="shared" si="568"/>
        <v>10</v>
      </c>
      <c r="D766" s="1271" t="str">
        <f ca="1">IF(OFFSET(PortfolioDashboard!$A$3,C766-1,0)="","Blank",OFFSET(PortfolioDashboard!$A$3,C766-1,0))</f>
        <v>Reduced Automobile Reliance Strategies</v>
      </c>
      <c r="E766" s="1301" t="str">
        <f t="shared" si="569"/>
        <v>2010$</v>
      </c>
      <c r="F766" s="1460">
        <f t="shared" ca="1" si="522"/>
        <v>-2165760.9658617252</v>
      </c>
      <c r="G766" s="358">
        <f t="shared" ref="G766:AT766" ca="1" si="577">G169+G231+G293+G324+G542</f>
        <v>0</v>
      </c>
      <c r="H766" s="358">
        <f t="shared" ca="1" si="577"/>
        <v>0</v>
      </c>
      <c r="I766" s="358">
        <f t="shared" ca="1" si="577"/>
        <v>-102475</v>
      </c>
      <c r="J766" s="358">
        <f t="shared" ca="1" si="577"/>
        <v>-104950</v>
      </c>
      <c r="K766" s="358">
        <f t="shared" ca="1" si="577"/>
        <v>-107425</v>
      </c>
      <c r="L766" s="358">
        <f t="shared" ca="1" si="577"/>
        <v>-109900</v>
      </c>
      <c r="M766" s="358">
        <f t="shared" ca="1" si="577"/>
        <v>-112375</v>
      </c>
      <c r="N766" s="358">
        <f t="shared" ca="1" si="577"/>
        <v>-164850</v>
      </c>
      <c r="O766" s="358">
        <f t="shared" ca="1" si="577"/>
        <v>-167325</v>
      </c>
      <c r="P766" s="358">
        <f t="shared" ca="1" si="577"/>
        <v>-169800</v>
      </c>
      <c r="Q766" s="358">
        <f t="shared" ca="1" si="577"/>
        <v>-172275</v>
      </c>
      <c r="R766" s="358">
        <f t="shared" ca="1" si="577"/>
        <v>-174750</v>
      </c>
      <c r="S766" s="358">
        <f t="shared" ca="1" si="577"/>
        <v>-174750</v>
      </c>
      <c r="T766" s="358">
        <f t="shared" ca="1" si="577"/>
        <v>-174750</v>
      </c>
      <c r="U766" s="358">
        <f t="shared" ca="1" si="577"/>
        <v>-174750</v>
      </c>
      <c r="V766" s="358">
        <f t="shared" ca="1" si="577"/>
        <v>-174750</v>
      </c>
      <c r="W766" s="358">
        <f t="shared" ca="1" si="577"/>
        <v>-174750</v>
      </c>
      <c r="X766" s="358">
        <f t="shared" ca="1" si="577"/>
        <v>-174750</v>
      </c>
      <c r="Y766" s="358">
        <f t="shared" ca="1" si="577"/>
        <v>-174750</v>
      </c>
      <c r="Z766" s="358">
        <f t="shared" ca="1" si="577"/>
        <v>-174750</v>
      </c>
      <c r="AA766" s="358">
        <f t="shared" ca="1" si="577"/>
        <v>-174750</v>
      </c>
      <c r="AB766" s="358">
        <f t="shared" ca="1" si="577"/>
        <v>-174750</v>
      </c>
      <c r="AC766" s="358">
        <f t="shared" ca="1" si="577"/>
        <v>-174750</v>
      </c>
      <c r="AD766" s="358">
        <f t="shared" ca="1" si="577"/>
        <v>-174750</v>
      </c>
      <c r="AE766" s="358">
        <f t="shared" ca="1" si="577"/>
        <v>-174750</v>
      </c>
      <c r="AF766" s="358">
        <f t="shared" ca="1" si="577"/>
        <v>-174750</v>
      </c>
      <c r="AG766" s="358">
        <f t="shared" ca="1" si="577"/>
        <v>-174750</v>
      </c>
      <c r="AH766" s="358">
        <f t="shared" ca="1" si="577"/>
        <v>-174750</v>
      </c>
      <c r="AI766" s="358">
        <f t="shared" ca="1" si="577"/>
        <v>-174750</v>
      </c>
      <c r="AJ766" s="358">
        <f t="shared" ca="1" si="577"/>
        <v>-174750</v>
      </c>
      <c r="AK766" s="358">
        <f t="shared" ca="1" si="577"/>
        <v>-174750</v>
      </c>
      <c r="AL766" s="358">
        <f t="shared" ca="1" si="577"/>
        <v>-174750</v>
      </c>
      <c r="AM766" s="358">
        <f t="shared" ca="1" si="577"/>
        <v>-174750</v>
      </c>
      <c r="AN766" s="358">
        <f t="shared" ca="1" si="577"/>
        <v>-174750</v>
      </c>
      <c r="AO766" s="358">
        <f t="shared" ca="1" si="577"/>
        <v>-174750</v>
      </c>
      <c r="AP766" s="358">
        <f t="shared" ca="1" si="577"/>
        <v>-174750</v>
      </c>
      <c r="AQ766" s="358">
        <f t="shared" ca="1" si="577"/>
        <v>-174750</v>
      </c>
      <c r="AR766" s="358">
        <f t="shared" ca="1" si="577"/>
        <v>-174750</v>
      </c>
      <c r="AS766" s="358">
        <f t="shared" ca="1" si="577"/>
        <v>-174750</v>
      </c>
      <c r="AT766" s="358">
        <f t="shared" ca="1" si="577"/>
        <v>-174750</v>
      </c>
      <c r="AU766" s="358"/>
      <c r="AV766" s="358">
        <f t="shared" ca="1" si="524"/>
        <v>-724250</v>
      </c>
      <c r="AX766" s="358">
        <f t="shared" ca="1" si="525"/>
        <v>-871275</v>
      </c>
      <c r="AZ766" s="358">
        <f t="shared" ca="1" si="526"/>
        <v>-873750</v>
      </c>
      <c r="BB766" s="358">
        <f t="shared" ca="1" si="527"/>
        <v>-873750</v>
      </c>
      <c r="BD766" s="358">
        <f t="shared" ca="1" si="528"/>
        <v>-873750</v>
      </c>
      <c r="BF766" s="358">
        <f t="shared" ca="1" si="529"/>
        <v>-873750</v>
      </c>
      <c r="BH766" s="358">
        <f t="shared" ca="1" si="530"/>
        <v>-873750</v>
      </c>
    </row>
    <row r="767" spans="1:60" hidden="1" outlineLevel="1">
      <c r="A767" s="1301">
        <f t="shared" si="567"/>
        <v>18</v>
      </c>
      <c r="B767" s="1301">
        <f t="shared" si="567"/>
        <v>37</v>
      </c>
      <c r="C767" s="1301">
        <f t="shared" si="568"/>
        <v>11</v>
      </c>
      <c r="D767" s="1271" t="str">
        <f ca="1">IF(OFFSET(PortfolioDashboard!$A$3,C767-1,0)="","Blank",OFFSET(PortfolioDashboard!$A$3,C767-1,0))</f>
        <v>Waste Reduction</v>
      </c>
      <c r="E767" s="1301" t="str">
        <f t="shared" si="569"/>
        <v>2010$</v>
      </c>
      <c r="F767" s="1460">
        <f t="shared" ca="1" si="522"/>
        <v>-69780.657689482905</v>
      </c>
      <c r="G767" s="358">
        <f t="shared" ref="G767:AT767" ca="1" si="578">G170+G232+G294+G325+G543</f>
        <v>0</v>
      </c>
      <c r="H767" s="358">
        <f t="shared" ca="1" si="578"/>
        <v>0</v>
      </c>
      <c r="I767" s="358">
        <f t="shared" ca="1" si="578"/>
        <v>-5000</v>
      </c>
      <c r="J767" s="358">
        <f t="shared" ca="1" si="578"/>
        <v>-5000</v>
      </c>
      <c r="K767" s="358">
        <f t="shared" ca="1" si="578"/>
        <v>-5000</v>
      </c>
      <c r="L767" s="358">
        <f t="shared" ca="1" si="578"/>
        <v>-5000</v>
      </c>
      <c r="M767" s="358">
        <f t="shared" ca="1" si="578"/>
        <v>-5000</v>
      </c>
      <c r="N767" s="358">
        <f t="shared" ca="1" si="578"/>
        <v>-5000</v>
      </c>
      <c r="O767" s="358">
        <f t="shared" ca="1" si="578"/>
        <v>-5000</v>
      </c>
      <c r="P767" s="358">
        <f t="shared" ca="1" si="578"/>
        <v>-5000</v>
      </c>
      <c r="Q767" s="358">
        <f t="shared" ca="1" si="578"/>
        <v>-5000</v>
      </c>
      <c r="R767" s="358">
        <f t="shared" ca="1" si="578"/>
        <v>-5000</v>
      </c>
      <c r="S767" s="358">
        <f t="shared" ca="1" si="578"/>
        <v>-5000</v>
      </c>
      <c r="T767" s="358">
        <f t="shared" ca="1" si="578"/>
        <v>-5000</v>
      </c>
      <c r="U767" s="358">
        <f t="shared" ca="1" si="578"/>
        <v>-5000</v>
      </c>
      <c r="V767" s="358">
        <f t="shared" ca="1" si="578"/>
        <v>-5000</v>
      </c>
      <c r="W767" s="358">
        <f t="shared" ca="1" si="578"/>
        <v>-5000</v>
      </c>
      <c r="X767" s="358">
        <f t="shared" ca="1" si="578"/>
        <v>-5000</v>
      </c>
      <c r="Y767" s="358">
        <f t="shared" ca="1" si="578"/>
        <v>-5000</v>
      </c>
      <c r="Z767" s="358">
        <f t="shared" ca="1" si="578"/>
        <v>-5000</v>
      </c>
      <c r="AA767" s="358">
        <f t="shared" ca="1" si="578"/>
        <v>-5000</v>
      </c>
      <c r="AB767" s="358">
        <f t="shared" ca="1" si="578"/>
        <v>-5000</v>
      </c>
      <c r="AC767" s="358">
        <f t="shared" ca="1" si="578"/>
        <v>-5000</v>
      </c>
      <c r="AD767" s="358">
        <f t="shared" ca="1" si="578"/>
        <v>-5000</v>
      </c>
      <c r="AE767" s="358">
        <f t="shared" ca="1" si="578"/>
        <v>-5000</v>
      </c>
      <c r="AF767" s="358">
        <f t="shared" ca="1" si="578"/>
        <v>-5000</v>
      </c>
      <c r="AG767" s="358">
        <f t="shared" ca="1" si="578"/>
        <v>-5000</v>
      </c>
      <c r="AH767" s="358">
        <f t="shared" ca="1" si="578"/>
        <v>-5000</v>
      </c>
      <c r="AI767" s="358">
        <f t="shared" ca="1" si="578"/>
        <v>-5000</v>
      </c>
      <c r="AJ767" s="358">
        <f t="shared" ca="1" si="578"/>
        <v>-5000</v>
      </c>
      <c r="AK767" s="358">
        <f t="shared" ca="1" si="578"/>
        <v>-5000</v>
      </c>
      <c r="AL767" s="358">
        <f t="shared" ca="1" si="578"/>
        <v>-5000</v>
      </c>
      <c r="AM767" s="358">
        <f t="shared" ca="1" si="578"/>
        <v>-5000</v>
      </c>
      <c r="AN767" s="358">
        <f t="shared" ca="1" si="578"/>
        <v>-5000</v>
      </c>
      <c r="AO767" s="358">
        <f t="shared" ca="1" si="578"/>
        <v>-5000</v>
      </c>
      <c r="AP767" s="358">
        <f t="shared" ca="1" si="578"/>
        <v>-5000</v>
      </c>
      <c r="AQ767" s="358">
        <f t="shared" ca="1" si="578"/>
        <v>-5000</v>
      </c>
      <c r="AR767" s="358">
        <f t="shared" ca="1" si="578"/>
        <v>-5000</v>
      </c>
      <c r="AS767" s="358">
        <f t="shared" ca="1" si="578"/>
        <v>-5000</v>
      </c>
      <c r="AT767" s="358">
        <f t="shared" ca="1" si="578"/>
        <v>-5000</v>
      </c>
      <c r="AU767" s="358"/>
      <c r="AV767" s="358">
        <f t="shared" ca="1" si="524"/>
        <v>-25000</v>
      </c>
      <c r="AX767" s="358">
        <f t="shared" ca="1" si="525"/>
        <v>-25000</v>
      </c>
      <c r="AZ767" s="358">
        <f t="shared" ca="1" si="526"/>
        <v>-25000</v>
      </c>
      <c r="BB767" s="358">
        <f t="shared" ca="1" si="527"/>
        <v>-25000</v>
      </c>
      <c r="BD767" s="358">
        <f t="shared" ca="1" si="528"/>
        <v>-25000</v>
      </c>
      <c r="BF767" s="358">
        <f t="shared" ca="1" si="529"/>
        <v>-25000</v>
      </c>
      <c r="BH767" s="358">
        <f t="shared" ca="1" si="530"/>
        <v>-25000</v>
      </c>
    </row>
    <row r="768" spans="1:60" hidden="1" outlineLevel="1">
      <c r="A768" s="1301">
        <f t="shared" si="567"/>
        <v>18</v>
      </c>
      <c r="B768" s="1301">
        <f t="shared" si="567"/>
        <v>37</v>
      </c>
      <c r="C768" s="1301">
        <f t="shared" si="568"/>
        <v>12</v>
      </c>
      <c r="D768" s="1271" t="str">
        <f ca="1">IF(OFFSET(PortfolioDashboard!$A$3,C768-1,0)="","Blank",OFFSET(PortfolioDashboard!$A$3,C768-1,0))</f>
        <v>Steam Line Improvements</v>
      </c>
      <c r="E768" s="1301" t="str">
        <f t="shared" si="569"/>
        <v>2010$</v>
      </c>
      <c r="F768" s="1460">
        <f t="shared" ca="1" si="522"/>
        <v>0</v>
      </c>
      <c r="G768" s="358">
        <f t="shared" ref="G768:AT768" ca="1" si="579">G171+G233+G295+G326+G544</f>
        <v>0</v>
      </c>
      <c r="H768" s="358">
        <f t="shared" ca="1" si="579"/>
        <v>0</v>
      </c>
      <c r="I768" s="358">
        <f t="shared" ca="1" si="579"/>
        <v>0</v>
      </c>
      <c r="J768" s="358">
        <f t="shared" ca="1" si="579"/>
        <v>0</v>
      </c>
      <c r="K768" s="358">
        <f t="shared" ca="1" si="579"/>
        <v>0</v>
      </c>
      <c r="L768" s="358">
        <f t="shared" ca="1" si="579"/>
        <v>0</v>
      </c>
      <c r="M768" s="358">
        <f t="shared" ca="1" si="579"/>
        <v>0</v>
      </c>
      <c r="N768" s="358">
        <f t="shared" ca="1" si="579"/>
        <v>0</v>
      </c>
      <c r="O768" s="358">
        <f t="shared" ca="1" si="579"/>
        <v>0</v>
      </c>
      <c r="P768" s="358">
        <f t="shared" ca="1" si="579"/>
        <v>0</v>
      </c>
      <c r="Q768" s="358">
        <f t="shared" ca="1" si="579"/>
        <v>0</v>
      </c>
      <c r="R768" s="358">
        <f t="shared" ca="1" si="579"/>
        <v>0</v>
      </c>
      <c r="S768" s="358">
        <f t="shared" ca="1" si="579"/>
        <v>0</v>
      </c>
      <c r="T768" s="358">
        <f t="shared" ca="1" si="579"/>
        <v>0</v>
      </c>
      <c r="U768" s="358">
        <f t="shared" ca="1" si="579"/>
        <v>0</v>
      </c>
      <c r="V768" s="358">
        <f t="shared" ca="1" si="579"/>
        <v>0</v>
      </c>
      <c r="W768" s="358">
        <f t="shared" ca="1" si="579"/>
        <v>0</v>
      </c>
      <c r="X768" s="358">
        <f t="shared" ca="1" si="579"/>
        <v>0</v>
      </c>
      <c r="Y768" s="358">
        <f t="shared" ca="1" si="579"/>
        <v>0</v>
      </c>
      <c r="Z768" s="358">
        <f t="shared" ca="1" si="579"/>
        <v>0</v>
      </c>
      <c r="AA768" s="358">
        <f t="shared" ca="1" si="579"/>
        <v>0</v>
      </c>
      <c r="AB768" s="358">
        <f t="shared" ca="1" si="579"/>
        <v>0</v>
      </c>
      <c r="AC768" s="358">
        <f t="shared" ca="1" si="579"/>
        <v>0</v>
      </c>
      <c r="AD768" s="358">
        <f t="shared" ca="1" si="579"/>
        <v>0</v>
      </c>
      <c r="AE768" s="358">
        <f t="shared" ca="1" si="579"/>
        <v>0</v>
      </c>
      <c r="AF768" s="358">
        <f t="shared" ca="1" si="579"/>
        <v>0</v>
      </c>
      <c r="AG768" s="358">
        <f t="shared" ca="1" si="579"/>
        <v>0</v>
      </c>
      <c r="AH768" s="358">
        <f t="shared" ca="1" si="579"/>
        <v>0</v>
      </c>
      <c r="AI768" s="358">
        <f t="shared" ca="1" si="579"/>
        <v>0</v>
      </c>
      <c r="AJ768" s="358">
        <f t="shared" ca="1" si="579"/>
        <v>0</v>
      </c>
      <c r="AK768" s="358">
        <f t="shared" ca="1" si="579"/>
        <v>0</v>
      </c>
      <c r="AL768" s="358">
        <f t="shared" ca="1" si="579"/>
        <v>0</v>
      </c>
      <c r="AM768" s="358">
        <f t="shared" ca="1" si="579"/>
        <v>0</v>
      </c>
      <c r="AN768" s="358">
        <f t="shared" ca="1" si="579"/>
        <v>0</v>
      </c>
      <c r="AO768" s="358">
        <f t="shared" ca="1" si="579"/>
        <v>0</v>
      </c>
      <c r="AP768" s="358">
        <f t="shared" ca="1" si="579"/>
        <v>0</v>
      </c>
      <c r="AQ768" s="358">
        <f t="shared" ca="1" si="579"/>
        <v>0</v>
      </c>
      <c r="AR768" s="358">
        <f t="shared" ca="1" si="579"/>
        <v>0</v>
      </c>
      <c r="AS768" s="358">
        <f t="shared" ca="1" si="579"/>
        <v>0</v>
      </c>
      <c r="AT768" s="358">
        <f t="shared" ca="1" si="579"/>
        <v>0</v>
      </c>
      <c r="AU768" s="358"/>
      <c r="AV768" s="358">
        <f t="shared" ca="1" si="524"/>
        <v>0</v>
      </c>
      <c r="AX768" s="358">
        <f t="shared" ca="1" si="525"/>
        <v>0</v>
      </c>
      <c r="AZ768" s="358">
        <f t="shared" ca="1" si="526"/>
        <v>0</v>
      </c>
      <c r="BB768" s="358">
        <f t="shared" ca="1" si="527"/>
        <v>0</v>
      </c>
      <c r="BD768" s="358">
        <f t="shared" ca="1" si="528"/>
        <v>0</v>
      </c>
      <c r="BF768" s="358">
        <f t="shared" ca="1" si="529"/>
        <v>0</v>
      </c>
      <c r="BH768" s="358">
        <f t="shared" ca="1" si="530"/>
        <v>0</v>
      </c>
    </row>
    <row r="769" spans="1:60" hidden="1" outlineLevel="1">
      <c r="A769" s="1301">
        <f t="shared" si="567"/>
        <v>18</v>
      </c>
      <c r="B769" s="1301">
        <f t="shared" si="567"/>
        <v>37</v>
      </c>
      <c r="C769" s="1301">
        <f t="shared" si="568"/>
        <v>13</v>
      </c>
      <c r="D769" s="1271" t="str">
        <f ca="1">IF(OFFSET(PortfolioDashboard!$A$3,C769-1,0)="","Blank",OFFSET(PortfolioDashboard!$A$3,C769-1,0))</f>
        <v>Coal to Natural Gas Conversion @ Steam Plant</v>
      </c>
      <c r="E769" s="1301" t="str">
        <f t="shared" si="569"/>
        <v>2010$</v>
      </c>
      <c r="F769" s="1460">
        <f t="shared" ca="1" si="522"/>
        <v>-4228976.1405559285</v>
      </c>
      <c r="G769" s="358">
        <f t="shared" ref="G769:AT769" ca="1" si="580">G172+G234+G296+G327+G545</f>
        <v>0</v>
      </c>
      <c r="H769" s="358">
        <f t="shared" ca="1" si="580"/>
        <v>0</v>
      </c>
      <c r="I769" s="358">
        <f t="shared" ca="1" si="580"/>
        <v>0</v>
      </c>
      <c r="J769" s="358">
        <f t="shared" ca="1" si="580"/>
        <v>0</v>
      </c>
      <c r="K769" s="358">
        <f t="shared" ca="1" si="580"/>
        <v>0</v>
      </c>
      <c r="L769" s="358">
        <f t="shared" ca="1" si="580"/>
        <v>-303812.55343383551</v>
      </c>
      <c r="M769" s="358">
        <f t="shared" ca="1" si="580"/>
        <v>-308746.13658415806</v>
      </c>
      <c r="N769" s="358">
        <f t="shared" ca="1" si="580"/>
        <v>-313721.4602521481</v>
      </c>
      <c r="O769" s="358">
        <f t="shared" ca="1" si="580"/>
        <v>-318738.8185034031</v>
      </c>
      <c r="P769" s="358">
        <f t="shared" ca="1" si="580"/>
        <v>-323798.50730066467</v>
      </c>
      <c r="Q769" s="358">
        <f t="shared" ca="1" si="580"/>
        <v>-328900.82451543584</v>
      </c>
      <c r="R769" s="358">
        <f t="shared" ca="1" si="580"/>
        <v>-334046.06993967295</v>
      </c>
      <c r="S769" s="358">
        <f t="shared" ca="1" si="580"/>
        <v>-339234.54529753793</v>
      </c>
      <c r="T769" s="358">
        <f t="shared" ca="1" si="580"/>
        <v>-344466.55425723549</v>
      </c>
      <c r="U769" s="358">
        <f t="shared" ca="1" si="580"/>
        <v>-349742.40244289581</v>
      </c>
      <c r="V769" s="358">
        <f t="shared" ca="1" si="580"/>
        <v>-355062.39744655695</v>
      </c>
      <c r="W769" s="358">
        <f t="shared" ca="1" si="580"/>
        <v>-360426.84884019289</v>
      </c>
      <c r="X769" s="358">
        <f t="shared" ca="1" si="580"/>
        <v>-365836.06818782911</v>
      </c>
      <c r="Y769" s="358">
        <f t="shared" ca="1" si="580"/>
        <v>-371290.36905772146</v>
      </c>
      <c r="Z769" s="358">
        <f t="shared" ca="1" si="580"/>
        <v>-376790.06703460775</v>
      </c>
      <c r="AA769" s="358">
        <f t="shared" ca="1" si="580"/>
        <v>-382335.47973203566</v>
      </c>
      <c r="AB769" s="358">
        <f t="shared" ca="1" si="580"/>
        <v>-387926.9268047642</v>
      </c>
      <c r="AC769" s="358">
        <f t="shared" ca="1" si="580"/>
        <v>-393564.72996122483</v>
      </c>
      <c r="AD769" s="358">
        <f t="shared" ca="1" si="580"/>
        <v>-399249.21297608037</v>
      </c>
      <c r="AE769" s="358">
        <f t="shared" ca="1" si="580"/>
        <v>-404980.70170283597</v>
      </c>
      <c r="AF769" s="358">
        <f t="shared" ca="1" si="580"/>
        <v>-410759.52408653311</v>
      </c>
      <c r="AG769" s="358">
        <f t="shared" ca="1" si="580"/>
        <v>-416586.01017652731</v>
      </c>
      <c r="AH769" s="358">
        <f t="shared" ca="1" si="580"/>
        <v>-422460.49213931803</v>
      </c>
      <c r="AI769" s="358">
        <f t="shared" ca="1" si="580"/>
        <v>-428383.304271481</v>
      </c>
      <c r="AJ769" s="358">
        <f t="shared" ca="1" si="580"/>
        <v>-434354.78301266301</v>
      </c>
      <c r="AK769" s="358">
        <f t="shared" ca="1" si="580"/>
        <v>-440375.2669586502</v>
      </c>
      <c r="AL769" s="358">
        <f t="shared" ca="1" si="580"/>
        <v>-446445.09687452111</v>
      </c>
      <c r="AM769" s="358">
        <f t="shared" ca="1" si="580"/>
        <v>-452564.61570787802</v>
      </c>
      <c r="AN769" s="358">
        <f t="shared" ca="1" si="580"/>
        <v>-458734.16860214621</v>
      </c>
      <c r="AO769" s="358">
        <f t="shared" ca="1" si="580"/>
        <v>-464954.10290996451</v>
      </c>
      <c r="AP769" s="358">
        <f t="shared" ca="1" si="580"/>
        <v>-471224.7682066448</v>
      </c>
      <c r="AQ769" s="358">
        <f t="shared" ca="1" si="580"/>
        <v>-477546.51630371995</v>
      </c>
      <c r="AR769" s="358">
        <f t="shared" ca="1" si="580"/>
        <v>-483919.70126256067</v>
      </c>
      <c r="AS769" s="358">
        <f t="shared" ca="1" si="580"/>
        <v>-490344.67940808367</v>
      </c>
      <c r="AT769" s="358">
        <f t="shared" ca="1" si="580"/>
        <v>-496821.80934252869</v>
      </c>
      <c r="AU769" s="358"/>
      <c r="AV769" s="358">
        <f t="shared" ca="1" si="524"/>
        <v>-1568817.4760742094</v>
      </c>
      <c r="AX769" s="358">
        <f t="shared" ca="1" si="525"/>
        <v>-1696390.396452778</v>
      </c>
      <c r="AZ769" s="358">
        <f t="shared" ca="1" si="526"/>
        <v>-1829405.7505669082</v>
      </c>
      <c r="BB769" s="358">
        <f t="shared" ca="1" si="527"/>
        <v>-1968057.051176941</v>
      </c>
      <c r="BD769" s="358">
        <f t="shared" ca="1" si="528"/>
        <v>-2112544.1136865225</v>
      </c>
      <c r="BF769" s="358">
        <f t="shared" ca="1" si="529"/>
        <v>-2263073.2510531601</v>
      </c>
      <c r="BH769" s="358">
        <f t="shared" ca="1" si="530"/>
        <v>-2419857.4745235378</v>
      </c>
    </row>
    <row r="770" spans="1:60" hidden="1" outlineLevel="1">
      <c r="A770" s="1301">
        <f t="shared" si="567"/>
        <v>18</v>
      </c>
      <c r="B770" s="1301">
        <f t="shared" si="567"/>
        <v>37</v>
      </c>
      <c r="C770" s="1301">
        <f t="shared" si="568"/>
        <v>14</v>
      </c>
      <c r="D770" s="1271" t="str">
        <f ca="1">IF(OFFSET(PortfolioDashboard!$A$3,C770-1,0)="","Blank",OFFSET(PortfolioDashboard!$A$3,C770-1,0))</f>
        <v>On-site Wind</v>
      </c>
      <c r="E770" s="1301" t="str">
        <f t="shared" si="569"/>
        <v>2010$</v>
      </c>
      <c r="F770" s="1460">
        <f t="shared" ca="1" si="522"/>
        <v>-312260.38940851751</v>
      </c>
      <c r="G770" s="358">
        <f t="shared" ref="G770:AT770" ca="1" si="581">G173+G235+G297+G328+G546</f>
        <v>0</v>
      </c>
      <c r="H770" s="358">
        <f t="shared" ca="1" si="581"/>
        <v>-21024</v>
      </c>
      <c r="I770" s="358">
        <f t="shared" ca="1" si="581"/>
        <v>-21024</v>
      </c>
      <c r="J770" s="358">
        <f t="shared" ca="1" si="581"/>
        <v>-21024</v>
      </c>
      <c r="K770" s="358">
        <f t="shared" ca="1" si="581"/>
        <v>-21024</v>
      </c>
      <c r="L770" s="358">
        <f t="shared" ca="1" si="581"/>
        <v>-21024</v>
      </c>
      <c r="M770" s="358">
        <f t="shared" ca="1" si="581"/>
        <v>-21024</v>
      </c>
      <c r="N770" s="358">
        <f t="shared" ca="1" si="581"/>
        <v>-21024</v>
      </c>
      <c r="O770" s="358">
        <f t="shared" ca="1" si="581"/>
        <v>-21024</v>
      </c>
      <c r="P770" s="358">
        <f t="shared" ca="1" si="581"/>
        <v>-21024</v>
      </c>
      <c r="Q770" s="358">
        <f t="shared" ca="1" si="581"/>
        <v>-21024</v>
      </c>
      <c r="R770" s="358">
        <f t="shared" ca="1" si="581"/>
        <v>-21024</v>
      </c>
      <c r="S770" s="358">
        <f t="shared" ca="1" si="581"/>
        <v>-21024</v>
      </c>
      <c r="T770" s="358">
        <f t="shared" ca="1" si="581"/>
        <v>-21024</v>
      </c>
      <c r="U770" s="358">
        <f t="shared" ca="1" si="581"/>
        <v>-21024</v>
      </c>
      <c r="V770" s="358">
        <f t="shared" ca="1" si="581"/>
        <v>-21024</v>
      </c>
      <c r="W770" s="358">
        <f t="shared" ca="1" si="581"/>
        <v>-21024</v>
      </c>
      <c r="X770" s="358">
        <f t="shared" ca="1" si="581"/>
        <v>-21024</v>
      </c>
      <c r="Y770" s="358">
        <f t="shared" ca="1" si="581"/>
        <v>-21024</v>
      </c>
      <c r="Z770" s="358">
        <f t="shared" ca="1" si="581"/>
        <v>-21024</v>
      </c>
      <c r="AA770" s="358">
        <f t="shared" ca="1" si="581"/>
        <v>-21024</v>
      </c>
      <c r="AB770" s="358">
        <f t="shared" ca="1" si="581"/>
        <v>-21024</v>
      </c>
      <c r="AC770" s="358">
        <f t="shared" ca="1" si="581"/>
        <v>-21024</v>
      </c>
      <c r="AD770" s="358">
        <f t="shared" ca="1" si="581"/>
        <v>-21024</v>
      </c>
      <c r="AE770" s="358">
        <f t="shared" ca="1" si="581"/>
        <v>-21024</v>
      </c>
      <c r="AF770" s="358">
        <f t="shared" ca="1" si="581"/>
        <v>-21024</v>
      </c>
      <c r="AG770" s="358">
        <f t="shared" ca="1" si="581"/>
        <v>-21024</v>
      </c>
      <c r="AH770" s="358">
        <f t="shared" ca="1" si="581"/>
        <v>-21024</v>
      </c>
      <c r="AI770" s="358">
        <f t="shared" ca="1" si="581"/>
        <v>-21024</v>
      </c>
      <c r="AJ770" s="358">
        <f t="shared" ca="1" si="581"/>
        <v>-21024</v>
      </c>
      <c r="AK770" s="358">
        <f t="shared" ca="1" si="581"/>
        <v>-21024</v>
      </c>
      <c r="AL770" s="358">
        <f t="shared" ca="1" si="581"/>
        <v>-21024</v>
      </c>
      <c r="AM770" s="358">
        <f t="shared" ca="1" si="581"/>
        <v>-21024</v>
      </c>
      <c r="AN770" s="358">
        <f t="shared" ca="1" si="581"/>
        <v>-21024</v>
      </c>
      <c r="AO770" s="358">
        <f t="shared" ca="1" si="581"/>
        <v>-21024</v>
      </c>
      <c r="AP770" s="358">
        <f t="shared" ca="1" si="581"/>
        <v>-21024</v>
      </c>
      <c r="AQ770" s="358">
        <f t="shared" ca="1" si="581"/>
        <v>-21024</v>
      </c>
      <c r="AR770" s="358">
        <f t="shared" ca="1" si="581"/>
        <v>-21024</v>
      </c>
      <c r="AS770" s="358">
        <f t="shared" ca="1" si="581"/>
        <v>-21024</v>
      </c>
      <c r="AT770" s="358">
        <f t="shared" ca="1" si="581"/>
        <v>-21024</v>
      </c>
      <c r="AU770" s="358"/>
      <c r="AV770" s="358">
        <f t="shared" ca="1" si="524"/>
        <v>-105120</v>
      </c>
      <c r="AX770" s="358">
        <f t="shared" ca="1" si="525"/>
        <v>-105120</v>
      </c>
      <c r="AZ770" s="358">
        <f t="shared" ca="1" si="526"/>
        <v>-105120</v>
      </c>
      <c r="BB770" s="358">
        <f t="shared" ca="1" si="527"/>
        <v>-105120</v>
      </c>
      <c r="BD770" s="358">
        <f t="shared" ca="1" si="528"/>
        <v>-105120</v>
      </c>
      <c r="BF770" s="358">
        <f t="shared" ca="1" si="529"/>
        <v>-105120</v>
      </c>
      <c r="BH770" s="358">
        <f t="shared" ca="1" si="530"/>
        <v>-105120</v>
      </c>
    </row>
    <row r="771" spans="1:60" hidden="1" outlineLevel="1">
      <c r="A771" s="1301">
        <f t="shared" si="567"/>
        <v>18</v>
      </c>
      <c r="B771" s="1301">
        <f t="shared" si="567"/>
        <v>37</v>
      </c>
      <c r="C771" s="1301">
        <f t="shared" si="568"/>
        <v>15</v>
      </c>
      <c r="D771" s="1271" t="str">
        <f ca="1">IF(OFFSET(PortfolioDashboard!$A$3,C771-1,0)="","Blank",OFFSET(PortfolioDashboard!$A$3,C771-1,0))</f>
        <v>Solar DHW</v>
      </c>
      <c r="E771" s="1301" t="str">
        <f t="shared" si="569"/>
        <v>2010$</v>
      </c>
      <c r="F771" s="1460">
        <f t="shared" ca="1" si="522"/>
        <v>0</v>
      </c>
      <c r="G771" s="358">
        <f t="shared" ref="G771:AT771" ca="1" si="582">G174+G236+G298+G329+G547</f>
        <v>0</v>
      </c>
      <c r="H771" s="358">
        <f t="shared" ca="1" si="582"/>
        <v>0</v>
      </c>
      <c r="I771" s="358">
        <f t="shared" ca="1" si="582"/>
        <v>0</v>
      </c>
      <c r="J771" s="358">
        <f t="shared" ca="1" si="582"/>
        <v>0</v>
      </c>
      <c r="K771" s="358">
        <f t="shared" ca="1" si="582"/>
        <v>0</v>
      </c>
      <c r="L771" s="358">
        <f t="shared" ca="1" si="582"/>
        <v>0</v>
      </c>
      <c r="M771" s="358">
        <f t="shared" ca="1" si="582"/>
        <v>0</v>
      </c>
      <c r="N771" s="358">
        <f t="shared" ca="1" si="582"/>
        <v>0</v>
      </c>
      <c r="O771" s="358">
        <f t="shared" ca="1" si="582"/>
        <v>0</v>
      </c>
      <c r="P771" s="358">
        <f t="shared" ca="1" si="582"/>
        <v>0</v>
      </c>
      <c r="Q771" s="358">
        <f t="shared" ca="1" si="582"/>
        <v>0</v>
      </c>
      <c r="R771" s="358">
        <f t="shared" ca="1" si="582"/>
        <v>0</v>
      </c>
      <c r="S771" s="358">
        <f t="shared" ca="1" si="582"/>
        <v>0</v>
      </c>
      <c r="T771" s="358">
        <f t="shared" ca="1" si="582"/>
        <v>0</v>
      </c>
      <c r="U771" s="358">
        <f t="shared" ca="1" si="582"/>
        <v>0</v>
      </c>
      <c r="V771" s="358">
        <f t="shared" ca="1" si="582"/>
        <v>0</v>
      </c>
      <c r="W771" s="358">
        <f t="shared" ca="1" si="582"/>
        <v>0</v>
      </c>
      <c r="X771" s="358">
        <f t="shared" ca="1" si="582"/>
        <v>0</v>
      </c>
      <c r="Y771" s="358">
        <f t="shared" ca="1" si="582"/>
        <v>0</v>
      </c>
      <c r="Z771" s="358">
        <f t="shared" ca="1" si="582"/>
        <v>0</v>
      </c>
      <c r="AA771" s="358">
        <f t="shared" ca="1" si="582"/>
        <v>0</v>
      </c>
      <c r="AB771" s="358">
        <f t="shared" ca="1" si="582"/>
        <v>0</v>
      </c>
      <c r="AC771" s="358">
        <f t="shared" ca="1" si="582"/>
        <v>0</v>
      </c>
      <c r="AD771" s="358">
        <f t="shared" ca="1" si="582"/>
        <v>0</v>
      </c>
      <c r="AE771" s="358">
        <f t="shared" ca="1" si="582"/>
        <v>0</v>
      </c>
      <c r="AF771" s="358">
        <f t="shared" ca="1" si="582"/>
        <v>0</v>
      </c>
      <c r="AG771" s="358">
        <f t="shared" ca="1" si="582"/>
        <v>0</v>
      </c>
      <c r="AH771" s="358">
        <f t="shared" ca="1" si="582"/>
        <v>0</v>
      </c>
      <c r="AI771" s="358">
        <f t="shared" ca="1" si="582"/>
        <v>0</v>
      </c>
      <c r="AJ771" s="358">
        <f t="shared" ca="1" si="582"/>
        <v>0</v>
      </c>
      <c r="AK771" s="358">
        <f t="shared" ca="1" si="582"/>
        <v>0</v>
      </c>
      <c r="AL771" s="358">
        <f t="shared" ca="1" si="582"/>
        <v>0</v>
      </c>
      <c r="AM771" s="358">
        <f t="shared" ca="1" si="582"/>
        <v>0</v>
      </c>
      <c r="AN771" s="358">
        <f t="shared" ca="1" si="582"/>
        <v>0</v>
      </c>
      <c r="AO771" s="358">
        <f t="shared" ca="1" si="582"/>
        <v>0</v>
      </c>
      <c r="AP771" s="358">
        <f t="shared" ca="1" si="582"/>
        <v>0</v>
      </c>
      <c r="AQ771" s="358">
        <f t="shared" ca="1" si="582"/>
        <v>0</v>
      </c>
      <c r="AR771" s="358">
        <f t="shared" ca="1" si="582"/>
        <v>0</v>
      </c>
      <c r="AS771" s="358">
        <f t="shared" ca="1" si="582"/>
        <v>0</v>
      </c>
      <c r="AT771" s="358">
        <f t="shared" ca="1" si="582"/>
        <v>0</v>
      </c>
      <c r="AU771" s="358"/>
      <c r="AV771" s="358">
        <f t="shared" ca="1" si="524"/>
        <v>0</v>
      </c>
      <c r="AX771" s="358">
        <f t="shared" ca="1" si="525"/>
        <v>0</v>
      </c>
      <c r="AZ771" s="358">
        <f t="shared" ca="1" si="526"/>
        <v>0</v>
      </c>
      <c r="BB771" s="358">
        <f t="shared" ca="1" si="527"/>
        <v>0</v>
      </c>
      <c r="BD771" s="358">
        <f t="shared" ca="1" si="528"/>
        <v>0</v>
      </c>
      <c r="BF771" s="358">
        <f t="shared" ca="1" si="529"/>
        <v>0</v>
      </c>
      <c r="BH771" s="358">
        <f t="shared" ca="1" si="530"/>
        <v>0</v>
      </c>
    </row>
    <row r="772" spans="1:60" hidden="1" outlineLevel="1">
      <c r="A772" s="1301">
        <f t="shared" si="567"/>
        <v>18</v>
      </c>
      <c r="B772" s="1301">
        <f t="shared" si="567"/>
        <v>37</v>
      </c>
      <c r="C772" s="1301">
        <f t="shared" si="568"/>
        <v>16</v>
      </c>
      <c r="D772" s="1271" t="str">
        <f ca="1">IF(OFFSET(PortfolioDashboard!$A$3,C772-1,0)="","Blank",OFFSET(PortfolioDashboard!$A$3,C772-1,0))</f>
        <v>Geo Exchange</v>
      </c>
      <c r="E772" s="1301" t="str">
        <f t="shared" si="569"/>
        <v>2010$</v>
      </c>
      <c r="F772" s="1460">
        <f t="shared" ca="1" si="522"/>
        <v>-1546684.8507712812</v>
      </c>
      <c r="G772" s="358">
        <f t="shared" ref="G772:AT772" ca="1" si="583">G175+G237+G299+G330+G548</f>
        <v>0</v>
      </c>
      <c r="H772" s="358">
        <f t="shared" ca="1" si="583"/>
        <v>0</v>
      </c>
      <c r="I772" s="358">
        <f t="shared" ca="1" si="583"/>
        <v>0</v>
      </c>
      <c r="J772" s="358">
        <f t="shared" ca="1" si="583"/>
        <v>-59719.64216943748</v>
      </c>
      <c r="K772" s="358">
        <f t="shared" ca="1" si="583"/>
        <v>-59943.240380284653</v>
      </c>
      <c r="L772" s="358">
        <f t="shared" ca="1" si="583"/>
        <v>-120335.91316437215</v>
      </c>
      <c r="M772" s="358">
        <f t="shared" ca="1" si="583"/>
        <v>-120787.592730194</v>
      </c>
      <c r="N772" s="358">
        <f t="shared" ca="1" si="583"/>
        <v>-121241.53069384495</v>
      </c>
      <c r="O772" s="358">
        <f t="shared" ca="1" si="583"/>
        <v>-121697.73834731417</v>
      </c>
      <c r="P772" s="358">
        <f t="shared" ca="1" si="583"/>
        <v>-122156.22703905073</v>
      </c>
      <c r="Q772" s="358">
        <f t="shared" ca="1" si="583"/>
        <v>-122617.00817424596</v>
      </c>
      <c r="R772" s="358">
        <f t="shared" ca="1" si="583"/>
        <v>-123080.09321511719</v>
      </c>
      <c r="S772" s="358">
        <f t="shared" ca="1" si="583"/>
        <v>-123545.49368119273</v>
      </c>
      <c r="T772" s="358">
        <f t="shared" ca="1" si="583"/>
        <v>-124013.2211495987</v>
      </c>
      <c r="U772" s="358">
        <f t="shared" ca="1" si="583"/>
        <v>-124483.28725534667</v>
      </c>
      <c r="V772" s="358">
        <f t="shared" ca="1" si="583"/>
        <v>-124955.70369162339</v>
      </c>
      <c r="W772" s="358">
        <f t="shared" ca="1" si="583"/>
        <v>-125430.48221008149</v>
      </c>
      <c r="X772" s="358">
        <f t="shared" ca="1" si="583"/>
        <v>-125907.63462113189</v>
      </c>
      <c r="Y772" s="358">
        <f t="shared" ca="1" si="583"/>
        <v>-126387.17279423753</v>
      </c>
      <c r="Z772" s="358">
        <f t="shared" ca="1" si="583"/>
        <v>-126869.1086582087</v>
      </c>
      <c r="AA772" s="358">
        <f t="shared" ca="1" si="583"/>
        <v>-127353.45420149974</v>
      </c>
      <c r="AB772" s="358">
        <f t="shared" ca="1" si="583"/>
        <v>-127840.2214725072</v>
      </c>
      <c r="AC772" s="358">
        <f t="shared" ca="1" si="583"/>
        <v>-128329.42257986974</v>
      </c>
      <c r="AD772" s="358">
        <f t="shared" ca="1" si="583"/>
        <v>-128821.06969276906</v>
      </c>
      <c r="AE772" s="358">
        <f t="shared" ca="1" si="583"/>
        <v>-129315.17504123291</v>
      </c>
      <c r="AF772" s="358">
        <f t="shared" ca="1" si="583"/>
        <v>-129811.75091643905</v>
      </c>
      <c r="AG772" s="358">
        <f t="shared" ca="1" si="583"/>
        <v>-130310.80967102124</v>
      </c>
      <c r="AH772" s="358">
        <f t="shared" ca="1" si="583"/>
        <v>-130812.36371937633</v>
      </c>
      <c r="AI772" s="358">
        <f t="shared" ca="1" si="583"/>
        <v>-131316.42553797318</v>
      </c>
      <c r="AJ772" s="358">
        <f t="shared" ca="1" si="583"/>
        <v>-131823.00766566303</v>
      </c>
      <c r="AK772" s="358">
        <f t="shared" ca="1" si="583"/>
        <v>-132332.12270399136</v>
      </c>
      <c r="AL772" s="358">
        <f t="shared" ca="1" si="583"/>
        <v>-132843.78331751126</v>
      </c>
      <c r="AM772" s="358">
        <f t="shared" ca="1" si="583"/>
        <v>-133358.00223409879</v>
      </c>
      <c r="AN772" s="358">
        <f t="shared" ca="1" si="583"/>
        <v>-133874.79224526929</v>
      </c>
      <c r="AO772" s="358">
        <f t="shared" ca="1" si="583"/>
        <v>-134394.16620649563</v>
      </c>
      <c r="AP772" s="358">
        <f t="shared" ca="1" si="583"/>
        <v>-134916.1370375281</v>
      </c>
      <c r="AQ772" s="358">
        <f t="shared" ca="1" si="583"/>
        <v>-135440.71772271569</v>
      </c>
      <c r="AR772" s="358">
        <f t="shared" ca="1" si="583"/>
        <v>-135967.92131132926</v>
      </c>
      <c r="AS772" s="358">
        <f t="shared" ca="1" si="583"/>
        <v>-136497.7609178859</v>
      </c>
      <c r="AT772" s="358">
        <f t="shared" ca="1" si="583"/>
        <v>-137030.2497224753</v>
      </c>
      <c r="AU772" s="358"/>
      <c r="AV772" s="358">
        <f t="shared" ca="1" si="524"/>
        <v>-606219.00197477604</v>
      </c>
      <c r="AX772" s="358">
        <f t="shared" ca="1" si="525"/>
        <v>-617739.1034755013</v>
      </c>
      <c r="AZ772" s="358">
        <f t="shared" ca="1" si="526"/>
        <v>-629550.101975283</v>
      </c>
      <c r="BB772" s="358">
        <f t="shared" ca="1" si="527"/>
        <v>-641659.34298787871</v>
      </c>
      <c r="BD772" s="358">
        <f t="shared" ca="1" si="528"/>
        <v>-654074.35751047288</v>
      </c>
      <c r="BF772" s="358">
        <f t="shared" ca="1" si="529"/>
        <v>-666802.86670736631</v>
      </c>
      <c r="BH772" s="358">
        <f t="shared" ca="1" si="530"/>
        <v>-679852.78671193426</v>
      </c>
    </row>
    <row r="773" spans="1:60" hidden="1" outlineLevel="1">
      <c r="A773" s="1301">
        <f t="shared" si="567"/>
        <v>18</v>
      </c>
      <c r="B773" s="1301">
        <f t="shared" si="567"/>
        <v>37</v>
      </c>
      <c r="C773" s="1301">
        <f t="shared" si="568"/>
        <v>17</v>
      </c>
      <c r="D773" s="1271" t="str">
        <f ca="1">IF(OFFSET(PortfolioDashboard!$A$3,C773-1,0)="","Blank",OFFSET(PortfolioDashboard!$A$3,C773-1,0))</f>
        <v>Rooftop Solar PV</v>
      </c>
      <c r="E773" s="1301" t="str">
        <f t="shared" si="569"/>
        <v>2010$</v>
      </c>
      <c r="F773" s="1460">
        <f t="shared" ca="1" si="522"/>
        <v>0</v>
      </c>
      <c r="G773" s="358">
        <f t="shared" ref="G773:AT773" ca="1" si="584">G176+G238+G300+G331+G549</f>
        <v>0</v>
      </c>
      <c r="H773" s="358">
        <f t="shared" ca="1" si="584"/>
        <v>0</v>
      </c>
      <c r="I773" s="358">
        <f t="shared" ca="1" si="584"/>
        <v>0</v>
      </c>
      <c r="J773" s="358">
        <f t="shared" ca="1" si="584"/>
        <v>0</v>
      </c>
      <c r="K773" s="358">
        <f t="shared" ca="1" si="584"/>
        <v>0</v>
      </c>
      <c r="L773" s="358">
        <f t="shared" ca="1" si="584"/>
        <v>0</v>
      </c>
      <c r="M773" s="358">
        <f t="shared" ca="1" si="584"/>
        <v>0</v>
      </c>
      <c r="N773" s="358">
        <f t="shared" ca="1" si="584"/>
        <v>0</v>
      </c>
      <c r="O773" s="358">
        <f t="shared" ca="1" si="584"/>
        <v>0</v>
      </c>
      <c r="P773" s="358">
        <f t="shared" ca="1" si="584"/>
        <v>0</v>
      </c>
      <c r="Q773" s="358">
        <f t="shared" ca="1" si="584"/>
        <v>0</v>
      </c>
      <c r="R773" s="358">
        <f t="shared" ca="1" si="584"/>
        <v>0</v>
      </c>
      <c r="S773" s="358">
        <f t="shared" ca="1" si="584"/>
        <v>0</v>
      </c>
      <c r="T773" s="358">
        <f t="shared" ca="1" si="584"/>
        <v>0</v>
      </c>
      <c r="U773" s="358">
        <f t="shared" ca="1" si="584"/>
        <v>0</v>
      </c>
      <c r="V773" s="358">
        <f t="shared" ca="1" si="584"/>
        <v>0</v>
      </c>
      <c r="W773" s="358">
        <f t="shared" ca="1" si="584"/>
        <v>0</v>
      </c>
      <c r="X773" s="358">
        <f t="shared" ca="1" si="584"/>
        <v>0</v>
      </c>
      <c r="Y773" s="358">
        <f t="shared" ca="1" si="584"/>
        <v>0</v>
      </c>
      <c r="Z773" s="358">
        <f t="shared" ca="1" si="584"/>
        <v>0</v>
      </c>
      <c r="AA773" s="358">
        <f t="shared" ca="1" si="584"/>
        <v>0</v>
      </c>
      <c r="AB773" s="358">
        <f t="shared" ca="1" si="584"/>
        <v>0</v>
      </c>
      <c r="AC773" s="358">
        <f t="shared" ca="1" si="584"/>
        <v>0</v>
      </c>
      <c r="AD773" s="358">
        <f t="shared" ca="1" si="584"/>
        <v>0</v>
      </c>
      <c r="AE773" s="358">
        <f t="shared" ca="1" si="584"/>
        <v>0</v>
      </c>
      <c r="AF773" s="358">
        <f t="shared" ca="1" si="584"/>
        <v>0</v>
      </c>
      <c r="AG773" s="358">
        <f t="shared" ca="1" si="584"/>
        <v>0</v>
      </c>
      <c r="AH773" s="358">
        <f t="shared" ca="1" si="584"/>
        <v>0</v>
      </c>
      <c r="AI773" s="358">
        <f t="shared" ca="1" si="584"/>
        <v>0</v>
      </c>
      <c r="AJ773" s="358">
        <f t="shared" ca="1" si="584"/>
        <v>0</v>
      </c>
      <c r="AK773" s="358">
        <f t="shared" ca="1" si="584"/>
        <v>0</v>
      </c>
      <c r="AL773" s="358">
        <f t="shared" ca="1" si="584"/>
        <v>0</v>
      </c>
      <c r="AM773" s="358">
        <f t="shared" ca="1" si="584"/>
        <v>0</v>
      </c>
      <c r="AN773" s="358">
        <f t="shared" ca="1" si="584"/>
        <v>0</v>
      </c>
      <c r="AO773" s="358">
        <f t="shared" ca="1" si="584"/>
        <v>0</v>
      </c>
      <c r="AP773" s="358">
        <f t="shared" ca="1" si="584"/>
        <v>0</v>
      </c>
      <c r="AQ773" s="358">
        <f t="shared" ca="1" si="584"/>
        <v>0</v>
      </c>
      <c r="AR773" s="358">
        <f t="shared" ca="1" si="584"/>
        <v>0</v>
      </c>
      <c r="AS773" s="358">
        <f t="shared" ca="1" si="584"/>
        <v>0</v>
      </c>
      <c r="AT773" s="358">
        <f t="shared" ca="1" si="584"/>
        <v>0</v>
      </c>
      <c r="AU773" s="358"/>
      <c r="AV773" s="358">
        <f t="shared" ca="1" si="524"/>
        <v>0</v>
      </c>
      <c r="AX773" s="358">
        <f t="shared" ca="1" si="525"/>
        <v>0</v>
      </c>
      <c r="AZ773" s="358">
        <f t="shared" ca="1" si="526"/>
        <v>0</v>
      </c>
      <c r="BB773" s="358">
        <f t="shared" ca="1" si="527"/>
        <v>0</v>
      </c>
      <c r="BD773" s="358">
        <f t="shared" ca="1" si="528"/>
        <v>0</v>
      </c>
      <c r="BF773" s="358">
        <f t="shared" ca="1" si="529"/>
        <v>0</v>
      </c>
      <c r="BH773" s="358">
        <f t="shared" ca="1" si="530"/>
        <v>0</v>
      </c>
    </row>
    <row r="774" spans="1:60" hidden="1" outlineLevel="1">
      <c r="A774" s="1301">
        <f t="shared" si="567"/>
        <v>18</v>
      </c>
      <c r="B774" s="1301">
        <f t="shared" si="567"/>
        <v>37</v>
      </c>
      <c r="C774" s="1301">
        <f t="shared" si="568"/>
        <v>18</v>
      </c>
      <c r="D774" s="1271" t="str">
        <f ca="1">IF(OFFSET(PortfolioDashboard!$A$3,C774-1,0)="","Blank",OFFSET(PortfolioDashboard!$A$3,C774-1,0))</f>
        <v>Blank</v>
      </c>
      <c r="E774" s="1301" t="str">
        <f t="shared" si="569"/>
        <v>2010$</v>
      </c>
      <c r="F774" s="1460">
        <f t="shared" ca="1" si="522"/>
        <v>0</v>
      </c>
      <c r="G774" s="358">
        <f t="shared" ref="G774:AT774" ca="1" si="585">G177+G239+G301+G332+G550</f>
        <v>0</v>
      </c>
      <c r="H774" s="358">
        <f t="shared" ca="1" si="585"/>
        <v>0</v>
      </c>
      <c r="I774" s="358">
        <f t="shared" ca="1" si="585"/>
        <v>0</v>
      </c>
      <c r="J774" s="358">
        <f t="shared" ca="1" si="585"/>
        <v>0</v>
      </c>
      <c r="K774" s="358">
        <f t="shared" ca="1" si="585"/>
        <v>0</v>
      </c>
      <c r="L774" s="358">
        <f t="shared" ca="1" si="585"/>
        <v>0</v>
      </c>
      <c r="M774" s="358">
        <f t="shared" ca="1" si="585"/>
        <v>0</v>
      </c>
      <c r="N774" s="358">
        <f t="shared" ca="1" si="585"/>
        <v>0</v>
      </c>
      <c r="O774" s="358">
        <f t="shared" ca="1" si="585"/>
        <v>0</v>
      </c>
      <c r="P774" s="358">
        <f t="shared" ca="1" si="585"/>
        <v>0</v>
      </c>
      <c r="Q774" s="358">
        <f t="shared" ca="1" si="585"/>
        <v>0</v>
      </c>
      <c r="R774" s="358">
        <f t="shared" ca="1" si="585"/>
        <v>0</v>
      </c>
      <c r="S774" s="358">
        <f t="shared" ca="1" si="585"/>
        <v>0</v>
      </c>
      <c r="T774" s="358">
        <f t="shared" ca="1" si="585"/>
        <v>0</v>
      </c>
      <c r="U774" s="358">
        <f t="shared" ca="1" si="585"/>
        <v>0</v>
      </c>
      <c r="V774" s="358">
        <f t="shared" ca="1" si="585"/>
        <v>0</v>
      </c>
      <c r="W774" s="358">
        <f t="shared" ca="1" si="585"/>
        <v>0</v>
      </c>
      <c r="X774" s="358">
        <f t="shared" ca="1" si="585"/>
        <v>0</v>
      </c>
      <c r="Y774" s="358">
        <f t="shared" ca="1" si="585"/>
        <v>0</v>
      </c>
      <c r="Z774" s="358">
        <f t="shared" ca="1" si="585"/>
        <v>0</v>
      </c>
      <c r="AA774" s="358">
        <f t="shared" ca="1" si="585"/>
        <v>0</v>
      </c>
      <c r="AB774" s="358">
        <f t="shared" ca="1" si="585"/>
        <v>0</v>
      </c>
      <c r="AC774" s="358">
        <f t="shared" ca="1" si="585"/>
        <v>0</v>
      </c>
      <c r="AD774" s="358">
        <f t="shared" ca="1" si="585"/>
        <v>0</v>
      </c>
      <c r="AE774" s="358">
        <f t="shared" ca="1" si="585"/>
        <v>0</v>
      </c>
      <c r="AF774" s="358">
        <f t="shared" ca="1" si="585"/>
        <v>0</v>
      </c>
      <c r="AG774" s="358">
        <f t="shared" ca="1" si="585"/>
        <v>0</v>
      </c>
      <c r="AH774" s="358">
        <f t="shared" ca="1" si="585"/>
        <v>0</v>
      </c>
      <c r="AI774" s="358">
        <f t="shared" ca="1" si="585"/>
        <v>0</v>
      </c>
      <c r="AJ774" s="358">
        <f t="shared" ca="1" si="585"/>
        <v>0</v>
      </c>
      <c r="AK774" s="358">
        <f t="shared" ca="1" si="585"/>
        <v>0</v>
      </c>
      <c r="AL774" s="358">
        <f t="shared" ca="1" si="585"/>
        <v>0</v>
      </c>
      <c r="AM774" s="358">
        <f t="shared" ca="1" si="585"/>
        <v>0</v>
      </c>
      <c r="AN774" s="358">
        <f t="shared" ca="1" si="585"/>
        <v>0</v>
      </c>
      <c r="AO774" s="358">
        <f t="shared" ca="1" si="585"/>
        <v>0</v>
      </c>
      <c r="AP774" s="358">
        <f t="shared" ca="1" si="585"/>
        <v>0</v>
      </c>
      <c r="AQ774" s="358">
        <f t="shared" ca="1" si="585"/>
        <v>0</v>
      </c>
      <c r="AR774" s="358">
        <f t="shared" ca="1" si="585"/>
        <v>0</v>
      </c>
      <c r="AS774" s="358">
        <f t="shared" ca="1" si="585"/>
        <v>0</v>
      </c>
      <c r="AT774" s="358">
        <f t="shared" ca="1" si="585"/>
        <v>0</v>
      </c>
      <c r="AU774" s="358"/>
      <c r="AV774" s="358">
        <f t="shared" ca="1" si="524"/>
        <v>0</v>
      </c>
      <c r="AX774" s="358">
        <f t="shared" ca="1" si="525"/>
        <v>0</v>
      </c>
      <c r="AZ774" s="358">
        <f t="shared" ca="1" si="526"/>
        <v>0</v>
      </c>
      <c r="BB774" s="358">
        <f t="shared" ca="1" si="527"/>
        <v>0</v>
      </c>
      <c r="BD774" s="358">
        <f t="shared" ca="1" si="528"/>
        <v>0</v>
      </c>
      <c r="BF774" s="358">
        <f t="shared" ca="1" si="529"/>
        <v>0</v>
      </c>
      <c r="BH774" s="358">
        <f t="shared" ca="1" si="530"/>
        <v>0</v>
      </c>
    </row>
    <row r="775" spans="1:60" hidden="1" outlineLevel="1">
      <c r="A775" s="1301">
        <f t="shared" ref="A775:B786" si="586">A774</f>
        <v>18</v>
      </c>
      <c r="B775" s="1301">
        <f t="shared" si="586"/>
        <v>37</v>
      </c>
      <c r="C775" s="1301">
        <f t="shared" si="568"/>
        <v>19</v>
      </c>
      <c r="D775" s="1271" t="str">
        <f ca="1">IF(OFFSET(PortfolioDashboard!$A$3,C775-1,0)="","Blank",OFFSET(PortfolioDashboard!$A$3,C775-1,0))</f>
        <v>Blank</v>
      </c>
      <c r="E775" s="1301" t="str">
        <f t="shared" si="569"/>
        <v>2010$</v>
      </c>
      <c r="F775" s="1460">
        <f t="shared" ca="1" si="522"/>
        <v>0</v>
      </c>
      <c r="G775" s="358">
        <f t="shared" ref="G775:AT775" ca="1" si="587">G178+G240+G302+G333+G551</f>
        <v>0</v>
      </c>
      <c r="H775" s="358">
        <f t="shared" ca="1" si="587"/>
        <v>0</v>
      </c>
      <c r="I775" s="358">
        <f t="shared" ca="1" si="587"/>
        <v>0</v>
      </c>
      <c r="J775" s="358">
        <f t="shared" ca="1" si="587"/>
        <v>0</v>
      </c>
      <c r="K775" s="358">
        <f t="shared" ca="1" si="587"/>
        <v>0</v>
      </c>
      <c r="L775" s="358">
        <f t="shared" ca="1" si="587"/>
        <v>0</v>
      </c>
      <c r="M775" s="358">
        <f t="shared" ca="1" si="587"/>
        <v>0</v>
      </c>
      <c r="N775" s="358">
        <f t="shared" ca="1" si="587"/>
        <v>0</v>
      </c>
      <c r="O775" s="358">
        <f t="shared" ca="1" si="587"/>
        <v>0</v>
      </c>
      <c r="P775" s="358">
        <f t="shared" ca="1" si="587"/>
        <v>0</v>
      </c>
      <c r="Q775" s="358">
        <f t="shared" ca="1" si="587"/>
        <v>0</v>
      </c>
      <c r="R775" s="358">
        <f t="shared" ca="1" si="587"/>
        <v>0</v>
      </c>
      <c r="S775" s="358">
        <f t="shared" ca="1" si="587"/>
        <v>0</v>
      </c>
      <c r="T775" s="358">
        <f t="shared" ca="1" si="587"/>
        <v>0</v>
      </c>
      <c r="U775" s="358">
        <f t="shared" ca="1" si="587"/>
        <v>0</v>
      </c>
      <c r="V775" s="358">
        <f t="shared" ca="1" si="587"/>
        <v>0</v>
      </c>
      <c r="W775" s="358">
        <f t="shared" ca="1" si="587"/>
        <v>0</v>
      </c>
      <c r="X775" s="358">
        <f t="shared" ca="1" si="587"/>
        <v>0</v>
      </c>
      <c r="Y775" s="358">
        <f t="shared" ca="1" si="587"/>
        <v>0</v>
      </c>
      <c r="Z775" s="358">
        <f t="shared" ca="1" si="587"/>
        <v>0</v>
      </c>
      <c r="AA775" s="358">
        <f t="shared" ca="1" si="587"/>
        <v>0</v>
      </c>
      <c r="AB775" s="358">
        <f t="shared" ca="1" si="587"/>
        <v>0</v>
      </c>
      <c r="AC775" s="358">
        <f t="shared" ca="1" si="587"/>
        <v>0</v>
      </c>
      <c r="AD775" s="358">
        <f t="shared" ca="1" si="587"/>
        <v>0</v>
      </c>
      <c r="AE775" s="358">
        <f t="shared" ca="1" si="587"/>
        <v>0</v>
      </c>
      <c r="AF775" s="358">
        <f t="shared" ca="1" si="587"/>
        <v>0</v>
      </c>
      <c r="AG775" s="358">
        <f t="shared" ca="1" si="587"/>
        <v>0</v>
      </c>
      <c r="AH775" s="358">
        <f t="shared" ca="1" si="587"/>
        <v>0</v>
      </c>
      <c r="AI775" s="358">
        <f t="shared" ca="1" si="587"/>
        <v>0</v>
      </c>
      <c r="AJ775" s="358">
        <f t="shared" ca="1" si="587"/>
        <v>0</v>
      </c>
      <c r="AK775" s="358">
        <f t="shared" ca="1" si="587"/>
        <v>0</v>
      </c>
      <c r="AL775" s="358">
        <f t="shared" ca="1" si="587"/>
        <v>0</v>
      </c>
      <c r="AM775" s="358">
        <f t="shared" ca="1" si="587"/>
        <v>0</v>
      </c>
      <c r="AN775" s="358">
        <f t="shared" ca="1" si="587"/>
        <v>0</v>
      </c>
      <c r="AO775" s="358">
        <f t="shared" ca="1" si="587"/>
        <v>0</v>
      </c>
      <c r="AP775" s="358">
        <f t="shared" ca="1" si="587"/>
        <v>0</v>
      </c>
      <c r="AQ775" s="358">
        <f t="shared" ca="1" si="587"/>
        <v>0</v>
      </c>
      <c r="AR775" s="358">
        <f t="shared" ca="1" si="587"/>
        <v>0</v>
      </c>
      <c r="AS775" s="358">
        <f t="shared" ca="1" si="587"/>
        <v>0</v>
      </c>
      <c r="AT775" s="358">
        <f t="shared" ca="1" si="587"/>
        <v>0</v>
      </c>
      <c r="AU775" s="358"/>
      <c r="AV775" s="358">
        <f t="shared" ca="1" si="524"/>
        <v>0</v>
      </c>
      <c r="AX775" s="358">
        <f t="shared" ca="1" si="525"/>
        <v>0</v>
      </c>
      <c r="AZ775" s="358">
        <f t="shared" ca="1" si="526"/>
        <v>0</v>
      </c>
      <c r="BB775" s="358">
        <f t="shared" ca="1" si="527"/>
        <v>0</v>
      </c>
      <c r="BD775" s="358">
        <f t="shared" ca="1" si="528"/>
        <v>0</v>
      </c>
      <c r="BF775" s="358">
        <f t="shared" ca="1" si="529"/>
        <v>0</v>
      </c>
      <c r="BH775" s="358">
        <f t="shared" ca="1" si="530"/>
        <v>0</v>
      </c>
    </row>
    <row r="776" spans="1:60" hidden="1" outlineLevel="1">
      <c r="A776" s="1301">
        <f t="shared" si="586"/>
        <v>18</v>
      </c>
      <c r="B776" s="1301">
        <f t="shared" si="586"/>
        <v>37</v>
      </c>
      <c r="C776" s="1301">
        <f t="shared" si="568"/>
        <v>20</v>
      </c>
      <c r="D776" s="1271" t="str">
        <f ca="1">IF(OFFSET(PortfolioDashboard!$A$3,C776-1,0)="","Blank",OFFSET(PortfolioDashboard!$A$3,C776-1,0))</f>
        <v>Blank</v>
      </c>
      <c r="E776" s="1301" t="str">
        <f t="shared" si="569"/>
        <v>2010$</v>
      </c>
      <c r="F776" s="1460">
        <f t="shared" ca="1" si="522"/>
        <v>0</v>
      </c>
      <c r="G776" s="358">
        <f t="shared" ref="G776:AT776" ca="1" si="588">G179+G241+G303+G334+G552</f>
        <v>0</v>
      </c>
      <c r="H776" s="358">
        <f t="shared" ca="1" si="588"/>
        <v>0</v>
      </c>
      <c r="I776" s="358">
        <f t="shared" ca="1" si="588"/>
        <v>0</v>
      </c>
      <c r="J776" s="358">
        <f t="shared" ca="1" si="588"/>
        <v>0</v>
      </c>
      <c r="K776" s="358">
        <f t="shared" ca="1" si="588"/>
        <v>0</v>
      </c>
      <c r="L776" s="358">
        <f t="shared" ca="1" si="588"/>
        <v>0</v>
      </c>
      <c r="M776" s="358">
        <f t="shared" ca="1" si="588"/>
        <v>0</v>
      </c>
      <c r="N776" s="358">
        <f t="shared" ca="1" si="588"/>
        <v>0</v>
      </c>
      <c r="O776" s="358">
        <f t="shared" ca="1" si="588"/>
        <v>0</v>
      </c>
      <c r="P776" s="358">
        <f t="shared" ca="1" si="588"/>
        <v>0</v>
      </c>
      <c r="Q776" s="358">
        <f t="shared" ca="1" si="588"/>
        <v>0</v>
      </c>
      <c r="R776" s="358">
        <f t="shared" ca="1" si="588"/>
        <v>0</v>
      </c>
      <c r="S776" s="358">
        <f t="shared" ca="1" si="588"/>
        <v>0</v>
      </c>
      <c r="T776" s="358">
        <f t="shared" ca="1" si="588"/>
        <v>0</v>
      </c>
      <c r="U776" s="358">
        <f t="shared" ca="1" si="588"/>
        <v>0</v>
      </c>
      <c r="V776" s="358">
        <f t="shared" ca="1" si="588"/>
        <v>0</v>
      </c>
      <c r="W776" s="358">
        <f t="shared" ca="1" si="588"/>
        <v>0</v>
      </c>
      <c r="X776" s="358">
        <f t="shared" ca="1" si="588"/>
        <v>0</v>
      </c>
      <c r="Y776" s="358">
        <f t="shared" ca="1" si="588"/>
        <v>0</v>
      </c>
      <c r="Z776" s="358">
        <f t="shared" ca="1" si="588"/>
        <v>0</v>
      </c>
      <c r="AA776" s="358">
        <f t="shared" ca="1" si="588"/>
        <v>0</v>
      </c>
      <c r="AB776" s="358">
        <f t="shared" ca="1" si="588"/>
        <v>0</v>
      </c>
      <c r="AC776" s="358">
        <f t="shared" ca="1" si="588"/>
        <v>0</v>
      </c>
      <c r="AD776" s="358">
        <f t="shared" ca="1" si="588"/>
        <v>0</v>
      </c>
      <c r="AE776" s="358">
        <f t="shared" ca="1" si="588"/>
        <v>0</v>
      </c>
      <c r="AF776" s="358">
        <f t="shared" ca="1" si="588"/>
        <v>0</v>
      </c>
      <c r="AG776" s="358">
        <f t="shared" ca="1" si="588"/>
        <v>0</v>
      </c>
      <c r="AH776" s="358">
        <f t="shared" ca="1" si="588"/>
        <v>0</v>
      </c>
      <c r="AI776" s="358">
        <f t="shared" ca="1" si="588"/>
        <v>0</v>
      </c>
      <c r="AJ776" s="358">
        <f t="shared" ca="1" si="588"/>
        <v>0</v>
      </c>
      <c r="AK776" s="358">
        <f t="shared" ca="1" si="588"/>
        <v>0</v>
      </c>
      <c r="AL776" s="358">
        <f t="shared" ca="1" si="588"/>
        <v>0</v>
      </c>
      <c r="AM776" s="358">
        <f t="shared" ca="1" si="588"/>
        <v>0</v>
      </c>
      <c r="AN776" s="358">
        <f t="shared" ca="1" si="588"/>
        <v>0</v>
      </c>
      <c r="AO776" s="358">
        <f t="shared" ca="1" si="588"/>
        <v>0</v>
      </c>
      <c r="AP776" s="358">
        <f t="shared" ca="1" si="588"/>
        <v>0</v>
      </c>
      <c r="AQ776" s="358">
        <f t="shared" ca="1" si="588"/>
        <v>0</v>
      </c>
      <c r="AR776" s="358">
        <f t="shared" ca="1" si="588"/>
        <v>0</v>
      </c>
      <c r="AS776" s="358">
        <f t="shared" ca="1" si="588"/>
        <v>0</v>
      </c>
      <c r="AT776" s="358">
        <f t="shared" ca="1" si="588"/>
        <v>0</v>
      </c>
      <c r="AU776" s="358"/>
      <c r="AV776" s="358">
        <f t="shared" ca="1" si="524"/>
        <v>0</v>
      </c>
      <c r="AX776" s="358">
        <f t="shared" ca="1" si="525"/>
        <v>0</v>
      </c>
      <c r="AZ776" s="358">
        <f t="shared" ca="1" si="526"/>
        <v>0</v>
      </c>
      <c r="BB776" s="358">
        <f t="shared" ca="1" si="527"/>
        <v>0</v>
      </c>
      <c r="BD776" s="358">
        <f t="shared" ca="1" si="528"/>
        <v>0</v>
      </c>
      <c r="BF776" s="358">
        <f t="shared" ca="1" si="529"/>
        <v>0</v>
      </c>
      <c r="BH776" s="358">
        <f t="shared" ca="1" si="530"/>
        <v>0</v>
      </c>
    </row>
    <row r="777" spans="1:60" hidden="1" outlineLevel="1">
      <c r="A777" s="1301">
        <f t="shared" si="586"/>
        <v>18</v>
      </c>
      <c r="B777" s="1301">
        <f t="shared" si="586"/>
        <v>37</v>
      </c>
      <c r="C777" s="1301">
        <f t="shared" si="568"/>
        <v>21</v>
      </c>
      <c r="D777" s="1271" t="str">
        <f ca="1">IF(OFFSET(PortfolioDashboard!$A$3,C777-1,0)="","Blank",OFFSET(PortfolioDashboard!$A$3,C777-1,0))</f>
        <v>Blank</v>
      </c>
      <c r="E777" s="1301" t="str">
        <f t="shared" si="569"/>
        <v>2010$</v>
      </c>
      <c r="F777" s="1460">
        <f t="shared" ca="1" si="522"/>
        <v>0</v>
      </c>
      <c r="G777" s="358">
        <f t="shared" ref="G777:AT777" ca="1" si="589">G180+G242+G304+G335+G553</f>
        <v>0</v>
      </c>
      <c r="H777" s="358">
        <f t="shared" ca="1" si="589"/>
        <v>0</v>
      </c>
      <c r="I777" s="358">
        <f t="shared" ca="1" si="589"/>
        <v>0</v>
      </c>
      <c r="J777" s="358">
        <f t="shared" ca="1" si="589"/>
        <v>0</v>
      </c>
      <c r="K777" s="358">
        <f t="shared" ca="1" si="589"/>
        <v>0</v>
      </c>
      <c r="L777" s="358">
        <f t="shared" ca="1" si="589"/>
        <v>0</v>
      </c>
      <c r="M777" s="358">
        <f t="shared" ca="1" si="589"/>
        <v>0</v>
      </c>
      <c r="N777" s="358">
        <f t="shared" ca="1" si="589"/>
        <v>0</v>
      </c>
      <c r="O777" s="358">
        <f t="shared" ca="1" si="589"/>
        <v>0</v>
      </c>
      <c r="P777" s="358">
        <f t="shared" ca="1" si="589"/>
        <v>0</v>
      </c>
      <c r="Q777" s="358">
        <f t="shared" ca="1" si="589"/>
        <v>0</v>
      </c>
      <c r="R777" s="358">
        <f t="shared" ca="1" si="589"/>
        <v>0</v>
      </c>
      <c r="S777" s="358">
        <f t="shared" ca="1" si="589"/>
        <v>0</v>
      </c>
      <c r="T777" s="358">
        <f t="shared" ca="1" si="589"/>
        <v>0</v>
      </c>
      <c r="U777" s="358">
        <f t="shared" ca="1" si="589"/>
        <v>0</v>
      </c>
      <c r="V777" s="358">
        <f t="shared" ca="1" si="589"/>
        <v>0</v>
      </c>
      <c r="W777" s="358">
        <f t="shared" ca="1" si="589"/>
        <v>0</v>
      </c>
      <c r="X777" s="358">
        <f t="shared" ca="1" si="589"/>
        <v>0</v>
      </c>
      <c r="Y777" s="358">
        <f t="shared" ca="1" si="589"/>
        <v>0</v>
      </c>
      <c r="Z777" s="358">
        <f t="shared" ca="1" si="589"/>
        <v>0</v>
      </c>
      <c r="AA777" s="358">
        <f t="shared" ca="1" si="589"/>
        <v>0</v>
      </c>
      <c r="AB777" s="358">
        <f t="shared" ca="1" si="589"/>
        <v>0</v>
      </c>
      <c r="AC777" s="358">
        <f t="shared" ca="1" si="589"/>
        <v>0</v>
      </c>
      <c r="AD777" s="358">
        <f t="shared" ca="1" si="589"/>
        <v>0</v>
      </c>
      <c r="AE777" s="358">
        <f t="shared" ca="1" si="589"/>
        <v>0</v>
      </c>
      <c r="AF777" s="358">
        <f t="shared" ca="1" si="589"/>
        <v>0</v>
      </c>
      <c r="AG777" s="358">
        <f t="shared" ca="1" si="589"/>
        <v>0</v>
      </c>
      <c r="AH777" s="358">
        <f t="shared" ca="1" si="589"/>
        <v>0</v>
      </c>
      <c r="AI777" s="358">
        <f t="shared" ca="1" si="589"/>
        <v>0</v>
      </c>
      <c r="AJ777" s="358">
        <f t="shared" ca="1" si="589"/>
        <v>0</v>
      </c>
      <c r="AK777" s="358">
        <f t="shared" ca="1" si="589"/>
        <v>0</v>
      </c>
      <c r="AL777" s="358">
        <f t="shared" ca="1" si="589"/>
        <v>0</v>
      </c>
      <c r="AM777" s="358">
        <f t="shared" ca="1" si="589"/>
        <v>0</v>
      </c>
      <c r="AN777" s="358">
        <f t="shared" ca="1" si="589"/>
        <v>0</v>
      </c>
      <c r="AO777" s="358">
        <f t="shared" ca="1" si="589"/>
        <v>0</v>
      </c>
      <c r="AP777" s="358">
        <f t="shared" ca="1" si="589"/>
        <v>0</v>
      </c>
      <c r="AQ777" s="358">
        <f t="shared" ca="1" si="589"/>
        <v>0</v>
      </c>
      <c r="AR777" s="358">
        <f t="shared" ca="1" si="589"/>
        <v>0</v>
      </c>
      <c r="AS777" s="358">
        <f t="shared" ca="1" si="589"/>
        <v>0</v>
      </c>
      <c r="AT777" s="358">
        <f t="shared" ca="1" si="589"/>
        <v>0</v>
      </c>
      <c r="AU777" s="358"/>
      <c r="AV777" s="358">
        <f t="shared" ca="1" si="524"/>
        <v>0</v>
      </c>
      <c r="AX777" s="358">
        <f t="shared" ca="1" si="525"/>
        <v>0</v>
      </c>
      <c r="AZ777" s="358">
        <f t="shared" ca="1" si="526"/>
        <v>0</v>
      </c>
      <c r="BB777" s="358">
        <f t="shared" ca="1" si="527"/>
        <v>0</v>
      </c>
      <c r="BD777" s="358">
        <f t="shared" ca="1" si="528"/>
        <v>0</v>
      </c>
      <c r="BF777" s="358">
        <f t="shared" ca="1" si="529"/>
        <v>0</v>
      </c>
      <c r="BH777" s="358">
        <f t="shared" ca="1" si="530"/>
        <v>0</v>
      </c>
    </row>
    <row r="778" spans="1:60" hidden="1" outlineLevel="1">
      <c r="A778" s="1301">
        <f t="shared" si="586"/>
        <v>18</v>
      </c>
      <c r="B778" s="1301">
        <f t="shared" si="586"/>
        <v>37</v>
      </c>
      <c r="C778" s="1301">
        <f t="shared" si="568"/>
        <v>22</v>
      </c>
      <c r="D778" s="1271" t="str">
        <f ca="1">IF(OFFSET(PortfolioDashboard!$A$3,C778-1,0)="","Blank",OFFSET(PortfolioDashboard!$A$3,C778-1,0))</f>
        <v>Blank</v>
      </c>
      <c r="E778" s="1301" t="str">
        <f t="shared" si="569"/>
        <v>2010$</v>
      </c>
      <c r="F778" s="1460">
        <f t="shared" ca="1" si="522"/>
        <v>0</v>
      </c>
      <c r="G778" s="358">
        <f t="shared" ref="G778:AT778" ca="1" si="590">G181+G243+G305+G336+G554</f>
        <v>0</v>
      </c>
      <c r="H778" s="358">
        <f t="shared" ca="1" si="590"/>
        <v>0</v>
      </c>
      <c r="I778" s="358">
        <f t="shared" ca="1" si="590"/>
        <v>0</v>
      </c>
      <c r="J778" s="358">
        <f t="shared" ca="1" si="590"/>
        <v>0</v>
      </c>
      <c r="K778" s="358">
        <f t="shared" ca="1" si="590"/>
        <v>0</v>
      </c>
      <c r="L778" s="358">
        <f t="shared" ca="1" si="590"/>
        <v>0</v>
      </c>
      <c r="M778" s="358">
        <f t="shared" ca="1" si="590"/>
        <v>0</v>
      </c>
      <c r="N778" s="358">
        <f t="shared" ca="1" si="590"/>
        <v>0</v>
      </c>
      <c r="O778" s="358">
        <f t="shared" ca="1" si="590"/>
        <v>0</v>
      </c>
      <c r="P778" s="358">
        <f t="shared" ca="1" si="590"/>
        <v>0</v>
      </c>
      <c r="Q778" s="358">
        <f t="shared" ca="1" si="590"/>
        <v>0</v>
      </c>
      <c r="R778" s="358">
        <f t="shared" ca="1" si="590"/>
        <v>0</v>
      </c>
      <c r="S778" s="358">
        <f t="shared" ca="1" si="590"/>
        <v>0</v>
      </c>
      <c r="T778" s="358">
        <f t="shared" ca="1" si="590"/>
        <v>0</v>
      </c>
      <c r="U778" s="358">
        <f t="shared" ca="1" si="590"/>
        <v>0</v>
      </c>
      <c r="V778" s="358">
        <f t="shared" ca="1" si="590"/>
        <v>0</v>
      </c>
      <c r="W778" s="358">
        <f t="shared" ca="1" si="590"/>
        <v>0</v>
      </c>
      <c r="X778" s="358">
        <f t="shared" ca="1" si="590"/>
        <v>0</v>
      </c>
      <c r="Y778" s="358">
        <f t="shared" ca="1" si="590"/>
        <v>0</v>
      </c>
      <c r="Z778" s="358">
        <f t="shared" ca="1" si="590"/>
        <v>0</v>
      </c>
      <c r="AA778" s="358">
        <f t="shared" ca="1" si="590"/>
        <v>0</v>
      </c>
      <c r="AB778" s="358">
        <f t="shared" ca="1" si="590"/>
        <v>0</v>
      </c>
      <c r="AC778" s="358">
        <f t="shared" ca="1" si="590"/>
        <v>0</v>
      </c>
      <c r="AD778" s="358">
        <f t="shared" ca="1" si="590"/>
        <v>0</v>
      </c>
      <c r="AE778" s="358">
        <f t="shared" ca="1" si="590"/>
        <v>0</v>
      </c>
      <c r="AF778" s="358">
        <f t="shared" ca="1" si="590"/>
        <v>0</v>
      </c>
      <c r="AG778" s="358">
        <f t="shared" ca="1" si="590"/>
        <v>0</v>
      </c>
      <c r="AH778" s="358">
        <f t="shared" ca="1" si="590"/>
        <v>0</v>
      </c>
      <c r="AI778" s="358">
        <f t="shared" ca="1" si="590"/>
        <v>0</v>
      </c>
      <c r="AJ778" s="358">
        <f t="shared" ca="1" si="590"/>
        <v>0</v>
      </c>
      <c r="AK778" s="358">
        <f t="shared" ca="1" si="590"/>
        <v>0</v>
      </c>
      <c r="AL778" s="358">
        <f t="shared" ca="1" si="590"/>
        <v>0</v>
      </c>
      <c r="AM778" s="358">
        <f t="shared" ca="1" si="590"/>
        <v>0</v>
      </c>
      <c r="AN778" s="358">
        <f t="shared" ca="1" si="590"/>
        <v>0</v>
      </c>
      <c r="AO778" s="358">
        <f t="shared" ca="1" si="590"/>
        <v>0</v>
      </c>
      <c r="AP778" s="358">
        <f t="shared" ca="1" si="590"/>
        <v>0</v>
      </c>
      <c r="AQ778" s="358">
        <f t="shared" ca="1" si="590"/>
        <v>0</v>
      </c>
      <c r="AR778" s="358">
        <f t="shared" ca="1" si="590"/>
        <v>0</v>
      </c>
      <c r="AS778" s="358">
        <f t="shared" ca="1" si="590"/>
        <v>0</v>
      </c>
      <c r="AT778" s="358">
        <f t="shared" ca="1" si="590"/>
        <v>0</v>
      </c>
      <c r="AU778" s="358"/>
      <c r="AV778" s="358">
        <f t="shared" ca="1" si="524"/>
        <v>0</v>
      </c>
      <c r="AX778" s="358">
        <f t="shared" ca="1" si="525"/>
        <v>0</v>
      </c>
      <c r="AZ778" s="358">
        <f t="shared" ca="1" si="526"/>
        <v>0</v>
      </c>
      <c r="BB778" s="358">
        <f t="shared" ca="1" si="527"/>
        <v>0</v>
      </c>
      <c r="BD778" s="358">
        <f t="shared" ca="1" si="528"/>
        <v>0</v>
      </c>
      <c r="BF778" s="358">
        <f t="shared" ca="1" si="529"/>
        <v>0</v>
      </c>
      <c r="BH778" s="358">
        <f t="shared" ca="1" si="530"/>
        <v>0</v>
      </c>
    </row>
    <row r="779" spans="1:60" hidden="1" outlineLevel="1">
      <c r="A779" s="1301">
        <f t="shared" si="586"/>
        <v>18</v>
      </c>
      <c r="B779" s="1301">
        <f t="shared" si="586"/>
        <v>37</v>
      </c>
      <c r="C779" s="1301">
        <f t="shared" si="568"/>
        <v>23</v>
      </c>
      <c r="D779" s="1271" t="str">
        <f ca="1">IF(OFFSET(PortfolioDashboard!$A$3,C779-1,0)="","Blank",OFFSET(PortfolioDashboard!$A$3,C779-1,0))</f>
        <v>Blank</v>
      </c>
      <c r="E779" s="1301" t="str">
        <f t="shared" si="569"/>
        <v>2010$</v>
      </c>
      <c r="F779" s="1460">
        <f t="shared" ca="1" si="522"/>
        <v>0</v>
      </c>
      <c r="G779" s="358">
        <f t="shared" ref="G779:AT779" ca="1" si="591">G182+G244+G306+G337+G555</f>
        <v>0</v>
      </c>
      <c r="H779" s="358">
        <f t="shared" ca="1" si="591"/>
        <v>0</v>
      </c>
      <c r="I779" s="358">
        <f t="shared" ca="1" si="591"/>
        <v>0</v>
      </c>
      <c r="J779" s="358">
        <f t="shared" ca="1" si="591"/>
        <v>0</v>
      </c>
      <c r="K779" s="358">
        <f t="shared" ca="1" si="591"/>
        <v>0</v>
      </c>
      <c r="L779" s="358">
        <f t="shared" ca="1" si="591"/>
        <v>0</v>
      </c>
      <c r="M779" s="358">
        <f t="shared" ca="1" si="591"/>
        <v>0</v>
      </c>
      <c r="N779" s="358">
        <f t="shared" ca="1" si="591"/>
        <v>0</v>
      </c>
      <c r="O779" s="358">
        <f t="shared" ca="1" si="591"/>
        <v>0</v>
      </c>
      <c r="P779" s="358">
        <f t="shared" ca="1" si="591"/>
        <v>0</v>
      </c>
      <c r="Q779" s="358">
        <f t="shared" ca="1" si="591"/>
        <v>0</v>
      </c>
      <c r="R779" s="358">
        <f t="shared" ca="1" si="591"/>
        <v>0</v>
      </c>
      <c r="S779" s="358">
        <f t="shared" ca="1" si="591"/>
        <v>0</v>
      </c>
      <c r="T779" s="358">
        <f t="shared" ca="1" si="591"/>
        <v>0</v>
      </c>
      <c r="U779" s="358">
        <f t="shared" ca="1" si="591"/>
        <v>0</v>
      </c>
      <c r="V779" s="358">
        <f t="shared" ca="1" si="591"/>
        <v>0</v>
      </c>
      <c r="W779" s="358">
        <f t="shared" ca="1" si="591"/>
        <v>0</v>
      </c>
      <c r="X779" s="358">
        <f t="shared" ca="1" si="591"/>
        <v>0</v>
      </c>
      <c r="Y779" s="358">
        <f t="shared" ca="1" si="591"/>
        <v>0</v>
      </c>
      <c r="Z779" s="358">
        <f t="shared" ca="1" si="591"/>
        <v>0</v>
      </c>
      <c r="AA779" s="358">
        <f t="shared" ca="1" si="591"/>
        <v>0</v>
      </c>
      <c r="AB779" s="358">
        <f t="shared" ca="1" si="591"/>
        <v>0</v>
      </c>
      <c r="AC779" s="358">
        <f t="shared" ca="1" si="591"/>
        <v>0</v>
      </c>
      <c r="AD779" s="358">
        <f t="shared" ca="1" si="591"/>
        <v>0</v>
      </c>
      <c r="AE779" s="358">
        <f t="shared" ca="1" si="591"/>
        <v>0</v>
      </c>
      <c r="AF779" s="358">
        <f t="shared" ca="1" si="591"/>
        <v>0</v>
      </c>
      <c r="AG779" s="358">
        <f t="shared" ca="1" si="591"/>
        <v>0</v>
      </c>
      <c r="AH779" s="358">
        <f t="shared" ca="1" si="591"/>
        <v>0</v>
      </c>
      <c r="AI779" s="358">
        <f t="shared" ca="1" si="591"/>
        <v>0</v>
      </c>
      <c r="AJ779" s="358">
        <f t="shared" ca="1" si="591"/>
        <v>0</v>
      </c>
      <c r="AK779" s="358">
        <f t="shared" ca="1" si="591"/>
        <v>0</v>
      </c>
      <c r="AL779" s="358">
        <f t="shared" ca="1" si="591"/>
        <v>0</v>
      </c>
      <c r="AM779" s="358">
        <f t="shared" ca="1" si="591"/>
        <v>0</v>
      </c>
      <c r="AN779" s="358">
        <f t="shared" ca="1" si="591"/>
        <v>0</v>
      </c>
      <c r="AO779" s="358">
        <f t="shared" ca="1" si="591"/>
        <v>0</v>
      </c>
      <c r="AP779" s="358">
        <f t="shared" ca="1" si="591"/>
        <v>0</v>
      </c>
      <c r="AQ779" s="358">
        <f t="shared" ca="1" si="591"/>
        <v>0</v>
      </c>
      <c r="AR779" s="358">
        <f t="shared" ca="1" si="591"/>
        <v>0</v>
      </c>
      <c r="AS779" s="358">
        <f t="shared" ca="1" si="591"/>
        <v>0</v>
      </c>
      <c r="AT779" s="358">
        <f t="shared" ca="1" si="591"/>
        <v>0</v>
      </c>
      <c r="AU779" s="358"/>
      <c r="AV779" s="358">
        <f t="shared" ca="1" si="524"/>
        <v>0</v>
      </c>
      <c r="AX779" s="358">
        <f t="shared" ca="1" si="525"/>
        <v>0</v>
      </c>
      <c r="AZ779" s="358">
        <f t="shared" ca="1" si="526"/>
        <v>0</v>
      </c>
      <c r="BB779" s="358">
        <f t="shared" ca="1" si="527"/>
        <v>0</v>
      </c>
      <c r="BD779" s="358">
        <f t="shared" ca="1" si="528"/>
        <v>0</v>
      </c>
      <c r="BF779" s="358">
        <f t="shared" ca="1" si="529"/>
        <v>0</v>
      </c>
      <c r="BH779" s="358">
        <f t="shared" ca="1" si="530"/>
        <v>0</v>
      </c>
    </row>
    <row r="780" spans="1:60" hidden="1" outlineLevel="1">
      <c r="A780" s="1301">
        <f t="shared" si="586"/>
        <v>18</v>
      </c>
      <c r="B780" s="1301">
        <f t="shared" si="586"/>
        <v>37</v>
      </c>
      <c r="C780" s="1301">
        <f t="shared" si="568"/>
        <v>24</v>
      </c>
      <c r="D780" s="1271" t="str">
        <f ca="1">IF(OFFSET(PortfolioDashboard!$A$3,C780-1,0)="","Blank",OFFSET(PortfolioDashboard!$A$3,C780-1,0))</f>
        <v>Blank</v>
      </c>
      <c r="E780" s="1301" t="str">
        <f t="shared" si="569"/>
        <v>2010$</v>
      </c>
      <c r="F780" s="1460">
        <f t="shared" ca="1" si="522"/>
        <v>0</v>
      </c>
      <c r="G780" s="358">
        <f t="shared" ref="G780:AT780" ca="1" si="592">G183+G245+G307+G338+G556</f>
        <v>0</v>
      </c>
      <c r="H780" s="358">
        <f t="shared" ca="1" si="592"/>
        <v>0</v>
      </c>
      <c r="I780" s="358">
        <f t="shared" ca="1" si="592"/>
        <v>0</v>
      </c>
      <c r="J780" s="358">
        <f t="shared" ca="1" si="592"/>
        <v>0</v>
      </c>
      <c r="K780" s="358">
        <f t="shared" ca="1" si="592"/>
        <v>0</v>
      </c>
      <c r="L780" s="358">
        <f t="shared" ca="1" si="592"/>
        <v>0</v>
      </c>
      <c r="M780" s="358">
        <f t="shared" ca="1" si="592"/>
        <v>0</v>
      </c>
      <c r="N780" s="358">
        <f t="shared" ca="1" si="592"/>
        <v>0</v>
      </c>
      <c r="O780" s="358">
        <f t="shared" ca="1" si="592"/>
        <v>0</v>
      </c>
      <c r="P780" s="358">
        <f t="shared" ca="1" si="592"/>
        <v>0</v>
      </c>
      <c r="Q780" s="358">
        <f t="shared" ca="1" si="592"/>
        <v>0</v>
      </c>
      <c r="R780" s="358">
        <f t="shared" ca="1" si="592"/>
        <v>0</v>
      </c>
      <c r="S780" s="358">
        <f t="shared" ca="1" si="592"/>
        <v>0</v>
      </c>
      <c r="T780" s="358">
        <f t="shared" ca="1" si="592"/>
        <v>0</v>
      </c>
      <c r="U780" s="358">
        <f t="shared" ca="1" si="592"/>
        <v>0</v>
      </c>
      <c r="V780" s="358">
        <f t="shared" ca="1" si="592"/>
        <v>0</v>
      </c>
      <c r="W780" s="358">
        <f t="shared" ca="1" si="592"/>
        <v>0</v>
      </c>
      <c r="X780" s="358">
        <f t="shared" ca="1" si="592"/>
        <v>0</v>
      </c>
      <c r="Y780" s="358">
        <f t="shared" ca="1" si="592"/>
        <v>0</v>
      </c>
      <c r="Z780" s="358">
        <f t="shared" ca="1" si="592"/>
        <v>0</v>
      </c>
      <c r="AA780" s="358">
        <f t="shared" ca="1" si="592"/>
        <v>0</v>
      </c>
      <c r="AB780" s="358">
        <f t="shared" ca="1" si="592"/>
        <v>0</v>
      </c>
      <c r="AC780" s="358">
        <f t="shared" ca="1" si="592"/>
        <v>0</v>
      </c>
      <c r="AD780" s="358">
        <f t="shared" ca="1" si="592"/>
        <v>0</v>
      </c>
      <c r="AE780" s="358">
        <f t="shared" ca="1" si="592"/>
        <v>0</v>
      </c>
      <c r="AF780" s="358">
        <f t="shared" ca="1" si="592"/>
        <v>0</v>
      </c>
      <c r="AG780" s="358">
        <f t="shared" ca="1" si="592"/>
        <v>0</v>
      </c>
      <c r="AH780" s="358">
        <f t="shared" ca="1" si="592"/>
        <v>0</v>
      </c>
      <c r="AI780" s="358">
        <f t="shared" ca="1" si="592"/>
        <v>0</v>
      </c>
      <c r="AJ780" s="358">
        <f t="shared" ca="1" si="592"/>
        <v>0</v>
      </c>
      <c r="AK780" s="358">
        <f t="shared" ca="1" si="592"/>
        <v>0</v>
      </c>
      <c r="AL780" s="358">
        <f t="shared" ca="1" si="592"/>
        <v>0</v>
      </c>
      <c r="AM780" s="358">
        <f t="shared" ca="1" si="592"/>
        <v>0</v>
      </c>
      <c r="AN780" s="358">
        <f t="shared" ca="1" si="592"/>
        <v>0</v>
      </c>
      <c r="AO780" s="358">
        <f t="shared" ca="1" si="592"/>
        <v>0</v>
      </c>
      <c r="AP780" s="358">
        <f t="shared" ca="1" si="592"/>
        <v>0</v>
      </c>
      <c r="AQ780" s="358">
        <f t="shared" ca="1" si="592"/>
        <v>0</v>
      </c>
      <c r="AR780" s="358">
        <f t="shared" ca="1" si="592"/>
        <v>0</v>
      </c>
      <c r="AS780" s="358">
        <f t="shared" ca="1" si="592"/>
        <v>0</v>
      </c>
      <c r="AT780" s="358">
        <f t="shared" ca="1" si="592"/>
        <v>0</v>
      </c>
      <c r="AU780" s="358"/>
      <c r="AV780" s="358">
        <f t="shared" ca="1" si="524"/>
        <v>0</v>
      </c>
      <c r="AX780" s="358">
        <f t="shared" ca="1" si="525"/>
        <v>0</v>
      </c>
      <c r="AZ780" s="358">
        <f t="shared" ca="1" si="526"/>
        <v>0</v>
      </c>
      <c r="BB780" s="358">
        <f t="shared" ca="1" si="527"/>
        <v>0</v>
      </c>
      <c r="BD780" s="358">
        <f t="shared" ca="1" si="528"/>
        <v>0</v>
      </c>
      <c r="BF780" s="358">
        <f t="shared" ca="1" si="529"/>
        <v>0</v>
      </c>
      <c r="BH780" s="358">
        <f t="shared" ca="1" si="530"/>
        <v>0</v>
      </c>
    </row>
    <row r="781" spans="1:60" hidden="1" outlineLevel="1">
      <c r="A781" s="1301">
        <f t="shared" si="586"/>
        <v>18</v>
      </c>
      <c r="B781" s="1301">
        <f t="shared" si="586"/>
        <v>37</v>
      </c>
      <c r="C781" s="1301">
        <f t="shared" si="568"/>
        <v>25</v>
      </c>
      <c r="D781" s="1271" t="str">
        <f ca="1">IF(OFFSET(PortfolioDashboard!$A$3,C781-1,0)="","Blank",OFFSET(PortfolioDashboard!$A$3,C781-1,0))</f>
        <v>Blank</v>
      </c>
      <c r="E781" s="1301" t="str">
        <f t="shared" si="569"/>
        <v>2010$</v>
      </c>
      <c r="F781" s="1460">
        <f t="shared" ca="1" si="522"/>
        <v>0</v>
      </c>
      <c r="G781" s="358">
        <f t="shared" ref="G781:AT781" ca="1" si="593">G184+G246+G308+G339+G557</f>
        <v>0</v>
      </c>
      <c r="H781" s="358">
        <f t="shared" ca="1" si="593"/>
        <v>0</v>
      </c>
      <c r="I781" s="358">
        <f t="shared" ca="1" si="593"/>
        <v>0</v>
      </c>
      <c r="J781" s="358">
        <f t="shared" ca="1" si="593"/>
        <v>0</v>
      </c>
      <c r="K781" s="358">
        <f t="shared" ca="1" si="593"/>
        <v>0</v>
      </c>
      <c r="L781" s="358">
        <f t="shared" ca="1" si="593"/>
        <v>0</v>
      </c>
      <c r="M781" s="358">
        <f t="shared" ca="1" si="593"/>
        <v>0</v>
      </c>
      <c r="N781" s="358">
        <f t="shared" ca="1" si="593"/>
        <v>0</v>
      </c>
      <c r="O781" s="358">
        <f t="shared" ca="1" si="593"/>
        <v>0</v>
      </c>
      <c r="P781" s="358">
        <f t="shared" ca="1" si="593"/>
        <v>0</v>
      </c>
      <c r="Q781" s="358">
        <f t="shared" ca="1" si="593"/>
        <v>0</v>
      </c>
      <c r="R781" s="358">
        <f t="shared" ca="1" si="593"/>
        <v>0</v>
      </c>
      <c r="S781" s="358">
        <f t="shared" ca="1" si="593"/>
        <v>0</v>
      </c>
      <c r="T781" s="358">
        <f t="shared" ca="1" si="593"/>
        <v>0</v>
      </c>
      <c r="U781" s="358">
        <f t="shared" ca="1" si="593"/>
        <v>0</v>
      </c>
      <c r="V781" s="358">
        <f t="shared" ca="1" si="593"/>
        <v>0</v>
      </c>
      <c r="W781" s="358">
        <f t="shared" ca="1" si="593"/>
        <v>0</v>
      </c>
      <c r="X781" s="358">
        <f t="shared" ca="1" si="593"/>
        <v>0</v>
      </c>
      <c r="Y781" s="358">
        <f t="shared" ca="1" si="593"/>
        <v>0</v>
      </c>
      <c r="Z781" s="358">
        <f t="shared" ca="1" si="593"/>
        <v>0</v>
      </c>
      <c r="AA781" s="358">
        <f t="shared" ca="1" si="593"/>
        <v>0</v>
      </c>
      <c r="AB781" s="358">
        <f t="shared" ca="1" si="593"/>
        <v>0</v>
      </c>
      <c r="AC781" s="358">
        <f t="shared" ca="1" si="593"/>
        <v>0</v>
      </c>
      <c r="AD781" s="358">
        <f t="shared" ca="1" si="593"/>
        <v>0</v>
      </c>
      <c r="AE781" s="358">
        <f t="shared" ca="1" si="593"/>
        <v>0</v>
      </c>
      <c r="AF781" s="358">
        <f t="shared" ca="1" si="593"/>
        <v>0</v>
      </c>
      <c r="AG781" s="358">
        <f t="shared" ca="1" si="593"/>
        <v>0</v>
      </c>
      <c r="AH781" s="358">
        <f t="shared" ca="1" si="593"/>
        <v>0</v>
      </c>
      <c r="AI781" s="358">
        <f t="shared" ca="1" si="593"/>
        <v>0</v>
      </c>
      <c r="AJ781" s="358">
        <f t="shared" ca="1" si="593"/>
        <v>0</v>
      </c>
      <c r="AK781" s="358">
        <f t="shared" ca="1" si="593"/>
        <v>0</v>
      </c>
      <c r="AL781" s="358">
        <f t="shared" ca="1" si="593"/>
        <v>0</v>
      </c>
      <c r="AM781" s="358">
        <f t="shared" ca="1" si="593"/>
        <v>0</v>
      </c>
      <c r="AN781" s="358">
        <f t="shared" ca="1" si="593"/>
        <v>0</v>
      </c>
      <c r="AO781" s="358">
        <f t="shared" ca="1" si="593"/>
        <v>0</v>
      </c>
      <c r="AP781" s="358">
        <f t="shared" ca="1" si="593"/>
        <v>0</v>
      </c>
      <c r="AQ781" s="358">
        <f t="shared" ca="1" si="593"/>
        <v>0</v>
      </c>
      <c r="AR781" s="358">
        <f t="shared" ca="1" si="593"/>
        <v>0</v>
      </c>
      <c r="AS781" s="358">
        <f t="shared" ca="1" si="593"/>
        <v>0</v>
      </c>
      <c r="AT781" s="358">
        <f t="shared" ca="1" si="593"/>
        <v>0</v>
      </c>
      <c r="AU781" s="358"/>
      <c r="AV781" s="358">
        <f t="shared" ca="1" si="524"/>
        <v>0</v>
      </c>
      <c r="AX781" s="358">
        <f t="shared" ca="1" si="525"/>
        <v>0</v>
      </c>
      <c r="AZ781" s="358">
        <f t="shared" ca="1" si="526"/>
        <v>0</v>
      </c>
      <c r="BB781" s="358">
        <f t="shared" ca="1" si="527"/>
        <v>0</v>
      </c>
      <c r="BD781" s="358">
        <f t="shared" ca="1" si="528"/>
        <v>0</v>
      </c>
      <c r="BF781" s="358">
        <f t="shared" ca="1" si="529"/>
        <v>0</v>
      </c>
      <c r="BH781" s="358">
        <f t="shared" ca="1" si="530"/>
        <v>0</v>
      </c>
    </row>
    <row r="782" spans="1:60" hidden="1" outlineLevel="1">
      <c r="A782" s="1301">
        <f t="shared" si="586"/>
        <v>18</v>
      </c>
      <c r="B782" s="1301">
        <f t="shared" si="586"/>
        <v>37</v>
      </c>
      <c r="C782" s="1301">
        <f t="shared" si="568"/>
        <v>26</v>
      </c>
      <c r="D782" s="1271" t="str">
        <f ca="1">IF(OFFSET(PortfolioDashboard!$A$3,C782-1,0)="","Blank",OFFSET(PortfolioDashboard!$A$3,C782-1,0))</f>
        <v>Blank</v>
      </c>
      <c r="E782" s="1301" t="str">
        <f t="shared" si="569"/>
        <v>2010$</v>
      </c>
      <c r="F782" s="1460">
        <f t="shared" ca="1" si="522"/>
        <v>0</v>
      </c>
      <c r="G782" s="358">
        <f t="shared" ref="G782:AT782" ca="1" si="594">G185+G247+G309+G340+G558</f>
        <v>0</v>
      </c>
      <c r="H782" s="358">
        <f t="shared" ca="1" si="594"/>
        <v>0</v>
      </c>
      <c r="I782" s="358">
        <f t="shared" ca="1" si="594"/>
        <v>0</v>
      </c>
      <c r="J782" s="358">
        <f t="shared" ca="1" si="594"/>
        <v>0</v>
      </c>
      <c r="K782" s="358">
        <f t="shared" ca="1" si="594"/>
        <v>0</v>
      </c>
      <c r="L782" s="358">
        <f t="shared" ca="1" si="594"/>
        <v>0</v>
      </c>
      <c r="M782" s="358">
        <f t="shared" ca="1" si="594"/>
        <v>0</v>
      </c>
      <c r="N782" s="358">
        <f t="shared" ca="1" si="594"/>
        <v>0</v>
      </c>
      <c r="O782" s="358">
        <f t="shared" ca="1" si="594"/>
        <v>0</v>
      </c>
      <c r="P782" s="358">
        <f t="shared" ca="1" si="594"/>
        <v>0</v>
      </c>
      <c r="Q782" s="358">
        <f t="shared" ca="1" si="594"/>
        <v>0</v>
      </c>
      <c r="R782" s="358">
        <f t="shared" ca="1" si="594"/>
        <v>0</v>
      </c>
      <c r="S782" s="358">
        <f t="shared" ca="1" si="594"/>
        <v>0</v>
      </c>
      <c r="T782" s="358">
        <f t="shared" ca="1" si="594"/>
        <v>0</v>
      </c>
      <c r="U782" s="358">
        <f t="shared" ca="1" si="594"/>
        <v>0</v>
      </c>
      <c r="V782" s="358">
        <f t="shared" ca="1" si="594"/>
        <v>0</v>
      </c>
      <c r="W782" s="358">
        <f t="shared" ca="1" si="594"/>
        <v>0</v>
      </c>
      <c r="X782" s="358">
        <f t="shared" ca="1" si="594"/>
        <v>0</v>
      </c>
      <c r="Y782" s="358">
        <f t="shared" ca="1" si="594"/>
        <v>0</v>
      </c>
      <c r="Z782" s="358">
        <f t="shared" ca="1" si="594"/>
        <v>0</v>
      </c>
      <c r="AA782" s="358">
        <f t="shared" ca="1" si="594"/>
        <v>0</v>
      </c>
      <c r="AB782" s="358">
        <f t="shared" ca="1" si="594"/>
        <v>0</v>
      </c>
      <c r="AC782" s="358">
        <f t="shared" ca="1" si="594"/>
        <v>0</v>
      </c>
      <c r="AD782" s="358">
        <f t="shared" ca="1" si="594"/>
        <v>0</v>
      </c>
      <c r="AE782" s="358">
        <f t="shared" ca="1" si="594"/>
        <v>0</v>
      </c>
      <c r="AF782" s="358">
        <f t="shared" ca="1" si="594"/>
        <v>0</v>
      </c>
      <c r="AG782" s="358">
        <f t="shared" ca="1" si="594"/>
        <v>0</v>
      </c>
      <c r="AH782" s="358">
        <f t="shared" ca="1" si="594"/>
        <v>0</v>
      </c>
      <c r="AI782" s="358">
        <f t="shared" ca="1" si="594"/>
        <v>0</v>
      </c>
      <c r="AJ782" s="358">
        <f t="shared" ca="1" si="594"/>
        <v>0</v>
      </c>
      <c r="AK782" s="358">
        <f t="shared" ca="1" si="594"/>
        <v>0</v>
      </c>
      <c r="AL782" s="358">
        <f t="shared" ca="1" si="594"/>
        <v>0</v>
      </c>
      <c r="AM782" s="358">
        <f t="shared" ca="1" si="594"/>
        <v>0</v>
      </c>
      <c r="AN782" s="358">
        <f t="shared" ca="1" si="594"/>
        <v>0</v>
      </c>
      <c r="AO782" s="358">
        <f t="shared" ca="1" si="594"/>
        <v>0</v>
      </c>
      <c r="AP782" s="358">
        <f t="shared" ca="1" si="594"/>
        <v>0</v>
      </c>
      <c r="AQ782" s="358">
        <f t="shared" ca="1" si="594"/>
        <v>0</v>
      </c>
      <c r="AR782" s="358">
        <f t="shared" ca="1" si="594"/>
        <v>0</v>
      </c>
      <c r="AS782" s="358">
        <f t="shared" ca="1" si="594"/>
        <v>0</v>
      </c>
      <c r="AT782" s="358">
        <f t="shared" ca="1" si="594"/>
        <v>0</v>
      </c>
      <c r="AU782" s="358"/>
      <c r="AV782" s="358">
        <f t="shared" ca="1" si="524"/>
        <v>0</v>
      </c>
      <c r="AX782" s="358">
        <f t="shared" ca="1" si="525"/>
        <v>0</v>
      </c>
      <c r="AZ782" s="358">
        <f t="shared" ca="1" si="526"/>
        <v>0</v>
      </c>
      <c r="BB782" s="358">
        <f t="shared" ca="1" si="527"/>
        <v>0</v>
      </c>
      <c r="BD782" s="358">
        <f t="shared" ca="1" si="528"/>
        <v>0</v>
      </c>
      <c r="BF782" s="358">
        <f t="shared" ca="1" si="529"/>
        <v>0</v>
      </c>
      <c r="BH782" s="358">
        <f t="shared" ca="1" si="530"/>
        <v>0</v>
      </c>
    </row>
    <row r="783" spans="1:60" hidden="1" outlineLevel="1">
      <c r="A783" s="1301">
        <f t="shared" si="586"/>
        <v>18</v>
      </c>
      <c r="B783" s="1301">
        <f t="shared" si="586"/>
        <v>37</v>
      </c>
      <c r="C783" s="1301">
        <f t="shared" si="568"/>
        <v>27</v>
      </c>
      <c r="D783" s="1271" t="str">
        <f ca="1">IF(OFFSET(PortfolioDashboard!$A$3,C783-1,0)="","Blank",OFFSET(PortfolioDashboard!$A$3,C783-1,0))</f>
        <v>Blank</v>
      </c>
      <c r="E783" s="1301" t="str">
        <f t="shared" si="569"/>
        <v>2010$</v>
      </c>
      <c r="F783" s="1460">
        <f t="shared" ca="1" si="522"/>
        <v>0</v>
      </c>
      <c r="G783" s="358">
        <f t="shared" ref="G783:AT783" ca="1" si="595">G186+G248+G310+G341+G559</f>
        <v>0</v>
      </c>
      <c r="H783" s="358">
        <f t="shared" ca="1" si="595"/>
        <v>0</v>
      </c>
      <c r="I783" s="358">
        <f t="shared" ca="1" si="595"/>
        <v>0</v>
      </c>
      <c r="J783" s="358">
        <f t="shared" ca="1" si="595"/>
        <v>0</v>
      </c>
      <c r="K783" s="358">
        <f t="shared" ca="1" si="595"/>
        <v>0</v>
      </c>
      <c r="L783" s="358">
        <f t="shared" ca="1" si="595"/>
        <v>0</v>
      </c>
      <c r="M783" s="358">
        <f t="shared" ca="1" si="595"/>
        <v>0</v>
      </c>
      <c r="N783" s="358">
        <f t="shared" ca="1" si="595"/>
        <v>0</v>
      </c>
      <c r="O783" s="358">
        <f t="shared" ca="1" si="595"/>
        <v>0</v>
      </c>
      <c r="P783" s="358">
        <f t="shared" ca="1" si="595"/>
        <v>0</v>
      </c>
      <c r="Q783" s="358">
        <f t="shared" ca="1" si="595"/>
        <v>0</v>
      </c>
      <c r="R783" s="358">
        <f t="shared" ca="1" si="595"/>
        <v>0</v>
      </c>
      <c r="S783" s="358">
        <f t="shared" ca="1" si="595"/>
        <v>0</v>
      </c>
      <c r="T783" s="358">
        <f t="shared" ca="1" si="595"/>
        <v>0</v>
      </c>
      <c r="U783" s="358">
        <f t="shared" ca="1" si="595"/>
        <v>0</v>
      </c>
      <c r="V783" s="358">
        <f t="shared" ca="1" si="595"/>
        <v>0</v>
      </c>
      <c r="W783" s="358">
        <f t="shared" ca="1" si="595"/>
        <v>0</v>
      </c>
      <c r="X783" s="358">
        <f t="shared" ca="1" si="595"/>
        <v>0</v>
      </c>
      <c r="Y783" s="358">
        <f t="shared" ca="1" si="595"/>
        <v>0</v>
      </c>
      <c r="Z783" s="358">
        <f t="shared" ca="1" si="595"/>
        <v>0</v>
      </c>
      <c r="AA783" s="358">
        <f t="shared" ca="1" si="595"/>
        <v>0</v>
      </c>
      <c r="AB783" s="358">
        <f t="shared" ca="1" si="595"/>
        <v>0</v>
      </c>
      <c r="AC783" s="358">
        <f t="shared" ca="1" si="595"/>
        <v>0</v>
      </c>
      <c r="AD783" s="358">
        <f t="shared" ca="1" si="595"/>
        <v>0</v>
      </c>
      <c r="AE783" s="358">
        <f t="shared" ca="1" si="595"/>
        <v>0</v>
      </c>
      <c r="AF783" s="358">
        <f t="shared" ca="1" si="595"/>
        <v>0</v>
      </c>
      <c r="AG783" s="358">
        <f t="shared" ca="1" si="595"/>
        <v>0</v>
      </c>
      <c r="AH783" s="358">
        <f t="shared" ca="1" si="595"/>
        <v>0</v>
      </c>
      <c r="AI783" s="358">
        <f t="shared" ca="1" si="595"/>
        <v>0</v>
      </c>
      <c r="AJ783" s="358">
        <f t="shared" ca="1" si="595"/>
        <v>0</v>
      </c>
      <c r="AK783" s="358">
        <f t="shared" ca="1" si="595"/>
        <v>0</v>
      </c>
      <c r="AL783" s="358">
        <f t="shared" ca="1" si="595"/>
        <v>0</v>
      </c>
      <c r="AM783" s="358">
        <f t="shared" ca="1" si="595"/>
        <v>0</v>
      </c>
      <c r="AN783" s="358">
        <f t="shared" ca="1" si="595"/>
        <v>0</v>
      </c>
      <c r="AO783" s="358">
        <f t="shared" ca="1" si="595"/>
        <v>0</v>
      </c>
      <c r="AP783" s="358">
        <f t="shared" ca="1" si="595"/>
        <v>0</v>
      </c>
      <c r="AQ783" s="358">
        <f t="shared" ca="1" si="595"/>
        <v>0</v>
      </c>
      <c r="AR783" s="358">
        <f t="shared" ca="1" si="595"/>
        <v>0</v>
      </c>
      <c r="AS783" s="358">
        <f t="shared" ca="1" si="595"/>
        <v>0</v>
      </c>
      <c r="AT783" s="358">
        <f t="shared" ca="1" si="595"/>
        <v>0</v>
      </c>
      <c r="AU783" s="358"/>
      <c r="AV783" s="358">
        <f t="shared" ca="1" si="524"/>
        <v>0</v>
      </c>
      <c r="AX783" s="358">
        <f t="shared" ca="1" si="525"/>
        <v>0</v>
      </c>
      <c r="AZ783" s="358">
        <f t="shared" ca="1" si="526"/>
        <v>0</v>
      </c>
      <c r="BB783" s="358">
        <f t="shared" ca="1" si="527"/>
        <v>0</v>
      </c>
      <c r="BD783" s="358">
        <f t="shared" ca="1" si="528"/>
        <v>0</v>
      </c>
      <c r="BF783" s="358">
        <f t="shared" ca="1" si="529"/>
        <v>0</v>
      </c>
      <c r="BH783" s="358">
        <f t="shared" ca="1" si="530"/>
        <v>0</v>
      </c>
    </row>
    <row r="784" spans="1:60" hidden="1" outlineLevel="1">
      <c r="A784" s="1301">
        <f t="shared" si="586"/>
        <v>18</v>
      </c>
      <c r="B784" s="1301">
        <f t="shared" si="586"/>
        <v>37</v>
      </c>
      <c r="C784" s="1301">
        <f t="shared" si="568"/>
        <v>28</v>
      </c>
      <c r="D784" s="1271" t="str">
        <f ca="1">IF(OFFSET(PortfolioDashboard!$A$3,C784-1,0)="","Blank",OFFSET(PortfolioDashboard!$A$3,C784-1,0))</f>
        <v>Blank</v>
      </c>
      <c r="E784" s="1301" t="str">
        <f t="shared" si="569"/>
        <v>2010$</v>
      </c>
      <c r="F784" s="1460">
        <f t="shared" ca="1" si="522"/>
        <v>0</v>
      </c>
      <c r="G784" s="358">
        <f t="shared" ref="G784:AT784" ca="1" si="596">G187+G249+G311+G342+G560</f>
        <v>0</v>
      </c>
      <c r="H784" s="358">
        <f t="shared" ca="1" si="596"/>
        <v>0</v>
      </c>
      <c r="I784" s="358">
        <f t="shared" ca="1" si="596"/>
        <v>0</v>
      </c>
      <c r="J784" s="358">
        <f t="shared" ca="1" si="596"/>
        <v>0</v>
      </c>
      <c r="K784" s="358">
        <f t="shared" ca="1" si="596"/>
        <v>0</v>
      </c>
      <c r="L784" s="358">
        <f t="shared" ca="1" si="596"/>
        <v>0</v>
      </c>
      <c r="M784" s="358">
        <f t="shared" ca="1" si="596"/>
        <v>0</v>
      </c>
      <c r="N784" s="358">
        <f t="shared" ca="1" si="596"/>
        <v>0</v>
      </c>
      <c r="O784" s="358">
        <f t="shared" ca="1" si="596"/>
        <v>0</v>
      </c>
      <c r="P784" s="358">
        <f t="shared" ca="1" si="596"/>
        <v>0</v>
      </c>
      <c r="Q784" s="358">
        <f t="shared" ca="1" si="596"/>
        <v>0</v>
      </c>
      <c r="R784" s="358">
        <f t="shared" ca="1" si="596"/>
        <v>0</v>
      </c>
      <c r="S784" s="358">
        <f t="shared" ca="1" si="596"/>
        <v>0</v>
      </c>
      <c r="T784" s="358">
        <f t="shared" ca="1" si="596"/>
        <v>0</v>
      </c>
      <c r="U784" s="358">
        <f t="shared" ca="1" si="596"/>
        <v>0</v>
      </c>
      <c r="V784" s="358">
        <f t="shared" ca="1" si="596"/>
        <v>0</v>
      </c>
      <c r="W784" s="358">
        <f t="shared" ca="1" si="596"/>
        <v>0</v>
      </c>
      <c r="X784" s="358">
        <f t="shared" ca="1" si="596"/>
        <v>0</v>
      </c>
      <c r="Y784" s="358">
        <f t="shared" ca="1" si="596"/>
        <v>0</v>
      </c>
      <c r="Z784" s="358">
        <f t="shared" ca="1" si="596"/>
        <v>0</v>
      </c>
      <c r="AA784" s="358">
        <f t="shared" ca="1" si="596"/>
        <v>0</v>
      </c>
      <c r="AB784" s="358">
        <f t="shared" ca="1" si="596"/>
        <v>0</v>
      </c>
      <c r="AC784" s="358">
        <f t="shared" ca="1" si="596"/>
        <v>0</v>
      </c>
      <c r="AD784" s="358">
        <f t="shared" ca="1" si="596"/>
        <v>0</v>
      </c>
      <c r="AE784" s="358">
        <f t="shared" ca="1" si="596"/>
        <v>0</v>
      </c>
      <c r="AF784" s="358">
        <f t="shared" ca="1" si="596"/>
        <v>0</v>
      </c>
      <c r="AG784" s="358">
        <f t="shared" ca="1" si="596"/>
        <v>0</v>
      </c>
      <c r="AH784" s="358">
        <f t="shared" ca="1" si="596"/>
        <v>0</v>
      </c>
      <c r="AI784" s="358">
        <f t="shared" ca="1" si="596"/>
        <v>0</v>
      </c>
      <c r="AJ784" s="358">
        <f t="shared" ca="1" si="596"/>
        <v>0</v>
      </c>
      <c r="AK784" s="358">
        <f t="shared" ca="1" si="596"/>
        <v>0</v>
      </c>
      <c r="AL784" s="358">
        <f t="shared" ca="1" si="596"/>
        <v>0</v>
      </c>
      <c r="AM784" s="358">
        <f t="shared" ca="1" si="596"/>
        <v>0</v>
      </c>
      <c r="AN784" s="358">
        <f t="shared" ca="1" si="596"/>
        <v>0</v>
      </c>
      <c r="AO784" s="358">
        <f t="shared" ca="1" si="596"/>
        <v>0</v>
      </c>
      <c r="AP784" s="358">
        <f t="shared" ca="1" si="596"/>
        <v>0</v>
      </c>
      <c r="AQ784" s="358">
        <f t="shared" ca="1" si="596"/>
        <v>0</v>
      </c>
      <c r="AR784" s="358">
        <f t="shared" ca="1" si="596"/>
        <v>0</v>
      </c>
      <c r="AS784" s="358">
        <f t="shared" ca="1" si="596"/>
        <v>0</v>
      </c>
      <c r="AT784" s="358">
        <f t="shared" ca="1" si="596"/>
        <v>0</v>
      </c>
      <c r="AU784" s="358"/>
      <c r="AV784" s="358">
        <f t="shared" ca="1" si="524"/>
        <v>0</v>
      </c>
      <c r="AX784" s="358">
        <f t="shared" ca="1" si="525"/>
        <v>0</v>
      </c>
      <c r="AZ784" s="358">
        <f t="shared" ca="1" si="526"/>
        <v>0</v>
      </c>
      <c r="BB784" s="358">
        <f t="shared" ca="1" si="527"/>
        <v>0</v>
      </c>
      <c r="BD784" s="358">
        <f t="shared" ca="1" si="528"/>
        <v>0</v>
      </c>
      <c r="BF784" s="358">
        <f t="shared" ca="1" si="529"/>
        <v>0</v>
      </c>
      <c r="BH784" s="358">
        <f t="shared" ca="1" si="530"/>
        <v>0</v>
      </c>
    </row>
    <row r="785" spans="1:60" hidden="1" outlineLevel="1">
      <c r="A785" s="1301">
        <f t="shared" si="586"/>
        <v>18</v>
      </c>
      <c r="B785" s="1301">
        <f t="shared" si="586"/>
        <v>37</v>
      </c>
      <c r="C785" s="1301">
        <f t="shared" si="568"/>
        <v>29</v>
      </c>
      <c r="D785" s="1271" t="str">
        <f>D716</f>
        <v>Sustainability Driven-Master Plan</v>
      </c>
      <c r="E785" s="1301" t="str">
        <f t="shared" si="569"/>
        <v>2010$</v>
      </c>
      <c r="F785" s="1460">
        <f t="shared" ca="1" si="522"/>
        <v>-537861.87088412675</v>
      </c>
      <c r="G785" s="358">
        <f t="shared" ref="G785:AT785" ca="1" si="597">G592</f>
        <v>0</v>
      </c>
      <c r="H785" s="358">
        <f t="shared" ca="1" si="597"/>
        <v>-600000</v>
      </c>
      <c r="I785" s="358">
        <f t="shared" ca="1" si="597"/>
        <v>0</v>
      </c>
      <c r="J785" s="358">
        <f t="shared" ca="1" si="597"/>
        <v>0</v>
      </c>
      <c r="K785" s="358">
        <f t="shared" ca="1" si="597"/>
        <v>0</v>
      </c>
      <c r="L785" s="358">
        <f t="shared" ca="1" si="597"/>
        <v>0</v>
      </c>
      <c r="M785" s="358">
        <f t="shared" ca="1" si="597"/>
        <v>0</v>
      </c>
      <c r="N785" s="358">
        <f t="shared" ca="1" si="597"/>
        <v>0</v>
      </c>
      <c r="O785" s="358">
        <f t="shared" ca="1" si="597"/>
        <v>0</v>
      </c>
      <c r="P785" s="358">
        <f t="shared" ca="1" si="597"/>
        <v>0</v>
      </c>
      <c r="Q785" s="358">
        <f t="shared" ca="1" si="597"/>
        <v>0</v>
      </c>
      <c r="R785" s="358">
        <f t="shared" ca="1" si="597"/>
        <v>0</v>
      </c>
      <c r="S785" s="358">
        <f t="shared" ca="1" si="597"/>
        <v>0</v>
      </c>
      <c r="T785" s="358">
        <f t="shared" ca="1" si="597"/>
        <v>0</v>
      </c>
      <c r="U785" s="358">
        <f t="shared" ca="1" si="597"/>
        <v>0</v>
      </c>
      <c r="V785" s="358">
        <f t="shared" ca="1" si="597"/>
        <v>0</v>
      </c>
      <c r="W785" s="358">
        <f t="shared" ca="1" si="597"/>
        <v>0</v>
      </c>
      <c r="X785" s="358">
        <f t="shared" ca="1" si="597"/>
        <v>0</v>
      </c>
      <c r="Y785" s="358">
        <f t="shared" ca="1" si="597"/>
        <v>0</v>
      </c>
      <c r="Z785" s="358">
        <f t="shared" ca="1" si="597"/>
        <v>0</v>
      </c>
      <c r="AA785" s="358">
        <f t="shared" ca="1" si="597"/>
        <v>0</v>
      </c>
      <c r="AB785" s="358">
        <f t="shared" ca="1" si="597"/>
        <v>0</v>
      </c>
      <c r="AC785" s="358">
        <f t="shared" ca="1" si="597"/>
        <v>0</v>
      </c>
      <c r="AD785" s="358">
        <f t="shared" ca="1" si="597"/>
        <v>0</v>
      </c>
      <c r="AE785" s="358">
        <f t="shared" ca="1" si="597"/>
        <v>0</v>
      </c>
      <c r="AF785" s="358">
        <f t="shared" ca="1" si="597"/>
        <v>0</v>
      </c>
      <c r="AG785" s="358">
        <f t="shared" ca="1" si="597"/>
        <v>0</v>
      </c>
      <c r="AH785" s="358">
        <f t="shared" ca="1" si="597"/>
        <v>0</v>
      </c>
      <c r="AI785" s="358">
        <f t="shared" ca="1" si="597"/>
        <v>0</v>
      </c>
      <c r="AJ785" s="358">
        <f t="shared" ca="1" si="597"/>
        <v>0</v>
      </c>
      <c r="AK785" s="358">
        <f t="shared" ca="1" si="597"/>
        <v>0</v>
      </c>
      <c r="AL785" s="358">
        <f t="shared" ca="1" si="597"/>
        <v>0</v>
      </c>
      <c r="AM785" s="358">
        <f t="shared" ca="1" si="597"/>
        <v>0</v>
      </c>
      <c r="AN785" s="358">
        <f t="shared" ca="1" si="597"/>
        <v>0</v>
      </c>
      <c r="AO785" s="358">
        <f t="shared" ca="1" si="597"/>
        <v>0</v>
      </c>
      <c r="AP785" s="358">
        <f t="shared" ca="1" si="597"/>
        <v>0</v>
      </c>
      <c r="AQ785" s="358">
        <f t="shared" ca="1" si="597"/>
        <v>0</v>
      </c>
      <c r="AR785" s="358">
        <f t="shared" ca="1" si="597"/>
        <v>0</v>
      </c>
      <c r="AS785" s="358">
        <f t="shared" ca="1" si="597"/>
        <v>0</v>
      </c>
      <c r="AT785" s="358">
        <f t="shared" ca="1" si="597"/>
        <v>0</v>
      </c>
      <c r="AU785" s="358"/>
      <c r="AV785" s="358">
        <f t="shared" ca="1" si="524"/>
        <v>0</v>
      </c>
      <c r="AX785" s="358">
        <f t="shared" ca="1" si="525"/>
        <v>0</v>
      </c>
      <c r="AZ785" s="358">
        <f t="shared" ca="1" si="526"/>
        <v>0</v>
      </c>
      <c r="BB785" s="358">
        <f t="shared" ca="1" si="527"/>
        <v>0</v>
      </c>
      <c r="BD785" s="358">
        <f t="shared" ca="1" si="528"/>
        <v>0</v>
      </c>
      <c r="BF785" s="358">
        <f t="shared" ca="1" si="529"/>
        <v>0</v>
      </c>
      <c r="BH785" s="358">
        <f t="shared" ca="1" si="530"/>
        <v>0</v>
      </c>
    </row>
    <row r="786" spans="1:60" hidden="1" outlineLevel="1">
      <c r="A786" s="1301">
        <f t="shared" si="586"/>
        <v>18</v>
      </c>
      <c r="B786" s="1301">
        <f t="shared" si="586"/>
        <v>37</v>
      </c>
      <c r="C786" s="1301">
        <f t="shared" si="568"/>
        <v>30</v>
      </c>
      <c r="D786" s="1271" t="str">
        <f>D717</f>
        <v>Research and Curriculum</v>
      </c>
      <c r="E786" s="1301" t="str">
        <f t="shared" si="569"/>
        <v>2010$</v>
      </c>
      <c r="F786" s="1460">
        <f t="shared" ca="1" si="522"/>
        <v>-4867919.572699625</v>
      </c>
      <c r="G786" s="358">
        <f t="shared" ref="G786:AT786" ca="1" si="598">G593</f>
        <v>-200000</v>
      </c>
      <c r="H786" s="358">
        <f t="shared" ca="1" si="598"/>
        <v>-315000</v>
      </c>
      <c r="I786" s="358">
        <f t="shared" ca="1" si="598"/>
        <v>-315000</v>
      </c>
      <c r="J786" s="358">
        <f t="shared" ca="1" si="598"/>
        <v>-315000</v>
      </c>
      <c r="K786" s="358">
        <f t="shared" ca="1" si="598"/>
        <v>-315000</v>
      </c>
      <c r="L786" s="358">
        <f t="shared" ca="1" si="598"/>
        <v>-315000</v>
      </c>
      <c r="M786" s="358">
        <f t="shared" ca="1" si="598"/>
        <v>-315000</v>
      </c>
      <c r="N786" s="358">
        <f t="shared" ca="1" si="598"/>
        <v>-315000</v>
      </c>
      <c r="O786" s="358">
        <f t="shared" ca="1" si="598"/>
        <v>-315000</v>
      </c>
      <c r="P786" s="358">
        <f t="shared" ca="1" si="598"/>
        <v>-315000</v>
      </c>
      <c r="Q786" s="358">
        <f t="shared" ca="1" si="598"/>
        <v>-315000</v>
      </c>
      <c r="R786" s="358">
        <f t="shared" ca="1" si="598"/>
        <v>-315000</v>
      </c>
      <c r="S786" s="358">
        <f t="shared" ca="1" si="598"/>
        <v>-315000</v>
      </c>
      <c r="T786" s="358">
        <f t="shared" ca="1" si="598"/>
        <v>-315000</v>
      </c>
      <c r="U786" s="358">
        <f t="shared" ca="1" si="598"/>
        <v>-315000</v>
      </c>
      <c r="V786" s="358">
        <f t="shared" ca="1" si="598"/>
        <v>-315000</v>
      </c>
      <c r="W786" s="358">
        <f t="shared" ca="1" si="598"/>
        <v>-315000</v>
      </c>
      <c r="X786" s="358">
        <f t="shared" ca="1" si="598"/>
        <v>-315000</v>
      </c>
      <c r="Y786" s="358">
        <f t="shared" ca="1" si="598"/>
        <v>-315000</v>
      </c>
      <c r="Z786" s="358">
        <f t="shared" ca="1" si="598"/>
        <v>-315000</v>
      </c>
      <c r="AA786" s="358">
        <f t="shared" ca="1" si="598"/>
        <v>-315000</v>
      </c>
      <c r="AB786" s="358">
        <f t="shared" ca="1" si="598"/>
        <v>-315000</v>
      </c>
      <c r="AC786" s="358">
        <f t="shared" ca="1" si="598"/>
        <v>-315000</v>
      </c>
      <c r="AD786" s="358">
        <f t="shared" ca="1" si="598"/>
        <v>-315000</v>
      </c>
      <c r="AE786" s="358">
        <f t="shared" ca="1" si="598"/>
        <v>-315000</v>
      </c>
      <c r="AF786" s="358">
        <f t="shared" ca="1" si="598"/>
        <v>-315000</v>
      </c>
      <c r="AG786" s="358">
        <f t="shared" ca="1" si="598"/>
        <v>-315000</v>
      </c>
      <c r="AH786" s="358">
        <f t="shared" ca="1" si="598"/>
        <v>-315000</v>
      </c>
      <c r="AI786" s="358">
        <f t="shared" ca="1" si="598"/>
        <v>-315000</v>
      </c>
      <c r="AJ786" s="358">
        <f t="shared" ca="1" si="598"/>
        <v>-315000</v>
      </c>
      <c r="AK786" s="358">
        <f t="shared" ca="1" si="598"/>
        <v>-315000</v>
      </c>
      <c r="AL786" s="358">
        <f t="shared" ca="1" si="598"/>
        <v>-315000</v>
      </c>
      <c r="AM786" s="358">
        <f t="shared" ca="1" si="598"/>
        <v>-315000</v>
      </c>
      <c r="AN786" s="358">
        <f t="shared" ca="1" si="598"/>
        <v>-315000</v>
      </c>
      <c r="AO786" s="358">
        <f t="shared" ca="1" si="598"/>
        <v>-315000</v>
      </c>
      <c r="AP786" s="358">
        <f t="shared" ca="1" si="598"/>
        <v>-315000</v>
      </c>
      <c r="AQ786" s="358">
        <f t="shared" ca="1" si="598"/>
        <v>-315000</v>
      </c>
      <c r="AR786" s="358">
        <f t="shared" ca="1" si="598"/>
        <v>-315000</v>
      </c>
      <c r="AS786" s="358">
        <f t="shared" ca="1" si="598"/>
        <v>-315000</v>
      </c>
      <c r="AT786" s="358">
        <f t="shared" ca="1" si="598"/>
        <v>-315000</v>
      </c>
      <c r="AU786" s="358"/>
      <c r="AV786" s="358">
        <f t="shared" ca="1" si="524"/>
        <v>-1575000</v>
      </c>
      <c r="AX786" s="358">
        <f t="shared" ca="1" si="525"/>
        <v>-1575000</v>
      </c>
      <c r="AZ786" s="358">
        <f t="shared" ca="1" si="526"/>
        <v>-1575000</v>
      </c>
      <c r="BB786" s="358">
        <f t="shared" ca="1" si="527"/>
        <v>-1575000</v>
      </c>
      <c r="BD786" s="358">
        <f t="shared" ca="1" si="528"/>
        <v>-1575000</v>
      </c>
      <c r="BF786" s="358">
        <f t="shared" ca="1" si="529"/>
        <v>-1575000</v>
      </c>
      <c r="BH786" s="358">
        <f t="shared" ca="1" si="530"/>
        <v>-1575000</v>
      </c>
    </row>
    <row r="787" spans="1:60" collapsed="1">
      <c r="A787" s="1301"/>
      <c r="B787" s="1301"/>
      <c r="C787" s="1301"/>
      <c r="D787" s="1272" t="s">
        <v>2937</v>
      </c>
      <c r="E787" s="1270" t="str">
        <f>E757</f>
        <v>2010$</v>
      </c>
      <c r="F787" s="1461">
        <f t="shared" ca="1" si="522"/>
        <v>-25034088.159616821</v>
      </c>
      <c r="G787" s="1277">
        <f t="shared" ref="G787:AT787" ca="1" si="599">SUM(G757:G786)</f>
        <v>-200000</v>
      </c>
      <c r="H787" s="1277">
        <f t="shared" ca="1" si="599"/>
        <v>-1336024</v>
      </c>
      <c r="I787" s="1277">
        <f t="shared" ca="1" si="599"/>
        <v>-697736.08240758628</v>
      </c>
      <c r="J787" s="1277">
        <f t="shared" ca="1" si="599"/>
        <v>-766930.72457702376</v>
      </c>
      <c r="K787" s="1277">
        <f t="shared" ca="1" si="599"/>
        <v>-977136.99200398359</v>
      </c>
      <c r="L787" s="1277">
        <f t="shared" ca="1" si="599"/>
        <v>-1343817.2182219066</v>
      </c>
      <c r="M787" s="1277">
        <f t="shared" ca="1" si="599"/>
        <v>-2013131.0220458645</v>
      </c>
      <c r="N787" s="1277">
        <f t="shared" ca="1" si="599"/>
        <v>-2021035.2836775053</v>
      </c>
      <c r="O787" s="1277">
        <f t="shared" ca="1" si="599"/>
        <v>-2117281.9499765839</v>
      </c>
      <c r="P787" s="1277">
        <f t="shared" ca="1" si="599"/>
        <v>-2125275.1274655825</v>
      </c>
      <c r="Q787" s="1277">
        <f t="shared" ca="1" si="599"/>
        <v>-2133313.2258155486</v>
      </c>
      <c r="R787" s="1277">
        <f t="shared" ca="1" si="599"/>
        <v>-2141396.5562806572</v>
      </c>
      <c r="S787" s="1277">
        <f t="shared" ca="1" si="599"/>
        <v>-2147050.4321045978</v>
      </c>
      <c r="T787" s="1277">
        <f t="shared" ca="1" si="599"/>
        <v>-2152750.1685327012</v>
      </c>
      <c r="U787" s="1277">
        <f t="shared" ca="1" si="599"/>
        <v>-2158496.0828241096</v>
      </c>
      <c r="V787" s="1277">
        <f t="shared" ca="1" si="599"/>
        <v>-2164288.4942640476</v>
      </c>
      <c r="W787" s="1277">
        <f t="shared" ca="1" si="599"/>
        <v>-2170127.7241761414</v>
      </c>
      <c r="X787" s="1277">
        <f t="shared" ca="1" si="599"/>
        <v>-2176014.0959348278</v>
      </c>
      <c r="Y787" s="1277">
        <f t="shared" ca="1" si="599"/>
        <v>-2181947.9349778257</v>
      </c>
      <c r="Z787" s="1277">
        <f t="shared" ca="1" si="599"/>
        <v>-2187929.5688186837</v>
      </c>
      <c r="AA787" s="1277">
        <f t="shared" ca="1" si="599"/>
        <v>-2193959.3270594021</v>
      </c>
      <c r="AB787" s="1277">
        <f t="shared" ca="1" si="599"/>
        <v>-2200037.5414031381</v>
      </c>
      <c r="AC787" s="1277">
        <f t="shared" ca="1" si="599"/>
        <v>-2058927.4632593752</v>
      </c>
      <c r="AD787" s="1277">
        <f t="shared" ca="1" si="599"/>
        <v>-2065103.5933871302</v>
      </c>
      <c r="AE787" s="1277">
        <f t="shared" ca="1" si="599"/>
        <v>-1870821.518246237</v>
      </c>
      <c r="AF787" s="1277">
        <f t="shared" ca="1" si="599"/>
        <v>-1877096.9165051403</v>
      </c>
      <c r="AG787" s="1277">
        <f t="shared" ca="1" si="599"/>
        <v>-1221968.9202419033</v>
      </c>
      <c r="AH787" s="1277">
        <f t="shared" ca="1" si="599"/>
        <v>-1228344.956253049</v>
      </c>
      <c r="AI787" s="1277">
        <f t="shared" ca="1" si="599"/>
        <v>-1146473.7298094542</v>
      </c>
      <c r="AJ787" s="1277">
        <f t="shared" ca="1" si="599"/>
        <v>-1152951.790678326</v>
      </c>
      <c r="AK787" s="1277">
        <f t="shared" ca="1" si="599"/>
        <v>-1159481.3896626416</v>
      </c>
      <c r="AL787" s="1277">
        <f t="shared" ca="1" si="599"/>
        <v>-1166062.8801920323</v>
      </c>
      <c r="AM787" s="1277">
        <f t="shared" ca="1" si="599"/>
        <v>-1172696.6179419768</v>
      </c>
      <c r="AN787" s="1277">
        <f t="shared" ca="1" si="599"/>
        <v>-1179382.9608474155</v>
      </c>
      <c r="AO787" s="1277">
        <f t="shared" ca="1" si="599"/>
        <v>-1186122.2691164601</v>
      </c>
      <c r="AP787" s="1277">
        <f t="shared" ca="1" si="599"/>
        <v>-1192914.905244173</v>
      </c>
      <c r="AQ787" s="1277">
        <f t="shared" ca="1" si="599"/>
        <v>-1199761.2340264358</v>
      </c>
      <c r="AR787" s="1277">
        <f t="shared" ca="1" si="599"/>
        <v>-1206661.6225738898</v>
      </c>
      <c r="AS787" s="1277">
        <f t="shared" ca="1" si="599"/>
        <v>-1213616.4403259696</v>
      </c>
      <c r="AT787" s="1277">
        <f t="shared" ca="1" si="599"/>
        <v>-1220626.0590650039</v>
      </c>
      <c r="AV787" s="1277">
        <f t="shared" ca="1" si="524"/>
        <v>-9620540.601387443</v>
      </c>
      <c r="AX787" s="1277">
        <f t="shared" ca="1" si="525"/>
        <v>-10733006.465557614</v>
      </c>
      <c r="AZ787" s="1277">
        <f t="shared" ca="1" si="526"/>
        <v>-10880307.818171527</v>
      </c>
      <c r="BB787" s="1277">
        <f t="shared" ca="1" si="527"/>
        <v>-10388849.443355283</v>
      </c>
      <c r="BD787" s="1277">
        <f t="shared" ca="1" si="528"/>
        <v>-6626836.3134878725</v>
      </c>
      <c r="BF787" s="1277">
        <f t="shared" ca="1" si="529"/>
        <v>-5863746.1177605269</v>
      </c>
      <c r="BH787" s="1277">
        <f t="shared" ca="1" si="530"/>
        <v>-6033580.2612354718</v>
      </c>
    </row>
    <row r="788" spans="1:60" hidden="1" outlineLevel="1">
      <c r="A788" s="1301">
        <v>18</v>
      </c>
      <c r="B788" s="1301">
        <v>38</v>
      </c>
      <c r="C788" s="1301">
        <v>1</v>
      </c>
      <c r="D788" s="1465" t="str">
        <f ca="1">IF(OFFSET(PortfolioDashboard!$A$3,C788-1,0)="","Blank",OFFSET(PortfolioDashboard!$A$3,C788-1,0))</f>
        <v>Behavior Change</v>
      </c>
      <c r="E788" s="1466" t="s">
        <v>1197</v>
      </c>
      <c r="F788" s="1460">
        <f t="shared" ca="1" si="522"/>
        <v>4572154.9945188444</v>
      </c>
      <c r="G788" s="1467">
        <f ca="1">G726+G757</f>
        <v>0</v>
      </c>
      <c r="H788" s="1467">
        <f t="shared" ref="H788:AT794" ca="1" si="600">H726+H757</f>
        <v>0</v>
      </c>
      <c r="I788" s="1467">
        <f t="shared" ca="1" si="600"/>
        <v>-46448.796041314905</v>
      </c>
      <c r="J788" s="1467">
        <f t="shared" ca="1" si="600"/>
        <v>6568.7606326365349</v>
      </c>
      <c r="K788" s="1467">
        <f t="shared" ca="1" si="600"/>
        <v>58816.497135064274</v>
      </c>
      <c r="L788" s="1467">
        <f t="shared" ca="1" si="600"/>
        <v>111097.00682058392</v>
      </c>
      <c r="M788" s="1467">
        <f t="shared" ca="1" si="600"/>
        <v>162678.66776701325</v>
      </c>
      <c r="N788" s="1467">
        <f t="shared" ca="1" si="600"/>
        <v>263757.26014464517</v>
      </c>
      <c r="O788" s="1467">
        <f t="shared" ca="1" si="600"/>
        <v>303910.49623076181</v>
      </c>
      <c r="P788" s="1467">
        <f t="shared" ca="1" si="600"/>
        <v>343634.90475888533</v>
      </c>
      <c r="Q788" s="1467">
        <f t="shared" ca="1" si="600"/>
        <v>382919.79512423207</v>
      </c>
      <c r="R788" s="1467">
        <f t="shared" ca="1" si="600"/>
        <v>421754.40128885041</v>
      </c>
      <c r="S788" s="1467">
        <f t="shared" ca="1" si="600"/>
        <v>460127.87908462167</v>
      </c>
      <c r="T788" s="1467">
        <f t="shared" ca="1" si="600"/>
        <v>457434.54038558574</v>
      </c>
      <c r="U788" s="1467">
        <f t="shared" ca="1" si="600"/>
        <v>458222.41153454722</v>
      </c>
      <c r="V788" s="1467">
        <f t="shared" ca="1" si="600"/>
        <v>459000.35785039974</v>
      </c>
      <c r="W788" s="1467">
        <f t="shared" ca="1" si="600"/>
        <v>459768.38845003967</v>
      </c>
      <c r="X788" s="1467">
        <f t="shared" ca="1" si="600"/>
        <v>460526.50810804113</v>
      </c>
      <c r="Y788" s="1467">
        <f t="shared" ca="1" si="600"/>
        <v>461274.71743133484</v>
      </c>
      <c r="Z788" s="1467">
        <f t="shared" ca="1" si="600"/>
        <v>462013.0130234505</v>
      </c>
      <c r="AA788" s="1467">
        <f t="shared" ca="1" si="600"/>
        <v>462741.38763903326</v>
      </c>
      <c r="AB788" s="1467">
        <f t="shared" ca="1" si="600"/>
        <v>463459.83032926579</v>
      </c>
      <c r="AC788" s="1467">
        <f t="shared" ca="1" si="600"/>
        <v>464168.32657880191</v>
      </c>
      <c r="AD788" s="1467">
        <f t="shared" ca="1" si="600"/>
        <v>464866.85843475343</v>
      </c>
      <c r="AE788" s="1467">
        <f t="shared" ca="1" si="600"/>
        <v>466831.57492687076</v>
      </c>
      <c r="AF788" s="1467">
        <f t="shared" ca="1" si="600"/>
        <v>468799.04298926884</v>
      </c>
      <c r="AG788" s="1467">
        <f t="shared" ca="1" si="600"/>
        <v>470769.33077116887</v>
      </c>
      <c r="AH788" s="1467">
        <f t="shared" ca="1" si="600"/>
        <v>472742.50406854681</v>
      </c>
      <c r="AI788" s="1467">
        <f t="shared" ca="1" si="600"/>
        <v>474718.62642436032</v>
      </c>
      <c r="AJ788" s="1467">
        <f t="shared" ca="1" si="600"/>
        <v>476697.759223414</v>
      </c>
      <c r="AK788" s="1467">
        <f t="shared" ca="1" si="600"/>
        <v>478679.96178219956</v>
      </c>
      <c r="AL788" s="1467">
        <f t="shared" ca="1" si="600"/>
        <v>480665.29143400711</v>
      </c>
      <c r="AM788" s="1467">
        <f t="shared" ca="1" si="600"/>
        <v>482653.80360959505</v>
      </c>
      <c r="AN788" s="1467">
        <f t="shared" ca="1" si="600"/>
        <v>484645.55191368342</v>
      </c>
      <c r="AO788" s="1467">
        <f t="shared" ca="1" si="600"/>
        <v>486640.58819751546</v>
      </c>
      <c r="AP788" s="1467">
        <f t="shared" ca="1" si="600"/>
        <v>488638.96262771834</v>
      </c>
      <c r="AQ788" s="1467">
        <f t="shared" ca="1" si="600"/>
        <v>490640.72375167708</v>
      </c>
      <c r="AR788" s="1467">
        <f t="shared" ca="1" si="600"/>
        <v>492645.91855962179</v>
      </c>
      <c r="AS788" s="1467">
        <f t="shared" ca="1" si="600"/>
        <v>494654.59254361899</v>
      </c>
      <c r="AT788" s="1467">
        <f t="shared" ca="1" si="600"/>
        <v>496666.78975363541</v>
      </c>
      <c r="AU788" s="1467"/>
      <c r="AV788" s="1467">
        <f t="shared" ca="1" si="524"/>
        <v>1185078.3357218893</v>
      </c>
      <c r="AW788" s="1468"/>
      <c r="AX788" s="1467">
        <f t="shared" ca="1" si="525"/>
        <v>2180459.0274178372</v>
      </c>
      <c r="AY788" s="1468"/>
      <c r="AZ788" s="1467">
        <f t="shared" ca="1" si="526"/>
        <v>2302582.9848632659</v>
      </c>
      <c r="BA788" s="1468"/>
      <c r="BB788" s="1467">
        <f t="shared" ca="1" si="527"/>
        <v>2322067.9779087254</v>
      </c>
      <c r="BC788" s="1468"/>
      <c r="BD788" s="1467">
        <f t="shared" ca="1" si="528"/>
        <v>2363727.2634767587</v>
      </c>
      <c r="BE788" s="1468"/>
      <c r="BF788" s="1467">
        <f t="shared" ca="1" si="529"/>
        <v>2413285.1969370004</v>
      </c>
      <c r="BG788" s="1468"/>
      <c r="BH788" s="1467">
        <f t="shared" ca="1" si="530"/>
        <v>2463246.9872362716</v>
      </c>
    </row>
    <row r="789" spans="1:60" hidden="1" outlineLevel="1">
      <c r="A789" s="1301">
        <f t="shared" ref="A789:A817" si="601">A788</f>
        <v>18</v>
      </c>
      <c r="B789" s="1301">
        <f t="shared" ref="B789:B817" si="602">B788</f>
        <v>38</v>
      </c>
      <c r="C789" s="1301">
        <f>C788+1</f>
        <v>2</v>
      </c>
      <c r="D789" s="1465" t="str">
        <f ca="1">IF(OFFSET(PortfolioDashboard!$A$3,C789-1,0)="","Blank",OFFSET(PortfolioDashboard!$A$3,C789-1,0))</f>
        <v>Building Design &amp; Construction Standards</v>
      </c>
      <c r="E789" s="1466" t="str">
        <f>E788</f>
        <v>2010$</v>
      </c>
      <c r="F789" s="1460">
        <f t="shared" ca="1" si="522"/>
        <v>19090854.327629145</v>
      </c>
      <c r="G789" s="1467">
        <f t="shared" ref="G789:V789" ca="1" si="603">G727+G758</f>
        <v>0</v>
      </c>
      <c r="H789" s="1467">
        <f t="shared" ca="1" si="603"/>
        <v>-8605.3581889671477</v>
      </c>
      <c r="I789" s="1467">
        <f t="shared" ca="1" si="603"/>
        <v>410164.85540353489</v>
      </c>
      <c r="J789" s="1467">
        <f t="shared" ca="1" si="603"/>
        <v>535078.75283020758</v>
      </c>
      <c r="K789" s="1467">
        <f t="shared" ca="1" si="603"/>
        <v>586445.35079787998</v>
      </c>
      <c r="L789" s="1467">
        <f t="shared" ca="1" si="603"/>
        <v>841889.95924922836</v>
      </c>
      <c r="M789" s="1467">
        <f t="shared" ca="1" si="603"/>
        <v>896391.00165602495</v>
      </c>
      <c r="N789" s="1467">
        <f t="shared" ca="1" si="603"/>
        <v>951515.66256823449</v>
      </c>
      <c r="O789" s="1467">
        <f t="shared" ca="1" si="603"/>
        <v>1007264.2710987905</v>
      </c>
      <c r="P789" s="1467">
        <f t="shared" ca="1" si="603"/>
        <v>1063637.3323598297</v>
      </c>
      <c r="Q789" s="1467">
        <f t="shared" ca="1" si="603"/>
        <v>1120635.5196551729</v>
      </c>
      <c r="R789" s="1467">
        <f t="shared" ca="1" si="603"/>
        <v>1178259.6671747195</v>
      </c>
      <c r="S789" s="1467">
        <f t="shared" ca="1" si="603"/>
        <v>1236510.7631543872</v>
      </c>
      <c r="T789" s="1467">
        <f t="shared" ca="1" si="603"/>
        <v>1295389.9434682229</v>
      </c>
      <c r="U789" s="1467">
        <f t="shared" ca="1" si="603"/>
        <v>1354898.485621993</v>
      </c>
      <c r="V789" s="1467">
        <f t="shared" ca="1" si="603"/>
        <v>1415037.8031201465</v>
      </c>
      <c r="W789" s="1467">
        <f t="shared" ca="1" si="600"/>
        <v>1475809.4401800768</v>
      </c>
      <c r="X789" s="1467">
        <f t="shared" ca="1" si="600"/>
        <v>1537215.0667698823</v>
      </c>
      <c r="Y789" s="1467">
        <f t="shared" ca="1" si="600"/>
        <v>1599256.4739475581</v>
      </c>
      <c r="Z789" s="1467">
        <f t="shared" ca="1" si="600"/>
        <v>1661935.5694812641</v>
      </c>
      <c r="AA789" s="1467">
        <f t="shared" ca="1" si="600"/>
        <v>1725254.3737319363</v>
      </c>
      <c r="AB789" s="1467">
        <f t="shared" ca="1" si="600"/>
        <v>1789215.0157808908</v>
      </c>
      <c r="AC789" s="1467">
        <f t="shared" ca="1" si="600"/>
        <v>1853819.729786362</v>
      </c>
      <c r="AD789" s="1467">
        <f t="shared" ca="1" si="600"/>
        <v>1919070.8515541244</v>
      </c>
      <c r="AE789" s="1467">
        <f t="shared" ca="1" si="600"/>
        <v>1984970.815308467</v>
      </c>
      <c r="AF789" s="1467">
        <f t="shared" ca="1" si="600"/>
        <v>2051522.1506507846</v>
      </c>
      <c r="AG789" s="1467">
        <f t="shared" ca="1" si="600"/>
        <v>2118727.4796939325</v>
      </c>
      <c r="AH789" s="1467">
        <f t="shared" ca="1" si="600"/>
        <v>2186589.5143613582</v>
      </c>
      <c r="AI789" s="1467">
        <f t="shared" ca="1" si="600"/>
        <v>2255111.0538409273</v>
      </c>
      <c r="AJ789" s="1467">
        <f t="shared" ca="1" si="600"/>
        <v>2324294.9821838313</v>
      </c>
      <c r="AK789" s="1467">
        <f t="shared" ca="1" si="600"/>
        <v>2394144.2660398483</v>
      </c>
      <c r="AL789" s="1467">
        <f t="shared" ca="1" si="600"/>
        <v>2464661.9525207486</v>
      </c>
      <c r="AM789" s="1467">
        <f t="shared" ca="1" si="600"/>
        <v>2535851.1671842001</v>
      </c>
      <c r="AN789" s="1467">
        <f t="shared" ca="1" si="600"/>
        <v>2607715.1121310932</v>
      </c>
      <c r="AO789" s="1467">
        <f t="shared" ca="1" si="600"/>
        <v>2680257.0642095702</v>
      </c>
      <c r="AP789" s="1467">
        <f t="shared" ca="1" si="600"/>
        <v>2753480.3733196943</v>
      </c>
      <c r="AQ789" s="1467">
        <f t="shared" ca="1" si="600"/>
        <v>2827388.460812862</v>
      </c>
      <c r="AR789" s="1467">
        <f t="shared" ca="1" si="600"/>
        <v>2901984.8179806438</v>
      </c>
      <c r="AS789" s="1467">
        <f t="shared" ca="1" si="600"/>
        <v>2977273.0046279836</v>
      </c>
      <c r="AT789" s="1467">
        <f t="shared" ca="1" si="600"/>
        <v>3053256.6477260254</v>
      </c>
      <c r="AU789" s="1467"/>
      <c r="AV789" s="1467">
        <f t="shared" ca="1" si="524"/>
        <v>4760698.2269321084</v>
      </c>
      <c r="AW789" s="1468"/>
      <c r="AX789" s="1467">
        <f t="shared" ca="1" si="525"/>
        <v>6185694.3790744953</v>
      </c>
      <c r="AY789" s="1468"/>
      <c r="AZ789" s="1467">
        <f t="shared" ca="1" si="526"/>
        <v>7689254.3534989273</v>
      </c>
      <c r="BA789" s="1468"/>
      <c r="BB789" s="1467">
        <f t="shared" ca="1" si="527"/>
        <v>9272330.7861617804</v>
      </c>
      <c r="BC789" s="1468"/>
      <c r="BD789" s="1467">
        <f t="shared" ca="1" si="528"/>
        <v>10936245.180730833</v>
      </c>
      <c r="BE789" s="1468"/>
      <c r="BF789" s="1467">
        <f t="shared" ca="1" si="529"/>
        <v>12682629.562085461</v>
      </c>
      <c r="BG789" s="1468"/>
      <c r="BH789" s="1467">
        <f t="shared" ca="1" si="530"/>
        <v>14513383.304467209</v>
      </c>
    </row>
    <row r="790" spans="1:60" hidden="1" outlineLevel="1">
      <c r="A790" s="1301">
        <f t="shared" si="601"/>
        <v>18</v>
      </c>
      <c r="B790" s="1301">
        <f t="shared" si="602"/>
        <v>38</v>
      </c>
      <c r="C790" s="1301">
        <f t="shared" ref="C790:C817" si="604">C789+1</f>
        <v>3</v>
      </c>
      <c r="D790" s="1465" t="str">
        <f ca="1">IF(OFFSET(PortfolioDashboard!$A$3,C790-1,0)="","Blank",OFFSET(PortfolioDashboard!$A$3,C790-1,0))</f>
        <v>Space Planning &amp; Management</v>
      </c>
      <c r="E790" s="1466" t="str">
        <f t="shared" ref="E790:E817" si="605">E789</f>
        <v>2010$</v>
      </c>
      <c r="F790" s="1460">
        <f t="shared" ref="F790:F818" ca="1" si="606">NPV(DiscountRate,G790:AT790)</f>
        <v>100143238.90373991</v>
      </c>
      <c r="G790" s="1467">
        <f ca="1">G728+G759</f>
        <v>237052.05335287287</v>
      </c>
      <c r="H790" s="1467">
        <f t="shared" ca="1" si="600"/>
        <v>585459.04741449398</v>
      </c>
      <c r="I790" s="1467">
        <f t="shared" ca="1" si="600"/>
        <v>1331199.9478647406</v>
      </c>
      <c r="J790" s="1467">
        <f t="shared" ca="1" si="600"/>
        <v>1778968.5086552657</v>
      </c>
      <c r="K790" s="1467">
        <f t="shared" ca="1" si="600"/>
        <v>2228779.9121438265</v>
      </c>
      <c r="L790" s="1467">
        <f t="shared" ca="1" si="600"/>
        <v>2680649.4418202331</v>
      </c>
      <c r="M790" s="1467">
        <f t="shared" ca="1" si="600"/>
        <v>3134592.4829381239</v>
      </c>
      <c r="N790" s="1467">
        <f t="shared" ca="1" si="600"/>
        <v>3590624.5231505395</v>
      </c>
      <c r="O790" s="1467">
        <f t="shared" ca="1" si="600"/>
        <v>4048761.1531492383</v>
      </c>
      <c r="P790" s="1467">
        <f t="shared" ca="1" si="600"/>
        <v>4509018.0673079453</v>
      </c>
      <c r="Q790" s="1467">
        <f t="shared" ca="1" si="600"/>
        <v>4971411.0643293522</v>
      </c>
      <c r="R790" s="1467">
        <f t="shared" ca="1" si="600"/>
        <v>5435956.0478960983</v>
      </c>
      <c r="S790" s="1467">
        <f t="shared" ca="1" si="600"/>
        <v>5902669.0273255594</v>
      </c>
      <c r="T790" s="1467">
        <f t="shared" ca="1" si="600"/>
        <v>6371566.1182286236</v>
      </c>
      <c r="U790" s="1467">
        <f t="shared" ca="1" si="600"/>
        <v>6842663.543172407</v>
      </c>
      <c r="V790" s="1467">
        <f t="shared" ca="1" si="600"/>
        <v>7315977.6323468909</v>
      </c>
      <c r="W790" s="1467">
        <f t="shared" ca="1" si="600"/>
        <v>7791524.8242356069</v>
      </c>
      <c r="X790" s="1467">
        <f t="shared" ca="1" si="600"/>
        <v>8269321.6662903382</v>
      </c>
      <c r="Y790" s="1467">
        <f t="shared" ca="1" si="600"/>
        <v>8749384.8156097867</v>
      </c>
      <c r="Z790" s="1467">
        <f t="shared" ca="1" si="600"/>
        <v>9231731.0396224149</v>
      </c>
      <c r="AA790" s="1467">
        <f t="shared" ca="1" si="600"/>
        <v>9716377.2167732641</v>
      </c>
      <c r="AB790" s="1467">
        <f t="shared" ca="1" si="600"/>
        <v>10203340.337214984</v>
      </c>
      <c r="AC790" s="1467">
        <f t="shared" ca="1" si="600"/>
        <v>10692637.503502902</v>
      </c>
      <c r="AD790" s="1467">
        <f t="shared" ca="1" si="600"/>
        <v>11184285.931294315</v>
      </c>
      <c r="AE790" s="1467">
        <f t="shared" ca="1" si="600"/>
        <v>11678302.950051971</v>
      </c>
      <c r="AF790" s="1467">
        <f t="shared" ca="1" si="600"/>
        <v>12174706.003751684</v>
      </c>
      <c r="AG790" s="1467">
        <f t="shared" ca="1" si="600"/>
        <v>12673512.651594253</v>
      </c>
      <c r="AH790" s="1467">
        <f t="shared" ca="1" si="600"/>
        <v>13174740.568721628</v>
      </c>
      <c r="AI790" s="1467">
        <f t="shared" ca="1" si="600"/>
        <v>13678407.546937317</v>
      </c>
      <c r="AJ790" s="1467">
        <f t="shared" ca="1" si="600"/>
        <v>14184531.495431127</v>
      </c>
      <c r="AK790" s="1467">
        <f t="shared" ca="1" si="600"/>
        <v>14693130.44150823</v>
      </c>
      <c r="AL790" s="1467">
        <f t="shared" ca="1" si="600"/>
        <v>15204222.531322611</v>
      </c>
      <c r="AM790" s="1467">
        <f t="shared" ca="1" si="600"/>
        <v>15717826.030614842</v>
      </c>
      <c r="AN790" s="1467">
        <f t="shared" ca="1" si="600"/>
        <v>16233959.325454306</v>
      </c>
      <c r="AO790" s="1467">
        <f t="shared" ca="1" si="600"/>
        <v>16752640.922985857</v>
      </c>
      <c r="AP790" s="1467">
        <f t="shared" ca="1" si="600"/>
        <v>17273889.452180896</v>
      </c>
      <c r="AQ790" s="1467">
        <f t="shared" ca="1" si="600"/>
        <v>17797723.664592959</v>
      </c>
      <c r="AR790" s="1467">
        <f t="shared" ca="1" si="600"/>
        <v>18324162.435117859</v>
      </c>
      <c r="AS790" s="1467">
        <f t="shared" ca="1" si="600"/>
        <v>18853224.76275827</v>
      </c>
      <c r="AT790" s="1467">
        <f t="shared" ca="1" si="600"/>
        <v>19384929.771392927</v>
      </c>
      <c r="AU790" s="1467"/>
      <c r="AV790" s="1467">
        <f t="shared" ca="1" si="524"/>
        <v>17963645.668366082</v>
      </c>
      <c r="AW790" s="1468"/>
      <c r="AX790" s="1467">
        <f t="shared" ca="1" si="525"/>
        <v>29524265.800952043</v>
      </c>
      <c r="AY790" s="1468"/>
      <c r="AZ790" s="1467">
        <f t="shared" ca="1" si="526"/>
        <v>41357939.978105038</v>
      </c>
      <c r="BA790" s="1468"/>
      <c r="BB790" s="1467">
        <f t="shared" ca="1" si="527"/>
        <v>53474943.938837431</v>
      </c>
      <c r="BC790" s="1468"/>
      <c r="BD790" s="1467">
        <f t="shared" ca="1" si="528"/>
        <v>65885898.266436011</v>
      </c>
      <c r="BE790" s="1468"/>
      <c r="BF790" s="1467">
        <f t="shared" ca="1" si="529"/>
        <v>78601779.251885846</v>
      </c>
      <c r="BG790" s="1468"/>
      <c r="BH790" s="1467">
        <f t="shared" ca="1" si="530"/>
        <v>91633930.086042911</v>
      </c>
    </row>
    <row r="791" spans="1:60" hidden="1" outlineLevel="1">
      <c r="A791" s="1301">
        <f t="shared" si="601"/>
        <v>18</v>
      </c>
      <c r="B791" s="1301">
        <f t="shared" si="602"/>
        <v>38</v>
      </c>
      <c r="C791" s="1301">
        <f t="shared" si="604"/>
        <v>4</v>
      </c>
      <c r="D791" s="1465" t="str">
        <f ca="1">IF(OFFSET(PortfolioDashboard!$A$3,C791-1,0)="","Blank",OFFSET(PortfolioDashboard!$A$3,C791-1,0))</f>
        <v>Central Chiller Expansion</v>
      </c>
      <c r="E791" s="1466" t="str">
        <f t="shared" si="605"/>
        <v>2010$</v>
      </c>
      <c r="F791" s="1460">
        <f t="shared" ca="1" si="606"/>
        <v>11972197.38644241</v>
      </c>
      <c r="G791" s="1467">
        <f ca="1">G729+G760</f>
        <v>0</v>
      </c>
      <c r="H791" s="1467">
        <f t="shared" ca="1" si="600"/>
        <v>0</v>
      </c>
      <c r="I791" s="1467">
        <f t="shared" ca="1" si="600"/>
        <v>514021.3965714135</v>
      </c>
      <c r="J791" s="1467">
        <f t="shared" ca="1" si="600"/>
        <v>535787.41885800601</v>
      </c>
      <c r="K791" s="1467">
        <f t="shared" ca="1" si="600"/>
        <v>887027.37807194912</v>
      </c>
      <c r="L791" s="1467">
        <f t="shared" ca="1" si="600"/>
        <v>911846.02740428899</v>
      </c>
      <c r="M791" s="1467">
        <f t="shared" ca="1" si="600"/>
        <v>462293.59641251189</v>
      </c>
      <c r="N791" s="1467">
        <f t="shared" ca="1" si="600"/>
        <v>488482.75854864938</v>
      </c>
      <c r="O791" s="1467">
        <f t="shared" ca="1" si="600"/>
        <v>426598.92461456498</v>
      </c>
      <c r="P791" s="1467">
        <f t="shared" ca="1" si="600"/>
        <v>453239.89171315613</v>
      </c>
      <c r="Q791" s="1467">
        <f t="shared" ca="1" si="600"/>
        <v>480109.16609978909</v>
      </c>
      <c r="R791" s="1467">
        <f t="shared" ca="1" si="600"/>
        <v>507208.36482316768</v>
      </c>
      <c r="S791" s="1467">
        <f t="shared" ca="1" si="600"/>
        <v>534539.11539479904</v>
      </c>
      <c r="T791" s="1467">
        <f t="shared" ca="1" si="600"/>
        <v>562103.05585319852</v>
      </c>
      <c r="U791" s="1467">
        <f t="shared" ca="1" si="600"/>
        <v>589901.83482846874</v>
      </c>
      <c r="V791" s="1467">
        <f t="shared" ca="1" si="600"/>
        <v>617937.11160726706</v>
      </c>
      <c r="W791" s="1467">
        <f t="shared" ca="1" si="600"/>
        <v>646210.55619815481</v>
      </c>
      <c r="X791" s="1467">
        <f t="shared" ca="1" si="600"/>
        <v>674723.84939733311</v>
      </c>
      <c r="Y791" s="1467">
        <f t="shared" ca="1" si="600"/>
        <v>703478.68285476975</v>
      </c>
      <c r="Z791" s="1467">
        <f t="shared" ca="1" si="600"/>
        <v>732476.7591407178</v>
      </c>
      <c r="AA791" s="1467">
        <f t="shared" ca="1" si="600"/>
        <v>761719.79181262618</v>
      </c>
      <c r="AB791" s="1467">
        <f t="shared" ca="1" si="600"/>
        <v>771015.87273731804</v>
      </c>
      <c r="AC791" s="1467">
        <f t="shared" ca="1" si="600"/>
        <v>927595.5164742202</v>
      </c>
      <c r="AD791" s="1467">
        <f t="shared" ca="1" si="600"/>
        <v>936984.7906101821</v>
      </c>
      <c r="AE791" s="1467">
        <f t="shared" ca="1" si="600"/>
        <v>1146928.6803329373</v>
      </c>
      <c r="AF791" s="1467">
        <f t="shared" ca="1" si="600"/>
        <v>1156412.0819421122</v>
      </c>
      <c r="AG791" s="1467">
        <f t="shared" ca="1" si="600"/>
        <v>1827396.441667147</v>
      </c>
      <c r="AH791" s="1467">
        <f t="shared" ca="1" si="600"/>
        <v>1836974.914377454</v>
      </c>
      <c r="AI791" s="1467">
        <f t="shared" ca="1" si="600"/>
        <v>1934899.3798456674</v>
      </c>
      <c r="AJ791" s="1467">
        <f t="shared" ca="1" si="600"/>
        <v>1944573.8767448955</v>
      </c>
      <c r="AK791" s="1467">
        <f t="shared" ca="1" si="600"/>
        <v>1954296.7461286199</v>
      </c>
      <c r="AL791" s="1467">
        <f t="shared" ca="1" si="600"/>
        <v>1964068.2298592622</v>
      </c>
      <c r="AM791" s="1467">
        <f t="shared" ca="1" si="600"/>
        <v>1973888.5710085582</v>
      </c>
      <c r="AN791" s="1467">
        <f t="shared" ca="1" si="600"/>
        <v>1983758.0138636008</v>
      </c>
      <c r="AO791" s="1467">
        <f t="shared" ca="1" si="600"/>
        <v>1993676.8039329187</v>
      </c>
      <c r="AP791" s="1467">
        <f t="shared" ca="1" si="600"/>
        <v>2003645.187952583</v>
      </c>
      <c r="AQ791" s="1467">
        <f t="shared" ca="1" si="600"/>
        <v>2013663.4138923453</v>
      </c>
      <c r="AR791" s="1467">
        <f t="shared" ca="1" si="600"/>
        <v>2023731.7309618066</v>
      </c>
      <c r="AS791" s="1467">
        <f t="shared" ca="1" si="600"/>
        <v>2033850.3896166154</v>
      </c>
      <c r="AT791" s="1467">
        <f t="shared" ca="1" si="600"/>
        <v>2044019.6415646982</v>
      </c>
      <c r="AU791" s="1467"/>
      <c r="AV791" s="1467">
        <f t="shared" ca="1" si="524"/>
        <v>2742461.1986931711</v>
      </c>
      <c r="AW791" s="1468"/>
      <c r="AX791" s="1467">
        <f t="shared" ca="1" si="525"/>
        <v>2673861.5369994231</v>
      </c>
      <c r="AY791" s="1468"/>
      <c r="AZ791" s="1467">
        <f t="shared" ca="1" si="526"/>
        <v>3374826.9591982425</v>
      </c>
      <c r="BA791" s="1468"/>
      <c r="BB791" s="1467">
        <f t="shared" ca="1" si="527"/>
        <v>4544244.6519672833</v>
      </c>
      <c r="BC791" s="1468"/>
      <c r="BD791" s="1467">
        <f t="shared" ca="1" si="528"/>
        <v>8700256.6945772767</v>
      </c>
      <c r="BE791" s="1468"/>
      <c r="BF791" s="1467">
        <f t="shared" ca="1" si="529"/>
        <v>9869688.3647929598</v>
      </c>
      <c r="BG791" s="1468"/>
      <c r="BH791" s="1467">
        <f t="shared" ca="1" si="530"/>
        <v>10118910.363988047</v>
      </c>
    </row>
    <row r="792" spans="1:60" hidden="1" outlineLevel="1">
      <c r="A792" s="1301">
        <f t="shared" si="601"/>
        <v>18</v>
      </c>
      <c r="B792" s="1301">
        <f t="shared" si="602"/>
        <v>38</v>
      </c>
      <c r="C792" s="1301">
        <f t="shared" si="604"/>
        <v>5</v>
      </c>
      <c r="D792" s="1465" t="str">
        <f ca="1">IF(OFFSET(PortfolioDashboard!$A$3,C792-1,0)="","Blank",OFFSET(PortfolioDashboard!$A$3,C792-1,0))</f>
        <v>Short-term Energy Conservation Measures</v>
      </c>
      <c r="E792" s="1466" t="str">
        <f t="shared" si="605"/>
        <v>2010$</v>
      </c>
      <c r="F792" s="1460">
        <f t="shared" ca="1" si="606"/>
        <v>22409087.496942502</v>
      </c>
      <c r="G792" s="1467">
        <f ca="1">G730+G761</f>
        <v>0</v>
      </c>
      <c r="H792" s="1467">
        <f t="shared" ca="1" si="600"/>
        <v>321577.92419999995</v>
      </c>
      <c r="I792" s="1467">
        <f t="shared" ca="1" si="600"/>
        <v>645751.78952999983</v>
      </c>
      <c r="J792" s="1467">
        <f t="shared" ca="1" si="600"/>
        <v>972541.06554847455</v>
      </c>
      <c r="K792" s="1467">
        <f t="shared" ca="1" si="600"/>
        <v>1301965.3516109558</v>
      </c>
      <c r="L792" s="1467">
        <f t="shared" ca="1" si="600"/>
        <v>1634044.3776812628</v>
      </c>
      <c r="M792" s="1467">
        <f t="shared" ca="1" si="600"/>
        <v>1640665.0042896688</v>
      </c>
      <c r="N792" s="1467">
        <f t="shared" ca="1" si="600"/>
        <v>1647318.7340311171</v>
      </c>
      <c r="O792" s="1467">
        <f t="shared" ca="1" si="600"/>
        <v>1654005.7324212724</v>
      </c>
      <c r="P792" s="1467">
        <f t="shared" ca="1" si="600"/>
        <v>1660726.1658033789</v>
      </c>
      <c r="Q792" s="1467">
        <f t="shared" ca="1" si="600"/>
        <v>1667480.2013523954</v>
      </c>
      <c r="R792" s="1467">
        <f t="shared" ca="1" si="600"/>
        <v>1674268.0070791575</v>
      </c>
      <c r="S792" s="1467">
        <f t="shared" ca="1" si="600"/>
        <v>1681089.7518345527</v>
      </c>
      <c r="T792" s="1467">
        <f t="shared" ca="1" si="600"/>
        <v>1687945.6053137253</v>
      </c>
      <c r="U792" s="1467">
        <f t="shared" ca="1" si="600"/>
        <v>1694835.7380602937</v>
      </c>
      <c r="V792" s="1467">
        <f t="shared" ca="1" si="600"/>
        <v>1701760.321470595</v>
      </c>
      <c r="W792" s="1467">
        <f t="shared" ca="1" si="600"/>
        <v>1708719.5277979476</v>
      </c>
      <c r="X792" s="1467">
        <f t="shared" ca="1" si="600"/>
        <v>1715713.5301569374</v>
      </c>
      <c r="Y792" s="1467">
        <f t="shared" ca="1" si="600"/>
        <v>1722742.5025277217</v>
      </c>
      <c r="Z792" s="1467">
        <f t="shared" ca="1" si="600"/>
        <v>1729806.6197603601</v>
      </c>
      <c r="AA792" s="1467">
        <f t="shared" ca="1" si="600"/>
        <v>1736906.0575791616</v>
      </c>
      <c r="AB792" s="1467">
        <f t="shared" ca="1" si="600"/>
        <v>1744040.9925870569</v>
      </c>
      <c r="AC792" s="1467">
        <f t="shared" ca="1" si="600"/>
        <v>1751211.6022699922</v>
      </c>
      <c r="AD792" s="1467">
        <f t="shared" ca="1" si="600"/>
        <v>1758418.065001342</v>
      </c>
      <c r="AE792" s="1467">
        <f t="shared" ca="1" si="600"/>
        <v>1765660.5600463487</v>
      </c>
      <c r="AF792" s="1467">
        <f t="shared" ca="1" si="600"/>
        <v>1772939.2675665803</v>
      </c>
      <c r="AG792" s="1467">
        <f t="shared" ca="1" si="600"/>
        <v>1780254.3686244129</v>
      </c>
      <c r="AH792" s="1467">
        <f t="shared" ca="1" si="600"/>
        <v>1787606.0451875348</v>
      </c>
      <c r="AI792" s="1467">
        <f t="shared" ca="1" si="600"/>
        <v>1794994.480133472</v>
      </c>
      <c r="AJ792" s="1467">
        <f t="shared" ca="1" si="600"/>
        <v>1802419.8572541391</v>
      </c>
      <c r="AK792" s="1467">
        <f t="shared" ca="1" si="600"/>
        <v>1809882.3612604097</v>
      </c>
      <c r="AL792" s="1467">
        <f t="shared" ca="1" si="600"/>
        <v>1817382.1777867114</v>
      </c>
      <c r="AM792" s="1467">
        <f t="shared" ca="1" si="600"/>
        <v>1824919.4933956447</v>
      </c>
      <c r="AN792" s="1467">
        <f t="shared" ca="1" si="600"/>
        <v>1832494.4955826227</v>
      </c>
      <c r="AO792" s="1467">
        <f t="shared" ca="1" si="600"/>
        <v>1840107.3727805358</v>
      </c>
      <c r="AP792" s="1467">
        <f t="shared" ca="1" si="600"/>
        <v>1847758.3143644382</v>
      </c>
      <c r="AQ792" s="1467">
        <f t="shared" ca="1" si="600"/>
        <v>1855447.5106562597</v>
      </c>
      <c r="AR792" s="1467">
        <f t="shared" ca="1" si="600"/>
        <v>1863175.1529295407</v>
      </c>
      <c r="AS792" s="1467">
        <f t="shared" ca="1" si="600"/>
        <v>1870941.4334141887</v>
      </c>
      <c r="AT792" s="1467">
        <f t="shared" ca="1" si="600"/>
        <v>1878746.545301259</v>
      </c>
      <c r="AU792" s="1467"/>
      <c r="AV792" s="1467">
        <f t="shared" ca="1" si="524"/>
        <v>8236760.0142267011</v>
      </c>
      <c r="AW792" s="1468"/>
      <c r="AX792" s="1467">
        <f t="shared" ca="1" si="525"/>
        <v>8405619.3036401253</v>
      </c>
      <c r="AY792" s="1468"/>
      <c r="AZ792" s="1467">
        <f t="shared" ca="1" si="526"/>
        <v>8578742.5017135628</v>
      </c>
      <c r="BA792" s="1468"/>
      <c r="BB792" s="1467">
        <f t="shared" ca="1" si="527"/>
        <v>8756237.277483901</v>
      </c>
      <c r="BC792" s="1468"/>
      <c r="BD792" s="1467">
        <f t="shared" ca="1" si="528"/>
        <v>8938214.0187661387</v>
      </c>
      <c r="BE792" s="1468"/>
      <c r="BF792" s="1467">
        <f t="shared" ca="1" si="529"/>
        <v>9124785.9008059241</v>
      </c>
      <c r="BG792" s="1468"/>
      <c r="BH792" s="1467">
        <f t="shared" ca="1" si="530"/>
        <v>9316068.9566656854</v>
      </c>
    </row>
    <row r="793" spans="1:60" hidden="1" outlineLevel="1">
      <c r="A793" s="1301">
        <f t="shared" si="601"/>
        <v>18</v>
      </c>
      <c r="B793" s="1301">
        <f t="shared" si="602"/>
        <v>38</v>
      </c>
      <c r="C793" s="1301">
        <f t="shared" si="604"/>
        <v>6</v>
      </c>
      <c r="D793" s="1465" t="str">
        <f ca="1">IF(OFFSET(PortfolioDashboard!$A$3,C793-1,0)="","Blank",OFFSET(PortfolioDashboard!$A$3,C793-1,0))</f>
        <v>Mid-term Energy Conservation Measures</v>
      </c>
      <c r="E793" s="1466" t="str">
        <f t="shared" si="605"/>
        <v>2010$</v>
      </c>
      <c r="F793" s="1460">
        <f t="shared" ca="1" si="606"/>
        <v>14321073.169442052</v>
      </c>
      <c r="G793" s="1467">
        <f ca="1">G731+G762</f>
        <v>0</v>
      </c>
      <c r="H793" s="1467">
        <f t="shared" ca="1" si="600"/>
        <v>0</v>
      </c>
      <c r="I793" s="1467">
        <f t="shared" ca="1" si="600"/>
        <v>0</v>
      </c>
      <c r="J793" s="1467">
        <f t="shared" ca="1" si="600"/>
        <v>0</v>
      </c>
      <c r="K793" s="1467">
        <f t="shared" ca="1" si="600"/>
        <v>0</v>
      </c>
      <c r="L793" s="1467">
        <f t="shared" ca="1" si="600"/>
        <v>0</v>
      </c>
      <c r="M793" s="1467">
        <f t="shared" ca="1" si="600"/>
        <v>193520.65401359371</v>
      </c>
      <c r="N793" s="1467">
        <f t="shared" ca="1" si="600"/>
        <v>388809.16020732332</v>
      </c>
      <c r="O793" s="1467">
        <f t="shared" ca="1" si="600"/>
        <v>585878.7774725398</v>
      </c>
      <c r="P793" s="1467">
        <f t="shared" ca="1" si="600"/>
        <v>784742.85309320339</v>
      </c>
      <c r="Q793" s="1467">
        <f t="shared" ca="1" si="600"/>
        <v>985414.82329833647</v>
      </c>
      <c r="R793" s="1467">
        <f t="shared" ca="1" si="600"/>
        <v>1187908.2138177939</v>
      </c>
      <c r="S793" s="1467">
        <f t="shared" ca="1" si="600"/>
        <v>1392236.6404413627</v>
      </c>
      <c r="T793" s="1467">
        <f t="shared" ca="1" si="600"/>
        <v>1598413.8095812225</v>
      </c>
      <c r="U793" s="1467">
        <f t="shared" ca="1" si="600"/>
        <v>1605736.461189128</v>
      </c>
      <c r="V793" s="1467">
        <f t="shared" ca="1" si="600"/>
        <v>1613095.7260550736</v>
      </c>
      <c r="W793" s="1467">
        <f t="shared" ca="1" si="600"/>
        <v>1620491.7872453486</v>
      </c>
      <c r="X793" s="1467">
        <f t="shared" ca="1" si="600"/>
        <v>1627924.8287415751</v>
      </c>
      <c r="Y793" s="1467">
        <f t="shared" ca="1" si="600"/>
        <v>1635395.0354452827</v>
      </c>
      <c r="Z793" s="1467">
        <f t="shared" ca="1" si="600"/>
        <v>1642902.5931825088</v>
      </c>
      <c r="AA793" s="1467">
        <f t="shared" ca="1" si="600"/>
        <v>1650447.6887084213</v>
      </c>
      <c r="AB793" s="1467">
        <f t="shared" ca="1" si="600"/>
        <v>1658030.5097119631</v>
      </c>
      <c r="AC793" s="1467">
        <f t="shared" ca="1" si="600"/>
        <v>1665651.2448205226</v>
      </c>
      <c r="AD793" s="1467">
        <f t="shared" ca="1" si="600"/>
        <v>1673310.083604625</v>
      </c>
      <c r="AE793" s="1467">
        <f t="shared" ca="1" si="600"/>
        <v>1681007.2165826485</v>
      </c>
      <c r="AF793" s="1467">
        <f t="shared" ca="1" si="600"/>
        <v>1688742.8352255612</v>
      </c>
      <c r="AG793" s="1467">
        <f t="shared" ca="1" si="600"/>
        <v>1696517.1319616889</v>
      </c>
      <c r="AH793" s="1467">
        <f t="shared" ca="1" si="600"/>
        <v>1704330.3001814969</v>
      </c>
      <c r="AI793" s="1467">
        <f t="shared" ca="1" si="600"/>
        <v>1712182.5342424042</v>
      </c>
      <c r="AJ793" s="1467">
        <f t="shared" ca="1" si="600"/>
        <v>1720074.0294736158</v>
      </c>
      <c r="AK793" s="1467">
        <f t="shared" ca="1" si="600"/>
        <v>1728004.9821809838</v>
      </c>
      <c r="AL793" s="1467">
        <f t="shared" ca="1" si="600"/>
        <v>1735975.5896518882</v>
      </c>
      <c r="AM793" s="1467">
        <f t="shared" ca="1" si="600"/>
        <v>1743986.0501601472</v>
      </c>
      <c r="AN793" s="1467">
        <f t="shared" ca="1" si="600"/>
        <v>1752036.5629709479</v>
      </c>
      <c r="AO793" s="1467">
        <f t="shared" ca="1" si="600"/>
        <v>1760127.3283458026</v>
      </c>
      <c r="AP793" s="1467">
        <f t="shared" ca="1" si="600"/>
        <v>1768258.5475475313</v>
      </c>
      <c r="AQ793" s="1467">
        <f t="shared" ca="1" si="600"/>
        <v>1776430.4228452686</v>
      </c>
      <c r="AR793" s="1467">
        <f t="shared" ca="1" si="600"/>
        <v>1784643.1575194946</v>
      </c>
      <c r="AS793" s="1467">
        <f t="shared" ca="1" si="600"/>
        <v>1792896.9558670921</v>
      </c>
      <c r="AT793" s="1467">
        <f t="shared" ca="1" si="600"/>
        <v>1801192.0232064272</v>
      </c>
      <c r="AU793" s="1467"/>
      <c r="AV793" s="1467">
        <f t="shared" ca="1" si="524"/>
        <v>1952951.4447866601</v>
      </c>
      <c r="AW793" s="1468"/>
      <c r="AX793" s="1467">
        <f t="shared" ca="1" si="525"/>
        <v>6769709.9483278431</v>
      </c>
      <c r="AY793" s="1468"/>
      <c r="AZ793" s="1467">
        <f t="shared" ca="1" si="526"/>
        <v>8139809.9706697883</v>
      </c>
      <c r="BA793" s="1468"/>
      <c r="BB793" s="1467">
        <f t="shared" ca="1" si="527"/>
        <v>8328446.74342818</v>
      </c>
      <c r="BC793" s="1468"/>
      <c r="BD793" s="1467">
        <f t="shared" ca="1" si="528"/>
        <v>8521846.8310847674</v>
      </c>
      <c r="BE793" s="1468"/>
      <c r="BF793" s="1467">
        <f t="shared" ca="1" si="529"/>
        <v>8720130.5133097693</v>
      </c>
      <c r="BG793" s="1468"/>
      <c r="BH793" s="1467">
        <f t="shared" ca="1" si="530"/>
        <v>8923421.106985813</v>
      </c>
    </row>
    <row r="794" spans="1:60" hidden="1" outlineLevel="1">
      <c r="A794" s="1301">
        <f t="shared" si="601"/>
        <v>18</v>
      </c>
      <c r="B794" s="1301">
        <f t="shared" si="602"/>
        <v>38</v>
      </c>
      <c r="C794" s="1301">
        <f t="shared" si="604"/>
        <v>7</v>
      </c>
      <c r="D794" s="1465" t="str">
        <f ca="1">IF(OFFSET(PortfolioDashboard!$A$3,C794-1,0)="","Blank",OFFSET(PortfolioDashboard!$A$3,C794-1,0))</f>
        <v>Long-term Energy Conservation Measures</v>
      </c>
      <c r="E794" s="1466" t="str">
        <f t="shared" si="605"/>
        <v>2010$</v>
      </c>
      <c r="F794" s="1460">
        <f t="shared" ca="1" si="606"/>
        <v>5963382.3137100497</v>
      </c>
      <c r="G794" s="1467">
        <f ca="1">G732+G763</f>
        <v>0</v>
      </c>
      <c r="H794" s="1467">
        <f t="shared" ca="1" si="600"/>
        <v>0</v>
      </c>
      <c r="I794" s="1467">
        <f t="shared" ca="1" si="600"/>
        <v>0</v>
      </c>
      <c r="J794" s="1467">
        <f t="shared" ca="1" si="600"/>
        <v>0</v>
      </c>
      <c r="K794" s="1467">
        <f t="shared" ca="1" si="600"/>
        <v>0</v>
      </c>
      <c r="L794" s="1467">
        <f t="shared" ca="1" si="600"/>
        <v>0</v>
      </c>
      <c r="M794" s="1467">
        <f t="shared" ca="1" si="600"/>
        <v>0</v>
      </c>
      <c r="N794" s="1467">
        <f t="shared" ca="1" si="600"/>
        <v>0</v>
      </c>
      <c r="O794" s="1467">
        <f t="shared" ca="1" si="600"/>
        <v>0</v>
      </c>
      <c r="P794" s="1467">
        <f t="shared" ca="1" si="600"/>
        <v>0</v>
      </c>
      <c r="Q794" s="1467">
        <f t="shared" ca="1" si="600"/>
        <v>0</v>
      </c>
      <c r="R794" s="1467">
        <f t="shared" ca="1" si="600"/>
        <v>0</v>
      </c>
      <c r="S794" s="1467">
        <f t="shared" ca="1" si="600"/>
        <v>0</v>
      </c>
      <c r="T794" s="1467">
        <f t="shared" ca="1" si="600"/>
        <v>0</v>
      </c>
      <c r="U794" s="1467">
        <f t="shared" ca="1" si="600"/>
        <v>125059.2742997669</v>
      </c>
      <c r="V794" s="1467">
        <f t="shared" ca="1" si="600"/>
        <v>251040.99033453147</v>
      </c>
      <c r="W794" s="1467">
        <f t="shared" ca="1" si="600"/>
        <v>377952.06641730608</v>
      </c>
      <c r="X794" s="1467">
        <f t="shared" ca="1" si="600"/>
        <v>505799.46698319016</v>
      </c>
      <c r="Y794" s="1467">
        <f t="shared" ca="1" si="600"/>
        <v>634590.20287763246</v>
      </c>
      <c r="Z794" s="1467">
        <f t="shared" ca="1" si="600"/>
        <v>764331.33164642472</v>
      </c>
      <c r="AA794" s="1467">
        <f t="shared" ca="1" si="600"/>
        <v>895029.95782743301</v>
      </c>
      <c r="AB794" s="1467">
        <f t="shared" ca="1" si="600"/>
        <v>1026693.2332440799</v>
      </c>
      <c r="AC794" s="1467">
        <f t="shared" ca="1" si="600"/>
        <v>1159328.3573005877</v>
      </c>
      <c r="AD794" s="1467">
        <f t="shared" ca="1" si="600"/>
        <v>1292942.5772789896</v>
      </c>
      <c r="AE794" s="1467">
        <f t="shared" ca="1" si="600"/>
        <v>1297766.5351253846</v>
      </c>
      <c r="AF794" s="1467">
        <f t="shared" ca="1" si="600"/>
        <v>1302614.6127610113</v>
      </c>
      <c r="AG794" s="1467">
        <f t="shared" ca="1" si="600"/>
        <v>1307486.9307848162</v>
      </c>
      <c r="AH794" s="1467">
        <f t="shared" ca="1" si="600"/>
        <v>1312383.61039874</v>
      </c>
      <c r="AI794" s="1467">
        <f t="shared" ca="1" si="600"/>
        <v>1317304.7734107336</v>
      </c>
      <c r="AJ794" s="1467">
        <f t="shared" ca="1" si="600"/>
        <v>1322250.542237787</v>
      </c>
      <c r="AK794" s="1467">
        <f t="shared" ca="1" si="600"/>
        <v>1327221.0399089758</v>
      </c>
      <c r="AL794" s="1467">
        <f t="shared" ca="1" si="600"/>
        <v>1332216.3900685206</v>
      </c>
      <c r="AM794" s="1467">
        <f t="shared" ca="1" si="600"/>
        <v>1337236.7169788629</v>
      </c>
      <c r="AN794" s="1467">
        <f t="shared" ca="1" si="600"/>
        <v>1342282.1455237572</v>
      </c>
      <c r="AO794" s="1467">
        <f t="shared" ca="1" si="600"/>
        <v>1347352.8012113757</v>
      </c>
      <c r="AP794" s="1467">
        <f t="shared" ca="1" si="600"/>
        <v>1352448.8101774326</v>
      </c>
      <c r="AQ794" s="1467">
        <f t="shared" ca="1" si="600"/>
        <v>1357570.2991883194</v>
      </c>
      <c r="AR794" s="1467">
        <f ca="1">AR732+AR763</f>
        <v>1362717.3956442606</v>
      </c>
      <c r="AS794" s="1467">
        <f ca="1">AS732+AS763</f>
        <v>1367890.2275824822</v>
      </c>
      <c r="AT794" s="1467">
        <f ca="1">AT732+AT763</f>
        <v>1373088.9236803944</v>
      </c>
      <c r="AU794" s="1467"/>
      <c r="AV794" s="1467">
        <f t="shared" ca="1" si="524"/>
        <v>0</v>
      </c>
      <c r="AW794" s="1468"/>
      <c r="AX794" s="1467">
        <f t="shared" ca="1" si="525"/>
        <v>125059.2742997669</v>
      </c>
      <c r="AY794" s="1468"/>
      <c r="AZ794" s="1467">
        <f t="shared" ca="1" si="526"/>
        <v>2533714.0582590848</v>
      </c>
      <c r="BA794" s="1468"/>
      <c r="BB794" s="1467">
        <f t="shared" ca="1" si="527"/>
        <v>5671760.6607764754</v>
      </c>
      <c r="BC794" s="1468"/>
      <c r="BD794" s="1467">
        <f t="shared" ca="1" si="528"/>
        <v>6562040.4695930872</v>
      </c>
      <c r="BE794" s="1468"/>
      <c r="BF794" s="1467">
        <f t="shared" ca="1" si="529"/>
        <v>6686309.0936914925</v>
      </c>
      <c r="BG794" s="1468"/>
      <c r="BH794" s="1467">
        <f t="shared" ca="1" si="530"/>
        <v>6813715.65627289</v>
      </c>
    </row>
    <row r="795" spans="1:60" hidden="1" outlineLevel="1">
      <c r="A795" s="1301">
        <f t="shared" si="601"/>
        <v>18</v>
      </c>
      <c r="B795" s="1301">
        <f t="shared" si="602"/>
        <v>38</v>
      </c>
      <c r="C795" s="1301">
        <f t="shared" si="604"/>
        <v>8</v>
      </c>
      <c r="D795" s="1465" t="str">
        <f ca="1">IF(OFFSET(PortfolioDashboard!$A$3,C795-1,0)="","Blank",OFFSET(PortfolioDashboard!$A$3,C795-1,0))</f>
        <v>Green IT</v>
      </c>
      <c r="E795" s="1466" t="str">
        <f t="shared" si="605"/>
        <v>2010$</v>
      </c>
      <c r="F795" s="1460">
        <f t="shared" ca="1" si="606"/>
        <v>9635060.2859863918</v>
      </c>
      <c r="G795" s="1467">
        <f t="shared" ref="G795:AT801" ca="1" si="607">G733+G764</f>
        <v>0</v>
      </c>
      <c r="H795" s="1467">
        <f t="shared" ca="1" si="607"/>
        <v>0</v>
      </c>
      <c r="I795" s="1467">
        <f t="shared" ca="1" si="607"/>
        <v>228520.99624999994</v>
      </c>
      <c r="J795" s="1467">
        <f t="shared" ca="1" si="607"/>
        <v>459397.20246249984</v>
      </c>
      <c r="K795" s="1467">
        <f t="shared" ca="1" si="607"/>
        <v>692646.28271221824</v>
      </c>
      <c r="L795" s="1467">
        <f t="shared" ca="1" si="607"/>
        <v>696214.51412577927</v>
      </c>
      <c r="M795" s="1467">
        <f t="shared" ca="1" si="607"/>
        <v>699800.58669640811</v>
      </c>
      <c r="N795" s="1467">
        <f t="shared" ca="1" si="607"/>
        <v>703404.58962989005</v>
      </c>
      <c r="O795" s="1467">
        <f t="shared" ca="1" si="607"/>
        <v>707026.61257803941</v>
      </c>
      <c r="P795" s="1467">
        <f t="shared" ca="1" si="607"/>
        <v>710666.74564092956</v>
      </c>
      <c r="Q795" s="1467">
        <f t="shared" ca="1" si="607"/>
        <v>714325.07936913404</v>
      </c>
      <c r="R795" s="1467">
        <f t="shared" ca="1" si="607"/>
        <v>718001.70476597967</v>
      </c>
      <c r="S795" s="1467">
        <f t="shared" ca="1" si="607"/>
        <v>721696.7132898093</v>
      </c>
      <c r="T795" s="1467">
        <f t="shared" ca="1" si="607"/>
        <v>725410.19685625832</v>
      </c>
      <c r="U795" s="1467">
        <f t="shared" ca="1" si="607"/>
        <v>729142.24784053955</v>
      </c>
      <c r="V795" s="1467">
        <f t="shared" ca="1" si="607"/>
        <v>732892.95907974197</v>
      </c>
      <c r="W795" s="1467">
        <f t="shared" ca="1" si="607"/>
        <v>736662.42387514061</v>
      </c>
      <c r="X795" s="1467">
        <f t="shared" ca="1" si="607"/>
        <v>740450.73599451629</v>
      </c>
      <c r="Y795" s="1467">
        <f t="shared" ca="1" si="607"/>
        <v>744257.98967448866</v>
      </c>
      <c r="Z795" s="1467">
        <f t="shared" ca="1" si="607"/>
        <v>748084.27962286095</v>
      </c>
      <c r="AA795" s="1467">
        <f t="shared" ca="1" si="607"/>
        <v>751929.70102097525</v>
      </c>
      <c r="AB795" s="1467">
        <f t="shared" ca="1" si="607"/>
        <v>755794.34952607984</v>
      </c>
      <c r="AC795" s="1467">
        <f t="shared" ca="1" si="607"/>
        <v>759678.32127371023</v>
      </c>
      <c r="AD795" s="1467">
        <f t="shared" ca="1" si="607"/>
        <v>763581.71288007859</v>
      </c>
      <c r="AE795" s="1467">
        <f t="shared" ca="1" si="607"/>
        <v>767504.6214444791</v>
      </c>
      <c r="AF795" s="1467">
        <f t="shared" ca="1" si="607"/>
        <v>771447.14455170126</v>
      </c>
      <c r="AG795" s="1467">
        <f t="shared" ca="1" si="607"/>
        <v>775409.38027445972</v>
      </c>
      <c r="AH795" s="1467">
        <f t="shared" ca="1" si="607"/>
        <v>779391.42717583175</v>
      </c>
      <c r="AI795" s="1467">
        <f t="shared" ca="1" si="607"/>
        <v>783393.38431171083</v>
      </c>
      <c r="AJ795" s="1467">
        <f t="shared" ca="1" si="607"/>
        <v>787415.35123326932</v>
      </c>
      <c r="AK795" s="1467">
        <f t="shared" ca="1" si="607"/>
        <v>791457.4279894355</v>
      </c>
      <c r="AL795" s="1467">
        <f t="shared" ca="1" si="607"/>
        <v>795519.71512938244</v>
      </c>
      <c r="AM795" s="1467">
        <f t="shared" ca="1" si="607"/>
        <v>799602.3137050292</v>
      </c>
      <c r="AN795" s="1467">
        <f t="shared" ca="1" si="607"/>
        <v>803705.32527355431</v>
      </c>
      <c r="AO795" s="1467">
        <f t="shared" ca="1" si="607"/>
        <v>807828.85189992201</v>
      </c>
      <c r="AP795" s="1467">
        <f t="shared" ca="1" si="607"/>
        <v>811972.99615942151</v>
      </c>
      <c r="AQ795" s="1467">
        <f t="shared" ca="1" si="607"/>
        <v>816137.86114021833</v>
      </c>
      <c r="AR795" s="1467">
        <f t="shared" ca="1" si="607"/>
        <v>820323.55044591927</v>
      </c>
      <c r="AS795" s="1467">
        <f t="shared" ca="1" si="607"/>
        <v>824530.16819814884</v>
      </c>
      <c r="AT795" s="1467">
        <f t="shared" ca="1" si="607"/>
        <v>828757.81903913943</v>
      </c>
      <c r="AU795" s="1467"/>
      <c r="AV795" s="1467">
        <f t="shared" ca="1" si="524"/>
        <v>3517113.0486710463</v>
      </c>
      <c r="AW795" s="1468"/>
      <c r="AX795" s="1467">
        <f t="shared" ca="1" si="525"/>
        <v>3608575.9421217209</v>
      </c>
      <c r="AY795" s="1468"/>
      <c r="AZ795" s="1467">
        <f t="shared" ca="1" si="526"/>
        <v>3702348.3882467486</v>
      </c>
      <c r="BA795" s="1468"/>
      <c r="BB795" s="1467">
        <f t="shared" ca="1" si="527"/>
        <v>3798488.7061453229</v>
      </c>
      <c r="BC795" s="1468"/>
      <c r="BD795" s="1467">
        <f t="shared" ca="1" si="528"/>
        <v>3897056.6875469731</v>
      </c>
      <c r="BE795" s="1468"/>
      <c r="BF795" s="1467">
        <f t="shared" ca="1" si="529"/>
        <v>3998113.6339973235</v>
      </c>
      <c r="BG795" s="1468"/>
      <c r="BH795" s="1467">
        <f t="shared" ca="1" si="530"/>
        <v>4101722.3949828474</v>
      </c>
    </row>
    <row r="796" spans="1:60" hidden="1" outlineLevel="1">
      <c r="A796" s="1301">
        <f t="shared" si="601"/>
        <v>18</v>
      </c>
      <c r="B796" s="1301">
        <f t="shared" si="602"/>
        <v>38</v>
      </c>
      <c r="C796" s="1301">
        <f t="shared" si="604"/>
        <v>9</v>
      </c>
      <c r="D796" s="1465" t="str">
        <f ca="1">IF(OFFSET(PortfolioDashboard!$A$3,C796-1,0)="","Blank",OFFSET(PortfolioDashboard!$A$3,C796-1,0))</f>
        <v>Reduced Air Travel</v>
      </c>
      <c r="E796" s="1466" t="str">
        <f t="shared" si="605"/>
        <v>2010$</v>
      </c>
      <c r="F796" s="1460">
        <f t="shared" ca="1" si="606"/>
        <v>2554543.5640719305</v>
      </c>
      <c r="G796" s="1467">
        <f t="shared" ref="G796:G813" ca="1" si="608">G734+G765</f>
        <v>0</v>
      </c>
      <c r="H796" s="1467">
        <f t="shared" ca="1" si="607"/>
        <v>123606.77688805692</v>
      </c>
      <c r="I796" s="1467">
        <f t="shared" ca="1" si="607"/>
        <v>124003.00400854273</v>
      </c>
      <c r="J796" s="1467">
        <f t="shared" ca="1" si="607"/>
        <v>124307.03977146068</v>
      </c>
      <c r="K796" s="1467">
        <f t="shared" ca="1" si="607"/>
        <v>124563.3537761138</v>
      </c>
      <c r="L796" s="1467">
        <f t="shared" ca="1" si="607"/>
        <v>124789.17094740043</v>
      </c>
      <c r="M796" s="1467">
        <f t="shared" ca="1" si="607"/>
        <v>187489.9879132183</v>
      </c>
      <c r="N796" s="1467">
        <f t="shared" ca="1" si="607"/>
        <v>187771.59683356594</v>
      </c>
      <c r="O796" s="1467">
        <f t="shared" ca="1" si="607"/>
        <v>188033.71202562816</v>
      </c>
      <c r="P796" s="1467">
        <f t="shared" ca="1" si="607"/>
        <v>188279.89599625603</v>
      </c>
      <c r="Q796" s="1467">
        <f t="shared" ca="1" si="607"/>
        <v>188512.74258500358</v>
      </c>
      <c r="R796" s="1467">
        <f t="shared" ca="1" si="607"/>
        <v>188734.2099312158</v>
      </c>
      <c r="S796" s="1467">
        <f t="shared" ca="1" si="607"/>
        <v>188945.81931438201</v>
      </c>
      <c r="T796" s="1467">
        <f t="shared" ca="1" si="607"/>
        <v>189148.78052821939</v>
      </c>
      <c r="U796" s="1467">
        <f t="shared" ca="1" si="607"/>
        <v>189344.074468823</v>
      </c>
      <c r="V796" s="1467">
        <f t="shared" ca="1" si="607"/>
        <v>189532.50953521696</v>
      </c>
      <c r="W796" s="1467">
        <f t="shared" ca="1" si="607"/>
        <v>189714.76132834144</v>
      </c>
      <c r="X796" s="1467">
        <f t="shared" ca="1" si="607"/>
        <v>189891.40132272491</v>
      </c>
      <c r="Y796" s="1467">
        <f t="shared" ca="1" si="607"/>
        <v>190062.91803844224</v>
      </c>
      <c r="Z796" s="1467">
        <f t="shared" ca="1" si="607"/>
        <v>190229.73298014997</v>
      </c>
      <c r="AA796" s="1467">
        <f t="shared" ca="1" si="607"/>
        <v>190392.21284220132</v>
      </c>
      <c r="AB796" s="1467">
        <f t="shared" ca="1" si="607"/>
        <v>190550.67899634904</v>
      </c>
      <c r="AC796" s="1467">
        <f t="shared" ca="1" si="607"/>
        <v>190705.41496683744</v>
      </c>
      <c r="AD796" s="1467">
        <f t="shared" ca="1" si="607"/>
        <v>190856.67239132349</v>
      </c>
      <c r="AE796" s="1467">
        <f t="shared" ca="1" si="607"/>
        <v>191004.67582643646</v>
      </c>
      <c r="AF796" s="1467">
        <f t="shared" ca="1" si="607"/>
        <v>191149.62666042676</v>
      </c>
      <c r="AG796" s="1467">
        <f t="shared" ca="1" si="607"/>
        <v>191291.70632768099</v>
      </c>
      <c r="AH796" s="1467">
        <f t="shared" ca="1" si="607"/>
        <v>191431.07897157304</v>
      </c>
      <c r="AI796" s="1467">
        <f t="shared" ca="1" si="607"/>
        <v>191567.89366713187</v>
      </c>
      <c r="AJ796" s="1467">
        <f t="shared" ca="1" si="607"/>
        <v>191702.28628932338</v>
      </c>
      <c r="AK796" s="1467">
        <f t="shared" ca="1" si="607"/>
        <v>191834.38109365286</v>
      </c>
      <c r="AL796" s="1467">
        <f t="shared" ca="1" si="607"/>
        <v>191964.29206144507</v>
      </c>
      <c r="AM796" s="1467">
        <f t="shared" ca="1" si="607"/>
        <v>192092.12405125631</v>
      </c>
      <c r="AN796" s="1467">
        <f t="shared" ca="1" si="607"/>
        <v>192217.97378950985</v>
      </c>
      <c r="AO796" s="1467">
        <f t="shared" ca="1" si="607"/>
        <v>192341.9307269709</v>
      </c>
      <c r="AP796" s="1467">
        <f t="shared" ca="1" si="607"/>
        <v>192464.07778262065</v>
      </c>
      <c r="AQ796" s="1467">
        <f t="shared" ca="1" si="607"/>
        <v>192584.49199251211</v>
      </c>
      <c r="AR796" s="1467">
        <f t="shared" ca="1" si="607"/>
        <v>192703.24507803266</v>
      </c>
      <c r="AS796" s="1467">
        <f t="shared" ca="1" si="607"/>
        <v>192820.40394548161</v>
      </c>
      <c r="AT796" s="1467">
        <f t="shared" ca="1" si="607"/>
        <v>192936.03112684423</v>
      </c>
      <c r="AU796" s="1467"/>
      <c r="AV796" s="1467">
        <f t="shared" ca="1" si="524"/>
        <v>876364.36371606891</v>
      </c>
      <c r="AW796" s="1468"/>
      <c r="AX796" s="1467">
        <f t="shared" ca="1" si="525"/>
        <v>944685.62682764383</v>
      </c>
      <c r="AY796" s="1468"/>
      <c r="AZ796" s="1467">
        <f t="shared" ca="1" si="526"/>
        <v>949431.32320487546</v>
      </c>
      <c r="BA796" s="1468"/>
      <c r="BB796" s="1467">
        <f t="shared" ca="1" si="527"/>
        <v>953509.65502314782</v>
      </c>
      <c r="BC796" s="1468"/>
      <c r="BD796" s="1467">
        <f t="shared" ca="1" si="528"/>
        <v>957142.59191613598</v>
      </c>
      <c r="BE796" s="1468"/>
      <c r="BF796" s="1467">
        <f t="shared" ca="1" si="529"/>
        <v>960450.70172283496</v>
      </c>
      <c r="BG796" s="1468"/>
      <c r="BH796" s="1467">
        <f t="shared" ca="1" si="530"/>
        <v>963508.24992549128</v>
      </c>
    </row>
    <row r="797" spans="1:60" hidden="1" outlineLevel="1">
      <c r="A797" s="1301">
        <f t="shared" si="601"/>
        <v>18</v>
      </c>
      <c r="B797" s="1301">
        <f t="shared" si="602"/>
        <v>38</v>
      </c>
      <c r="C797" s="1301">
        <f t="shared" si="604"/>
        <v>10</v>
      </c>
      <c r="D797" s="1465" t="str">
        <f ca="1">IF(OFFSET(PortfolioDashboard!$A$3,C797-1,0)="","Blank",OFFSET(PortfolioDashboard!$A$3,C797-1,0))</f>
        <v>Reduced Automobile Reliance Strategies</v>
      </c>
      <c r="E797" s="1466" t="str">
        <f t="shared" si="605"/>
        <v>2010$</v>
      </c>
      <c r="F797" s="1460">
        <f t="shared" ca="1" si="606"/>
        <v>-2165760.9658617252</v>
      </c>
      <c r="G797" s="1467">
        <f t="shared" ca="1" si="608"/>
        <v>0</v>
      </c>
      <c r="H797" s="1467">
        <f t="shared" ca="1" si="607"/>
        <v>0</v>
      </c>
      <c r="I797" s="1467">
        <f t="shared" ca="1" si="607"/>
        <v>-102475</v>
      </c>
      <c r="J797" s="1467">
        <f t="shared" ca="1" si="607"/>
        <v>-104950</v>
      </c>
      <c r="K797" s="1467">
        <f t="shared" ca="1" si="607"/>
        <v>-107425</v>
      </c>
      <c r="L797" s="1467">
        <f t="shared" ca="1" si="607"/>
        <v>-109900</v>
      </c>
      <c r="M797" s="1467">
        <f t="shared" ca="1" si="607"/>
        <v>-112375</v>
      </c>
      <c r="N797" s="1467">
        <f t="shared" ca="1" si="607"/>
        <v>-164850</v>
      </c>
      <c r="O797" s="1467">
        <f t="shared" ca="1" si="607"/>
        <v>-167325</v>
      </c>
      <c r="P797" s="1467">
        <f t="shared" ca="1" si="607"/>
        <v>-169800</v>
      </c>
      <c r="Q797" s="1467">
        <f t="shared" ca="1" si="607"/>
        <v>-172275</v>
      </c>
      <c r="R797" s="1467">
        <f t="shared" ca="1" si="607"/>
        <v>-174750</v>
      </c>
      <c r="S797" s="1467">
        <f t="shared" ca="1" si="607"/>
        <v>-174750</v>
      </c>
      <c r="T797" s="1467">
        <f t="shared" ca="1" si="607"/>
        <v>-174750</v>
      </c>
      <c r="U797" s="1467">
        <f t="shared" ca="1" si="607"/>
        <v>-174750</v>
      </c>
      <c r="V797" s="1467">
        <f t="shared" ca="1" si="607"/>
        <v>-174750</v>
      </c>
      <c r="W797" s="1467">
        <f t="shared" ca="1" si="607"/>
        <v>-174750</v>
      </c>
      <c r="X797" s="1467">
        <f t="shared" ca="1" si="607"/>
        <v>-174750</v>
      </c>
      <c r="Y797" s="1467">
        <f t="shared" ca="1" si="607"/>
        <v>-174750</v>
      </c>
      <c r="Z797" s="1467">
        <f t="shared" ca="1" si="607"/>
        <v>-174750</v>
      </c>
      <c r="AA797" s="1467">
        <f t="shared" ca="1" si="607"/>
        <v>-174750</v>
      </c>
      <c r="AB797" s="1467">
        <f t="shared" ca="1" si="607"/>
        <v>-174750</v>
      </c>
      <c r="AC797" s="1467">
        <f t="shared" ca="1" si="607"/>
        <v>-174750</v>
      </c>
      <c r="AD797" s="1467">
        <f t="shared" ca="1" si="607"/>
        <v>-174750</v>
      </c>
      <c r="AE797" s="1467">
        <f t="shared" ca="1" si="607"/>
        <v>-174750</v>
      </c>
      <c r="AF797" s="1467">
        <f t="shared" ca="1" si="607"/>
        <v>-174750</v>
      </c>
      <c r="AG797" s="1467">
        <f t="shared" ca="1" si="607"/>
        <v>-174750</v>
      </c>
      <c r="AH797" s="1467">
        <f t="shared" ca="1" si="607"/>
        <v>-174750</v>
      </c>
      <c r="AI797" s="1467">
        <f t="shared" ca="1" si="607"/>
        <v>-174750</v>
      </c>
      <c r="AJ797" s="1467">
        <f t="shared" ca="1" si="607"/>
        <v>-174750</v>
      </c>
      <c r="AK797" s="1467">
        <f t="shared" ca="1" si="607"/>
        <v>-174750</v>
      </c>
      <c r="AL797" s="1467">
        <f t="shared" ca="1" si="607"/>
        <v>-174750</v>
      </c>
      <c r="AM797" s="1467">
        <f t="shared" ca="1" si="607"/>
        <v>-174750</v>
      </c>
      <c r="AN797" s="1467">
        <f t="shared" ca="1" si="607"/>
        <v>-174750</v>
      </c>
      <c r="AO797" s="1467">
        <f t="shared" ca="1" si="607"/>
        <v>-174750</v>
      </c>
      <c r="AP797" s="1467">
        <f t="shared" ca="1" si="607"/>
        <v>-174750</v>
      </c>
      <c r="AQ797" s="1467">
        <f t="shared" ca="1" si="607"/>
        <v>-174750</v>
      </c>
      <c r="AR797" s="1467">
        <f t="shared" ca="1" si="607"/>
        <v>-174750</v>
      </c>
      <c r="AS797" s="1467">
        <f t="shared" ca="1" si="607"/>
        <v>-174750</v>
      </c>
      <c r="AT797" s="1467">
        <f t="shared" ca="1" si="607"/>
        <v>-174750</v>
      </c>
      <c r="AU797" s="1467"/>
      <c r="AV797" s="1467">
        <f t="shared" ca="1" si="524"/>
        <v>-724250</v>
      </c>
      <c r="AW797" s="1468"/>
      <c r="AX797" s="1467">
        <f t="shared" ca="1" si="525"/>
        <v>-871275</v>
      </c>
      <c r="AY797" s="1468"/>
      <c r="AZ797" s="1467">
        <f t="shared" ca="1" si="526"/>
        <v>-873750</v>
      </c>
      <c r="BA797" s="1468"/>
      <c r="BB797" s="1467">
        <f t="shared" ca="1" si="527"/>
        <v>-873750</v>
      </c>
      <c r="BC797" s="1468"/>
      <c r="BD797" s="1467">
        <f t="shared" ca="1" si="528"/>
        <v>-873750</v>
      </c>
      <c r="BE797" s="1468"/>
      <c r="BF797" s="1467">
        <f t="shared" ca="1" si="529"/>
        <v>-873750</v>
      </c>
      <c r="BG797" s="1468"/>
      <c r="BH797" s="1467">
        <f t="shared" ca="1" si="530"/>
        <v>-873750</v>
      </c>
    </row>
    <row r="798" spans="1:60" hidden="1" outlineLevel="1">
      <c r="A798" s="1301">
        <f t="shared" si="601"/>
        <v>18</v>
      </c>
      <c r="B798" s="1301">
        <f t="shared" si="602"/>
        <v>38</v>
      </c>
      <c r="C798" s="1301">
        <f t="shared" si="604"/>
        <v>11</v>
      </c>
      <c r="D798" s="1465" t="str">
        <f ca="1">IF(OFFSET(PortfolioDashboard!$A$3,C798-1,0)="","Blank",OFFSET(PortfolioDashboard!$A$3,C798-1,0))</f>
        <v>Waste Reduction</v>
      </c>
      <c r="E798" s="1466" t="str">
        <f t="shared" si="605"/>
        <v>2010$</v>
      </c>
      <c r="F798" s="1460">
        <f t="shared" ca="1" si="606"/>
        <v>43933.902081298445</v>
      </c>
      <c r="G798" s="1467">
        <f t="shared" ca="1" si="608"/>
        <v>0</v>
      </c>
      <c r="H798" s="1467">
        <f t="shared" ca="1" si="607"/>
        <v>0</v>
      </c>
      <c r="I798" s="1467">
        <f t="shared" ca="1" si="607"/>
        <v>3148</v>
      </c>
      <c r="J798" s="1467">
        <f t="shared" ca="1" si="607"/>
        <v>3148</v>
      </c>
      <c r="K798" s="1467">
        <f t="shared" ca="1" si="607"/>
        <v>3148</v>
      </c>
      <c r="L798" s="1467">
        <f t="shared" ca="1" si="607"/>
        <v>3148</v>
      </c>
      <c r="M798" s="1467">
        <f t="shared" ca="1" si="607"/>
        <v>3148</v>
      </c>
      <c r="N798" s="1467">
        <f t="shared" ca="1" si="607"/>
        <v>3148</v>
      </c>
      <c r="O798" s="1467">
        <f t="shared" ca="1" si="607"/>
        <v>3148</v>
      </c>
      <c r="P798" s="1467">
        <f t="shared" ca="1" si="607"/>
        <v>3148</v>
      </c>
      <c r="Q798" s="1467">
        <f t="shared" ca="1" si="607"/>
        <v>3148</v>
      </c>
      <c r="R798" s="1467">
        <f t="shared" ca="1" si="607"/>
        <v>3148</v>
      </c>
      <c r="S798" s="1467">
        <f t="shared" ca="1" si="607"/>
        <v>3148</v>
      </c>
      <c r="T798" s="1467">
        <f t="shared" ca="1" si="607"/>
        <v>3148</v>
      </c>
      <c r="U798" s="1467">
        <f t="shared" ca="1" si="607"/>
        <v>3148</v>
      </c>
      <c r="V798" s="1467">
        <f t="shared" ca="1" si="607"/>
        <v>3148</v>
      </c>
      <c r="W798" s="1467">
        <f t="shared" ca="1" si="607"/>
        <v>3148</v>
      </c>
      <c r="X798" s="1467">
        <f t="shared" ca="1" si="607"/>
        <v>3148</v>
      </c>
      <c r="Y798" s="1467">
        <f t="shared" ca="1" si="607"/>
        <v>3148</v>
      </c>
      <c r="Z798" s="1467">
        <f t="shared" ca="1" si="607"/>
        <v>3148</v>
      </c>
      <c r="AA798" s="1467">
        <f t="shared" ca="1" si="607"/>
        <v>3148</v>
      </c>
      <c r="AB798" s="1467">
        <f t="shared" ca="1" si="607"/>
        <v>3148</v>
      </c>
      <c r="AC798" s="1467">
        <f t="shared" ca="1" si="607"/>
        <v>3148</v>
      </c>
      <c r="AD798" s="1467">
        <f t="shared" ca="1" si="607"/>
        <v>3148</v>
      </c>
      <c r="AE798" s="1467">
        <f t="shared" ca="1" si="607"/>
        <v>3148</v>
      </c>
      <c r="AF798" s="1467">
        <f t="shared" ca="1" si="607"/>
        <v>3148</v>
      </c>
      <c r="AG798" s="1467">
        <f t="shared" ca="1" si="607"/>
        <v>3148</v>
      </c>
      <c r="AH798" s="1467">
        <f t="shared" ca="1" si="607"/>
        <v>3148</v>
      </c>
      <c r="AI798" s="1467">
        <f t="shared" ca="1" si="607"/>
        <v>3148</v>
      </c>
      <c r="AJ798" s="1467">
        <f t="shared" ca="1" si="607"/>
        <v>3148</v>
      </c>
      <c r="AK798" s="1467">
        <f t="shared" ca="1" si="607"/>
        <v>3148</v>
      </c>
      <c r="AL798" s="1467">
        <f t="shared" ca="1" si="607"/>
        <v>3148</v>
      </c>
      <c r="AM798" s="1467">
        <f t="shared" ca="1" si="607"/>
        <v>3148</v>
      </c>
      <c r="AN798" s="1467">
        <f t="shared" ca="1" si="607"/>
        <v>3148</v>
      </c>
      <c r="AO798" s="1467">
        <f t="shared" ca="1" si="607"/>
        <v>3148</v>
      </c>
      <c r="AP798" s="1467">
        <f t="shared" ca="1" si="607"/>
        <v>3148</v>
      </c>
      <c r="AQ798" s="1467">
        <f t="shared" ca="1" si="607"/>
        <v>3148</v>
      </c>
      <c r="AR798" s="1467">
        <f t="shared" ca="1" si="607"/>
        <v>3148</v>
      </c>
      <c r="AS798" s="1467">
        <f t="shared" ca="1" si="607"/>
        <v>3148</v>
      </c>
      <c r="AT798" s="1467">
        <f t="shared" ca="1" si="607"/>
        <v>3148</v>
      </c>
      <c r="AU798" s="1467"/>
      <c r="AV798" s="1467">
        <f t="shared" ca="1" si="524"/>
        <v>15740</v>
      </c>
      <c r="AW798" s="1468"/>
      <c r="AX798" s="1467">
        <f t="shared" ca="1" si="525"/>
        <v>15740</v>
      </c>
      <c r="AY798" s="1468"/>
      <c r="AZ798" s="1467">
        <f t="shared" ca="1" si="526"/>
        <v>15740</v>
      </c>
      <c r="BA798" s="1468"/>
      <c r="BB798" s="1467">
        <f t="shared" ca="1" si="527"/>
        <v>15740</v>
      </c>
      <c r="BC798" s="1468"/>
      <c r="BD798" s="1467">
        <f t="shared" ca="1" si="528"/>
        <v>15740</v>
      </c>
      <c r="BE798" s="1468"/>
      <c r="BF798" s="1467">
        <f t="shared" ca="1" si="529"/>
        <v>15740</v>
      </c>
      <c r="BG798" s="1468"/>
      <c r="BH798" s="1467">
        <f t="shared" ca="1" si="530"/>
        <v>15740</v>
      </c>
    </row>
    <row r="799" spans="1:60" hidden="1" outlineLevel="1">
      <c r="A799" s="1301">
        <f t="shared" si="601"/>
        <v>18</v>
      </c>
      <c r="B799" s="1301">
        <f t="shared" si="602"/>
        <v>38</v>
      </c>
      <c r="C799" s="1301">
        <f t="shared" si="604"/>
        <v>12</v>
      </c>
      <c r="D799" s="1465" t="str">
        <f ca="1">IF(OFFSET(PortfolioDashboard!$A$3,C799-1,0)="","Blank",OFFSET(PortfolioDashboard!$A$3,C799-1,0))</f>
        <v>Steam Line Improvements</v>
      </c>
      <c r="E799" s="1466" t="str">
        <f t="shared" si="605"/>
        <v>2010$</v>
      </c>
      <c r="F799" s="1460">
        <f t="shared" ca="1" si="606"/>
        <v>5520765.9617507318</v>
      </c>
      <c r="G799" s="1467">
        <f t="shared" ca="1" si="608"/>
        <v>0</v>
      </c>
      <c r="H799" s="1467">
        <f t="shared" ca="1" si="607"/>
        <v>0</v>
      </c>
      <c r="I799" s="1467">
        <f t="shared" ca="1" si="607"/>
        <v>318930.98821845633</v>
      </c>
      <c r="J799" s="1467">
        <f t="shared" ca="1" si="607"/>
        <v>325674.38291916944</v>
      </c>
      <c r="K799" s="1467">
        <f t="shared" ca="1" si="607"/>
        <v>331089.05995406612</v>
      </c>
      <c r="L799" s="1467">
        <f t="shared" ca="1" si="607"/>
        <v>340270.05984589568</v>
      </c>
      <c r="M799" s="1467">
        <f t="shared" ca="1" si="607"/>
        <v>345795.67297425686</v>
      </c>
      <c r="N799" s="1467">
        <f t="shared" ca="1" si="607"/>
        <v>351368.03548240557</v>
      </c>
      <c r="O799" s="1467">
        <f t="shared" ca="1" si="607"/>
        <v>356987.47672381124</v>
      </c>
      <c r="P799" s="1467">
        <f t="shared" ca="1" si="607"/>
        <v>362654.32817674411</v>
      </c>
      <c r="Q799" s="1467">
        <f t="shared" ca="1" si="607"/>
        <v>368368.92345728818</v>
      </c>
      <c r="R799" s="1467">
        <f t="shared" ca="1" si="607"/>
        <v>374131.59833243315</v>
      </c>
      <c r="S799" s="1467">
        <f t="shared" ca="1" si="607"/>
        <v>379942.69073324307</v>
      </c>
      <c r="T799" s="1467">
        <f t="shared" ca="1" si="607"/>
        <v>385802.54076810298</v>
      </c>
      <c r="U799" s="1467">
        <f t="shared" ca="1" si="607"/>
        <v>391711.49073604314</v>
      </c>
      <c r="V799" s="1467">
        <f t="shared" ca="1" si="607"/>
        <v>397669.88514014328</v>
      </c>
      <c r="W799" s="1467">
        <f t="shared" ca="1" si="607"/>
        <v>403678.07070101617</v>
      </c>
      <c r="X799" s="1467">
        <f t="shared" ca="1" si="607"/>
        <v>409736.39637036924</v>
      </c>
      <c r="Y799" s="1467">
        <f t="shared" ca="1" si="607"/>
        <v>415845.21334464825</v>
      </c>
      <c r="Z799" s="1467">
        <f t="shared" ca="1" si="607"/>
        <v>422004.87507876102</v>
      </c>
      <c r="AA799" s="1467">
        <f t="shared" ca="1" si="607"/>
        <v>428215.73729988118</v>
      </c>
      <c r="AB799" s="1467">
        <f t="shared" ca="1" si="607"/>
        <v>434478.15802133561</v>
      </c>
      <c r="AC799" s="1467">
        <f t="shared" ca="1" si="607"/>
        <v>440792.49755657191</v>
      </c>
      <c r="AD799" s="1467">
        <f t="shared" ca="1" si="607"/>
        <v>447159.11853321025</v>
      </c>
      <c r="AE799" s="1467">
        <f t="shared" ca="1" si="607"/>
        <v>453578.38590717589</v>
      </c>
      <c r="AF799" s="1467">
        <f t="shared" ca="1" si="607"/>
        <v>460050.66697691794</v>
      </c>
      <c r="AG799" s="1467">
        <f t="shared" ca="1" si="607"/>
        <v>466576.33139770979</v>
      </c>
      <c r="AH799" s="1467">
        <f t="shared" ca="1" si="607"/>
        <v>473155.75119603518</v>
      </c>
      <c r="AI799" s="1467">
        <f t="shared" ca="1" si="607"/>
        <v>479789.30078405864</v>
      </c>
      <c r="AJ799" s="1467">
        <f t="shared" ca="1" si="607"/>
        <v>486477.35697418259</v>
      </c>
      <c r="AK799" s="1467">
        <f t="shared" ca="1" si="607"/>
        <v>493220.29899368808</v>
      </c>
      <c r="AL799" s="1467">
        <f t="shared" ca="1" si="607"/>
        <v>500018.50849946431</v>
      </c>
      <c r="AM799" s="1467">
        <f t="shared" ca="1" si="607"/>
        <v>506872.36959282338</v>
      </c>
      <c r="AN799" s="1467">
        <f t="shared" ca="1" si="607"/>
        <v>513782.26883440372</v>
      </c>
      <c r="AO799" s="1467">
        <f t="shared" ca="1" si="607"/>
        <v>520748.59525915998</v>
      </c>
      <c r="AP799" s="1467">
        <f t="shared" ca="1" si="607"/>
        <v>527771.74039144302</v>
      </c>
      <c r="AQ799" s="1467">
        <f t="shared" ca="1" si="607"/>
        <v>534852.09826016694</v>
      </c>
      <c r="AR799" s="1467">
        <f t="shared" ca="1" si="607"/>
        <v>541990.06541406864</v>
      </c>
      <c r="AS799" s="1467">
        <f t="shared" ca="1" si="607"/>
        <v>549186.04093705327</v>
      </c>
      <c r="AT799" s="1467">
        <f t="shared" ca="1" si="607"/>
        <v>556440.42646363203</v>
      </c>
      <c r="AU799" s="1467"/>
      <c r="AV799" s="1467">
        <f t="shared" ca="1" si="524"/>
        <v>1757075.5732031134</v>
      </c>
      <c r="AW799" s="1468"/>
      <c r="AX799" s="1467">
        <f t="shared" ca="1" si="525"/>
        <v>1899957.2440271105</v>
      </c>
      <c r="AY799" s="1468"/>
      <c r="AZ799" s="1467">
        <f t="shared" ca="1" si="526"/>
        <v>2048934.440634938</v>
      </c>
      <c r="BA799" s="1468"/>
      <c r="BB799" s="1467">
        <f t="shared" ca="1" si="527"/>
        <v>2204223.8973181751</v>
      </c>
      <c r="BC799" s="1468"/>
      <c r="BD799" s="1467">
        <f t="shared" ca="1" si="528"/>
        <v>2366049.4073289041</v>
      </c>
      <c r="BE799" s="1468"/>
      <c r="BF799" s="1467">
        <f t="shared" ca="1" si="529"/>
        <v>2534642.0411795392</v>
      </c>
      <c r="BG799" s="1468"/>
      <c r="BH799" s="1467">
        <f t="shared" ca="1" si="530"/>
        <v>2710240.3714663638</v>
      </c>
    </row>
    <row r="800" spans="1:60" hidden="1" outlineLevel="1">
      <c r="A800" s="1301">
        <f t="shared" si="601"/>
        <v>18</v>
      </c>
      <c r="B800" s="1301">
        <f t="shared" si="602"/>
        <v>38</v>
      </c>
      <c r="C800" s="1301">
        <f t="shared" si="604"/>
        <v>13</v>
      </c>
      <c r="D800" s="1465" t="str">
        <f ca="1">IF(OFFSET(PortfolioDashboard!$A$3,C800-1,0)="","Blank",OFFSET(PortfolioDashboard!$A$3,C800-1,0))</f>
        <v>Coal to Natural Gas Conversion @ Steam Plant</v>
      </c>
      <c r="E800" s="1466" t="str">
        <f t="shared" si="605"/>
        <v>2010$</v>
      </c>
      <c r="F800" s="1460">
        <f t="shared" ca="1" si="606"/>
        <v>-4228976.1405559285</v>
      </c>
      <c r="G800" s="1467">
        <f t="shared" ca="1" si="608"/>
        <v>0</v>
      </c>
      <c r="H800" s="1467">
        <f t="shared" ca="1" si="607"/>
        <v>0</v>
      </c>
      <c r="I800" s="1467">
        <f t="shared" ca="1" si="607"/>
        <v>0</v>
      </c>
      <c r="J800" s="1467">
        <f t="shared" ca="1" si="607"/>
        <v>0</v>
      </c>
      <c r="K800" s="1467">
        <f t="shared" ca="1" si="607"/>
        <v>0</v>
      </c>
      <c r="L800" s="1467">
        <f t="shared" ca="1" si="607"/>
        <v>-303812.55343383551</v>
      </c>
      <c r="M800" s="1467">
        <f t="shared" ca="1" si="607"/>
        <v>-308746.13658415806</v>
      </c>
      <c r="N800" s="1467">
        <f t="shared" ca="1" si="607"/>
        <v>-313721.4602521481</v>
      </c>
      <c r="O800" s="1467">
        <f t="shared" ca="1" si="607"/>
        <v>-318738.8185034031</v>
      </c>
      <c r="P800" s="1467">
        <f t="shared" ca="1" si="607"/>
        <v>-323798.50730066467</v>
      </c>
      <c r="Q800" s="1467">
        <f t="shared" ca="1" si="607"/>
        <v>-328900.82451543584</v>
      </c>
      <c r="R800" s="1467">
        <f t="shared" ca="1" si="607"/>
        <v>-334046.06993967295</v>
      </c>
      <c r="S800" s="1467">
        <f t="shared" ca="1" si="607"/>
        <v>-339234.54529753793</v>
      </c>
      <c r="T800" s="1467">
        <f t="shared" ca="1" si="607"/>
        <v>-344466.55425723549</v>
      </c>
      <c r="U800" s="1467">
        <f t="shared" ca="1" si="607"/>
        <v>-349742.40244289581</v>
      </c>
      <c r="V800" s="1467">
        <f t="shared" ca="1" si="607"/>
        <v>-355062.39744655695</v>
      </c>
      <c r="W800" s="1467">
        <f t="shared" ca="1" si="607"/>
        <v>-360426.84884019289</v>
      </c>
      <c r="X800" s="1467">
        <f t="shared" ca="1" si="607"/>
        <v>-365836.06818782911</v>
      </c>
      <c r="Y800" s="1467">
        <f t="shared" ca="1" si="607"/>
        <v>-371290.36905772146</v>
      </c>
      <c r="Z800" s="1467">
        <f t="shared" ca="1" si="607"/>
        <v>-376790.06703460775</v>
      </c>
      <c r="AA800" s="1467">
        <f t="shared" ca="1" si="607"/>
        <v>-382335.47973203566</v>
      </c>
      <c r="AB800" s="1467">
        <f t="shared" ca="1" si="607"/>
        <v>-387926.9268047642</v>
      </c>
      <c r="AC800" s="1467">
        <f t="shared" ca="1" si="607"/>
        <v>-393564.72996122483</v>
      </c>
      <c r="AD800" s="1467">
        <f t="shared" ca="1" si="607"/>
        <v>-399249.21297608037</v>
      </c>
      <c r="AE800" s="1467">
        <f t="shared" ca="1" si="607"/>
        <v>-404980.70170283597</v>
      </c>
      <c r="AF800" s="1467">
        <f t="shared" ca="1" si="607"/>
        <v>-410759.52408653311</v>
      </c>
      <c r="AG800" s="1467">
        <f t="shared" ca="1" si="607"/>
        <v>-416586.01017652731</v>
      </c>
      <c r="AH800" s="1467">
        <f t="shared" ca="1" si="607"/>
        <v>-422460.49213931803</v>
      </c>
      <c r="AI800" s="1467">
        <f t="shared" ca="1" si="607"/>
        <v>-428383.304271481</v>
      </c>
      <c r="AJ800" s="1467">
        <f t="shared" ca="1" si="607"/>
        <v>-434354.78301266301</v>
      </c>
      <c r="AK800" s="1467">
        <f t="shared" ca="1" si="607"/>
        <v>-440375.2669586502</v>
      </c>
      <c r="AL800" s="1467">
        <f t="shared" ca="1" si="607"/>
        <v>-446445.09687452111</v>
      </c>
      <c r="AM800" s="1467">
        <f t="shared" ca="1" si="607"/>
        <v>-452564.61570787802</v>
      </c>
      <c r="AN800" s="1467">
        <f t="shared" ca="1" si="607"/>
        <v>-458734.16860214621</v>
      </c>
      <c r="AO800" s="1467">
        <f t="shared" ca="1" si="607"/>
        <v>-464954.10290996451</v>
      </c>
      <c r="AP800" s="1467">
        <f t="shared" ca="1" si="607"/>
        <v>-471224.7682066448</v>
      </c>
      <c r="AQ800" s="1467">
        <f t="shared" ca="1" si="607"/>
        <v>-477546.51630371995</v>
      </c>
      <c r="AR800" s="1467">
        <f t="shared" ca="1" si="607"/>
        <v>-483919.70126256067</v>
      </c>
      <c r="AS800" s="1467">
        <f t="shared" ca="1" si="607"/>
        <v>-490344.67940808367</v>
      </c>
      <c r="AT800" s="1467">
        <f t="shared" ca="1" si="607"/>
        <v>-496821.80934252869</v>
      </c>
      <c r="AU800" s="1467"/>
      <c r="AV800" s="1467">
        <f t="shared" ca="1" si="524"/>
        <v>-1568817.4760742094</v>
      </c>
      <c r="AW800" s="1468"/>
      <c r="AX800" s="1467">
        <f t="shared" ca="1" si="525"/>
        <v>-1696390.396452778</v>
      </c>
      <c r="AY800" s="1468"/>
      <c r="AZ800" s="1467">
        <f t="shared" ca="1" si="526"/>
        <v>-1829405.7505669082</v>
      </c>
      <c r="BA800" s="1468"/>
      <c r="BB800" s="1467">
        <f t="shared" ca="1" si="527"/>
        <v>-1968057.051176941</v>
      </c>
      <c r="BC800" s="1468"/>
      <c r="BD800" s="1467">
        <f t="shared" ca="1" si="528"/>
        <v>-2112544.1136865225</v>
      </c>
      <c r="BE800" s="1468"/>
      <c r="BF800" s="1467">
        <f t="shared" ca="1" si="529"/>
        <v>-2263073.2510531601</v>
      </c>
      <c r="BG800" s="1468"/>
      <c r="BH800" s="1467">
        <f t="shared" ca="1" si="530"/>
        <v>-2419857.4745235378</v>
      </c>
    </row>
    <row r="801" spans="1:60" hidden="1" outlineLevel="1">
      <c r="A801" s="1301">
        <f t="shared" si="601"/>
        <v>18</v>
      </c>
      <c r="B801" s="1301">
        <f t="shared" si="602"/>
        <v>38</v>
      </c>
      <c r="C801" s="1301">
        <f t="shared" si="604"/>
        <v>14</v>
      </c>
      <c r="D801" s="1465" t="str">
        <f ca="1">IF(OFFSET(PortfolioDashboard!$A$3,C801-1,0)="","Blank",OFFSET(PortfolioDashboard!$A$3,C801-1,0))</f>
        <v>On-site Wind</v>
      </c>
      <c r="E801" s="1466" t="str">
        <f t="shared" si="605"/>
        <v>2010$</v>
      </c>
      <c r="F801" s="1460">
        <f t="shared" ca="1" si="606"/>
        <v>-75306.625538627894</v>
      </c>
      <c r="G801" s="1467">
        <f t="shared" ca="1" si="608"/>
        <v>0</v>
      </c>
      <c r="H801" s="1467">
        <f t="shared" ca="1" si="607"/>
        <v>-6057.5400000000009</v>
      </c>
      <c r="I801" s="1467">
        <f t="shared" ca="1" si="607"/>
        <v>-5982.7077000000063</v>
      </c>
      <c r="J801" s="1467">
        <f t="shared" ca="1" si="607"/>
        <v>-5907.5012385000064</v>
      </c>
      <c r="K801" s="1467">
        <f t="shared" ca="1" si="607"/>
        <v>-5831.9187446925116</v>
      </c>
      <c r="L801" s="1467">
        <f t="shared" ca="1" si="607"/>
        <v>-5755.9583384159741</v>
      </c>
      <c r="M801" s="1467">
        <f t="shared" ca="1" si="607"/>
        <v>-5679.6181301080578</v>
      </c>
      <c r="N801" s="1467">
        <f t="shared" ca="1" si="607"/>
        <v>-5602.896220758601</v>
      </c>
      <c r="O801" s="1467">
        <f t="shared" ca="1" si="607"/>
        <v>-5525.7907018623955</v>
      </c>
      <c r="P801" s="1467">
        <f t="shared" ca="1" si="607"/>
        <v>-5448.2996553717057</v>
      </c>
      <c r="Q801" s="1467">
        <f t="shared" ca="1" si="607"/>
        <v>-5370.4211536485691</v>
      </c>
      <c r="R801" s="1467">
        <f t="shared" ca="1" si="607"/>
        <v>-5292.1532594168129</v>
      </c>
      <c r="S801" s="1467">
        <f t="shared" ca="1" si="607"/>
        <v>-5213.4940257139042</v>
      </c>
      <c r="T801" s="1467">
        <f t="shared" ca="1" si="607"/>
        <v>-5134.4414958424732</v>
      </c>
      <c r="U801" s="1467">
        <f t="shared" ca="1" si="607"/>
        <v>-5054.9937033216884</v>
      </c>
      <c r="V801" s="1467">
        <f t="shared" ca="1" si="607"/>
        <v>-4975.1486718383003</v>
      </c>
      <c r="W801" s="1467">
        <f t="shared" ca="1" si="607"/>
        <v>-4894.9044151974922</v>
      </c>
      <c r="X801" s="1467">
        <f t="shared" ca="1" si="607"/>
        <v>-4814.2589372734819</v>
      </c>
      <c r="Y801" s="1467">
        <f t="shared" ca="1" si="607"/>
        <v>-4733.2102319598544</v>
      </c>
      <c r="Z801" s="1467">
        <f t="shared" ca="1" si="607"/>
        <v>-4651.7562831196556</v>
      </c>
      <c r="AA801" s="1467">
        <f t="shared" ca="1" si="607"/>
        <v>-4569.8950645352561</v>
      </c>
      <c r="AB801" s="1467">
        <f t="shared" ref="H801:AT808" ca="1" si="609">AB739+AB770</f>
        <v>-4487.6245398579376</v>
      </c>
      <c r="AC801" s="1467">
        <f t="shared" ca="1" si="609"/>
        <v>-4404.9426625572269</v>
      </c>
      <c r="AD801" s="1467">
        <f t="shared" ca="1" si="609"/>
        <v>-4321.8473758700165</v>
      </c>
      <c r="AE801" s="1467">
        <f t="shared" ca="1" si="609"/>
        <v>-4238.3366127493646</v>
      </c>
      <c r="AF801" s="1467">
        <f t="shared" ca="1" si="609"/>
        <v>-4154.4082958131185</v>
      </c>
      <c r="AG801" s="1467">
        <f t="shared" ca="1" si="609"/>
        <v>-4070.0603372921832</v>
      </c>
      <c r="AH801" s="1467">
        <f t="shared" ca="1" si="609"/>
        <v>-3985.2906389786476</v>
      </c>
      <c r="AI801" s="1467">
        <f t="shared" ca="1" si="609"/>
        <v>-3900.0970921735461</v>
      </c>
      <c r="AJ801" s="1467">
        <f t="shared" ca="1" si="609"/>
        <v>-3814.477577634414</v>
      </c>
      <c r="AK801" s="1467">
        <f t="shared" ca="1" si="609"/>
        <v>-3728.4299655225877</v>
      </c>
      <c r="AL801" s="1467">
        <f t="shared" ca="1" si="609"/>
        <v>-3641.9521153502064</v>
      </c>
      <c r="AM801" s="1467">
        <f t="shared" ca="1" si="609"/>
        <v>-3555.0418759269596</v>
      </c>
      <c r="AN801" s="1467">
        <f t="shared" ca="1" si="609"/>
        <v>-3467.6970853065977</v>
      </c>
      <c r="AO801" s="1467">
        <f t="shared" ca="1" si="609"/>
        <v>-3379.9155707331338</v>
      </c>
      <c r="AP801" s="1467">
        <f t="shared" ca="1" si="609"/>
        <v>-3291.6951485868012</v>
      </c>
      <c r="AQ801" s="1467">
        <f t="shared" ca="1" si="609"/>
        <v>-3203.0336243297388</v>
      </c>
      <c r="AR801" s="1467">
        <f t="shared" ca="1" si="609"/>
        <v>-3113.9287924513919</v>
      </c>
      <c r="AS801" s="1467">
        <f t="shared" ca="1" si="609"/>
        <v>-3024.3784364136518</v>
      </c>
      <c r="AT801" s="1467">
        <f t="shared" ca="1" si="609"/>
        <v>-2934.3803285957219</v>
      </c>
      <c r="AU801" s="1467"/>
      <c r="AV801" s="1467">
        <f t="shared" ca="1" si="524"/>
        <v>-28012.563046516734</v>
      </c>
      <c r="AW801" s="1468"/>
      <c r="AX801" s="1467">
        <f t="shared" ca="1" si="525"/>
        <v>-26065.50363794345</v>
      </c>
      <c r="AY801" s="1468"/>
      <c r="AZ801" s="1467">
        <f t="shared" ca="1" si="526"/>
        <v>-24069.278539388783</v>
      </c>
      <c r="BA801" s="1468"/>
      <c r="BB801" s="1467">
        <f t="shared" ca="1" si="527"/>
        <v>-22022.646255569802</v>
      </c>
      <c r="BC801" s="1468"/>
      <c r="BD801" s="1467">
        <f t="shared" ca="1" si="528"/>
        <v>-19924.333941891909</v>
      </c>
      <c r="BE801" s="1468"/>
      <c r="BF801" s="1467">
        <f t="shared" ca="1" si="529"/>
        <v>-17773.036612839485</v>
      </c>
      <c r="BG801" s="1468"/>
      <c r="BH801" s="1467">
        <f t="shared" ca="1" si="530"/>
        <v>-15567.416330377306</v>
      </c>
    </row>
    <row r="802" spans="1:60" hidden="1" outlineLevel="1">
      <c r="A802" s="1301">
        <f t="shared" si="601"/>
        <v>18</v>
      </c>
      <c r="B802" s="1301">
        <f t="shared" si="602"/>
        <v>38</v>
      </c>
      <c r="C802" s="1301">
        <f t="shared" si="604"/>
        <v>15</v>
      </c>
      <c r="D802" s="1465" t="str">
        <f ca="1">IF(OFFSET(PortfolioDashboard!$A$3,C802-1,0)="","Blank",OFFSET(PortfolioDashboard!$A$3,C802-1,0))</f>
        <v>Solar DHW</v>
      </c>
      <c r="E802" s="1466" t="str">
        <f t="shared" si="605"/>
        <v>2010$</v>
      </c>
      <c r="F802" s="1460">
        <f t="shared" ca="1" si="606"/>
        <v>64882.291036694667</v>
      </c>
      <c r="G802" s="1467">
        <f t="shared" ca="1" si="608"/>
        <v>0</v>
      </c>
      <c r="H802" s="1467">
        <f t="shared" ca="1" si="609"/>
        <v>0</v>
      </c>
      <c r="I802" s="1467">
        <f t="shared" ca="1" si="609"/>
        <v>4365.7750911300864</v>
      </c>
      <c r="J802" s="1467">
        <f t="shared" ca="1" si="609"/>
        <v>4387.6039665857361</v>
      </c>
      <c r="K802" s="1467">
        <f t="shared" ca="1" si="609"/>
        <v>4409.5419864186642</v>
      </c>
      <c r="L802" s="1467">
        <f t="shared" ca="1" si="609"/>
        <v>4431.5896963507566</v>
      </c>
      <c r="M802" s="1467">
        <f t="shared" ca="1" si="609"/>
        <v>4453.7476448325096</v>
      </c>
      <c r="N802" s="1467">
        <f t="shared" ca="1" si="609"/>
        <v>4476.0163830566726</v>
      </c>
      <c r="O802" s="1467">
        <f t="shared" ca="1" si="609"/>
        <v>4498.3964649719546</v>
      </c>
      <c r="P802" s="1467">
        <f t="shared" ca="1" si="609"/>
        <v>4520.8884472968148</v>
      </c>
      <c r="Q802" s="1467">
        <f t="shared" ca="1" si="609"/>
        <v>4543.4928895332978</v>
      </c>
      <c r="R802" s="1467">
        <f t="shared" ca="1" si="609"/>
        <v>4566.210353980965</v>
      </c>
      <c r="S802" s="1467">
        <f t="shared" ca="1" si="609"/>
        <v>4589.0414057508669</v>
      </c>
      <c r="T802" s="1467">
        <f t="shared" ca="1" si="609"/>
        <v>4611.9866127796213</v>
      </c>
      <c r="U802" s="1467">
        <f t="shared" ca="1" si="609"/>
        <v>4635.0465458435183</v>
      </c>
      <c r="V802" s="1467">
        <f t="shared" ca="1" si="609"/>
        <v>4658.2217785727362</v>
      </c>
      <c r="W802" s="1467">
        <f t="shared" ca="1" si="609"/>
        <v>4681.5128874655975</v>
      </c>
      <c r="X802" s="1467">
        <f t="shared" ca="1" si="609"/>
        <v>4704.9204519029254</v>
      </c>
      <c r="Y802" s="1467">
        <f t="shared" ca="1" si="609"/>
        <v>4728.4450541624392</v>
      </c>
      <c r="Z802" s="1467">
        <f t="shared" ca="1" si="609"/>
        <v>4752.0872794332508</v>
      </c>
      <c r="AA802" s="1467">
        <f t="shared" ca="1" si="609"/>
        <v>4775.8477158304167</v>
      </c>
      <c r="AB802" s="1467">
        <f t="shared" ca="1" si="609"/>
        <v>4799.726954409568</v>
      </c>
      <c r="AC802" s="1467">
        <f t="shared" ca="1" si="609"/>
        <v>4823.7255891816149</v>
      </c>
      <c r="AD802" s="1467">
        <f t="shared" ca="1" si="609"/>
        <v>4847.8442171275219</v>
      </c>
      <c r="AE802" s="1467">
        <f t="shared" ca="1" si="609"/>
        <v>4872.0834382131607</v>
      </c>
      <c r="AF802" s="1467">
        <f t="shared" ca="1" si="609"/>
        <v>4896.4438554042254</v>
      </c>
      <c r="AG802" s="1467">
        <f t="shared" ca="1" si="609"/>
        <v>4920.9260746812452</v>
      </c>
      <c r="AH802" s="1467">
        <f t="shared" ca="1" si="609"/>
        <v>4945.5307050546508</v>
      </c>
      <c r="AI802" s="1467">
        <f t="shared" ca="1" si="609"/>
        <v>4970.2583585799221</v>
      </c>
      <c r="AJ802" s="1467">
        <f t="shared" ca="1" si="609"/>
        <v>4995.1096503728222</v>
      </c>
      <c r="AK802" s="1467">
        <f t="shared" ca="1" si="609"/>
        <v>5020.0851986246853</v>
      </c>
      <c r="AL802" s="1467">
        <f t="shared" ca="1" si="609"/>
        <v>5045.1856246178077</v>
      </c>
      <c r="AM802" s="1467">
        <f t="shared" ca="1" si="609"/>
        <v>5070.4115527408958</v>
      </c>
      <c r="AN802" s="1467">
        <f t="shared" ca="1" si="609"/>
        <v>5095.7636105045995</v>
      </c>
      <c r="AO802" s="1467">
        <f t="shared" ca="1" si="609"/>
        <v>5121.2424285571224</v>
      </c>
      <c r="AP802" s="1467">
        <f t="shared" ca="1" si="609"/>
        <v>5146.8486406999073</v>
      </c>
      <c r="AQ802" s="1467">
        <f t="shared" ca="1" si="609"/>
        <v>5172.5828839034039</v>
      </c>
      <c r="AR802" s="1467">
        <f t="shared" ca="1" si="609"/>
        <v>5198.4457983229195</v>
      </c>
      <c r="AS802" s="1467">
        <f t="shared" ca="1" si="609"/>
        <v>5224.4380273145352</v>
      </c>
      <c r="AT802" s="1467">
        <f t="shared" ca="1" si="609"/>
        <v>5250.5602174511068</v>
      </c>
      <c r="AU802" s="1467"/>
      <c r="AV802" s="1467">
        <f t="shared" ca="1" si="524"/>
        <v>22380.638636508709</v>
      </c>
      <c r="AW802" s="1468"/>
      <c r="AX802" s="1467">
        <f t="shared" ca="1" si="525"/>
        <v>22945.777807888266</v>
      </c>
      <c r="AY802" s="1468"/>
      <c r="AZ802" s="1467">
        <f t="shared" ca="1" si="526"/>
        <v>23525.187451536949</v>
      </c>
      <c r="BA802" s="1468"/>
      <c r="BB802" s="1467">
        <f t="shared" ca="1" si="527"/>
        <v>24119.227914762283</v>
      </c>
      <c r="BC802" s="1468"/>
      <c r="BD802" s="1467">
        <f t="shared" ca="1" si="528"/>
        <v>24728.268644092866</v>
      </c>
      <c r="BE802" s="1468"/>
      <c r="BF802" s="1467">
        <f t="shared" ca="1" si="529"/>
        <v>25352.688415045108</v>
      </c>
      <c r="BG802" s="1468"/>
      <c r="BH802" s="1467">
        <f t="shared" ca="1" si="530"/>
        <v>25992.875567691874</v>
      </c>
    </row>
    <row r="803" spans="1:60" hidden="1" outlineLevel="1">
      <c r="A803" s="1301">
        <f t="shared" si="601"/>
        <v>18</v>
      </c>
      <c r="B803" s="1301">
        <f t="shared" si="602"/>
        <v>38</v>
      </c>
      <c r="C803" s="1301">
        <f t="shared" si="604"/>
        <v>16</v>
      </c>
      <c r="D803" s="1465" t="str">
        <f ca="1">IF(OFFSET(PortfolioDashboard!$A$3,C803-1,0)="","Blank",OFFSET(PortfolioDashboard!$A$3,C803-1,0))</f>
        <v>Geo Exchange</v>
      </c>
      <c r="E803" s="1466" t="str">
        <f t="shared" si="605"/>
        <v>2010$</v>
      </c>
      <c r="F803" s="1460">
        <f t="shared" ca="1" si="606"/>
        <v>1329921.469937166</v>
      </c>
      <c r="G803" s="1467">
        <f t="shared" ca="1" si="608"/>
        <v>0</v>
      </c>
      <c r="H803" s="1467">
        <f t="shared" ca="1" si="609"/>
        <v>0</v>
      </c>
      <c r="I803" s="1467">
        <f t="shared" ca="1" si="609"/>
        <v>0</v>
      </c>
      <c r="J803" s="1467">
        <f t="shared" ca="1" si="609"/>
        <v>49582.351449977352</v>
      </c>
      <c r="K803" s="1467">
        <f t="shared" ca="1" si="609"/>
        <v>49905.263207227239</v>
      </c>
      <c r="L803" s="1467">
        <f t="shared" ca="1" si="609"/>
        <v>100459.57904652669</v>
      </c>
      <c r="M803" s="1467">
        <f t="shared" ca="1" si="609"/>
        <v>101111.8769417593</v>
      </c>
      <c r="N803" s="1467">
        <f t="shared" ca="1" si="609"/>
        <v>101767.43632646813</v>
      </c>
      <c r="O803" s="1467">
        <f t="shared" ca="1" si="609"/>
        <v>102426.27350810044</v>
      </c>
      <c r="P803" s="1467">
        <f t="shared" ca="1" si="609"/>
        <v>103088.40487564095</v>
      </c>
      <c r="Q803" s="1467">
        <f t="shared" ca="1" si="609"/>
        <v>103753.84690001914</v>
      </c>
      <c r="R803" s="1467">
        <f t="shared" ca="1" si="609"/>
        <v>104422.61613451924</v>
      </c>
      <c r="S803" s="1467">
        <f t="shared" ca="1" si="609"/>
        <v>105094.72921519178</v>
      </c>
      <c r="T803" s="1467">
        <f t="shared" ca="1" si="609"/>
        <v>105770.20286126771</v>
      </c>
      <c r="U803" s="1467">
        <f t="shared" ca="1" si="609"/>
        <v>106449.05387557404</v>
      </c>
      <c r="V803" s="1467">
        <f t="shared" ca="1" si="609"/>
        <v>107131.2991449519</v>
      </c>
      <c r="W803" s="1467">
        <f t="shared" ca="1" si="609"/>
        <v>107816.95564067659</v>
      </c>
      <c r="X803" s="1467">
        <f t="shared" ca="1" si="609"/>
        <v>108506.04041887996</v>
      </c>
      <c r="Y803" s="1467">
        <f t="shared" ca="1" si="609"/>
        <v>109198.57062097435</v>
      </c>
      <c r="Z803" s="1467">
        <f t="shared" ca="1" si="609"/>
        <v>109894.56347407923</v>
      </c>
      <c r="AA803" s="1467">
        <f t="shared" ca="1" si="609"/>
        <v>110594.03629144958</v>
      </c>
      <c r="AB803" s="1467">
        <f t="shared" ca="1" si="609"/>
        <v>111297.0064729068</v>
      </c>
      <c r="AC803" s="1467">
        <f t="shared" ca="1" si="609"/>
        <v>112003.49150527129</v>
      </c>
      <c r="AD803" s="1467">
        <f t="shared" ca="1" si="609"/>
        <v>112713.50896279767</v>
      </c>
      <c r="AE803" s="1467">
        <f t="shared" ca="1" si="609"/>
        <v>113427.07650761165</v>
      </c>
      <c r="AF803" s="1467">
        <f t="shared" ca="1" si="609"/>
        <v>114144.21189014969</v>
      </c>
      <c r="AG803" s="1467">
        <f t="shared" ca="1" si="609"/>
        <v>114864.93294960039</v>
      </c>
      <c r="AH803" s="1467">
        <f t="shared" ca="1" si="609"/>
        <v>115589.2576143484</v>
      </c>
      <c r="AI803" s="1467">
        <f t="shared" ca="1" si="609"/>
        <v>116317.20390242009</v>
      </c>
      <c r="AJ803" s="1467">
        <f t="shared" ca="1" si="609"/>
        <v>117048.78992193218</v>
      </c>
      <c r="AK803" s="1467">
        <f t="shared" ca="1" si="609"/>
        <v>117784.03387154179</v>
      </c>
      <c r="AL803" s="1467">
        <f t="shared" ca="1" si="609"/>
        <v>118522.95404089949</v>
      </c>
      <c r="AM803" s="1467">
        <f t="shared" ca="1" si="609"/>
        <v>119265.56881110396</v>
      </c>
      <c r="AN803" s="1467">
        <f t="shared" ca="1" si="609"/>
        <v>120011.89665515948</v>
      </c>
      <c r="AO803" s="1467">
        <f t="shared" ca="1" si="609"/>
        <v>120761.95613843526</v>
      </c>
      <c r="AP803" s="1467">
        <f t="shared" ca="1" si="609"/>
        <v>121515.76591912739</v>
      </c>
      <c r="AQ803" s="1467">
        <f t="shared" ca="1" si="609"/>
        <v>122273.34474872297</v>
      </c>
      <c r="AR803" s="1467">
        <f t="shared" ca="1" si="609"/>
        <v>123034.71147246653</v>
      </c>
      <c r="AS803" s="1467">
        <f t="shared" ca="1" si="609"/>
        <v>123799.8850298289</v>
      </c>
      <c r="AT803" s="1467">
        <f t="shared" ca="1" si="609"/>
        <v>124568.88445497802</v>
      </c>
      <c r="AU803" s="1467"/>
      <c r="AV803" s="1467">
        <f t="shared" ca="1" si="524"/>
        <v>508853.57069849549</v>
      </c>
      <c r="AW803" s="1468"/>
      <c r="AX803" s="1467">
        <f t="shared" ca="1" si="525"/>
        <v>525490.44898657198</v>
      </c>
      <c r="AY803" s="1468"/>
      <c r="AZ803" s="1467">
        <f t="shared" ca="1" si="526"/>
        <v>542547.42929956201</v>
      </c>
      <c r="BA803" s="1468"/>
      <c r="BB803" s="1467">
        <f t="shared" ca="1" si="527"/>
        <v>560035.11974003701</v>
      </c>
      <c r="BC803" s="1468"/>
      <c r="BD803" s="1467">
        <f t="shared" ca="1" si="528"/>
        <v>577964.39627845073</v>
      </c>
      <c r="BE803" s="1468"/>
      <c r="BF803" s="1467">
        <f t="shared" ca="1" si="529"/>
        <v>596346.40951714001</v>
      </c>
      <c r="BG803" s="1468"/>
      <c r="BH803" s="1467">
        <f t="shared" ca="1" si="530"/>
        <v>615192.59162512387</v>
      </c>
    </row>
    <row r="804" spans="1:60" hidden="1" outlineLevel="1">
      <c r="A804" s="1301">
        <f t="shared" si="601"/>
        <v>18</v>
      </c>
      <c r="B804" s="1301">
        <f t="shared" si="602"/>
        <v>38</v>
      </c>
      <c r="C804" s="1301">
        <f t="shared" si="604"/>
        <v>17</v>
      </c>
      <c r="D804" s="1465" t="str">
        <f ca="1">IF(OFFSET(PortfolioDashboard!$A$3,C804-1,0)="","Blank",OFFSET(PortfolioDashboard!$A$3,C804-1,0))</f>
        <v>Rooftop Solar PV</v>
      </c>
      <c r="E804" s="1466" t="str">
        <f t="shared" si="605"/>
        <v>2010$</v>
      </c>
      <c r="F804" s="1460">
        <f t="shared" ca="1" si="606"/>
        <v>747925.0966664661</v>
      </c>
      <c r="G804" s="1467">
        <f t="shared" ca="1" si="608"/>
        <v>0</v>
      </c>
      <c r="H804" s="1467">
        <f t="shared" ca="1" si="609"/>
        <v>0</v>
      </c>
      <c r="I804" s="1467">
        <f t="shared" ca="1" si="609"/>
        <v>0</v>
      </c>
      <c r="J804" s="1467">
        <f t="shared" ca="1" si="609"/>
        <v>0</v>
      </c>
      <c r="K804" s="1467">
        <f t="shared" ca="1" si="609"/>
        <v>0</v>
      </c>
      <c r="L804" s="1467">
        <f t="shared" ca="1" si="609"/>
        <v>61044.988312129492</v>
      </c>
      <c r="M804" s="1467">
        <f t="shared" ca="1" si="609"/>
        <v>61350.213253690126</v>
      </c>
      <c r="N804" s="1467">
        <f t="shared" ca="1" si="609"/>
        <v>61656.96431995857</v>
      </c>
      <c r="O804" s="1467">
        <f t="shared" ca="1" si="609"/>
        <v>61965.249141558357</v>
      </c>
      <c r="P804" s="1467">
        <f t="shared" ca="1" si="609"/>
        <v>62275.075387266144</v>
      </c>
      <c r="Q804" s="1467">
        <f t="shared" ca="1" si="609"/>
        <v>62586.450764202462</v>
      </c>
      <c r="R804" s="1467">
        <f t="shared" ca="1" si="609"/>
        <v>62899.383018023473</v>
      </c>
      <c r="S804" s="1467">
        <f t="shared" ca="1" si="609"/>
        <v>63213.87993311356</v>
      </c>
      <c r="T804" s="1467">
        <f t="shared" ca="1" si="609"/>
        <v>63529.949332779128</v>
      </c>
      <c r="U804" s="1467">
        <f t="shared" ca="1" si="609"/>
        <v>63847.599079443018</v>
      </c>
      <c r="V804" s="1467">
        <f t="shared" ca="1" si="609"/>
        <v>64166.837074840216</v>
      </c>
      <c r="W804" s="1467">
        <f t="shared" ca="1" si="609"/>
        <v>64487.671260214411</v>
      </c>
      <c r="X804" s="1467">
        <f t="shared" ca="1" si="609"/>
        <v>64810.109616515474</v>
      </c>
      <c r="Y804" s="1467">
        <f t="shared" ca="1" si="609"/>
        <v>65134.160164598034</v>
      </c>
      <c r="Z804" s="1467">
        <f t="shared" ca="1" si="609"/>
        <v>65459.830965421017</v>
      </c>
      <c r="AA804" s="1467">
        <f t="shared" ca="1" si="609"/>
        <v>65787.130120248112</v>
      </c>
      <c r="AB804" s="1467">
        <f t="shared" ca="1" si="609"/>
        <v>66116.065770849338</v>
      </c>
      <c r="AC804" s="1467">
        <f t="shared" ca="1" si="609"/>
        <v>66446.646099703576</v>
      </c>
      <c r="AD804" s="1467">
        <f t="shared" ca="1" si="609"/>
        <v>66778.879330202079</v>
      </c>
      <c r="AE804" s="1467">
        <f t="shared" ca="1" si="609"/>
        <v>67112.773726853091</v>
      </c>
      <c r="AF804" s="1467">
        <f t="shared" ca="1" si="609"/>
        <v>67448.337595487348</v>
      </c>
      <c r="AG804" s="1467">
        <f t="shared" ca="1" si="609"/>
        <v>67785.579283464773</v>
      </c>
      <c r="AH804" s="1467">
        <f t="shared" ca="1" si="609"/>
        <v>68124.507179882086</v>
      </c>
      <c r="AI804" s="1467">
        <f t="shared" ca="1" si="609"/>
        <v>68465.129715781484</v>
      </c>
      <c r="AJ804" s="1467">
        <f t="shared" ca="1" si="609"/>
        <v>68807.455364360387</v>
      </c>
      <c r="AK804" s="1467">
        <f t="shared" ca="1" si="609"/>
        <v>69151.49264118218</v>
      </c>
      <c r="AL804" s="1467">
        <f t="shared" ca="1" si="609"/>
        <v>69497.250104388062</v>
      </c>
      <c r="AM804" s="1467">
        <f t="shared" ca="1" si="609"/>
        <v>69844.736354909997</v>
      </c>
      <c r="AN804" s="1467">
        <f t="shared" ca="1" si="609"/>
        <v>70193.960036684541</v>
      </c>
      <c r="AO804" s="1467">
        <f t="shared" ca="1" si="609"/>
        <v>70544.929836867959</v>
      </c>
      <c r="AP804" s="1467">
        <f t="shared" ca="1" si="609"/>
        <v>70897.654486052284</v>
      </c>
      <c r="AQ804" s="1467">
        <f t="shared" ca="1" si="609"/>
        <v>71252.142758482529</v>
      </c>
      <c r="AR804" s="1467">
        <f t="shared" ca="1" si="609"/>
        <v>71608.40347227492</v>
      </c>
      <c r="AS804" s="1467">
        <f t="shared" ca="1" si="609"/>
        <v>71966.445489636288</v>
      </c>
      <c r="AT804" s="1467">
        <f t="shared" ca="1" si="609"/>
        <v>72326.277717084464</v>
      </c>
      <c r="AU804" s="1467"/>
      <c r="AV804" s="1467">
        <f t="shared" ca="1" si="524"/>
        <v>308292.49041460268</v>
      </c>
      <c r="AW804" s="1468"/>
      <c r="AX804" s="1467">
        <f t="shared" ca="1" si="525"/>
        <v>316077.26212756161</v>
      </c>
      <c r="AY804" s="1468"/>
      <c r="AZ804" s="1467">
        <f t="shared" ca="1" si="526"/>
        <v>324058.60908158915</v>
      </c>
      <c r="BA804" s="1468"/>
      <c r="BB804" s="1467">
        <f t="shared" ca="1" si="527"/>
        <v>332241.49504785618</v>
      </c>
      <c r="BC804" s="1468"/>
      <c r="BD804" s="1467">
        <f t="shared" ca="1" si="528"/>
        <v>340631.00913897611</v>
      </c>
      <c r="BE804" s="1468"/>
      <c r="BF804" s="1467">
        <f t="shared" ca="1" si="529"/>
        <v>349232.36897403275</v>
      </c>
      <c r="BG804" s="1468"/>
      <c r="BH804" s="1467">
        <f t="shared" ca="1" si="530"/>
        <v>358050.9239235305</v>
      </c>
    </row>
    <row r="805" spans="1:60" hidden="1" outlineLevel="1">
      <c r="A805" s="1301">
        <f t="shared" si="601"/>
        <v>18</v>
      </c>
      <c r="B805" s="1301">
        <f t="shared" si="602"/>
        <v>38</v>
      </c>
      <c r="C805" s="1301">
        <f t="shared" si="604"/>
        <v>18</v>
      </c>
      <c r="D805" s="1465" t="str">
        <f ca="1">IF(OFFSET(PortfolioDashboard!$A$3,C805-1,0)="","Blank",OFFSET(PortfolioDashboard!$A$3,C805-1,0))</f>
        <v>Blank</v>
      </c>
      <c r="E805" s="1466" t="str">
        <f t="shared" si="605"/>
        <v>2010$</v>
      </c>
      <c r="F805" s="1460">
        <f t="shared" ca="1" si="606"/>
        <v>0</v>
      </c>
      <c r="G805" s="1467">
        <f t="shared" ca="1" si="608"/>
        <v>0</v>
      </c>
      <c r="H805" s="1467">
        <f t="shared" ca="1" si="609"/>
        <v>0</v>
      </c>
      <c r="I805" s="1467">
        <f t="shared" ca="1" si="609"/>
        <v>0</v>
      </c>
      <c r="J805" s="1467">
        <f t="shared" ca="1" si="609"/>
        <v>0</v>
      </c>
      <c r="K805" s="1467">
        <f t="shared" ca="1" si="609"/>
        <v>0</v>
      </c>
      <c r="L805" s="1467">
        <f t="shared" ca="1" si="609"/>
        <v>0</v>
      </c>
      <c r="M805" s="1467">
        <f t="shared" ca="1" si="609"/>
        <v>0</v>
      </c>
      <c r="N805" s="1467">
        <f t="shared" ca="1" si="609"/>
        <v>0</v>
      </c>
      <c r="O805" s="1467">
        <f t="shared" ca="1" si="609"/>
        <v>0</v>
      </c>
      <c r="P805" s="1467">
        <f t="shared" ca="1" si="609"/>
        <v>0</v>
      </c>
      <c r="Q805" s="1467">
        <f t="shared" ca="1" si="609"/>
        <v>0</v>
      </c>
      <c r="R805" s="1467">
        <f t="shared" ca="1" si="609"/>
        <v>0</v>
      </c>
      <c r="S805" s="1467">
        <f t="shared" ca="1" si="609"/>
        <v>0</v>
      </c>
      <c r="T805" s="1467">
        <f t="shared" ca="1" si="609"/>
        <v>0</v>
      </c>
      <c r="U805" s="1467">
        <f t="shared" ca="1" si="609"/>
        <v>0</v>
      </c>
      <c r="V805" s="1467">
        <f t="shared" ca="1" si="609"/>
        <v>0</v>
      </c>
      <c r="W805" s="1467">
        <f t="shared" ca="1" si="609"/>
        <v>0</v>
      </c>
      <c r="X805" s="1467">
        <f t="shared" ca="1" si="609"/>
        <v>0</v>
      </c>
      <c r="Y805" s="1467">
        <f t="shared" ca="1" si="609"/>
        <v>0</v>
      </c>
      <c r="Z805" s="1467">
        <f t="shared" ca="1" si="609"/>
        <v>0</v>
      </c>
      <c r="AA805" s="1467">
        <f t="shared" ca="1" si="609"/>
        <v>0</v>
      </c>
      <c r="AB805" s="1467">
        <f t="shared" ca="1" si="609"/>
        <v>0</v>
      </c>
      <c r="AC805" s="1467">
        <f t="shared" ca="1" si="609"/>
        <v>0</v>
      </c>
      <c r="AD805" s="1467">
        <f t="shared" ca="1" si="609"/>
        <v>0</v>
      </c>
      <c r="AE805" s="1467">
        <f t="shared" ca="1" si="609"/>
        <v>0</v>
      </c>
      <c r="AF805" s="1467">
        <f t="shared" ca="1" si="609"/>
        <v>0</v>
      </c>
      <c r="AG805" s="1467">
        <f t="shared" ca="1" si="609"/>
        <v>0</v>
      </c>
      <c r="AH805" s="1467">
        <f t="shared" ca="1" si="609"/>
        <v>0</v>
      </c>
      <c r="AI805" s="1467">
        <f t="shared" ca="1" si="609"/>
        <v>0</v>
      </c>
      <c r="AJ805" s="1467">
        <f t="shared" ca="1" si="609"/>
        <v>0</v>
      </c>
      <c r="AK805" s="1467">
        <f t="shared" ca="1" si="609"/>
        <v>0</v>
      </c>
      <c r="AL805" s="1467">
        <f t="shared" ca="1" si="609"/>
        <v>0</v>
      </c>
      <c r="AM805" s="1467">
        <f t="shared" ca="1" si="609"/>
        <v>0</v>
      </c>
      <c r="AN805" s="1467">
        <f t="shared" ca="1" si="609"/>
        <v>0</v>
      </c>
      <c r="AO805" s="1467">
        <f t="shared" ca="1" si="609"/>
        <v>0</v>
      </c>
      <c r="AP805" s="1467">
        <f t="shared" ca="1" si="609"/>
        <v>0</v>
      </c>
      <c r="AQ805" s="1467">
        <f t="shared" ca="1" si="609"/>
        <v>0</v>
      </c>
      <c r="AR805" s="1467">
        <f t="shared" ca="1" si="609"/>
        <v>0</v>
      </c>
      <c r="AS805" s="1467">
        <f t="shared" ca="1" si="609"/>
        <v>0</v>
      </c>
      <c r="AT805" s="1467">
        <f t="shared" ca="1" si="609"/>
        <v>0</v>
      </c>
      <c r="AU805" s="1467"/>
      <c r="AV805" s="1467">
        <f t="shared" ca="1" si="524"/>
        <v>0</v>
      </c>
      <c r="AW805" s="1468"/>
      <c r="AX805" s="1467">
        <f t="shared" ca="1" si="525"/>
        <v>0</v>
      </c>
      <c r="AY805" s="1468"/>
      <c r="AZ805" s="1467">
        <f t="shared" ca="1" si="526"/>
        <v>0</v>
      </c>
      <c r="BA805" s="1468"/>
      <c r="BB805" s="1467">
        <f t="shared" ca="1" si="527"/>
        <v>0</v>
      </c>
      <c r="BC805" s="1468"/>
      <c r="BD805" s="1467">
        <f t="shared" ca="1" si="528"/>
        <v>0</v>
      </c>
      <c r="BE805" s="1468"/>
      <c r="BF805" s="1467">
        <f t="shared" ca="1" si="529"/>
        <v>0</v>
      </c>
      <c r="BG805" s="1468"/>
      <c r="BH805" s="1467">
        <f t="shared" ca="1" si="530"/>
        <v>0</v>
      </c>
    </row>
    <row r="806" spans="1:60" hidden="1" outlineLevel="1">
      <c r="A806" s="1301">
        <f t="shared" si="601"/>
        <v>18</v>
      </c>
      <c r="B806" s="1301">
        <f t="shared" si="602"/>
        <v>38</v>
      </c>
      <c r="C806" s="1301">
        <f t="shared" si="604"/>
        <v>19</v>
      </c>
      <c r="D806" s="1465" t="str">
        <f ca="1">IF(OFFSET(PortfolioDashboard!$A$3,C806-1,0)="","Blank",OFFSET(PortfolioDashboard!$A$3,C806-1,0))</f>
        <v>Blank</v>
      </c>
      <c r="E806" s="1466" t="str">
        <f t="shared" si="605"/>
        <v>2010$</v>
      </c>
      <c r="F806" s="1460">
        <f t="shared" ca="1" si="606"/>
        <v>0</v>
      </c>
      <c r="G806" s="1467">
        <f t="shared" ca="1" si="608"/>
        <v>0</v>
      </c>
      <c r="H806" s="1467">
        <f t="shared" ca="1" si="609"/>
        <v>0</v>
      </c>
      <c r="I806" s="1467">
        <f t="shared" ca="1" si="609"/>
        <v>0</v>
      </c>
      <c r="J806" s="1467">
        <f t="shared" ca="1" si="609"/>
        <v>0</v>
      </c>
      <c r="K806" s="1467">
        <f t="shared" ca="1" si="609"/>
        <v>0</v>
      </c>
      <c r="L806" s="1467">
        <f t="shared" ca="1" si="609"/>
        <v>0</v>
      </c>
      <c r="M806" s="1467">
        <f t="shared" ca="1" si="609"/>
        <v>0</v>
      </c>
      <c r="N806" s="1467">
        <f t="shared" ca="1" si="609"/>
        <v>0</v>
      </c>
      <c r="O806" s="1467">
        <f t="shared" ca="1" si="609"/>
        <v>0</v>
      </c>
      <c r="P806" s="1467">
        <f t="shared" ca="1" si="609"/>
        <v>0</v>
      </c>
      <c r="Q806" s="1467">
        <f t="shared" ca="1" si="609"/>
        <v>0</v>
      </c>
      <c r="R806" s="1467">
        <f t="shared" ca="1" si="609"/>
        <v>0</v>
      </c>
      <c r="S806" s="1467">
        <f t="shared" ca="1" si="609"/>
        <v>0</v>
      </c>
      <c r="T806" s="1467">
        <f t="shared" ca="1" si="609"/>
        <v>0</v>
      </c>
      <c r="U806" s="1467">
        <f t="shared" ca="1" si="609"/>
        <v>0</v>
      </c>
      <c r="V806" s="1467">
        <f t="shared" ca="1" si="609"/>
        <v>0</v>
      </c>
      <c r="W806" s="1467">
        <f t="shared" ca="1" si="609"/>
        <v>0</v>
      </c>
      <c r="X806" s="1467">
        <f t="shared" ca="1" si="609"/>
        <v>0</v>
      </c>
      <c r="Y806" s="1467">
        <f t="shared" ca="1" si="609"/>
        <v>0</v>
      </c>
      <c r="Z806" s="1467">
        <f t="shared" ca="1" si="609"/>
        <v>0</v>
      </c>
      <c r="AA806" s="1467">
        <f t="shared" ca="1" si="609"/>
        <v>0</v>
      </c>
      <c r="AB806" s="1467">
        <f t="shared" ca="1" si="609"/>
        <v>0</v>
      </c>
      <c r="AC806" s="1467">
        <f t="shared" ca="1" si="609"/>
        <v>0</v>
      </c>
      <c r="AD806" s="1467">
        <f t="shared" ca="1" si="609"/>
        <v>0</v>
      </c>
      <c r="AE806" s="1467">
        <f t="shared" ca="1" si="609"/>
        <v>0</v>
      </c>
      <c r="AF806" s="1467">
        <f t="shared" ca="1" si="609"/>
        <v>0</v>
      </c>
      <c r="AG806" s="1467">
        <f t="shared" ca="1" si="609"/>
        <v>0</v>
      </c>
      <c r="AH806" s="1467">
        <f t="shared" ca="1" si="609"/>
        <v>0</v>
      </c>
      <c r="AI806" s="1467">
        <f t="shared" ca="1" si="609"/>
        <v>0</v>
      </c>
      <c r="AJ806" s="1467">
        <f t="shared" ca="1" si="609"/>
        <v>0</v>
      </c>
      <c r="AK806" s="1467">
        <f t="shared" ca="1" si="609"/>
        <v>0</v>
      </c>
      <c r="AL806" s="1467">
        <f t="shared" ca="1" si="609"/>
        <v>0</v>
      </c>
      <c r="AM806" s="1467">
        <f t="shared" ca="1" si="609"/>
        <v>0</v>
      </c>
      <c r="AN806" s="1467">
        <f t="shared" ca="1" si="609"/>
        <v>0</v>
      </c>
      <c r="AO806" s="1467">
        <f t="shared" ca="1" si="609"/>
        <v>0</v>
      </c>
      <c r="AP806" s="1467">
        <f t="shared" ca="1" si="609"/>
        <v>0</v>
      </c>
      <c r="AQ806" s="1467">
        <f t="shared" ca="1" si="609"/>
        <v>0</v>
      </c>
      <c r="AR806" s="1467">
        <f t="shared" ca="1" si="609"/>
        <v>0</v>
      </c>
      <c r="AS806" s="1467">
        <f t="shared" ca="1" si="609"/>
        <v>0</v>
      </c>
      <c r="AT806" s="1467">
        <f t="shared" ca="1" si="609"/>
        <v>0</v>
      </c>
      <c r="AU806" s="1467"/>
      <c r="AV806" s="1467">
        <f t="shared" ca="1" si="524"/>
        <v>0</v>
      </c>
      <c r="AW806" s="1468"/>
      <c r="AX806" s="1467">
        <f t="shared" ca="1" si="525"/>
        <v>0</v>
      </c>
      <c r="AY806" s="1468"/>
      <c r="AZ806" s="1467">
        <f t="shared" ca="1" si="526"/>
        <v>0</v>
      </c>
      <c r="BA806" s="1468"/>
      <c r="BB806" s="1467">
        <f t="shared" ca="1" si="527"/>
        <v>0</v>
      </c>
      <c r="BC806" s="1468"/>
      <c r="BD806" s="1467">
        <f t="shared" ca="1" si="528"/>
        <v>0</v>
      </c>
      <c r="BE806" s="1468"/>
      <c r="BF806" s="1467">
        <f t="shared" ca="1" si="529"/>
        <v>0</v>
      </c>
      <c r="BG806" s="1468"/>
      <c r="BH806" s="1467">
        <f t="shared" ca="1" si="530"/>
        <v>0</v>
      </c>
    </row>
    <row r="807" spans="1:60" hidden="1" outlineLevel="1">
      <c r="A807" s="1301">
        <f t="shared" si="601"/>
        <v>18</v>
      </c>
      <c r="B807" s="1301">
        <f t="shared" si="602"/>
        <v>38</v>
      </c>
      <c r="C807" s="1301">
        <f t="shared" si="604"/>
        <v>20</v>
      </c>
      <c r="D807" s="1465" t="str">
        <f ca="1">IF(OFFSET(PortfolioDashboard!$A$3,C807-1,0)="","Blank",OFFSET(PortfolioDashboard!$A$3,C807-1,0))</f>
        <v>Blank</v>
      </c>
      <c r="E807" s="1466" t="str">
        <f t="shared" si="605"/>
        <v>2010$</v>
      </c>
      <c r="F807" s="1460">
        <f t="shared" ca="1" si="606"/>
        <v>0</v>
      </c>
      <c r="G807" s="1467">
        <f t="shared" ca="1" si="608"/>
        <v>0</v>
      </c>
      <c r="H807" s="1467">
        <f t="shared" ca="1" si="609"/>
        <v>0</v>
      </c>
      <c r="I807" s="1467">
        <f t="shared" ca="1" si="609"/>
        <v>0</v>
      </c>
      <c r="J807" s="1467">
        <f t="shared" ca="1" si="609"/>
        <v>0</v>
      </c>
      <c r="K807" s="1467">
        <f t="shared" ca="1" si="609"/>
        <v>0</v>
      </c>
      <c r="L807" s="1467">
        <f t="shared" ca="1" si="609"/>
        <v>0</v>
      </c>
      <c r="M807" s="1467">
        <f t="shared" ca="1" si="609"/>
        <v>0</v>
      </c>
      <c r="N807" s="1467">
        <f t="shared" ca="1" si="609"/>
        <v>0</v>
      </c>
      <c r="O807" s="1467">
        <f t="shared" ca="1" si="609"/>
        <v>0</v>
      </c>
      <c r="P807" s="1467">
        <f t="shared" ca="1" si="609"/>
        <v>0</v>
      </c>
      <c r="Q807" s="1467">
        <f t="shared" ca="1" si="609"/>
        <v>0</v>
      </c>
      <c r="R807" s="1467">
        <f t="shared" ca="1" si="609"/>
        <v>0</v>
      </c>
      <c r="S807" s="1467">
        <f t="shared" ca="1" si="609"/>
        <v>0</v>
      </c>
      <c r="T807" s="1467">
        <f t="shared" ca="1" si="609"/>
        <v>0</v>
      </c>
      <c r="U807" s="1467">
        <f t="shared" ca="1" si="609"/>
        <v>0</v>
      </c>
      <c r="V807" s="1467">
        <f t="shared" ca="1" si="609"/>
        <v>0</v>
      </c>
      <c r="W807" s="1467">
        <f t="shared" ca="1" si="609"/>
        <v>0</v>
      </c>
      <c r="X807" s="1467">
        <f t="shared" ca="1" si="609"/>
        <v>0</v>
      </c>
      <c r="Y807" s="1467">
        <f t="shared" ca="1" si="609"/>
        <v>0</v>
      </c>
      <c r="Z807" s="1467">
        <f t="shared" ca="1" si="609"/>
        <v>0</v>
      </c>
      <c r="AA807" s="1467">
        <f t="shared" ca="1" si="609"/>
        <v>0</v>
      </c>
      <c r="AB807" s="1467">
        <f t="shared" ca="1" si="609"/>
        <v>0</v>
      </c>
      <c r="AC807" s="1467">
        <f t="shared" ca="1" si="609"/>
        <v>0</v>
      </c>
      <c r="AD807" s="1467">
        <f t="shared" ca="1" si="609"/>
        <v>0</v>
      </c>
      <c r="AE807" s="1467">
        <f t="shared" ca="1" si="609"/>
        <v>0</v>
      </c>
      <c r="AF807" s="1467">
        <f t="shared" ca="1" si="609"/>
        <v>0</v>
      </c>
      <c r="AG807" s="1467">
        <f t="shared" ca="1" si="609"/>
        <v>0</v>
      </c>
      <c r="AH807" s="1467">
        <f t="shared" ca="1" si="609"/>
        <v>0</v>
      </c>
      <c r="AI807" s="1467">
        <f t="shared" ca="1" si="609"/>
        <v>0</v>
      </c>
      <c r="AJ807" s="1467">
        <f t="shared" ca="1" si="609"/>
        <v>0</v>
      </c>
      <c r="AK807" s="1467">
        <f t="shared" ca="1" si="609"/>
        <v>0</v>
      </c>
      <c r="AL807" s="1467">
        <f t="shared" ca="1" si="609"/>
        <v>0</v>
      </c>
      <c r="AM807" s="1467">
        <f t="shared" ca="1" si="609"/>
        <v>0</v>
      </c>
      <c r="AN807" s="1467">
        <f t="shared" ca="1" si="609"/>
        <v>0</v>
      </c>
      <c r="AO807" s="1467">
        <f t="shared" ca="1" si="609"/>
        <v>0</v>
      </c>
      <c r="AP807" s="1467">
        <f t="shared" ca="1" si="609"/>
        <v>0</v>
      </c>
      <c r="AQ807" s="1467">
        <f t="shared" ca="1" si="609"/>
        <v>0</v>
      </c>
      <c r="AR807" s="1467">
        <f t="shared" ca="1" si="609"/>
        <v>0</v>
      </c>
      <c r="AS807" s="1467">
        <f t="shared" ca="1" si="609"/>
        <v>0</v>
      </c>
      <c r="AT807" s="1467">
        <f t="shared" ca="1" si="609"/>
        <v>0</v>
      </c>
      <c r="AU807" s="1467"/>
      <c r="AV807" s="1467">
        <f t="shared" ca="1" si="524"/>
        <v>0</v>
      </c>
      <c r="AW807" s="1468"/>
      <c r="AX807" s="1467">
        <f t="shared" ca="1" si="525"/>
        <v>0</v>
      </c>
      <c r="AY807" s="1468"/>
      <c r="AZ807" s="1467">
        <f t="shared" ca="1" si="526"/>
        <v>0</v>
      </c>
      <c r="BA807" s="1468"/>
      <c r="BB807" s="1467">
        <f t="shared" ca="1" si="527"/>
        <v>0</v>
      </c>
      <c r="BC807" s="1468"/>
      <c r="BD807" s="1467">
        <f t="shared" ca="1" si="528"/>
        <v>0</v>
      </c>
      <c r="BE807" s="1468"/>
      <c r="BF807" s="1467">
        <f t="shared" ca="1" si="529"/>
        <v>0</v>
      </c>
      <c r="BG807" s="1468"/>
      <c r="BH807" s="1467">
        <f t="shared" ca="1" si="530"/>
        <v>0</v>
      </c>
    </row>
    <row r="808" spans="1:60" hidden="1" outlineLevel="1">
      <c r="A808" s="1301">
        <f t="shared" si="601"/>
        <v>18</v>
      </c>
      <c r="B808" s="1301">
        <f t="shared" si="602"/>
        <v>38</v>
      </c>
      <c r="C808" s="1301">
        <f t="shared" si="604"/>
        <v>21</v>
      </c>
      <c r="D808" s="1465" t="str">
        <f ca="1">IF(OFFSET(PortfolioDashboard!$A$3,C808-1,0)="","Blank",OFFSET(PortfolioDashboard!$A$3,C808-1,0))</f>
        <v>Blank</v>
      </c>
      <c r="E808" s="1466" t="str">
        <f t="shared" si="605"/>
        <v>2010$</v>
      </c>
      <c r="F808" s="1460">
        <f t="shared" ca="1" si="606"/>
        <v>0</v>
      </c>
      <c r="G808" s="1467">
        <f t="shared" ca="1" si="608"/>
        <v>0</v>
      </c>
      <c r="H808" s="1467">
        <f t="shared" ca="1" si="609"/>
        <v>0</v>
      </c>
      <c r="I808" s="1467">
        <f t="shared" ca="1" si="609"/>
        <v>0</v>
      </c>
      <c r="J808" s="1467">
        <f t="shared" ref="H808:AT813" ca="1" si="610">J746+J777</f>
        <v>0</v>
      </c>
      <c r="K808" s="1467">
        <f t="shared" ca="1" si="610"/>
        <v>0</v>
      </c>
      <c r="L808" s="1467">
        <f t="shared" ca="1" si="610"/>
        <v>0</v>
      </c>
      <c r="M808" s="1467">
        <f t="shared" ca="1" si="610"/>
        <v>0</v>
      </c>
      <c r="N808" s="1467">
        <f t="shared" ca="1" si="610"/>
        <v>0</v>
      </c>
      <c r="O808" s="1467">
        <f t="shared" ca="1" si="610"/>
        <v>0</v>
      </c>
      <c r="P808" s="1467">
        <f t="shared" ca="1" si="610"/>
        <v>0</v>
      </c>
      <c r="Q808" s="1467">
        <f t="shared" ca="1" si="610"/>
        <v>0</v>
      </c>
      <c r="R808" s="1467">
        <f t="shared" ca="1" si="610"/>
        <v>0</v>
      </c>
      <c r="S808" s="1467">
        <f t="shared" ca="1" si="610"/>
        <v>0</v>
      </c>
      <c r="T808" s="1467">
        <f t="shared" ca="1" si="610"/>
        <v>0</v>
      </c>
      <c r="U808" s="1467">
        <f t="shared" ca="1" si="610"/>
        <v>0</v>
      </c>
      <c r="V808" s="1467">
        <f t="shared" ca="1" si="610"/>
        <v>0</v>
      </c>
      <c r="W808" s="1467">
        <f t="shared" ca="1" si="610"/>
        <v>0</v>
      </c>
      <c r="X808" s="1467">
        <f t="shared" ca="1" si="610"/>
        <v>0</v>
      </c>
      <c r="Y808" s="1467">
        <f t="shared" ca="1" si="610"/>
        <v>0</v>
      </c>
      <c r="Z808" s="1467">
        <f t="shared" ca="1" si="610"/>
        <v>0</v>
      </c>
      <c r="AA808" s="1467">
        <f t="shared" ca="1" si="610"/>
        <v>0</v>
      </c>
      <c r="AB808" s="1467">
        <f t="shared" ca="1" si="610"/>
        <v>0</v>
      </c>
      <c r="AC808" s="1467">
        <f t="shared" ca="1" si="610"/>
        <v>0</v>
      </c>
      <c r="AD808" s="1467">
        <f t="shared" ca="1" si="610"/>
        <v>0</v>
      </c>
      <c r="AE808" s="1467">
        <f t="shared" ca="1" si="610"/>
        <v>0</v>
      </c>
      <c r="AF808" s="1467">
        <f t="shared" ca="1" si="610"/>
        <v>0</v>
      </c>
      <c r="AG808" s="1467">
        <f t="shared" ca="1" si="610"/>
        <v>0</v>
      </c>
      <c r="AH808" s="1467">
        <f t="shared" ca="1" si="610"/>
        <v>0</v>
      </c>
      <c r="AI808" s="1467">
        <f t="shared" ca="1" si="610"/>
        <v>0</v>
      </c>
      <c r="AJ808" s="1467">
        <f t="shared" ca="1" si="610"/>
        <v>0</v>
      </c>
      <c r="AK808" s="1467">
        <f t="shared" ca="1" si="610"/>
        <v>0</v>
      </c>
      <c r="AL808" s="1467">
        <f t="shared" ca="1" si="610"/>
        <v>0</v>
      </c>
      <c r="AM808" s="1467">
        <f t="shared" ca="1" si="610"/>
        <v>0</v>
      </c>
      <c r="AN808" s="1467">
        <f t="shared" ca="1" si="610"/>
        <v>0</v>
      </c>
      <c r="AO808" s="1467">
        <f t="shared" ca="1" si="610"/>
        <v>0</v>
      </c>
      <c r="AP808" s="1467">
        <f t="shared" ca="1" si="610"/>
        <v>0</v>
      </c>
      <c r="AQ808" s="1467">
        <f t="shared" ca="1" si="610"/>
        <v>0</v>
      </c>
      <c r="AR808" s="1467">
        <f t="shared" ca="1" si="610"/>
        <v>0</v>
      </c>
      <c r="AS808" s="1467">
        <f t="shared" ca="1" si="610"/>
        <v>0</v>
      </c>
      <c r="AT808" s="1467">
        <f t="shared" ca="1" si="610"/>
        <v>0</v>
      </c>
      <c r="AU808" s="1467"/>
      <c r="AV808" s="1467">
        <f t="shared" ca="1" si="524"/>
        <v>0</v>
      </c>
      <c r="AW808" s="1468"/>
      <c r="AX808" s="1467">
        <f t="shared" ca="1" si="525"/>
        <v>0</v>
      </c>
      <c r="AY808" s="1468"/>
      <c r="AZ808" s="1467">
        <f t="shared" ca="1" si="526"/>
        <v>0</v>
      </c>
      <c r="BA808" s="1468"/>
      <c r="BB808" s="1467">
        <f t="shared" ca="1" si="527"/>
        <v>0</v>
      </c>
      <c r="BC808" s="1468"/>
      <c r="BD808" s="1467">
        <f t="shared" ca="1" si="528"/>
        <v>0</v>
      </c>
      <c r="BE808" s="1468"/>
      <c r="BF808" s="1467">
        <f t="shared" ca="1" si="529"/>
        <v>0</v>
      </c>
      <c r="BG808" s="1468"/>
      <c r="BH808" s="1467">
        <f t="shared" ca="1" si="530"/>
        <v>0</v>
      </c>
    </row>
    <row r="809" spans="1:60" hidden="1" outlineLevel="1">
      <c r="A809" s="1301">
        <f t="shared" si="601"/>
        <v>18</v>
      </c>
      <c r="B809" s="1301">
        <f t="shared" si="602"/>
        <v>38</v>
      </c>
      <c r="C809" s="1301">
        <f t="shared" si="604"/>
        <v>22</v>
      </c>
      <c r="D809" s="1465" t="str">
        <f ca="1">IF(OFFSET(PortfolioDashboard!$A$3,C809-1,0)="","Blank",OFFSET(PortfolioDashboard!$A$3,C809-1,0))</f>
        <v>Blank</v>
      </c>
      <c r="E809" s="1466" t="str">
        <f t="shared" si="605"/>
        <v>2010$</v>
      </c>
      <c r="F809" s="1460">
        <f t="shared" ca="1" si="606"/>
        <v>0</v>
      </c>
      <c r="G809" s="1467">
        <f t="shared" ca="1" si="608"/>
        <v>0</v>
      </c>
      <c r="H809" s="1467">
        <f t="shared" ca="1" si="610"/>
        <v>0</v>
      </c>
      <c r="I809" s="1467">
        <f t="shared" ca="1" si="610"/>
        <v>0</v>
      </c>
      <c r="J809" s="1467">
        <f t="shared" ca="1" si="610"/>
        <v>0</v>
      </c>
      <c r="K809" s="1467">
        <f t="shared" ca="1" si="610"/>
        <v>0</v>
      </c>
      <c r="L809" s="1467">
        <f t="shared" ca="1" si="610"/>
        <v>0</v>
      </c>
      <c r="M809" s="1467">
        <f t="shared" ca="1" si="610"/>
        <v>0</v>
      </c>
      <c r="N809" s="1467">
        <f t="shared" ca="1" si="610"/>
        <v>0</v>
      </c>
      <c r="O809" s="1467">
        <f t="shared" ca="1" si="610"/>
        <v>0</v>
      </c>
      <c r="P809" s="1467">
        <f t="shared" ca="1" si="610"/>
        <v>0</v>
      </c>
      <c r="Q809" s="1467">
        <f t="shared" ca="1" si="610"/>
        <v>0</v>
      </c>
      <c r="R809" s="1467">
        <f t="shared" ca="1" si="610"/>
        <v>0</v>
      </c>
      <c r="S809" s="1467">
        <f t="shared" ca="1" si="610"/>
        <v>0</v>
      </c>
      <c r="T809" s="1467">
        <f t="shared" ca="1" si="610"/>
        <v>0</v>
      </c>
      <c r="U809" s="1467">
        <f t="shared" ca="1" si="610"/>
        <v>0</v>
      </c>
      <c r="V809" s="1467">
        <f t="shared" ca="1" si="610"/>
        <v>0</v>
      </c>
      <c r="W809" s="1467">
        <f t="shared" ca="1" si="610"/>
        <v>0</v>
      </c>
      <c r="X809" s="1467">
        <f t="shared" ca="1" si="610"/>
        <v>0</v>
      </c>
      <c r="Y809" s="1467">
        <f t="shared" ca="1" si="610"/>
        <v>0</v>
      </c>
      <c r="Z809" s="1467">
        <f t="shared" ca="1" si="610"/>
        <v>0</v>
      </c>
      <c r="AA809" s="1467">
        <f t="shared" ca="1" si="610"/>
        <v>0</v>
      </c>
      <c r="AB809" s="1467">
        <f t="shared" ca="1" si="610"/>
        <v>0</v>
      </c>
      <c r="AC809" s="1467">
        <f t="shared" ca="1" si="610"/>
        <v>0</v>
      </c>
      <c r="AD809" s="1467">
        <f t="shared" ca="1" si="610"/>
        <v>0</v>
      </c>
      <c r="AE809" s="1467">
        <f t="shared" ca="1" si="610"/>
        <v>0</v>
      </c>
      <c r="AF809" s="1467">
        <f t="shared" ca="1" si="610"/>
        <v>0</v>
      </c>
      <c r="AG809" s="1467">
        <f t="shared" ca="1" si="610"/>
        <v>0</v>
      </c>
      <c r="AH809" s="1467">
        <f t="shared" ca="1" si="610"/>
        <v>0</v>
      </c>
      <c r="AI809" s="1467">
        <f t="shared" ca="1" si="610"/>
        <v>0</v>
      </c>
      <c r="AJ809" s="1467">
        <f t="shared" ca="1" si="610"/>
        <v>0</v>
      </c>
      <c r="AK809" s="1467">
        <f t="shared" ca="1" si="610"/>
        <v>0</v>
      </c>
      <c r="AL809" s="1467">
        <f t="shared" ca="1" si="610"/>
        <v>0</v>
      </c>
      <c r="AM809" s="1467">
        <f t="shared" ca="1" si="610"/>
        <v>0</v>
      </c>
      <c r="AN809" s="1467">
        <f t="shared" ca="1" si="610"/>
        <v>0</v>
      </c>
      <c r="AO809" s="1467">
        <f t="shared" ca="1" si="610"/>
        <v>0</v>
      </c>
      <c r="AP809" s="1467">
        <f t="shared" ca="1" si="610"/>
        <v>0</v>
      </c>
      <c r="AQ809" s="1467">
        <f t="shared" ca="1" si="610"/>
        <v>0</v>
      </c>
      <c r="AR809" s="1467">
        <f t="shared" ca="1" si="610"/>
        <v>0</v>
      </c>
      <c r="AS809" s="1467">
        <f t="shared" ca="1" si="610"/>
        <v>0</v>
      </c>
      <c r="AT809" s="1467">
        <f t="shared" ca="1" si="610"/>
        <v>0</v>
      </c>
      <c r="AU809" s="1467"/>
      <c r="AV809" s="1467">
        <f t="shared" ca="1" si="524"/>
        <v>0</v>
      </c>
      <c r="AW809" s="1468"/>
      <c r="AX809" s="1467">
        <f t="shared" ca="1" si="525"/>
        <v>0</v>
      </c>
      <c r="AY809" s="1468"/>
      <c r="AZ809" s="1467">
        <f t="shared" ca="1" si="526"/>
        <v>0</v>
      </c>
      <c r="BA809" s="1468"/>
      <c r="BB809" s="1467">
        <f t="shared" ca="1" si="527"/>
        <v>0</v>
      </c>
      <c r="BC809" s="1468"/>
      <c r="BD809" s="1467">
        <f t="shared" ca="1" si="528"/>
        <v>0</v>
      </c>
      <c r="BE809" s="1468"/>
      <c r="BF809" s="1467">
        <f t="shared" ca="1" si="529"/>
        <v>0</v>
      </c>
      <c r="BG809" s="1468"/>
      <c r="BH809" s="1467">
        <f t="shared" ca="1" si="530"/>
        <v>0</v>
      </c>
    </row>
    <row r="810" spans="1:60" hidden="1" outlineLevel="1">
      <c r="A810" s="1301">
        <f t="shared" si="601"/>
        <v>18</v>
      </c>
      <c r="B810" s="1301">
        <f t="shared" si="602"/>
        <v>38</v>
      </c>
      <c r="C810" s="1301">
        <f t="shared" si="604"/>
        <v>23</v>
      </c>
      <c r="D810" s="1465" t="str">
        <f ca="1">IF(OFFSET(PortfolioDashboard!$A$3,C810-1,0)="","Blank",OFFSET(PortfolioDashboard!$A$3,C810-1,0))</f>
        <v>Blank</v>
      </c>
      <c r="E810" s="1466" t="str">
        <f t="shared" si="605"/>
        <v>2010$</v>
      </c>
      <c r="F810" s="1460">
        <f t="shared" ca="1" si="606"/>
        <v>0</v>
      </c>
      <c r="G810" s="1467">
        <f t="shared" ca="1" si="608"/>
        <v>0</v>
      </c>
      <c r="H810" s="1467">
        <f t="shared" ca="1" si="610"/>
        <v>0</v>
      </c>
      <c r="I810" s="1467">
        <f t="shared" ca="1" si="610"/>
        <v>0</v>
      </c>
      <c r="J810" s="1467">
        <f t="shared" ca="1" si="610"/>
        <v>0</v>
      </c>
      <c r="K810" s="1467">
        <f t="shared" ca="1" si="610"/>
        <v>0</v>
      </c>
      <c r="L810" s="1467">
        <f t="shared" ca="1" si="610"/>
        <v>0</v>
      </c>
      <c r="M810" s="1467">
        <f t="shared" ca="1" si="610"/>
        <v>0</v>
      </c>
      <c r="N810" s="1467">
        <f t="shared" ca="1" si="610"/>
        <v>0</v>
      </c>
      <c r="O810" s="1467">
        <f t="shared" ca="1" si="610"/>
        <v>0</v>
      </c>
      <c r="P810" s="1467">
        <f t="shared" ca="1" si="610"/>
        <v>0</v>
      </c>
      <c r="Q810" s="1467">
        <f t="shared" ca="1" si="610"/>
        <v>0</v>
      </c>
      <c r="R810" s="1467">
        <f t="shared" ca="1" si="610"/>
        <v>0</v>
      </c>
      <c r="S810" s="1467">
        <f t="shared" ca="1" si="610"/>
        <v>0</v>
      </c>
      <c r="T810" s="1467">
        <f t="shared" ca="1" si="610"/>
        <v>0</v>
      </c>
      <c r="U810" s="1467">
        <f t="shared" ca="1" si="610"/>
        <v>0</v>
      </c>
      <c r="V810" s="1467">
        <f t="shared" ca="1" si="610"/>
        <v>0</v>
      </c>
      <c r="W810" s="1467">
        <f t="shared" ca="1" si="610"/>
        <v>0</v>
      </c>
      <c r="X810" s="1467">
        <f t="shared" ca="1" si="610"/>
        <v>0</v>
      </c>
      <c r="Y810" s="1467">
        <f t="shared" ca="1" si="610"/>
        <v>0</v>
      </c>
      <c r="Z810" s="1467">
        <f t="shared" ca="1" si="610"/>
        <v>0</v>
      </c>
      <c r="AA810" s="1467">
        <f t="shared" ca="1" si="610"/>
        <v>0</v>
      </c>
      <c r="AB810" s="1467">
        <f t="shared" ca="1" si="610"/>
        <v>0</v>
      </c>
      <c r="AC810" s="1467">
        <f t="shared" ca="1" si="610"/>
        <v>0</v>
      </c>
      <c r="AD810" s="1467">
        <f t="shared" ca="1" si="610"/>
        <v>0</v>
      </c>
      <c r="AE810" s="1467">
        <f t="shared" ca="1" si="610"/>
        <v>0</v>
      </c>
      <c r="AF810" s="1467">
        <f t="shared" ca="1" si="610"/>
        <v>0</v>
      </c>
      <c r="AG810" s="1467">
        <f t="shared" ca="1" si="610"/>
        <v>0</v>
      </c>
      <c r="AH810" s="1467">
        <f t="shared" ca="1" si="610"/>
        <v>0</v>
      </c>
      <c r="AI810" s="1467">
        <f t="shared" ca="1" si="610"/>
        <v>0</v>
      </c>
      <c r="AJ810" s="1467">
        <f t="shared" ca="1" si="610"/>
        <v>0</v>
      </c>
      <c r="AK810" s="1467">
        <f t="shared" ca="1" si="610"/>
        <v>0</v>
      </c>
      <c r="AL810" s="1467">
        <f t="shared" ca="1" si="610"/>
        <v>0</v>
      </c>
      <c r="AM810" s="1467">
        <f t="shared" ca="1" si="610"/>
        <v>0</v>
      </c>
      <c r="AN810" s="1467">
        <f t="shared" ca="1" si="610"/>
        <v>0</v>
      </c>
      <c r="AO810" s="1467">
        <f t="shared" ca="1" si="610"/>
        <v>0</v>
      </c>
      <c r="AP810" s="1467">
        <f t="shared" ca="1" si="610"/>
        <v>0</v>
      </c>
      <c r="AQ810" s="1467">
        <f t="shared" ca="1" si="610"/>
        <v>0</v>
      </c>
      <c r="AR810" s="1467">
        <f t="shared" ca="1" si="610"/>
        <v>0</v>
      </c>
      <c r="AS810" s="1467">
        <f t="shared" ca="1" si="610"/>
        <v>0</v>
      </c>
      <c r="AT810" s="1467">
        <f t="shared" ca="1" si="610"/>
        <v>0</v>
      </c>
      <c r="AU810" s="1467"/>
      <c r="AV810" s="1467">
        <f t="shared" ca="1" si="524"/>
        <v>0</v>
      </c>
      <c r="AW810" s="1468"/>
      <c r="AX810" s="1467">
        <f t="shared" ca="1" si="525"/>
        <v>0</v>
      </c>
      <c r="AY810" s="1468"/>
      <c r="AZ810" s="1467">
        <f t="shared" ca="1" si="526"/>
        <v>0</v>
      </c>
      <c r="BA810" s="1468"/>
      <c r="BB810" s="1467">
        <f t="shared" ca="1" si="527"/>
        <v>0</v>
      </c>
      <c r="BC810" s="1468"/>
      <c r="BD810" s="1467">
        <f t="shared" ca="1" si="528"/>
        <v>0</v>
      </c>
      <c r="BE810" s="1468"/>
      <c r="BF810" s="1467">
        <f t="shared" ca="1" si="529"/>
        <v>0</v>
      </c>
      <c r="BG810" s="1468"/>
      <c r="BH810" s="1467">
        <f t="shared" ca="1" si="530"/>
        <v>0</v>
      </c>
    </row>
    <row r="811" spans="1:60" hidden="1" outlineLevel="1">
      <c r="A811" s="1301">
        <f t="shared" si="601"/>
        <v>18</v>
      </c>
      <c r="B811" s="1301">
        <f t="shared" si="602"/>
        <v>38</v>
      </c>
      <c r="C811" s="1301">
        <f t="shared" si="604"/>
        <v>24</v>
      </c>
      <c r="D811" s="1465" t="str">
        <f ca="1">IF(OFFSET(PortfolioDashboard!$A$3,C811-1,0)="","Blank",OFFSET(PortfolioDashboard!$A$3,C811-1,0))</f>
        <v>Blank</v>
      </c>
      <c r="E811" s="1466" t="str">
        <f t="shared" si="605"/>
        <v>2010$</v>
      </c>
      <c r="F811" s="1460">
        <f t="shared" ca="1" si="606"/>
        <v>0</v>
      </c>
      <c r="G811" s="1467">
        <f t="shared" ca="1" si="608"/>
        <v>0</v>
      </c>
      <c r="H811" s="1467">
        <f t="shared" ca="1" si="610"/>
        <v>0</v>
      </c>
      <c r="I811" s="1467">
        <f t="shared" ca="1" si="610"/>
        <v>0</v>
      </c>
      <c r="J811" s="1467">
        <f t="shared" ca="1" si="610"/>
        <v>0</v>
      </c>
      <c r="K811" s="1467">
        <f t="shared" ca="1" si="610"/>
        <v>0</v>
      </c>
      <c r="L811" s="1467">
        <f t="shared" ca="1" si="610"/>
        <v>0</v>
      </c>
      <c r="M811" s="1467">
        <f t="shared" ca="1" si="610"/>
        <v>0</v>
      </c>
      <c r="N811" s="1467">
        <f t="shared" ca="1" si="610"/>
        <v>0</v>
      </c>
      <c r="O811" s="1467">
        <f t="shared" ca="1" si="610"/>
        <v>0</v>
      </c>
      <c r="P811" s="1467">
        <f t="shared" ca="1" si="610"/>
        <v>0</v>
      </c>
      <c r="Q811" s="1467">
        <f t="shared" ca="1" si="610"/>
        <v>0</v>
      </c>
      <c r="R811" s="1467">
        <f t="shared" ca="1" si="610"/>
        <v>0</v>
      </c>
      <c r="S811" s="1467">
        <f t="shared" ca="1" si="610"/>
        <v>0</v>
      </c>
      <c r="T811" s="1467">
        <f t="shared" ca="1" si="610"/>
        <v>0</v>
      </c>
      <c r="U811" s="1467">
        <f t="shared" ca="1" si="610"/>
        <v>0</v>
      </c>
      <c r="V811" s="1467">
        <f t="shared" ca="1" si="610"/>
        <v>0</v>
      </c>
      <c r="W811" s="1467">
        <f t="shared" ca="1" si="610"/>
        <v>0</v>
      </c>
      <c r="X811" s="1467">
        <f t="shared" ca="1" si="610"/>
        <v>0</v>
      </c>
      <c r="Y811" s="1467">
        <f t="shared" ca="1" si="610"/>
        <v>0</v>
      </c>
      <c r="Z811" s="1467">
        <f t="shared" ca="1" si="610"/>
        <v>0</v>
      </c>
      <c r="AA811" s="1467">
        <f t="shared" ca="1" si="610"/>
        <v>0</v>
      </c>
      <c r="AB811" s="1467">
        <f t="shared" ca="1" si="610"/>
        <v>0</v>
      </c>
      <c r="AC811" s="1467">
        <f t="shared" ca="1" si="610"/>
        <v>0</v>
      </c>
      <c r="AD811" s="1467">
        <f t="shared" ca="1" si="610"/>
        <v>0</v>
      </c>
      <c r="AE811" s="1467">
        <f t="shared" ca="1" si="610"/>
        <v>0</v>
      </c>
      <c r="AF811" s="1467">
        <f t="shared" ca="1" si="610"/>
        <v>0</v>
      </c>
      <c r="AG811" s="1467">
        <f t="shared" ca="1" si="610"/>
        <v>0</v>
      </c>
      <c r="AH811" s="1467">
        <f t="shared" ca="1" si="610"/>
        <v>0</v>
      </c>
      <c r="AI811" s="1467">
        <f t="shared" ca="1" si="610"/>
        <v>0</v>
      </c>
      <c r="AJ811" s="1467">
        <f t="shared" ca="1" si="610"/>
        <v>0</v>
      </c>
      <c r="AK811" s="1467">
        <f t="shared" ca="1" si="610"/>
        <v>0</v>
      </c>
      <c r="AL811" s="1467">
        <f t="shared" ca="1" si="610"/>
        <v>0</v>
      </c>
      <c r="AM811" s="1467">
        <f t="shared" ca="1" si="610"/>
        <v>0</v>
      </c>
      <c r="AN811" s="1467">
        <f t="shared" ca="1" si="610"/>
        <v>0</v>
      </c>
      <c r="AO811" s="1467">
        <f t="shared" ca="1" si="610"/>
        <v>0</v>
      </c>
      <c r="AP811" s="1467">
        <f t="shared" ca="1" si="610"/>
        <v>0</v>
      </c>
      <c r="AQ811" s="1467">
        <f t="shared" ca="1" si="610"/>
        <v>0</v>
      </c>
      <c r="AR811" s="1467">
        <f t="shared" ca="1" si="610"/>
        <v>0</v>
      </c>
      <c r="AS811" s="1467">
        <f t="shared" ca="1" si="610"/>
        <v>0</v>
      </c>
      <c r="AT811" s="1467">
        <f t="shared" ca="1" si="610"/>
        <v>0</v>
      </c>
      <c r="AU811" s="1467"/>
      <c r="AV811" s="1467">
        <f t="shared" ca="1" si="524"/>
        <v>0</v>
      </c>
      <c r="AW811" s="1468"/>
      <c r="AX811" s="1467">
        <f t="shared" ca="1" si="525"/>
        <v>0</v>
      </c>
      <c r="AY811" s="1468"/>
      <c r="AZ811" s="1467">
        <f t="shared" ca="1" si="526"/>
        <v>0</v>
      </c>
      <c r="BA811" s="1468"/>
      <c r="BB811" s="1467">
        <f t="shared" ca="1" si="527"/>
        <v>0</v>
      </c>
      <c r="BC811" s="1468"/>
      <c r="BD811" s="1467">
        <f t="shared" ca="1" si="528"/>
        <v>0</v>
      </c>
      <c r="BE811" s="1468"/>
      <c r="BF811" s="1467">
        <f t="shared" ca="1" si="529"/>
        <v>0</v>
      </c>
      <c r="BG811" s="1468"/>
      <c r="BH811" s="1467">
        <f t="shared" ca="1" si="530"/>
        <v>0</v>
      </c>
    </row>
    <row r="812" spans="1:60" hidden="1" outlineLevel="1">
      <c r="A812" s="1301">
        <f t="shared" si="601"/>
        <v>18</v>
      </c>
      <c r="B812" s="1301">
        <f t="shared" si="602"/>
        <v>38</v>
      </c>
      <c r="C812" s="1301">
        <f t="shared" si="604"/>
        <v>25</v>
      </c>
      <c r="D812" s="1465" t="str">
        <f ca="1">IF(OFFSET(PortfolioDashboard!$A$3,C812-1,0)="","Blank",OFFSET(PortfolioDashboard!$A$3,C812-1,0))</f>
        <v>Blank</v>
      </c>
      <c r="E812" s="1466" t="str">
        <f t="shared" si="605"/>
        <v>2010$</v>
      </c>
      <c r="F812" s="1460">
        <f t="shared" ca="1" si="606"/>
        <v>0</v>
      </c>
      <c r="G812" s="1467">
        <f t="shared" ca="1" si="608"/>
        <v>0</v>
      </c>
      <c r="H812" s="1467">
        <f t="shared" ca="1" si="610"/>
        <v>0</v>
      </c>
      <c r="I812" s="1467">
        <f t="shared" ca="1" si="610"/>
        <v>0</v>
      </c>
      <c r="J812" s="1467">
        <f t="shared" ca="1" si="610"/>
        <v>0</v>
      </c>
      <c r="K812" s="1467">
        <f t="shared" ca="1" si="610"/>
        <v>0</v>
      </c>
      <c r="L812" s="1467">
        <f t="shared" ca="1" si="610"/>
        <v>0</v>
      </c>
      <c r="M812" s="1467">
        <f t="shared" ca="1" si="610"/>
        <v>0</v>
      </c>
      <c r="N812" s="1467">
        <f t="shared" ca="1" si="610"/>
        <v>0</v>
      </c>
      <c r="O812" s="1467">
        <f t="shared" ca="1" si="610"/>
        <v>0</v>
      </c>
      <c r="P812" s="1467">
        <f t="shared" ca="1" si="610"/>
        <v>0</v>
      </c>
      <c r="Q812" s="1467">
        <f t="shared" ca="1" si="610"/>
        <v>0</v>
      </c>
      <c r="R812" s="1467">
        <f t="shared" ca="1" si="610"/>
        <v>0</v>
      </c>
      <c r="S812" s="1467">
        <f t="shared" ca="1" si="610"/>
        <v>0</v>
      </c>
      <c r="T812" s="1467">
        <f t="shared" ca="1" si="610"/>
        <v>0</v>
      </c>
      <c r="U812" s="1467">
        <f t="shared" ca="1" si="610"/>
        <v>0</v>
      </c>
      <c r="V812" s="1467">
        <f t="shared" ca="1" si="610"/>
        <v>0</v>
      </c>
      <c r="W812" s="1467">
        <f t="shared" ca="1" si="610"/>
        <v>0</v>
      </c>
      <c r="X812" s="1467">
        <f t="shared" ca="1" si="610"/>
        <v>0</v>
      </c>
      <c r="Y812" s="1467">
        <f t="shared" ca="1" si="610"/>
        <v>0</v>
      </c>
      <c r="Z812" s="1467">
        <f t="shared" ca="1" si="610"/>
        <v>0</v>
      </c>
      <c r="AA812" s="1467">
        <f t="shared" ca="1" si="610"/>
        <v>0</v>
      </c>
      <c r="AB812" s="1467">
        <f t="shared" ca="1" si="610"/>
        <v>0</v>
      </c>
      <c r="AC812" s="1467">
        <f t="shared" ca="1" si="610"/>
        <v>0</v>
      </c>
      <c r="AD812" s="1467">
        <f t="shared" ca="1" si="610"/>
        <v>0</v>
      </c>
      <c r="AE812" s="1467">
        <f t="shared" ca="1" si="610"/>
        <v>0</v>
      </c>
      <c r="AF812" s="1467">
        <f t="shared" ca="1" si="610"/>
        <v>0</v>
      </c>
      <c r="AG812" s="1467">
        <f t="shared" ca="1" si="610"/>
        <v>0</v>
      </c>
      <c r="AH812" s="1467">
        <f t="shared" ca="1" si="610"/>
        <v>0</v>
      </c>
      <c r="AI812" s="1467">
        <f t="shared" ca="1" si="610"/>
        <v>0</v>
      </c>
      <c r="AJ812" s="1467">
        <f t="shared" ca="1" si="610"/>
        <v>0</v>
      </c>
      <c r="AK812" s="1467">
        <f t="shared" ca="1" si="610"/>
        <v>0</v>
      </c>
      <c r="AL812" s="1467">
        <f t="shared" ca="1" si="610"/>
        <v>0</v>
      </c>
      <c r="AM812" s="1467">
        <f t="shared" ca="1" si="610"/>
        <v>0</v>
      </c>
      <c r="AN812" s="1467">
        <f t="shared" ca="1" si="610"/>
        <v>0</v>
      </c>
      <c r="AO812" s="1467">
        <f t="shared" ca="1" si="610"/>
        <v>0</v>
      </c>
      <c r="AP812" s="1467">
        <f t="shared" ca="1" si="610"/>
        <v>0</v>
      </c>
      <c r="AQ812" s="1467">
        <f t="shared" ca="1" si="610"/>
        <v>0</v>
      </c>
      <c r="AR812" s="1467">
        <f t="shared" ca="1" si="610"/>
        <v>0</v>
      </c>
      <c r="AS812" s="1467">
        <f t="shared" ca="1" si="610"/>
        <v>0</v>
      </c>
      <c r="AT812" s="1467">
        <f t="shared" ca="1" si="610"/>
        <v>0</v>
      </c>
      <c r="AU812" s="1467"/>
      <c r="AV812" s="1467">
        <f t="shared" ca="1" si="524"/>
        <v>0</v>
      </c>
      <c r="AW812" s="1468"/>
      <c r="AX812" s="1467">
        <f t="shared" ca="1" si="525"/>
        <v>0</v>
      </c>
      <c r="AY812" s="1468"/>
      <c r="AZ812" s="1467">
        <f t="shared" ca="1" si="526"/>
        <v>0</v>
      </c>
      <c r="BA812" s="1468"/>
      <c r="BB812" s="1467">
        <f t="shared" ca="1" si="527"/>
        <v>0</v>
      </c>
      <c r="BC812" s="1468"/>
      <c r="BD812" s="1467">
        <f t="shared" ca="1" si="528"/>
        <v>0</v>
      </c>
      <c r="BE812" s="1468"/>
      <c r="BF812" s="1467">
        <f t="shared" ca="1" si="529"/>
        <v>0</v>
      </c>
      <c r="BG812" s="1468"/>
      <c r="BH812" s="1467">
        <f t="shared" ca="1" si="530"/>
        <v>0</v>
      </c>
    </row>
    <row r="813" spans="1:60" hidden="1" outlineLevel="1">
      <c r="A813" s="1301">
        <f t="shared" si="601"/>
        <v>18</v>
      </c>
      <c r="B813" s="1301">
        <f t="shared" si="602"/>
        <v>38</v>
      </c>
      <c r="C813" s="1301">
        <f t="shared" si="604"/>
        <v>26</v>
      </c>
      <c r="D813" s="1465" t="str">
        <f ca="1">IF(OFFSET(PortfolioDashboard!$A$3,C813-1,0)="","Blank",OFFSET(PortfolioDashboard!$A$3,C813-1,0))</f>
        <v>Blank</v>
      </c>
      <c r="E813" s="1466" t="str">
        <f t="shared" si="605"/>
        <v>2010$</v>
      </c>
      <c r="F813" s="1460">
        <f t="shared" ca="1" si="606"/>
        <v>0</v>
      </c>
      <c r="G813" s="1467">
        <f t="shared" ca="1" si="608"/>
        <v>0</v>
      </c>
      <c r="H813" s="1467">
        <f t="shared" ca="1" si="610"/>
        <v>0</v>
      </c>
      <c r="I813" s="1467">
        <f t="shared" ca="1" si="610"/>
        <v>0</v>
      </c>
      <c r="J813" s="1467">
        <f t="shared" ca="1" si="610"/>
        <v>0</v>
      </c>
      <c r="K813" s="1467">
        <f t="shared" ca="1" si="610"/>
        <v>0</v>
      </c>
      <c r="L813" s="1467">
        <f t="shared" ca="1" si="610"/>
        <v>0</v>
      </c>
      <c r="M813" s="1467">
        <f t="shared" ca="1" si="610"/>
        <v>0</v>
      </c>
      <c r="N813" s="1467">
        <f t="shared" ca="1" si="610"/>
        <v>0</v>
      </c>
      <c r="O813" s="1467">
        <f t="shared" ca="1" si="610"/>
        <v>0</v>
      </c>
      <c r="P813" s="1467">
        <f t="shared" ca="1" si="610"/>
        <v>0</v>
      </c>
      <c r="Q813" s="1467">
        <f t="shared" ca="1" si="610"/>
        <v>0</v>
      </c>
      <c r="R813" s="1467">
        <f t="shared" ca="1" si="610"/>
        <v>0</v>
      </c>
      <c r="S813" s="1467">
        <f t="shared" ca="1" si="610"/>
        <v>0</v>
      </c>
      <c r="T813" s="1467">
        <f t="shared" ca="1" si="610"/>
        <v>0</v>
      </c>
      <c r="U813" s="1467">
        <f t="shared" ca="1" si="610"/>
        <v>0</v>
      </c>
      <c r="V813" s="1467">
        <f t="shared" ca="1" si="610"/>
        <v>0</v>
      </c>
      <c r="W813" s="1467">
        <f t="shared" ca="1" si="610"/>
        <v>0</v>
      </c>
      <c r="X813" s="1467">
        <f t="shared" ca="1" si="610"/>
        <v>0</v>
      </c>
      <c r="Y813" s="1467">
        <f t="shared" ca="1" si="610"/>
        <v>0</v>
      </c>
      <c r="Z813" s="1467">
        <f t="shared" ca="1" si="610"/>
        <v>0</v>
      </c>
      <c r="AA813" s="1467">
        <f t="shared" ca="1" si="610"/>
        <v>0</v>
      </c>
      <c r="AB813" s="1467">
        <f t="shared" ca="1" si="610"/>
        <v>0</v>
      </c>
      <c r="AC813" s="1467">
        <f t="shared" ca="1" si="610"/>
        <v>0</v>
      </c>
      <c r="AD813" s="1467">
        <f t="shared" ca="1" si="610"/>
        <v>0</v>
      </c>
      <c r="AE813" s="1467">
        <f t="shared" ca="1" si="610"/>
        <v>0</v>
      </c>
      <c r="AF813" s="1467">
        <f t="shared" ca="1" si="610"/>
        <v>0</v>
      </c>
      <c r="AG813" s="1467">
        <f t="shared" ca="1" si="610"/>
        <v>0</v>
      </c>
      <c r="AH813" s="1467">
        <f t="shared" ca="1" si="610"/>
        <v>0</v>
      </c>
      <c r="AI813" s="1467">
        <f t="shared" ca="1" si="610"/>
        <v>0</v>
      </c>
      <c r="AJ813" s="1467">
        <f t="shared" ca="1" si="610"/>
        <v>0</v>
      </c>
      <c r="AK813" s="1467">
        <f t="shared" ca="1" si="610"/>
        <v>0</v>
      </c>
      <c r="AL813" s="1467">
        <f t="shared" ca="1" si="610"/>
        <v>0</v>
      </c>
      <c r="AM813" s="1467">
        <f t="shared" ca="1" si="610"/>
        <v>0</v>
      </c>
      <c r="AN813" s="1467">
        <f t="shared" ca="1" si="610"/>
        <v>0</v>
      </c>
      <c r="AO813" s="1467">
        <f t="shared" ca="1" si="610"/>
        <v>0</v>
      </c>
      <c r="AP813" s="1467">
        <f t="shared" ca="1" si="610"/>
        <v>0</v>
      </c>
      <c r="AQ813" s="1467">
        <f t="shared" ca="1" si="610"/>
        <v>0</v>
      </c>
      <c r="AR813" s="1467">
        <f t="shared" ca="1" si="610"/>
        <v>0</v>
      </c>
      <c r="AS813" s="1467">
        <f t="shared" ca="1" si="610"/>
        <v>0</v>
      </c>
      <c r="AT813" s="1467">
        <f t="shared" ca="1" si="610"/>
        <v>0</v>
      </c>
      <c r="AU813" s="1467"/>
      <c r="AV813" s="1467">
        <f t="shared" ca="1" si="524"/>
        <v>0</v>
      </c>
      <c r="AW813" s="1468"/>
      <c r="AX813" s="1467">
        <f t="shared" ca="1" si="525"/>
        <v>0</v>
      </c>
      <c r="AY813" s="1468"/>
      <c r="AZ813" s="1467">
        <f t="shared" ca="1" si="526"/>
        <v>0</v>
      </c>
      <c r="BA813" s="1468"/>
      <c r="BB813" s="1467">
        <f t="shared" ca="1" si="527"/>
        <v>0</v>
      </c>
      <c r="BC813" s="1468"/>
      <c r="BD813" s="1467">
        <f t="shared" ca="1" si="528"/>
        <v>0</v>
      </c>
      <c r="BE813" s="1468"/>
      <c r="BF813" s="1467">
        <f t="shared" ca="1" si="529"/>
        <v>0</v>
      </c>
      <c r="BG813" s="1468"/>
      <c r="BH813" s="1467">
        <f t="shared" ca="1" si="530"/>
        <v>0</v>
      </c>
    </row>
    <row r="814" spans="1:60" hidden="1" outlineLevel="1">
      <c r="A814" s="1301">
        <f t="shared" si="601"/>
        <v>18</v>
      </c>
      <c r="B814" s="1301">
        <f t="shared" si="602"/>
        <v>38</v>
      </c>
      <c r="C814" s="1301">
        <f t="shared" si="604"/>
        <v>27</v>
      </c>
      <c r="D814" s="1465" t="str">
        <f ca="1">IF(OFFSET(PortfolioDashboard!$A$3,C814-1,0)="","Blank",OFFSET(PortfolioDashboard!$A$3,C814-1,0))</f>
        <v>Blank</v>
      </c>
      <c r="E814" s="1466" t="str">
        <f t="shared" si="605"/>
        <v>2010$</v>
      </c>
      <c r="F814" s="1460">
        <f t="shared" ca="1" si="606"/>
        <v>0</v>
      </c>
      <c r="G814" s="1467">
        <f t="shared" ref="G814:AT814" ca="1" si="611">G752+G783</f>
        <v>0</v>
      </c>
      <c r="H814" s="1467">
        <f t="shared" ca="1" si="611"/>
        <v>0</v>
      </c>
      <c r="I814" s="1467">
        <f t="shared" ca="1" si="611"/>
        <v>0</v>
      </c>
      <c r="J814" s="1467">
        <f t="shared" ca="1" si="611"/>
        <v>0</v>
      </c>
      <c r="K814" s="1467">
        <f t="shared" ca="1" si="611"/>
        <v>0</v>
      </c>
      <c r="L814" s="1467">
        <f t="shared" ca="1" si="611"/>
        <v>0</v>
      </c>
      <c r="M814" s="1467">
        <f t="shared" ca="1" si="611"/>
        <v>0</v>
      </c>
      <c r="N814" s="1467">
        <f t="shared" ca="1" si="611"/>
        <v>0</v>
      </c>
      <c r="O814" s="1467">
        <f t="shared" ca="1" si="611"/>
        <v>0</v>
      </c>
      <c r="P814" s="1467">
        <f t="shared" ca="1" si="611"/>
        <v>0</v>
      </c>
      <c r="Q814" s="1467">
        <f t="shared" ca="1" si="611"/>
        <v>0</v>
      </c>
      <c r="R814" s="1467">
        <f t="shared" ca="1" si="611"/>
        <v>0</v>
      </c>
      <c r="S814" s="1467">
        <f t="shared" ca="1" si="611"/>
        <v>0</v>
      </c>
      <c r="T814" s="1467">
        <f t="shared" ca="1" si="611"/>
        <v>0</v>
      </c>
      <c r="U814" s="1467">
        <f t="shared" ca="1" si="611"/>
        <v>0</v>
      </c>
      <c r="V814" s="1467">
        <f t="shared" ca="1" si="611"/>
        <v>0</v>
      </c>
      <c r="W814" s="1467">
        <f t="shared" ca="1" si="611"/>
        <v>0</v>
      </c>
      <c r="X814" s="1467">
        <f t="shared" ca="1" si="611"/>
        <v>0</v>
      </c>
      <c r="Y814" s="1467">
        <f t="shared" ca="1" si="611"/>
        <v>0</v>
      </c>
      <c r="Z814" s="1467">
        <f t="shared" ca="1" si="611"/>
        <v>0</v>
      </c>
      <c r="AA814" s="1467">
        <f t="shared" ca="1" si="611"/>
        <v>0</v>
      </c>
      <c r="AB814" s="1467">
        <f t="shared" ca="1" si="611"/>
        <v>0</v>
      </c>
      <c r="AC814" s="1467">
        <f t="shared" ca="1" si="611"/>
        <v>0</v>
      </c>
      <c r="AD814" s="1467">
        <f t="shared" ca="1" si="611"/>
        <v>0</v>
      </c>
      <c r="AE814" s="1467">
        <f t="shared" ca="1" si="611"/>
        <v>0</v>
      </c>
      <c r="AF814" s="1467">
        <f t="shared" ca="1" si="611"/>
        <v>0</v>
      </c>
      <c r="AG814" s="1467">
        <f t="shared" ca="1" si="611"/>
        <v>0</v>
      </c>
      <c r="AH814" s="1467">
        <f t="shared" ca="1" si="611"/>
        <v>0</v>
      </c>
      <c r="AI814" s="1467">
        <f t="shared" ca="1" si="611"/>
        <v>0</v>
      </c>
      <c r="AJ814" s="1467">
        <f t="shared" ca="1" si="611"/>
        <v>0</v>
      </c>
      <c r="AK814" s="1467">
        <f t="shared" ca="1" si="611"/>
        <v>0</v>
      </c>
      <c r="AL814" s="1467">
        <f t="shared" ca="1" si="611"/>
        <v>0</v>
      </c>
      <c r="AM814" s="1467">
        <f t="shared" ca="1" si="611"/>
        <v>0</v>
      </c>
      <c r="AN814" s="1467">
        <f t="shared" ca="1" si="611"/>
        <v>0</v>
      </c>
      <c r="AO814" s="1467">
        <f t="shared" ca="1" si="611"/>
        <v>0</v>
      </c>
      <c r="AP814" s="1467">
        <f t="shared" ca="1" si="611"/>
        <v>0</v>
      </c>
      <c r="AQ814" s="1467">
        <f t="shared" ca="1" si="611"/>
        <v>0</v>
      </c>
      <c r="AR814" s="1467">
        <f t="shared" ca="1" si="611"/>
        <v>0</v>
      </c>
      <c r="AS814" s="1467">
        <f t="shared" ca="1" si="611"/>
        <v>0</v>
      </c>
      <c r="AT814" s="1467">
        <f t="shared" ca="1" si="611"/>
        <v>0</v>
      </c>
      <c r="AU814" s="1467"/>
      <c r="AV814" s="1467">
        <f t="shared" ca="1" si="524"/>
        <v>0</v>
      </c>
      <c r="AW814" s="1468"/>
      <c r="AX814" s="1467">
        <f t="shared" ca="1" si="525"/>
        <v>0</v>
      </c>
      <c r="AY814" s="1468"/>
      <c r="AZ814" s="1467">
        <f t="shared" ca="1" si="526"/>
        <v>0</v>
      </c>
      <c r="BA814" s="1468"/>
      <c r="BB814" s="1467">
        <f t="shared" ca="1" si="527"/>
        <v>0</v>
      </c>
      <c r="BC814" s="1468"/>
      <c r="BD814" s="1467">
        <f t="shared" ca="1" si="528"/>
        <v>0</v>
      </c>
      <c r="BE814" s="1468"/>
      <c r="BF814" s="1467">
        <f t="shared" ca="1" si="529"/>
        <v>0</v>
      </c>
      <c r="BG814" s="1468"/>
      <c r="BH814" s="1467">
        <f t="shared" ca="1" si="530"/>
        <v>0</v>
      </c>
    </row>
    <row r="815" spans="1:60" hidden="1" outlineLevel="1">
      <c r="A815" s="1301">
        <f t="shared" si="601"/>
        <v>18</v>
      </c>
      <c r="B815" s="1301">
        <f t="shared" si="602"/>
        <v>38</v>
      </c>
      <c r="C815" s="1301">
        <f t="shared" si="604"/>
        <v>28</v>
      </c>
      <c r="D815" s="1465" t="str">
        <f ca="1">IF(OFFSET(PortfolioDashboard!$A$3,C815-1,0)="","Blank",OFFSET(PortfolioDashboard!$A$3,C815-1,0))</f>
        <v>Blank</v>
      </c>
      <c r="E815" s="1466" t="str">
        <f t="shared" si="605"/>
        <v>2010$</v>
      </c>
      <c r="F815" s="1460">
        <f t="shared" ca="1" si="606"/>
        <v>0</v>
      </c>
      <c r="G815" s="1467">
        <f t="shared" ref="G815:AT815" ca="1" si="612">G753+G784</f>
        <v>0</v>
      </c>
      <c r="H815" s="1467">
        <f t="shared" ca="1" si="612"/>
        <v>0</v>
      </c>
      <c r="I815" s="1467">
        <f t="shared" ca="1" si="612"/>
        <v>0</v>
      </c>
      <c r="J815" s="1467">
        <f t="shared" ca="1" si="612"/>
        <v>0</v>
      </c>
      <c r="K815" s="1467">
        <f t="shared" ca="1" si="612"/>
        <v>0</v>
      </c>
      <c r="L815" s="1467">
        <f t="shared" ca="1" si="612"/>
        <v>0</v>
      </c>
      <c r="M815" s="1467">
        <f t="shared" ca="1" si="612"/>
        <v>0</v>
      </c>
      <c r="N815" s="1467">
        <f t="shared" ca="1" si="612"/>
        <v>0</v>
      </c>
      <c r="O815" s="1467">
        <f t="shared" ca="1" si="612"/>
        <v>0</v>
      </c>
      <c r="P815" s="1467">
        <f t="shared" ca="1" si="612"/>
        <v>0</v>
      </c>
      <c r="Q815" s="1467">
        <f t="shared" ca="1" si="612"/>
        <v>0</v>
      </c>
      <c r="R815" s="1467">
        <f t="shared" ca="1" si="612"/>
        <v>0</v>
      </c>
      <c r="S815" s="1467">
        <f t="shared" ca="1" si="612"/>
        <v>0</v>
      </c>
      <c r="T815" s="1467">
        <f t="shared" ca="1" si="612"/>
        <v>0</v>
      </c>
      <c r="U815" s="1467">
        <f t="shared" ca="1" si="612"/>
        <v>0</v>
      </c>
      <c r="V815" s="1467">
        <f t="shared" ca="1" si="612"/>
        <v>0</v>
      </c>
      <c r="W815" s="1467">
        <f t="shared" ca="1" si="612"/>
        <v>0</v>
      </c>
      <c r="X815" s="1467">
        <f t="shared" ca="1" si="612"/>
        <v>0</v>
      </c>
      <c r="Y815" s="1467">
        <f t="shared" ca="1" si="612"/>
        <v>0</v>
      </c>
      <c r="Z815" s="1467">
        <f t="shared" ca="1" si="612"/>
        <v>0</v>
      </c>
      <c r="AA815" s="1467">
        <f t="shared" ca="1" si="612"/>
        <v>0</v>
      </c>
      <c r="AB815" s="1467">
        <f t="shared" ca="1" si="612"/>
        <v>0</v>
      </c>
      <c r="AC815" s="1467">
        <f t="shared" ca="1" si="612"/>
        <v>0</v>
      </c>
      <c r="AD815" s="1467">
        <f t="shared" ca="1" si="612"/>
        <v>0</v>
      </c>
      <c r="AE815" s="1467">
        <f t="shared" ca="1" si="612"/>
        <v>0</v>
      </c>
      <c r="AF815" s="1467">
        <f t="shared" ca="1" si="612"/>
        <v>0</v>
      </c>
      <c r="AG815" s="1467">
        <f t="shared" ca="1" si="612"/>
        <v>0</v>
      </c>
      <c r="AH815" s="1467">
        <f t="shared" ca="1" si="612"/>
        <v>0</v>
      </c>
      <c r="AI815" s="1467">
        <f t="shared" ca="1" si="612"/>
        <v>0</v>
      </c>
      <c r="AJ815" s="1467">
        <f t="shared" ca="1" si="612"/>
        <v>0</v>
      </c>
      <c r="AK815" s="1467">
        <f t="shared" ca="1" si="612"/>
        <v>0</v>
      </c>
      <c r="AL815" s="1467">
        <f t="shared" ca="1" si="612"/>
        <v>0</v>
      </c>
      <c r="AM815" s="1467">
        <f t="shared" ca="1" si="612"/>
        <v>0</v>
      </c>
      <c r="AN815" s="1467">
        <f t="shared" ca="1" si="612"/>
        <v>0</v>
      </c>
      <c r="AO815" s="1467">
        <f t="shared" ca="1" si="612"/>
        <v>0</v>
      </c>
      <c r="AP815" s="1467">
        <f t="shared" ca="1" si="612"/>
        <v>0</v>
      </c>
      <c r="AQ815" s="1467">
        <f t="shared" ca="1" si="612"/>
        <v>0</v>
      </c>
      <c r="AR815" s="1467">
        <f t="shared" ca="1" si="612"/>
        <v>0</v>
      </c>
      <c r="AS815" s="1467">
        <f t="shared" ca="1" si="612"/>
        <v>0</v>
      </c>
      <c r="AT815" s="1467">
        <f t="shared" ca="1" si="612"/>
        <v>0</v>
      </c>
      <c r="AU815" s="1467"/>
      <c r="AV815" s="1467">
        <f t="shared" ca="1" si="524"/>
        <v>0</v>
      </c>
      <c r="AW815" s="1468"/>
      <c r="AX815" s="1467">
        <f t="shared" ca="1" si="525"/>
        <v>0</v>
      </c>
      <c r="AY815" s="1468"/>
      <c r="AZ815" s="1467">
        <f t="shared" ca="1" si="526"/>
        <v>0</v>
      </c>
      <c r="BA815" s="1468"/>
      <c r="BB815" s="1467">
        <f t="shared" ca="1" si="527"/>
        <v>0</v>
      </c>
      <c r="BC815" s="1468"/>
      <c r="BD815" s="1467">
        <f t="shared" ca="1" si="528"/>
        <v>0</v>
      </c>
      <c r="BE815" s="1468"/>
      <c r="BF815" s="1467">
        <f t="shared" ca="1" si="529"/>
        <v>0</v>
      </c>
      <c r="BG815" s="1468"/>
      <c r="BH815" s="1467">
        <f t="shared" ca="1" si="530"/>
        <v>0</v>
      </c>
    </row>
    <row r="816" spans="1:60" hidden="1" outlineLevel="1">
      <c r="A816" s="1301">
        <f t="shared" si="601"/>
        <v>18</v>
      </c>
      <c r="B816" s="1301">
        <f t="shared" si="602"/>
        <v>38</v>
      </c>
      <c r="C816" s="1301">
        <f t="shared" si="604"/>
        <v>29</v>
      </c>
      <c r="D816" s="1465" t="str">
        <f>D785</f>
        <v>Sustainability Driven-Master Plan</v>
      </c>
      <c r="E816" s="1466" t="str">
        <f t="shared" si="605"/>
        <v>2010$</v>
      </c>
      <c r="F816" s="1460">
        <f t="shared" ca="1" si="606"/>
        <v>-537861.87088412675</v>
      </c>
      <c r="G816" s="1467">
        <f t="shared" ref="G816:AT816" ca="1" si="613">G754+G785</f>
        <v>0</v>
      </c>
      <c r="H816" s="1467">
        <f t="shared" ca="1" si="613"/>
        <v>-600000</v>
      </c>
      <c r="I816" s="1467">
        <f t="shared" ca="1" si="613"/>
        <v>0</v>
      </c>
      <c r="J816" s="1467">
        <f t="shared" ca="1" si="613"/>
        <v>0</v>
      </c>
      <c r="K816" s="1467">
        <f t="shared" ca="1" si="613"/>
        <v>0</v>
      </c>
      <c r="L816" s="1467">
        <f t="shared" ca="1" si="613"/>
        <v>0</v>
      </c>
      <c r="M816" s="1467">
        <f t="shared" ca="1" si="613"/>
        <v>0</v>
      </c>
      <c r="N816" s="1467">
        <f t="shared" ca="1" si="613"/>
        <v>0</v>
      </c>
      <c r="O816" s="1467">
        <f t="shared" ca="1" si="613"/>
        <v>0</v>
      </c>
      <c r="P816" s="1467">
        <f t="shared" ca="1" si="613"/>
        <v>0</v>
      </c>
      <c r="Q816" s="1467">
        <f t="shared" ca="1" si="613"/>
        <v>0</v>
      </c>
      <c r="R816" s="1467">
        <f t="shared" ca="1" si="613"/>
        <v>0</v>
      </c>
      <c r="S816" s="1467">
        <f t="shared" ca="1" si="613"/>
        <v>0</v>
      </c>
      <c r="T816" s="1467">
        <f t="shared" ca="1" si="613"/>
        <v>0</v>
      </c>
      <c r="U816" s="1467">
        <f t="shared" ca="1" si="613"/>
        <v>0</v>
      </c>
      <c r="V816" s="1467">
        <f t="shared" ca="1" si="613"/>
        <v>0</v>
      </c>
      <c r="W816" s="1467">
        <f t="shared" ca="1" si="613"/>
        <v>0</v>
      </c>
      <c r="X816" s="1467">
        <f t="shared" ca="1" si="613"/>
        <v>0</v>
      </c>
      <c r="Y816" s="1467">
        <f t="shared" ca="1" si="613"/>
        <v>0</v>
      </c>
      <c r="Z816" s="1467">
        <f t="shared" ca="1" si="613"/>
        <v>0</v>
      </c>
      <c r="AA816" s="1467">
        <f t="shared" ca="1" si="613"/>
        <v>0</v>
      </c>
      <c r="AB816" s="1467">
        <f t="shared" ca="1" si="613"/>
        <v>0</v>
      </c>
      <c r="AC816" s="1467">
        <f t="shared" ca="1" si="613"/>
        <v>0</v>
      </c>
      <c r="AD816" s="1467">
        <f t="shared" ca="1" si="613"/>
        <v>0</v>
      </c>
      <c r="AE816" s="1467">
        <f t="shared" ca="1" si="613"/>
        <v>0</v>
      </c>
      <c r="AF816" s="1467">
        <f t="shared" ca="1" si="613"/>
        <v>0</v>
      </c>
      <c r="AG816" s="1467">
        <f t="shared" ca="1" si="613"/>
        <v>0</v>
      </c>
      <c r="AH816" s="1467">
        <f t="shared" ca="1" si="613"/>
        <v>0</v>
      </c>
      <c r="AI816" s="1467">
        <f t="shared" ca="1" si="613"/>
        <v>0</v>
      </c>
      <c r="AJ816" s="1467">
        <f t="shared" ca="1" si="613"/>
        <v>0</v>
      </c>
      <c r="AK816" s="1467">
        <f t="shared" ca="1" si="613"/>
        <v>0</v>
      </c>
      <c r="AL816" s="1467">
        <f t="shared" ca="1" si="613"/>
        <v>0</v>
      </c>
      <c r="AM816" s="1467">
        <f t="shared" ca="1" si="613"/>
        <v>0</v>
      </c>
      <c r="AN816" s="1467">
        <f t="shared" ca="1" si="613"/>
        <v>0</v>
      </c>
      <c r="AO816" s="1467">
        <f t="shared" ca="1" si="613"/>
        <v>0</v>
      </c>
      <c r="AP816" s="1467">
        <f t="shared" ca="1" si="613"/>
        <v>0</v>
      </c>
      <c r="AQ816" s="1467">
        <f t="shared" ca="1" si="613"/>
        <v>0</v>
      </c>
      <c r="AR816" s="1467">
        <f t="shared" ca="1" si="613"/>
        <v>0</v>
      </c>
      <c r="AS816" s="1467">
        <f t="shared" ca="1" si="613"/>
        <v>0</v>
      </c>
      <c r="AT816" s="1467">
        <f t="shared" ca="1" si="613"/>
        <v>0</v>
      </c>
      <c r="AU816" s="1467"/>
      <c r="AV816" s="1467">
        <f t="shared" ca="1" si="524"/>
        <v>0</v>
      </c>
      <c r="AW816" s="1468"/>
      <c r="AX816" s="1467">
        <f t="shared" ca="1" si="525"/>
        <v>0</v>
      </c>
      <c r="AY816" s="1468"/>
      <c r="AZ816" s="1467">
        <f t="shared" ca="1" si="526"/>
        <v>0</v>
      </c>
      <c r="BA816" s="1468"/>
      <c r="BB816" s="1467">
        <f t="shared" ca="1" si="527"/>
        <v>0</v>
      </c>
      <c r="BC816" s="1468"/>
      <c r="BD816" s="1467">
        <f t="shared" ca="1" si="528"/>
        <v>0</v>
      </c>
      <c r="BE816" s="1468"/>
      <c r="BF816" s="1467">
        <f t="shared" ca="1" si="529"/>
        <v>0</v>
      </c>
      <c r="BG816" s="1468"/>
      <c r="BH816" s="1467">
        <f t="shared" ca="1" si="530"/>
        <v>0</v>
      </c>
    </row>
    <row r="817" spans="1:60" hidden="1" outlineLevel="1">
      <c r="A817" s="1301">
        <f t="shared" si="601"/>
        <v>18</v>
      </c>
      <c r="B817" s="1301">
        <f t="shared" si="602"/>
        <v>38</v>
      </c>
      <c r="C817" s="1301">
        <f t="shared" si="604"/>
        <v>30</v>
      </c>
      <c r="D817" s="1465" t="str">
        <f>D786</f>
        <v>Research and Curriculum</v>
      </c>
      <c r="E817" s="1466" t="str">
        <f t="shared" si="605"/>
        <v>2010$</v>
      </c>
      <c r="F817" s="1460">
        <f t="shared" ca="1" si="606"/>
        <v>-4867919.572699625</v>
      </c>
      <c r="G817" s="1467">
        <f t="shared" ref="G817:AT817" ca="1" si="614">G755+G786</f>
        <v>-200000</v>
      </c>
      <c r="H817" s="1467">
        <f t="shared" ca="1" si="614"/>
        <v>-315000</v>
      </c>
      <c r="I817" s="1467">
        <f t="shared" ca="1" si="614"/>
        <v>-315000</v>
      </c>
      <c r="J817" s="1467">
        <f t="shared" ca="1" si="614"/>
        <v>-315000</v>
      </c>
      <c r="K817" s="1467">
        <f t="shared" ca="1" si="614"/>
        <v>-315000</v>
      </c>
      <c r="L817" s="1467">
        <f t="shared" ca="1" si="614"/>
        <v>-315000</v>
      </c>
      <c r="M817" s="1467">
        <f t="shared" ca="1" si="614"/>
        <v>-315000</v>
      </c>
      <c r="N817" s="1467">
        <f t="shared" ca="1" si="614"/>
        <v>-315000</v>
      </c>
      <c r="O817" s="1467">
        <f t="shared" ca="1" si="614"/>
        <v>-315000</v>
      </c>
      <c r="P817" s="1467">
        <f t="shared" ca="1" si="614"/>
        <v>-315000</v>
      </c>
      <c r="Q817" s="1467">
        <f t="shared" ca="1" si="614"/>
        <v>-315000</v>
      </c>
      <c r="R817" s="1467">
        <f t="shared" ca="1" si="614"/>
        <v>-315000</v>
      </c>
      <c r="S817" s="1467">
        <f t="shared" ca="1" si="614"/>
        <v>-315000</v>
      </c>
      <c r="T817" s="1467">
        <f t="shared" ca="1" si="614"/>
        <v>-315000</v>
      </c>
      <c r="U817" s="1467">
        <f t="shared" ca="1" si="614"/>
        <v>-315000</v>
      </c>
      <c r="V817" s="1467">
        <f t="shared" ca="1" si="614"/>
        <v>-315000</v>
      </c>
      <c r="W817" s="1467">
        <f t="shared" ca="1" si="614"/>
        <v>-315000</v>
      </c>
      <c r="X817" s="1467">
        <f t="shared" ca="1" si="614"/>
        <v>-315000</v>
      </c>
      <c r="Y817" s="1467">
        <f t="shared" ca="1" si="614"/>
        <v>-315000</v>
      </c>
      <c r="Z817" s="1467">
        <f t="shared" ca="1" si="614"/>
        <v>-315000</v>
      </c>
      <c r="AA817" s="1467">
        <f t="shared" ca="1" si="614"/>
        <v>-315000</v>
      </c>
      <c r="AB817" s="1467">
        <f t="shared" ca="1" si="614"/>
        <v>-315000</v>
      </c>
      <c r="AC817" s="1467">
        <f t="shared" ca="1" si="614"/>
        <v>-315000</v>
      </c>
      <c r="AD817" s="1467">
        <f t="shared" ca="1" si="614"/>
        <v>-315000</v>
      </c>
      <c r="AE817" s="1467">
        <f t="shared" ca="1" si="614"/>
        <v>-315000</v>
      </c>
      <c r="AF817" s="1467">
        <f t="shared" ca="1" si="614"/>
        <v>-315000</v>
      </c>
      <c r="AG817" s="1467">
        <f t="shared" ca="1" si="614"/>
        <v>-315000</v>
      </c>
      <c r="AH817" s="1467">
        <f t="shared" ca="1" si="614"/>
        <v>-315000</v>
      </c>
      <c r="AI817" s="1467">
        <f t="shared" ca="1" si="614"/>
        <v>-315000</v>
      </c>
      <c r="AJ817" s="1467">
        <f t="shared" ca="1" si="614"/>
        <v>-315000</v>
      </c>
      <c r="AK817" s="1467">
        <f t="shared" ca="1" si="614"/>
        <v>-315000</v>
      </c>
      <c r="AL817" s="1467">
        <f t="shared" ca="1" si="614"/>
        <v>-315000</v>
      </c>
      <c r="AM817" s="1467">
        <f t="shared" ca="1" si="614"/>
        <v>-315000</v>
      </c>
      <c r="AN817" s="1467">
        <f t="shared" ca="1" si="614"/>
        <v>-315000</v>
      </c>
      <c r="AO817" s="1467">
        <f t="shared" ca="1" si="614"/>
        <v>-315000</v>
      </c>
      <c r="AP817" s="1467">
        <f t="shared" ca="1" si="614"/>
        <v>-315000</v>
      </c>
      <c r="AQ817" s="1467">
        <f t="shared" ca="1" si="614"/>
        <v>-315000</v>
      </c>
      <c r="AR817" s="1467">
        <f t="shared" ca="1" si="614"/>
        <v>-315000</v>
      </c>
      <c r="AS817" s="1467">
        <f t="shared" ca="1" si="614"/>
        <v>-315000</v>
      </c>
      <c r="AT817" s="1467">
        <f t="shared" ca="1" si="614"/>
        <v>-315000</v>
      </c>
      <c r="AU817" s="1467"/>
      <c r="AV817" s="1467">
        <f t="shared" ca="1" si="524"/>
        <v>-1575000</v>
      </c>
      <c r="AW817" s="1468"/>
      <c r="AX817" s="1467">
        <f t="shared" ca="1" si="525"/>
        <v>-1575000</v>
      </c>
      <c r="AY817" s="1468"/>
      <c r="AZ817" s="1467">
        <f t="shared" ca="1" si="526"/>
        <v>-1575000</v>
      </c>
      <c r="BA817" s="1468"/>
      <c r="BB817" s="1467">
        <f t="shared" ca="1" si="527"/>
        <v>-1575000</v>
      </c>
      <c r="BC817" s="1468"/>
      <c r="BD817" s="1467">
        <f t="shared" ca="1" si="528"/>
        <v>-1575000</v>
      </c>
      <c r="BE817" s="1468"/>
      <c r="BF817" s="1467">
        <f t="shared" ca="1" si="529"/>
        <v>-1575000</v>
      </c>
      <c r="BG817" s="1468"/>
      <c r="BH817" s="1467">
        <f t="shared" ca="1" si="530"/>
        <v>-1575000</v>
      </c>
    </row>
    <row r="818" spans="1:60" ht="15.75" collapsed="1" thickBot="1">
      <c r="A818" s="1301"/>
      <c r="B818" s="1301"/>
      <c r="C818" s="1301"/>
      <c r="D818" s="1472" t="s">
        <v>2935</v>
      </c>
      <c r="E818" s="1473" t="str">
        <f>E758</f>
        <v>2010$</v>
      </c>
      <c r="F818" s="1462">
        <f t="shared" ca="1" si="606"/>
        <v>186493195.98841557</v>
      </c>
      <c r="G818" s="1474">
        <f ca="1">SUM(G787,G756)</f>
        <v>37052.05335287287</v>
      </c>
      <c r="H818" s="1474">
        <f t="shared" ref="H818:AT818" ca="1" si="615">SUM(H787,H756)</f>
        <v>100980.85031358362</v>
      </c>
      <c r="I818" s="1474">
        <f t="shared" ca="1" si="615"/>
        <v>3110200.2491965033</v>
      </c>
      <c r="J818" s="1474">
        <f t="shared" ca="1" si="615"/>
        <v>4369583.585855783</v>
      </c>
      <c r="K818" s="1474">
        <f t="shared" ca="1" si="615"/>
        <v>5840539.0726510277</v>
      </c>
      <c r="L818" s="1474">
        <f t="shared" ca="1" si="615"/>
        <v>6775416.2031774279</v>
      </c>
      <c r="M818" s="1474">
        <f t="shared" ca="1" si="615"/>
        <v>7151490.7377868341</v>
      </c>
      <c r="N818" s="1474">
        <f t="shared" ca="1" si="615"/>
        <v>7944926.3811529484</v>
      </c>
      <c r="O818" s="1474">
        <f t="shared" ca="1" si="615"/>
        <v>8643915.4662240129</v>
      </c>
      <c r="P818" s="1474">
        <f t="shared" ca="1" si="615"/>
        <v>9435585.7466044948</v>
      </c>
      <c r="Q818" s="1474">
        <f t="shared" ca="1" si="615"/>
        <v>10231662.860155374</v>
      </c>
      <c r="R818" s="1474">
        <f t="shared" ca="1" si="615"/>
        <v>11032170.201416848</v>
      </c>
      <c r="S818" s="1474">
        <f t="shared" ca="1" si="615"/>
        <v>11839606.011803515</v>
      </c>
      <c r="T818" s="1474">
        <f t="shared" ca="1" si="615"/>
        <v>12610923.734036909</v>
      </c>
      <c r="U818" s="1474">
        <f t="shared" ca="1" si="615"/>
        <v>13315047.865106655</v>
      </c>
      <c r="V818" s="1474">
        <f t="shared" ca="1" si="615"/>
        <v>14023262.108419981</v>
      </c>
      <c r="W818" s="1474">
        <f t="shared" ca="1" si="615"/>
        <v>14735594.232961942</v>
      </c>
      <c r="X818" s="1474">
        <f t="shared" ca="1" si="615"/>
        <v>15452072.193497099</v>
      </c>
      <c r="Y818" s="1474">
        <f t="shared" ca="1" si="615"/>
        <v>16172724.148301721</v>
      </c>
      <c r="Z818" s="1474">
        <f t="shared" ca="1" si="615"/>
        <v>16897578.471940115</v>
      </c>
      <c r="AA818" s="1474">
        <f t="shared" ca="1" si="615"/>
        <v>17626663.764565889</v>
      </c>
      <c r="AB818" s="1474">
        <f t="shared" ca="1" si="615"/>
        <v>18339815.226002868</v>
      </c>
      <c r="AC818" s="1474">
        <f t="shared" ca="1" si="615"/>
        <v>19204290.705100883</v>
      </c>
      <c r="AD818" s="1474">
        <f t="shared" ca="1" si="615"/>
        <v>19925643.833741125</v>
      </c>
      <c r="AE818" s="1474">
        <f t="shared" ca="1" si="615"/>
        <v>20723146.910909817</v>
      </c>
      <c r="AF818" s="1474">
        <f t="shared" ca="1" si="615"/>
        <v>21323356.494034749</v>
      </c>
      <c r="AG818" s="1474">
        <f t="shared" ca="1" si="615"/>
        <v>22588255.120891191</v>
      </c>
      <c r="AH818" s="1474">
        <f t="shared" ca="1" si="615"/>
        <v>23194957.227361187</v>
      </c>
      <c r="AI818" s="1474">
        <f t="shared" ca="1" si="615"/>
        <v>23893236.164210908</v>
      </c>
      <c r="AJ818" s="1474">
        <f t="shared" ca="1" si="615"/>
        <v>24506517.631391957</v>
      </c>
      <c r="AK818" s="1474">
        <f t="shared" ca="1" si="615"/>
        <v>25123121.821673214</v>
      </c>
      <c r="AL818" s="1474">
        <f t="shared" ca="1" si="615"/>
        <v>25743071.019114073</v>
      </c>
      <c r="AM818" s="1474">
        <f t="shared" ca="1" si="615"/>
        <v>26366387.699435912</v>
      </c>
      <c r="AN818" s="1474">
        <f t="shared" ca="1" si="615"/>
        <v>26993094.529952373</v>
      </c>
      <c r="AO818" s="1474">
        <f t="shared" ca="1" si="615"/>
        <v>27623214.369472791</v>
      </c>
      <c r="AP818" s="1474">
        <f t="shared" ca="1" si="615"/>
        <v>28256770.26819443</v>
      </c>
      <c r="AQ818" s="1474">
        <f t="shared" ca="1" si="615"/>
        <v>28893785.467595641</v>
      </c>
      <c r="AR818" s="1474">
        <f t="shared" ca="1" si="615"/>
        <v>29534283.400339294</v>
      </c>
      <c r="AS818" s="1474">
        <f t="shared" ca="1" si="615"/>
        <v>30178287.690193225</v>
      </c>
      <c r="AT818" s="1474">
        <f t="shared" ca="1" si="615"/>
        <v>30825822.151973374</v>
      </c>
      <c r="AU818" s="1468"/>
      <c r="AV818" s="1474">
        <f t="shared" ca="1" si="524"/>
        <v>39951334.534945719</v>
      </c>
      <c r="AW818" s="1468"/>
      <c r="AX818" s="1474">
        <f t="shared" ca="1" si="525"/>
        <v>59029410.672519304</v>
      </c>
      <c r="AY818" s="1468"/>
      <c r="AZ818" s="1474">
        <f t="shared" ca="1" si="526"/>
        <v>77281231.15512085</v>
      </c>
      <c r="BA818" s="1468"/>
      <c r="BB818" s="1474">
        <f t="shared" ca="1" si="527"/>
        <v>95819560.440320581</v>
      </c>
      <c r="BC818" s="1468"/>
      <c r="BD818" s="1474">
        <f t="shared" ca="1" si="528"/>
        <v>115506322.63789</v>
      </c>
      <c r="BE818" s="1468"/>
      <c r="BF818" s="1474">
        <f t="shared" ca="1" si="529"/>
        <v>131848889.43964837</v>
      </c>
      <c r="BG818" s="1468"/>
      <c r="BH818" s="1474">
        <f t="shared" ca="1" si="530"/>
        <v>147688948.97829595</v>
      </c>
    </row>
    <row r="819" spans="1:60" ht="15.75" thickTop="1"/>
  </sheetData>
  <mergeCells count="2">
    <mergeCell ref="A1:B1"/>
    <mergeCell ref="A725:B725"/>
  </mergeCells>
  <printOptions horizontalCentered="1"/>
  <pageMargins left="0.2" right="0.25" top="0.75" bottom="0.75" header="0.3" footer="0.3"/>
  <pageSetup paperSize="5" scale="80" orientation="landscape" r:id="rId1"/>
  <drawing r:id="rId2"/>
</worksheet>
</file>

<file path=xl/worksheets/sheet82.xml><?xml version="1.0" encoding="utf-8"?>
<worksheet xmlns="http://schemas.openxmlformats.org/spreadsheetml/2006/main" xmlns:r="http://schemas.openxmlformats.org/officeDocument/2006/relationships">
  <sheetPr codeName="Sheet62"/>
  <dimension ref="C2:M20"/>
  <sheetViews>
    <sheetView zoomScaleNormal="100" workbookViewId="0">
      <selection activeCell="D14" sqref="D14"/>
    </sheetView>
  </sheetViews>
  <sheetFormatPr defaultRowHeight="15"/>
  <cols>
    <col min="1" max="1" width="9.140625" style="10"/>
    <col min="2" max="2" width="3" style="10" bestFit="1" customWidth="1"/>
    <col min="3" max="3" width="27.85546875" style="10" bestFit="1" customWidth="1"/>
    <col min="4" max="4" width="12.85546875" style="10" bestFit="1" customWidth="1"/>
    <col min="5" max="9" width="12.7109375" style="10" bestFit="1" customWidth="1"/>
    <col min="10" max="13" width="12" style="10" bestFit="1" customWidth="1"/>
    <col min="14" max="16384" width="9.140625" style="10"/>
  </cols>
  <sheetData>
    <row r="2" spans="3:13">
      <c r="D2" s="10" t="s">
        <v>621</v>
      </c>
      <c r="E2" s="10" t="s">
        <v>620</v>
      </c>
      <c r="F2" s="10" t="s">
        <v>619</v>
      </c>
      <c r="G2" s="10" t="s">
        <v>618</v>
      </c>
      <c r="H2" s="10" t="s">
        <v>617</v>
      </c>
      <c r="I2" s="10" t="s">
        <v>616</v>
      </c>
      <c r="J2" s="10" t="s">
        <v>615</v>
      </c>
      <c r="K2" s="10" t="s">
        <v>614</v>
      </c>
      <c r="L2" s="10" t="s">
        <v>613</v>
      </c>
      <c r="M2" s="10" t="s">
        <v>612</v>
      </c>
    </row>
    <row r="3" spans="3:13">
      <c r="C3" s="782" t="str">
        <f>PortfolioCFStatement!D159</f>
        <v>Electricity Savings</v>
      </c>
      <c r="D3" s="358">
        <f ca="1">NPV(DiscountRate,PortfolioCFStatement!G159:AT159)/1000000</f>
        <v>91.982454445492593</v>
      </c>
      <c r="E3" s="358">
        <f ca="1">SUM($D$3:D3)</f>
        <v>91.982454445492593</v>
      </c>
      <c r="F3" s="15"/>
      <c r="G3" s="358"/>
      <c r="H3" s="358">
        <f ca="1">IF(AND(E3&lt;0,D3&lt;0),MAX(D3,E3),0)</f>
        <v>0</v>
      </c>
      <c r="I3" s="358">
        <f ca="1">IF(AND(E2&lt;0,D3&gt;0),MAX(-D3,E2),0)</f>
        <v>0</v>
      </c>
      <c r="J3" s="358"/>
      <c r="K3" s="358">
        <f ca="1">IF(AND(E2&gt;0,D3&lt;0),MIN(-D3,E2),0)</f>
        <v>0</v>
      </c>
      <c r="L3" s="358">
        <f ca="1">IF(AND(E3&gt;0,D3&gt;0),MIN(D3,E3),0)</f>
        <v>91.982454445492593</v>
      </c>
      <c r="M3" s="358">
        <f ca="1">MAX(F3,SUM(J3:L3))</f>
        <v>91.982454445492593</v>
      </c>
    </row>
    <row r="4" spans="3:13">
      <c r="C4" s="782" t="str">
        <f>PortfolioCFStatement!D190</f>
        <v>New Electricity Source Fuel Cost</v>
      </c>
      <c r="D4" s="358">
        <f ca="1">NPV(DiscountRate,PortfolioCFStatement!G190:AT190)/1000000</f>
        <v>-1.4891904806596066</v>
      </c>
      <c r="E4" s="358">
        <f ca="1">SUM($D$3:D4)</f>
        <v>90.493263964832991</v>
      </c>
      <c r="F4" s="15"/>
      <c r="G4" s="358">
        <f ca="1">IF(AND(E4&lt;0,E3&lt;0),MAX(E3:E4),0)</f>
        <v>0</v>
      </c>
      <c r="H4" s="358">
        <f ca="1">IF(AND(E4&lt;0,D4&lt;0),MAX(D4,E4),0)</f>
        <v>0</v>
      </c>
      <c r="I4" s="358">
        <f ca="1">IF(AND(E3&lt;0,D4&gt;0),MAX(-D4,E3),0)</f>
        <v>0</v>
      </c>
      <c r="J4" s="358">
        <f ca="1">IF(AND(E4&gt;0,E3&gt;0),MIN(E3:E4),0)</f>
        <v>90.493263964832991</v>
      </c>
      <c r="K4" s="358">
        <f ca="1">IF(AND(E3&gt;0,D4&lt;0),MIN(-D4,E3),0)</f>
        <v>1.4891904806596066</v>
      </c>
      <c r="L4" s="358">
        <f ca="1">IF(AND(E4&gt;0,D4&gt;0),MIN(D4,E4),0)</f>
        <v>0</v>
      </c>
      <c r="M4" s="358">
        <f ca="1">MAX(F4,SUM(J4:L4))</f>
        <v>91.982454445492593</v>
      </c>
    </row>
    <row r="5" spans="3:13">
      <c r="C5" s="782" t="str">
        <f>PortfolioCFStatement!D221</f>
        <v>Steam Savings</v>
      </c>
      <c r="D5" s="358">
        <f ca="1">NPV(DiscountRate,PortfolioCFStatement!G221:AT221)/1000000</f>
        <v>56.138022682271277</v>
      </c>
      <c r="E5" s="358">
        <f ca="1">SUM($D$3:D5)</f>
        <v>146.63128664710428</v>
      </c>
      <c r="F5" s="15"/>
      <c r="G5" s="358">
        <f t="shared" ref="G5:G15" ca="1" si="0">IF(AND(E5&lt;0,E4&lt;0),MAX(E4:E5),0)</f>
        <v>0</v>
      </c>
      <c r="H5" s="358">
        <f t="shared" ref="H5:H15" ca="1" si="1">IF(AND(E5&lt;0,D5&lt;0),MAX(D5,E5),0)</f>
        <v>0</v>
      </c>
      <c r="I5" s="358">
        <f t="shared" ref="I5:I15" ca="1" si="2">IF(AND(E4&lt;0,D5&gt;0),MAX(-D5,E4),0)</f>
        <v>0</v>
      </c>
      <c r="J5" s="358">
        <f t="shared" ref="J5:J15" ca="1" si="3">IF(AND(E5&gt;0,E4&gt;0),MIN(E4:E5),0)</f>
        <v>90.493263964832991</v>
      </c>
      <c r="K5" s="358">
        <f t="shared" ref="K5:K15" ca="1" si="4">IF(AND(E4&gt;0,D5&lt;0),MIN(-D5,E4),0)</f>
        <v>0</v>
      </c>
      <c r="L5" s="358">
        <f t="shared" ref="L5:L15" ca="1" si="5">IF(AND(E5&gt;0,D5&gt;0),MIN(D5,E5),0)</f>
        <v>56.138022682271277</v>
      </c>
      <c r="M5" s="358">
        <f t="shared" ref="M5:M18" ca="1" si="6">MAX(F5,SUM(J5:L5))</f>
        <v>146.63128664710428</v>
      </c>
    </row>
    <row r="6" spans="3:13">
      <c r="C6" s="782" t="str">
        <f>PortfolioCFStatement!D252</f>
        <v>New Steam Source Fuel Cost</v>
      </c>
      <c r="D6" s="358">
        <f ca="1">NPV(DiscountRate,PortfolioCFStatement!G252:AT252)/1000000</f>
        <v>-4.2289761405559281</v>
      </c>
      <c r="E6" s="358">
        <f ca="1">SUM($D$3:D6)</f>
        <v>142.40231050654836</v>
      </c>
      <c r="F6" s="15"/>
      <c r="G6" s="358">
        <f t="shared" ca="1" si="0"/>
        <v>0</v>
      </c>
      <c r="H6" s="358">
        <f t="shared" ca="1" si="1"/>
        <v>0</v>
      </c>
      <c r="I6" s="358">
        <f t="shared" ca="1" si="2"/>
        <v>0</v>
      </c>
      <c r="J6" s="358">
        <f t="shared" ca="1" si="3"/>
        <v>142.40231050654836</v>
      </c>
      <c r="K6" s="358">
        <f t="shared" ca="1" si="4"/>
        <v>4.2289761405559281</v>
      </c>
      <c r="L6" s="358">
        <f t="shared" ca="1" si="5"/>
        <v>0</v>
      </c>
      <c r="M6" s="358">
        <f t="shared" ca="1" si="6"/>
        <v>146.63128664710428</v>
      </c>
    </row>
    <row r="7" spans="3:13">
      <c r="C7" s="782" t="str">
        <f>PortfolioCFStatement!D283</f>
        <v>Chilled Water Savings</v>
      </c>
      <c r="D7" s="358">
        <f ca="1">NPV(DiscountRate,PortfolioCFStatement!G283:AT283)/1000000</f>
        <v>16.507291153962836</v>
      </c>
      <c r="E7" s="358">
        <f ca="1">SUM($D$3:D7)</f>
        <v>158.90960166051119</v>
      </c>
      <c r="F7" s="15"/>
      <c r="G7" s="358">
        <f t="shared" ca="1" si="0"/>
        <v>0</v>
      </c>
      <c r="H7" s="358">
        <f t="shared" ca="1" si="1"/>
        <v>0</v>
      </c>
      <c r="I7" s="358">
        <f t="shared" ca="1" si="2"/>
        <v>0</v>
      </c>
      <c r="J7" s="358">
        <f t="shared" ca="1" si="3"/>
        <v>142.40231050654836</v>
      </c>
      <c r="K7" s="358">
        <f t="shared" ca="1" si="4"/>
        <v>0</v>
      </c>
      <c r="L7" s="358">
        <f t="shared" ca="1" si="5"/>
        <v>16.507291153962836</v>
      </c>
      <c r="M7" s="358">
        <f t="shared" ca="1" si="6"/>
        <v>158.90960166051119</v>
      </c>
    </row>
    <row r="8" spans="3:13">
      <c r="C8" s="782" t="str">
        <f>PortfolioCFStatement!D314</f>
        <v>New Chilled Water Source Fuel Cost</v>
      </c>
      <c r="D8" s="358">
        <f ca="1">NPV(DiscountRate,PortfolioCFStatement!G314:AT314)/1000000</f>
        <v>-9.7821102226704966</v>
      </c>
      <c r="E8" s="358">
        <f ca="1">SUM($D$3:D8)</f>
        <v>149.12749143784069</v>
      </c>
      <c r="F8" s="15"/>
      <c r="G8" s="358">
        <f t="shared" ca="1" si="0"/>
        <v>0</v>
      </c>
      <c r="H8" s="358">
        <f t="shared" ca="1" si="1"/>
        <v>0</v>
      </c>
      <c r="I8" s="358">
        <f t="shared" ca="1" si="2"/>
        <v>0</v>
      </c>
      <c r="J8" s="358">
        <f t="shared" ca="1" si="3"/>
        <v>149.12749143784069</v>
      </c>
      <c r="K8" s="358">
        <f t="shared" ca="1" si="4"/>
        <v>9.7821102226704966</v>
      </c>
      <c r="L8" s="358">
        <f t="shared" ca="1" si="5"/>
        <v>0</v>
      </c>
      <c r="M8" s="358">
        <f t="shared" ca="1" si="6"/>
        <v>158.90960166051119</v>
      </c>
    </row>
    <row r="9" spans="3:13">
      <c r="C9" s="782" t="str">
        <f>PortfolioCFStatement!D345</f>
        <v>NG Savings (Cost)</v>
      </c>
      <c r="D9" s="358">
        <f ca="1">NPV(DiscountRate,PortfolioCFStatement!G345:AT345)/1000000</f>
        <v>0</v>
      </c>
      <c r="E9" s="358">
        <f ca="1">SUM($D$3:D9)</f>
        <v>149.12749143784069</v>
      </c>
      <c r="F9" s="15"/>
      <c r="G9" s="358">
        <f t="shared" ca="1" si="0"/>
        <v>0</v>
      </c>
      <c r="H9" s="358">
        <f t="shared" ca="1" si="1"/>
        <v>0</v>
      </c>
      <c r="I9" s="358">
        <f t="shared" ca="1" si="2"/>
        <v>0</v>
      </c>
      <c r="J9" s="358">
        <f t="shared" ca="1" si="3"/>
        <v>149.12749143784069</v>
      </c>
      <c r="K9" s="358">
        <f t="shared" ca="1" si="4"/>
        <v>0</v>
      </c>
      <c r="L9" s="358">
        <f t="shared" ca="1" si="5"/>
        <v>0</v>
      </c>
      <c r="M9" s="358">
        <f t="shared" ca="1" si="6"/>
        <v>149.12749143784069</v>
      </c>
    </row>
    <row r="10" spans="3:13">
      <c r="C10" s="782" t="str">
        <f>PortfolioCFStatement!D376</f>
        <v>Campus Fleet Fuel</v>
      </c>
      <c r="D10" s="358">
        <f ca="1">NPV(DiscountRate,PortfolioCFStatement!G376:AT376)/1000000</f>
        <v>0</v>
      </c>
      <c r="E10" s="358">
        <f ca="1">SUM($D$3:D10)</f>
        <v>149.12749143784069</v>
      </c>
      <c r="F10" s="15"/>
      <c r="G10" s="358">
        <f t="shared" ca="1" si="0"/>
        <v>0</v>
      </c>
      <c r="H10" s="358">
        <f t="shared" ca="1" si="1"/>
        <v>0</v>
      </c>
      <c r="I10" s="358">
        <f t="shared" ca="1" si="2"/>
        <v>0</v>
      </c>
      <c r="J10" s="358">
        <f t="shared" ca="1" si="3"/>
        <v>149.12749143784069</v>
      </c>
      <c r="K10" s="358">
        <f t="shared" ca="1" si="4"/>
        <v>0</v>
      </c>
      <c r="L10" s="358">
        <f t="shared" ca="1" si="5"/>
        <v>0</v>
      </c>
      <c r="M10" s="358">
        <f t="shared" ca="1" si="6"/>
        <v>149.12749143784069</v>
      </c>
    </row>
    <row r="11" spans="3:13">
      <c r="C11" s="782" t="str">
        <f>PortfolioCFStatement!D439</f>
        <v>Avoided Capital Cost</v>
      </c>
      <c r="D11" s="358">
        <f ca="1">NPV(DiscountRate,PortfolioCFStatement!G439:AT439)/1000000</f>
        <v>379.87861812831278</v>
      </c>
      <c r="E11" s="358">
        <f ca="1">SUM($D$3:D11)</f>
        <v>529.00610956615344</v>
      </c>
      <c r="F11" s="15"/>
      <c r="G11" s="358">
        <f t="shared" ca="1" si="0"/>
        <v>0</v>
      </c>
      <c r="H11" s="358">
        <f t="shared" ca="1" si="1"/>
        <v>0</v>
      </c>
      <c r="I11" s="358">
        <f t="shared" ca="1" si="2"/>
        <v>0</v>
      </c>
      <c r="J11" s="358">
        <f t="shared" ca="1" si="3"/>
        <v>149.12749143784069</v>
      </c>
      <c r="K11" s="358">
        <f t="shared" ca="1" si="4"/>
        <v>0</v>
      </c>
      <c r="L11" s="358">
        <f t="shared" ca="1" si="5"/>
        <v>379.87861812831278</v>
      </c>
      <c r="M11" s="358">
        <f t="shared" ca="1" si="6"/>
        <v>529.00610956615344</v>
      </c>
    </row>
    <row r="12" spans="3:13">
      <c r="C12" s="782" t="str">
        <f>PortfolioCFStatement!D470</f>
        <v>New Capital Cost</v>
      </c>
      <c r="D12" s="358">
        <f ca="1">NPV(DiscountRate,PortfolioCFStatement!G470:AT470)/1000000</f>
        <v>-24.662921665798507</v>
      </c>
      <c r="E12" s="358">
        <f ca="1">SUM($D$3:D12)</f>
        <v>504.34318790035491</v>
      </c>
      <c r="F12" s="15"/>
      <c r="G12" s="358">
        <f t="shared" ca="1" si="0"/>
        <v>0</v>
      </c>
      <c r="H12" s="358">
        <f t="shared" ca="1" si="1"/>
        <v>0</v>
      </c>
      <c r="I12" s="358">
        <f t="shared" ca="1" si="2"/>
        <v>0</v>
      </c>
      <c r="J12" s="358">
        <f t="shared" ca="1" si="3"/>
        <v>504.34318790035491</v>
      </c>
      <c r="K12" s="358">
        <f t="shared" ca="1" si="4"/>
        <v>24.662921665798507</v>
      </c>
      <c r="L12" s="358">
        <f t="shared" ca="1" si="5"/>
        <v>0</v>
      </c>
      <c r="M12" s="358">
        <f t="shared" ca="1" si="6"/>
        <v>529.00610956615344</v>
      </c>
    </row>
    <row r="13" spans="3:13">
      <c r="C13" s="782" t="str">
        <f>PortfolioCFStatement!D532</f>
        <v>Avoided Operating Costs</v>
      </c>
      <c r="D13" s="358">
        <f ca="1">NPV(DiscountRate,PortfolioCFStatement!G532:AT532)/1000000</f>
        <v>46.89951586630567</v>
      </c>
      <c r="E13" s="358">
        <f ca="1">SUM($D$3:D13)</f>
        <v>551.24270376666061</v>
      </c>
      <c r="F13" s="15"/>
      <c r="G13" s="358">
        <f t="shared" ca="1" si="0"/>
        <v>0</v>
      </c>
      <c r="H13" s="358">
        <f t="shared" ca="1" si="1"/>
        <v>0</v>
      </c>
      <c r="I13" s="358">
        <f t="shared" ca="1" si="2"/>
        <v>0</v>
      </c>
      <c r="J13" s="358">
        <f t="shared" ca="1" si="3"/>
        <v>504.34318790035491</v>
      </c>
      <c r="K13" s="358">
        <f t="shared" ca="1" si="4"/>
        <v>0</v>
      </c>
      <c r="L13" s="358">
        <f t="shared" ca="1" si="5"/>
        <v>46.89951586630567</v>
      </c>
      <c r="M13" s="358">
        <f t="shared" ca="1" si="6"/>
        <v>551.24270376666061</v>
      </c>
    </row>
    <row r="14" spans="3:13">
      <c r="C14" s="782" t="str">
        <f>PortfolioCFStatement!D563</f>
        <v>New Operating Costs</v>
      </c>
      <c r="D14" s="358">
        <f ca="1">NPV(DiscountRate,PortfolioCFStatement!G563:AT563)/1000000</f>
        <v>-9.533811315730782</v>
      </c>
      <c r="E14" s="358">
        <f ca="1">SUM($D$3:D14)</f>
        <v>541.70889245092985</v>
      </c>
      <c r="F14" s="15"/>
      <c r="G14" s="358">
        <f t="shared" ca="1" si="0"/>
        <v>0</v>
      </c>
      <c r="H14" s="358">
        <f t="shared" ca="1" si="1"/>
        <v>0</v>
      </c>
      <c r="I14" s="358">
        <f t="shared" ca="1" si="2"/>
        <v>0</v>
      </c>
      <c r="J14" s="358">
        <f t="shared" ca="1" si="3"/>
        <v>541.70889245092985</v>
      </c>
      <c r="K14" s="358">
        <f t="shared" ca="1" si="4"/>
        <v>9.533811315730782</v>
      </c>
      <c r="L14" s="358">
        <f t="shared" ca="1" si="5"/>
        <v>0</v>
      </c>
      <c r="M14" s="358">
        <f t="shared" ca="1" si="6"/>
        <v>551.24270376666061</v>
      </c>
    </row>
    <row r="15" spans="3:13">
      <c r="C15" s="782" t="str">
        <f>PortfolioCFStatement!D625</f>
        <v>Other Revenue (Expense)</v>
      </c>
      <c r="D15" s="358">
        <f ca="1">NPV(DiscountRate,PortfolioCFStatement!G625:AT625)/1000000</f>
        <v>0</v>
      </c>
      <c r="E15" s="358">
        <f ca="1">SUM($D$3:D15)</f>
        <v>541.70889245092985</v>
      </c>
      <c r="F15" s="15"/>
      <c r="G15" s="358">
        <f t="shared" ca="1" si="0"/>
        <v>0</v>
      </c>
      <c r="H15" s="358">
        <f t="shared" ca="1" si="1"/>
        <v>0</v>
      </c>
      <c r="I15" s="358">
        <f t="shared" ca="1" si="2"/>
        <v>0</v>
      </c>
      <c r="J15" s="358">
        <f t="shared" ca="1" si="3"/>
        <v>541.70889245092985</v>
      </c>
      <c r="K15" s="358">
        <f t="shared" ca="1" si="4"/>
        <v>0</v>
      </c>
      <c r="L15" s="358">
        <f t="shared" ca="1" si="5"/>
        <v>0</v>
      </c>
      <c r="M15" s="358">
        <f t="shared" ca="1" si="6"/>
        <v>541.70889245092985</v>
      </c>
    </row>
    <row r="16" spans="3:13">
      <c r="C16" s="782" t="str">
        <f>PortfolioCFStatement!D656</f>
        <v>Incremental Cash Flow w/o Compliance Savings</v>
      </c>
      <c r="D16" s="358">
        <f ca="1">SUM(D3:D15)</f>
        <v>541.70889245092985</v>
      </c>
      <c r="E16" s="15"/>
      <c r="F16" s="15">
        <f ca="1">D16</f>
        <v>541.70889245092985</v>
      </c>
      <c r="G16" s="15"/>
      <c r="H16" s="15"/>
      <c r="I16" s="15"/>
      <c r="J16" s="15"/>
      <c r="K16" s="15"/>
      <c r="L16" s="15"/>
      <c r="M16" s="358">
        <f t="shared" ca="1" si="6"/>
        <v>541.70889245092985</v>
      </c>
    </row>
    <row r="17" spans="3:13">
      <c r="C17" s="782" t="str">
        <f>PortfolioCFStatement!D687</f>
        <v>Avoided Compliance Risk</v>
      </c>
      <c r="D17" s="358">
        <f ca="1">NPV(DiscountRate,PortfolioCFStatement!G687:AT687)/1000000</f>
        <v>62.902856858334836</v>
      </c>
      <c r="E17" s="358">
        <f ca="1">SUM($D$16:D17)</f>
        <v>604.61174930926472</v>
      </c>
      <c r="F17" s="15"/>
      <c r="G17" s="358">
        <f ca="1">IF(AND(E17&lt;0,F16&lt;0),MAX(F16:F17),0)</f>
        <v>0</v>
      </c>
      <c r="H17" s="358">
        <f ca="1">IF(AND(E17&lt;0,D17&lt;0),MAX(D17,E17),0)</f>
        <v>0</v>
      </c>
      <c r="I17" s="358">
        <f ca="1">IF(AND(F16&lt;0,D17&gt;0),MAX(-D17,F16),0)</f>
        <v>0</v>
      </c>
      <c r="J17" s="358">
        <f ca="1">IF(AND(E17&gt;0,F16&gt;0),MIN(E16:F17),0)</f>
        <v>541.70889245092985</v>
      </c>
      <c r="K17" s="358">
        <f ca="1">IF(AND(F16&gt;0,D17&lt;0),MIN(-D17,F16),0)</f>
        <v>0</v>
      </c>
      <c r="L17" s="358">
        <f ca="1">IF(AND(E17&gt;0,D17&gt;0),MIN(D17,E17),0)</f>
        <v>62.902856858334836</v>
      </c>
      <c r="M17" s="358">
        <f ca="1">MAX(F17,SUM(J17:L17))</f>
        <v>604.61174930926472</v>
      </c>
    </row>
    <row r="18" spans="3:13">
      <c r="C18" s="782" t="str">
        <f>PortfolioCFStatement!D718</f>
        <v>Incremental Cash Flow w/ Compliance Savings</v>
      </c>
      <c r="D18" s="358">
        <f ca="1">SUM(D16:D17)</f>
        <v>604.61174930926472</v>
      </c>
      <c r="E18" s="15"/>
      <c r="F18" s="15">
        <f ca="1">D18</f>
        <v>604.61174930926472</v>
      </c>
      <c r="G18" s="15"/>
      <c r="H18" s="15"/>
      <c r="I18" s="15"/>
      <c r="J18" s="15"/>
      <c r="K18" s="15"/>
      <c r="L18" s="15"/>
      <c r="M18" s="358">
        <f t="shared" ca="1" si="6"/>
        <v>604.61174930926472</v>
      </c>
    </row>
    <row r="20" spans="3:13">
      <c r="C20" s="10" t="s">
        <v>611</v>
      </c>
    </row>
  </sheetData>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sheetPr codeName="Sheet1"/>
  <dimension ref="C1:M21"/>
  <sheetViews>
    <sheetView zoomScaleNormal="100" workbookViewId="0"/>
  </sheetViews>
  <sheetFormatPr defaultRowHeight="15"/>
  <cols>
    <col min="1" max="1" width="9.140625" style="10"/>
    <col min="2" max="2" width="3" style="10" bestFit="1" customWidth="1"/>
    <col min="3" max="3" width="27.85546875" style="10" bestFit="1" customWidth="1"/>
    <col min="4" max="4" width="12.85546875" style="10" bestFit="1" customWidth="1"/>
    <col min="5" max="9" width="12.7109375" style="10" bestFit="1" customWidth="1"/>
    <col min="10" max="13" width="12" style="10" bestFit="1" customWidth="1"/>
    <col min="14" max="16384" width="9.140625" style="10"/>
  </cols>
  <sheetData>
    <row r="1" spans="3:13" ht="34.5" customHeight="1"/>
    <row r="2" spans="3:13">
      <c r="D2" s="10" t="s">
        <v>621</v>
      </c>
      <c r="E2" s="10" t="s">
        <v>620</v>
      </c>
      <c r="F2" s="10" t="s">
        <v>619</v>
      </c>
      <c r="G2" s="10" t="s">
        <v>618</v>
      </c>
      <c r="H2" s="10" t="s">
        <v>617</v>
      </c>
      <c r="I2" s="10" t="s">
        <v>616</v>
      </c>
      <c r="J2" s="10" t="s">
        <v>615</v>
      </c>
      <c r="K2" s="10" t="s">
        <v>614</v>
      </c>
      <c r="L2" s="10" t="s">
        <v>613</v>
      </c>
      <c r="M2" s="10" t="s">
        <v>612</v>
      </c>
    </row>
    <row r="3" spans="3:13">
      <c r="C3" s="782" t="str">
        <f>PortfolioCFStatement!D159</f>
        <v>Electricity Savings</v>
      </c>
      <c r="D3" s="1457">
        <f ca="1">OFFSET(PortfolioCFStatement!$F$128,$C$21,0)/1000000</f>
        <v>5.4607428145088921</v>
      </c>
      <c r="E3" s="358">
        <f ca="1">SUM($D$3:D3)</f>
        <v>5.4607428145088921</v>
      </c>
      <c r="F3" s="15"/>
      <c r="G3" s="358"/>
      <c r="H3" s="358">
        <f t="shared" ref="H3:H15" ca="1" si="0">IF(AND(E3&lt;0,D3&lt;0),MAX(D3,E3),0)</f>
        <v>0</v>
      </c>
      <c r="I3" s="358">
        <f ca="1">IF(AND(E2&lt;0,D3&gt;0),MAX(-D3,E2),0)</f>
        <v>0</v>
      </c>
      <c r="J3" s="358"/>
      <c r="K3" s="358">
        <f ca="1">IF(AND(E2&gt;0,D3&lt;0),MIN(-D3,E2),0)</f>
        <v>0</v>
      </c>
      <c r="L3" s="358">
        <f ca="1">IF(AND(E3&gt;0,D3&gt;0),MIN(D3,E3),0)</f>
        <v>5.4607428145088921</v>
      </c>
      <c r="M3" s="358">
        <f t="shared" ref="M3:M18" ca="1" si="1">MAX(F3,SUM(J3:L3))</f>
        <v>5.4607428145088921</v>
      </c>
    </row>
    <row r="4" spans="3:13">
      <c r="C4" s="782" t="str">
        <f>PortfolioCFStatement!D190</f>
        <v>New Electricity Source Fuel Cost</v>
      </c>
      <c r="D4" s="1457">
        <f ca="1">OFFSET(PortfolioCFStatement!$F$159,$C$21,0)/1000000</f>
        <v>0</v>
      </c>
      <c r="E4" s="358">
        <f ca="1">SUM($D$3:D4)</f>
        <v>5.4607428145088921</v>
      </c>
      <c r="F4" s="15"/>
      <c r="G4" s="358">
        <f ca="1">IF(AND(E4&lt;0,E3&lt;0),MAX(E3:E4),0)</f>
        <v>0</v>
      </c>
      <c r="H4" s="358">
        <f t="shared" ca="1" si="0"/>
        <v>0</v>
      </c>
      <c r="I4" s="358">
        <f ca="1">IF(AND(E3&lt;0,D4&gt;0),MAX(-D4,E3),0)</f>
        <v>0</v>
      </c>
      <c r="J4" s="358">
        <f ca="1">IF(AND(E4&gt;0,E3&gt;0),MIN(E3:E4),0)</f>
        <v>5.4607428145088921</v>
      </c>
      <c r="K4" s="358">
        <f ca="1">IF(AND(E3&gt;0,D4&lt;0),MIN(-D4,E3),0)</f>
        <v>0</v>
      </c>
      <c r="L4" s="358">
        <f ca="1">IF(AND(E4&gt;0,D4&gt;0),MIN(D4,E4),0)</f>
        <v>0</v>
      </c>
      <c r="M4" s="358">
        <f t="shared" ca="1" si="1"/>
        <v>5.4607428145088921</v>
      </c>
    </row>
    <row r="5" spans="3:13">
      <c r="C5" s="782" t="str">
        <f>PortfolioCFStatement!D221</f>
        <v>Steam Savings</v>
      </c>
      <c r="D5" s="1457">
        <f ca="1">OFFSET(PortfolioCFStatement!$F$190,$C$21,0)/1000000</f>
        <v>0</v>
      </c>
      <c r="E5" s="358">
        <f ca="1">SUM($D$3:D5)</f>
        <v>5.4607428145088921</v>
      </c>
      <c r="F5" s="15"/>
      <c r="G5" s="358">
        <f t="shared" ref="G5:G15" ca="1" si="2">IF(AND(E5&lt;0,E4&lt;0),MAX(E4:E5),0)</f>
        <v>0</v>
      </c>
      <c r="H5" s="358">
        <f t="shared" ca="1" si="0"/>
        <v>0</v>
      </c>
      <c r="I5" s="358">
        <f t="shared" ref="I5:I15" ca="1" si="3">IF(AND(E4&lt;0,D5&gt;0),MAX(-D5,E4),0)</f>
        <v>0</v>
      </c>
      <c r="J5" s="358">
        <f t="shared" ref="J5:J15" ca="1" si="4">IF(AND(E5&gt;0,E4&gt;0),MIN(E4:E5),0)</f>
        <v>5.4607428145088921</v>
      </c>
      <c r="K5" s="358">
        <f t="shared" ref="K5:K15" ca="1" si="5">IF(AND(E4&gt;0,D5&lt;0),MIN(-D5,E4),0)</f>
        <v>0</v>
      </c>
      <c r="L5" s="358">
        <f t="shared" ref="L5:L15" ca="1" si="6">IF(AND(E5&gt;0,D5&gt;0),MIN(D5,E5),0)</f>
        <v>0</v>
      </c>
      <c r="M5" s="358">
        <f t="shared" ca="1" si="1"/>
        <v>5.4607428145088921</v>
      </c>
    </row>
    <row r="6" spans="3:13">
      <c r="C6" s="782" t="str">
        <f>PortfolioCFStatement!D252</f>
        <v>New Steam Source Fuel Cost</v>
      </c>
      <c r="D6" s="1457">
        <f ca="1">OFFSET(PortfolioCFStatement!$F$221,$C$21,0)/1000000</f>
        <v>0</v>
      </c>
      <c r="E6" s="358">
        <f ca="1">SUM($D$3:D6)</f>
        <v>5.4607428145088921</v>
      </c>
      <c r="F6" s="15"/>
      <c r="G6" s="358">
        <f t="shared" ca="1" si="2"/>
        <v>0</v>
      </c>
      <c r="H6" s="358">
        <f t="shared" ca="1" si="0"/>
        <v>0</v>
      </c>
      <c r="I6" s="358">
        <f t="shared" ca="1" si="3"/>
        <v>0</v>
      </c>
      <c r="J6" s="358">
        <f t="shared" ca="1" si="4"/>
        <v>5.4607428145088921</v>
      </c>
      <c r="K6" s="358">
        <f t="shared" ca="1" si="5"/>
        <v>0</v>
      </c>
      <c r="L6" s="358">
        <f t="shared" ca="1" si="6"/>
        <v>0</v>
      </c>
      <c r="M6" s="358">
        <f t="shared" ca="1" si="1"/>
        <v>5.4607428145088921</v>
      </c>
    </row>
    <row r="7" spans="3:13">
      <c r="C7" s="782" t="str">
        <f>PortfolioCFStatement!D283</f>
        <v>Chilled Water Savings</v>
      </c>
      <c r="D7" s="1457">
        <f ca="1">OFFSET(PortfolioCFStatement!$F$252,$C$21,0)/1000000</f>
        <v>0</v>
      </c>
      <c r="E7" s="358">
        <f ca="1">SUM($D$3:D7)</f>
        <v>5.4607428145088921</v>
      </c>
      <c r="F7" s="15"/>
      <c r="G7" s="358">
        <f t="shared" ca="1" si="2"/>
        <v>0</v>
      </c>
      <c r="H7" s="358">
        <f t="shared" ca="1" si="0"/>
        <v>0</v>
      </c>
      <c r="I7" s="358">
        <f t="shared" ca="1" si="3"/>
        <v>0</v>
      </c>
      <c r="J7" s="358">
        <f t="shared" ca="1" si="4"/>
        <v>5.4607428145088921</v>
      </c>
      <c r="K7" s="358">
        <f t="shared" ca="1" si="5"/>
        <v>0</v>
      </c>
      <c r="L7" s="358">
        <f t="shared" ca="1" si="6"/>
        <v>0</v>
      </c>
      <c r="M7" s="358">
        <f t="shared" ca="1" si="1"/>
        <v>5.4607428145088921</v>
      </c>
    </row>
    <row r="8" spans="3:13">
      <c r="C8" s="782" t="str">
        <f>PortfolioCFStatement!D314</f>
        <v>New Chilled Water Source Fuel Cost</v>
      </c>
      <c r="D8" s="1457">
        <f ca="1">OFFSET(PortfolioCFStatement!$F$283,$C$21,0)/1000000</f>
        <v>0</v>
      </c>
      <c r="E8" s="358">
        <f ca="1">SUM($D$3:D8)</f>
        <v>5.4607428145088921</v>
      </c>
      <c r="F8" s="15"/>
      <c r="G8" s="358">
        <f t="shared" ca="1" si="2"/>
        <v>0</v>
      </c>
      <c r="H8" s="358">
        <f t="shared" ca="1" si="0"/>
        <v>0</v>
      </c>
      <c r="I8" s="358">
        <f t="shared" ca="1" si="3"/>
        <v>0</v>
      </c>
      <c r="J8" s="358">
        <f t="shared" ca="1" si="4"/>
        <v>5.4607428145088921</v>
      </c>
      <c r="K8" s="358">
        <f t="shared" ca="1" si="5"/>
        <v>0</v>
      </c>
      <c r="L8" s="358">
        <f t="shared" ca="1" si="6"/>
        <v>0</v>
      </c>
      <c r="M8" s="358">
        <f t="shared" ca="1" si="1"/>
        <v>5.4607428145088921</v>
      </c>
    </row>
    <row r="9" spans="3:13">
      <c r="C9" s="782" t="str">
        <f>PortfolioCFStatement!D345</f>
        <v>NG Savings (Cost)</v>
      </c>
      <c r="D9" s="1457">
        <f ca="1">OFFSET(PortfolioCFStatement!$F$314,$C$21,0)/1000000</f>
        <v>0</v>
      </c>
      <c r="E9" s="358">
        <f ca="1">SUM($D$3:D9)</f>
        <v>5.4607428145088921</v>
      </c>
      <c r="F9" s="15"/>
      <c r="G9" s="358">
        <f t="shared" ca="1" si="2"/>
        <v>0</v>
      </c>
      <c r="H9" s="358">
        <f t="shared" ca="1" si="0"/>
        <v>0</v>
      </c>
      <c r="I9" s="358">
        <f t="shared" ca="1" si="3"/>
        <v>0</v>
      </c>
      <c r="J9" s="358">
        <f t="shared" ca="1" si="4"/>
        <v>5.4607428145088921</v>
      </c>
      <c r="K9" s="358">
        <f t="shared" ca="1" si="5"/>
        <v>0</v>
      </c>
      <c r="L9" s="358">
        <f t="shared" ca="1" si="6"/>
        <v>0</v>
      </c>
      <c r="M9" s="358">
        <f t="shared" ca="1" si="1"/>
        <v>5.4607428145088921</v>
      </c>
    </row>
    <row r="10" spans="3:13">
      <c r="C10" s="782" t="str">
        <f>PortfolioCFStatement!D376</f>
        <v>Campus Fleet Fuel</v>
      </c>
      <c r="D10" s="1457">
        <f ca="1">OFFSET(PortfolioCFStatement!$F$345,$C$21,0)/1000000</f>
        <v>0</v>
      </c>
      <c r="E10" s="358">
        <f ca="1">SUM($D$3:D10)</f>
        <v>5.4607428145088921</v>
      </c>
      <c r="F10" s="15"/>
      <c r="G10" s="358">
        <f t="shared" ca="1" si="2"/>
        <v>0</v>
      </c>
      <c r="H10" s="358">
        <f t="shared" ca="1" si="0"/>
        <v>0</v>
      </c>
      <c r="I10" s="358">
        <f t="shared" ca="1" si="3"/>
        <v>0</v>
      </c>
      <c r="J10" s="358">
        <f t="shared" ca="1" si="4"/>
        <v>5.4607428145088921</v>
      </c>
      <c r="K10" s="358">
        <f t="shared" ca="1" si="5"/>
        <v>0</v>
      </c>
      <c r="L10" s="358">
        <f t="shared" ca="1" si="6"/>
        <v>0</v>
      </c>
      <c r="M10" s="358">
        <f t="shared" ca="1" si="1"/>
        <v>5.4607428145088921</v>
      </c>
    </row>
    <row r="11" spans="3:13">
      <c r="C11" s="782" t="str">
        <f>PortfolioCFStatement!D439</f>
        <v>Avoided Capital Cost</v>
      </c>
      <c r="D11" s="1457">
        <f ca="1">OFFSET(PortfolioCFStatement!$F$408,$C$21,0)/1000000</f>
        <v>0</v>
      </c>
      <c r="E11" s="358">
        <f ca="1">SUM($D$3:D11)</f>
        <v>5.4607428145088921</v>
      </c>
      <c r="F11" s="15"/>
      <c r="G11" s="358">
        <f t="shared" ca="1" si="2"/>
        <v>0</v>
      </c>
      <c r="H11" s="358">
        <f t="shared" ca="1" si="0"/>
        <v>0</v>
      </c>
      <c r="I11" s="358">
        <f t="shared" ca="1" si="3"/>
        <v>0</v>
      </c>
      <c r="J11" s="358">
        <f t="shared" ca="1" si="4"/>
        <v>5.4607428145088921</v>
      </c>
      <c r="K11" s="358">
        <f t="shared" ca="1" si="5"/>
        <v>0</v>
      </c>
      <c r="L11" s="358">
        <f t="shared" ca="1" si="6"/>
        <v>0</v>
      </c>
      <c r="M11" s="358">
        <f t="shared" ca="1" si="1"/>
        <v>5.4607428145088921</v>
      </c>
    </row>
    <row r="12" spans="3:13">
      <c r="C12" s="782" t="str">
        <f>PortfolioCFStatement!D470</f>
        <v>New Capital Cost</v>
      </c>
      <c r="D12" s="1457">
        <f ca="1">OFFSET(PortfolioCFStatement!$F$439,$C$21,0)/1000000</f>
        <v>0</v>
      </c>
      <c r="E12" s="358">
        <f ca="1">SUM($D$3:D12)</f>
        <v>5.4607428145088921</v>
      </c>
      <c r="F12" s="15"/>
      <c r="G12" s="358">
        <f t="shared" ca="1" si="2"/>
        <v>0</v>
      </c>
      <c r="H12" s="358">
        <f t="shared" ca="1" si="0"/>
        <v>0</v>
      </c>
      <c r="I12" s="358">
        <f t="shared" ca="1" si="3"/>
        <v>0</v>
      </c>
      <c r="J12" s="358">
        <f t="shared" ca="1" si="4"/>
        <v>5.4607428145088921</v>
      </c>
      <c r="K12" s="358">
        <f t="shared" ca="1" si="5"/>
        <v>0</v>
      </c>
      <c r="L12" s="358">
        <f t="shared" ca="1" si="6"/>
        <v>0</v>
      </c>
      <c r="M12" s="358">
        <f t="shared" ca="1" si="1"/>
        <v>5.4607428145088921</v>
      </c>
    </row>
    <row r="13" spans="3:13">
      <c r="C13" s="782" t="str">
        <f>PortfolioCFStatement!D532</f>
        <v>Avoided Operating Costs</v>
      </c>
      <c r="D13" s="1457">
        <f ca="1">OFFSET(PortfolioCFStatement!$F$501,$C$21,0)/1000000</f>
        <v>0</v>
      </c>
      <c r="E13" s="358">
        <f ca="1">SUM($D$3:D13)</f>
        <v>5.4607428145088921</v>
      </c>
      <c r="F13" s="15"/>
      <c r="G13" s="358">
        <f t="shared" ca="1" si="2"/>
        <v>0</v>
      </c>
      <c r="H13" s="358">
        <f t="shared" ca="1" si="0"/>
        <v>0</v>
      </c>
      <c r="I13" s="358">
        <f t="shared" ca="1" si="3"/>
        <v>0</v>
      </c>
      <c r="J13" s="358">
        <f t="shared" ca="1" si="4"/>
        <v>5.4607428145088921</v>
      </c>
      <c r="K13" s="358">
        <f t="shared" ca="1" si="5"/>
        <v>0</v>
      </c>
      <c r="L13" s="358">
        <f t="shared" ca="1" si="6"/>
        <v>0</v>
      </c>
      <c r="M13" s="358">
        <f t="shared" ca="1" si="1"/>
        <v>5.4607428145088921</v>
      </c>
    </row>
    <row r="14" spans="3:13">
      <c r="C14" s="782" t="str">
        <f>PortfolioCFStatement!D563</f>
        <v>New Operating Costs</v>
      </c>
      <c r="D14" s="1457">
        <f ca="1">OFFSET(PortfolioCFStatement!$F$532,$C$21,0)/1000000</f>
        <v>-0.88858781999004788</v>
      </c>
      <c r="E14" s="358">
        <f ca="1">SUM($D$3:D14)</f>
        <v>4.5721549945188444</v>
      </c>
      <c r="F14" s="15"/>
      <c r="G14" s="358">
        <f t="shared" ca="1" si="2"/>
        <v>0</v>
      </c>
      <c r="H14" s="358">
        <f t="shared" ca="1" si="0"/>
        <v>0</v>
      </c>
      <c r="I14" s="358">
        <f t="shared" ca="1" si="3"/>
        <v>0</v>
      </c>
      <c r="J14" s="358">
        <f t="shared" ca="1" si="4"/>
        <v>4.5721549945188444</v>
      </c>
      <c r="K14" s="358">
        <f t="shared" ca="1" si="5"/>
        <v>0.88858781999004788</v>
      </c>
      <c r="L14" s="358">
        <f t="shared" ca="1" si="6"/>
        <v>0</v>
      </c>
      <c r="M14" s="358">
        <f t="shared" ca="1" si="1"/>
        <v>5.4607428145088921</v>
      </c>
    </row>
    <row r="15" spans="3:13">
      <c r="C15" s="782" t="str">
        <f>PortfolioCFStatement!D625</f>
        <v>Other Revenue (Expense)</v>
      </c>
      <c r="D15" s="1457">
        <f ca="1">OFFSET(PortfolioCFStatement!$F$594,$C$21,0)/1000000</f>
        <v>0</v>
      </c>
      <c r="E15" s="358">
        <f ca="1">SUM($D$3:D15)</f>
        <v>4.5721549945188444</v>
      </c>
      <c r="F15" s="15"/>
      <c r="G15" s="358">
        <f t="shared" ca="1" si="2"/>
        <v>0</v>
      </c>
      <c r="H15" s="358">
        <f t="shared" ca="1" si="0"/>
        <v>0</v>
      </c>
      <c r="I15" s="358">
        <f t="shared" ca="1" si="3"/>
        <v>0</v>
      </c>
      <c r="J15" s="358">
        <f t="shared" ca="1" si="4"/>
        <v>4.5721549945188444</v>
      </c>
      <c r="K15" s="358">
        <f t="shared" ca="1" si="5"/>
        <v>0</v>
      </c>
      <c r="L15" s="358">
        <f t="shared" ca="1" si="6"/>
        <v>0</v>
      </c>
      <c r="M15" s="358">
        <f t="shared" ca="1" si="1"/>
        <v>4.5721549945188444</v>
      </c>
    </row>
    <row r="16" spans="3:13">
      <c r="C16" s="782" t="str">
        <f>PortfolioCFStatement!D656</f>
        <v>Incremental Cash Flow w/o Compliance Savings</v>
      </c>
      <c r="D16" s="1457">
        <f ca="1">SUM(D3:D15)</f>
        <v>4.5721549945188444</v>
      </c>
      <c r="E16" s="15"/>
      <c r="F16" s="15">
        <f ca="1">D16</f>
        <v>4.5721549945188444</v>
      </c>
      <c r="G16" s="15"/>
      <c r="H16" s="15"/>
      <c r="I16" s="15"/>
      <c r="J16" s="15"/>
      <c r="K16" s="15"/>
      <c r="L16" s="15"/>
      <c r="M16" s="358">
        <f t="shared" ca="1" si="1"/>
        <v>4.5721549945188444</v>
      </c>
    </row>
    <row r="17" spans="3:13">
      <c r="C17" s="782" t="str">
        <f>PortfolioCFStatement!D687</f>
        <v>Avoided Compliance Risk</v>
      </c>
      <c r="D17" s="1457">
        <f ca="1">OFFSET(PortfolioCFStatement!$F$656,$C$21,0)/1000000</f>
        <v>1.6654404871373114</v>
      </c>
      <c r="E17" s="358">
        <f ca="1">SUM($D$16:D17)</f>
        <v>6.2375954816561556</v>
      </c>
      <c r="F17" s="15"/>
      <c r="G17" s="358">
        <f ca="1">IF(AND(E17&lt;0,F16&lt;0),MAX(F16:F17),0)</f>
        <v>0</v>
      </c>
      <c r="H17" s="358">
        <f ca="1">IF(AND(E17&lt;0,D17&lt;0),MAX(D17,E17),0)</f>
        <v>0</v>
      </c>
      <c r="I17" s="358">
        <f ca="1">IF(AND(F16&lt;0,D17&gt;0),MAX(-D17,F16),0)</f>
        <v>0</v>
      </c>
      <c r="J17" s="358">
        <f ca="1">IF(AND(E17&gt;0,F16&gt;0),MIN(E16:F17),0)</f>
        <v>4.5721549945188444</v>
      </c>
      <c r="K17" s="358">
        <f ca="1">IF(AND(F16&gt;0,D17&lt;0),MIN(-D17,F16),0)</f>
        <v>0</v>
      </c>
      <c r="L17" s="358">
        <f ca="1">IF(AND(E17&gt;0,D17&gt;0),MIN(D17,E17),0)</f>
        <v>1.6654404871373114</v>
      </c>
      <c r="M17" s="358">
        <f t="shared" ca="1" si="1"/>
        <v>6.2375954816561556</v>
      </c>
    </row>
    <row r="18" spans="3:13">
      <c r="C18" s="782" t="str">
        <f>PortfolioCFStatement!D718</f>
        <v>Incremental Cash Flow w/ Compliance Savings</v>
      </c>
      <c r="D18" s="1457">
        <f ca="1">SUM(D16:D17)</f>
        <v>6.2375954816561556</v>
      </c>
      <c r="E18" s="15"/>
      <c r="F18" s="15">
        <f ca="1">D18</f>
        <v>6.2375954816561556</v>
      </c>
      <c r="G18" s="15"/>
      <c r="H18" s="15"/>
      <c r="I18" s="15"/>
      <c r="J18" s="15"/>
      <c r="K18" s="15"/>
      <c r="L18" s="15"/>
      <c r="M18" s="358">
        <f t="shared" ca="1" si="1"/>
        <v>6.2375954816561556</v>
      </c>
    </row>
    <row r="20" spans="3:13">
      <c r="C20" s="10" t="s">
        <v>611</v>
      </c>
    </row>
    <row r="21" spans="3:13">
      <c r="C21" s="10">
        <v>1</v>
      </c>
      <c r="E21" s="10" t="str">
        <f>"Components of Value: "&amp;INDEX(PortfolioDashboard!$A$3:$A$35,C21,0)</f>
        <v>Components of Value: Behavior Change</v>
      </c>
    </row>
  </sheetData>
  <pageMargins left="0.7" right="0.7" top="0.75" bottom="0.75" header="0.3" footer="0.3"/>
  <pageSetup orientation="portrait" r:id="rId1"/>
  <drawing r:id="rId2"/>
  <legacyDrawing r:id="rId3"/>
</worksheet>
</file>

<file path=xl/worksheets/sheet84.xml><?xml version="1.0" encoding="utf-8"?>
<worksheet xmlns="http://schemas.openxmlformats.org/spreadsheetml/2006/main" xmlns:r="http://schemas.openxmlformats.org/officeDocument/2006/relationships">
  <sheetPr codeName="Sheet63">
    <tabColor rgb="FFFF0000"/>
  </sheetPr>
  <dimension ref="A1:N270"/>
  <sheetViews>
    <sheetView topLeftCell="A52" zoomScaleNormal="100" workbookViewId="0">
      <selection activeCell="I1" sqref="I1:I1048576"/>
    </sheetView>
  </sheetViews>
  <sheetFormatPr defaultRowHeight="15"/>
  <cols>
    <col min="1" max="1" width="7.7109375" customWidth="1"/>
    <col min="2" max="2" width="45.7109375" bestFit="1" customWidth="1"/>
    <col min="3" max="3" width="31.42578125" customWidth="1"/>
    <col min="4" max="4" width="8.28515625" style="967" bestFit="1" customWidth="1"/>
    <col min="5" max="5" width="12.28515625" style="1306" customWidth="1"/>
    <col min="6" max="6" width="18.28515625" style="967" bestFit="1" customWidth="1"/>
    <col min="7" max="7" width="15.85546875" style="967" bestFit="1" customWidth="1"/>
    <col min="8" max="9" width="15.85546875" style="967" customWidth="1"/>
    <col min="10" max="10" width="9" style="967" customWidth="1"/>
    <col min="11" max="11" width="15.5703125" style="967" bestFit="1" customWidth="1"/>
    <col min="12" max="12" width="10.42578125" style="967" customWidth="1"/>
    <col min="13" max="13" width="18" bestFit="1" customWidth="1"/>
    <col min="14" max="14" width="9.140625" style="967" customWidth="1"/>
  </cols>
  <sheetData>
    <row r="1" spans="1:14" s="1267" customFormat="1" ht="45">
      <c r="A1" s="1328" t="s">
        <v>1651</v>
      </c>
      <c r="B1" s="1267" t="s">
        <v>1650</v>
      </c>
      <c r="C1" s="1267" t="s">
        <v>2137</v>
      </c>
      <c r="D1" s="1324" t="s">
        <v>1649</v>
      </c>
      <c r="E1" s="1327" t="s">
        <v>25</v>
      </c>
      <c r="F1" s="1324" t="s">
        <v>1648</v>
      </c>
      <c r="G1" s="1324" t="s">
        <v>1647</v>
      </c>
      <c r="H1" s="1326" t="s">
        <v>1646</v>
      </c>
      <c r="I1" s="1326" t="s">
        <v>1645</v>
      </c>
      <c r="J1" s="1324" t="s">
        <v>537</v>
      </c>
      <c r="K1" s="1324" t="s">
        <v>1644</v>
      </c>
      <c r="L1" s="1324" t="s">
        <v>1643</v>
      </c>
      <c r="M1" s="1325" t="s">
        <v>1642</v>
      </c>
      <c r="N1" s="1324" t="s">
        <v>1641</v>
      </c>
    </row>
    <row r="2" spans="1:14" s="827" customFormat="1">
      <c r="A2" s="1336"/>
      <c r="B2" s="1335" t="s">
        <v>2136</v>
      </c>
      <c r="C2" s="1335"/>
      <c r="D2" s="1332"/>
      <c r="E2" s="1334"/>
      <c r="F2" s="1332"/>
      <c r="G2" s="1332"/>
      <c r="H2" s="1332"/>
      <c r="I2" s="1332"/>
      <c r="J2" s="1332"/>
      <c r="K2" s="1332"/>
      <c r="L2" s="1332"/>
      <c r="M2" s="1333"/>
      <c r="N2" s="1332"/>
    </row>
    <row r="3" spans="1:14">
      <c r="A3" s="1309" t="s">
        <v>2135</v>
      </c>
      <c r="B3" t="s">
        <v>2134</v>
      </c>
      <c r="C3" t="s">
        <v>2133</v>
      </c>
      <c r="D3" s="967">
        <v>3</v>
      </c>
      <c r="E3" s="1306">
        <v>28550</v>
      </c>
      <c r="F3" s="967">
        <v>1888</v>
      </c>
      <c r="G3" s="967">
        <v>0</v>
      </c>
      <c r="H3" s="967">
        <f>MAX(G3,F3)</f>
        <v>1888</v>
      </c>
      <c r="J3" s="967" t="s">
        <v>113</v>
      </c>
      <c r="K3" s="967" t="s">
        <v>1622</v>
      </c>
      <c r="L3" s="967" t="s">
        <v>357</v>
      </c>
      <c r="M3" s="123">
        <v>1874307</v>
      </c>
      <c r="N3" s="967">
        <v>1</v>
      </c>
    </row>
    <row r="4" spans="1:14">
      <c r="A4" s="1309" t="s">
        <v>2132</v>
      </c>
      <c r="B4" t="s">
        <v>2131</v>
      </c>
      <c r="C4" t="s">
        <v>2130</v>
      </c>
      <c r="D4" s="967">
        <v>3</v>
      </c>
      <c r="E4" s="1306">
        <v>18220</v>
      </c>
      <c r="F4" s="967">
        <v>1909</v>
      </c>
      <c r="G4" s="967">
        <v>0</v>
      </c>
      <c r="H4" s="967">
        <f>MAX(G4,F4)</f>
        <v>1909</v>
      </c>
      <c r="J4" s="967" t="s">
        <v>348</v>
      </c>
      <c r="K4" s="967" t="s">
        <v>1629</v>
      </c>
      <c r="L4" s="967" t="s">
        <v>357</v>
      </c>
      <c r="M4" s="123">
        <v>4297742</v>
      </c>
      <c r="N4" s="967">
        <v>1</v>
      </c>
    </row>
    <row r="5" spans="1:14">
      <c r="A5" s="1309" t="s">
        <v>2129</v>
      </c>
      <c r="B5" t="s">
        <v>2128</v>
      </c>
      <c r="C5" t="s">
        <v>2127</v>
      </c>
      <c r="D5" s="967">
        <v>4</v>
      </c>
      <c r="E5" s="1306">
        <v>14323</v>
      </c>
      <c r="F5" s="967">
        <v>1926</v>
      </c>
      <c r="G5" s="967">
        <v>2000</v>
      </c>
      <c r="H5" s="967">
        <f>MAX(G5,F5)</f>
        <v>2000</v>
      </c>
      <c r="J5" s="967" t="s">
        <v>348</v>
      </c>
      <c r="K5" s="967" t="s">
        <v>1629</v>
      </c>
      <c r="L5" s="967" t="s">
        <v>357</v>
      </c>
      <c r="M5" s="123">
        <v>2154142</v>
      </c>
      <c r="N5" s="967">
        <v>1</v>
      </c>
    </row>
    <row r="6" spans="1:14">
      <c r="A6" s="1309" t="s">
        <v>2126</v>
      </c>
      <c r="B6" t="s">
        <v>2125</v>
      </c>
      <c r="C6" t="s">
        <v>2124</v>
      </c>
      <c r="D6" s="967">
        <v>3</v>
      </c>
      <c r="E6" s="1306">
        <v>88536</v>
      </c>
      <c r="F6" s="967">
        <v>1939</v>
      </c>
      <c r="G6" s="967">
        <v>0</v>
      </c>
      <c r="H6" s="967">
        <f>MAX(G6,F6)</f>
        <v>1939</v>
      </c>
      <c r="J6" s="967" t="s">
        <v>113</v>
      </c>
      <c r="K6" s="967" t="s">
        <v>1622</v>
      </c>
      <c r="L6" s="967" t="s">
        <v>357</v>
      </c>
      <c r="M6" s="123">
        <v>11336049</v>
      </c>
      <c r="N6" s="967">
        <v>1</v>
      </c>
    </row>
    <row r="7" spans="1:14">
      <c r="A7" s="1309" t="s">
        <v>2123</v>
      </c>
      <c r="B7" t="s">
        <v>2122</v>
      </c>
      <c r="C7" t="s">
        <v>2121</v>
      </c>
      <c r="D7" s="967">
        <v>0</v>
      </c>
      <c r="E7" s="1306">
        <v>10475</v>
      </c>
      <c r="F7" s="967">
        <v>0</v>
      </c>
      <c r="G7" s="967">
        <v>1988</v>
      </c>
      <c r="H7" s="1363">
        <v>2007</v>
      </c>
      <c r="J7" s="967" t="s">
        <v>113</v>
      </c>
      <c r="K7" s="967" t="s">
        <v>1622</v>
      </c>
      <c r="L7" s="967" t="s">
        <v>357</v>
      </c>
      <c r="M7" s="123">
        <v>1242980</v>
      </c>
      <c r="N7" s="967">
        <v>1</v>
      </c>
    </row>
    <row r="8" spans="1:14">
      <c r="A8" s="1309" t="s">
        <v>2120</v>
      </c>
      <c r="B8" t="s">
        <v>2119</v>
      </c>
      <c r="C8" t="s">
        <v>2118</v>
      </c>
      <c r="D8" s="967">
        <v>3</v>
      </c>
      <c r="E8" s="1306">
        <v>94921</v>
      </c>
      <c r="F8" s="967">
        <v>1927</v>
      </c>
      <c r="G8" s="967">
        <v>0</v>
      </c>
      <c r="H8" s="967">
        <f t="shared" ref="H8:H52" si="0">MAX(G8,F8)</f>
        <v>1927</v>
      </c>
      <c r="J8" s="967" t="s">
        <v>348</v>
      </c>
      <c r="K8" s="967" t="s">
        <v>1706</v>
      </c>
      <c r="L8" s="967" t="s">
        <v>357</v>
      </c>
      <c r="M8" s="123">
        <v>18208909</v>
      </c>
      <c r="N8" s="967">
        <v>1</v>
      </c>
    </row>
    <row r="9" spans="1:14">
      <c r="A9" s="1309" t="s">
        <v>2117</v>
      </c>
      <c r="B9" t="s">
        <v>2116</v>
      </c>
      <c r="C9" t="s">
        <v>2007</v>
      </c>
      <c r="D9" s="967">
        <v>1</v>
      </c>
      <c r="E9" s="1306">
        <v>265533</v>
      </c>
      <c r="F9" s="967">
        <v>1992</v>
      </c>
      <c r="G9" s="967">
        <v>0</v>
      </c>
      <c r="H9" s="967">
        <f t="shared" si="0"/>
        <v>1992</v>
      </c>
      <c r="J9" s="967" t="s">
        <v>348</v>
      </c>
      <c r="K9" s="967" t="s">
        <v>1629</v>
      </c>
      <c r="L9" s="967" t="s">
        <v>357</v>
      </c>
      <c r="M9" s="123">
        <v>97660166</v>
      </c>
      <c r="N9" s="967">
        <v>1</v>
      </c>
    </row>
    <row r="10" spans="1:14">
      <c r="A10" s="1309" t="s">
        <v>2115</v>
      </c>
      <c r="B10" t="s">
        <v>2114</v>
      </c>
      <c r="C10" t="s">
        <v>2113</v>
      </c>
      <c r="D10" s="967">
        <v>2</v>
      </c>
      <c r="E10" s="1306">
        <v>18514</v>
      </c>
      <c r="F10" s="967">
        <v>2005</v>
      </c>
      <c r="G10" s="967">
        <v>2005</v>
      </c>
      <c r="H10" s="967">
        <f t="shared" si="0"/>
        <v>2005</v>
      </c>
      <c r="J10" s="967" t="s">
        <v>348</v>
      </c>
      <c r="K10" s="967" t="s">
        <v>1629</v>
      </c>
      <c r="L10" s="967" t="s">
        <v>357</v>
      </c>
      <c r="M10" s="123">
        <v>7104105</v>
      </c>
      <c r="N10" s="967">
        <v>1</v>
      </c>
    </row>
    <row r="11" spans="1:14">
      <c r="A11" s="1309" t="s">
        <v>2112</v>
      </c>
      <c r="B11" t="s">
        <v>2111</v>
      </c>
      <c r="C11" t="s">
        <v>2110</v>
      </c>
      <c r="D11" s="967">
        <v>2</v>
      </c>
      <c r="E11" s="1306">
        <v>18611</v>
      </c>
      <c r="F11" s="967">
        <v>1892</v>
      </c>
      <c r="G11" s="967">
        <v>0</v>
      </c>
      <c r="H11" s="967">
        <f t="shared" si="0"/>
        <v>1892</v>
      </c>
      <c r="J11" s="967" t="s">
        <v>348</v>
      </c>
      <c r="K11" s="967" t="s">
        <v>1629</v>
      </c>
      <c r="L11" s="967" t="s">
        <v>357</v>
      </c>
      <c r="M11" s="123">
        <v>4958391</v>
      </c>
      <c r="N11" s="967">
        <v>1</v>
      </c>
    </row>
    <row r="12" spans="1:14">
      <c r="A12" s="1366" t="s">
        <v>2109</v>
      </c>
      <c r="B12" s="1365" t="s">
        <v>2108</v>
      </c>
      <c r="C12" s="1365" t="s">
        <v>1727</v>
      </c>
      <c r="D12" s="1345">
        <v>4</v>
      </c>
      <c r="E12" s="1346">
        <v>76080</v>
      </c>
      <c r="F12" s="1345">
        <v>1968</v>
      </c>
      <c r="G12" s="1345">
        <v>1968</v>
      </c>
      <c r="H12" s="967">
        <f t="shared" si="0"/>
        <v>1968</v>
      </c>
      <c r="J12" s="1345" t="s">
        <v>348</v>
      </c>
      <c r="K12" s="1345" t="s">
        <v>1622</v>
      </c>
      <c r="L12" s="1345" t="s">
        <v>357</v>
      </c>
      <c r="M12" s="1364">
        <v>11930979</v>
      </c>
      <c r="N12" s="1345">
        <v>1</v>
      </c>
    </row>
    <row r="13" spans="1:14">
      <c r="A13" s="1309" t="s">
        <v>2107</v>
      </c>
      <c r="B13" t="s">
        <v>2106</v>
      </c>
      <c r="C13" t="s">
        <v>2105</v>
      </c>
      <c r="D13" s="967">
        <v>2</v>
      </c>
      <c r="E13" s="1306">
        <v>8805</v>
      </c>
      <c r="F13" s="967">
        <v>1965</v>
      </c>
      <c r="G13" s="967">
        <v>1965</v>
      </c>
      <c r="H13" s="967">
        <f t="shared" si="0"/>
        <v>1965</v>
      </c>
      <c r="J13" s="967" t="s">
        <v>348</v>
      </c>
      <c r="K13" s="967" t="s">
        <v>1622</v>
      </c>
      <c r="L13" s="967" t="s">
        <v>357</v>
      </c>
      <c r="M13" s="123">
        <v>1212307</v>
      </c>
      <c r="N13" s="967">
        <v>1</v>
      </c>
    </row>
    <row r="14" spans="1:14">
      <c r="A14" s="1309" t="s">
        <v>2104</v>
      </c>
      <c r="B14" t="s">
        <v>2103</v>
      </c>
      <c r="C14" t="s">
        <v>2102</v>
      </c>
      <c r="D14" s="967">
        <v>1</v>
      </c>
      <c r="E14" s="1306">
        <v>143459</v>
      </c>
      <c r="F14" s="967">
        <v>1967</v>
      </c>
      <c r="G14" s="967">
        <v>1967</v>
      </c>
      <c r="H14" s="967">
        <f t="shared" si="0"/>
        <v>1967</v>
      </c>
      <c r="J14" s="967" t="s">
        <v>348</v>
      </c>
      <c r="K14" s="967" t="s">
        <v>1622</v>
      </c>
      <c r="L14" s="967" t="s">
        <v>357</v>
      </c>
      <c r="M14" s="123">
        <v>14959053</v>
      </c>
      <c r="N14" s="967">
        <v>1</v>
      </c>
    </row>
    <row r="15" spans="1:14">
      <c r="A15" s="1309" t="s">
        <v>2101</v>
      </c>
      <c r="B15" t="s">
        <v>2100</v>
      </c>
      <c r="C15" t="s">
        <v>2099</v>
      </c>
      <c r="D15" s="967">
        <v>2</v>
      </c>
      <c r="E15" s="1306">
        <v>38063</v>
      </c>
      <c r="F15" s="967">
        <v>1994</v>
      </c>
      <c r="G15" s="967">
        <v>1994</v>
      </c>
      <c r="H15" s="967">
        <f t="shared" si="0"/>
        <v>1994</v>
      </c>
      <c r="J15" s="967" t="s">
        <v>348</v>
      </c>
      <c r="K15" s="967" t="s">
        <v>1629</v>
      </c>
      <c r="L15" s="967" t="s">
        <v>357</v>
      </c>
      <c r="M15" s="123">
        <v>10796501</v>
      </c>
      <c r="N15" s="967">
        <v>1</v>
      </c>
    </row>
    <row r="16" spans="1:14">
      <c r="A16" s="1309" t="s">
        <v>2098</v>
      </c>
      <c r="B16" t="s">
        <v>2097</v>
      </c>
      <c r="C16" t="s">
        <v>2096</v>
      </c>
      <c r="D16" s="967">
        <v>3</v>
      </c>
      <c r="E16" s="1306">
        <v>18082</v>
      </c>
      <c r="F16" s="967">
        <v>1897</v>
      </c>
      <c r="G16" s="967">
        <v>0</v>
      </c>
      <c r="H16" s="967">
        <f t="shared" si="0"/>
        <v>1897</v>
      </c>
      <c r="J16" s="967" t="s">
        <v>348</v>
      </c>
      <c r="K16" s="967" t="s">
        <v>1629</v>
      </c>
      <c r="L16" s="967" t="s">
        <v>357</v>
      </c>
      <c r="M16" s="123">
        <v>2969826</v>
      </c>
      <c r="N16" s="967">
        <v>1</v>
      </c>
    </row>
    <row r="17" spans="1:14" s="273" customFormat="1">
      <c r="A17" s="1344" t="s">
        <v>2095</v>
      </c>
      <c r="B17" s="273" t="s">
        <v>2094</v>
      </c>
      <c r="C17" s="273" t="s">
        <v>2019</v>
      </c>
      <c r="D17" s="1343">
        <v>4</v>
      </c>
      <c r="E17" s="1358">
        <v>92952</v>
      </c>
      <c r="F17" s="1343">
        <v>1957</v>
      </c>
      <c r="G17" s="1343">
        <v>1957</v>
      </c>
      <c r="H17" s="967">
        <f t="shared" si="0"/>
        <v>1957</v>
      </c>
      <c r="I17" s="967"/>
      <c r="J17" s="1343" t="s">
        <v>348</v>
      </c>
      <c r="K17" s="1343" t="s">
        <v>1622</v>
      </c>
      <c r="L17" s="1343" t="s">
        <v>357</v>
      </c>
      <c r="M17" s="1357">
        <v>9209593</v>
      </c>
      <c r="N17" s="1343">
        <v>1</v>
      </c>
    </row>
    <row r="18" spans="1:14">
      <c r="A18" s="1309" t="s">
        <v>2093</v>
      </c>
      <c r="B18" t="s">
        <v>2092</v>
      </c>
      <c r="C18" t="s">
        <v>2091</v>
      </c>
      <c r="D18" s="967">
        <v>4</v>
      </c>
      <c r="E18" s="1306">
        <v>116325</v>
      </c>
      <c r="F18" s="967">
        <v>1968</v>
      </c>
      <c r="G18" s="967">
        <v>1968</v>
      </c>
      <c r="H18" s="967">
        <f t="shared" si="0"/>
        <v>1968</v>
      </c>
      <c r="J18" s="967" t="s">
        <v>348</v>
      </c>
      <c r="K18" s="967" t="s">
        <v>1706</v>
      </c>
      <c r="L18" s="967" t="s">
        <v>357</v>
      </c>
      <c r="M18" s="123">
        <v>18225774</v>
      </c>
      <c r="N18" s="967">
        <v>1</v>
      </c>
    </row>
    <row r="19" spans="1:14">
      <c r="A19" s="1309" t="s">
        <v>2090</v>
      </c>
      <c r="B19" t="s">
        <v>2089</v>
      </c>
      <c r="C19" t="s">
        <v>2088</v>
      </c>
      <c r="D19" s="967">
        <v>2</v>
      </c>
      <c r="E19" s="1306">
        <v>29251</v>
      </c>
      <c r="F19" s="967">
        <v>1892</v>
      </c>
      <c r="G19" s="967">
        <v>0</v>
      </c>
      <c r="H19" s="967">
        <f t="shared" si="0"/>
        <v>1892</v>
      </c>
      <c r="J19" s="967" t="s">
        <v>348</v>
      </c>
      <c r="K19" s="967" t="s">
        <v>1629</v>
      </c>
      <c r="L19" s="967" t="s">
        <v>357</v>
      </c>
      <c r="M19" s="123">
        <v>3734973</v>
      </c>
      <c r="N19" s="967">
        <v>1</v>
      </c>
    </row>
    <row r="20" spans="1:14">
      <c r="A20" s="1309" t="s">
        <v>2087</v>
      </c>
      <c r="B20" t="s">
        <v>2086</v>
      </c>
      <c r="C20" t="s">
        <v>2085</v>
      </c>
      <c r="D20" s="967">
        <v>2</v>
      </c>
      <c r="E20" s="1306">
        <v>18208</v>
      </c>
      <c r="F20" s="967">
        <v>1902</v>
      </c>
      <c r="G20" s="967">
        <v>0</v>
      </c>
      <c r="H20" s="967">
        <f t="shared" si="0"/>
        <v>1902</v>
      </c>
      <c r="J20" s="967" t="s">
        <v>348</v>
      </c>
      <c r="K20" s="967" t="s">
        <v>1629</v>
      </c>
      <c r="L20" s="967" t="s">
        <v>357</v>
      </c>
      <c r="M20" s="123">
        <v>6167047</v>
      </c>
      <c r="N20" s="967">
        <v>1</v>
      </c>
    </row>
    <row r="21" spans="1:14">
      <c r="A21" s="1309" t="s">
        <v>2084</v>
      </c>
      <c r="B21" t="s">
        <v>2083</v>
      </c>
      <c r="C21" t="s">
        <v>2082</v>
      </c>
      <c r="D21" s="967">
        <v>2</v>
      </c>
      <c r="E21" s="1306">
        <v>20178</v>
      </c>
      <c r="F21" s="967">
        <v>1902</v>
      </c>
      <c r="G21" s="967">
        <v>0</v>
      </c>
      <c r="H21" s="967">
        <f t="shared" si="0"/>
        <v>1902</v>
      </c>
      <c r="J21" s="967" t="s">
        <v>348</v>
      </c>
      <c r="K21" s="967" t="s">
        <v>1622</v>
      </c>
      <c r="L21" s="967" t="s">
        <v>357</v>
      </c>
      <c r="M21" s="123">
        <v>2429366</v>
      </c>
      <c r="N21" s="967">
        <v>1</v>
      </c>
    </row>
    <row r="22" spans="1:14">
      <c r="A22" s="1309" t="s">
        <v>2081</v>
      </c>
      <c r="B22" t="s">
        <v>2080</v>
      </c>
      <c r="C22" t="s">
        <v>2079</v>
      </c>
      <c r="D22" s="967">
        <v>2</v>
      </c>
      <c r="E22" s="1306">
        <v>144290</v>
      </c>
      <c r="F22" s="967">
        <v>1996</v>
      </c>
      <c r="G22" s="967">
        <v>1996</v>
      </c>
      <c r="H22" s="967">
        <f t="shared" si="0"/>
        <v>1996</v>
      </c>
      <c r="J22" s="967" t="s">
        <v>348</v>
      </c>
      <c r="K22" s="967" t="s">
        <v>1629</v>
      </c>
      <c r="L22" s="967" t="s">
        <v>357</v>
      </c>
      <c r="M22" s="123">
        <v>35046746</v>
      </c>
      <c r="N22" s="967">
        <v>1</v>
      </c>
    </row>
    <row r="23" spans="1:14">
      <c r="A23" s="1309" t="s">
        <v>2078</v>
      </c>
      <c r="B23" t="s">
        <v>2077</v>
      </c>
      <c r="C23" t="s">
        <v>2076</v>
      </c>
      <c r="D23" s="967">
        <v>3</v>
      </c>
      <c r="E23" s="1306">
        <v>92515</v>
      </c>
      <c r="F23" s="967">
        <v>1994</v>
      </c>
      <c r="G23" s="967">
        <v>1994</v>
      </c>
      <c r="H23" s="967">
        <f t="shared" si="0"/>
        <v>1994</v>
      </c>
      <c r="J23" s="967" t="s">
        <v>348</v>
      </c>
      <c r="K23" s="967" t="s">
        <v>1629</v>
      </c>
      <c r="L23" s="967" t="s">
        <v>357</v>
      </c>
      <c r="M23" s="123">
        <v>34813038</v>
      </c>
      <c r="N23" s="967">
        <v>1</v>
      </c>
    </row>
    <row r="24" spans="1:14">
      <c r="A24" s="1309" t="s">
        <v>2075</v>
      </c>
      <c r="B24" t="s">
        <v>2074</v>
      </c>
      <c r="C24" t="s">
        <v>2073</v>
      </c>
      <c r="D24" s="967">
        <v>2</v>
      </c>
      <c r="E24" s="1306">
        <v>121168</v>
      </c>
      <c r="F24" s="967">
        <v>1971</v>
      </c>
      <c r="G24" s="967">
        <v>1971</v>
      </c>
      <c r="H24" s="967">
        <f t="shared" si="0"/>
        <v>1971</v>
      </c>
      <c r="J24" s="967" t="s">
        <v>348</v>
      </c>
      <c r="K24" s="967" t="s">
        <v>1706</v>
      </c>
      <c r="L24" s="967" t="s">
        <v>357</v>
      </c>
      <c r="M24" s="123">
        <v>24436588</v>
      </c>
      <c r="N24" s="967">
        <v>1</v>
      </c>
    </row>
    <row r="25" spans="1:14">
      <c r="A25" s="1309" t="s">
        <v>2072</v>
      </c>
      <c r="B25" t="s">
        <v>2071</v>
      </c>
      <c r="C25" t="s">
        <v>2070</v>
      </c>
      <c r="D25" s="967">
        <v>0</v>
      </c>
      <c r="E25" s="1306">
        <v>25403</v>
      </c>
      <c r="F25" s="967">
        <v>2007</v>
      </c>
      <c r="G25" s="967">
        <v>2007</v>
      </c>
      <c r="H25" s="967">
        <f t="shared" si="0"/>
        <v>2007</v>
      </c>
      <c r="J25" s="967" t="s">
        <v>348</v>
      </c>
      <c r="K25" s="967" t="s">
        <v>1629</v>
      </c>
      <c r="L25" s="967" t="s">
        <v>357</v>
      </c>
      <c r="M25" s="123">
        <v>9140220</v>
      </c>
      <c r="N25" s="967">
        <v>1</v>
      </c>
    </row>
    <row r="26" spans="1:14">
      <c r="A26" s="1309" t="s">
        <v>2069</v>
      </c>
      <c r="B26" t="s">
        <v>2068</v>
      </c>
      <c r="C26" t="s">
        <v>2067</v>
      </c>
      <c r="D26" s="967">
        <v>2</v>
      </c>
      <c r="E26" s="1306">
        <v>63594</v>
      </c>
      <c r="F26" s="967">
        <v>1990</v>
      </c>
      <c r="G26" s="967">
        <v>1990</v>
      </c>
      <c r="H26" s="967">
        <f t="shared" si="0"/>
        <v>1990</v>
      </c>
      <c r="J26" s="967" t="s">
        <v>348</v>
      </c>
      <c r="K26" s="967" t="s">
        <v>1706</v>
      </c>
      <c r="L26" s="967" t="s">
        <v>357</v>
      </c>
      <c r="M26" s="123">
        <v>10389344</v>
      </c>
      <c r="N26" s="967">
        <v>1</v>
      </c>
    </row>
    <row r="27" spans="1:14">
      <c r="A27" s="1309" t="s">
        <v>2066</v>
      </c>
      <c r="B27" t="s">
        <v>2065</v>
      </c>
      <c r="C27" t="s">
        <v>2064</v>
      </c>
      <c r="D27" s="967">
        <v>2</v>
      </c>
      <c r="E27" s="1306">
        <v>13474</v>
      </c>
      <c r="F27" s="967">
        <v>1907</v>
      </c>
      <c r="G27" s="967">
        <v>0</v>
      </c>
      <c r="H27" s="967">
        <f t="shared" si="0"/>
        <v>1907</v>
      </c>
      <c r="J27" s="967">
        <v>0</v>
      </c>
      <c r="K27" s="967" t="s">
        <v>1629</v>
      </c>
      <c r="L27" s="967" t="s">
        <v>357</v>
      </c>
      <c r="M27" s="123">
        <v>1761599</v>
      </c>
      <c r="N27" s="967">
        <v>1</v>
      </c>
    </row>
    <row r="28" spans="1:14">
      <c r="A28" s="1309" t="s">
        <v>2063</v>
      </c>
      <c r="B28" t="s">
        <v>2062</v>
      </c>
      <c r="C28" t="s">
        <v>2061</v>
      </c>
      <c r="D28" s="967">
        <v>2</v>
      </c>
      <c r="E28" s="1306">
        <v>22480</v>
      </c>
      <c r="F28" s="967">
        <v>1913</v>
      </c>
      <c r="G28" s="967">
        <v>0</v>
      </c>
      <c r="H28" s="967">
        <f t="shared" si="0"/>
        <v>1913</v>
      </c>
      <c r="J28" s="967">
        <v>0</v>
      </c>
      <c r="K28" s="967" t="s">
        <v>1629</v>
      </c>
      <c r="L28" s="967" t="s">
        <v>357</v>
      </c>
      <c r="M28" s="123">
        <v>3116074</v>
      </c>
      <c r="N28" s="967">
        <v>1</v>
      </c>
    </row>
    <row r="29" spans="1:14">
      <c r="A29" s="1309" t="s">
        <v>2060</v>
      </c>
      <c r="B29" t="s">
        <v>2059</v>
      </c>
      <c r="C29" t="s">
        <v>2058</v>
      </c>
      <c r="D29" s="967">
        <v>2</v>
      </c>
      <c r="E29" s="1306">
        <v>62835</v>
      </c>
      <c r="F29" s="967">
        <v>1913</v>
      </c>
      <c r="G29" s="967">
        <v>0</v>
      </c>
      <c r="H29" s="967">
        <f t="shared" si="0"/>
        <v>1913</v>
      </c>
      <c r="J29" s="967" t="s">
        <v>113</v>
      </c>
      <c r="K29" s="967" t="s">
        <v>1622</v>
      </c>
      <c r="L29" s="967" t="s">
        <v>357</v>
      </c>
      <c r="M29" s="123">
        <v>11862236</v>
      </c>
      <c r="N29" s="967">
        <v>1</v>
      </c>
    </row>
    <row r="30" spans="1:14" s="273" customFormat="1">
      <c r="A30" s="1344" t="s">
        <v>2057</v>
      </c>
      <c r="B30" s="273" t="s">
        <v>2056</v>
      </c>
      <c r="C30" s="273" t="s">
        <v>2055</v>
      </c>
      <c r="D30" s="1343">
        <v>3</v>
      </c>
      <c r="E30" s="1358">
        <v>190677</v>
      </c>
      <c r="F30" s="1343">
        <v>1962</v>
      </c>
      <c r="G30" s="1343">
        <v>1962</v>
      </c>
      <c r="H30" s="967">
        <f t="shared" si="0"/>
        <v>1962</v>
      </c>
      <c r="I30" s="967"/>
      <c r="J30" s="1343" t="s">
        <v>348</v>
      </c>
      <c r="K30" s="1343" t="s">
        <v>1629</v>
      </c>
      <c r="L30" s="1343" t="s">
        <v>357</v>
      </c>
      <c r="M30" s="1357">
        <v>21557539</v>
      </c>
      <c r="N30" s="1343">
        <v>1</v>
      </c>
    </row>
    <row r="31" spans="1:14">
      <c r="A31" s="1309" t="s">
        <v>2054</v>
      </c>
      <c r="B31" t="s">
        <v>2053</v>
      </c>
      <c r="C31" s="273" t="s">
        <v>2052</v>
      </c>
      <c r="D31" s="967">
        <v>3</v>
      </c>
      <c r="E31" s="1306">
        <v>25483</v>
      </c>
      <c r="F31" s="967">
        <v>1908</v>
      </c>
      <c r="G31" s="967">
        <v>0</v>
      </c>
      <c r="H31" s="967">
        <f t="shared" si="0"/>
        <v>1908</v>
      </c>
      <c r="J31" s="967" t="s">
        <v>348</v>
      </c>
      <c r="K31" s="967" t="s">
        <v>1622</v>
      </c>
      <c r="L31" s="967" t="s">
        <v>357</v>
      </c>
      <c r="M31" s="123">
        <v>3127918</v>
      </c>
      <c r="N31" s="967">
        <v>1</v>
      </c>
    </row>
    <row r="32" spans="1:14">
      <c r="A32" s="1309" t="s">
        <v>2051</v>
      </c>
      <c r="B32" t="s">
        <v>2050</v>
      </c>
      <c r="C32" s="273" t="s">
        <v>2049</v>
      </c>
      <c r="D32" s="967">
        <v>4</v>
      </c>
      <c r="E32" s="1306">
        <v>61000</v>
      </c>
      <c r="F32" s="967">
        <v>1988</v>
      </c>
      <c r="G32" s="967">
        <v>1988</v>
      </c>
      <c r="H32" s="967">
        <f t="shared" si="0"/>
        <v>1988</v>
      </c>
      <c r="J32" s="967" t="s">
        <v>348</v>
      </c>
      <c r="K32" s="967" t="s">
        <v>1629</v>
      </c>
      <c r="L32" s="967" t="s">
        <v>357</v>
      </c>
      <c r="M32" s="123">
        <v>8871741</v>
      </c>
      <c r="N32" s="967">
        <v>1</v>
      </c>
    </row>
    <row r="33" spans="1:14">
      <c r="A33" s="1309" t="s">
        <v>2048</v>
      </c>
      <c r="B33" t="s">
        <v>2047</v>
      </c>
      <c r="C33" s="273" t="s">
        <v>2046</v>
      </c>
      <c r="D33" s="967">
        <v>1</v>
      </c>
      <c r="E33" s="1306">
        <v>92968</v>
      </c>
      <c r="F33" s="967">
        <v>1967</v>
      </c>
      <c r="G33" s="967">
        <v>1967</v>
      </c>
      <c r="H33" s="967">
        <f t="shared" si="0"/>
        <v>1967</v>
      </c>
      <c r="J33" s="967" t="s">
        <v>348</v>
      </c>
      <c r="K33" s="967" t="s">
        <v>1706</v>
      </c>
      <c r="L33" s="967" t="s">
        <v>357</v>
      </c>
      <c r="M33" s="123">
        <v>10225509</v>
      </c>
      <c r="N33" s="967">
        <v>1</v>
      </c>
    </row>
    <row r="34" spans="1:14">
      <c r="A34" s="1309" t="s">
        <v>2045</v>
      </c>
      <c r="B34" t="s">
        <v>2044</v>
      </c>
      <c r="C34" s="273" t="s">
        <v>2043</v>
      </c>
      <c r="D34" s="967">
        <v>4</v>
      </c>
      <c r="E34" s="1306">
        <v>59611</v>
      </c>
      <c r="F34" s="967">
        <v>1962</v>
      </c>
      <c r="G34" s="967">
        <v>1962</v>
      </c>
      <c r="H34" s="967">
        <f t="shared" si="0"/>
        <v>1962</v>
      </c>
      <c r="J34" s="967" t="s">
        <v>348</v>
      </c>
      <c r="K34" s="967" t="s">
        <v>1622</v>
      </c>
      <c r="L34" s="967" t="s">
        <v>357</v>
      </c>
      <c r="M34" s="123">
        <v>12825717</v>
      </c>
      <c r="N34" s="967">
        <v>1</v>
      </c>
    </row>
    <row r="35" spans="1:14">
      <c r="A35" s="1309" t="s">
        <v>2042</v>
      </c>
      <c r="B35" t="s">
        <v>2041</v>
      </c>
      <c r="C35" s="273" t="s">
        <v>2040</v>
      </c>
      <c r="D35" s="967">
        <v>1</v>
      </c>
      <c r="E35" s="1306">
        <v>62348</v>
      </c>
      <c r="F35" s="967">
        <v>1929</v>
      </c>
      <c r="G35" s="967">
        <v>0</v>
      </c>
      <c r="H35" s="967">
        <f t="shared" si="0"/>
        <v>1929</v>
      </c>
      <c r="J35" s="967" t="s">
        <v>348</v>
      </c>
      <c r="K35" s="967" t="s">
        <v>1622</v>
      </c>
      <c r="L35" s="967" t="s">
        <v>357</v>
      </c>
      <c r="M35" s="123">
        <v>16818186</v>
      </c>
      <c r="N35" s="967">
        <v>1</v>
      </c>
    </row>
    <row r="36" spans="1:14">
      <c r="A36" s="1309" t="s">
        <v>2039</v>
      </c>
      <c r="B36" t="s">
        <v>2038</v>
      </c>
      <c r="C36" s="273" t="s">
        <v>2037</v>
      </c>
      <c r="D36" s="967">
        <v>2</v>
      </c>
      <c r="E36" s="1306">
        <v>149900</v>
      </c>
      <c r="F36" s="967">
        <v>2002</v>
      </c>
      <c r="G36" s="967">
        <v>2002</v>
      </c>
      <c r="H36" s="967">
        <f t="shared" si="0"/>
        <v>2002</v>
      </c>
      <c r="J36" s="967" t="s">
        <v>348</v>
      </c>
      <c r="K36" s="967" t="s">
        <v>1629</v>
      </c>
      <c r="L36" s="967" t="s">
        <v>357</v>
      </c>
      <c r="M36" s="123">
        <v>70842353</v>
      </c>
      <c r="N36" s="967">
        <v>1</v>
      </c>
    </row>
    <row r="37" spans="1:14">
      <c r="A37" s="1309" t="s">
        <v>2036</v>
      </c>
      <c r="B37" t="s">
        <v>2035</v>
      </c>
      <c r="C37" s="273" t="s">
        <v>2027</v>
      </c>
      <c r="D37" s="967">
        <v>1</v>
      </c>
      <c r="E37" s="1306">
        <v>388085</v>
      </c>
      <c r="F37" s="967">
        <v>1967</v>
      </c>
      <c r="G37" s="967">
        <v>1967</v>
      </c>
      <c r="H37" s="967">
        <f t="shared" si="0"/>
        <v>1967</v>
      </c>
      <c r="J37" s="967" t="s">
        <v>348</v>
      </c>
      <c r="K37" s="967" t="s">
        <v>1706</v>
      </c>
      <c r="L37" s="967" t="s">
        <v>357</v>
      </c>
      <c r="M37" s="123">
        <v>55030703</v>
      </c>
      <c r="N37" s="967">
        <v>1</v>
      </c>
    </row>
    <row r="38" spans="1:14" s="273" customFormat="1">
      <c r="A38" s="1344" t="s">
        <v>2034</v>
      </c>
      <c r="B38" s="273" t="s">
        <v>2033</v>
      </c>
      <c r="C38" s="273" t="s">
        <v>2032</v>
      </c>
      <c r="D38" s="1343">
        <v>3</v>
      </c>
      <c r="E38" s="1358">
        <v>62584</v>
      </c>
      <c r="F38" s="1343">
        <v>1905</v>
      </c>
      <c r="G38" s="1343">
        <v>0</v>
      </c>
      <c r="H38" s="967">
        <f t="shared" si="0"/>
        <v>1905</v>
      </c>
      <c r="I38" s="967"/>
      <c r="J38" s="1343" t="s">
        <v>348</v>
      </c>
      <c r="K38" s="1343" t="s">
        <v>1629</v>
      </c>
      <c r="L38" s="1343" t="s">
        <v>357</v>
      </c>
      <c r="M38" s="1357">
        <v>7305830</v>
      </c>
      <c r="N38" s="1343">
        <v>1</v>
      </c>
    </row>
    <row r="39" spans="1:14">
      <c r="A39" s="1309" t="s">
        <v>2031</v>
      </c>
      <c r="B39" t="s">
        <v>2030</v>
      </c>
      <c r="C39" s="273" t="s">
        <v>2029</v>
      </c>
      <c r="D39" s="967">
        <v>4</v>
      </c>
      <c r="E39" s="1306">
        <v>85539</v>
      </c>
      <c r="F39" s="967">
        <v>1960</v>
      </c>
      <c r="G39" s="967">
        <v>1960</v>
      </c>
      <c r="H39" s="967">
        <f t="shared" si="0"/>
        <v>1960</v>
      </c>
      <c r="J39" s="967" t="s">
        <v>348</v>
      </c>
      <c r="K39" s="967" t="s">
        <v>1706</v>
      </c>
      <c r="L39" s="967" t="s">
        <v>357</v>
      </c>
      <c r="M39" s="123">
        <v>13771612</v>
      </c>
      <c r="N39" s="967">
        <v>1</v>
      </c>
    </row>
    <row r="40" spans="1:14">
      <c r="A40" s="1309"/>
      <c r="B40" t="s">
        <v>2028</v>
      </c>
      <c r="C40" s="273" t="s">
        <v>2027</v>
      </c>
      <c r="D40" s="967">
        <v>1</v>
      </c>
      <c r="E40" s="1306">
        <v>0</v>
      </c>
      <c r="H40" s="967">
        <f t="shared" si="0"/>
        <v>0</v>
      </c>
      <c r="M40" s="123"/>
    </row>
    <row r="41" spans="1:14">
      <c r="A41" s="1309" t="s">
        <v>2026</v>
      </c>
      <c r="B41" t="s">
        <v>2025</v>
      </c>
      <c r="C41" s="273" t="s">
        <v>1901</v>
      </c>
      <c r="D41" s="967">
        <v>2</v>
      </c>
      <c r="E41" s="1306">
        <v>19068</v>
      </c>
      <c r="F41" s="967">
        <v>1961</v>
      </c>
      <c r="G41" s="967">
        <v>1961</v>
      </c>
      <c r="H41" s="967">
        <f t="shared" si="0"/>
        <v>1961</v>
      </c>
      <c r="J41" s="967" t="s">
        <v>348</v>
      </c>
      <c r="K41" s="967" t="s">
        <v>1622</v>
      </c>
      <c r="L41" s="967" t="s">
        <v>357</v>
      </c>
      <c r="M41" s="123">
        <v>2692739</v>
      </c>
      <c r="N41" s="967">
        <v>1</v>
      </c>
    </row>
    <row r="42" spans="1:14">
      <c r="A42" s="1309" t="s">
        <v>2024</v>
      </c>
      <c r="B42" t="s">
        <v>2023</v>
      </c>
      <c r="C42" t="s">
        <v>2022</v>
      </c>
      <c r="D42" s="967">
        <v>3</v>
      </c>
      <c r="E42" s="1306">
        <v>20058</v>
      </c>
      <c r="F42" s="967">
        <v>1958</v>
      </c>
      <c r="G42" s="967">
        <v>1958</v>
      </c>
      <c r="H42" s="967">
        <f t="shared" si="0"/>
        <v>1958</v>
      </c>
      <c r="J42" s="967" t="s">
        <v>348</v>
      </c>
      <c r="K42" s="967" t="s">
        <v>1622</v>
      </c>
      <c r="L42" s="967" t="s">
        <v>357</v>
      </c>
      <c r="M42" s="123">
        <v>2849226</v>
      </c>
      <c r="N42" s="967">
        <v>1</v>
      </c>
    </row>
    <row r="43" spans="1:14" s="273" customFormat="1">
      <c r="A43" s="1344" t="s">
        <v>2021</v>
      </c>
      <c r="B43" s="273" t="s">
        <v>2020</v>
      </c>
      <c r="C43" s="273" t="s">
        <v>2019</v>
      </c>
      <c r="D43" s="1343">
        <v>4</v>
      </c>
      <c r="E43" s="1358">
        <v>106069</v>
      </c>
      <c r="F43" s="1343">
        <v>2000</v>
      </c>
      <c r="G43" s="1343">
        <v>2000</v>
      </c>
      <c r="H43" s="967">
        <f t="shared" si="0"/>
        <v>2000</v>
      </c>
      <c r="I43" s="967"/>
      <c r="J43" s="1343" t="s">
        <v>348</v>
      </c>
      <c r="K43" s="1343" t="s">
        <v>1629</v>
      </c>
      <c r="L43" s="1343" t="s">
        <v>357</v>
      </c>
      <c r="M43" s="1357">
        <v>16052799</v>
      </c>
      <c r="N43" s="1343">
        <v>1</v>
      </c>
    </row>
    <row r="44" spans="1:14">
      <c r="A44" s="1309" t="s">
        <v>2018</v>
      </c>
      <c r="B44" t="s">
        <v>2017</v>
      </c>
      <c r="C44" s="273" t="s">
        <v>2016</v>
      </c>
      <c r="D44" s="967">
        <v>4</v>
      </c>
      <c r="E44" s="1306">
        <v>75290</v>
      </c>
      <c r="F44" s="967">
        <v>1961</v>
      </c>
      <c r="G44" s="967">
        <v>1961</v>
      </c>
      <c r="H44" s="967">
        <f t="shared" si="0"/>
        <v>1961</v>
      </c>
      <c r="J44" s="967" t="s">
        <v>348</v>
      </c>
      <c r="K44" s="967" t="s">
        <v>1622</v>
      </c>
      <c r="L44" s="967" t="s">
        <v>357</v>
      </c>
      <c r="M44" s="123">
        <v>12376373</v>
      </c>
      <c r="N44" s="967">
        <v>1</v>
      </c>
    </row>
    <row r="45" spans="1:14">
      <c r="A45" s="1309" t="s">
        <v>2015</v>
      </c>
      <c r="B45" t="s">
        <v>2014</v>
      </c>
      <c r="C45" s="273" t="s">
        <v>2013</v>
      </c>
      <c r="D45" s="967">
        <v>4</v>
      </c>
      <c r="E45" s="1306">
        <v>72635</v>
      </c>
      <c r="F45" s="967">
        <v>1955</v>
      </c>
      <c r="G45" s="967">
        <v>0</v>
      </c>
      <c r="H45" s="967">
        <f t="shared" si="0"/>
        <v>1955</v>
      </c>
      <c r="J45" s="967" t="s">
        <v>348</v>
      </c>
      <c r="K45" s="967" t="s">
        <v>1629</v>
      </c>
      <c r="L45" s="967" t="s">
        <v>357</v>
      </c>
      <c r="M45" s="123">
        <v>13377451</v>
      </c>
      <c r="N45" s="967">
        <v>1</v>
      </c>
    </row>
    <row r="46" spans="1:14">
      <c r="A46" s="1309" t="s">
        <v>2012</v>
      </c>
      <c r="B46" t="s">
        <v>2011</v>
      </c>
      <c r="C46" t="s">
        <v>2010</v>
      </c>
      <c r="D46" s="967">
        <v>1</v>
      </c>
      <c r="E46" s="1306">
        <v>320000</v>
      </c>
      <c r="F46" s="967">
        <v>2003</v>
      </c>
      <c r="G46" s="967">
        <v>2003</v>
      </c>
      <c r="H46" s="967">
        <f t="shared" si="0"/>
        <v>2003</v>
      </c>
      <c r="J46" s="967" t="s">
        <v>348</v>
      </c>
      <c r="K46" s="967" t="s">
        <v>1629</v>
      </c>
      <c r="L46" s="967" t="s">
        <v>357</v>
      </c>
      <c r="M46" s="123">
        <v>79811884</v>
      </c>
      <c r="N46" s="967">
        <v>1</v>
      </c>
    </row>
    <row r="47" spans="1:14">
      <c r="A47" s="1309" t="s">
        <v>2009</v>
      </c>
      <c r="B47" t="s">
        <v>2008</v>
      </c>
      <c r="C47" t="s">
        <v>2007</v>
      </c>
      <c r="D47" s="967">
        <v>1</v>
      </c>
      <c r="E47" s="1306">
        <v>213760</v>
      </c>
      <c r="F47" s="967">
        <v>1924</v>
      </c>
      <c r="G47" s="967">
        <v>0</v>
      </c>
      <c r="H47" s="967">
        <f t="shared" si="0"/>
        <v>1924</v>
      </c>
      <c r="J47" s="967" t="s">
        <v>348</v>
      </c>
      <c r="K47" s="967" t="s">
        <v>1706</v>
      </c>
      <c r="L47" s="967" t="s">
        <v>357</v>
      </c>
      <c r="M47" s="123">
        <v>48159603</v>
      </c>
      <c r="N47" s="967">
        <v>1</v>
      </c>
    </row>
    <row r="48" spans="1:14">
      <c r="A48" s="1309"/>
      <c r="B48" t="str">
        <f>'Buildings Removed'!A1</f>
        <v>BAKER MEMORIAL Total</v>
      </c>
      <c r="E48" s="1306">
        <f>'Buildings Removed'!D1</f>
        <v>67290</v>
      </c>
      <c r="F48" s="1363">
        <v>1979</v>
      </c>
      <c r="G48" s="1363">
        <v>1979</v>
      </c>
      <c r="H48" s="967">
        <f t="shared" si="0"/>
        <v>1979</v>
      </c>
      <c r="I48" s="967">
        <v>2005</v>
      </c>
      <c r="M48" s="123"/>
    </row>
    <row r="49" spans="1:14">
      <c r="A49" s="1309"/>
      <c r="B49" t="str">
        <f>'Buildings Removed'!A3</f>
        <v>Pardee</v>
      </c>
      <c r="E49" s="1306">
        <f>'Buildings Removed'!D3</f>
        <v>49292</v>
      </c>
      <c r="F49" s="1363">
        <v>1979</v>
      </c>
      <c r="G49" s="1363">
        <v>1979</v>
      </c>
      <c r="H49" s="967">
        <f t="shared" si="0"/>
        <v>1979</v>
      </c>
      <c r="I49" s="967">
        <v>1995</v>
      </c>
      <c r="M49" s="123"/>
    </row>
    <row r="50" spans="1:14">
      <c r="A50" s="1309"/>
      <c r="B50" t="str">
        <f>'Buildings Removed'!A4</f>
        <v>TRIANGLE BLDG Total</v>
      </c>
      <c r="E50" s="1306">
        <f>'Buildings Removed'!D4</f>
        <v>5685.1855078202334</v>
      </c>
      <c r="F50" s="1363">
        <v>1979</v>
      </c>
      <c r="G50" s="1363">
        <v>1979</v>
      </c>
      <c r="H50" s="967">
        <f t="shared" si="0"/>
        <v>1979</v>
      </c>
      <c r="I50" s="967">
        <v>2005</v>
      </c>
      <c r="M50" s="123"/>
    </row>
    <row r="51" spans="1:14">
      <c r="A51" s="1309" t="s">
        <v>2006</v>
      </c>
      <c r="B51" t="s">
        <v>2005</v>
      </c>
      <c r="C51" t="s">
        <v>2004</v>
      </c>
      <c r="D51" s="967">
        <v>1</v>
      </c>
      <c r="E51" s="1306">
        <v>49744</v>
      </c>
      <c r="F51" s="967">
        <v>2003</v>
      </c>
      <c r="G51" s="967">
        <v>2003</v>
      </c>
      <c r="H51" s="967">
        <f t="shared" si="0"/>
        <v>2003</v>
      </c>
      <c r="J51" s="967" t="s">
        <v>348</v>
      </c>
      <c r="K51" s="967" t="s">
        <v>1629</v>
      </c>
      <c r="L51" s="967" t="s">
        <v>357</v>
      </c>
      <c r="M51" s="123">
        <v>13771706</v>
      </c>
      <c r="N51" s="967">
        <v>1</v>
      </c>
    </row>
    <row r="52" spans="1:14" s="35" customFormat="1">
      <c r="A52" s="1331" t="s">
        <v>2003</v>
      </c>
      <c r="B52" s="1217" t="s">
        <v>2002</v>
      </c>
      <c r="C52" s="1318" t="s">
        <v>2001</v>
      </c>
      <c r="D52" s="1329">
        <v>0</v>
      </c>
      <c r="E52" s="1330">
        <v>49292</v>
      </c>
      <c r="F52" s="1329">
        <v>1951</v>
      </c>
      <c r="G52" s="1329">
        <v>0</v>
      </c>
      <c r="H52" s="967">
        <f t="shared" si="0"/>
        <v>1951</v>
      </c>
      <c r="I52" s="967"/>
      <c r="J52" s="1329" t="s">
        <v>348</v>
      </c>
      <c r="K52" s="1329" t="s">
        <v>1622</v>
      </c>
      <c r="L52" s="1329" t="s">
        <v>357</v>
      </c>
      <c r="M52" s="1352">
        <v>7584360</v>
      </c>
      <c r="N52" s="1329">
        <v>1</v>
      </c>
    </row>
    <row r="53" spans="1:14">
      <c r="E53" s="1306">
        <f>SUM(E3:E52)</f>
        <v>3891223.1855078205</v>
      </c>
      <c r="L53" s="967">
        <f>COUNT(E3:E52)</f>
        <v>50</v>
      </c>
      <c r="M53" s="123">
        <f>SUM(M3:M52)</f>
        <v>778091304</v>
      </c>
    </row>
    <row r="56" spans="1:14" s="1267" customFormat="1" ht="45">
      <c r="A56" s="1328" t="s">
        <v>1651</v>
      </c>
      <c r="B56" s="1267" t="s">
        <v>1650</v>
      </c>
      <c r="D56" s="1324" t="s">
        <v>1649</v>
      </c>
      <c r="E56" s="1327" t="s">
        <v>25</v>
      </c>
      <c r="F56" s="1324" t="s">
        <v>1648</v>
      </c>
      <c r="G56" s="1324" t="s">
        <v>1647</v>
      </c>
      <c r="H56" s="1326" t="s">
        <v>1646</v>
      </c>
      <c r="I56" s="1326" t="s">
        <v>1645</v>
      </c>
      <c r="J56" s="1324" t="s">
        <v>537</v>
      </c>
      <c r="K56" s="1324" t="s">
        <v>1644</v>
      </c>
      <c r="L56" s="1324" t="s">
        <v>1643</v>
      </c>
      <c r="M56" s="1325" t="s">
        <v>1642</v>
      </c>
      <c r="N56" s="1324" t="s">
        <v>1705</v>
      </c>
    </row>
    <row r="57" spans="1:14" s="827" customFormat="1">
      <c r="A57" s="1336"/>
      <c r="B57" s="1335" t="s">
        <v>2000</v>
      </c>
      <c r="C57" s="1335"/>
      <c r="D57" s="1332"/>
      <c r="E57" s="1334"/>
      <c r="F57" s="1332"/>
      <c r="G57" s="1332"/>
      <c r="H57" s="1332"/>
      <c r="I57" s="1332"/>
      <c r="J57" s="1332"/>
      <c r="K57" s="1332"/>
      <c r="L57" s="1332"/>
      <c r="M57" s="1333"/>
      <c r="N57" s="1332"/>
    </row>
    <row r="58" spans="1:14">
      <c r="A58" s="1309" t="s">
        <v>1999</v>
      </c>
      <c r="B58" t="s">
        <v>1998</v>
      </c>
      <c r="C58" t="s">
        <v>1997</v>
      </c>
      <c r="D58" s="967">
        <v>3</v>
      </c>
      <c r="E58" s="1306">
        <v>50800</v>
      </c>
      <c r="F58" s="967">
        <v>1882</v>
      </c>
      <c r="G58" s="967">
        <v>0</v>
      </c>
      <c r="H58" s="967">
        <f>MAX(G58,F58)</f>
        <v>1882</v>
      </c>
      <c r="J58" s="967" t="s">
        <v>348</v>
      </c>
      <c r="K58" s="967" t="s">
        <v>1629</v>
      </c>
      <c r="L58" s="967" t="s">
        <v>358</v>
      </c>
      <c r="M58" s="123">
        <v>21972902</v>
      </c>
      <c r="N58" s="967">
        <v>1</v>
      </c>
    </row>
    <row r="59" spans="1:14">
      <c r="A59" s="1309" t="s">
        <v>1996</v>
      </c>
      <c r="B59" t="s">
        <v>1995</v>
      </c>
      <c r="C59" t="s">
        <v>1994</v>
      </c>
      <c r="D59" s="967">
        <v>3</v>
      </c>
      <c r="E59" s="1306">
        <v>46242</v>
      </c>
      <c r="F59" s="967">
        <v>1926</v>
      </c>
      <c r="G59" s="967">
        <v>0</v>
      </c>
      <c r="H59" s="967">
        <f>MAX(G59,F59)</f>
        <v>1926</v>
      </c>
      <c r="J59" s="967" t="s">
        <v>348</v>
      </c>
      <c r="K59" s="967" t="s">
        <v>1706</v>
      </c>
      <c r="L59" s="967" t="s">
        <v>358</v>
      </c>
      <c r="M59" s="123">
        <v>13922647</v>
      </c>
      <c r="N59" s="967">
        <v>1</v>
      </c>
    </row>
    <row r="60" spans="1:14">
      <c r="A60" s="1309" t="s">
        <v>1993</v>
      </c>
      <c r="B60" t="s">
        <v>1992</v>
      </c>
      <c r="C60" t="s">
        <v>1950</v>
      </c>
      <c r="D60" s="967">
        <v>0</v>
      </c>
      <c r="E60" s="1306">
        <v>11365</v>
      </c>
      <c r="F60" s="967">
        <v>1911</v>
      </c>
      <c r="G60" s="967">
        <v>1953</v>
      </c>
      <c r="H60" s="967">
        <f>MAX(G60,F60)</f>
        <v>1953</v>
      </c>
      <c r="J60" s="967" t="s">
        <v>348</v>
      </c>
      <c r="K60" s="967" t="s">
        <v>1622</v>
      </c>
      <c r="L60" s="967" t="s">
        <v>358</v>
      </c>
      <c r="M60" s="123">
        <v>1035126</v>
      </c>
      <c r="N60" s="967">
        <v>1</v>
      </c>
    </row>
    <row r="61" spans="1:14">
      <c r="A61" s="1309" t="s">
        <v>1991</v>
      </c>
      <c r="B61" t="s">
        <v>1990</v>
      </c>
      <c r="C61" t="s">
        <v>1989</v>
      </c>
      <c r="D61" s="967">
        <v>0</v>
      </c>
      <c r="E61" s="1306">
        <v>1500</v>
      </c>
      <c r="F61" s="967">
        <v>1920</v>
      </c>
      <c r="G61" s="967">
        <v>0</v>
      </c>
      <c r="H61" s="967">
        <f>MAX(G61,F61)</f>
        <v>1920</v>
      </c>
      <c r="J61" s="967" t="s">
        <v>348</v>
      </c>
      <c r="K61" s="967" t="s">
        <v>1622</v>
      </c>
      <c r="L61" s="967" t="s">
        <v>358</v>
      </c>
      <c r="M61" s="123">
        <v>205720</v>
      </c>
      <c r="N61" s="967">
        <v>1</v>
      </c>
    </row>
    <row r="62" spans="1:14">
      <c r="A62" s="1309" t="s">
        <v>1988</v>
      </c>
      <c r="B62" t="s">
        <v>1987</v>
      </c>
      <c r="C62" t="s">
        <v>1986</v>
      </c>
      <c r="D62" s="967">
        <v>0</v>
      </c>
      <c r="E62" s="1306">
        <v>5693</v>
      </c>
      <c r="F62" s="967">
        <v>1920</v>
      </c>
      <c r="G62" s="967">
        <v>0</v>
      </c>
      <c r="H62" s="1363">
        <v>2008</v>
      </c>
      <c r="J62" s="967" t="s">
        <v>348</v>
      </c>
      <c r="K62" s="967" t="s">
        <v>1622</v>
      </c>
      <c r="L62" s="967" t="s">
        <v>358</v>
      </c>
      <c r="M62" s="123">
        <v>222547</v>
      </c>
      <c r="N62" s="967">
        <v>1</v>
      </c>
    </row>
    <row r="63" spans="1:14">
      <c r="A63" s="1309" t="s">
        <v>1985</v>
      </c>
      <c r="B63" t="s">
        <v>1984</v>
      </c>
      <c r="C63" t="s">
        <v>1716</v>
      </c>
      <c r="D63" s="967">
        <v>4</v>
      </c>
      <c r="E63" s="1306">
        <v>119466</v>
      </c>
      <c r="F63" s="967">
        <v>0</v>
      </c>
      <c r="G63" s="967">
        <v>1992</v>
      </c>
      <c r="H63" s="967">
        <f t="shared" ref="H63:H72" si="1">MAX(G63,F63)</f>
        <v>1992</v>
      </c>
      <c r="I63" s="1363"/>
      <c r="J63" s="967" t="s">
        <v>348</v>
      </c>
      <c r="K63" s="967" t="s">
        <v>1706</v>
      </c>
      <c r="L63" s="967" t="s">
        <v>358</v>
      </c>
      <c r="M63" s="123">
        <v>21186013</v>
      </c>
      <c r="N63" s="967">
        <v>1</v>
      </c>
    </row>
    <row r="64" spans="1:14">
      <c r="A64" s="1309" t="s">
        <v>1983</v>
      </c>
      <c r="B64" t="s">
        <v>1982</v>
      </c>
      <c r="C64" t="s">
        <v>1981</v>
      </c>
      <c r="D64" s="967">
        <v>4</v>
      </c>
      <c r="E64" s="1306">
        <v>128241</v>
      </c>
      <c r="F64" s="967">
        <v>1970</v>
      </c>
      <c r="G64" s="967">
        <v>1993</v>
      </c>
      <c r="H64" s="967">
        <f t="shared" si="1"/>
        <v>1993</v>
      </c>
      <c r="J64" s="967" t="s">
        <v>113</v>
      </c>
      <c r="K64" s="967" t="s">
        <v>1706</v>
      </c>
      <c r="L64" s="967" t="s">
        <v>358</v>
      </c>
      <c r="M64" s="123">
        <v>13711143</v>
      </c>
      <c r="N64" s="967">
        <v>1</v>
      </c>
    </row>
    <row r="65" spans="1:14">
      <c r="A65" s="1309" t="s">
        <v>1980</v>
      </c>
      <c r="B65" t="s">
        <v>1979</v>
      </c>
      <c r="C65" t="s">
        <v>1978</v>
      </c>
      <c r="D65" s="967">
        <v>4</v>
      </c>
      <c r="E65" s="1306">
        <v>10376</v>
      </c>
      <c r="F65" s="967">
        <v>1906</v>
      </c>
      <c r="G65" s="967">
        <v>1987</v>
      </c>
      <c r="H65" s="967">
        <f t="shared" si="1"/>
        <v>1987</v>
      </c>
      <c r="J65" s="967" t="s">
        <v>348</v>
      </c>
      <c r="K65" s="967" t="s">
        <v>1622</v>
      </c>
      <c r="L65" s="967" t="s">
        <v>358</v>
      </c>
      <c r="M65" s="123">
        <v>1700701</v>
      </c>
      <c r="N65" s="967">
        <v>1</v>
      </c>
    </row>
    <row r="66" spans="1:14">
      <c r="A66" s="1309" t="s">
        <v>1977</v>
      </c>
      <c r="B66" t="s">
        <v>1976</v>
      </c>
      <c r="C66" t="s">
        <v>1975</v>
      </c>
      <c r="D66" s="967">
        <v>1</v>
      </c>
      <c r="E66" s="1306">
        <v>12429</v>
      </c>
      <c r="F66" s="967">
        <v>1890</v>
      </c>
      <c r="G66" s="967">
        <v>1896</v>
      </c>
      <c r="H66" s="967">
        <f t="shared" si="1"/>
        <v>1896</v>
      </c>
      <c r="J66" s="967" t="s">
        <v>348</v>
      </c>
      <c r="K66" s="967" t="s">
        <v>1706</v>
      </c>
      <c r="L66" s="967" t="s">
        <v>358</v>
      </c>
      <c r="M66" s="123">
        <v>3980536</v>
      </c>
      <c r="N66" s="967">
        <v>1</v>
      </c>
    </row>
    <row r="67" spans="1:14">
      <c r="A67" s="1309" t="s">
        <v>1974</v>
      </c>
      <c r="B67" t="s">
        <v>1973</v>
      </c>
      <c r="C67" t="s">
        <v>1972</v>
      </c>
      <c r="D67" s="967">
        <v>0</v>
      </c>
      <c r="E67" s="1306">
        <v>50400</v>
      </c>
      <c r="F67" s="967">
        <v>1924</v>
      </c>
      <c r="G67" s="967">
        <v>2000</v>
      </c>
      <c r="H67" s="967">
        <f t="shared" si="1"/>
        <v>2000</v>
      </c>
      <c r="J67" s="967" t="s">
        <v>113</v>
      </c>
      <c r="K67" s="967" t="s">
        <v>1622</v>
      </c>
      <c r="L67" s="967" t="s">
        <v>358</v>
      </c>
      <c r="M67" s="123">
        <v>3444659</v>
      </c>
      <c r="N67" s="967">
        <v>1</v>
      </c>
    </row>
    <row r="68" spans="1:14">
      <c r="A68" s="1309" t="s">
        <v>1971</v>
      </c>
      <c r="B68" t="s">
        <v>1970</v>
      </c>
      <c r="C68" t="s">
        <v>1969</v>
      </c>
      <c r="D68" s="967">
        <v>0</v>
      </c>
      <c r="E68" s="1306">
        <v>5000</v>
      </c>
      <c r="F68" s="967">
        <v>1910</v>
      </c>
      <c r="G68" s="967">
        <v>0</v>
      </c>
      <c r="H68" s="967">
        <f t="shared" si="1"/>
        <v>1910</v>
      </c>
      <c r="J68" s="967" t="s">
        <v>348</v>
      </c>
      <c r="K68" s="967" t="s">
        <v>1622</v>
      </c>
      <c r="L68" s="967" t="s">
        <v>358</v>
      </c>
      <c r="M68" s="123">
        <v>507890</v>
      </c>
      <c r="N68" s="967">
        <v>1</v>
      </c>
    </row>
    <row r="69" spans="1:14">
      <c r="A69" s="1309" t="s">
        <v>1968</v>
      </c>
      <c r="B69" t="s">
        <v>1967</v>
      </c>
      <c r="C69" t="s">
        <v>1966</v>
      </c>
      <c r="D69" s="967">
        <v>0</v>
      </c>
      <c r="E69" s="1306">
        <v>0</v>
      </c>
      <c r="F69" s="967">
        <v>0</v>
      </c>
      <c r="G69" s="967">
        <v>1990</v>
      </c>
      <c r="H69" s="967">
        <f t="shared" si="1"/>
        <v>1990</v>
      </c>
      <c r="J69" s="967">
        <v>0</v>
      </c>
      <c r="K69" s="967" t="s">
        <v>1622</v>
      </c>
      <c r="L69" s="967" t="s">
        <v>358</v>
      </c>
      <c r="M69" s="123">
        <v>110761</v>
      </c>
      <c r="N69" s="967">
        <v>1</v>
      </c>
    </row>
    <row r="70" spans="1:14">
      <c r="A70" s="1309" t="s">
        <v>1965</v>
      </c>
      <c r="B70" t="s">
        <v>1964</v>
      </c>
      <c r="C70" t="s">
        <v>1963</v>
      </c>
      <c r="D70" s="967">
        <v>2</v>
      </c>
      <c r="E70" s="1306">
        <v>84204</v>
      </c>
      <c r="F70" s="967">
        <v>1900</v>
      </c>
      <c r="G70" s="967">
        <v>1931</v>
      </c>
      <c r="H70" s="967">
        <f t="shared" si="1"/>
        <v>1931</v>
      </c>
      <c r="J70" s="967" t="s">
        <v>348</v>
      </c>
      <c r="K70" s="967" t="s">
        <v>1706</v>
      </c>
      <c r="L70" s="967" t="s">
        <v>358</v>
      </c>
      <c r="M70" s="123">
        <v>9222823</v>
      </c>
      <c r="N70" s="967">
        <v>1</v>
      </c>
    </row>
    <row r="71" spans="1:14">
      <c r="A71" s="1309" t="s">
        <v>1962</v>
      </c>
      <c r="B71" t="s">
        <v>1961</v>
      </c>
      <c r="C71" s="273" t="s">
        <v>1960</v>
      </c>
      <c r="D71" s="967">
        <v>4</v>
      </c>
      <c r="E71" s="1306">
        <v>38545</v>
      </c>
      <c r="F71" s="967">
        <v>1948</v>
      </c>
      <c r="G71" s="967">
        <v>0</v>
      </c>
      <c r="H71" s="967">
        <f t="shared" si="1"/>
        <v>1948</v>
      </c>
      <c r="J71" s="967" t="s">
        <v>113</v>
      </c>
      <c r="K71" s="967" t="s">
        <v>1706</v>
      </c>
      <c r="L71" s="967" t="s">
        <v>358</v>
      </c>
      <c r="M71" s="123">
        <v>5288868</v>
      </c>
      <c r="N71" s="967">
        <v>1</v>
      </c>
    </row>
    <row r="72" spans="1:14" s="35" customFormat="1">
      <c r="A72" s="1331" t="s">
        <v>1959</v>
      </c>
      <c r="B72" s="1217" t="s">
        <v>1958</v>
      </c>
      <c r="C72" s="1217" t="s">
        <v>1957</v>
      </c>
      <c r="D72" s="1329">
        <v>2</v>
      </c>
      <c r="E72" s="1330">
        <v>15902</v>
      </c>
      <c r="F72" s="1329">
        <v>0</v>
      </c>
      <c r="G72" s="1329">
        <v>0</v>
      </c>
      <c r="H72" s="967">
        <f t="shared" si="1"/>
        <v>0</v>
      </c>
      <c r="I72" s="967"/>
      <c r="J72" s="1329" t="s">
        <v>348</v>
      </c>
      <c r="K72" s="1329" t="s">
        <v>1629</v>
      </c>
      <c r="L72" s="1329" t="s">
        <v>358</v>
      </c>
      <c r="M72" s="1352">
        <v>2502704</v>
      </c>
      <c r="N72" s="1329">
        <v>1</v>
      </c>
    </row>
    <row r="73" spans="1:14">
      <c r="E73" s="1306">
        <f>SUM(E58:E72)</f>
        <v>580163</v>
      </c>
      <c r="L73" s="967">
        <f>COUNT(E58:E72)</f>
        <v>15</v>
      </c>
      <c r="M73" s="123">
        <f>SUM(M58:M72)</f>
        <v>99015040</v>
      </c>
    </row>
    <row r="76" spans="1:14" s="1267" customFormat="1" ht="45">
      <c r="A76" s="1328" t="s">
        <v>1651</v>
      </c>
      <c r="B76" s="1267" t="s">
        <v>1650</v>
      </c>
      <c r="D76" s="1324" t="s">
        <v>1649</v>
      </c>
      <c r="E76" s="1327" t="s">
        <v>25</v>
      </c>
      <c r="F76" s="1324" t="s">
        <v>1648</v>
      </c>
      <c r="G76" s="1324" t="s">
        <v>1647</v>
      </c>
      <c r="H76" s="1326" t="s">
        <v>1646</v>
      </c>
      <c r="I76" s="1326" t="s">
        <v>1645</v>
      </c>
      <c r="J76" s="1324" t="s">
        <v>537</v>
      </c>
      <c r="K76" s="1324" t="s">
        <v>1644</v>
      </c>
      <c r="L76" s="1324" t="s">
        <v>1643</v>
      </c>
      <c r="M76" s="1325" t="s">
        <v>1642</v>
      </c>
      <c r="N76" s="1324" t="s">
        <v>1705</v>
      </c>
    </row>
    <row r="77" spans="1:14" s="827" customFormat="1">
      <c r="A77" s="1336"/>
      <c r="B77" s="1335" t="s">
        <v>1956</v>
      </c>
      <c r="C77" s="1335"/>
      <c r="D77" s="1332"/>
      <c r="E77" s="1334"/>
      <c r="F77" s="1332"/>
      <c r="G77" s="1332"/>
      <c r="H77" s="1332"/>
      <c r="I77" s="1332"/>
      <c r="J77" s="1332"/>
      <c r="K77" s="1332"/>
      <c r="L77" s="1332"/>
      <c r="M77" s="1333"/>
      <c r="N77" s="1332"/>
    </row>
    <row r="78" spans="1:14" s="1308" customFormat="1">
      <c r="A78" s="1351" t="s">
        <v>1955</v>
      </c>
      <c r="B78" s="1308" t="s">
        <v>1954</v>
      </c>
      <c r="C78" s="1308" t="s">
        <v>1953</v>
      </c>
      <c r="D78" s="1340">
        <v>0</v>
      </c>
      <c r="E78" s="1350">
        <v>8000</v>
      </c>
      <c r="F78" s="1340">
        <v>1920</v>
      </c>
      <c r="G78" s="1340">
        <v>1975</v>
      </c>
      <c r="H78" s="1340">
        <f t="shared" ref="H78:H83" si="2">MAX(G78,F78)</f>
        <v>1975</v>
      </c>
      <c r="I78" s="1340"/>
      <c r="J78" s="1340" t="s">
        <v>348</v>
      </c>
      <c r="K78" s="1340" t="s">
        <v>1622</v>
      </c>
      <c r="L78" s="1340" t="s">
        <v>322</v>
      </c>
      <c r="M78" s="1349">
        <v>1065941</v>
      </c>
      <c r="N78" s="1340">
        <v>1</v>
      </c>
    </row>
    <row r="79" spans="1:14" s="1308" customFormat="1">
      <c r="A79" s="1351" t="s">
        <v>1952</v>
      </c>
      <c r="B79" s="1308" t="s">
        <v>1951</v>
      </c>
      <c r="C79" s="1308" t="s">
        <v>1950</v>
      </c>
      <c r="D79" s="1340">
        <v>0</v>
      </c>
      <c r="E79" s="1350">
        <v>1400</v>
      </c>
      <c r="F79" s="1340">
        <v>1920</v>
      </c>
      <c r="G79" s="1340">
        <v>0</v>
      </c>
      <c r="H79" s="1340">
        <f t="shared" si="2"/>
        <v>1920</v>
      </c>
      <c r="I79" s="1340"/>
      <c r="J79" s="1340" t="s">
        <v>113</v>
      </c>
      <c r="K79" s="1340" t="s">
        <v>1622</v>
      </c>
      <c r="L79" s="1340" t="s">
        <v>322</v>
      </c>
      <c r="M79" s="1349">
        <v>338873</v>
      </c>
      <c r="N79" s="1340">
        <v>1</v>
      </c>
    </row>
    <row r="80" spans="1:14" s="1308" customFormat="1">
      <c r="A80" s="1351" t="s">
        <v>1949</v>
      </c>
      <c r="B80" s="1308" t="s">
        <v>1948</v>
      </c>
      <c r="C80" s="1308" t="s">
        <v>1947</v>
      </c>
      <c r="D80" s="1340">
        <v>0</v>
      </c>
      <c r="E80" s="1350">
        <v>2800</v>
      </c>
      <c r="F80" s="1340">
        <v>1915</v>
      </c>
      <c r="G80" s="1340">
        <v>0</v>
      </c>
      <c r="H80" s="1340">
        <f t="shared" si="2"/>
        <v>1915</v>
      </c>
      <c r="I80" s="1340"/>
      <c r="J80" s="1340" t="s">
        <v>348</v>
      </c>
      <c r="K80" s="1340" t="s">
        <v>1622</v>
      </c>
      <c r="L80" s="1340" t="s">
        <v>322</v>
      </c>
      <c r="M80" s="1349">
        <v>611176</v>
      </c>
      <c r="N80" s="1340">
        <v>1</v>
      </c>
    </row>
    <row r="81" spans="1:14" s="1308" customFormat="1">
      <c r="A81" s="1351" t="s">
        <v>1946</v>
      </c>
      <c r="B81" s="1308" t="s">
        <v>1945</v>
      </c>
      <c r="C81" s="1308" t="s">
        <v>1944</v>
      </c>
      <c r="D81" s="1340">
        <v>0</v>
      </c>
      <c r="E81" s="1350">
        <v>0</v>
      </c>
      <c r="F81" s="1340">
        <v>0</v>
      </c>
      <c r="G81" s="1340">
        <v>0</v>
      </c>
      <c r="H81" s="1340">
        <f t="shared" si="2"/>
        <v>0</v>
      </c>
      <c r="I81" s="1340"/>
      <c r="J81" s="1340">
        <v>0</v>
      </c>
      <c r="K81" s="1340" t="s">
        <v>1622</v>
      </c>
      <c r="L81" s="1340" t="s">
        <v>322</v>
      </c>
      <c r="M81" s="1308">
        <v>0</v>
      </c>
      <c r="N81" s="1340">
        <v>1</v>
      </c>
    </row>
    <row r="82" spans="1:14" s="1308" customFormat="1">
      <c r="A82" s="1351" t="s">
        <v>1943</v>
      </c>
      <c r="B82" s="1308" t="s">
        <v>1942</v>
      </c>
      <c r="C82" s="1308" t="s">
        <v>1941</v>
      </c>
      <c r="D82" s="1340">
        <v>0</v>
      </c>
      <c r="E82" s="1350">
        <v>145170</v>
      </c>
      <c r="F82" s="1340">
        <v>1989</v>
      </c>
      <c r="G82" s="1340">
        <v>2005</v>
      </c>
      <c r="H82" s="1340">
        <f t="shared" si="2"/>
        <v>2005</v>
      </c>
      <c r="I82" s="1340"/>
      <c r="J82" s="1340">
        <v>0</v>
      </c>
      <c r="K82" s="1340" t="s">
        <v>1706</v>
      </c>
      <c r="L82" s="1340" t="s">
        <v>322</v>
      </c>
      <c r="M82" s="1308">
        <v>0</v>
      </c>
      <c r="N82" s="1340">
        <v>1</v>
      </c>
    </row>
    <row r="83" spans="1:14" s="1337" customFormat="1">
      <c r="A83" s="1342" t="s">
        <v>1940</v>
      </c>
      <c r="B83" s="1339" t="s">
        <v>1939</v>
      </c>
      <c r="C83" s="1339" t="s">
        <v>1938</v>
      </c>
      <c r="D83" s="1338">
        <v>0</v>
      </c>
      <c r="E83" s="1341">
        <v>108880</v>
      </c>
      <c r="F83" s="1338">
        <v>1989</v>
      </c>
      <c r="G83" s="1338">
        <v>2005</v>
      </c>
      <c r="H83" s="1340">
        <f t="shared" si="2"/>
        <v>2005</v>
      </c>
      <c r="I83" s="1340"/>
      <c r="J83" s="1338">
        <v>0</v>
      </c>
      <c r="K83" s="1338" t="s">
        <v>1706</v>
      </c>
      <c r="L83" s="1338" t="s">
        <v>322</v>
      </c>
      <c r="M83" s="1339">
        <v>0</v>
      </c>
      <c r="N83" s="1338">
        <v>1</v>
      </c>
    </row>
    <row r="84" spans="1:14">
      <c r="A84" s="1309"/>
      <c r="E84" s="1306">
        <f>SUM(E78:E83)</f>
        <v>266250</v>
      </c>
      <c r="L84" s="967">
        <f>COUNT(E78:E83)</f>
        <v>6</v>
      </c>
      <c r="M84" s="123">
        <f>SUM(M78:M83)</f>
        <v>2015990</v>
      </c>
    </row>
    <row r="85" spans="1:14">
      <c r="A85" s="1309"/>
    </row>
    <row r="86" spans="1:14">
      <c r="A86" s="1309"/>
    </row>
    <row r="87" spans="1:14" s="1267" customFormat="1" ht="45">
      <c r="A87" s="1328" t="s">
        <v>1651</v>
      </c>
      <c r="B87" s="1267" t="s">
        <v>1650</v>
      </c>
      <c r="D87" s="1324" t="s">
        <v>1649</v>
      </c>
      <c r="E87" s="1327" t="s">
        <v>25</v>
      </c>
      <c r="F87" s="1324" t="s">
        <v>1648</v>
      </c>
      <c r="G87" s="1324" t="s">
        <v>1647</v>
      </c>
      <c r="H87" s="1326" t="s">
        <v>1646</v>
      </c>
      <c r="I87" s="1326" t="s">
        <v>1645</v>
      </c>
      <c r="J87" s="1324" t="s">
        <v>537</v>
      </c>
      <c r="K87" s="1324" t="s">
        <v>1644</v>
      </c>
      <c r="L87" s="1324" t="s">
        <v>1643</v>
      </c>
      <c r="M87" s="1325" t="s">
        <v>1642</v>
      </c>
      <c r="N87" s="1324" t="s">
        <v>1705</v>
      </c>
    </row>
    <row r="88" spans="1:14" s="827" customFormat="1">
      <c r="A88" s="1336"/>
      <c r="B88" s="1335" t="s">
        <v>1937</v>
      </c>
      <c r="C88" s="1335"/>
      <c r="D88" s="1332"/>
      <c r="E88" s="1334"/>
      <c r="F88" s="1332"/>
      <c r="G88" s="1332"/>
      <c r="H88" s="1332"/>
      <c r="I88" s="1332"/>
      <c r="J88" s="1332"/>
      <c r="K88" s="1332"/>
      <c r="L88" s="1332"/>
      <c r="M88" s="1333"/>
      <c r="N88" s="1332"/>
    </row>
    <row r="89" spans="1:14" s="1308" customFormat="1">
      <c r="A89" s="1351" t="s">
        <v>1936</v>
      </c>
      <c r="B89" s="1308" t="s">
        <v>1935</v>
      </c>
      <c r="C89" s="1308" t="s">
        <v>1934</v>
      </c>
      <c r="D89" s="1340">
        <v>0</v>
      </c>
      <c r="E89" s="1350">
        <v>1096</v>
      </c>
      <c r="F89" s="1340">
        <v>0</v>
      </c>
      <c r="G89" s="1340">
        <v>0</v>
      </c>
      <c r="H89" s="1340">
        <f t="shared" ref="H89:H105" si="3">MAX(G89,F89)</f>
        <v>0</v>
      </c>
      <c r="I89" s="1340"/>
      <c r="J89" s="1340" t="s">
        <v>348</v>
      </c>
      <c r="K89" s="1340" t="s">
        <v>1622</v>
      </c>
      <c r="L89" s="1340" t="s">
        <v>1885</v>
      </c>
      <c r="M89" s="1308">
        <v>0</v>
      </c>
      <c r="N89" s="1340">
        <v>1</v>
      </c>
    </row>
    <row r="90" spans="1:14" s="1308" customFormat="1">
      <c r="A90" s="1351" t="s">
        <v>1933</v>
      </c>
      <c r="B90" s="1308" t="s">
        <v>1932</v>
      </c>
      <c r="C90" s="1308" t="s">
        <v>1931</v>
      </c>
      <c r="D90" s="1340">
        <v>6</v>
      </c>
      <c r="E90" s="1350">
        <v>8844</v>
      </c>
      <c r="F90" s="1340">
        <v>0</v>
      </c>
      <c r="G90" s="1340">
        <v>0</v>
      </c>
      <c r="H90" s="1340">
        <f t="shared" si="3"/>
        <v>0</v>
      </c>
      <c r="I90" s="1340"/>
      <c r="J90" s="1340" t="s">
        <v>113</v>
      </c>
      <c r="K90" s="1340" t="s">
        <v>1622</v>
      </c>
      <c r="L90" s="1340" t="s">
        <v>1885</v>
      </c>
      <c r="M90" s="1349">
        <v>2468244</v>
      </c>
      <c r="N90" s="1340">
        <v>1</v>
      </c>
    </row>
    <row r="91" spans="1:14" s="1308" customFormat="1">
      <c r="A91" s="1351" t="s">
        <v>1930</v>
      </c>
      <c r="B91" s="1308" t="s">
        <v>1929</v>
      </c>
      <c r="C91" s="1308" t="s">
        <v>1928</v>
      </c>
      <c r="D91" s="1340">
        <v>0</v>
      </c>
      <c r="E91" s="1350">
        <v>2000</v>
      </c>
      <c r="F91" s="1340">
        <v>1926</v>
      </c>
      <c r="G91" s="1340">
        <v>1981</v>
      </c>
      <c r="H91" s="1340">
        <f t="shared" si="3"/>
        <v>1981</v>
      </c>
      <c r="I91" s="1340"/>
      <c r="J91" s="1340" t="s">
        <v>113</v>
      </c>
      <c r="K91" s="1340" t="s">
        <v>1622</v>
      </c>
      <c r="L91" s="1340" t="s">
        <v>1885</v>
      </c>
      <c r="M91" s="1308">
        <v>220887</v>
      </c>
      <c r="N91" s="1340">
        <v>1</v>
      </c>
    </row>
    <row r="92" spans="1:14" s="1308" customFormat="1">
      <c r="A92" s="1351" t="s">
        <v>1927</v>
      </c>
      <c r="B92" s="1308" t="s">
        <v>1926</v>
      </c>
      <c r="C92" s="1308" t="s">
        <v>1925</v>
      </c>
      <c r="D92" s="1340">
        <v>6</v>
      </c>
      <c r="E92" s="1350">
        <v>14819</v>
      </c>
      <c r="F92" s="1340">
        <v>1968</v>
      </c>
      <c r="G92" s="1340">
        <v>0</v>
      </c>
      <c r="H92" s="1340">
        <f t="shared" si="3"/>
        <v>1968</v>
      </c>
      <c r="I92" s="1340"/>
      <c r="J92" s="1340" t="s">
        <v>113</v>
      </c>
      <c r="K92" s="1340" t="s">
        <v>1622</v>
      </c>
      <c r="L92" s="1340" t="s">
        <v>1885</v>
      </c>
      <c r="M92" s="1349">
        <v>1766782</v>
      </c>
      <c r="N92" s="1340">
        <v>1</v>
      </c>
    </row>
    <row r="93" spans="1:14" s="1308" customFormat="1">
      <c r="A93" s="1351" t="s">
        <v>1924</v>
      </c>
      <c r="B93" s="1308" t="s">
        <v>1923</v>
      </c>
      <c r="C93" s="1308" t="s">
        <v>1922</v>
      </c>
      <c r="D93" s="1340">
        <v>0</v>
      </c>
      <c r="E93" s="1350">
        <v>2500</v>
      </c>
      <c r="F93" s="1340">
        <v>1915</v>
      </c>
      <c r="G93" s="1340">
        <v>1992</v>
      </c>
      <c r="H93" s="1340">
        <f t="shared" si="3"/>
        <v>1992</v>
      </c>
      <c r="I93" s="1340"/>
      <c r="J93" s="1340" t="s">
        <v>348</v>
      </c>
      <c r="K93" s="1340" t="s">
        <v>1622</v>
      </c>
      <c r="L93" s="1340" t="s">
        <v>1885</v>
      </c>
      <c r="M93" s="1349">
        <v>411438</v>
      </c>
      <c r="N93" s="1340">
        <v>1</v>
      </c>
    </row>
    <row r="94" spans="1:14" s="1308" customFormat="1">
      <c r="A94" s="1351" t="s">
        <v>1921</v>
      </c>
      <c r="B94" s="1308" t="s">
        <v>1920</v>
      </c>
      <c r="C94" s="1308" t="s">
        <v>1919</v>
      </c>
      <c r="D94" s="1340">
        <v>0</v>
      </c>
      <c r="E94" s="1350">
        <v>1900</v>
      </c>
      <c r="F94" s="1340">
        <v>1915</v>
      </c>
      <c r="G94" s="1340">
        <v>1991</v>
      </c>
      <c r="H94" s="1340">
        <f t="shared" si="3"/>
        <v>1991</v>
      </c>
      <c r="I94" s="1340"/>
      <c r="J94" s="1340" t="s">
        <v>348</v>
      </c>
      <c r="K94" s="1340" t="s">
        <v>1622</v>
      </c>
      <c r="L94" s="1340" t="s">
        <v>1885</v>
      </c>
      <c r="M94" s="1349">
        <v>289010</v>
      </c>
      <c r="N94" s="1340">
        <v>1</v>
      </c>
    </row>
    <row r="95" spans="1:14" s="1308" customFormat="1">
      <c r="A95" s="1351" t="s">
        <v>1918</v>
      </c>
      <c r="B95" s="1308" t="s">
        <v>1917</v>
      </c>
      <c r="C95" s="1308" t="s">
        <v>1916</v>
      </c>
      <c r="D95" s="1340">
        <v>0</v>
      </c>
      <c r="E95" s="1350">
        <v>1300</v>
      </c>
      <c r="F95" s="1340">
        <v>1915</v>
      </c>
      <c r="G95" s="1340">
        <v>1992</v>
      </c>
      <c r="H95" s="1340">
        <f t="shared" si="3"/>
        <v>1992</v>
      </c>
      <c r="I95" s="1340"/>
      <c r="J95" s="1340" t="s">
        <v>113</v>
      </c>
      <c r="K95" s="1340" t="s">
        <v>1622</v>
      </c>
      <c r="L95" s="1340" t="s">
        <v>1885</v>
      </c>
      <c r="M95" s="1349">
        <v>289010</v>
      </c>
      <c r="N95" s="1340">
        <v>1</v>
      </c>
    </row>
    <row r="96" spans="1:14" s="1308" customFormat="1">
      <c r="A96" s="1351" t="s">
        <v>1915</v>
      </c>
      <c r="B96" s="1308" t="s">
        <v>1914</v>
      </c>
      <c r="C96" s="1308" t="s">
        <v>1913</v>
      </c>
      <c r="D96" s="1340">
        <v>0</v>
      </c>
      <c r="E96" s="1350">
        <v>1700</v>
      </c>
      <c r="F96" s="1340">
        <v>1915</v>
      </c>
      <c r="G96" s="1340">
        <v>1990</v>
      </c>
      <c r="H96" s="1340">
        <f t="shared" si="3"/>
        <v>1990</v>
      </c>
      <c r="I96" s="1340"/>
      <c r="J96" s="1340" t="s">
        <v>348</v>
      </c>
      <c r="K96" s="1340" t="s">
        <v>1622</v>
      </c>
      <c r="L96" s="1340" t="s">
        <v>1885</v>
      </c>
      <c r="M96" s="1349">
        <v>289010</v>
      </c>
      <c r="N96" s="1340">
        <v>1</v>
      </c>
    </row>
    <row r="97" spans="1:14" s="1308" customFormat="1">
      <c r="A97" s="1351" t="s">
        <v>1912</v>
      </c>
      <c r="B97" s="1308" t="s">
        <v>1911</v>
      </c>
      <c r="C97" s="1308" t="s">
        <v>1910</v>
      </c>
      <c r="D97" s="1340">
        <v>0</v>
      </c>
      <c r="E97" s="1350">
        <v>0</v>
      </c>
      <c r="F97" s="1340"/>
      <c r="G97" s="1340"/>
      <c r="H97" s="1340">
        <f t="shared" si="3"/>
        <v>0</v>
      </c>
      <c r="I97" s="1340"/>
      <c r="J97" s="1340"/>
      <c r="K97" s="1340"/>
      <c r="L97" s="1340" t="s">
        <v>1885</v>
      </c>
      <c r="M97" s="1349"/>
      <c r="N97" s="1340">
        <v>1</v>
      </c>
    </row>
    <row r="98" spans="1:14" s="1308" customFormat="1">
      <c r="A98" s="1351" t="s">
        <v>1909</v>
      </c>
      <c r="B98" s="1308" t="s">
        <v>1908</v>
      </c>
      <c r="C98" s="1308" t="s">
        <v>1907</v>
      </c>
      <c r="D98" s="1340">
        <v>0</v>
      </c>
      <c r="E98" s="1350">
        <v>2000</v>
      </c>
      <c r="F98" s="1340">
        <v>1915</v>
      </c>
      <c r="G98" s="1340">
        <v>1997</v>
      </c>
      <c r="H98" s="1340">
        <f t="shared" si="3"/>
        <v>1997</v>
      </c>
      <c r="I98" s="1340"/>
      <c r="J98" s="1340" t="s">
        <v>113</v>
      </c>
      <c r="K98" s="1340" t="s">
        <v>1622</v>
      </c>
      <c r="L98" s="1340" t="s">
        <v>1885</v>
      </c>
      <c r="M98" s="1349">
        <v>95037</v>
      </c>
      <c r="N98" s="1340">
        <v>1</v>
      </c>
    </row>
    <row r="99" spans="1:14" s="1308" customFormat="1">
      <c r="A99" s="1351" t="s">
        <v>1906</v>
      </c>
      <c r="B99" s="1308" t="s">
        <v>1905</v>
      </c>
      <c r="C99" s="1308" t="s">
        <v>1904</v>
      </c>
      <c r="D99" s="1340">
        <v>0</v>
      </c>
      <c r="E99" s="1350">
        <v>0</v>
      </c>
      <c r="F99" s="1340">
        <v>1901</v>
      </c>
      <c r="G99" s="1340">
        <v>1975</v>
      </c>
      <c r="H99" s="1340">
        <f t="shared" si="3"/>
        <v>1975</v>
      </c>
      <c r="I99" s="1340"/>
      <c r="J99" s="1340">
        <v>0</v>
      </c>
      <c r="K99" s="1340" t="s">
        <v>1629</v>
      </c>
      <c r="L99" s="1340" t="s">
        <v>1885</v>
      </c>
      <c r="M99" s="1349">
        <v>3507187</v>
      </c>
      <c r="N99" s="1340">
        <v>1</v>
      </c>
    </row>
    <row r="100" spans="1:14" s="1308" customFormat="1">
      <c r="A100" s="1351" t="s">
        <v>1903</v>
      </c>
      <c r="B100" s="1308" t="s">
        <v>1902</v>
      </c>
      <c r="C100" s="1308" t="s">
        <v>1901</v>
      </c>
      <c r="D100" s="1340">
        <v>0</v>
      </c>
      <c r="E100" s="1350">
        <v>7000</v>
      </c>
      <c r="F100" s="1340">
        <v>1920</v>
      </c>
      <c r="G100" s="1340">
        <v>0</v>
      </c>
      <c r="H100" s="1340">
        <f t="shared" si="3"/>
        <v>1920</v>
      </c>
      <c r="I100" s="1340"/>
      <c r="J100" s="1340" t="s">
        <v>113</v>
      </c>
      <c r="K100" s="1340" t="s">
        <v>1622</v>
      </c>
      <c r="L100" s="1340" t="s">
        <v>1885</v>
      </c>
      <c r="M100" s="1349">
        <v>947351</v>
      </c>
      <c r="N100" s="1340">
        <v>1</v>
      </c>
    </row>
    <row r="101" spans="1:14" s="1308" customFormat="1">
      <c r="A101" s="1351" t="s">
        <v>1900</v>
      </c>
      <c r="B101" s="1308" t="s">
        <v>1899</v>
      </c>
      <c r="C101" s="1308" t="s">
        <v>1898</v>
      </c>
      <c r="D101" s="1340">
        <v>0</v>
      </c>
      <c r="E101" s="1350">
        <v>0</v>
      </c>
      <c r="F101" s="1340">
        <v>0</v>
      </c>
      <c r="G101" s="1340">
        <v>0</v>
      </c>
      <c r="H101" s="1340">
        <f t="shared" si="3"/>
        <v>0</v>
      </c>
      <c r="I101" s="1340"/>
      <c r="J101" s="1340" t="s">
        <v>348</v>
      </c>
      <c r="K101" s="1340" t="s">
        <v>1706</v>
      </c>
      <c r="L101" s="1340" t="s">
        <v>1885</v>
      </c>
      <c r="M101" s="1349">
        <v>1898168</v>
      </c>
      <c r="N101" s="1340">
        <v>1</v>
      </c>
    </row>
    <row r="102" spans="1:14" s="1308" customFormat="1">
      <c r="A102" s="1351" t="s">
        <v>1897</v>
      </c>
      <c r="B102" s="1308" t="s">
        <v>1896</v>
      </c>
      <c r="C102" s="1308" t="s">
        <v>1895</v>
      </c>
      <c r="D102" s="1340">
        <v>0</v>
      </c>
      <c r="E102" s="1350">
        <v>1900</v>
      </c>
      <c r="F102" s="1340">
        <v>1900</v>
      </c>
      <c r="G102" s="1340">
        <v>2002</v>
      </c>
      <c r="H102" s="1340">
        <f t="shared" si="3"/>
        <v>2002</v>
      </c>
      <c r="I102" s="1340"/>
      <c r="J102" s="1340" t="s">
        <v>113</v>
      </c>
      <c r="K102" s="1340" t="s">
        <v>1622</v>
      </c>
      <c r="L102" s="1340" t="s">
        <v>1885</v>
      </c>
      <c r="M102" s="1349">
        <v>172236</v>
      </c>
      <c r="N102" s="1340">
        <v>1</v>
      </c>
    </row>
    <row r="103" spans="1:14" s="1308" customFormat="1">
      <c r="A103" s="1351" t="s">
        <v>1894</v>
      </c>
      <c r="B103" s="1308" t="s">
        <v>1893</v>
      </c>
      <c r="C103" s="1308" t="s">
        <v>1892</v>
      </c>
      <c r="D103" s="1340">
        <v>0</v>
      </c>
      <c r="E103" s="1350">
        <v>2100</v>
      </c>
      <c r="F103" s="1340">
        <v>1910</v>
      </c>
      <c r="G103" s="1340">
        <v>1998</v>
      </c>
      <c r="H103" s="1340">
        <f t="shared" si="3"/>
        <v>1998</v>
      </c>
      <c r="I103" s="1340"/>
      <c r="J103" s="1340" t="s">
        <v>113</v>
      </c>
      <c r="K103" s="1340" t="s">
        <v>1622</v>
      </c>
      <c r="L103" s="1340" t="s">
        <v>1885</v>
      </c>
      <c r="M103" s="1349">
        <v>380143</v>
      </c>
      <c r="N103" s="1340">
        <v>1</v>
      </c>
    </row>
    <row r="104" spans="1:14" s="1308" customFormat="1">
      <c r="A104" s="1351" t="s">
        <v>1891</v>
      </c>
      <c r="B104" s="1308" t="s">
        <v>1890</v>
      </c>
      <c r="C104" s="1308" t="s">
        <v>1889</v>
      </c>
      <c r="D104" s="1340">
        <v>6</v>
      </c>
      <c r="E104" s="1350">
        <v>13726</v>
      </c>
      <c r="F104" s="1340">
        <v>1964</v>
      </c>
      <c r="G104" s="1340">
        <v>0</v>
      </c>
      <c r="H104" s="1340">
        <f t="shared" si="3"/>
        <v>1964</v>
      </c>
      <c r="I104" s="1340"/>
      <c r="J104" s="1340" t="s">
        <v>113</v>
      </c>
      <c r="K104" s="1340" t="s">
        <v>1622</v>
      </c>
      <c r="L104" s="1340" t="s">
        <v>1885</v>
      </c>
      <c r="M104" s="1349">
        <v>2439173</v>
      </c>
      <c r="N104" s="1340">
        <v>1</v>
      </c>
    </row>
    <row r="105" spans="1:14" s="1337" customFormat="1">
      <c r="A105" s="1342" t="s">
        <v>1888</v>
      </c>
      <c r="B105" s="1339" t="s">
        <v>1887</v>
      </c>
      <c r="C105" s="1339" t="s">
        <v>1886</v>
      </c>
      <c r="D105" s="1338">
        <v>0</v>
      </c>
      <c r="E105" s="1341">
        <v>5100</v>
      </c>
      <c r="F105" s="1338">
        <v>1930</v>
      </c>
      <c r="G105" s="1338">
        <v>0</v>
      </c>
      <c r="H105" s="1340">
        <f t="shared" si="3"/>
        <v>1930</v>
      </c>
      <c r="I105" s="1340"/>
      <c r="J105" s="1338">
        <v>0</v>
      </c>
      <c r="K105" s="1338" t="s">
        <v>1622</v>
      </c>
      <c r="L105" s="1338" t="s">
        <v>1885</v>
      </c>
      <c r="M105" s="1348">
        <v>563340</v>
      </c>
      <c r="N105" s="1338">
        <v>1</v>
      </c>
    </row>
    <row r="106" spans="1:14">
      <c r="A106" s="1309"/>
      <c r="E106" s="1306">
        <f>SUM(E89:E105)</f>
        <v>65985</v>
      </c>
      <c r="L106" s="967">
        <f>COUNT(E89:E105)</f>
        <v>17</v>
      </c>
      <c r="M106" s="123">
        <f>SUM(M89:M105)</f>
        <v>15737016</v>
      </c>
    </row>
    <row r="107" spans="1:14">
      <c r="A107" s="1309"/>
      <c r="M107" s="123"/>
    </row>
    <row r="108" spans="1:14">
      <c r="A108" s="1309"/>
      <c r="M108" s="123"/>
    </row>
    <row r="109" spans="1:14" s="1267" customFormat="1" ht="45">
      <c r="A109" s="1328" t="s">
        <v>1651</v>
      </c>
      <c r="B109" s="1267" t="s">
        <v>1650</v>
      </c>
      <c r="D109" s="1324" t="s">
        <v>1649</v>
      </c>
      <c r="E109" s="1327" t="s">
        <v>25</v>
      </c>
      <c r="F109" s="1324" t="s">
        <v>1648</v>
      </c>
      <c r="G109" s="1324" t="s">
        <v>1647</v>
      </c>
      <c r="H109" s="1326" t="s">
        <v>1646</v>
      </c>
      <c r="I109" s="1326" t="s">
        <v>1645</v>
      </c>
      <c r="J109" s="1324" t="s">
        <v>537</v>
      </c>
      <c r="K109" s="1324" t="s">
        <v>1644</v>
      </c>
      <c r="L109" s="1324" t="s">
        <v>1643</v>
      </c>
      <c r="M109" s="1325" t="s">
        <v>1642</v>
      </c>
      <c r="N109" s="1324" t="s">
        <v>1705</v>
      </c>
    </row>
    <row r="110" spans="1:14" s="827" customFormat="1">
      <c r="A110" s="1336"/>
      <c r="B110" s="1335" t="s">
        <v>1884</v>
      </c>
      <c r="C110" s="1335"/>
      <c r="D110" s="1332"/>
      <c r="E110" s="1334"/>
      <c r="F110" s="1332"/>
      <c r="G110" s="1332"/>
      <c r="H110" s="1332"/>
      <c r="I110" s="1332"/>
      <c r="J110" s="1332"/>
      <c r="K110" s="1332"/>
      <c r="L110" s="1332"/>
      <c r="M110" s="1333"/>
      <c r="N110" s="1332"/>
    </row>
    <row r="111" spans="1:14" s="827" customFormat="1">
      <c r="A111" s="1362" t="s">
        <v>1883</v>
      </c>
      <c r="B111" s="827" t="s">
        <v>1882</v>
      </c>
      <c r="C111" s="827" t="s">
        <v>1881</v>
      </c>
      <c r="D111" s="1359">
        <v>6</v>
      </c>
      <c r="E111" s="1361">
        <v>25251</v>
      </c>
      <c r="F111" s="1359">
        <v>1964</v>
      </c>
      <c r="G111" s="1359">
        <v>0</v>
      </c>
      <c r="H111" s="967">
        <f t="shared" ref="H111:H147" si="4">MAX(G111,F111)</f>
        <v>1964</v>
      </c>
      <c r="I111" s="967"/>
      <c r="J111" s="1359" t="s">
        <v>113</v>
      </c>
      <c r="K111" s="1359" t="s">
        <v>1622</v>
      </c>
      <c r="L111" s="1359" t="s">
        <v>342</v>
      </c>
      <c r="M111" s="1360">
        <v>3573203</v>
      </c>
      <c r="N111" s="1359">
        <v>1</v>
      </c>
    </row>
    <row r="112" spans="1:14" s="1308" customFormat="1">
      <c r="A112" s="1351" t="s">
        <v>1880</v>
      </c>
      <c r="B112" s="1308" t="s">
        <v>1879</v>
      </c>
      <c r="C112" s="1308" t="s">
        <v>1878</v>
      </c>
      <c r="D112" s="1340">
        <v>0</v>
      </c>
      <c r="E112" s="1350">
        <v>16000</v>
      </c>
      <c r="F112" s="1340">
        <v>1910</v>
      </c>
      <c r="G112" s="1340">
        <v>0</v>
      </c>
      <c r="H112" s="1340">
        <f t="shared" si="4"/>
        <v>1910</v>
      </c>
      <c r="I112" s="1340"/>
      <c r="J112" s="1340" t="s">
        <v>113</v>
      </c>
      <c r="K112" s="1340" t="s">
        <v>1622</v>
      </c>
      <c r="L112" s="1340" t="s">
        <v>342</v>
      </c>
      <c r="M112" s="1349">
        <v>890967</v>
      </c>
      <c r="N112" s="1340">
        <v>1</v>
      </c>
    </row>
    <row r="113" spans="1:14" s="1308" customFormat="1">
      <c r="A113" s="1351" t="s">
        <v>1877</v>
      </c>
      <c r="B113" s="1308" t="s">
        <v>1876</v>
      </c>
      <c r="C113" s="1308" t="s">
        <v>1875</v>
      </c>
      <c r="D113" s="1340">
        <v>0</v>
      </c>
      <c r="E113" s="1350">
        <v>16000</v>
      </c>
      <c r="F113" s="1340">
        <v>1915</v>
      </c>
      <c r="G113" s="1340">
        <v>0</v>
      </c>
      <c r="H113" s="1340">
        <f t="shared" si="4"/>
        <v>1915</v>
      </c>
      <c r="I113" s="1340"/>
      <c r="J113" s="1340" t="s">
        <v>113</v>
      </c>
      <c r="K113" s="1340" t="s">
        <v>1622</v>
      </c>
      <c r="L113" s="1340" t="s">
        <v>342</v>
      </c>
      <c r="M113" s="1349">
        <v>1293240</v>
      </c>
      <c r="N113" s="1340">
        <v>1</v>
      </c>
    </row>
    <row r="114" spans="1:14" s="1308" customFormat="1">
      <c r="A114" s="1351" t="s">
        <v>1874</v>
      </c>
      <c r="B114" s="1308" t="s">
        <v>1873</v>
      </c>
      <c r="C114" s="1308" t="s">
        <v>1872</v>
      </c>
      <c r="D114" s="1340">
        <v>0</v>
      </c>
      <c r="E114" s="1350">
        <v>9000</v>
      </c>
      <c r="F114" s="1340">
        <v>1905</v>
      </c>
      <c r="G114" s="1340">
        <v>1989</v>
      </c>
      <c r="H114" s="1340">
        <f t="shared" si="4"/>
        <v>1989</v>
      </c>
      <c r="I114" s="1340"/>
      <c r="J114" s="1340" t="s">
        <v>113</v>
      </c>
      <c r="K114" s="1340" t="s">
        <v>1622</v>
      </c>
      <c r="L114" s="1340" t="s">
        <v>342</v>
      </c>
      <c r="M114" s="1349">
        <v>454899</v>
      </c>
      <c r="N114" s="1340">
        <v>1</v>
      </c>
    </row>
    <row r="115" spans="1:14" s="1308" customFormat="1">
      <c r="A115" s="1351" t="s">
        <v>1871</v>
      </c>
      <c r="B115" s="1308" t="s">
        <v>1870</v>
      </c>
      <c r="C115" s="1308" t="s">
        <v>1869</v>
      </c>
      <c r="D115" s="1340">
        <v>0</v>
      </c>
      <c r="E115" s="1350">
        <v>18000</v>
      </c>
      <c r="F115" s="1340">
        <v>1910</v>
      </c>
      <c r="G115" s="1340">
        <v>1989</v>
      </c>
      <c r="H115" s="1340">
        <f t="shared" si="4"/>
        <v>1989</v>
      </c>
      <c r="I115" s="1340"/>
      <c r="J115" s="1340" t="s">
        <v>113</v>
      </c>
      <c r="K115" s="1340" t="s">
        <v>1622</v>
      </c>
      <c r="L115" s="1340" t="s">
        <v>342</v>
      </c>
      <c r="M115" s="1349">
        <v>709100</v>
      </c>
      <c r="N115" s="1340">
        <v>1</v>
      </c>
    </row>
    <row r="116" spans="1:14" s="1308" customFormat="1">
      <c r="A116" s="1351" t="s">
        <v>1868</v>
      </c>
      <c r="B116" s="1308" t="s">
        <v>1867</v>
      </c>
      <c r="C116" s="1308" t="s">
        <v>1866</v>
      </c>
      <c r="D116" s="1340">
        <v>0</v>
      </c>
      <c r="E116" s="1350">
        <v>9000</v>
      </c>
      <c r="F116" s="1340">
        <v>1905</v>
      </c>
      <c r="G116" s="1340">
        <v>1989</v>
      </c>
      <c r="H116" s="1340">
        <f t="shared" si="4"/>
        <v>1989</v>
      </c>
      <c r="I116" s="1340"/>
      <c r="J116" s="1340" t="s">
        <v>113</v>
      </c>
      <c r="K116" s="1340" t="s">
        <v>1622</v>
      </c>
      <c r="L116" s="1340" t="s">
        <v>342</v>
      </c>
      <c r="M116" s="1349">
        <v>1017880</v>
      </c>
      <c r="N116" s="1340">
        <v>1</v>
      </c>
    </row>
    <row r="117" spans="1:14">
      <c r="A117" s="1309" t="s">
        <v>1865</v>
      </c>
      <c r="B117" t="s">
        <v>1864</v>
      </c>
      <c r="C117" t="s">
        <v>1863</v>
      </c>
      <c r="D117" s="967">
        <v>6</v>
      </c>
      <c r="E117" s="1306">
        <v>29490</v>
      </c>
      <c r="F117" s="967">
        <v>1968</v>
      </c>
      <c r="G117" s="967">
        <v>0</v>
      </c>
      <c r="H117" s="967">
        <f t="shared" si="4"/>
        <v>1968</v>
      </c>
      <c r="J117" s="967" t="s">
        <v>348</v>
      </c>
      <c r="K117" s="967" t="s">
        <v>1706</v>
      </c>
      <c r="L117" s="967" t="s">
        <v>342</v>
      </c>
      <c r="M117" s="123">
        <v>3727761</v>
      </c>
      <c r="N117" s="967">
        <v>1</v>
      </c>
    </row>
    <row r="118" spans="1:14">
      <c r="A118" s="1309" t="s">
        <v>1862</v>
      </c>
      <c r="B118" t="s">
        <v>1861</v>
      </c>
      <c r="C118" t="s">
        <v>1860</v>
      </c>
      <c r="D118" s="967">
        <v>6</v>
      </c>
      <c r="E118" s="1306">
        <v>67337</v>
      </c>
      <c r="F118" s="967">
        <v>1967</v>
      </c>
      <c r="G118" s="967">
        <v>1967</v>
      </c>
      <c r="H118" s="967">
        <f t="shared" si="4"/>
        <v>1967</v>
      </c>
      <c r="J118" s="967" t="s">
        <v>113</v>
      </c>
      <c r="K118" s="967" t="s">
        <v>1629</v>
      </c>
      <c r="L118" s="967" t="s">
        <v>342</v>
      </c>
      <c r="M118" s="123">
        <v>10447215</v>
      </c>
      <c r="N118" s="967">
        <v>1</v>
      </c>
    </row>
    <row r="119" spans="1:14">
      <c r="A119" s="1309" t="s">
        <v>1859</v>
      </c>
      <c r="B119" t="s">
        <v>1858</v>
      </c>
      <c r="C119" t="s">
        <v>1857</v>
      </c>
      <c r="D119" s="967">
        <v>6</v>
      </c>
      <c r="E119" s="1306">
        <v>22688</v>
      </c>
      <c r="F119" s="967">
        <v>1964</v>
      </c>
      <c r="G119" s="967">
        <v>1964</v>
      </c>
      <c r="H119" s="967">
        <f t="shared" si="4"/>
        <v>1964</v>
      </c>
      <c r="J119" s="967" t="s">
        <v>113</v>
      </c>
      <c r="K119" s="967" t="s">
        <v>1622</v>
      </c>
      <c r="L119" s="967" t="s">
        <v>342</v>
      </c>
      <c r="M119" s="123">
        <v>2752407</v>
      </c>
      <c r="N119" s="967">
        <v>1</v>
      </c>
    </row>
    <row r="120" spans="1:14">
      <c r="A120" s="1309" t="s">
        <v>1856</v>
      </c>
      <c r="B120" t="s">
        <v>1855</v>
      </c>
      <c r="C120" t="s">
        <v>1854</v>
      </c>
      <c r="D120" s="967">
        <v>6</v>
      </c>
      <c r="E120" s="1306">
        <v>26471</v>
      </c>
      <c r="F120" s="967">
        <v>1961</v>
      </c>
      <c r="G120" s="967">
        <v>1961</v>
      </c>
      <c r="H120" s="967">
        <f t="shared" si="4"/>
        <v>1961</v>
      </c>
      <c r="J120" s="967" t="s">
        <v>113</v>
      </c>
      <c r="K120" s="967" t="s">
        <v>1622</v>
      </c>
      <c r="L120" s="967" t="s">
        <v>342</v>
      </c>
      <c r="M120" s="123">
        <v>2848745</v>
      </c>
      <c r="N120" s="967">
        <v>1</v>
      </c>
    </row>
    <row r="121" spans="1:14">
      <c r="A121" s="1309" t="s">
        <v>1853</v>
      </c>
      <c r="B121" t="s">
        <v>1852</v>
      </c>
      <c r="C121" t="s">
        <v>1851</v>
      </c>
      <c r="D121" s="967">
        <v>6</v>
      </c>
      <c r="E121" s="1306">
        <v>25833</v>
      </c>
      <c r="F121" s="967">
        <v>1964</v>
      </c>
      <c r="G121" s="967">
        <v>1964</v>
      </c>
      <c r="H121" s="967">
        <f t="shared" si="4"/>
        <v>1964</v>
      </c>
      <c r="J121" s="967" t="s">
        <v>348</v>
      </c>
      <c r="K121" s="967" t="s">
        <v>1622</v>
      </c>
      <c r="L121" s="967" t="s">
        <v>342</v>
      </c>
      <c r="M121" s="123">
        <v>3658641</v>
      </c>
      <c r="N121" s="967">
        <v>1</v>
      </c>
    </row>
    <row r="122" spans="1:14">
      <c r="A122" s="1309" t="s">
        <v>1850</v>
      </c>
      <c r="B122" t="s">
        <v>1849</v>
      </c>
      <c r="C122" t="s">
        <v>1848</v>
      </c>
      <c r="D122" s="967">
        <v>6</v>
      </c>
      <c r="E122" s="1306">
        <v>35180</v>
      </c>
      <c r="F122" s="967">
        <v>1968</v>
      </c>
      <c r="G122" s="967">
        <v>1968</v>
      </c>
      <c r="H122" s="967">
        <f t="shared" si="4"/>
        <v>1968</v>
      </c>
      <c r="J122" s="967" t="s">
        <v>113</v>
      </c>
      <c r="K122" s="967" t="s">
        <v>1706</v>
      </c>
      <c r="L122" s="967" t="s">
        <v>342</v>
      </c>
      <c r="M122" s="123">
        <v>5079838</v>
      </c>
      <c r="N122" s="967">
        <v>1</v>
      </c>
    </row>
    <row r="123" spans="1:14">
      <c r="A123" s="1309" t="s">
        <v>1847</v>
      </c>
      <c r="B123" t="s">
        <v>1846</v>
      </c>
      <c r="C123" t="s">
        <v>1845</v>
      </c>
      <c r="D123" s="967">
        <v>6</v>
      </c>
      <c r="E123" s="1306">
        <v>22688</v>
      </c>
      <c r="F123" s="967">
        <v>1964</v>
      </c>
      <c r="G123" s="967">
        <v>1964</v>
      </c>
      <c r="H123" s="967">
        <f t="shared" si="4"/>
        <v>1964</v>
      </c>
      <c r="J123" s="967" t="s">
        <v>113</v>
      </c>
      <c r="K123" s="967" t="s">
        <v>1622</v>
      </c>
      <c r="L123" s="967" t="s">
        <v>342</v>
      </c>
      <c r="M123" s="123">
        <v>2796024</v>
      </c>
      <c r="N123" s="967">
        <v>1</v>
      </c>
    </row>
    <row r="124" spans="1:14">
      <c r="A124" s="1309" t="s">
        <v>1844</v>
      </c>
      <c r="B124" t="s">
        <v>1843</v>
      </c>
      <c r="C124" t="s">
        <v>1842</v>
      </c>
      <c r="D124" s="967">
        <v>6</v>
      </c>
      <c r="E124" s="1306">
        <v>23028</v>
      </c>
      <c r="F124" s="967">
        <v>1964</v>
      </c>
      <c r="G124" s="967">
        <v>1964</v>
      </c>
      <c r="H124" s="967">
        <f t="shared" si="4"/>
        <v>1964</v>
      </c>
      <c r="J124" s="967" t="s">
        <v>113</v>
      </c>
      <c r="K124" s="967" t="s">
        <v>1622</v>
      </c>
      <c r="L124" s="967" t="s">
        <v>342</v>
      </c>
      <c r="M124" s="123">
        <v>3582550</v>
      </c>
      <c r="N124" s="967">
        <v>1</v>
      </c>
    </row>
    <row r="125" spans="1:14">
      <c r="A125" s="1309" t="s">
        <v>1841</v>
      </c>
      <c r="B125" t="s">
        <v>1840</v>
      </c>
      <c r="C125" t="s">
        <v>1839</v>
      </c>
      <c r="D125" s="967">
        <v>6</v>
      </c>
      <c r="E125" s="1306">
        <v>35180</v>
      </c>
      <c r="F125" s="967">
        <v>1968</v>
      </c>
      <c r="G125" s="967">
        <v>1968</v>
      </c>
      <c r="H125" s="967">
        <f t="shared" si="4"/>
        <v>1968</v>
      </c>
      <c r="J125" s="967" t="s">
        <v>113</v>
      </c>
      <c r="K125" s="967" t="s">
        <v>1706</v>
      </c>
      <c r="L125" s="967" t="s">
        <v>342</v>
      </c>
      <c r="M125" s="123">
        <v>5097861</v>
      </c>
      <c r="N125" s="967">
        <v>1</v>
      </c>
    </row>
    <row r="126" spans="1:14">
      <c r="A126" s="1309" t="s">
        <v>1838</v>
      </c>
      <c r="B126" t="s">
        <v>1837</v>
      </c>
      <c r="C126" t="s">
        <v>1836</v>
      </c>
      <c r="D126" s="967">
        <v>6</v>
      </c>
      <c r="E126" s="1306">
        <v>36454</v>
      </c>
      <c r="F126" s="967">
        <v>1964</v>
      </c>
      <c r="G126" s="967">
        <v>1964</v>
      </c>
      <c r="H126" s="967">
        <f t="shared" si="4"/>
        <v>1964</v>
      </c>
      <c r="J126" s="967" t="s">
        <v>348</v>
      </c>
      <c r="K126" s="967" t="s">
        <v>1629</v>
      </c>
      <c r="L126" s="967" t="s">
        <v>342</v>
      </c>
      <c r="M126" s="123">
        <v>5368196</v>
      </c>
      <c r="N126" s="967">
        <v>1</v>
      </c>
    </row>
    <row r="127" spans="1:14">
      <c r="A127" s="1309" t="s">
        <v>1835</v>
      </c>
      <c r="B127" t="s">
        <v>1834</v>
      </c>
      <c r="C127" t="s">
        <v>1833</v>
      </c>
      <c r="D127" s="967">
        <v>6</v>
      </c>
      <c r="E127" s="1306">
        <v>35180</v>
      </c>
      <c r="F127" s="967">
        <v>1968</v>
      </c>
      <c r="G127" s="967">
        <v>1968</v>
      </c>
      <c r="H127" s="967">
        <f t="shared" si="4"/>
        <v>1968</v>
      </c>
      <c r="J127" s="967" t="s">
        <v>113</v>
      </c>
      <c r="K127" s="967" t="s">
        <v>1706</v>
      </c>
      <c r="L127" s="967" t="s">
        <v>342</v>
      </c>
      <c r="M127" s="123">
        <v>4979966</v>
      </c>
      <c r="N127" s="967">
        <v>1</v>
      </c>
    </row>
    <row r="128" spans="1:14">
      <c r="A128" s="1309" t="s">
        <v>1832</v>
      </c>
      <c r="B128" t="s">
        <v>1831</v>
      </c>
      <c r="C128" t="s">
        <v>1830</v>
      </c>
      <c r="D128" s="967">
        <v>0</v>
      </c>
      <c r="E128" s="1306">
        <v>38054</v>
      </c>
      <c r="F128" s="967">
        <v>2005</v>
      </c>
      <c r="G128" s="967">
        <v>2005</v>
      </c>
      <c r="H128" s="967">
        <f t="shared" si="4"/>
        <v>2005</v>
      </c>
      <c r="J128" s="967" t="s">
        <v>348</v>
      </c>
      <c r="K128" s="967" t="s">
        <v>1629</v>
      </c>
      <c r="L128" s="967" t="s">
        <v>342</v>
      </c>
      <c r="M128">
        <v>0</v>
      </c>
      <c r="N128" s="967">
        <v>1</v>
      </c>
    </row>
    <row r="129" spans="1:14">
      <c r="A129" s="1309" t="s">
        <v>1829</v>
      </c>
      <c r="B129" t="s">
        <v>1828</v>
      </c>
      <c r="C129" t="s">
        <v>1827</v>
      </c>
      <c r="D129" s="967">
        <v>0</v>
      </c>
      <c r="E129" s="1306">
        <v>60683</v>
      </c>
      <c r="F129" s="967">
        <v>2005</v>
      </c>
      <c r="G129" s="967">
        <v>2005</v>
      </c>
      <c r="H129" s="967">
        <f t="shared" si="4"/>
        <v>2005</v>
      </c>
      <c r="J129" s="967" t="s">
        <v>348</v>
      </c>
      <c r="K129" s="967" t="s">
        <v>1629</v>
      </c>
      <c r="L129" s="967" t="s">
        <v>342</v>
      </c>
      <c r="M129">
        <v>0</v>
      </c>
      <c r="N129" s="967">
        <v>1</v>
      </c>
    </row>
    <row r="130" spans="1:14">
      <c r="A130" s="1309" t="s">
        <v>1826</v>
      </c>
      <c r="B130" t="s">
        <v>1825</v>
      </c>
      <c r="C130" t="s">
        <v>1824</v>
      </c>
      <c r="D130" s="967">
        <v>0</v>
      </c>
      <c r="E130" s="1306">
        <v>38508</v>
      </c>
      <c r="F130" s="967">
        <v>2005</v>
      </c>
      <c r="G130" s="967">
        <v>2005</v>
      </c>
      <c r="H130" s="967">
        <f t="shared" si="4"/>
        <v>2005</v>
      </c>
      <c r="J130" s="967" t="s">
        <v>348</v>
      </c>
      <c r="K130" s="967" t="s">
        <v>1629</v>
      </c>
      <c r="L130" s="967" t="s">
        <v>342</v>
      </c>
      <c r="M130">
        <v>0</v>
      </c>
      <c r="N130" s="967">
        <v>1</v>
      </c>
    </row>
    <row r="131" spans="1:14">
      <c r="A131" s="1309" t="s">
        <v>1823</v>
      </c>
      <c r="B131" t="s">
        <v>1822</v>
      </c>
      <c r="C131" t="s">
        <v>1821</v>
      </c>
      <c r="D131" s="967">
        <v>0</v>
      </c>
      <c r="E131" s="1306">
        <v>43172</v>
      </c>
      <c r="F131" s="967">
        <v>2005</v>
      </c>
      <c r="G131" s="967">
        <v>2005</v>
      </c>
      <c r="H131" s="967">
        <f t="shared" si="4"/>
        <v>2005</v>
      </c>
      <c r="J131" s="967" t="s">
        <v>348</v>
      </c>
      <c r="K131" s="967" t="s">
        <v>1629</v>
      </c>
      <c r="L131" s="967" t="s">
        <v>342</v>
      </c>
      <c r="M131">
        <v>0</v>
      </c>
      <c r="N131" s="967">
        <v>1</v>
      </c>
    </row>
    <row r="132" spans="1:14">
      <c r="A132" s="1309" t="s">
        <v>1820</v>
      </c>
      <c r="B132" t="s">
        <v>1819</v>
      </c>
      <c r="C132" t="s">
        <v>1818</v>
      </c>
      <c r="D132" s="967">
        <v>0</v>
      </c>
      <c r="E132" s="1306">
        <v>48089</v>
      </c>
      <c r="F132" s="967">
        <v>2005</v>
      </c>
      <c r="G132" s="967">
        <v>2005</v>
      </c>
      <c r="H132" s="967">
        <f t="shared" si="4"/>
        <v>2005</v>
      </c>
      <c r="J132" s="967" t="s">
        <v>348</v>
      </c>
      <c r="K132" s="967" t="s">
        <v>1629</v>
      </c>
      <c r="L132" s="967" t="s">
        <v>342</v>
      </c>
      <c r="M132">
        <v>0</v>
      </c>
      <c r="N132" s="967">
        <v>1</v>
      </c>
    </row>
    <row r="133" spans="1:14">
      <c r="A133" s="1309" t="s">
        <v>1817</v>
      </c>
      <c r="B133" t="s">
        <v>1816</v>
      </c>
      <c r="C133" t="s">
        <v>1815</v>
      </c>
      <c r="D133" s="967">
        <v>0</v>
      </c>
      <c r="E133" s="1306">
        <v>59597</v>
      </c>
      <c r="F133" s="967">
        <v>2005</v>
      </c>
      <c r="G133" s="967">
        <v>2005</v>
      </c>
      <c r="H133" s="967">
        <f t="shared" si="4"/>
        <v>2005</v>
      </c>
      <c r="J133" s="967" t="s">
        <v>348</v>
      </c>
      <c r="K133" s="967" t="s">
        <v>1629</v>
      </c>
      <c r="L133" s="967" t="s">
        <v>342</v>
      </c>
      <c r="M133">
        <v>0</v>
      </c>
      <c r="N133" s="967">
        <v>1</v>
      </c>
    </row>
    <row r="134" spans="1:14">
      <c r="A134" s="1309" t="s">
        <v>1814</v>
      </c>
      <c r="B134" t="s">
        <v>1813</v>
      </c>
      <c r="C134" t="s">
        <v>1812</v>
      </c>
      <c r="D134" s="967">
        <v>0</v>
      </c>
      <c r="E134" s="1306">
        <v>55293</v>
      </c>
      <c r="F134" s="967">
        <v>2005</v>
      </c>
      <c r="G134" s="967">
        <v>2005</v>
      </c>
      <c r="H134" s="967">
        <f t="shared" si="4"/>
        <v>2005</v>
      </c>
      <c r="J134" s="967" t="s">
        <v>348</v>
      </c>
      <c r="K134" s="967" t="s">
        <v>1629</v>
      </c>
      <c r="L134" s="967" t="s">
        <v>342</v>
      </c>
      <c r="M134">
        <v>0</v>
      </c>
      <c r="N134" s="967">
        <v>1</v>
      </c>
    </row>
    <row r="135" spans="1:14">
      <c r="A135" s="1309" t="s">
        <v>1811</v>
      </c>
      <c r="B135" t="s">
        <v>1810</v>
      </c>
      <c r="C135" t="s">
        <v>1809</v>
      </c>
      <c r="D135" s="967">
        <v>0</v>
      </c>
      <c r="E135" s="1306">
        <v>78526</v>
      </c>
      <c r="F135" s="967">
        <v>2005</v>
      </c>
      <c r="G135" s="967">
        <v>2005</v>
      </c>
      <c r="H135" s="967">
        <f t="shared" si="4"/>
        <v>2005</v>
      </c>
      <c r="J135" s="967" t="s">
        <v>348</v>
      </c>
      <c r="K135" s="967" t="s">
        <v>1629</v>
      </c>
      <c r="L135" s="967" t="s">
        <v>342</v>
      </c>
      <c r="M135">
        <v>0</v>
      </c>
      <c r="N135" s="967">
        <v>1</v>
      </c>
    </row>
    <row r="136" spans="1:14">
      <c r="A136" s="1309" t="s">
        <v>1808</v>
      </c>
      <c r="B136" t="s">
        <v>1807</v>
      </c>
      <c r="C136" t="s">
        <v>1806</v>
      </c>
      <c r="D136" s="967">
        <v>6</v>
      </c>
      <c r="E136" s="1306">
        <v>24714</v>
      </c>
      <c r="F136" s="967">
        <v>1965</v>
      </c>
      <c r="G136" s="967">
        <v>1965</v>
      </c>
      <c r="H136" s="967">
        <f t="shared" si="4"/>
        <v>1965</v>
      </c>
      <c r="J136" s="967" t="s">
        <v>113</v>
      </c>
      <c r="K136" s="967" t="s">
        <v>1622</v>
      </c>
      <c r="L136" s="967" t="s">
        <v>342</v>
      </c>
      <c r="M136" s="123">
        <v>3204607</v>
      </c>
      <c r="N136" s="967">
        <v>1</v>
      </c>
    </row>
    <row r="137" spans="1:14">
      <c r="A137" s="1309" t="s">
        <v>1805</v>
      </c>
      <c r="B137" t="s">
        <v>1804</v>
      </c>
      <c r="C137" t="s">
        <v>1803</v>
      </c>
      <c r="D137" s="967">
        <v>6</v>
      </c>
      <c r="E137" s="1306">
        <v>22688</v>
      </c>
      <c r="F137" s="967">
        <v>1964</v>
      </c>
      <c r="G137" s="967">
        <v>1964</v>
      </c>
      <c r="H137" s="967">
        <f t="shared" si="4"/>
        <v>1964</v>
      </c>
      <c r="J137" s="967" t="s">
        <v>113</v>
      </c>
      <c r="K137" s="967" t="s">
        <v>1622</v>
      </c>
      <c r="L137" s="967" t="s">
        <v>342</v>
      </c>
      <c r="M137" s="123">
        <v>2778512</v>
      </c>
      <c r="N137" s="967">
        <v>1</v>
      </c>
    </row>
    <row r="138" spans="1:14">
      <c r="A138" s="1309" t="s">
        <v>1802</v>
      </c>
      <c r="B138" t="s">
        <v>1801</v>
      </c>
      <c r="C138" t="s">
        <v>1800</v>
      </c>
      <c r="D138" s="967">
        <v>6</v>
      </c>
      <c r="E138" s="1306">
        <v>24714</v>
      </c>
      <c r="F138" s="967">
        <v>1965</v>
      </c>
      <c r="G138" s="967">
        <v>1965</v>
      </c>
      <c r="H138" s="967">
        <f t="shared" si="4"/>
        <v>1965</v>
      </c>
      <c r="J138" s="967" t="s">
        <v>113</v>
      </c>
      <c r="K138" s="967" t="s">
        <v>1622</v>
      </c>
      <c r="L138" s="967" t="s">
        <v>342</v>
      </c>
      <c r="M138" s="123">
        <v>3178817</v>
      </c>
      <c r="N138" s="967">
        <v>1</v>
      </c>
    </row>
    <row r="139" spans="1:14">
      <c r="A139" s="1309" t="s">
        <v>1799</v>
      </c>
      <c r="B139" t="s">
        <v>1798</v>
      </c>
      <c r="C139" t="s">
        <v>1797</v>
      </c>
      <c r="D139" s="967">
        <v>6</v>
      </c>
      <c r="E139" s="1306">
        <v>24714</v>
      </c>
      <c r="F139" s="967">
        <v>1965</v>
      </c>
      <c r="G139" s="967">
        <v>1965</v>
      </c>
      <c r="H139" s="967">
        <f t="shared" si="4"/>
        <v>1965</v>
      </c>
      <c r="J139" s="967" t="s">
        <v>113</v>
      </c>
      <c r="K139" s="967" t="s">
        <v>1622</v>
      </c>
      <c r="L139" s="967" t="s">
        <v>342</v>
      </c>
      <c r="M139" s="123">
        <v>3115524</v>
      </c>
      <c r="N139" s="967">
        <v>1</v>
      </c>
    </row>
    <row r="140" spans="1:14">
      <c r="A140" s="1309" t="s">
        <v>1796</v>
      </c>
      <c r="B140" t="s">
        <v>1795</v>
      </c>
      <c r="C140" t="s">
        <v>1794</v>
      </c>
      <c r="D140" s="967">
        <v>6</v>
      </c>
      <c r="E140" s="1306">
        <v>26471</v>
      </c>
      <c r="F140" s="967">
        <v>1961</v>
      </c>
      <c r="G140" s="967">
        <v>1961</v>
      </c>
      <c r="H140" s="967">
        <f t="shared" si="4"/>
        <v>1961</v>
      </c>
      <c r="J140" s="967" t="s">
        <v>113</v>
      </c>
      <c r="K140" s="967" t="s">
        <v>1622</v>
      </c>
      <c r="L140" s="967" t="s">
        <v>342</v>
      </c>
      <c r="M140" s="123">
        <v>2603586</v>
      </c>
      <c r="N140" s="967">
        <v>1</v>
      </c>
    </row>
    <row r="141" spans="1:14">
      <c r="A141" s="1309" t="s">
        <v>1793</v>
      </c>
      <c r="B141" t="s">
        <v>1792</v>
      </c>
      <c r="C141" t="s">
        <v>1791</v>
      </c>
      <c r="D141" s="967">
        <v>6</v>
      </c>
      <c r="E141" s="1306">
        <v>23028</v>
      </c>
      <c r="F141" s="967">
        <v>1964</v>
      </c>
      <c r="G141" s="967">
        <v>0</v>
      </c>
      <c r="H141" s="967">
        <f t="shared" si="4"/>
        <v>1964</v>
      </c>
      <c r="J141" s="967" t="s">
        <v>113</v>
      </c>
      <c r="K141" s="967" t="s">
        <v>1706</v>
      </c>
      <c r="L141" s="967" t="s">
        <v>342</v>
      </c>
      <c r="M141" s="123">
        <v>3594412</v>
      </c>
      <c r="N141" s="967">
        <v>1</v>
      </c>
    </row>
    <row r="142" spans="1:14">
      <c r="A142" s="1309" t="s">
        <v>1790</v>
      </c>
      <c r="B142" t="s">
        <v>1789</v>
      </c>
      <c r="C142" t="s">
        <v>1788</v>
      </c>
      <c r="D142" s="967">
        <v>6</v>
      </c>
      <c r="E142" s="1306">
        <v>22688</v>
      </c>
      <c r="F142" s="967">
        <v>1964</v>
      </c>
      <c r="G142" s="967">
        <v>1964</v>
      </c>
      <c r="H142" s="967">
        <f t="shared" si="4"/>
        <v>1964</v>
      </c>
      <c r="J142" s="967" t="s">
        <v>113</v>
      </c>
      <c r="K142" s="967" t="s">
        <v>1622</v>
      </c>
      <c r="L142" s="967" t="s">
        <v>342</v>
      </c>
      <c r="M142" s="123">
        <v>2734139</v>
      </c>
      <c r="N142" s="967">
        <v>1</v>
      </c>
    </row>
    <row r="143" spans="1:14">
      <c r="A143" s="1309" t="s">
        <v>1787</v>
      </c>
      <c r="B143" t="s">
        <v>1786</v>
      </c>
      <c r="C143" t="s">
        <v>1785</v>
      </c>
      <c r="D143" s="967">
        <v>6</v>
      </c>
      <c r="E143" s="1306">
        <v>26471</v>
      </c>
      <c r="F143" s="967">
        <v>1961</v>
      </c>
      <c r="G143" s="967">
        <v>1961</v>
      </c>
      <c r="H143" s="967">
        <f t="shared" si="4"/>
        <v>1961</v>
      </c>
      <c r="J143" s="967" t="s">
        <v>113</v>
      </c>
      <c r="K143" s="967" t="s">
        <v>1622</v>
      </c>
      <c r="L143" s="967" t="s">
        <v>342</v>
      </c>
      <c r="M143" s="123">
        <v>2608243</v>
      </c>
      <c r="N143" s="967">
        <v>1</v>
      </c>
    </row>
    <row r="144" spans="1:14">
      <c r="A144" s="1309" t="s">
        <v>1784</v>
      </c>
      <c r="B144" t="s">
        <v>1783</v>
      </c>
      <c r="C144" t="s">
        <v>1782</v>
      </c>
      <c r="D144" s="967">
        <v>6</v>
      </c>
      <c r="E144" s="1306">
        <v>26471</v>
      </c>
      <c r="F144" s="967">
        <v>1961</v>
      </c>
      <c r="G144" s="967">
        <v>1961</v>
      </c>
      <c r="H144" s="967">
        <f t="shared" si="4"/>
        <v>1961</v>
      </c>
      <c r="J144" s="967" t="s">
        <v>113</v>
      </c>
      <c r="K144" s="967" t="s">
        <v>1622</v>
      </c>
      <c r="L144" s="967" t="s">
        <v>342</v>
      </c>
      <c r="M144" s="123">
        <v>2594259</v>
      </c>
      <c r="N144" s="967">
        <v>1</v>
      </c>
    </row>
    <row r="145" spans="1:14">
      <c r="A145" s="1309" t="s">
        <v>1781</v>
      </c>
      <c r="B145" t="s">
        <v>1780</v>
      </c>
      <c r="C145" t="s">
        <v>1779</v>
      </c>
      <c r="D145" s="967">
        <v>6</v>
      </c>
      <c r="E145" s="1306">
        <v>24582</v>
      </c>
      <c r="F145" s="967">
        <v>1964</v>
      </c>
      <c r="G145" s="967">
        <v>1964</v>
      </c>
      <c r="H145" s="967">
        <f t="shared" si="4"/>
        <v>1964</v>
      </c>
      <c r="J145" s="967">
        <v>0</v>
      </c>
      <c r="K145" s="967" t="s">
        <v>1706</v>
      </c>
      <c r="L145" s="967" t="s">
        <v>342</v>
      </c>
      <c r="M145" s="123">
        <v>3548896</v>
      </c>
      <c r="N145" s="967">
        <v>1</v>
      </c>
    </row>
    <row r="146" spans="1:14">
      <c r="A146" s="1309" t="s">
        <v>1778</v>
      </c>
      <c r="B146" t="s">
        <v>1777</v>
      </c>
      <c r="C146" t="s">
        <v>1776</v>
      </c>
      <c r="D146" s="967">
        <v>6</v>
      </c>
      <c r="E146" s="1306">
        <v>24714</v>
      </c>
      <c r="F146" s="967">
        <v>1965</v>
      </c>
      <c r="G146" s="967">
        <v>1965</v>
      </c>
      <c r="H146" s="967">
        <f t="shared" si="4"/>
        <v>1965</v>
      </c>
      <c r="J146" s="967" t="s">
        <v>113</v>
      </c>
      <c r="K146" s="967" t="s">
        <v>1622</v>
      </c>
      <c r="L146" s="967" t="s">
        <v>342</v>
      </c>
      <c r="M146" s="123">
        <v>3178817</v>
      </c>
      <c r="N146" s="967">
        <v>1</v>
      </c>
    </row>
    <row r="147" spans="1:14" s="35" customFormat="1">
      <c r="A147" s="1331" t="s">
        <v>1775</v>
      </c>
      <c r="B147" s="1217" t="s">
        <v>811</v>
      </c>
      <c r="C147" s="1217" t="s">
        <v>1774</v>
      </c>
      <c r="D147" s="1329">
        <v>6</v>
      </c>
      <c r="E147" s="1330">
        <v>12997</v>
      </c>
      <c r="F147" s="1329">
        <v>1965</v>
      </c>
      <c r="G147" s="1329">
        <v>1965</v>
      </c>
      <c r="H147" s="967">
        <f t="shared" si="4"/>
        <v>1965</v>
      </c>
      <c r="I147" s="967"/>
      <c r="J147" s="1329" t="s">
        <v>348</v>
      </c>
      <c r="K147" s="1329" t="s">
        <v>1622</v>
      </c>
      <c r="L147" s="1329" t="s">
        <v>342</v>
      </c>
      <c r="M147" s="1352">
        <v>2244053</v>
      </c>
      <c r="N147" s="1329">
        <v>1</v>
      </c>
    </row>
    <row r="148" spans="1:14">
      <c r="A148" s="1309"/>
      <c r="E148" s="1306">
        <f>SUM(E111:E147)</f>
        <v>1158954</v>
      </c>
      <c r="L148" s="967">
        <f>COUNT(E111:E147)</f>
        <v>37</v>
      </c>
      <c r="M148" s="123">
        <f>SUM(M111:M147)</f>
        <v>93662358</v>
      </c>
    </row>
    <row r="149" spans="1:14">
      <c r="A149" s="1309"/>
      <c r="M149" s="123"/>
    </row>
    <row r="150" spans="1:14">
      <c r="A150" s="1309"/>
      <c r="M150" s="123"/>
    </row>
    <row r="151" spans="1:14" s="1267" customFormat="1" ht="45">
      <c r="A151" s="1328" t="s">
        <v>1651</v>
      </c>
      <c r="B151" s="1267" t="s">
        <v>1650</v>
      </c>
      <c r="D151" s="1324" t="s">
        <v>1649</v>
      </c>
      <c r="E151" s="1327" t="s">
        <v>25</v>
      </c>
      <c r="F151" s="1324" t="s">
        <v>1648</v>
      </c>
      <c r="G151" s="1324" t="s">
        <v>1647</v>
      </c>
      <c r="H151" s="1326" t="s">
        <v>1646</v>
      </c>
      <c r="I151" s="1326" t="s">
        <v>1645</v>
      </c>
      <c r="J151" s="1324" t="s">
        <v>537</v>
      </c>
      <c r="K151" s="1324" t="s">
        <v>1644</v>
      </c>
      <c r="L151" s="1324" t="s">
        <v>1643</v>
      </c>
      <c r="M151" s="1325" t="s">
        <v>1642</v>
      </c>
      <c r="N151" s="1324" t="s">
        <v>1705</v>
      </c>
    </row>
    <row r="152" spans="1:14" s="827" customFormat="1">
      <c r="A152" s="1336"/>
      <c r="B152" s="1335" t="s">
        <v>1773</v>
      </c>
      <c r="C152" s="1335"/>
      <c r="D152" s="1332"/>
      <c r="E152" s="1334"/>
      <c r="F152" s="1332"/>
      <c r="G152" s="1332"/>
      <c r="H152" s="1332"/>
      <c r="I152" s="1332"/>
      <c r="J152" s="1332"/>
      <c r="K152" s="1332"/>
      <c r="L152" s="1332"/>
      <c r="M152" s="1333"/>
      <c r="N152" s="1332"/>
    </row>
    <row r="153" spans="1:14">
      <c r="A153" s="1344" t="s">
        <v>1772</v>
      </c>
      <c r="B153" s="1216" t="s">
        <v>1771</v>
      </c>
      <c r="C153" s="273" t="s">
        <v>1771</v>
      </c>
      <c r="D153" s="1343">
        <v>0</v>
      </c>
      <c r="E153" s="1358">
        <v>4682</v>
      </c>
      <c r="F153" s="1343">
        <v>1930</v>
      </c>
      <c r="G153" s="1343">
        <v>2003</v>
      </c>
      <c r="H153" s="967">
        <f t="shared" ref="H153:H158" si="5">MAX(G153,F153)</f>
        <v>2003</v>
      </c>
      <c r="J153" s="1343" t="s">
        <v>348</v>
      </c>
      <c r="K153" s="1343" t="s">
        <v>1622</v>
      </c>
      <c r="L153" s="1343" t="s">
        <v>357</v>
      </c>
      <c r="M153" s="1357">
        <v>103342</v>
      </c>
      <c r="N153" s="1343">
        <v>1</v>
      </c>
    </row>
    <row r="154" spans="1:14">
      <c r="A154" s="1309" t="s">
        <v>1770</v>
      </c>
      <c r="B154" t="s">
        <v>1769</v>
      </c>
      <c r="D154" s="967">
        <v>4</v>
      </c>
      <c r="E154" s="1306">
        <v>3886</v>
      </c>
      <c r="F154" s="967">
        <v>1986</v>
      </c>
      <c r="G154" s="967">
        <v>1986</v>
      </c>
      <c r="H154" s="967">
        <f t="shared" si="5"/>
        <v>1986</v>
      </c>
      <c r="J154" s="967" t="s">
        <v>348</v>
      </c>
      <c r="K154" s="967" t="s">
        <v>1622</v>
      </c>
      <c r="L154" s="967" t="s">
        <v>339</v>
      </c>
      <c r="M154" s="123">
        <v>1845316</v>
      </c>
      <c r="N154" s="967">
        <v>1</v>
      </c>
    </row>
    <row r="155" spans="1:14">
      <c r="A155" s="1309" t="s">
        <v>1768</v>
      </c>
      <c r="B155" t="s">
        <v>1767</v>
      </c>
      <c r="D155" s="967">
        <v>0</v>
      </c>
      <c r="E155" s="1306">
        <v>28990</v>
      </c>
      <c r="F155" s="967">
        <v>1987</v>
      </c>
      <c r="G155" s="967">
        <v>1987</v>
      </c>
      <c r="H155" s="967">
        <f t="shared" si="5"/>
        <v>1987</v>
      </c>
      <c r="J155" s="967" t="s">
        <v>348</v>
      </c>
      <c r="K155" s="967" t="s">
        <v>1629</v>
      </c>
      <c r="L155" s="967" t="s">
        <v>339</v>
      </c>
      <c r="M155" s="123">
        <v>1874307</v>
      </c>
      <c r="N155" s="967">
        <v>1</v>
      </c>
    </row>
    <row r="156" spans="1:14">
      <c r="A156" s="1309" t="s">
        <v>1766</v>
      </c>
      <c r="B156" t="s">
        <v>1765</v>
      </c>
      <c r="C156" t="s">
        <v>1764</v>
      </c>
      <c r="D156" s="967">
        <v>0</v>
      </c>
      <c r="E156" s="1306">
        <v>2351</v>
      </c>
      <c r="F156" s="967">
        <v>2003</v>
      </c>
      <c r="G156" s="967">
        <v>2003</v>
      </c>
      <c r="H156" s="967">
        <f t="shared" si="5"/>
        <v>2003</v>
      </c>
      <c r="J156" s="967" t="s">
        <v>348</v>
      </c>
      <c r="K156" s="967" t="s">
        <v>1622</v>
      </c>
      <c r="L156" s="967" t="s">
        <v>339</v>
      </c>
      <c r="M156" s="123">
        <v>524067</v>
      </c>
      <c r="N156" s="967">
        <v>1</v>
      </c>
    </row>
    <row r="157" spans="1:14" s="35" customFormat="1">
      <c r="A157" s="1356" t="s">
        <v>1763</v>
      </c>
      <c r="B157" s="35" t="s">
        <v>1762</v>
      </c>
      <c r="C157" s="35" t="s">
        <v>1761</v>
      </c>
      <c r="D157" s="1248">
        <v>0</v>
      </c>
      <c r="E157" s="1355">
        <v>5500</v>
      </c>
      <c r="F157" s="1248">
        <v>1890</v>
      </c>
      <c r="G157" s="1248">
        <v>0</v>
      </c>
      <c r="H157" s="967">
        <f t="shared" si="5"/>
        <v>1890</v>
      </c>
      <c r="I157" s="967"/>
      <c r="J157" s="1248">
        <v>0</v>
      </c>
      <c r="K157" s="1248" t="s">
        <v>1622</v>
      </c>
      <c r="L157" s="1248" t="s">
        <v>339</v>
      </c>
      <c r="M157" s="1354">
        <v>1813168</v>
      </c>
      <c r="N157" s="1248">
        <v>1</v>
      </c>
    </row>
    <row r="158" spans="1:14" s="35" customFormat="1">
      <c r="A158" s="1331" t="s">
        <v>1760</v>
      </c>
      <c r="B158" s="1353" t="s">
        <v>1759</v>
      </c>
      <c r="C158" s="1318" t="s">
        <v>1759</v>
      </c>
      <c r="D158" s="1329">
        <v>0</v>
      </c>
      <c r="E158" s="1330">
        <v>1860</v>
      </c>
      <c r="F158" s="1329">
        <v>1960</v>
      </c>
      <c r="G158" s="1329">
        <v>2009</v>
      </c>
      <c r="H158" s="967">
        <f t="shared" si="5"/>
        <v>2009</v>
      </c>
      <c r="I158" s="967"/>
      <c r="J158" s="1329"/>
      <c r="K158" s="1329" t="s">
        <v>1622</v>
      </c>
      <c r="L158" s="1329" t="s">
        <v>339</v>
      </c>
      <c r="M158" s="1352"/>
      <c r="N158" s="1329">
        <v>1</v>
      </c>
    </row>
    <row r="159" spans="1:14">
      <c r="A159" s="1309"/>
      <c r="E159" s="1306">
        <f>SUM(E153:E158)</f>
        <v>47269</v>
      </c>
      <c r="L159" s="967">
        <f>COUNT(E153:E158)</f>
        <v>6</v>
      </c>
      <c r="M159" s="123">
        <f>SUM(M153:M158)</f>
        <v>6160200</v>
      </c>
    </row>
    <row r="160" spans="1:14">
      <c r="A160" s="1309"/>
      <c r="M160" s="123"/>
    </row>
    <row r="161" spans="1:14">
      <c r="A161" s="1309"/>
      <c r="M161" s="123"/>
    </row>
    <row r="162" spans="1:14" s="1267" customFormat="1" ht="45">
      <c r="A162" s="1328" t="s">
        <v>1651</v>
      </c>
      <c r="B162" s="1267" t="s">
        <v>1650</v>
      </c>
      <c r="D162" s="1324" t="s">
        <v>1649</v>
      </c>
      <c r="E162" s="1327" t="s">
        <v>25</v>
      </c>
      <c r="F162" s="1324" t="s">
        <v>1648</v>
      </c>
      <c r="G162" s="1324" t="s">
        <v>1647</v>
      </c>
      <c r="H162" s="1326" t="s">
        <v>1646</v>
      </c>
      <c r="I162" s="1326" t="s">
        <v>1645</v>
      </c>
      <c r="J162" s="1324" t="s">
        <v>537</v>
      </c>
      <c r="K162" s="1324" t="s">
        <v>1644</v>
      </c>
      <c r="L162" s="1324" t="s">
        <v>1643</v>
      </c>
      <c r="M162" s="1325" t="s">
        <v>1642</v>
      </c>
      <c r="N162" s="1324" t="s">
        <v>1705</v>
      </c>
    </row>
    <row r="163" spans="1:14" s="827" customFormat="1">
      <c r="A163" s="1336"/>
      <c r="B163" s="1335" t="s">
        <v>1758</v>
      </c>
      <c r="C163" s="1335"/>
      <c r="D163" s="1332"/>
      <c r="E163" s="1334"/>
      <c r="F163" s="1332"/>
      <c r="G163" s="1332"/>
      <c r="H163" s="1332"/>
      <c r="I163" s="1332"/>
      <c r="J163" s="1332"/>
      <c r="K163" s="1332"/>
      <c r="L163" s="1332"/>
      <c r="M163" s="1333"/>
      <c r="N163" s="1332"/>
    </row>
    <row r="164" spans="1:14" s="1308" customFormat="1">
      <c r="A164" s="1351" t="s">
        <v>1757</v>
      </c>
      <c r="B164" s="1308" t="s">
        <v>1756</v>
      </c>
      <c r="C164" s="1308" t="s">
        <v>1755</v>
      </c>
      <c r="D164" s="1340">
        <v>0</v>
      </c>
      <c r="E164" s="1350">
        <v>8750</v>
      </c>
      <c r="F164" s="1340">
        <v>1900</v>
      </c>
      <c r="G164" s="1340">
        <v>1990</v>
      </c>
      <c r="H164" s="1340">
        <f t="shared" ref="H164:H172" si="6">MAX(G164,F164)</f>
        <v>1990</v>
      </c>
      <c r="I164" s="1340"/>
      <c r="J164" s="1340" t="s">
        <v>113</v>
      </c>
      <c r="K164" s="1340" t="s">
        <v>1706</v>
      </c>
      <c r="L164" s="1340" t="s">
        <v>1621</v>
      </c>
      <c r="M164" s="1349">
        <v>1878574</v>
      </c>
      <c r="N164" s="1340">
        <v>1</v>
      </c>
    </row>
    <row r="165" spans="1:14" s="1308" customFormat="1">
      <c r="A165" s="1351" t="s">
        <v>1754</v>
      </c>
      <c r="B165" s="1308" t="s">
        <v>1753</v>
      </c>
      <c r="C165" s="1308" t="s">
        <v>1752</v>
      </c>
      <c r="D165" s="1340">
        <v>6</v>
      </c>
      <c r="E165" s="1350">
        <v>13726</v>
      </c>
      <c r="F165" s="1340">
        <v>1964</v>
      </c>
      <c r="G165" s="1340">
        <v>0</v>
      </c>
      <c r="H165" s="1340">
        <f t="shared" si="6"/>
        <v>1964</v>
      </c>
      <c r="I165" s="1340"/>
      <c r="J165" s="1340" t="s">
        <v>113</v>
      </c>
      <c r="K165" s="1340" t="s">
        <v>1622</v>
      </c>
      <c r="L165" s="1340" t="s">
        <v>1621</v>
      </c>
      <c r="M165" s="1349">
        <v>1762730</v>
      </c>
      <c r="N165" s="1340">
        <v>1</v>
      </c>
    </row>
    <row r="166" spans="1:14" s="1308" customFormat="1">
      <c r="A166" s="1351" t="s">
        <v>1751</v>
      </c>
      <c r="B166" s="1308" t="s">
        <v>1750</v>
      </c>
      <c r="C166" s="1308" t="s">
        <v>1749</v>
      </c>
      <c r="D166" s="1340">
        <v>0</v>
      </c>
      <c r="E166" s="1350">
        <v>7800</v>
      </c>
      <c r="F166" s="1340">
        <v>1920</v>
      </c>
      <c r="G166" s="1340">
        <v>0</v>
      </c>
      <c r="H166" s="1340">
        <f t="shared" si="6"/>
        <v>1920</v>
      </c>
      <c r="I166" s="1340"/>
      <c r="J166" s="1340">
        <v>0</v>
      </c>
      <c r="K166" s="1340" t="s">
        <v>1706</v>
      </c>
      <c r="L166" s="1340" t="s">
        <v>1621</v>
      </c>
      <c r="M166" s="1349">
        <v>1709338</v>
      </c>
      <c r="N166" s="1340">
        <v>1</v>
      </c>
    </row>
    <row r="167" spans="1:14" s="1308" customFormat="1">
      <c r="A167" s="1351" t="s">
        <v>1748</v>
      </c>
      <c r="B167" s="1308" t="s">
        <v>1747</v>
      </c>
      <c r="C167" s="1308" t="s">
        <v>1746</v>
      </c>
      <c r="D167" s="1340">
        <v>6</v>
      </c>
      <c r="E167" s="1350">
        <v>14957</v>
      </c>
      <c r="F167" s="1340">
        <v>1968</v>
      </c>
      <c r="G167" s="1340">
        <v>0</v>
      </c>
      <c r="H167" s="1340">
        <f t="shared" si="6"/>
        <v>1968</v>
      </c>
      <c r="I167" s="1340"/>
      <c r="J167" s="1340" t="s">
        <v>113</v>
      </c>
      <c r="K167" s="1340" t="s">
        <v>1622</v>
      </c>
      <c r="L167" s="1340" t="s">
        <v>1621</v>
      </c>
      <c r="M167" s="1349">
        <v>1901210</v>
      </c>
      <c r="N167" s="1340">
        <v>1</v>
      </c>
    </row>
    <row r="168" spans="1:14" s="1308" customFormat="1">
      <c r="A168" s="1351" t="s">
        <v>1745</v>
      </c>
      <c r="B168" s="1308" t="s">
        <v>1744</v>
      </c>
      <c r="C168" s="1308" t="s">
        <v>1743</v>
      </c>
      <c r="D168" s="1340">
        <v>6</v>
      </c>
      <c r="E168" s="1350">
        <v>14819</v>
      </c>
      <c r="F168" s="1340">
        <v>1968</v>
      </c>
      <c r="G168" s="1340">
        <v>0</v>
      </c>
      <c r="H168" s="1340">
        <f t="shared" si="6"/>
        <v>1968</v>
      </c>
      <c r="I168" s="1340"/>
      <c r="J168" s="1340" t="s">
        <v>113</v>
      </c>
      <c r="K168" s="1340" t="s">
        <v>1622</v>
      </c>
      <c r="L168" s="1340" t="s">
        <v>1621</v>
      </c>
      <c r="M168" s="1349">
        <v>1868013</v>
      </c>
      <c r="N168" s="1340">
        <v>1</v>
      </c>
    </row>
    <row r="169" spans="1:14" s="1308" customFormat="1">
      <c r="A169" s="1351" t="s">
        <v>1742</v>
      </c>
      <c r="B169" s="1308" t="s">
        <v>1741</v>
      </c>
      <c r="C169" s="1308" t="s">
        <v>1740</v>
      </c>
      <c r="D169" s="1340">
        <v>6</v>
      </c>
      <c r="E169" s="1350">
        <v>13882</v>
      </c>
      <c r="F169" s="1340">
        <v>1964</v>
      </c>
      <c r="G169" s="1340">
        <v>0</v>
      </c>
      <c r="H169" s="1340">
        <f t="shared" si="6"/>
        <v>1964</v>
      </c>
      <c r="I169" s="1340"/>
      <c r="J169" s="1340" t="s">
        <v>113</v>
      </c>
      <c r="K169" s="1340" t="s">
        <v>1622</v>
      </c>
      <c r="L169" s="1340" t="s">
        <v>1621</v>
      </c>
      <c r="M169" s="1349">
        <v>1795209</v>
      </c>
      <c r="N169" s="1340">
        <v>1</v>
      </c>
    </row>
    <row r="170" spans="1:14" s="1308" customFormat="1">
      <c r="A170" s="1351" t="s">
        <v>1739</v>
      </c>
      <c r="B170" s="1308" t="s">
        <v>1738</v>
      </c>
      <c r="C170" s="1308" t="s">
        <v>1737</v>
      </c>
      <c r="D170" s="1340">
        <v>0</v>
      </c>
      <c r="E170" s="1350">
        <v>8500</v>
      </c>
      <c r="F170" s="1340">
        <v>1890</v>
      </c>
      <c r="G170" s="1340">
        <v>0</v>
      </c>
      <c r="H170" s="1340">
        <f t="shared" si="6"/>
        <v>1890</v>
      </c>
      <c r="I170" s="1340"/>
      <c r="J170" s="1340">
        <v>0</v>
      </c>
      <c r="K170" s="1340" t="s">
        <v>1622</v>
      </c>
      <c r="L170" s="1340" t="s">
        <v>1621</v>
      </c>
      <c r="M170" s="1349">
        <v>2455659</v>
      </c>
      <c r="N170" s="1340">
        <v>1</v>
      </c>
    </row>
    <row r="171" spans="1:14" s="1308" customFormat="1">
      <c r="A171" s="1351" t="s">
        <v>1736</v>
      </c>
      <c r="B171" s="1308" t="s">
        <v>1735</v>
      </c>
      <c r="C171" s="1308" t="s">
        <v>1734</v>
      </c>
      <c r="D171" s="1340">
        <v>6</v>
      </c>
      <c r="E171" s="1350">
        <v>13882</v>
      </c>
      <c r="F171" s="1340">
        <v>1964</v>
      </c>
      <c r="G171" s="1340">
        <v>1975</v>
      </c>
      <c r="H171" s="1340">
        <f t="shared" si="6"/>
        <v>1975</v>
      </c>
      <c r="I171" s="1340"/>
      <c r="J171" s="1340">
        <v>0</v>
      </c>
      <c r="K171" s="1340" t="s">
        <v>1622</v>
      </c>
      <c r="L171" s="1340" t="s">
        <v>1621</v>
      </c>
      <c r="M171" s="1349">
        <v>1771544</v>
      </c>
      <c r="N171" s="1340">
        <v>1</v>
      </c>
    </row>
    <row r="172" spans="1:14" s="1308" customFormat="1">
      <c r="A172" s="1342" t="s">
        <v>1733</v>
      </c>
      <c r="B172" s="1339" t="s">
        <v>1732</v>
      </c>
      <c r="C172" s="1339" t="s">
        <v>1731</v>
      </c>
      <c r="D172" s="1338">
        <v>6</v>
      </c>
      <c r="E172" s="1341">
        <v>14957</v>
      </c>
      <c r="F172" s="1338">
        <v>1968</v>
      </c>
      <c r="G172" s="1338">
        <v>1968</v>
      </c>
      <c r="H172" s="1340">
        <f t="shared" si="6"/>
        <v>1968</v>
      </c>
      <c r="I172" s="1340"/>
      <c r="J172" s="1338" t="s">
        <v>113</v>
      </c>
      <c r="K172" s="1338" t="s">
        <v>1730</v>
      </c>
      <c r="L172" s="1338" t="s">
        <v>1621</v>
      </c>
      <c r="M172" s="1348">
        <v>1864647</v>
      </c>
      <c r="N172" s="1338">
        <v>1</v>
      </c>
    </row>
    <row r="173" spans="1:14">
      <c r="A173" s="1309"/>
      <c r="E173" s="1306">
        <f>SUM(E164:E172)</f>
        <v>111273</v>
      </c>
      <c r="L173" s="967">
        <f>COUNT(E164:E172)</f>
        <v>9</v>
      </c>
      <c r="M173" s="123">
        <f>SUM(M164:M172)</f>
        <v>17006924</v>
      </c>
    </row>
    <row r="174" spans="1:14">
      <c r="A174" s="1309"/>
      <c r="M174" s="123"/>
    </row>
    <row r="175" spans="1:14">
      <c r="A175" s="1309"/>
      <c r="M175" s="123"/>
    </row>
    <row r="176" spans="1:14" s="1267" customFormat="1" ht="45">
      <c r="A176" s="1328" t="s">
        <v>1651</v>
      </c>
      <c r="B176" s="1267" t="s">
        <v>1650</v>
      </c>
      <c r="D176" s="1324" t="s">
        <v>1649</v>
      </c>
      <c r="E176" s="1327" t="s">
        <v>25</v>
      </c>
      <c r="F176" s="1324" t="s">
        <v>1648</v>
      </c>
      <c r="G176" s="1324" t="s">
        <v>1647</v>
      </c>
      <c r="H176" s="1326" t="s">
        <v>1646</v>
      </c>
      <c r="I176" s="1326" t="s">
        <v>1645</v>
      </c>
      <c r="J176" s="1324" t="s">
        <v>537</v>
      </c>
      <c r="K176" s="1324" t="s">
        <v>1644</v>
      </c>
      <c r="L176" s="1324" t="s">
        <v>1643</v>
      </c>
      <c r="M176" s="1325" t="s">
        <v>1642</v>
      </c>
      <c r="N176" s="1324" t="s">
        <v>1705</v>
      </c>
    </row>
    <row r="177" spans="1:14" s="827" customFormat="1">
      <c r="A177" s="1336"/>
      <c r="B177" s="1335" t="s">
        <v>1729</v>
      </c>
      <c r="C177" s="1335"/>
      <c r="D177" s="1332"/>
      <c r="E177" s="1334"/>
      <c r="F177" s="1332"/>
      <c r="G177" s="1332"/>
      <c r="H177" s="1332"/>
      <c r="I177" s="1332"/>
      <c r="J177" s="1332"/>
      <c r="K177" s="1332"/>
      <c r="L177" s="1332"/>
      <c r="M177" s="1333"/>
      <c r="N177" s="1332"/>
    </row>
    <row r="178" spans="1:14" s="827" customFormat="1">
      <c r="A178" s="1345"/>
      <c r="B178" s="1347" t="s">
        <v>1728</v>
      </c>
      <c r="C178" s="1347" t="s">
        <v>1727</v>
      </c>
      <c r="D178" s="1345"/>
      <c r="E178" s="1346">
        <v>0</v>
      </c>
      <c r="F178" s="1345"/>
      <c r="G178" s="1345"/>
      <c r="H178" s="1345"/>
      <c r="I178" s="1345"/>
      <c r="J178" s="1345"/>
      <c r="K178" s="1345" t="s">
        <v>1629</v>
      </c>
      <c r="L178" s="1345" t="s">
        <v>326</v>
      </c>
      <c r="M178" s="1345"/>
      <c r="N178" s="1345"/>
    </row>
    <row r="179" spans="1:14">
      <c r="A179" s="1309" t="s">
        <v>1726</v>
      </c>
      <c r="B179" t="s">
        <v>1725</v>
      </c>
      <c r="C179" t="s">
        <v>1724</v>
      </c>
      <c r="D179" s="967">
        <v>0</v>
      </c>
      <c r="E179" s="1306">
        <v>250000</v>
      </c>
      <c r="F179" s="967">
        <v>0</v>
      </c>
      <c r="G179" s="967">
        <v>0</v>
      </c>
      <c r="H179" s="967">
        <f t="shared" ref="H179:H186" si="7">MAX(G179,F179)</f>
        <v>0</v>
      </c>
      <c r="J179" s="967" t="s">
        <v>113</v>
      </c>
      <c r="K179" s="967" t="s">
        <v>1622</v>
      </c>
      <c r="L179" s="967" t="s">
        <v>326</v>
      </c>
      <c r="M179" s="123">
        <v>10869280</v>
      </c>
      <c r="N179" s="967">
        <v>1</v>
      </c>
    </row>
    <row r="180" spans="1:14">
      <c r="A180" s="1309" t="s">
        <v>1723</v>
      </c>
      <c r="B180" t="s">
        <v>1722</v>
      </c>
      <c r="C180" t="s">
        <v>1721</v>
      </c>
      <c r="D180" s="967">
        <v>0</v>
      </c>
      <c r="E180" s="1306">
        <v>239850</v>
      </c>
      <c r="F180" s="967">
        <v>1995</v>
      </c>
      <c r="G180" s="967">
        <v>1995</v>
      </c>
      <c r="H180" s="967">
        <f t="shared" si="7"/>
        <v>1995</v>
      </c>
      <c r="J180" s="967" t="s">
        <v>113</v>
      </c>
      <c r="K180" s="967" t="s">
        <v>1629</v>
      </c>
      <c r="L180" s="967" t="s">
        <v>326</v>
      </c>
      <c r="M180" s="123">
        <v>19996484</v>
      </c>
      <c r="N180" s="967">
        <v>1</v>
      </c>
    </row>
    <row r="181" spans="1:14">
      <c r="A181" s="1309" t="s">
        <v>1720</v>
      </c>
      <c r="B181" t="s">
        <v>1719</v>
      </c>
      <c r="D181" s="967">
        <v>0</v>
      </c>
      <c r="E181" s="1306">
        <v>386727</v>
      </c>
      <c r="F181" s="967">
        <v>2005</v>
      </c>
      <c r="G181" s="967">
        <v>2005</v>
      </c>
      <c r="H181" s="967">
        <f t="shared" si="7"/>
        <v>2005</v>
      </c>
      <c r="J181" s="967" t="s">
        <v>113</v>
      </c>
      <c r="K181" s="967" t="s">
        <v>1706</v>
      </c>
      <c r="L181" s="967" t="s">
        <v>326</v>
      </c>
      <c r="M181">
        <v>0</v>
      </c>
      <c r="N181" s="967">
        <v>1</v>
      </c>
    </row>
    <row r="182" spans="1:14">
      <c r="A182" s="1309" t="s">
        <v>1718</v>
      </c>
      <c r="B182" t="s">
        <v>1717</v>
      </c>
      <c r="C182" t="s">
        <v>1716</v>
      </c>
      <c r="D182" s="967">
        <v>0</v>
      </c>
      <c r="E182" s="1306">
        <v>72292</v>
      </c>
      <c r="F182" s="967">
        <v>0</v>
      </c>
      <c r="G182" s="967">
        <v>0</v>
      </c>
      <c r="H182" s="967">
        <f t="shared" si="7"/>
        <v>0</v>
      </c>
      <c r="J182" s="967" t="s">
        <v>113</v>
      </c>
      <c r="K182" s="967" t="s">
        <v>1629</v>
      </c>
      <c r="L182" s="967" t="s">
        <v>326</v>
      </c>
      <c r="M182">
        <v>0</v>
      </c>
      <c r="N182" s="967">
        <v>1</v>
      </c>
    </row>
    <row r="183" spans="1:14" s="273" customFormat="1">
      <c r="A183" s="1344"/>
      <c r="B183" s="273" t="s">
        <v>1715</v>
      </c>
      <c r="D183" s="1343"/>
      <c r="E183" s="1306">
        <v>0</v>
      </c>
      <c r="F183" s="1343"/>
      <c r="G183" s="1343"/>
      <c r="H183" s="967">
        <f t="shared" si="7"/>
        <v>0</v>
      </c>
      <c r="I183" s="967"/>
      <c r="J183" s="1343"/>
      <c r="K183" s="1343" t="s">
        <v>1629</v>
      </c>
      <c r="L183" s="967" t="s">
        <v>326</v>
      </c>
      <c r="N183" s="1343"/>
    </row>
    <row r="184" spans="1:14">
      <c r="A184" s="1309" t="s">
        <v>1714</v>
      </c>
      <c r="B184" t="s">
        <v>1713</v>
      </c>
      <c r="C184" s="273" t="s">
        <v>1712</v>
      </c>
      <c r="D184" s="967">
        <v>0</v>
      </c>
      <c r="E184" s="1306">
        <v>340440</v>
      </c>
      <c r="F184" s="967">
        <v>1992</v>
      </c>
      <c r="G184" s="967">
        <v>1992</v>
      </c>
      <c r="H184" s="967">
        <f t="shared" si="7"/>
        <v>1992</v>
      </c>
      <c r="J184" s="967" t="s">
        <v>113</v>
      </c>
      <c r="K184" s="967" t="s">
        <v>1622</v>
      </c>
      <c r="L184" s="967" t="s">
        <v>326</v>
      </c>
      <c r="M184" s="123">
        <v>1824691</v>
      </c>
      <c r="N184" s="967">
        <v>1</v>
      </c>
    </row>
    <row r="185" spans="1:14">
      <c r="A185" s="1309" t="s">
        <v>1711</v>
      </c>
      <c r="B185" t="s">
        <v>1710</v>
      </c>
      <c r="C185" s="273" t="s">
        <v>1709</v>
      </c>
      <c r="D185" s="967">
        <v>0</v>
      </c>
      <c r="E185" s="1306">
        <v>211000</v>
      </c>
      <c r="F185" s="967">
        <v>0</v>
      </c>
      <c r="G185" s="967">
        <v>0</v>
      </c>
      <c r="H185" s="967">
        <f t="shared" si="7"/>
        <v>0</v>
      </c>
      <c r="J185" s="967" t="s">
        <v>113</v>
      </c>
      <c r="K185" s="967" t="s">
        <v>1629</v>
      </c>
      <c r="L185" s="967" t="s">
        <v>326</v>
      </c>
      <c r="M185" s="123">
        <v>8007618</v>
      </c>
      <c r="N185" s="967">
        <v>1</v>
      </c>
    </row>
    <row r="186" spans="1:14" s="1337" customFormat="1">
      <c r="A186" s="1342" t="s">
        <v>1708</v>
      </c>
      <c r="B186" s="1339" t="s">
        <v>1707</v>
      </c>
      <c r="C186" s="1339"/>
      <c r="D186" s="1338">
        <v>0</v>
      </c>
      <c r="E186" s="1341">
        <v>132063</v>
      </c>
      <c r="F186" s="1338">
        <v>1989</v>
      </c>
      <c r="G186" s="1338">
        <v>2005</v>
      </c>
      <c r="H186" s="1340">
        <f t="shared" si="7"/>
        <v>2005</v>
      </c>
      <c r="I186" s="1340"/>
      <c r="J186" s="1338" t="s">
        <v>113</v>
      </c>
      <c r="K186" s="1338" t="s">
        <v>1706</v>
      </c>
      <c r="L186" s="1338" t="s">
        <v>326</v>
      </c>
      <c r="M186" s="1339">
        <v>0</v>
      </c>
      <c r="N186" s="1338">
        <v>1</v>
      </c>
    </row>
    <row r="187" spans="1:14">
      <c r="A187" s="1309"/>
      <c r="E187" s="1306">
        <f>SUM(E178:E186)</f>
        <v>1632372</v>
      </c>
      <c r="L187" s="967">
        <f>COUNT(E178:E186)</f>
        <v>9</v>
      </c>
      <c r="M187" s="123">
        <f>SUM(M178:M186)</f>
        <v>40698073</v>
      </c>
    </row>
    <row r="188" spans="1:14">
      <c r="A188" s="1309"/>
    </row>
    <row r="189" spans="1:14">
      <c r="A189" s="1309"/>
    </row>
    <row r="190" spans="1:14" s="1267" customFormat="1" ht="45">
      <c r="A190" s="1328" t="s">
        <v>1651</v>
      </c>
      <c r="B190" s="1267" t="s">
        <v>1650</v>
      </c>
      <c r="D190" s="1324" t="s">
        <v>1649</v>
      </c>
      <c r="E190" s="1327" t="s">
        <v>25</v>
      </c>
      <c r="F190" s="1324" t="s">
        <v>1648</v>
      </c>
      <c r="G190" s="1324" t="s">
        <v>1647</v>
      </c>
      <c r="H190" s="1326" t="s">
        <v>1646</v>
      </c>
      <c r="I190" s="1326" t="s">
        <v>1645</v>
      </c>
      <c r="J190" s="1324" t="s">
        <v>537</v>
      </c>
      <c r="K190" s="1324" t="s">
        <v>1644</v>
      </c>
      <c r="L190" s="1324" t="s">
        <v>1643</v>
      </c>
      <c r="M190" s="1325" t="s">
        <v>1642</v>
      </c>
      <c r="N190" s="1324" t="s">
        <v>1705</v>
      </c>
    </row>
    <row r="191" spans="1:14" s="827" customFormat="1">
      <c r="A191" s="1336"/>
      <c r="B191" s="1335" t="s">
        <v>1704</v>
      </c>
      <c r="C191" s="1335"/>
      <c r="D191" s="1332"/>
      <c r="E191" s="1334"/>
      <c r="F191" s="1332"/>
      <c r="G191" s="1332"/>
      <c r="H191" s="1332"/>
      <c r="I191" s="1332"/>
      <c r="J191" s="1332"/>
      <c r="K191" s="1332"/>
      <c r="L191" s="1332"/>
      <c r="M191" s="1333"/>
      <c r="N191" s="1332"/>
    </row>
    <row r="192" spans="1:14">
      <c r="A192" s="1309" t="s">
        <v>1703</v>
      </c>
      <c r="B192" t="s">
        <v>1702</v>
      </c>
      <c r="D192" s="967">
        <v>4</v>
      </c>
      <c r="E192" s="1306">
        <v>576</v>
      </c>
      <c r="F192" s="967">
        <v>0</v>
      </c>
      <c r="G192" s="967">
        <v>1937</v>
      </c>
      <c r="H192" s="967">
        <f t="shared" ref="H192:H217" si="8">MAX(G192,F192)</f>
        <v>1937</v>
      </c>
      <c r="J192" s="967" t="s">
        <v>113</v>
      </c>
      <c r="K192" s="967" t="s">
        <v>1622</v>
      </c>
      <c r="L192" s="967" t="s">
        <v>325</v>
      </c>
      <c r="M192">
        <v>0</v>
      </c>
      <c r="N192" s="967">
        <v>1</v>
      </c>
    </row>
    <row r="193" spans="1:14">
      <c r="A193" s="1309" t="s">
        <v>1701</v>
      </c>
      <c r="B193" t="s">
        <v>1700</v>
      </c>
      <c r="D193" s="967">
        <v>4</v>
      </c>
      <c r="E193" s="1306">
        <v>240</v>
      </c>
      <c r="F193" s="967">
        <v>0</v>
      </c>
      <c r="G193" s="967">
        <v>1937</v>
      </c>
      <c r="H193" s="967">
        <f t="shared" si="8"/>
        <v>1937</v>
      </c>
      <c r="J193" s="967">
        <v>0</v>
      </c>
      <c r="K193" s="967" t="s">
        <v>1622</v>
      </c>
      <c r="L193" s="967" t="s">
        <v>325</v>
      </c>
      <c r="M193">
        <v>0</v>
      </c>
      <c r="N193" s="967">
        <v>1</v>
      </c>
    </row>
    <row r="194" spans="1:14">
      <c r="A194" s="1309" t="s">
        <v>1699</v>
      </c>
      <c r="B194" t="s">
        <v>1698</v>
      </c>
      <c r="D194" s="967">
        <v>4</v>
      </c>
      <c r="E194" s="1306">
        <v>4900</v>
      </c>
      <c r="F194" s="967">
        <v>1938</v>
      </c>
      <c r="G194" s="967">
        <v>1937</v>
      </c>
      <c r="H194" s="967">
        <f t="shared" si="8"/>
        <v>1938</v>
      </c>
      <c r="J194" s="967">
        <v>0</v>
      </c>
      <c r="K194" s="967" t="s">
        <v>1622</v>
      </c>
      <c r="L194" s="967" t="s">
        <v>325</v>
      </c>
      <c r="M194" s="123">
        <v>121886</v>
      </c>
      <c r="N194" s="967">
        <v>1</v>
      </c>
    </row>
    <row r="195" spans="1:14">
      <c r="A195" s="1309" t="s">
        <v>1697</v>
      </c>
      <c r="B195" t="s">
        <v>1696</v>
      </c>
      <c r="D195" s="967">
        <v>4</v>
      </c>
      <c r="E195" s="1306">
        <v>175</v>
      </c>
      <c r="F195" s="967">
        <v>1900</v>
      </c>
      <c r="G195" s="967">
        <v>1937</v>
      </c>
      <c r="H195" s="967">
        <f t="shared" si="8"/>
        <v>1937</v>
      </c>
      <c r="J195" s="967">
        <v>0</v>
      </c>
      <c r="K195" s="967" t="s">
        <v>1622</v>
      </c>
      <c r="L195" s="967" t="s">
        <v>325</v>
      </c>
      <c r="M195">
        <v>0</v>
      </c>
      <c r="N195" s="967">
        <v>1</v>
      </c>
    </row>
    <row r="196" spans="1:14">
      <c r="A196" s="1309" t="s">
        <v>1695</v>
      </c>
      <c r="B196" t="s">
        <v>1694</v>
      </c>
      <c r="D196" s="967">
        <v>4</v>
      </c>
      <c r="E196" s="1306">
        <v>4880</v>
      </c>
      <c r="F196" s="967">
        <v>1959</v>
      </c>
      <c r="G196" s="967">
        <v>1937</v>
      </c>
      <c r="H196" s="967">
        <f t="shared" si="8"/>
        <v>1959</v>
      </c>
      <c r="J196" s="967">
        <v>0</v>
      </c>
      <c r="K196" s="967" t="s">
        <v>1622</v>
      </c>
      <c r="L196" s="967" t="s">
        <v>325</v>
      </c>
      <c r="M196" s="123">
        <v>144602</v>
      </c>
      <c r="N196" s="967">
        <v>1</v>
      </c>
    </row>
    <row r="197" spans="1:14">
      <c r="A197" s="1309" t="s">
        <v>1693</v>
      </c>
      <c r="B197" t="s">
        <v>1692</v>
      </c>
      <c r="D197" s="967">
        <v>4</v>
      </c>
      <c r="E197" s="1306">
        <v>10030</v>
      </c>
      <c r="F197" s="967">
        <v>1939</v>
      </c>
      <c r="G197" s="967">
        <v>1937</v>
      </c>
      <c r="H197" s="967">
        <f t="shared" si="8"/>
        <v>1939</v>
      </c>
      <c r="J197" s="967">
        <v>0</v>
      </c>
      <c r="K197" s="967" t="s">
        <v>1622</v>
      </c>
      <c r="L197" s="967" t="s">
        <v>325</v>
      </c>
      <c r="M197" s="123">
        <v>1408577</v>
      </c>
      <c r="N197" s="967">
        <v>1</v>
      </c>
    </row>
    <row r="198" spans="1:14">
      <c r="A198" s="1309" t="s">
        <v>1691</v>
      </c>
      <c r="B198" t="s">
        <v>1690</v>
      </c>
      <c r="D198" s="967">
        <v>4</v>
      </c>
      <c r="E198" s="1306">
        <v>0</v>
      </c>
      <c r="F198" s="967">
        <v>1930</v>
      </c>
      <c r="G198" s="967">
        <v>1937</v>
      </c>
      <c r="H198" s="967">
        <f t="shared" si="8"/>
        <v>1937</v>
      </c>
      <c r="J198" s="967">
        <v>0</v>
      </c>
      <c r="K198" s="967" t="s">
        <v>1622</v>
      </c>
      <c r="L198" s="967" t="s">
        <v>325</v>
      </c>
      <c r="M198" s="123">
        <v>1476025</v>
      </c>
      <c r="N198" s="967">
        <v>1</v>
      </c>
    </row>
    <row r="199" spans="1:14">
      <c r="A199" s="1309" t="s">
        <v>1689</v>
      </c>
      <c r="B199" t="s">
        <v>1688</v>
      </c>
      <c r="D199" s="967">
        <v>4</v>
      </c>
      <c r="E199" s="1306">
        <v>112</v>
      </c>
      <c r="F199" s="967">
        <v>0</v>
      </c>
      <c r="G199" s="967">
        <v>1937</v>
      </c>
      <c r="H199" s="967">
        <f t="shared" si="8"/>
        <v>1937</v>
      </c>
      <c r="J199" s="967" t="s">
        <v>113</v>
      </c>
      <c r="K199" s="967" t="s">
        <v>1622</v>
      </c>
      <c r="L199" s="967" t="s">
        <v>325</v>
      </c>
      <c r="M199">
        <v>0</v>
      </c>
      <c r="N199" s="967">
        <v>1</v>
      </c>
    </row>
    <row r="200" spans="1:14">
      <c r="A200" s="1309" t="s">
        <v>1687</v>
      </c>
      <c r="B200" t="s">
        <v>1686</v>
      </c>
      <c r="D200" s="967">
        <v>4</v>
      </c>
      <c r="E200" s="1306">
        <v>1500</v>
      </c>
      <c r="F200" s="967">
        <v>1940</v>
      </c>
      <c r="G200" s="967">
        <v>1937</v>
      </c>
      <c r="H200" s="967">
        <f t="shared" si="8"/>
        <v>1940</v>
      </c>
      <c r="J200" s="967">
        <v>0</v>
      </c>
      <c r="K200" s="967" t="s">
        <v>1622</v>
      </c>
      <c r="L200" s="967" t="s">
        <v>325</v>
      </c>
      <c r="M200" s="123">
        <v>104053</v>
      </c>
      <c r="N200" s="967">
        <v>1</v>
      </c>
    </row>
    <row r="201" spans="1:14">
      <c r="A201" s="1309" t="s">
        <v>1685</v>
      </c>
      <c r="B201" t="s">
        <v>1684</v>
      </c>
      <c r="D201" s="967">
        <v>4</v>
      </c>
      <c r="E201" s="1306">
        <v>370</v>
      </c>
      <c r="F201" s="967">
        <v>1900</v>
      </c>
      <c r="G201" s="967">
        <v>1937</v>
      </c>
      <c r="H201" s="967">
        <f t="shared" si="8"/>
        <v>1937</v>
      </c>
      <c r="J201" s="967">
        <v>0</v>
      </c>
      <c r="K201" s="967" t="s">
        <v>1622</v>
      </c>
      <c r="L201" s="967" t="s">
        <v>325</v>
      </c>
      <c r="M201" s="123">
        <v>88466</v>
      </c>
      <c r="N201" s="967">
        <v>1</v>
      </c>
    </row>
    <row r="202" spans="1:14">
      <c r="A202" s="1309" t="s">
        <v>1683</v>
      </c>
      <c r="B202" t="s">
        <v>1682</v>
      </c>
      <c r="D202" s="967">
        <v>4</v>
      </c>
      <c r="E202" s="1306">
        <v>195</v>
      </c>
      <c r="F202" s="967">
        <v>1910</v>
      </c>
      <c r="G202" s="967">
        <v>1937</v>
      </c>
      <c r="H202" s="967">
        <f t="shared" si="8"/>
        <v>1937</v>
      </c>
      <c r="J202" s="967">
        <v>0</v>
      </c>
      <c r="K202" s="967" t="s">
        <v>1622</v>
      </c>
      <c r="L202" s="967" t="s">
        <v>325</v>
      </c>
      <c r="M202">
        <v>0</v>
      </c>
      <c r="N202" s="967">
        <v>1</v>
      </c>
    </row>
    <row r="203" spans="1:14">
      <c r="A203" s="1309" t="s">
        <v>1681</v>
      </c>
      <c r="B203" t="s">
        <v>1680</v>
      </c>
      <c r="D203" s="967">
        <v>4</v>
      </c>
      <c r="E203" s="1306">
        <v>4050</v>
      </c>
      <c r="F203" s="967">
        <v>1970</v>
      </c>
      <c r="G203" s="967">
        <v>1937</v>
      </c>
      <c r="H203" s="967">
        <f t="shared" si="8"/>
        <v>1970</v>
      </c>
      <c r="J203" s="967">
        <v>0</v>
      </c>
      <c r="K203" s="967" t="s">
        <v>1622</v>
      </c>
      <c r="L203" s="967" t="s">
        <v>325</v>
      </c>
      <c r="M203" s="123">
        <v>190850</v>
      </c>
      <c r="N203" s="967">
        <v>1</v>
      </c>
    </row>
    <row r="204" spans="1:14">
      <c r="A204" s="1309" t="s">
        <v>1679</v>
      </c>
      <c r="B204" t="s">
        <v>1678</v>
      </c>
      <c r="D204" s="967">
        <v>4</v>
      </c>
      <c r="E204" s="1306">
        <v>175</v>
      </c>
      <c r="F204" s="967">
        <v>1950</v>
      </c>
      <c r="G204" s="967">
        <v>1937</v>
      </c>
      <c r="H204" s="967">
        <f t="shared" si="8"/>
        <v>1950</v>
      </c>
      <c r="J204" s="967">
        <v>0</v>
      </c>
      <c r="K204" s="967" t="s">
        <v>1622</v>
      </c>
      <c r="L204" s="967" t="s">
        <v>325</v>
      </c>
      <c r="M204">
        <v>0</v>
      </c>
      <c r="N204" s="967">
        <v>1</v>
      </c>
    </row>
    <row r="205" spans="1:14">
      <c r="A205" s="1309" t="s">
        <v>1677</v>
      </c>
      <c r="B205" t="s">
        <v>1676</v>
      </c>
      <c r="D205" s="967">
        <v>4</v>
      </c>
      <c r="E205" s="1306">
        <v>1300</v>
      </c>
      <c r="F205" s="967">
        <v>0</v>
      </c>
      <c r="G205" s="967">
        <v>1937</v>
      </c>
      <c r="H205" s="967">
        <f t="shared" si="8"/>
        <v>1937</v>
      </c>
      <c r="J205" s="967">
        <v>0</v>
      </c>
      <c r="K205" s="967" t="s">
        <v>1622</v>
      </c>
      <c r="L205" s="967" t="s">
        <v>325</v>
      </c>
      <c r="M205" s="123">
        <v>52042</v>
      </c>
      <c r="N205" s="967">
        <v>1</v>
      </c>
    </row>
    <row r="206" spans="1:14">
      <c r="A206" s="1309" t="s">
        <v>1675</v>
      </c>
      <c r="B206" t="s">
        <v>1674</v>
      </c>
      <c r="D206" s="967">
        <v>4</v>
      </c>
      <c r="E206" s="1306">
        <v>1200</v>
      </c>
      <c r="F206" s="967">
        <v>0</v>
      </c>
      <c r="G206" s="967">
        <v>1937</v>
      </c>
      <c r="H206" s="967">
        <f t="shared" si="8"/>
        <v>1937</v>
      </c>
      <c r="J206" s="967">
        <v>0</v>
      </c>
      <c r="K206" s="967" t="s">
        <v>1622</v>
      </c>
      <c r="L206" s="967" t="s">
        <v>325</v>
      </c>
      <c r="M206" s="123">
        <v>180274</v>
      </c>
      <c r="N206" s="967">
        <v>1</v>
      </c>
    </row>
    <row r="207" spans="1:14">
      <c r="A207" s="1309" t="s">
        <v>1673</v>
      </c>
      <c r="B207" t="s">
        <v>1672</v>
      </c>
      <c r="D207" s="967">
        <v>4</v>
      </c>
      <c r="E207" s="1306">
        <v>1550</v>
      </c>
      <c r="F207" s="967">
        <v>0</v>
      </c>
      <c r="G207" s="967">
        <v>1937</v>
      </c>
      <c r="H207" s="967">
        <f t="shared" si="8"/>
        <v>1937</v>
      </c>
      <c r="J207" s="967">
        <v>0</v>
      </c>
      <c r="K207" s="967" t="s">
        <v>1622</v>
      </c>
      <c r="L207" s="967" t="s">
        <v>325</v>
      </c>
      <c r="M207">
        <v>0</v>
      </c>
      <c r="N207" s="967">
        <v>1</v>
      </c>
    </row>
    <row r="208" spans="1:14">
      <c r="A208" s="1309" t="s">
        <v>1671</v>
      </c>
      <c r="B208" t="s">
        <v>1670</v>
      </c>
      <c r="D208" s="967">
        <v>4</v>
      </c>
      <c r="E208" s="1306">
        <v>480</v>
      </c>
      <c r="F208" s="967">
        <v>0</v>
      </c>
      <c r="G208" s="967">
        <v>1937</v>
      </c>
      <c r="H208" s="967">
        <f t="shared" si="8"/>
        <v>1937</v>
      </c>
      <c r="J208" s="967">
        <v>0</v>
      </c>
      <c r="K208" s="967" t="s">
        <v>1622</v>
      </c>
      <c r="L208" s="967" t="s">
        <v>325</v>
      </c>
      <c r="M208">
        <v>0</v>
      </c>
      <c r="N208" s="967">
        <v>1</v>
      </c>
    </row>
    <row r="209" spans="1:14">
      <c r="A209" s="1309" t="s">
        <v>1669</v>
      </c>
      <c r="B209" t="s">
        <v>1668</v>
      </c>
      <c r="D209" s="967">
        <v>4</v>
      </c>
      <c r="E209" s="1306">
        <v>1900</v>
      </c>
      <c r="F209" s="967">
        <v>0</v>
      </c>
      <c r="G209" s="967">
        <v>1977</v>
      </c>
      <c r="H209" s="967">
        <f t="shared" si="8"/>
        <v>1977</v>
      </c>
      <c r="J209" s="967">
        <v>0</v>
      </c>
      <c r="K209" s="967" t="s">
        <v>1622</v>
      </c>
      <c r="L209" s="967" t="s">
        <v>325</v>
      </c>
      <c r="M209" s="123">
        <v>243748</v>
      </c>
      <c r="N209" s="967">
        <v>1</v>
      </c>
    </row>
    <row r="210" spans="1:14">
      <c r="A210" s="1309" t="s">
        <v>1667</v>
      </c>
      <c r="B210" t="s">
        <v>1666</v>
      </c>
      <c r="D210" s="967">
        <v>4</v>
      </c>
      <c r="E210" s="1306">
        <v>2400</v>
      </c>
      <c r="F210" s="967">
        <v>0</v>
      </c>
      <c r="G210" s="967">
        <v>1977</v>
      </c>
      <c r="H210" s="967">
        <f t="shared" si="8"/>
        <v>1977</v>
      </c>
      <c r="J210" s="967">
        <v>0</v>
      </c>
      <c r="K210" s="967" t="s">
        <v>1622</v>
      </c>
      <c r="L210" s="967" t="s">
        <v>325</v>
      </c>
      <c r="M210">
        <v>0</v>
      </c>
      <c r="N210" s="967">
        <v>1</v>
      </c>
    </row>
    <row r="211" spans="1:14">
      <c r="A211" s="1309" t="s">
        <v>1665</v>
      </c>
      <c r="B211" t="s">
        <v>1664</v>
      </c>
      <c r="D211" s="967">
        <v>4</v>
      </c>
      <c r="E211" s="1306">
        <v>1300</v>
      </c>
      <c r="F211" s="967">
        <v>0</v>
      </c>
      <c r="G211" s="967">
        <v>1977</v>
      </c>
      <c r="H211" s="967">
        <f t="shared" si="8"/>
        <v>1977</v>
      </c>
      <c r="J211" s="967">
        <v>0</v>
      </c>
      <c r="K211" s="967" t="s">
        <v>1622</v>
      </c>
      <c r="L211" s="967" t="s">
        <v>325</v>
      </c>
      <c r="M211" s="123">
        <v>171550</v>
      </c>
      <c r="N211" s="967">
        <v>1</v>
      </c>
    </row>
    <row r="212" spans="1:14">
      <c r="A212" s="1309" t="s">
        <v>1663</v>
      </c>
      <c r="B212" t="s">
        <v>1662</v>
      </c>
      <c r="D212" s="967">
        <v>4</v>
      </c>
      <c r="E212" s="1306">
        <v>1300</v>
      </c>
      <c r="F212" s="967">
        <v>0</v>
      </c>
      <c r="G212" s="967">
        <v>1977</v>
      </c>
      <c r="H212" s="967">
        <f t="shared" si="8"/>
        <v>1977</v>
      </c>
      <c r="J212" s="967">
        <v>0</v>
      </c>
      <c r="K212" s="967" t="s">
        <v>1622</v>
      </c>
      <c r="L212" s="967" t="s">
        <v>325</v>
      </c>
      <c r="M212">
        <v>0</v>
      </c>
      <c r="N212" s="967">
        <v>1</v>
      </c>
    </row>
    <row r="213" spans="1:14">
      <c r="A213" s="1309" t="s">
        <v>1661</v>
      </c>
      <c r="B213" t="s">
        <v>1660</v>
      </c>
      <c r="D213" s="967">
        <v>4</v>
      </c>
      <c r="E213" s="1306">
        <v>4300</v>
      </c>
      <c r="F213" s="967">
        <v>0</v>
      </c>
      <c r="G213" s="967">
        <v>1977</v>
      </c>
      <c r="H213" s="967">
        <f t="shared" si="8"/>
        <v>1977</v>
      </c>
      <c r="J213" s="967">
        <v>0</v>
      </c>
      <c r="K213" s="967" t="s">
        <v>1622</v>
      </c>
      <c r="L213" s="967" t="s">
        <v>325</v>
      </c>
      <c r="M213" s="123">
        <v>52583</v>
      </c>
      <c r="N213" s="967">
        <v>1</v>
      </c>
    </row>
    <row r="214" spans="1:14">
      <c r="A214" s="1309" t="s">
        <v>1659</v>
      </c>
      <c r="B214" t="s">
        <v>1658</v>
      </c>
      <c r="D214" s="967">
        <v>4</v>
      </c>
      <c r="E214" s="1306">
        <v>11550</v>
      </c>
      <c r="F214" s="967">
        <v>0</v>
      </c>
      <c r="G214" s="967">
        <v>1977</v>
      </c>
      <c r="H214" s="967">
        <f t="shared" si="8"/>
        <v>1977</v>
      </c>
      <c r="J214" s="967">
        <v>0</v>
      </c>
      <c r="K214" s="967" t="s">
        <v>1622</v>
      </c>
      <c r="L214" s="967" t="s">
        <v>325</v>
      </c>
      <c r="M214" s="123">
        <v>64205</v>
      </c>
      <c r="N214" s="967">
        <v>1</v>
      </c>
    </row>
    <row r="215" spans="1:14">
      <c r="A215" s="1309" t="s">
        <v>1657</v>
      </c>
      <c r="B215" t="s">
        <v>1656</v>
      </c>
      <c r="D215" s="967">
        <v>4</v>
      </c>
      <c r="E215" s="1306">
        <v>1900</v>
      </c>
      <c r="F215" s="967">
        <v>0</v>
      </c>
      <c r="G215" s="967">
        <v>1977</v>
      </c>
      <c r="H215" s="967">
        <f t="shared" si="8"/>
        <v>1977</v>
      </c>
      <c r="J215" s="967">
        <v>0</v>
      </c>
      <c r="K215" s="967" t="s">
        <v>1622</v>
      </c>
      <c r="L215" s="967" t="s">
        <v>325</v>
      </c>
      <c r="M215">
        <v>0</v>
      </c>
      <c r="N215" s="967">
        <v>1</v>
      </c>
    </row>
    <row r="216" spans="1:14">
      <c r="A216" s="1309" t="s">
        <v>1655</v>
      </c>
      <c r="B216" t="s">
        <v>1654</v>
      </c>
      <c r="D216" s="967">
        <v>4</v>
      </c>
      <c r="E216" s="1306">
        <v>2100</v>
      </c>
      <c r="F216" s="967">
        <v>0</v>
      </c>
      <c r="G216" s="967">
        <v>1977</v>
      </c>
      <c r="H216" s="967">
        <f t="shared" si="8"/>
        <v>1977</v>
      </c>
      <c r="J216" s="967">
        <v>0</v>
      </c>
      <c r="K216" s="967" t="s">
        <v>1622</v>
      </c>
      <c r="L216" s="967" t="s">
        <v>325</v>
      </c>
      <c r="M216">
        <v>0</v>
      </c>
      <c r="N216" s="967">
        <v>1</v>
      </c>
    </row>
    <row r="217" spans="1:14" s="35" customFormat="1">
      <c r="A217" s="1331" t="s">
        <v>1653</v>
      </c>
      <c r="B217" s="1217" t="s">
        <v>1652</v>
      </c>
      <c r="C217" s="1217"/>
      <c r="D217" s="1329">
        <v>4</v>
      </c>
      <c r="E217" s="1330">
        <v>400</v>
      </c>
      <c r="F217" s="1329">
        <v>0</v>
      </c>
      <c r="G217" s="1329">
        <v>1977</v>
      </c>
      <c r="H217" s="967">
        <f t="shared" si="8"/>
        <v>1977</v>
      </c>
      <c r="I217" s="967"/>
      <c r="J217" s="1329">
        <v>0</v>
      </c>
      <c r="K217" s="1329" t="s">
        <v>1622</v>
      </c>
      <c r="L217" s="1329" t="s">
        <v>325</v>
      </c>
      <c r="M217" s="1217">
        <v>0</v>
      </c>
      <c r="N217" s="1329">
        <v>1</v>
      </c>
    </row>
    <row r="218" spans="1:14">
      <c r="E218" s="1306">
        <f>SUM(E192:E217)</f>
        <v>58883</v>
      </c>
      <c r="L218" s="967">
        <f>COUNT(E192:E217)</f>
        <v>26</v>
      </c>
      <c r="M218" s="123">
        <f>SUM(M192:M217)</f>
        <v>4298861</v>
      </c>
    </row>
    <row r="221" spans="1:14" s="1267" customFormat="1" ht="45">
      <c r="A221" s="1328" t="s">
        <v>1651</v>
      </c>
      <c r="B221" s="1267" t="s">
        <v>1650</v>
      </c>
      <c r="D221" s="1324" t="s">
        <v>1649</v>
      </c>
      <c r="E221" s="1327" t="s">
        <v>25</v>
      </c>
      <c r="F221" s="1324" t="s">
        <v>1648</v>
      </c>
      <c r="G221" s="1324" t="s">
        <v>1647</v>
      </c>
      <c r="H221" s="1326" t="s">
        <v>1646</v>
      </c>
      <c r="I221" s="1326" t="s">
        <v>1645</v>
      </c>
      <c r="J221" s="1324" t="s">
        <v>537</v>
      </c>
      <c r="K221" s="1324" t="s">
        <v>1644</v>
      </c>
      <c r="L221" s="1324" t="s">
        <v>1643</v>
      </c>
      <c r="M221" s="1325" t="s">
        <v>1642</v>
      </c>
      <c r="N221" s="1324" t="s">
        <v>1641</v>
      </c>
    </row>
    <row r="222" spans="1:14" s="1318" customFormat="1">
      <c r="A222" s="1323"/>
      <c r="B222" s="1322" t="s">
        <v>1640</v>
      </c>
      <c r="C222" s="1322"/>
      <c r="D222" s="1319"/>
      <c r="E222" s="1321"/>
      <c r="F222" s="1319"/>
      <c r="G222" s="1319"/>
      <c r="H222" s="1319"/>
      <c r="I222" s="1319"/>
      <c r="J222" s="1319"/>
      <c r="K222" s="1319"/>
      <c r="L222" s="1319"/>
      <c r="M222" s="1320"/>
      <c r="N222" s="1319"/>
    </row>
    <row r="223" spans="1:14" s="1307" customFormat="1">
      <c r="A223" s="1317" t="s">
        <v>1639</v>
      </c>
      <c r="B223" s="1307" t="s">
        <v>1638</v>
      </c>
      <c r="D223" s="1313">
        <v>0</v>
      </c>
      <c r="E223" s="1316">
        <v>0</v>
      </c>
      <c r="F223" s="1313">
        <v>0</v>
      </c>
      <c r="G223" s="1313">
        <v>0</v>
      </c>
      <c r="H223" s="1313">
        <f t="shared" ref="H223:H260" si="9">MAX(G223,F223)</f>
        <v>0</v>
      </c>
      <c r="I223" s="1313"/>
      <c r="J223" s="1313">
        <v>0</v>
      </c>
      <c r="K223" s="1313" t="s">
        <v>1622</v>
      </c>
      <c r="L223" s="1313" t="s">
        <v>1621</v>
      </c>
      <c r="M223" s="1307">
        <v>0</v>
      </c>
      <c r="N223" s="1313">
        <v>5</v>
      </c>
    </row>
    <row r="224" spans="1:14" s="1307" customFormat="1">
      <c r="A224" s="1317" t="s">
        <v>1637</v>
      </c>
      <c r="B224" s="1307" t="s">
        <v>1636</v>
      </c>
      <c r="D224" s="1313">
        <v>0</v>
      </c>
      <c r="E224" s="1316">
        <v>0</v>
      </c>
      <c r="F224" s="1313">
        <v>0</v>
      </c>
      <c r="G224" s="1313">
        <v>0</v>
      </c>
      <c r="H224" s="1313">
        <f t="shared" si="9"/>
        <v>0</v>
      </c>
      <c r="I224" s="1313"/>
      <c r="J224" s="1313">
        <v>0</v>
      </c>
      <c r="K224" s="1313" t="s">
        <v>1622</v>
      </c>
      <c r="L224" s="1313" t="s">
        <v>1621</v>
      </c>
      <c r="M224" s="1307">
        <v>0</v>
      </c>
      <c r="N224" s="1313">
        <v>5</v>
      </c>
    </row>
    <row r="225" spans="1:14" s="1307" customFormat="1">
      <c r="A225" s="1317" t="s">
        <v>1635</v>
      </c>
      <c r="B225" s="1307" t="s">
        <v>1634</v>
      </c>
      <c r="D225" s="1313">
        <v>0</v>
      </c>
      <c r="E225" s="1316">
        <v>0</v>
      </c>
      <c r="F225" s="1313">
        <v>0</v>
      </c>
      <c r="G225" s="1313">
        <v>0</v>
      </c>
      <c r="H225" s="1313">
        <f t="shared" si="9"/>
        <v>0</v>
      </c>
      <c r="I225" s="1313"/>
      <c r="J225" s="1313">
        <v>0</v>
      </c>
      <c r="K225" s="1313" t="s">
        <v>1622</v>
      </c>
      <c r="L225" s="1313" t="s">
        <v>1621</v>
      </c>
      <c r="M225" s="1307">
        <v>0</v>
      </c>
      <c r="N225" s="1313">
        <v>5</v>
      </c>
    </row>
    <row r="226" spans="1:14" s="1307" customFormat="1">
      <c r="A226" s="1317" t="s">
        <v>1633</v>
      </c>
      <c r="B226" s="1307" t="s">
        <v>1632</v>
      </c>
      <c r="D226" s="1313">
        <v>0</v>
      </c>
      <c r="E226" s="1316">
        <v>0</v>
      </c>
      <c r="F226" s="1313">
        <v>1999</v>
      </c>
      <c r="G226" s="1313">
        <v>0</v>
      </c>
      <c r="H226" s="1313">
        <f t="shared" si="9"/>
        <v>1999</v>
      </c>
      <c r="I226" s="1313"/>
      <c r="J226" s="1313" t="s">
        <v>348</v>
      </c>
      <c r="K226" s="1313" t="s">
        <v>1622</v>
      </c>
      <c r="L226" s="1313" t="s">
        <v>357</v>
      </c>
      <c r="M226" s="1307">
        <v>0</v>
      </c>
      <c r="N226" s="1313">
        <v>3</v>
      </c>
    </row>
    <row r="227" spans="1:14" s="1307" customFormat="1">
      <c r="A227" s="1317" t="s">
        <v>1631</v>
      </c>
      <c r="B227" s="1307" t="s">
        <v>1630</v>
      </c>
      <c r="D227" s="1313">
        <v>0</v>
      </c>
      <c r="E227" s="1316">
        <v>42000</v>
      </c>
      <c r="F227" s="1313">
        <v>2008</v>
      </c>
      <c r="G227" s="1313">
        <v>0</v>
      </c>
      <c r="H227" s="1313">
        <f t="shared" si="9"/>
        <v>2008</v>
      </c>
      <c r="I227" s="1313"/>
      <c r="J227" s="1313" t="s">
        <v>348</v>
      </c>
      <c r="K227" s="1313" t="s">
        <v>1629</v>
      </c>
      <c r="L227" s="1313" t="s">
        <v>357</v>
      </c>
      <c r="M227" s="1307">
        <v>0</v>
      </c>
      <c r="N227" s="1313">
        <v>5</v>
      </c>
    </row>
    <row r="228" spans="1:14" s="1307" customFormat="1">
      <c r="A228" s="1317" t="s">
        <v>1628</v>
      </c>
      <c r="B228" s="1307" t="s">
        <v>1627</v>
      </c>
      <c r="D228" s="1313">
        <v>0</v>
      </c>
      <c r="E228" s="1316">
        <v>0</v>
      </c>
      <c r="F228" s="1313">
        <v>0</v>
      </c>
      <c r="G228" s="1313">
        <v>0</v>
      </c>
      <c r="H228" s="1313">
        <f t="shared" si="9"/>
        <v>0</v>
      </c>
      <c r="I228" s="1313"/>
      <c r="J228" s="1313">
        <v>0</v>
      </c>
      <c r="K228" s="1313"/>
      <c r="L228" s="1313" t="s">
        <v>347</v>
      </c>
      <c r="M228" s="1307">
        <v>0</v>
      </c>
      <c r="N228" s="1313">
        <v>6</v>
      </c>
    </row>
    <row r="229" spans="1:14" s="1307" customFormat="1">
      <c r="A229" s="1317" t="s">
        <v>1626</v>
      </c>
      <c r="B229" s="1307" t="s">
        <v>1625</v>
      </c>
      <c r="D229" s="1313">
        <v>0</v>
      </c>
      <c r="E229" s="1316">
        <v>0</v>
      </c>
      <c r="F229" s="1313">
        <v>0</v>
      </c>
      <c r="G229" s="1313">
        <v>0</v>
      </c>
      <c r="H229" s="1313">
        <f t="shared" si="9"/>
        <v>0</v>
      </c>
      <c r="I229" s="1313"/>
      <c r="J229" s="1313">
        <v>0</v>
      </c>
      <c r="K229" s="1313" t="s">
        <v>1622</v>
      </c>
      <c r="L229" s="1313" t="s">
        <v>1621</v>
      </c>
      <c r="M229" s="1307">
        <v>0</v>
      </c>
      <c r="N229" s="1313">
        <v>5</v>
      </c>
    </row>
    <row r="230" spans="1:14" s="1307" customFormat="1">
      <c r="A230" s="1317" t="s">
        <v>1624</v>
      </c>
      <c r="B230" s="1307" t="s">
        <v>1623</v>
      </c>
      <c r="D230" s="1313">
        <v>0</v>
      </c>
      <c r="E230" s="1316">
        <v>0</v>
      </c>
      <c r="F230" s="1313">
        <v>0</v>
      </c>
      <c r="G230" s="1313">
        <v>0</v>
      </c>
      <c r="H230" s="1313">
        <f t="shared" si="9"/>
        <v>0</v>
      </c>
      <c r="I230" s="1313"/>
      <c r="J230" s="1313">
        <v>0</v>
      </c>
      <c r="K230" s="1313" t="s">
        <v>1622</v>
      </c>
      <c r="L230" s="1313" t="s">
        <v>1621</v>
      </c>
      <c r="M230" s="1307">
        <v>0</v>
      </c>
      <c r="N230" s="1313">
        <v>5</v>
      </c>
    </row>
    <row r="231" spans="1:14" s="1307" customFormat="1">
      <c r="A231" s="1317" t="s">
        <v>1620</v>
      </c>
      <c r="B231" s="1307" t="s">
        <v>1619</v>
      </c>
      <c r="D231" s="1313">
        <v>0</v>
      </c>
      <c r="E231" s="1316">
        <v>3135</v>
      </c>
      <c r="F231" s="1313">
        <v>0</v>
      </c>
      <c r="G231" s="1313">
        <v>0</v>
      </c>
      <c r="H231" s="1313">
        <f t="shared" si="9"/>
        <v>0</v>
      </c>
      <c r="I231" s="1313"/>
      <c r="J231" s="1313">
        <v>0</v>
      </c>
      <c r="K231" s="1313"/>
      <c r="L231" s="1313" t="s">
        <v>357</v>
      </c>
      <c r="M231" s="1307">
        <v>0</v>
      </c>
      <c r="N231" s="1313">
        <v>3</v>
      </c>
    </row>
    <row r="232" spans="1:14" s="1307" customFormat="1">
      <c r="A232" s="1317" t="s">
        <v>1618</v>
      </c>
      <c r="B232" s="1307" t="s">
        <v>1617</v>
      </c>
      <c r="D232" s="1313">
        <v>0</v>
      </c>
      <c r="E232" s="1316">
        <v>1445</v>
      </c>
      <c r="F232" s="1313">
        <v>0</v>
      </c>
      <c r="G232" s="1313">
        <v>0</v>
      </c>
      <c r="H232" s="1313">
        <f t="shared" si="9"/>
        <v>0</v>
      </c>
      <c r="I232" s="1313"/>
      <c r="J232" s="1313">
        <v>0</v>
      </c>
      <c r="K232" s="1313"/>
      <c r="L232" s="1313" t="s">
        <v>357</v>
      </c>
      <c r="M232" s="1307">
        <v>0</v>
      </c>
      <c r="N232" s="1313">
        <v>3</v>
      </c>
    </row>
    <row r="233" spans="1:14" s="1307" customFormat="1">
      <c r="A233" s="1317" t="s">
        <v>1616</v>
      </c>
      <c r="B233" s="1307" t="s">
        <v>1615</v>
      </c>
      <c r="D233" s="1313">
        <v>0</v>
      </c>
      <c r="E233" s="1316">
        <v>7298</v>
      </c>
      <c r="F233" s="1313">
        <v>0</v>
      </c>
      <c r="G233" s="1313">
        <v>0</v>
      </c>
      <c r="H233" s="1313">
        <f t="shared" si="9"/>
        <v>0</v>
      </c>
      <c r="I233" s="1313"/>
      <c r="J233" s="1313">
        <v>0</v>
      </c>
      <c r="K233" s="1313"/>
      <c r="L233" s="1313" t="s">
        <v>357</v>
      </c>
      <c r="M233" s="1307">
        <v>0</v>
      </c>
      <c r="N233" s="1313">
        <v>3</v>
      </c>
    </row>
    <row r="234" spans="1:14" s="1307" customFormat="1">
      <c r="A234" s="1317" t="s">
        <v>1614</v>
      </c>
      <c r="B234" s="1307" t="s">
        <v>1613</v>
      </c>
      <c r="D234" s="1313">
        <v>0</v>
      </c>
      <c r="E234" s="1316">
        <v>245</v>
      </c>
      <c r="F234" s="1313">
        <v>0</v>
      </c>
      <c r="G234" s="1313">
        <v>0</v>
      </c>
      <c r="H234" s="1313">
        <f t="shared" si="9"/>
        <v>0</v>
      </c>
      <c r="I234" s="1313"/>
      <c r="J234" s="1313">
        <v>0</v>
      </c>
      <c r="K234" s="1313"/>
      <c r="L234" s="1313" t="s">
        <v>357</v>
      </c>
      <c r="M234" s="1307">
        <v>0</v>
      </c>
      <c r="N234" s="1313">
        <v>3</v>
      </c>
    </row>
    <row r="235" spans="1:14" s="1307" customFormat="1">
      <c r="A235" s="1317" t="s">
        <v>1612</v>
      </c>
      <c r="B235" s="1307" t="s">
        <v>1611</v>
      </c>
      <c r="D235" s="1313">
        <v>0</v>
      </c>
      <c r="E235" s="1316">
        <v>750</v>
      </c>
      <c r="F235" s="1313">
        <v>0</v>
      </c>
      <c r="G235" s="1313">
        <v>0</v>
      </c>
      <c r="H235" s="1313">
        <f t="shared" si="9"/>
        <v>0</v>
      </c>
      <c r="I235" s="1313"/>
      <c r="J235" s="1313">
        <v>0</v>
      </c>
      <c r="K235" s="1313"/>
      <c r="L235" s="1313" t="s">
        <v>357</v>
      </c>
      <c r="M235" s="1307">
        <v>0</v>
      </c>
      <c r="N235" s="1313">
        <v>3</v>
      </c>
    </row>
    <row r="236" spans="1:14" s="1307" customFormat="1">
      <c r="A236" s="1317" t="s">
        <v>1610</v>
      </c>
      <c r="B236" s="1307" t="s">
        <v>1609</v>
      </c>
      <c r="D236" s="1313">
        <v>0</v>
      </c>
      <c r="E236" s="1316">
        <v>995</v>
      </c>
      <c r="F236" s="1313">
        <v>0</v>
      </c>
      <c r="G236" s="1313">
        <v>0</v>
      </c>
      <c r="H236" s="1313">
        <f t="shared" si="9"/>
        <v>0</v>
      </c>
      <c r="I236" s="1313"/>
      <c r="J236" s="1313">
        <v>0</v>
      </c>
      <c r="K236" s="1313"/>
      <c r="L236" s="1313" t="s">
        <v>357</v>
      </c>
      <c r="M236" s="1307">
        <v>0</v>
      </c>
      <c r="N236" s="1313">
        <v>3</v>
      </c>
    </row>
    <row r="237" spans="1:14" s="1307" customFormat="1">
      <c r="A237" s="1317" t="s">
        <v>1608</v>
      </c>
      <c r="B237" s="1307" t="s">
        <v>1607</v>
      </c>
      <c r="D237" s="1313">
        <v>0</v>
      </c>
      <c r="E237" s="1316">
        <v>4007</v>
      </c>
      <c r="F237" s="1313">
        <v>0</v>
      </c>
      <c r="G237" s="1313">
        <v>0</v>
      </c>
      <c r="H237" s="1313">
        <f t="shared" si="9"/>
        <v>0</v>
      </c>
      <c r="I237" s="1313"/>
      <c r="J237" s="1313">
        <v>0</v>
      </c>
      <c r="K237" s="1313"/>
      <c r="L237" s="1313" t="s">
        <v>357</v>
      </c>
      <c r="M237" s="1307">
        <v>0</v>
      </c>
      <c r="N237" s="1313">
        <v>3</v>
      </c>
    </row>
    <row r="238" spans="1:14" s="1307" customFormat="1">
      <c r="A238" s="1317" t="s">
        <v>1606</v>
      </c>
      <c r="B238" s="1307" t="s">
        <v>1605</v>
      </c>
      <c r="D238" s="1313">
        <v>0</v>
      </c>
      <c r="E238" s="1316">
        <v>6120</v>
      </c>
      <c r="F238" s="1313">
        <v>0</v>
      </c>
      <c r="G238" s="1313">
        <v>0</v>
      </c>
      <c r="H238" s="1313">
        <f t="shared" si="9"/>
        <v>0</v>
      </c>
      <c r="I238" s="1313"/>
      <c r="J238" s="1313">
        <v>0</v>
      </c>
      <c r="K238" s="1313"/>
      <c r="L238" s="1313" t="s">
        <v>357</v>
      </c>
      <c r="M238" s="1307">
        <v>0</v>
      </c>
      <c r="N238" s="1313">
        <v>3</v>
      </c>
    </row>
    <row r="239" spans="1:14" s="1307" customFormat="1">
      <c r="A239" s="1317" t="s">
        <v>1604</v>
      </c>
      <c r="B239" s="1307" t="s">
        <v>1603</v>
      </c>
      <c r="D239" s="1313">
        <v>0</v>
      </c>
      <c r="E239" s="1316">
        <v>1011</v>
      </c>
      <c r="F239" s="1313">
        <v>0</v>
      </c>
      <c r="G239" s="1313">
        <v>0</v>
      </c>
      <c r="H239" s="1313">
        <f t="shared" si="9"/>
        <v>0</v>
      </c>
      <c r="I239" s="1313"/>
      <c r="J239" s="1313">
        <v>0</v>
      </c>
      <c r="K239" s="1313"/>
      <c r="L239" s="1313" t="s">
        <v>357</v>
      </c>
      <c r="M239" s="1307">
        <v>0</v>
      </c>
      <c r="N239" s="1313">
        <v>3</v>
      </c>
    </row>
    <row r="240" spans="1:14" s="1307" customFormat="1">
      <c r="A240" s="1317" t="s">
        <v>1602</v>
      </c>
      <c r="B240" s="1307" t="s">
        <v>1601</v>
      </c>
      <c r="D240" s="1313">
        <v>4</v>
      </c>
      <c r="E240" s="1316">
        <v>2163</v>
      </c>
      <c r="F240" s="1313">
        <v>1957</v>
      </c>
      <c r="G240" s="1313">
        <v>0</v>
      </c>
      <c r="H240" s="1313">
        <f t="shared" si="9"/>
        <v>1957</v>
      </c>
      <c r="I240" s="1313"/>
      <c r="J240" s="1313">
        <v>0</v>
      </c>
      <c r="K240" s="1313"/>
      <c r="L240" s="1313" t="s">
        <v>347</v>
      </c>
      <c r="M240" s="1307">
        <v>0</v>
      </c>
      <c r="N240" s="1313">
        <v>6</v>
      </c>
    </row>
    <row r="241" spans="1:14" s="1307" customFormat="1">
      <c r="A241" s="1317" t="s">
        <v>1600</v>
      </c>
      <c r="B241" s="1307" t="s">
        <v>1599</v>
      </c>
      <c r="D241" s="1313">
        <v>1</v>
      </c>
      <c r="E241" s="1316">
        <v>41940</v>
      </c>
      <c r="F241" s="1313">
        <v>1931</v>
      </c>
      <c r="G241" s="1313">
        <v>0</v>
      </c>
      <c r="H241" s="1313">
        <f t="shared" si="9"/>
        <v>1931</v>
      </c>
      <c r="I241" s="1313"/>
      <c r="J241" s="1313" t="s">
        <v>348</v>
      </c>
      <c r="K241" s="1313"/>
      <c r="L241" s="1313" t="s">
        <v>358</v>
      </c>
      <c r="M241" s="1307">
        <v>0</v>
      </c>
      <c r="N241" s="1313">
        <v>2</v>
      </c>
    </row>
    <row r="242" spans="1:14" s="1307" customFormat="1">
      <c r="A242" s="1317" t="s">
        <v>1598</v>
      </c>
      <c r="B242" s="1307" t="s">
        <v>1597</v>
      </c>
      <c r="D242" s="1313">
        <v>2</v>
      </c>
      <c r="E242" s="1316">
        <v>110000</v>
      </c>
      <c r="F242" s="1313">
        <v>1923</v>
      </c>
      <c r="G242" s="1313">
        <v>2011</v>
      </c>
      <c r="H242" s="1313">
        <f t="shared" si="9"/>
        <v>2011</v>
      </c>
      <c r="I242" s="1313"/>
      <c r="J242" s="1313"/>
      <c r="K242" s="1313"/>
      <c r="L242" s="1313" t="s">
        <v>357</v>
      </c>
      <c r="M242" s="1307">
        <v>0</v>
      </c>
      <c r="N242" s="1313">
        <v>5</v>
      </c>
    </row>
    <row r="243" spans="1:14" s="1307" customFormat="1">
      <c r="A243" s="1317" t="s">
        <v>1596</v>
      </c>
      <c r="B243" s="1307" t="s">
        <v>1595</v>
      </c>
      <c r="D243" s="1313">
        <v>0</v>
      </c>
      <c r="E243" s="1316">
        <v>262785</v>
      </c>
      <c r="F243" s="1313">
        <v>1925</v>
      </c>
      <c r="G243" s="1313">
        <v>1960</v>
      </c>
      <c r="H243" s="1313">
        <f t="shared" si="9"/>
        <v>1960</v>
      </c>
      <c r="I243" s="1313"/>
      <c r="J243" s="1313">
        <v>0</v>
      </c>
      <c r="K243" s="1313"/>
      <c r="L243" s="1313" t="s">
        <v>347</v>
      </c>
      <c r="M243" s="1307">
        <v>0</v>
      </c>
      <c r="N243" s="1313">
        <v>6</v>
      </c>
    </row>
    <row r="244" spans="1:14" s="1307" customFormat="1">
      <c r="A244" s="1317" t="s">
        <v>1594</v>
      </c>
      <c r="B244" s="1307" t="s">
        <v>1593</v>
      </c>
      <c r="D244" s="1313">
        <v>0</v>
      </c>
      <c r="E244" s="1316">
        <v>5060</v>
      </c>
      <c r="F244" s="1313">
        <v>0</v>
      </c>
      <c r="G244" s="1313">
        <v>0</v>
      </c>
      <c r="H244" s="1313">
        <f t="shared" si="9"/>
        <v>0</v>
      </c>
      <c r="I244" s="1313"/>
      <c r="J244" s="1313">
        <v>0</v>
      </c>
      <c r="K244" s="1313"/>
      <c r="L244" s="1313" t="s">
        <v>357</v>
      </c>
      <c r="M244" s="1307">
        <v>0</v>
      </c>
      <c r="N244" s="1313">
        <v>3</v>
      </c>
    </row>
    <row r="245" spans="1:14" s="1307" customFormat="1">
      <c r="A245" s="1317" t="s">
        <v>1592</v>
      </c>
      <c r="B245" s="1307" t="s">
        <v>1591</v>
      </c>
      <c r="D245" s="1313">
        <v>0</v>
      </c>
      <c r="E245" s="1316">
        <v>440</v>
      </c>
      <c r="F245" s="1313">
        <v>0</v>
      </c>
      <c r="G245" s="1313">
        <v>0</v>
      </c>
      <c r="H245" s="1313">
        <f t="shared" si="9"/>
        <v>0</v>
      </c>
      <c r="I245" s="1313"/>
      <c r="J245" s="1313">
        <v>0</v>
      </c>
      <c r="K245" s="1313"/>
      <c r="L245" s="1313" t="s">
        <v>357</v>
      </c>
      <c r="M245" s="1307">
        <v>0</v>
      </c>
      <c r="N245" s="1313">
        <v>3</v>
      </c>
    </row>
    <row r="246" spans="1:14" s="1307" customFormat="1">
      <c r="A246" s="1317" t="s">
        <v>1590</v>
      </c>
      <c r="B246" s="1307" t="s">
        <v>1589</v>
      </c>
      <c r="D246" s="1313">
        <v>0</v>
      </c>
      <c r="E246" s="1316">
        <v>0</v>
      </c>
      <c r="F246" s="1313">
        <v>0</v>
      </c>
      <c r="G246" s="1313">
        <v>0</v>
      </c>
      <c r="H246" s="1313">
        <f t="shared" si="9"/>
        <v>0</v>
      </c>
      <c r="I246" s="1313"/>
      <c r="J246" s="1313">
        <v>0</v>
      </c>
      <c r="K246" s="1313"/>
      <c r="L246" s="1313" t="s">
        <v>357</v>
      </c>
      <c r="M246" s="1307">
        <v>0</v>
      </c>
      <c r="N246" s="1313">
        <v>3</v>
      </c>
    </row>
    <row r="247" spans="1:14" s="1307" customFormat="1">
      <c r="A247" s="1317" t="s">
        <v>1588</v>
      </c>
      <c r="B247" s="1307" t="s">
        <v>1587</v>
      </c>
      <c r="D247" s="1313">
        <v>0</v>
      </c>
      <c r="E247" s="1316">
        <v>6304</v>
      </c>
      <c r="F247" s="1313">
        <v>0</v>
      </c>
      <c r="G247" s="1313">
        <v>0</v>
      </c>
      <c r="H247" s="1313">
        <f t="shared" si="9"/>
        <v>0</v>
      </c>
      <c r="I247" s="1313"/>
      <c r="J247" s="1313">
        <v>0</v>
      </c>
      <c r="K247" s="1313"/>
      <c r="L247" s="1313" t="s">
        <v>357</v>
      </c>
      <c r="M247" s="1307">
        <v>0</v>
      </c>
      <c r="N247" s="1313">
        <v>3</v>
      </c>
    </row>
    <row r="248" spans="1:14" s="1307" customFormat="1">
      <c r="A248" s="1317" t="s">
        <v>1586</v>
      </c>
      <c r="B248" s="1307" t="s">
        <v>1585</v>
      </c>
      <c r="D248" s="1313">
        <v>0</v>
      </c>
      <c r="E248" s="1316">
        <v>920</v>
      </c>
      <c r="F248" s="1313">
        <v>0</v>
      </c>
      <c r="G248" s="1313">
        <v>0</v>
      </c>
      <c r="H248" s="1313">
        <f t="shared" si="9"/>
        <v>0</v>
      </c>
      <c r="I248" s="1313"/>
      <c r="J248" s="1313">
        <v>0</v>
      </c>
      <c r="K248" s="1313"/>
      <c r="L248" s="1313" t="s">
        <v>357</v>
      </c>
      <c r="M248" s="1307">
        <v>0</v>
      </c>
      <c r="N248" s="1313">
        <v>3</v>
      </c>
    </row>
    <row r="249" spans="1:14" s="1307" customFormat="1">
      <c r="A249" s="1317" t="s">
        <v>1584</v>
      </c>
      <c r="B249" s="1307" t="s">
        <v>1583</v>
      </c>
      <c r="D249" s="1313">
        <v>0</v>
      </c>
      <c r="E249" s="1316">
        <v>0</v>
      </c>
      <c r="F249" s="1313">
        <v>0</v>
      </c>
      <c r="G249" s="1313">
        <v>0</v>
      </c>
      <c r="H249" s="1313">
        <f t="shared" si="9"/>
        <v>0</v>
      </c>
      <c r="I249" s="1313"/>
      <c r="J249" s="1313">
        <v>0</v>
      </c>
      <c r="K249" s="1313"/>
      <c r="L249" s="1313" t="s">
        <v>357</v>
      </c>
      <c r="M249" s="1307">
        <v>0</v>
      </c>
      <c r="N249" s="1313">
        <v>3</v>
      </c>
    </row>
    <row r="250" spans="1:14" s="1307" customFormat="1">
      <c r="A250" s="1317" t="s">
        <v>1582</v>
      </c>
      <c r="B250" s="1307" t="s">
        <v>1581</v>
      </c>
      <c r="D250" s="1313">
        <v>0</v>
      </c>
      <c r="E250" s="1316">
        <v>9387</v>
      </c>
      <c r="F250" s="1313">
        <v>0</v>
      </c>
      <c r="G250" s="1313">
        <v>0</v>
      </c>
      <c r="H250" s="1313">
        <f t="shared" si="9"/>
        <v>0</v>
      </c>
      <c r="I250" s="1313"/>
      <c r="J250" s="1313">
        <v>0</v>
      </c>
      <c r="K250" s="1313"/>
      <c r="L250" s="1313" t="s">
        <v>357</v>
      </c>
      <c r="M250" s="1307">
        <v>0</v>
      </c>
      <c r="N250" s="1313">
        <v>3</v>
      </c>
    </row>
    <row r="251" spans="1:14" s="1307" customFormat="1">
      <c r="A251" s="1317" t="s">
        <v>1580</v>
      </c>
      <c r="B251" s="1307" t="s">
        <v>1579</v>
      </c>
      <c r="D251" s="1313">
        <v>0</v>
      </c>
      <c r="E251" s="1316">
        <v>7689</v>
      </c>
      <c r="F251" s="1313">
        <v>0</v>
      </c>
      <c r="G251" s="1313">
        <v>0</v>
      </c>
      <c r="H251" s="1313">
        <f t="shared" si="9"/>
        <v>0</v>
      </c>
      <c r="I251" s="1313"/>
      <c r="J251" s="1313">
        <v>0</v>
      </c>
      <c r="K251" s="1313"/>
      <c r="L251" s="1313" t="s">
        <v>357</v>
      </c>
      <c r="M251" s="1307">
        <v>0</v>
      </c>
      <c r="N251" s="1313">
        <v>3</v>
      </c>
    </row>
    <row r="252" spans="1:14" s="1307" customFormat="1">
      <c r="A252" s="1317" t="s">
        <v>1578</v>
      </c>
      <c r="B252" s="1307" t="s">
        <v>1577</v>
      </c>
      <c r="D252" s="1313">
        <v>0</v>
      </c>
      <c r="E252" s="1316">
        <v>0</v>
      </c>
      <c r="F252" s="1313">
        <v>0</v>
      </c>
      <c r="G252" s="1313">
        <v>0</v>
      </c>
      <c r="H252" s="1313">
        <f t="shared" si="9"/>
        <v>0</v>
      </c>
      <c r="I252" s="1313"/>
      <c r="J252" s="1313">
        <v>0</v>
      </c>
      <c r="K252" s="1313"/>
      <c r="L252" s="1313" t="s">
        <v>357</v>
      </c>
      <c r="M252" s="1307">
        <v>0</v>
      </c>
      <c r="N252" s="1313">
        <v>3</v>
      </c>
    </row>
    <row r="253" spans="1:14" s="1307" customFormat="1">
      <c r="A253" s="1317" t="s">
        <v>1576</v>
      </c>
      <c r="B253" s="1307" t="s">
        <v>1575</v>
      </c>
      <c r="D253" s="1313">
        <v>0</v>
      </c>
      <c r="E253" s="1316">
        <v>8177</v>
      </c>
      <c r="F253" s="1313">
        <v>0</v>
      </c>
      <c r="G253" s="1313">
        <v>0</v>
      </c>
      <c r="H253" s="1313">
        <f t="shared" si="9"/>
        <v>0</v>
      </c>
      <c r="I253" s="1313"/>
      <c r="J253" s="1313">
        <v>0</v>
      </c>
      <c r="K253" s="1313"/>
      <c r="L253" s="1313" t="s">
        <v>357</v>
      </c>
      <c r="M253" s="1307">
        <v>0</v>
      </c>
      <c r="N253" s="1313">
        <v>3</v>
      </c>
    </row>
    <row r="254" spans="1:14" s="1307" customFormat="1">
      <c r="A254" s="1317" t="s">
        <v>1574</v>
      </c>
      <c r="B254" s="1307" t="s">
        <v>1573</v>
      </c>
      <c r="D254" s="1313">
        <v>0</v>
      </c>
      <c r="E254" s="1316">
        <v>0</v>
      </c>
      <c r="F254" s="1313">
        <v>0</v>
      </c>
      <c r="G254" s="1313">
        <v>0</v>
      </c>
      <c r="H254" s="1313">
        <f t="shared" si="9"/>
        <v>0</v>
      </c>
      <c r="I254" s="1313"/>
      <c r="J254" s="1313">
        <v>0</v>
      </c>
      <c r="K254" s="1313"/>
      <c r="L254" s="1313" t="s">
        <v>357</v>
      </c>
      <c r="M254" s="1307">
        <v>0</v>
      </c>
      <c r="N254" s="1313">
        <v>3</v>
      </c>
    </row>
    <row r="255" spans="1:14" s="1307" customFormat="1">
      <c r="A255" s="1317" t="s">
        <v>1572</v>
      </c>
      <c r="B255" s="1307" t="s">
        <v>1571</v>
      </c>
      <c r="D255" s="1313">
        <v>0</v>
      </c>
      <c r="E255" s="1316">
        <v>0</v>
      </c>
      <c r="F255" s="1313">
        <v>0</v>
      </c>
      <c r="G255" s="1313">
        <v>0</v>
      </c>
      <c r="H255" s="1313">
        <f t="shared" si="9"/>
        <v>0</v>
      </c>
      <c r="I255" s="1313"/>
      <c r="J255" s="1313">
        <v>0</v>
      </c>
      <c r="K255" s="1313"/>
      <c r="L255" s="1313" t="s">
        <v>357</v>
      </c>
      <c r="M255" s="1307">
        <v>0</v>
      </c>
      <c r="N255" s="1313">
        <v>3</v>
      </c>
    </row>
    <row r="256" spans="1:14" s="1307" customFormat="1">
      <c r="A256" s="1317" t="s">
        <v>1570</v>
      </c>
      <c r="B256" s="1307" t="s">
        <v>1569</v>
      </c>
      <c r="D256" s="1313">
        <v>0</v>
      </c>
      <c r="E256" s="1316">
        <v>15649</v>
      </c>
      <c r="F256" s="1313">
        <v>0</v>
      </c>
      <c r="G256" s="1313">
        <v>0</v>
      </c>
      <c r="H256" s="1313">
        <f t="shared" si="9"/>
        <v>0</v>
      </c>
      <c r="I256" s="1313"/>
      <c r="J256" s="1313">
        <v>0</v>
      </c>
      <c r="K256" s="1313"/>
      <c r="L256" s="1313" t="s">
        <v>357</v>
      </c>
      <c r="M256" s="1307">
        <v>0</v>
      </c>
      <c r="N256" s="1313">
        <v>3</v>
      </c>
    </row>
    <row r="257" spans="1:14" s="1307" customFormat="1">
      <c r="A257" s="1317" t="s">
        <v>1568</v>
      </c>
      <c r="B257" s="1307" t="s">
        <v>1567</v>
      </c>
      <c r="D257" s="1313">
        <v>0</v>
      </c>
      <c r="E257" s="1316">
        <v>27440</v>
      </c>
      <c r="F257" s="1313">
        <v>0</v>
      </c>
      <c r="G257" s="1313">
        <v>0</v>
      </c>
      <c r="H257" s="1313">
        <f t="shared" si="9"/>
        <v>0</v>
      </c>
      <c r="I257" s="1313"/>
      <c r="J257" s="1313">
        <v>0</v>
      </c>
      <c r="K257" s="1313"/>
      <c r="L257" s="1313" t="s">
        <v>357</v>
      </c>
      <c r="M257" s="1307">
        <v>0</v>
      </c>
      <c r="N257" s="1313">
        <v>3</v>
      </c>
    </row>
    <row r="258" spans="1:14" s="1307" customFormat="1">
      <c r="A258" s="1317" t="s">
        <v>1566</v>
      </c>
      <c r="B258" s="1307" t="s">
        <v>1565</v>
      </c>
      <c r="D258" s="1313">
        <v>0</v>
      </c>
      <c r="E258" s="1316">
        <v>4273</v>
      </c>
      <c r="F258" s="1313">
        <v>0</v>
      </c>
      <c r="G258" s="1313">
        <v>0</v>
      </c>
      <c r="H258" s="1313">
        <f t="shared" si="9"/>
        <v>0</v>
      </c>
      <c r="I258" s="1313"/>
      <c r="J258" s="1313">
        <v>0</v>
      </c>
      <c r="K258" s="1313"/>
      <c r="L258" s="1313" t="s">
        <v>357</v>
      </c>
      <c r="M258" s="1307">
        <v>0</v>
      </c>
      <c r="N258" s="1313">
        <v>3</v>
      </c>
    </row>
    <row r="259" spans="1:14" s="1307" customFormat="1">
      <c r="A259" s="1317" t="s">
        <v>1564</v>
      </c>
      <c r="B259" s="1307" t="s">
        <v>1563</v>
      </c>
      <c r="D259" s="1313">
        <v>0</v>
      </c>
      <c r="E259" s="1316">
        <v>0</v>
      </c>
      <c r="F259" s="1313">
        <v>0</v>
      </c>
      <c r="G259" s="1313">
        <v>0</v>
      </c>
      <c r="H259" s="1313">
        <f t="shared" si="9"/>
        <v>0</v>
      </c>
      <c r="I259" s="1313"/>
      <c r="J259" s="1313">
        <v>0</v>
      </c>
      <c r="K259" s="1313"/>
      <c r="L259" s="1313" t="s">
        <v>357</v>
      </c>
      <c r="M259" s="1307">
        <v>0</v>
      </c>
      <c r="N259" s="1313">
        <v>3</v>
      </c>
    </row>
    <row r="260" spans="1:14" s="1310" customFormat="1">
      <c r="A260" s="1315" t="s">
        <v>1562</v>
      </c>
      <c r="B260" s="1312" t="s">
        <v>1561</v>
      </c>
      <c r="C260" s="1312"/>
      <c r="D260" s="1311">
        <v>0</v>
      </c>
      <c r="E260" s="1314">
        <v>37971</v>
      </c>
      <c r="F260" s="1311">
        <v>0</v>
      </c>
      <c r="G260" s="1311">
        <v>0</v>
      </c>
      <c r="H260" s="1313">
        <f t="shared" si="9"/>
        <v>0</v>
      </c>
      <c r="I260" s="1313"/>
      <c r="J260" s="1311">
        <v>0</v>
      </c>
      <c r="K260" s="1311"/>
      <c r="L260" s="1311" t="s">
        <v>357</v>
      </c>
      <c r="M260" s="1312">
        <v>0</v>
      </c>
      <c r="N260" s="1311">
        <v>3</v>
      </c>
    </row>
    <row r="261" spans="1:14">
      <c r="E261" s="1306">
        <f>SUM(E223:E260)</f>
        <v>607204</v>
      </c>
      <c r="L261" s="967">
        <f>COUNT(E223:E260)</f>
        <v>38</v>
      </c>
    </row>
    <row r="264" spans="1:14">
      <c r="A264" s="1309"/>
    </row>
    <row r="265" spans="1:14">
      <c r="A265" s="1309"/>
    </row>
    <row r="266" spans="1:14">
      <c r="B266" s="1308" t="s">
        <v>1560</v>
      </c>
      <c r="C266" s="1308"/>
    </row>
    <row r="268" spans="1:14">
      <c r="B268" s="1307" t="s">
        <v>1559</v>
      </c>
      <c r="C268" s="1307"/>
    </row>
    <row r="270" spans="1:14">
      <c r="B270" s="1216" t="s">
        <v>1558</v>
      </c>
    </row>
  </sheetData>
  <pageMargins left="0.7" right="0.7" top="0.75" bottom="0.75" header="0.3" footer="0.3"/>
  <pageSetup scale="60" fitToHeight="10" orientation="landscape" r:id="rId1"/>
  <headerFooter>
    <oddFooter>&amp;F</oddFooter>
  </headerFooter>
  <rowBreaks count="1" manualBreakCount="1">
    <brk id="161" max="11" man="1"/>
  </rowBreaks>
  <drawing r:id="rId2"/>
  <legacyDrawing r:id="rId3"/>
</worksheet>
</file>

<file path=xl/worksheets/sheet85.xml><?xml version="1.0" encoding="utf-8"?>
<worksheet xmlns="http://schemas.openxmlformats.org/spreadsheetml/2006/main" xmlns:r="http://schemas.openxmlformats.org/officeDocument/2006/relationships">
  <sheetPr codeName="Sheet64">
    <tabColor rgb="FFFF0000"/>
  </sheetPr>
  <dimension ref="A1:L56"/>
  <sheetViews>
    <sheetView zoomScaleNormal="100" workbookViewId="0">
      <selection activeCell="H21" sqref="H21"/>
    </sheetView>
  </sheetViews>
  <sheetFormatPr defaultRowHeight="15"/>
  <cols>
    <col min="1" max="1" width="6.42578125" customWidth="1"/>
    <col min="2" max="2" width="33.42578125" bestFit="1" customWidth="1"/>
    <col min="3" max="3" width="5.140625" bestFit="1" customWidth="1"/>
    <col min="4" max="4" width="15.5703125" bestFit="1" customWidth="1"/>
    <col min="5" max="5" width="12.28515625" bestFit="1" customWidth="1"/>
    <col min="6" max="6" width="23" bestFit="1" customWidth="1"/>
    <col min="7" max="7" width="9.28515625" customWidth="1"/>
    <col min="8" max="8" width="13.5703125" bestFit="1" customWidth="1"/>
    <col min="10" max="10" width="14.5703125" bestFit="1" customWidth="1"/>
  </cols>
  <sheetData>
    <row r="1" spans="1:12">
      <c r="A1" s="1373" t="s">
        <v>2164</v>
      </c>
      <c r="B1" s="1320"/>
      <c r="C1" s="967"/>
      <c r="D1" s="967"/>
      <c r="E1" s="1306"/>
      <c r="F1" s="967"/>
      <c r="G1" s="967"/>
      <c r="H1" s="967"/>
      <c r="I1" s="967"/>
      <c r="J1" s="967"/>
      <c r="L1" s="967"/>
    </row>
    <row r="2" spans="1:12">
      <c r="A2" s="1387" t="s">
        <v>2163</v>
      </c>
      <c r="C2" s="967"/>
      <c r="D2" s="967"/>
      <c r="E2" s="1306"/>
      <c r="F2" s="269">
        <f>'Building List'!M53+'Building List'!M73+'Building List'!M84+'Building List'!M106+'Building List'!M148+'Building List'!M159+'Building List'!M173+'Building List'!M187+'Building List'!M218</f>
        <v>1056685766</v>
      </c>
      <c r="G2" s="967"/>
      <c r="H2" s="967"/>
      <c r="I2" s="967"/>
      <c r="J2" s="967"/>
      <c r="L2" s="967"/>
    </row>
    <row r="3" spans="1:12">
      <c r="A3" s="1345">
        <v>-1</v>
      </c>
      <c r="B3" s="1386" t="s">
        <v>2162</v>
      </c>
      <c r="C3" s="967"/>
      <c r="D3" s="967"/>
      <c r="E3" s="1306"/>
      <c r="F3" s="967"/>
      <c r="G3" s="967"/>
      <c r="H3" s="967"/>
      <c r="I3" s="967"/>
      <c r="J3" s="967"/>
      <c r="L3" s="967"/>
    </row>
    <row r="4" spans="1:12">
      <c r="A4" s="1343" t="s">
        <v>347</v>
      </c>
      <c r="B4" t="s">
        <v>2161</v>
      </c>
      <c r="C4" s="967"/>
      <c r="D4" s="967"/>
      <c r="E4" s="1306"/>
      <c r="F4" s="967"/>
      <c r="G4" s="967"/>
      <c r="H4" s="967"/>
      <c r="I4" s="967"/>
      <c r="J4" s="967"/>
      <c r="L4" s="967"/>
    </row>
    <row r="5" spans="1:12">
      <c r="C5" s="967"/>
      <c r="D5" s="967"/>
      <c r="E5" s="1306"/>
      <c r="F5" s="967"/>
      <c r="G5" s="967"/>
      <c r="H5" s="967"/>
      <c r="I5" s="967"/>
      <c r="J5" s="967"/>
      <c r="L5" s="967"/>
    </row>
    <row r="6" spans="1:12">
      <c r="A6" s="1385" t="s">
        <v>2160</v>
      </c>
      <c r="B6" s="1320"/>
      <c r="C6" s="967"/>
      <c r="D6" s="967"/>
      <c r="E6" s="1306"/>
      <c r="F6" s="1306"/>
      <c r="G6" s="1329" t="s">
        <v>2159</v>
      </c>
      <c r="H6" s="967"/>
      <c r="I6" s="967"/>
      <c r="J6" s="967"/>
      <c r="K6" s="967"/>
      <c r="L6" s="967"/>
    </row>
    <row r="7" spans="1:12">
      <c r="A7" t="s">
        <v>357</v>
      </c>
      <c r="B7" t="s">
        <v>973</v>
      </c>
      <c r="C7" s="1384">
        <f>'Building List'!L53</f>
        <v>50</v>
      </c>
      <c r="D7" s="1383">
        <f>'Building List'!M53</f>
        <v>778091304</v>
      </c>
      <c r="E7" s="1376">
        <f>C7/C10</f>
        <v>0.49019607843137253</v>
      </c>
      <c r="F7" s="1306"/>
      <c r="G7" s="967">
        <v>1</v>
      </c>
      <c r="H7" s="967" t="s">
        <v>1528</v>
      </c>
      <c r="I7" s="967"/>
      <c r="J7" s="967"/>
      <c r="K7" s="967"/>
      <c r="L7" s="967"/>
    </row>
    <row r="8" spans="1:12">
      <c r="A8" t="s">
        <v>358</v>
      </c>
      <c r="B8" t="s">
        <v>2146</v>
      </c>
      <c r="C8" s="1382">
        <f>'Building List'!L73</f>
        <v>15</v>
      </c>
      <c r="D8" s="1381">
        <f>'Building List'!M73</f>
        <v>99015040</v>
      </c>
      <c r="E8" s="1376">
        <f>C8/C10</f>
        <v>0.14705882352941177</v>
      </c>
      <c r="F8" s="1306"/>
      <c r="G8" s="967">
        <v>2</v>
      </c>
      <c r="H8" s="967" t="s">
        <v>2158</v>
      </c>
      <c r="I8" s="967"/>
      <c r="J8" s="967"/>
      <c r="K8" s="967"/>
      <c r="L8" s="967"/>
    </row>
    <row r="9" spans="1:12">
      <c r="A9" t="s">
        <v>342</v>
      </c>
      <c r="B9" t="s">
        <v>975</v>
      </c>
      <c r="C9" s="1329">
        <f>'Building List'!L148</f>
        <v>37</v>
      </c>
      <c r="D9" s="1375">
        <f>'Building List'!M148</f>
        <v>93662358</v>
      </c>
      <c r="E9" s="1380">
        <f>C9/C10</f>
        <v>0.36274509803921567</v>
      </c>
      <c r="F9" s="1306"/>
      <c r="G9" s="967">
        <v>3</v>
      </c>
      <c r="H9" s="967" t="s">
        <v>2157</v>
      </c>
      <c r="I9" s="967"/>
      <c r="J9" s="967"/>
      <c r="K9" s="967"/>
      <c r="L9" s="967"/>
    </row>
    <row r="10" spans="1:12">
      <c r="B10" s="1374" t="s">
        <v>37</v>
      </c>
      <c r="C10" s="1324">
        <f>SUM(C7:C9)</f>
        <v>102</v>
      </c>
      <c r="D10" s="1379">
        <f>SUM(D7:D9)</f>
        <v>970768702</v>
      </c>
      <c r="E10" s="1376">
        <f>SUM(E7:E9)</f>
        <v>1</v>
      </c>
      <c r="F10" s="1306"/>
      <c r="G10" s="967">
        <v>4</v>
      </c>
      <c r="H10" s="967" t="s">
        <v>2156</v>
      </c>
      <c r="I10" s="967"/>
      <c r="J10" s="967"/>
      <c r="K10" s="967"/>
      <c r="L10" s="967"/>
    </row>
    <row r="11" spans="1:12">
      <c r="B11" s="1374" t="s">
        <v>2155</v>
      </c>
      <c r="C11" s="1378">
        <f>C7+C8</f>
        <v>65</v>
      </c>
      <c r="D11" s="1377">
        <f>D7+D8</f>
        <v>877106344</v>
      </c>
      <c r="E11" s="1376">
        <f>C11/C10</f>
        <v>0.63725490196078427</v>
      </c>
      <c r="F11" s="1306"/>
      <c r="G11" s="967">
        <v>5</v>
      </c>
      <c r="H11" s="967" t="s">
        <v>26</v>
      </c>
      <c r="I11" s="967"/>
      <c r="J11" s="967"/>
      <c r="K11" s="967"/>
      <c r="L11" s="967"/>
    </row>
    <row r="12" spans="1:12">
      <c r="C12" s="967"/>
      <c r="D12" s="268"/>
      <c r="E12" s="1306"/>
      <c r="F12" s="1306"/>
      <c r="G12" s="967">
        <v>6</v>
      </c>
      <c r="H12" s="967" t="s">
        <v>2154</v>
      </c>
      <c r="I12" s="967"/>
      <c r="J12" s="967"/>
      <c r="K12" s="967"/>
      <c r="L12" s="967"/>
    </row>
    <row r="13" spans="1:12">
      <c r="A13" t="s">
        <v>322</v>
      </c>
      <c r="B13" t="s">
        <v>2144</v>
      </c>
      <c r="C13" s="967">
        <f>'Building List'!L84</f>
        <v>6</v>
      </c>
      <c r="D13" s="268">
        <f>'Building List'!M84</f>
        <v>2015990</v>
      </c>
      <c r="E13" s="1306"/>
      <c r="F13" s="967"/>
      <c r="G13" s="967"/>
      <c r="H13" s="967"/>
      <c r="I13" s="967"/>
      <c r="J13" s="967"/>
      <c r="L13" s="967"/>
    </row>
    <row r="14" spans="1:12">
      <c r="A14" t="s">
        <v>1885</v>
      </c>
      <c r="B14" t="s">
        <v>2143</v>
      </c>
      <c r="C14" s="967">
        <f>'Building List'!L106</f>
        <v>17</v>
      </c>
      <c r="D14" s="268">
        <f>'Building List'!M106</f>
        <v>15737016</v>
      </c>
      <c r="E14" s="1306"/>
      <c r="F14" s="967"/>
      <c r="G14" s="967"/>
      <c r="H14" s="967"/>
      <c r="I14" s="967"/>
      <c r="J14" s="967"/>
      <c r="L14" s="967"/>
    </row>
    <row r="15" spans="1:12">
      <c r="A15" t="s">
        <v>325</v>
      </c>
      <c r="B15" t="s">
        <v>2142</v>
      </c>
      <c r="C15" s="967">
        <f>'Building List'!L218</f>
        <v>26</v>
      </c>
      <c r="D15" s="268">
        <f>'Building List'!M218</f>
        <v>4298861</v>
      </c>
      <c r="E15" s="1306"/>
      <c r="F15" s="1374" t="s">
        <v>2153</v>
      </c>
      <c r="G15" s="967"/>
      <c r="H15" s="967"/>
      <c r="I15" s="967"/>
      <c r="J15" s="967"/>
      <c r="L15" s="967"/>
    </row>
    <row r="16" spans="1:12">
      <c r="A16" t="s">
        <v>1621</v>
      </c>
      <c r="B16" t="s">
        <v>2141</v>
      </c>
      <c r="C16" s="967">
        <f>'Building List'!L173</f>
        <v>9</v>
      </c>
      <c r="D16" s="268">
        <f>'Building List'!M173</f>
        <v>17006924</v>
      </c>
      <c r="E16" s="1306"/>
      <c r="F16" s="1374" t="s">
        <v>2148</v>
      </c>
      <c r="G16" s="967">
        <f>C10+C20-C19</f>
        <v>175</v>
      </c>
      <c r="H16" s="967"/>
      <c r="I16" s="967"/>
      <c r="J16" s="967"/>
      <c r="L16" s="967"/>
    </row>
    <row r="17" spans="1:12">
      <c r="A17" t="s">
        <v>326</v>
      </c>
      <c r="B17" t="s">
        <v>2152</v>
      </c>
      <c r="C17" s="967">
        <f>'Building List'!L187</f>
        <v>9</v>
      </c>
      <c r="D17" s="268">
        <f>'Building List'!M187</f>
        <v>40698073</v>
      </c>
      <c r="E17" s="1306"/>
      <c r="F17" s="967"/>
      <c r="G17" s="967"/>
      <c r="H17" s="967"/>
      <c r="I17" s="967"/>
      <c r="J17" s="967"/>
      <c r="L17" s="967"/>
    </row>
    <row r="18" spans="1:12">
      <c r="A18" t="s">
        <v>339</v>
      </c>
      <c r="B18" t="s">
        <v>26</v>
      </c>
      <c r="C18" s="967">
        <f>'Building List'!L159</f>
        <v>6</v>
      </c>
      <c r="D18" s="268">
        <f>'Building List'!M159</f>
        <v>6160200</v>
      </c>
      <c r="E18" s="1306"/>
      <c r="F18" s="1374"/>
      <c r="G18" s="967"/>
      <c r="H18" s="967"/>
      <c r="I18" s="967"/>
      <c r="J18" s="967"/>
      <c r="L18" s="967"/>
    </row>
    <row r="19" spans="1:12">
      <c r="B19" t="s">
        <v>2151</v>
      </c>
      <c r="C19" s="1329">
        <f>'Building List'!L261</f>
        <v>38</v>
      </c>
      <c r="D19" s="1375">
        <f>'Building List'!M261</f>
        <v>0</v>
      </c>
      <c r="E19" s="1306"/>
      <c r="F19" s="1374"/>
      <c r="G19" s="967"/>
      <c r="H19" s="967"/>
      <c r="I19" s="967"/>
      <c r="J19" s="967"/>
      <c r="L19" s="967"/>
    </row>
    <row r="20" spans="1:12">
      <c r="B20" s="1374" t="s">
        <v>37</v>
      </c>
      <c r="C20" s="967">
        <f>SUM(C13:C19)</f>
        <v>111</v>
      </c>
      <c r="D20" s="268">
        <f>SUM(D13:D19)</f>
        <v>85917064</v>
      </c>
      <c r="E20" s="1306"/>
      <c r="F20" s="967"/>
      <c r="G20" s="967"/>
      <c r="H20" s="967"/>
      <c r="I20" s="967"/>
      <c r="J20" s="967"/>
      <c r="L20" s="967"/>
    </row>
    <row r="21" spans="1:12">
      <c r="C21" s="967"/>
      <c r="D21" s="967"/>
      <c r="E21" s="1306"/>
      <c r="F21" s="967"/>
      <c r="G21" s="967"/>
      <c r="H21" s="1367">
        <f>'BY START DATE'!$O$11</f>
        <v>2500000</v>
      </c>
      <c r="I21" t="s">
        <v>2150</v>
      </c>
      <c r="L21" s="967"/>
    </row>
    <row r="22" spans="1:12">
      <c r="C22" s="967"/>
      <c r="D22" s="967"/>
      <c r="E22" s="1306"/>
      <c r="F22" s="967"/>
      <c r="G22" s="967"/>
      <c r="H22">
        <f>'BY START DATE'!$O$13/10</f>
        <v>1.1000000000000001</v>
      </c>
      <c r="I22" t="s">
        <v>2149</v>
      </c>
      <c r="L22" s="967"/>
    </row>
    <row r="23" spans="1:12">
      <c r="B23" s="1373" t="s">
        <v>2148</v>
      </c>
      <c r="C23" s="1373"/>
      <c r="D23" s="1373"/>
      <c r="E23" s="1373" t="s">
        <v>25</v>
      </c>
      <c r="H23" s="1372">
        <f>H22*H26</f>
        <v>49859.947791482118</v>
      </c>
      <c r="I23" t="s">
        <v>2919</v>
      </c>
      <c r="L23" s="967"/>
    </row>
    <row r="24" spans="1:12">
      <c r="B24" s="1371" t="s">
        <v>973</v>
      </c>
      <c r="C24" s="967"/>
      <c r="D24" s="967"/>
      <c r="E24" s="1369">
        <f>'Building List'!E53</f>
        <v>3891223.1855078205</v>
      </c>
      <c r="H24" s="1367">
        <f>'BY START DATE'!$P$13/10/H23</f>
        <v>141.54066856951817</v>
      </c>
      <c r="I24" t="s">
        <v>2147</v>
      </c>
      <c r="L24" s="967"/>
    </row>
    <row r="25" spans="1:12">
      <c r="B25" s="1371" t="s">
        <v>2146</v>
      </c>
      <c r="C25" s="967"/>
      <c r="D25" s="967"/>
      <c r="E25" s="1369">
        <f>'Building List'!E73</f>
        <v>580163</v>
      </c>
      <c r="I25" s="967"/>
      <c r="J25" s="967"/>
      <c r="L25" s="967"/>
    </row>
    <row r="26" spans="1:12">
      <c r="B26" s="1371" t="s">
        <v>975</v>
      </c>
      <c r="C26" s="967"/>
      <c r="D26" s="967"/>
      <c r="E26" s="1369">
        <f>'Building List'!E148</f>
        <v>1158954</v>
      </c>
      <c r="F26" s="967"/>
      <c r="G26" s="322" t="s">
        <v>2145</v>
      </c>
      <c r="H26" s="1369">
        <f>SUM($E$24:$E$28,$E$30)/SUM($C$10,$C$13:$C$14,$C$16)</f>
        <v>45327.225264983739</v>
      </c>
      <c r="I26" s="967"/>
      <c r="J26" s="1367"/>
      <c r="L26" s="967"/>
    </row>
    <row r="27" spans="1:12">
      <c r="B27" s="1371" t="s">
        <v>2144</v>
      </c>
      <c r="C27" s="967"/>
      <c r="D27" s="967"/>
      <c r="E27" s="1369">
        <f>'Building List'!E84</f>
        <v>266250</v>
      </c>
      <c r="I27" s="967"/>
      <c r="J27" s="967"/>
      <c r="L27" s="967"/>
    </row>
    <row r="28" spans="1:12">
      <c r="B28" s="1371" t="s">
        <v>2143</v>
      </c>
      <c r="C28" s="967"/>
      <c r="D28" s="967"/>
      <c r="E28" s="1369">
        <f>'Building List'!E106</f>
        <v>65985</v>
      </c>
      <c r="I28" s="967"/>
      <c r="J28" s="967"/>
      <c r="L28" s="967"/>
    </row>
    <row r="29" spans="1:12">
      <c r="B29" s="1371" t="s">
        <v>2142</v>
      </c>
      <c r="C29" s="967"/>
      <c r="D29" s="967"/>
      <c r="E29" s="1369">
        <f>'Building List'!E218</f>
        <v>58883</v>
      </c>
      <c r="I29" s="967"/>
      <c r="J29" s="967"/>
      <c r="L29" s="967"/>
    </row>
    <row r="30" spans="1:12">
      <c r="B30" s="1371" t="s">
        <v>2141</v>
      </c>
      <c r="C30" s="967"/>
      <c r="D30" s="967"/>
      <c r="E30" s="1369">
        <f>'Building List'!E173</f>
        <v>111273</v>
      </c>
      <c r="F30" s="967"/>
      <c r="G30" s="967"/>
      <c r="H30" s="967"/>
      <c r="I30" s="967"/>
      <c r="J30" s="967"/>
      <c r="L30" s="967"/>
    </row>
    <row r="31" spans="1:12">
      <c r="B31" s="1371" t="s">
        <v>2140</v>
      </c>
      <c r="C31" s="967"/>
      <c r="D31" s="967"/>
      <c r="E31" s="1369">
        <f>'Building List'!E187</f>
        <v>1632372</v>
      </c>
      <c r="F31" s="967"/>
      <c r="G31" s="967"/>
      <c r="H31" s="967"/>
      <c r="I31" s="967"/>
      <c r="J31" s="967"/>
      <c r="L31" s="967"/>
    </row>
    <row r="32" spans="1:12">
      <c r="B32" s="1371" t="s">
        <v>26</v>
      </c>
      <c r="C32" s="967"/>
      <c r="D32" s="967"/>
      <c r="E32" s="1370">
        <f>'Building List'!E159</f>
        <v>47269</v>
      </c>
      <c r="F32" s="967"/>
      <c r="G32" s="967"/>
      <c r="H32" s="967"/>
      <c r="I32" s="967"/>
      <c r="J32" s="967"/>
      <c r="L32" s="967"/>
    </row>
    <row r="33" spans="3:12">
      <c r="C33" s="967"/>
      <c r="D33" s="967"/>
      <c r="E33" s="1369">
        <f>SUM(E24:E32)</f>
        <v>7812372.1855078209</v>
      </c>
      <c r="F33" s="967"/>
      <c r="G33" s="967"/>
      <c r="H33" s="967"/>
      <c r="I33" s="967"/>
      <c r="J33" s="967"/>
      <c r="L33" s="967"/>
    </row>
    <row r="51" spans="6:8">
      <c r="F51" s="967"/>
      <c r="G51" s="322" t="s">
        <v>2139</v>
      </c>
      <c r="H51" s="1367">
        <f>SUM($D$10,$D$13:$D$14,$D$16)/SUM($E$24:$E$28,$E$30)</f>
        <v>165.55050460417954</v>
      </c>
    </row>
    <row r="52" spans="6:8">
      <c r="F52" s="967"/>
      <c r="G52" s="967"/>
      <c r="H52" s="967"/>
    </row>
    <row r="53" spans="6:8">
      <c r="F53" s="322" t="s">
        <v>2138</v>
      </c>
      <c r="G53" s="1368">
        <v>0.7</v>
      </c>
      <c r="H53" s="1367">
        <f>H51*G53</f>
        <v>115.88535322292567</v>
      </c>
    </row>
    <row r="54" spans="6:8">
      <c r="F54" s="967"/>
      <c r="G54" s="322"/>
      <c r="H54" s="1367"/>
    </row>
    <row r="55" spans="6:8">
      <c r="F55" s="967"/>
      <c r="G55" s="967"/>
      <c r="H55" s="967"/>
    </row>
    <row r="56" spans="6:8">
      <c r="F56" s="322"/>
      <c r="G56" s="1368"/>
      <c r="H56" s="1367"/>
    </row>
  </sheetData>
  <pageMargins left="0.7" right="0.7" top="0.75" bottom="0.75" header="0.3" footer="0.3"/>
  <pageSetup scale="88" orientation="landscape" r:id="rId1"/>
</worksheet>
</file>

<file path=xl/worksheets/sheet86.xml><?xml version="1.0" encoding="utf-8"?>
<worksheet xmlns="http://schemas.openxmlformats.org/spreadsheetml/2006/main" xmlns:r="http://schemas.openxmlformats.org/officeDocument/2006/relationships">
  <sheetPr codeName="Sheet65">
    <tabColor rgb="FFFF0000"/>
  </sheetPr>
  <dimension ref="A1:O214"/>
  <sheetViews>
    <sheetView workbookViewId="0">
      <pane xSplit="3" ySplit="1" topLeftCell="D2" activePane="bottomRight" state="frozen"/>
      <selection activeCell="I1" sqref="I1:I1048576"/>
      <selection pane="topRight" activeCell="I1" sqref="I1:I1048576"/>
      <selection pane="bottomLeft" activeCell="I1" sqref="I1:I1048576"/>
      <selection pane="bottomRight" activeCell="I1" sqref="I1:I1048576"/>
    </sheetView>
  </sheetViews>
  <sheetFormatPr defaultRowHeight="15"/>
  <cols>
    <col min="1" max="1" width="6" style="967" bestFit="1" customWidth="1"/>
    <col min="2" max="2" width="35.5703125" bestFit="1" customWidth="1"/>
    <col min="3" max="3" width="45.7109375" bestFit="1" customWidth="1"/>
    <col min="4" max="4" width="30" bestFit="1" customWidth="1"/>
    <col min="5" max="5" width="5.42578125" style="967" bestFit="1" customWidth="1"/>
    <col min="6" max="6" width="7" style="967" bestFit="1" customWidth="1"/>
    <col min="7" max="7" width="12.28515625" style="967" bestFit="1" customWidth="1"/>
    <col min="8" max="8" width="11" style="967" bestFit="1" customWidth="1"/>
    <col min="9" max="10" width="16.28515625" style="967" bestFit="1" customWidth="1"/>
    <col min="11" max="11" width="3.5703125" style="967" bestFit="1" customWidth="1"/>
    <col min="12" max="12" width="11.28515625" style="967" bestFit="1" customWidth="1"/>
    <col min="13" max="13" width="4.28515625" style="967" bestFit="1" customWidth="1"/>
    <col min="14" max="14" width="19.28515625" style="967" bestFit="1" customWidth="1"/>
    <col min="15" max="15" width="7" bestFit="1" customWidth="1"/>
  </cols>
  <sheetData>
    <row r="1" spans="1:15">
      <c r="A1" s="1388" t="str">
        <f>'Building List'!A1</f>
        <v>ID</v>
      </c>
      <c r="B1" s="1309" t="s">
        <v>2166</v>
      </c>
      <c r="C1" t="str">
        <f>'Building List'!B1</f>
        <v>Name</v>
      </c>
      <c r="D1" t="str">
        <f>'Building List'!C1</f>
        <v>Address</v>
      </c>
      <c r="E1" s="967" t="str">
        <f>'Building List'!D1</f>
        <v>Zone</v>
      </c>
      <c r="F1" s="967" t="str">
        <f>'Building List'!E1</f>
        <v>GSF</v>
      </c>
      <c r="G1" s="967" t="str">
        <f>'Building List'!F1</f>
        <v>Construction</v>
      </c>
      <c r="H1" s="967" t="str">
        <f>'Building List'!G1</f>
        <v>Acquisition</v>
      </c>
      <c r="I1" s="967" t="s">
        <v>2165</v>
      </c>
      <c r="J1" s="967" t="str">
        <f>'Building List'!I1</f>
        <v>Year removed from CWRU Inventory</v>
      </c>
      <c r="K1" s="967" t="str">
        <f>'Building List'!J1</f>
        <v>Air</v>
      </c>
      <c r="L1" s="967" t="str">
        <f>'Building List'!K1</f>
        <v>Sprinklered</v>
      </c>
      <c r="M1" s="967" t="str">
        <f>'Building List'!L1</f>
        <v>Use</v>
      </c>
      <c r="N1" s="967" t="str">
        <f>'Building List'!M1</f>
        <v>Replacement
Value</v>
      </c>
      <c r="O1" t="str">
        <f>'Building List'!N1</f>
        <v>Owner</v>
      </c>
    </row>
    <row r="2" spans="1:15">
      <c r="A2" s="967">
        <f>'Building List'!A40</f>
        <v>0</v>
      </c>
      <c r="B2" t="str">
        <f>'Building List'!$B$2</f>
        <v>ACADEMIC</v>
      </c>
      <c r="C2" t="str">
        <f>'Building List'!B40</f>
        <v>Sears Tower</v>
      </c>
      <c r="D2" t="str">
        <f>'Building List'!C40</f>
        <v>Circle Drive 2210</v>
      </c>
      <c r="E2" s="967">
        <f>'Building List'!D40</f>
        <v>1</v>
      </c>
      <c r="F2" s="967">
        <f>'Building List'!E40</f>
        <v>0</v>
      </c>
      <c r="G2" s="967">
        <f>'Building List'!F40</f>
        <v>0</v>
      </c>
      <c r="H2" s="967">
        <f>'Building List'!G40</f>
        <v>0</v>
      </c>
      <c r="I2" s="967">
        <f>'Building List'!H40</f>
        <v>0</v>
      </c>
      <c r="J2" s="967">
        <f>'Building List'!I40</f>
        <v>0</v>
      </c>
      <c r="K2" s="967">
        <f>'Building List'!J40</f>
        <v>0</v>
      </c>
      <c r="L2" s="967">
        <f>'Building List'!K40</f>
        <v>0</v>
      </c>
      <c r="M2" s="967">
        <f>'Building List'!L40</f>
        <v>0</v>
      </c>
      <c r="N2" s="268">
        <f>'Building List'!M40</f>
        <v>0</v>
      </c>
      <c r="O2">
        <f>'Building List'!N40</f>
        <v>0</v>
      </c>
    </row>
    <row r="3" spans="1:15">
      <c r="A3" s="967" t="str">
        <f>'Building List'!A72</f>
        <v>3D13</v>
      </c>
      <c r="B3" t="str">
        <f>'Building List'!$B$57</f>
        <v>ADMINISTRATIVE</v>
      </c>
      <c r="C3" t="str">
        <f>'Building List'!B72</f>
        <v>Wolstein Hall</v>
      </c>
      <c r="D3" t="str">
        <f>'Building List'!C72</f>
        <v>Bellflower Road 11318</v>
      </c>
      <c r="E3" s="967">
        <f>'Building List'!D72</f>
        <v>2</v>
      </c>
      <c r="F3" s="967">
        <f>'Building List'!E72</f>
        <v>15902</v>
      </c>
      <c r="G3" s="967">
        <f>'Building List'!F72</f>
        <v>0</v>
      </c>
      <c r="H3" s="967">
        <f>'Building List'!G72</f>
        <v>0</v>
      </c>
      <c r="I3" s="967">
        <f>'Building List'!H72</f>
        <v>0</v>
      </c>
      <c r="J3" s="967">
        <f>'Building List'!I72</f>
        <v>0</v>
      </c>
      <c r="K3" s="967" t="str">
        <f>'Building List'!J72</f>
        <v>Y</v>
      </c>
      <c r="L3" s="967" t="str">
        <f>'Building List'!K72</f>
        <v>FULL</v>
      </c>
      <c r="M3" s="967" t="str">
        <f>'Building List'!L72</f>
        <v>AD</v>
      </c>
      <c r="N3" s="268">
        <f>'Building List'!M72</f>
        <v>2502704</v>
      </c>
      <c r="O3">
        <f>'Building List'!N72</f>
        <v>1</v>
      </c>
    </row>
    <row r="4" spans="1:15">
      <c r="A4" s="967" t="str">
        <f>'Building List'!A81</f>
        <v>3D44</v>
      </c>
      <c r="B4" t="str">
        <f>'Building List'!$B$77</f>
        <v>COMMERCIAL</v>
      </c>
      <c r="C4" t="str">
        <f>'Building List'!B81</f>
        <v>Ford 1903 - Land Only</v>
      </c>
      <c r="D4" t="str">
        <f>'Building List'!C81</f>
        <v>Ford 1903</v>
      </c>
      <c r="E4" s="967">
        <f>'Building List'!D81</f>
        <v>0</v>
      </c>
      <c r="F4" s="967">
        <f>'Building List'!E81</f>
        <v>0</v>
      </c>
      <c r="G4" s="967">
        <f>'Building List'!F81</f>
        <v>0</v>
      </c>
      <c r="H4" s="967">
        <f>'Building List'!G81</f>
        <v>0</v>
      </c>
      <c r="I4" s="967">
        <f>'Building List'!H81</f>
        <v>0</v>
      </c>
      <c r="J4" s="967">
        <f>'Building List'!I81</f>
        <v>0</v>
      </c>
      <c r="K4" s="967">
        <f>'Building List'!J81</f>
        <v>0</v>
      </c>
      <c r="L4" s="967" t="str">
        <f>'Building List'!K81</f>
        <v>NONE</v>
      </c>
      <c r="M4" s="967" t="str">
        <f>'Building List'!L81</f>
        <v>C</v>
      </c>
      <c r="N4" s="268">
        <f>'Building List'!M81</f>
        <v>0</v>
      </c>
      <c r="O4">
        <f>'Building List'!N81</f>
        <v>1</v>
      </c>
    </row>
    <row r="5" spans="1:15">
      <c r="A5" s="967" t="str">
        <f>'Building List'!A89</f>
        <v>3D67</v>
      </c>
      <c r="B5" t="str">
        <f>'Building List'!$B$88</f>
        <v>COMMERCIAL RESIDENTIAL</v>
      </c>
      <c r="C5" t="str">
        <f>'Building List'!B89</f>
        <v>Bellflower 11424.5 - Carriage House</v>
      </c>
      <c r="D5" t="str">
        <f>'Building List'!C89</f>
        <v>Bellflower Road 11424.5</v>
      </c>
      <c r="E5" s="967">
        <f>'Building List'!D89</f>
        <v>0</v>
      </c>
      <c r="F5" s="967">
        <f>'Building List'!E89</f>
        <v>1096</v>
      </c>
      <c r="G5" s="967">
        <f>'Building List'!F89</f>
        <v>0</v>
      </c>
      <c r="H5" s="967">
        <f>'Building List'!G89</f>
        <v>0</v>
      </c>
      <c r="I5" s="967">
        <f>'Building List'!H89</f>
        <v>0</v>
      </c>
      <c r="J5" s="967">
        <f>'Building List'!I89</f>
        <v>0</v>
      </c>
      <c r="K5" s="967" t="str">
        <f>'Building List'!J89</f>
        <v>Y</v>
      </c>
      <c r="L5" s="967" t="str">
        <f>'Building List'!K89</f>
        <v>NONE</v>
      </c>
      <c r="M5" s="967" t="str">
        <f>'Building List'!L89</f>
        <v>CR</v>
      </c>
      <c r="N5" s="268">
        <f>'Building List'!M89</f>
        <v>0</v>
      </c>
      <c r="O5">
        <f>'Building List'!N89</f>
        <v>1</v>
      </c>
    </row>
    <row r="6" spans="1:15">
      <c r="A6" s="967" t="str">
        <f>'Building List'!A90</f>
        <v>6C04</v>
      </c>
      <c r="B6" t="str">
        <f>'Building List'!$B$88</f>
        <v>COMMERCIAL RESIDENTIAL</v>
      </c>
      <c r="C6" t="str">
        <f>'Building List'!B90</f>
        <v>Carlton 11901 - Scholars House</v>
      </c>
      <c r="D6" t="str">
        <f>'Building List'!C90</f>
        <v>Carlton Road 11901</v>
      </c>
      <c r="E6" s="967">
        <f>'Building List'!D90</f>
        <v>6</v>
      </c>
      <c r="F6" s="967">
        <f>'Building List'!E90</f>
        <v>8844</v>
      </c>
      <c r="G6" s="967">
        <f>'Building List'!F90</f>
        <v>0</v>
      </c>
      <c r="H6" s="967">
        <f>'Building List'!G90</f>
        <v>0</v>
      </c>
      <c r="I6" s="967">
        <f>'Building List'!H90</f>
        <v>0</v>
      </c>
      <c r="J6" s="967">
        <f>'Building List'!I90</f>
        <v>0</v>
      </c>
      <c r="K6" s="967" t="str">
        <f>'Building List'!J90</f>
        <v>N</v>
      </c>
      <c r="L6" s="967" t="str">
        <f>'Building List'!K90</f>
        <v>NONE</v>
      </c>
      <c r="M6" s="967" t="str">
        <f>'Building List'!L90</f>
        <v>CR</v>
      </c>
      <c r="N6" s="268">
        <f>'Building List'!M90</f>
        <v>2468244</v>
      </c>
      <c r="O6">
        <f>'Building List'!N90</f>
        <v>1</v>
      </c>
    </row>
    <row r="7" spans="1:15">
      <c r="A7" s="967" t="str">
        <f>'Building List'!A97</f>
        <v>6B19</v>
      </c>
      <c r="B7" t="str">
        <f>'Building List'!$B$88</f>
        <v>COMMERCIAL RESIDENTIAL</v>
      </c>
      <c r="C7" t="str">
        <f>'Building List'!B97</f>
        <v>Glenwood 11407 - House</v>
      </c>
      <c r="D7" t="str">
        <f>'Building List'!C97</f>
        <v>Glenwood 11407</v>
      </c>
      <c r="E7" s="967">
        <f>'Building List'!D97</f>
        <v>0</v>
      </c>
      <c r="F7" s="967">
        <f>'Building List'!E97</f>
        <v>0</v>
      </c>
      <c r="G7" s="967">
        <f>'Building List'!F97</f>
        <v>0</v>
      </c>
      <c r="H7" s="967">
        <f>'Building List'!G97</f>
        <v>0</v>
      </c>
      <c r="I7" s="967">
        <f>'Building List'!H97</f>
        <v>0</v>
      </c>
      <c r="J7" s="967">
        <f>'Building List'!I97</f>
        <v>0</v>
      </c>
      <c r="K7" s="967">
        <f>'Building List'!J97</f>
        <v>0</v>
      </c>
      <c r="L7" s="967">
        <f>'Building List'!K97</f>
        <v>0</v>
      </c>
      <c r="M7" s="967" t="str">
        <f>'Building List'!L97</f>
        <v>CR</v>
      </c>
      <c r="N7" s="268">
        <f>'Building List'!M97</f>
        <v>0</v>
      </c>
      <c r="O7">
        <f>'Building List'!N97</f>
        <v>1</v>
      </c>
    </row>
    <row r="8" spans="1:15">
      <c r="A8" s="967" t="str">
        <f>'Building List'!A101</f>
        <v>2E15</v>
      </c>
      <c r="B8" t="str">
        <f>'Building List'!$B$88</f>
        <v>COMMERCIAL RESIDENTIAL</v>
      </c>
      <c r="C8" t="str">
        <f>'Building List'!B101</f>
        <v>Magnolia 11116 - Magnolia House</v>
      </c>
      <c r="D8" t="str">
        <f>'Building List'!C101</f>
        <v>Magnolia 11116</v>
      </c>
      <c r="E8" s="967">
        <f>'Building List'!D101</f>
        <v>0</v>
      </c>
      <c r="F8" s="967">
        <f>'Building List'!E101</f>
        <v>0</v>
      </c>
      <c r="G8" s="967">
        <f>'Building List'!F101</f>
        <v>0</v>
      </c>
      <c r="H8" s="967">
        <f>'Building List'!G101</f>
        <v>0</v>
      </c>
      <c r="I8" s="967">
        <f>'Building List'!H101</f>
        <v>0</v>
      </c>
      <c r="J8" s="967">
        <f>'Building List'!I101</f>
        <v>0</v>
      </c>
      <c r="K8" s="967" t="str">
        <f>'Building List'!J101</f>
        <v>Y</v>
      </c>
      <c r="L8" s="967" t="str">
        <f>'Building List'!K101</f>
        <v>PARTIAL</v>
      </c>
      <c r="M8" s="967" t="str">
        <f>'Building List'!L101</f>
        <v>CR</v>
      </c>
      <c r="N8" s="268">
        <f>'Building List'!M101</f>
        <v>1898168</v>
      </c>
      <c r="O8">
        <f>'Building List'!N101</f>
        <v>1</v>
      </c>
    </row>
    <row r="9" spans="1:15">
      <c r="A9" s="967">
        <f>'Building List'!A178</f>
        <v>0</v>
      </c>
      <c r="B9" t="str">
        <f>'Building List'!$B$177</f>
        <v>GARAGES</v>
      </c>
      <c r="C9" t="str">
        <f>'Building List'!B178</f>
        <v xml:space="preserve">Lot S-10 - Crawford Hall </v>
      </c>
      <c r="D9" t="str">
        <f>'Building List'!C178</f>
        <v>Euclid Avenue 10900</v>
      </c>
      <c r="E9" s="967">
        <f>'Building List'!D178</f>
        <v>0</v>
      </c>
      <c r="F9" s="967">
        <f>'Building List'!E178</f>
        <v>0</v>
      </c>
      <c r="G9" s="967">
        <f>'Building List'!F178</f>
        <v>0</v>
      </c>
      <c r="H9" s="967">
        <f>'Building List'!G178</f>
        <v>0</v>
      </c>
      <c r="I9" s="967">
        <f>'Building List'!H178</f>
        <v>0</v>
      </c>
      <c r="J9" s="967">
        <f>'Building List'!I178</f>
        <v>0</v>
      </c>
      <c r="K9" s="967">
        <f>'Building List'!J178</f>
        <v>0</v>
      </c>
      <c r="L9" s="967" t="str">
        <f>'Building List'!K178</f>
        <v>FULL</v>
      </c>
      <c r="M9" s="967" t="str">
        <f>'Building List'!L178</f>
        <v>G</v>
      </c>
      <c r="N9" s="268">
        <f>'Building List'!M178</f>
        <v>0</v>
      </c>
      <c r="O9">
        <f>'Building List'!N178</f>
        <v>0</v>
      </c>
    </row>
    <row r="10" spans="1:15">
      <c r="A10" s="967" t="str">
        <f>'Building List'!A179</f>
        <v>1B02</v>
      </c>
      <c r="B10" t="str">
        <f>'Building List'!$B$177</f>
        <v>GARAGES</v>
      </c>
      <c r="C10" t="str">
        <f>'Building List'!B179</f>
        <v>Lot S-14 - West Campus Parking Garage</v>
      </c>
      <c r="D10" t="str">
        <f>'Building List'!C179</f>
        <v>East 101 Street 1819</v>
      </c>
      <c r="E10" s="967">
        <f>'Building List'!D179</f>
        <v>0</v>
      </c>
      <c r="F10" s="967">
        <f>'Building List'!E179</f>
        <v>250000</v>
      </c>
      <c r="G10" s="967">
        <f>'Building List'!F179</f>
        <v>0</v>
      </c>
      <c r="H10" s="967">
        <f>'Building List'!G179</f>
        <v>0</v>
      </c>
      <c r="I10" s="967">
        <f>'Building List'!H179</f>
        <v>0</v>
      </c>
      <c r="J10" s="967">
        <f>'Building List'!I179</f>
        <v>0</v>
      </c>
      <c r="K10" s="967" t="str">
        <f>'Building List'!J179</f>
        <v>N</v>
      </c>
      <c r="L10" s="967" t="str">
        <f>'Building List'!K179</f>
        <v>NONE</v>
      </c>
      <c r="M10" s="967" t="str">
        <f>'Building List'!L179</f>
        <v>G</v>
      </c>
      <c r="N10" s="268">
        <f>'Building List'!M179</f>
        <v>10869280</v>
      </c>
      <c r="O10">
        <f>'Building List'!N179</f>
        <v>1</v>
      </c>
    </row>
    <row r="11" spans="1:15">
      <c r="A11" s="967" t="str">
        <f>'Building List'!A182</f>
        <v>5A08</v>
      </c>
      <c r="B11" t="str">
        <f>'Building List'!$B$177</f>
        <v>GARAGES</v>
      </c>
      <c r="C11" t="str">
        <f>'Building List'!B182</f>
        <v>Lot S-48 - Bioenterprise Garage</v>
      </c>
      <c r="D11" t="str">
        <f>'Building List'!C182</f>
        <v>Cedar Avenue 11000</v>
      </c>
      <c r="E11" s="967">
        <f>'Building List'!D182</f>
        <v>0</v>
      </c>
      <c r="F11" s="967">
        <f>'Building List'!E182</f>
        <v>72292</v>
      </c>
      <c r="G11" s="967">
        <f>'Building List'!F182</f>
        <v>0</v>
      </c>
      <c r="H11" s="967">
        <f>'Building List'!G182</f>
        <v>0</v>
      </c>
      <c r="I11" s="967">
        <f>'Building List'!H182</f>
        <v>0</v>
      </c>
      <c r="J11" s="967">
        <f>'Building List'!I182</f>
        <v>0</v>
      </c>
      <c r="K11" s="967" t="str">
        <f>'Building List'!J182</f>
        <v>N</v>
      </c>
      <c r="L11" s="967" t="str">
        <f>'Building List'!K182</f>
        <v>FULL</v>
      </c>
      <c r="M11" s="967" t="str">
        <f>'Building List'!L182</f>
        <v>G</v>
      </c>
      <c r="N11" s="268">
        <f>'Building List'!M182</f>
        <v>0</v>
      </c>
      <c r="O11">
        <f>'Building List'!N182</f>
        <v>1</v>
      </c>
    </row>
    <row r="12" spans="1:15">
      <c r="A12" s="967">
        <f>'Building List'!A183</f>
        <v>0</v>
      </c>
      <c r="B12" t="str">
        <f>'Building List'!$B$177</f>
        <v>GARAGES</v>
      </c>
      <c r="C12" t="str">
        <f>'Building List'!B183</f>
        <v>Lot 52B - MSASS Garage</v>
      </c>
      <c r="D12">
        <f>'Building List'!C183</f>
        <v>0</v>
      </c>
      <c r="E12" s="967">
        <f>'Building List'!D183</f>
        <v>0</v>
      </c>
      <c r="F12" s="967">
        <f>'Building List'!E183</f>
        <v>0</v>
      </c>
      <c r="G12" s="967">
        <f>'Building List'!F183</f>
        <v>0</v>
      </c>
      <c r="H12" s="967">
        <f>'Building List'!G183</f>
        <v>0</v>
      </c>
      <c r="I12" s="967">
        <f>'Building List'!H183</f>
        <v>0</v>
      </c>
      <c r="J12" s="967">
        <f>'Building List'!I183</f>
        <v>0</v>
      </c>
      <c r="K12" s="967">
        <f>'Building List'!J183</f>
        <v>0</v>
      </c>
      <c r="L12" s="967" t="str">
        <f>'Building List'!K183</f>
        <v>FULL</v>
      </c>
      <c r="M12" s="967" t="str">
        <f>'Building List'!L183</f>
        <v>G</v>
      </c>
      <c r="N12" s="268">
        <f>'Building List'!M183</f>
        <v>0</v>
      </c>
      <c r="O12">
        <f>'Building List'!N183</f>
        <v>0</v>
      </c>
    </row>
    <row r="13" spans="1:15">
      <c r="A13" s="967" t="str">
        <f>'Building List'!A185</f>
        <v>5C19</v>
      </c>
      <c r="B13" t="str">
        <f>'Building List'!$B$177</f>
        <v>GARAGES</v>
      </c>
      <c r="C13" t="str">
        <f>'Building List'!B185</f>
        <v>Lot S-55 - Health Science Garage</v>
      </c>
      <c r="D13" t="str">
        <f>'Building List'!C185</f>
        <v>Circle Drive 2242</v>
      </c>
      <c r="E13" s="967">
        <f>'Building List'!D185</f>
        <v>0</v>
      </c>
      <c r="F13" s="967">
        <f>'Building List'!E185</f>
        <v>211000</v>
      </c>
      <c r="G13" s="967">
        <f>'Building List'!F185</f>
        <v>0</v>
      </c>
      <c r="H13" s="967">
        <f>'Building List'!G185</f>
        <v>0</v>
      </c>
      <c r="I13" s="967">
        <f>'Building List'!H185</f>
        <v>0</v>
      </c>
      <c r="J13" s="967">
        <f>'Building List'!I185</f>
        <v>0</v>
      </c>
      <c r="K13" s="967" t="str">
        <f>'Building List'!J185</f>
        <v>N</v>
      </c>
      <c r="L13" s="967" t="str">
        <f>'Building List'!K185</f>
        <v>FULL</v>
      </c>
      <c r="M13" s="967" t="str">
        <f>'Building List'!L185</f>
        <v>G</v>
      </c>
      <c r="N13" s="268">
        <f>'Building List'!M185</f>
        <v>8007618</v>
      </c>
      <c r="O13">
        <f>'Building List'!N185</f>
        <v>1</v>
      </c>
    </row>
    <row r="14" spans="1:15">
      <c r="A14" s="967" t="str">
        <f>'Building List'!A223</f>
        <v>3D33</v>
      </c>
      <c r="B14" t="str">
        <f>'Building List'!$B$222</f>
        <v>NON-UNIVERSITY OWNED PROPERTIES</v>
      </c>
      <c r="C14" t="str">
        <f>'Building List'!B223</f>
        <v>Bellflower 11317 - Phi Gamma Delta</v>
      </c>
      <c r="D14">
        <f>'Building List'!C223</f>
        <v>0</v>
      </c>
      <c r="E14" s="967">
        <f>'Building List'!D223</f>
        <v>0</v>
      </c>
      <c r="F14" s="967">
        <f>'Building List'!E223</f>
        <v>0</v>
      </c>
      <c r="G14" s="967">
        <f>'Building List'!F223</f>
        <v>0</v>
      </c>
      <c r="H14" s="967">
        <f>'Building List'!G223</f>
        <v>0</v>
      </c>
      <c r="I14" s="967">
        <f>'Building List'!H223</f>
        <v>0</v>
      </c>
      <c r="J14" s="967">
        <f>'Building List'!I223</f>
        <v>0</v>
      </c>
      <c r="K14" s="967">
        <f>'Building List'!J223</f>
        <v>0</v>
      </c>
      <c r="L14" s="967" t="str">
        <f>'Building List'!K223</f>
        <v>NONE</v>
      </c>
      <c r="M14" s="967" t="str">
        <f>'Building List'!L223</f>
        <v>FS</v>
      </c>
      <c r="N14" s="268">
        <f>'Building List'!M223</f>
        <v>0</v>
      </c>
      <c r="O14">
        <f>'Building List'!N223</f>
        <v>5</v>
      </c>
    </row>
    <row r="15" spans="1:15">
      <c r="A15" s="967" t="str">
        <f>'Building List'!A224</f>
        <v>3D35</v>
      </c>
      <c r="B15" t="str">
        <f>'Building List'!$B$222</f>
        <v>NON-UNIVERSITY OWNED PROPERTIES</v>
      </c>
      <c r="C15" t="str">
        <f>'Building List'!B224</f>
        <v>Bellflower 11327 - Zeta Beta Tau</v>
      </c>
      <c r="D15">
        <f>'Building List'!C224</f>
        <v>0</v>
      </c>
      <c r="E15" s="967">
        <f>'Building List'!D224</f>
        <v>0</v>
      </c>
      <c r="F15" s="967">
        <f>'Building List'!E224</f>
        <v>0</v>
      </c>
      <c r="G15" s="967">
        <f>'Building List'!F224</f>
        <v>0</v>
      </c>
      <c r="H15" s="967">
        <f>'Building List'!G224</f>
        <v>0</v>
      </c>
      <c r="I15" s="967">
        <f>'Building List'!H224</f>
        <v>0</v>
      </c>
      <c r="J15" s="967">
        <f>'Building List'!I224</f>
        <v>0</v>
      </c>
      <c r="K15" s="967">
        <f>'Building List'!J224</f>
        <v>0</v>
      </c>
      <c r="L15" s="967" t="str">
        <f>'Building List'!K224</f>
        <v>NONE</v>
      </c>
      <c r="M15" s="967" t="str">
        <f>'Building List'!L224</f>
        <v>FS</v>
      </c>
      <c r="N15" s="268">
        <f>'Building List'!M224</f>
        <v>0</v>
      </c>
      <c r="O15">
        <f>'Building List'!N224</f>
        <v>5</v>
      </c>
    </row>
    <row r="16" spans="1:15">
      <c r="A16" s="967" t="str">
        <f>'Building List'!A225</f>
        <v>3D37</v>
      </c>
      <c r="B16" t="str">
        <f>'Building List'!$B$222</f>
        <v>NON-UNIVERSITY OWNED PROPERTIES</v>
      </c>
      <c r="C16" t="str">
        <f>'Building List'!B225</f>
        <v>Bellflower 11333 - Delta Sigma Delta</v>
      </c>
      <c r="D16">
        <f>'Building List'!C225</f>
        <v>0</v>
      </c>
      <c r="E16" s="967">
        <f>'Building List'!D225</f>
        <v>0</v>
      </c>
      <c r="F16" s="967">
        <f>'Building List'!E225</f>
        <v>0</v>
      </c>
      <c r="G16" s="967">
        <f>'Building List'!F225</f>
        <v>0</v>
      </c>
      <c r="H16" s="967">
        <f>'Building List'!G225</f>
        <v>0</v>
      </c>
      <c r="I16" s="967">
        <f>'Building List'!H225</f>
        <v>0</v>
      </c>
      <c r="J16" s="967">
        <f>'Building List'!I225</f>
        <v>0</v>
      </c>
      <c r="K16" s="967">
        <f>'Building List'!J225</f>
        <v>0</v>
      </c>
      <c r="L16" s="967" t="str">
        <f>'Building List'!K225</f>
        <v>NONE</v>
      </c>
      <c r="M16" s="967" t="str">
        <f>'Building List'!L225</f>
        <v>FS</v>
      </c>
      <c r="N16" s="268">
        <f>'Building List'!M225</f>
        <v>0</v>
      </c>
      <c r="O16">
        <f>'Building List'!N225</f>
        <v>5</v>
      </c>
    </row>
    <row r="17" spans="1:15">
      <c r="A17" s="967" t="str">
        <f>'Building List'!A228</f>
        <v>4C39</v>
      </c>
      <c r="B17" t="str">
        <f>'Building List'!$B$222</f>
        <v>NON-UNIVERSITY OWNED PROPERTIES</v>
      </c>
      <c r="C17" t="str">
        <f>'Building List'!B228</f>
        <v xml:space="preserve">Cleveland Hearing &amp; Speech 11206 Euclid Old </v>
      </c>
      <c r="D17">
        <f>'Building List'!C228</f>
        <v>0</v>
      </c>
      <c r="E17" s="967">
        <f>'Building List'!D228</f>
        <v>0</v>
      </c>
      <c r="F17" s="967">
        <f>'Building List'!E228</f>
        <v>0</v>
      </c>
      <c r="G17" s="967">
        <f>'Building List'!F228</f>
        <v>0</v>
      </c>
      <c r="H17" s="967">
        <f>'Building List'!G228</f>
        <v>0</v>
      </c>
      <c r="I17" s="967">
        <f>'Building List'!H228</f>
        <v>0</v>
      </c>
      <c r="J17" s="967">
        <f>'Building List'!I228</f>
        <v>0</v>
      </c>
      <c r="K17" s="967">
        <f>'Building List'!J228</f>
        <v>0</v>
      </c>
      <c r="L17" s="967">
        <f>'Building List'!K228</f>
        <v>0</v>
      </c>
      <c r="M17" s="967" t="str">
        <f>'Building List'!L228</f>
        <v>X</v>
      </c>
      <c r="N17" s="268">
        <f>'Building List'!M228</f>
        <v>0</v>
      </c>
      <c r="O17">
        <f>'Building List'!N228</f>
        <v>6</v>
      </c>
    </row>
    <row r="18" spans="1:15">
      <c r="A18" s="967" t="str">
        <f>'Building List'!A229</f>
        <v>2D19</v>
      </c>
      <c r="B18" t="str">
        <f>'Building List'!$B$222</f>
        <v>NON-UNIVERSITY OWNED PROPERTIES</v>
      </c>
      <c r="C18" t="str">
        <f>'Building List'!B229</f>
        <v>Magnolia 11016 - Phi Kappa Theta</v>
      </c>
      <c r="D18">
        <f>'Building List'!C229</f>
        <v>0</v>
      </c>
      <c r="E18" s="967">
        <f>'Building List'!D229</f>
        <v>0</v>
      </c>
      <c r="F18" s="967">
        <f>'Building List'!E229</f>
        <v>0</v>
      </c>
      <c r="G18" s="967">
        <f>'Building List'!F229</f>
        <v>0</v>
      </c>
      <c r="H18" s="967">
        <f>'Building List'!G229</f>
        <v>0</v>
      </c>
      <c r="I18" s="967">
        <f>'Building List'!H229</f>
        <v>0</v>
      </c>
      <c r="J18" s="967">
        <f>'Building List'!I229</f>
        <v>0</v>
      </c>
      <c r="K18" s="967">
        <f>'Building List'!J229</f>
        <v>0</v>
      </c>
      <c r="L18" s="967" t="str">
        <f>'Building List'!K229</f>
        <v>NONE</v>
      </c>
      <c r="M18" s="967" t="str">
        <f>'Building List'!L229</f>
        <v>FS</v>
      </c>
      <c r="N18" s="268">
        <f>'Building List'!M229</f>
        <v>0</v>
      </c>
      <c r="O18">
        <f>'Building List'!N229</f>
        <v>5</v>
      </c>
    </row>
    <row r="19" spans="1:15">
      <c r="A19" s="967" t="str">
        <f>'Building List'!A230</f>
        <v>2E13</v>
      </c>
      <c r="B19" t="str">
        <f>'Building List'!$B$222</f>
        <v>NON-UNIVERSITY OWNED PROPERTIES</v>
      </c>
      <c r="C19" t="str">
        <f>'Building List'!B230</f>
        <v>Magnolia 11130 - Delta Tau Delta</v>
      </c>
      <c r="D19">
        <f>'Building List'!C230</f>
        <v>0</v>
      </c>
      <c r="E19" s="967">
        <f>'Building List'!D230</f>
        <v>0</v>
      </c>
      <c r="F19" s="967">
        <f>'Building List'!E230</f>
        <v>0</v>
      </c>
      <c r="G19" s="967">
        <f>'Building List'!F230</f>
        <v>0</v>
      </c>
      <c r="H19" s="967">
        <f>'Building List'!G230</f>
        <v>0</v>
      </c>
      <c r="I19" s="967">
        <f>'Building List'!H230</f>
        <v>0</v>
      </c>
      <c r="J19" s="967">
        <f>'Building List'!I230</f>
        <v>0</v>
      </c>
      <c r="K19" s="967">
        <f>'Building List'!J230</f>
        <v>0</v>
      </c>
      <c r="L19" s="967" t="str">
        <f>'Building List'!K230</f>
        <v>NONE</v>
      </c>
      <c r="M19" s="967" t="str">
        <f>'Building List'!L230</f>
        <v>FS</v>
      </c>
      <c r="N19" s="268">
        <f>'Building List'!M230</f>
        <v>0</v>
      </c>
      <c r="O19">
        <f>'Building List'!N230</f>
        <v>5</v>
      </c>
    </row>
    <row r="20" spans="1:15">
      <c r="A20" s="967" t="str">
        <f>'Building List'!A231</f>
        <v>MG04</v>
      </c>
      <c r="B20" t="str">
        <f>'Building List'!$B$222</f>
        <v>NON-UNIVERSITY OWNED PROPERTIES</v>
      </c>
      <c r="C20" t="str">
        <f>'Building List'!B231</f>
        <v>MH - Bel Greve</v>
      </c>
      <c r="D20">
        <f>'Building List'!C231</f>
        <v>0</v>
      </c>
      <c r="E20" s="967">
        <f>'Building List'!D231</f>
        <v>0</v>
      </c>
      <c r="F20" s="967">
        <f>'Building List'!E231</f>
        <v>3135</v>
      </c>
      <c r="G20" s="967">
        <f>'Building List'!F231</f>
        <v>0</v>
      </c>
      <c r="H20" s="967">
        <f>'Building List'!G231</f>
        <v>0</v>
      </c>
      <c r="I20" s="967">
        <f>'Building List'!H231</f>
        <v>0</v>
      </c>
      <c r="J20" s="967">
        <f>'Building List'!I231</f>
        <v>0</v>
      </c>
      <c r="K20" s="967">
        <f>'Building List'!J231</f>
        <v>0</v>
      </c>
      <c r="L20" s="967">
        <f>'Building List'!K231</f>
        <v>0</v>
      </c>
      <c r="M20" s="967" t="str">
        <f>'Building List'!L231</f>
        <v>AC</v>
      </c>
      <c r="N20" s="268">
        <f>'Building List'!M231</f>
        <v>0</v>
      </c>
      <c r="O20">
        <f>'Building List'!N231</f>
        <v>3</v>
      </c>
    </row>
    <row r="21" spans="1:15">
      <c r="A21" s="967" t="str">
        <f>'Building List'!A232</f>
        <v>MG07</v>
      </c>
      <c r="B21" t="str">
        <f>'Building List'!$B$222</f>
        <v>NON-UNIVERSITY OWNED PROPERTIES</v>
      </c>
      <c r="C21" t="str">
        <f>'Building List'!B232</f>
        <v>MH - Core</v>
      </c>
      <c r="D21">
        <f>'Building List'!C232</f>
        <v>0</v>
      </c>
      <c r="E21" s="967">
        <f>'Building List'!D232</f>
        <v>0</v>
      </c>
      <c r="F21" s="967">
        <f>'Building List'!E232</f>
        <v>1445</v>
      </c>
      <c r="G21" s="967">
        <f>'Building List'!F232</f>
        <v>0</v>
      </c>
      <c r="H21" s="967">
        <f>'Building List'!G232</f>
        <v>0</v>
      </c>
      <c r="I21" s="967">
        <f>'Building List'!H232</f>
        <v>0</v>
      </c>
      <c r="J21" s="967">
        <f>'Building List'!I232</f>
        <v>0</v>
      </c>
      <c r="K21" s="967">
        <f>'Building List'!J232</f>
        <v>0</v>
      </c>
      <c r="L21" s="967">
        <f>'Building List'!K232</f>
        <v>0</v>
      </c>
      <c r="M21" s="967" t="str">
        <f>'Building List'!L232</f>
        <v>AC</v>
      </c>
      <c r="N21" s="268">
        <f>'Building List'!M232</f>
        <v>0</v>
      </c>
      <c r="O21">
        <f>'Building List'!N232</f>
        <v>3</v>
      </c>
    </row>
    <row r="22" spans="1:15">
      <c r="A22" s="967" t="str">
        <f>'Building List'!A233</f>
        <v>MG06</v>
      </c>
      <c r="B22" t="str">
        <f>'Building List'!$B$222</f>
        <v>NON-UNIVERSITY OWNED PROPERTIES</v>
      </c>
      <c r="C22" t="str">
        <f>'Building List'!B233</f>
        <v>MH - Hamann</v>
      </c>
      <c r="D22">
        <f>'Building List'!C233</f>
        <v>0</v>
      </c>
      <c r="E22" s="967">
        <f>'Building List'!D233</f>
        <v>0</v>
      </c>
      <c r="F22" s="967">
        <f>'Building List'!E233</f>
        <v>7298</v>
      </c>
      <c r="G22" s="967">
        <f>'Building List'!F233</f>
        <v>0</v>
      </c>
      <c r="H22" s="967">
        <f>'Building List'!G233</f>
        <v>0</v>
      </c>
      <c r="I22" s="967">
        <f>'Building List'!H233</f>
        <v>0</v>
      </c>
      <c r="J22" s="967">
        <f>'Building List'!I233</f>
        <v>0</v>
      </c>
      <c r="K22" s="967">
        <f>'Building List'!J233</f>
        <v>0</v>
      </c>
      <c r="L22" s="967">
        <f>'Building List'!K233</f>
        <v>0</v>
      </c>
      <c r="M22" s="967" t="str">
        <f>'Building List'!L233</f>
        <v>AC</v>
      </c>
      <c r="N22" s="268">
        <f>'Building List'!M233</f>
        <v>0</v>
      </c>
      <c r="O22">
        <f>'Building List'!N233</f>
        <v>3</v>
      </c>
    </row>
    <row r="23" spans="1:15">
      <c r="A23" s="967" t="str">
        <f>'Building List'!A234</f>
        <v>MG16</v>
      </c>
      <c r="B23" t="str">
        <f>'Building List'!$B$222</f>
        <v>NON-UNIVERSITY OWNED PROPERTIES</v>
      </c>
      <c r="C23" t="str">
        <f>'Building List'!B234</f>
        <v>MH - North</v>
      </c>
      <c r="D23">
        <f>'Building List'!C234</f>
        <v>0</v>
      </c>
      <c r="E23" s="967">
        <f>'Building List'!D234</f>
        <v>0</v>
      </c>
      <c r="F23" s="967">
        <f>'Building List'!E234</f>
        <v>245</v>
      </c>
      <c r="G23" s="967">
        <f>'Building List'!F234</f>
        <v>0</v>
      </c>
      <c r="H23" s="967">
        <f>'Building List'!G234</f>
        <v>0</v>
      </c>
      <c r="I23" s="967">
        <f>'Building List'!H234</f>
        <v>0</v>
      </c>
      <c r="J23" s="967">
        <f>'Building List'!I234</f>
        <v>0</v>
      </c>
      <c r="K23" s="967">
        <f>'Building List'!J234</f>
        <v>0</v>
      </c>
      <c r="L23" s="967">
        <f>'Building List'!K234</f>
        <v>0</v>
      </c>
      <c r="M23" s="967" t="str">
        <f>'Building List'!L234</f>
        <v>AC</v>
      </c>
      <c r="N23" s="268">
        <f>'Building List'!M234</f>
        <v>0</v>
      </c>
      <c r="O23">
        <f>'Building List'!N234</f>
        <v>3</v>
      </c>
    </row>
    <row r="24" spans="1:15">
      <c r="A24" s="967" t="str">
        <f>'Building List'!A235</f>
        <v>MG30</v>
      </c>
      <c r="B24" t="str">
        <f>'Building List'!$B$222</f>
        <v>NON-UNIVERSITY OWNED PROPERTIES</v>
      </c>
      <c r="C24" t="str">
        <f>'Building List'!B235</f>
        <v>MH - Outpatient</v>
      </c>
      <c r="D24">
        <f>'Building List'!C235</f>
        <v>0</v>
      </c>
      <c r="E24" s="967">
        <f>'Building List'!D235</f>
        <v>0</v>
      </c>
      <c r="F24" s="967">
        <f>'Building List'!E235</f>
        <v>750</v>
      </c>
      <c r="G24" s="967">
        <f>'Building List'!F235</f>
        <v>0</v>
      </c>
      <c r="H24" s="967">
        <f>'Building List'!G235</f>
        <v>0</v>
      </c>
      <c r="I24" s="967">
        <f>'Building List'!H235</f>
        <v>0</v>
      </c>
      <c r="J24" s="967">
        <f>'Building List'!I235</f>
        <v>0</v>
      </c>
      <c r="K24" s="967">
        <f>'Building List'!J235</f>
        <v>0</v>
      </c>
      <c r="L24" s="967">
        <f>'Building List'!K235</f>
        <v>0</v>
      </c>
      <c r="M24" s="967" t="str">
        <f>'Building List'!L235</f>
        <v>AC</v>
      </c>
      <c r="N24" s="268">
        <f>'Building List'!M235</f>
        <v>0</v>
      </c>
      <c r="O24">
        <f>'Building List'!N235</f>
        <v>3</v>
      </c>
    </row>
    <row r="25" spans="1:15">
      <c r="A25" s="967" t="str">
        <f>'Building List'!A236</f>
        <v>MG02</v>
      </c>
      <c r="B25" t="str">
        <f>'Building List'!$B$222</f>
        <v>NON-UNIVERSITY OWNED PROPERTIES</v>
      </c>
      <c r="C25" t="str">
        <f>'Building List'!B236</f>
        <v>MH - Quadrangle</v>
      </c>
      <c r="D25">
        <f>'Building List'!C236</f>
        <v>0</v>
      </c>
      <c r="E25" s="967">
        <f>'Building List'!D236</f>
        <v>0</v>
      </c>
      <c r="F25" s="967">
        <f>'Building List'!E236</f>
        <v>995</v>
      </c>
      <c r="G25" s="967">
        <f>'Building List'!F236</f>
        <v>0</v>
      </c>
      <c r="H25" s="967">
        <f>'Building List'!G236</f>
        <v>0</v>
      </c>
      <c r="I25" s="967">
        <f>'Building List'!H236</f>
        <v>0</v>
      </c>
      <c r="J25" s="967">
        <f>'Building List'!I236</f>
        <v>0</v>
      </c>
      <c r="K25" s="967">
        <f>'Building List'!J236</f>
        <v>0</v>
      </c>
      <c r="L25" s="967">
        <f>'Building List'!K236</f>
        <v>0</v>
      </c>
      <c r="M25" s="967" t="str">
        <f>'Building List'!L236</f>
        <v>AC</v>
      </c>
      <c r="N25" s="268">
        <f>'Building List'!M236</f>
        <v>0</v>
      </c>
      <c r="O25">
        <f>'Building List'!N236</f>
        <v>3</v>
      </c>
    </row>
    <row r="26" spans="1:15">
      <c r="A26" s="967" t="str">
        <f>'Building List'!A237</f>
        <v>MG11</v>
      </c>
      <c r="B26" t="str">
        <f>'Building List'!$B$222</f>
        <v>NON-UNIVERSITY OWNED PROPERTIES</v>
      </c>
      <c r="C26" t="str">
        <f>'Building List'!B237</f>
        <v>MH - Rammelkamp</v>
      </c>
      <c r="D26">
        <f>'Building List'!C237</f>
        <v>0</v>
      </c>
      <c r="E26" s="967">
        <f>'Building List'!D237</f>
        <v>0</v>
      </c>
      <c r="F26" s="967">
        <f>'Building List'!E237</f>
        <v>4007</v>
      </c>
      <c r="G26" s="967">
        <f>'Building List'!F237</f>
        <v>0</v>
      </c>
      <c r="H26" s="967">
        <f>'Building List'!G237</f>
        <v>0</v>
      </c>
      <c r="I26" s="967">
        <f>'Building List'!H237</f>
        <v>0</v>
      </c>
      <c r="J26" s="967">
        <f>'Building List'!I237</f>
        <v>0</v>
      </c>
      <c r="K26" s="967">
        <f>'Building List'!J237</f>
        <v>0</v>
      </c>
      <c r="L26" s="967">
        <f>'Building List'!K237</f>
        <v>0</v>
      </c>
      <c r="M26" s="967" t="str">
        <f>'Building List'!L237</f>
        <v>AC</v>
      </c>
      <c r="N26" s="268">
        <f>'Building List'!M237</f>
        <v>0</v>
      </c>
      <c r="O26">
        <f>'Building List'!N237</f>
        <v>3</v>
      </c>
    </row>
    <row r="27" spans="1:15">
      <c r="A27" s="967" t="str">
        <f>'Building List'!A238</f>
        <v>MG03</v>
      </c>
      <c r="B27" t="str">
        <f>'Building List'!$B$222</f>
        <v>NON-UNIVERSITY OWNED PROPERTIES</v>
      </c>
      <c r="C27" t="str">
        <f>'Building List'!B238</f>
        <v>MH - Research</v>
      </c>
      <c r="D27">
        <f>'Building List'!C238</f>
        <v>0</v>
      </c>
      <c r="E27" s="967">
        <f>'Building List'!D238</f>
        <v>0</v>
      </c>
      <c r="F27" s="967">
        <f>'Building List'!E238</f>
        <v>6120</v>
      </c>
      <c r="G27" s="967">
        <f>'Building List'!F238</f>
        <v>0</v>
      </c>
      <c r="H27" s="967">
        <f>'Building List'!G238</f>
        <v>0</v>
      </c>
      <c r="I27" s="967">
        <f>'Building List'!H238</f>
        <v>0</v>
      </c>
      <c r="J27" s="967">
        <f>'Building List'!I238</f>
        <v>0</v>
      </c>
      <c r="K27" s="967">
        <f>'Building List'!J238</f>
        <v>0</v>
      </c>
      <c r="L27" s="967">
        <f>'Building List'!K238</f>
        <v>0</v>
      </c>
      <c r="M27" s="967" t="str">
        <f>'Building List'!L238</f>
        <v>AC</v>
      </c>
      <c r="N27" s="268">
        <f>'Building List'!M238</f>
        <v>0</v>
      </c>
      <c r="O27">
        <f>'Building List'!N238</f>
        <v>3</v>
      </c>
    </row>
    <row r="28" spans="1:15">
      <c r="A28" s="967" t="str">
        <f>'Building List'!A239</f>
        <v>MG20</v>
      </c>
      <c r="B28" t="str">
        <f>'Building List'!$B$222</f>
        <v>NON-UNIVERSITY OWNED PROPERTIES</v>
      </c>
      <c r="C28" t="str">
        <f>'Building List'!B239</f>
        <v>MH - Towers</v>
      </c>
      <c r="D28">
        <f>'Building List'!C239</f>
        <v>0</v>
      </c>
      <c r="E28" s="967">
        <f>'Building List'!D239</f>
        <v>0</v>
      </c>
      <c r="F28" s="967">
        <f>'Building List'!E239</f>
        <v>1011</v>
      </c>
      <c r="G28" s="967">
        <f>'Building List'!F239</f>
        <v>0</v>
      </c>
      <c r="H28" s="967">
        <f>'Building List'!G239</f>
        <v>0</v>
      </c>
      <c r="I28" s="967">
        <f>'Building List'!H239</f>
        <v>0</v>
      </c>
      <c r="J28" s="967">
        <f>'Building List'!I239</f>
        <v>0</v>
      </c>
      <c r="K28" s="967">
        <f>'Building List'!J239</f>
        <v>0</v>
      </c>
      <c r="L28" s="967">
        <f>'Building List'!K239</f>
        <v>0</v>
      </c>
      <c r="M28" s="967" t="str">
        <f>'Building List'!L239</f>
        <v>AC</v>
      </c>
      <c r="N28" s="268">
        <f>'Building List'!M239</f>
        <v>0</v>
      </c>
      <c r="O28">
        <f>'Building List'!N239</f>
        <v>3</v>
      </c>
    </row>
    <row r="29" spans="1:15">
      <c r="A29" s="967" t="str">
        <f>'Building List'!A244</f>
        <v>4C06</v>
      </c>
      <c r="B29" t="str">
        <f>'Building List'!$B$222</f>
        <v>NON-UNIVERSITY OWNED PROPERTIES</v>
      </c>
      <c r="C29" t="str">
        <f>'Building List'!B244</f>
        <v>UH - Andrews Wing</v>
      </c>
      <c r="D29">
        <f>'Building List'!C244</f>
        <v>0</v>
      </c>
      <c r="E29" s="967">
        <f>'Building List'!D244</f>
        <v>0</v>
      </c>
      <c r="F29" s="967">
        <f>'Building List'!E244</f>
        <v>5060</v>
      </c>
      <c r="G29" s="967">
        <f>'Building List'!F244</f>
        <v>0</v>
      </c>
      <c r="H29" s="967">
        <f>'Building List'!G244</f>
        <v>0</v>
      </c>
      <c r="I29" s="967">
        <f>'Building List'!H244</f>
        <v>0</v>
      </c>
      <c r="J29" s="967">
        <f>'Building List'!I244</f>
        <v>0</v>
      </c>
      <c r="K29" s="967">
        <f>'Building List'!J244</f>
        <v>0</v>
      </c>
      <c r="L29" s="967">
        <f>'Building List'!K244</f>
        <v>0</v>
      </c>
      <c r="M29" s="967" t="str">
        <f>'Building List'!L244</f>
        <v>AC</v>
      </c>
      <c r="N29" s="268">
        <f>'Building List'!M244</f>
        <v>0</v>
      </c>
      <c r="O29">
        <f>'Building List'!N244</f>
        <v>3</v>
      </c>
    </row>
    <row r="30" spans="1:15">
      <c r="A30" s="967" t="str">
        <f>'Building List'!A245</f>
        <v>4C07</v>
      </c>
      <c r="B30" t="str">
        <f>'Building List'!$B$222</f>
        <v>NON-UNIVERSITY OWNED PROPERTIES</v>
      </c>
      <c r="C30" t="str">
        <f>'Building List'!B245</f>
        <v>UH - Bishop Building</v>
      </c>
      <c r="D30">
        <f>'Building List'!C245</f>
        <v>0</v>
      </c>
      <c r="E30" s="967">
        <f>'Building List'!D245</f>
        <v>0</v>
      </c>
      <c r="F30" s="967">
        <f>'Building List'!E245</f>
        <v>440</v>
      </c>
      <c r="G30" s="967">
        <f>'Building List'!F245</f>
        <v>0</v>
      </c>
      <c r="H30" s="967">
        <f>'Building List'!G245</f>
        <v>0</v>
      </c>
      <c r="I30" s="967">
        <f>'Building List'!H245</f>
        <v>0</v>
      </c>
      <c r="J30" s="967">
        <f>'Building List'!I245</f>
        <v>0</v>
      </c>
      <c r="K30" s="967">
        <f>'Building List'!J245</f>
        <v>0</v>
      </c>
      <c r="L30" s="967">
        <f>'Building List'!K245</f>
        <v>0</v>
      </c>
      <c r="M30" s="967" t="str">
        <f>'Building List'!L245</f>
        <v>AC</v>
      </c>
      <c r="N30" s="268">
        <f>'Building List'!M245</f>
        <v>0</v>
      </c>
      <c r="O30">
        <f>'Building List'!N245</f>
        <v>3</v>
      </c>
    </row>
    <row r="31" spans="1:15">
      <c r="A31" s="967" t="str">
        <f>'Building List'!A246</f>
        <v>4C08</v>
      </c>
      <c r="B31" t="str">
        <f>'Building List'!$B$222</f>
        <v>NON-UNIVERSITY OWNED PROPERTIES</v>
      </c>
      <c r="C31" t="str">
        <f>'Building List'!B246</f>
        <v>UH - Bolwell</v>
      </c>
      <c r="D31">
        <f>'Building List'!C246</f>
        <v>0</v>
      </c>
      <c r="E31" s="967">
        <f>'Building List'!D246</f>
        <v>0</v>
      </c>
      <c r="F31" s="967">
        <f>'Building List'!E246</f>
        <v>0</v>
      </c>
      <c r="G31" s="967">
        <f>'Building List'!F246</f>
        <v>0</v>
      </c>
      <c r="H31" s="967">
        <f>'Building List'!G246</f>
        <v>0</v>
      </c>
      <c r="I31" s="967">
        <f>'Building List'!H246</f>
        <v>0</v>
      </c>
      <c r="J31" s="967">
        <f>'Building List'!I246</f>
        <v>0</v>
      </c>
      <c r="K31" s="967">
        <f>'Building List'!J246</f>
        <v>0</v>
      </c>
      <c r="L31" s="967">
        <f>'Building List'!K246</f>
        <v>0</v>
      </c>
      <c r="M31" s="967" t="str">
        <f>'Building List'!L246</f>
        <v>AC</v>
      </c>
      <c r="N31" s="268">
        <f>'Building List'!M246</f>
        <v>0</v>
      </c>
      <c r="O31">
        <f>'Building List'!N246</f>
        <v>3</v>
      </c>
    </row>
    <row r="32" spans="1:15">
      <c r="A32" s="967" t="str">
        <f>'Building List'!A247</f>
        <v>7A01</v>
      </c>
      <c r="B32" t="str">
        <f>'Building List'!$B$222</f>
        <v>NON-UNIVERSITY OWNED PROPERTIES</v>
      </c>
      <c r="C32" t="str">
        <f>'Building List'!B247</f>
        <v>UH - Cleveland Fairhill</v>
      </c>
      <c r="D32">
        <f>'Building List'!C247</f>
        <v>0</v>
      </c>
      <c r="E32" s="967">
        <f>'Building List'!D247</f>
        <v>0</v>
      </c>
      <c r="F32" s="967">
        <f>'Building List'!E247</f>
        <v>6304</v>
      </c>
      <c r="G32" s="967">
        <f>'Building List'!F247</f>
        <v>0</v>
      </c>
      <c r="H32" s="967">
        <f>'Building List'!G247</f>
        <v>0</v>
      </c>
      <c r="I32" s="967">
        <f>'Building List'!H247</f>
        <v>0</v>
      </c>
      <c r="J32" s="967">
        <f>'Building List'!I247</f>
        <v>0</v>
      </c>
      <c r="K32" s="967">
        <f>'Building List'!J247</f>
        <v>0</v>
      </c>
      <c r="L32" s="967">
        <f>'Building List'!K247</f>
        <v>0</v>
      </c>
      <c r="M32" s="967" t="str">
        <f>'Building List'!L247</f>
        <v>AC</v>
      </c>
      <c r="N32" s="268">
        <f>'Building List'!M247</f>
        <v>0</v>
      </c>
      <c r="O32">
        <f>'Building List'!N247</f>
        <v>3</v>
      </c>
    </row>
    <row r="33" spans="1:15">
      <c r="A33" s="967" t="str">
        <f>'Building List'!A248</f>
        <v>4D07</v>
      </c>
      <c r="B33" t="str">
        <f>'Building List'!$B$222</f>
        <v>NON-UNIVERSITY OWNED PROPERTIES</v>
      </c>
      <c r="C33" t="str">
        <f>'Building List'!B248</f>
        <v>UH - Cornell</v>
      </c>
      <c r="D33">
        <f>'Building List'!C248</f>
        <v>0</v>
      </c>
      <c r="E33" s="967">
        <f>'Building List'!D248</f>
        <v>0</v>
      </c>
      <c r="F33" s="967">
        <f>'Building List'!E248</f>
        <v>920</v>
      </c>
      <c r="G33" s="967">
        <f>'Building List'!F248</f>
        <v>0</v>
      </c>
      <c r="H33" s="967">
        <f>'Building List'!G248</f>
        <v>0</v>
      </c>
      <c r="I33" s="967">
        <f>'Building List'!H248</f>
        <v>0</v>
      </c>
      <c r="J33" s="967">
        <f>'Building List'!I248</f>
        <v>0</v>
      </c>
      <c r="K33" s="967">
        <f>'Building List'!J248</f>
        <v>0</v>
      </c>
      <c r="L33" s="967">
        <f>'Building List'!K248</f>
        <v>0</v>
      </c>
      <c r="M33" s="967" t="str">
        <f>'Building List'!L248</f>
        <v>AC</v>
      </c>
      <c r="N33" s="268">
        <f>'Building List'!M248</f>
        <v>0</v>
      </c>
      <c r="O33">
        <f>'Building List'!N248</f>
        <v>3</v>
      </c>
    </row>
    <row r="34" spans="1:15">
      <c r="A34" s="967" t="str">
        <f>'Building List'!A249</f>
        <v>4D05</v>
      </c>
      <c r="B34" t="str">
        <f>'Building List'!$B$222</f>
        <v>NON-UNIVERSITY OWNED PROPERTIES</v>
      </c>
      <c r="C34" t="str">
        <f>'Building List'!B249</f>
        <v>UH - Foley</v>
      </c>
      <c r="D34">
        <f>'Building List'!C249</f>
        <v>0</v>
      </c>
      <c r="E34" s="967">
        <f>'Building List'!D249</f>
        <v>0</v>
      </c>
      <c r="F34" s="967">
        <f>'Building List'!E249</f>
        <v>0</v>
      </c>
      <c r="G34" s="967">
        <f>'Building List'!F249</f>
        <v>0</v>
      </c>
      <c r="H34" s="967">
        <f>'Building List'!G249</f>
        <v>0</v>
      </c>
      <c r="I34" s="967">
        <f>'Building List'!H249</f>
        <v>0</v>
      </c>
      <c r="J34" s="967">
        <f>'Building List'!I249</f>
        <v>0</v>
      </c>
      <c r="K34" s="967">
        <f>'Building List'!J249</f>
        <v>0</v>
      </c>
      <c r="L34" s="967">
        <f>'Building List'!K249</f>
        <v>0</v>
      </c>
      <c r="M34" s="967" t="str">
        <f>'Building List'!L249</f>
        <v>AC</v>
      </c>
      <c r="N34" s="268">
        <f>'Building List'!M249</f>
        <v>0</v>
      </c>
      <c r="O34">
        <f>'Building List'!N249</f>
        <v>3</v>
      </c>
    </row>
    <row r="35" spans="1:15">
      <c r="A35" s="967" t="str">
        <f>'Building List'!A250</f>
        <v>5A01</v>
      </c>
      <c r="B35" t="str">
        <f>'Building List'!$B$222</f>
        <v>NON-UNIVERSITY OWNED PROPERTIES</v>
      </c>
      <c r="C35" t="str">
        <f>'Building List'!B250</f>
        <v>UH - Gerber Building - UCRC #2</v>
      </c>
      <c r="D35">
        <f>'Building List'!C250</f>
        <v>0</v>
      </c>
      <c r="E35" s="967">
        <f>'Building List'!D250</f>
        <v>0</v>
      </c>
      <c r="F35" s="967">
        <f>'Building List'!E250</f>
        <v>9387</v>
      </c>
      <c r="G35" s="967">
        <f>'Building List'!F250</f>
        <v>0</v>
      </c>
      <c r="H35" s="967">
        <f>'Building List'!G250</f>
        <v>0</v>
      </c>
      <c r="I35" s="967">
        <f>'Building List'!H250</f>
        <v>0</v>
      </c>
      <c r="J35" s="967">
        <f>'Building List'!I250</f>
        <v>0</v>
      </c>
      <c r="K35" s="967">
        <f>'Building List'!J250</f>
        <v>0</v>
      </c>
      <c r="L35" s="967">
        <f>'Building List'!K250</f>
        <v>0</v>
      </c>
      <c r="M35" s="967" t="str">
        <f>'Building List'!L250</f>
        <v>AC</v>
      </c>
      <c r="N35" s="268">
        <f>'Building List'!M250</f>
        <v>0</v>
      </c>
      <c r="O35">
        <f>'Building List'!N250</f>
        <v>3</v>
      </c>
    </row>
    <row r="36" spans="1:15">
      <c r="A36" s="967" t="str">
        <f>'Building List'!A251</f>
        <v>4C23</v>
      </c>
      <c r="B36" t="str">
        <f>'Building List'!$B$222</f>
        <v>NON-UNIVERSITY OWNED PROPERTIES</v>
      </c>
      <c r="C36" t="str">
        <f>'Building List'!B251</f>
        <v>UH - Hanna Pavillion</v>
      </c>
      <c r="D36">
        <f>'Building List'!C251</f>
        <v>0</v>
      </c>
      <c r="E36" s="967">
        <f>'Building List'!D251</f>
        <v>0</v>
      </c>
      <c r="F36" s="967">
        <f>'Building List'!E251</f>
        <v>7689</v>
      </c>
      <c r="G36" s="967">
        <f>'Building List'!F251</f>
        <v>0</v>
      </c>
      <c r="H36" s="967">
        <f>'Building List'!G251</f>
        <v>0</v>
      </c>
      <c r="I36" s="967">
        <f>'Building List'!H251</f>
        <v>0</v>
      </c>
      <c r="J36" s="967">
        <f>'Building List'!I251</f>
        <v>0</v>
      </c>
      <c r="K36" s="967">
        <f>'Building List'!J251</f>
        <v>0</v>
      </c>
      <c r="L36" s="967">
        <f>'Building List'!K251</f>
        <v>0</v>
      </c>
      <c r="M36" s="967" t="str">
        <f>'Building List'!L251</f>
        <v>AC</v>
      </c>
      <c r="N36" s="268">
        <f>'Building List'!M251</f>
        <v>0</v>
      </c>
      <c r="O36">
        <f>'Building List'!N251</f>
        <v>3</v>
      </c>
    </row>
    <row r="37" spans="1:15">
      <c r="A37" s="967" t="str">
        <f>'Building List'!A252</f>
        <v>4C15</v>
      </c>
      <c r="B37" t="str">
        <f>'Building List'!$B$222</f>
        <v>NON-UNIVERSITY OWNED PROPERTIES</v>
      </c>
      <c r="C37" t="str">
        <f>'Building List'!B252</f>
        <v>UH - Lakeside</v>
      </c>
      <c r="D37">
        <f>'Building List'!C252</f>
        <v>0</v>
      </c>
      <c r="E37" s="967">
        <f>'Building List'!D252</f>
        <v>0</v>
      </c>
      <c r="F37" s="967">
        <f>'Building List'!E252</f>
        <v>0</v>
      </c>
      <c r="G37" s="967">
        <f>'Building List'!F252</f>
        <v>0</v>
      </c>
      <c r="H37" s="967">
        <f>'Building List'!G252</f>
        <v>0</v>
      </c>
      <c r="I37" s="967">
        <f>'Building List'!H252</f>
        <v>0</v>
      </c>
      <c r="J37" s="967">
        <f>'Building List'!I252</f>
        <v>0</v>
      </c>
      <c r="K37" s="967">
        <f>'Building List'!J252</f>
        <v>0</v>
      </c>
      <c r="L37" s="967">
        <f>'Building List'!K252</f>
        <v>0</v>
      </c>
      <c r="M37" s="967" t="str">
        <f>'Building List'!L252</f>
        <v>AC</v>
      </c>
      <c r="N37" s="268">
        <f>'Building List'!M252</f>
        <v>0</v>
      </c>
      <c r="O37">
        <f>'Building List'!N252</f>
        <v>3</v>
      </c>
    </row>
    <row r="38" spans="1:15">
      <c r="A38" s="967" t="str">
        <f>'Building List'!A253</f>
        <v>4C03</v>
      </c>
      <c r="B38" t="str">
        <f>'Building List'!$B$222</f>
        <v>NON-UNIVERSITY OWNED PROPERTIES</v>
      </c>
      <c r="C38" t="str">
        <f>'Building List'!B253</f>
        <v>UH - MacDonald House</v>
      </c>
      <c r="D38">
        <f>'Building List'!C253</f>
        <v>0</v>
      </c>
      <c r="E38" s="967">
        <f>'Building List'!D253</f>
        <v>0</v>
      </c>
      <c r="F38" s="967">
        <f>'Building List'!E253</f>
        <v>8177</v>
      </c>
      <c r="G38" s="967">
        <f>'Building List'!F253</f>
        <v>0</v>
      </c>
      <c r="H38" s="967">
        <f>'Building List'!G253</f>
        <v>0</v>
      </c>
      <c r="I38" s="967">
        <f>'Building List'!H253</f>
        <v>0</v>
      </c>
      <c r="J38" s="967">
        <f>'Building List'!I253</f>
        <v>0</v>
      </c>
      <c r="K38" s="967">
        <f>'Building List'!J253</f>
        <v>0</v>
      </c>
      <c r="L38" s="967">
        <f>'Building List'!K253</f>
        <v>0</v>
      </c>
      <c r="M38" s="967" t="str">
        <f>'Building List'!L253</f>
        <v>AC</v>
      </c>
      <c r="N38" s="268">
        <f>'Building List'!M253</f>
        <v>0</v>
      </c>
      <c r="O38">
        <f>'Building List'!N253</f>
        <v>3</v>
      </c>
    </row>
    <row r="39" spans="1:15">
      <c r="A39" s="967" t="str">
        <f>'Building List'!A254</f>
        <v>4C40</v>
      </c>
      <c r="B39" t="str">
        <f>'Building List'!$B$222</f>
        <v>NON-UNIVERSITY OWNED PROPERTIES</v>
      </c>
      <c r="C39" t="str">
        <f>'Building List'!B254</f>
        <v>UH - Mather Pavillion</v>
      </c>
      <c r="D39">
        <f>'Building List'!C254</f>
        <v>0</v>
      </c>
      <c r="E39" s="967">
        <f>'Building List'!D254</f>
        <v>0</v>
      </c>
      <c r="F39" s="967">
        <f>'Building List'!E254</f>
        <v>0</v>
      </c>
      <c r="G39" s="967">
        <f>'Building List'!F254</f>
        <v>0</v>
      </c>
      <c r="H39" s="967">
        <f>'Building List'!G254</f>
        <v>0</v>
      </c>
      <c r="I39" s="967">
        <f>'Building List'!H254</f>
        <v>0</v>
      </c>
      <c r="J39" s="967">
        <f>'Building List'!I254</f>
        <v>0</v>
      </c>
      <c r="K39" s="967">
        <f>'Building List'!J254</f>
        <v>0</v>
      </c>
      <c r="L39" s="967">
        <f>'Building List'!K254</f>
        <v>0</v>
      </c>
      <c r="M39" s="967" t="str">
        <f>'Building List'!L254</f>
        <v>AC</v>
      </c>
      <c r="N39" s="268">
        <f>'Building List'!M254</f>
        <v>0</v>
      </c>
      <c r="O39">
        <f>'Building List'!N254</f>
        <v>3</v>
      </c>
    </row>
    <row r="40" spans="1:15">
      <c r="A40" s="967" t="str">
        <f>'Building List'!A255</f>
        <v>1Z30</v>
      </c>
      <c r="B40" t="str">
        <f>'Building List'!$B$222</f>
        <v>NON-UNIVERSITY OWNED PROPERTIES</v>
      </c>
      <c r="C40" t="str">
        <f>'Building List'!B255</f>
        <v>UH - Parkway Medical Center</v>
      </c>
      <c r="D40">
        <f>'Building List'!C255</f>
        <v>0</v>
      </c>
      <c r="E40" s="967">
        <f>'Building List'!D255</f>
        <v>0</v>
      </c>
      <c r="F40" s="967">
        <f>'Building List'!E255</f>
        <v>0</v>
      </c>
      <c r="G40" s="967">
        <f>'Building List'!F255</f>
        <v>0</v>
      </c>
      <c r="H40" s="967">
        <f>'Building List'!G255</f>
        <v>0</v>
      </c>
      <c r="I40" s="967">
        <f>'Building List'!H255</f>
        <v>0</v>
      </c>
      <c r="J40" s="967">
        <f>'Building List'!I255</f>
        <v>0</v>
      </c>
      <c r="K40" s="967">
        <f>'Building List'!J255</f>
        <v>0</v>
      </c>
      <c r="L40" s="967">
        <f>'Building List'!K255</f>
        <v>0</v>
      </c>
      <c r="M40" s="967" t="str">
        <f>'Building List'!L255</f>
        <v>AC</v>
      </c>
      <c r="N40" s="268">
        <f>'Building List'!M255</f>
        <v>0</v>
      </c>
      <c r="O40">
        <f>'Building List'!N255</f>
        <v>3</v>
      </c>
    </row>
    <row r="41" spans="1:15">
      <c r="A41" s="967" t="str">
        <f>'Building List'!A256</f>
        <v>4C01</v>
      </c>
      <c r="B41" t="str">
        <f>'Building List'!$B$222</f>
        <v>NON-UNIVERSITY OWNED PROPERTIES</v>
      </c>
      <c r="C41" t="str">
        <f>'Building List'!B256</f>
        <v>UH - Rainbow Babies &amp; Children</v>
      </c>
      <c r="D41">
        <f>'Building List'!C256</f>
        <v>0</v>
      </c>
      <c r="E41" s="967">
        <f>'Building List'!D256</f>
        <v>0</v>
      </c>
      <c r="F41" s="967">
        <f>'Building List'!E256</f>
        <v>15649</v>
      </c>
      <c r="G41" s="967">
        <f>'Building List'!F256</f>
        <v>0</v>
      </c>
      <c r="H41" s="967">
        <f>'Building List'!G256</f>
        <v>0</v>
      </c>
      <c r="I41" s="967">
        <f>'Building List'!H256</f>
        <v>0</v>
      </c>
      <c r="J41" s="967">
        <f>'Building List'!I256</f>
        <v>0</v>
      </c>
      <c r="K41" s="967">
        <f>'Building List'!J256</f>
        <v>0</v>
      </c>
      <c r="L41" s="967">
        <f>'Building List'!K256</f>
        <v>0</v>
      </c>
      <c r="M41" s="967" t="str">
        <f>'Building List'!L256</f>
        <v>AC</v>
      </c>
      <c r="N41" s="268">
        <f>'Building List'!M256</f>
        <v>0</v>
      </c>
      <c r="O41">
        <f>'Building List'!N256</f>
        <v>3</v>
      </c>
    </row>
    <row r="42" spans="1:15">
      <c r="A42" s="967" t="str">
        <f>'Building List'!A257</f>
        <v>4C17</v>
      </c>
      <c r="B42" t="str">
        <f>'Building List'!$B$222</f>
        <v>NON-UNIVERSITY OWNED PROPERTIES</v>
      </c>
      <c r="C42" t="str">
        <f>'Building List'!B257</f>
        <v>UH - Wearn Lab</v>
      </c>
      <c r="D42">
        <f>'Building List'!C257</f>
        <v>0</v>
      </c>
      <c r="E42" s="967">
        <f>'Building List'!D257</f>
        <v>0</v>
      </c>
      <c r="F42" s="967">
        <f>'Building List'!E257</f>
        <v>27440</v>
      </c>
      <c r="G42" s="967">
        <f>'Building List'!F257</f>
        <v>0</v>
      </c>
      <c r="H42" s="967">
        <f>'Building List'!G257</f>
        <v>0</v>
      </c>
      <c r="I42" s="967">
        <f>'Building List'!H257</f>
        <v>0</v>
      </c>
      <c r="J42" s="967">
        <f>'Building List'!I257</f>
        <v>0</v>
      </c>
      <c r="K42" s="967">
        <f>'Building List'!J257</f>
        <v>0</v>
      </c>
      <c r="L42" s="967">
        <f>'Building List'!K257</f>
        <v>0</v>
      </c>
      <c r="M42" s="967" t="str">
        <f>'Building List'!L257</f>
        <v>AC</v>
      </c>
      <c r="N42" s="268">
        <f>'Building List'!M257</f>
        <v>0</v>
      </c>
      <c r="O42">
        <f>'Building List'!N257</f>
        <v>3</v>
      </c>
    </row>
    <row r="43" spans="1:15">
      <c r="A43" s="967" t="str">
        <f>'Building List'!A258</f>
        <v>BV01</v>
      </c>
      <c r="B43" t="str">
        <f>'Building List'!$B$222</f>
        <v>NON-UNIVERSITY OWNED PROPERTIES</v>
      </c>
      <c r="C43" t="str">
        <f>'Building List'!B258</f>
        <v>VA - Brecksville VA</v>
      </c>
      <c r="D43">
        <f>'Building List'!C258</f>
        <v>0</v>
      </c>
      <c r="E43" s="967">
        <f>'Building List'!D258</f>
        <v>0</v>
      </c>
      <c r="F43" s="967">
        <f>'Building List'!E258</f>
        <v>4273</v>
      </c>
      <c r="G43" s="967">
        <f>'Building List'!F258</f>
        <v>0</v>
      </c>
      <c r="H43" s="967">
        <f>'Building List'!G258</f>
        <v>0</v>
      </c>
      <c r="I43" s="967">
        <f>'Building List'!H258</f>
        <v>0</v>
      </c>
      <c r="J43" s="967">
        <f>'Building List'!I258</f>
        <v>0</v>
      </c>
      <c r="K43" s="967">
        <f>'Building List'!J258</f>
        <v>0</v>
      </c>
      <c r="L43" s="967">
        <f>'Building List'!K258</f>
        <v>0</v>
      </c>
      <c r="M43" s="967" t="str">
        <f>'Building List'!L258</f>
        <v>AC</v>
      </c>
      <c r="N43" s="268">
        <f>'Building List'!M258</f>
        <v>0</v>
      </c>
      <c r="O43">
        <f>'Building List'!N258</f>
        <v>3</v>
      </c>
    </row>
    <row r="44" spans="1:15">
      <c r="A44" s="967" t="str">
        <f>'Building List'!A259</f>
        <v>1D01</v>
      </c>
      <c r="B44" t="str">
        <f>'Building List'!$B$222</f>
        <v>NON-UNIVERSITY OWNED PROPERTIES</v>
      </c>
      <c r="C44" t="str">
        <f>'Building List'!B259</f>
        <v>VA - LDV Building</v>
      </c>
      <c r="D44">
        <f>'Building List'!C259</f>
        <v>0</v>
      </c>
      <c r="E44" s="967">
        <f>'Building List'!D259</f>
        <v>0</v>
      </c>
      <c r="F44" s="967">
        <f>'Building List'!E259</f>
        <v>0</v>
      </c>
      <c r="G44" s="967">
        <f>'Building List'!F259</f>
        <v>0</v>
      </c>
      <c r="H44" s="967">
        <f>'Building List'!G259</f>
        <v>0</v>
      </c>
      <c r="I44" s="967">
        <f>'Building List'!H259</f>
        <v>0</v>
      </c>
      <c r="J44" s="967">
        <f>'Building List'!I259</f>
        <v>0</v>
      </c>
      <c r="K44" s="967">
        <f>'Building List'!J259</f>
        <v>0</v>
      </c>
      <c r="L44" s="967">
        <f>'Building List'!K259</f>
        <v>0</v>
      </c>
      <c r="M44" s="967" t="str">
        <f>'Building List'!L259</f>
        <v>AC</v>
      </c>
      <c r="N44" s="268">
        <f>'Building List'!M259</f>
        <v>0</v>
      </c>
      <c r="O44">
        <f>'Building List'!N259</f>
        <v>3</v>
      </c>
    </row>
    <row r="45" spans="1:15">
      <c r="A45" s="967" t="str">
        <f>'Building List'!A260</f>
        <v>1C01</v>
      </c>
      <c r="B45" t="str">
        <f>'Building List'!$B$222</f>
        <v>NON-UNIVERSITY OWNED PROPERTIES</v>
      </c>
      <c r="C45" t="str">
        <f>'Building List'!B260</f>
        <v>VA - VA Hospital</v>
      </c>
      <c r="D45">
        <f>'Building List'!C260</f>
        <v>0</v>
      </c>
      <c r="E45" s="967">
        <f>'Building List'!D260</f>
        <v>0</v>
      </c>
      <c r="F45" s="967">
        <f>'Building List'!E260</f>
        <v>37971</v>
      </c>
      <c r="G45" s="967">
        <f>'Building List'!F260</f>
        <v>0</v>
      </c>
      <c r="H45" s="967">
        <f>'Building List'!G260</f>
        <v>0</v>
      </c>
      <c r="I45" s="967">
        <f>'Building List'!H260</f>
        <v>0</v>
      </c>
      <c r="J45" s="967">
        <f>'Building List'!I260</f>
        <v>0</v>
      </c>
      <c r="K45" s="967">
        <f>'Building List'!J260</f>
        <v>0</v>
      </c>
      <c r="L45" s="967">
        <f>'Building List'!K260</f>
        <v>0</v>
      </c>
      <c r="M45" s="967" t="str">
        <f>'Building List'!L260</f>
        <v>AC</v>
      </c>
      <c r="N45" s="268">
        <f>'Building List'!M260</f>
        <v>0</v>
      </c>
      <c r="O45">
        <f>'Building List'!N260</f>
        <v>3</v>
      </c>
    </row>
    <row r="46" spans="1:15">
      <c r="A46" s="967" t="str">
        <f>'Building List'!A58</f>
        <v>4B29</v>
      </c>
      <c r="B46" t="str">
        <f>'Building List'!$B$57</f>
        <v>ADMINISTRATIVE</v>
      </c>
      <c r="C46" t="str">
        <f>'Building List'!B58</f>
        <v>Adelbert Hall</v>
      </c>
      <c r="D46" t="str">
        <f>'Building List'!C58</f>
        <v>Adelbert Road 2040</v>
      </c>
      <c r="E46" s="967">
        <f>'Building List'!D58</f>
        <v>3</v>
      </c>
      <c r="F46" s="967">
        <f>'Building List'!E58</f>
        <v>50800</v>
      </c>
      <c r="G46" s="967">
        <f>'Building List'!F58</f>
        <v>1882</v>
      </c>
      <c r="H46" s="967">
        <f>'Building List'!G58</f>
        <v>0</v>
      </c>
      <c r="I46" s="967">
        <f>'Building List'!H58</f>
        <v>1882</v>
      </c>
      <c r="J46" s="967">
        <f>'Building List'!I58</f>
        <v>0</v>
      </c>
      <c r="K46" s="967" t="str">
        <f>'Building List'!J58</f>
        <v>Y</v>
      </c>
      <c r="L46" s="967" t="str">
        <f>'Building List'!K58</f>
        <v>FULL</v>
      </c>
      <c r="M46" s="967" t="str">
        <f>'Building List'!L58</f>
        <v>AD</v>
      </c>
      <c r="N46" s="268">
        <f>'Building List'!M58</f>
        <v>21972902</v>
      </c>
      <c r="O46">
        <f>'Building List'!N58</f>
        <v>1</v>
      </c>
    </row>
    <row r="47" spans="1:15">
      <c r="A47" s="967" t="str">
        <f>'Building List'!A3</f>
        <v>5B17</v>
      </c>
      <c r="B47" t="str">
        <f>'Building List'!$B$2</f>
        <v>ACADEMIC</v>
      </c>
      <c r="C47" t="str">
        <f>'Building List'!B3</f>
        <v>Adelbert Gym</v>
      </c>
      <c r="D47" t="str">
        <f>'Building List'!C3</f>
        <v>Adelbert Road 2128</v>
      </c>
      <c r="E47" s="967">
        <f>'Building List'!D3</f>
        <v>3</v>
      </c>
      <c r="F47" s="967">
        <f>'Building List'!E3</f>
        <v>28550</v>
      </c>
      <c r="G47" s="967">
        <f>'Building List'!F3</f>
        <v>1888</v>
      </c>
      <c r="H47" s="967">
        <f>'Building List'!G3</f>
        <v>0</v>
      </c>
      <c r="I47" s="967">
        <f>'Building List'!H3</f>
        <v>1888</v>
      </c>
      <c r="J47" s="967">
        <f>'Building List'!I3</f>
        <v>0</v>
      </c>
      <c r="K47" s="967" t="str">
        <f>'Building List'!J3</f>
        <v>N</v>
      </c>
      <c r="L47" s="967" t="str">
        <f>'Building List'!K3</f>
        <v>NONE</v>
      </c>
      <c r="M47" s="967" t="str">
        <f>'Building List'!L3</f>
        <v>AC</v>
      </c>
      <c r="N47" s="268">
        <f>'Building List'!M3</f>
        <v>1874307</v>
      </c>
      <c r="O47">
        <f>'Building List'!N3</f>
        <v>1</v>
      </c>
    </row>
    <row r="48" spans="1:15">
      <c r="A48" s="967" t="str">
        <f>'Building List'!A157</f>
        <v>1Z20</v>
      </c>
      <c r="B48" t="str">
        <f>'Building List'!$B$152</f>
        <v>OTHER</v>
      </c>
      <c r="C48" t="str">
        <f>'Building List'!B157</f>
        <v>Putnam House - 12817 Lakeshore Blvd</v>
      </c>
      <c r="D48" t="str">
        <f>'Building List'!C157</f>
        <v>Lakeshore Boulevard 12817</v>
      </c>
      <c r="E48" s="967">
        <f>'Building List'!D157</f>
        <v>0</v>
      </c>
      <c r="F48" s="967">
        <f>'Building List'!E157</f>
        <v>5500</v>
      </c>
      <c r="G48" s="967">
        <f>'Building List'!F157</f>
        <v>1890</v>
      </c>
      <c r="H48" s="967">
        <f>'Building List'!G157</f>
        <v>0</v>
      </c>
      <c r="I48" s="967">
        <f>'Building List'!H157</f>
        <v>1890</v>
      </c>
      <c r="J48" s="967">
        <f>'Building List'!I157</f>
        <v>0</v>
      </c>
      <c r="K48" s="967">
        <f>'Building List'!J157</f>
        <v>0</v>
      </c>
      <c r="L48" s="967" t="str">
        <f>'Building List'!K157</f>
        <v>NONE</v>
      </c>
      <c r="M48" s="967" t="str">
        <f>'Building List'!L157</f>
        <v>O</v>
      </c>
      <c r="N48" s="268">
        <f>'Building List'!M157</f>
        <v>1813168</v>
      </c>
      <c r="O48">
        <f>'Building List'!N157</f>
        <v>1</v>
      </c>
    </row>
    <row r="49" spans="1:15">
      <c r="A49" s="967" t="str">
        <f>'Building List'!A170</f>
        <v>2E18</v>
      </c>
      <c r="B49" t="str">
        <f>'Building List'!$B$163</f>
        <v>OWNED FRATERNITIES</v>
      </c>
      <c r="C49" t="str">
        <f>'Building List'!B170</f>
        <v>Magnolia 11136 - Theta Chi</v>
      </c>
      <c r="D49" t="str">
        <f>'Building List'!C170</f>
        <v>Magnolia 11136</v>
      </c>
      <c r="E49" s="967">
        <f>'Building List'!D170</f>
        <v>0</v>
      </c>
      <c r="F49" s="967">
        <f>'Building List'!E170</f>
        <v>8500</v>
      </c>
      <c r="G49" s="967">
        <f>'Building List'!F170</f>
        <v>1890</v>
      </c>
      <c r="H49" s="967">
        <f>'Building List'!G170</f>
        <v>0</v>
      </c>
      <c r="I49" s="967">
        <f>'Building List'!H170</f>
        <v>1890</v>
      </c>
      <c r="J49" s="967">
        <f>'Building List'!I170</f>
        <v>0</v>
      </c>
      <c r="K49" s="967">
        <f>'Building List'!J170</f>
        <v>0</v>
      </c>
      <c r="L49" s="967" t="str">
        <f>'Building List'!K170</f>
        <v>NONE</v>
      </c>
      <c r="M49" s="967" t="str">
        <f>'Building List'!L170</f>
        <v>FS</v>
      </c>
      <c r="N49" s="268">
        <f>'Building List'!M170</f>
        <v>2455659</v>
      </c>
      <c r="O49">
        <f>'Building List'!N170</f>
        <v>1</v>
      </c>
    </row>
    <row r="50" spans="1:15">
      <c r="A50" s="967" t="str">
        <f>'Building List'!A11</f>
        <v>3C21</v>
      </c>
      <c r="B50" t="str">
        <f>'Building List'!$B$2</f>
        <v>ACADEMIC</v>
      </c>
      <c r="C50" t="str">
        <f>'Building List'!B11</f>
        <v>Clark Hall</v>
      </c>
      <c r="D50" t="str">
        <f>'Building List'!C11</f>
        <v>Bellflower Road 11130</v>
      </c>
      <c r="E50" s="967">
        <f>'Building List'!D11</f>
        <v>2</v>
      </c>
      <c r="F50" s="967">
        <f>'Building List'!E11</f>
        <v>18611</v>
      </c>
      <c r="G50" s="967">
        <f>'Building List'!F11</f>
        <v>1892</v>
      </c>
      <c r="H50" s="967">
        <f>'Building List'!G11</f>
        <v>0</v>
      </c>
      <c r="I50" s="967">
        <f>'Building List'!H11</f>
        <v>1892</v>
      </c>
      <c r="J50" s="967">
        <f>'Building List'!I11</f>
        <v>0</v>
      </c>
      <c r="K50" s="967" t="str">
        <f>'Building List'!J11</f>
        <v>Y</v>
      </c>
      <c r="L50" s="967" t="str">
        <f>'Building List'!K11</f>
        <v>FULL</v>
      </c>
      <c r="M50" s="967" t="str">
        <f>'Building List'!L11</f>
        <v>AC</v>
      </c>
      <c r="N50" s="268">
        <f>'Building List'!M11</f>
        <v>4958391</v>
      </c>
      <c r="O50">
        <f>'Building List'!N11</f>
        <v>1</v>
      </c>
    </row>
    <row r="51" spans="1:15">
      <c r="A51" s="967" t="str">
        <f>'Building List'!A19</f>
        <v>3C23</v>
      </c>
      <c r="B51" t="str">
        <f>'Building List'!$B$2</f>
        <v>ACADEMIC</v>
      </c>
      <c r="C51" t="str">
        <f>'Building List'!B19</f>
        <v>Guilford House</v>
      </c>
      <c r="D51" t="str">
        <f>'Building List'!C19</f>
        <v>Bellflower Road 11112</v>
      </c>
      <c r="E51" s="967">
        <f>'Building List'!D19</f>
        <v>2</v>
      </c>
      <c r="F51" s="967">
        <f>'Building List'!E19</f>
        <v>29251</v>
      </c>
      <c r="G51" s="967">
        <f>'Building List'!F19</f>
        <v>1892</v>
      </c>
      <c r="H51" s="967">
        <f>'Building List'!G19</f>
        <v>0</v>
      </c>
      <c r="I51" s="967">
        <f>'Building List'!H19</f>
        <v>1892</v>
      </c>
      <c r="J51" s="967">
        <f>'Building List'!I19</f>
        <v>0</v>
      </c>
      <c r="K51" s="967" t="str">
        <f>'Building List'!J19</f>
        <v>Y</v>
      </c>
      <c r="L51" s="967" t="str">
        <f>'Building List'!K19</f>
        <v>FULL</v>
      </c>
      <c r="M51" s="967" t="str">
        <f>'Building List'!L19</f>
        <v>AC</v>
      </c>
      <c r="N51" s="268">
        <f>'Building List'!M19</f>
        <v>3734973</v>
      </c>
      <c r="O51">
        <f>'Building List'!N19</f>
        <v>1</v>
      </c>
    </row>
    <row r="52" spans="1:15">
      <c r="A52" s="967" t="str">
        <f>'Building List'!A66</f>
        <v>5C05</v>
      </c>
      <c r="B52" t="str">
        <f>'Building List'!$B$57</f>
        <v>ADMINISTRATIVE</v>
      </c>
      <c r="C52" t="str">
        <f>'Building List'!B66</f>
        <v>Health Services Building</v>
      </c>
      <c r="D52" t="str">
        <f>'Building List'!C66</f>
        <v>Adelbert Road 2145</v>
      </c>
      <c r="E52" s="967">
        <f>'Building List'!D66</f>
        <v>1</v>
      </c>
      <c r="F52" s="967">
        <f>'Building List'!E66</f>
        <v>12429</v>
      </c>
      <c r="G52" s="967">
        <f>'Building List'!F66</f>
        <v>1890</v>
      </c>
      <c r="H52" s="967">
        <f>'Building List'!G66</f>
        <v>1896</v>
      </c>
      <c r="I52" s="967">
        <f>'Building List'!H66</f>
        <v>1896</v>
      </c>
      <c r="J52" s="967">
        <f>'Building List'!I66</f>
        <v>0</v>
      </c>
      <c r="K52" s="967" t="str">
        <f>'Building List'!J66</f>
        <v>Y</v>
      </c>
      <c r="L52" s="967" t="str">
        <f>'Building List'!K66</f>
        <v>PARTIAL</v>
      </c>
      <c r="M52" s="967" t="str">
        <f>'Building List'!L66</f>
        <v>AD</v>
      </c>
      <c r="N52" s="268">
        <f>'Building List'!M66</f>
        <v>3980536</v>
      </c>
      <c r="O52">
        <f>'Building List'!N66</f>
        <v>1</v>
      </c>
    </row>
    <row r="53" spans="1:15">
      <c r="A53" s="967" t="str">
        <f>'Building List'!A16</f>
        <v>4B23</v>
      </c>
      <c r="B53" t="str">
        <f>'Building List'!$B$2</f>
        <v>ACADEMIC</v>
      </c>
      <c r="C53" t="str">
        <f>'Building List'!B16</f>
        <v>Eldred Hall</v>
      </c>
      <c r="D53" t="str">
        <f>'Building List'!C16</f>
        <v>Adelbert Road 2070</v>
      </c>
      <c r="E53" s="967">
        <f>'Building List'!D16</f>
        <v>3</v>
      </c>
      <c r="F53" s="967">
        <f>'Building List'!E16</f>
        <v>18082</v>
      </c>
      <c r="G53" s="967">
        <f>'Building List'!F16</f>
        <v>1897</v>
      </c>
      <c r="H53" s="967">
        <f>'Building List'!G16</f>
        <v>0</v>
      </c>
      <c r="I53" s="967">
        <f>'Building List'!H16</f>
        <v>1897</v>
      </c>
      <c r="J53" s="967">
        <f>'Building List'!I16</f>
        <v>0</v>
      </c>
      <c r="K53" s="967" t="str">
        <f>'Building List'!J16</f>
        <v>Y</v>
      </c>
      <c r="L53" s="967" t="str">
        <f>'Building List'!K16</f>
        <v>FULL</v>
      </c>
      <c r="M53" s="967" t="str">
        <f>'Building List'!L16</f>
        <v>AC</v>
      </c>
      <c r="N53" s="268">
        <f>'Building List'!M16</f>
        <v>2969826</v>
      </c>
      <c r="O53">
        <f>'Building List'!N16</f>
        <v>1</v>
      </c>
    </row>
    <row r="54" spans="1:15">
      <c r="A54" s="967" t="str">
        <f>'Building List'!A20</f>
        <v>3D03</v>
      </c>
      <c r="B54" t="str">
        <f>'Building List'!$B$2</f>
        <v>ACADEMIC</v>
      </c>
      <c r="C54" t="str">
        <f>'Building List'!B20</f>
        <v>Harkness Chapel</v>
      </c>
      <c r="D54" t="str">
        <f>'Building List'!C20</f>
        <v>Bellflower Road 11200</v>
      </c>
      <c r="E54" s="967">
        <f>'Building List'!D20</f>
        <v>2</v>
      </c>
      <c r="F54" s="967">
        <f>'Building List'!E20</f>
        <v>18208</v>
      </c>
      <c r="G54" s="967">
        <f>'Building List'!F20</f>
        <v>1902</v>
      </c>
      <c r="H54" s="967">
        <f>'Building List'!G20</f>
        <v>0</v>
      </c>
      <c r="I54" s="967">
        <f>'Building List'!H20</f>
        <v>1902</v>
      </c>
      <c r="J54" s="967">
        <f>'Building List'!I20</f>
        <v>0</v>
      </c>
      <c r="K54" s="967" t="str">
        <f>'Building List'!J20</f>
        <v>Y</v>
      </c>
      <c r="L54" s="967" t="str">
        <f>'Building List'!K20</f>
        <v>FULL</v>
      </c>
      <c r="M54" s="967" t="str">
        <f>'Building List'!L20</f>
        <v>AC</v>
      </c>
      <c r="N54" s="268">
        <f>'Building List'!M20</f>
        <v>6167047</v>
      </c>
      <c r="O54">
        <f>'Building List'!N20</f>
        <v>1</v>
      </c>
    </row>
    <row r="55" spans="1:15">
      <c r="A55" s="967" t="str">
        <f>'Building List'!A21</f>
        <v>3C15</v>
      </c>
      <c r="B55" t="str">
        <f>'Building List'!$B$2</f>
        <v>ACADEMIC</v>
      </c>
      <c r="C55" t="str">
        <f>'Building List'!B21</f>
        <v>Haydn Hall</v>
      </c>
      <c r="D55" t="str">
        <f>'Building List'!C21</f>
        <v>Bellflower Road 11118</v>
      </c>
      <c r="E55" s="967">
        <f>'Building List'!D21</f>
        <v>2</v>
      </c>
      <c r="F55" s="967">
        <f>'Building List'!E21</f>
        <v>20178</v>
      </c>
      <c r="G55" s="967">
        <f>'Building List'!F21</f>
        <v>1902</v>
      </c>
      <c r="H55" s="967">
        <f>'Building List'!G21</f>
        <v>0</v>
      </c>
      <c r="I55" s="967">
        <f>'Building List'!H21</f>
        <v>1902</v>
      </c>
      <c r="J55" s="967">
        <f>'Building List'!I21</f>
        <v>0</v>
      </c>
      <c r="K55" s="967" t="str">
        <f>'Building List'!J21</f>
        <v>Y</v>
      </c>
      <c r="L55" s="967" t="str">
        <f>'Building List'!K21</f>
        <v>NONE</v>
      </c>
      <c r="M55" s="967" t="str">
        <f>'Building List'!L21</f>
        <v>AC</v>
      </c>
      <c r="N55" s="268">
        <f>'Building List'!M21</f>
        <v>2429366</v>
      </c>
      <c r="O55">
        <f>'Building List'!N21</f>
        <v>1</v>
      </c>
    </row>
    <row r="56" spans="1:15">
      <c r="A56" s="967" t="str">
        <f>'Building List'!A38</f>
        <v>4B09</v>
      </c>
      <c r="B56" t="str">
        <f>'Building List'!$B$2</f>
        <v>ACADEMIC</v>
      </c>
      <c r="C56" t="str">
        <f>'Building List'!B38</f>
        <v>Rockefeller</v>
      </c>
      <c r="D56" t="str">
        <f>'Building List'!C38</f>
        <v>Adelbert Road 2076</v>
      </c>
      <c r="E56" s="967">
        <f>'Building List'!D38</f>
        <v>3</v>
      </c>
      <c r="F56" s="967">
        <f>'Building List'!E38</f>
        <v>62584</v>
      </c>
      <c r="G56" s="967">
        <f>'Building List'!F38</f>
        <v>1905</v>
      </c>
      <c r="H56" s="967">
        <f>'Building List'!G38</f>
        <v>0</v>
      </c>
      <c r="I56" s="967">
        <f>'Building List'!H38</f>
        <v>1905</v>
      </c>
      <c r="J56" s="967">
        <f>'Building List'!I38</f>
        <v>0</v>
      </c>
      <c r="K56" s="967" t="str">
        <f>'Building List'!J38</f>
        <v>Y</v>
      </c>
      <c r="L56" s="967" t="str">
        <f>'Building List'!K38</f>
        <v>FULL</v>
      </c>
      <c r="M56" s="967" t="str">
        <f>'Building List'!L38</f>
        <v>AC</v>
      </c>
      <c r="N56" s="268">
        <f>'Building List'!M38</f>
        <v>7305830</v>
      </c>
      <c r="O56">
        <f>'Building List'!N38</f>
        <v>1</v>
      </c>
    </row>
    <row r="57" spans="1:15">
      <c r="A57" s="967" t="str">
        <f>'Building List'!A27</f>
        <v>3C19</v>
      </c>
      <c r="B57" t="str">
        <f>'Building List'!$B$2</f>
        <v>ACADEMIC</v>
      </c>
      <c r="C57" t="str">
        <f>'Building List'!B27</f>
        <v>Mather Dance Center</v>
      </c>
      <c r="D57" t="str">
        <f>'Building List'!C27</f>
        <v>Bellflower Road 11040</v>
      </c>
      <c r="E57" s="967">
        <f>'Building List'!D27</f>
        <v>2</v>
      </c>
      <c r="F57" s="967">
        <f>'Building List'!E27</f>
        <v>13474</v>
      </c>
      <c r="G57" s="967">
        <f>'Building List'!F27</f>
        <v>1907</v>
      </c>
      <c r="H57" s="967">
        <f>'Building List'!G27</f>
        <v>0</v>
      </c>
      <c r="I57" s="967">
        <f>'Building List'!H27</f>
        <v>1907</v>
      </c>
      <c r="J57" s="967">
        <f>'Building List'!I27</f>
        <v>0</v>
      </c>
      <c r="K57" s="967">
        <f>'Building List'!J27</f>
        <v>0</v>
      </c>
      <c r="L57" s="967" t="str">
        <f>'Building List'!K27</f>
        <v>FULL</v>
      </c>
      <c r="M57" s="967" t="str">
        <f>'Building List'!L27</f>
        <v>AC</v>
      </c>
      <c r="N57" s="268">
        <f>'Building List'!M27</f>
        <v>1761599</v>
      </c>
      <c r="O57">
        <f>'Building List'!N27</f>
        <v>1</v>
      </c>
    </row>
    <row r="58" spans="1:15">
      <c r="A58" s="967" t="str">
        <f>'Building List'!A31</f>
        <v>4B11</v>
      </c>
      <c r="B58" t="str">
        <f>'Building List'!$B$2</f>
        <v>ACADEMIC</v>
      </c>
      <c r="C58" t="str">
        <f>'Building List'!B31</f>
        <v>Morley Chemistry</v>
      </c>
      <c r="D58" t="str">
        <f>'Building List'!C31</f>
        <v>Adelbert Road 2090</v>
      </c>
      <c r="E58" s="967">
        <f>'Building List'!D31</f>
        <v>3</v>
      </c>
      <c r="F58" s="967">
        <f>'Building List'!E31</f>
        <v>25483</v>
      </c>
      <c r="G58" s="967">
        <f>'Building List'!F31</f>
        <v>1908</v>
      </c>
      <c r="H58" s="967">
        <f>'Building List'!G31</f>
        <v>0</v>
      </c>
      <c r="I58" s="967">
        <f>'Building List'!H31</f>
        <v>1908</v>
      </c>
      <c r="J58" s="967">
        <f>'Building List'!I31</f>
        <v>0</v>
      </c>
      <c r="K58" s="967" t="str">
        <f>'Building List'!J31</f>
        <v>Y</v>
      </c>
      <c r="L58" s="967" t="str">
        <f>'Building List'!K31</f>
        <v>NONE</v>
      </c>
      <c r="M58" s="967" t="str">
        <f>'Building List'!L31</f>
        <v>AC</v>
      </c>
      <c r="N58" s="268">
        <f>'Building List'!M31</f>
        <v>3127918</v>
      </c>
      <c r="O58">
        <f>'Building List'!N31</f>
        <v>1</v>
      </c>
    </row>
    <row r="59" spans="1:15">
      <c r="A59" s="967" t="str">
        <f>'Building List'!A4</f>
        <v>4B31</v>
      </c>
      <c r="B59" t="str">
        <f>'Building List'!$B$2</f>
        <v>ACADEMIC</v>
      </c>
      <c r="C59" t="str">
        <f>'Building List'!B4</f>
        <v>Amasa Stone Chapel</v>
      </c>
      <c r="D59" t="str">
        <f>'Building List'!C4</f>
        <v>Euclid Avenue 10940</v>
      </c>
      <c r="E59" s="967">
        <f>'Building List'!D4</f>
        <v>3</v>
      </c>
      <c r="F59" s="967">
        <f>'Building List'!E4</f>
        <v>18220</v>
      </c>
      <c r="G59" s="967">
        <f>'Building List'!F4</f>
        <v>1909</v>
      </c>
      <c r="H59" s="967">
        <f>'Building List'!G4</f>
        <v>0</v>
      </c>
      <c r="I59" s="967">
        <f>'Building List'!H4</f>
        <v>1909</v>
      </c>
      <c r="J59" s="967">
        <f>'Building List'!I4</f>
        <v>0</v>
      </c>
      <c r="K59" s="967" t="str">
        <f>'Building List'!J4</f>
        <v>Y</v>
      </c>
      <c r="L59" s="967" t="str">
        <f>'Building List'!K4</f>
        <v>FULL</v>
      </c>
      <c r="M59" s="967" t="str">
        <f>'Building List'!L4</f>
        <v>AC</v>
      </c>
      <c r="N59" s="268">
        <f>'Building List'!M4</f>
        <v>4297742</v>
      </c>
      <c r="O59">
        <f>'Building List'!N4</f>
        <v>1</v>
      </c>
    </row>
    <row r="60" spans="1:15">
      <c r="A60" s="967" t="str">
        <f>'Building List'!A68</f>
        <v>3D66</v>
      </c>
      <c r="B60" t="str">
        <f>'Building List'!$B$57</f>
        <v>ADMINISTRATIVE</v>
      </c>
      <c r="C60" t="str">
        <f>'Building List'!B68</f>
        <v>North Campus Security Office</v>
      </c>
      <c r="D60" t="str">
        <f>'Building List'!C68</f>
        <v>East 115 Street 1725</v>
      </c>
      <c r="E60" s="967">
        <f>'Building List'!D68</f>
        <v>0</v>
      </c>
      <c r="F60" s="967">
        <f>'Building List'!E68</f>
        <v>5000</v>
      </c>
      <c r="G60" s="967">
        <f>'Building List'!F68</f>
        <v>1910</v>
      </c>
      <c r="H60" s="967">
        <f>'Building List'!G68</f>
        <v>0</v>
      </c>
      <c r="I60" s="967">
        <f>'Building List'!H68</f>
        <v>1910</v>
      </c>
      <c r="J60" s="967">
        <f>'Building List'!I68</f>
        <v>0</v>
      </c>
      <c r="K60" s="967" t="str">
        <f>'Building List'!J68</f>
        <v>Y</v>
      </c>
      <c r="L60" s="967" t="str">
        <f>'Building List'!K68</f>
        <v>NONE</v>
      </c>
      <c r="M60" s="967" t="str">
        <f>'Building List'!L68</f>
        <v>AD</v>
      </c>
      <c r="N60" s="268">
        <f>'Building List'!M68</f>
        <v>507890</v>
      </c>
      <c r="O60">
        <f>'Building List'!N68</f>
        <v>1</v>
      </c>
    </row>
    <row r="61" spans="1:15">
      <c r="A61" s="967" t="str">
        <f>'Building List'!A112</f>
        <v>3E71</v>
      </c>
      <c r="B61" t="str">
        <f>'Building List'!$B$110</f>
        <v>RESIDENTIAL</v>
      </c>
      <c r="C61" t="str">
        <f>'Building List'!B112</f>
        <v>Apartment 1680 East 117th Street</v>
      </c>
      <c r="D61" t="str">
        <f>'Building List'!C112</f>
        <v>East 117 Street 1680</v>
      </c>
      <c r="E61" s="967">
        <f>'Building List'!D112</f>
        <v>0</v>
      </c>
      <c r="F61" s="967">
        <f>'Building List'!E112</f>
        <v>16000</v>
      </c>
      <c r="G61" s="967">
        <f>'Building List'!F112</f>
        <v>1910</v>
      </c>
      <c r="H61" s="967">
        <f>'Building List'!G112</f>
        <v>0</v>
      </c>
      <c r="I61" s="967">
        <f>'Building List'!H112</f>
        <v>1910</v>
      </c>
      <c r="J61" s="967">
        <f>'Building List'!I112</f>
        <v>0</v>
      </c>
      <c r="K61" s="967" t="str">
        <f>'Building List'!J112</f>
        <v>N</v>
      </c>
      <c r="L61" s="967" t="str">
        <f>'Building List'!K112</f>
        <v>NONE</v>
      </c>
      <c r="M61" s="967" t="str">
        <f>'Building List'!L112</f>
        <v>R</v>
      </c>
      <c r="N61" s="268">
        <f>'Building List'!M112</f>
        <v>890967</v>
      </c>
      <c r="O61">
        <f>'Building List'!N112</f>
        <v>1</v>
      </c>
    </row>
    <row r="62" spans="1:15">
      <c r="A62" s="967" t="str">
        <f>'Building List'!A28</f>
        <v>3C13</v>
      </c>
      <c r="B62" t="str">
        <f>'Building List'!$B$2</f>
        <v>ACADEMIC</v>
      </c>
      <c r="C62" t="str">
        <f>'Building List'!B28</f>
        <v>Mather House</v>
      </c>
      <c r="D62" t="str">
        <f>'Building List'!C28</f>
        <v>Euclid Avenue 11201</v>
      </c>
      <c r="E62" s="967">
        <f>'Building List'!D28</f>
        <v>2</v>
      </c>
      <c r="F62" s="967">
        <f>'Building List'!E28</f>
        <v>22480</v>
      </c>
      <c r="G62" s="967">
        <f>'Building List'!F28</f>
        <v>1913</v>
      </c>
      <c r="H62" s="967">
        <f>'Building List'!G28</f>
        <v>0</v>
      </c>
      <c r="I62" s="967">
        <f>'Building List'!H28</f>
        <v>1913</v>
      </c>
      <c r="J62" s="967">
        <f>'Building List'!I28</f>
        <v>0</v>
      </c>
      <c r="K62" s="967">
        <f>'Building List'!J28</f>
        <v>0</v>
      </c>
      <c r="L62" s="967" t="str">
        <f>'Building List'!K28</f>
        <v>FULL</v>
      </c>
      <c r="M62" s="967" t="str">
        <f>'Building List'!L28</f>
        <v>AC</v>
      </c>
      <c r="N62" s="268">
        <f>'Building List'!M28</f>
        <v>3116074</v>
      </c>
      <c r="O62">
        <f>'Building List'!N28</f>
        <v>1</v>
      </c>
    </row>
    <row r="63" spans="1:15">
      <c r="A63" s="967" t="str">
        <f>'Building List'!A29</f>
        <v>3D05</v>
      </c>
      <c r="B63" t="str">
        <f>'Building List'!$B$2</f>
        <v>ACADEMIC</v>
      </c>
      <c r="C63" t="str">
        <f>'Building List'!B29</f>
        <v>Mather Memorial Building</v>
      </c>
      <c r="D63" t="str">
        <f>'Building List'!C29</f>
        <v>Bellflower Road 11220</v>
      </c>
      <c r="E63" s="967">
        <f>'Building List'!D29</f>
        <v>2</v>
      </c>
      <c r="F63" s="967">
        <f>'Building List'!E29</f>
        <v>62835</v>
      </c>
      <c r="G63" s="967">
        <f>'Building List'!F29</f>
        <v>1913</v>
      </c>
      <c r="H63" s="967">
        <f>'Building List'!G29</f>
        <v>0</v>
      </c>
      <c r="I63" s="967">
        <f>'Building List'!H29</f>
        <v>1913</v>
      </c>
      <c r="J63" s="967">
        <f>'Building List'!I29</f>
        <v>0</v>
      </c>
      <c r="K63" s="967" t="str">
        <f>'Building List'!J29</f>
        <v>N</v>
      </c>
      <c r="L63" s="967" t="str">
        <f>'Building List'!K29</f>
        <v>NONE</v>
      </c>
      <c r="M63" s="967" t="str">
        <f>'Building List'!L29</f>
        <v>AC</v>
      </c>
      <c r="N63" s="268">
        <f>'Building List'!M29</f>
        <v>11862236</v>
      </c>
      <c r="O63">
        <f>'Building List'!N29</f>
        <v>1</v>
      </c>
    </row>
    <row r="64" spans="1:15">
      <c r="A64" s="967" t="str">
        <f>'Building List'!A80</f>
        <v>3D50</v>
      </c>
      <c r="B64" t="str">
        <f>'Building List'!$B$77</f>
        <v>COMMERCIAL</v>
      </c>
      <c r="C64" t="str">
        <f>'Building List'!B80</f>
        <v>Bellflower 11401 - L'Albatros</v>
      </c>
      <c r="D64" t="str">
        <f>'Building List'!C80</f>
        <v>Bellflower Road 11401</v>
      </c>
      <c r="E64" s="967">
        <f>'Building List'!D80</f>
        <v>0</v>
      </c>
      <c r="F64" s="967">
        <f>'Building List'!E80</f>
        <v>2800</v>
      </c>
      <c r="G64" s="967">
        <f>'Building List'!F80</f>
        <v>1915</v>
      </c>
      <c r="H64" s="967">
        <f>'Building List'!G80</f>
        <v>0</v>
      </c>
      <c r="I64" s="967">
        <f>'Building List'!H80</f>
        <v>1915</v>
      </c>
      <c r="J64" s="967">
        <f>'Building List'!I80</f>
        <v>0</v>
      </c>
      <c r="K64" s="967" t="str">
        <f>'Building List'!J80</f>
        <v>Y</v>
      </c>
      <c r="L64" s="967" t="str">
        <f>'Building List'!K80</f>
        <v>NONE</v>
      </c>
      <c r="M64" s="967" t="str">
        <f>'Building List'!L80</f>
        <v>C</v>
      </c>
      <c r="N64" s="268">
        <f>'Building List'!M80</f>
        <v>611176</v>
      </c>
      <c r="O64">
        <f>'Building List'!N80</f>
        <v>1</v>
      </c>
    </row>
    <row r="65" spans="1:15">
      <c r="A65" s="967" t="str">
        <f>'Building List'!A113</f>
        <v>3D65</v>
      </c>
      <c r="B65" t="str">
        <f>'Building List'!$B$110</f>
        <v>RESIDENTIAL</v>
      </c>
      <c r="C65" t="str">
        <f>'Building List'!B113</f>
        <v>Apartment 1715 East 115th Street - Twin Gables</v>
      </c>
      <c r="D65" t="str">
        <f>'Building List'!C113</f>
        <v>East 115 Street 1715</v>
      </c>
      <c r="E65" s="967">
        <f>'Building List'!D113</f>
        <v>0</v>
      </c>
      <c r="F65" s="967">
        <f>'Building List'!E113</f>
        <v>16000</v>
      </c>
      <c r="G65" s="967">
        <f>'Building List'!F113</f>
        <v>1915</v>
      </c>
      <c r="H65" s="967">
        <f>'Building List'!G113</f>
        <v>0</v>
      </c>
      <c r="I65" s="967">
        <f>'Building List'!H113</f>
        <v>1915</v>
      </c>
      <c r="J65" s="967">
        <f>'Building List'!I113</f>
        <v>0</v>
      </c>
      <c r="K65" s="967" t="str">
        <f>'Building List'!J113</f>
        <v>N</v>
      </c>
      <c r="L65" s="967" t="str">
        <f>'Building List'!K113</f>
        <v>NONE</v>
      </c>
      <c r="M65" s="967" t="str">
        <f>'Building List'!L113</f>
        <v>R</v>
      </c>
      <c r="N65" s="268">
        <f>'Building List'!M113</f>
        <v>1293240</v>
      </c>
      <c r="O65">
        <f>'Building List'!N113</f>
        <v>1</v>
      </c>
    </row>
    <row r="66" spans="1:15">
      <c r="A66" s="967" t="str">
        <f>'Building List'!A61</f>
        <v>3D24</v>
      </c>
      <c r="B66" t="str">
        <f>'Building List'!$B$57</f>
        <v>ADMINISTRATIVE</v>
      </c>
      <c r="C66" t="str">
        <f>'Building List'!B61</f>
        <v>Bellflower 11416 - Carriage House</v>
      </c>
      <c r="D66" t="str">
        <f>'Building List'!C61</f>
        <v>Bellflower Road 11416</v>
      </c>
      <c r="E66" s="967">
        <f>'Building List'!D61</f>
        <v>0</v>
      </c>
      <c r="F66" s="967">
        <f>'Building List'!E61</f>
        <v>1500</v>
      </c>
      <c r="G66" s="967">
        <f>'Building List'!F61</f>
        <v>1920</v>
      </c>
      <c r="H66" s="967">
        <f>'Building List'!G61</f>
        <v>0</v>
      </c>
      <c r="I66" s="967">
        <f>'Building List'!H61</f>
        <v>1920</v>
      </c>
      <c r="J66" s="967">
        <f>'Building List'!I61</f>
        <v>0</v>
      </c>
      <c r="K66" s="967" t="str">
        <f>'Building List'!J61</f>
        <v>Y</v>
      </c>
      <c r="L66" s="967" t="str">
        <f>'Building List'!K61</f>
        <v>NONE</v>
      </c>
      <c r="M66" s="967" t="str">
        <f>'Building List'!L61</f>
        <v>AD</v>
      </c>
      <c r="N66" s="268">
        <f>'Building List'!M61</f>
        <v>205720</v>
      </c>
      <c r="O66">
        <f>'Building List'!N61</f>
        <v>1</v>
      </c>
    </row>
    <row r="67" spans="1:15">
      <c r="A67" s="967" t="str">
        <f>'Building List'!A62</f>
        <v>3D57</v>
      </c>
      <c r="B67" t="str">
        <f>'Building List'!$B$57</f>
        <v>ADMINISTRATIVE</v>
      </c>
      <c r="C67" t="str">
        <f>'Building List'!B62</f>
        <v>Bellflower 11424 - Computing Center</v>
      </c>
      <c r="D67" t="str">
        <f>'Building List'!C62</f>
        <v>Bellflower Road 11424</v>
      </c>
      <c r="E67" s="967">
        <f>'Building List'!D62</f>
        <v>0</v>
      </c>
      <c r="F67" s="967">
        <f>'Building List'!E62</f>
        <v>5693</v>
      </c>
      <c r="G67" s="967">
        <f>'Building List'!F62</f>
        <v>1920</v>
      </c>
      <c r="H67" s="967">
        <f>'Building List'!G62</f>
        <v>0</v>
      </c>
      <c r="I67" s="967">
        <f>'Building List'!H62</f>
        <v>2008</v>
      </c>
      <c r="J67" s="967">
        <f>'Building List'!I62</f>
        <v>0</v>
      </c>
      <c r="K67" s="967" t="str">
        <f>'Building List'!J62</f>
        <v>Y</v>
      </c>
      <c r="L67" s="967" t="str">
        <f>'Building List'!K62</f>
        <v>NONE</v>
      </c>
      <c r="M67" s="967" t="str">
        <f>'Building List'!L62</f>
        <v>AD</v>
      </c>
      <c r="N67" s="268">
        <f>'Building List'!M62</f>
        <v>222547</v>
      </c>
      <c r="O67">
        <f>'Building List'!N62</f>
        <v>1</v>
      </c>
    </row>
    <row r="68" spans="1:15">
      <c r="A68" s="967" t="str">
        <f>'Building List'!A79</f>
        <v>3D51</v>
      </c>
      <c r="B68" t="str">
        <f>'Building List'!$B$77</f>
        <v>COMMERCIAL</v>
      </c>
      <c r="C68" t="str">
        <f>'Building List'!B79</f>
        <v>Juniper 11310 - Barking Spider</v>
      </c>
      <c r="D68" t="str">
        <f>'Building List'!C79</f>
        <v>Juniper Drive 11310</v>
      </c>
      <c r="E68" s="967">
        <f>'Building List'!D79</f>
        <v>0</v>
      </c>
      <c r="F68" s="967">
        <f>'Building List'!E79</f>
        <v>1400</v>
      </c>
      <c r="G68" s="967">
        <f>'Building List'!F79</f>
        <v>1920</v>
      </c>
      <c r="H68" s="967">
        <f>'Building List'!G79</f>
        <v>0</v>
      </c>
      <c r="I68" s="967">
        <f>'Building List'!H79</f>
        <v>1920</v>
      </c>
      <c r="J68" s="967">
        <f>'Building List'!I79</f>
        <v>0</v>
      </c>
      <c r="K68" s="967" t="str">
        <f>'Building List'!J79</f>
        <v>N</v>
      </c>
      <c r="L68" s="967" t="str">
        <f>'Building List'!K79</f>
        <v>NONE</v>
      </c>
      <c r="M68" s="967" t="str">
        <f>'Building List'!L79</f>
        <v>C</v>
      </c>
      <c r="N68" s="268">
        <f>'Building List'!M79</f>
        <v>338873</v>
      </c>
      <c r="O68">
        <f>'Building List'!N79</f>
        <v>1</v>
      </c>
    </row>
    <row r="69" spans="1:15">
      <c r="A69" s="967" t="str">
        <f>'Building List'!A100</f>
        <v>3D48</v>
      </c>
      <c r="B69" t="str">
        <f>'Building List'!$B$88</f>
        <v>COMMERCIAL RESIDENTIAL</v>
      </c>
      <c r="C69" t="str">
        <f>'Building List'!B100</f>
        <v>Juniper 11320</v>
      </c>
      <c r="D69" t="str">
        <f>'Building List'!C100</f>
        <v>Juniper Drive 11321</v>
      </c>
      <c r="E69" s="967">
        <f>'Building List'!D100</f>
        <v>0</v>
      </c>
      <c r="F69" s="967">
        <f>'Building List'!E100</f>
        <v>7000</v>
      </c>
      <c r="G69" s="967">
        <f>'Building List'!F100</f>
        <v>1920</v>
      </c>
      <c r="H69" s="967">
        <f>'Building List'!G100</f>
        <v>0</v>
      </c>
      <c r="I69" s="967">
        <f>'Building List'!H100</f>
        <v>1920</v>
      </c>
      <c r="J69" s="967">
        <f>'Building List'!I100</f>
        <v>0</v>
      </c>
      <c r="K69" s="967" t="str">
        <f>'Building List'!J100</f>
        <v>N</v>
      </c>
      <c r="L69" s="967" t="str">
        <f>'Building List'!K100</f>
        <v>NONE</v>
      </c>
      <c r="M69" s="967" t="str">
        <f>'Building List'!L100</f>
        <v>CR</v>
      </c>
      <c r="N69" s="268">
        <f>'Building List'!M100</f>
        <v>947351</v>
      </c>
      <c r="O69">
        <f>'Building List'!N100</f>
        <v>1</v>
      </c>
    </row>
    <row r="70" spans="1:15">
      <c r="A70" s="967" t="str">
        <f>'Building List'!A166</f>
        <v>3D23</v>
      </c>
      <c r="B70" t="str">
        <f>'Building List'!$B$163</f>
        <v>OWNED FRATERNITIES</v>
      </c>
      <c r="C70" t="str">
        <f>'Building List'!B166</f>
        <v>Bellflower 11418 - Phi Mu</v>
      </c>
      <c r="D70" t="str">
        <f>'Building List'!C166</f>
        <v>Bellflower 11418</v>
      </c>
      <c r="E70" s="967">
        <f>'Building List'!D166</f>
        <v>0</v>
      </c>
      <c r="F70" s="967">
        <f>'Building List'!E166</f>
        <v>7800</v>
      </c>
      <c r="G70" s="967">
        <f>'Building List'!F166</f>
        <v>1920</v>
      </c>
      <c r="H70" s="967">
        <f>'Building List'!G166</f>
        <v>0</v>
      </c>
      <c r="I70" s="967">
        <f>'Building List'!H166</f>
        <v>1920</v>
      </c>
      <c r="J70" s="967">
        <f>'Building List'!I166</f>
        <v>0</v>
      </c>
      <c r="K70" s="967">
        <f>'Building List'!J166</f>
        <v>0</v>
      </c>
      <c r="L70" s="967" t="str">
        <f>'Building List'!K166</f>
        <v>PARTIAL</v>
      </c>
      <c r="M70" s="967" t="str">
        <f>'Building List'!L166</f>
        <v>FS</v>
      </c>
      <c r="N70" s="268">
        <f>'Building List'!M166</f>
        <v>1709338</v>
      </c>
      <c r="O70">
        <f>'Building List'!N166</f>
        <v>1</v>
      </c>
    </row>
    <row r="71" spans="1:15">
      <c r="A71" s="967" t="str">
        <f>'Building List'!A242</f>
        <v>2B01</v>
      </c>
      <c r="B71" t="str">
        <f>'Building List'!$B$222</f>
        <v>NON-UNIVERSITY OWNED PROPERTIES</v>
      </c>
      <c r="C71" t="str">
        <f>'Building List'!B242</f>
        <v>The Temple - Tifereth Israel</v>
      </c>
      <c r="D71">
        <f>'Building List'!C242</f>
        <v>0</v>
      </c>
      <c r="E71" s="967">
        <f>'Building List'!D242</f>
        <v>2</v>
      </c>
      <c r="F71" s="967">
        <f>'Building List'!E242</f>
        <v>110000</v>
      </c>
      <c r="G71" s="967">
        <f>'Building List'!F242</f>
        <v>1923</v>
      </c>
      <c r="H71" s="967">
        <f>'Building List'!G242</f>
        <v>2011</v>
      </c>
      <c r="I71" s="967">
        <f>'Building List'!H242</f>
        <v>2011</v>
      </c>
      <c r="J71" s="967">
        <f>'Building List'!I242</f>
        <v>0</v>
      </c>
      <c r="K71" s="967">
        <f>'Building List'!J242</f>
        <v>0</v>
      </c>
      <c r="L71" s="967">
        <f>'Building List'!K242</f>
        <v>0</v>
      </c>
      <c r="M71" s="967" t="str">
        <f>'Building List'!L242</f>
        <v>AC</v>
      </c>
      <c r="N71" s="268">
        <f>'Building List'!M242</f>
        <v>0</v>
      </c>
      <c r="O71">
        <f>'Building List'!N242</f>
        <v>5</v>
      </c>
    </row>
    <row r="72" spans="1:15">
      <c r="A72" s="967" t="str">
        <f>'Building List'!A47</f>
        <v>5C17</v>
      </c>
      <c r="B72" t="str">
        <f>'Building List'!$B$2</f>
        <v>ACADEMIC</v>
      </c>
      <c r="C72" t="str">
        <f>'Building List'!B47</f>
        <v>Wood Building</v>
      </c>
      <c r="D72" t="str">
        <f>'Building List'!C47</f>
        <v>Adelbert Road 2109</v>
      </c>
      <c r="E72" s="967">
        <f>'Building List'!D47</f>
        <v>1</v>
      </c>
      <c r="F72" s="967">
        <f>'Building List'!E47</f>
        <v>213760</v>
      </c>
      <c r="G72" s="967">
        <f>'Building List'!F47</f>
        <v>1924</v>
      </c>
      <c r="H72" s="967">
        <f>'Building List'!G47</f>
        <v>0</v>
      </c>
      <c r="I72" s="967">
        <f>'Building List'!H47</f>
        <v>1924</v>
      </c>
      <c r="J72" s="967">
        <f>'Building List'!I47</f>
        <v>0</v>
      </c>
      <c r="K72" s="967" t="str">
        <f>'Building List'!J47</f>
        <v>Y</v>
      </c>
      <c r="L72" s="967" t="str">
        <f>'Building List'!K47</f>
        <v>PARTIAL</v>
      </c>
      <c r="M72" s="967" t="str">
        <f>'Building List'!L47</f>
        <v>AC</v>
      </c>
      <c r="N72" s="268">
        <f>'Building List'!M47</f>
        <v>48159603</v>
      </c>
      <c r="O72">
        <f>'Building List'!N47</f>
        <v>1</v>
      </c>
    </row>
    <row r="73" spans="1:15">
      <c r="A73" s="967">
        <f>'Building List'!A48</f>
        <v>0</v>
      </c>
      <c r="B73" t="str">
        <f>'Building List'!$B$2</f>
        <v>ACADEMIC</v>
      </c>
      <c r="C73" t="str">
        <f>'Building List'!B48</f>
        <v>BAKER MEMORIAL Total</v>
      </c>
      <c r="D73">
        <f>'Building List'!C48</f>
        <v>0</v>
      </c>
      <c r="E73" s="967">
        <f>'Building List'!D48</f>
        <v>0</v>
      </c>
      <c r="F73" s="967">
        <f>'Building List'!E48</f>
        <v>67290</v>
      </c>
      <c r="G73" s="967">
        <f>'Building List'!F48</f>
        <v>1979</v>
      </c>
      <c r="H73" s="967">
        <f>'Building List'!G48</f>
        <v>1979</v>
      </c>
      <c r="I73" s="967">
        <f>'Building List'!H48</f>
        <v>1979</v>
      </c>
      <c r="J73" s="967">
        <f>'Building List'!I48</f>
        <v>2005</v>
      </c>
      <c r="K73" s="967">
        <f>'Building List'!J48</f>
        <v>0</v>
      </c>
      <c r="L73" s="967">
        <f>'Building List'!K48</f>
        <v>0</v>
      </c>
      <c r="M73" s="967">
        <f>'Building List'!L48</f>
        <v>0</v>
      </c>
      <c r="N73" s="268">
        <f>'Building List'!M48</f>
        <v>0</v>
      </c>
      <c r="O73">
        <f>'Building List'!N48</f>
        <v>0</v>
      </c>
    </row>
    <row r="74" spans="1:15">
      <c r="A74" s="967">
        <f>'Building List'!A49</f>
        <v>0</v>
      </c>
      <c r="B74" t="str">
        <f>'Building List'!$B$2</f>
        <v>ACADEMIC</v>
      </c>
      <c r="C74" t="str">
        <f>'Building List'!B49</f>
        <v>Pardee</v>
      </c>
      <c r="D74">
        <f>'Building List'!C49</f>
        <v>0</v>
      </c>
      <c r="E74" s="967">
        <f>'Building List'!D49</f>
        <v>0</v>
      </c>
      <c r="F74" s="967">
        <f>'Building List'!E49</f>
        <v>49292</v>
      </c>
      <c r="G74" s="967">
        <f>'Building List'!F49</f>
        <v>1979</v>
      </c>
      <c r="H74" s="967">
        <f>'Building List'!G49</f>
        <v>1979</v>
      </c>
      <c r="I74" s="967">
        <f>'Building List'!H49</f>
        <v>1979</v>
      </c>
      <c r="J74" s="967">
        <f>'Building List'!I49</f>
        <v>1995</v>
      </c>
      <c r="K74" s="967">
        <f>'Building List'!J49</f>
        <v>0</v>
      </c>
      <c r="L74" s="967">
        <f>'Building List'!K49</f>
        <v>0</v>
      </c>
      <c r="M74" s="967">
        <f>'Building List'!L49</f>
        <v>0</v>
      </c>
      <c r="N74" s="268">
        <f>'Building List'!M49</f>
        <v>0</v>
      </c>
      <c r="O74">
        <f>'Building List'!N49</f>
        <v>0</v>
      </c>
    </row>
    <row r="75" spans="1:15">
      <c r="A75" s="967">
        <f>'Building List'!A50</f>
        <v>0</v>
      </c>
      <c r="B75" t="str">
        <f>'Building List'!$B$2</f>
        <v>ACADEMIC</v>
      </c>
      <c r="C75" t="str">
        <f>'Building List'!B50</f>
        <v>TRIANGLE BLDG Total</v>
      </c>
      <c r="D75">
        <f>'Building List'!C50</f>
        <v>0</v>
      </c>
      <c r="E75" s="967">
        <f>'Building List'!D50</f>
        <v>0</v>
      </c>
      <c r="F75" s="967">
        <f>'Building List'!E50</f>
        <v>5685.1855078202334</v>
      </c>
      <c r="G75" s="967">
        <f>'Building List'!F50</f>
        <v>1979</v>
      </c>
      <c r="H75" s="967">
        <f>'Building List'!G50</f>
        <v>1979</v>
      </c>
      <c r="I75" s="967">
        <f>'Building List'!H50</f>
        <v>1979</v>
      </c>
      <c r="J75" s="967">
        <f>'Building List'!I50</f>
        <v>2005</v>
      </c>
      <c r="K75" s="967">
        <f>'Building List'!J50</f>
        <v>0</v>
      </c>
      <c r="L75" s="967">
        <f>'Building List'!K50</f>
        <v>0</v>
      </c>
      <c r="M75" s="967">
        <f>'Building List'!L50</f>
        <v>0</v>
      </c>
      <c r="N75" s="268">
        <f>'Building List'!M50</f>
        <v>0</v>
      </c>
      <c r="O75">
        <f>'Building List'!N50</f>
        <v>0</v>
      </c>
    </row>
    <row r="76" spans="1:15">
      <c r="A76" s="967" t="str">
        <f>'Building List'!A59</f>
        <v>4C35</v>
      </c>
      <c r="B76" t="str">
        <f>'Building List'!$B$57</f>
        <v>ADMINISTRATIVE</v>
      </c>
      <c r="C76" t="str">
        <f>'Building List'!B59</f>
        <v>Allen Memorial Library</v>
      </c>
      <c r="D76" t="str">
        <f>'Building List'!C59</f>
        <v>Euclid Avenue 11000</v>
      </c>
      <c r="E76" s="967">
        <f>'Building List'!D59</f>
        <v>3</v>
      </c>
      <c r="F76" s="967">
        <f>'Building List'!E59</f>
        <v>46242</v>
      </c>
      <c r="G76" s="967">
        <f>'Building List'!F59</f>
        <v>1926</v>
      </c>
      <c r="H76" s="967">
        <f>'Building List'!G59</f>
        <v>0</v>
      </c>
      <c r="I76" s="967">
        <f>'Building List'!H59</f>
        <v>1926</v>
      </c>
      <c r="J76" s="967">
        <f>'Building List'!I59</f>
        <v>0</v>
      </c>
      <c r="K76" s="967" t="str">
        <f>'Building List'!J59</f>
        <v>Y</v>
      </c>
      <c r="L76" s="967" t="str">
        <f>'Building List'!K59</f>
        <v>PARTIAL</v>
      </c>
      <c r="M76" s="967" t="str">
        <f>'Building List'!L59</f>
        <v>AD</v>
      </c>
      <c r="N76" s="268">
        <f>'Building List'!M59</f>
        <v>13922647</v>
      </c>
      <c r="O76">
        <f>'Building List'!N59</f>
        <v>1</v>
      </c>
    </row>
    <row r="77" spans="1:15">
      <c r="A77" s="967" t="str">
        <f>'Building List'!A8</f>
        <v>5B15</v>
      </c>
      <c r="B77" t="str">
        <f>'Building List'!$B$2</f>
        <v>ACADEMIC</v>
      </c>
      <c r="C77" t="str">
        <f>'Building List'!B8</f>
        <v>Bingham Building</v>
      </c>
      <c r="D77" t="str">
        <f>'Building List'!C8</f>
        <v>Adelbert Road 2104</v>
      </c>
      <c r="E77" s="967">
        <f>'Building List'!D8</f>
        <v>3</v>
      </c>
      <c r="F77" s="967">
        <f>'Building List'!E8</f>
        <v>94921</v>
      </c>
      <c r="G77" s="967">
        <f>'Building List'!F8</f>
        <v>1927</v>
      </c>
      <c r="H77" s="967">
        <f>'Building List'!G8</f>
        <v>0</v>
      </c>
      <c r="I77" s="967">
        <f>'Building List'!H8</f>
        <v>1927</v>
      </c>
      <c r="J77" s="967">
        <f>'Building List'!I8</f>
        <v>0</v>
      </c>
      <c r="K77" s="967" t="str">
        <f>'Building List'!J8</f>
        <v>Y</v>
      </c>
      <c r="L77" s="967" t="str">
        <f>'Building List'!K8</f>
        <v>PARTIAL</v>
      </c>
      <c r="M77" s="967" t="str">
        <f>'Building List'!L8</f>
        <v>AC</v>
      </c>
      <c r="N77" s="268">
        <f>'Building List'!M8</f>
        <v>18208909</v>
      </c>
      <c r="O77">
        <f>'Building List'!N8</f>
        <v>1</v>
      </c>
    </row>
    <row r="78" spans="1:15">
      <c r="A78" s="967" t="str">
        <f>'Building List'!A35</f>
        <v>4C05</v>
      </c>
      <c r="B78" t="str">
        <f>'Building List'!$B$2</f>
        <v>ACADEMIC</v>
      </c>
      <c r="C78" t="str">
        <f>'Building List'!B35</f>
        <v>Pathology Building</v>
      </c>
      <c r="D78" t="str">
        <f>'Building List'!C35</f>
        <v>Adelbert Road 2085</v>
      </c>
      <c r="E78" s="967">
        <f>'Building List'!D35</f>
        <v>1</v>
      </c>
      <c r="F78" s="967">
        <f>'Building List'!E35</f>
        <v>62348</v>
      </c>
      <c r="G78" s="967">
        <f>'Building List'!F35</f>
        <v>1929</v>
      </c>
      <c r="H78" s="967">
        <f>'Building List'!G35</f>
        <v>0</v>
      </c>
      <c r="I78" s="967">
        <f>'Building List'!H35</f>
        <v>1929</v>
      </c>
      <c r="J78" s="967">
        <f>'Building List'!I35</f>
        <v>0</v>
      </c>
      <c r="K78" s="967" t="str">
        <f>'Building List'!J35</f>
        <v>Y</v>
      </c>
      <c r="L78" s="967" t="str">
        <f>'Building List'!K35</f>
        <v>NONE</v>
      </c>
      <c r="M78" s="967" t="str">
        <f>'Building List'!L35</f>
        <v>AC</v>
      </c>
      <c r="N78" s="268">
        <f>'Building List'!M35</f>
        <v>16818186</v>
      </c>
      <c r="O78">
        <f>'Building List'!N35</f>
        <v>1</v>
      </c>
    </row>
    <row r="79" spans="1:15">
      <c r="A79" s="967" t="str">
        <f>'Building List'!A105</f>
        <v>2E12</v>
      </c>
      <c r="B79" t="str">
        <f>'Building List'!$B$88</f>
        <v>COMMERCIAL RESIDENTIAL</v>
      </c>
      <c r="C79" t="str">
        <f>'Building List'!B105</f>
        <v>Wade Park 11420 - House</v>
      </c>
      <c r="D79" t="str">
        <f>'Building List'!C105</f>
        <v>Wade Park 11420</v>
      </c>
      <c r="E79" s="967">
        <f>'Building List'!D105</f>
        <v>0</v>
      </c>
      <c r="F79" s="967">
        <f>'Building List'!E105</f>
        <v>5100</v>
      </c>
      <c r="G79" s="967">
        <f>'Building List'!F105</f>
        <v>1930</v>
      </c>
      <c r="H79" s="967">
        <f>'Building List'!G105</f>
        <v>0</v>
      </c>
      <c r="I79" s="967">
        <f>'Building List'!H105</f>
        <v>1930</v>
      </c>
      <c r="J79" s="967">
        <f>'Building List'!I105</f>
        <v>0</v>
      </c>
      <c r="K79" s="967">
        <f>'Building List'!J105</f>
        <v>0</v>
      </c>
      <c r="L79" s="967" t="str">
        <f>'Building List'!K105</f>
        <v>NONE</v>
      </c>
      <c r="M79" s="967" t="str">
        <f>'Building List'!L105</f>
        <v>CR</v>
      </c>
      <c r="N79" s="268">
        <f>'Building List'!M105</f>
        <v>563340</v>
      </c>
      <c r="O79">
        <f>'Building List'!N105</f>
        <v>1</v>
      </c>
    </row>
    <row r="80" spans="1:15">
      <c r="A80" s="967" t="str">
        <f>'Building List'!A70</f>
        <v>3C07</v>
      </c>
      <c r="B80" t="str">
        <f>'Building List'!$B$57</f>
        <v>ADMINISTRATIVE</v>
      </c>
      <c r="C80" t="str">
        <f>'Building List'!B70</f>
        <v>Thwing Center</v>
      </c>
      <c r="D80" t="str">
        <f>'Building List'!C70</f>
        <v>Euclid Avenue 11111</v>
      </c>
      <c r="E80" s="967">
        <f>'Building List'!D70</f>
        <v>2</v>
      </c>
      <c r="F80" s="967">
        <f>'Building List'!E70</f>
        <v>84204</v>
      </c>
      <c r="G80" s="967">
        <f>'Building List'!F70</f>
        <v>1900</v>
      </c>
      <c r="H80" s="967">
        <f>'Building List'!G70</f>
        <v>1931</v>
      </c>
      <c r="I80" s="967">
        <f>'Building List'!H70</f>
        <v>1931</v>
      </c>
      <c r="J80" s="967">
        <f>'Building List'!I70</f>
        <v>0</v>
      </c>
      <c r="K80" s="967" t="str">
        <f>'Building List'!J70</f>
        <v>Y</v>
      </c>
      <c r="L80" s="967" t="str">
        <f>'Building List'!K70</f>
        <v>PARTIAL</v>
      </c>
      <c r="M80" s="967" t="str">
        <f>'Building List'!L70</f>
        <v>AD</v>
      </c>
      <c r="N80" s="268">
        <f>'Building List'!M70</f>
        <v>9222823</v>
      </c>
      <c r="O80">
        <f>'Building List'!N70</f>
        <v>1</v>
      </c>
    </row>
    <row r="81" spans="1:15">
      <c r="A81" s="967" t="str">
        <f>'Building List'!A241</f>
        <v>5C09</v>
      </c>
      <c r="B81" t="str">
        <f>'Building List'!$B$222</f>
        <v>NON-UNIVERSITY OWNED PROPERTIES</v>
      </c>
      <c r="C81" t="str">
        <f>'Building List'!B241</f>
        <v>Service Building</v>
      </c>
      <c r="D81">
        <f>'Building List'!C241</f>
        <v>0</v>
      </c>
      <c r="E81" s="967">
        <f>'Building List'!D241</f>
        <v>1</v>
      </c>
      <c r="F81" s="967">
        <f>'Building List'!E241</f>
        <v>41940</v>
      </c>
      <c r="G81" s="967">
        <f>'Building List'!F241</f>
        <v>1931</v>
      </c>
      <c r="H81" s="967">
        <f>'Building List'!G241</f>
        <v>0</v>
      </c>
      <c r="I81" s="967">
        <f>'Building List'!H241</f>
        <v>1931</v>
      </c>
      <c r="J81" s="967">
        <f>'Building List'!I241</f>
        <v>0</v>
      </c>
      <c r="K81" s="967" t="str">
        <f>'Building List'!J241</f>
        <v>Y</v>
      </c>
      <c r="L81" s="967">
        <f>'Building List'!K241</f>
        <v>0</v>
      </c>
      <c r="M81" s="967" t="str">
        <f>'Building List'!L241</f>
        <v>AD</v>
      </c>
      <c r="N81" s="268">
        <f>'Building List'!M241</f>
        <v>0</v>
      </c>
      <c r="O81">
        <f>'Building List'!N241</f>
        <v>2</v>
      </c>
    </row>
    <row r="82" spans="1:15">
      <c r="A82" s="967" t="str">
        <f>'Building List'!A192</f>
        <v>FB10</v>
      </c>
      <c r="B82" t="str">
        <f>'Building List'!$B$191</f>
        <v>FARM</v>
      </c>
      <c r="C82" t="str">
        <f>'Building List'!B192</f>
        <v>Squire Valleevue Farm - Boat Shed</v>
      </c>
      <c r="D82">
        <f>'Building List'!C192</f>
        <v>0</v>
      </c>
      <c r="E82" s="967">
        <f>'Building List'!D192</f>
        <v>4</v>
      </c>
      <c r="F82" s="967">
        <f>'Building List'!E192</f>
        <v>576</v>
      </c>
      <c r="G82" s="967">
        <f>'Building List'!F192</f>
        <v>0</v>
      </c>
      <c r="H82" s="967">
        <f>'Building List'!G192</f>
        <v>1937</v>
      </c>
      <c r="I82" s="967">
        <f>'Building List'!H192</f>
        <v>1937</v>
      </c>
      <c r="J82" s="967">
        <f>'Building List'!I192</f>
        <v>0</v>
      </c>
      <c r="K82" s="967" t="str">
        <f>'Building List'!J192</f>
        <v>N</v>
      </c>
      <c r="L82" s="967" t="str">
        <f>'Building List'!K192</f>
        <v>NONE</v>
      </c>
      <c r="M82" s="967" t="str">
        <f>'Building List'!L192</f>
        <v>F</v>
      </c>
      <c r="N82" s="268">
        <f>'Building List'!M192</f>
        <v>0</v>
      </c>
      <c r="O82">
        <f>'Building List'!N192</f>
        <v>1</v>
      </c>
    </row>
    <row r="83" spans="1:15">
      <c r="A83" s="967" t="str">
        <f>'Building List'!A193</f>
        <v>FB16</v>
      </c>
      <c r="B83" t="str">
        <f>'Building List'!$B$191</f>
        <v>FARM</v>
      </c>
      <c r="C83" t="str">
        <f>'Building List'!B193</f>
        <v>Squire Valleevue Farm - Boiler Shed</v>
      </c>
      <c r="D83">
        <f>'Building List'!C193</f>
        <v>0</v>
      </c>
      <c r="E83" s="967">
        <f>'Building List'!D193</f>
        <v>4</v>
      </c>
      <c r="F83" s="967">
        <f>'Building List'!E193</f>
        <v>240</v>
      </c>
      <c r="G83" s="967">
        <f>'Building List'!F193</f>
        <v>0</v>
      </c>
      <c r="H83" s="967">
        <f>'Building List'!G193</f>
        <v>1937</v>
      </c>
      <c r="I83" s="967">
        <f>'Building List'!H193</f>
        <v>1937</v>
      </c>
      <c r="J83" s="967">
        <f>'Building List'!I193</f>
        <v>0</v>
      </c>
      <c r="K83" s="967">
        <f>'Building List'!J193</f>
        <v>0</v>
      </c>
      <c r="L83" s="967" t="str">
        <f>'Building List'!K193</f>
        <v>NONE</v>
      </c>
      <c r="M83" s="967" t="str">
        <f>'Building List'!L193</f>
        <v>F</v>
      </c>
      <c r="N83" s="268">
        <f>'Building List'!M193</f>
        <v>0</v>
      </c>
      <c r="O83">
        <f>'Building List'!N193</f>
        <v>1</v>
      </c>
    </row>
    <row r="84" spans="1:15">
      <c r="A84" s="967" t="str">
        <f>'Building List'!A195</f>
        <v>FB09</v>
      </c>
      <c r="B84" t="str">
        <f>'Building List'!$B$191</f>
        <v>FARM</v>
      </c>
      <c r="C84" t="str">
        <f>'Building List'!B195</f>
        <v>Squire Valleevue Farm - Garden Shed</v>
      </c>
      <c r="D84">
        <f>'Building List'!C195</f>
        <v>0</v>
      </c>
      <c r="E84" s="967">
        <f>'Building List'!D195</f>
        <v>4</v>
      </c>
      <c r="F84" s="967">
        <f>'Building List'!E195</f>
        <v>175</v>
      </c>
      <c r="G84" s="967">
        <f>'Building List'!F195</f>
        <v>1900</v>
      </c>
      <c r="H84" s="967">
        <f>'Building List'!G195</f>
        <v>1937</v>
      </c>
      <c r="I84" s="967">
        <f>'Building List'!H195</f>
        <v>1937</v>
      </c>
      <c r="J84" s="967">
        <f>'Building List'!I195</f>
        <v>0</v>
      </c>
      <c r="K84" s="967">
        <f>'Building List'!J195</f>
        <v>0</v>
      </c>
      <c r="L84" s="967" t="str">
        <f>'Building List'!K195</f>
        <v>NONE</v>
      </c>
      <c r="M84" s="967" t="str">
        <f>'Building List'!L195</f>
        <v>F</v>
      </c>
      <c r="N84" s="268">
        <f>'Building List'!M195</f>
        <v>0</v>
      </c>
      <c r="O84">
        <f>'Building List'!N195</f>
        <v>1</v>
      </c>
    </row>
    <row r="85" spans="1:15">
      <c r="A85" s="967" t="str">
        <f>'Building List'!A198</f>
        <v>FB20</v>
      </c>
      <c r="B85" t="str">
        <f>'Building List'!$B$191</f>
        <v>FARM</v>
      </c>
      <c r="C85" t="str">
        <f>'Building List'!B198</f>
        <v>Squire Valleevue Farm - Manor House</v>
      </c>
      <c r="D85">
        <f>'Building List'!C198</f>
        <v>0</v>
      </c>
      <c r="E85" s="967">
        <f>'Building List'!D198</f>
        <v>4</v>
      </c>
      <c r="F85" s="967">
        <f>'Building List'!E198</f>
        <v>0</v>
      </c>
      <c r="G85" s="967">
        <f>'Building List'!F198</f>
        <v>1930</v>
      </c>
      <c r="H85" s="967">
        <f>'Building List'!G198</f>
        <v>1937</v>
      </c>
      <c r="I85" s="967">
        <f>'Building List'!H198</f>
        <v>1937</v>
      </c>
      <c r="J85" s="967">
        <f>'Building List'!I198</f>
        <v>0</v>
      </c>
      <c r="K85" s="967">
        <f>'Building List'!J198</f>
        <v>0</v>
      </c>
      <c r="L85" s="967" t="str">
        <f>'Building List'!K198</f>
        <v>NONE</v>
      </c>
      <c r="M85" s="967" t="str">
        <f>'Building List'!L198</f>
        <v>F</v>
      </c>
      <c r="N85" s="268">
        <f>'Building List'!M198</f>
        <v>1476025</v>
      </c>
      <c r="O85">
        <f>'Building List'!N198</f>
        <v>1</v>
      </c>
    </row>
    <row r="86" spans="1:15">
      <c r="A86" s="967" t="str">
        <f>'Building List'!A199</f>
        <v>FB12</v>
      </c>
      <c r="B86" t="str">
        <f>'Building List'!$B$191</f>
        <v>FARM</v>
      </c>
      <c r="C86" t="str">
        <f>'Building List'!B199</f>
        <v>Squire Valleevue Farm - Picnic Grounds Restroom</v>
      </c>
      <c r="D86">
        <f>'Building List'!C199</f>
        <v>0</v>
      </c>
      <c r="E86" s="967">
        <f>'Building List'!D199</f>
        <v>4</v>
      </c>
      <c r="F86" s="967">
        <f>'Building List'!E199</f>
        <v>112</v>
      </c>
      <c r="G86" s="967">
        <f>'Building List'!F199</f>
        <v>0</v>
      </c>
      <c r="H86" s="967">
        <f>'Building List'!G199</f>
        <v>1937</v>
      </c>
      <c r="I86" s="967">
        <f>'Building List'!H199</f>
        <v>1937</v>
      </c>
      <c r="J86" s="967">
        <f>'Building List'!I199</f>
        <v>0</v>
      </c>
      <c r="K86" s="967" t="str">
        <f>'Building List'!J199</f>
        <v>N</v>
      </c>
      <c r="L86" s="967" t="str">
        <f>'Building List'!K199</f>
        <v>NONE</v>
      </c>
      <c r="M86" s="967" t="str">
        <f>'Building List'!L199</f>
        <v>F</v>
      </c>
      <c r="N86" s="268">
        <f>'Building List'!M199</f>
        <v>0</v>
      </c>
      <c r="O86">
        <f>'Building List'!N199</f>
        <v>1</v>
      </c>
    </row>
    <row r="87" spans="1:15">
      <c r="A87" s="967" t="str">
        <f>'Building List'!A201</f>
        <v>FB03</v>
      </c>
      <c r="B87" t="str">
        <f>'Building List'!$B$191</f>
        <v>FARM</v>
      </c>
      <c r="C87" t="str">
        <f>'Building List'!B201</f>
        <v>Squire Valleevue Farm - Pink Pig Silo Restroom</v>
      </c>
      <c r="D87">
        <f>'Building List'!C201</f>
        <v>0</v>
      </c>
      <c r="E87" s="967">
        <f>'Building List'!D201</f>
        <v>4</v>
      </c>
      <c r="F87" s="967">
        <f>'Building List'!E201</f>
        <v>370</v>
      </c>
      <c r="G87" s="967">
        <f>'Building List'!F201</f>
        <v>1900</v>
      </c>
      <c r="H87" s="967">
        <f>'Building List'!G201</f>
        <v>1937</v>
      </c>
      <c r="I87" s="967">
        <f>'Building List'!H201</f>
        <v>1937</v>
      </c>
      <c r="J87" s="967">
        <f>'Building List'!I201</f>
        <v>0</v>
      </c>
      <c r="K87" s="967">
        <f>'Building List'!J201</f>
        <v>0</v>
      </c>
      <c r="L87" s="967" t="str">
        <f>'Building List'!K201</f>
        <v>NONE</v>
      </c>
      <c r="M87" s="967" t="str">
        <f>'Building List'!L201</f>
        <v>F</v>
      </c>
      <c r="N87" s="268">
        <f>'Building List'!M201</f>
        <v>88466</v>
      </c>
      <c r="O87">
        <f>'Building List'!N201</f>
        <v>1</v>
      </c>
    </row>
    <row r="88" spans="1:15">
      <c r="A88" s="967" t="str">
        <f>'Building List'!A202</f>
        <v>FB02</v>
      </c>
      <c r="B88" t="str">
        <f>'Building List'!$B$191</f>
        <v>FARM</v>
      </c>
      <c r="C88" t="str">
        <f>'Building List'!B202</f>
        <v>Squire Valleevue Farm - Pump House</v>
      </c>
      <c r="D88">
        <f>'Building List'!C202</f>
        <v>0</v>
      </c>
      <c r="E88" s="967">
        <f>'Building List'!D202</f>
        <v>4</v>
      </c>
      <c r="F88" s="967">
        <f>'Building List'!E202</f>
        <v>195</v>
      </c>
      <c r="G88" s="967">
        <f>'Building List'!F202</f>
        <v>1910</v>
      </c>
      <c r="H88" s="967">
        <f>'Building List'!G202</f>
        <v>1937</v>
      </c>
      <c r="I88" s="967">
        <f>'Building List'!H202</f>
        <v>1937</v>
      </c>
      <c r="J88" s="967">
        <f>'Building List'!I202</f>
        <v>0</v>
      </c>
      <c r="K88" s="967">
        <f>'Building List'!J202</f>
        <v>0</v>
      </c>
      <c r="L88" s="967" t="str">
        <f>'Building List'!K202</f>
        <v>NONE</v>
      </c>
      <c r="M88" s="967" t="str">
        <f>'Building List'!L202</f>
        <v>F</v>
      </c>
      <c r="N88" s="268">
        <f>'Building List'!M202</f>
        <v>0</v>
      </c>
      <c r="O88">
        <f>'Building List'!N202</f>
        <v>1</v>
      </c>
    </row>
    <row r="89" spans="1:15">
      <c r="A89" s="967" t="str">
        <f>'Building List'!A205</f>
        <v>FB06</v>
      </c>
      <c r="B89" t="str">
        <f>'Building List'!$B$191</f>
        <v>FARM</v>
      </c>
      <c r="C89" t="str">
        <f>'Building List'!B205</f>
        <v>Squire Valleevue Farm - Straw Barn</v>
      </c>
      <c r="D89">
        <f>'Building List'!C205</f>
        <v>0</v>
      </c>
      <c r="E89" s="967">
        <f>'Building List'!D205</f>
        <v>4</v>
      </c>
      <c r="F89" s="967">
        <f>'Building List'!E205</f>
        <v>1300</v>
      </c>
      <c r="G89" s="967">
        <f>'Building List'!F205</f>
        <v>0</v>
      </c>
      <c r="H89" s="967">
        <f>'Building List'!G205</f>
        <v>1937</v>
      </c>
      <c r="I89" s="967">
        <f>'Building List'!H205</f>
        <v>1937</v>
      </c>
      <c r="J89" s="967">
        <f>'Building List'!I205</f>
        <v>0</v>
      </c>
      <c r="K89" s="967">
        <f>'Building List'!J205</f>
        <v>0</v>
      </c>
      <c r="L89" s="967" t="str">
        <f>'Building List'!K205</f>
        <v>NONE</v>
      </c>
      <c r="M89" s="967" t="str">
        <f>'Building List'!L205</f>
        <v>F</v>
      </c>
      <c r="N89" s="268">
        <f>'Building List'!M205</f>
        <v>52042</v>
      </c>
      <c r="O89">
        <f>'Building List'!N205</f>
        <v>1</v>
      </c>
    </row>
    <row r="90" spans="1:15">
      <c r="A90" s="967" t="str">
        <f>'Building List'!A206</f>
        <v>FB13</v>
      </c>
      <c r="B90" t="str">
        <f>'Building List'!$B$191</f>
        <v>FARM</v>
      </c>
      <c r="C90" t="str">
        <f>'Building List'!B206</f>
        <v>Squire Valleevue Farm - Tin Barn</v>
      </c>
      <c r="D90">
        <f>'Building List'!C206</f>
        <v>0</v>
      </c>
      <c r="E90" s="967">
        <f>'Building List'!D206</f>
        <v>4</v>
      </c>
      <c r="F90" s="967">
        <f>'Building List'!E206</f>
        <v>1200</v>
      </c>
      <c r="G90" s="967">
        <f>'Building List'!F206</f>
        <v>0</v>
      </c>
      <c r="H90" s="967">
        <f>'Building List'!G206</f>
        <v>1937</v>
      </c>
      <c r="I90" s="967">
        <f>'Building List'!H206</f>
        <v>1937</v>
      </c>
      <c r="J90" s="967">
        <f>'Building List'!I206</f>
        <v>0</v>
      </c>
      <c r="K90" s="967">
        <f>'Building List'!J206</f>
        <v>0</v>
      </c>
      <c r="L90" s="967" t="str">
        <f>'Building List'!K206</f>
        <v>NONE</v>
      </c>
      <c r="M90" s="967" t="str">
        <f>'Building List'!L206</f>
        <v>F</v>
      </c>
      <c r="N90" s="268">
        <f>'Building List'!M206</f>
        <v>180274</v>
      </c>
      <c r="O90">
        <f>'Building List'!N206</f>
        <v>1</v>
      </c>
    </row>
    <row r="91" spans="1:15">
      <c r="A91" s="967" t="str">
        <f>'Building List'!A207</f>
        <v>FB17</v>
      </c>
      <c r="B91" t="str">
        <f>'Building List'!$B$191</f>
        <v>FARM</v>
      </c>
      <c r="C91" t="str">
        <f>'Building List'!B207</f>
        <v>Squire Valleevue Farm - White Barn</v>
      </c>
      <c r="D91">
        <f>'Building List'!C207</f>
        <v>0</v>
      </c>
      <c r="E91" s="967">
        <f>'Building List'!D207</f>
        <v>4</v>
      </c>
      <c r="F91" s="967">
        <f>'Building List'!E207</f>
        <v>1550</v>
      </c>
      <c r="G91" s="967">
        <f>'Building List'!F207</f>
        <v>0</v>
      </c>
      <c r="H91" s="967">
        <f>'Building List'!G207</f>
        <v>1937</v>
      </c>
      <c r="I91" s="967">
        <f>'Building List'!H207</f>
        <v>1937</v>
      </c>
      <c r="J91" s="967">
        <f>'Building List'!I207</f>
        <v>0</v>
      </c>
      <c r="K91" s="967">
        <f>'Building List'!J207</f>
        <v>0</v>
      </c>
      <c r="L91" s="967" t="str">
        <f>'Building List'!K207</f>
        <v>NONE</v>
      </c>
      <c r="M91" s="967" t="str">
        <f>'Building List'!L207</f>
        <v>F</v>
      </c>
      <c r="N91" s="268">
        <f>'Building List'!M207</f>
        <v>0</v>
      </c>
      <c r="O91">
        <f>'Building List'!N207</f>
        <v>1</v>
      </c>
    </row>
    <row r="92" spans="1:15">
      <c r="A92" s="967" t="str">
        <f>'Building List'!A208</f>
        <v>FB15</v>
      </c>
      <c r="B92" t="str">
        <f>'Building List'!$B$191</f>
        <v>FARM</v>
      </c>
      <c r="C92" t="str">
        <f>'Building List'!B208</f>
        <v>Squire Valleevue Farm - Woodshop</v>
      </c>
      <c r="D92">
        <f>'Building List'!C208</f>
        <v>0</v>
      </c>
      <c r="E92" s="967">
        <f>'Building List'!D208</f>
        <v>4</v>
      </c>
      <c r="F92" s="967">
        <f>'Building List'!E208</f>
        <v>480</v>
      </c>
      <c r="G92" s="967">
        <f>'Building List'!F208</f>
        <v>0</v>
      </c>
      <c r="H92" s="967">
        <f>'Building List'!G208</f>
        <v>1937</v>
      </c>
      <c r="I92" s="967">
        <f>'Building List'!H208</f>
        <v>1937</v>
      </c>
      <c r="J92" s="967">
        <f>'Building List'!I208</f>
        <v>0</v>
      </c>
      <c r="K92" s="967">
        <f>'Building List'!J208</f>
        <v>0</v>
      </c>
      <c r="L92" s="967" t="str">
        <f>'Building List'!K208</f>
        <v>NONE</v>
      </c>
      <c r="M92" s="967" t="str">
        <f>'Building List'!L208</f>
        <v>F</v>
      </c>
      <c r="N92" s="268">
        <f>'Building List'!M208</f>
        <v>0</v>
      </c>
      <c r="O92">
        <f>'Building List'!N208</f>
        <v>1</v>
      </c>
    </row>
    <row r="93" spans="1:15">
      <c r="A93" s="967" t="str">
        <f>'Building List'!A194</f>
        <v>FB14</v>
      </c>
      <c r="B93" t="str">
        <f>'Building List'!$B$191</f>
        <v>FARM</v>
      </c>
      <c r="C93" t="str">
        <f>'Building List'!B194</f>
        <v>Squire Valleevue Farm - Chicken House</v>
      </c>
      <c r="D93">
        <f>'Building List'!C194</f>
        <v>0</v>
      </c>
      <c r="E93" s="967">
        <f>'Building List'!D194</f>
        <v>4</v>
      </c>
      <c r="F93" s="967">
        <f>'Building List'!E194</f>
        <v>4900</v>
      </c>
      <c r="G93" s="967">
        <f>'Building List'!F194</f>
        <v>1938</v>
      </c>
      <c r="H93" s="967">
        <f>'Building List'!G194</f>
        <v>1937</v>
      </c>
      <c r="I93" s="967">
        <f>'Building List'!H194</f>
        <v>1938</v>
      </c>
      <c r="J93" s="967">
        <f>'Building List'!I194</f>
        <v>0</v>
      </c>
      <c r="K93" s="967">
        <f>'Building List'!J194</f>
        <v>0</v>
      </c>
      <c r="L93" s="967" t="str">
        <f>'Building List'!K194</f>
        <v>NONE</v>
      </c>
      <c r="M93" s="967" t="str">
        <f>'Building List'!L194</f>
        <v>F</v>
      </c>
      <c r="N93" s="268">
        <f>'Building List'!M194</f>
        <v>121886</v>
      </c>
      <c r="O93">
        <f>'Building List'!N194</f>
        <v>1</v>
      </c>
    </row>
    <row r="94" spans="1:15">
      <c r="A94" s="967" t="str">
        <f>'Building List'!A6</f>
        <v>5B21</v>
      </c>
      <c r="B94" t="str">
        <f>'Building List'!$B$2</f>
        <v>ACADEMIC</v>
      </c>
      <c r="C94" t="str">
        <f>'Building List'!B6</f>
        <v>AW Smith</v>
      </c>
      <c r="D94" t="str">
        <f>'Building List'!C6</f>
        <v>Adelbert Road 2102</v>
      </c>
      <c r="E94" s="967">
        <f>'Building List'!D6</f>
        <v>3</v>
      </c>
      <c r="F94" s="967">
        <f>'Building List'!E6</f>
        <v>88536</v>
      </c>
      <c r="G94" s="967">
        <f>'Building List'!F6</f>
        <v>1939</v>
      </c>
      <c r="H94" s="967">
        <f>'Building List'!G6</f>
        <v>0</v>
      </c>
      <c r="I94" s="967">
        <f>'Building List'!H6</f>
        <v>1939</v>
      </c>
      <c r="J94" s="967">
        <f>'Building List'!I6</f>
        <v>0</v>
      </c>
      <c r="K94" s="967" t="str">
        <f>'Building List'!J6</f>
        <v>N</v>
      </c>
      <c r="L94" s="967" t="str">
        <f>'Building List'!K6</f>
        <v>NONE</v>
      </c>
      <c r="M94" s="967" t="str">
        <f>'Building List'!L6</f>
        <v>AC</v>
      </c>
      <c r="N94" s="268">
        <f>'Building List'!M6</f>
        <v>11336049</v>
      </c>
      <c r="O94">
        <f>'Building List'!N6</f>
        <v>1</v>
      </c>
    </row>
    <row r="95" spans="1:15">
      <c r="A95" s="967" t="str">
        <f>'Building List'!A197</f>
        <v>FB04</v>
      </c>
      <c r="B95" t="str">
        <f>'Building List'!$B$191</f>
        <v>FARM</v>
      </c>
      <c r="C95" t="str">
        <f>'Building List'!B197</f>
        <v>Squire Valleevue Farm - Main Barn</v>
      </c>
      <c r="D95">
        <f>'Building List'!C197</f>
        <v>0</v>
      </c>
      <c r="E95" s="967">
        <f>'Building List'!D197</f>
        <v>4</v>
      </c>
      <c r="F95" s="967">
        <f>'Building List'!E197</f>
        <v>10030</v>
      </c>
      <c r="G95" s="967">
        <f>'Building List'!F197</f>
        <v>1939</v>
      </c>
      <c r="H95" s="967">
        <f>'Building List'!G197</f>
        <v>1937</v>
      </c>
      <c r="I95" s="967">
        <f>'Building List'!H197</f>
        <v>1939</v>
      </c>
      <c r="J95" s="967">
        <f>'Building List'!I197</f>
        <v>0</v>
      </c>
      <c r="K95" s="967">
        <f>'Building List'!J197</f>
        <v>0</v>
      </c>
      <c r="L95" s="967" t="str">
        <f>'Building List'!K197</f>
        <v>NONE</v>
      </c>
      <c r="M95" s="967" t="str">
        <f>'Building List'!L197</f>
        <v>F</v>
      </c>
      <c r="N95" s="268">
        <f>'Building List'!M197</f>
        <v>1408577</v>
      </c>
      <c r="O95">
        <f>'Building List'!N197</f>
        <v>1</v>
      </c>
    </row>
    <row r="96" spans="1:15">
      <c r="A96" s="967" t="str">
        <f>'Building List'!A200</f>
        <v>FB01</v>
      </c>
      <c r="B96" t="str">
        <f>'Building List'!$B$191</f>
        <v>FARM</v>
      </c>
      <c r="C96" t="str">
        <f>'Building List'!B200</f>
        <v>Squire Valleevue Farm - Pink Pig</v>
      </c>
      <c r="D96">
        <f>'Building List'!C200</f>
        <v>0</v>
      </c>
      <c r="E96" s="967">
        <f>'Building List'!D200</f>
        <v>4</v>
      </c>
      <c r="F96" s="967">
        <f>'Building List'!E200</f>
        <v>1500</v>
      </c>
      <c r="G96" s="967">
        <f>'Building List'!F200</f>
        <v>1940</v>
      </c>
      <c r="H96" s="967">
        <f>'Building List'!G200</f>
        <v>1937</v>
      </c>
      <c r="I96" s="967">
        <f>'Building List'!H200</f>
        <v>1940</v>
      </c>
      <c r="J96" s="967">
        <f>'Building List'!I200</f>
        <v>0</v>
      </c>
      <c r="K96" s="967">
        <f>'Building List'!J200</f>
        <v>0</v>
      </c>
      <c r="L96" s="967" t="str">
        <f>'Building List'!K200</f>
        <v>NONE</v>
      </c>
      <c r="M96" s="967" t="str">
        <f>'Building List'!L200</f>
        <v>F</v>
      </c>
      <c r="N96" s="268">
        <f>'Building List'!M200</f>
        <v>104053</v>
      </c>
      <c r="O96">
        <f>'Building List'!N200</f>
        <v>1</v>
      </c>
    </row>
    <row r="97" spans="1:15">
      <c r="A97" s="967" t="str">
        <f>'Building List'!A71</f>
        <v>4B27</v>
      </c>
      <c r="B97" t="str">
        <f>'Building List'!$B$57</f>
        <v>ADMINISTRATIVE</v>
      </c>
      <c r="C97" t="str">
        <f>'Building List'!B71</f>
        <v>Tomlinson Hall</v>
      </c>
      <c r="D97" t="str">
        <f>'Building List'!C71</f>
        <v>Martin Luther King Jr. Drive 2121</v>
      </c>
      <c r="E97" s="967">
        <f>'Building List'!D71</f>
        <v>4</v>
      </c>
      <c r="F97" s="967">
        <f>'Building List'!E71</f>
        <v>38545</v>
      </c>
      <c r="G97" s="967">
        <f>'Building List'!F71</f>
        <v>1948</v>
      </c>
      <c r="H97" s="967">
        <f>'Building List'!G71</f>
        <v>0</v>
      </c>
      <c r="I97" s="967">
        <f>'Building List'!H71</f>
        <v>1948</v>
      </c>
      <c r="J97" s="967">
        <f>'Building List'!I71</f>
        <v>0</v>
      </c>
      <c r="K97" s="967" t="str">
        <f>'Building List'!J71</f>
        <v>N</v>
      </c>
      <c r="L97" s="967" t="str">
        <f>'Building List'!K71</f>
        <v>PARTIAL</v>
      </c>
      <c r="M97" s="967" t="str">
        <f>'Building List'!L71</f>
        <v>AD</v>
      </c>
      <c r="N97" s="268">
        <f>'Building List'!M71</f>
        <v>5288868</v>
      </c>
      <c r="O97">
        <f>'Building List'!N71</f>
        <v>1</v>
      </c>
    </row>
    <row r="98" spans="1:15">
      <c r="A98" s="967" t="str">
        <f>'Building List'!A204</f>
        <v>FB08</v>
      </c>
      <c r="B98" t="str">
        <f>'Building List'!$B$191</f>
        <v>FARM</v>
      </c>
      <c r="C98" t="str">
        <f>'Building List'!B204</f>
        <v>Squire Valleevue Farm - Storage Shed 1</v>
      </c>
      <c r="D98">
        <f>'Building List'!C204</f>
        <v>0</v>
      </c>
      <c r="E98" s="967">
        <f>'Building List'!D204</f>
        <v>4</v>
      </c>
      <c r="F98" s="967">
        <f>'Building List'!E204</f>
        <v>175</v>
      </c>
      <c r="G98" s="967">
        <f>'Building List'!F204</f>
        <v>1950</v>
      </c>
      <c r="H98" s="967">
        <f>'Building List'!G204</f>
        <v>1937</v>
      </c>
      <c r="I98" s="967">
        <f>'Building List'!H204</f>
        <v>1950</v>
      </c>
      <c r="J98" s="967">
        <f>'Building List'!I204</f>
        <v>0</v>
      </c>
      <c r="K98" s="967">
        <f>'Building List'!J204</f>
        <v>0</v>
      </c>
      <c r="L98" s="967" t="str">
        <f>'Building List'!K204</f>
        <v>NONE</v>
      </c>
      <c r="M98" s="967" t="str">
        <f>'Building List'!L204</f>
        <v>F</v>
      </c>
      <c r="N98" s="268">
        <f>'Building List'!M204</f>
        <v>0</v>
      </c>
      <c r="O98">
        <f>'Building List'!N204</f>
        <v>1</v>
      </c>
    </row>
    <row r="99" spans="1:15">
      <c r="A99" s="967" t="str">
        <f>'Building List'!A52</f>
        <v>4B17</v>
      </c>
      <c r="B99" t="str">
        <f>'Building List'!$B$2</f>
        <v>ACADEMIC</v>
      </c>
      <c r="C99" t="str">
        <f>'Building List'!B52</f>
        <v>Yost Hall</v>
      </c>
      <c r="D99" t="str">
        <f>'Building List'!C52</f>
        <v>Martin Luther King Jr. Drive 2049</v>
      </c>
      <c r="E99" s="967">
        <f>'Building List'!D52</f>
        <v>0</v>
      </c>
      <c r="F99" s="967">
        <f>'Building List'!E52</f>
        <v>49292</v>
      </c>
      <c r="G99" s="967">
        <f>'Building List'!F52</f>
        <v>1951</v>
      </c>
      <c r="H99" s="967">
        <f>'Building List'!G52</f>
        <v>0</v>
      </c>
      <c r="I99" s="967">
        <f>'Building List'!H52</f>
        <v>1951</v>
      </c>
      <c r="J99" s="967">
        <f>'Building List'!I52</f>
        <v>0</v>
      </c>
      <c r="K99" s="967" t="str">
        <f>'Building List'!J52</f>
        <v>Y</v>
      </c>
      <c r="L99" s="967" t="str">
        <f>'Building List'!K52</f>
        <v>NONE</v>
      </c>
      <c r="M99" s="967" t="str">
        <f>'Building List'!L52</f>
        <v>AC</v>
      </c>
      <c r="N99" s="268">
        <f>'Building List'!M52</f>
        <v>7584360</v>
      </c>
      <c r="O99">
        <f>'Building List'!N52</f>
        <v>1</v>
      </c>
    </row>
    <row r="100" spans="1:15">
      <c r="A100" s="967" t="str">
        <f>'Building List'!A60</f>
        <v>3D47</v>
      </c>
      <c r="B100" t="str">
        <f>'Building List'!$B$57</f>
        <v>ADMINISTRATIVE</v>
      </c>
      <c r="C100" t="str">
        <f>'Building List'!B60</f>
        <v>Alumni House - 11310 Juniper</v>
      </c>
      <c r="D100" t="str">
        <f>'Building List'!C60</f>
        <v>Juniper Drive 11310</v>
      </c>
      <c r="E100" s="967">
        <f>'Building List'!D60</f>
        <v>0</v>
      </c>
      <c r="F100" s="967">
        <f>'Building List'!E60</f>
        <v>11365</v>
      </c>
      <c r="G100" s="967">
        <f>'Building List'!F60</f>
        <v>1911</v>
      </c>
      <c r="H100" s="967">
        <f>'Building List'!G60</f>
        <v>1953</v>
      </c>
      <c r="I100" s="967">
        <f>'Building List'!H60</f>
        <v>1953</v>
      </c>
      <c r="J100" s="967">
        <f>'Building List'!I60</f>
        <v>0</v>
      </c>
      <c r="K100" s="967" t="str">
        <f>'Building List'!J60</f>
        <v>Y</v>
      </c>
      <c r="L100" s="967" t="str">
        <f>'Building List'!K60</f>
        <v>NONE</v>
      </c>
      <c r="M100" s="967" t="str">
        <f>'Building List'!L60</f>
        <v>AD</v>
      </c>
      <c r="N100" s="268">
        <f>'Building List'!M60</f>
        <v>1035126</v>
      </c>
      <c r="O100">
        <f>'Building List'!N60</f>
        <v>1</v>
      </c>
    </row>
    <row r="101" spans="1:15">
      <c r="A101" s="967" t="str">
        <f>'Building List'!A45</f>
        <v>4B07</v>
      </c>
      <c r="B101" t="str">
        <f>'Building List'!$B$2</f>
        <v>ACADEMIC</v>
      </c>
      <c r="C101" t="str">
        <f>'Building List'!B45</f>
        <v>Wickenden</v>
      </c>
      <c r="D101" t="str">
        <f>'Building List'!C45</f>
        <v>Martin Luther King Jr. Drive 2071</v>
      </c>
      <c r="E101" s="967">
        <f>'Building List'!D45</f>
        <v>4</v>
      </c>
      <c r="F101" s="967">
        <f>'Building List'!E45</f>
        <v>72635</v>
      </c>
      <c r="G101" s="967">
        <f>'Building List'!F45</f>
        <v>1955</v>
      </c>
      <c r="H101" s="967">
        <f>'Building List'!G45</f>
        <v>0</v>
      </c>
      <c r="I101" s="967">
        <f>'Building List'!H45</f>
        <v>1955</v>
      </c>
      <c r="J101" s="967">
        <f>'Building List'!I45</f>
        <v>0</v>
      </c>
      <c r="K101" s="967" t="str">
        <f>'Building List'!J45</f>
        <v>Y</v>
      </c>
      <c r="L101" s="967" t="str">
        <f>'Building List'!K45</f>
        <v>FULL</v>
      </c>
      <c r="M101" s="967" t="str">
        <f>'Building List'!L45</f>
        <v>AC</v>
      </c>
      <c r="N101" s="268">
        <f>'Building List'!M45</f>
        <v>13377451</v>
      </c>
      <c r="O101">
        <f>'Building List'!N45</f>
        <v>1</v>
      </c>
    </row>
    <row r="102" spans="1:15">
      <c r="A102" s="967" t="str">
        <f>'Building List'!A17</f>
        <v>5B03</v>
      </c>
      <c r="B102" t="str">
        <f>'Building List'!$B$2</f>
        <v>ACADEMIC</v>
      </c>
      <c r="C102" t="str">
        <f>'Building List'!B17</f>
        <v>Emerson Gym</v>
      </c>
      <c r="D102" t="str">
        <f>'Building List'!C17</f>
        <v>Adelbert Road 2138</v>
      </c>
      <c r="E102" s="967">
        <f>'Building List'!D17</f>
        <v>4</v>
      </c>
      <c r="F102" s="967">
        <f>'Building List'!E17</f>
        <v>92952</v>
      </c>
      <c r="G102" s="967">
        <f>'Building List'!F17</f>
        <v>1957</v>
      </c>
      <c r="H102" s="967">
        <f>'Building List'!G17</f>
        <v>1957</v>
      </c>
      <c r="I102" s="967">
        <f>'Building List'!H17</f>
        <v>1957</v>
      </c>
      <c r="J102" s="967">
        <f>'Building List'!I17</f>
        <v>0</v>
      </c>
      <c r="K102" s="967" t="str">
        <f>'Building List'!J17</f>
        <v>Y</v>
      </c>
      <c r="L102" s="967" t="str">
        <f>'Building List'!K17</f>
        <v>NONE</v>
      </c>
      <c r="M102" s="967" t="str">
        <f>'Building List'!L17</f>
        <v>AC</v>
      </c>
      <c r="N102" s="268">
        <f>'Building List'!M17</f>
        <v>9209593</v>
      </c>
      <c r="O102">
        <f>'Building List'!N17</f>
        <v>1</v>
      </c>
    </row>
    <row r="103" spans="1:15">
      <c r="A103" s="967" t="str">
        <f>'Building List'!A240</f>
        <v>N001</v>
      </c>
      <c r="B103" t="str">
        <f>'Building List'!$B$222</f>
        <v>NON-UNIVERSITY OWNED PROPERTIES</v>
      </c>
      <c r="C103" t="str">
        <f>'Building List'!B240</f>
        <v>Nassau Station</v>
      </c>
      <c r="D103">
        <f>'Building List'!C240</f>
        <v>0</v>
      </c>
      <c r="E103" s="967">
        <f>'Building List'!D240</f>
        <v>4</v>
      </c>
      <c r="F103" s="967">
        <f>'Building List'!E240</f>
        <v>2163</v>
      </c>
      <c r="G103" s="967">
        <f>'Building List'!F240</f>
        <v>1957</v>
      </c>
      <c r="H103" s="967">
        <f>'Building List'!G240</f>
        <v>0</v>
      </c>
      <c r="I103" s="967">
        <f>'Building List'!H240</f>
        <v>1957</v>
      </c>
      <c r="J103" s="967">
        <f>'Building List'!I240</f>
        <v>0</v>
      </c>
      <c r="K103" s="967">
        <f>'Building List'!J240</f>
        <v>0</v>
      </c>
      <c r="L103" s="967">
        <f>'Building List'!K240</f>
        <v>0</v>
      </c>
      <c r="M103" s="967" t="str">
        <f>'Building List'!L240</f>
        <v>X</v>
      </c>
      <c r="N103" s="268">
        <f>'Building List'!M240</f>
        <v>0</v>
      </c>
      <c r="O103">
        <f>'Building List'!N240</f>
        <v>6</v>
      </c>
    </row>
    <row r="104" spans="1:15">
      <c r="A104" s="967" t="str">
        <f>'Building List'!A42</f>
        <v>4B03</v>
      </c>
      <c r="B104" t="str">
        <f>'Building List'!$B$2</f>
        <v>ACADEMIC</v>
      </c>
      <c r="C104" t="str">
        <f>'Building List'!B42</f>
        <v>Strosacker Auditorium</v>
      </c>
      <c r="D104" t="str">
        <f>'Building List'!C42</f>
        <v>Adelbert Road 2125</v>
      </c>
      <c r="E104" s="967">
        <f>'Building List'!D42</f>
        <v>3</v>
      </c>
      <c r="F104" s="967">
        <f>'Building List'!E42</f>
        <v>20058</v>
      </c>
      <c r="G104" s="967">
        <f>'Building List'!F42</f>
        <v>1958</v>
      </c>
      <c r="H104" s="967">
        <f>'Building List'!G42</f>
        <v>1958</v>
      </c>
      <c r="I104" s="967">
        <f>'Building List'!H42</f>
        <v>1958</v>
      </c>
      <c r="J104" s="967">
        <f>'Building List'!I42</f>
        <v>0</v>
      </c>
      <c r="K104" s="967" t="str">
        <f>'Building List'!J42</f>
        <v>Y</v>
      </c>
      <c r="L104" s="967" t="str">
        <f>'Building List'!K42</f>
        <v>NONE</v>
      </c>
      <c r="M104" s="967" t="str">
        <f>'Building List'!L42</f>
        <v>AC</v>
      </c>
      <c r="N104" s="268">
        <f>'Building List'!M42</f>
        <v>2849226</v>
      </c>
      <c r="O104">
        <f>'Building List'!N42</f>
        <v>1</v>
      </c>
    </row>
    <row r="105" spans="1:15">
      <c r="A105" s="967" t="str">
        <f>'Building List'!A196</f>
        <v>FB07</v>
      </c>
      <c r="B105" t="str">
        <f>'Building List'!$B$191</f>
        <v>FARM</v>
      </c>
      <c r="C105" t="str">
        <f>'Building List'!B196</f>
        <v>Squire Valleevue Farm - Greenhouse Lab</v>
      </c>
      <c r="D105">
        <f>'Building List'!C196</f>
        <v>0</v>
      </c>
      <c r="E105" s="967">
        <f>'Building List'!D196</f>
        <v>4</v>
      </c>
      <c r="F105" s="967">
        <f>'Building List'!E196</f>
        <v>4880</v>
      </c>
      <c r="G105" s="967">
        <f>'Building List'!F196</f>
        <v>1959</v>
      </c>
      <c r="H105" s="967">
        <f>'Building List'!G196</f>
        <v>1937</v>
      </c>
      <c r="I105" s="967">
        <f>'Building List'!H196</f>
        <v>1959</v>
      </c>
      <c r="J105" s="967">
        <f>'Building List'!I196</f>
        <v>0</v>
      </c>
      <c r="K105" s="967">
        <f>'Building List'!J196</f>
        <v>0</v>
      </c>
      <c r="L105" s="967" t="str">
        <f>'Building List'!K196</f>
        <v>NONE</v>
      </c>
      <c r="M105" s="967" t="str">
        <f>'Building List'!L196</f>
        <v>F</v>
      </c>
      <c r="N105" s="268">
        <f>'Building List'!M196</f>
        <v>144602</v>
      </c>
      <c r="O105">
        <f>'Building List'!N196</f>
        <v>1</v>
      </c>
    </row>
    <row r="106" spans="1:15">
      <c r="A106" s="967" t="str">
        <f>'Building List'!A39</f>
        <v>4B01</v>
      </c>
      <c r="B106" t="str">
        <f>'Building List'!$B$2</f>
        <v>ACADEMIC</v>
      </c>
      <c r="C106" t="str">
        <f>'Building List'!B39</f>
        <v>Sears</v>
      </c>
      <c r="D106" t="str">
        <f>'Building List'!C39</f>
        <v>Martin Luther King Jr. Drive 2083</v>
      </c>
      <c r="E106" s="967">
        <f>'Building List'!D39</f>
        <v>4</v>
      </c>
      <c r="F106" s="967">
        <f>'Building List'!E39</f>
        <v>85539</v>
      </c>
      <c r="G106" s="967">
        <f>'Building List'!F39</f>
        <v>1960</v>
      </c>
      <c r="H106" s="967">
        <f>'Building List'!G39</f>
        <v>1960</v>
      </c>
      <c r="I106" s="967">
        <f>'Building List'!H39</f>
        <v>1960</v>
      </c>
      <c r="J106" s="967">
        <f>'Building List'!I39</f>
        <v>0</v>
      </c>
      <c r="K106" s="967" t="str">
        <f>'Building List'!J39</f>
        <v>Y</v>
      </c>
      <c r="L106" s="967" t="str">
        <f>'Building List'!K39</f>
        <v>PARTIAL</v>
      </c>
      <c r="M106" s="967" t="str">
        <f>'Building List'!L39</f>
        <v>AC</v>
      </c>
      <c r="N106" s="268">
        <f>'Building List'!M39</f>
        <v>13771612</v>
      </c>
      <c r="O106">
        <f>'Building List'!N39</f>
        <v>1</v>
      </c>
    </row>
    <row r="107" spans="1:15">
      <c r="A107" s="967" t="str">
        <f>'Building List'!A243</f>
        <v>4A01</v>
      </c>
      <c r="B107" t="str">
        <f>'Building List'!$B$222</f>
        <v>NON-UNIVERSITY OWNED PROPERTIES</v>
      </c>
      <c r="C107" t="str">
        <f>'Building List'!B243</f>
        <v>Tudor Arms</v>
      </c>
      <c r="D107">
        <f>'Building List'!C243</f>
        <v>0</v>
      </c>
      <c r="E107" s="967">
        <f>'Building List'!D243</f>
        <v>0</v>
      </c>
      <c r="F107" s="967">
        <f>'Building List'!E243</f>
        <v>262785</v>
      </c>
      <c r="G107" s="967">
        <f>'Building List'!F243</f>
        <v>1925</v>
      </c>
      <c r="H107" s="967">
        <f>'Building List'!G243</f>
        <v>1960</v>
      </c>
      <c r="I107" s="967">
        <f>'Building List'!H243</f>
        <v>1960</v>
      </c>
      <c r="J107" s="967">
        <f>'Building List'!I243</f>
        <v>0</v>
      </c>
      <c r="K107" s="967">
        <f>'Building List'!J243</f>
        <v>0</v>
      </c>
      <c r="L107" s="967">
        <f>'Building List'!K243</f>
        <v>0</v>
      </c>
      <c r="M107" s="967" t="str">
        <f>'Building List'!L243</f>
        <v>X</v>
      </c>
      <c r="N107" s="268">
        <f>'Building List'!M243</f>
        <v>0</v>
      </c>
      <c r="O107">
        <f>'Building List'!N243</f>
        <v>6</v>
      </c>
    </row>
    <row r="108" spans="1:15">
      <c r="A108" s="967" t="str">
        <f>'Building List'!A41</f>
        <v>2D09</v>
      </c>
      <c r="B108" t="str">
        <f>'Building List'!$B$2</f>
        <v>ACADEMIC</v>
      </c>
      <c r="C108" t="str">
        <f>'Building List'!B41</f>
        <v>Stone Hall</v>
      </c>
      <c r="D108" t="str">
        <f>'Building List'!C41</f>
        <v>Juniper Drive 11321</v>
      </c>
      <c r="E108" s="967">
        <f>'Building List'!D41</f>
        <v>2</v>
      </c>
      <c r="F108" s="967">
        <f>'Building List'!E41</f>
        <v>19068</v>
      </c>
      <c r="G108" s="967">
        <f>'Building List'!F41</f>
        <v>1961</v>
      </c>
      <c r="H108" s="967">
        <f>'Building List'!G41</f>
        <v>1961</v>
      </c>
      <c r="I108" s="967">
        <f>'Building List'!H41</f>
        <v>1961</v>
      </c>
      <c r="J108" s="967">
        <f>'Building List'!I41</f>
        <v>0</v>
      </c>
      <c r="K108" s="967" t="str">
        <f>'Building List'!J41</f>
        <v>Y</v>
      </c>
      <c r="L108" s="967" t="str">
        <f>'Building List'!K41</f>
        <v>NONE</v>
      </c>
      <c r="M108" s="967" t="str">
        <f>'Building List'!L41</f>
        <v>AC</v>
      </c>
      <c r="N108" s="268">
        <f>'Building List'!M41</f>
        <v>2692739</v>
      </c>
      <c r="O108">
        <f>'Building List'!N41</f>
        <v>1</v>
      </c>
    </row>
    <row r="109" spans="1:15">
      <c r="A109" s="967" t="str">
        <f>'Building List'!A44</f>
        <v>5B13</v>
      </c>
      <c r="B109" t="str">
        <f>'Building List'!$B$2</f>
        <v>ACADEMIC</v>
      </c>
      <c r="C109" t="str">
        <f>'Building List'!B44</f>
        <v>White Building</v>
      </c>
      <c r="D109" t="str">
        <f>'Building List'!C44</f>
        <v>Martin Luther King Jr. Drive 2111</v>
      </c>
      <c r="E109" s="967">
        <f>'Building List'!D44</f>
        <v>4</v>
      </c>
      <c r="F109" s="967">
        <f>'Building List'!E44</f>
        <v>75290</v>
      </c>
      <c r="G109" s="967">
        <f>'Building List'!F44</f>
        <v>1961</v>
      </c>
      <c r="H109" s="967">
        <f>'Building List'!G44</f>
        <v>1961</v>
      </c>
      <c r="I109" s="967">
        <f>'Building List'!H44</f>
        <v>1961</v>
      </c>
      <c r="J109" s="967">
        <f>'Building List'!I44</f>
        <v>0</v>
      </c>
      <c r="K109" s="967" t="str">
        <f>'Building List'!J44</f>
        <v>Y</v>
      </c>
      <c r="L109" s="967" t="str">
        <f>'Building List'!K44</f>
        <v>NONE</v>
      </c>
      <c r="M109" s="967" t="str">
        <f>'Building List'!L44</f>
        <v>AC</v>
      </c>
      <c r="N109" s="268">
        <f>'Building List'!M44</f>
        <v>12376373</v>
      </c>
      <c r="O109">
        <f>'Building List'!N44</f>
        <v>1</v>
      </c>
    </row>
    <row r="110" spans="1:15">
      <c r="A110" s="967" t="str">
        <f>'Building List'!A120</f>
        <v>2D07</v>
      </c>
      <c r="B110" t="str">
        <f>'Building List'!$B$110</f>
        <v>RESIDENTIAL</v>
      </c>
      <c r="C110" t="str">
        <f>'Building List'!B120</f>
        <v>Cutter House</v>
      </c>
      <c r="D110" t="str">
        <f>'Building List'!C120</f>
        <v>Juniper 11301</v>
      </c>
      <c r="E110" s="967">
        <f>'Building List'!D120</f>
        <v>6</v>
      </c>
      <c r="F110" s="967">
        <f>'Building List'!E120</f>
        <v>26471</v>
      </c>
      <c r="G110" s="967">
        <f>'Building List'!F120</f>
        <v>1961</v>
      </c>
      <c r="H110" s="967">
        <f>'Building List'!G120</f>
        <v>1961</v>
      </c>
      <c r="I110" s="967">
        <f>'Building List'!H120</f>
        <v>1961</v>
      </c>
      <c r="J110" s="967">
        <f>'Building List'!I120</f>
        <v>0</v>
      </c>
      <c r="K110" s="967" t="str">
        <f>'Building List'!J120</f>
        <v>N</v>
      </c>
      <c r="L110" s="967" t="str">
        <f>'Building List'!K120</f>
        <v>NONE</v>
      </c>
      <c r="M110" s="967" t="str">
        <f>'Building List'!L120</f>
        <v>R</v>
      </c>
      <c r="N110" s="268">
        <f>'Building List'!M120</f>
        <v>2848745</v>
      </c>
      <c r="O110">
        <f>'Building List'!N120</f>
        <v>1</v>
      </c>
    </row>
    <row r="111" spans="1:15">
      <c r="A111" s="967" t="str">
        <f>'Building List'!A140</f>
        <v>2D01</v>
      </c>
      <c r="B111" t="str">
        <f>'Building List'!$B$110</f>
        <v>RESIDENTIAL</v>
      </c>
      <c r="C111" t="str">
        <f>'Building List'!B140</f>
        <v>Smith House</v>
      </c>
      <c r="D111" t="str">
        <f>'Building List'!C140</f>
        <v>Juniper 11311</v>
      </c>
      <c r="E111" s="967">
        <f>'Building List'!D140</f>
        <v>6</v>
      </c>
      <c r="F111" s="967">
        <f>'Building List'!E140</f>
        <v>26471</v>
      </c>
      <c r="G111" s="967">
        <f>'Building List'!F140</f>
        <v>1961</v>
      </c>
      <c r="H111" s="967">
        <f>'Building List'!G140</f>
        <v>1961</v>
      </c>
      <c r="I111" s="967">
        <f>'Building List'!H140</f>
        <v>1961</v>
      </c>
      <c r="J111" s="967">
        <f>'Building List'!I140</f>
        <v>0</v>
      </c>
      <c r="K111" s="967" t="str">
        <f>'Building List'!J140</f>
        <v>N</v>
      </c>
      <c r="L111" s="967" t="str">
        <f>'Building List'!K140</f>
        <v>NONE</v>
      </c>
      <c r="M111" s="967" t="str">
        <f>'Building List'!L140</f>
        <v>R</v>
      </c>
      <c r="N111" s="268">
        <f>'Building List'!M140</f>
        <v>2603586</v>
      </c>
      <c r="O111">
        <f>'Building List'!N140</f>
        <v>1</v>
      </c>
    </row>
    <row r="112" spans="1:15">
      <c r="A112" s="967" t="str">
        <f>'Building List'!A143</f>
        <v>2D03</v>
      </c>
      <c r="B112" t="str">
        <f>'Building List'!$B$110</f>
        <v>RESIDENTIAL</v>
      </c>
      <c r="C112" t="str">
        <f>'Building List'!B143</f>
        <v>Taft House</v>
      </c>
      <c r="D112" t="str">
        <f>'Building List'!C143</f>
        <v>Juniper 11341</v>
      </c>
      <c r="E112" s="967">
        <f>'Building List'!D143</f>
        <v>6</v>
      </c>
      <c r="F112" s="967">
        <f>'Building List'!E143</f>
        <v>26471</v>
      </c>
      <c r="G112" s="967">
        <f>'Building List'!F143</f>
        <v>1961</v>
      </c>
      <c r="H112" s="967">
        <f>'Building List'!G143</f>
        <v>1961</v>
      </c>
      <c r="I112" s="967">
        <f>'Building List'!H143</f>
        <v>1961</v>
      </c>
      <c r="J112" s="967">
        <f>'Building List'!I143</f>
        <v>0</v>
      </c>
      <c r="K112" s="967" t="str">
        <f>'Building List'!J143</f>
        <v>N</v>
      </c>
      <c r="L112" s="967" t="str">
        <f>'Building List'!K143</f>
        <v>NONE</v>
      </c>
      <c r="M112" s="967" t="str">
        <f>'Building List'!L143</f>
        <v>R</v>
      </c>
      <c r="N112" s="268">
        <f>'Building List'!M143</f>
        <v>2608243</v>
      </c>
      <c r="O112">
        <f>'Building List'!N143</f>
        <v>1</v>
      </c>
    </row>
    <row r="113" spans="1:15">
      <c r="A113" s="967" t="str">
        <f>'Building List'!A144</f>
        <v>2D11</v>
      </c>
      <c r="B113" t="str">
        <f>'Building List'!$B$110</f>
        <v>RESIDENTIAL</v>
      </c>
      <c r="C113" t="str">
        <f>'Building List'!B144</f>
        <v>Taplin House</v>
      </c>
      <c r="D113" t="str">
        <f>'Building List'!C144</f>
        <v>Juniper 11331</v>
      </c>
      <c r="E113" s="967">
        <f>'Building List'!D144</f>
        <v>6</v>
      </c>
      <c r="F113" s="967">
        <f>'Building List'!E144</f>
        <v>26471</v>
      </c>
      <c r="G113" s="967">
        <f>'Building List'!F144</f>
        <v>1961</v>
      </c>
      <c r="H113" s="967">
        <f>'Building List'!G144</f>
        <v>1961</v>
      </c>
      <c r="I113" s="967">
        <f>'Building List'!H144</f>
        <v>1961</v>
      </c>
      <c r="J113" s="967">
        <f>'Building List'!I144</f>
        <v>0</v>
      </c>
      <c r="K113" s="967" t="str">
        <f>'Building List'!J144</f>
        <v>N</v>
      </c>
      <c r="L113" s="967" t="str">
        <f>'Building List'!K144</f>
        <v>NONE</v>
      </c>
      <c r="M113" s="967" t="str">
        <f>'Building List'!L144</f>
        <v>R</v>
      </c>
      <c r="N113" s="268">
        <f>'Building List'!M144</f>
        <v>2594259</v>
      </c>
      <c r="O113">
        <f>'Building List'!N144</f>
        <v>1</v>
      </c>
    </row>
    <row r="114" spans="1:15">
      <c r="A114" s="967" t="str">
        <f>'Building List'!A30</f>
        <v>4B13</v>
      </c>
      <c r="B114" t="str">
        <f>'Building List'!$B$2</f>
        <v>ACADEMIC</v>
      </c>
      <c r="C114" t="str">
        <f>'Building List'!B30</f>
        <v>Millis Hall</v>
      </c>
      <c r="D114" t="str">
        <f>'Building List'!C30</f>
        <v>Adelbert Road 2074</v>
      </c>
      <c r="E114" s="967">
        <f>'Building List'!D30</f>
        <v>3</v>
      </c>
      <c r="F114" s="967">
        <f>'Building List'!E30</f>
        <v>190677</v>
      </c>
      <c r="G114" s="967">
        <f>'Building List'!F30</f>
        <v>1962</v>
      </c>
      <c r="H114" s="967">
        <f>'Building List'!G30</f>
        <v>1962</v>
      </c>
      <c r="I114" s="967">
        <f>'Building List'!H30</f>
        <v>1962</v>
      </c>
      <c r="J114" s="967">
        <f>'Building List'!I30</f>
        <v>0</v>
      </c>
      <c r="K114" s="967" t="str">
        <f>'Building List'!J30</f>
        <v>Y</v>
      </c>
      <c r="L114" s="967" t="str">
        <f>'Building List'!K30</f>
        <v>FULL</v>
      </c>
      <c r="M114" s="967" t="str">
        <f>'Building List'!L30</f>
        <v>AC</v>
      </c>
      <c r="N114" s="268">
        <f>'Building List'!M30</f>
        <v>21557539</v>
      </c>
      <c r="O114">
        <f>'Building List'!N30</f>
        <v>1</v>
      </c>
    </row>
    <row r="115" spans="1:15">
      <c r="A115" s="967" t="str">
        <f>'Building List'!A34</f>
        <v>5B19</v>
      </c>
      <c r="B115" t="str">
        <f>'Building List'!$B$2</f>
        <v>ACADEMIC</v>
      </c>
      <c r="C115" t="str">
        <f>'Building List'!B34</f>
        <v>Olin Building</v>
      </c>
      <c r="D115" t="str">
        <f>'Building List'!C34</f>
        <v>Martin Luther King Jr. Drive 2101</v>
      </c>
      <c r="E115" s="967">
        <f>'Building List'!D34</f>
        <v>4</v>
      </c>
      <c r="F115" s="967">
        <f>'Building List'!E34</f>
        <v>59611</v>
      </c>
      <c r="G115" s="967">
        <f>'Building List'!F34</f>
        <v>1962</v>
      </c>
      <c r="H115" s="967">
        <f>'Building List'!G34</f>
        <v>1962</v>
      </c>
      <c r="I115" s="967">
        <f>'Building List'!H34</f>
        <v>1962</v>
      </c>
      <c r="J115" s="967">
        <f>'Building List'!I34</f>
        <v>0</v>
      </c>
      <c r="K115" s="967" t="str">
        <f>'Building List'!J34</f>
        <v>Y</v>
      </c>
      <c r="L115" s="967" t="str">
        <f>'Building List'!K34</f>
        <v>NONE</v>
      </c>
      <c r="M115" s="967" t="str">
        <f>'Building List'!L34</f>
        <v>AC</v>
      </c>
      <c r="N115" s="268">
        <f>'Building List'!M34</f>
        <v>12825717</v>
      </c>
      <c r="O115">
        <f>'Building List'!N34</f>
        <v>1</v>
      </c>
    </row>
    <row r="116" spans="1:15">
      <c r="A116" s="967" t="str">
        <f>'Building List'!A104</f>
        <v>6C15</v>
      </c>
      <c r="B116" t="str">
        <f>'Building List'!$B$88</f>
        <v>COMMERCIAL RESIDENTIAL</v>
      </c>
      <c r="C116" t="str">
        <f>'Building List'!B104</f>
        <v>Murray Hill 2265 - Murray Hill House</v>
      </c>
      <c r="D116" t="str">
        <f>'Building List'!C104</f>
        <v>Murray Hill 2265</v>
      </c>
      <c r="E116" s="967">
        <f>'Building List'!D104</f>
        <v>6</v>
      </c>
      <c r="F116" s="967">
        <f>'Building List'!E104</f>
        <v>13726</v>
      </c>
      <c r="G116" s="967">
        <f>'Building List'!F104</f>
        <v>1964</v>
      </c>
      <c r="H116" s="967">
        <f>'Building List'!G104</f>
        <v>0</v>
      </c>
      <c r="I116" s="967">
        <f>'Building List'!H104</f>
        <v>1964</v>
      </c>
      <c r="J116" s="967">
        <f>'Building List'!I104</f>
        <v>0</v>
      </c>
      <c r="K116" s="967" t="str">
        <f>'Building List'!J104</f>
        <v>N</v>
      </c>
      <c r="L116" s="967" t="str">
        <f>'Building List'!K104</f>
        <v>NONE</v>
      </c>
      <c r="M116" s="967" t="str">
        <f>'Building List'!L104</f>
        <v>CR</v>
      </c>
      <c r="N116" s="268">
        <f>'Building List'!M104</f>
        <v>2439173</v>
      </c>
      <c r="O116">
        <f>'Building List'!N104</f>
        <v>1</v>
      </c>
    </row>
    <row r="117" spans="1:15">
      <c r="A117" s="967" t="str">
        <f>'Building List'!A111</f>
        <v>6B05</v>
      </c>
      <c r="B117" t="str">
        <f>'Building List'!$B$110</f>
        <v>RESIDENTIAL</v>
      </c>
      <c r="C117" t="str">
        <f>'Building List'!B111</f>
        <v>Alumni House - 2345 Murray Hill</v>
      </c>
      <c r="D117" t="str">
        <f>'Building List'!C111</f>
        <v>Murray Hill 2345</v>
      </c>
      <c r="E117" s="967">
        <f>'Building List'!D111</f>
        <v>6</v>
      </c>
      <c r="F117" s="967">
        <f>'Building List'!E111</f>
        <v>25251</v>
      </c>
      <c r="G117" s="967">
        <f>'Building List'!F111</f>
        <v>1964</v>
      </c>
      <c r="H117" s="967">
        <f>'Building List'!G111</f>
        <v>0</v>
      </c>
      <c r="I117" s="967">
        <f>'Building List'!H111</f>
        <v>1964</v>
      </c>
      <c r="J117" s="967">
        <f>'Building List'!I111</f>
        <v>0</v>
      </c>
      <c r="K117" s="967" t="str">
        <f>'Building List'!J111</f>
        <v>N</v>
      </c>
      <c r="L117" s="967" t="str">
        <f>'Building List'!K111</f>
        <v>NONE</v>
      </c>
      <c r="M117" s="967" t="str">
        <f>'Building List'!L111</f>
        <v>R</v>
      </c>
      <c r="N117" s="268">
        <f>'Building List'!M111</f>
        <v>3573203</v>
      </c>
      <c r="O117">
        <f>'Building List'!N111</f>
        <v>1</v>
      </c>
    </row>
    <row r="118" spans="1:15">
      <c r="A118" s="967" t="str">
        <f>'Building List'!A119</f>
        <v>2E05</v>
      </c>
      <c r="B118" t="str">
        <f>'Building List'!$B$110</f>
        <v>RESIDENTIAL</v>
      </c>
      <c r="C118" t="str">
        <f>'Building List'!B119</f>
        <v>Cutler House</v>
      </c>
      <c r="D118" t="str">
        <f>'Building List'!C119</f>
        <v>East 115 Street 1616</v>
      </c>
      <c r="E118" s="967">
        <f>'Building List'!D119</f>
        <v>6</v>
      </c>
      <c r="F118" s="967">
        <f>'Building List'!E119</f>
        <v>22688</v>
      </c>
      <c r="G118" s="967">
        <f>'Building List'!F119</f>
        <v>1964</v>
      </c>
      <c r="H118" s="967">
        <f>'Building List'!G119</f>
        <v>1964</v>
      </c>
      <c r="I118" s="967">
        <f>'Building List'!H119</f>
        <v>1964</v>
      </c>
      <c r="J118" s="967">
        <f>'Building List'!I119</f>
        <v>0</v>
      </c>
      <c r="K118" s="967" t="str">
        <f>'Building List'!J119</f>
        <v>N</v>
      </c>
      <c r="L118" s="967" t="str">
        <f>'Building List'!K119</f>
        <v>NONE</v>
      </c>
      <c r="M118" s="967" t="str">
        <f>'Building List'!L119</f>
        <v>R</v>
      </c>
      <c r="N118" s="268">
        <f>'Building List'!M119</f>
        <v>2752407</v>
      </c>
      <c r="O118">
        <f>'Building List'!N119</f>
        <v>1</v>
      </c>
    </row>
    <row r="119" spans="1:15">
      <c r="A119" s="967" t="str">
        <f>'Building List'!A121</f>
        <v>6B11</v>
      </c>
      <c r="B119" t="str">
        <f>'Building List'!$B$110</f>
        <v>RESIDENTIAL</v>
      </c>
      <c r="C119" t="str">
        <f>'Building List'!B121</f>
        <v>Fribley Commons</v>
      </c>
      <c r="D119" t="str">
        <f>'Building List'!C121</f>
        <v>Murray Hill 2315</v>
      </c>
      <c r="E119" s="967">
        <f>'Building List'!D121</f>
        <v>6</v>
      </c>
      <c r="F119" s="967">
        <f>'Building List'!E121</f>
        <v>25833</v>
      </c>
      <c r="G119" s="967">
        <f>'Building List'!F121</f>
        <v>1964</v>
      </c>
      <c r="H119" s="967">
        <f>'Building List'!G121</f>
        <v>1964</v>
      </c>
      <c r="I119" s="967">
        <f>'Building List'!H121</f>
        <v>1964</v>
      </c>
      <c r="J119" s="967">
        <f>'Building List'!I121</f>
        <v>0</v>
      </c>
      <c r="K119" s="967" t="str">
        <f>'Building List'!J121</f>
        <v>Y</v>
      </c>
      <c r="L119" s="967" t="str">
        <f>'Building List'!K121</f>
        <v>NONE</v>
      </c>
      <c r="M119" s="967" t="str">
        <f>'Building List'!L121</f>
        <v>R</v>
      </c>
      <c r="N119" s="268">
        <f>'Building List'!M121</f>
        <v>3658641</v>
      </c>
      <c r="O119">
        <f>'Building List'!N121</f>
        <v>1</v>
      </c>
    </row>
    <row r="120" spans="1:15">
      <c r="A120" s="967" t="str">
        <f>'Building List'!A123</f>
        <v>3E23</v>
      </c>
      <c r="B120" t="str">
        <f>'Building List'!$B$110</f>
        <v>RESIDENTIAL</v>
      </c>
      <c r="C120" t="str">
        <f>'Building List'!B123</f>
        <v>Hitchcock House</v>
      </c>
      <c r="D120" t="str">
        <f>'Building List'!C123</f>
        <v>East 115 Street 1626</v>
      </c>
      <c r="E120" s="967">
        <f>'Building List'!D123</f>
        <v>6</v>
      </c>
      <c r="F120" s="967">
        <f>'Building List'!E123</f>
        <v>22688</v>
      </c>
      <c r="G120" s="967">
        <f>'Building List'!F123</f>
        <v>1964</v>
      </c>
      <c r="H120" s="967">
        <f>'Building List'!G123</f>
        <v>1964</v>
      </c>
      <c r="I120" s="967">
        <f>'Building List'!H123</f>
        <v>1964</v>
      </c>
      <c r="J120" s="967">
        <f>'Building List'!I123</f>
        <v>0</v>
      </c>
      <c r="K120" s="967" t="str">
        <f>'Building List'!J123</f>
        <v>N</v>
      </c>
      <c r="L120" s="967" t="str">
        <f>'Building List'!K123</f>
        <v>NONE</v>
      </c>
      <c r="M120" s="967" t="str">
        <f>'Building List'!L123</f>
        <v>R</v>
      </c>
      <c r="N120" s="268">
        <f>'Building List'!M123</f>
        <v>2796024</v>
      </c>
      <c r="O120">
        <f>'Building List'!N123</f>
        <v>1</v>
      </c>
    </row>
    <row r="121" spans="1:15">
      <c r="A121" s="967" t="str">
        <f>'Building List'!A124</f>
        <v>6B07</v>
      </c>
      <c r="B121" t="str">
        <f>'Building List'!$B$110</f>
        <v>RESIDENTIAL</v>
      </c>
      <c r="C121" t="str">
        <f>'Building List'!B124</f>
        <v>Howe House</v>
      </c>
      <c r="D121" t="str">
        <f>'Building List'!C124</f>
        <v>Murray Hill 2335</v>
      </c>
      <c r="E121" s="967">
        <f>'Building List'!D124</f>
        <v>6</v>
      </c>
      <c r="F121" s="967">
        <f>'Building List'!E124</f>
        <v>23028</v>
      </c>
      <c r="G121" s="967">
        <f>'Building List'!F124</f>
        <v>1964</v>
      </c>
      <c r="H121" s="967">
        <f>'Building List'!G124</f>
        <v>1964</v>
      </c>
      <c r="I121" s="967">
        <f>'Building List'!H124</f>
        <v>1964</v>
      </c>
      <c r="J121" s="967">
        <f>'Building List'!I124</f>
        <v>0</v>
      </c>
      <c r="K121" s="967" t="str">
        <f>'Building List'!J124</f>
        <v>N</v>
      </c>
      <c r="L121" s="967" t="str">
        <f>'Building List'!K124</f>
        <v>NONE</v>
      </c>
      <c r="M121" s="967" t="str">
        <f>'Building List'!L124</f>
        <v>R</v>
      </c>
      <c r="N121" s="268">
        <f>'Building List'!M124</f>
        <v>3582550</v>
      </c>
      <c r="O121">
        <f>'Building List'!N124</f>
        <v>1</v>
      </c>
    </row>
    <row r="122" spans="1:15">
      <c r="A122" s="967" t="str">
        <f>'Building List'!A126</f>
        <v>2E01</v>
      </c>
      <c r="B122" t="str">
        <f>'Building List'!$B$110</f>
        <v>RESIDENTIAL</v>
      </c>
      <c r="C122" t="str">
        <f>'Building List'!B126</f>
        <v>Leutner Commons</v>
      </c>
      <c r="D122" t="str">
        <f>'Building List'!C126</f>
        <v>Mistletoe Drive 1619</v>
      </c>
      <c r="E122" s="967">
        <f>'Building List'!D126</f>
        <v>6</v>
      </c>
      <c r="F122" s="967">
        <f>'Building List'!E126</f>
        <v>36454</v>
      </c>
      <c r="G122" s="967">
        <f>'Building List'!F126</f>
        <v>1964</v>
      </c>
      <c r="H122" s="967">
        <f>'Building List'!G126</f>
        <v>1964</v>
      </c>
      <c r="I122" s="967">
        <f>'Building List'!H126</f>
        <v>1964</v>
      </c>
      <c r="J122" s="967">
        <f>'Building List'!I126</f>
        <v>0</v>
      </c>
      <c r="K122" s="967" t="str">
        <f>'Building List'!J126</f>
        <v>Y</v>
      </c>
      <c r="L122" s="967" t="str">
        <f>'Building List'!K126</f>
        <v>FULL</v>
      </c>
      <c r="M122" s="967" t="str">
        <f>'Building List'!L126</f>
        <v>R</v>
      </c>
      <c r="N122" s="268">
        <f>'Building List'!M126</f>
        <v>5368196</v>
      </c>
      <c r="O122">
        <f>'Building List'!N126</f>
        <v>1</v>
      </c>
    </row>
    <row r="123" spans="1:15">
      <c r="A123" s="967" t="str">
        <f>'Building List'!A137</f>
        <v>2E03</v>
      </c>
      <c r="B123" t="str">
        <f>'Building List'!$B$110</f>
        <v>RESIDENTIAL</v>
      </c>
      <c r="C123" t="str">
        <f>'Building List'!B137</f>
        <v>Pierce House</v>
      </c>
      <c r="D123" t="str">
        <f>'Building List'!C137</f>
        <v>East 115 Street 1636</v>
      </c>
      <c r="E123" s="967">
        <f>'Building List'!D137</f>
        <v>6</v>
      </c>
      <c r="F123" s="967">
        <f>'Building List'!E137</f>
        <v>22688</v>
      </c>
      <c r="G123" s="967">
        <f>'Building List'!F137</f>
        <v>1964</v>
      </c>
      <c r="H123" s="967">
        <f>'Building List'!G137</f>
        <v>1964</v>
      </c>
      <c r="I123" s="967">
        <f>'Building List'!H137</f>
        <v>1964</v>
      </c>
      <c r="J123" s="967">
        <f>'Building List'!I137</f>
        <v>0</v>
      </c>
      <c r="K123" s="967" t="str">
        <f>'Building List'!J137</f>
        <v>N</v>
      </c>
      <c r="L123" s="967" t="str">
        <f>'Building List'!K137</f>
        <v>NONE</v>
      </c>
      <c r="M123" s="967" t="str">
        <f>'Building List'!L137</f>
        <v>R</v>
      </c>
      <c r="N123" s="268">
        <f>'Building List'!M137</f>
        <v>2778512</v>
      </c>
      <c r="O123">
        <f>'Building List'!N137</f>
        <v>1</v>
      </c>
    </row>
    <row r="124" spans="1:15">
      <c r="A124" s="967" t="str">
        <f>'Building List'!A141</f>
        <v>6B03</v>
      </c>
      <c r="B124" t="str">
        <f>'Building List'!$B$110</f>
        <v>RESIDENTIAL</v>
      </c>
      <c r="C124" t="str">
        <f>'Building List'!B141</f>
        <v>Staley House</v>
      </c>
      <c r="D124" t="str">
        <f>'Building List'!C141</f>
        <v>Murray Hill 2365</v>
      </c>
      <c r="E124" s="967">
        <f>'Building List'!D141</f>
        <v>6</v>
      </c>
      <c r="F124" s="967">
        <f>'Building List'!E141</f>
        <v>23028</v>
      </c>
      <c r="G124" s="967">
        <f>'Building List'!F141</f>
        <v>1964</v>
      </c>
      <c r="H124" s="967">
        <f>'Building List'!G141</f>
        <v>0</v>
      </c>
      <c r="I124" s="967">
        <f>'Building List'!H141</f>
        <v>1964</v>
      </c>
      <c r="J124" s="967">
        <f>'Building List'!I141</f>
        <v>0</v>
      </c>
      <c r="K124" s="967" t="str">
        <f>'Building List'!J141</f>
        <v>N</v>
      </c>
      <c r="L124" s="967" t="str">
        <f>'Building List'!K141</f>
        <v>PARTIAL</v>
      </c>
      <c r="M124" s="967" t="str">
        <f>'Building List'!L141</f>
        <v>R</v>
      </c>
      <c r="N124" s="268">
        <f>'Building List'!M141</f>
        <v>3594412</v>
      </c>
      <c r="O124">
        <f>'Building List'!N141</f>
        <v>1</v>
      </c>
    </row>
    <row r="125" spans="1:15">
      <c r="A125" s="967" t="str">
        <f>'Building List'!A142</f>
        <v>2E09</v>
      </c>
      <c r="B125" t="str">
        <f>'Building List'!$B$110</f>
        <v>RESIDENTIAL</v>
      </c>
      <c r="C125" t="str">
        <f>'Building List'!B142</f>
        <v>Storrs House</v>
      </c>
      <c r="D125" t="str">
        <f>'Building List'!C142</f>
        <v>Mistletoe Drive 1615</v>
      </c>
      <c r="E125" s="967">
        <f>'Building List'!D142</f>
        <v>6</v>
      </c>
      <c r="F125" s="967">
        <f>'Building List'!E142</f>
        <v>22688</v>
      </c>
      <c r="G125" s="967">
        <f>'Building List'!F142</f>
        <v>1964</v>
      </c>
      <c r="H125" s="967">
        <f>'Building List'!G142</f>
        <v>1964</v>
      </c>
      <c r="I125" s="967">
        <f>'Building List'!H142</f>
        <v>1964</v>
      </c>
      <c r="J125" s="967">
        <f>'Building List'!I142</f>
        <v>0</v>
      </c>
      <c r="K125" s="967" t="str">
        <f>'Building List'!J142</f>
        <v>N</v>
      </c>
      <c r="L125" s="967" t="str">
        <f>'Building List'!K142</f>
        <v>NONE</v>
      </c>
      <c r="M125" s="967" t="str">
        <f>'Building List'!L142</f>
        <v>R</v>
      </c>
      <c r="N125" s="268">
        <f>'Building List'!M142</f>
        <v>2734139</v>
      </c>
      <c r="O125">
        <f>'Building List'!N142</f>
        <v>1</v>
      </c>
    </row>
    <row r="126" spans="1:15">
      <c r="A126" s="967" t="str">
        <f>'Building List'!A145</f>
        <v>6B09</v>
      </c>
      <c r="B126" t="str">
        <f>'Building List'!$B$110</f>
        <v>RESIDENTIAL</v>
      </c>
      <c r="C126" t="str">
        <f>'Building List'!B145</f>
        <v>Tippit House</v>
      </c>
      <c r="D126" t="str">
        <f>'Building List'!C145</f>
        <v>Murray Hill 2355</v>
      </c>
      <c r="E126" s="967">
        <f>'Building List'!D145</f>
        <v>6</v>
      </c>
      <c r="F126" s="967">
        <f>'Building List'!E145</f>
        <v>24582</v>
      </c>
      <c r="G126" s="967">
        <f>'Building List'!F145</f>
        <v>1964</v>
      </c>
      <c r="H126" s="967">
        <f>'Building List'!G145</f>
        <v>1964</v>
      </c>
      <c r="I126" s="967">
        <f>'Building List'!H145</f>
        <v>1964</v>
      </c>
      <c r="J126" s="967">
        <f>'Building List'!I145</f>
        <v>0</v>
      </c>
      <c r="K126" s="967">
        <f>'Building List'!J145</f>
        <v>0</v>
      </c>
      <c r="L126" s="967" t="str">
        <f>'Building List'!K145</f>
        <v>PARTIAL</v>
      </c>
      <c r="M126" s="967" t="str">
        <f>'Building List'!L145</f>
        <v>R</v>
      </c>
      <c r="N126" s="268">
        <f>'Building List'!M145</f>
        <v>3548896</v>
      </c>
      <c r="O126">
        <f>'Building List'!N145</f>
        <v>1</v>
      </c>
    </row>
    <row r="127" spans="1:15">
      <c r="A127" s="967" t="str">
        <f>'Building List'!A165</f>
        <v>6C21</v>
      </c>
      <c r="B127" t="str">
        <f>'Building List'!$B$163</f>
        <v>OWNED FRATERNITIES</v>
      </c>
      <c r="C127" t="str">
        <f>'Building List'!B165</f>
        <v>Murray Hill 2225 - Phi Delta Theta</v>
      </c>
      <c r="D127" t="str">
        <f>'Building List'!C165</f>
        <v>Murray Hill 2225</v>
      </c>
      <c r="E127" s="967">
        <f>'Building List'!D165</f>
        <v>6</v>
      </c>
      <c r="F127" s="967">
        <f>'Building List'!E165</f>
        <v>13726</v>
      </c>
      <c r="G127" s="967">
        <f>'Building List'!F165</f>
        <v>1964</v>
      </c>
      <c r="H127" s="967">
        <f>'Building List'!G165</f>
        <v>0</v>
      </c>
      <c r="I127" s="967">
        <f>'Building List'!H165</f>
        <v>1964</v>
      </c>
      <c r="J127" s="967">
        <f>'Building List'!I165</f>
        <v>0</v>
      </c>
      <c r="K127" s="967" t="str">
        <f>'Building List'!J165</f>
        <v>N</v>
      </c>
      <c r="L127" s="967" t="str">
        <f>'Building List'!K165</f>
        <v>NONE</v>
      </c>
      <c r="M127" s="967" t="str">
        <f>'Building List'!L165</f>
        <v>FS</v>
      </c>
      <c r="N127" s="268">
        <f>'Building List'!M165</f>
        <v>1762730</v>
      </c>
      <c r="O127">
        <f>'Building List'!N165</f>
        <v>1</v>
      </c>
    </row>
    <row r="128" spans="1:15">
      <c r="A128" s="967" t="str">
        <f>'Building List'!A169</f>
        <v>6C17</v>
      </c>
      <c r="B128" t="str">
        <f>'Building List'!$B$163</f>
        <v>OWNED FRATERNITIES</v>
      </c>
      <c r="C128" t="str">
        <f>'Building List'!B169</f>
        <v>Murray Hill 2235 - Sigma Nu</v>
      </c>
      <c r="D128" t="str">
        <f>'Building List'!C169</f>
        <v>Murray Hill 2235</v>
      </c>
      <c r="E128" s="967">
        <f>'Building List'!D169</f>
        <v>6</v>
      </c>
      <c r="F128" s="967">
        <f>'Building List'!E169</f>
        <v>13882</v>
      </c>
      <c r="G128" s="967">
        <f>'Building List'!F169</f>
        <v>1964</v>
      </c>
      <c r="H128" s="967">
        <f>'Building List'!G169</f>
        <v>0</v>
      </c>
      <c r="I128" s="967">
        <f>'Building List'!H169</f>
        <v>1964</v>
      </c>
      <c r="J128" s="967">
        <f>'Building List'!I169</f>
        <v>0</v>
      </c>
      <c r="K128" s="967" t="str">
        <f>'Building List'!J169</f>
        <v>N</v>
      </c>
      <c r="L128" s="967" t="str">
        <f>'Building List'!K169</f>
        <v>NONE</v>
      </c>
      <c r="M128" s="967" t="str">
        <f>'Building List'!L169</f>
        <v>FS</v>
      </c>
      <c r="N128" s="268">
        <f>'Building List'!M169</f>
        <v>1795209</v>
      </c>
      <c r="O128">
        <f>'Building List'!N169</f>
        <v>1</v>
      </c>
    </row>
    <row r="129" spans="1:15">
      <c r="A129" s="967" t="str">
        <f>'Building List'!A13</f>
        <v>3E17</v>
      </c>
      <c r="B129" t="str">
        <f>'Building List'!$B$2</f>
        <v>ACADEMIC</v>
      </c>
      <c r="C129" t="str">
        <f>'Building List'!B13</f>
        <v>Denison Hall</v>
      </c>
      <c r="D129" t="str">
        <f>'Building List'!C13</f>
        <v>East 115th 1650</v>
      </c>
      <c r="E129" s="967">
        <f>'Building List'!D13</f>
        <v>2</v>
      </c>
      <c r="F129" s="967">
        <f>'Building List'!E13</f>
        <v>8805</v>
      </c>
      <c r="G129" s="967">
        <f>'Building List'!F13</f>
        <v>1965</v>
      </c>
      <c r="H129" s="967">
        <f>'Building List'!G13</f>
        <v>1965</v>
      </c>
      <c r="I129" s="967">
        <f>'Building List'!H13</f>
        <v>1965</v>
      </c>
      <c r="J129" s="967">
        <f>'Building List'!I13</f>
        <v>0</v>
      </c>
      <c r="K129" s="967" t="str">
        <f>'Building List'!J13</f>
        <v>Y</v>
      </c>
      <c r="L129" s="967" t="str">
        <f>'Building List'!K13</f>
        <v>NONE</v>
      </c>
      <c r="M129" s="967" t="str">
        <f>'Building List'!L13</f>
        <v>AC</v>
      </c>
      <c r="N129" s="268">
        <f>'Building List'!M13</f>
        <v>1212307</v>
      </c>
      <c r="O129">
        <f>'Building List'!N13</f>
        <v>1</v>
      </c>
    </row>
    <row r="130" spans="1:15">
      <c r="A130" s="967" t="str">
        <f>'Building List'!A136</f>
        <v>3E21</v>
      </c>
      <c r="B130" t="str">
        <f>'Building List'!$B$110</f>
        <v>RESIDENTIAL</v>
      </c>
      <c r="C130" t="str">
        <f>'Building List'!B136</f>
        <v>Norton House</v>
      </c>
      <c r="D130" t="str">
        <f>'Building List'!C136</f>
        <v>Juniper 11443</v>
      </c>
      <c r="E130" s="967">
        <f>'Building List'!D136</f>
        <v>6</v>
      </c>
      <c r="F130" s="967">
        <f>'Building List'!E136</f>
        <v>24714</v>
      </c>
      <c r="G130" s="967">
        <f>'Building List'!F136</f>
        <v>1965</v>
      </c>
      <c r="H130" s="967">
        <f>'Building List'!G136</f>
        <v>1965</v>
      </c>
      <c r="I130" s="967">
        <f>'Building List'!H136</f>
        <v>1965</v>
      </c>
      <c r="J130" s="967">
        <f>'Building List'!I136</f>
        <v>0</v>
      </c>
      <c r="K130" s="967" t="str">
        <f>'Building List'!J136</f>
        <v>N</v>
      </c>
      <c r="L130" s="967" t="str">
        <f>'Building List'!K136</f>
        <v>NONE</v>
      </c>
      <c r="M130" s="967" t="str">
        <f>'Building List'!L136</f>
        <v>R</v>
      </c>
      <c r="N130" s="268">
        <f>'Building List'!M136</f>
        <v>3204607</v>
      </c>
      <c r="O130">
        <f>'Building List'!N136</f>
        <v>1</v>
      </c>
    </row>
    <row r="131" spans="1:15">
      <c r="A131" s="967" t="str">
        <f>'Building List'!A138</f>
        <v>3E11</v>
      </c>
      <c r="B131" t="str">
        <f>'Building List'!$B$110</f>
        <v>RESIDENTIAL</v>
      </c>
      <c r="C131" t="str">
        <f>'Building List'!B138</f>
        <v>Raymond House</v>
      </c>
      <c r="D131" t="str">
        <f>'Building List'!C138</f>
        <v>Juniper 11447</v>
      </c>
      <c r="E131" s="967">
        <f>'Building List'!D138</f>
        <v>6</v>
      </c>
      <c r="F131" s="967">
        <f>'Building List'!E138</f>
        <v>24714</v>
      </c>
      <c r="G131" s="967">
        <f>'Building List'!F138</f>
        <v>1965</v>
      </c>
      <c r="H131" s="967">
        <f>'Building List'!G138</f>
        <v>1965</v>
      </c>
      <c r="I131" s="967">
        <f>'Building List'!H138</f>
        <v>1965</v>
      </c>
      <c r="J131" s="967">
        <f>'Building List'!I138</f>
        <v>0</v>
      </c>
      <c r="K131" s="967" t="str">
        <f>'Building List'!J138</f>
        <v>N</v>
      </c>
      <c r="L131" s="967" t="str">
        <f>'Building List'!K138</f>
        <v>NONE</v>
      </c>
      <c r="M131" s="967" t="str">
        <f>'Building List'!L138</f>
        <v>R</v>
      </c>
      <c r="N131" s="268">
        <f>'Building List'!M138</f>
        <v>3178817</v>
      </c>
      <c r="O131">
        <f>'Building List'!N138</f>
        <v>1</v>
      </c>
    </row>
    <row r="132" spans="1:15">
      <c r="A132" s="967" t="str">
        <f>'Building List'!A139</f>
        <v>3E13</v>
      </c>
      <c r="B132" t="str">
        <f>'Building List'!$B$110</f>
        <v>RESIDENTIAL</v>
      </c>
      <c r="C132" t="str">
        <f>'Building List'!B139</f>
        <v>Sherman House</v>
      </c>
      <c r="D132" t="str">
        <f>'Building List'!C139</f>
        <v>Juniper 11439</v>
      </c>
      <c r="E132" s="967">
        <f>'Building List'!D139</f>
        <v>6</v>
      </c>
      <c r="F132" s="967">
        <f>'Building List'!E139</f>
        <v>24714</v>
      </c>
      <c r="G132" s="967">
        <f>'Building List'!F139</f>
        <v>1965</v>
      </c>
      <c r="H132" s="967">
        <f>'Building List'!G139</f>
        <v>1965</v>
      </c>
      <c r="I132" s="967">
        <f>'Building List'!H139</f>
        <v>1965</v>
      </c>
      <c r="J132" s="967">
        <f>'Building List'!I139</f>
        <v>0</v>
      </c>
      <c r="K132" s="967" t="str">
        <f>'Building List'!J139</f>
        <v>N</v>
      </c>
      <c r="L132" s="967" t="str">
        <f>'Building List'!K139</f>
        <v>NONE</v>
      </c>
      <c r="M132" s="967" t="str">
        <f>'Building List'!L139</f>
        <v>R</v>
      </c>
      <c r="N132" s="268">
        <f>'Building List'!M139</f>
        <v>3115524</v>
      </c>
      <c r="O132">
        <f>'Building List'!N139</f>
        <v>1</v>
      </c>
    </row>
    <row r="133" spans="1:15">
      <c r="A133" s="967" t="str">
        <f>'Building List'!A146</f>
        <v>3E19</v>
      </c>
      <c r="B133" t="str">
        <f>'Building List'!$B$110</f>
        <v>RESIDENTIAL</v>
      </c>
      <c r="C133" t="str">
        <f>'Building List'!B146</f>
        <v>Tyler House</v>
      </c>
      <c r="D133" t="str">
        <f>'Building List'!C146</f>
        <v>Juniper 11435</v>
      </c>
      <c r="E133" s="967">
        <f>'Building List'!D146</f>
        <v>6</v>
      </c>
      <c r="F133" s="967">
        <f>'Building List'!E146</f>
        <v>24714</v>
      </c>
      <c r="G133" s="967">
        <f>'Building List'!F146</f>
        <v>1965</v>
      </c>
      <c r="H133" s="967">
        <f>'Building List'!G146</f>
        <v>1965</v>
      </c>
      <c r="I133" s="967">
        <f>'Building List'!H146</f>
        <v>1965</v>
      </c>
      <c r="J133" s="967">
        <f>'Building List'!I146</f>
        <v>0</v>
      </c>
      <c r="K133" s="967" t="str">
        <f>'Building List'!J146</f>
        <v>N</v>
      </c>
      <c r="L133" s="967" t="str">
        <f>'Building List'!K146</f>
        <v>NONE</v>
      </c>
      <c r="M133" s="967" t="str">
        <f>'Building List'!L146</f>
        <v>R</v>
      </c>
      <c r="N133" s="268">
        <f>'Building List'!M146</f>
        <v>3178817</v>
      </c>
      <c r="O133">
        <f>'Building List'!N146</f>
        <v>1</v>
      </c>
    </row>
    <row r="134" spans="1:15">
      <c r="A134" s="967" t="str">
        <f>'Building List'!A147</f>
        <v>3E15</v>
      </c>
      <c r="B134" t="str">
        <f>'Building List'!$B$110</f>
        <v>RESIDENTIAL</v>
      </c>
      <c r="C134" t="str">
        <f>'Building List'!B147</f>
        <v>Wade Commons</v>
      </c>
      <c r="D134" t="str">
        <f>'Building List'!C147</f>
        <v>Juniper 11451</v>
      </c>
      <c r="E134" s="967">
        <f>'Building List'!D147</f>
        <v>6</v>
      </c>
      <c r="F134" s="967">
        <f>'Building List'!E147</f>
        <v>12997</v>
      </c>
      <c r="G134" s="967">
        <f>'Building List'!F147</f>
        <v>1965</v>
      </c>
      <c r="H134" s="967">
        <f>'Building List'!G147</f>
        <v>1965</v>
      </c>
      <c r="I134" s="967">
        <f>'Building List'!H147</f>
        <v>1965</v>
      </c>
      <c r="J134" s="967">
        <f>'Building List'!I147</f>
        <v>0</v>
      </c>
      <c r="K134" s="967" t="str">
        <f>'Building List'!J147</f>
        <v>Y</v>
      </c>
      <c r="L134" s="967" t="str">
        <f>'Building List'!K147</f>
        <v>NONE</v>
      </c>
      <c r="M134" s="967" t="str">
        <f>'Building List'!L147</f>
        <v>R</v>
      </c>
      <c r="N134" s="268">
        <f>'Building List'!M147</f>
        <v>2244053</v>
      </c>
      <c r="O134">
        <f>'Building List'!N147</f>
        <v>1</v>
      </c>
    </row>
    <row r="135" spans="1:15">
      <c r="A135" s="967" t="str">
        <f>'Building List'!A14</f>
        <v>5C23</v>
      </c>
      <c r="B135" t="str">
        <f>'Building List'!$B$2</f>
        <v>ACADEMIC</v>
      </c>
      <c r="C135" t="str">
        <f>'Building List'!B14</f>
        <v>Dental School</v>
      </c>
      <c r="D135" t="str">
        <f>'Building List'!C14</f>
        <v>Cornell Road 2124</v>
      </c>
      <c r="E135" s="967">
        <f>'Building List'!D14</f>
        <v>1</v>
      </c>
      <c r="F135" s="967">
        <f>'Building List'!E14</f>
        <v>143459</v>
      </c>
      <c r="G135" s="967">
        <f>'Building List'!F14</f>
        <v>1967</v>
      </c>
      <c r="H135" s="967">
        <f>'Building List'!G14</f>
        <v>1967</v>
      </c>
      <c r="I135" s="967">
        <f>'Building List'!H14</f>
        <v>1967</v>
      </c>
      <c r="J135" s="967">
        <f>'Building List'!I14</f>
        <v>0</v>
      </c>
      <c r="K135" s="967" t="str">
        <f>'Building List'!J14</f>
        <v>Y</v>
      </c>
      <c r="L135" s="967" t="str">
        <f>'Building List'!K14</f>
        <v>NONE</v>
      </c>
      <c r="M135" s="967" t="str">
        <f>'Building List'!L14</f>
        <v>AC</v>
      </c>
      <c r="N135" s="268">
        <f>'Building List'!M14</f>
        <v>14959053</v>
      </c>
      <c r="O135">
        <f>'Building List'!N14</f>
        <v>1</v>
      </c>
    </row>
    <row r="136" spans="1:15">
      <c r="A136" s="967" t="str">
        <f>'Building List'!A33</f>
        <v>5C21</v>
      </c>
      <c r="B136" t="str">
        <f>'Building List'!$B$2</f>
        <v>ACADEMIC</v>
      </c>
      <c r="C136" t="str">
        <f>'Building List'!B33</f>
        <v>Nursing School</v>
      </c>
      <c r="D136" t="str">
        <f>'Building List'!C33</f>
        <v>Cornell Road 2120</v>
      </c>
      <c r="E136" s="967">
        <f>'Building List'!D33</f>
        <v>1</v>
      </c>
      <c r="F136" s="967">
        <f>'Building List'!E33</f>
        <v>92968</v>
      </c>
      <c r="G136" s="967">
        <f>'Building List'!F33</f>
        <v>1967</v>
      </c>
      <c r="H136" s="967">
        <f>'Building List'!G33</f>
        <v>1967</v>
      </c>
      <c r="I136" s="967">
        <f>'Building List'!H33</f>
        <v>1967</v>
      </c>
      <c r="J136" s="967">
        <f>'Building List'!I33</f>
        <v>0</v>
      </c>
      <c r="K136" s="967" t="str">
        <f>'Building List'!J33</f>
        <v>Y</v>
      </c>
      <c r="L136" s="967" t="str">
        <f>'Building List'!K33</f>
        <v>PARTIAL</v>
      </c>
      <c r="M136" s="967" t="str">
        <f>'Building List'!L33</f>
        <v>AC</v>
      </c>
      <c r="N136" s="268">
        <f>'Building List'!M33</f>
        <v>10225509</v>
      </c>
      <c r="O136">
        <f>'Building List'!N33</f>
        <v>1</v>
      </c>
    </row>
    <row r="137" spans="1:15">
      <c r="A137" s="967" t="str">
        <f>'Building List'!A37</f>
        <v>5C13</v>
      </c>
      <c r="B137" t="str">
        <f>'Building List'!$B$2</f>
        <v>ACADEMIC</v>
      </c>
      <c r="C137" t="str">
        <f>'Building List'!B37</f>
        <v>Robbins Building</v>
      </c>
      <c r="D137" t="str">
        <f>'Building List'!C37</f>
        <v>Circle Drive 2210</v>
      </c>
      <c r="E137" s="967">
        <f>'Building List'!D37</f>
        <v>1</v>
      </c>
      <c r="F137" s="967">
        <f>'Building List'!E37</f>
        <v>388085</v>
      </c>
      <c r="G137" s="967">
        <f>'Building List'!F37</f>
        <v>1967</v>
      </c>
      <c r="H137" s="967">
        <f>'Building List'!G37</f>
        <v>1967</v>
      </c>
      <c r="I137" s="967">
        <f>'Building List'!H37</f>
        <v>1967</v>
      </c>
      <c r="J137" s="967">
        <f>'Building List'!I37</f>
        <v>0</v>
      </c>
      <c r="K137" s="967" t="str">
        <f>'Building List'!J37</f>
        <v>Y</v>
      </c>
      <c r="L137" s="967" t="str">
        <f>'Building List'!K37</f>
        <v>PARTIAL</v>
      </c>
      <c r="M137" s="967" t="str">
        <f>'Building List'!L37</f>
        <v>AC</v>
      </c>
      <c r="N137" s="268">
        <f>'Building List'!M37</f>
        <v>55030703</v>
      </c>
      <c r="O137">
        <f>'Building List'!N37</f>
        <v>1</v>
      </c>
    </row>
    <row r="138" spans="1:15">
      <c r="A138" s="967" t="str">
        <f>'Building List'!A118</f>
        <v>2E11</v>
      </c>
      <c r="B138" t="str">
        <f>'Building List'!$B$110</f>
        <v>RESIDENTIAL</v>
      </c>
      <c r="C138" t="str">
        <f>'Building List'!B118</f>
        <v>Clarke Tower</v>
      </c>
      <c r="D138" t="str">
        <f>'Building List'!C118</f>
        <v>East 115 Street 1596</v>
      </c>
      <c r="E138" s="967">
        <f>'Building List'!D118</f>
        <v>6</v>
      </c>
      <c r="F138" s="967">
        <f>'Building List'!E118</f>
        <v>67337</v>
      </c>
      <c r="G138" s="967">
        <f>'Building List'!F118</f>
        <v>1967</v>
      </c>
      <c r="H138" s="967">
        <f>'Building List'!G118</f>
        <v>1967</v>
      </c>
      <c r="I138" s="967">
        <f>'Building List'!H118</f>
        <v>1967</v>
      </c>
      <c r="J138" s="967">
        <f>'Building List'!I118</f>
        <v>0</v>
      </c>
      <c r="K138" s="967" t="str">
        <f>'Building List'!J118</f>
        <v>N</v>
      </c>
      <c r="L138" s="967" t="str">
        <f>'Building List'!K118</f>
        <v>FULL</v>
      </c>
      <c r="M138" s="967" t="str">
        <f>'Building List'!L118</f>
        <v>R</v>
      </c>
      <c r="N138" s="268">
        <f>'Building List'!M118</f>
        <v>10447215</v>
      </c>
      <c r="O138">
        <f>'Building List'!N118</f>
        <v>1</v>
      </c>
    </row>
    <row r="139" spans="1:15">
      <c r="A139" s="967" t="str">
        <f>'Building List'!A12</f>
        <v>4B30</v>
      </c>
      <c r="B139" t="str">
        <f>'Building List'!$B$2</f>
        <v>ACADEMIC</v>
      </c>
      <c r="C139" t="str">
        <f>'Building List'!B12</f>
        <v>Crawford Hall</v>
      </c>
      <c r="D139" t="str">
        <f>'Building List'!C12</f>
        <v>Euclid Avenue 10900</v>
      </c>
      <c r="E139" s="967">
        <f>'Building List'!D12</f>
        <v>4</v>
      </c>
      <c r="F139" s="967">
        <f>'Building List'!E12</f>
        <v>76080</v>
      </c>
      <c r="G139" s="967">
        <f>'Building List'!F12</f>
        <v>1968</v>
      </c>
      <c r="H139" s="967">
        <f>'Building List'!G12</f>
        <v>1968</v>
      </c>
      <c r="I139" s="967">
        <f>'Building List'!H12</f>
        <v>1968</v>
      </c>
      <c r="J139" s="967">
        <f>'Building List'!I12</f>
        <v>0</v>
      </c>
      <c r="K139" s="967" t="str">
        <f>'Building List'!J12</f>
        <v>Y</v>
      </c>
      <c r="L139" s="967" t="str">
        <f>'Building List'!K12</f>
        <v>NONE</v>
      </c>
      <c r="M139" s="967" t="str">
        <f>'Building List'!L12</f>
        <v>AC</v>
      </c>
      <c r="N139" s="268">
        <f>'Building List'!M12</f>
        <v>11930979</v>
      </c>
      <c r="O139">
        <f>'Building List'!N12</f>
        <v>1</v>
      </c>
    </row>
    <row r="140" spans="1:15">
      <c r="A140" s="967" t="str">
        <f>'Building List'!A18</f>
        <v>5B09</v>
      </c>
      <c r="B140" t="str">
        <f>'Building List'!$B$2</f>
        <v>ACADEMIC</v>
      </c>
      <c r="C140" t="str">
        <f>'Building List'!B18</f>
        <v>Glennan Building</v>
      </c>
      <c r="D140" t="str">
        <f>'Building List'!C18</f>
        <v>Martin Luther King Jr. Drive 2123</v>
      </c>
      <c r="E140" s="967">
        <f>'Building List'!D18</f>
        <v>4</v>
      </c>
      <c r="F140" s="967">
        <f>'Building List'!E18</f>
        <v>116325</v>
      </c>
      <c r="G140" s="967">
        <f>'Building List'!F18</f>
        <v>1968</v>
      </c>
      <c r="H140" s="967">
        <f>'Building List'!G18</f>
        <v>1968</v>
      </c>
      <c r="I140" s="967">
        <f>'Building List'!H18</f>
        <v>1968</v>
      </c>
      <c r="J140" s="967">
        <f>'Building List'!I18</f>
        <v>0</v>
      </c>
      <c r="K140" s="967" t="str">
        <f>'Building List'!J18</f>
        <v>Y</v>
      </c>
      <c r="L140" s="967" t="str">
        <f>'Building List'!K18</f>
        <v>PARTIAL</v>
      </c>
      <c r="M140" s="967" t="str">
        <f>'Building List'!L18</f>
        <v>AC</v>
      </c>
      <c r="N140" s="268">
        <f>'Building List'!M18</f>
        <v>18225774</v>
      </c>
      <c r="O140">
        <f>'Building List'!N18</f>
        <v>1</v>
      </c>
    </row>
    <row r="141" spans="1:15">
      <c r="A141" s="967" t="str">
        <f>'Building List'!A92</f>
        <v>6C09</v>
      </c>
      <c r="B141" t="str">
        <f>'Building List'!$B$88</f>
        <v>COMMERCIAL RESIDENTIAL</v>
      </c>
      <c r="C141" t="str">
        <f>'Building List'!B92</f>
        <v>Carlton 11921/11923 - duplex</v>
      </c>
      <c r="D141" t="str">
        <f>'Building List'!C92</f>
        <v>Carlton Road 11921/11923</v>
      </c>
      <c r="E141" s="967">
        <f>'Building List'!D92</f>
        <v>6</v>
      </c>
      <c r="F141" s="967">
        <f>'Building List'!E92</f>
        <v>14819</v>
      </c>
      <c r="G141" s="967">
        <f>'Building List'!F92</f>
        <v>1968</v>
      </c>
      <c r="H141" s="967">
        <f>'Building List'!G92</f>
        <v>0</v>
      </c>
      <c r="I141" s="967">
        <f>'Building List'!H92</f>
        <v>1968</v>
      </c>
      <c r="J141" s="967">
        <f>'Building List'!I92</f>
        <v>0</v>
      </c>
      <c r="K141" s="967" t="str">
        <f>'Building List'!J92</f>
        <v>N</v>
      </c>
      <c r="L141" s="967" t="str">
        <f>'Building List'!K92</f>
        <v>NONE</v>
      </c>
      <c r="M141" s="967" t="str">
        <f>'Building List'!L92</f>
        <v>CR</v>
      </c>
      <c r="N141" s="268">
        <f>'Building List'!M92</f>
        <v>1766782</v>
      </c>
      <c r="O141">
        <f>'Building List'!N92</f>
        <v>1</v>
      </c>
    </row>
    <row r="142" spans="1:15">
      <c r="A142" s="967" t="str">
        <f>'Building List'!A117</f>
        <v>6B01</v>
      </c>
      <c r="B142" t="str">
        <f>'Building List'!$B$110</f>
        <v>RESIDENTIAL</v>
      </c>
      <c r="C142" t="str">
        <f>'Building List'!B117</f>
        <v>Carlton Commons</v>
      </c>
      <c r="D142" t="str">
        <f>'Building List'!C117</f>
        <v>Carlton Road 11892</v>
      </c>
      <c r="E142" s="967">
        <f>'Building List'!D117</f>
        <v>6</v>
      </c>
      <c r="F142" s="967">
        <f>'Building List'!E117</f>
        <v>29490</v>
      </c>
      <c r="G142" s="967">
        <f>'Building List'!F117</f>
        <v>1968</v>
      </c>
      <c r="H142" s="967">
        <f>'Building List'!G117</f>
        <v>0</v>
      </c>
      <c r="I142" s="967">
        <f>'Building List'!H117</f>
        <v>1968</v>
      </c>
      <c r="J142" s="967">
        <f>'Building List'!I117</f>
        <v>0</v>
      </c>
      <c r="K142" s="967" t="str">
        <f>'Building List'!J117</f>
        <v>Y</v>
      </c>
      <c r="L142" s="967" t="str">
        <f>'Building List'!K117</f>
        <v>PARTIAL</v>
      </c>
      <c r="M142" s="967" t="str">
        <f>'Building List'!L117</f>
        <v>R</v>
      </c>
      <c r="N142" s="268">
        <f>'Building List'!M117</f>
        <v>3727761</v>
      </c>
      <c r="O142">
        <f>'Building List'!N117</f>
        <v>1</v>
      </c>
    </row>
    <row r="143" spans="1:15">
      <c r="A143" s="967" t="str">
        <f>'Building List'!A122</f>
        <v>6C03</v>
      </c>
      <c r="B143" t="str">
        <f>'Building List'!$B$110</f>
        <v>RESIDENTIAL</v>
      </c>
      <c r="C143" t="str">
        <f>'Building List'!B122</f>
        <v>Glaser House</v>
      </c>
      <c r="D143" t="str">
        <f>'Building List'!C122</f>
        <v>Carlton Road 11900</v>
      </c>
      <c r="E143" s="967">
        <f>'Building List'!D122</f>
        <v>6</v>
      </c>
      <c r="F143" s="967">
        <f>'Building List'!E122</f>
        <v>35180</v>
      </c>
      <c r="G143" s="967">
        <f>'Building List'!F122</f>
        <v>1968</v>
      </c>
      <c r="H143" s="967">
        <f>'Building List'!G122</f>
        <v>1968</v>
      </c>
      <c r="I143" s="967">
        <f>'Building List'!H122</f>
        <v>1968</v>
      </c>
      <c r="J143" s="967">
        <f>'Building List'!I122</f>
        <v>0</v>
      </c>
      <c r="K143" s="967" t="str">
        <f>'Building List'!J122</f>
        <v>N</v>
      </c>
      <c r="L143" s="967" t="str">
        <f>'Building List'!K122</f>
        <v>PARTIAL</v>
      </c>
      <c r="M143" s="967" t="str">
        <f>'Building List'!L122</f>
        <v>R</v>
      </c>
      <c r="N143" s="268">
        <f>'Building List'!M122</f>
        <v>5079838</v>
      </c>
      <c r="O143">
        <f>'Building List'!N122</f>
        <v>1</v>
      </c>
    </row>
    <row r="144" spans="1:15">
      <c r="A144" s="967" t="str">
        <f>'Building List'!A125</f>
        <v>6C05</v>
      </c>
      <c r="B144" t="str">
        <f>'Building List'!$B$110</f>
        <v>RESIDENTIAL</v>
      </c>
      <c r="C144" t="str">
        <f>'Building List'!B125</f>
        <v>Kusch House</v>
      </c>
      <c r="D144" t="str">
        <f>'Building List'!C125</f>
        <v>Carlton Road 11904</v>
      </c>
      <c r="E144" s="967">
        <f>'Building List'!D125</f>
        <v>6</v>
      </c>
      <c r="F144" s="967">
        <f>'Building List'!E125</f>
        <v>35180</v>
      </c>
      <c r="G144" s="967">
        <f>'Building List'!F125</f>
        <v>1968</v>
      </c>
      <c r="H144" s="967">
        <f>'Building List'!G125</f>
        <v>1968</v>
      </c>
      <c r="I144" s="967">
        <f>'Building List'!H125</f>
        <v>1968</v>
      </c>
      <c r="J144" s="967">
        <f>'Building List'!I125</f>
        <v>0</v>
      </c>
      <c r="K144" s="967" t="str">
        <f>'Building List'!J125</f>
        <v>N</v>
      </c>
      <c r="L144" s="967" t="str">
        <f>'Building List'!K125</f>
        <v>PARTIAL</v>
      </c>
      <c r="M144" s="967" t="str">
        <f>'Building List'!L125</f>
        <v>R</v>
      </c>
      <c r="N144" s="268">
        <f>'Building List'!M125</f>
        <v>5097861</v>
      </c>
      <c r="O144">
        <f>'Building List'!N125</f>
        <v>1</v>
      </c>
    </row>
    <row r="145" spans="1:15">
      <c r="A145" s="967" t="str">
        <f>'Building List'!A127</f>
        <v>6C01</v>
      </c>
      <c r="B145" t="str">
        <f>'Building List'!$B$110</f>
        <v>RESIDENTIAL</v>
      </c>
      <c r="C145" t="str">
        <f>'Building List'!B127</f>
        <v>Michelson House</v>
      </c>
      <c r="D145" t="str">
        <f>'Building List'!C127</f>
        <v>Carlton Road 11896</v>
      </c>
      <c r="E145" s="967">
        <f>'Building List'!D127</f>
        <v>6</v>
      </c>
      <c r="F145" s="967">
        <f>'Building List'!E127</f>
        <v>35180</v>
      </c>
      <c r="G145" s="967">
        <f>'Building List'!F127</f>
        <v>1968</v>
      </c>
      <c r="H145" s="967">
        <f>'Building List'!G127</f>
        <v>1968</v>
      </c>
      <c r="I145" s="967">
        <f>'Building List'!H127</f>
        <v>1968</v>
      </c>
      <c r="J145" s="967">
        <f>'Building List'!I127</f>
        <v>0</v>
      </c>
      <c r="K145" s="967" t="str">
        <f>'Building List'!J127</f>
        <v>N</v>
      </c>
      <c r="L145" s="967" t="str">
        <f>'Building List'!K127</f>
        <v>PARTIAL</v>
      </c>
      <c r="M145" s="967" t="str">
        <f>'Building List'!L127</f>
        <v>R</v>
      </c>
      <c r="N145" s="268">
        <f>'Building List'!M127</f>
        <v>4979966</v>
      </c>
      <c r="O145">
        <f>'Building List'!N127</f>
        <v>1</v>
      </c>
    </row>
    <row r="146" spans="1:15">
      <c r="A146" s="967" t="str">
        <f>'Building List'!A167</f>
        <v>6C11</v>
      </c>
      <c r="B146" t="str">
        <f>'Building List'!$B$163</f>
        <v>OWNED FRATERNITIES</v>
      </c>
      <c r="C146" t="str">
        <f>'Building List'!B167</f>
        <v>Carlton 11915 - Sigma Alpha Epsilon</v>
      </c>
      <c r="D146" t="str">
        <f>'Building List'!C167</f>
        <v>Carlton 11915</v>
      </c>
      <c r="E146" s="967">
        <f>'Building List'!D167</f>
        <v>6</v>
      </c>
      <c r="F146" s="967">
        <f>'Building List'!E167</f>
        <v>14957</v>
      </c>
      <c r="G146" s="967">
        <f>'Building List'!F167</f>
        <v>1968</v>
      </c>
      <c r="H146" s="967">
        <f>'Building List'!G167</f>
        <v>0</v>
      </c>
      <c r="I146" s="967">
        <f>'Building List'!H167</f>
        <v>1968</v>
      </c>
      <c r="J146" s="967">
        <f>'Building List'!I167</f>
        <v>0</v>
      </c>
      <c r="K146" s="967" t="str">
        <f>'Building List'!J167</f>
        <v>N</v>
      </c>
      <c r="L146" s="967" t="str">
        <f>'Building List'!K167</f>
        <v>NONE</v>
      </c>
      <c r="M146" s="967" t="str">
        <f>'Building List'!L167</f>
        <v>FS</v>
      </c>
      <c r="N146" s="268">
        <f>'Building List'!M167</f>
        <v>1901210</v>
      </c>
      <c r="O146">
        <f>'Building List'!N167</f>
        <v>1</v>
      </c>
    </row>
    <row r="147" spans="1:15">
      <c r="A147" s="967" t="str">
        <f>'Building List'!A168</f>
        <v>6C07</v>
      </c>
      <c r="B147" t="str">
        <f>'Building List'!$B$163</f>
        <v>OWNED FRATERNITIES</v>
      </c>
      <c r="C147" t="str">
        <f>'Building List'!B168</f>
        <v>Carlton 11911 - Sigma Chi</v>
      </c>
      <c r="D147" t="str">
        <f>'Building List'!C168</f>
        <v>Carlton 11911</v>
      </c>
      <c r="E147" s="967">
        <f>'Building List'!D168</f>
        <v>6</v>
      </c>
      <c r="F147" s="967">
        <f>'Building List'!E168</f>
        <v>14819</v>
      </c>
      <c r="G147" s="967">
        <f>'Building List'!F168</f>
        <v>1968</v>
      </c>
      <c r="H147" s="967">
        <f>'Building List'!G168</f>
        <v>0</v>
      </c>
      <c r="I147" s="967">
        <f>'Building List'!H168</f>
        <v>1968</v>
      </c>
      <c r="J147" s="967">
        <f>'Building List'!I168</f>
        <v>0</v>
      </c>
      <c r="K147" s="967" t="str">
        <f>'Building List'!J168</f>
        <v>N</v>
      </c>
      <c r="L147" s="967" t="str">
        <f>'Building List'!K168</f>
        <v>NONE</v>
      </c>
      <c r="M147" s="967" t="str">
        <f>'Building List'!L168</f>
        <v>FS</v>
      </c>
      <c r="N147" s="268">
        <f>'Building List'!M168</f>
        <v>1868013</v>
      </c>
      <c r="O147">
        <f>'Building List'!N168</f>
        <v>1</v>
      </c>
    </row>
    <row r="148" spans="1:15">
      <c r="A148" s="967" t="str">
        <f>'Building List'!A172</f>
        <v>6C13</v>
      </c>
      <c r="B148" t="str">
        <f>'Building List'!$B$163</f>
        <v>OWNED FRATERNITIES</v>
      </c>
      <c r="C148" t="str">
        <f>'Building List'!B172</f>
        <v>Carlton 11925 - Zeta Psi</v>
      </c>
      <c r="D148" t="str">
        <f>'Building List'!C172</f>
        <v>Carlton 11925</v>
      </c>
      <c r="E148" s="967">
        <f>'Building List'!D172</f>
        <v>6</v>
      </c>
      <c r="F148" s="967">
        <f>'Building List'!E172</f>
        <v>14957</v>
      </c>
      <c r="G148" s="967">
        <f>'Building List'!F172</f>
        <v>1968</v>
      </c>
      <c r="H148" s="967">
        <f>'Building List'!G172</f>
        <v>1968</v>
      </c>
      <c r="I148" s="967">
        <f>'Building List'!H172</f>
        <v>1968</v>
      </c>
      <c r="J148" s="967">
        <f>'Building List'!I172</f>
        <v>0</v>
      </c>
      <c r="K148" s="967" t="str">
        <f>'Building List'!J172</f>
        <v>N</v>
      </c>
      <c r="L148" s="967" t="str">
        <f>'Building List'!K172</f>
        <v xml:space="preserve">NONE </v>
      </c>
      <c r="M148" s="967" t="str">
        <f>'Building List'!L172</f>
        <v>FS</v>
      </c>
      <c r="N148" s="268">
        <f>'Building List'!M172</f>
        <v>1864647</v>
      </c>
      <c r="O148">
        <f>'Building List'!N172</f>
        <v>1</v>
      </c>
    </row>
    <row r="149" spans="1:15">
      <c r="A149" s="967" t="str">
        <f>'Building List'!A203</f>
        <v>FB05</v>
      </c>
      <c r="B149" t="str">
        <f>'Building List'!$B$191</f>
        <v>FARM</v>
      </c>
      <c r="C149" t="str">
        <f>'Building List'!B203</f>
        <v>Squire Valleevue Farm - Sheep Barn</v>
      </c>
      <c r="D149">
        <f>'Building List'!C203</f>
        <v>0</v>
      </c>
      <c r="E149" s="967">
        <f>'Building List'!D203</f>
        <v>4</v>
      </c>
      <c r="F149" s="967">
        <f>'Building List'!E203</f>
        <v>4050</v>
      </c>
      <c r="G149" s="967">
        <f>'Building List'!F203</f>
        <v>1970</v>
      </c>
      <c r="H149" s="967">
        <f>'Building List'!G203</f>
        <v>1937</v>
      </c>
      <c r="I149" s="967">
        <f>'Building List'!H203</f>
        <v>1970</v>
      </c>
      <c r="J149" s="967">
        <f>'Building List'!I203</f>
        <v>0</v>
      </c>
      <c r="K149" s="967">
        <f>'Building List'!J203</f>
        <v>0</v>
      </c>
      <c r="L149" s="967" t="str">
        <f>'Building List'!K203</f>
        <v>NONE</v>
      </c>
      <c r="M149" s="967" t="str">
        <f>'Building List'!L203</f>
        <v>F</v>
      </c>
      <c r="N149" s="268">
        <f>'Building List'!M203</f>
        <v>190850</v>
      </c>
      <c r="O149">
        <f>'Building List'!N203</f>
        <v>1</v>
      </c>
    </row>
    <row r="150" spans="1:15">
      <c r="A150" s="967" t="str">
        <f>'Building List'!A24</f>
        <v>3D42</v>
      </c>
      <c r="B150" t="str">
        <f>'Building List'!$B$2</f>
        <v>ACADEMIC</v>
      </c>
      <c r="C150" t="str">
        <f>'Building List'!B24</f>
        <v>Law School</v>
      </c>
      <c r="D150" t="str">
        <f>'Building List'!C24</f>
        <v>East Boulevard 11075</v>
      </c>
      <c r="E150" s="967">
        <f>'Building List'!D24</f>
        <v>2</v>
      </c>
      <c r="F150" s="967">
        <f>'Building List'!E24</f>
        <v>121168</v>
      </c>
      <c r="G150" s="967">
        <f>'Building List'!F24</f>
        <v>1971</v>
      </c>
      <c r="H150" s="967">
        <f>'Building List'!G24</f>
        <v>1971</v>
      </c>
      <c r="I150" s="967">
        <f>'Building List'!H24</f>
        <v>1971</v>
      </c>
      <c r="J150" s="967">
        <f>'Building List'!I24</f>
        <v>0</v>
      </c>
      <c r="K150" s="967" t="str">
        <f>'Building List'!J24</f>
        <v>Y</v>
      </c>
      <c r="L150" s="967" t="str">
        <f>'Building List'!K24</f>
        <v>PARTIAL</v>
      </c>
      <c r="M150" s="967" t="str">
        <f>'Building List'!L24</f>
        <v>AC</v>
      </c>
      <c r="N150" s="268">
        <f>'Building List'!M24</f>
        <v>24436588</v>
      </c>
      <c r="O150">
        <f>'Building List'!N24</f>
        <v>1</v>
      </c>
    </row>
    <row r="151" spans="1:15">
      <c r="A151" s="967" t="str">
        <f>'Building List'!A78</f>
        <v>3D49</v>
      </c>
      <c r="B151" t="str">
        <f>'Building List'!$B$77</f>
        <v>COMMERCIAL</v>
      </c>
      <c r="C151" t="str">
        <f>'Building List'!B78</f>
        <v xml:space="preserve">Juniper 11300 - Coffee House @ University Circle </v>
      </c>
      <c r="D151" t="str">
        <f>'Building List'!C78</f>
        <v>Juniper Drive11300</v>
      </c>
      <c r="E151" s="967">
        <f>'Building List'!D78</f>
        <v>0</v>
      </c>
      <c r="F151" s="967">
        <f>'Building List'!E78</f>
        <v>8000</v>
      </c>
      <c r="G151" s="967">
        <f>'Building List'!F78</f>
        <v>1920</v>
      </c>
      <c r="H151" s="967">
        <f>'Building List'!G78</f>
        <v>1975</v>
      </c>
      <c r="I151" s="967">
        <f>'Building List'!H78</f>
        <v>1975</v>
      </c>
      <c r="J151" s="967">
        <f>'Building List'!I78</f>
        <v>0</v>
      </c>
      <c r="K151" s="967" t="str">
        <f>'Building List'!J78</f>
        <v>Y</v>
      </c>
      <c r="L151" s="967" t="str">
        <f>'Building List'!K78</f>
        <v>NONE</v>
      </c>
      <c r="M151" s="967" t="str">
        <f>'Building List'!L78</f>
        <v>C</v>
      </c>
      <c r="N151" s="268">
        <f>'Building List'!M78</f>
        <v>1065941</v>
      </c>
      <c r="O151">
        <f>'Building List'!N78</f>
        <v>1</v>
      </c>
    </row>
    <row r="152" spans="1:15">
      <c r="A152" s="967" t="str">
        <f>'Building List'!A99</f>
        <v>3D43</v>
      </c>
      <c r="B152" t="str">
        <f>'Building List'!$B$88</f>
        <v>COMMERCIAL RESIDENTIAL</v>
      </c>
      <c r="C152" t="str">
        <f>'Building List'!B99</f>
        <v>Glidden House - 1901 Ford</v>
      </c>
      <c r="D152" t="str">
        <f>'Building List'!C99</f>
        <v>Ford 1901</v>
      </c>
      <c r="E152" s="967">
        <f>'Building List'!D99</f>
        <v>0</v>
      </c>
      <c r="F152" s="967">
        <f>'Building List'!E99</f>
        <v>0</v>
      </c>
      <c r="G152" s="967">
        <f>'Building List'!F99</f>
        <v>1901</v>
      </c>
      <c r="H152" s="967">
        <f>'Building List'!G99</f>
        <v>1975</v>
      </c>
      <c r="I152" s="967">
        <f>'Building List'!H99</f>
        <v>1975</v>
      </c>
      <c r="J152" s="967">
        <f>'Building List'!I99</f>
        <v>0</v>
      </c>
      <c r="K152" s="967">
        <f>'Building List'!J99</f>
        <v>0</v>
      </c>
      <c r="L152" s="967" t="str">
        <f>'Building List'!K99</f>
        <v>FULL</v>
      </c>
      <c r="M152" s="967" t="str">
        <f>'Building List'!L99</f>
        <v>CR</v>
      </c>
      <c r="N152" s="268">
        <f>'Building List'!M99</f>
        <v>3507187</v>
      </c>
      <c r="O152">
        <f>'Building List'!N99</f>
        <v>1</v>
      </c>
    </row>
    <row r="153" spans="1:15">
      <c r="A153" s="967" t="str">
        <f>'Building List'!A171</f>
        <v>6C19</v>
      </c>
      <c r="B153" t="str">
        <f>'Building List'!$B$163</f>
        <v>OWNED FRATERNITIES</v>
      </c>
      <c r="C153" t="str">
        <f>'Building List'!B171</f>
        <v>Murray Hill 2255/53 - Sigma Phi Epsilon</v>
      </c>
      <c r="D153" t="str">
        <f>'Building List'!C171</f>
        <v>Murray Hill 2255/53</v>
      </c>
      <c r="E153" s="967">
        <f>'Building List'!D171</f>
        <v>6</v>
      </c>
      <c r="F153" s="967">
        <f>'Building List'!E171</f>
        <v>13882</v>
      </c>
      <c r="G153" s="967">
        <f>'Building List'!F171</f>
        <v>1964</v>
      </c>
      <c r="H153" s="967">
        <f>'Building List'!G171</f>
        <v>1975</v>
      </c>
      <c r="I153" s="967">
        <f>'Building List'!H171</f>
        <v>1975</v>
      </c>
      <c r="J153" s="967">
        <f>'Building List'!I171</f>
        <v>0</v>
      </c>
      <c r="K153" s="967">
        <f>'Building List'!J171</f>
        <v>0</v>
      </c>
      <c r="L153" s="967" t="str">
        <f>'Building List'!K171</f>
        <v>NONE</v>
      </c>
      <c r="M153" s="967" t="str">
        <f>'Building List'!L171</f>
        <v>FS</v>
      </c>
      <c r="N153" s="268">
        <f>'Building List'!M171</f>
        <v>1771544</v>
      </c>
      <c r="O153">
        <f>'Building List'!N171</f>
        <v>1</v>
      </c>
    </row>
    <row r="154" spans="1:15">
      <c r="A154" s="967" t="str">
        <f>'Building List'!A209</f>
        <v>FV07</v>
      </c>
      <c r="B154" t="str">
        <f>'Building List'!$B$191</f>
        <v>FARM</v>
      </c>
      <c r="C154" t="str">
        <f>'Building List'!B209</f>
        <v>Valley Ridge Farm - 2505 SOM Center House</v>
      </c>
      <c r="D154">
        <f>'Building List'!C209</f>
        <v>0</v>
      </c>
      <c r="E154" s="967">
        <f>'Building List'!D209</f>
        <v>4</v>
      </c>
      <c r="F154" s="967">
        <f>'Building List'!E209</f>
        <v>1900</v>
      </c>
      <c r="G154" s="967">
        <f>'Building List'!F209</f>
        <v>0</v>
      </c>
      <c r="H154" s="967">
        <f>'Building List'!G209</f>
        <v>1977</v>
      </c>
      <c r="I154" s="967">
        <f>'Building List'!H209</f>
        <v>1977</v>
      </c>
      <c r="J154" s="967">
        <f>'Building List'!I209</f>
        <v>0</v>
      </c>
      <c r="K154" s="967">
        <f>'Building List'!J209</f>
        <v>0</v>
      </c>
      <c r="L154" s="967" t="str">
        <f>'Building List'!K209</f>
        <v>NONE</v>
      </c>
      <c r="M154" s="967" t="str">
        <f>'Building List'!L209</f>
        <v>F</v>
      </c>
      <c r="N154" s="268">
        <f>'Building List'!M209</f>
        <v>243748</v>
      </c>
      <c r="O154">
        <f>'Building List'!N209</f>
        <v>1</v>
      </c>
    </row>
    <row r="155" spans="1:15">
      <c r="A155" s="967" t="str">
        <f>'Building List'!A210</f>
        <v>FV08</v>
      </c>
      <c r="B155" t="str">
        <f>'Building List'!$B$191</f>
        <v>FARM</v>
      </c>
      <c r="C155" t="str">
        <f>'Building List'!B210</f>
        <v>Valley Ridge Farm - 37125 Fairmount House</v>
      </c>
      <c r="D155">
        <f>'Building List'!C210</f>
        <v>0</v>
      </c>
      <c r="E155" s="967">
        <f>'Building List'!D210</f>
        <v>4</v>
      </c>
      <c r="F155" s="967">
        <f>'Building List'!E210</f>
        <v>2400</v>
      </c>
      <c r="G155" s="967">
        <f>'Building List'!F210</f>
        <v>0</v>
      </c>
      <c r="H155" s="967">
        <f>'Building List'!G210</f>
        <v>1977</v>
      </c>
      <c r="I155" s="967">
        <f>'Building List'!H210</f>
        <v>1977</v>
      </c>
      <c r="J155" s="967">
        <f>'Building List'!I210</f>
        <v>0</v>
      </c>
      <c r="K155" s="967">
        <f>'Building List'!J210</f>
        <v>0</v>
      </c>
      <c r="L155" s="967" t="str">
        <f>'Building List'!K210</f>
        <v>NONE</v>
      </c>
      <c r="M155" s="967" t="str">
        <f>'Building List'!L210</f>
        <v>F</v>
      </c>
      <c r="N155" s="268">
        <f>'Building List'!M210</f>
        <v>0</v>
      </c>
      <c r="O155">
        <f>'Building List'!N210</f>
        <v>1</v>
      </c>
    </row>
    <row r="156" spans="1:15">
      <c r="A156" s="967" t="str">
        <f>'Building List'!A211</f>
        <v>FV09</v>
      </c>
      <c r="B156" t="str">
        <f>'Building List'!$B$191</f>
        <v>FARM</v>
      </c>
      <c r="C156" t="str">
        <f>'Building List'!B211</f>
        <v>Valley Ridge Farm - 37325 Fairmount</v>
      </c>
      <c r="D156">
        <f>'Building List'!C211</f>
        <v>0</v>
      </c>
      <c r="E156" s="967">
        <f>'Building List'!D211</f>
        <v>4</v>
      </c>
      <c r="F156" s="967">
        <f>'Building List'!E211</f>
        <v>1300</v>
      </c>
      <c r="G156" s="967">
        <f>'Building List'!F211</f>
        <v>0</v>
      </c>
      <c r="H156" s="967">
        <f>'Building List'!G211</f>
        <v>1977</v>
      </c>
      <c r="I156" s="967">
        <f>'Building List'!H211</f>
        <v>1977</v>
      </c>
      <c r="J156" s="967">
        <f>'Building List'!I211</f>
        <v>0</v>
      </c>
      <c r="K156" s="967">
        <f>'Building List'!J211</f>
        <v>0</v>
      </c>
      <c r="L156" s="967" t="str">
        <f>'Building List'!K211</f>
        <v>NONE</v>
      </c>
      <c r="M156" s="967" t="str">
        <f>'Building List'!L211</f>
        <v>F</v>
      </c>
      <c r="N156" s="268">
        <f>'Building List'!M211</f>
        <v>171550</v>
      </c>
      <c r="O156">
        <f>'Building List'!N211</f>
        <v>1</v>
      </c>
    </row>
    <row r="157" spans="1:15">
      <c r="A157" s="967" t="str">
        <f>'Building List'!A212</f>
        <v>FV03</v>
      </c>
      <c r="B157" t="str">
        <f>'Building List'!$B$191</f>
        <v>FARM</v>
      </c>
      <c r="C157" t="str">
        <f>'Building List'!B212</f>
        <v>Valley Ridge Farm - Art Studio Barn</v>
      </c>
      <c r="D157">
        <f>'Building List'!C212</f>
        <v>0</v>
      </c>
      <c r="E157" s="967">
        <f>'Building List'!D212</f>
        <v>4</v>
      </c>
      <c r="F157" s="967">
        <f>'Building List'!E212</f>
        <v>1300</v>
      </c>
      <c r="G157" s="967">
        <f>'Building List'!F212</f>
        <v>0</v>
      </c>
      <c r="H157" s="967">
        <f>'Building List'!G212</f>
        <v>1977</v>
      </c>
      <c r="I157" s="967">
        <f>'Building List'!H212</f>
        <v>1977</v>
      </c>
      <c r="J157" s="967">
        <f>'Building List'!I212</f>
        <v>0</v>
      </c>
      <c r="K157" s="967">
        <f>'Building List'!J212</f>
        <v>0</v>
      </c>
      <c r="L157" s="967" t="str">
        <f>'Building List'!K212</f>
        <v>NONE</v>
      </c>
      <c r="M157" s="967" t="str">
        <f>'Building List'!L212</f>
        <v>F</v>
      </c>
      <c r="N157" s="268">
        <f>'Building List'!M212</f>
        <v>0</v>
      </c>
      <c r="O157">
        <f>'Building List'!N212</f>
        <v>1</v>
      </c>
    </row>
    <row r="158" spans="1:15">
      <c r="A158" s="967" t="str">
        <f>'Building List'!A213</f>
        <v>FV02</v>
      </c>
      <c r="B158" t="str">
        <f>'Building List'!$B$191</f>
        <v>FARM</v>
      </c>
      <c r="C158" t="str">
        <f>'Building List'!B213</f>
        <v>Valley Ridge Farm - Dairy Barn</v>
      </c>
      <c r="D158">
        <f>'Building List'!C213</f>
        <v>0</v>
      </c>
      <c r="E158" s="967">
        <f>'Building List'!D213</f>
        <v>4</v>
      </c>
      <c r="F158" s="967">
        <f>'Building List'!E213</f>
        <v>4300</v>
      </c>
      <c r="G158" s="967">
        <f>'Building List'!F213</f>
        <v>0</v>
      </c>
      <c r="H158" s="967">
        <f>'Building List'!G213</f>
        <v>1977</v>
      </c>
      <c r="I158" s="967">
        <f>'Building List'!H213</f>
        <v>1977</v>
      </c>
      <c r="J158" s="967">
        <f>'Building List'!I213</f>
        <v>0</v>
      </c>
      <c r="K158" s="967">
        <f>'Building List'!J213</f>
        <v>0</v>
      </c>
      <c r="L158" s="967" t="str">
        <f>'Building List'!K213</f>
        <v>NONE</v>
      </c>
      <c r="M158" s="967" t="str">
        <f>'Building List'!L213</f>
        <v>F</v>
      </c>
      <c r="N158" s="268">
        <f>'Building List'!M213</f>
        <v>52583</v>
      </c>
      <c r="O158">
        <f>'Building List'!N213</f>
        <v>1</v>
      </c>
    </row>
    <row r="159" spans="1:15">
      <c r="A159" s="967" t="str">
        <f>'Building List'!A214</f>
        <v>FV01</v>
      </c>
      <c r="B159" t="str">
        <f>'Building List'!$B$191</f>
        <v>FARM</v>
      </c>
      <c r="C159" t="str">
        <f>'Building List'!B214</f>
        <v>Valley Ridge Farm - Horse Barn</v>
      </c>
      <c r="D159">
        <f>'Building List'!C214</f>
        <v>0</v>
      </c>
      <c r="E159" s="967">
        <f>'Building List'!D214</f>
        <v>4</v>
      </c>
      <c r="F159" s="967">
        <f>'Building List'!E214</f>
        <v>11550</v>
      </c>
      <c r="G159" s="967">
        <f>'Building List'!F214</f>
        <v>0</v>
      </c>
      <c r="H159" s="967">
        <f>'Building List'!G214</f>
        <v>1977</v>
      </c>
      <c r="I159" s="967">
        <f>'Building List'!H214</f>
        <v>1977</v>
      </c>
      <c r="J159" s="967">
        <f>'Building List'!I214</f>
        <v>0</v>
      </c>
      <c r="K159" s="967">
        <f>'Building List'!J214</f>
        <v>0</v>
      </c>
      <c r="L159" s="967" t="str">
        <f>'Building List'!K214</f>
        <v>NONE</v>
      </c>
      <c r="M159" s="967" t="str">
        <f>'Building List'!L214</f>
        <v>F</v>
      </c>
      <c r="N159" s="268">
        <f>'Building List'!M214</f>
        <v>64205</v>
      </c>
      <c r="O159">
        <f>'Building List'!N214</f>
        <v>1</v>
      </c>
    </row>
    <row r="160" spans="1:15">
      <c r="A160" s="967" t="str">
        <f>'Building List'!A215</f>
        <v>FV05</v>
      </c>
      <c r="B160" t="str">
        <f>'Building List'!$B$191</f>
        <v>FARM</v>
      </c>
      <c r="C160" t="str">
        <f>'Building List'!B215</f>
        <v>Valley Ridge Farm - House 8</v>
      </c>
      <c r="D160">
        <f>'Building List'!C215</f>
        <v>0</v>
      </c>
      <c r="E160" s="967">
        <f>'Building List'!D215</f>
        <v>4</v>
      </c>
      <c r="F160" s="967">
        <f>'Building List'!E215</f>
        <v>1900</v>
      </c>
      <c r="G160" s="967">
        <f>'Building List'!F215</f>
        <v>0</v>
      </c>
      <c r="H160" s="967">
        <f>'Building List'!G215</f>
        <v>1977</v>
      </c>
      <c r="I160" s="967">
        <f>'Building List'!H215</f>
        <v>1977</v>
      </c>
      <c r="J160" s="967">
        <f>'Building List'!I215</f>
        <v>0</v>
      </c>
      <c r="K160" s="967">
        <f>'Building List'!J215</f>
        <v>0</v>
      </c>
      <c r="L160" s="967" t="str">
        <f>'Building List'!K215</f>
        <v>NONE</v>
      </c>
      <c r="M160" s="967" t="str">
        <f>'Building List'!L215</f>
        <v>F</v>
      </c>
      <c r="N160" s="268">
        <f>'Building List'!M215</f>
        <v>0</v>
      </c>
      <c r="O160">
        <f>'Building List'!N215</f>
        <v>1</v>
      </c>
    </row>
    <row r="161" spans="1:15">
      <c r="A161" s="967" t="str">
        <f>'Building List'!A216</f>
        <v>FV06</v>
      </c>
      <c r="B161" t="str">
        <f>'Building List'!$B$191</f>
        <v>FARM</v>
      </c>
      <c r="C161" t="str">
        <f>'Building List'!B216</f>
        <v>Valley Ridge Farm - House 9</v>
      </c>
      <c r="D161">
        <f>'Building List'!C216</f>
        <v>0</v>
      </c>
      <c r="E161" s="967">
        <f>'Building List'!D216</f>
        <v>4</v>
      </c>
      <c r="F161" s="967">
        <f>'Building List'!E216</f>
        <v>2100</v>
      </c>
      <c r="G161" s="967">
        <f>'Building List'!F216</f>
        <v>0</v>
      </c>
      <c r="H161" s="967">
        <f>'Building List'!G216</f>
        <v>1977</v>
      </c>
      <c r="I161" s="967">
        <f>'Building List'!H216</f>
        <v>1977</v>
      </c>
      <c r="J161" s="967">
        <f>'Building List'!I216</f>
        <v>0</v>
      </c>
      <c r="K161" s="967">
        <f>'Building List'!J216</f>
        <v>0</v>
      </c>
      <c r="L161" s="967" t="str">
        <f>'Building List'!K216</f>
        <v>NONE</v>
      </c>
      <c r="M161" s="967" t="str">
        <f>'Building List'!L216</f>
        <v>F</v>
      </c>
      <c r="N161" s="268">
        <f>'Building List'!M216</f>
        <v>0</v>
      </c>
      <c r="O161">
        <f>'Building List'!N216</f>
        <v>1</v>
      </c>
    </row>
    <row r="162" spans="1:15">
      <c r="A162" s="967" t="str">
        <f>'Building List'!A217</f>
        <v>FV04</v>
      </c>
      <c r="B162" t="str">
        <f>'Building List'!$B$191</f>
        <v>FARM</v>
      </c>
      <c r="C162" t="str">
        <f>'Building List'!B217</f>
        <v>Valley Ridge Farm - Octagon Building</v>
      </c>
      <c r="D162">
        <f>'Building List'!C217</f>
        <v>0</v>
      </c>
      <c r="E162" s="967">
        <f>'Building List'!D217</f>
        <v>4</v>
      </c>
      <c r="F162" s="967">
        <f>'Building List'!E217</f>
        <v>400</v>
      </c>
      <c r="G162" s="967">
        <f>'Building List'!F217</f>
        <v>0</v>
      </c>
      <c r="H162" s="967">
        <f>'Building List'!G217</f>
        <v>1977</v>
      </c>
      <c r="I162" s="967">
        <f>'Building List'!H217</f>
        <v>1977</v>
      </c>
      <c r="J162" s="967">
        <f>'Building List'!I217</f>
        <v>0</v>
      </c>
      <c r="K162" s="967">
        <f>'Building List'!J217</f>
        <v>0</v>
      </c>
      <c r="L162" s="967" t="str">
        <f>'Building List'!K217</f>
        <v>NONE</v>
      </c>
      <c r="M162" s="967" t="str">
        <f>'Building List'!L217</f>
        <v>F</v>
      </c>
      <c r="N162" s="268">
        <f>'Building List'!M217</f>
        <v>0</v>
      </c>
      <c r="O162">
        <f>'Building List'!N217</f>
        <v>1</v>
      </c>
    </row>
    <row r="163" spans="1:15">
      <c r="A163" s="967" t="str">
        <f>'Building List'!A91</f>
        <v>6C08</v>
      </c>
      <c r="B163" t="str">
        <f>'Building List'!$B$88</f>
        <v>COMMERCIAL RESIDENTIAL</v>
      </c>
      <c r="C163" t="str">
        <f>'Building List'!B91</f>
        <v>Carlton 11920 - Guest House</v>
      </c>
      <c r="D163" t="str">
        <f>'Building List'!C91</f>
        <v>Carlton Road 11920</v>
      </c>
      <c r="E163" s="967">
        <f>'Building List'!D91</f>
        <v>0</v>
      </c>
      <c r="F163" s="967">
        <f>'Building List'!E91</f>
        <v>2000</v>
      </c>
      <c r="G163" s="967">
        <f>'Building List'!F91</f>
        <v>1926</v>
      </c>
      <c r="H163" s="967">
        <f>'Building List'!G91</f>
        <v>1981</v>
      </c>
      <c r="I163" s="967">
        <f>'Building List'!H91</f>
        <v>1981</v>
      </c>
      <c r="J163" s="967">
        <f>'Building List'!I91</f>
        <v>0</v>
      </c>
      <c r="K163" s="967" t="str">
        <f>'Building List'!J91</f>
        <v>N</v>
      </c>
      <c r="L163" s="967" t="str">
        <f>'Building List'!K91</f>
        <v>NONE</v>
      </c>
      <c r="M163" s="967" t="str">
        <f>'Building List'!L91</f>
        <v>CR</v>
      </c>
      <c r="N163" s="268">
        <f>'Building List'!M91</f>
        <v>220887</v>
      </c>
      <c r="O163">
        <f>'Building List'!N91</f>
        <v>1</v>
      </c>
    </row>
    <row r="164" spans="1:15">
      <c r="A164" s="967" t="str">
        <f>'Building List'!A154</f>
        <v>5B12</v>
      </c>
      <c r="B164" t="str">
        <f>'Building List'!$B$152</f>
        <v>OTHER</v>
      </c>
      <c r="C164" t="str">
        <f>'Building List'!B154</f>
        <v>Nord Chilled Water Plant</v>
      </c>
      <c r="D164">
        <f>'Building List'!C154</f>
        <v>0</v>
      </c>
      <c r="E164" s="967">
        <f>'Building List'!D154</f>
        <v>4</v>
      </c>
      <c r="F164" s="967">
        <f>'Building List'!E154</f>
        <v>3886</v>
      </c>
      <c r="G164" s="967">
        <f>'Building List'!F154</f>
        <v>1986</v>
      </c>
      <c r="H164" s="967">
        <f>'Building List'!G154</f>
        <v>1986</v>
      </c>
      <c r="I164" s="967">
        <f>'Building List'!H154</f>
        <v>1986</v>
      </c>
      <c r="J164" s="967">
        <f>'Building List'!I154</f>
        <v>0</v>
      </c>
      <c r="K164" s="967" t="str">
        <f>'Building List'!J154</f>
        <v>Y</v>
      </c>
      <c r="L164" s="967" t="str">
        <f>'Building List'!K154</f>
        <v>NONE</v>
      </c>
      <c r="M164" s="967" t="str">
        <f>'Building List'!L154</f>
        <v>O</v>
      </c>
      <c r="N164" s="268">
        <f>'Building List'!M154</f>
        <v>1845316</v>
      </c>
      <c r="O164">
        <f>'Building List'!N154</f>
        <v>1</v>
      </c>
    </row>
    <row r="165" spans="1:15">
      <c r="A165" s="967" t="str">
        <f>'Building List'!A65</f>
        <v>6C02</v>
      </c>
      <c r="B165" t="str">
        <f>'Building List'!$B$57</f>
        <v>ADMINISTRATIVE</v>
      </c>
      <c r="C165" t="str">
        <f>'Building List'!B65</f>
        <v>Harcourt House - Harcourt 2163</v>
      </c>
      <c r="D165" t="str">
        <f>'Building List'!C65</f>
        <v>Harcourt 2163</v>
      </c>
      <c r="E165" s="967">
        <f>'Building List'!D65</f>
        <v>4</v>
      </c>
      <c r="F165" s="967">
        <f>'Building List'!E65</f>
        <v>10376</v>
      </c>
      <c r="G165" s="967">
        <f>'Building List'!F65</f>
        <v>1906</v>
      </c>
      <c r="H165" s="967">
        <f>'Building List'!G65</f>
        <v>1987</v>
      </c>
      <c r="I165" s="967">
        <f>'Building List'!H65</f>
        <v>1987</v>
      </c>
      <c r="J165" s="967">
        <f>'Building List'!I65</f>
        <v>0</v>
      </c>
      <c r="K165" s="967" t="str">
        <f>'Building List'!J65</f>
        <v>Y</v>
      </c>
      <c r="L165" s="967" t="str">
        <f>'Building List'!K65</f>
        <v>NONE</v>
      </c>
      <c r="M165" s="967" t="str">
        <f>'Building List'!L65</f>
        <v>AD</v>
      </c>
      <c r="N165" s="268">
        <f>'Building List'!M65</f>
        <v>1700701</v>
      </c>
      <c r="O165">
        <f>'Building List'!N65</f>
        <v>1</v>
      </c>
    </row>
    <row r="166" spans="1:15">
      <c r="A166" s="967" t="str">
        <f>'Building List'!A155</f>
        <v>5B16</v>
      </c>
      <c r="B166" t="str">
        <f>'Building List'!$B$152</f>
        <v>OTHER</v>
      </c>
      <c r="C166" t="str">
        <f>'Building List'!B155</f>
        <v>One to One Fitness</v>
      </c>
      <c r="D166">
        <f>'Building List'!C155</f>
        <v>0</v>
      </c>
      <c r="E166" s="967">
        <f>'Building List'!D155</f>
        <v>0</v>
      </c>
      <c r="F166" s="967">
        <f>'Building List'!E155</f>
        <v>28990</v>
      </c>
      <c r="G166" s="967">
        <f>'Building List'!F155</f>
        <v>1987</v>
      </c>
      <c r="H166" s="967">
        <f>'Building List'!G155</f>
        <v>1987</v>
      </c>
      <c r="I166" s="967">
        <f>'Building List'!H155</f>
        <v>1987</v>
      </c>
      <c r="J166" s="967">
        <f>'Building List'!I155</f>
        <v>0</v>
      </c>
      <c r="K166" s="967" t="str">
        <f>'Building List'!J155</f>
        <v>Y</v>
      </c>
      <c r="L166" s="967" t="str">
        <f>'Building List'!K155</f>
        <v>FULL</v>
      </c>
      <c r="M166" s="967" t="str">
        <f>'Building List'!L155</f>
        <v>O</v>
      </c>
      <c r="N166" s="268">
        <f>'Building List'!M155</f>
        <v>1874307</v>
      </c>
      <c r="O166">
        <f>'Building List'!N155</f>
        <v>1</v>
      </c>
    </row>
    <row r="167" spans="1:15">
      <c r="A167" s="967" t="str">
        <f>'Building List'!A7</f>
        <v>3E09</v>
      </c>
      <c r="B167" t="str">
        <f>'Building List'!$B$2</f>
        <v>ACADEMIC</v>
      </c>
      <c r="C167" t="str">
        <f>'Building List'!B7</f>
        <v>Bellflower 11427 - Bellflower House</v>
      </c>
      <c r="D167" t="str">
        <f>'Building List'!C7</f>
        <v>Bellflower Road 11427</v>
      </c>
      <c r="E167" s="967">
        <f>'Building List'!D7</f>
        <v>0</v>
      </c>
      <c r="F167" s="967">
        <f>'Building List'!E7</f>
        <v>10475</v>
      </c>
      <c r="G167" s="967">
        <f>'Building List'!F7</f>
        <v>0</v>
      </c>
      <c r="H167" s="967">
        <f>'Building List'!G7</f>
        <v>1988</v>
      </c>
      <c r="I167" s="967">
        <f>'Building List'!H7</f>
        <v>2007</v>
      </c>
      <c r="J167" s="967">
        <f>'Building List'!I7</f>
        <v>0</v>
      </c>
      <c r="K167" s="967" t="str">
        <f>'Building List'!J7</f>
        <v>N</v>
      </c>
      <c r="L167" s="967" t="str">
        <f>'Building List'!K7</f>
        <v>NONE</v>
      </c>
      <c r="M167" s="967" t="str">
        <f>'Building List'!L7</f>
        <v>AC</v>
      </c>
      <c r="N167" s="268">
        <f>'Building List'!M7</f>
        <v>1242980</v>
      </c>
      <c r="O167">
        <f>'Building List'!N7</f>
        <v>1</v>
      </c>
    </row>
    <row r="168" spans="1:15">
      <c r="A168" s="967" t="str">
        <f>'Building List'!A32</f>
        <v>4B05</v>
      </c>
      <c r="B168" t="str">
        <f>'Building List'!$B$2</f>
        <v>ACADEMIC</v>
      </c>
      <c r="C168" t="str">
        <f>'Building List'!B32</f>
        <v>Nord Hall</v>
      </c>
      <c r="D168" t="str">
        <f>'Building List'!C32</f>
        <v>Martin Luther King Jr. Drive 2095</v>
      </c>
      <c r="E168" s="967">
        <f>'Building List'!D32</f>
        <v>4</v>
      </c>
      <c r="F168" s="967">
        <f>'Building List'!E32</f>
        <v>61000</v>
      </c>
      <c r="G168" s="967">
        <f>'Building List'!F32</f>
        <v>1988</v>
      </c>
      <c r="H168" s="967">
        <f>'Building List'!G32</f>
        <v>1988</v>
      </c>
      <c r="I168" s="967">
        <f>'Building List'!H32</f>
        <v>1988</v>
      </c>
      <c r="J168" s="967">
        <f>'Building List'!I32</f>
        <v>0</v>
      </c>
      <c r="K168" s="967" t="str">
        <f>'Building List'!J32</f>
        <v>Y</v>
      </c>
      <c r="L168" s="967" t="str">
        <f>'Building List'!K32</f>
        <v>FULL</v>
      </c>
      <c r="M168" s="967" t="str">
        <f>'Building List'!L32</f>
        <v>AC</v>
      </c>
      <c r="N168" s="268">
        <f>'Building List'!M32</f>
        <v>8871741</v>
      </c>
      <c r="O168">
        <f>'Building List'!N32</f>
        <v>1</v>
      </c>
    </row>
    <row r="169" spans="1:15">
      <c r="A169" s="967" t="str">
        <f>'Building List'!A114</f>
        <v>3E60</v>
      </c>
      <c r="B169" t="str">
        <f>'Building List'!$B$110</f>
        <v>RESIDENTIAL</v>
      </c>
      <c r="C169" t="str">
        <f>'Building List'!B114</f>
        <v>Apartment 1719 East 116th Street</v>
      </c>
      <c r="D169" t="str">
        <f>'Building List'!C114</f>
        <v>East 116 Street 1719</v>
      </c>
      <c r="E169" s="967">
        <f>'Building List'!D114</f>
        <v>0</v>
      </c>
      <c r="F169" s="967">
        <f>'Building List'!E114</f>
        <v>9000</v>
      </c>
      <c r="G169" s="967">
        <f>'Building List'!F114</f>
        <v>1905</v>
      </c>
      <c r="H169" s="967">
        <f>'Building List'!G114</f>
        <v>1989</v>
      </c>
      <c r="I169" s="967">
        <f>'Building List'!H114</f>
        <v>1989</v>
      </c>
      <c r="J169" s="967">
        <f>'Building List'!I114</f>
        <v>0</v>
      </c>
      <c r="K169" s="967" t="str">
        <f>'Building List'!J114</f>
        <v>N</v>
      </c>
      <c r="L169" s="967" t="str">
        <f>'Building List'!K114</f>
        <v>NONE</v>
      </c>
      <c r="M169" s="967" t="str">
        <f>'Building List'!L114</f>
        <v>R</v>
      </c>
      <c r="N169" s="268">
        <f>'Building List'!M114</f>
        <v>454899</v>
      </c>
      <c r="O169">
        <f>'Building List'!N114</f>
        <v>1</v>
      </c>
    </row>
    <row r="170" spans="1:15">
      <c r="A170" s="967" t="str">
        <f>'Building List'!A115</f>
        <v>3E59</v>
      </c>
      <c r="B170" t="str">
        <f>'Building List'!$B$110</f>
        <v>RESIDENTIAL</v>
      </c>
      <c r="C170" t="str">
        <f>'Building List'!B115</f>
        <v>Apartment 1720/28 East 116th Street - The Noble</v>
      </c>
      <c r="D170" t="str">
        <f>'Building List'!C115</f>
        <v>East 116 Street 1720/28</v>
      </c>
      <c r="E170" s="967">
        <f>'Building List'!D115</f>
        <v>0</v>
      </c>
      <c r="F170" s="967">
        <f>'Building List'!E115</f>
        <v>18000</v>
      </c>
      <c r="G170" s="967">
        <f>'Building List'!F115</f>
        <v>1910</v>
      </c>
      <c r="H170" s="967">
        <f>'Building List'!G115</f>
        <v>1989</v>
      </c>
      <c r="I170" s="967">
        <f>'Building List'!H115</f>
        <v>1989</v>
      </c>
      <c r="J170" s="967">
        <f>'Building List'!I115</f>
        <v>0</v>
      </c>
      <c r="K170" s="967" t="str">
        <f>'Building List'!J115</f>
        <v>N</v>
      </c>
      <c r="L170" s="967" t="str">
        <f>'Building List'!K115</f>
        <v>NONE</v>
      </c>
      <c r="M170" s="967" t="str">
        <f>'Building List'!L115</f>
        <v>R</v>
      </c>
      <c r="N170" s="268">
        <f>'Building List'!M115</f>
        <v>709100</v>
      </c>
      <c r="O170">
        <f>'Building List'!N115</f>
        <v>1</v>
      </c>
    </row>
    <row r="171" spans="1:15">
      <c r="A171" s="967" t="str">
        <f>'Building List'!A116</f>
        <v>3E61</v>
      </c>
      <c r="B171" t="str">
        <f>'Building List'!$B$110</f>
        <v>RESIDENTIAL</v>
      </c>
      <c r="C171" t="str">
        <f>'Building List'!B116</f>
        <v>Apartment 1727 East 116th Street</v>
      </c>
      <c r="D171" t="str">
        <f>'Building List'!C116</f>
        <v>East 116 Street 1727</v>
      </c>
      <c r="E171" s="967">
        <f>'Building List'!D116</f>
        <v>0</v>
      </c>
      <c r="F171" s="967">
        <f>'Building List'!E116</f>
        <v>9000</v>
      </c>
      <c r="G171" s="967">
        <f>'Building List'!F116</f>
        <v>1905</v>
      </c>
      <c r="H171" s="967">
        <f>'Building List'!G116</f>
        <v>1989</v>
      </c>
      <c r="I171" s="967">
        <f>'Building List'!H116</f>
        <v>1989</v>
      </c>
      <c r="J171" s="967">
        <f>'Building List'!I116</f>
        <v>0</v>
      </c>
      <c r="K171" s="967" t="str">
        <f>'Building List'!J116</f>
        <v>N</v>
      </c>
      <c r="L171" s="967" t="str">
        <f>'Building List'!K116</f>
        <v>NONE</v>
      </c>
      <c r="M171" s="967" t="str">
        <f>'Building List'!L116</f>
        <v>R</v>
      </c>
      <c r="N171" s="268">
        <f>'Building List'!M116</f>
        <v>1017880</v>
      </c>
      <c r="O171">
        <f>'Building List'!N116</f>
        <v>1</v>
      </c>
    </row>
    <row r="172" spans="1:15">
      <c r="A172" s="967" t="str">
        <f>'Building List'!A26</f>
        <v>3D29</v>
      </c>
      <c r="B172" t="str">
        <f>'Building List'!$B$2</f>
        <v>ACADEMIC</v>
      </c>
      <c r="C172" t="str">
        <f>'Building List'!B26</f>
        <v>Mandel School of Applied Social Sciences</v>
      </c>
      <c r="D172" t="str">
        <f>'Building List'!C26</f>
        <v>Bellflower Road 11235</v>
      </c>
      <c r="E172" s="967">
        <f>'Building List'!D26</f>
        <v>2</v>
      </c>
      <c r="F172" s="967">
        <f>'Building List'!E26</f>
        <v>63594</v>
      </c>
      <c r="G172" s="967">
        <f>'Building List'!F26</f>
        <v>1990</v>
      </c>
      <c r="H172" s="967">
        <f>'Building List'!G26</f>
        <v>1990</v>
      </c>
      <c r="I172" s="967">
        <f>'Building List'!H26</f>
        <v>1990</v>
      </c>
      <c r="J172" s="967">
        <f>'Building List'!I26</f>
        <v>0</v>
      </c>
      <c r="K172" s="967" t="str">
        <f>'Building List'!J26</f>
        <v>Y</v>
      </c>
      <c r="L172" s="967" t="str">
        <f>'Building List'!K26</f>
        <v>PARTIAL</v>
      </c>
      <c r="M172" s="967" t="str">
        <f>'Building List'!L26</f>
        <v>AC</v>
      </c>
      <c r="N172" s="268">
        <f>'Building List'!M26</f>
        <v>10389344</v>
      </c>
      <c r="O172">
        <f>'Building List'!N26</f>
        <v>1</v>
      </c>
    </row>
    <row r="173" spans="1:15">
      <c r="A173" s="967" t="str">
        <f>'Building List'!A69</f>
        <v>3D55</v>
      </c>
      <c r="B173" t="str">
        <f>'Building List'!$B$57</f>
        <v>ADMINISTRATIVE</v>
      </c>
      <c r="C173" t="str">
        <f>'Building List'!B69</f>
        <v>Protective Services Satellite Office</v>
      </c>
      <c r="D173" t="str">
        <f>'Building List'!C69</f>
        <v>Bellflower Road 11421.5</v>
      </c>
      <c r="E173" s="967">
        <f>'Building List'!D69</f>
        <v>0</v>
      </c>
      <c r="F173" s="967">
        <f>'Building List'!E69</f>
        <v>0</v>
      </c>
      <c r="G173" s="967">
        <f>'Building List'!F69</f>
        <v>0</v>
      </c>
      <c r="H173" s="967">
        <f>'Building List'!G69</f>
        <v>1990</v>
      </c>
      <c r="I173" s="967">
        <f>'Building List'!H69</f>
        <v>1990</v>
      </c>
      <c r="J173" s="967">
        <f>'Building List'!I69</f>
        <v>0</v>
      </c>
      <c r="K173" s="967">
        <f>'Building List'!J69</f>
        <v>0</v>
      </c>
      <c r="L173" s="967" t="str">
        <f>'Building List'!K69</f>
        <v>NONE</v>
      </c>
      <c r="M173" s="967" t="str">
        <f>'Building List'!L69</f>
        <v>AD</v>
      </c>
      <c r="N173" s="268">
        <f>'Building List'!M69</f>
        <v>110761</v>
      </c>
      <c r="O173">
        <f>'Building List'!N69</f>
        <v>1</v>
      </c>
    </row>
    <row r="174" spans="1:15">
      <c r="A174" s="967" t="str">
        <f>'Building List'!A96</f>
        <v>6B13</v>
      </c>
      <c r="B174" t="str">
        <f>'Building List'!$B$88</f>
        <v>COMMERCIAL RESIDENTIAL</v>
      </c>
      <c r="C174" t="str">
        <f>'Building List'!B96</f>
        <v>Fairchild 11430 - House</v>
      </c>
      <c r="D174" t="str">
        <f>'Building List'!C96</f>
        <v>Fairchild 11430</v>
      </c>
      <c r="E174" s="967">
        <f>'Building List'!D96</f>
        <v>0</v>
      </c>
      <c r="F174" s="967">
        <f>'Building List'!E96</f>
        <v>1700</v>
      </c>
      <c r="G174" s="967">
        <f>'Building List'!F96</f>
        <v>1915</v>
      </c>
      <c r="H174" s="967">
        <f>'Building List'!G96</f>
        <v>1990</v>
      </c>
      <c r="I174" s="967">
        <f>'Building List'!H96</f>
        <v>1990</v>
      </c>
      <c r="J174" s="967">
        <f>'Building List'!I96</f>
        <v>0</v>
      </c>
      <c r="K174" s="967" t="str">
        <f>'Building List'!J96</f>
        <v>Y</v>
      </c>
      <c r="L174" s="967" t="str">
        <f>'Building List'!K96</f>
        <v>NONE</v>
      </c>
      <c r="M174" s="967" t="str">
        <f>'Building List'!L96</f>
        <v>CR</v>
      </c>
      <c r="N174" s="268">
        <f>'Building List'!M96</f>
        <v>289010</v>
      </c>
      <c r="O174">
        <f>'Building List'!N96</f>
        <v>1</v>
      </c>
    </row>
    <row r="175" spans="1:15">
      <c r="A175" s="967" t="str">
        <f>'Building List'!A164</f>
        <v>3D56</v>
      </c>
      <c r="B175" t="str">
        <f>'Building List'!$B$163</f>
        <v>OWNED FRATERNITIES</v>
      </c>
      <c r="C175" t="str">
        <f>'Building List'!B164</f>
        <v>Bellflower 11421 - Alpha Chi</v>
      </c>
      <c r="D175" t="str">
        <f>'Building List'!C164</f>
        <v>Bellflower 11421</v>
      </c>
      <c r="E175" s="967">
        <f>'Building List'!D164</f>
        <v>0</v>
      </c>
      <c r="F175" s="967">
        <f>'Building List'!E164</f>
        <v>8750</v>
      </c>
      <c r="G175" s="967">
        <f>'Building List'!F164</f>
        <v>1900</v>
      </c>
      <c r="H175" s="967">
        <f>'Building List'!G164</f>
        <v>1990</v>
      </c>
      <c r="I175" s="967">
        <f>'Building List'!H164</f>
        <v>1990</v>
      </c>
      <c r="J175" s="967">
        <f>'Building List'!I164</f>
        <v>0</v>
      </c>
      <c r="K175" s="967" t="str">
        <f>'Building List'!J164</f>
        <v>N</v>
      </c>
      <c r="L175" s="967" t="str">
        <f>'Building List'!K164</f>
        <v>PARTIAL</v>
      </c>
      <c r="M175" s="967" t="str">
        <f>'Building List'!L164</f>
        <v>FS</v>
      </c>
      <c r="N175" s="268">
        <f>'Building List'!M164</f>
        <v>1878574</v>
      </c>
      <c r="O175">
        <f>'Building List'!N164</f>
        <v>1</v>
      </c>
    </row>
    <row r="176" spans="1:15">
      <c r="A176" s="967" t="str">
        <f>'Building List'!A94</f>
        <v>6B14</v>
      </c>
      <c r="B176" t="str">
        <f>'Building List'!$B$88</f>
        <v>COMMERCIAL RESIDENTIAL</v>
      </c>
      <c r="C176" t="str">
        <f>'Building List'!B94</f>
        <v>Fairchild 11422 - House</v>
      </c>
      <c r="D176" t="str">
        <f>'Building List'!C94</f>
        <v>Fairchild 11422</v>
      </c>
      <c r="E176" s="967">
        <f>'Building List'!D94</f>
        <v>0</v>
      </c>
      <c r="F176" s="967">
        <f>'Building List'!E94</f>
        <v>1900</v>
      </c>
      <c r="G176" s="967">
        <f>'Building List'!F94</f>
        <v>1915</v>
      </c>
      <c r="H176" s="967">
        <f>'Building List'!G94</f>
        <v>1991</v>
      </c>
      <c r="I176" s="967">
        <f>'Building List'!H94</f>
        <v>1991</v>
      </c>
      <c r="J176" s="967">
        <f>'Building List'!I94</f>
        <v>0</v>
      </c>
      <c r="K176" s="967" t="str">
        <f>'Building List'!J94</f>
        <v>Y</v>
      </c>
      <c r="L176" s="967" t="str">
        <f>'Building List'!K94</f>
        <v>NONE</v>
      </c>
      <c r="M176" s="967" t="str">
        <f>'Building List'!L94</f>
        <v>CR</v>
      </c>
      <c r="N176" s="268">
        <f>'Building List'!M94</f>
        <v>289010</v>
      </c>
      <c r="O176">
        <f>'Building List'!N94</f>
        <v>1</v>
      </c>
    </row>
    <row r="177" spans="1:15">
      <c r="A177" s="967" t="str">
        <f>'Building List'!A9</f>
        <v>5C15</v>
      </c>
      <c r="B177" t="str">
        <f>'Building List'!$B$2</f>
        <v>ACADEMIC</v>
      </c>
      <c r="C177" t="str">
        <f>'Building List'!B9</f>
        <v>Biomedical Research Building</v>
      </c>
      <c r="D177" t="str">
        <f>'Building List'!C9</f>
        <v>Adelbert Road 2109</v>
      </c>
      <c r="E177" s="967">
        <f>'Building List'!D9</f>
        <v>1</v>
      </c>
      <c r="F177" s="967">
        <f>'Building List'!E9</f>
        <v>265533</v>
      </c>
      <c r="G177" s="967">
        <f>'Building List'!F9</f>
        <v>1992</v>
      </c>
      <c r="H177" s="967">
        <f>'Building List'!G9</f>
        <v>0</v>
      </c>
      <c r="I177" s="967">
        <f>'Building List'!H9</f>
        <v>1992</v>
      </c>
      <c r="J177" s="967">
        <f>'Building List'!I9</f>
        <v>0</v>
      </c>
      <c r="K177" s="967" t="str">
        <f>'Building List'!J9</f>
        <v>Y</v>
      </c>
      <c r="L177" s="967" t="str">
        <f>'Building List'!K9</f>
        <v>FULL</v>
      </c>
      <c r="M177" s="967" t="str">
        <f>'Building List'!L9</f>
        <v>AC</v>
      </c>
      <c r="N177" s="268">
        <f>'Building List'!M9</f>
        <v>97660166</v>
      </c>
      <c r="O177">
        <f>'Building List'!N9</f>
        <v>1</v>
      </c>
    </row>
    <row r="178" spans="1:15">
      <c r="A178" s="967" t="str">
        <f>'Building List'!A63</f>
        <v>5A02</v>
      </c>
      <c r="B178" t="str">
        <f>'Building List'!$B$57</f>
        <v>ADMINISTRATIVE</v>
      </c>
      <c r="C178" t="str">
        <f>'Building List'!B63</f>
        <v>BioEnterprise / University West</v>
      </c>
      <c r="D178" t="str">
        <f>'Building List'!C63</f>
        <v>Cedar Avenue 11000</v>
      </c>
      <c r="E178" s="967">
        <f>'Building List'!D63</f>
        <v>4</v>
      </c>
      <c r="F178" s="967">
        <f>'Building List'!E63</f>
        <v>119466</v>
      </c>
      <c r="G178" s="967">
        <f>'Building List'!F63</f>
        <v>0</v>
      </c>
      <c r="H178" s="967">
        <f>'Building List'!G63</f>
        <v>1992</v>
      </c>
      <c r="I178" s="967">
        <f>'Building List'!H63</f>
        <v>1992</v>
      </c>
      <c r="J178" s="967">
        <f>'Building List'!I63</f>
        <v>0</v>
      </c>
      <c r="K178" s="967" t="str">
        <f>'Building List'!J63</f>
        <v>Y</v>
      </c>
      <c r="L178" s="967" t="str">
        <f>'Building List'!K63</f>
        <v>PARTIAL</v>
      </c>
      <c r="M178" s="967" t="str">
        <f>'Building List'!L63</f>
        <v>AD</v>
      </c>
      <c r="N178" s="268">
        <f>'Building List'!M63</f>
        <v>21186013</v>
      </c>
      <c r="O178">
        <f>'Building List'!N63</f>
        <v>1</v>
      </c>
    </row>
    <row r="179" spans="1:15">
      <c r="A179" s="967" t="str">
        <f>'Building List'!A93</f>
        <v>6B18</v>
      </c>
      <c r="B179" t="str">
        <f>'Building List'!$B$88</f>
        <v>COMMERCIAL RESIDENTIAL</v>
      </c>
      <c r="C179" t="str">
        <f>'Building List'!B93</f>
        <v>Fairchild 11414 - Fairchild House</v>
      </c>
      <c r="D179" t="str">
        <f>'Building List'!C93</f>
        <v>Fairchild 11414</v>
      </c>
      <c r="E179" s="967">
        <f>'Building List'!D93</f>
        <v>0</v>
      </c>
      <c r="F179" s="967">
        <f>'Building List'!E93</f>
        <v>2500</v>
      </c>
      <c r="G179" s="967">
        <f>'Building List'!F93</f>
        <v>1915</v>
      </c>
      <c r="H179" s="967">
        <f>'Building List'!G93</f>
        <v>1992</v>
      </c>
      <c r="I179" s="967">
        <f>'Building List'!H93</f>
        <v>1992</v>
      </c>
      <c r="J179" s="967">
        <f>'Building List'!I93</f>
        <v>0</v>
      </c>
      <c r="K179" s="967" t="str">
        <f>'Building List'!J93</f>
        <v>Y</v>
      </c>
      <c r="L179" s="967" t="str">
        <f>'Building List'!K93</f>
        <v>NONE</v>
      </c>
      <c r="M179" s="967" t="str">
        <f>'Building List'!L93</f>
        <v>CR</v>
      </c>
      <c r="N179" s="268">
        <f>'Building List'!M93</f>
        <v>411438</v>
      </c>
      <c r="O179">
        <f>'Building List'!N93</f>
        <v>1</v>
      </c>
    </row>
    <row r="180" spans="1:15">
      <c r="A180" s="967" t="str">
        <f>'Building List'!A95</f>
        <v>6B15</v>
      </c>
      <c r="B180" t="str">
        <f>'Building List'!$B$88</f>
        <v>COMMERCIAL RESIDENTIAL</v>
      </c>
      <c r="C180" t="str">
        <f>'Building List'!B95</f>
        <v>Fairchild 11426 - House</v>
      </c>
      <c r="D180" t="str">
        <f>'Building List'!C95</f>
        <v xml:space="preserve">Fairchild 11426 </v>
      </c>
      <c r="E180" s="967">
        <f>'Building List'!D95</f>
        <v>0</v>
      </c>
      <c r="F180" s="967">
        <f>'Building List'!E95</f>
        <v>1300</v>
      </c>
      <c r="G180" s="967">
        <f>'Building List'!F95</f>
        <v>1915</v>
      </c>
      <c r="H180" s="967">
        <f>'Building List'!G95</f>
        <v>1992</v>
      </c>
      <c r="I180" s="967">
        <f>'Building List'!H95</f>
        <v>1992</v>
      </c>
      <c r="J180" s="967">
        <f>'Building List'!I95</f>
        <v>0</v>
      </c>
      <c r="K180" s="967" t="str">
        <f>'Building List'!J95</f>
        <v>N</v>
      </c>
      <c r="L180" s="967" t="str">
        <f>'Building List'!K95</f>
        <v>NONE</v>
      </c>
      <c r="M180" s="967" t="str">
        <f>'Building List'!L95</f>
        <v>CR</v>
      </c>
      <c r="N180" s="268">
        <f>'Building List'!M95</f>
        <v>289010</v>
      </c>
      <c r="O180">
        <f>'Building List'!N95</f>
        <v>1</v>
      </c>
    </row>
    <row r="181" spans="1:15">
      <c r="A181" s="967" t="str">
        <f>'Building List'!A184</f>
        <v>5B04</v>
      </c>
      <c r="B181" t="str">
        <f>'Building List'!$B$177</f>
        <v>GARAGES</v>
      </c>
      <c r="C181" t="str">
        <f>'Building List'!B184</f>
        <v>Lot S-53 - Adelbert Garage</v>
      </c>
      <c r="D181" t="str">
        <f>'Building List'!C184</f>
        <v>Adelbert Road 2158</v>
      </c>
      <c r="E181" s="967">
        <f>'Building List'!D184</f>
        <v>0</v>
      </c>
      <c r="F181" s="967">
        <f>'Building List'!E184</f>
        <v>340440</v>
      </c>
      <c r="G181" s="967">
        <f>'Building List'!F184</f>
        <v>1992</v>
      </c>
      <c r="H181" s="967">
        <f>'Building List'!G184</f>
        <v>1992</v>
      </c>
      <c r="I181" s="967">
        <f>'Building List'!H184</f>
        <v>1992</v>
      </c>
      <c r="J181" s="967">
        <f>'Building List'!I184</f>
        <v>0</v>
      </c>
      <c r="K181" s="967" t="str">
        <f>'Building List'!J184</f>
        <v>N</v>
      </c>
      <c r="L181" s="967" t="str">
        <f>'Building List'!K184</f>
        <v>NONE</v>
      </c>
      <c r="M181" s="967" t="str">
        <f>'Building List'!L184</f>
        <v>G</v>
      </c>
      <c r="N181" s="268">
        <f>'Building List'!M184</f>
        <v>1824691</v>
      </c>
      <c r="O181">
        <f>'Building List'!N184</f>
        <v>1</v>
      </c>
    </row>
    <row r="182" spans="1:15">
      <c r="A182" s="967" t="str">
        <f>'Building List'!A64</f>
        <v>5A07</v>
      </c>
      <c r="B182" t="str">
        <f>'Building List'!$B$57</f>
        <v>ADMINISTRATIVE</v>
      </c>
      <c r="C182" t="str">
        <f>'Building List'!B64</f>
        <v>Cedar Avenue Service Center</v>
      </c>
      <c r="D182" t="str">
        <f>'Building List'!C64</f>
        <v>Cedar Avenue 10620</v>
      </c>
      <c r="E182" s="967">
        <f>'Building List'!D64</f>
        <v>4</v>
      </c>
      <c r="F182" s="967">
        <f>'Building List'!E64</f>
        <v>128241</v>
      </c>
      <c r="G182" s="967">
        <f>'Building List'!F64</f>
        <v>1970</v>
      </c>
      <c r="H182" s="967">
        <f>'Building List'!G64</f>
        <v>1993</v>
      </c>
      <c r="I182" s="967">
        <f>'Building List'!H64</f>
        <v>1993</v>
      </c>
      <c r="J182" s="967">
        <f>'Building List'!I64</f>
        <v>0</v>
      </c>
      <c r="K182" s="967" t="str">
        <f>'Building List'!J64</f>
        <v>N</v>
      </c>
      <c r="L182" s="967" t="str">
        <f>'Building List'!K64</f>
        <v>PARTIAL</v>
      </c>
      <c r="M182" s="967" t="str">
        <f>'Building List'!L64</f>
        <v>AD</v>
      </c>
      <c r="N182" s="268">
        <f>'Building List'!M64</f>
        <v>13711143</v>
      </c>
      <c r="O182">
        <f>'Building List'!N64</f>
        <v>1</v>
      </c>
    </row>
    <row r="183" spans="1:15">
      <c r="A183" s="967" t="str">
        <f>'Building List'!A15</f>
        <v>3D09</v>
      </c>
      <c r="B183" t="str">
        <f>'Building List'!$B$2</f>
        <v>ACADEMIC</v>
      </c>
      <c r="C183" t="str">
        <f>'Building List'!B15</f>
        <v>Dively Building</v>
      </c>
      <c r="D183" t="str">
        <f>'Building List'!C15</f>
        <v>Bellflower Road 11240</v>
      </c>
      <c r="E183" s="967">
        <f>'Building List'!D15</f>
        <v>2</v>
      </c>
      <c r="F183" s="967">
        <f>'Building List'!E15</f>
        <v>38063</v>
      </c>
      <c r="G183" s="967">
        <f>'Building List'!F15</f>
        <v>1994</v>
      </c>
      <c r="H183" s="967">
        <f>'Building List'!G15</f>
        <v>1994</v>
      </c>
      <c r="I183" s="967">
        <f>'Building List'!H15</f>
        <v>1994</v>
      </c>
      <c r="J183" s="967">
        <f>'Building List'!I15</f>
        <v>0</v>
      </c>
      <c r="K183" s="967" t="str">
        <f>'Building List'!J15</f>
        <v>Y</v>
      </c>
      <c r="L183" s="967" t="str">
        <f>'Building List'!K15</f>
        <v>FULL</v>
      </c>
      <c r="M183" s="967" t="str">
        <f>'Building List'!L15</f>
        <v>AC</v>
      </c>
      <c r="N183" s="268">
        <f>'Building List'!M15</f>
        <v>10796501</v>
      </c>
      <c r="O183">
        <f>'Building List'!N15</f>
        <v>1</v>
      </c>
    </row>
    <row r="184" spans="1:15">
      <c r="A184" s="967" t="str">
        <f>'Building List'!A23</f>
        <v>5B23</v>
      </c>
      <c r="B184" t="str">
        <f>'Building List'!$B$2</f>
        <v>ACADEMIC</v>
      </c>
      <c r="C184" t="str">
        <f>'Building List'!B23</f>
        <v>Kent Hale Smith</v>
      </c>
      <c r="D184" t="str">
        <f>'Building List'!C23</f>
        <v>Adelbert Road 2100</v>
      </c>
      <c r="E184" s="967">
        <f>'Building List'!D23</f>
        <v>3</v>
      </c>
      <c r="F184" s="967">
        <f>'Building List'!E23</f>
        <v>92515</v>
      </c>
      <c r="G184" s="967">
        <f>'Building List'!F23</f>
        <v>1994</v>
      </c>
      <c r="H184" s="967">
        <f>'Building List'!G23</f>
        <v>1994</v>
      </c>
      <c r="I184" s="967">
        <f>'Building List'!H23</f>
        <v>1994</v>
      </c>
      <c r="J184" s="967">
        <f>'Building List'!I23</f>
        <v>0</v>
      </c>
      <c r="K184" s="967" t="str">
        <f>'Building List'!J23</f>
        <v>Y</v>
      </c>
      <c r="L184" s="967" t="str">
        <f>'Building List'!K23</f>
        <v>FULL</v>
      </c>
      <c r="M184" s="967" t="str">
        <f>'Building List'!L23</f>
        <v>AC</v>
      </c>
      <c r="N184" s="268">
        <f>'Building List'!M23</f>
        <v>34813038</v>
      </c>
      <c r="O184">
        <f>'Building List'!N23</f>
        <v>1</v>
      </c>
    </row>
    <row r="185" spans="1:15">
      <c r="A185" s="967" t="str">
        <f>'Building List'!A180</f>
        <v>3C03</v>
      </c>
      <c r="B185" t="str">
        <f>'Building List'!$B$177</f>
        <v>GARAGES</v>
      </c>
      <c r="C185" t="str">
        <f>'Building List'!B180</f>
        <v>Lot S-29 - Campus Center Garage</v>
      </c>
      <c r="D185" t="str">
        <f>'Building List'!C180</f>
        <v>Euclid Avenue 11001</v>
      </c>
      <c r="E185" s="967">
        <f>'Building List'!D180</f>
        <v>0</v>
      </c>
      <c r="F185" s="967">
        <f>'Building List'!E180</f>
        <v>239850</v>
      </c>
      <c r="G185" s="967">
        <f>'Building List'!F180</f>
        <v>1995</v>
      </c>
      <c r="H185" s="967">
        <f>'Building List'!G180</f>
        <v>1995</v>
      </c>
      <c r="I185" s="967">
        <f>'Building List'!H180</f>
        <v>1995</v>
      </c>
      <c r="J185" s="967">
        <f>'Building List'!I180</f>
        <v>0</v>
      </c>
      <c r="K185" s="967" t="str">
        <f>'Building List'!J180</f>
        <v>N</v>
      </c>
      <c r="L185" s="967" t="str">
        <f>'Building List'!K180</f>
        <v>FULL</v>
      </c>
      <c r="M185" s="967" t="str">
        <f>'Building List'!L180</f>
        <v>G</v>
      </c>
      <c r="N185" s="268">
        <f>'Building List'!M180</f>
        <v>19996484</v>
      </c>
      <c r="O185">
        <f>'Building List'!N180</f>
        <v>1</v>
      </c>
    </row>
    <row r="186" spans="1:15">
      <c r="A186" s="967" t="str">
        <f>'Building List'!A22</f>
        <v>3C09</v>
      </c>
      <c r="B186" t="str">
        <f>'Building List'!$B$2</f>
        <v>ACADEMIC</v>
      </c>
      <c r="C186" t="str">
        <f>'Building List'!B22</f>
        <v>Kelvin Smith Library</v>
      </c>
      <c r="D186" t="str">
        <f>'Building List'!C22</f>
        <v>Euclid Avenue 11055</v>
      </c>
      <c r="E186" s="967">
        <f>'Building List'!D22</f>
        <v>2</v>
      </c>
      <c r="F186" s="967">
        <f>'Building List'!E22</f>
        <v>144290</v>
      </c>
      <c r="G186" s="967">
        <f>'Building List'!F22</f>
        <v>1996</v>
      </c>
      <c r="H186" s="967">
        <f>'Building List'!G22</f>
        <v>1996</v>
      </c>
      <c r="I186" s="967">
        <f>'Building List'!H22</f>
        <v>1996</v>
      </c>
      <c r="J186" s="967">
        <f>'Building List'!I22</f>
        <v>0</v>
      </c>
      <c r="K186" s="967" t="str">
        <f>'Building List'!J22</f>
        <v>Y</v>
      </c>
      <c r="L186" s="967" t="str">
        <f>'Building List'!K22</f>
        <v>FULL</v>
      </c>
      <c r="M186" s="967" t="str">
        <f>'Building List'!L22</f>
        <v>AC</v>
      </c>
      <c r="N186" s="268">
        <f>'Building List'!M22</f>
        <v>35046746</v>
      </c>
      <c r="O186">
        <f>'Building List'!N22</f>
        <v>1</v>
      </c>
    </row>
    <row r="187" spans="1:15">
      <c r="A187" s="967" t="str">
        <f>'Building List'!A98</f>
        <v>6B20</v>
      </c>
      <c r="B187" t="str">
        <f>'Building List'!$B$88</f>
        <v>COMMERCIAL RESIDENTIAL</v>
      </c>
      <c r="C187" t="str">
        <f>'Building List'!B98</f>
        <v>Glenwood 11409 - House</v>
      </c>
      <c r="D187" t="str">
        <f>'Building List'!C98</f>
        <v>Glenwood 11409</v>
      </c>
      <c r="E187" s="967">
        <f>'Building List'!D98</f>
        <v>0</v>
      </c>
      <c r="F187" s="967">
        <f>'Building List'!E98</f>
        <v>2000</v>
      </c>
      <c r="G187" s="967">
        <f>'Building List'!F98</f>
        <v>1915</v>
      </c>
      <c r="H187" s="967">
        <f>'Building List'!G98</f>
        <v>1997</v>
      </c>
      <c r="I187" s="967">
        <f>'Building List'!H98</f>
        <v>1997</v>
      </c>
      <c r="J187" s="967">
        <f>'Building List'!I98</f>
        <v>0</v>
      </c>
      <c r="K187" s="967" t="str">
        <f>'Building List'!J98</f>
        <v>N</v>
      </c>
      <c r="L187" s="967" t="str">
        <f>'Building List'!K98</f>
        <v>NONE</v>
      </c>
      <c r="M187" s="967" t="str">
        <f>'Building List'!L98</f>
        <v>CR</v>
      </c>
      <c r="N187" s="268">
        <f>'Building List'!M98</f>
        <v>95037</v>
      </c>
      <c r="O187">
        <f>'Building List'!N98</f>
        <v>1</v>
      </c>
    </row>
    <row r="188" spans="1:15">
      <c r="A188" s="967" t="str">
        <f>'Building List'!A103</f>
        <v>5C28</v>
      </c>
      <c r="B188" t="str">
        <f>'Building List'!$B$88</f>
        <v>COMMERCIAL RESIDENTIAL</v>
      </c>
      <c r="C188" t="str">
        <f>'Building List'!B103</f>
        <v>Murray Hill 2272 - House</v>
      </c>
      <c r="D188" t="str">
        <f>'Building List'!C103</f>
        <v>Murray Hill 2272</v>
      </c>
      <c r="E188" s="967">
        <f>'Building List'!D103</f>
        <v>0</v>
      </c>
      <c r="F188" s="967">
        <f>'Building List'!E103</f>
        <v>2100</v>
      </c>
      <c r="G188" s="967">
        <f>'Building List'!F103</f>
        <v>1910</v>
      </c>
      <c r="H188" s="967">
        <f>'Building List'!G103</f>
        <v>1998</v>
      </c>
      <c r="I188" s="967">
        <f>'Building List'!H103</f>
        <v>1998</v>
      </c>
      <c r="J188" s="967">
        <f>'Building List'!I103</f>
        <v>0</v>
      </c>
      <c r="K188" s="967" t="str">
        <f>'Building List'!J103</f>
        <v>N</v>
      </c>
      <c r="L188" s="967" t="str">
        <f>'Building List'!K103</f>
        <v>NONE</v>
      </c>
      <c r="M188" s="967" t="str">
        <f>'Building List'!L103</f>
        <v>CR</v>
      </c>
      <c r="N188" s="268">
        <f>'Building List'!M103</f>
        <v>380143</v>
      </c>
      <c r="O188">
        <f>'Building List'!N103</f>
        <v>1</v>
      </c>
    </row>
    <row r="189" spans="1:15">
      <c r="A189" s="967" t="str">
        <f>'Building List'!A226</f>
        <v>3A01</v>
      </c>
      <c r="B189" t="str">
        <f>'Building List'!$B$222</f>
        <v>NON-UNIVERSITY OWNED PROPERTIES</v>
      </c>
      <c r="C189" t="str">
        <f>'Building List'!B226</f>
        <v>CCF - Lerner Research Institute</v>
      </c>
      <c r="D189">
        <f>'Building List'!C226</f>
        <v>0</v>
      </c>
      <c r="E189" s="967">
        <f>'Building List'!D226</f>
        <v>0</v>
      </c>
      <c r="F189" s="967">
        <f>'Building List'!E226</f>
        <v>0</v>
      </c>
      <c r="G189" s="967">
        <f>'Building List'!F226</f>
        <v>1999</v>
      </c>
      <c r="H189" s="967">
        <f>'Building List'!G226</f>
        <v>0</v>
      </c>
      <c r="I189" s="967">
        <f>'Building List'!H226</f>
        <v>1999</v>
      </c>
      <c r="J189" s="967">
        <f>'Building List'!I226</f>
        <v>0</v>
      </c>
      <c r="K189" s="967" t="str">
        <f>'Building List'!J226</f>
        <v>Y</v>
      </c>
      <c r="L189" s="967" t="str">
        <f>'Building List'!K226</f>
        <v>NONE</v>
      </c>
      <c r="M189" s="967" t="str">
        <f>'Building List'!L226</f>
        <v>AC</v>
      </c>
      <c r="N189" s="268">
        <f>'Building List'!M226</f>
        <v>0</v>
      </c>
      <c r="O189">
        <f>'Building List'!N226</f>
        <v>3</v>
      </c>
    </row>
    <row r="190" spans="1:15">
      <c r="A190" s="967" t="str">
        <f>'Building List'!A5</f>
        <v>5C24</v>
      </c>
      <c r="B190" t="str">
        <f>'Building List'!$B$2</f>
        <v>ACADEMIC</v>
      </c>
      <c r="C190" t="str">
        <f>'Building List'!B5</f>
        <v>Art Studio</v>
      </c>
      <c r="D190" t="str">
        <f>'Building List'!C5</f>
        <v>Adelbert Road 2215</v>
      </c>
      <c r="E190" s="967">
        <f>'Building List'!D5</f>
        <v>4</v>
      </c>
      <c r="F190" s="967">
        <f>'Building List'!E5</f>
        <v>14323</v>
      </c>
      <c r="G190" s="967">
        <f>'Building List'!F5</f>
        <v>1926</v>
      </c>
      <c r="H190" s="967">
        <f>'Building List'!G5</f>
        <v>2000</v>
      </c>
      <c r="I190" s="967">
        <f>'Building List'!H5</f>
        <v>2000</v>
      </c>
      <c r="J190" s="967">
        <f>'Building List'!I5</f>
        <v>0</v>
      </c>
      <c r="K190" s="967" t="str">
        <f>'Building List'!J5</f>
        <v>Y</v>
      </c>
      <c r="L190" s="967" t="str">
        <f>'Building List'!K5</f>
        <v>FULL</v>
      </c>
      <c r="M190" s="967" t="str">
        <f>'Building List'!L5</f>
        <v>AC</v>
      </c>
      <c r="N190" s="268">
        <f>'Building List'!M5</f>
        <v>2154142</v>
      </c>
      <c r="O190">
        <f>'Building List'!N5</f>
        <v>1</v>
      </c>
    </row>
    <row r="191" spans="1:15">
      <c r="A191" s="967" t="str">
        <f>'Building List'!A43</f>
        <v>5B06</v>
      </c>
      <c r="B191" t="str">
        <f>'Building List'!$B$2</f>
        <v>ACADEMIC</v>
      </c>
      <c r="C191" t="str">
        <f>'Building List'!B43</f>
        <v>Veale Center</v>
      </c>
      <c r="D191" t="str">
        <f>'Building List'!C43</f>
        <v>Adelbert Road 2138</v>
      </c>
      <c r="E191" s="967">
        <f>'Building List'!D43</f>
        <v>4</v>
      </c>
      <c r="F191" s="967">
        <f>'Building List'!E43</f>
        <v>106069</v>
      </c>
      <c r="G191" s="967">
        <f>'Building List'!F43</f>
        <v>2000</v>
      </c>
      <c r="H191" s="967">
        <f>'Building List'!G43</f>
        <v>2000</v>
      </c>
      <c r="I191" s="967">
        <f>'Building List'!H43</f>
        <v>2000</v>
      </c>
      <c r="J191" s="967">
        <f>'Building List'!I43</f>
        <v>0</v>
      </c>
      <c r="K191" s="967" t="str">
        <f>'Building List'!J43</f>
        <v>Y</v>
      </c>
      <c r="L191" s="967" t="str">
        <f>'Building List'!K43</f>
        <v>FULL</v>
      </c>
      <c r="M191" s="967" t="str">
        <f>'Building List'!L43</f>
        <v>AC</v>
      </c>
      <c r="N191" s="268">
        <f>'Building List'!M43</f>
        <v>16052799</v>
      </c>
      <c r="O191">
        <f>'Building List'!N43</f>
        <v>1</v>
      </c>
    </row>
    <row r="192" spans="1:15">
      <c r="A192" s="967" t="str">
        <f>'Building List'!A67</f>
        <v>5B01</v>
      </c>
      <c r="B192" t="str">
        <f>'Building List'!$B$57</f>
        <v>ADMINISTRATIVE</v>
      </c>
      <c r="C192" t="str">
        <f>'Building List'!B67</f>
        <v>Lincoln Storage</v>
      </c>
      <c r="D192" t="str">
        <f>'Building List'!C67</f>
        <v>Cedar Avenue 11201</v>
      </c>
      <c r="E192" s="967">
        <f>'Building List'!D67</f>
        <v>0</v>
      </c>
      <c r="F192" s="967">
        <f>'Building List'!E67</f>
        <v>50400</v>
      </c>
      <c r="G192" s="967">
        <f>'Building List'!F67</f>
        <v>1924</v>
      </c>
      <c r="H192" s="967">
        <f>'Building List'!G67</f>
        <v>2000</v>
      </c>
      <c r="I192" s="967">
        <f>'Building List'!H67</f>
        <v>2000</v>
      </c>
      <c r="J192" s="967">
        <f>'Building List'!I67</f>
        <v>0</v>
      </c>
      <c r="K192" s="967" t="str">
        <f>'Building List'!J67</f>
        <v>N</v>
      </c>
      <c r="L192" s="967" t="str">
        <f>'Building List'!K67</f>
        <v>NONE</v>
      </c>
      <c r="M192" s="967" t="str">
        <f>'Building List'!L67</f>
        <v>AD</v>
      </c>
      <c r="N192" s="268">
        <f>'Building List'!M67</f>
        <v>3444659</v>
      </c>
      <c r="O192">
        <f>'Building List'!N67</f>
        <v>1</v>
      </c>
    </row>
    <row r="193" spans="1:15">
      <c r="A193" s="967" t="str">
        <f>'Building List'!A36</f>
        <v>3D39</v>
      </c>
      <c r="B193" t="str">
        <f>'Building List'!$B$2</f>
        <v>ACADEMIC</v>
      </c>
      <c r="C193" t="str">
        <f>'Building List'!B36</f>
        <v>Peter B Lewis</v>
      </c>
      <c r="D193" t="str">
        <f>'Building List'!C36</f>
        <v>Bellflower Road 11119</v>
      </c>
      <c r="E193" s="967">
        <f>'Building List'!D36</f>
        <v>2</v>
      </c>
      <c r="F193" s="967">
        <f>'Building List'!E36</f>
        <v>149900</v>
      </c>
      <c r="G193" s="967">
        <f>'Building List'!F36</f>
        <v>2002</v>
      </c>
      <c r="H193" s="967">
        <f>'Building List'!G36</f>
        <v>2002</v>
      </c>
      <c r="I193" s="967">
        <f>'Building List'!H36</f>
        <v>2002</v>
      </c>
      <c r="J193" s="967">
        <f>'Building List'!I36</f>
        <v>0</v>
      </c>
      <c r="K193" s="967" t="str">
        <f>'Building List'!J36</f>
        <v>Y</v>
      </c>
      <c r="L193" s="967" t="str">
        <f>'Building List'!K36</f>
        <v>FULL</v>
      </c>
      <c r="M193" s="967" t="str">
        <f>'Building List'!L36</f>
        <v>AC</v>
      </c>
      <c r="N193" s="268">
        <f>'Building List'!M36</f>
        <v>70842353</v>
      </c>
      <c r="O193">
        <f>'Building List'!N36</f>
        <v>1</v>
      </c>
    </row>
    <row r="194" spans="1:15">
      <c r="A194" s="967" t="str">
        <f>'Building List'!A102</f>
        <v>5C29</v>
      </c>
      <c r="B194" t="str">
        <f>'Building List'!$B$88</f>
        <v>COMMERCIAL RESIDENTIAL</v>
      </c>
      <c r="C194" t="str">
        <f>'Building List'!B102</f>
        <v>Murray Hill 2266 - House</v>
      </c>
      <c r="D194" t="str">
        <f>'Building List'!C102</f>
        <v>Murray Hill 2266</v>
      </c>
      <c r="E194" s="967">
        <f>'Building List'!D102</f>
        <v>0</v>
      </c>
      <c r="F194" s="967">
        <f>'Building List'!E102</f>
        <v>1900</v>
      </c>
      <c r="G194" s="967">
        <f>'Building List'!F102</f>
        <v>1900</v>
      </c>
      <c r="H194" s="967">
        <f>'Building List'!G102</f>
        <v>2002</v>
      </c>
      <c r="I194" s="967">
        <f>'Building List'!H102</f>
        <v>2002</v>
      </c>
      <c r="J194" s="967">
        <f>'Building List'!I102</f>
        <v>0</v>
      </c>
      <c r="K194" s="967" t="str">
        <f>'Building List'!J102</f>
        <v>N</v>
      </c>
      <c r="L194" s="967" t="str">
        <f>'Building List'!K102</f>
        <v>NONE</v>
      </c>
      <c r="M194" s="967" t="str">
        <f>'Building List'!L102</f>
        <v>CR</v>
      </c>
      <c r="N194" s="268">
        <f>'Building List'!M102</f>
        <v>172236</v>
      </c>
      <c r="O194">
        <f>'Building List'!N102</f>
        <v>1</v>
      </c>
    </row>
    <row r="195" spans="1:15">
      <c r="A195" s="967" t="str">
        <f>'Building List'!A46</f>
        <v>5D02</v>
      </c>
      <c r="B195" t="str">
        <f>'Building List'!$B$2</f>
        <v>ACADEMIC</v>
      </c>
      <c r="C195" t="str">
        <f>'Building List'!B46</f>
        <v>Wolstein Research Building</v>
      </c>
      <c r="D195" t="str">
        <f>'Building List'!C46</f>
        <v>Cornell Road 2103</v>
      </c>
      <c r="E195" s="967">
        <f>'Building List'!D46</f>
        <v>1</v>
      </c>
      <c r="F195" s="967">
        <f>'Building List'!E46</f>
        <v>320000</v>
      </c>
      <c r="G195" s="967">
        <f>'Building List'!F46</f>
        <v>2003</v>
      </c>
      <c r="H195" s="967">
        <f>'Building List'!G46</f>
        <v>2003</v>
      </c>
      <c r="I195" s="967">
        <f>'Building List'!H46</f>
        <v>2003</v>
      </c>
      <c r="J195" s="967">
        <f>'Building List'!I46</f>
        <v>0</v>
      </c>
      <c r="K195" s="967" t="str">
        <f>'Building List'!J46</f>
        <v>Y</v>
      </c>
      <c r="L195" s="967" t="str">
        <f>'Building List'!K46</f>
        <v>FULL</v>
      </c>
      <c r="M195" s="967" t="str">
        <f>'Building List'!L46</f>
        <v>AC</v>
      </c>
      <c r="N195" s="268">
        <f>'Building List'!M46</f>
        <v>79811884</v>
      </c>
      <c r="O195">
        <f>'Building List'!N46</f>
        <v>1</v>
      </c>
    </row>
    <row r="196" spans="1:15">
      <c r="A196" s="967" t="str">
        <f>'Building List'!A51</f>
        <v>5C18</v>
      </c>
      <c r="B196" t="str">
        <f>'Building List'!$B$2</f>
        <v>ACADEMIC</v>
      </c>
      <c r="C196" t="str">
        <f>'Building List'!B51</f>
        <v>Wood Research Tower</v>
      </c>
      <c r="D196" t="str">
        <f>'Building List'!C51</f>
        <v>Adelbert Road 2123</v>
      </c>
      <c r="E196" s="967">
        <f>'Building List'!D51</f>
        <v>1</v>
      </c>
      <c r="F196" s="967">
        <f>'Building List'!E51</f>
        <v>49744</v>
      </c>
      <c r="G196" s="967">
        <f>'Building List'!F51</f>
        <v>2003</v>
      </c>
      <c r="H196" s="967">
        <f>'Building List'!G51</f>
        <v>2003</v>
      </c>
      <c r="I196" s="967">
        <f>'Building List'!H51</f>
        <v>2003</v>
      </c>
      <c r="J196" s="967">
        <f>'Building List'!I51</f>
        <v>0</v>
      </c>
      <c r="K196" s="967" t="str">
        <f>'Building List'!J51</f>
        <v>Y</v>
      </c>
      <c r="L196" s="967" t="str">
        <f>'Building List'!K51</f>
        <v>FULL</v>
      </c>
      <c r="M196" s="967" t="str">
        <f>'Building List'!L51</f>
        <v>AC</v>
      </c>
      <c r="N196" s="268">
        <f>'Building List'!M51</f>
        <v>13771706</v>
      </c>
      <c r="O196">
        <f>'Building List'!N51</f>
        <v>1</v>
      </c>
    </row>
    <row r="197" spans="1:15">
      <c r="A197" s="967" t="str">
        <f>'Building List'!A153</f>
        <v>1Z10</v>
      </c>
      <c r="B197" t="str">
        <f>'Building List'!$B$152</f>
        <v>OTHER</v>
      </c>
      <c r="C197" t="str">
        <f>'Building List'!B153</f>
        <v>Lorain Avenue 3404</v>
      </c>
      <c r="D197" t="str">
        <f>'Building List'!C153</f>
        <v>Lorain Avenue 3404</v>
      </c>
      <c r="E197" s="967">
        <f>'Building List'!D153</f>
        <v>0</v>
      </c>
      <c r="F197" s="967">
        <f>'Building List'!E153</f>
        <v>4682</v>
      </c>
      <c r="G197" s="967">
        <f>'Building List'!F153</f>
        <v>1930</v>
      </c>
      <c r="H197" s="967">
        <f>'Building List'!G153</f>
        <v>2003</v>
      </c>
      <c r="I197" s="967">
        <f>'Building List'!H153</f>
        <v>2003</v>
      </c>
      <c r="J197" s="967">
        <f>'Building List'!I153</f>
        <v>0</v>
      </c>
      <c r="K197" s="967" t="str">
        <f>'Building List'!J153</f>
        <v>Y</v>
      </c>
      <c r="L197" s="967" t="str">
        <f>'Building List'!K153</f>
        <v>NONE</v>
      </c>
      <c r="M197" s="967" t="str">
        <f>'Building List'!L153</f>
        <v>AC</v>
      </c>
      <c r="N197" s="268">
        <f>'Building List'!M153</f>
        <v>103342</v>
      </c>
      <c r="O197">
        <f>'Building List'!N153</f>
        <v>1</v>
      </c>
    </row>
    <row r="198" spans="1:15">
      <c r="A198" s="967" t="str">
        <f>'Building List'!A156</f>
        <v>3D58</v>
      </c>
      <c r="B198" t="str">
        <f>'Building List'!$B$152</f>
        <v>OTHER</v>
      </c>
      <c r="C198" t="str">
        <f>'Building List'!B156</f>
        <v>Silver Spartan Diner</v>
      </c>
      <c r="D198" t="str">
        <f>'Building List'!C156</f>
        <v>Bellflower Court 11377</v>
      </c>
      <c r="E198" s="967">
        <f>'Building List'!D156</f>
        <v>0</v>
      </c>
      <c r="F198" s="967">
        <f>'Building List'!E156</f>
        <v>2351</v>
      </c>
      <c r="G198" s="967">
        <f>'Building List'!F156</f>
        <v>2003</v>
      </c>
      <c r="H198" s="967">
        <f>'Building List'!G156</f>
        <v>2003</v>
      </c>
      <c r="I198" s="967">
        <f>'Building List'!H156</f>
        <v>2003</v>
      </c>
      <c r="J198" s="967">
        <f>'Building List'!I156</f>
        <v>0</v>
      </c>
      <c r="K198" s="967" t="str">
        <f>'Building List'!J156</f>
        <v>Y</v>
      </c>
      <c r="L198" s="967" t="str">
        <f>'Building List'!K156</f>
        <v>NONE</v>
      </c>
      <c r="M198" s="967" t="str">
        <f>'Building List'!L156</f>
        <v>O</v>
      </c>
      <c r="N198" s="268">
        <f>'Building List'!M156</f>
        <v>524067</v>
      </c>
      <c r="O198">
        <f>'Building List'!N156</f>
        <v>1</v>
      </c>
    </row>
    <row r="199" spans="1:15">
      <c r="A199" s="967" t="str">
        <f>'Building List'!A10</f>
        <v>2B05</v>
      </c>
      <c r="B199" t="str">
        <f>'Building List'!$B$2</f>
        <v>ACADEMIC</v>
      </c>
      <c r="C199" t="str">
        <f>'Building List'!B10</f>
        <v>CCSB &amp; Wright Fuel Cell</v>
      </c>
      <c r="D199" t="str">
        <f>'Building List'!C10</f>
        <v>East 101st 1819</v>
      </c>
      <c r="E199" s="967">
        <f>'Building List'!D10</f>
        <v>2</v>
      </c>
      <c r="F199" s="967">
        <f>'Building List'!E10</f>
        <v>18514</v>
      </c>
      <c r="G199" s="967">
        <f>'Building List'!F10</f>
        <v>2005</v>
      </c>
      <c r="H199" s="967">
        <f>'Building List'!G10</f>
        <v>2005</v>
      </c>
      <c r="I199" s="967">
        <f>'Building List'!H10</f>
        <v>2005</v>
      </c>
      <c r="J199" s="967">
        <f>'Building List'!I10</f>
        <v>0</v>
      </c>
      <c r="K199" s="967" t="str">
        <f>'Building List'!J10</f>
        <v>Y</v>
      </c>
      <c r="L199" s="967" t="str">
        <f>'Building List'!K10</f>
        <v>FULL</v>
      </c>
      <c r="M199" s="967" t="str">
        <f>'Building List'!L10</f>
        <v>AC</v>
      </c>
      <c r="N199" s="268">
        <f>'Building List'!M10</f>
        <v>7104105</v>
      </c>
      <c r="O199">
        <f>'Building List'!N10</f>
        <v>1</v>
      </c>
    </row>
    <row r="200" spans="1:15">
      <c r="A200" s="967" t="str">
        <f>'Building List'!A82</f>
        <v>4D10</v>
      </c>
      <c r="B200" t="str">
        <f>'Building List'!$B$77</f>
        <v>COMMERCIAL</v>
      </c>
      <c r="C200" t="str">
        <f>'Building List'!B82</f>
        <v>Triangle Tower 1</v>
      </c>
      <c r="D200" t="str">
        <f>'Building List'!C82</f>
        <v>Mayfield Road 11457</v>
      </c>
      <c r="E200" s="967">
        <f>'Building List'!D82</f>
        <v>0</v>
      </c>
      <c r="F200" s="967">
        <f>'Building List'!E82</f>
        <v>145170</v>
      </c>
      <c r="G200" s="967">
        <f>'Building List'!F82</f>
        <v>1989</v>
      </c>
      <c r="H200" s="967">
        <f>'Building List'!G82</f>
        <v>2005</v>
      </c>
      <c r="I200" s="967">
        <f>'Building List'!H82</f>
        <v>2005</v>
      </c>
      <c r="J200" s="967">
        <f>'Building List'!I82</f>
        <v>0</v>
      </c>
      <c r="K200" s="967">
        <f>'Building List'!J82</f>
        <v>0</v>
      </c>
      <c r="L200" s="967" t="str">
        <f>'Building List'!K82</f>
        <v>PARTIAL</v>
      </c>
      <c r="M200" s="967" t="str">
        <f>'Building List'!L82</f>
        <v>C</v>
      </c>
      <c r="N200" s="268">
        <f>'Building List'!M82</f>
        <v>0</v>
      </c>
      <c r="O200">
        <f>'Building List'!N82</f>
        <v>1</v>
      </c>
    </row>
    <row r="201" spans="1:15">
      <c r="A201" s="967" t="str">
        <f>'Building List'!A83</f>
        <v>4D11</v>
      </c>
      <c r="B201" t="str">
        <f>'Building List'!$B$77</f>
        <v>COMMERCIAL</v>
      </c>
      <c r="C201" t="str">
        <f>'Building List'!B83</f>
        <v>Triangle Tower 2</v>
      </c>
      <c r="D201" t="str">
        <f>'Building List'!C83</f>
        <v>Mayfield Road 11477</v>
      </c>
      <c r="E201" s="967">
        <f>'Building List'!D83</f>
        <v>0</v>
      </c>
      <c r="F201" s="967">
        <f>'Building List'!E83</f>
        <v>108880</v>
      </c>
      <c r="G201" s="967">
        <f>'Building List'!F83</f>
        <v>1989</v>
      </c>
      <c r="H201" s="967">
        <f>'Building List'!G83</f>
        <v>2005</v>
      </c>
      <c r="I201" s="967">
        <f>'Building List'!H83</f>
        <v>2005</v>
      </c>
      <c r="J201" s="967">
        <f>'Building List'!I83</f>
        <v>0</v>
      </c>
      <c r="K201" s="967">
        <f>'Building List'!J83</f>
        <v>0</v>
      </c>
      <c r="L201" s="967" t="str">
        <f>'Building List'!K83</f>
        <v>PARTIAL</v>
      </c>
      <c r="M201" s="967" t="str">
        <f>'Building List'!L83</f>
        <v>C</v>
      </c>
      <c r="N201" s="268">
        <f>'Building List'!M83</f>
        <v>0</v>
      </c>
      <c r="O201">
        <f>'Building List'!N83</f>
        <v>1</v>
      </c>
    </row>
    <row r="202" spans="1:15">
      <c r="A202" s="967" t="str">
        <f>'Building List'!A128</f>
        <v>3E01</v>
      </c>
      <c r="B202" t="str">
        <f>'Building List'!$B$110</f>
        <v>RESIDENTIAL</v>
      </c>
      <c r="C202" t="str">
        <f>'Building List'!B128</f>
        <v>North Residential Village - House 1</v>
      </c>
      <c r="D202" t="str">
        <f>'Building List'!C128</f>
        <v>East 117 Street 1672</v>
      </c>
      <c r="E202" s="967">
        <f>'Building List'!D128</f>
        <v>0</v>
      </c>
      <c r="F202" s="967">
        <f>'Building List'!E128</f>
        <v>38054</v>
      </c>
      <c r="G202" s="967">
        <f>'Building List'!F128</f>
        <v>2005</v>
      </c>
      <c r="H202" s="967">
        <f>'Building List'!G128</f>
        <v>2005</v>
      </c>
      <c r="I202" s="967">
        <f>'Building List'!H128</f>
        <v>2005</v>
      </c>
      <c r="J202" s="967">
        <f>'Building List'!I128</f>
        <v>0</v>
      </c>
      <c r="K202" s="967" t="str">
        <f>'Building List'!J128</f>
        <v>Y</v>
      </c>
      <c r="L202" s="967" t="str">
        <f>'Building List'!K128</f>
        <v>FULL</v>
      </c>
      <c r="M202" s="967" t="str">
        <f>'Building List'!L128</f>
        <v>R</v>
      </c>
      <c r="N202" s="268">
        <f>'Building List'!M128</f>
        <v>0</v>
      </c>
      <c r="O202">
        <f>'Building List'!N128</f>
        <v>1</v>
      </c>
    </row>
    <row r="203" spans="1:15">
      <c r="A203" s="967" t="str">
        <f>'Building List'!A129</f>
        <v>3E02</v>
      </c>
      <c r="B203" t="str">
        <f>'Building List'!$B$110</f>
        <v>RESIDENTIAL</v>
      </c>
      <c r="C203" t="str">
        <f>'Building List'!B129</f>
        <v>North Residential Village - House 2</v>
      </c>
      <c r="D203" t="str">
        <f>'Building List'!C129</f>
        <v>East 117 Street 1697</v>
      </c>
      <c r="E203" s="967">
        <f>'Building List'!D129</f>
        <v>0</v>
      </c>
      <c r="F203" s="967">
        <f>'Building List'!E129</f>
        <v>60683</v>
      </c>
      <c r="G203" s="967">
        <f>'Building List'!F129</f>
        <v>2005</v>
      </c>
      <c r="H203" s="967">
        <f>'Building List'!G129</f>
        <v>2005</v>
      </c>
      <c r="I203" s="967">
        <f>'Building List'!H129</f>
        <v>2005</v>
      </c>
      <c r="J203" s="967">
        <f>'Building List'!I129</f>
        <v>0</v>
      </c>
      <c r="K203" s="967" t="str">
        <f>'Building List'!J129</f>
        <v>Y</v>
      </c>
      <c r="L203" s="967" t="str">
        <f>'Building List'!K129</f>
        <v>FULL</v>
      </c>
      <c r="M203" s="967" t="str">
        <f>'Building List'!L129</f>
        <v>R</v>
      </c>
      <c r="N203" s="268">
        <f>'Building List'!M129</f>
        <v>0</v>
      </c>
      <c r="O203">
        <f>'Building List'!N129</f>
        <v>1</v>
      </c>
    </row>
    <row r="204" spans="1:15">
      <c r="A204" s="967" t="str">
        <f>'Building List'!A130</f>
        <v>3E03</v>
      </c>
      <c r="B204" t="str">
        <f>'Building List'!$B$110</f>
        <v>RESIDENTIAL</v>
      </c>
      <c r="C204" t="str">
        <f>'Building List'!B130</f>
        <v>North Residential Village - House 3</v>
      </c>
      <c r="D204" t="str">
        <f>'Building List'!C130</f>
        <v>East 117 Street 1681</v>
      </c>
      <c r="E204" s="967">
        <f>'Building List'!D130</f>
        <v>0</v>
      </c>
      <c r="F204" s="967">
        <f>'Building List'!E130</f>
        <v>38508</v>
      </c>
      <c r="G204" s="967">
        <f>'Building List'!F130</f>
        <v>2005</v>
      </c>
      <c r="H204" s="967">
        <f>'Building List'!G130</f>
        <v>2005</v>
      </c>
      <c r="I204" s="967">
        <f>'Building List'!H130</f>
        <v>2005</v>
      </c>
      <c r="J204" s="967">
        <f>'Building List'!I130</f>
        <v>0</v>
      </c>
      <c r="K204" s="967" t="str">
        <f>'Building List'!J130</f>
        <v>Y</v>
      </c>
      <c r="L204" s="967" t="str">
        <f>'Building List'!K130</f>
        <v>FULL</v>
      </c>
      <c r="M204" s="967" t="str">
        <f>'Building List'!L130</f>
        <v>R</v>
      </c>
      <c r="N204" s="268">
        <f>'Building List'!M130</f>
        <v>0</v>
      </c>
      <c r="O204">
        <f>'Building List'!N130</f>
        <v>1</v>
      </c>
    </row>
    <row r="205" spans="1:15">
      <c r="A205" s="967" t="str">
        <f>'Building List'!A131</f>
        <v>3E10</v>
      </c>
      <c r="B205" t="str">
        <f>'Building List'!$B$110</f>
        <v>RESIDENTIAL</v>
      </c>
      <c r="C205" t="str">
        <f>'Building List'!B131</f>
        <v>North Residential Village - House 3A</v>
      </c>
      <c r="D205" t="str">
        <f>'Building List'!C131</f>
        <v>East 117 Street 1677</v>
      </c>
      <c r="E205" s="967">
        <f>'Building List'!D131</f>
        <v>0</v>
      </c>
      <c r="F205" s="967">
        <f>'Building List'!E131</f>
        <v>43172</v>
      </c>
      <c r="G205" s="967">
        <f>'Building List'!F131</f>
        <v>2005</v>
      </c>
      <c r="H205" s="967">
        <f>'Building List'!G131</f>
        <v>2005</v>
      </c>
      <c r="I205" s="967">
        <f>'Building List'!H131</f>
        <v>2005</v>
      </c>
      <c r="J205" s="967">
        <f>'Building List'!I131</f>
        <v>0</v>
      </c>
      <c r="K205" s="967" t="str">
        <f>'Building List'!J131</f>
        <v>Y</v>
      </c>
      <c r="L205" s="967" t="str">
        <f>'Building List'!K131</f>
        <v>FULL</v>
      </c>
      <c r="M205" s="967" t="str">
        <f>'Building List'!L131</f>
        <v>R</v>
      </c>
      <c r="N205" s="268">
        <f>'Building List'!M131</f>
        <v>0</v>
      </c>
      <c r="O205">
        <f>'Building List'!N131</f>
        <v>1</v>
      </c>
    </row>
    <row r="206" spans="1:15">
      <c r="A206" s="967" t="str">
        <f>'Building List'!A132</f>
        <v>3E04</v>
      </c>
      <c r="B206" t="str">
        <f>'Building List'!$B$110</f>
        <v>RESIDENTIAL</v>
      </c>
      <c r="C206" t="str">
        <f>'Building List'!B132</f>
        <v>North Residential Village - House 4</v>
      </c>
      <c r="D206" t="str">
        <f>'Building List'!C132</f>
        <v>East 117 Street 1665</v>
      </c>
      <c r="E206" s="967">
        <f>'Building List'!D132</f>
        <v>0</v>
      </c>
      <c r="F206" s="967">
        <f>'Building List'!E132</f>
        <v>48089</v>
      </c>
      <c r="G206" s="967">
        <f>'Building List'!F132</f>
        <v>2005</v>
      </c>
      <c r="H206" s="967">
        <f>'Building List'!G132</f>
        <v>2005</v>
      </c>
      <c r="I206" s="967">
        <f>'Building List'!H132</f>
        <v>2005</v>
      </c>
      <c r="J206" s="967">
        <f>'Building List'!I132</f>
        <v>0</v>
      </c>
      <c r="K206" s="967" t="str">
        <f>'Building List'!J132</f>
        <v>Y</v>
      </c>
      <c r="L206" s="967" t="str">
        <f>'Building List'!K132</f>
        <v>FULL</v>
      </c>
      <c r="M206" s="967" t="str">
        <f>'Building List'!L132</f>
        <v>R</v>
      </c>
      <c r="N206" s="268">
        <f>'Building List'!M132</f>
        <v>0</v>
      </c>
      <c r="O206">
        <f>'Building List'!N132</f>
        <v>1</v>
      </c>
    </row>
    <row r="207" spans="1:15">
      <c r="A207" s="967" t="str">
        <f>'Building List'!A133</f>
        <v>3E05</v>
      </c>
      <c r="B207" t="str">
        <f>'Building List'!$B$110</f>
        <v>RESIDENTIAL</v>
      </c>
      <c r="C207" t="str">
        <f>'Building List'!B133</f>
        <v>North Residential Village - House 5</v>
      </c>
      <c r="D207" t="str">
        <f>'Building List'!C133</f>
        <v>East 117 Street 1641</v>
      </c>
      <c r="E207" s="967">
        <f>'Building List'!D133</f>
        <v>0</v>
      </c>
      <c r="F207" s="967">
        <f>'Building List'!E133</f>
        <v>59597</v>
      </c>
      <c r="G207" s="967">
        <f>'Building List'!F133</f>
        <v>2005</v>
      </c>
      <c r="H207" s="967">
        <f>'Building List'!G133</f>
        <v>2005</v>
      </c>
      <c r="I207" s="967">
        <f>'Building List'!H133</f>
        <v>2005</v>
      </c>
      <c r="J207" s="967">
        <f>'Building List'!I133</f>
        <v>0</v>
      </c>
      <c r="K207" s="967" t="str">
        <f>'Building List'!J133</f>
        <v>Y</v>
      </c>
      <c r="L207" s="967" t="str">
        <f>'Building List'!K133</f>
        <v>FULL</v>
      </c>
      <c r="M207" s="967" t="str">
        <f>'Building List'!L133</f>
        <v>R</v>
      </c>
      <c r="N207" s="268">
        <f>'Building List'!M133</f>
        <v>0</v>
      </c>
      <c r="O207">
        <f>'Building List'!N133</f>
        <v>1</v>
      </c>
    </row>
    <row r="208" spans="1:15">
      <c r="A208" s="967" t="str">
        <f>'Building List'!A134</f>
        <v>3E06</v>
      </c>
      <c r="B208" t="str">
        <f>'Building List'!$B$110</f>
        <v>RESIDENTIAL</v>
      </c>
      <c r="C208" t="str">
        <f>'Building List'!B134</f>
        <v>North Residential Village - House 6</v>
      </c>
      <c r="D208" t="str">
        <f>'Building List'!C134</f>
        <v>East 117 Street 1623</v>
      </c>
      <c r="E208" s="967">
        <f>'Building List'!D134</f>
        <v>0</v>
      </c>
      <c r="F208" s="967">
        <f>'Building List'!E134</f>
        <v>55293</v>
      </c>
      <c r="G208" s="967">
        <f>'Building List'!F134</f>
        <v>2005</v>
      </c>
      <c r="H208" s="967">
        <f>'Building List'!G134</f>
        <v>2005</v>
      </c>
      <c r="I208" s="967">
        <f>'Building List'!H134</f>
        <v>2005</v>
      </c>
      <c r="J208" s="967">
        <f>'Building List'!I134</f>
        <v>0</v>
      </c>
      <c r="K208" s="967" t="str">
        <f>'Building List'!J134</f>
        <v>Y</v>
      </c>
      <c r="L208" s="967" t="str">
        <f>'Building List'!K134</f>
        <v>FULL</v>
      </c>
      <c r="M208" s="967" t="str">
        <f>'Building List'!L134</f>
        <v>R</v>
      </c>
      <c r="N208" s="268">
        <f>'Building List'!M134</f>
        <v>0</v>
      </c>
      <c r="O208">
        <f>'Building List'!N134</f>
        <v>1</v>
      </c>
    </row>
    <row r="209" spans="1:15">
      <c r="A209" s="967" t="str">
        <f>'Building List'!A135</f>
        <v>3E07</v>
      </c>
      <c r="B209" t="str">
        <f>'Building List'!$B$110</f>
        <v>RESIDENTIAL</v>
      </c>
      <c r="C209" t="str">
        <f>'Building List'!B135</f>
        <v>North Residential Village - House 7</v>
      </c>
      <c r="D209" t="str">
        <f>'Building List'!C135</f>
        <v>East 117 Street 1611</v>
      </c>
      <c r="E209" s="967">
        <f>'Building List'!D135</f>
        <v>0</v>
      </c>
      <c r="F209" s="967">
        <f>'Building List'!E135</f>
        <v>78526</v>
      </c>
      <c r="G209" s="967">
        <f>'Building List'!F135</f>
        <v>2005</v>
      </c>
      <c r="H209" s="967">
        <f>'Building List'!G135</f>
        <v>2005</v>
      </c>
      <c r="I209" s="967">
        <f>'Building List'!H135</f>
        <v>2005</v>
      </c>
      <c r="J209" s="967">
        <f>'Building List'!I135</f>
        <v>0</v>
      </c>
      <c r="K209" s="967" t="str">
        <f>'Building List'!J135</f>
        <v>Y</v>
      </c>
      <c r="L209" s="967" t="str">
        <f>'Building List'!K135</f>
        <v>FULL</v>
      </c>
      <c r="M209" s="967" t="str">
        <f>'Building List'!L135</f>
        <v>R</v>
      </c>
      <c r="N209" s="268">
        <f>'Building List'!M135</f>
        <v>0</v>
      </c>
      <c r="O209">
        <f>'Building List'!N135</f>
        <v>1</v>
      </c>
    </row>
    <row r="210" spans="1:15">
      <c r="A210" s="967" t="str">
        <f>'Building List'!A181</f>
        <v>3E65</v>
      </c>
      <c r="B210" t="str">
        <f>'Building List'!$B$177</f>
        <v>GARAGES</v>
      </c>
      <c r="C210" t="str">
        <f>'Building List'!B181</f>
        <v>Lot S-46 - NRV Garage</v>
      </c>
      <c r="D210">
        <f>'Building List'!C181</f>
        <v>0</v>
      </c>
      <c r="E210" s="967">
        <f>'Building List'!D181</f>
        <v>0</v>
      </c>
      <c r="F210" s="967">
        <f>'Building List'!E181</f>
        <v>386727</v>
      </c>
      <c r="G210" s="967">
        <f>'Building List'!F181</f>
        <v>2005</v>
      </c>
      <c r="H210" s="967">
        <f>'Building List'!G181</f>
        <v>2005</v>
      </c>
      <c r="I210" s="967">
        <f>'Building List'!H181</f>
        <v>2005</v>
      </c>
      <c r="J210" s="967">
        <f>'Building List'!I181</f>
        <v>0</v>
      </c>
      <c r="K210" s="967" t="str">
        <f>'Building List'!J181</f>
        <v>N</v>
      </c>
      <c r="L210" s="967" t="str">
        <f>'Building List'!K181</f>
        <v>PARTIAL</v>
      </c>
      <c r="M210" s="967" t="str">
        <f>'Building List'!L181</f>
        <v>G</v>
      </c>
      <c r="N210" s="268">
        <f>'Building List'!M181</f>
        <v>0</v>
      </c>
      <c r="O210">
        <f>'Building List'!N181</f>
        <v>1</v>
      </c>
    </row>
    <row r="211" spans="1:15">
      <c r="A211" s="967" t="str">
        <f>'Building List'!A186</f>
        <v>4D13</v>
      </c>
      <c r="B211" t="str">
        <f>'Building List'!$B$177</f>
        <v>GARAGES</v>
      </c>
      <c r="C211" t="str">
        <f>'Building List'!B186</f>
        <v>Triangle Parking Garage</v>
      </c>
      <c r="D211">
        <f>'Building List'!C186</f>
        <v>0</v>
      </c>
      <c r="E211" s="967">
        <f>'Building List'!D186</f>
        <v>0</v>
      </c>
      <c r="F211" s="967">
        <f>'Building List'!E186</f>
        <v>132063</v>
      </c>
      <c r="G211" s="967">
        <f>'Building List'!F186</f>
        <v>1989</v>
      </c>
      <c r="H211" s="967">
        <f>'Building List'!G186</f>
        <v>2005</v>
      </c>
      <c r="I211" s="967">
        <f>'Building List'!H186</f>
        <v>2005</v>
      </c>
      <c r="J211" s="967">
        <f>'Building List'!I186</f>
        <v>0</v>
      </c>
      <c r="K211" s="967" t="str">
        <f>'Building List'!J186</f>
        <v>N</v>
      </c>
      <c r="L211" s="967" t="str">
        <f>'Building List'!K186</f>
        <v>PARTIAL</v>
      </c>
      <c r="M211" s="967" t="str">
        <f>'Building List'!L186</f>
        <v>G</v>
      </c>
      <c r="N211" s="268">
        <f>'Building List'!M186</f>
        <v>0</v>
      </c>
      <c r="O211">
        <f>'Building List'!N186</f>
        <v>1</v>
      </c>
    </row>
    <row r="212" spans="1:15">
      <c r="A212" s="967" t="str">
        <f>'Building List'!A25</f>
        <v>3D15</v>
      </c>
      <c r="B212" t="str">
        <f>'Building List'!$B$2</f>
        <v>ACADEMIC</v>
      </c>
      <c r="C212" t="str">
        <f>'Building List'!B25</f>
        <v>Mandel Center for Nonprofit</v>
      </c>
      <c r="D212" t="str">
        <f>'Building List'!C25</f>
        <v>Bellflower Road 11402</v>
      </c>
      <c r="E212" s="967">
        <f>'Building List'!D25</f>
        <v>0</v>
      </c>
      <c r="F212" s="967">
        <f>'Building List'!E25</f>
        <v>25403</v>
      </c>
      <c r="G212" s="967">
        <f>'Building List'!F25</f>
        <v>2007</v>
      </c>
      <c r="H212" s="967">
        <f>'Building List'!G25</f>
        <v>2007</v>
      </c>
      <c r="I212" s="967">
        <f>'Building List'!H25</f>
        <v>2007</v>
      </c>
      <c r="J212" s="967">
        <f>'Building List'!I25</f>
        <v>0</v>
      </c>
      <c r="K212" s="967" t="str">
        <f>'Building List'!J25</f>
        <v>Y</v>
      </c>
      <c r="L212" s="967" t="str">
        <f>'Building List'!K25</f>
        <v>FULL</v>
      </c>
      <c r="M212" s="967" t="str">
        <f>'Building List'!L25</f>
        <v>AC</v>
      </c>
      <c r="N212" s="268">
        <f>'Building List'!M25</f>
        <v>9140220</v>
      </c>
      <c r="O212">
        <f>'Building List'!N25</f>
        <v>1</v>
      </c>
    </row>
    <row r="213" spans="1:15">
      <c r="A213" s="967" t="str">
        <f>'Building List'!A227</f>
        <v>3E75</v>
      </c>
      <c r="B213" t="str">
        <f>'Building List'!$B$222</f>
        <v>NON-UNIVERSITY OWNED PROPERTIES</v>
      </c>
      <c r="C213" t="str">
        <f>'Building List'!B227</f>
        <v>Cleveland Hearing &amp; Speech</v>
      </c>
      <c r="D213">
        <f>'Building List'!C227</f>
        <v>0</v>
      </c>
      <c r="E213" s="967">
        <f>'Building List'!D227</f>
        <v>0</v>
      </c>
      <c r="F213" s="967">
        <f>'Building List'!E227</f>
        <v>42000</v>
      </c>
      <c r="G213" s="967">
        <f>'Building List'!F227</f>
        <v>2008</v>
      </c>
      <c r="H213" s="967">
        <f>'Building List'!G227</f>
        <v>0</v>
      </c>
      <c r="I213" s="967">
        <f>'Building List'!H227</f>
        <v>2008</v>
      </c>
      <c r="J213" s="967">
        <f>'Building List'!I227</f>
        <v>0</v>
      </c>
      <c r="K213" s="967" t="str">
        <f>'Building List'!J227</f>
        <v>Y</v>
      </c>
      <c r="L213" s="967" t="str">
        <f>'Building List'!K227</f>
        <v>FULL</v>
      </c>
      <c r="M213" s="967" t="str">
        <f>'Building List'!L227</f>
        <v>AC</v>
      </c>
      <c r="N213" s="268">
        <f>'Building List'!M227</f>
        <v>0</v>
      </c>
      <c r="O213">
        <f>'Building List'!N227</f>
        <v>5</v>
      </c>
    </row>
    <row r="214" spans="1:15">
      <c r="A214" s="967" t="str">
        <f>'Building List'!A158</f>
        <v>1Z33</v>
      </c>
      <c r="B214" t="str">
        <f>'Building List'!$B$152</f>
        <v>OTHER</v>
      </c>
      <c r="C214" t="str">
        <f>'Building List'!B158</f>
        <v>Van Aken Boulevard 18975</v>
      </c>
      <c r="D214" t="str">
        <f>'Building List'!C158</f>
        <v>Van Aken Boulevard 18975</v>
      </c>
      <c r="E214" s="967">
        <f>'Building List'!D158</f>
        <v>0</v>
      </c>
      <c r="F214" s="967">
        <f>'Building List'!E158</f>
        <v>1860</v>
      </c>
      <c r="G214" s="967">
        <f>'Building List'!F158</f>
        <v>1960</v>
      </c>
      <c r="H214" s="967">
        <f>'Building List'!G158</f>
        <v>2009</v>
      </c>
      <c r="I214" s="967">
        <f>'Building List'!H158</f>
        <v>2009</v>
      </c>
      <c r="J214" s="967">
        <f>'Building List'!I158</f>
        <v>0</v>
      </c>
      <c r="K214" s="967">
        <f>'Building List'!J158</f>
        <v>0</v>
      </c>
      <c r="L214" s="967" t="str">
        <f>'Building List'!K158</f>
        <v>NONE</v>
      </c>
      <c r="M214" s="967" t="str">
        <f>'Building List'!L158</f>
        <v>O</v>
      </c>
      <c r="N214" s="268">
        <f>'Building List'!M158</f>
        <v>0</v>
      </c>
      <c r="O214">
        <f>'Building List'!N158</f>
        <v>1</v>
      </c>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sheetPr codeName="Sheet67">
    <tabColor rgb="FFFF0000"/>
  </sheetPr>
  <dimension ref="A31:U68"/>
  <sheetViews>
    <sheetView workbookViewId="0">
      <pane xSplit="1" ySplit="31" topLeftCell="B32" activePane="bottomRight" state="frozen"/>
      <selection activeCell="I1" sqref="I1:I1048576"/>
      <selection pane="topRight" activeCell="I1" sqref="I1:I1048576"/>
      <selection pane="bottomLeft" activeCell="I1" sqref="I1:I1048576"/>
      <selection pane="bottomRight"/>
    </sheetView>
  </sheetViews>
  <sheetFormatPr defaultRowHeight="15"/>
  <cols>
    <col min="1" max="1" width="9.140625" style="1484"/>
    <col min="2" max="11" width="13.42578125" style="10" customWidth="1"/>
    <col min="12" max="12" width="13.42578125" style="1270" customWidth="1"/>
    <col min="13" max="13" width="14" style="1270" customWidth="1"/>
    <col min="14" max="14" width="13.42578125" style="10" customWidth="1"/>
    <col min="15" max="15" width="14" style="10" customWidth="1"/>
    <col min="16" max="16" width="9.140625" style="10"/>
    <col min="17" max="17" width="10.5703125" style="10" bestFit="1" customWidth="1"/>
    <col min="18" max="16384" width="9.140625" style="10"/>
  </cols>
  <sheetData>
    <row r="31" spans="1:17" s="45" customFormat="1" ht="60">
      <c r="A31" s="44" t="s">
        <v>2172</v>
      </c>
      <c r="B31" s="1486" t="s">
        <v>2136</v>
      </c>
      <c r="C31" s="1486" t="s">
        <v>2000</v>
      </c>
      <c r="D31" s="1486" t="s">
        <v>1956</v>
      </c>
      <c r="E31" s="1486" t="s">
        <v>1937</v>
      </c>
      <c r="F31" s="1486" t="s">
        <v>1884</v>
      </c>
      <c r="G31" s="1486" t="s">
        <v>1773</v>
      </c>
      <c r="H31" s="1486" t="s">
        <v>1758</v>
      </c>
      <c r="I31" s="1486" t="s">
        <v>1729</v>
      </c>
      <c r="J31" s="1486" t="s">
        <v>1704</v>
      </c>
      <c r="K31" s="1486" t="s">
        <v>1640</v>
      </c>
      <c r="L31" s="1487" t="s">
        <v>37</v>
      </c>
      <c r="M31" s="1487" t="s">
        <v>2171</v>
      </c>
      <c r="N31" s="1486" t="s">
        <v>2170</v>
      </c>
      <c r="O31" s="1486" t="s">
        <v>2169</v>
      </c>
    </row>
    <row r="32" spans="1:17">
      <c r="A32" s="1484">
        <v>1980</v>
      </c>
      <c r="B32" s="781">
        <f>SUMIFS(BuildingListNoSpaces!$F$2:$F$214,BuildingListNoSpaces!$I$2:$I$214,"&lt;="&amp;$A32,BuildingListNoSpaces!$B$2:$B$214,B$31)-SUMIFS(BuildingListNoSpaces!$F$2:$F$214,BuildingListNoSpaces!$J$2:$J$214,"&gt;="&amp;$A32,BuildingListNoSpaces!$B$2:$B$214,B$31)</f>
        <v>2409532.9999999995</v>
      </c>
      <c r="C32" s="781">
        <f>SUMIFS(BuildingListNoSpaces!$F$2:$F$214,BuildingListNoSpaces!$I$2:$I$214,"&lt;="&amp;$A32,BuildingListNoSpaces!$B$2:$B$214,C$31)-SUMIFS(BuildingListNoSpaces!$F$2:$F$214,BuildingListNoSpaces!$J$2:$J$214,"&gt;="&amp;$A32,BuildingListNoSpaces!$B$2:$B$214,C$31)</f>
        <v>265987</v>
      </c>
      <c r="D32" s="781">
        <f>SUMIFS(BuildingListNoSpaces!$F$2:$F$214,BuildingListNoSpaces!$I$2:$I$214,"&lt;="&amp;$A32,BuildingListNoSpaces!$B$2:$B$214,D$31)-SUMIFS(BuildingListNoSpaces!$F$2:$F$214,BuildingListNoSpaces!$J$2:$J$214,"&gt;="&amp;$A32,BuildingListNoSpaces!$B$2:$B$214,D$31)</f>
        <v>12200</v>
      </c>
      <c r="E32" s="781">
        <f>SUMIFS(BuildingListNoSpaces!$F$2:$F$214,BuildingListNoSpaces!$I$2:$I$214,"&lt;="&amp;$A32,BuildingListNoSpaces!$B$2:$B$214,E$31)-SUMIFS(BuildingListNoSpaces!$F$2:$F$214,BuildingListNoSpaces!$J$2:$J$214,"&gt;="&amp;$A32,BuildingListNoSpaces!$B$2:$B$214,E$31)</f>
        <v>50585</v>
      </c>
      <c r="F32" s="781">
        <f>SUMIFS(BuildingListNoSpaces!$F$2:$F$214,BuildingListNoSpaces!$I$2:$I$214,"&lt;="&amp;$A32,BuildingListNoSpaces!$B$2:$B$214,F$31)-SUMIFS(BuildingListNoSpaces!$F$2:$F$214,BuildingListNoSpaces!$J$2:$J$214,"&gt;="&amp;$A32,BuildingListNoSpaces!$B$2:$B$214,F$31)</f>
        <v>701032</v>
      </c>
      <c r="G32" s="781">
        <f>SUMIFS(BuildingListNoSpaces!$F$2:$F$214,BuildingListNoSpaces!$I$2:$I$214,"&lt;="&amp;$A32,BuildingListNoSpaces!$B$2:$B$214,G$31)-SUMIFS(BuildingListNoSpaces!$F$2:$F$214,BuildingListNoSpaces!$J$2:$J$214,"&gt;="&amp;$A32,BuildingListNoSpaces!$B$2:$B$214,G$31)</f>
        <v>5500</v>
      </c>
      <c r="H32" s="781">
        <f>SUMIFS(BuildingListNoSpaces!$F$2:$F$214,BuildingListNoSpaces!$I$2:$I$214,"&lt;="&amp;$A32,BuildingListNoSpaces!$B$2:$B$214,H$31)-SUMIFS(BuildingListNoSpaces!$F$2:$F$214,BuildingListNoSpaces!$J$2:$J$214,"&gt;="&amp;$A32,BuildingListNoSpaces!$B$2:$B$214,H$31)</f>
        <v>102523</v>
      </c>
      <c r="I32" s="781">
        <f>SUMIFS(BuildingListNoSpaces!$F$2:$F$214,BuildingListNoSpaces!$I$2:$I$214,"&lt;="&amp;$A32,BuildingListNoSpaces!$B$2:$B$214,I$31)-SUMIFS(BuildingListNoSpaces!$F$2:$F$214,BuildingListNoSpaces!$J$2:$J$214,"&gt;="&amp;$A32,BuildingListNoSpaces!$B$2:$B$214,I$31)</f>
        <v>533292</v>
      </c>
      <c r="J32" s="781">
        <f>SUMIFS(BuildingListNoSpaces!$F$2:$F$214,BuildingListNoSpaces!$I$2:$I$214,"&lt;="&amp;$A32,BuildingListNoSpaces!$B$2:$B$214,J$31)-SUMIFS(BuildingListNoSpaces!$F$2:$F$214,BuildingListNoSpaces!$J$2:$J$214,"&gt;="&amp;$A32,BuildingListNoSpaces!$B$2:$B$214,J$31)</f>
        <v>58883</v>
      </c>
      <c r="K32" s="781">
        <f>SUMIFS(BuildingListNoSpaces!$F$2:$F$214,BuildingListNoSpaces!$I$2:$I$214,"&lt;="&amp;$A32,BuildingListNoSpaces!$B$2:$B$214,K$31)-SUMIFS(BuildingListNoSpaces!$F$2:$F$214,BuildingListNoSpaces!$J$2:$J$214,"&gt;="&amp;$A32,BuildingListNoSpaces!$B$2:$B$214,K$31)</f>
        <v>455204</v>
      </c>
      <c r="L32" s="1273">
        <f t="shared" ref="L32:L62" si="0">SUM(B32:K32)</f>
        <v>4594739</v>
      </c>
      <c r="M32" s="1273">
        <f t="shared" ref="M32:M62" si="1">L32-J32-I32</f>
        <v>4002564</v>
      </c>
      <c r="N32" s="782"/>
      <c r="O32" s="781"/>
      <c r="Q32" s="1488">
        <f t="shared" ref="Q32:Q40" si="2">$Q$42*$U$40</f>
        <v>7142.3416172885809</v>
      </c>
    </row>
    <row r="33" spans="1:21">
      <c r="A33" s="1484">
        <f t="shared" ref="A33:A62" si="3">A32+1</f>
        <v>1981</v>
      </c>
      <c r="B33" s="781">
        <f>SUMIFS(BuildingListNoSpaces!$F$2:$F$214,BuildingListNoSpaces!$I$2:$I$214,"&lt;="&amp;$A33,BuildingListNoSpaces!$B$2:$B$214,B$31)-SUMIFS(BuildingListNoSpaces!$F$2:$F$214,BuildingListNoSpaces!$J$2:$J$214,"&gt;="&amp;$A33,BuildingListNoSpaces!$B$2:$B$214,B$31)</f>
        <v>2409532.9999999995</v>
      </c>
      <c r="C33" s="781">
        <f>SUMIFS(BuildingListNoSpaces!$F$2:$F$214,BuildingListNoSpaces!$I$2:$I$214,"&lt;="&amp;$A33,BuildingListNoSpaces!$B$2:$B$214,C$31)-SUMIFS(BuildingListNoSpaces!$F$2:$F$214,BuildingListNoSpaces!$J$2:$J$214,"&gt;="&amp;$A33,BuildingListNoSpaces!$B$2:$B$214,C$31)</f>
        <v>265987</v>
      </c>
      <c r="D33" s="781">
        <f>SUMIFS(BuildingListNoSpaces!$F$2:$F$214,BuildingListNoSpaces!$I$2:$I$214,"&lt;="&amp;$A33,BuildingListNoSpaces!$B$2:$B$214,D$31)-SUMIFS(BuildingListNoSpaces!$F$2:$F$214,BuildingListNoSpaces!$J$2:$J$214,"&gt;="&amp;$A33,BuildingListNoSpaces!$B$2:$B$214,D$31)</f>
        <v>12200</v>
      </c>
      <c r="E33" s="781">
        <f>SUMIFS(BuildingListNoSpaces!$F$2:$F$214,BuildingListNoSpaces!$I$2:$I$214,"&lt;="&amp;$A33,BuildingListNoSpaces!$B$2:$B$214,E$31)-SUMIFS(BuildingListNoSpaces!$F$2:$F$214,BuildingListNoSpaces!$J$2:$J$214,"&gt;="&amp;$A33,BuildingListNoSpaces!$B$2:$B$214,E$31)</f>
        <v>52585</v>
      </c>
      <c r="F33" s="781">
        <f>SUMIFS(BuildingListNoSpaces!$F$2:$F$214,BuildingListNoSpaces!$I$2:$I$214,"&lt;="&amp;$A33,BuildingListNoSpaces!$B$2:$B$214,F$31)-SUMIFS(BuildingListNoSpaces!$F$2:$F$214,BuildingListNoSpaces!$J$2:$J$214,"&gt;="&amp;$A33,BuildingListNoSpaces!$B$2:$B$214,F$31)</f>
        <v>701032</v>
      </c>
      <c r="G33" s="781">
        <f>SUMIFS(BuildingListNoSpaces!$F$2:$F$214,BuildingListNoSpaces!$I$2:$I$214,"&lt;="&amp;$A33,BuildingListNoSpaces!$B$2:$B$214,G$31)-SUMIFS(BuildingListNoSpaces!$F$2:$F$214,BuildingListNoSpaces!$J$2:$J$214,"&gt;="&amp;$A33,BuildingListNoSpaces!$B$2:$B$214,G$31)</f>
        <v>5500</v>
      </c>
      <c r="H33" s="781">
        <f>SUMIFS(BuildingListNoSpaces!$F$2:$F$214,BuildingListNoSpaces!$I$2:$I$214,"&lt;="&amp;$A33,BuildingListNoSpaces!$B$2:$B$214,H$31)-SUMIFS(BuildingListNoSpaces!$F$2:$F$214,BuildingListNoSpaces!$J$2:$J$214,"&gt;="&amp;$A33,BuildingListNoSpaces!$B$2:$B$214,H$31)</f>
        <v>102523</v>
      </c>
      <c r="I33" s="781">
        <f>SUMIFS(BuildingListNoSpaces!$F$2:$F$214,BuildingListNoSpaces!$I$2:$I$214,"&lt;="&amp;$A33,BuildingListNoSpaces!$B$2:$B$214,I$31)-SUMIFS(BuildingListNoSpaces!$F$2:$F$214,BuildingListNoSpaces!$J$2:$J$214,"&gt;="&amp;$A33,BuildingListNoSpaces!$B$2:$B$214,I$31)</f>
        <v>533292</v>
      </c>
      <c r="J33" s="781">
        <f>SUMIFS(BuildingListNoSpaces!$F$2:$F$214,BuildingListNoSpaces!$I$2:$I$214,"&lt;="&amp;$A33,BuildingListNoSpaces!$B$2:$B$214,J$31)-SUMIFS(BuildingListNoSpaces!$F$2:$F$214,BuildingListNoSpaces!$J$2:$J$214,"&gt;="&amp;$A33,BuildingListNoSpaces!$B$2:$B$214,J$31)</f>
        <v>58883</v>
      </c>
      <c r="K33" s="781">
        <f>SUMIFS(BuildingListNoSpaces!$F$2:$F$214,BuildingListNoSpaces!$I$2:$I$214,"&lt;="&amp;$A33,BuildingListNoSpaces!$B$2:$B$214,K$31)-SUMIFS(BuildingListNoSpaces!$F$2:$F$214,BuildingListNoSpaces!$J$2:$J$214,"&gt;="&amp;$A33,BuildingListNoSpaces!$B$2:$B$214,K$31)</f>
        <v>455204</v>
      </c>
      <c r="L33" s="1273">
        <f t="shared" si="0"/>
        <v>4596739</v>
      </c>
      <c r="M33" s="1273">
        <f t="shared" si="1"/>
        <v>4004564</v>
      </c>
      <c r="N33" s="782"/>
      <c r="O33" s="781"/>
      <c r="Q33" s="1488">
        <f t="shared" si="2"/>
        <v>7142.3416172885809</v>
      </c>
    </row>
    <row r="34" spans="1:21">
      <c r="A34" s="1484">
        <f t="shared" si="3"/>
        <v>1982</v>
      </c>
      <c r="B34" s="781">
        <f>SUMIFS(BuildingListNoSpaces!$F$2:$F$214,BuildingListNoSpaces!$I$2:$I$214,"&lt;="&amp;$A34,BuildingListNoSpaces!$B$2:$B$214,B$31)-SUMIFS(BuildingListNoSpaces!$F$2:$F$214,BuildingListNoSpaces!$J$2:$J$214,"&gt;="&amp;$A34,BuildingListNoSpaces!$B$2:$B$214,B$31)</f>
        <v>2409532.9999999995</v>
      </c>
      <c r="C34" s="781">
        <f>SUMIFS(BuildingListNoSpaces!$F$2:$F$214,BuildingListNoSpaces!$I$2:$I$214,"&lt;="&amp;$A34,BuildingListNoSpaces!$B$2:$B$214,C$31)-SUMIFS(BuildingListNoSpaces!$F$2:$F$214,BuildingListNoSpaces!$J$2:$J$214,"&gt;="&amp;$A34,BuildingListNoSpaces!$B$2:$B$214,C$31)</f>
        <v>265987</v>
      </c>
      <c r="D34" s="781">
        <f>SUMIFS(BuildingListNoSpaces!$F$2:$F$214,BuildingListNoSpaces!$I$2:$I$214,"&lt;="&amp;$A34,BuildingListNoSpaces!$B$2:$B$214,D$31)-SUMIFS(BuildingListNoSpaces!$F$2:$F$214,BuildingListNoSpaces!$J$2:$J$214,"&gt;="&amp;$A34,BuildingListNoSpaces!$B$2:$B$214,D$31)</f>
        <v>12200</v>
      </c>
      <c r="E34" s="781">
        <f>SUMIFS(BuildingListNoSpaces!$F$2:$F$214,BuildingListNoSpaces!$I$2:$I$214,"&lt;="&amp;$A34,BuildingListNoSpaces!$B$2:$B$214,E$31)-SUMIFS(BuildingListNoSpaces!$F$2:$F$214,BuildingListNoSpaces!$J$2:$J$214,"&gt;="&amp;$A34,BuildingListNoSpaces!$B$2:$B$214,E$31)</f>
        <v>52585</v>
      </c>
      <c r="F34" s="781">
        <f>SUMIFS(BuildingListNoSpaces!$F$2:$F$214,BuildingListNoSpaces!$I$2:$I$214,"&lt;="&amp;$A34,BuildingListNoSpaces!$B$2:$B$214,F$31)-SUMIFS(BuildingListNoSpaces!$F$2:$F$214,BuildingListNoSpaces!$J$2:$J$214,"&gt;="&amp;$A34,BuildingListNoSpaces!$B$2:$B$214,F$31)</f>
        <v>701032</v>
      </c>
      <c r="G34" s="781">
        <f>SUMIFS(BuildingListNoSpaces!$F$2:$F$214,BuildingListNoSpaces!$I$2:$I$214,"&lt;="&amp;$A34,BuildingListNoSpaces!$B$2:$B$214,G$31)-SUMIFS(BuildingListNoSpaces!$F$2:$F$214,BuildingListNoSpaces!$J$2:$J$214,"&gt;="&amp;$A34,BuildingListNoSpaces!$B$2:$B$214,G$31)</f>
        <v>5500</v>
      </c>
      <c r="H34" s="781">
        <f>SUMIFS(BuildingListNoSpaces!$F$2:$F$214,BuildingListNoSpaces!$I$2:$I$214,"&lt;="&amp;$A34,BuildingListNoSpaces!$B$2:$B$214,H$31)-SUMIFS(BuildingListNoSpaces!$F$2:$F$214,BuildingListNoSpaces!$J$2:$J$214,"&gt;="&amp;$A34,BuildingListNoSpaces!$B$2:$B$214,H$31)</f>
        <v>102523</v>
      </c>
      <c r="I34" s="781">
        <f>SUMIFS(BuildingListNoSpaces!$F$2:$F$214,BuildingListNoSpaces!$I$2:$I$214,"&lt;="&amp;$A34,BuildingListNoSpaces!$B$2:$B$214,I$31)-SUMIFS(BuildingListNoSpaces!$F$2:$F$214,BuildingListNoSpaces!$J$2:$J$214,"&gt;="&amp;$A34,BuildingListNoSpaces!$B$2:$B$214,I$31)</f>
        <v>533292</v>
      </c>
      <c r="J34" s="781">
        <f>SUMIFS(BuildingListNoSpaces!$F$2:$F$214,BuildingListNoSpaces!$I$2:$I$214,"&lt;="&amp;$A34,BuildingListNoSpaces!$B$2:$B$214,J$31)-SUMIFS(BuildingListNoSpaces!$F$2:$F$214,BuildingListNoSpaces!$J$2:$J$214,"&gt;="&amp;$A34,BuildingListNoSpaces!$B$2:$B$214,J$31)</f>
        <v>58883</v>
      </c>
      <c r="K34" s="781">
        <f>SUMIFS(BuildingListNoSpaces!$F$2:$F$214,BuildingListNoSpaces!$I$2:$I$214,"&lt;="&amp;$A34,BuildingListNoSpaces!$B$2:$B$214,K$31)-SUMIFS(BuildingListNoSpaces!$F$2:$F$214,BuildingListNoSpaces!$J$2:$J$214,"&gt;="&amp;$A34,BuildingListNoSpaces!$B$2:$B$214,K$31)</f>
        <v>455204</v>
      </c>
      <c r="L34" s="1273">
        <f t="shared" si="0"/>
        <v>4596739</v>
      </c>
      <c r="M34" s="1273">
        <f t="shared" si="1"/>
        <v>4004564</v>
      </c>
      <c r="N34" s="782"/>
      <c r="O34" s="781"/>
      <c r="Q34" s="1488">
        <f t="shared" si="2"/>
        <v>7142.3416172885809</v>
      </c>
    </row>
    <row r="35" spans="1:21">
      <c r="A35" s="1484">
        <f t="shared" si="3"/>
        <v>1983</v>
      </c>
      <c r="B35" s="781">
        <f>SUMIFS(BuildingListNoSpaces!$F$2:$F$214,BuildingListNoSpaces!$I$2:$I$214,"&lt;="&amp;$A35,BuildingListNoSpaces!$B$2:$B$214,B$31)-SUMIFS(BuildingListNoSpaces!$F$2:$F$214,BuildingListNoSpaces!$J$2:$J$214,"&gt;="&amp;$A35,BuildingListNoSpaces!$B$2:$B$214,B$31)</f>
        <v>2409532.9999999995</v>
      </c>
      <c r="C35" s="781">
        <f>SUMIFS(BuildingListNoSpaces!$F$2:$F$214,BuildingListNoSpaces!$I$2:$I$214,"&lt;="&amp;$A35,BuildingListNoSpaces!$B$2:$B$214,C$31)-SUMIFS(BuildingListNoSpaces!$F$2:$F$214,BuildingListNoSpaces!$J$2:$J$214,"&gt;="&amp;$A35,BuildingListNoSpaces!$B$2:$B$214,C$31)</f>
        <v>265987</v>
      </c>
      <c r="D35" s="781">
        <f>SUMIFS(BuildingListNoSpaces!$F$2:$F$214,BuildingListNoSpaces!$I$2:$I$214,"&lt;="&amp;$A35,BuildingListNoSpaces!$B$2:$B$214,D$31)-SUMIFS(BuildingListNoSpaces!$F$2:$F$214,BuildingListNoSpaces!$J$2:$J$214,"&gt;="&amp;$A35,BuildingListNoSpaces!$B$2:$B$214,D$31)</f>
        <v>12200</v>
      </c>
      <c r="E35" s="781">
        <f>SUMIFS(BuildingListNoSpaces!$F$2:$F$214,BuildingListNoSpaces!$I$2:$I$214,"&lt;="&amp;$A35,BuildingListNoSpaces!$B$2:$B$214,E$31)-SUMIFS(BuildingListNoSpaces!$F$2:$F$214,BuildingListNoSpaces!$J$2:$J$214,"&gt;="&amp;$A35,BuildingListNoSpaces!$B$2:$B$214,E$31)</f>
        <v>52585</v>
      </c>
      <c r="F35" s="781">
        <f>SUMIFS(BuildingListNoSpaces!$F$2:$F$214,BuildingListNoSpaces!$I$2:$I$214,"&lt;="&amp;$A35,BuildingListNoSpaces!$B$2:$B$214,F$31)-SUMIFS(BuildingListNoSpaces!$F$2:$F$214,BuildingListNoSpaces!$J$2:$J$214,"&gt;="&amp;$A35,BuildingListNoSpaces!$B$2:$B$214,F$31)</f>
        <v>701032</v>
      </c>
      <c r="G35" s="781">
        <f>SUMIFS(BuildingListNoSpaces!$F$2:$F$214,BuildingListNoSpaces!$I$2:$I$214,"&lt;="&amp;$A35,BuildingListNoSpaces!$B$2:$B$214,G$31)-SUMIFS(BuildingListNoSpaces!$F$2:$F$214,BuildingListNoSpaces!$J$2:$J$214,"&gt;="&amp;$A35,BuildingListNoSpaces!$B$2:$B$214,G$31)</f>
        <v>5500</v>
      </c>
      <c r="H35" s="781">
        <f>SUMIFS(BuildingListNoSpaces!$F$2:$F$214,BuildingListNoSpaces!$I$2:$I$214,"&lt;="&amp;$A35,BuildingListNoSpaces!$B$2:$B$214,H$31)-SUMIFS(BuildingListNoSpaces!$F$2:$F$214,BuildingListNoSpaces!$J$2:$J$214,"&gt;="&amp;$A35,BuildingListNoSpaces!$B$2:$B$214,H$31)</f>
        <v>102523</v>
      </c>
      <c r="I35" s="781">
        <f>SUMIFS(BuildingListNoSpaces!$F$2:$F$214,BuildingListNoSpaces!$I$2:$I$214,"&lt;="&amp;$A35,BuildingListNoSpaces!$B$2:$B$214,I$31)-SUMIFS(BuildingListNoSpaces!$F$2:$F$214,BuildingListNoSpaces!$J$2:$J$214,"&gt;="&amp;$A35,BuildingListNoSpaces!$B$2:$B$214,I$31)</f>
        <v>533292</v>
      </c>
      <c r="J35" s="781">
        <f>SUMIFS(BuildingListNoSpaces!$F$2:$F$214,BuildingListNoSpaces!$I$2:$I$214,"&lt;="&amp;$A35,BuildingListNoSpaces!$B$2:$B$214,J$31)-SUMIFS(BuildingListNoSpaces!$F$2:$F$214,BuildingListNoSpaces!$J$2:$J$214,"&gt;="&amp;$A35,BuildingListNoSpaces!$B$2:$B$214,J$31)</f>
        <v>58883</v>
      </c>
      <c r="K35" s="781">
        <f>SUMIFS(BuildingListNoSpaces!$F$2:$F$214,BuildingListNoSpaces!$I$2:$I$214,"&lt;="&amp;$A35,BuildingListNoSpaces!$B$2:$B$214,K$31)-SUMIFS(BuildingListNoSpaces!$F$2:$F$214,BuildingListNoSpaces!$J$2:$J$214,"&gt;="&amp;$A35,BuildingListNoSpaces!$B$2:$B$214,K$31)</f>
        <v>455204</v>
      </c>
      <c r="L35" s="1273">
        <f t="shared" si="0"/>
        <v>4596739</v>
      </c>
      <c r="M35" s="1273">
        <f t="shared" si="1"/>
        <v>4004564</v>
      </c>
      <c r="N35" s="782"/>
      <c r="O35" s="781"/>
      <c r="Q35" s="1488">
        <f t="shared" si="2"/>
        <v>7142.3416172885809</v>
      </c>
    </row>
    <row r="36" spans="1:21">
      <c r="A36" s="1484">
        <f t="shared" si="3"/>
        <v>1984</v>
      </c>
      <c r="B36" s="781">
        <f>SUMIFS(BuildingListNoSpaces!$F$2:$F$214,BuildingListNoSpaces!$I$2:$I$214,"&lt;="&amp;$A36,BuildingListNoSpaces!$B$2:$B$214,B$31)-SUMIFS(BuildingListNoSpaces!$F$2:$F$214,BuildingListNoSpaces!$J$2:$J$214,"&gt;="&amp;$A36,BuildingListNoSpaces!$B$2:$B$214,B$31)</f>
        <v>2409532.9999999995</v>
      </c>
      <c r="C36" s="781">
        <f>SUMIFS(BuildingListNoSpaces!$F$2:$F$214,BuildingListNoSpaces!$I$2:$I$214,"&lt;="&amp;$A36,BuildingListNoSpaces!$B$2:$B$214,C$31)-SUMIFS(BuildingListNoSpaces!$F$2:$F$214,BuildingListNoSpaces!$J$2:$J$214,"&gt;="&amp;$A36,BuildingListNoSpaces!$B$2:$B$214,C$31)</f>
        <v>265987</v>
      </c>
      <c r="D36" s="781">
        <f>SUMIFS(BuildingListNoSpaces!$F$2:$F$214,BuildingListNoSpaces!$I$2:$I$214,"&lt;="&amp;$A36,BuildingListNoSpaces!$B$2:$B$214,D$31)-SUMIFS(BuildingListNoSpaces!$F$2:$F$214,BuildingListNoSpaces!$J$2:$J$214,"&gt;="&amp;$A36,BuildingListNoSpaces!$B$2:$B$214,D$31)</f>
        <v>12200</v>
      </c>
      <c r="E36" s="781">
        <f>SUMIFS(BuildingListNoSpaces!$F$2:$F$214,BuildingListNoSpaces!$I$2:$I$214,"&lt;="&amp;$A36,BuildingListNoSpaces!$B$2:$B$214,E$31)-SUMIFS(BuildingListNoSpaces!$F$2:$F$214,BuildingListNoSpaces!$J$2:$J$214,"&gt;="&amp;$A36,BuildingListNoSpaces!$B$2:$B$214,E$31)</f>
        <v>52585</v>
      </c>
      <c r="F36" s="781">
        <f>SUMIFS(BuildingListNoSpaces!$F$2:$F$214,BuildingListNoSpaces!$I$2:$I$214,"&lt;="&amp;$A36,BuildingListNoSpaces!$B$2:$B$214,F$31)-SUMIFS(BuildingListNoSpaces!$F$2:$F$214,BuildingListNoSpaces!$J$2:$J$214,"&gt;="&amp;$A36,BuildingListNoSpaces!$B$2:$B$214,F$31)</f>
        <v>701032</v>
      </c>
      <c r="G36" s="781">
        <f>SUMIFS(BuildingListNoSpaces!$F$2:$F$214,BuildingListNoSpaces!$I$2:$I$214,"&lt;="&amp;$A36,BuildingListNoSpaces!$B$2:$B$214,G$31)-SUMIFS(BuildingListNoSpaces!$F$2:$F$214,BuildingListNoSpaces!$J$2:$J$214,"&gt;="&amp;$A36,BuildingListNoSpaces!$B$2:$B$214,G$31)</f>
        <v>5500</v>
      </c>
      <c r="H36" s="781">
        <f>SUMIFS(BuildingListNoSpaces!$F$2:$F$214,BuildingListNoSpaces!$I$2:$I$214,"&lt;="&amp;$A36,BuildingListNoSpaces!$B$2:$B$214,H$31)-SUMIFS(BuildingListNoSpaces!$F$2:$F$214,BuildingListNoSpaces!$J$2:$J$214,"&gt;="&amp;$A36,BuildingListNoSpaces!$B$2:$B$214,H$31)</f>
        <v>102523</v>
      </c>
      <c r="I36" s="781">
        <f>SUMIFS(BuildingListNoSpaces!$F$2:$F$214,BuildingListNoSpaces!$I$2:$I$214,"&lt;="&amp;$A36,BuildingListNoSpaces!$B$2:$B$214,I$31)-SUMIFS(BuildingListNoSpaces!$F$2:$F$214,BuildingListNoSpaces!$J$2:$J$214,"&gt;="&amp;$A36,BuildingListNoSpaces!$B$2:$B$214,I$31)</f>
        <v>533292</v>
      </c>
      <c r="J36" s="781">
        <f>SUMIFS(BuildingListNoSpaces!$F$2:$F$214,BuildingListNoSpaces!$I$2:$I$214,"&lt;="&amp;$A36,BuildingListNoSpaces!$B$2:$B$214,J$31)-SUMIFS(BuildingListNoSpaces!$F$2:$F$214,BuildingListNoSpaces!$J$2:$J$214,"&gt;="&amp;$A36,BuildingListNoSpaces!$B$2:$B$214,J$31)</f>
        <v>58883</v>
      </c>
      <c r="K36" s="781">
        <f>SUMIFS(BuildingListNoSpaces!$F$2:$F$214,BuildingListNoSpaces!$I$2:$I$214,"&lt;="&amp;$A36,BuildingListNoSpaces!$B$2:$B$214,K$31)-SUMIFS(BuildingListNoSpaces!$F$2:$F$214,BuildingListNoSpaces!$J$2:$J$214,"&gt;="&amp;$A36,BuildingListNoSpaces!$B$2:$B$214,K$31)</f>
        <v>455204</v>
      </c>
      <c r="L36" s="1273">
        <f t="shared" si="0"/>
        <v>4596739</v>
      </c>
      <c r="M36" s="1273">
        <f t="shared" si="1"/>
        <v>4004564</v>
      </c>
      <c r="N36" s="782"/>
      <c r="O36" s="781"/>
      <c r="Q36" s="1488">
        <f t="shared" si="2"/>
        <v>7142.3416172885809</v>
      </c>
    </row>
    <row r="37" spans="1:21">
      <c r="A37" s="1484">
        <f t="shared" si="3"/>
        <v>1985</v>
      </c>
      <c r="B37" s="781">
        <f>SUMIFS(BuildingListNoSpaces!$F$2:$F$214,BuildingListNoSpaces!$I$2:$I$214,"&lt;="&amp;$A37,BuildingListNoSpaces!$B$2:$B$214,B$31)-SUMIFS(BuildingListNoSpaces!$F$2:$F$214,BuildingListNoSpaces!$J$2:$J$214,"&gt;="&amp;$A37,BuildingListNoSpaces!$B$2:$B$214,B$31)</f>
        <v>2409532.9999999995</v>
      </c>
      <c r="C37" s="781">
        <f>SUMIFS(BuildingListNoSpaces!$F$2:$F$214,BuildingListNoSpaces!$I$2:$I$214,"&lt;="&amp;$A37,BuildingListNoSpaces!$B$2:$B$214,C$31)-SUMIFS(BuildingListNoSpaces!$F$2:$F$214,BuildingListNoSpaces!$J$2:$J$214,"&gt;="&amp;$A37,BuildingListNoSpaces!$B$2:$B$214,C$31)</f>
        <v>265987</v>
      </c>
      <c r="D37" s="781">
        <f>SUMIFS(BuildingListNoSpaces!$F$2:$F$214,BuildingListNoSpaces!$I$2:$I$214,"&lt;="&amp;$A37,BuildingListNoSpaces!$B$2:$B$214,D$31)-SUMIFS(BuildingListNoSpaces!$F$2:$F$214,BuildingListNoSpaces!$J$2:$J$214,"&gt;="&amp;$A37,BuildingListNoSpaces!$B$2:$B$214,D$31)</f>
        <v>12200</v>
      </c>
      <c r="E37" s="781">
        <f>SUMIFS(BuildingListNoSpaces!$F$2:$F$214,BuildingListNoSpaces!$I$2:$I$214,"&lt;="&amp;$A37,BuildingListNoSpaces!$B$2:$B$214,E$31)-SUMIFS(BuildingListNoSpaces!$F$2:$F$214,BuildingListNoSpaces!$J$2:$J$214,"&gt;="&amp;$A37,BuildingListNoSpaces!$B$2:$B$214,E$31)</f>
        <v>52585</v>
      </c>
      <c r="F37" s="781">
        <f>SUMIFS(BuildingListNoSpaces!$F$2:$F$214,BuildingListNoSpaces!$I$2:$I$214,"&lt;="&amp;$A37,BuildingListNoSpaces!$B$2:$B$214,F$31)-SUMIFS(BuildingListNoSpaces!$F$2:$F$214,BuildingListNoSpaces!$J$2:$J$214,"&gt;="&amp;$A37,BuildingListNoSpaces!$B$2:$B$214,F$31)</f>
        <v>701032</v>
      </c>
      <c r="G37" s="781">
        <f>SUMIFS(BuildingListNoSpaces!$F$2:$F$214,BuildingListNoSpaces!$I$2:$I$214,"&lt;="&amp;$A37,BuildingListNoSpaces!$B$2:$B$214,G$31)-SUMIFS(BuildingListNoSpaces!$F$2:$F$214,BuildingListNoSpaces!$J$2:$J$214,"&gt;="&amp;$A37,BuildingListNoSpaces!$B$2:$B$214,G$31)</f>
        <v>5500</v>
      </c>
      <c r="H37" s="781">
        <f>SUMIFS(BuildingListNoSpaces!$F$2:$F$214,BuildingListNoSpaces!$I$2:$I$214,"&lt;="&amp;$A37,BuildingListNoSpaces!$B$2:$B$214,H$31)-SUMIFS(BuildingListNoSpaces!$F$2:$F$214,BuildingListNoSpaces!$J$2:$J$214,"&gt;="&amp;$A37,BuildingListNoSpaces!$B$2:$B$214,H$31)</f>
        <v>102523</v>
      </c>
      <c r="I37" s="781">
        <f>SUMIFS(BuildingListNoSpaces!$F$2:$F$214,BuildingListNoSpaces!$I$2:$I$214,"&lt;="&amp;$A37,BuildingListNoSpaces!$B$2:$B$214,I$31)-SUMIFS(BuildingListNoSpaces!$F$2:$F$214,BuildingListNoSpaces!$J$2:$J$214,"&gt;="&amp;$A37,BuildingListNoSpaces!$B$2:$B$214,I$31)</f>
        <v>533292</v>
      </c>
      <c r="J37" s="781">
        <f>SUMIFS(BuildingListNoSpaces!$F$2:$F$214,BuildingListNoSpaces!$I$2:$I$214,"&lt;="&amp;$A37,BuildingListNoSpaces!$B$2:$B$214,J$31)-SUMIFS(BuildingListNoSpaces!$F$2:$F$214,BuildingListNoSpaces!$J$2:$J$214,"&gt;="&amp;$A37,BuildingListNoSpaces!$B$2:$B$214,J$31)</f>
        <v>58883</v>
      </c>
      <c r="K37" s="781">
        <f>SUMIFS(BuildingListNoSpaces!$F$2:$F$214,BuildingListNoSpaces!$I$2:$I$214,"&lt;="&amp;$A37,BuildingListNoSpaces!$B$2:$B$214,K$31)-SUMIFS(BuildingListNoSpaces!$F$2:$F$214,BuildingListNoSpaces!$J$2:$J$214,"&gt;="&amp;$A37,BuildingListNoSpaces!$B$2:$B$214,K$31)</f>
        <v>455204</v>
      </c>
      <c r="L37" s="1273">
        <f t="shared" si="0"/>
        <v>4596739</v>
      </c>
      <c r="M37" s="1273">
        <f t="shared" si="1"/>
        <v>4004564</v>
      </c>
      <c r="N37" s="782"/>
      <c r="O37" s="781"/>
      <c r="Q37" s="1488">
        <f t="shared" si="2"/>
        <v>7142.3416172885809</v>
      </c>
      <c r="T37" s="9" t="s">
        <v>2920</v>
      </c>
      <c r="U37" s="782">
        <f>M62-M32</f>
        <v>2615757.18550782</v>
      </c>
    </row>
    <row r="38" spans="1:21">
      <c r="A38" s="1484">
        <f t="shared" si="3"/>
        <v>1986</v>
      </c>
      <c r="B38" s="781">
        <f>SUMIFS(BuildingListNoSpaces!$F$2:$F$214,BuildingListNoSpaces!$I$2:$I$214,"&lt;="&amp;$A38,BuildingListNoSpaces!$B$2:$B$214,B$31)-SUMIFS(BuildingListNoSpaces!$F$2:$F$214,BuildingListNoSpaces!$J$2:$J$214,"&gt;="&amp;$A38,BuildingListNoSpaces!$B$2:$B$214,B$31)</f>
        <v>2409532.9999999995</v>
      </c>
      <c r="C38" s="781">
        <f>SUMIFS(BuildingListNoSpaces!$F$2:$F$214,BuildingListNoSpaces!$I$2:$I$214,"&lt;="&amp;$A38,BuildingListNoSpaces!$B$2:$B$214,C$31)-SUMIFS(BuildingListNoSpaces!$F$2:$F$214,BuildingListNoSpaces!$J$2:$J$214,"&gt;="&amp;$A38,BuildingListNoSpaces!$B$2:$B$214,C$31)</f>
        <v>265987</v>
      </c>
      <c r="D38" s="781">
        <f>SUMIFS(BuildingListNoSpaces!$F$2:$F$214,BuildingListNoSpaces!$I$2:$I$214,"&lt;="&amp;$A38,BuildingListNoSpaces!$B$2:$B$214,D$31)-SUMIFS(BuildingListNoSpaces!$F$2:$F$214,BuildingListNoSpaces!$J$2:$J$214,"&gt;="&amp;$A38,BuildingListNoSpaces!$B$2:$B$214,D$31)</f>
        <v>12200</v>
      </c>
      <c r="E38" s="781">
        <f>SUMIFS(BuildingListNoSpaces!$F$2:$F$214,BuildingListNoSpaces!$I$2:$I$214,"&lt;="&amp;$A38,BuildingListNoSpaces!$B$2:$B$214,E$31)-SUMIFS(BuildingListNoSpaces!$F$2:$F$214,BuildingListNoSpaces!$J$2:$J$214,"&gt;="&amp;$A38,BuildingListNoSpaces!$B$2:$B$214,E$31)</f>
        <v>52585</v>
      </c>
      <c r="F38" s="781">
        <f>SUMIFS(BuildingListNoSpaces!$F$2:$F$214,BuildingListNoSpaces!$I$2:$I$214,"&lt;="&amp;$A38,BuildingListNoSpaces!$B$2:$B$214,F$31)-SUMIFS(BuildingListNoSpaces!$F$2:$F$214,BuildingListNoSpaces!$J$2:$J$214,"&gt;="&amp;$A38,BuildingListNoSpaces!$B$2:$B$214,F$31)</f>
        <v>701032</v>
      </c>
      <c r="G38" s="781">
        <f>SUMIFS(BuildingListNoSpaces!$F$2:$F$214,BuildingListNoSpaces!$I$2:$I$214,"&lt;="&amp;$A38,BuildingListNoSpaces!$B$2:$B$214,G$31)-SUMIFS(BuildingListNoSpaces!$F$2:$F$214,BuildingListNoSpaces!$J$2:$J$214,"&gt;="&amp;$A38,BuildingListNoSpaces!$B$2:$B$214,G$31)</f>
        <v>9386</v>
      </c>
      <c r="H38" s="781">
        <f>SUMIFS(BuildingListNoSpaces!$F$2:$F$214,BuildingListNoSpaces!$I$2:$I$214,"&lt;="&amp;$A38,BuildingListNoSpaces!$B$2:$B$214,H$31)-SUMIFS(BuildingListNoSpaces!$F$2:$F$214,BuildingListNoSpaces!$J$2:$J$214,"&gt;="&amp;$A38,BuildingListNoSpaces!$B$2:$B$214,H$31)</f>
        <v>102523</v>
      </c>
      <c r="I38" s="781">
        <f>SUMIFS(BuildingListNoSpaces!$F$2:$F$214,BuildingListNoSpaces!$I$2:$I$214,"&lt;="&amp;$A38,BuildingListNoSpaces!$B$2:$B$214,I$31)-SUMIFS(BuildingListNoSpaces!$F$2:$F$214,BuildingListNoSpaces!$J$2:$J$214,"&gt;="&amp;$A38,BuildingListNoSpaces!$B$2:$B$214,I$31)</f>
        <v>533292</v>
      </c>
      <c r="J38" s="781">
        <f>SUMIFS(BuildingListNoSpaces!$F$2:$F$214,BuildingListNoSpaces!$I$2:$I$214,"&lt;="&amp;$A38,BuildingListNoSpaces!$B$2:$B$214,J$31)-SUMIFS(BuildingListNoSpaces!$F$2:$F$214,BuildingListNoSpaces!$J$2:$J$214,"&gt;="&amp;$A38,BuildingListNoSpaces!$B$2:$B$214,J$31)</f>
        <v>58883</v>
      </c>
      <c r="K38" s="781">
        <f>SUMIFS(BuildingListNoSpaces!$F$2:$F$214,BuildingListNoSpaces!$I$2:$I$214,"&lt;="&amp;$A38,BuildingListNoSpaces!$B$2:$B$214,K$31)-SUMIFS(BuildingListNoSpaces!$F$2:$F$214,BuildingListNoSpaces!$J$2:$J$214,"&gt;="&amp;$A38,BuildingListNoSpaces!$B$2:$B$214,K$31)</f>
        <v>455204</v>
      </c>
      <c r="L38" s="1273">
        <f t="shared" si="0"/>
        <v>4600625</v>
      </c>
      <c r="M38" s="1273">
        <f t="shared" si="1"/>
        <v>4008450</v>
      </c>
      <c r="N38" s="782"/>
      <c r="O38" s="781"/>
      <c r="Q38" s="1488">
        <f t="shared" si="2"/>
        <v>7142.3416172885809</v>
      </c>
      <c r="T38" s="9" t="s">
        <v>2921</v>
      </c>
      <c r="U38" s="782">
        <f>M57-M42</f>
        <v>2241055</v>
      </c>
    </row>
    <row r="39" spans="1:21">
      <c r="A39" s="1484">
        <f t="shared" si="3"/>
        <v>1987</v>
      </c>
      <c r="B39" s="781">
        <f>SUMIFS(BuildingListNoSpaces!$F$2:$F$214,BuildingListNoSpaces!$I$2:$I$214,"&lt;="&amp;$A39,BuildingListNoSpaces!$B$2:$B$214,B$31)-SUMIFS(BuildingListNoSpaces!$F$2:$F$214,BuildingListNoSpaces!$J$2:$J$214,"&gt;="&amp;$A39,BuildingListNoSpaces!$B$2:$B$214,B$31)</f>
        <v>2409532.9999999995</v>
      </c>
      <c r="C39" s="781">
        <f>SUMIFS(BuildingListNoSpaces!$F$2:$F$214,BuildingListNoSpaces!$I$2:$I$214,"&lt;="&amp;$A39,BuildingListNoSpaces!$B$2:$B$214,C$31)-SUMIFS(BuildingListNoSpaces!$F$2:$F$214,BuildingListNoSpaces!$J$2:$J$214,"&gt;="&amp;$A39,BuildingListNoSpaces!$B$2:$B$214,C$31)</f>
        <v>276363</v>
      </c>
      <c r="D39" s="781">
        <f>SUMIFS(BuildingListNoSpaces!$F$2:$F$214,BuildingListNoSpaces!$I$2:$I$214,"&lt;="&amp;$A39,BuildingListNoSpaces!$B$2:$B$214,D$31)-SUMIFS(BuildingListNoSpaces!$F$2:$F$214,BuildingListNoSpaces!$J$2:$J$214,"&gt;="&amp;$A39,BuildingListNoSpaces!$B$2:$B$214,D$31)</f>
        <v>12200</v>
      </c>
      <c r="E39" s="781">
        <f>SUMIFS(BuildingListNoSpaces!$F$2:$F$214,BuildingListNoSpaces!$I$2:$I$214,"&lt;="&amp;$A39,BuildingListNoSpaces!$B$2:$B$214,E$31)-SUMIFS(BuildingListNoSpaces!$F$2:$F$214,BuildingListNoSpaces!$J$2:$J$214,"&gt;="&amp;$A39,BuildingListNoSpaces!$B$2:$B$214,E$31)</f>
        <v>52585</v>
      </c>
      <c r="F39" s="781">
        <f>SUMIFS(BuildingListNoSpaces!$F$2:$F$214,BuildingListNoSpaces!$I$2:$I$214,"&lt;="&amp;$A39,BuildingListNoSpaces!$B$2:$B$214,F$31)-SUMIFS(BuildingListNoSpaces!$F$2:$F$214,BuildingListNoSpaces!$J$2:$J$214,"&gt;="&amp;$A39,BuildingListNoSpaces!$B$2:$B$214,F$31)</f>
        <v>701032</v>
      </c>
      <c r="G39" s="781">
        <f>SUMIFS(BuildingListNoSpaces!$F$2:$F$214,BuildingListNoSpaces!$I$2:$I$214,"&lt;="&amp;$A39,BuildingListNoSpaces!$B$2:$B$214,G$31)-SUMIFS(BuildingListNoSpaces!$F$2:$F$214,BuildingListNoSpaces!$J$2:$J$214,"&gt;="&amp;$A39,BuildingListNoSpaces!$B$2:$B$214,G$31)</f>
        <v>38376</v>
      </c>
      <c r="H39" s="781">
        <f>SUMIFS(BuildingListNoSpaces!$F$2:$F$214,BuildingListNoSpaces!$I$2:$I$214,"&lt;="&amp;$A39,BuildingListNoSpaces!$B$2:$B$214,H$31)-SUMIFS(BuildingListNoSpaces!$F$2:$F$214,BuildingListNoSpaces!$J$2:$J$214,"&gt;="&amp;$A39,BuildingListNoSpaces!$B$2:$B$214,H$31)</f>
        <v>102523</v>
      </c>
      <c r="I39" s="781">
        <f>SUMIFS(BuildingListNoSpaces!$F$2:$F$214,BuildingListNoSpaces!$I$2:$I$214,"&lt;="&amp;$A39,BuildingListNoSpaces!$B$2:$B$214,I$31)-SUMIFS(BuildingListNoSpaces!$F$2:$F$214,BuildingListNoSpaces!$J$2:$J$214,"&gt;="&amp;$A39,BuildingListNoSpaces!$B$2:$B$214,I$31)</f>
        <v>533292</v>
      </c>
      <c r="J39" s="781">
        <f>SUMIFS(BuildingListNoSpaces!$F$2:$F$214,BuildingListNoSpaces!$I$2:$I$214,"&lt;="&amp;$A39,BuildingListNoSpaces!$B$2:$B$214,J$31)-SUMIFS(BuildingListNoSpaces!$F$2:$F$214,BuildingListNoSpaces!$J$2:$J$214,"&gt;="&amp;$A39,BuildingListNoSpaces!$B$2:$B$214,J$31)</f>
        <v>58883</v>
      </c>
      <c r="K39" s="781">
        <f>SUMIFS(BuildingListNoSpaces!$F$2:$F$214,BuildingListNoSpaces!$I$2:$I$214,"&lt;="&amp;$A39,BuildingListNoSpaces!$B$2:$B$214,K$31)-SUMIFS(BuildingListNoSpaces!$F$2:$F$214,BuildingListNoSpaces!$J$2:$J$214,"&gt;="&amp;$A39,BuildingListNoSpaces!$B$2:$B$214,K$31)</f>
        <v>455204</v>
      </c>
      <c r="L39" s="1273">
        <f t="shared" si="0"/>
        <v>4639991</v>
      </c>
      <c r="M39" s="1273">
        <f t="shared" si="1"/>
        <v>4047816</v>
      </c>
      <c r="N39" s="782"/>
      <c r="O39" s="781"/>
      <c r="Q39" s="1488">
        <f t="shared" si="2"/>
        <v>7142.3416172885809</v>
      </c>
      <c r="T39" s="9" t="s">
        <v>2922</v>
      </c>
      <c r="U39" s="1489">
        <f>U38/U37</f>
        <v>0.85675192346453377</v>
      </c>
    </row>
    <row r="40" spans="1:21">
      <c r="A40" s="1484">
        <f t="shared" si="3"/>
        <v>1988</v>
      </c>
      <c r="B40" s="781">
        <f>SUMIFS(BuildingListNoSpaces!$F$2:$F$214,BuildingListNoSpaces!$I$2:$I$214,"&lt;="&amp;$A40,BuildingListNoSpaces!$B$2:$B$214,B$31)-SUMIFS(BuildingListNoSpaces!$F$2:$F$214,BuildingListNoSpaces!$J$2:$J$214,"&gt;="&amp;$A40,BuildingListNoSpaces!$B$2:$B$214,B$31)</f>
        <v>2470532.9999999995</v>
      </c>
      <c r="C40" s="781">
        <f>SUMIFS(BuildingListNoSpaces!$F$2:$F$214,BuildingListNoSpaces!$I$2:$I$214,"&lt;="&amp;$A40,BuildingListNoSpaces!$B$2:$B$214,C$31)-SUMIFS(BuildingListNoSpaces!$F$2:$F$214,BuildingListNoSpaces!$J$2:$J$214,"&gt;="&amp;$A40,BuildingListNoSpaces!$B$2:$B$214,C$31)</f>
        <v>276363</v>
      </c>
      <c r="D40" s="781">
        <f>SUMIFS(BuildingListNoSpaces!$F$2:$F$214,BuildingListNoSpaces!$I$2:$I$214,"&lt;="&amp;$A40,BuildingListNoSpaces!$B$2:$B$214,D$31)-SUMIFS(BuildingListNoSpaces!$F$2:$F$214,BuildingListNoSpaces!$J$2:$J$214,"&gt;="&amp;$A40,BuildingListNoSpaces!$B$2:$B$214,D$31)</f>
        <v>12200</v>
      </c>
      <c r="E40" s="781">
        <f>SUMIFS(BuildingListNoSpaces!$F$2:$F$214,BuildingListNoSpaces!$I$2:$I$214,"&lt;="&amp;$A40,BuildingListNoSpaces!$B$2:$B$214,E$31)-SUMIFS(BuildingListNoSpaces!$F$2:$F$214,BuildingListNoSpaces!$J$2:$J$214,"&gt;="&amp;$A40,BuildingListNoSpaces!$B$2:$B$214,E$31)</f>
        <v>52585</v>
      </c>
      <c r="F40" s="781">
        <f>SUMIFS(BuildingListNoSpaces!$F$2:$F$214,BuildingListNoSpaces!$I$2:$I$214,"&lt;="&amp;$A40,BuildingListNoSpaces!$B$2:$B$214,F$31)-SUMIFS(BuildingListNoSpaces!$F$2:$F$214,BuildingListNoSpaces!$J$2:$J$214,"&gt;="&amp;$A40,BuildingListNoSpaces!$B$2:$B$214,F$31)</f>
        <v>701032</v>
      </c>
      <c r="G40" s="781">
        <f>SUMIFS(BuildingListNoSpaces!$F$2:$F$214,BuildingListNoSpaces!$I$2:$I$214,"&lt;="&amp;$A40,BuildingListNoSpaces!$B$2:$B$214,G$31)-SUMIFS(BuildingListNoSpaces!$F$2:$F$214,BuildingListNoSpaces!$J$2:$J$214,"&gt;="&amp;$A40,BuildingListNoSpaces!$B$2:$B$214,G$31)</f>
        <v>38376</v>
      </c>
      <c r="H40" s="781">
        <f>SUMIFS(BuildingListNoSpaces!$F$2:$F$214,BuildingListNoSpaces!$I$2:$I$214,"&lt;="&amp;$A40,BuildingListNoSpaces!$B$2:$B$214,H$31)-SUMIFS(BuildingListNoSpaces!$F$2:$F$214,BuildingListNoSpaces!$J$2:$J$214,"&gt;="&amp;$A40,BuildingListNoSpaces!$B$2:$B$214,H$31)</f>
        <v>102523</v>
      </c>
      <c r="I40" s="781">
        <f>SUMIFS(BuildingListNoSpaces!$F$2:$F$214,BuildingListNoSpaces!$I$2:$I$214,"&lt;="&amp;$A40,BuildingListNoSpaces!$B$2:$B$214,I$31)-SUMIFS(BuildingListNoSpaces!$F$2:$F$214,BuildingListNoSpaces!$J$2:$J$214,"&gt;="&amp;$A40,BuildingListNoSpaces!$B$2:$B$214,I$31)</f>
        <v>533292</v>
      </c>
      <c r="J40" s="781">
        <f>SUMIFS(BuildingListNoSpaces!$F$2:$F$214,BuildingListNoSpaces!$I$2:$I$214,"&lt;="&amp;$A40,BuildingListNoSpaces!$B$2:$B$214,J$31)-SUMIFS(BuildingListNoSpaces!$F$2:$F$214,BuildingListNoSpaces!$J$2:$J$214,"&gt;="&amp;$A40,BuildingListNoSpaces!$B$2:$B$214,J$31)</f>
        <v>58883</v>
      </c>
      <c r="K40" s="781">
        <f>SUMIFS(BuildingListNoSpaces!$F$2:$F$214,BuildingListNoSpaces!$I$2:$I$214,"&lt;="&amp;$A40,BuildingListNoSpaces!$B$2:$B$214,K$31)-SUMIFS(BuildingListNoSpaces!$F$2:$F$214,BuildingListNoSpaces!$J$2:$J$214,"&gt;="&amp;$A40,BuildingListNoSpaces!$B$2:$B$214,K$31)</f>
        <v>455204</v>
      </c>
      <c r="L40" s="1273">
        <f t="shared" si="0"/>
        <v>4700991</v>
      </c>
      <c r="M40" s="1273">
        <f t="shared" si="1"/>
        <v>4108816</v>
      </c>
      <c r="N40" s="782"/>
      <c r="O40" s="781"/>
      <c r="Q40" s="1488">
        <f t="shared" si="2"/>
        <v>7142.3416172885809</v>
      </c>
      <c r="T40" s="9" t="s">
        <v>2923</v>
      </c>
      <c r="U40" s="1489">
        <f>1-U39</f>
        <v>0.14324807653546623</v>
      </c>
    </row>
    <row r="41" spans="1:21">
      <c r="A41" s="1484">
        <f t="shared" si="3"/>
        <v>1989</v>
      </c>
      <c r="B41" s="781">
        <f>SUMIFS(BuildingListNoSpaces!$F$2:$F$214,BuildingListNoSpaces!$I$2:$I$214,"&lt;="&amp;$A41,BuildingListNoSpaces!$B$2:$B$214,B$31)-SUMIFS(BuildingListNoSpaces!$F$2:$F$214,BuildingListNoSpaces!$J$2:$J$214,"&gt;="&amp;$A41,BuildingListNoSpaces!$B$2:$B$214,B$31)</f>
        <v>2470532.9999999995</v>
      </c>
      <c r="C41" s="781">
        <f>SUMIFS(BuildingListNoSpaces!$F$2:$F$214,BuildingListNoSpaces!$I$2:$I$214,"&lt;="&amp;$A41,BuildingListNoSpaces!$B$2:$B$214,C$31)-SUMIFS(BuildingListNoSpaces!$F$2:$F$214,BuildingListNoSpaces!$J$2:$J$214,"&gt;="&amp;$A41,BuildingListNoSpaces!$B$2:$B$214,C$31)</f>
        <v>276363</v>
      </c>
      <c r="D41" s="781">
        <f>SUMIFS(BuildingListNoSpaces!$F$2:$F$214,BuildingListNoSpaces!$I$2:$I$214,"&lt;="&amp;$A41,BuildingListNoSpaces!$B$2:$B$214,D$31)-SUMIFS(BuildingListNoSpaces!$F$2:$F$214,BuildingListNoSpaces!$J$2:$J$214,"&gt;="&amp;$A41,BuildingListNoSpaces!$B$2:$B$214,D$31)</f>
        <v>12200</v>
      </c>
      <c r="E41" s="781">
        <f>SUMIFS(BuildingListNoSpaces!$F$2:$F$214,BuildingListNoSpaces!$I$2:$I$214,"&lt;="&amp;$A41,BuildingListNoSpaces!$B$2:$B$214,E$31)-SUMIFS(BuildingListNoSpaces!$F$2:$F$214,BuildingListNoSpaces!$J$2:$J$214,"&gt;="&amp;$A41,BuildingListNoSpaces!$B$2:$B$214,E$31)</f>
        <v>52585</v>
      </c>
      <c r="F41" s="781">
        <f>SUMIFS(BuildingListNoSpaces!$F$2:$F$214,BuildingListNoSpaces!$I$2:$I$214,"&lt;="&amp;$A41,BuildingListNoSpaces!$B$2:$B$214,F$31)-SUMIFS(BuildingListNoSpaces!$F$2:$F$214,BuildingListNoSpaces!$J$2:$J$214,"&gt;="&amp;$A41,BuildingListNoSpaces!$B$2:$B$214,F$31)</f>
        <v>737032</v>
      </c>
      <c r="G41" s="781">
        <f>SUMIFS(BuildingListNoSpaces!$F$2:$F$214,BuildingListNoSpaces!$I$2:$I$214,"&lt;="&amp;$A41,BuildingListNoSpaces!$B$2:$B$214,G$31)-SUMIFS(BuildingListNoSpaces!$F$2:$F$214,BuildingListNoSpaces!$J$2:$J$214,"&gt;="&amp;$A41,BuildingListNoSpaces!$B$2:$B$214,G$31)</f>
        <v>38376</v>
      </c>
      <c r="H41" s="781">
        <f>SUMIFS(BuildingListNoSpaces!$F$2:$F$214,BuildingListNoSpaces!$I$2:$I$214,"&lt;="&amp;$A41,BuildingListNoSpaces!$B$2:$B$214,H$31)-SUMIFS(BuildingListNoSpaces!$F$2:$F$214,BuildingListNoSpaces!$J$2:$J$214,"&gt;="&amp;$A41,BuildingListNoSpaces!$B$2:$B$214,H$31)</f>
        <v>102523</v>
      </c>
      <c r="I41" s="781">
        <f>SUMIFS(BuildingListNoSpaces!$F$2:$F$214,BuildingListNoSpaces!$I$2:$I$214,"&lt;="&amp;$A41,BuildingListNoSpaces!$B$2:$B$214,I$31)-SUMIFS(BuildingListNoSpaces!$F$2:$F$214,BuildingListNoSpaces!$J$2:$J$214,"&gt;="&amp;$A41,BuildingListNoSpaces!$B$2:$B$214,I$31)</f>
        <v>533292</v>
      </c>
      <c r="J41" s="781">
        <f>SUMIFS(BuildingListNoSpaces!$F$2:$F$214,BuildingListNoSpaces!$I$2:$I$214,"&lt;="&amp;$A41,BuildingListNoSpaces!$B$2:$B$214,J$31)-SUMIFS(BuildingListNoSpaces!$F$2:$F$214,BuildingListNoSpaces!$J$2:$J$214,"&gt;="&amp;$A41,BuildingListNoSpaces!$B$2:$B$214,J$31)</f>
        <v>58883</v>
      </c>
      <c r="K41" s="781">
        <f>SUMIFS(BuildingListNoSpaces!$F$2:$F$214,BuildingListNoSpaces!$I$2:$I$214,"&lt;="&amp;$A41,BuildingListNoSpaces!$B$2:$B$214,K$31)-SUMIFS(BuildingListNoSpaces!$F$2:$F$214,BuildingListNoSpaces!$J$2:$J$214,"&gt;="&amp;$A41,BuildingListNoSpaces!$B$2:$B$214,K$31)</f>
        <v>455204</v>
      </c>
      <c r="L41" s="1273">
        <f t="shared" si="0"/>
        <v>4736991</v>
      </c>
      <c r="M41" s="1273">
        <f t="shared" si="1"/>
        <v>4144816</v>
      </c>
      <c r="N41" s="782"/>
      <c r="O41" s="781"/>
      <c r="Q41" s="1488">
        <f>$Q$42*$U$40</f>
        <v>7142.3416172885809</v>
      </c>
    </row>
    <row r="42" spans="1:21">
      <c r="A42" s="1484">
        <f t="shared" si="3"/>
        <v>1990</v>
      </c>
      <c r="B42" s="781">
        <f>SUMIFS(BuildingListNoSpaces!$F$2:$F$214,BuildingListNoSpaces!$I$2:$I$214,"&lt;="&amp;$A42,BuildingListNoSpaces!$B$2:$B$214,B$31)-SUMIFS(BuildingListNoSpaces!$F$2:$F$214,BuildingListNoSpaces!$J$2:$J$214,"&gt;="&amp;$A42,BuildingListNoSpaces!$B$2:$B$214,B$31)</f>
        <v>2534126.9999999995</v>
      </c>
      <c r="C42" s="781">
        <f>SUMIFS(BuildingListNoSpaces!$F$2:$F$214,BuildingListNoSpaces!$I$2:$I$214,"&lt;="&amp;$A42,BuildingListNoSpaces!$B$2:$B$214,C$31)-SUMIFS(BuildingListNoSpaces!$F$2:$F$214,BuildingListNoSpaces!$J$2:$J$214,"&gt;="&amp;$A42,BuildingListNoSpaces!$B$2:$B$214,C$31)</f>
        <v>276363</v>
      </c>
      <c r="D42" s="781">
        <f>SUMIFS(BuildingListNoSpaces!$F$2:$F$214,BuildingListNoSpaces!$I$2:$I$214,"&lt;="&amp;$A42,BuildingListNoSpaces!$B$2:$B$214,D$31)-SUMIFS(BuildingListNoSpaces!$F$2:$F$214,BuildingListNoSpaces!$J$2:$J$214,"&gt;="&amp;$A42,BuildingListNoSpaces!$B$2:$B$214,D$31)</f>
        <v>12200</v>
      </c>
      <c r="E42" s="781">
        <f>SUMIFS(BuildingListNoSpaces!$F$2:$F$214,BuildingListNoSpaces!$I$2:$I$214,"&lt;="&amp;$A42,BuildingListNoSpaces!$B$2:$B$214,E$31)-SUMIFS(BuildingListNoSpaces!$F$2:$F$214,BuildingListNoSpaces!$J$2:$J$214,"&gt;="&amp;$A42,BuildingListNoSpaces!$B$2:$B$214,E$31)</f>
        <v>54285</v>
      </c>
      <c r="F42" s="781">
        <f>SUMIFS(BuildingListNoSpaces!$F$2:$F$214,BuildingListNoSpaces!$I$2:$I$214,"&lt;="&amp;$A42,BuildingListNoSpaces!$B$2:$B$214,F$31)-SUMIFS(BuildingListNoSpaces!$F$2:$F$214,BuildingListNoSpaces!$J$2:$J$214,"&gt;="&amp;$A42,BuildingListNoSpaces!$B$2:$B$214,F$31)</f>
        <v>737032</v>
      </c>
      <c r="G42" s="781">
        <f>SUMIFS(BuildingListNoSpaces!$F$2:$F$214,BuildingListNoSpaces!$I$2:$I$214,"&lt;="&amp;$A42,BuildingListNoSpaces!$B$2:$B$214,G$31)-SUMIFS(BuildingListNoSpaces!$F$2:$F$214,BuildingListNoSpaces!$J$2:$J$214,"&gt;="&amp;$A42,BuildingListNoSpaces!$B$2:$B$214,G$31)</f>
        <v>38376</v>
      </c>
      <c r="H42" s="781">
        <f>SUMIFS(BuildingListNoSpaces!$F$2:$F$214,BuildingListNoSpaces!$I$2:$I$214,"&lt;="&amp;$A42,BuildingListNoSpaces!$B$2:$B$214,H$31)-SUMIFS(BuildingListNoSpaces!$F$2:$F$214,BuildingListNoSpaces!$J$2:$J$214,"&gt;="&amp;$A42,BuildingListNoSpaces!$B$2:$B$214,H$31)</f>
        <v>111273</v>
      </c>
      <c r="I42" s="781">
        <f>SUMIFS(BuildingListNoSpaces!$F$2:$F$214,BuildingListNoSpaces!$I$2:$I$214,"&lt;="&amp;$A42,BuildingListNoSpaces!$B$2:$B$214,I$31)-SUMIFS(BuildingListNoSpaces!$F$2:$F$214,BuildingListNoSpaces!$J$2:$J$214,"&gt;="&amp;$A42,BuildingListNoSpaces!$B$2:$B$214,I$31)</f>
        <v>533292</v>
      </c>
      <c r="J42" s="781">
        <f>SUMIFS(BuildingListNoSpaces!$F$2:$F$214,BuildingListNoSpaces!$I$2:$I$214,"&lt;="&amp;$A42,BuildingListNoSpaces!$B$2:$B$214,J$31)-SUMIFS(BuildingListNoSpaces!$F$2:$F$214,BuildingListNoSpaces!$J$2:$J$214,"&gt;="&amp;$A42,BuildingListNoSpaces!$B$2:$B$214,J$31)</f>
        <v>58883</v>
      </c>
      <c r="K42" s="781">
        <f>SUMIFS(BuildingListNoSpaces!$F$2:$F$214,BuildingListNoSpaces!$I$2:$I$214,"&lt;="&amp;$A42,BuildingListNoSpaces!$B$2:$B$214,K$31)-SUMIFS(BuildingListNoSpaces!$F$2:$F$214,BuildingListNoSpaces!$J$2:$J$214,"&gt;="&amp;$A42,BuildingListNoSpaces!$B$2:$B$214,K$31)</f>
        <v>455204</v>
      </c>
      <c r="L42" s="1273">
        <f t="shared" si="0"/>
        <v>4811035</v>
      </c>
      <c r="M42" s="1273">
        <f t="shared" si="1"/>
        <v>4218860</v>
      </c>
      <c r="N42" s="782">
        <f t="shared" ref="N42:N62" si="4">L42-L32</f>
        <v>216296</v>
      </c>
      <c r="O42" s="782">
        <f t="shared" ref="O42:O62" si="5">M42-M32</f>
        <v>216296</v>
      </c>
      <c r="P42" s="10">
        <f>M42/M32</f>
        <v>1.0540393607697467</v>
      </c>
      <c r="Q42" s="1488">
        <f>'Key &amp; Summary'!$H$23</f>
        <v>49859.947791482118</v>
      </c>
      <c r="R42" s="10" t="str">
        <f>"Average Major Renovations 1990-2000 (Assumes larger than "&amp;TEXT('Key &amp; Summary'!H21/1000000,"$0.00")&amp;" million)"</f>
        <v>Average Major Renovations 1990-2000 (Assumes larger than $2.50 million)</v>
      </c>
    </row>
    <row r="43" spans="1:21">
      <c r="A43" s="1484">
        <f t="shared" si="3"/>
        <v>1991</v>
      </c>
      <c r="B43" s="781">
        <f>SUMIFS(BuildingListNoSpaces!$F$2:$F$214,BuildingListNoSpaces!$I$2:$I$214,"&lt;="&amp;$A43,BuildingListNoSpaces!$B$2:$B$214,B$31)-SUMIFS(BuildingListNoSpaces!$F$2:$F$214,BuildingListNoSpaces!$J$2:$J$214,"&gt;="&amp;$A43,BuildingListNoSpaces!$B$2:$B$214,B$31)</f>
        <v>2534126.9999999995</v>
      </c>
      <c r="C43" s="781">
        <f>SUMIFS(BuildingListNoSpaces!$F$2:$F$214,BuildingListNoSpaces!$I$2:$I$214,"&lt;="&amp;$A43,BuildingListNoSpaces!$B$2:$B$214,C$31)-SUMIFS(BuildingListNoSpaces!$F$2:$F$214,BuildingListNoSpaces!$J$2:$J$214,"&gt;="&amp;$A43,BuildingListNoSpaces!$B$2:$B$214,C$31)</f>
        <v>276363</v>
      </c>
      <c r="D43" s="781">
        <f>SUMIFS(BuildingListNoSpaces!$F$2:$F$214,BuildingListNoSpaces!$I$2:$I$214,"&lt;="&amp;$A43,BuildingListNoSpaces!$B$2:$B$214,D$31)-SUMIFS(BuildingListNoSpaces!$F$2:$F$214,BuildingListNoSpaces!$J$2:$J$214,"&gt;="&amp;$A43,BuildingListNoSpaces!$B$2:$B$214,D$31)</f>
        <v>12200</v>
      </c>
      <c r="E43" s="781">
        <f>SUMIFS(BuildingListNoSpaces!$F$2:$F$214,BuildingListNoSpaces!$I$2:$I$214,"&lt;="&amp;$A43,BuildingListNoSpaces!$B$2:$B$214,E$31)-SUMIFS(BuildingListNoSpaces!$F$2:$F$214,BuildingListNoSpaces!$J$2:$J$214,"&gt;="&amp;$A43,BuildingListNoSpaces!$B$2:$B$214,E$31)</f>
        <v>56185</v>
      </c>
      <c r="F43" s="781">
        <f>SUMIFS(BuildingListNoSpaces!$F$2:$F$214,BuildingListNoSpaces!$I$2:$I$214,"&lt;="&amp;$A43,BuildingListNoSpaces!$B$2:$B$214,F$31)-SUMIFS(BuildingListNoSpaces!$F$2:$F$214,BuildingListNoSpaces!$J$2:$J$214,"&gt;="&amp;$A43,BuildingListNoSpaces!$B$2:$B$214,F$31)</f>
        <v>737032</v>
      </c>
      <c r="G43" s="781">
        <f>SUMIFS(BuildingListNoSpaces!$F$2:$F$214,BuildingListNoSpaces!$I$2:$I$214,"&lt;="&amp;$A43,BuildingListNoSpaces!$B$2:$B$214,G$31)-SUMIFS(BuildingListNoSpaces!$F$2:$F$214,BuildingListNoSpaces!$J$2:$J$214,"&gt;="&amp;$A43,BuildingListNoSpaces!$B$2:$B$214,G$31)</f>
        <v>38376</v>
      </c>
      <c r="H43" s="781">
        <f>SUMIFS(BuildingListNoSpaces!$F$2:$F$214,BuildingListNoSpaces!$I$2:$I$214,"&lt;="&amp;$A43,BuildingListNoSpaces!$B$2:$B$214,H$31)-SUMIFS(BuildingListNoSpaces!$F$2:$F$214,BuildingListNoSpaces!$J$2:$J$214,"&gt;="&amp;$A43,BuildingListNoSpaces!$B$2:$B$214,H$31)</f>
        <v>111273</v>
      </c>
      <c r="I43" s="781">
        <f>SUMIFS(BuildingListNoSpaces!$F$2:$F$214,BuildingListNoSpaces!$I$2:$I$214,"&lt;="&amp;$A43,BuildingListNoSpaces!$B$2:$B$214,I$31)-SUMIFS(BuildingListNoSpaces!$F$2:$F$214,BuildingListNoSpaces!$J$2:$J$214,"&gt;="&amp;$A43,BuildingListNoSpaces!$B$2:$B$214,I$31)</f>
        <v>533292</v>
      </c>
      <c r="J43" s="781">
        <f>SUMIFS(BuildingListNoSpaces!$F$2:$F$214,BuildingListNoSpaces!$I$2:$I$214,"&lt;="&amp;$A43,BuildingListNoSpaces!$B$2:$B$214,J$31)-SUMIFS(BuildingListNoSpaces!$F$2:$F$214,BuildingListNoSpaces!$J$2:$J$214,"&gt;="&amp;$A43,BuildingListNoSpaces!$B$2:$B$214,J$31)</f>
        <v>58883</v>
      </c>
      <c r="K43" s="781">
        <f>SUMIFS(BuildingListNoSpaces!$F$2:$F$214,BuildingListNoSpaces!$I$2:$I$214,"&lt;="&amp;$A43,BuildingListNoSpaces!$B$2:$B$214,K$31)-SUMIFS(BuildingListNoSpaces!$F$2:$F$214,BuildingListNoSpaces!$J$2:$J$214,"&gt;="&amp;$A43,BuildingListNoSpaces!$B$2:$B$214,K$31)</f>
        <v>455204</v>
      </c>
      <c r="L43" s="1273">
        <f t="shared" si="0"/>
        <v>4812935</v>
      </c>
      <c r="M43" s="1273">
        <f t="shared" si="1"/>
        <v>4220760</v>
      </c>
      <c r="N43" s="782">
        <f t="shared" si="4"/>
        <v>216196</v>
      </c>
      <c r="O43" s="782">
        <f t="shared" si="5"/>
        <v>216196</v>
      </c>
      <c r="Q43" s="1488">
        <f>'Key &amp; Summary'!$H$23</f>
        <v>49859.947791482118</v>
      </c>
    </row>
    <row r="44" spans="1:21">
      <c r="A44" s="1484">
        <f t="shared" si="3"/>
        <v>1992</v>
      </c>
      <c r="B44" s="781">
        <f>SUMIFS(BuildingListNoSpaces!$F$2:$F$214,BuildingListNoSpaces!$I$2:$I$214,"&lt;="&amp;$A44,BuildingListNoSpaces!$B$2:$B$214,B$31)-SUMIFS(BuildingListNoSpaces!$F$2:$F$214,BuildingListNoSpaces!$J$2:$J$214,"&gt;="&amp;$A44,BuildingListNoSpaces!$B$2:$B$214,B$31)</f>
        <v>2799659.9999999995</v>
      </c>
      <c r="C44" s="781">
        <f>SUMIFS(BuildingListNoSpaces!$F$2:$F$214,BuildingListNoSpaces!$I$2:$I$214,"&lt;="&amp;$A44,BuildingListNoSpaces!$B$2:$B$214,C$31)-SUMIFS(BuildingListNoSpaces!$F$2:$F$214,BuildingListNoSpaces!$J$2:$J$214,"&gt;="&amp;$A44,BuildingListNoSpaces!$B$2:$B$214,C$31)</f>
        <v>395829</v>
      </c>
      <c r="D44" s="781">
        <f>SUMIFS(BuildingListNoSpaces!$F$2:$F$214,BuildingListNoSpaces!$I$2:$I$214,"&lt;="&amp;$A44,BuildingListNoSpaces!$B$2:$B$214,D$31)-SUMIFS(BuildingListNoSpaces!$F$2:$F$214,BuildingListNoSpaces!$J$2:$J$214,"&gt;="&amp;$A44,BuildingListNoSpaces!$B$2:$B$214,D$31)</f>
        <v>12200</v>
      </c>
      <c r="E44" s="781">
        <f>SUMIFS(BuildingListNoSpaces!$F$2:$F$214,BuildingListNoSpaces!$I$2:$I$214,"&lt;="&amp;$A44,BuildingListNoSpaces!$B$2:$B$214,E$31)-SUMIFS(BuildingListNoSpaces!$F$2:$F$214,BuildingListNoSpaces!$J$2:$J$214,"&gt;="&amp;$A44,BuildingListNoSpaces!$B$2:$B$214,E$31)</f>
        <v>59985</v>
      </c>
      <c r="F44" s="781">
        <f>SUMIFS(BuildingListNoSpaces!$F$2:$F$214,BuildingListNoSpaces!$I$2:$I$214,"&lt;="&amp;$A44,BuildingListNoSpaces!$B$2:$B$214,F$31)-SUMIFS(BuildingListNoSpaces!$F$2:$F$214,BuildingListNoSpaces!$J$2:$J$214,"&gt;="&amp;$A44,BuildingListNoSpaces!$B$2:$B$214,F$31)</f>
        <v>737032</v>
      </c>
      <c r="G44" s="781">
        <f>SUMIFS(BuildingListNoSpaces!$F$2:$F$214,BuildingListNoSpaces!$I$2:$I$214,"&lt;="&amp;$A44,BuildingListNoSpaces!$B$2:$B$214,G$31)-SUMIFS(BuildingListNoSpaces!$F$2:$F$214,BuildingListNoSpaces!$J$2:$J$214,"&gt;="&amp;$A44,BuildingListNoSpaces!$B$2:$B$214,G$31)</f>
        <v>38376</v>
      </c>
      <c r="H44" s="781">
        <f>SUMIFS(BuildingListNoSpaces!$F$2:$F$214,BuildingListNoSpaces!$I$2:$I$214,"&lt;="&amp;$A44,BuildingListNoSpaces!$B$2:$B$214,H$31)-SUMIFS(BuildingListNoSpaces!$F$2:$F$214,BuildingListNoSpaces!$J$2:$J$214,"&gt;="&amp;$A44,BuildingListNoSpaces!$B$2:$B$214,H$31)</f>
        <v>111273</v>
      </c>
      <c r="I44" s="781">
        <f>SUMIFS(BuildingListNoSpaces!$F$2:$F$214,BuildingListNoSpaces!$I$2:$I$214,"&lt;="&amp;$A44,BuildingListNoSpaces!$B$2:$B$214,I$31)-SUMIFS(BuildingListNoSpaces!$F$2:$F$214,BuildingListNoSpaces!$J$2:$J$214,"&gt;="&amp;$A44,BuildingListNoSpaces!$B$2:$B$214,I$31)</f>
        <v>873732</v>
      </c>
      <c r="J44" s="781">
        <f>SUMIFS(BuildingListNoSpaces!$F$2:$F$214,BuildingListNoSpaces!$I$2:$I$214,"&lt;="&amp;$A44,BuildingListNoSpaces!$B$2:$B$214,J$31)-SUMIFS(BuildingListNoSpaces!$F$2:$F$214,BuildingListNoSpaces!$J$2:$J$214,"&gt;="&amp;$A44,BuildingListNoSpaces!$B$2:$B$214,J$31)</f>
        <v>58883</v>
      </c>
      <c r="K44" s="781">
        <f>SUMIFS(BuildingListNoSpaces!$F$2:$F$214,BuildingListNoSpaces!$I$2:$I$214,"&lt;="&amp;$A44,BuildingListNoSpaces!$B$2:$B$214,K$31)-SUMIFS(BuildingListNoSpaces!$F$2:$F$214,BuildingListNoSpaces!$J$2:$J$214,"&gt;="&amp;$A44,BuildingListNoSpaces!$B$2:$B$214,K$31)</f>
        <v>455204</v>
      </c>
      <c r="L44" s="1273">
        <f t="shared" si="0"/>
        <v>5542174</v>
      </c>
      <c r="M44" s="1273">
        <f t="shared" si="1"/>
        <v>4609559</v>
      </c>
      <c r="N44" s="782">
        <f t="shared" si="4"/>
        <v>945435</v>
      </c>
      <c r="O44" s="782">
        <f t="shared" si="5"/>
        <v>604995</v>
      </c>
      <c r="Q44" s="1488">
        <f>'Key &amp; Summary'!$H$23</f>
        <v>49859.947791482118</v>
      </c>
    </row>
    <row r="45" spans="1:21">
      <c r="A45" s="1484">
        <f t="shared" si="3"/>
        <v>1993</v>
      </c>
      <c r="B45" s="781">
        <f>SUMIFS(BuildingListNoSpaces!$F$2:$F$214,BuildingListNoSpaces!$I$2:$I$214,"&lt;="&amp;$A45,BuildingListNoSpaces!$B$2:$B$214,B$31)-SUMIFS(BuildingListNoSpaces!$F$2:$F$214,BuildingListNoSpaces!$J$2:$J$214,"&gt;="&amp;$A45,BuildingListNoSpaces!$B$2:$B$214,B$31)</f>
        <v>2799659.9999999995</v>
      </c>
      <c r="C45" s="781">
        <f>SUMIFS(BuildingListNoSpaces!$F$2:$F$214,BuildingListNoSpaces!$I$2:$I$214,"&lt;="&amp;$A45,BuildingListNoSpaces!$B$2:$B$214,C$31)-SUMIFS(BuildingListNoSpaces!$F$2:$F$214,BuildingListNoSpaces!$J$2:$J$214,"&gt;="&amp;$A45,BuildingListNoSpaces!$B$2:$B$214,C$31)</f>
        <v>524070</v>
      </c>
      <c r="D45" s="781">
        <f>SUMIFS(BuildingListNoSpaces!$F$2:$F$214,BuildingListNoSpaces!$I$2:$I$214,"&lt;="&amp;$A45,BuildingListNoSpaces!$B$2:$B$214,D$31)-SUMIFS(BuildingListNoSpaces!$F$2:$F$214,BuildingListNoSpaces!$J$2:$J$214,"&gt;="&amp;$A45,BuildingListNoSpaces!$B$2:$B$214,D$31)</f>
        <v>12200</v>
      </c>
      <c r="E45" s="781">
        <f>SUMIFS(BuildingListNoSpaces!$F$2:$F$214,BuildingListNoSpaces!$I$2:$I$214,"&lt;="&amp;$A45,BuildingListNoSpaces!$B$2:$B$214,E$31)-SUMIFS(BuildingListNoSpaces!$F$2:$F$214,BuildingListNoSpaces!$J$2:$J$214,"&gt;="&amp;$A45,BuildingListNoSpaces!$B$2:$B$214,E$31)</f>
        <v>59985</v>
      </c>
      <c r="F45" s="781">
        <f>SUMIFS(BuildingListNoSpaces!$F$2:$F$214,BuildingListNoSpaces!$I$2:$I$214,"&lt;="&amp;$A45,BuildingListNoSpaces!$B$2:$B$214,F$31)-SUMIFS(BuildingListNoSpaces!$F$2:$F$214,BuildingListNoSpaces!$J$2:$J$214,"&gt;="&amp;$A45,BuildingListNoSpaces!$B$2:$B$214,F$31)</f>
        <v>737032</v>
      </c>
      <c r="G45" s="781">
        <f>SUMIFS(BuildingListNoSpaces!$F$2:$F$214,BuildingListNoSpaces!$I$2:$I$214,"&lt;="&amp;$A45,BuildingListNoSpaces!$B$2:$B$214,G$31)-SUMIFS(BuildingListNoSpaces!$F$2:$F$214,BuildingListNoSpaces!$J$2:$J$214,"&gt;="&amp;$A45,BuildingListNoSpaces!$B$2:$B$214,G$31)</f>
        <v>38376</v>
      </c>
      <c r="H45" s="781">
        <f>SUMIFS(BuildingListNoSpaces!$F$2:$F$214,BuildingListNoSpaces!$I$2:$I$214,"&lt;="&amp;$A45,BuildingListNoSpaces!$B$2:$B$214,H$31)-SUMIFS(BuildingListNoSpaces!$F$2:$F$214,BuildingListNoSpaces!$J$2:$J$214,"&gt;="&amp;$A45,BuildingListNoSpaces!$B$2:$B$214,H$31)</f>
        <v>111273</v>
      </c>
      <c r="I45" s="781">
        <f>SUMIFS(BuildingListNoSpaces!$F$2:$F$214,BuildingListNoSpaces!$I$2:$I$214,"&lt;="&amp;$A45,BuildingListNoSpaces!$B$2:$B$214,I$31)-SUMIFS(BuildingListNoSpaces!$F$2:$F$214,BuildingListNoSpaces!$J$2:$J$214,"&gt;="&amp;$A45,BuildingListNoSpaces!$B$2:$B$214,I$31)</f>
        <v>873732</v>
      </c>
      <c r="J45" s="781">
        <f>SUMIFS(BuildingListNoSpaces!$F$2:$F$214,BuildingListNoSpaces!$I$2:$I$214,"&lt;="&amp;$A45,BuildingListNoSpaces!$B$2:$B$214,J$31)-SUMIFS(BuildingListNoSpaces!$F$2:$F$214,BuildingListNoSpaces!$J$2:$J$214,"&gt;="&amp;$A45,BuildingListNoSpaces!$B$2:$B$214,J$31)</f>
        <v>58883</v>
      </c>
      <c r="K45" s="781">
        <f>SUMIFS(BuildingListNoSpaces!$F$2:$F$214,BuildingListNoSpaces!$I$2:$I$214,"&lt;="&amp;$A45,BuildingListNoSpaces!$B$2:$B$214,K$31)-SUMIFS(BuildingListNoSpaces!$F$2:$F$214,BuildingListNoSpaces!$J$2:$J$214,"&gt;="&amp;$A45,BuildingListNoSpaces!$B$2:$B$214,K$31)</f>
        <v>455204</v>
      </c>
      <c r="L45" s="1273">
        <f t="shared" si="0"/>
        <v>5670415</v>
      </c>
      <c r="M45" s="1273">
        <f t="shared" si="1"/>
        <v>4737800</v>
      </c>
      <c r="N45" s="782">
        <f t="shared" si="4"/>
        <v>1073676</v>
      </c>
      <c r="O45" s="782">
        <f t="shared" si="5"/>
        <v>733236</v>
      </c>
      <c r="Q45" s="1488">
        <f>'Key &amp; Summary'!$H$23</f>
        <v>49859.947791482118</v>
      </c>
    </row>
    <row r="46" spans="1:21">
      <c r="A46" s="1484">
        <f t="shared" si="3"/>
        <v>1994</v>
      </c>
      <c r="B46" s="781">
        <f>SUMIFS(BuildingListNoSpaces!$F$2:$F$214,BuildingListNoSpaces!$I$2:$I$214,"&lt;="&amp;$A46,BuildingListNoSpaces!$B$2:$B$214,B$31)-SUMIFS(BuildingListNoSpaces!$F$2:$F$214,BuildingListNoSpaces!$J$2:$J$214,"&gt;="&amp;$A46,BuildingListNoSpaces!$B$2:$B$214,B$31)</f>
        <v>2930237.9999999995</v>
      </c>
      <c r="C46" s="781">
        <f>SUMIFS(BuildingListNoSpaces!$F$2:$F$214,BuildingListNoSpaces!$I$2:$I$214,"&lt;="&amp;$A46,BuildingListNoSpaces!$B$2:$B$214,C$31)-SUMIFS(BuildingListNoSpaces!$F$2:$F$214,BuildingListNoSpaces!$J$2:$J$214,"&gt;="&amp;$A46,BuildingListNoSpaces!$B$2:$B$214,C$31)</f>
        <v>524070</v>
      </c>
      <c r="D46" s="781">
        <f>SUMIFS(BuildingListNoSpaces!$F$2:$F$214,BuildingListNoSpaces!$I$2:$I$214,"&lt;="&amp;$A46,BuildingListNoSpaces!$B$2:$B$214,D$31)-SUMIFS(BuildingListNoSpaces!$F$2:$F$214,BuildingListNoSpaces!$J$2:$J$214,"&gt;="&amp;$A46,BuildingListNoSpaces!$B$2:$B$214,D$31)</f>
        <v>12200</v>
      </c>
      <c r="E46" s="781">
        <f>SUMIFS(BuildingListNoSpaces!$F$2:$F$214,BuildingListNoSpaces!$I$2:$I$214,"&lt;="&amp;$A46,BuildingListNoSpaces!$B$2:$B$214,E$31)-SUMIFS(BuildingListNoSpaces!$F$2:$F$214,BuildingListNoSpaces!$J$2:$J$214,"&gt;="&amp;$A46,BuildingListNoSpaces!$B$2:$B$214,E$31)</f>
        <v>59985</v>
      </c>
      <c r="F46" s="781">
        <f>SUMIFS(BuildingListNoSpaces!$F$2:$F$214,BuildingListNoSpaces!$I$2:$I$214,"&lt;="&amp;$A46,BuildingListNoSpaces!$B$2:$B$214,F$31)-SUMIFS(BuildingListNoSpaces!$F$2:$F$214,BuildingListNoSpaces!$J$2:$J$214,"&gt;="&amp;$A46,BuildingListNoSpaces!$B$2:$B$214,F$31)</f>
        <v>737032</v>
      </c>
      <c r="G46" s="781">
        <f>SUMIFS(BuildingListNoSpaces!$F$2:$F$214,BuildingListNoSpaces!$I$2:$I$214,"&lt;="&amp;$A46,BuildingListNoSpaces!$B$2:$B$214,G$31)-SUMIFS(BuildingListNoSpaces!$F$2:$F$214,BuildingListNoSpaces!$J$2:$J$214,"&gt;="&amp;$A46,BuildingListNoSpaces!$B$2:$B$214,G$31)</f>
        <v>38376</v>
      </c>
      <c r="H46" s="781">
        <f>SUMIFS(BuildingListNoSpaces!$F$2:$F$214,BuildingListNoSpaces!$I$2:$I$214,"&lt;="&amp;$A46,BuildingListNoSpaces!$B$2:$B$214,H$31)-SUMIFS(BuildingListNoSpaces!$F$2:$F$214,BuildingListNoSpaces!$J$2:$J$214,"&gt;="&amp;$A46,BuildingListNoSpaces!$B$2:$B$214,H$31)</f>
        <v>111273</v>
      </c>
      <c r="I46" s="781">
        <f>SUMIFS(BuildingListNoSpaces!$F$2:$F$214,BuildingListNoSpaces!$I$2:$I$214,"&lt;="&amp;$A46,BuildingListNoSpaces!$B$2:$B$214,I$31)-SUMIFS(BuildingListNoSpaces!$F$2:$F$214,BuildingListNoSpaces!$J$2:$J$214,"&gt;="&amp;$A46,BuildingListNoSpaces!$B$2:$B$214,I$31)</f>
        <v>873732</v>
      </c>
      <c r="J46" s="781">
        <f>SUMIFS(BuildingListNoSpaces!$F$2:$F$214,BuildingListNoSpaces!$I$2:$I$214,"&lt;="&amp;$A46,BuildingListNoSpaces!$B$2:$B$214,J$31)-SUMIFS(BuildingListNoSpaces!$F$2:$F$214,BuildingListNoSpaces!$J$2:$J$214,"&gt;="&amp;$A46,BuildingListNoSpaces!$B$2:$B$214,J$31)</f>
        <v>58883</v>
      </c>
      <c r="K46" s="781">
        <f>SUMIFS(BuildingListNoSpaces!$F$2:$F$214,BuildingListNoSpaces!$I$2:$I$214,"&lt;="&amp;$A46,BuildingListNoSpaces!$B$2:$B$214,K$31)-SUMIFS(BuildingListNoSpaces!$F$2:$F$214,BuildingListNoSpaces!$J$2:$J$214,"&gt;="&amp;$A46,BuildingListNoSpaces!$B$2:$B$214,K$31)</f>
        <v>455204</v>
      </c>
      <c r="L46" s="1273">
        <f t="shared" si="0"/>
        <v>5800993</v>
      </c>
      <c r="M46" s="1273">
        <f t="shared" si="1"/>
        <v>4868378</v>
      </c>
      <c r="N46" s="782">
        <f t="shared" si="4"/>
        <v>1204254</v>
      </c>
      <c r="O46" s="782">
        <f t="shared" si="5"/>
        <v>863814</v>
      </c>
      <c r="Q46" s="1488">
        <f>'Key &amp; Summary'!$H$23</f>
        <v>49859.947791482118</v>
      </c>
    </row>
    <row r="47" spans="1:21">
      <c r="A47" s="1484">
        <f t="shared" si="3"/>
        <v>1995</v>
      </c>
      <c r="B47" s="781">
        <f>SUMIFS(BuildingListNoSpaces!$F$2:$F$214,BuildingListNoSpaces!$I$2:$I$214,"&lt;="&amp;$A47,BuildingListNoSpaces!$B$2:$B$214,B$31)-SUMIFS(BuildingListNoSpaces!$F$2:$F$214,BuildingListNoSpaces!$J$2:$J$214,"&gt;="&amp;$A47,BuildingListNoSpaces!$B$2:$B$214,B$31)</f>
        <v>2930237.9999999995</v>
      </c>
      <c r="C47" s="781">
        <f>SUMIFS(BuildingListNoSpaces!$F$2:$F$214,BuildingListNoSpaces!$I$2:$I$214,"&lt;="&amp;$A47,BuildingListNoSpaces!$B$2:$B$214,C$31)-SUMIFS(BuildingListNoSpaces!$F$2:$F$214,BuildingListNoSpaces!$J$2:$J$214,"&gt;="&amp;$A47,BuildingListNoSpaces!$B$2:$B$214,C$31)</f>
        <v>524070</v>
      </c>
      <c r="D47" s="781">
        <f>SUMIFS(BuildingListNoSpaces!$F$2:$F$214,BuildingListNoSpaces!$I$2:$I$214,"&lt;="&amp;$A47,BuildingListNoSpaces!$B$2:$B$214,D$31)-SUMIFS(BuildingListNoSpaces!$F$2:$F$214,BuildingListNoSpaces!$J$2:$J$214,"&gt;="&amp;$A47,BuildingListNoSpaces!$B$2:$B$214,D$31)</f>
        <v>12200</v>
      </c>
      <c r="E47" s="781">
        <f>SUMIFS(BuildingListNoSpaces!$F$2:$F$214,BuildingListNoSpaces!$I$2:$I$214,"&lt;="&amp;$A47,BuildingListNoSpaces!$B$2:$B$214,E$31)-SUMIFS(BuildingListNoSpaces!$F$2:$F$214,BuildingListNoSpaces!$J$2:$J$214,"&gt;="&amp;$A47,BuildingListNoSpaces!$B$2:$B$214,E$31)</f>
        <v>59985</v>
      </c>
      <c r="F47" s="781">
        <f>SUMIFS(BuildingListNoSpaces!$F$2:$F$214,BuildingListNoSpaces!$I$2:$I$214,"&lt;="&amp;$A47,BuildingListNoSpaces!$B$2:$B$214,F$31)-SUMIFS(BuildingListNoSpaces!$F$2:$F$214,BuildingListNoSpaces!$J$2:$J$214,"&gt;="&amp;$A47,BuildingListNoSpaces!$B$2:$B$214,F$31)</f>
        <v>737032</v>
      </c>
      <c r="G47" s="781">
        <f>SUMIFS(BuildingListNoSpaces!$F$2:$F$214,BuildingListNoSpaces!$I$2:$I$214,"&lt;="&amp;$A47,BuildingListNoSpaces!$B$2:$B$214,G$31)-SUMIFS(BuildingListNoSpaces!$F$2:$F$214,BuildingListNoSpaces!$J$2:$J$214,"&gt;="&amp;$A47,BuildingListNoSpaces!$B$2:$B$214,G$31)</f>
        <v>38376</v>
      </c>
      <c r="H47" s="781">
        <f>SUMIFS(BuildingListNoSpaces!$F$2:$F$214,BuildingListNoSpaces!$I$2:$I$214,"&lt;="&amp;$A47,BuildingListNoSpaces!$B$2:$B$214,H$31)-SUMIFS(BuildingListNoSpaces!$F$2:$F$214,BuildingListNoSpaces!$J$2:$J$214,"&gt;="&amp;$A47,BuildingListNoSpaces!$B$2:$B$214,H$31)</f>
        <v>111273</v>
      </c>
      <c r="I47" s="781">
        <f>SUMIFS(BuildingListNoSpaces!$F$2:$F$214,BuildingListNoSpaces!$I$2:$I$214,"&lt;="&amp;$A47,BuildingListNoSpaces!$B$2:$B$214,I$31)-SUMIFS(BuildingListNoSpaces!$F$2:$F$214,BuildingListNoSpaces!$J$2:$J$214,"&gt;="&amp;$A47,BuildingListNoSpaces!$B$2:$B$214,I$31)</f>
        <v>1113582</v>
      </c>
      <c r="J47" s="781">
        <f>SUMIFS(BuildingListNoSpaces!$F$2:$F$214,BuildingListNoSpaces!$I$2:$I$214,"&lt;="&amp;$A47,BuildingListNoSpaces!$B$2:$B$214,J$31)-SUMIFS(BuildingListNoSpaces!$F$2:$F$214,BuildingListNoSpaces!$J$2:$J$214,"&gt;="&amp;$A47,BuildingListNoSpaces!$B$2:$B$214,J$31)</f>
        <v>58883</v>
      </c>
      <c r="K47" s="781">
        <f>SUMIFS(BuildingListNoSpaces!$F$2:$F$214,BuildingListNoSpaces!$I$2:$I$214,"&lt;="&amp;$A47,BuildingListNoSpaces!$B$2:$B$214,K$31)-SUMIFS(BuildingListNoSpaces!$F$2:$F$214,BuildingListNoSpaces!$J$2:$J$214,"&gt;="&amp;$A47,BuildingListNoSpaces!$B$2:$B$214,K$31)</f>
        <v>455204</v>
      </c>
      <c r="L47" s="1273">
        <f t="shared" si="0"/>
        <v>6040843</v>
      </c>
      <c r="M47" s="1273">
        <f t="shared" si="1"/>
        <v>4868378</v>
      </c>
      <c r="N47" s="782">
        <f t="shared" si="4"/>
        <v>1444104</v>
      </c>
      <c r="O47" s="782">
        <f t="shared" si="5"/>
        <v>863814</v>
      </c>
      <c r="Q47" s="1488">
        <f>'Key &amp; Summary'!$H$23</f>
        <v>49859.947791482118</v>
      </c>
    </row>
    <row r="48" spans="1:21">
      <c r="A48" s="1484">
        <f t="shared" si="3"/>
        <v>1996</v>
      </c>
      <c r="B48" s="781">
        <f>SUMIFS(BuildingListNoSpaces!$F$2:$F$214,BuildingListNoSpaces!$I$2:$I$214,"&lt;="&amp;$A48,BuildingListNoSpaces!$B$2:$B$214,B$31)-SUMIFS(BuildingListNoSpaces!$F$2:$F$214,BuildingListNoSpaces!$J$2:$J$214,"&gt;="&amp;$A48,BuildingListNoSpaces!$B$2:$B$214,B$31)</f>
        <v>3123819.9999999995</v>
      </c>
      <c r="C48" s="781">
        <f>SUMIFS(BuildingListNoSpaces!$F$2:$F$214,BuildingListNoSpaces!$I$2:$I$214,"&lt;="&amp;$A48,BuildingListNoSpaces!$B$2:$B$214,C$31)-SUMIFS(BuildingListNoSpaces!$F$2:$F$214,BuildingListNoSpaces!$J$2:$J$214,"&gt;="&amp;$A48,BuildingListNoSpaces!$B$2:$B$214,C$31)</f>
        <v>524070</v>
      </c>
      <c r="D48" s="781">
        <f>SUMIFS(BuildingListNoSpaces!$F$2:$F$214,BuildingListNoSpaces!$I$2:$I$214,"&lt;="&amp;$A48,BuildingListNoSpaces!$B$2:$B$214,D$31)-SUMIFS(BuildingListNoSpaces!$F$2:$F$214,BuildingListNoSpaces!$J$2:$J$214,"&gt;="&amp;$A48,BuildingListNoSpaces!$B$2:$B$214,D$31)</f>
        <v>12200</v>
      </c>
      <c r="E48" s="781">
        <f>SUMIFS(BuildingListNoSpaces!$F$2:$F$214,BuildingListNoSpaces!$I$2:$I$214,"&lt;="&amp;$A48,BuildingListNoSpaces!$B$2:$B$214,E$31)-SUMIFS(BuildingListNoSpaces!$F$2:$F$214,BuildingListNoSpaces!$J$2:$J$214,"&gt;="&amp;$A48,BuildingListNoSpaces!$B$2:$B$214,E$31)</f>
        <v>59985</v>
      </c>
      <c r="F48" s="781">
        <f>SUMIFS(BuildingListNoSpaces!$F$2:$F$214,BuildingListNoSpaces!$I$2:$I$214,"&lt;="&amp;$A48,BuildingListNoSpaces!$B$2:$B$214,F$31)-SUMIFS(BuildingListNoSpaces!$F$2:$F$214,BuildingListNoSpaces!$J$2:$J$214,"&gt;="&amp;$A48,BuildingListNoSpaces!$B$2:$B$214,F$31)</f>
        <v>737032</v>
      </c>
      <c r="G48" s="781">
        <f>SUMIFS(BuildingListNoSpaces!$F$2:$F$214,BuildingListNoSpaces!$I$2:$I$214,"&lt;="&amp;$A48,BuildingListNoSpaces!$B$2:$B$214,G$31)-SUMIFS(BuildingListNoSpaces!$F$2:$F$214,BuildingListNoSpaces!$J$2:$J$214,"&gt;="&amp;$A48,BuildingListNoSpaces!$B$2:$B$214,G$31)</f>
        <v>38376</v>
      </c>
      <c r="H48" s="781">
        <f>SUMIFS(BuildingListNoSpaces!$F$2:$F$214,BuildingListNoSpaces!$I$2:$I$214,"&lt;="&amp;$A48,BuildingListNoSpaces!$B$2:$B$214,H$31)-SUMIFS(BuildingListNoSpaces!$F$2:$F$214,BuildingListNoSpaces!$J$2:$J$214,"&gt;="&amp;$A48,BuildingListNoSpaces!$B$2:$B$214,H$31)</f>
        <v>111273</v>
      </c>
      <c r="I48" s="781">
        <f>SUMIFS(BuildingListNoSpaces!$F$2:$F$214,BuildingListNoSpaces!$I$2:$I$214,"&lt;="&amp;$A48,BuildingListNoSpaces!$B$2:$B$214,I$31)-SUMIFS(BuildingListNoSpaces!$F$2:$F$214,BuildingListNoSpaces!$J$2:$J$214,"&gt;="&amp;$A48,BuildingListNoSpaces!$B$2:$B$214,I$31)</f>
        <v>1113582</v>
      </c>
      <c r="J48" s="781">
        <f>SUMIFS(BuildingListNoSpaces!$F$2:$F$214,BuildingListNoSpaces!$I$2:$I$214,"&lt;="&amp;$A48,BuildingListNoSpaces!$B$2:$B$214,J$31)-SUMIFS(BuildingListNoSpaces!$F$2:$F$214,BuildingListNoSpaces!$J$2:$J$214,"&gt;="&amp;$A48,BuildingListNoSpaces!$B$2:$B$214,J$31)</f>
        <v>58883</v>
      </c>
      <c r="K48" s="781">
        <f>SUMIFS(BuildingListNoSpaces!$F$2:$F$214,BuildingListNoSpaces!$I$2:$I$214,"&lt;="&amp;$A48,BuildingListNoSpaces!$B$2:$B$214,K$31)-SUMIFS(BuildingListNoSpaces!$F$2:$F$214,BuildingListNoSpaces!$J$2:$J$214,"&gt;="&amp;$A48,BuildingListNoSpaces!$B$2:$B$214,K$31)</f>
        <v>455204</v>
      </c>
      <c r="L48" s="1273">
        <f t="shared" si="0"/>
        <v>6234425</v>
      </c>
      <c r="M48" s="1273">
        <f t="shared" si="1"/>
        <v>5061960</v>
      </c>
      <c r="N48" s="782">
        <f t="shared" si="4"/>
        <v>1633800</v>
      </c>
      <c r="O48" s="782">
        <f t="shared" si="5"/>
        <v>1053510</v>
      </c>
      <c r="Q48" s="1488">
        <f>'Key &amp; Summary'!$H$23</f>
        <v>49859.947791482118</v>
      </c>
    </row>
    <row r="49" spans="1:18">
      <c r="A49" s="1484">
        <f t="shared" si="3"/>
        <v>1997</v>
      </c>
      <c r="B49" s="781">
        <f>SUMIFS(BuildingListNoSpaces!$F$2:$F$214,BuildingListNoSpaces!$I$2:$I$214,"&lt;="&amp;$A49,BuildingListNoSpaces!$B$2:$B$214,B$31)-SUMIFS(BuildingListNoSpaces!$F$2:$F$214,BuildingListNoSpaces!$J$2:$J$214,"&gt;="&amp;$A49,BuildingListNoSpaces!$B$2:$B$214,B$31)</f>
        <v>3123819.9999999995</v>
      </c>
      <c r="C49" s="781">
        <f>SUMIFS(BuildingListNoSpaces!$F$2:$F$214,BuildingListNoSpaces!$I$2:$I$214,"&lt;="&amp;$A49,BuildingListNoSpaces!$B$2:$B$214,C$31)-SUMIFS(BuildingListNoSpaces!$F$2:$F$214,BuildingListNoSpaces!$J$2:$J$214,"&gt;="&amp;$A49,BuildingListNoSpaces!$B$2:$B$214,C$31)</f>
        <v>524070</v>
      </c>
      <c r="D49" s="781">
        <f>SUMIFS(BuildingListNoSpaces!$F$2:$F$214,BuildingListNoSpaces!$I$2:$I$214,"&lt;="&amp;$A49,BuildingListNoSpaces!$B$2:$B$214,D$31)-SUMIFS(BuildingListNoSpaces!$F$2:$F$214,BuildingListNoSpaces!$J$2:$J$214,"&gt;="&amp;$A49,BuildingListNoSpaces!$B$2:$B$214,D$31)</f>
        <v>12200</v>
      </c>
      <c r="E49" s="781">
        <f>SUMIFS(BuildingListNoSpaces!$F$2:$F$214,BuildingListNoSpaces!$I$2:$I$214,"&lt;="&amp;$A49,BuildingListNoSpaces!$B$2:$B$214,E$31)-SUMIFS(BuildingListNoSpaces!$F$2:$F$214,BuildingListNoSpaces!$J$2:$J$214,"&gt;="&amp;$A49,BuildingListNoSpaces!$B$2:$B$214,E$31)</f>
        <v>61985</v>
      </c>
      <c r="F49" s="781">
        <f>SUMIFS(BuildingListNoSpaces!$F$2:$F$214,BuildingListNoSpaces!$I$2:$I$214,"&lt;="&amp;$A49,BuildingListNoSpaces!$B$2:$B$214,F$31)-SUMIFS(BuildingListNoSpaces!$F$2:$F$214,BuildingListNoSpaces!$J$2:$J$214,"&gt;="&amp;$A49,BuildingListNoSpaces!$B$2:$B$214,F$31)</f>
        <v>737032</v>
      </c>
      <c r="G49" s="781">
        <f>SUMIFS(BuildingListNoSpaces!$F$2:$F$214,BuildingListNoSpaces!$I$2:$I$214,"&lt;="&amp;$A49,BuildingListNoSpaces!$B$2:$B$214,G$31)-SUMIFS(BuildingListNoSpaces!$F$2:$F$214,BuildingListNoSpaces!$J$2:$J$214,"&gt;="&amp;$A49,BuildingListNoSpaces!$B$2:$B$214,G$31)</f>
        <v>38376</v>
      </c>
      <c r="H49" s="781">
        <f>SUMIFS(BuildingListNoSpaces!$F$2:$F$214,BuildingListNoSpaces!$I$2:$I$214,"&lt;="&amp;$A49,BuildingListNoSpaces!$B$2:$B$214,H$31)-SUMIFS(BuildingListNoSpaces!$F$2:$F$214,BuildingListNoSpaces!$J$2:$J$214,"&gt;="&amp;$A49,BuildingListNoSpaces!$B$2:$B$214,H$31)</f>
        <v>111273</v>
      </c>
      <c r="I49" s="781">
        <f>SUMIFS(BuildingListNoSpaces!$F$2:$F$214,BuildingListNoSpaces!$I$2:$I$214,"&lt;="&amp;$A49,BuildingListNoSpaces!$B$2:$B$214,I$31)-SUMIFS(BuildingListNoSpaces!$F$2:$F$214,BuildingListNoSpaces!$J$2:$J$214,"&gt;="&amp;$A49,BuildingListNoSpaces!$B$2:$B$214,I$31)</f>
        <v>1113582</v>
      </c>
      <c r="J49" s="781">
        <f>SUMIFS(BuildingListNoSpaces!$F$2:$F$214,BuildingListNoSpaces!$I$2:$I$214,"&lt;="&amp;$A49,BuildingListNoSpaces!$B$2:$B$214,J$31)-SUMIFS(BuildingListNoSpaces!$F$2:$F$214,BuildingListNoSpaces!$J$2:$J$214,"&gt;="&amp;$A49,BuildingListNoSpaces!$B$2:$B$214,J$31)</f>
        <v>58883</v>
      </c>
      <c r="K49" s="781">
        <f>SUMIFS(BuildingListNoSpaces!$F$2:$F$214,BuildingListNoSpaces!$I$2:$I$214,"&lt;="&amp;$A49,BuildingListNoSpaces!$B$2:$B$214,K$31)-SUMIFS(BuildingListNoSpaces!$F$2:$F$214,BuildingListNoSpaces!$J$2:$J$214,"&gt;="&amp;$A49,BuildingListNoSpaces!$B$2:$B$214,K$31)</f>
        <v>455204</v>
      </c>
      <c r="L49" s="1273">
        <f t="shared" si="0"/>
        <v>6236425</v>
      </c>
      <c r="M49" s="1273">
        <f t="shared" si="1"/>
        <v>5063960</v>
      </c>
      <c r="N49" s="782">
        <f t="shared" si="4"/>
        <v>1596434</v>
      </c>
      <c r="O49" s="782">
        <f t="shared" si="5"/>
        <v>1016144</v>
      </c>
      <c r="Q49" s="1488">
        <f>'Key &amp; Summary'!$H$23</f>
        <v>49859.947791482118</v>
      </c>
    </row>
    <row r="50" spans="1:18">
      <c r="A50" s="1484">
        <f t="shared" si="3"/>
        <v>1998</v>
      </c>
      <c r="B50" s="781">
        <f>SUMIFS(BuildingListNoSpaces!$F$2:$F$214,BuildingListNoSpaces!$I$2:$I$214,"&lt;="&amp;$A50,BuildingListNoSpaces!$B$2:$B$214,B$31)-SUMIFS(BuildingListNoSpaces!$F$2:$F$214,BuildingListNoSpaces!$J$2:$J$214,"&gt;="&amp;$A50,BuildingListNoSpaces!$B$2:$B$214,B$31)</f>
        <v>3123819.9999999995</v>
      </c>
      <c r="C50" s="781">
        <f>SUMIFS(BuildingListNoSpaces!$F$2:$F$214,BuildingListNoSpaces!$I$2:$I$214,"&lt;="&amp;$A50,BuildingListNoSpaces!$B$2:$B$214,C$31)-SUMIFS(BuildingListNoSpaces!$F$2:$F$214,BuildingListNoSpaces!$J$2:$J$214,"&gt;="&amp;$A50,BuildingListNoSpaces!$B$2:$B$214,C$31)</f>
        <v>524070</v>
      </c>
      <c r="D50" s="781">
        <f>SUMIFS(BuildingListNoSpaces!$F$2:$F$214,BuildingListNoSpaces!$I$2:$I$214,"&lt;="&amp;$A50,BuildingListNoSpaces!$B$2:$B$214,D$31)-SUMIFS(BuildingListNoSpaces!$F$2:$F$214,BuildingListNoSpaces!$J$2:$J$214,"&gt;="&amp;$A50,BuildingListNoSpaces!$B$2:$B$214,D$31)</f>
        <v>12200</v>
      </c>
      <c r="E50" s="781">
        <f>SUMIFS(BuildingListNoSpaces!$F$2:$F$214,BuildingListNoSpaces!$I$2:$I$214,"&lt;="&amp;$A50,BuildingListNoSpaces!$B$2:$B$214,E$31)-SUMIFS(BuildingListNoSpaces!$F$2:$F$214,BuildingListNoSpaces!$J$2:$J$214,"&gt;="&amp;$A50,BuildingListNoSpaces!$B$2:$B$214,E$31)</f>
        <v>64085</v>
      </c>
      <c r="F50" s="781">
        <f>SUMIFS(BuildingListNoSpaces!$F$2:$F$214,BuildingListNoSpaces!$I$2:$I$214,"&lt;="&amp;$A50,BuildingListNoSpaces!$B$2:$B$214,F$31)-SUMIFS(BuildingListNoSpaces!$F$2:$F$214,BuildingListNoSpaces!$J$2:$J$214,"&gt;="&amp;$A50,BuildingListNoSpaces!$B$2:$B$214,F$31)</f>
        <v>737032</v>
      </c>
      <c r="G50" s="781">
        <f>SUMIFS(BuildingListNoSpaces!$F$2:$F$214,BuildingListNoSpaces!$I$2:$I$214,"&lt;="&amp;$A50,BuildingListNoSpaces!$B$2:$B$214,G$31)-SUMIFS(BuildingListNoSpaces!$F$2:$F$214,BuildingListNoSpaces!$J$2:$J$214,"&gt;="&amp;$A50,BuildingListNoSpaces!$B$2:$B$214,G$31)</f>
        <v>38376</v>
      </c>
      <c r="H50" s="781">
        <f>SUMIFS(BuildingListNoSpaces!$F$2:$F$214,BuildingListNoSpaces!$I$2:$I$214,"&lt;="&amp;$A50,BuildingListNoSpaces!$B$2:$B$214,H$31)-SUMIFS(BuildingListNoSpaces!$F$2:$F$214,BuildingListNoSpaces!$J$2:$J$214,"&gt;="&amp;$A50,BuildingListNoSpaces!$B$2:$B$214,H$31)</f>
        <v>111273</v>
      </c>
      <c r="I50" s="781">
        <f>SUMIFS(BuildingListNoSpaces!$F$2:$F$214,BuildingListNoSpaces!$I$2:$I$214,"&lt;="&amp;$A50,BuildingListNoSpaces!$B$2:$B$214,I$31)-SUMIFS(BuildingListNoSpaces!$F$2:$F$214,BuildingListNoSpaces!$J$2:$J$214,"&gt;="&amp;$A50,BuildingListNoSpaces!$B$2:$B$214,I$31)</f>
        <v>1113582</v>
      </c>
      <c r="J50" s="781">
        <f>SUMIFS(BuildingListNoSpaces!$F$2:$F$214,BuildingListNoSpaces!$I$2:$I$214,"&lt;="&amp;$A50,BuildingListNoSpaces!$B$2:$B$214,J$31)-SUMIFS(BuildingListNoSpaces!$F$2:$F$214,BuildingListNoSpaces!$J$2:$J$214,"&gt;="&amp;$A50,BuildingListNoSpaces!$B$2:$B$214,J$31)</f>
        <v>58883</v>
      </c>
      <c r="K50" s="781">
        <f>SUMIFS(BuildingListNoSpaces!$F$2:$F$214,BuildingListNoSpaces!$I$2:$I$214,"&lt;="&amp;$A50,BuildingListNoSpaces!$B$2:$B$214,K$31)-SUMIFS(BuildingListNoSpaces!$F$2:$F$214,BuildingListNoSpaces!$J$2:$J$214,"&gt;="&amp;$A50,BuildingListNoSpaces!$B$2:$B$214,K$31)</f>
        <v>455204</v>
      </c>
      <c r="L50" s="1273">
        <f t="shared" si="0"/>
        <v>6238525</v>
      </c>
      <c r="M50" s="1273">
        <f t="shared" si="1"/>
        <v>5066060</v>
      </c>
      <c r="N50" s="782">
        <f t="shared" si="4"/>
        <v>1537534</v>
      </c>
      <c r="O50" s="782">
        <f t="shared" si="5"/>
        <v>957244</v>
      </c>
      <c r="Q50" s="1488">
        <f>'Key &amp; Summary'!$H$23</f>
        <v>49859.947791482118</v>
      </c>
    </row>
    <row r="51" spans="1:18">
      <c r="A51" s="1484">
        <f t="shared" si="3"/>
        <v>1999</v>
      </c>
      <c r="B51" s="781">
        <f>SUMIFS(BuildingListNoSpaces!$F$2:$F$214,BuildingListNoSpaces!$I$2:$I$214,"&lt;="&amp;$A51,BuildingListNoSpaces!$B$2:$B$214,B$31)-SUMIFS(BuildingListNoSpaces!$F$2:$F$214,BuildingListNoSpaces!$J$2:$J$214,"&gt;="&amp;$A51,BuildingListNoSpaces!$B$2:$B$214,B$31)</f>
        <v>3123819.9999999995</v>
      </c>
      <c r="C51" s="781">
        <f>SUMIFS(BuildingListNoSpaces!$F$2:$F$214,BuildingListNoSpaces!$I$2:$I$214,"&lt;="&amp;$A51,BuildingListNoSpaces!$B$2:$B$214,C$31)-SUMIFS(BuildingListNoSpaces!$F$2:$F$214,BuildingListNoSpaces!$J$2:$J$214,"&gt;="&amp;$A51,BuildingListNoSpaces!$B$2:$B$214,C$31)</f>
        <v>524070</v>
      </c>
      <c r="D51" s="781">
        <f>SUMIFS(BuildingListNoSpaces!$F$2:$F$214,BuildingListNoSpaces!$I$2:$I$214,"&lt;="&amp;$A51,BuildingListNoSpaces!$B$2:$B$214,D$31)-SUMIFS(BuildingListNoSpaces!$F$2:$F$214,BuildingListNoSpaces!$J$2:$J$214,"&gt;="&amp;$A51,BuildingListNoSpaces!$B$2:$B$214,D$31)</f>
        <v>12200</v>
      </c>
      <c r="E51" s="781">
        <f>SUMIFS(BuildingListNoSpaces!$F$2:$F$214,BuildingListNoSpaces!$I$2:$I$214,"&lt;="&amp;$A51,BuildingListNoSpaces!$B$2:$B$214,E$31)-SUMIFS(BuildingListNoSpaces!$F$2:$F$214,BuildingListNoSpaces!$J$2:$J$214,"&gt;="&amp;$A51,BuildingListNoSpaces!$B$2:$B$214,E$31)</f>
        <v>64085</v>
      </c>
      <c r="F51" s="781">
        <f>SUMIFS(BuildingListNoSpaces!$F$2:$F$214,BuildingListNoSpaces!$I$2:$I$214,"&lt;="&amp;$A51,BuildingListNoSpaces!$B$2:$B$214,F$31)-SUMIFS(BuildingListNoSpaces!$F$2:$F$214,BuildingListNoSpaces!$J$2:$J$214,"&gt;="&amp;$A51,BuildingListNoSpaces!$B$2:$B$214,F$31)</f>
        <v>737032</v>
      </c>
      <c r="G51" s="781">
        <f>SUMIFS(BuildingListNoSpaces!$F$2:$F$214,BuildingListNoSpaces!$I$2:$I$214,"&lt;="&amp;$A51,BuildingListNoSpaces!$B$2:$B$214,G$31)-SUMIFS(BuildingListNoSpaces!$F$2:$F$214,BuildingListNoSpaces!$J$2:$J$214,"&gt;="&amp;$A51,BuildingListNoSpaces!$B$2:$B$214,G$31)</f>
        <v>38376</v>
      </c>
      <c r="H51" s="781">
        <f>SUMIFS(BuildingListNoSpaces!$F$2:$F$214,BuildingListNoSpaces!$I$2:$I$214,"&lt;="&amp;$A51,BuildingListNoSpaces!$B$2:$B$214,H$31)-SUMIFS(BuildingListNoSpaces!$F$2:$F$214,BuildingListNoSpaces!$J$2:$J$214,"&gt;="&amp;$A51,BuildingListNoSpaces!$B$2:$B$214,H$31)</f>
        <v>111273</v>
      </c>
      <c r="I51" s="781">
        <f>SUMIFS(BuildingListNoSpaces!$F$2:$F$214,BuildingListNoSpaces!$I$2:$I$214,"&lt;="&amp;$A51,BuildingListNoSpaces!$B$2:$B$214,I$31)-SUMIFS(BuildingListNoSpaces!$F$2:$F$214,BuildingListNoSpaces!$J$2:$J$214,"&gt;="&amp;$A51,BuildingListNoSpaces!$B$2:$B$214,I$31)</f>
        <v>1113582</v>
      </c>
      <c r="J51" s="781">
        <f>SUMIFS(BuildingListNoSpaces!$F$2:$F$214,BuildingListNoSpaces!$I$2:$I$214,"&lt;="&amp;$A51,BuildingListNoSpaces!$B$2:$B$214,J$31)-SUMIFS(BuildingListNoSpaces!$F$2:$F$214,BuildingListNoSpaces!$J$2:$J$214,"&gt;="&amp;$A51,BuildingListNoSpaces!$B$2:$B$214,J$31)</f>
        <v>58883</v>
      </c>
      <c r="K51" s="781">
        <f>SUMIFS(BuildingListNoSpaces!$F$2:$F$214,BuildingListNoSpaces!$I$2:$I$214,"&lt;="&amp;$A51,BuildingListNoSpaces!$B$2:$B$214,K$31)-SUMIFS(BuildingListNoSpaces!$F$2:$F$214,BuildingListNoSpaces!$J$2:$J$214,"&gt;="&amp;$A51,BuildingListNoSpaces!$B$2:$B$214,K$31)</f>
        <v>455204</v>
      </c>
      <c r="L51" s="1273">
        <f t="shared" si="0"/>
        <v>6238525</v>
      </c>
      <c r="M51" s="1273">
        <f t="shared" si="1"/>
        <v>5066060</v>
      </c>
      <c r="N51" s="782">
        <f t="shared" si="4"/>
        <v>1501534</v>
      </c>
      <c r="O51" s="782">
        <f t="shared" si="5"/>
        <v>921244</v>
      </c>
      <c r="Q51" s="1488">
        <f>'Key &amp; Summary'!$H$23</f>
        <v>49859.947791482118</v>
      </c>
    </row>
    <row r="52" spans="1:18">
      <c r="A52" s="1484">
        <f t="shared" si="3"/>
        <v>2000</v>
      </c>
      <c r="B52" s="781">
        <f>SUMIFS(BuildingListNoSpaces!$F$2:$F$214,BuildingListNoSpaces!$I$2:$I$214,"&lt;="&amp;$A52,BuildingListNoSpaces!$B$2:$B$214,B$31)-SUMIFS(BuildingListNoSpaces!$F$2:$F$214,BuildingListNoSpaces!$J$2:$J$214,"&gt;="&amp;$A52,BuildingListNoSpaces!$B$2:$B$214,B$31)</f>
        <v>3244211.9999999995</v>
      </c>
      <c r="C52" s="781">
        <f>SUMIFS(BuildingListNoSpaces!$F$2:$F$214,BuildingListNoSpaces!$I$2:$I$214,"&lt;="&amp;$A52,BuildingListNoSpaces!$B$2:$B$214,C$31)-SUMIFS(BuildingListNoSpaces!$F$2:$F$214,BuildingListNoSpaces!$J$2:$J$214,"&gt;="&amp;$A52,BuildingListNoSpaces!$B$2:$B$214,C$31)</f>
        <v>574470</v>
      </c>
      <c r="D52" s="781">
        <f>SUMIFS(BuildingListNoSpaces!$F$2:$F$214,BuildingListNoSpaces!$I$2:$I$214,"&lt;="&amp;$A52,BuildingListNoSpaces!$B$2:$B$214,D$31)-SUMIFS(BuildingListNoSpaces!$F$2:$F$214,BuildingListNoSpaces!$J$2:$J$214,"&gt;="&amp;$A52,BuildingListNoSpaces!$B$2:$B$214,D$31)</f>
        <v>12200</v>
      </c>
      <c r="E52" s="781">
        <f>SUMIFS(BuildingListNoSpaces!$F$2:$F$214,BuildingListNoSpaces!$I$2:$I$214,"&lt;="&amp;$A52,BuildingListNoSpaces!$B$2:$B$214,E$31)-SUMIFS(BuildingListNoSpaces!$F$2:$F$214,BuildingListNoSpaces!$J$2:$J$214,"&gt;="&amp;$A52,BuildingListNoSpaces!$B$2:$B$214,E$31)</f>
        <v>64085</v>
      </c>
      <c r="F52" s="781">
        <f>SUMIFS(BuildingListNoSpaces!$F$2:$F$214,BuildingListNoSpaces!$I$2:$I$214,"&lt;="&amp;$A52,BuildingListNoSpaces!$B$2:$B$214,F$31)-SUMIFS(BuildingListNoSpaces!$F$2:$F$214,BuildingListNoSpaces!$J$2:$J$214,"&gt;="&amp;$A52,BuildingListNoSpaces!$B$2:$B$214,F$31)</f>
        <v>737032</v>
      </c>
      <c r="G52" s="781">
        <f>SUMIFS(BuildingListNoSpaces!$F$2:$F$214,BuildingListNoSpaces!$I$2:$I$214,"&lt;="&amp;$A52,BuildingListNoSpaces!$B$2:$B$214,G$31)-SUMIFS(BuildingListNoSpaces!$F$2:$F$214,BuildingListNoSpaces!$J$2:$J$214,"&gt;="&amp;$A52,BuildingListNoSpaces!$B$2:$B$214,G$31)</f>
        <v>38376</v>
      </c>
      <c r="H52" s="781">
        <f>SUMIFS(BuildingListNoSpaces!$F$2:$F$214,BuildingListNoSpaces!$I$2:$I$214,"&lt;="&amp;$A52,BuildingListNoSpaces!$B$2:$B$214,H$31)-SUMIFS(BuildingListNoSpaces!$F$2:$F$214,BuildingListNoSpaces!$J$2:$J$214,"&gt;="&amp;$A52,BuildingListNoSpaces!$B$2:$B$214,H$31)</f>
        <v>111273</v>
      </c>
      <c r="I52" s="781">
        <f>SUMIFS(BuildingListNoSpaces!$F$2:$F$214,BuildingListNoSpaces!$I$2:$I$214,"&lt;="&amp;$A52,BuildingListNoSpaces!$B$2:$B$214,I$31)-SUMIFS(BuildingListNoSpaces!$F$2:$F$214,BuildingListNoSpaces!$J$2:$J$214,"&gt;="&amp;$A52,BuildingListNoSpaces!$B$2:$B$214,I$31)</f>
        <v>1113582</v>
      </c>
      <c r="J52" s="781">
        <f>SUMIFS(BuildingListNoSpaces!$F$2:$F$214,BuildingListNoSpaces!$I$2:$I$214,"&lt;="&amp;$A52,BuildingListNoSpaces!$B$2:$B$214,J$31)-SUMIFS(BuildingListNoSpaces!$F$2:$F$214,BuildingListNoSpaces!$J$2:$J$214,"&gt;="&amp;$A52,BuildingListNoSpaces!$B$2:$B$214,J$31)</f>
        <v>58883</v>
      </c>
      <c r="K52" s="781">
        <f>SUMIFS(BuildingListNoSpaces!$F$2:$F$214,BuildingListNoSpaces!$I$2:$I$214,"&lt;="&amp;$A52,BuildingListNoSpaces!$B$2:$B$214,K$31)-SUMIFS(BuildingListNoSpaces!$F$2:$F$214,BuildingListNoSpaces!$J$2:$J$214,"&gt;="&amp;$A52,BuildingListNoSpaces!$B$2:$B$214,K$31)</f>
        <v>455204</v>
      </c>
      <c r="L52" s="1273">
        <f t="shared" si="0"/>
        <v>6409317</v>
      </c>
      <c r="M52" s="1273">
        <f t="shared" si="1"/>
        <v>5236852</v>
      </c>
      <c r="N52" s="782">
        <f t="shared" si="4"/>
        <v>1598282</v>
      </c>
      <c r="O52" s="782">
        <f t="shared" si="5"/>
        <v>1017992</v>
      </c>
      <c r="P52" s="10">
        <f>M56/M42</f>
        <v>1.366584574979971</v>
      </c>
      <c r="Q52" s="1488">
        <f>'Key &amp; Summary'!$H$23</f>
        <v>49859.947791482118</v>
      </c>
    </row>
    <row r="53" spans="1:18">
      <c r="A53" s="1484">
        <f t="shared" si="3"/>
        <v>2001</v>
      </c>
      <c r="B53" s="781">
        <f>SUMIFS(BuildingListNoSpaces!$F$2:$F$214,BuildingListNoSpaces!$I$2:$I$214,"&lt;="&amp;$A53,BuildingListNoSpaces!$B$2:$B$214,B$31)-SUMIFS(BuildingListNoSpaces!$F$2:$F$214,BuildingListNoSpaces!$J$2:$J$214,"&gt;="&amp;$A53,BuildingListNoSpaces!$B$2:$B$214,B$31)</f>
        <v>3244211.9999999995</v>
      </c>
      <c r="C53" s="781">
        <f>SUMIFS(BuildingListNoSpaces!$F$2:$F$214,BuildingListNoSpaces!$I$2:$I$214,"&lt;="&amp;$A53,BuildingListNoSpaces!$B$2:$B$214,C$31)-SUMIFS(BuildingListNoSpaces!$F$2:$F$214,BuildingListNoSpaces!$J$2:$J$214,"&gt;="&amp;$A53,BuildingListNoSpaces!$B$2:$B$214,C$31)</f>
        <v>574470</v>
      </c>
      <c r="D53" s="781">
        <f>SUMIFS(BuildingListNoSpaces!$F$2:$F$214,BuildingListNoSpaces!$I$2:$I$214,"&lt;="&amp;$A53,BuildingListNoSpaces!$B$2:$B$214,D$31)-SUMIFS(BuildingListNoSpaces!$F$2:$F$214,BuildingListNoSpaces!$J$2:$J$214,"&gt;="&amp;$A53,BuildingListNoSpaces!$B$2:$B$214,D$31)</f>
        <v>12200</v>
      </c>
      <c r="E53" s="781">
        <f>SUMIFS(BuildingListNoSpaces!$F$2:$F$214,BuildingListNoSpaces!$I$2:$I$214,"&lt;="&amp;$A53,BuildingListNoSpaces!$B$2:$B$214,E$31)-SUMIFS(BuildingListNoSpaces!$F$2:$F$214,BuildingListNoSpaces!$J$2:$J$214,"&gt;="&amp;$A53,BuildingListNoSpaces!$B$2:$B$214,E$31)</f>
        <v>64085</v>
      </c>
      <c r="F53" s="781">
        <f>SUMIFS(BuildingListNoSpaces!$F$2:$F$214,BuildingListNoSpaces!$I$2:$I$214,"&lt;="&amp;$A53,BuildingListNoSpaces!$B$2:$B$214,F$31)-SUMIFS(BuildingListNoSpaces!$F$2:$F$214,BuildingListNoSpaces!$J$2:$J$214,"&gt;="&amp;$A53,BuildingListNoSpaces!$B$2:$B$214,F$31)</f>
        <v>737032</v>
      </c>
      <c r="G53" s="781">
        <f>SUMIFS(BuildingListNoSpaces!$F$2:$F$214,BuildingListNoSpaces!$I$2:$I$214,"&lt;="&amp;$A53,BuildingListNoSpaces!$B$2:$B$214,G$31)-SUMIFS(BuildingListNoSpaces!$F$2:$F$214,BuildingListNoSpaces!$J$2:$J$214,"&gt;="&amp;$A53,BuildingListNoSpaces!$B$2:$B$214,G$31)</f>
        <v>38376</v>
      </c>
      <c r="H53" s="781">
        <f>SUMIFS(BuildingListNoSpaces!$F$2:$F$214,BuildingListNoSpaces!$I$2:$I$214,"&lt;="&amp;$A53,BuildingListNoSpaces!$B$2:$B$214,H$31)-SUMIFS(BuildingListNoSpaces!$F$2:$F$214,BuildingListNoSpaces!$J$2:$J$214,"&gt;="&amp;$A53,BuildingListNoSpaces!$B$2:$B$214,H$31)</f>
        <v>111273</v>
      </c>
      <c r="I53" s="781">
        <f>SUMIFS(BuildingListNoSpaces!$F$2:$F$214,BuildingListNoSpaces!$I$2:$I$214,"&lt;="&amp;$A53,BuildingListNoSpaces!$B$2:$B$214,I$31)-SUMIFS(BuildingListNoSpaces!$F$2:$F$214,BuildingListNoSpaces!$J$2:$J$214,"&gt;="&amp;$A53,BuildingListNoSpaces!$B$2:$B$214,I$31)</f>
        <v>1113582</v>
      </c>
      <c r="J53" s="781">
        <f>SUMIFS(BuildingListNoSpaces!$F$2:$F$214,BuildingListNoSpaces!$I$2:$I$214,"&lt;="&amp;$A53,BuildingListNoSpaces!$B$2:$B$214,J$31)-SUMIFS(BuildingListNoSpaces!$F$2:$F$214,BuildingListNoSpaces!$J$2:$J$214,"&gt;="&amp;$A53,BuildingListNoSpaces!$B$2:$B$214,J$31)</f>
        <v>58883</v>
      </c>
      <c r="K53" s="781">
        <f>SUMIFS(BuildingListNoSpaces!$F$2:$F$214,BuildingListNoSpaces!$I$2:$I$214,"&lt;="&amp;$A53,BuildingListNoSpaces!$B$2:$B$214,K$31)-SUMIFS(BuildingListNoSpaces!$F$2:$F$214,BuildingListNoSpaces!$J$2:$J$214,"&gt;="&amp;$A53,BuildingListNoSpaces!$B$2:$B$214,K$31)</f>
        <v>455204</v>
      </c>
      <c r="L53" s="1273">
        <f t="shared" si="0"/>
        <v>6409317</v>
      </c>
      <c r="M53" s="1273">
        <f t="shared" si="1"/>
        <v>5236852</v>
      </c>
      <c r="N53" s="782">
        <f t="shared" si="4"/>
        <v>1596382</v>
      </c>
      <c r="O53" s="782">
        <f t="shared" si="5"/>
        <v>1016092</v>
      </c>
      <c r="Q53" s="1488">
        <f t="shared" ref="Q53:Q62" si="6">$Q$42*$U$40</f>
        <v>7142.3416172885809</v>
      </c>
    </row>
    <row r="54" spans="1:18">
      <c r="A54" s="1484">
        <f t="shared" si="3"/>
        <v>2002</v>
      </c>
      <c r="B54" s="781">
        <f>SUMIFS(BuildingListNoSpaces!$F$2:$F$214,BuildingListNoSpaces!$I$2:$I$214,"&lt;="&amp;$A54,BuildingListNoSpaces!$B$2:$B$214,B$31)-SUMIFS(BuildingListNoSpaces!$F$2:$F$214,BuildingListNoSpaces!$J$2:$J$214,"&gt;="&amp;$A54,BuildingListNoSpaces!$B$2:$B$214,B$31)</f>
        <v>3394111.9999999995</v>
      </c>
      <c r="C54" s="781">
        <f>SUMIFS(BuildingListNoSpaces!$F$2:$F$214,BuildingListNoSpaces!$I$2:$I$214,"&lt;="&amp;$A54,BuildingListNoSpaces!$B$2:$B$214,C$31)-SUMIFS(BuildingListNoSpaces!$F$2:$F$214,BuildingListNoSpaces!$J$2:$J$214,"&gt;="&amp;$A54,BuildingListNoSpaces!$B$2:$B$214,C$31)</f>
        <v>574470</v>
      </c>
      <c r="D54" s="781">
        <f>SUMIFS(BuildingListNoSpaces!$F$2:$F$214,BuildingListNoSpaces!$I$2:$I$214,"&lt;="&amp;$A54,BuildingListNoSpaces!$B$2:$B$214,D$31)-SUMIFS(BuildingListNoSpaces!$F$2:$F$214,BuildingListNoSpaces!$J$2:$J$214,"&gt;="&amp;$A54,BuildingListNoSpaces!$B$2:$B$214,D$31)</f>
        <v>12200</v>
      </c>
      <c r="E54" s="781">
        <f>SUMIFS(BuildingListNoSpaces!$F$2:$F$214,BuildingListNoSpaces!$I$2:$I$214,"&lt;="&amp;$A54,BuildingListNoSpaces!$B$2:$B$214,E$31)-SUMIFS(BuildingListNoSpaces!$F$2:$F$214,BuildingListNoSpaces!$J$2:$J$214,"&gt;="&amp;$A54,BuildingListNoSpaces!$B$2:$B$214,E$31)</f>
        <v>65985</v>
      </c>
      <c r="F54" s="781">
        <f>SUMIFS(BuildingListNoSpaces!$F$2:$F$214,BuildingListNoSpaces!$I$2:$I$214,"&lt;="&amp;$A54,BuildingListNoSpaces!$B$2:$B$214,F$31)-SUMIFS(BuildingListNoSpaces!$F$2:$F$214,BuildingListNoSpaces!$J$2:$J$214,"&gt;="&amp;$A54,BuildingListNoSpaces!$B$2:$B$214,F$31)</f>
        <v>737032</v>
      </c>
      <c r="G54" s="781">
        <f>SUMIFS(BuildingListNoSpaces!$F$2:$F$214,BuildingListNoSpaces!$I$2:$I$214,"&lt;="&amp;$A54,BuildingListNoSpaces!$B$2:$B$214,G$31)-SUMIFS(BuildingListNoSpaces!$F$2:$F$214,BuildingListNoSpaces!$J$2:$J$214,"&gt;="&amp;$A54,BuildingListNoSpaces!$B$2:$B$214,G$31)</f>
        <v>38376</v>
      </c>
      <c r="H54" s="781">
        <f>SUMIFS(BuildingListNoSpaces!$F$2:$F$214,BuildingListNoSpaces!$I$2:$I$214,"&lt;="&amp;$A54,BuildingListNoSpaces!$B$2:$B$214,H$31)-SUMIFS(BuildingListNoSpaces!$F$2:$F$214,BuildingListNoSpaces!$J$2:$J$214,"&gt;="&amp;$A54,BuildingListNoSpaces!$B$2:$B$214,H$31)</f>
        <v>111273</v>
      </c>
      <c r="I54" s="781">
        <f>SUMIFS(BuildingListNoSpaces!$F$2:$F$214,BuildingListNoSpaces!$I$2:$I$214,"&lt;="&amp;$A54,BuildingListNoSpaces!$B$2:$B$214,I$31)-SUMIFS(BuildingListNoSpaces!$F$2:$F$214,BuildingListNoSpaces!$J$2:$J$214,"&gt;="&amp;$A54,BuildingListNoSpaces!$B$2:$B$214,I$31)</f>
        <v>1113582</v>
      </c>
      <c r="J54" s="781">
        <f>SUMIFS(BuildingListNoSpaces!$F$2:$F$214,BuildingListNoSpaces!$I$2:$I$214,"&lt;="&amp;$A54,BuildingListNoSpaces!$B$2:$B$214,J$31)-SUMIFS(BuildingListNoSpaces!$F$2:$F$214,BuildingListNoSpaces!$J$2:$J$214,"&gt;="&amp;$A54,BuildingListNoSpaces!$B$2:$B$214,J$31)</f>
        <v>58883</v>
      </c>
      <c r="K54" s="781">
        <f>SUMIFS(BuildingListNoSpaces!$F$2:$F$214,BuildingListNoSpaces!$I$2:$I$214,"&lt;="&amp;$A54,BuildingListNoSpaces!$B$2:$B$214,K$31)-SUMIFS(BuildingListNoSpaces!$F$2:$F$214,BuildingListNoSpaces!$J$2:$J$214,"&gt;="&amp;$A54,BuildingListNoSpaces!$B$2:$B$214,K$31)</f>
        <v>455204</v>
      </c>
      <c r="L54" s="1273">
        <f t="shared" si="0"/>
        <v>6561117</v>
      </c>
      <c r="M54" s="1273">
        <f t="shared" si="1"/>
        <v>5388652</v>
      </c>
      <c r="N54" s="782">
        <f t="shared" si="4"/>
        <v>1018943</v>
      </c>
      <c r="O54" s="782">
        <f t="shared" si="5"/>
        <v>779093</v>
      </c>
      <c r="Q54" s="1488">
        <f t="shared" si="6"/>
        <v>7142.3416172885809</v>
      </c>
    </row>
    <row r="55" spans="1:18">
      <c r="A55" s="1484">
        <f t="shared" si="3"/>
        <v>2003</v>
      </c>
      <c r="B55" s="781">
        <f>SUMIFS(BuildingListNoSpaces!$F$2:$F$214,BuildingListNoSpaces!$I$2:$I$214,"&lt;="&amp;$A55,BuildingListNoSpaces!$B$2:$B$214,B$31)-SUMIFS(BuildingListNoSpaces!$F$2:$F$214,BuildingListNoSpaces!$J$2:$J$214,"&gt;="&amp;$A55,BuildingListNoSpaces!$B$2:$B$214,B$31)</f>
        <v>3763855.9999999995</v>
      </c>
      <c r="C55" s="781">
        <f>SUMIFS(BuildingListNoSpaces!$F$2:$F$214,BuildingListNoSpaces!$I$2:$I$214,"&lt;="&amp;$A55,BuildingListNoSpaces!$B$2:$B$214,C$31)-SUMIFS(BuildingListNoSpaces!$F$2:$F$214,BuildingListNoSpaces!$J$2:$J$214,"&gt;="&amp;$A55,BuildingListNoSpaces!$B$2:$B$214,C$31)</f>
        <v>574470</v>
      </c>
      <c r="D55" s="781">
        <f>SUMIFS(BuildingListNoSpaces!$F$2:$F$214,BuildingListNoSpaces!$I$2:$I$214,"&lt;="&amp;$A55,BuildingListNoSpaces!$B$2:$B$214,D$31)-SUMIFS(BuildingListNoSpaces!$F$2:$F$214,BuildingListNoSpaces!$J$2:$J$214,"&gt;="&amp;$A55,BuildingListNoSpaces!$B$2:$B$214,D$31)</f>
        <v>12200</v>
      </c>
      <c r="E55" s="781">
        <f>SUMIFS(BuildingListNoSpaces!$F$2:$F$214,BuildingListNoSpaces!$I$2:$I$214,"&lt;="&amp;$A55,BuildingListNoSpaces!$B$2:$B$214,E$31)-SUMIFS(BuildingListNoSpaces!$F$2:$F$214,BuildingListNoSpaces!$J$2:$J$214,"&gt;="&amp;$A55,BuildingListNoSpaces!$B$2:$B$214,E$31)</f>
        <v>65985</v>
      </c>
      <c r="F55" s="781">
        <f>SUMIFS(BuildingListNoSpaces!$F$2:$F$214,BuildingListNoSpaces!$I$2:$I$214,"&lt;="&amp;$A55,BuildingListNoSpaces!$B$2:$B$214,F$31)-SUMIFS(BuildingListNoSpaces!$F$2:$F$214,BuildingListNoSpaces!$J$2:$J$214,"&gt;="&amp;$A55,BuildingListNoSpaces!$B$2:$B$214,F$31)</f>
        <v>737032</v>
      </c>
      <c r="G55" s="781">
        <f>SUMIFS(BuildingListNoSpaces!$F$2:$F$214,BuildingListNoSpaces!$I$2:$I$214,"&lt;="&amp;$A55,BuildingListNoSpaces!$B$2:$B$214,G$31)-SUMIFS(BuildingListNoSpaces!$F$2:$F$214,BuildingListNoSpaces!$J$2:$J$214,"&gt;="&amp;$A55,BuildingListNoSpaces!$B$2:$B$214,G$31)</f>
        <v>45409</v>
      </c>
      <c r="H55" s="781">
        <f>SUMIFS(BuildingListNoSpaces!$F$2:$F$214,BuildingListNoSpaces!$I$2:$I$214,"&lt;="&amp;$A55,BuildingListNoSpaces!$B$2:$B$214,H$31)-SUMIFS(BuildingListNoSpaces!$F$2:$F$214,BuildingListNoSpaces!$J$2:$J$214,"&gt;="&amp;$A55,BuildingListNoSpaces!$B$2:$B$214,H$31)</f>
        <v>111273</v>
      </c>
      <c r="I55" s="781">
        <f>SUMIFS(BuildingListNoSpaces!$F$2:$F$214,BuildingListNoSpaces!$I$2:$I$214,"&lt;="&amp;$A55,BuildingListNoSpaces!$B$2:$B$214,I$31)-SUMIFS(BuildingListNoSpaces!$F$2:$F$214,BuildingListNoSpaces!$J$2:$J$214,"&gt;="&amp;$A55,BuildingListNoSpaces!$B$2:$B$214,I$31)</f>
        <v>1113582</v>
      </c>
      <c r="J55" s="781">
        <f>SUMIFS(BuildingListNoSpaces!$F$2:$F$214,BuildingListNoSpaces!$I$2:$I$214,"&lt;="&amp;$A55,BuildingListNoSpaces!$B$2:$B$214,J$31)-SUMIFS(BuildingListNoSpaces!$F$2:$F$214,BuildingListNoSpaces!$J$2:$J$214,"&gt;="&amp;$A55,BuildingListNoSpaces!$B$2:$B$214,J$31)</f>
        <v>58883</v>
      </c>
      <c r="K55" s="781">
        <f>SUMIFS(BuildingListNoSpaces!$F$2:$F$214,BuildingListNoSpaces!$I$2:$I$214,"&lt;="&amp;$A55,BuildingListNoSpaces!$B$2:$B$214,K$31)-SUMIFS(BuildingListNoSpaces!$F$2:$F$214,BuildingListNoSpaces!$J$2:$J$214,"&gt;="&amp;$A55,BuildingListNoSpaces!$B$2:$B$214,K$31)</f>
        <v>455204</v>
      </c>
      <c r="L55" s="1273">
        <f t="shared" si="0"/>
        <v>6937894</v>
      </c>
      <c r="M55" s="1273">
        <f t="shared" si="1"/>
        <v>5765429</v>
      </c>
      <c r="N55" s="782">
        <f t="shared" si="4"/>
        <v>1267479</v>
      </c>
      <c r="O55" s="782">
        <f t="shared" si="5"/>
        <v>1027629</v>
      </c>
      <c r="Q55" s="1488">
        <f t="shared" si="6"/>
        <v>7142.3416172885809</v>
      </c>
    </row>
    <row r="56" spans="1:18">
      <c r="A56" s="1484">
        <f t="shared" si="3"/>
        <v>2004</v>
      </c>
      <c r="B56" s="781">
        <f>SUMIFS(BuildingListNoSpaces!$F$2:$F$214,BuildingListNoSpaces!$I$2:$I$214,"&lt;="&amp;$A56,BuildingListNoSpaces!$B$2:$B$214,B$31)-SUMIFS(BuildingListNoSpaces!$F$2:$F$214,BuildingListNoSpaces!$J$2:$J$214,"&gt;="&amp;$A56,BuildingListNoSpaces!$B$2:$B$214,B$31)</f>
        <v>3763855.9999999995</v>
      </c>
      <c r="C56" s="781">
        <f>SUMIFS(BuildingListNoSpaces!$F$2:$F$214,BuildingListNoSpaces!$I$2:$I$214,"&lt;="&amp;$A56,BuildingListNoSpaces!$B$2:$B$214,C$31)-SUMIFS(BuildingListNoSpaces!$F$2:$F$214,BuildingListNoSpaces!$J$2:$J$214,"&gt;="&amp;$A56,BuildingListNoSpaces!$B$2:$B$214,C$31)</f>
        <v>574470</v>
      </c>
      <c r="D56" s="781">
        <f>SUMIFS(BuildingListNoSpaces!$F$2:$F$214,BuildingListNoSpaces!$I$2:$I$214,"&lt;="&amp;$A56,BuildingListNoSpaces!$B$2:$B$214,D$31)-SUMIFS(BuildingListNoSpaces!$F$2:$F$214,BuildingListNoSpaces!$J$2:$J$214,"&gt;="&amp;$A56,BuildingListNoSpaces!$B$2:$B$214,D$31)</f>
        <v>12200</v>
      </c>
      <c r="E56" s="781">
        <f>SUMIFS(BuildingListNoSpaces!$F$2:$F$214,BuildingListNoSpaces!$I$2:$I$214,"&lt;="&amp;$A56,BuildingListNoSpaces!$B$2:$B$214,E$31)-SUMIFS(BuildingListNoSpaces!$F$2:$F$214,BuildingListNoSpaces!$J$2:$J$214,"&gt;="&amp;$A56,BuildingListNoSpaces!$B$2:$B$214,E$31)</f>
        <v>65985</v>
      </c>
      <c r="F56" s="781">
        <f>SUMIFS(BuildingListNoSpaces!$F$2:$F$214,BuildingListNoSpaces!$I$2:$I$214,"&lt;="&amp;$A56,BuildingListNoSpaces!$B$2:$B$214,F$31)-SUMIFS(BuildingListNoSpaces!$F$2:$F$214,BuildingListNoSpaces!$J$2:$J$214,"&gt;="&amp;$A56,BuildingListNoSpaces!$B$2:$B$214,F$31)</f>
        <v>737032</v>
      </c>
      <c r="G56" s="781">
        <f>SUMIFS(BuildingListNoSpaces!$F$2:$F$214,BuildingListNoSpaces!$I$2:$I$214,"&lt;="&amp;$A56,BuildingListNoSpaces!$B$2:$B$214,G$31)-SUMIFS(BuildingListNoSpaces!$F$2:$F$214,BuildingListNoSpaces!$J$2:$J$214,"&gt;="&amp;$A56,BuildingListNoSpaces!$B$2:$B$214,G$31)</f>
        <v>45409</v>
      </c>
      <c r="H56" s="781">
        <f>SUMIFS(BuildingListNoSpaces!$F$2:$F$214,BuildingListNoSpaces!$I$2:$I$214,"&lt;="&amp;$A56,BuildingListNoSpaces!$B$2:$B$214,H$31)-SUMIFS(BuildingListNoSpaces!$F$2:$F$214,BuildingListNoSpaces!$J$2:$J$214,"&gt;="&amp;$A56,BuildingListNoSpaces!$B$2:$B$214,H$31)</f>
        <v>111273</v>
      </c>
      <c r="I56" s="781">
        <f>SUMIFS(BuildingListNoSpaces!$F$2:$F$214,BuildingListNoSpaces!$I$2:$I$214,"&lt;="&amp;$A56,BuildingListNoSpaces!$B$2:$B$214,I$31)-SUMIFS(BuildingListNoSpaces!$F$2:$F$214,BuildingListNoSpaces!$J$2:$J$214,"&gt;="&amp;$A56,BuildingListNoSpaces!$B$2:$B$214,I$31)</f>
        <v>1113582</v>
      </c>
      <c r="J56" s="781">
        <f>SUMIFS(BuildingListNoSpaces!$F$2:$F$214,BuildingListNoSpaces!$I$2:$I$214,"&lt;="&amp;$A56,BuildingListNoSpaces!$B$2:$B$214,J$31)-SUMIFS(BuildingListNoSpaces!$F$2:$F$214,BuildingListNoSpaces!$J$2:$J$214,"&gt;="&amp;$A56,BuildingListNoSpaces!$B$2:$B$214,J$31)</f>
        <v>58883</v>
      </c>
      <c r="K56" s="781">
        <f>SUMIFS(BuildingListNoSpaces!$F$2:$F$214,BuildingListNoSpaces!$I$2:$I$214,"&lt;="&amp;$A56,BuildingListNoSpaces!$B$2:$B$214,K$31)-SUMIFS(BuildingListNoSpaces!$F$2:$F$214,BuildingListNoSpaces!$J$2:$J$214,"&gt;="&amp;$A56,BuildingListNoSpaces!$B$2:$B$214,K$31)</f>
        <v>455204</v>
      </c>
      <c r="L56" s="1273">
        <f t="shared" si="0"/>
        <v>6937894</v>
      </c>
      <c r="M56" s="1273">
        <f t="shared" si="1"/>
        <v>5765429</v>
      </c>
      <c r="N56" s="782">
        <f t="shared" si="4"/>
        <v>1136901</v>
      </c>
      <c r="O56" s="782">
        <f t="shared" si="5"/>
        <v>897051</v>
      </c>
      <c r="Q56" s="1488">
        <f t="shared" si="6"/>
        <v>7142.3416172885809</v>
      </c>
    </row>
    <row r="57" spans="1:18">
      <c r="A57" s="1484">
        <f t="shared" si="3"/>
        <v>2005</v>
      </c>
      <c r="B57" s="781">
        <f>SUMIFS(BuildingListNoSpaces!$F$2:$F$214,BuildingListNoSpaces!$I$2:$I$214,"&lt;="&amp;$A57,BuildingListNoSpaces!$B$2:$B$214,B$31)-SUMIFS(BuildingListNoSpaces!$F$2:$F$214,BuildingListNoSpaces!$J$2:$J$214,"&gt;="&amp;$A57,BuildingListNoSpaces!$B$2:$B$214,B$31)</f>
        <v>3782369.9999999995</v>
      </c>
      <c r="C57" s="781">
        <f>SUMIFS(BuildingListNoSpaces!$F$2:$F$214,BuildingListNoSpaces!$I$2:$I$214,"&lt;="&amp;$A57,BuildingListNoSpaces!$B$2:$B$214,C$31)-SUMIFS(BuildingListNoSpaces!$F$2:$F$214,BuildingListNoSpaces!$J$2:$J$214,"&gt;="&amp;$A57,BuildingListNoSpaces!$B$2:$B$214,C$31)</f>
        <v>574470</v>
      </c>
      <c r="D57" s="781">
        <f>SUMIFS(BuildingListNoSpaces!$F$2:$F$214,BuildingListNoSpaces!$I$2:$I$214,"&lt;="&amp;$A57,BuildingListNoSpaces!$B$2:$B$214,D$31)-SUMIFS(BuildingListNoSpaces!$F$2:$F$214,BuildingListNoSpaces!$J$2:$J$214,"&gt;="&amp;$A57,BuildingListNoSpaces!$B$2:$B$214,D$31)</f>
        <v>266250</v>
      </c>
      <c r="E57" s="781">
        <f>SUMIFS(BuildingListNoSpaces!$F$2:$F$214,BuildingListNoSpaces!$I$2:$I$214,"&lt;="&amp;$A57,BuildingListNoSpaces!$B$2:$B$214,E$31)-SUMIFS(BuildingListNoSpaces!$F$2:$F$214,BuildingListNoSpaces!$J$2:$J$214,"&gt;="&amp;$A57,BuildingListNoSpaces!$B$2:$B$214,E$31)</f>
        <v>65985</v>
      </c>
      <c r="F57" s="781">
        <f>SUMIFS(BuildingListNoSpaces!$F$2:$F$214,BuildingListNoSpaces!$I$2:$I$214,"&lt;="&amp;$A57,BuildingListNoSpaces!$B$2:$B$214,F$31)-SUMIFS(BuildingListNoSpaces!$F$2:$F$214,BuildingListNoSpaces!$J$2:$J$214,"&gt;="&amp;$A57,BuildingListNoSpaces!$B$2:$B$214,F$31)</f>
        <v>1158954</v>
      </c>
      <c r="G57" s="781">
        <f>SUMIFS(BuildingListNoSpaces!$F$2:$F$214,BuildingListNoSpaces!$I$2:$I$214,"&lt;="&amp;$A57,BuildingListNoSpaces!$B$2:$B$214,G$31)-SUMIFS(BuildingListNoSpaces!$F$2:$F$214,BuildingListNoSpaces!$J$2:$J$214,"&gt;="&amp;$A57,BuildingListNoSpaces!$B$2:$B$214,G$31)</f>
        <v>45409</v>
      </c>
      <c r="H57" s="781">
        <f>SUMIFS(BuildingListNoSpaces!$F$2:$F$214,BuildingListNoSpaces!$I$2:$I$214,"&lt;="&amp;$A57,BuildingListNoSpaces!$B$2:$B$214,H$31)-SUMIFS(BuildingListNoSpaces!$F$2:$F$214,BuildingListNoSpaces!$J$2:$J$214,"&gt;="&amp;$A57,BuildingListNoSpaces!$B$2:$B$214,H$31)</f>
        <v>111273</v>
      </c>
      <c r="I57" s="781">
        <f>SUMIFS(BuildingListNoSpaces!$F$2:$F$214,BuildingListNoSpaces!$I$2:$I$214,"&lt;="&amp;$A57,BuildingListNoSpaces!$B$2:$B$214,I$31)-SUMIFS(BuildingListNoSpaces!$F$2:$F$214,BuildingListNoSpaces!$J$2:$J$214,"&gt;="&amp;$A57,BuildingListNoSpaces!$B$2:$B$214,I$31)</f>
        <v>1632372</v>
      </c>
      <c r="J57" s="781">
        <f>SUMIFS(BuildingListNoSpaces!$F$2:$F$214,BuildingListNoSpaces!$I$2:$I$214,"&lt;="&amp;$A57,BuildingListNoSpaces!$B$2:$B$214,J$31)-SUMIFS(BuildingListNoSpaces!$F$2:$F$214,BuildingListNoSpaces!$J$2:$J$214,"&gt;="&amp;$A57,BuildingListNoSpaces!$B$2:$B$214,J$31)</f>
        <v>58883</v>
      </c>
      <c r="K57" s="781">
        <f>SUMIFS(BuildingListNoSpaces!$F$2:$F$214,BuildingListNoSpaces!$I$2:$I$214,"&lt;="&amp;$A57,BuildingListNoSpaces!$B$2:$B$214,K$31)-SUMIFS(BuildingListNoSpaces!$F$2:$F$214,BuildingListNoSpaces!$J$2:$J$214,"&gt;="&amp;$A57,BuildingListNoSpaces!$B$2:$B$214,K$31)</f>
        <v>455204</v>
      </c>
      <c r="L57" s="1273">
        <f t="shared" si="0"/>
        <v>8151170</v>
      </c>
      <c r="M57" s="1273">
        <f t="shared" si="1"/>
        <v>6459915</v>
      </c>
      <c r="N57" s="782">
        <f t="shared" si="4"/>
        <v>2110327</v>
      </c>
      <c r="O57" s="782">
        <f t="shared" si="5"/>
        <v>1591537</v>
      </c>
      <c r="Q57" s="1488">
        <f t="shared" si="6"/>
        <v>7142.3416172885809</v>
      </c>
    </row>
    <row r="58" spans="1:18">
      <c r="A58" s="1484">
        <f t="shared" si="3"/>
        <v>2006</v>
      </c>
      <c r="B58" s="781">
        <f>SUMIFS(BuildingListNoSpaces!$F$2:$F$214,BuildingListNoSpaces!$I$2:$I$214,"&lt;="&amp;$A58,BuildingListNoSpaces!$B$2:$B$214,B$31)-SUMIFS(BuildingListNoSpaces!$F$2:$F$214,BuildingListNoSpaces!$J$2:$J$214,"&gt;="&amp;$A58,BuildingListNoSpaces!$B$2:$B$214,B$31)</f>
        <v>3855345.18550782</v>
      </c>
      <c r="C58" s="781">
        <f>SUMIFS(BuildingListNoSpaces!$F$2:$F$214,BuildingListNoSpaces!$I$2:$I$214,"&lt;="&amp;$A58,BuildingListNoSpaces!$B$2:$B$214,C$31)-SUMIFS(BuildingListNoSpaces!$F$2:$F$214,BuildingListNoSpaces!$J$2:$J$214,"&gt;="&amp;$A58,BuildingListNoSpaces!$B$2:$B$214,C$31)</f>
        <v>574470</v>
      </c>
      <c r="D58" s="781">
        <f>SUMIFS(BuildingListNoSpaces!$F$2:$F$214,BuildingListNoSpaces!$I$2:$I$214,"&lt;="&amp;$A58,BuildingListNoSpaces!$B$2:$B$214,D$31)-SUMIFS(BuildingListNoSpaces!$F$2:$F$214,BuildingListNoSpaces!$J$2:$J$214,"&gt;="&amp;$A58,BuildingListNoSpaces!$B$2:$B$214,D$31)</f>
        <v>266250</v>
      </c>
      <c r="E58" s="781">
        <f>SUMIFS(BuildingListNoSpaces!$F$2:$F$214,BuildingListNoSpaces!$I$2:$I$214,"&lt;="&amp;$A58,BuildingListNoSpaces!$B$2:$B$214,E$31)-SUMIFS(BuildingListNoSpaces!$F$2:$F$214,BuildingListNoSpaces!$J$2:$J$214,"&gt;="&amp;$A58,BuildingListNoSpaces!$B$2:$B$214,E$31)</f>
        <v>65985</v>
      </c>
      <c r="F58" s="781">
        <f>SUMIFS(BuildingListNoSpaces!$F$2:$F$214,BuildingListNoSpaces!$I$2:$I$214,"&lt;="&amp;$A58,BuildingListNoSpaces!$B$2:$B$214,F$31)-SUMIFS(BuildingListNoSpaces!$F$2:$F$214,BuildingListNoSpaces!$J$2:$J$214,"&gt;="&amp;$A58,BuildingListNoSpaces!$B$2:$B$214,F$31)</f>
        <v>1158954</v>
      </c>
      <c r="G58" s="781">
        <f>SUMIFS(BuildingListNoSpaces!$F$2:$F$214,BuildingListNoSpaces!$I$2:$I$214,"&lt;="&amp;$A58,BuildingListNoSpaces!$B$2:$B$214,G$31)-SUMIFS(BuildingListNoSpaces!$F$2:$F$214,BuildingListNoSpaces!$J$2:$J$214,"&gt;="&amp;$A58,BuildingListNoSpaces!$B$2:$B$214,G$31)</f>
        <v>45409</v>
      </c>
      <c r="H58" s="781">
        <f>SUMIFS(BuildingListNoSpaces!$F$2:$F$214,BuildingListNoSpaces!$I$2:$I$214,"&lt;="&amp;$A58,BuildingListNoSpaces!$B$2:$B$214,H$31)-SUMIFS(BuildingListNoSpaces!$F$2:$F$214,BuildingListNoSpaces!$J$2:$J$214,"&gt;="&amp;$A58,BuildingListNoSpaces!$B$2:$B$214,H$31)</f>
        <v>111273</v>
      </c>
      <c r="I58" s="781">
        <f>SUMIFS(BuildingListNoSpaces!$F$2:$F$214,BuildingListNoSpaces!$I$2:$I$214,"&lt;="&amp;$A58,BuildingListNoSpaces!$B$2:$B$214,I$31)-SUMIFS(BuildingListNoSpaces!$F$2:$F$214,BuildingListNoSpaces!$J$2:$J$214,"&gt;="&amp;$A58,BuildingListNoSpaces!$B$2:$B$214,I$31)</f>
        <v>1632372</v>
      </c>
      <c r="J58" s="781">
        <f>SUMIFS(BuildingListNoSpaces!$F$2:$F$214,BuildingListNoSpaces!$I$2:$I$214,"&lt;="&amp;$A58,BuildingListNoSpaces!$B$2:$B$214,J$31)-SUMIFS(BuildingListNoSpaces!$F$2:$F$214,BuildingListNoSpaces!$J$2:$J$214,"&gt;="&amp;$A58,BuildingListNoSpaces!$B$2:$B$214,J$31)</f>
        <v>58883</v>
      </c>
      <c r="K58" s="781">
        <f>SUMIFS(BuildingListNoSpaces!$F$2:$F$214,BuildingListNoSpaces!$I$2:$I$214,"&lt;="&amp;$A58,BuildingListNoSpaces!$B$2:$B$214,K$31)-SUMIFS(BuildingListNoSpaces!$F$2:$F$214,BuildingListNoSpaces!$J$2:$J$214,"&gt;="&amp;$A58,BuildingListNoSpaces!$B$2:$B$214,K$31)</f>
        <v>455204</v>
      </c>
      <c r="L58" s="1273">
        <f t="shared" si="0"/>
        <v>8224145.18550782</v>
      </c>
      <c r="M58" s="1273">
        <f t="shared" si="1"/>
        <v>6532890.18550782</v>
      </c>
      <c r="N58" s="782">
        <f t="shared" si="4"/>
        <v>1989720.18550782</v>
      </c>
      <c r="O58" s="782">
        <f t="shared" si="5"/>
        <v>1470930.18550782</v>
      </c>
      <c r="Q58" s="1488">
        <f t="shared" si="6"/>
        <v>7142.3416172885809</v>
      </c>
    </row>
    <row r="59" spans="1:18">
      <c r="A59" s="1484">
        <f t="shared" si="3"/>
        <v>2007</v>
      </c>
      <c r="B59" s="781">
        <f>SUMIFS(BuildingListNoSpaces!$F$2:$F$214,BuildingListNoSpaces!$I$2:$I$214,"&lt;="&amp;$A59,BuildingListNoSpaces!$B$2:$B$214,B$31)-SUMIFS(BuildingListNoSpaces!$F$2:$F$214,BuildingListNoSpaces!$J$2:$J$214,"&gt;="&amp;$A59,BuildingListNoSpaces!$B$2:$B$214,B$31)</f>
        <v>3891223.18550782</v>
      </c>
      <c r="C59" s="781">
        <f>SUMIFS(BuildingListNoSpaces!$F$2:$F$214,BuildingListNoSpaces!$I$2:$I$214,"&lt;="&amp;$A59,BuildingListNoSpaces!$B$2:$B$214,C$31)-SUMIFS(BuildingListNoSpaces!$F$2:$F$214,BuildingListNoSpaces!$J$2:$J$214,"&gt;="&amp;$A59,BuildingListNoSpaces!$B$2:$B$214,C$31)</f>
        <v>574470</v>
      </c>
      <c r="D59" s="781">
        <f>SUMIFS(BuildingListNoSpaces!$F$2:$F$214,BuildingListNoSpaces!$I$2:$I$214,"&lt;="&amp;$A59,BuildingListNoSpaces!$B$2:$B$214,D$31)-SUMIFS(BuildingListNoSpaces!$F$2:$F$214,BuildingListNoSpaces!$J$2:$J$214,"&gt;="&amp;$A59,BuildingListNoSpaces!$B$2:$B$214,D$31)</f>
        <v>266250</v>
      </c>
      <c r="E59" s="781">
        <f>SUMIFS(BuildingListNoSpaces!$F$2:$F$214,BuildingListNoSpaces!$I$2:$I$214,"&lt;="&amp;$A59,BuildingListNoSpaces!$B$2:$B$214,E$31)-SUMIFS(BuildingListNoSpaces!$F$2:$F$214,BuildingListNoSpaces!$J$2:$J$214,"&gt;="&amp;$A59,BuildingListNoSpaces!$B$2:$B$214,E$31)</f>
        <v>65985</v>
      </c>
      <c r="F59" s="781">
        <f>SUMIFS(BuildingListNoSpaces!$F$2:$F$214,BuildingListNoSpaces!$I$2:$I$214,"&lt;="&amp;$A59,BuildingListNoSpaces!$B$2:$B$214,F$31)-SUMIFS(BuildingListNoSpaces!$F$2:$F$214,BuildingListNoSpaces!$J$2:$J$214,"&gt;="&amp;$A59,BuildingListNoSpaces!$B$2:$B$214,F$31)</f>
        <v>1158954</v>
      </c>
      <c r="G59" s="781">
        <f>SUMIFS(BuildingListNoSpaces!$F$2:$F$214,BuildingListNoSpaces!$I$2:$I$214,"&lt;="&amp;$A59,BuildingListNoSpaces!$B$2:$B$214,G$31)-SUMIFS(BuildingListNoSpaces!$F$2:$F$214,BuildingListNoSpaces!$J$2:$J$214,"&gt;="&amp;$A59,BuildingListNoSpaces!$B$2:$B$214,G$31)</f>
        <v>45409</v>
      </c>
      <c r="H59" s="781">
        <f>SUMIFS(BuildingListNoSpaces!$F$2:$F$214,BuildingListNoSpaces!$I$2:$I$214,"&lt;="&amp;$A59,BuildingListNoSpaces!$B$2:$B$214,H$31)-SUMIFS(BuildingListNoSpaces!$F$2:$F$214,BuildingListNoSpaces!$J$2:$J$214,"&gt;="&amp;$A59,BuildingListNoSpaces!$B$2:$B$214,H$31)</f>
        <v>111273</v>
      </c>
      <c r="I59" s="781">
        <f>SUMIFS(BuildingListNoSpaces!$F$2:$F$214,BuildingListNoSpaces!$I$2:$I$214,"&lt;="&amp;$A59,BuildingListNoSpaces!$B$2:$B$214,I$31)-SUMIFS(BuildingListNoSpaces!$F$2:$F$214,BuildingListNoSpaces!$J$2:$J$214,"&gt;="&amp;$A59,BuildingListNoSpaces!$B$2:$B$214,I$31)</f>
        <v>1632372</v>
      </c>
      <c r="J59" s="781">
        <f>SUMIFS(BuildingListNoSpaces!$F$2:$F$214,BuildingListNoSpaces!$I$2:$I$214,"&lt;="&amp;$A59,BuildingListNoSpaces!$B$2:$B$214,J$31)-SUMIFS(BuildingListNoSpaces!$F$2:$F$214,BuildingListNoSpaces!$J$2:$J$214,"&gt;="&amp;$A59,BuildingListNoSpaces!$B$2:$B$214,J$31)</f>
        <v>58883</v>
      </c>
      <c r="K59" s="781">
        <f>SUMIFS(BuildingListNoSpaces!$F$2:$F$214,BuildingListNoSpaces!$I$2:$I$214,"&lt;="&amp;$A59,BuildingListNoSpaces!$B$2:$B$214,K$31)-SUMIFS(BuildingListNoSpaces!$F$2:$F$214,BuildingListNoSpaces!$J$2:$J$214,"&gt;="&amp;$A59,BuildingListNoSpaces!$B$2:$B$214,K$31)</f>
        <v>455204</v>
      </c>
      <c r="L59" s="1273">
        <f t="shared" si="0"/>
        <v>8260023.18550782</v>
      </c>
      <c r="M59" s="1273">
        <f t="shared" si="1"/>
        <v>6568768.18550782</v>
      </c>
      <c r="N59" s="782">
        <f t="shared" si="4"/>
        <v>2023598.18550782</v>
      </c>
      <c r="O59" s="782">
        <f t="shared" si="5"/>
        <v>1504808.18550782</v>
      </c>
      <c r="Q59" s="1488">
        <f t="shared" si="6"/>
        <v>7142.3416172885809</v>
      </c>
    </row>
    <row r="60" spans="1:18">
      <c r="A60" s="1484">
        <f t="shared" si="3"/>
        <v>2008</v>
      </c>
      <c r="B60" s="781">
        <f>SUMIFS(BuildingListNoSpaces!$F$2:$F$214,BuildingListNoSpaces!$I$2:$I$214,"&lt;="&amp;$A60,BuildingListNoSpaces!$B$2:$B$214,B$31)-SUMIFS(BuildingListNoSpaces!$F$2:$F$214,BuildingListNoSpaces!$J$2:$J$214,"&gt;="&amp;$A60,BuildingListNoSpaces!$B$2:$B$214,B$31)</f>
        <v>3891223.18550782</v>
      </c>
      <c r="C60" s="781">
        <f>SUMIFS(BuildingListNoSpaces!$F$2:$F$214,BuildingListNoSpaces!$I$2:$I$214,"&lt;="&amp;$A60,BuildingListNoSpaces!$B$2:$B$214,C$31)-SUMIFS(BuildingListNoSpaces!$F$2:$F$214,BuildingListNoSpaces!$J$2:$J$214,"&gt;="&amp;$A60,BuildingListNoSpaces!$B$2:$B$214,C$31)</f>
        <v>580163</v>
      </c>
      <c r="D60" s="781">
        <f>SUMIFS(BuildingListNoSpaces!$F$2:$F$214,BuildingListNoSpaces!$I$2:$I$214,"&lt;="&amp;$A60,BuildingListNoSpaces!$B$2:$B$214,D$31)-SUMIFS(BuildingListNoSpaces!$F$2:$F$214,BuildingListNoSpaces!$J$2:$J$214,"&gt;="&amp;$A60,BuildingListNoSpaces!$B$2:$B$214,D$31)</f>
        <v>266250</v>
      </c>
      <c r="E60" s="781">
        <f>SUMIFS(BuildingListNoSpaces!$F$2:$F$214,BuildingListNoSpaces!$I$2:$I$214,"&lt;="&amp;$A60,BuildingListNoSpaces!$B$2:$B$214,E$31)-SUMIFS(BuildingListNoSpaces!$F$2:$F$214,BuildingListNoSpaces!$J$2:$J$214,"&gt;="&amp;$A60,BuildingListNoSpaces!$B$2:$B$214,E$31)</f>
        <v>65985</v>
      </c>
      <c r="F60" s="781">
        <f>SUMIFS(BuildingListNoSpaces!$F$2:$F$214,BuildingListNoSpaces!$I$2:$I$214,"&lt;="&amp;$A60,BuildingListNoSpaces!$B$2:$B$214,F$31)-SUMIFS(BuildingListNoSpaces!$F$2:$F$214,BuildingListNoSpaces!$J$2:$J$214,"&gt;="&amp;$A60,BuildingListNoSpaces!$B$2:$B$214,F$31)</f>
        <v>1158954</v>
      </c>
      <c r="G60" s="781">
        <f>SUMIFS(BuildingListNoSpaces!$F$2:$F$214,BuildingListNoSpaces!$I$2:$I$214,"&lt;="&amp;$A60,BuildingListNoSpaces!$B$2:$B$214,G$31)-SUMIFS(BuildingListNoSpaces!$F$2:$F$214,BuildingListNoSpaces!$J$2:$J$214,"&gt;="&amp;$A60,BuildingListNoSpaces!$B$2:$B$214,G$31)</f>
        <v>45409</v>
      </c>
      <c r="H60" s="781">
        <f>SUMIFS(BuildingListNoSpaces!$F$2:$F$214,BuildingListNoSpaces!$I$2:$I$214,"&lt;="&amp;$A60,BuildingListNoSpaces!$B$2:$B$214,H$31)-SUMIFS(BuildingListNoSpaces!$F$2:$F$214,BuildingListNoSpaces!$J$2:$J$214,"&gt;="&amp;$A60,BuildingListNoSpaces!$B$2:$B$214,H$31)</f>
        <v>111273</v>
      </c>
      <c r="I60" s="781">
        <f>SUMIFS(BuildingListNoSpaces!$F$2:$F$214,BuildingListNoSpaces!$I$2:$I$214,"&lt;="&amp;$A60,BuildingListNoSpaces!$B$2:$B$214,I$31)-SUMIFS(BuildingListNoSpaces!$F$2:$F$214,BuildingListNoSpaces!$J$2:$J$214,"&gt;="&amp;$A60,BuildingListNoSpaces!$B$2:$B$214,I$31)</f>
        <v>1632372</v>
      </c>
      <c r="J60" s="781">
        <f>SUMIFS(BuildingListNoSpaces!$F$2:$F$214,BuildingListNoSpaces!$I$2:$I$214,"&lt;="&amp;$A60,BuildingListNoSpaces!$B$2:$B$214,J$31)-SUMIFS(BuildingListNoSpaces!$F$2:$F$214,BuildingListNoSpaces!$J$2:$J$214,"&gt;="&amp;$A60,BuildingListNoSpaces!$B$2:$B$214,J$31)</f>
        <v>58883</v>
      </c>
      <c r="K60" s="781">
        <f>SUMIFS(BuildingListNoSpaces!$F$2:$F$214,BuildingListNoSpaces!$I$2:$I$214,"&lt;="&amp;$A60,BuildingListNoSpaces!$B$2:$B$214,K$31)-SUMIFS(BuildingListNoSpaces!$F$2:$F$214,BuildingListNoSpaces!$J$2:$J$214,"&gt;="&amp;$A60,BuildingListNoSpaces!$B$2:$B$214,K$31)</f>
        <v>497204</v>
      </c>
      <c r="L60" s="1273">
        <f t="shared" si="0"/>
        <v>8307716.18550782</v>
      </c>
      <c r="M60" s="1273">
        <f t="shared" si="1"/>
        <v>6616461.18550782</v>
      </c>
      <c r="N60" s="782">
        <f t="shared" si="4"/>
        <v>2069191.18550782</v>
      </c>
      <c r="O60" s="782">
        <f t="shared" si="5"/>
        <v>1550401.18550782</v>
      </c>
      <c r="Q60" s="1488">
        <f t="shared" si="6"/>
        <v>7142.3416172885809</v>
      </c>
    </row>
    <row r="61" spans="1:18">
      <c r="A61" s="1484">
        <f t="shared" si="3"/>
        <v>2009</v>
      </c>
      <c r="B61" s="781">
        <f>SUMIFS(BuildingListNoSpaces!$F$2:$F$214,BuildingListNoSpaces!$I$2:$I$214,"&lt;="&amp;$A61,BuildingListNoSpaces!$B$2:$B$214,B$31)-SUMIFS(BuildingListNoSpaces!$F$2:$F$214,BuildingListNoSpaces!$J$2:$J$214,"&gt;="&amp;$A61,BuildingListNoSpaces!$B$2:$B$214,B$31)</f>
        <v>3891223.18550782</v>
      </c>
      <c r="C61" s="781">
        <f>SUMIFS(BuildingListNoSpaces!$F$2:$F$214,BuildingListNoSpaces!$I$2:$I$214,"&lt;="&amp;$A61,BuildingListNoSpaces!$B$2:$B$214,C$31)-SUMIFS(BuildingListNoSpaces!$F$2:$F$214,BuildingListNoSpaces!$J$2:$J$214,"&gt;="&amp;$A61,BuildingListNoSpaces!$B$2:$B$214,C$31)</f>
        <v>580163</v>
      </c>
      <c r="D61" s="781">
        <f>SUMIFS(BuildingListNoSpaces!$F$2:$F$214,BuildingListNoSpaces!$I$2:$I$214,"&lt;="&amp;$A61,BuildingListNoSpaces!$B$2:$B$214,D$31)-SUMIFS(BuildingListNoSpaces!$F$2:$F$214,BuildingListNoSpaces!$J$2:$J$214,"&gt;="&amp;$A61,BuildingListNoSpaces!$B$2:$B$214,D$31)</f>
        <v>266250</v>
      </c>
      <c r="E61" s="781">
        <f>SUMIFS(BuildingListNoSpaces!$F$2:$F$214,BuildingListNoSpaces!$I$2:$I$214,"&lt;="&amp;$A61,BuildingListNoSpaces!$B$2:$B$214,E$31)-SUMIFS(BuildingListNoSpaces!$F$2:$F$214,BuildingListNoSpaces!$J$2:$J$214,"&gt;="&amp;$A61,BuildingListNoSpaces!$B$2:$B$214,E$31)</f>
        <v>65985</v>
      </c>
      <c r="F61" s="781">
        <f>SUMIFS(BuildingListNoSpaces!$F$2:$F$214,BuildingListNoSpaces!$I$2:$I$214,"&lt;="&amp;$A61,BuildingListNoSpaces!$B$2:$B$214,F$31)-SUMIFS(BuildingListNoSpaces!$F$2:$F$214,BuildingListNoSpaces!$J$2:$J$214,"&gt;="&amp;$A61,BuildingListNoSpaces!$B$2:$B$214,F$31)</f>
        <v>1158954</v>
      </c>
      <c r="G61" s="781">
        <f>SUMIFS(BuildingListNoSpaces!$F$2:$F$214,BuildingListNoSpaces!$I$2:$I$214,"&lt;="&amp;$A61,BuildingListNoSpaces!$B$2:$B$214,G$31)-SUMIFS(BuildingListNoSpaces!$F$2:$F$214,BuildingListNoSpaces!$J$2:$J$214,"&gt;="&amp;$A61,BuildingListNoSpaces!$B$2:$B$214,G$31)</f>
        <v>47269</v>
      </c>
      <c r="H61" s="781">
        <f>SUMIFS(BuildingListNoSpaces!$F$2:$F$214,BuildingListNoSpaces!$I$2:$I$214,"&lt;="&amp;$A61,BuildingListNoSpaces!$B$2:$B$214,H$31)-SUMIFS(BuildingListNoSpaces!$F$2:$F$214,BuildingListNoSpaces!$J$2:$J$214,"&gt;="&amp;$A61,BuildingListNoSpaces!$B$2:$B$214,H$31)</f>
        <v>111273</v>
      </c>
      <c r="I61" s="781">
        <f>SUMIFS(BuildingListNoSpaces!$F$2:$F$214,BuildingListNoSpaces!$I$2:$I$214,"&lt;="&amp;$A61,BuildingListNoSpaces!$B$2:$B$214,I$31)-SUMIFS(BuildingListNoSpaces!$F$2:$F$214,BuildingListNoSpaces!$J$2:$J$214,"&gt;="&amp;$A61,BuildingListNoSpaces!$B$2:$B$214,I$31)</f>
        <v>1632372</v>
      </c>
      <c r="J61" s="781">
        <f>SUMIFS(BuildingListNoSpaces!$F$2:$F$214,BuildingListNoSpaces!$I$2:$I$214,"&lt;="&amp;$A61,BuildingListNoSpaces!$B$2:$B$214,J$31)-SUMIFS(BuildingListNoSpaces!$F$2:$F$214,BuildingListNoSpaces!$J$2:$J$214,"&gt;="&amp;$A61,BuildingListNoSpaces!$B$2:$B$214,J$31)</f>
        <v>58883</v>
      </c>
      <c r="K61" s="781">
        <f>SUMIFS(BuildingListNoSpaces!$F$2:$F$214,BuildingListNoSpaces!$I$2:$I$214,"&lt;="&amp;$A61,BuildingListNoSpaces!$B$2:$B$214,K$31)-SUMIFS(BuildingListNoSpaces!$F$2:$F$214,BuildingListNoSpaces!$J$2:$J$214,"&gt;="&amp;$A61,BuildingListNoSpaces!$B$2:$B$214,K$31)</f>
        <v>497204</v>
      </c>
      <c r="L61" s="1273">
        <f t="shared" si="0"/>
        <v>8309576.18550782</v>
      </c>
      <c r="M61" s="1273">
        <f t="shared" si="1"/>
        <v>6618321.18550782</v>
      </c>
      <c r="N61" s="782">
        <f t="shared" si="4"/>
        <v>2071051.18550782</v>
      </c>
      <c r="O61" s="782">
        <f t="shared" si="5"/>
        <v>1552261.18550782</v>
      </c>
      <c r="Q61" s="1488">
        <f t="shared" si="6"/>
        <v>7142.3416172885809</v>
      </c>
    </row>
    <row r="62" spans="1:18">
      <c r="A62" s="1484">
        <f t="shared" si="3"/>
        <v>2010</v>
      </c>
      <c r="B62" s="781">
        <f>SUMIFS(BuildingListNoSpaces!$F$2:$F$214,BuildingListNoSpaces!$I$2:$I$214,"&lt;="&amp;$A62,BuildingListNoSpaces!$B$2:$B$214,B$31)-SUMIFS(BuildingListNoSpaces!$F$2:$F$214,BuildingListNoSpaces!$J$2:$J$214,"&gt;="&amp;$A62,BuildingListNoSpaces!$B$2:$B$214,B$31)</f>
        <v>3891223.18550782</v>
      </c>
      <c r="C62" s="781">
        <f>SUMIFS(BuildingListNoSpaces!$F$2:$F$214,BuildingListNoSpaces!$I$2:$I$214,"&lt;="&amp;$A62,BuildingListNoSpaces!$B$2:$B$214,C$31)-SUMIFS(BuildingListNoSpaces!$F$2:$F$214,BuildingListNoSpaces!$J$2:$J$214,"&gt;="&amp;$A62,BuildingListNoSpaces!$B$2:$B$214,C$31)</f>
        <v>580163</v>
      </c>
      <c r="D62" s="781">
        <f>SUMIFS(BuildingListNoSpaces!$F$2:$F$214,BuildingListNoSpaces!$I$2:$I$214,"&lt;="&amp;$A62,BuildingListNoSpaces!$B$2:$B$214,D$31)-SUMIFS(BuildingListNoSpaces!$F$2:$F$214,BuildingListNoSpaces!$J$2:$J$214,"&gt;="&amp;$A62,BuildingListNoSpaces!$B$2:$B$214,D$31)</f>
        <v>266250</v>
      </c>
      <c r="E62" s="781">
        <f>SUMIFS(BuildingListNoSpaces!$F$2:$F$214,BuildingListNoSpaces!$I$2:$I$214,"&lt;="&amp;$A62,BuildingListNoSpaces!$B$2:$B$214,E$31)-SUMIFS(BuildingListNoSpaces!$F$2:$F$214,BuildingListNoSpaces!$J$2:$J$214,"&gt;="&amp;$A62,BuildingListNoSpaces!$B$2:$B$214,E$31)</f>
        <v>65985</v>
      </c>
      <c r="F62" s="781">
        <f>SUMIFS(BuildingListNoSpaces!$F$2:$F$214,BuildingListNoSpaces!$I$2:$I$214,"&lt;="&amp;$A62,BuildingListNoSpaces!$B$2:$B$214,F$31)-SUMIFS(BuildingListNoSpaces!$F$2:$F$214,BuildingListNoSpaces!$J$2:$J$214,"&gt;="&amp;$A62,BuildingListNoSpaces!$B$2:$B$214,F$31)</f>
        <v>1158954</v>
      </c>
      <c r="G62" s="781">
        <f>SUMIFS(BuildingListNoSpaces!$F$2:$F$214,BuildingListNoSpaces!$I$2:$I$214,"&lt;="&amp;$A62,BuildingListNoSpaces!$B$2:$B$214,G$31)-SUMIFS(BuildingListNoSpaces!$F$2:$F$214,BuildingListNoSpaces!$J$2:$J$214,"&gt;="&amp;$A62,BuildingListNoSpaces!$B$2:$B$214,G$31)</f>
        <v>47269</v>
      </c>
      <c r="H62" s="781">
        <f>SUMIFS(BuildingListNoSpaces!$F$2:$F$214,BuildingListNoSpaces!$I$2:$I$214,"&lt;="&amp;$A62,BuildingListNoSpaces!$B$2:$B$214,H$31)-SUMIFS(BuildingListNoSpaces!$F$2:$F$214,BuildingListNoSpaces!$J$2:$J$214,"&gt;="&amp;$A62,BuildingListNoSpaces!$B$2:$B$214,H$31)</f>
        <v>111273</v>
      </c>
      <c r="I62" s="781">
        <f>SUMIFS(BuildingListNoSpaces!$F$2:$F$214,BuildingListNoSpaces!$I$2:$I$214,"&lt;="&amp;$A62,BuildingListNoSpaces!$B$2:$B$214,I$31)-SUMIFS(BuildingListNoSpaces!$F$2:$F$214,BuildingListNoSpaces!$J$2:$J$214,"&gt;="&amp;$A62,BuildingListNoSpaces!$B$2:$B$214,I$31)</f>
        <v>1632372</v>
      </c>
      <c r="J62" s="781">
        <f>SUMIFS(BuildingListNoSpaces!$F$2:$F$214,BuildingListNoSpaces!$I$2:$I$214,"&lt;="&amp;$A62,BuildingListNoSpaces!$B$2:$B$214,J$31)-SUMIFS(BuildingListNoSpaces!$F$2:$F$214,BuildingListNoSpaces!$J$2:$J$214,"&gt;="&amp;$A62,BuildingListNoSpaces!$B$2:$B$214,J$31)</f>
        <v>58883</v>
      </c>
      <c r="K62" s="781">
        <f>SUMIFS(BuildingListNoSpaces!$F$2:$F$214,BuildingListNoSpaces!$I$2:$I$214,"&lt;="&amp;$A62,BuildingListNoSpaces!$B$2:$B$214,K$31)-SUMIFS(BuildingListNoSpaces!$F$2:$F$214,BuildingListNoSpaces!$J$2:$J$214,"&gt;="&amp;$A62,BuildingListNoSpaces!$B$2:$B$214,K$31)</f>
        <v>497204</v>
      </c>
      <c r="L62" s="1273">
        <f t="shared" si="0"/>
        <v>8309576.18550782</v>
      </c>
      <c r="M62" s="1273">
        <f t="shared" si="1"/>
        <v>6618321.18550782</v>
      </c>
      <c r="N62" s="782">
        <f t="shared" si="4"/>
        <v>1900259.18550782</v>
      </c>
      <c r="O62" s="782">
        <f t="shared" si="5"/>
        <v>1381469.18550782</v>
      </c>
      <c r="P62" s="10">
        <f>M62/M32</f>
        <v>1.6535203898070887</v>
      </c>
      <c r="Q62" s="1488">
        <f t="shared" si="6"/>
        <v>7142.3416172885809</v>
      </c>
    </row>
    <row r="63" spans="1:18">
      <c r="Q63" s="1488">
        <f>AVERAGE(Q32:Q62)</f>
        <v>22300.201872647554</v>
      </c>
      <c r="R63" s="10" t="s">
        <v>2924</v>
      </c>
    </row>
    <row r="64" spans="1:18">
      <c r="A64" s="10"/>
      <c r="K64" s="9" t="s">
        <v>2168</v>
      </c>
      <c r="L64" s="1273">
        <f>(L62-L32)/($A$62-$A$32)*10</f>
        <v>1238279.06183594</v>
      </c>
      <c r="M64" s="1273">
        <f>(M62-M32)/($A$62-$A$32)*10</f>
        <v>871919.06183594</v>
      </c>
      <c r="N64" s="782">
        <f>AVERAGE(N42:N62)</f>
        <v>1435780.8060732903</v>
      </c>
      <c r="O64" s="782">
        <f>AVERAGE(O42:O62)</f>
        <v>1011226.5203590045</v>
      </c>
      <c r="Q64" s="1488">
        <f>ROUNDDOWN(Q63,-3)</f>
        <v>22000</v>
      </c>
      <c r="R64" s="10" t="s">
        <v>2928</v>
      </c>
    </row>
    <row r="65" spans="1:15">
      <c r="A65" s="10"/>
      <c r="K65" s="9" t="s">
        <v>2167</v>
      </c>
      <c r="L65" s="1273">
        <f>(L62-L32)/($A$62-$A$32)</f>
        <v>123827.90618359399</v>
      </c>
      <c r="M65" s="1273">
        <f>(M62-M32)/($A$62-$A$32)</f>
        <v>87191.906183593994</v>
      </c>
    </row>
    <row r="67" spans="1:15">
      <c r="A67" s="10"/>
      <c r="K67" s="9" t="str">
        <f>"AVERAGE PER DECADE SINCE "&amp;O67</f>
        <v>AVERAGE PER DECADE SINCE 1990</v>
      </c>
      <c r="L67" s="1273">
        <f ca="1">(L62-OFFSET(L$32,$O$67-1980,0))/($A$62-OFFSET($A$32,$O$67-1980,0))*10</f>
        <v>1749270.59275391</v>
      </c>
      <c r="M67" s="1273">
        <f ca="1">(M62-OFFSET(M$32,$O$67-1980,0))/($A$62-OFFSET($A$32,$O$67-1980,0))*10</f>
        <v>1199730.59275391</v>
      </c>
      <c r="O67" s="786">
        <v>1990</v>
      </c>
    </row>
    <row r="68" spans="1:15">
      <c r="A68" s="10"/>
      <c r="K68" s="9" t="str">
        <f>"AVERAGE PER YEAR SINCE "&amp;O67</f>
        <v>AVERAGE PER YEAR SINCE 1990</v>
      </c>
      <c r="L68" s="1273">
        <f ca="1">L67/10</f>
        <v>174927.05927539099</v>
      </c>
      <c r="M68" s="1273">
        <f ca="1">M67/10</f>
        <v>119973.059275391</v>
      </c>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sheetPr codeName="Sheet68">
    <tabColor rgb="FFFF0000"/>
  </sheetPr>
  <dimension ref="A3:B14"/>
  <sheetViews>
    <sheetView workbookViewId="0"/>
  </sheetViews>
  <sheetFormatPr defaultRowHeight="15"/>
  <cols>
    <col min="1" max="1" width="35.5703125" customWidth="1"/>
    <col min="2" max="2" width="11" customWidth="1"/>
    <col min="3" max="10" width="36" bestFit="1" customWidth="1"/>
    <col min="11" max="11" width="11.28515625" bestFit="1" customWidth="1"/>
  </cols>
  <sheetData>
    <row r="3" spans="1:2">
      <c r="A3" s="1390" t="s">
        <v>2175</v>
      </c>
      <c r="B3" t="s">
        <v>2174</v>
      </c>
    </row>
    <row r="4" spans="1:2">
      <c r="A4" s="961" t="s">
        <v>2136</v>
      </c>
      <c r="B4" s="364">
        <v>3768956</v>
      </c>
    </row>
    <row r="5" spans="1:2">
      <c r="A5" s="961" t="s">
        <v>2000</v>
      </c>
      <c r="B5" s="364">
        <v>580163</v>
      </c>
    </row>
    <row r="6" spans="1:2">
      <c r="A6" s="961" t="s">
        <v>1956</v>
      </c>
      <c r="B6" s="364">
        <v>266250</v>
      </c>
    </row>
    <row r="7" spans="1:2">
      <c r="A7" s="961" t="s">
        <v>1937</v>
      </c>
      <c r="B7" s="364">
        <v>65985</v>
      </c>
    </row>
    <row r="8" spans="1:2">
      <c r="A8" s="961" t="s">
        <v>1704</v>
      </c>
      <c r="B8" s="364">
        <v>58883</v>
      </c>
    </row>
    <row r="9" spans="1:2">
      <c r="A9" s="961" t="s">
        <v>1729</v>
      </c>
      <c r="B9" s="364">
        <v>1632372</v>
      </c>
    </row>
    <row r="10" spans="1:2">
      <c r="A10" s="961" t="s">
        <v>1640</v>
      </c>
      <c r="B10" s="364">
        <v>607204</v>
      </c>
    </row>
    <row r="11" spans="1:2">
      <c r="A11" s="961" t="s">
        <v>1773</v>
      </c>
      <c r="B11" s="364">
        <v>47269</v>
      </c>
    </row>
    <row r="12" spans="1:2">
      <c r="A12" s="961" t="s">
        <v>1758</v>
      </c>
      <c r="B12" s="364">
        <v>111273</v>
      </c>
    </row>
    <row r="13" spans="1:2">
      <c r="A13" s="961" t="s">
        <v>1884</v>
      </c>
      <c r="B13" s="364">
        <v>1158954</v>
      </c>
    </row>
    <row r="14" spans="1:2">
      <c r="A14" s="961" t="s">
        <v>2173</v>
      </c>
      <c r="B14" s="364">
        <v>8297309</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sheetPr codeName="Sheet69">
    <tabColor rgb="FFFF0000"/>
  </sheetPr>
  <dimension ref="A1:C23"/>
  <sheetViews>
    <sheetView workbookViewId="0"/>
  </sheetViews>
  <sheetFormatPr defaultRowHeight="15"/>
  <cols>
    <col min="2" max="2" width="16.140625" style="967" bestFit="1" customWidth="1"/>
    <col min="3" max="3" width="30.7109375" style="967" bestFit="1" customWidth="1"/>
  </cols>
  <sheetData>
    <row r="1" spans="1:3">
      <c r="B1" s="967">
        <v>1980</v>
      </c>
    </row>
    <row r="2" spans="1:3">
      <c r="A2" t="s">
        <v>2176</v>
      </c>
      <c r="B2" s="1392">
        <v>119562.56666666668</v>
      </c>
      <c r="C2" s="1391">
        <v>82926.566666666666</v>
      </c>
    </row>
    <row r="3" spans="1:3">
      <c r="A3">
        <v>1980</v>
      </c>
      <c r="B3" s="269">
        <v>119562.56666666668</v>
      </c>
      <c r="C3" s="269">
        <v>82926.566666666666</v>
      </c>
    </row>
    <row r="4" spans="1:3">
      <c r="A4">
        <v>1981</v>
      </c>
      <c r="B4" s="269">
        <v>123616.44827586207</v>
      </c>
      <c r="C4" s="269">
        <v>85717.137931034478</v>
      </c>
    </row>
    <row r="5" spans="1:3">
      <c r="A5">
        <v>1982</v>
      </c>
      <c r="B5" s="269">
        <v>128031.32142857143</v>
      </c>
      <c r="C5" s="269">
        <v>88778.46428571429</v>
      </c>
    </row>
    <row r="6" spans="1:3">
      <c r="A6">
        <v>1983</v>
      </c>
      <c r="B6" s="269">
        <v>132773.22222222222</v>
      </c>
      <c r="C6" s="269">
        <v>92066.555555555562</v>
      </c>
    </row>
    <row r="7" spans="1:3">
      <c r="A7">
        <v>1984</v>
      </c>
      <c r="B7" s="269">
        <v>137879.88461538462</v>
      </c>
      <c r="C7" s="269">
        <v>95607.576923076922</v>
      </c>
    </row>
    <row r="8" spans="1:3">
      <c r="A8">
        <v>1985</v>
      </c>
      <c r="B8" s="269">
        <v>143395.07999999999</v>
      </c>
      <c r="C8" s="269">
        <v>99431.88</v>
      </c>
    </row>
    <row r="9" spans="1:3">
      <c r="A9">
        <v>1986</v>
      </c>
      <c r="B9" s="269">
        <v>149207.95833333334</v>
      </c>
      <c r="C9" s="269">
        <v>103412.95833333333</v>
      </c>
    </row>
    <row r="10" spans="1:3">
      <c r="A10">
        <v>1987</v>
      </c>
      <c r="B10" s="269">
        <v>153983.69565217392</v>
      </c>
      <c r="C10" s="269">
        <v>106197.60869565218</v>
      </c>
    </row>
    <row r="11" spans="1:3">
      <c r="A11">
        <v>1988</v>
      </c>
      <c r="B11" s="269">
        <v>157734.09090909091</v>
      </c>
      <c r="C11" s="269">
        <v>107775.90909090909</v>
      </c>
    </row>
    <row r="12" spans="1:3">
      <c r="A12">
        <v>1989</v>
      </c>
      <c r="B12" s="269">
        <v>163530.95238095237</v>
      </c>
      <c r="C12" s="269">
        <v>111193.80952380951</v>
      </c>
    </row>
    <row r="13" spans="1:3">
      <c r="A13">
        <v>1990</v>
      </c>
      <c r="B13" s="269">
        <v>168005.3</v>
      </c>
      <c r="C13" s="269">
        <v>113051.3</v>
      </c>
    </row>
    <row r="14" spans="1:3">
      <c r="A14">
        <v>1991</v>
      </c>
      <c r="B14" s="269">
        <v>176747.68421052632</v>
      </c>
      <c r="C14" s="269">
        <v>118901.36842105263</v>
      </c>
    </row>
    <row r="15" spans="1:3">
      <c r="A15">
        <v>1992</v>
      </c>
      <c r="B15" s="269">
        <v>146053.72222222222</v>
      </c>
      <c r="C15" s="269">
        <v>103907.05555555556</v>
      </c>
    </row>
    <row r="16" spans="1:3">
      <c r="A16">
        <v>1993</v>
      </c>
      <c r="B16" s="269">
        <v>147101.5294117647</v>
      </c>
      <c r="C16" s="269">
        <v>102475.64705882352</v>
      </c>
    </row>
    <row r="17" spans="1:3">
      <c r="A17">
        <v>1994</v>
      </c>
      <c r="B17" s="269">
        <v>148134.25</v>
      </c>
      <c r="C17" s="269">
        <v>100719.25</v>
      </c>
    </row>
    <row r="18" spans="1:3">
      <c r="A18">
        <v>1995</v>
      </c>
      <c r="B18" s="269">
        <v>142019.86666666667</v>
      </c>
      <c r="C18" s="269">
        <v>107433.86666666667</v>
      </c>
    </row>
    <row r="19" spans="1:3">
      <c r="A19">
        <v>1996</v>
      </c>
      <c r="B19" s="269">
        <v>141857.71428571429</v>
      </c>
      <c r="C19" s="269">
        <v>104801.28571428571</v>
      </c>
    </row>
    <row r="20" spans="1:3">
      <c r="A20">
        <v>1997</v>
      </c>
      <c r="B20" s="269">
        <v>152616</v>
      </c>
      <c r="C20" s="269">
        <v>112709.07692307692</v>
      </c>
    </row>
    <row r="21" spans="1:3">
      <c r="A21">
        <v>1998</v>
      </c>
      <c r="B21" s="269">
        <v>165159</v>
      </c>
      <c r="C21" s="269">
        <v>121926.5</v>
      </c>
    </row>
    <row r="22" spans="1:3">
      <c r="A22">
        <v>1999</v>
      </c>
      <c r="B22" s="269">
        <v>180173.45454545456</v>
      </c>
      <c r="C22" s="269">
        <v>133010.72727272726</v>
      </c>
    </row>
    <row r="23" spans="1:3">
      <c r="A23">
        <v>2000</v>
      </c>
      <c r="B23" s="269">
        <v>181111.6</v>
      </c>
      <c r="C23" s="269">
        <v>129232.6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12"/>
  <dimension ref="A1:CQ36"/>
  <sheetViews>
    <sheetView topLeftCell="B6" workbookViewId="0">
      <pane xSplit="1" ySplit="5" topLeftCell="C11" activePane="bottomRight" state="frozen"/>
      <selection activeCell="B6" sqref="B6"/>
      <selection pane="topRight" activeCell="C6" sqref="C6"/>
      <selection pane="bottomLeft" activeCell="B11" sqref="B11"/>
      <selection pane="bottomRight" activeCell="C11" sqref="C11"/>
    </sheetView>
  </sheetViews>
  <sheetFormatPr defaultRowHeight="15"/>
  <cols>
    <col min="2" max="2" width="13.28515625" customWidth="1"/>
    <col min="17" max="17" width="11.28515625" customWidth="1"/>
    <col min="27" max="27" width="12" customWidth="1"/>
    <col min="28" max="28" width="11.140625" customWidth="1"/>
    <col min="53" max="54" width="13.85546875" customWidth="1"/>
    <col min="55" max="55" width="15" customWidth="1"/>
    <col min="56" max="56" width="12.5703125" customWidth="1"/>
    <col min="60" max="60" width="11.28515625" customWidth="1"/>
    <col min="64" max="64" width="15.140625" customWidth="1"/>
    <col min="71" max="71" width="12.85546875" customWidth="1"/>
    <col min="86" max="86" width="15.140625" customWidth="1"/>
  </cols>
  <sheetData>
    <row r="1" spans="1:95">
      <c r="A1" s="425"/>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row>
    <row r="2" spans="1:95" ht="15.75" thickBot="1">
      <c r="A2" s="425"/>
      <c r="B2" s="426"/>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7"/>
      <c r="BF2" s="425"/>
      <c r="BG2" s="425"/>
      <c r="BH2" s="427"/>
      <c r="BI2" s="427"/>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row>
    <row r="3" spans="1:95">
      <c r="A3" s="425"/>
      <c r="B3" s="428" t="s">
        <v>457</v>
      </c>
      <c r="C3" s="429" t="s">
        <v>458</v>
      </c>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30"/>
      <c r="BR3" s="430"/>
      <c r="BS3" s="430"/>
      <c r="BT3" s="430"/>
      <c r="BU3" s="430"/>
      <c r="BV3" s="430"/>
      <c r="BW3" s="430"/>
      <c r="BX3" s="430"/>
      <c r="BY3" s="430"/>
      <c r="BZ3" s="430"/>
      <c r="CA3" s="430"/>
      <c r="CB3" s="430"/>
      <c r="CC3" s="430"/>
      <c r="CD3" s="430"/>
      <c r="CE3" s="430"/>
      <c r="CF3" s="430"/>
      <c r="CG3" s="430"/>
      <c r="CH3" s="430"/>
      <c r="CI3" s="430"/>
      <c r="CJ3" s="430"/>
      <c r="CK3" s="430"/>
      <c r="CL3" s="430"/>
      <c r="CM3" s="430"/>
      <c r="CN3" s="430"/>
      <c r="CO3" s="430"/>
      <c r="CP3" s="430"/>
      <c r="CQ3" s="431"/>
    </row>
    <row r="4" spans="1:95">
      <c r="A4" s="425"/>
      <c r="B4" s="432" t="s">
        <v>459</v>
      </c>
      <c r="C4" s="433" t="s">
        <v>35</v>
      </c>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5"/>
    </row>
    <row r="5" spans="1:95" ht="15.75" thickBot="1">
      <c r="A5" s="425"/>
      <c r="B5" s="436" t="s">
        <v>460</v>
      </c>
      <c r="C5" s="437" t="s">
        <v>461</v>
      </c>
      <c r="D5" s="438"/>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438"/>
      <c r="AU5" s="438"/>
      <c r="AV5" s="438"/>
      <c r="AW5" s="438"/>
      <c r="AX5" s="438"/>
      <c r="AY5" s="438"/>
      <c r="AZ5" s="438"/>
      <c r="BA5" s="438"/>
      <c r="BB5" s="438"/>
      <c r="BC5" s="438"/>
      <c r="BD5" s="438"/>
      <c r="BE5" s="438"/>
      <c r="BF5" s="438"/>
      <c r="BG5" s="438"/>
      <c r="BH5" s="438"/>
      <c r="BI5" s="438"/>
      <c r="BJ5" s="438"/>
      <c r="BK5" s="438"/>
      <c r="BL5" s="438"/>
      <c r="BM5" s="438"/>
      <c r="BN5" s="438"/>
      <c r="BO5" s="438"/>
      <c r="BP5" s="438"/>
      <c r="BQ5" s="438"/>
      <c r="BR5" s="438"/>
      <c r="BS5" s="438"/>
      <c r="BT5" s="438"/>
      <c r="BU5" s="438"/>
      <c r="BV5" s="439"/>
      <c r="BW5" s="439"/>
      <c r="BX5" s="439"/>
      <c r="BY5" s="439"/>
      <c r="BZ5" s="439"/>
      <c r="CA5" s="439"/>
      <c r="CB5" s="439"/>
      <c r="CC5" s="439"/>
      <c r="CD5" s="439"/>
      <c r="CE5" s="439"/>
      <c r="CF5" s="439"/>
      <c r="CG5" s="439"/>
      <c r="CH5" s="439"/>
      <c r="CI5" s="439"/>
      <c r="CJ5" s="439"/>
      <c r="CK5" s="439"/>
      <c r="CL5" s="439"/>
      <c r="CM5" s="439"/>
      <c r="CN5" s="439"/>
      <c r="CO5" s="439"/>
      <c r="CP5" s="439"/>
      <c r="CQ5" s="440"/>
    </row>
    <row r="6" spans="1:95" ht="15.75" thickBot="1">
      <c r="A6" s="425"/>
      <c r="B6" s="441"/>
      <c r="C6" s="442" t="s">
        <v>462</v>
      </c>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c r="AH6" s="443"/>
      <c r="AI6" s="443"/>
      <c r="AJ6" s="444"/>
      <c r="AK6" s="443"/>
      <c r="AL6" s="443"/>
      <c r="AM6" s="443"/>
      <c r="AN6" s="443"/>
      <c r="AO6" s="443"/>
      <c r="AP6" s="443"/>
      <c r="AQ6" s="443"/>
      <c r="AR6" s="443"/>
      <c r="AS6" s="443"/>
      <c r="AT6" s="443"/>
      <c r="AU6" s="443"/>
      <c r="AV6" s="443"/>
      <c r="AW6" s="443"/>
      <c r="AX6" s="443"/>
      <c r="AY6" s="443"/>
      <c r="AZ6" s="443"/>
      <c r="BA6" s="445" t="s">
        <v>463</v>
      </c>
      <c r="BB6" s="446"/>
      <c r="BC6" s="446"/>
      <c r="BD6" s="447" t="s">
        <v>464</v>
      </c>
      <c r="BE6" s="448"/>
      <c r="BF6" s="448"/>
      <c r="BG6" s="448"/>
      <c r="BH6" s="448"/>
      <c r="BI6" s="448"/>
      <c r="BJ6" s="448"/>
      <c r="BK6" s="448"/>
      <c r="BL6" s="448"/>
      <c r="BM6" s="448"/>
      <c r="BN6" s="448"/>
      <c r="BO6" s="448"/>
      <c r="BP6" s="448"/>
      <c r="BQ6" s="448"/>
      <c r="BR6" s="448"/>
      <c r="BS6" s="448"/>
      <c r="BT6" s="448"/>
      <c r="BU6" s="448"/>
      <c r="BV6" s="449"/>
      <c r="BW6" s="449"/>
      <c r="BX6" s="449"/>
      <c r="BY6" s="449"/>
      <c r="BZ6" s="449"/>
      <c r="CA6" s="449"/>
      <c r="CB6" s="449"/>
      <c r="CC6" s="449"/>
      <c r="CD6" s="449"/>
      <c r="CE6" s="449"/>
      <c r="CF6" s="449"/>
      <c r="CG6" s="449"/>
      <c r="CH6" s="449"/>
      <c r="CI6" s="450" t="s">
        <v>465</v>
      </c>
      <c r="CJ6" s="451"/>
      <c r="CK6" s="451"/>
      <c r="CL6" s="451"/>
      <c r="CM6" s="452"/>
      <c r="CN6" s="451"/>
      <c r="CO6" s="451"/>
      <c r="CP6" s="451"/>
      <c r="CQ6" s="453"/>
    </row>
    <row r="7" spans="1:95" ht="15.75" thickBot="1">
      <c r="A7" s="425"/>
      <c r="B7" s="454"/>
      <c r="C7" s="455" t="s">
        <v>466</v>
      </c>
      <c r="D7" s="456"/>
      <c r="E7" s="456"/>
      <c r="F7" s="456"/>
      <c r="G7" s="456"/>
      <c r="H7" s="456"/>
      <c r="I7" s="456"/>
      <c r="J7" s="456"/>
      <c r="K7" s="456"/>
      <c r="L7" s="456"/>
      <c r="M7" s="456"/>
      <c r="N7" s="456"/>
      <c r="O7" s="456"/>
      <c r="P7" s="456"/>
      <c r="Q7" s="456"/>
      <c r="R7" s="456"/>
      <c r="S7" s="456"/>
      <c r="T7" s="456"/>
      <c r="U7" s="456"/>
      <c r="V7" s="456"/>
      <c r="W7" s="456"/>
      <c r="X7" s="456"/>
      <c r="Y7" s="456"/>
      <c r="Z7" s="457"/>
      <c r="AA7" s="455" t="s">
        <v>467</v>
      </c>
      <c r="AB7" s="456"/>
      <c r="AC7" s="456"/>
      <c r="AD7" s="456"/>
      <c r="AE7" s="456"/>
      <c r="AF7" s="456"/>
      <c r="AG7" s="456"/>
      <c r="AH7" s="456"/>
      <c r="AI7" s="458"/>
      <c r="AJ7" s="459" t="s">
        <v>39</v>
      </c>
      <c r="AK7" s="455" t="s">
        <v>468</v>
      </c>
      <c r="AL7" s="456"/>
      <c r="AM7" s="456"/>
      <c r="AN7" s="456"/>
      <c r="AO7" s="456"/>
      <c r="AP7" s="456"/>
      <c r="AQ7" s="455" t="s">
        <v>469</v>
      </c>
      <c r="AR7" s="456"/>
      <c r="AS7" s="458"/>
      <c r="AT7" s="458"/>
      <c r="AU7" s="458"/>
      <c r="AV7" s="458"/>
      <c r="AW7" s="458"/>
      <c r="AX7" s="458"/>
      <c r="AY7" s="458"/>
      <c r="AZ7" s="458"/>
      <c r="BA7" s="459" t="s">
        <v>470</v>
      </c>
      <c r="BB7" s="460"/>
      <c r="BC7" s="461"/>
      <c r="BD7" s="462" t="s">
        <v>471</v>
      </c>
      <c r="BE7" s="463"/>
      <c r="BF7" s="463"/>
      <c r="BG7" s="463"/>
      <c r="BH7" s="463"/>
      <c r="BI7" s="463"/>
      <c r="BJ7" s="463"/>
      <c r="BK7" s="464"/>
      <c r="BL7" s="465" t="s">
        <v>472</v>
      </c>
      <c r="BM7" s="466"/>
      <c r="BN7" s="467"/>
      <c r="BO7" s="467"/>
      <c r="BP7" s="467"/>
      <c r="BQ7" s="467"/>
      <c r="BR7" s="468"/>
      <c r="BS7" s="1527" t="s">
        <v>473</v>
      </c>
      <c r="BT7" s="465" t="s">
        <v>474</v>
      </c>
      <c r="BU7" s="467"/>
      <c r="BV7" s="467"/>
      <c r="BW7" s="467"/>
      <c r="BX7" s="469"/>
      <c r="BY7" s="470" t="s">
        <v>475</v>
      </c>
      <c r="BZ7" s="471"/>
      <c r="CA7" s="471"/>
      <c r="CB7" s="471"/>
      <c r="CC7" s="470" t="s">
        <v>476</v>
      </c>
      <c r="CD7" s="471"/>
      <c r="CE7" s="471"/>
      <c r="CF7" s="471"/>
      <c r="CG7" s="472"/>
      <c r="CH7" s="471" t="s">
        <v>477</v>
      </c>
      <c r="CI7" s="473"/>
      <c r="CJ7" s="474"/>
      <c r="CK7" s="474"/>
      <c r="CL7" s="474"/>
      <c r="CM7" s="474"/>
      <c r="CN7" s="474"/>
      <c r="CO7" s="474"/>
      <c r="CP7" s="474"/>
      <c r="CQ7" s="475"/>
    </row>
    <row r="8" spans="1:95" ht="45">
      <c r="A8" s="425"/>
      <c r="B8" s="476" t="s">
        <v>478</v>
      </c>
      <c r="C8" s="477" t="s">
        <v>479</v>
      </c>
      <c r="D8" s="478"/>
      <c r="E8" s="478"/>
      <c r="F8" s="478"/>
      <c r="G8" s="478"/>
      <c r="H8" s="478"/>
      <c r="I8" s="478"/>
      <c r="J8" s="478"/>
      <c r="K8" s="478"/>
      <c r="L8" s="478"/>
      <c r="M8" s="478"/>
      <c r="N8" s="479"/>
      <c r="O8" s="480" t="s">
        <v>480</v>
      </c>
      <c r="P8" s="478"/>
      <c r="Q8" s="478"/>
      <c r="R8" s="478"/>
      <c r="S8" s="478"/>
      <c r="T8" s="478"/>
      <c r="U8" s="478"/>
      <c r="V8" s="478"/>
      <c r="W8" s="478"/>
      <c r="X8" s="478"/>
      <c r="Y8" s="478"/>
      <c r="Z8" s="481"/>
      <c r="AA8" s="477" t="s">
        <v>481</v>
      </c>
      <c r="AB8" s="478"/>
      <c r="AC8" s="478"/>
      <c r="AD8" s="478"/>
      <c r="AE8" s="478"/>
      <c r="AF8" s="478"/>
      <c r="AG8" s="478"/>
      <c r="AH8" s="478"/>
      <c r="AI8" s="482"/>
      <c r="AJ8" s="483" t="s">
        <v>39</v>
      </c>
      <c r="AK8" s="477" t="s">
        <v>468</v>
      </c>
      <c r="AL8" s="478"/>
      <c r="AM8" s="478"/>
      <c r="AN8" s="478"/>
      <c r="AO8" s="478"/>
      <c r="AP8" s="478"/>
      <c r="AQ8" s="477" t="s">
        <v>482</v>
      </c>
      <c r="AR8" s="478"/>
      <c r="AS8" s="482" t="s">
        <v>483</v>
      </c>
      <c r="AT8" s="482"/>
      <c r="AU8" s="482"/>
      <c r="AV8" s="482"/>
      <c r="AW8" s="482"/>
      <c r="AX8" s="482"/>
      <c r="AY8" s="482"/>
      <c r="AZ8" s="482"/>
      <c r="BA8" s="484" t="s">
        <v>103</v>
      </c>
      <c r="BB8" s="485" t="s">
        <v>9</v>
      </c>
      <c r="BC8" s="486" t="s">
        <v>10</v>
      </c>
      <c r="BD8" s="487" t="s">
        <v>484</v>
      </c>
      <c r="BE8" s="488"/>
      <c r="BF8" s="488"/>
      <c r="BG8" s="489"/>
      <c r="BH8" s="490" t="s">
        <v>485</v>
      </c>
      <c r="BI8" s="488"/>
      <c r="BJ8" s="488"/>
      <c r="BK8" s="491"/>
      <c r="BL8" s="487" t="s">
        <v>424</v>
      </c>
      <c r="BM8" s="492"/>
      <c r="BN8" s="488" t="s">
        <v>26</v>
      </c>
      <c r="BO8" s="488"/>
      <c r="BP8" s="488"/>
      <c r="BQ8" s="488"/>
      <c r="BR8" s="489"/>
      <c r="BS8" s="1528"/>
      <c r="BT8" s="493" t="s">
        <v>486</v>
      </c>
      <c r="BU8" s="494"/>
      <c r="BV8" s="494" t="s">
        <v>487</v>
      </c>
      <c r="BW8" s="494"/>
      <c r="BX8" s="495"/>
      <c r="BY8" s="487" t="s">
        <v>488</v>
      </c>
      <c r="BZ8" s="488" t="s">
        <v>489</v>
      </c>
      <c r="CA8" s="488"/>
      <c r="CB8" s="491"/>
      <c r="CC8" s="492" t="s">
        <v>490</v>
      </c>
      <c r="CD8" s="488" t="s">
        <v>490</v>
      </c>
      <c r="CE8" s="488" t="s">
        <v>490</v>
      </c>
      <c r="CF8" s="488" t="s">
        <v>490</v>
      </c>
      <c r="CG8" s="491" t="s">
        <v>491</v>
      </c>
      <c r="CH8" s="496" t="s">
        <v>262</v>
      </c>
      <c r="CI8" s="493" t="s">
        <v>492</v>
      </c>
      <c r="CJ8" s="494"/>
      <c r="CK8" s="494"/>
      <c r="CL8" s="494"/>
      <c r="CM8" s="497"/>
      <c r="CN8" s="498" t="s">
        <v>493</v>
      </c>
      <c r="CO8" s="494"/>
      <c r="CP8" s="494"/>
      <c r="CQ8" s="495"/>
    </row>
    <row r="9" spans="1:95" ht="90.75" thickBot="1">
      <c r="A9" s="425"/>
      <c r="B9" s="454"/>
      <c r="C9" s="499" t="s">
        <v>494</v>
      </c>
      <c r="D9" s="500" t="s">
        <v>495</v>
      </c>
      <c r="E9" s="500" t="s">
        <v>85</v>
      </c>
      <c r="F9" s="500" t="s">
        <v>496</v>
      </c>
      <c r="G9" s="500" t="s">
        <v>497</v>
      </c>
      <c r="H9" s="500" t="s">
        <v>486</v>
      </c>
      <c r="I9" s="500" t="s">
        <v>498</v>
      </c>
      <c r="J9" s="500" t="s">
        <v>499</v>
      </c>
      <c r="K9" s="500" t="s">
        <v>500</v>
      </c>
      <c r="L9" s="500" t="s">
        <v>501</v>
      </c>
      <c r="M9" s="500" t="s">
        <v>502</v>
      </c>
      <c r="N9" s="501" t="s">
        <v>503</v>
      </c>
      <c r="O9" s="502" t="s">
        <v>494</v>
      </c>
      <c r="P9" s="500" t="s">
        <v>495</v>
      </c>
      <c r="Q9" s="500" t="s">
        <v>85</v>
      </c>
      <c r="R9" s="500" t="s">
        <v>496</v>
      </c>
      <c r="S9" s="500" t="s">
        <v>497</v>
      </c>
      <c r="T9" s="500" t="s">
        <v>486</v>
      </c>
      <c r="U9" s="500" t="s">
        <v>498</v>
      </c>
      <c r="V9" s="500" t="s">
        <v>499</v>
      </c>
      <c r="W9" s="500" t="s">
        <v>500</v>
      </c>
      <c r="X9" s="500" t="s">
        <v>501</v>
      </c>
      <c r="Y9" s="500" t="s">
        <v>502</v>
      </c>
      <c r="Z9" s="503" t="s">
        <v>503</v>
      </c>
      <c r="AA9" s="499" t="s">
        <v>504</v>
      </c>
      <c r="AB9" s="500" t="s">
        <v>505</v>
      </c>
      <c r="AC9" s="500" t="s">
        <v>506</v>
      </c>
      <c r="AD9" s="500" t="s">
        <v>507</v>
      </c>
      <c r="AE9" s="500" t="s">
        <v>508</v>
      </c>
      <c r="AF9" s="500" t="s">
        <v>509</v>
      </c>
      <c r="AG9" s="504" t="s">
        <v>510</v>
      </c>
      <c r="AH9" s="500" t="s">
        <v>511</v>
      </c>
      <c r="AI9" s="503" t="s">
        <v>512</v>
      </c>
      <c r="AJ9" s="505" t="s">
        <v>513</v>
      </c>
      <c r="AK9" s="506" t="s">
        <v>514</v>
      </c>
      <c r="AL9" s="507" t="s">
        <v>515</v>
      </c>
      <c r="AM9" s="507" t="s">
        <v>516</v>
      </c>
      <c r="AN9" s="507" t="s">
        <v>517</v>
      </c>
      <c r="AO9" s="507" t="s">
        <v>518</v>
      </c>
      <c r="AP9" s="508" t="s">
        <v>26</v>
      </c>
      <c r="AQ9" s="502" t="s">
        <v>519</v>
      </c>
      <c r="AR9" s="500" t="s">
        <v>520</v>
      </c>
      <c r="AS9" s="509" t="s">
        <v>521</v>
      </c>
      <c r="AT9" s="509" t="s">
        <v>522</v>
      </c>
      <c r="AU9" s="509" t="s">
        <v>523</v>
      </c>
      <c r="AV9" s="509" t="s">
        <v>524</v>
      </c>
      <c r="AW9" s="509" t="s">
        <v>525</v>
      </c>
      <c r="AX9" s="509" t="s">
        <v>526</v>
      </c>
      <c r="AY9" s="509" t="s">
        <v>527</v>
      </c>
      <c r="AZ9" s="503" t="s">
        <v>26</v>
      </c>
      <c r="BA9" s="510"/>
      <c r="BB9" s="511"/>
      <c r="BC9" s="512"/>
      <c r="BD9" s="513" t="s">
        <v>528</v>
      </c>
      <c r="BE9" s="514" t="s">
        <v>529</v>
      </c>
      <c r="BF9" s="514" t="s">
        <v>530</v>
      </c>
      <c r="BG9" s="515" t="s">
        <v>531</v>
      </c>
      <c r="BH9" s="516" t="s">
        <v>528</v>
      </c>
      <c r="BI9" s="514" t="s">
        <v>529</v>
      </c>
      <c r="BJ9" s="514" t="s">
        <v>530</v>
      </c>
      <c r="BK9" s="517" t="s">
        <v>531</v>
      </c>
      <c r="BL9" s="513" t="s">
        <v>532</v>
      </c>
      <c r="BM9" s="518" t="s">
        <v>4</v>
      </c>
      <c r="BN9" s="514" t="s">
        <v>533</v>
      </c>
      <c r="BO9" s="514" t="s">
        <v>534</v>
      </c>
      <c r="BP9" s="514" t="s">
        <v>529</v>
      </c>
      <c r="BQ9" s="514" t="s">
        <v>535</v>
      </c>
      <c r="BR9" s="515" t="s">
        <v>536</v>
      </c>
      <c r="BS9" s="519" t="s">
        <v>537</v>
      </c>
      <c r="BT9" s="520" t="s">
        <v>538</v>
      </c>
      <c r="BU9" s="521" t="s">
        <v>539</v>
      </c>
      <c r="BV9" s="521" t="s">
        <v>540</v>
      </c>
      <c r="BW9" s="521" t="s">
        <v>541</v>
      </c>
      <c r="BX9" s="522" t="s">
        <v>542</v>
      </c>
      <c r="BY9" s="523"/>
      <c r="BZ9" s="524" t="s">
        <v>543</v>
      </c>
      <c r="CA9" s="524" t="s">
        <v>544</v>
      </c>
      <c r="CB9" s="525" t="s">
        <v>545</v>
      </c>
      <c r="CC9" s="526">
        <v>0</v>
      </c>
      <c r="CD9" s="527">
        <v>0.25</v>
      </c>
      <c r="CE9" s="527">
        <v>0.5</v>
      </c>
      <c r="CF9" s="527">
        <v>0.75</v>
      </c>
      <c r="CG9" s="528">
        <v>1</v>
      </c>
      <c r="CH9" s="529" t="s">
        <v>546</v>
      </c>
      <c r="CI9" s="520" t="s">
        <v>547</v>
      </c>
      <c r="CJ9" s="521" t="s">
        <v>548</v>
      </c>
      <c r="CK9" s="521" t="s">
        <v>549</v>
      </c>
      <c r="CL9" s="521" t="s">
        <v>550</v>
      </c>
      <c r="CM9" s="530" t="s">
        <v>26</v>
      </c>
      <c r="CN9" s="531" t="s">
        <v>551</v>
      </c>
      <c r="CO9" s="521" t="s">
        <v>549</v>
      </c>
      <c r="CP9" s="521" t="s">
        <v>550</v>
      </c>
      <c r="CQ9" s="522" t="s">
        <v>26</v>
      </c>
    </row>
    <row r="10" spans="1:95" ht="16.5" thickTop="1" thickBot="1">
      <c r="A10" s="425"/>
      <c r="B10" s="532"/>
      <c r="C10" s="499" t="s">
        <v>591</v>
      </c>
      <c r="D10" s="500" t="s">
        <v>591</v>
      </c>
      <c r="E10" s="500" t="s">
        <v>591</v>
      </c>
      <c r="F10" s="500" t="s">
        <v>591</v>
      </c>
      <c r="G10" s="500" t="s">
        <v>591</v>
      </c>
      <c r="H10" s="500" t="s">
        <v>591</v>
      </c>
      <c r="I10" s="500" t="s">
        <v>591</v>
      </c>
      <c r="J10" s="500" t="s">
        <v>591</v>
      </c>
      <c r="K10" s="500" t="s">
        <v>591</v>
      </c>
      <c r="L10" s="500" t="s">
        <v>591</v>
      </c>
      <c r="M10" s="500" t="s">
        <v>591</v>
      </c>
      <c r="N10" s="501" t="s">
        <v>591</v>
      </c>
      <c r="O10" s="533" t="s">
        <v>591</v>
      </c>
      <c r="P10" s="534" t="s">
        <v>591</v>
      </c>
      <c r="Q10" s="534" t="s">
        <v>591</v>
      </c>
      <c r="R10" s="534" t="s">
        <v>591</v>
      </c>
      <c r="S10" s="534" t="s">
        <v>591</v>
      </c>
      <c r="T10" s="534" t="s">
        <v>591</v>
      </c>
      <c r="U10" s="534" t="s">
        <v>591</v>
      </c>
      <c r="V10" s="534" t="s">
        <v>591</v>
      </c>
      <c r="W10" s="534" t="s">
        <v>591</v>
      </c>
      <c r="X10" s="534" t="s">
        <v>591</v>
      </c>
      <c r="Y10" s="534" t="s">
        <v>591</v>
      </c>
      <c r="Z10" s="535" t="s">
        <v>591</v>
      </c>
      <c r="AA10" s="536" t="s">
        <v>591</v>
      </c>
      <c r="AB10" s="534" t="s">
        <v>591</v>
      </c>
      <c r="AC10" s="534" t="s">
        <v>591</v>
      </c>
      <c r="AD10" s="534" t="s">
        <v>591</v>
      </c>
      <c r="AE10" s="534" t="s">
        <v>591</v>
      </c>
      <c r="AF10" s="534" t="s">
        <v>591</v>
      </c>
      <c r="AG10" s="537" t="s">
        <v>591</v>
      </c>
      <c r="AH10" s="534" t="s">
        <v>591</v>
      </c>
      <c r="AI10" s="535" t="s">
        <v>591</v>
      </c>
      <c r="AJ10" s="538" t="s">
        <v>591</v>
      </c>
      <c r="AK10" s="539" t="s">
        <v>591</v>
      </c>
      <c r="AL10" s="540" t="s">
        <v>591</v>
      </c>
      <c r="AM10" s="540" t="s">
        <v>591</v>
      </c>
      <c r="AN10" s="540" t="s">
        <v>591</v>
      </c>
      <c r="AO10" s="540" t="s">
        <v>591</v>
      </c>
      <c r="AP10" s="541" t="s">
        <v>591</v>
      </c>
      <c r="AQ10" s="539" t="s">
        <v>591</v>
      </c>
      <c r="AR10" s="540" t="s">
        <v>591</v>
      </c>
      <c r="AS10" s="540" t="s">
        <v>591</v>
      </c>
      <c r="AT10" s="540" t="s">
        <v>591</v>
      </c>
      <c r="AU10" s="540" t="s">
        <v>591</v>
      </c>
      <c r="AV10" s="540" t="s">
        <v>591</v>
      </c>
      <c r="AW10" s="540" t="s">
        <v>591</v>
      </c>
      <c r="AX10" s="540" t="s">
        <v>591</v>
      </c>
      <c r="AY10" s="540" t="s">
        <v>591</v>
      </c>
      <c r="AZ10" s="541" t="s">
        <v>591</v>
      </c>
      <c r="BA10" s="542" t="s">
        <v>591</v>
      </c>
      <c r="BB10" s="543" t="s">
        <v>591</v>
      </c>
      <c r="BC10" s="544" t="s">
        <v>591</v>
      </c>
      <c r="BD10" s="545" t="s">
        <v>591</v>
      </c>
      <c r="BE10" s="546" t="s">
        <v>591</v>
      </c>
      <c r="BF10" s="546" t="s">
        <v>591</v>
      </c>
      <c r="BG10" s="547" t="s">
        <v>591</v>
      </c>
      <c r="BH10" s="548" t="s">
        <v>591</v>
      </c>
      <c r="BI10" s="546" t="s">
        <v>591</v>
      </c>
      <c r="BJ10" s="546" t="s">
        <v>591</v>
      </c>
      <c r="BK10" s="549" t="s">
        <v>591</v>
      </c>
      <c r="BL10" s="545" t="s">
        <v>591</v>
      </c>
      <c r="BM10" s="550" t="s">
        <v>591</v>
      </c>
      <c r="BN10" s="546" t="s">
        <v>591</v>
      </c>
      <c r="BO10" s="546" t="s">
        <v>591</v>
      </c>
      <c r="BP10" s="546" t="s">
        <v>591</v>
      </c>
      <c r="BQ10" s="546" t="s">
        <v>591</v>
      </c>
      <c r="BR10" s="547" t="s">
        <v>591</v>
      </c>
      <c r="BS10" s="551" t="s">
        <v>591</v>
      </c>
      <c r="BT10" s="552" t="s">
        <v>591</v>
      </c>
      <c r="BU10" s="553" t="s">
        <v>591</v>
      </c>
      <c r="BV10" s="553" t="s">
        <v>591</v>
      </c>
      <c r="BW10" s="553" t="s">
        <v>591</v>
      </c>
      <c r="BX10" s="554" t="s">
        <v>591</v>
      </c>
      <c r="BY10" s="555" t="s">
        <v>591</v>
      </c>
      <c r="BZ10" s="556" t="s">
        <v>591</v>
      </c>
      <c r="CA10" s="556" t="s">
        <v>591</v>
      </c>
      <c r="CB10" s="557" t="s">
        <v>591</v>
      </c>
      <c r="CC10" s="555" t="s">
        <v>591</v>
      </c>
      <c r="CD10" s="556" t="s">
        <v>591</v>
      </c>
      <c r="CE10" s="556" t="s">
        <v>591</v>
      </c>
      <c r="CF10" s="556" t="s">
        <v>591</v>
      </c>
      <c r="CG10" s="557" t="s">
        <v>591</v>
      </c>
      <c r="CH10" s="558" t="s">
        <v>591</v>
      </c>
      <c r="CI10" s="552" t="s">
        <v>591</v>
      </c>
      <c r="CJ10" s="553" t="s">
        <v>591</v>
      </c>
      <c r="CK10" s="553" t="s">
        <v>591</v>
      </c>
      <c r="CL10" s="553" t="s">
        <v>591</v>
      </c>
      <c r="CM10" s="559" t="s">
        <v>591</v>
      </c>
      <c r="CN10" s="560" t="s">
        <v>591</v>
      </c>
      <c r="CO10" s="553" t="s">
        <v>591</v>
      </c>
      <c r="CP10" s="553" t="s">
        <v>591</v>
      </c>
      <c r="CQ10" s="554" t="s">
        <v>591</v>
      </c>
    </row>
    <row r="11" spans="1:95" ht="16.5" thickTop="1" thickBot="1">
      <c r="A11" s="425"/>
      <c r="B11" s="561">
        <v>1990</v>
      </c>
      <c r="C11" s="562">
        <v>0</v>
      </c>
      <c r="D11" s="563">
        <v>0</v>
      </c>
      <c r="E11" s="563">
        <v>0</v>
      </c>
      <c r="F11" s="563">
        <v>0</v>
      </c>
      <c r="G11" s="563">
        <v>0</v>
      </c>
      <c r="H11" s="564">
        <v>0</v>
      </c>
      <c r="I11" s="563">
        <v>0</v>
      </c>
      <c r="J11" s="563">
        <v>0</v>
      </c>
      <c r="K11" s="563">
        <v>0</v>
      </c>
      <c r="L11" s="563">
        <v>0</v>
      </c>
      <c r="M11" s="563">
        <v>0</v>
      </c>
      <c r="N11" s="565">
        <v>0</v>
      </c>
      <c r="O11" s="566">
        <v>0</v>
      </c>
      <c r="P11" s="564">
        <v>0</v>
      </c>
      <c r="Q11" s="564">
        <v>0</v>
      </c>
      <c r="R11" s="564">
        <v>0</v>
      </c>
      <c r="S11" s="564">
        <v>0</v>
      </c>
      <c r="T11" s="564">
        <v>0</v>
      </c>
      <c r="U11" s="564">
        <v>0</v>
      </c>
      <c r="V11" s="564">
        <v>0</v>
      </c>
      <c r="W11" s="564">
        <v>0</v>
      </c>
      <c r="X11" s="564">
        <v>0</v>
      </c>
      <c r="Y11" s="564">
        <v>0</v>
      </c>
      <c r="Z11" s="567">
        <v>0</v>
      </c>
      <c r="AA11" s="568">
        <v>0</v>
      </c>
      <c r="AB11" s="564">
        <v>0</v>
      </c>
      <c r="AC11" s="564">
        <v>0</v>
      </c>
      <c r="AD11" s="564">
        <v>0</v>
      </c>
      <c r="AE11" s="564">
        <v>0</v>
      </c>
      <c r="AF11" s="564">
        <v>0</v>
      </c>
      <c r="AG11" s="564">
        <v>0</v>
      </c>
      <c r="AH11" s="564">
        <v>0</v>
      </c>
      <c r="AI11" s="567">
        <v>0</v>
      </c>
      <c r="AJ11" s="569">
        <v>0</v>
      </c>
      <c r="AK11" s="570"/>
      <c r="AL11" s="571"/>
      <c r="AM11" s="571"/>
      <c r="AN11" s="571"/>
      <c r="AO11" s="571"/>
      <c r="AP11" s="572"/>
      <c r="AQ11" s="570"/>
      <c r="AR11" s="571"/>
      <c r="AS11" s="573"/>
      <c r="AT11" s="573"/>
      <c r="AU11" s="573"/>
      <c r="AV11" s="573"/>
      <c r="AW11" s="573"/>
      <c r="AX11" s="573"/>
      <c r="AY11" s="573"/>
      <c r="AZ11" s="572"/>
      <c r="BA11" s="574">
        <v>0</v>
      </c>
      <c r="BB11" s="575">
        <v>0</v>
      </c>
      <c r="BC11" s="576">
        <v>0</v>
      </c>
      <c r="BD11" s="577">
        <v>0</v>
      </c>
      <c r="BE11" s="578">
        <v>0</v>
      </c>
      <c r="BF11" s="578">
        <v>0</v>
      </c>
      <c r="BG11" s="579">
        <v>0</v>
      </c>
      <c r="BH11" s="580">
        <v>0</v>
      </c>
      <c r="BI11" s="578">
        <v>0</v>
      </c>
      <c r="BJ11" s="578">
        <v>0</v>
      </c>
      <c r="BK11" s="581">
        <v>0</v>
      </c>
      <c r="BL11" s="577">
        <v>0</v>
      </c>
      <c r="BM11" s="582">
        <v>0</v>
      </c>
      <c r="BN11" s="578">
        <v>0</v>
      </c>
      <c r="BO11" s="578">
        <v>0</v>
      </c>
      <c r="BP11" s="578">
        <v>0</v>
      </c>
      <c r="BQ11" s="578">
        <v>0</v>
      </c>
      <c r="BR11" s="579">
        <v>0</v>
      </c>
      <c r="BS11" s="583">
        <v>0</v>
      </c>
      <c r="BT11" s="577">
        <v>0</v>
      </c>
      <c r="BU11" s="578">
        <v>0</v>
      </c>
      <c r="BV11" s="584"/>
      <c r="BW11" s="584"/>
      <c r="BX11" s="585"/>
      <c r="BY11" s="586"/>
      <c r="BZ11" s="587"/>
      <c r="CA11" s="587"/>
      <c r="CB11" s="588"/>
      <c r="CC11" s="589"/>
      <c r="CD11" s="587"/>
      <c r="CE11" s="587"/>
      <c r="CF11" s="587"/>
      <c r="CG11" s="588"/>
      <c r="CH11" s="590">
        <v>0</v>
      </c>
      <c r="CI11" s="591"/>
      <c r="CJ11" s="584"/>
      <c r="CK11" s="584"/>
      <c r="CL11" s="584"/>
      <c r="CM11" s="592"/>
      <c r="CN11" s="593"/>
      <c r="CO11" s="584"/>
      <c r="CP11" s="584"/>
      <c r="CQ11" s="585"/>
    </row>
    <row r="12" spans="1:95" ht="15.75" thickBot="1">
      <c r="A12" s="425"/>
      <c r="B12" s="561">
        <v>1991</v>
      </c>
      <c r="C12" s="562">
        <v>0</v>
      </c>
      <c r="D12" s="594">
        <v>0</v>
      </c>
      <c r="E12" s="594">
        <v>0</v>
      </c>
      <c r="F12" s="594">
        <v>0</v>
      </c>
      <c r="G12" s="594">
        <v>0</v>
      </c>
      <c r="H12" s="594">
        <v>0</v>
      </c>
      <c r="I12" s="594">
        <v>0</v>
      </c>
      <c r="J12" s="594">
        <v>0</v>
      </c>
      <c r="K12" s="594">
        <v>0</v>
      </c>
      <c r="L12" s="594">
        <v>0</v>
      </c>
      <c r="M12" s="594">
        <v>0</v>
      </c>
      <c r="N12" s="595">
        <v>0</v>
      </c>
      <c r="O12" s="596">
        <v>0</v>
      </c>
      <c r="P12" s="597">
        <v>0</v>
      </c>
      <c r="Q12" s="597">
        <v>0</v>
      </c>
      <c r="R12" s="597">
        <v>0</v>
      </c>
      <c r="S12" s="597">
        <v>0</v>
      </c>
      <c r="T12" s="597">
        <v>0</v>
      </c>
      <c r="U12" s="597">
        <v>0</v>
      </c>
      <c r="V12" s="597">
        <v>0</v>
      </c>
      <c r="W12" s="597">
        <v>0</v>
      </c>
      <c r="X12" s="597">
        <v>0</v>
      </c>
      <c r="Y12" s="597">
        <v>0</v>
      </c>
      <c r="Z12" s="598">
        <v>0</v>
      </c>
      <c r="AA12" s="599">
        <v>0</v>
      </c>
      <c r="AB12" s="597">
        <v>0</v>
      </c>
      <c r="AC12" s="597">
        <v>0</v>
      </c>
      <c r="AD12" s="597">
        <v>0</v>
      </c>
      <c r="AE12" s="597">
        <v>0</v>
      </c>
      <c r="AF12" s="597">
        <v>0</v>
      </c>
      <c r="AG12" s="597">
        <v>0</v>
      </c>
      <c r="AH12" s="597">
        <v>0</v>
      </c>
      <c r="AI12" s="598">
        <v>0</v>
      </c>
      <c r="AJ12" s="600">
        <v>0</v>
      </c>
      <c r="AK12" s="570"/>
      <c r="AL12" s="571"/>
      <c r="AM12" s="571"/>
      <c r="AN12" s="571"/>
      <c r="AO12" s="571"/>
      <c r="AP12" s="572"/>
      <c r="AQ12" s="570"/>
      <c r="AR12" s="571"/>
      <c r="AS12" s="573"/>
      <c r="AT12" s="573"/>
      <c r="AU12" s="573"/>
      <c r="AV12" s="573"/>
      <c r="AW12" s="573"/>
      <c r="AX12" s="573"/>
      <c r="AY12" s="573"/>
      <c r="AZ12" s="572"/>
      <c r="BA12" s="601">
        <v>0</v>
      </c>
      <c r="BB12" s="602">
        <v>0</v>
      </c>
      <c r="BC12" s="603">
        <v>0</v>
      </c>
      <c r="BD12" s="604">
        <v>0</v>
      </c>
      <c r="BE12" s="605">
        <v>0</v>
      </c>
      <c r="BF12" s="605">
        <v>0</v>
      </c>
      <c r="BG12" s="606">
        <v>0</v>
      </c>
      <c r="BH12" s="607">
        <v>0</v>
      </c>
      <c r="BI12" s="605">
        <v>0</v>
      </c>
      <c r="BJ12" s="605">
        <v>0</v>
      </c>
      <c r="BK12" s="608">
        <v>0</v>
      </c>
      <c r="BL12" s="604">
        <v>0</v>
      </c>
      <c r="BM12" s="609">
        <v>0</v>
      </c>
      <c r="BN12" s="605">
        <v>0</v>
      </c>
      <c r="BO12" s="605">
        <v>0</v>
      </c>
      <c r="BP12" s="605">
        <v>0</v>
      </c>
      <c r="BQ12" s="605">
        <v>0</v>
      </c>
      <c r="BR12" s="606">
        <v>0</v>
      </c>
      <c r="BS12" s="610">
        <v>0</v>
      </c>
      <c r="BT12" s="604">
        <v>0</v>
      </c>
      <c r="BU12" s="605">
        <v>0</v>
      </c>
      <c r="BV12" s="584"/>
      <c r="BW12" s="584"/>
      <c r="BX12" s="585"/>
      <c r="BY12" s="586"/>
      <c r="BZ12" s="587"/>
      <c r="CA12" s="587"/>
      <c r="CB12" s="588"/>
      <c r="CC12" s="589"/>
      <c r="CD12" s="587"/>
      <c r="CE12" s="587"/>
      <c r="CF12" s="587"/>
      <c r="CG12" s="588"/>
      <c r="CH12" s="611">
        <v>0</v>
      </c>
      <c r="CI12" s="591"/>
      <c r="CJ12" s="584"/>
      <c r="CK12" s="584"/>
      <c r="CL12" s="584"/>
      <c r="CM12" s="592"/>
      <c r="CN12" s="593"/>
      <c r="CO12" s="584"/>
      <c r="CP12" s="584"/>
      <c r="CQ12" s="585"/>
    </row>
    <row r="13" spans="1:95" ht="15.75" thickBot="1">
      <c r="A13" s="425"/>
      <c r="B13" s="561">
        <v>1992</v>
      </c>
      <c r="C13" s="562">
        <v>0</v>
      </c>
      <c r="D13" s="594">
        <v>0</v>
      </c>
      <c r="E13" s="594">
        <v>0</v>
      </c>
      <c r="F13" s="594">
        <v>0</v>
      </c>
      <c r="G13" s="594">
        <v>0</v>
      </c>
      <c r="H13" s="594">
        <v>0</v>
      </c>
      <c r="I13" s="594">
        <v>0</v>
      </c>
      <c r="J13" s="594">
        <v>0</v>
      </c>
      <c r="K13" s="594">
        <v>0</v>
      </c>
      <c r="L13" s="594">
        <v>0</v>
      </c>
      <c r="M13" s="594">
        <v>0</v>
      </c>
      <c r="N13" s="595">
        <v>0</v>
      </c>
      <c r="O13" s="596">
        <v>0</v>
      </c>
      <c r="P13" s="597">
        <v>0</v>
      </c>
      <c r="Q13" s="597">
        <v>0</v>
      </c>
      <c r="R13" s="597">
        <v>0</v>
      </c>
      <c r="S13" s="597">
        <v>0</v>
      </c>
      <c r="T13" s="597">
        <v>0</v>
      </c>
      <c r="U13" s="597">
        <v>0</v>
      </c>
      <c r="V13" s="597">
        <v>0</v>
      </c>
      <c r="W13" s="597">
        <v>0</v>
      </c>
      <c r="X13" s="597">
        <v>0</v>
      </c>
      <c r="Y13" s="597">
        <v>0</v>
      </c>
      <c r="Z13" s="598">
        <v>0</v>
      </c>
      <c r="AA13" s="599">
        <v>0</v>
      </c>
      <c r="AB13" s="597">
        <v>0</v>
      </c>
      <c r="AC13" s="597">
        <v>0</v>
      </c>
      <c r="AD13" s="597">
        <v>0</v>
      </c>
      <c r="AE13" s="597">
        <v>0</v>
      </c>
      <c r="AF13" s="597">
        <v>0</v>
      </c>
      <c r="AG13" s="597">
        <v>0</v>
      </c>
      <c r="AH13" s="597">
        <v>0</v>
      </c>
      <c r="AI13" s="598">
        <v>0</v>
      </c>
      <c r="AJ13" s="600">
        <v>0</v>
      </c>
      <c r="AK13" s="570"/>
      <c r="AL13" s="571"/>
      <c r="AM13" s="571"/>
      <c r="AN13" s="571"/>
      <c r="AO13" s="571"/>
      <c r="AP13" s="572"/>
      <c r="AQ13" s="570"/>
      <c r="AR13" s="571"/>
      <c r="AS13" s="573"/>
      <c r="AT13" s="573"/>
      <c r="AU13" s="573"/>
      <c r="AV13" s="573"/>
      <c r="AW13" s="573"/>
      <c r="AX13" s="573"/>
      <c r="AY13" s="573"/>
      <c r="AZ13" s="572"/>
      <c r="BA13" s="601">
        <v>0</v>
      </c>
      <c r="BB13" s="602">
        <v>0</v>
      </c>
      <c r="BC13" s="603">
        <v>0</v>
      </c>
      <c r="BD13" s="604">
        <v>0</v>
      </c>
      <c r="BE13" s="605">
        <v>0</v>
      </c>
      <c r="BF13" s="605">
        <v>0</v>
      </c>
      <c r="BG13" s="606">
        <v>0</v>
      </c>
      <c r="BH13" s="607">
        <v>0</v>
      </c>
      <c r="BI13" s="605">
        <v>0</v>
      </c>
      <c r="BJ13" s="605">
        <v>0</v>
      </c>
      <c r="BK13" s="608">
        <v>0</v>
      </c>
      <c r="BL13" s="604">
        <v>0</v>
      </c>
      <c r="BM13" s="609">
        <v>0</v>
      </c>
      <c r="BN13" s="605">
        <v>0</v>
      </c>
      <c r="BO13" s="605">
        <v>0</v>
      </c>
      <c r="BP13" s="605">
        <v>0</v>
      </c>
      <c r="BQ13" s="605">
        <v>0</v>
      </c>
      <c r="BR13" s="606">
        <v>0</v>
      </c>
      <c r="BS13" s="610">
        <v>0</v>
      </c>
      <c r="BT13" s="604">
        <v>0</v>
      </c>
      <c r="BU13" s="605">
        <v>0</v>
      </c>
      <c r="BV13" s="584"/>
      <c r="BW13" s="584"/>
      <c r="BX13" s="585"/>
      <c r="BY13" s="586"/>
      <c r="BZ13" s="587"/>
      <c r="CA13" s="587"/>
      <c r="CB13" s="588"/>
      <c r="CC13" s="589"/>
      <c r="CD13" s="587"/>
      <c r="CE13" s="587"/>
      <c r="CF13" s="587"/>
      <c r="CG13" s="588"/>
      <c r="CH13" s="611">
        <v>0</v>
      </c>
      <c r="CI13" s="591"/>
      <c r="CJ13" s="584"/>
      <c r="CK13" s="584"/>
      <c r="CL13" s="584"/>
      <c r="CM13" s="592"/>
      <c r="CN13" s="593"/>
      <c r="CO13" s="584"/>
      <c r="CP13" s="584"/>
      <c r="CQ13" s="585"/>
    </row>
    <row r="14" spans="1:95" ht="15.75" thickBot="1">
      <c r="A14" s="425"/>
      <c r="B14" s="561">
        <v>1993</v>
      </c>
      <c r="C14" s="562">
        <v>0</v>
      </c>
      <c r="D14" s="594">
        <v>0</v>
      </c>
      <c r="E14" s="594">
        <v>0</v>
      </c>
      <c r="F14" s="594">
        <v>0</v>
      </c>
      <c r="G14" s="594">
        <v>0</v>
      </c>
      <c r="H14" s="594">
        <v>0</v>
      </c>
      <c r="I14" s="594">
        <v>0</v>
      </c>
      <c r="J14" s="594">
        <v>0</v>
      </c>
      <c r="K14" s="594">
        <v>0</v>
      </c>
      <c r="L14" s="594">
        <v>0</v>
      </c>
      <c r="M14" s="594">
        <v>0</v>
      </c>
      <c r="N14" s="595">
        <v>0</v>
      </c>
      <c r="O14" s="596">
        <v>0</v>
      </c>
      <c r="P14" s="597">
        <v>0</v>
      </c>
      <c r="Q14" s="597">
        <v>0</v>
      </c>
      <c r="R14" s="597">
        <v>0</v>
      </c>
      <c r="S14" s="597">
        <v>0</v>
      </c>
      <c r="T14" s="597">
        <v>0</v>
      </c>
      <c r="U14" s="597">
        <v>0</v>
      </c>
      <c r="V14" s="597">
        <v>0</v>
      </c>
      <c r="W14" s="597">
        <v>0</v>
      </c>
      <c r="X14" s="597">
        <v>0</v>
      </c>
      <c r="Y14" s="597">
        <v>0</v>
      </c>
      <c r="Z14" s="598">
        <v>0</v>
      </c>
      <c r="AA14" s="599">
        <v>0</v>
      </c>
      <c r="AB14" s="597">
        <v>0</v>
      </c>
      <c r="AC14" s="597">
        <v>0</v>
      </c>
      <c r="AD14" s="597">
        <v>0</v>
      </c>
      <c r="AE14" s="597">
        <v>0</v>
      </c>
      <c r="AF14" s="597">
        <v>0</v>
      </c>
      <c r="AG14" s="597">
        <v>0</v>
      </c>
      <c r="AH14" s="597">
        <v>0</v>
      </c>
      <c r="AI14" s="598">
        <v>0</v>
      </c>
      <c r="AJ14" s="600">
        <v>0</v>
      </c>
      <c r="AK14" s="570"/>
      <c r="AL14" s="571"/>
      <c r="AM14" s="571"/>
      <c r="AN14" s="571"/>
      <c r="AO14" s="571"/>
      <c r="AP14" s="572"/>
      <c r="AQ14" s="570"/>
      <c r="AR14" s="571"/>
      <c r="AS14" s="573"/>
      <c r="AT14" s="573"/>
      <c r="AU14" s="573"/>
      <c r="AV14" s="573"/>
      <c r="AW14" s="573"/>
      <c r="AX14" s="573"/>
      <c r="AY14" s="573"/>
      <c r="AZ14" s="572"/>
      <c r="BA14" s="601">
        <v>0</v>
      </c>
      <c r="BB14" s="602">
        <v>0</v>
      </c>
      <c r="BC14" s="603">
        <v>0</v>
      </c>
      <c r="BD14" s="604">
        <v>0</v>
      </c>
      <c r="BE14" s="605">
        <v>0</v>
      </c>
      <c r="BF14" s="605">
        <v>0</v>
      </c>
      <c r="BG14" s="606">
        <v>0</v>
      </c>
      <c r="BH14" s="607">
        <v>0</v>
      </c>
      <c r="BI14" s="605">
        <v>0</v>
      </c>
      <c r="BJ14" s="605">
        <v>0</v>
      </c>
      <c r="BK14" s="608">
        <v>0</v>
      </c>
      <c r="BL14" s="604">
        <v>0</v>
      </c>
      <c r="BM14" s="609">
        <v>0</v>
      </c>
      <c r="BN14" s="605">
        <v>0</v>
      </c>
      <c r="BO14" s="605">
        <v>0</v>
      </c>
      <c r="BP14" s="605">
        <v>0</v>
      </c>
      <c r="BQ14" s="605">
        <v>0</v>
      </c>
      <c r="BR14" s="606">
        <v>0</v>
      </c>
      <c r="BS14" s="610">
        <v>0</v>
      </c>
      <c r="BT14" s="604">
        <v>0</v>
      </c>
      <c r="BU14" s="605">
        <v>0</v>
      </c>
      <c r="BV14" s="584"/>
      <c r="BW14" s="584"/>
      <c r="BX14" s="585"/>
      <c r="BY14" s="586"/>
      <c r="BZ14" s="587"/>
      <c r="CA14" s="587"/>
      <c r="CB14" s="588"/>
      <c r="CC14" s="589"/>
      <c r="CD14" s="587"/>
      <c r="CE14" s="587"/>
      <c r="CF14" s="587"/>
      <c r="CG14" s="588"/>
      <c r="CH14" s="611">
        <v>0</v>
      </c>
      <c r="CI14" s="591"/>
      <c r="CJ14" s="584"/>
      <c r="CK14" s="584"/>
      <c r="CL14" s="584"/>
      <c r="CM14" s="592"/>
      <c r="CN14" s="593"/>
      <c r="CO14" s="584"/>
      <c r="CP14" s="584"/>
      <c r="CQ14" s="585"/>
    </row>
    <row r="15" spans="1:95" ht="15.75" thickBot="1">
      <c r="A15" s="425"/>
      <c r="B15" s="561">
        <v>1994</v>
      </c>
      <c r="C15" s="562">
        <v>0</v>
      </c>
      <c r="D15" s="594">
        <v>0</v>
      </c>
      <c r="E15" s="594">
        <v>0</v>
      </c>
      <c r="F15" s="594">
        <v>0</v>
      </c>
      <c r="G15" s="594">
        <v>0</v>
      </c>
      <c r="H15" s="594">
        <v>0</v>
      </c>
      <c r="I15" s="594">
        <v>0</v>
      </c>
      <c r="J15" s="594">
        <v>0</v>
      </c>
      <c r="K15" s="594">
        <v>0</v>
      </c>
      <c r="L15" s="594">
        <v>0</v>
      </c>
      <c r="M15" s="594">
        <v>0</v>
      </c>
      <c r="N15" s="595">
        <v>0</v>
      </c>
      <c r="O15" s="596">
        <v>0</v>
      </c>
      <c r="P15" s="597">
        <v>0</v>
      </c>
      <c r="Q15" s="597">
        <v>0</v>
      </c>
      <c r="R15" s="597">
        <v>0</v>
      </c>
      <c r="S15" s="597">
        <v>0</v>
      </c>
      <c r="T15" s="597">
        <v>0</v>
      </c>
      <c r="U15" s="597">
        <v>0</v>
      </c>
      <c r="V15" s="597">
        <v>0</v>
      </c>
      <c r="W15" s="597">
        <v>0</v>
      </c>
      <c r="X15" s="597">
        <v>0</v>
      </c>
      <c r="Y15" s="597">
        <v>0</v>
      </c>
      <c r="Z15" s="598">
        <v>0</v>
      </c>
      <c r="AA15" s="599">
        <v>0</v>
      </c>
      <c r="AB15" s="597">
        <v>0</v>
      </c>
      <c r="AC15" s="597">
        <v>0</v>
      </c>
      <c r="AD15" s="597">
        <v>0</v>
      </c>
      <c r="AE15" s="597">
        <v>0</v>
      </c>
      <c r="AF15" s="597">
        <v>0</v>
      </c>
      <c r="AG15" s="597">
        <v>0</v>
      </c>
      <c r="AH15" s="597">
        <v>0</v>
      </c>
      <c r="AI15" s="598">
        <v>0</v>
      </c>
      <c r="AJ15" s="600">
        <v>0</v>
      </c>
      <c r="AK15" s="570"/>
      <c r="AL15" s="571"/>
      <c r="AM15" s="571"/>
      <c r="AN15" s="571"/>
      <c r="AO15" s="571"/>
      <c r="AP15" s="572"/>
      <c r="AQ15" s="570"/>
      <c r="AR15" s="571"/>
      <c r="AS15" s="573"/>
      <c r="AT15" s="573"/>
      <c r="AU15" s="573"/>
      <c r="AV15" s="573"/>
      <c r="AW15" s="573"/>
      <c r="AX15" s="573"/>
      <c r="AY15" s="573"/>
      <c r="AZ15" s="572"/>
      <c r="BA15" s="601">
        <v>0</v>
      </c>
      <c r="BB15" s="602">
        <v>0</v>
      </c>
      <c r="BC15" s="603">
        <v>0</v>
      </c>
      <c r="BD15" s="604">
        <v>0</v>
      </c>
      <c r="BE15" s="605">
        <v>0</v>
      </c>
      <c r="BF15" s="605">
        <v>0</v>
      </c>
      <c r="BG15" s="606">
        <v>0</v>
      </c>
      <c r="BH15" s="607">
        <v>0</v>
      </c>
      <c r="BI15" s="605">
        <v>0</v>
      </c>
      <c r="BJ15" s="605">
        <v>0</v>
      </c>
      <c r="BK15" s="608">
        <v>0</v>
      </c>
      <c r="BL15" s="604">
        <v>0</v>
      </c>
      <c r="BM15" s="609">
        <v>0</v>
      </c>
      <c r="BN15" s="605">
        <v>0</v>
      </c>
      <c r="BO15" s="605">
        <v>0</v>
      </c>
      <c r="BP15" s="605">
        <v>0</v>
      </c>
      <c r="BQ15" s="605">
        <v>0</v>
      </c>
      <c r="BR15" s="606">
        <v>0</v>
      </c>
      <c r="BS15" s="610">
        <v>0</v>
      </c>
      <c r="BT15" s="604">
        <v>0</v>
      </c>
      <c r="BU15" s="605">
        <v>0</v>
      </c>
      <c r="BV15" s="584"/>
      <c r="BW15" s="584"/>
      <c r="BX15" s="585"/>
      <c r="BY15" s="586"/>
      <c r="BZ15" s="587"/>
      <c r="CA15" s="587"/>
      <c r="CB15" s="588"/>
      <c r="CC15" s="589"/>
      <c r="CD15" s="587"/>
      <c r="CE15" s="587"/>
      <c r="CF15" s="587"/>
      <c r="CG15" s="588"/>
      <c r="CH15" s="611">
        <v>0</v>
      </c>
      <c r="CI15" s="591"/>
      <c r="CJ15" s="584"/>
      <c r="CK15" s="584"/>
      <c r="CL15" s="584"/>
      <c r="CM15" s="592"/>
      <c r="CN15" s="593"/>
      <c r="CO15" s="584"/>
      <c r="CP15" s="584"/>
      <c r="CQ15" s="585"/>
    </row>
    <row r="16" spans="1:95" ht="15.75" thickBot="1">
      <c r="A16" s="425"/>
      <c r="B16" s="561">
        <v>1995</v>
      </c>
      <c r="C16" s="562">
        <v>0</v>
      </c>
      <c r="D16" s="594">
        <v>0</v>
      </c>
      <c r="E16" s="594">
        <v>0</v>
      </c>
      <c r="F16" s="594">
        <v>0</v>
      </c>
      <c r="G16" s="594">
        <v>0</v>
      </c>
      <c r="H16" s="594">
        <v>0</v>
      </c>
      <c r="I16" s="594">
        <v>0</v>
      </c>
      <c r="J16" s="594">
        <v>0</v>
      </c>
      <c r="K16" s="594">
        <v>0</v>
      </c>
      <c r="L16" s="594">
        <v>0</v>
      </c>
      <c r="M16" s="594">
        <v>0</v>
      </c>
      <c r="N16" s="595">
        <v>0</v>
      </c>
      <c r="O16" s="596">
        <v>0</v>
      </c>
      <c r="P16" s="597">
        <v>0</v>
      </c>
      <c r="Q16" s="597">
        <v>0</v>
      </c>
      <c r="R16" s="597">
        <v>0</v>
      </c>
      <c r="S16" s="597">
        <v>0</v>
      </c>
      <c r="T16" s="597">
        <v>0</v>
      </c>
      <c r="U16" s="597">
        <v>0</v>
      </c>
      <c r="V16" s="597">
        <v>0</v>
      </c>
      <c r="W16" s="597">
        <v>0</v>
      </c>
      <c r="X16" s="597">
        <v>0</v>
      </c>
      <c r="Y16" s="597">
        <v>0</v>
      </c>
      <c r="Z16" s="598">
        <v>0</v>
      </c>
      <c r="AA16" s="599">
        <v>0</v>
      </c>
      <c r="AB16" s="597">
        <v>0</v>
      </c>
      <c r="AC16" s="597">
        <v>0</v>
      </c>
      <c r="AD16" s="597">
        <v>0</v>
      </c>
      <c r="AE16" s="597">
        <v>0</v>
      </c>
      <c r="AF16" s="597">
        <v>0</v>
      </c>
      <c r="AG16" s="597">
        <v>0</v>
      </c>
      <c r="AH16" s="597">
        <v>0</v>
      </c>
      <c r="AI16" s="598">
        <v>0</v>
      </c>
      <c r="AJ16" s="600">
        <v>0</v>
      </c>
      <c r="AK16" s="570"/>
      <c r="AL16" s="571"/>
      <c r="AM16" s="571"/>
      <c r="AN16" s="571"/>
      <c r="AO16" s="571"/>
      <c r="AP16" s="572"/>
      <c r="AQ16" s="570"/>
      <c r="AR16" s="571"/>
      <c r="AS16" s="573"/>
      <c r="AT16" s="573"/>
      <c r="AU16" s="573"/>
      <c r="AV16" s="573"/>
      <c r="AW16" s="573"/>
      <c r="AX16" s="573"/>
      <c r="AY16" s="573"/>
      <c r="AZ16" s="572"/>
      <c r="BA16" s="601">
        <v>0</v>
      </c>
      <c r="BB16" s="602">
        <v>0</v>
      </c>
      <c r="BC16" s="603">
        <v>0</v>
      </c>
      <c r="BD16" s="604">
        <v>0</v>
      </c>
      <c r="BE16" s="605">
        <v>0</v>
      </c>
      <c r="BF16" s="605">
        <v>0</v>
      </c>
      <c r="BG16" s="606">
        <v>0</v>
      </c>
      <c r="BH16" s="607">
        <v>0</v>
      </c>
      <c r="BI16" s="605">
        <v>0</v>
      </c>
      <c r="BJ16" s="605">
        <v>0</v>
      </c>
      <c r="BK16" s="608">
        <v>0</v>
      </c>
      <c r="BL16" s="604">
        <v>0</v>
      </c>
      <c r="BM16" s="609">
        <v>0</v>
      </c>
      <c r="BN16" s="605">
        <v>0</v>
      </c>
      <c r="BO16" s="605">
        <v>0</v>
      </c>
      <c r="BP16" s="605">
        <v>0</v>
      </c>
      <c r="BQ16" s="605">
        <v>0</v>
      </c>
      <c r="BR16" s="606">
        <v>0</v>
      </c>
      <c r="BS16" s="610">
        <v>0</v>
      </c>
      <c r="BT16" s="604">
        <v>0</v>
      </c>
      <c r="BU16" s="605">
        <v>0</v>
      </c>
      <c r="BV16" s="584"/>
      <c r="BW16" s="584"/>
      <c r="BX16" s="585"/>
      <c r="BY16" s="586"/>
      <c r="BZ16" s="587"/>
      <c r="CA16" s="587"/>
      <c r="CB16" s="588"/>
      <c r="CC16" s="589"/>
      <c r="CD16" s="587"/>
      <c r="CE16" s="587"/>
      <c r="CF16" s="587"/>
      <c r="CG16" s="588"/>
      <c r="CH16" s="611">
        <v>0</v>
      </c>
      <c r="CI16" s="591"/>
      <c r="CJ16" s="584"/>
      <c r="CK16" s="584"/>
      <c r="CL16" s="584"/>
      <c r="CM16" s="592"/>
      <c r="CN16" s="593"/>
      <c r="CO16" s="584"/>
      <c r="CP16" s="584"/>
      <c r="CQ16" s="585"/>
    </row>
    <row r="17" spans="1:95" ht="15.75" thickBot="1">
      <c r="A17" s="425"/>
      <c r="B17" s="561">
        <v>1996</v>
      </c>
      <c r="C17" s="562">
        <v>0</v>
      </c>
      <c r="D17" s="594">
        <v>0</v>
      </c>
      <c r="E17" s="594">
        <v>0</v>
      </c>
      <c r="F17" s="594">
        <v>0</v>
      </c>
      <c r="G17" s="594">
        <v>0</v>
      </c>
      <c r="H17" s="594">
        <v>0</v>
      </c>
      <c r="I17" s="594">
        <v>0</v>
      </c>
      <c r="J17" s="594">
        <v>0</v>
      </c>
      <c r="K17" s="594">
        <v>0</v>
      </c>
      <c r="L17" s="594">
        <v>0</v>
      </c>
      <c r="M17" s="594">
        <v>0</v>
      </c>
      <c r="N17" s="595">
        <v>0</v>
      </c>
      <c r="O17" s="596">
        <v>0</v>
      </c>
      <c r="P17" s="597">
        <v>0</v>
      </c>
      <c r="Q17" s="597">
        <v>0</v>
      </c>
      <c r="R17" s="597">
        <v>0</v>
      </c>
      <c r="S17" s="597">
        <v>0</v>
      </c>
      <c r="T17" s="597">
        <v>0</v>
      </c>
      <c r="U17" s="597">
        <v>0</v>
      </c>
      <c r="V17" s="597">
        <v>0</v>
      </c>
      <c r="W17" s="597">
        <v>0</v>
      </c>
      <c r="X17" s="597">
        <v>0</v>
      </c>
      <c r="Y17" s="597">
        <v>0</v>
      </c>
      <c r="Z17" s="598">
        <v>0</v>
      </c>
      <c r="AA17" s="599">
        <v>0</v>
      </c>
      <c r="AB17" s="597">
        <v>0</v>
      </c>
      <c r="AC17" s="597">
        <v>0</v>
      </c>
      <c r="AD17" s="597">
        <v>0</v>
      </c>
      <c r="AE17" s="597">
        <v>0</v>
      </c>
      <c r="AF17" s="597">
        <v>0</v>
      </c>
      <c r="AG17" s="597">
        <v>0</v>
      </c>
      <c r="AH17" s="597">
        <v>0</v>
      </c>
      <c r="AI17" s="598">
        <v>0</v>
      </c>
      <c r="AJ17" s="600">
        <v>0</v>
      </c>
      <c r="AK17" s="570"/>
      <c r="AL17" s="571"/>
      <c r="AM17" s="571"/>
      <c r="AN17" s="571"/>
      <c r="AO17" s="571"/>
      <c r="AP17" s="572"/>
      <c r="AQ17" s="570"/>
      <c r="AR17" s="571"/>
      <c r="AS17" s="573"/>
      <c r="AT17" s="573"/>
      <c r="AU17" s="573"/>
      <c r="AV17" s="573"/>
      <c r="AW17" s="573"/>
      <c r="AX17" s="573"/>
      <c r="AY17" s="573"/>
      <c r="AZ17" s="572"/>
      <c r="BA17" s="601">
        <v>0</v>
      </c>
      <c r="BB17" s="602">
        <v>0</v>
      </c>
      <c r="BC17" s="603">
        <v>0</v>
      </c>
      <c r="BD17" s="604">
        <v>0</v>
      </c>
      <c r="BE17" s="605">
        <v>0</v>
      </c>
      <c r="BF17" s="605">
        <v>0</v>
      </c>
      <c r="BG17" s="606">
        <v>0</v>
      </c>
      <c r="BH17" s="607">
        <v>0</v>
      </c>
      <c r="BI17" s="605">
        <v>0</v>
      </c>
      <c r="BJ17" s="605">
        <v>0</v>
      </c>
      <c r="BK17" s="608">
        <v>0</v>
      </c>
      <c r="BL17" s="604">
        <v>0</v>
      </c>
      <c r="BM17" s="609">
        <v>0</v>
      </c>
      <c r="BN17" s="605">
        <v>0</v>
      </c>
      <c r="BO17" s="605">
        <v>0</v>
      </c>
      <c r="BP17" s="605">
        <v>0</v>
      </c>
      <c r="BQ17" s="605">
        <v>0</v>
      </c>
      <c r="BR17" s="606">
        <v>0</v>
      </c>
      <c r="BS17" s="610">
        <v>0</v>
      </c>
      <c r="BT17" s="604">
        <v>0</v>
      </c>
      <c r="BU17" s="605">
        <v>0</v>
      </c>
      <c r="BV17" s="584"/>
      <c r="BW17" s="584"/>
      <c r="BX17" s="585"/>
      <c r="BY17" s="586"/>
      <c r="BZ17" s="587"/>
      <c r="CA17" s="587"/>
      <c r="CB17" s="588"/>
      <c r="CC17" s="589"/>
      <c r="CD17" s="587"/>
      <c r="CE17" s="587"/>
      <c r="CF17" s="587"/>
      <c r="CG17" s="588"/>
      <c r="CH17" s="611">
        <v>0</v>
      </c>
      <c r="CI17" s="591"/>
      <c r="CJ17" s="584"/>
      <c r="CK17" s="584"/>
      <c r="CL17" s="584"/>
      <c r="CM17" s="592"/>
      <c r="CN17" s="593"/>
      <c r="CO17" s="584"/>
      <c r="CP17" s="584"/>
      <c r="CQ17" s="585"/>
    </row>
    <row r="18" spans="1:95" ht="15.75" thickBot="1">
      <c r="A18" s="425"/>
      <c r="B18" s="561">
        <v>1997</v>
      </c>
      <c r="C18" s="562">
        <v>0</v>
      </c>
      <c r="D18" s="594">
        <v>0</v>
      </c>
      <c r="E18" s="594">
        <v>0</v>
      </c>
      <c r="F18" s="594">
        <v>0</v>
      </c>
      <c r="G18" s="594">
        <v>0</v>
      </c>
      <c r="H18" s="594">
        <v>0</v>
      </c>
      <c r="I18" s="594">
        <v>0</v>
      </c>
      <c r="J18" s="594">
        <v>0</v>
      </c>
      <c r="K18" s="594">
        <v>0</v>
      </c>
      <c r="L18" s="594">
        <v>0</v>
      </c>
      <c r="M18" s="594">
        <v>0</v>
      </c>
      <c r="N18" s="595">
        <v>0</v>
      </c>
      <c r="O18" s="596">
        <v>0</v>
      </c>
      <c r="P18" s="597">
        <v>0</v>
      </c>
      <c r="Q18" s="597">
        <v>0</v>
      </c>
      <c r="R18" s="597">
        <v>0</v>
      </c>
      <c r="S18" s="597">
        <v>0</v>
      </c>
      <c r="T18" s="597">
        <v>0</v>
      </c>
      <c r="U18" s="597">
        <v>0</v>
      </c>
      <c r="V18" s="597">
        <v>0</v>
      </c>
      <c r="W18" s="597">
        <v>0</v>
      </c>
      <c r="X18" s="597">
        <v>0</v>
      </c>
      <c r="Y18" s="597">
        <v>0</v>
      </c>
      <c r="Z18" s="598">
        <v>0</v>
      </c>
      <c r="AA18" s="599">
        <v>0</v>
      </c>
      <c r="AB18" s="597">
        <v>0</v>
      </c>
      <c r="AC18" s="597">
        <v>0</v>
      </c>
      <c r="AD18" s="597">
        <v>0</v>
      </c>
      <c r="AE18" s="597">
        <v>0</v>
      </c>
      <c r="AF18" s="597">
        <v>0</v>
      </c>
      <c r="AG18" s="597">
        <v>0</v>
      </c>
      <c r="AH18" s="597">
        <v>0</v>
      </c>
      <c r="AI18" s="598">
        <v>0</v>
      </c>
      <c r="AJ18" s="600">
        <v>0</v>
      </c>
      <c r="AK18" s="570"/>
      <c r="AL18" s="571"/>
      <c r="AM18" s="571"/>
      <c r="AN18" s="571"/>
      <c r="AO18" s="571"/>
      <c r="AP18" s="572"/>
      <c r="AQ18" s="570"/>
      <c r="AR18" s="571"/>
      <c r="AS18" s="573"/>
      <c r="AT18" s="573"/>
      <c r="AU18" s="573"/>
      <c r="AV18" s="573"/>
      <c r="AW18" s="573"/>
      <c r="AX18" s="573"/>
      <c r="AY18" s="573"/>
      <c r="AZ18" s="572"/>
      <c r="BA18" s="601">
        <v>0</v>
      </c>
      <c r="BB18" s="602">
        <v>0</v>
      </c>
      <c r="BC18" s="603">
        <v>0</v>
      </c>
      <c r="BD18" s="604">
        <v>0</v>
      </c>
      <c r="BE18" s="605">
        <v>0</v>
      </c>
      <c r="BF18" s="605">
        <v>0</v>
      </c>
      <c r="BG18" s="606">
        <v>0</v>
      </c>
      <c r="BH18" s="607">
        <v>0</v>
      </c>
      <c r="BI18" s="605">
        <v>0</v>
      </c>
      <c r="BJ18" s="605">
        <v>0</v>
      </c>
      <c r="BK18" s="608">
        <v>0</v>
      </c>
      <c r="BL18" s="604">
        <v>0</v>
      </c>
      <c r="BM18" s="609">
        <v>0</v>
      </c>
      <c r="BN18" s="605">
        <v>0</v>
      </c>
      <c r="BO18" s="605">
        <v>0</v>
      </c>
      <c r="BP18" s="605">
        <v>0</v>
      </c>
      <c r="BQ18" s="605">
        <v>0</v>
      </c>
      <c r="BR18" s="606">
        <v>0</v>
      </c>
      <c r="BS18" s="610">
        <v>0</v>
      </c>
      <c r="BT18" s="604">
        <v>0</v>
      </c>
      <c r="BU18" s="605">
        <v>0</v>
      </c>
      <c r="BV18" s="584"/>
      <c r="BW18" s="584"/>
      <c r="BX18" s="585"/>
      <c r="BY18" s="586"/>
      <c r="BZ18" s="587"/>
      <c r="CA18" s="587"/>
      <c r="CB18" s="588"/>
      <c r="CC18" s="589"/>
      <c r="CD18" s="587"/>
      <c r="CE18" s="587"/>
      <c r="CF18" s="587"/>
      <c r="CG18" s="588"/>
      <c r="CH18" s="611">
        <v>0</v>
      </c>
      <c r="CI18" s="591"/>
      <c r="CJ18" s="584"/>
      <c r="CK18" s="584"/>
      <c r="CL18" s="584"/>
      <c r="CM18" s="592"/>
      <c r="CN18" s="593"/>
      <c r="CO18" s="584"/>
      <c r="CP18" s="584"/>
      <c r="CQ18" s="585"/>
    </row>
    <row r="19" spans="1:95" ht="15.75" thickBot="1">
      <c r="A19" s="425"/>
      <c r="B19" s="561">
        <v>1998</v>
      </c>
      <c r="C19" s="562">
        <v>0</v>
      </c>
      <c r="D19" s="594">
        <v>0</v>
      </c>
      <c r="E19" s="594">
        <v>0</v>
      </c>
      <c r="F19" s="594">
        <v>0</v>
      </c>
      <c r="G19" s="594">
        <v>0</v>
      </c>
      <c r="H19" s="594">
        <v>0</v>
      </c>
      <c r="I19" s="594">
        <v>0</v>
      </c>
      <c r="J19" s="594">
        <v>0</v>
      </c>
      <c r="K19" s="594">
        <v>0</v>
      </c>
      <c r="L19" s="594">
        <v>0</v>
      </c>
      <c r="M19" s="594">
        <v>0</v>
      </c>
      <c r="N19" s="595">
        <v>0</v>
      </c>
      <c r="O19" s="596">
        <v>0</v>
      </c>
      <c r="P19" s="597">
        <v>0</v>
      </c>
      <c r="Q19" s="597">
        <v>0</v>
      </c>
      <c r="R19" s="597">
        <v>0</v>
      </c>
      <c r="S19" s="597">
        <v>0</v>
      </c>
      <c r="T19" s="597">
        <v>0</v>
      </c>
      <c r="U19" s="597">
        <v>0</v>
      </c>
      <c r="V19" s="597">
        <v>0</v>
      </c>
      <c r="W19" s="597">
        <v>0</v>
      </c>
      <c r="X19" s="597">
        <v>0</v>
      </c>
      <c r="Y19" s="597">
        <v>0</v>
      </c>
      <c r="Z19" s="598">
        <v>0</v>
      </c>
      <c r="AA19" s="599">
        <v>0</v>
      </c>
      <c r="AB19" s="597">
        <v>0</v>
      </c>
      <c r="AC19" s="597">
        <v>0</v>
      </c>
      <c r="AD19" s="597">
        <v>0</v>
      </c>
      <c r="AE19" s="597">
        <v>0</v>
      </c>
      <c r="AF19" s="597">
        <v>0</v>
      </c>
      <c r="AG19" s="597">
        <v>0</v>
      </c>
      <c r="AH19" s="597">
        <v>0</v>
      </c>
      <c r="AI19" s="598">
        <v>0</v>
      </c>
      <c r="AJ19" s="600">
        <v>0</v>
      </c>
      <c r="AK19" s="570"/>
      <c r="AL19" s="571"/>
      <c r="AM19" s="571"/>
      <c r="AN19" s="571"/>
      <c r="AO19" s="571"/>
      <c r="AP19" s="572"/>
      <c r="AQ19" s="570"/>
      <c r="AR19" s="571"/>
      <c r="AS19" s="573"/>
      <c r="AT19" s="573"/>
      <c r="AU19" s="573"/>
      <c r="AV19" s="573"/>
      <c r="AW19" s="573"/>
      <c r="AX19" s="573"/>
      <c r="AY19" s="573"/>
      <c r="AZ19" s="572"/>
      <c r="BA19" s="601">
        <v>0</v>
      </c>
      <c r="BB19" s="602">
        <v>0</v>
      </c>
      <c r="BC19" s="603">
        <v>0</v>
      </c>
      <c r="BD19" s="604">
        <v>0</v>
      </c>
      <c r="BE19" s="605">
        <v>0</v>
      </c>
      <c r="BF19" s="605">
        <v>0</v>
      </c>
      <c r="BG19" s="606">
        <v>0</v>
      </c>
      <c r="BH19" s="607">
        <v>0</v>
      </c>
      <c r="BI19" s="605">
        <v>0</v>
      </c>
      <c r="BJ19" s="605">
        <v>0</v>
      </c>
      <c r="BK19" s="608">
        <v>0</v>
      </c>
      <c r="BL19" s="604">
        <v>0</v>
      </c>
      <c r="BM19" s="609">
        <v>0</v>
      </c>
      <c r="BN19" s="605">
        <v>0</v>
      </c>
      <c r="BO19" s="605">
        <v>0</v>
      </c>
      <c r="BP19" s="605">
        <v>0</v>
      </c>
      <c r="BQ19" s="605">
        <v>0</v>
      </c>
      <c r="BR19" s="606">
        <v>0</v>
      </c>
      <c r="BS19" s="610">
        <v>0</v>
      </c>
      <c r="BT19" s="604">
        <v>0</v>
      </c>
      <c r="BU19" s="605">
        <v>0</v>
      </c>
      <c r="BV19" s="584"/>
      <c r="BW19" s="584"/>
      <c r="BX19" s="585"/>
      <c r="BY19" s="586"/>
      <c r="BZ19" s="587"/>
      <c r="CA19" s="587"/>
      <c r="CB19" s="588"/>
      <c r="CC19" s="589"/>
      <c r="CD19" s="587"/>
      <c r="CE19" s="587"/>
      <c r="CF19" s="587"/>
      <c r="CG19" s="588"/>
      <c r="CH19" s="611">
        <v>0</v>
      </c>
      <c r="CI19" s="591"/>
      <c r="CJ19" s="584"/>
      <c r="CK19" s="584"/>
      <c r="CL19" s="584"/>
      <c r="CM19" s="592"/>
      <c r="CN19" s="593"/>
      <c r="CO19" s="584"/>
      <c r="CP19" s="584"/>
      <c r="CQ19" s="585"/>
    </row>
    <row r="20" spans="1:95" ht="15.75" thickBot="1">
      <c r="A20" s="425"/>
      <c r="B20" s="561">
        <v>1999</v>
      </c>
      <c r="C20" s="562">
        <v>0</v>
      </c>
      <c r="D20" s="594">
        <v>0</v>
      </c>
      <c r="E20" s="594">
        <v>0</v>
      </c>
      <c r="F20" s="594">
        <v>0</v>
      </c>
      <c r="G20" s="594">
        <v>0</v>
      </c>
      <c r="H20" s="594">
        <v>0</v>
      </c>
      <c r="I20" s="594">
        <v>0</v>
      </c>
      <c r="J20" s="594">
        <v>0</v>
      </c>
      <c r="K20" s="594">
        <v>0</v>
      </c>
      <c r="L20" s="594">
        <v>0</v>
      </c>
      <c r="M20" s="594">
        <v>0</v>
      </c>
      <c r="N20" s="595">
        <v>0</v>
      </c>
      <c r="O20" s="596">
        <v>0</v>
      </c>
      <c r="P20" s="597">
        <v>0</v>
      </c>
      <c r="Q20" s="597">
        <v>0</v>
      </c>
      <c r="R20" s="597">
        <v>0</v>
      </c>
      <c r="S20" s="597">
        <v>0</v>
      </c>
      <c r="T20" s="597">
        <v>0</v>
      </c>
      <c r="U20" s="597">
        <v>0</v>
      </c>
      <c r="V20" s="597">
        <v>0</v>
      </c>
      <c r="W20" s="597">
        <v>0</v>
      </c>
      <c r="X20" s="597">
        <v>0</v>
      </c>
      <c r="Y20" s="597">
        <v>0</v>
      </c>
      <c r="Z20" s="598">
        <v>0</v>
      </c>
      <c r="AA20" s="599">
        <v>0</v>
      </c>
      <c r="AB20" s="597">
        <v>0</v>
      </c>
      <c r="AC20" s="597">
        <v>0</v>
      </c>
      <c r="AD20" s="597">
        <v>0</v>
      </c>
      <c r="AE20" s="597">
        <v>0</v>
      </c>
      <c r="AF20" s="597">
        <v>0</v>
      </c>
      <c r="AG20" s="597">
        <v>0</v>
      </c>
      <c r="AH20" s="597">
        <v>0</v>
      </c>
      <c r="AI20" s="598">
        <v>0</v>
      </c>
      <c r="AJ20" s="600">
        <v>0</v>
      </c>
      <c r="AK20" s="570"/>
      <c r="AL20" s="571"/>
      <c r="AM20" s="571"/>
      <c r="AN20" s="571"/>
      <c r="AO20" s="571"/>
      <c r="AP20" s="572"/>
      <c r="AQ20" s="570"/>
      <c r="AR20" s="571"/>
      <c r="AS20" s="573"/>
      <c r="AT20" s="573"/>
      <c r="AU20" s="573"/>
      <c r="AV20" s="573"/>
      <c r="AW20" s="573"/>
      <c r="AX20" s="573"/>
      <c r="AY20" s="573"/>
      <c r="AZ20" s="572"/>
      <c r="BA20" s="601">
        <v>0</v>
      </c>
      <c r="BB20" s="602">
        <v>0</v>
      </c>
      <c r="BC20" s="603">
        <v>0</v>
      </c>
      <c r="BD20" s="604">
        <v>0</v>
      </c>
      <c r="BE20" s="605">
        <v>0</v>
      </c>
      <c r="BF20" s="605">
        <v>0</v>
      </c>
      <c r="BG20" s="606">
        <v>0</v>
      </c>
      <c r="BH20" s="607">
        <v>0</v>
      </c>
      <c r="BI20" s="605">
        <v>0</v>
      </c>
      <c r="BJ20" s="605">
        <v>0</v>
      </c>
      <c r="BK20" s="608">
        <v>0</v>
      </c>
      <c r="BL20" s="604">
        <v>0</v>
      </c>
      <c r="BM20" s="609">
        <v>0</v>
      </c>
      <c r="BN20" s="605">
        <v>0</v>
      </c>
      <c r="BO20" s="605">
        <v>0</v>
      </c>
      <c r="BP20" s="605">
        <v>0</v>
      </c>
      <c r="BQ20" s="605">
        <v>0</v>
      </c>
      <c r="BR20" s="606">
        <v>0</v>
      </c>
      <c r="BS20" s="610">
        <v>0</v>
      </c>
      <c r="BT20" s="604">
        <v>0</v>
      </c>
      <c r="BU20" s="605">
        <v>0</v>
      </c>
      <c r="BV20" s="584"/>
      <c r="BW20" s="584"/>
      <c r="BX20" s="585"/>
      <c r="BY20" s="586"/>
      <c r="BZ20" s="587"/>
      <c r="CA20" s="587"/>
      <c r="CB20" s="588"/>
      <c r="CC20" s="589"/>
      <c r="CD20" s="587"/>
      <c r="CE20" s="587"/>
      <c r="CF20" s="587"/>
      <c r="CG20" s="588"/>
      <c r="CH20" s="611">
        <v>0</v>
      </c>
      <c r="CI20" s="591"/>
      <c r="CJ20" s="584"/>
      <c r="CK20" s="584"/>
      <c r="CL20" s="584"/>
      <c r="CM20" s="592"/>
      <c r="CN20" s="593"/>
      <c r="CO20" s="584"/>
      <c r="CP20" s="584"/>
      <c r="CQ20" s="585"/>
    </row>
    <row r="21" spans="1:95" ht="15.75" thickBot="1">
      <c r="A21" s="425"/>
      <c r="B21" s="561">
        <v>2000</v>
      </c>
      <c r="C21" s="562">
        <v>0</v>
      </c>
      <c r="D21" s="594">
        <v>0</v>
      </c>
      <c r="E21" s="594">
        <v>0</v>
      </c>
      <c r="F21" s="594">
        <v>0</v>
      </c>
      <c r="G21" s="594">
        <v>0</v>
      </c>
      <c r="H21" s="594">
        <v>0</v>
      </c>
      <c r="I21" s="594">
        <v>0</v>
      </c>
      <c r="J21" s="594">
        <v>0</v>
      </c>
      <c r="K21" s="594">
        <v>0</v>
      </c>
      <c r="L21" s="594">
        <v>0</v>
      </c>
      <c r="M21" s="594">
        <v>0</v>
      </c>
      <c r="N21" s="595">
        <v>0</v>
      </c>
      <c r="O21" s="596">
        <v>0</v>
      </c>
      <c r="P21" s="597">
        <v>0</v>
      </c>
      <c r="Q21" s="597">
        <v>0</v>
      </c>
      <c r="R21" s="597">
        <v>0</v>
      </c>
      <c r="S21" s="597">
        <v>0</v>
      </c>
      <c r="T21" s="597">
        <v>0</v>
      </c>
      <c r="U21" s="597">
        <v>0</v>
      </c>
      <c r="V21" s="597">
        <v>0</v>
      </c>
      <c r="W21" s="597">
        <v>0</v>
      </c>
      <c r="X21" s="597">
        <v>0</v>
      </c>
      <c r="Y21" s="597">
        <v>0</v>
      </c>
      <c r="Z21" s="598">
        <v>0</v>
      </c>
      <c r="AA21" s="599">
        <v>0</v>
      </c>
      <c r="AB21" s="597">
        <v>0</v>
      </c>
      <c r="AC21" s="597">
        <v>0</v>
      </c>
      <c r="AD21" s="597">
        <v>0</v>
      </c>
      <c r="AE21" s="597">
        <v>0</v>
      </c>
      <c r="AF21" s="597">
        <v>0</v>
      </c>
      <c r="AG21" s="597">
        <v>0</v>
      </c>
      <c r="AH21" s="597">
        <v>0</v>
      </c>
      <c r="AI21" s="598">
        <v>0</v>
      </c>
      <c r="AJ21" s="600">
        <v>0</v>
      </c>
      <c r="AK21" s="570"/>
      <c r="AL21" s="571"/>
      <c r="AM21" s="571"/>
      <c r="AN21" s="571"/>
      <c r="AO21" s="571"/>
      <c r="AP21" s="572"/>
      <c r="AQ21" s="570"/>
      <c r="AR21" s="571"/>
      <c r="AS21" s="573"/>
      <c r="AT21" s="573"/>
      <c r="AU21" s="573"/>
      <c r="AV21" s="573"/>
      <c r="AW21" s="573"/>
      <c r="AX21" s="573"/>
      <c r="AY21" s="573"/>
      <c r="AZ21" s="572"/>
      <c r="BA21" s="601">
        <v>0</v>
      </c>
      <c r="BB21" s="602">
        <v>0</v>
      </c>
      <c r="BC21" s="603">
        <v>0</v>
      </c>
      <c r="BD21" s="604">
        <v>0</v>
      </c>
      <c r="BE21" s="605">
        <v>0</v>
      </c>
      <c r="BF21" s="605">
        <v>0</v>
      </c>
      <c r="BG21" s="606">
        <v>0</v>
      </c>
      <c r="BH21" s="607">
        <v>0</v>
      </c>
      <c r="BI21" s="605">
        <v>0</v>
      </c>
      <c r="BJ21" s="605">
        <v>0</v>
      </c>
      <c r="BK21" s="608">
        <v>0</v>
      </c>
      <c r="BL21" s="604">
        <v>0</v>
      </c>
      <c r="BM21" s="609">
        <v>0</v>
      </c>
      <c r="BN21" s="605">
        <v>0</v>
      </c>
      <c r="BO21" s="605">
        <v>0</v>
      </c>
      <c r="BP21" s="605">
        <v>0</v>
      </c>
      <c r="BQ21" s="605">
        <v>0</v>
      </c>
      <c r="BR21" s="606">
        <v>0</v>
      </c>
      <c r="BS21" s="610">
        <v>0</v>
      </c>
      <c r="BT21" s="604">
        <v>0</v>
      </c>
      <c r="BU21" s="605">
        <v>0</v>
      </c>
      <c r="BV21" s="584"/>
      <c r="BW21" s="584"/>
      <c r="BX21" s="585"/>
      <c r="BY21" s="586"/>
      <c r="BZ21" s="587"/>
      <c r="CA21" s="587"/>
      <c r="CB21" s="588"/>
      <c r="CC21" s="589"/>
      <c r="CD21" s="587"/>
      <c r="CE21" s="587"/>
      <c r="CF21" s="587"/>
      <c r="CG21" s="588"/>
      <c r="CH21" s="611">
        <v>0</v>
      </c>
      <c r="CI21" s="591"/>
      <c r="CJ21" s="584"/>
      <c r="CK21" s="584"/>
      <c r="CL21" s="584"/>
      <c r="CM21" s="592"/>
      <c r="CN21" s="593"/>
      <c r="CO21" s="584"/>
      <c r="CP21" s="584"/>
      <c r="CQ21" s="585"/>
    </row>
    <row r="22" spans="1:95" ht="15.75" thickBot="1">
      <c r="A22" s="425"/>
      <c r="B22" s="561">
        <v>2001</v>
      </c>
      <c r="C22" s="562">
        <v>0</v>
      </c>
      <c r="D22" s="594">
        <v>0</v>
      </c>
      <c r="E22" s="594">
        <v>0</v>
      </c>
      <c r="F22" s="594">
        <v>0</v>
      </c>
      <c r="G22" s="594">
        <v>0</v>
      </c>
      <c r="H22" s="594">
        <v>0</v>
      </c>
      <c r="I22" s="594">
        <v>0</v>
      </c>
      <c r="J22" s="594">
        <v>0</v>
      </c>
      <c r="K22" s="594">
        <v>0</v>
      </c>
      <c r="L22" s="594">
        <v>0</v>
      </c>
      <c r="M22" s="594">
        <v>0</v>
      </c>
      <c r="N22" s="595">
        <v>0</v>
      </c>
      <c r="O22" s="596">
        <v>0</v>
      </c>
      <c r="P22" s="597">
        <v>0</v>
      </c>
      <c r="Q22" s="597">
        <v>0</v>
      </c>
      <c r="R22" s="597">
        <v>0</v>
      </c>
      <c r="S22" s="597">
        <v>0</v>
      </c>
      <c r="T22" s="597">
        <v>0</v>
      </c>
      <c r="U22" s="597">
        <v>0</v>
      </c>
      <c r="V22" s="597">
        <v>0</v>
      </c>
      <c r="W22" s="597">
        <v>0</v>
      </c>
      <c r="X22" s="597">
        <v>0</v>
      </c>
      <c r="Y22" s="597">
        <v>0</v>
      </c>
      <c r="Z22" s="598">
        <v>0</v>
      </c>
      <c r="AA22" s="599">
        <v>0</v>
      </c>
      <c r="AB22" s="597">
        <v>0</v>
      </c>
      <c r="AC22" s="597">
        <v>0</v>
      </c>
      <c r="AD22" s="597">
        <v>0</v>
      </c>
      <c r="AE22" s="597">
        <v>0</v>
      </c>
      <c r="AF22" s="597">
        <v>0</v>
      </c>
      <c r="AG22" s="597">
        <v>0</v>
      </c>
      <c r="AH22" s="597">
        <v>0</v>
      </c>
      <c r="AI22" s="598">
        <v>0</v>
      </c>
      <c r="AJ22" s="600">
        <v>0</v>
      </c>
      <c r="AK22" s="570"/>
      <c r="AL22" s="571"/>
      <c r="AM22" s="571"/>
      <c r="AN22" s="571"/>
      <c r="AO22" s="571"/>
      <c r="AP22" s="572"/>
      <c r="AQ22" s="570"/>
      <c r="AR22" s="571"/>
      <c r="AS22" s="573"/>
      <c r="AT22" s="573"/>
      <c r="AU22" s="573"/>
      <c r="AV22" s="573"/>
      <c r="AW22" s="573"/>
      <c r="AX22" s="573"/>
      <c r="AY22" s="573"/>
      <c r="AZ22" s="572"/>
      <c r="BA22" s="601">
        <v>0</v>
      </c>
      <c r="BB22" s="602">
        <v>0</v>
      </c>
      <c r="BC22" s="603">
        <v>0</v>
      </c>
      <c r="BD22" s="604">
        <v>0</v>
      </c>
      <c r="BE22" s="605">
        <v>0</v>
      </c>
      <c r="BF22" s="605">
        <v>0</v>
      </c>
      <c r="BG22" s="606">
        <v>0</v>
      </c>
      <c r="BH22" s="607">
        <v>0</v>
      </c>
      <c r="BI22" s="605">
        <v>0</v>
      </c>
      <c r="BJ22" s="605">
        <v>0</v>
      </c>
      <c r="BK22" s="608">
        <v>0</v>
      </c>
      <c r="BL22" s="604">
        <v>0</v>
      </c>
      <c r="BM22" s="609">
        <v>0</v>
      </c>
      <c r="BN22" s="605">
        <v>0</v>
      </c>
      <c r="BO22" s="605">
        <v>0</v>
      </c>
      <c r="BP22" s="605">
        <v>0</v>
      </c>
      <c r="BQ22" s="605">
        <v>0</v>
      </c>
      <c r="BR22" s="606">
        <v>0</v>
      </c>
      <c r="BS22" s="610">
        <v>0</v>
      </c>
      <c r="BT22" s="604">
        <v>0</v>
      </c>
      <c r="BU22" s="605">
        <v>0</v>
      </c>
      <c r="BV22" s="584"/>
      <c r="BW22" s="584"/>
      <c r="BX22" s="585"/>
      <c r="BY22" s="586"/>
      <c r="BZ22" s="587"/>
      <c r="CA22" s="587"/>
      <c r="CB22" s="588"/>
      <c r="CC22" s="589"/>
      <c r="CD22" s="587"/>
      <c r="CE22" s="587"/>
      <c r="CF22" s="587"/>
      <c r="CG22" s="588"/>
      <c r="CH22" s="611">
        <v>0</v>
      </c>
      <c r="CI22" s="591"/>
      <c r="CJ22" s="584"/>
      <c r="CK22" s="584"/>
      <c r="CL22" s="584"/>
      <c r="CM22" s="592"/>
      <c r="CN22" s="593"/>
      <c r="CO22" s="584"/>
      <c r="CP22" s="584"/>
      <c r="CQ22" s="585"/>
    </row>
    <row r="23" spans="1:95" ht="15.75" thickBot="1">
      <c r="A23" s="425"/>
      <c r="B23" s="561">
        <v>2002</v>
      </c>
      <c r="C23" s="562">
        <v>0</v>
      </c>
      <c r="D23" s="594">
        <v>0</v>
      </c>
      <c r="E23" s="594">
        <v>0</v>
      </c>
      <c r="F23" s="594">
        <v>0</v>
      </c>
      <c r="G23" s="594">
        <v>0</v>
      </c>
      <c r="H23" s="594">
        <v>0</v>
      </c>
      <c r="I23" s="594">
        <v>0</v>
      </c>
      <c r="J23" s="594">
        <v>0</v>
      </c>
      <c r="K23" s="594">
        <v>0</v>
      </c>
      <c r="L23" s="594">
        <v>0</v>
      </c>
      <c r="M23" s="594">
        <v>0</v>
      </c>
      <c r="N23" s="595">
        <v>0</v>
      </c>
      <c r="O23" s="596">
        <v>0</v>
      </c>
      <c r="P23" s="597">
        <v>0</v>
      </c>
      <c r="Q23" s="597">
        <v>0</v>
      </c>
      <c r="R23" s="597">
        <v>0</v>
      </c>
      <c r="S23" s="597">
        <v>0</v>
      </c>
      <c r="T23" s="597">
        <v>0</v>
      </c>
      <c r="U23" s="597">
        <v>0</v>
      </c>
      <c r="V23" s="597">
        <v>0</v>
      </c>
      <c r="W23" s="597">
        <v>0</v>
      </c>
      <c r="X23" s="597">
        <v>0</v>
      </c>
      <c r="Y23" s="597">
        <v>0</v>
      </c>
      <c r="Z23" s="598">
        <v>0</v>
      </c>
      <c r="AA23" s="599">
        <v>0</v>
      </c>
      <c r="AB23" s="597">
        <v>0</v>
      </c>
      <c r="AC23" s="597">
        <v>0</v>
      </c>
      <c r="AD23" s="597">
        <v>0</v>
      </c>
      <c r="AE23" s="597">
        <v>0</v>
      </c>
      <c r="AF23" s="597">
        <v>0</v>
      </c>
      <c r="AG23" s="597">
        <v>0</v>
      </c>
      <c r="AH23" s="597">
        <v>0</v>
      </c>
      <c r="AI23" s="598">
        <v>0</v>
      </c>
      <c r="AJ23" s="600">
        <v>0</v>
      </c>
      <c r="AK23" s="570"/>
      <c r="AL23" s="571"/>
      <c r="AM23" s="571"/>
      <c r="AN23" s="571"/>
      <c r="AO23" s="571"/>
      <c r="AP23" s="572"/>
      <c r="AQ23" s="570"/>
      <c r="AR23" s="571"/>
      <c r="AS23" s="573"/>
      <c r="AT23" s="573"/>
      <c r="AU23" s="573"/>
      <c r="AV23" s="573"/>
      <c r="AW23" s="573"/>
      <c r="AX23" s="573"/>
      <c r="AY23" s="573"/>
      <c r="AZ23" s="572"/>
      <c r="BA23" s="601">
        <v>0</v>
      </c>
      <c r="BB23" s="602">
        <v>0</v>
      </c>
      <c r="BC23" s="603">
        <v>0</v>
      </c>
      <c r="BD23" s="604">
        <v>0</v>
      </c>
      <c r="BE23" s="605">
        <v>0</v>
      </c>
      <c r="BF23" s="605">
        <v>0</v>
      </c>
      <c r="BG23" s="606">
        <v>0</v>
      </c>
      <c r="BH23" s="607">
        <v>0</v>
      </c>
      <c r="BI23" s="605">
        <v>0</v>
      </c>
      <c r="BJ23" s="605">
        <v>0</v>
      </c>
      <c r="BK23" s="608">
        <v>0</v>
      </c>
      <c r="BL23" s="604">
        <v>0</v>
      </c>
      <c r="BM23" s="609">
        <v>0</v>
      </c>
      <c r="BN23" s="605">
        <v>0</v>
      </c>
      <c r="BO23" s="605">
        <v>0</v>
      </c>
      <c r="BP23" s="605">
        <v>0</v>
      </c>
      <c r="BQ23" s="605">
        <v>0</v>
      </c>
      <c r="BR23" s="606">
        <v>0</v>
      </c>
      <c r="BS23" s="610">
        <v>0</v>
      </c>
      <c r="BT23" s="604">
        <v>0</v>
      </c>
      <c r="BU23" s="605">
        <v>0</v>
      </c>
      <c r="BV23" s="584"/>
      <c r="BW23" s="584"/>
      <c r="BX23" s="585"/>
      <c r="BY23" s="586"/>
      <c r="BZ23" s="587"/>
      <c r="CA23" s="587"/>
      <c r="CB23" s="588"/>
      <c r="CC23" s="589"/>
      <c r="CD23" s="587"/>
      <c r="CE23" s="587"/>
      <c r="CF23" s="587"/>
      <c r="CG23" s="588"/>
      <c r="CH23" s="611">
        <v>0</v>
      </c>
      <c r="CI23" s="591"/>
      <c r="CJ23" s="584"/>
      <c r="CK23" s="584"/>
      <c r="CL23" s="584"/>
      <c r="CM23" s="592"/>
      <c r="CN23" s="593"/>
      <c r="CO23" s="584"/>
      <c r="CP23" s="584"/>
      <c r="CQ23" s="585"/>
    </row>
    <row r="24" spans="1:95" ht="15.75" thickBot="1">
      <c r="A24" s="425"/>
      <c r="B24" s="561">
        <v>2003</v>
      </c>
      <c r="C24" s="562">
        <v>0</v>
      </c>
      <c r="D24" s="594">
        <v>0</v>
      </c>
      <c r="E24" s="594">
        <v>0</v>
      </c>
      <c r="F24" s="594">
        <v>0</v>
      </c>
      <c r="G24" s="594">
        <v>0</v>
      </c>
      <c r="H24" s="594">
        <v>0</v>
      </c>
      <c r="I24" s="594">
        <v>0</v>
      </c>
      <c r="J24" s="594">
        <v>0</v>
      </c>
      <c r="K24" s="594">
        <v>0</v>
      </c>
      <c r="L24" s="594">
        <v>0</v>
      </c>
      <c r="M24" s="594">
        <v>0</v>
      </c>
      <c r="N24" s="595">
        <v>0</v>
      </c>
      <c r="O24" s="596">
        <v>0</v>
      </c>
      <c r="P24" s="597">
        <v>0</v>
      </c>
      <c r="Q24" s="597">
        <v>0</v>
      </c>
      <c r="R24" s="597">
        <v>0</v>
      </c>
      <c r="S24" s="597">
        <v>0</v>
      </c>
      <c r="T24" s="597">
        <v>0</v>
      </c>
      <c r="U24" s="597">
        <v>0</v>
      </c>
      <c r="V24" s="597">
        <v>0</v>
      </c>
      <c r="W24" s="597">
        <v>0</v>
      </c>
      <c r="X24" s="597">
        <v>0</v>
      </c>
      <c r="Y24" s="597">
        <v>0</v>
      </c>
      <c r="Z24" s="598">
        <v>0</v>
      </c>
      <c r="AA24" s="599">
        <v>0</v>
      </c>
      <c r="AB24" s="597">
        <v>0</v>
      </c>
      <c r="AC24" s="597">
        <v>0</v>
      </c>
      <c r="AD24" s="597">
        <v>0</v>
      </c>
      <c r="AE24" s="597">
        <v>0</v>
      </c>
      <c r="AF24" s="597">
        <v>0</v>
      </c>
      <c r="AG24" s="597">
        <v>0</v>
      </c>
      <c r="AH24" s="597">
        <v>0</v>
      </c>
      <c r="AI24" s="598">
        <v>0</v>
      </c>
      <c r="AJ24" s="600">
        <v>0</v>
      </c>
      <c r="AK24" s="570"/>
      <c r="AL24" s="571"/>
      <c r="AM24" s="571"/>
      <c r="AN24" s="571"/>
      <c r="AO24" s="571"/>
      <c r="AP24" s="572"/>
      <c r="AQ24" s="570"/>
      <c r="AR24" s="571"/>
      <c r="AS24" s="573"/>
      <c r="AT24" s="573"/>
      <c r="AU24" s="573"/>
      <c r="AV24" s="573"/>
      <c r="AW24" s="573"/>
      <c r="AX24" s="573"/>
      <c r="AY24" s="573"/>
      <c r="AZ24" s="572"/>
      <c r="BA24" s="601">
        <v>0</v>
      </c>
      <c r="BB24" s="602">
        <v>0</v>
      </c>
      <c r="BC24" s="603">
        <v>0</v>
      </c>
      <c r="BD24" s="604">
        <v>0</v>
      </c>
      <c r="BE24" s="605">
        <v>0</v>
      </c>
      <c r="BF24" s="605">
        <v>0</v>
      </c>
      <c r="BG24" s="606">
        <v>0</v>
      </c>
      <c r="BH24" s="607">
        <v>0</v>
      </c>
      <c r="BI24" s="605">
        <v>0</v>
      </c>
      <c r="BJ24" s="605">
        <v>0</v>
      </c>
      <c r="BK24" s="608">
        <v>0</v>
      </c>
      <c r="BL24" s="604">
        <v>0</v>
      </c>
      <c r="BM24" s="609">
        <v>0</v>
      </c>
      <c r="BN24" s="605">
        <v>0</v>
      </c>
      <c r="BO24" s="605">
        <v>0</v>
      </c>
      <c r="BP24" s="605">
        <v>0</v>
      </c>
      <c r="BQ24" s="605">
        <v>0</v>
      </c>
      <c r="BR24" s="606">
        <v>0</v>
      </c>
      <c r="BS24" s="610">
        <v>0</v>
      </c>
      <c r="BT24" s="604">
        <v>0</v>
      </c>
      <c r="BU24" s="605">
        <v>0</v>
      </c>
      <c r="BV24" s="584"/>
      <c r="BW24" s="584"/>
      <c r="BX24" s="585"/>
      <c r="BY24" s="586"/>
      <c r="BZ24" s="587"/>
      <c r="CA24" s="587"/>
      <c r="CB24" s="588"/>
      <c r="CC24" s="589"/>
      <c r="CD24" s="587"/>
      <c r="CE24" s="587"/>
      <c r="CF24" s="587"/>
      <c r="CG24" s="588"/>
      <c r="CH24" s="611">
        <v>0</v>
      </c>
      <c r="CI24" s="591"/>
      <c r="CJ24" s="584"/>
      <c r="CK24" s="584"/>
      <c r="CL24" s="584"/>
      <c r="CM24" s="592"/>
      <c r="CN24" s="593"/>
      <c r="CO24" s="584"/>
      <c r="CP24" s="584"/>
      <c r="CQ24" s="585"/>
    </row>
    <row r="25" spans="1:95" ht="15.75" thickBot="1">
      <c r="A25" s="425"/>
      <c r="B25" s="561">
        <v>2004</v>
      </c>
      <c r="C25" s="562">
        <v>0</v>
      </c>
      <c r="D25" s="594">
        <v>0</v>
      </c>
      <c r="E25" s="594">
        <v>0</v>
      </c>
      <c r="F25" s="594">
        <v>0</v>
      </c>
      <c r="G25" s="594">
        <v>0</v>
      </c>
      <c r="H25" s="594">
        <v>0</v>
      </c>
      <c r="I25" s="594">
        <v>0</v>
      </c>
      <c r="J25" s="594">
        <v>0</v>
      </c>
      <c r="K25" s="594">
        <v>0</v>
      </c>
      <c r="L25" s="594">
        <v>0</v>
      </c>
      <c r="M25" s="594">
        <v>0</v>
      </c>
      <c r="N25" s="595">
        <v>0</v>
      </c>
      <c r="O25" s="596">
        <v>0</v>
      </c>
      <c r="P25" s="597">
        <v>0</v>
      </c>
      <c r="Q25" s="597">
        <v>0</v>
      </c>
      <c r="R25" s="597">
        <v>0</v>
      </c>
      <c r="S25" s="597">
        <v>0</v>
      </c>
      <c r="T25" s="597">
        <v>0</v>
      </c>
      <c r="U25" s="597">
        <v>0</v>
      </c>
      <c r="V25" s="597">
        <v>0</v>
      </c>
      <c r="W25" s="597">
        <v>0</v>
      </c>
      <c r="X25" s="597">
        <v>0</v>
      </c>
      <c r="Y25" s="597">
        <v>0</v>
      </c>
      <c r="Z25" s="598">
        <v>0</v>
      </c>
      <c r="AA25" s="599">
        <v>0</v>
      </c>
      <c r="AB25" s="597">
        <v>0</v>
      </c>
      <c r="AC25" s="597">
        <v>0</v>
      </c>
      <c r="AD25" s="597">
        <v>0</v>
      </c>
      <c r="AE25" s="597">
        <v>0</v>
      </c>
      <c r="AF25" s="597">
        <v>0</v>
      </c>
      <c r="AG25" s="597">
        <v>0</v>
      </c>
      <c r="AH25" s="597">
        <v>0</v>
      </c>
      <c r="AI25" s="598">
        <v>0</v>
      </c>
      <c r="AJ25" s="600">
        <v>0</v>
      </c>
      <c r="AK25" s="570"/>
      <c r="AL25" s="571"/>
      <c r="AM25" s="571"/>
      <c r="AN25" s="571"/>
      <c r="AO25" s="571"/>
      <c r="AP25" s="572"/>
      <c r="AQ25" s="570"/>
      <c r="AR25" s="571"/>
      <c r="AS25" s="573"/>
      <c r="AT25" s="573"/>
      <c r="AU25" s="573"/>
      <c r="AV25" s="573"/>
      <c r="AW25" s="573"/>
      <c r="AX25" s="573"/>
      <c r="AY25" s="573"/>
      <c r="AZ25" s="572"/>
      <c r="BA25" s="601">
        <v>0</v>
      </c>
      <c r="BB25" s="602">
        <v>0</v>
      </c>
      <c r="BC25" s="603">
        <v>0</v>
      </c>
      <c r="BD25" s="604">
        <v>0</v>
      </c>
      <c r="BE25" s="605">
        <v>0</v>
      </c>
      <c r="BF25" s="605">
        <v>0</v>
      </c>
      <c r="BG25" s="606">
        <v>0</v>
      </c>
      <c r="BH25" s="607">
        <v>0</v>
      </c>
      <c r="BI25" s="605">
        <v>0</v>
      </c>
      <c r="BJ25" s="605">
        <v>0</v>
      </c>
      <c r="BK25" s="608">
        <v>0</v>
      </c>
      <c r="BL25" s="604">
        <v>0</v>
      </c>
      <c r="BM25" s="609">
        <v>0</v>
      </c>
      <c r="BN25" s="605">
        <v>0</v>
      </c>
      <c r="BO25" s="605">
        <v>0</v>
      </c>
      <c r="BP25" s="605">
        <v>0</v>
      </c>
      <c r="BQ25" s="605">
        <v>0</v>
      </c>
      <c r="BR25" s="606">
        <v>0</v>
      </c>
      <c r="BS25" s="610">
        <v>0</v>
      </c>
      <c r="BT25" s="604">
        <v>0</v>
      </c>
      <c r="BU25" s="605">
        <v>0</v>
      </c>
      <c r="BV25" s="584"/>
      <c r="BW25" s="584"/>
      <c r="BX25" s="585"/>
      <c r="BY25" s="586"/>
      <c r="BZ25" s="587"/>
      <c r="CA25" s="587"/>
      <c r="CB25" s="588"/>
      <c r="CC25" s="589"/>
      <c r="CD25" s="587"/>
      <c r="CE25" s="587"/>
      <c r="CF25" s="587"/>
      <c r="CG25" s="588"/>
      <c r="CH25" s="611">
        <v>0</v>
      </c>
      <c r="CI25" s="591"/>
      <c r="CJ25" s="584"/>
      <c r="CK25" s="584"/>
      <c r="CL25" s="584"/>
      <c r="CM25" s="592"/>
      <c r="CN25" s="593"/>
      <c r="CO25" s="584"/>
      <c r="CP25" s="584"/>
      <c r="CQ25" s="585"/>
    </row>
    <row r="26" spans="1:95" ht="15.75" thickBot="1">
      <c r="A26" s="425"/>
      <c r="B26" s="561">
        <v>2005</v>
      </c>
      <c r="C26" s="562">
        <v>0</v>
      </c>
      <c r="D26" s="594">
        <v>0</v>
      </c>
      <c r="E26" s="594">
        <v>0</v>
      </c>
      <c r="F26" s="594">
        <v>0</v>
      </c>
      <c r="G26" s="594">
        <v>0</v>
      </c>
      <c r="H26" s="594">
        <v>0</v>
      </c>
      <c r="I26" s="594">
        <v>0</v>
      </c>
      <c r="J26" s="594">
        <v>0</v>
      </c>
      <c r="K26" s="594">
        <v>0</v>
      </c>
      <c r="L26" s="594">
        <v>0</v>
      </c>
      <c r="M26" s="594">
        <v>0</v>
      </c>
      <c r="N26" s="595">
        <v>0</v>
      </c>
      <c r="O26" s="596">
        <v>0</v>
      </c>
      <c r="P26" s="597">
        <v>0</v>
      </c>
      <c r="Q26" s="597">
        <v>0</v>
      </c>
      <c r="R26" s="597">
        <v>0</v>
      </c>
      <c r="S26" s="597">
        <v>0</v>
      </c>
      <c r="T26" s="597">
        <v>0</v>
      </c>
      <c r="U26" s="597">
        <v>0</v>
      </c>
      <c r="V26" s="597">
        <v>0</v>
      </c>
      <c r="W26" s="597">
        <v>0</v>
      </c>
      <c r="X26" s="597">
        <v>0</v>
      </c>
      <c r="Y26" s="597">
        <v>0</v>
      </c>
      <c r="Z26" s="598">
        <v>0</v>
      </c>
      <c r="AA26" s="599">
        <v>0</v>
      </c>
      <c r="AB26" s="597">
        <v>0</v>
      </c>
      <c r="AC26" s="597">
        <v>0</v>
      </c>
      <c r="AD26" s="597">
        <v>0</v>
      </c>
      <c r="AE26" s="597">
        <v>0</v>
      </c>
      <c r="AF26" s="597">
        <v>0</v>
      </c>
      <c r="AG26" s="597">
        <v>0</v>
      </c>
      <c r="AH26" s="597">
        <v>0</v>
      </c>
      <c r="AI26" s="598">
        <v>0</v>
      </c>
      <c r="AJ26" s="600">
        <v>0</v>
      </c>
      <c r="AK26" s="570"/>
      <c r="AL26" s="571"/>
      <c r="AM26" s="571"/>
      <c r="AN26" s="571"/>
      <c r="AO26" s="571"/>
      <c r="AP26" s="572"/>
      <c r="AQ26" s="570"/>
      <c r="AR26" s="571"/>
      <c r="AS26" s="573"/>
      <c r="AT26" s="573"/>
      <c r="AU26" s="573"/>
      <c r="AV26" s="573"/>
      <c r="AW26" s="573"/>
      <c r="AX26" s="573"/>
      <c r="AY26" s="573"/>
      <c r="AZ26" s="572"/>
      <c r="BA26" s="601">
        <v>0</v>
      </c>
      <c r="BB26" s="602">
        <v>0</v>
      </c>
      <c r="BC26" s="603">
        <v>0</v>
      </c>
      <c r="BD26" s="604">
        <v>0</v>
      </c>
      <c r="BE26" s="605">
        <v>0</v>
      </c>
      <c r="BF26" s="605">
        <v>0</v>
      </c>
      <c r="BG26" s="606">
        <v>0</v>
      </c>
      <c r="BH26" s="607">
        <v>0</v>
      </c>
      <c r="BI26" s="605">
        <v>0</v>
      </c>
      <c r="BJ26" s="605">
        <v>0</v>
      </c>
      <c r="BK26" s="608">
        <v>0</v>
      </c>
      <c r="BL26" s="604">
        <v>0</v>
      </c>
      <c r="BM26" s="609">
        <v>0</v>
      </c>
      <c r="BN26" s="605">
        <v>0</v>
      </c>
      <c r="BO26" s="605">
        <v>0</v>
      </c>
      <c r="BP26" s="605">
        <v>0</v>
      </c>
      <c r="BQ26" s="605">
        <v>0</v>
      </c>
      <c r="BR26" s="606">
        <v>0</v>
      </c>
      <c r="BS26" s="610">
        <v>0</v>
      </c>
      <c r="BT26" s="604">
        <v>0</v>
      </c>
      <c r="BU26" s="605">
        <v>0</v>
      </c>
      <c r="BV26" s="584"/>
      <c r="BW26" s="584"/>
      <c r="BX26" s="585"/>
      <c r="BY26" s="586"/>
      <c r="BZ26" s="587"/>
      <c r="CA26" s="587"/>
      <c r="CB26" s="588"/>
      <c r="CC26" s="589"/>
      <c r="CD26" s="587"/>
      <c r="CE26" s="587"/>
      <c r="CF26" s="587"/>
      <c r="CG26" s="588"/>
      <c r="CH26" s="611">
        <v>0</v>
      </c>
      <c r="CI26" s="591"/>
      <c r="CJ26" s="584"/>
      <c r="CK26" s="584"/>
      <c r="CL26" s="584"/>
      <c r="CM26" s="592"/>
      <c r="CN26" s="593"/>
      <c r="CO26" s="584"/>
      <c r="CP26" s="584"/>
      <c r="CQ26" s="585"/>
    </row>
    <row r="27" spans="1:95" ht="15.75" thickBot="1">
      <c r="A27" s="425"/>
      <c r="B27" s="561">
        <v>2006</v>
      </c>
      <c r="C27" s="562">
        <v>0</v>
      </c>
      <c r="D27" s="594">
        <v>0</v>
      </c>
      <c r="E27" s="594">
        <v>0</v>
      </c>
      <c r="F27" s="594">
        <v>0</v>
      </c>
      <c r="G27" s="594">
        <v>0</v>
      </c>
      <c r="H27" s="594">
        <v>0</v>
      </c>
      <c r="I27" s="594">
        <v>0</v>
      </c>
      <c r="J27" s="594">
        <v>0</v>
      </c>
      <c r="K27" s="594">
        <v>0</v>
      </c>
      <c r="L27" s="594">
        <v>0</v>
      </c>
      <c r="M27" s="594">
        <v>0</v>
      </c>
      <c r="N27" s="595">
        <v>0</v>
      </c>
      <c r="O27" s="596">
        <v>0</v>
      </c>
      <c r="P27" s="597">
        <v>0</v>
      </c>
      <c r="Q27" s="597">
        <v>0</v>
      </c>
      <c r="R27" s="597">
        <v>0</v>
      </c>
      <c r="S27" s="597">
        <v>0</v>
      </c>
      <c r="T27" s="597">
        <v>0</v>
      </c>
      <c r="U27" s="597">
        <v>0</v>
      </c>
      <c r="V27" s="597">
        <v>0</v>
      </c>
      <c r="W27" s="597">
        <v>0</v>
      </c>
      <c r="X27" s="597">
        <v>0</v>
      </c>
      <c r="Y27" s="597">
        <v>0</v>
      </c>
      <c r="Z27" s="598">
        <v>0</v>
      </c>
      <c r="AA27" s="599">
        <v>0</v>
      </c>
      <c r="AB27" s="597">
        <v>0</v>
      </c>
      <c r="AC27" s="597">
        <v>0</v>
      </c>
      <c r="AD27" s="597">
        <v>0</v>
      </c>
      <c r="AE27" s="597">
        <v>0</v>
      </c>
      <c r="AF27" s="597">
        <v>0</v>
      </c>
      <c r="AG27" s="597">
        <v>0</v>
      </c>
      <c r="AH27" s="597">
        <v>0</v>
      </c>
      <c r="AI27" s="598">
        <v>0</v>
      </c>
      <c r="AJ27" s="600">
        <v>0</v>
      </c>
      <c r="AK27" s="570"/>
      <c r="AL27" s="571"/>
      <c r="AM27" s="571"/>
      <c r="AN27" s="571"/>
      <c r="AO27" s="571"/>
      <c r="AP27" s="572"/>
      <c r="AQ27" s="570"/>
      <c r="AR27" s="571"/>
      <c r="AS27" s="573"/>
      <c r="AT27" s="573"/>
      <c r="AU27" s="573"/>
      <c r="AV27" s="573"/>
      <c r="AW27" s="573"/>
      <c r="AX27" s="573"/>
      <c r="AY27" s="573"/>
      <c r="AZ27" s="572"/>
      <c r="BA27" s="601">
        <v>0</v>
      </c>
      <c r="BB27" s="602">
        <v>0</v>
      </c>
      <c r="BC27" s="603">
        <v>0</v>
      </c>
      <c r="BD27" s="604">
        <v>0</v>
      </c>
      <c r="BE27" s="605">
        <v>0</v>
      </c>
      <c r="BF27" s="605">
        <v>0</v>
      </c>
      <c r="BG27" s="606">
        <v>0</v>
      </c>
      <c r="BH27" s="607">
        <v>0</v>
      </c>
      <c r="BI27" s="605">
        <v>0</v>
      </c>
      <c r="BJ27" s="605">
        <v>0</v>
      </c>
      <c r="BK27" s="608">
        <v>0</v>
      </c>
      <c r="BL27" s="604">
        <v>0</v>
      </c>
      <c r="BM27" s="609">
        <v>0</v>
      </c>
      <c r="BN27" s="605">
        <v>0</v>
      </c>
      <c r="BO27" s="605">
        <v>0</v>
      </c>
      <c r="BP27" s="605">
        <v>0</v>
      </c>
      <c r="BQ27" s="605">
        <v>0</v>
      </c>
      <c r="BR27" s="606">
        <v>0</v>
      </c>
      <c r="BS27" s="610">
        <v>0</v>
      </c>
      <c r="BT27" s="604">
        <v>0</v>
      </c>
      <c r="BU27" s="605">
        <v>0</v>
      </c>
      <c r="BV27" s="584"/>
      <c r="BW27" s="584"/>
      <c r="BX27" s="585"/>
      <c r="BY27" s="586"/>
      <c r="BZ27" s="587"/>
      <c r="CA27" s="587"/>
      <c r="CB27" s="588"/>
      <c r="CC27" s="589"/>
      <c r="CD27" s="587"/>
      <c r="CE27" s="587"/>
      <c r="CF27" s="587"/>
      <c r="CG27" s="588"/>
      <c r="CH27" s="611">
        <v>0</v>
      </c>
      <c r="CI27" s="591"/>
      <c r="CJ27" s="584"/>
      <c r="CK27" s="584"/>
      <c r="CL27" s="584"/>
      <c r="CM27" s="592"/>
      <c r="CN27" s="593"/>
      <c r="CO27" s="584"/>
      <c r="CP27" s="584"/>
      <c r="CQ27" s="585"/>
    </row>
    <row r="28" spans="1:95" ht="15.75" thickBot="1">
      <c r="A28" s="425"/>
      <c r="B28" s="561">
        <v>2007</v>
      </c>
      <c r="C28" s="562">
        <v>0</v>
      </c>
      <c r="D28" s="594">
        <v>0</v>
      </c>
      <c r="E28" s="594">
        <v>0</v>
      </c>
      <c r="F28" s="594">
        <v>0</v>
      </c>
      <c r="G28" s="594">
        <v>0</v>
      </c>
      <c r="H28" s="594">
        <v>0</v>
      </c>
      <c r="I28" s="594">
        <v>0</v>
      </c>
      <c r="J28" s="594">
        <v>0</v>
      </c>
      <c r="K28" s="594">
        <v>0</v>
      </c>
      <c r="L28" s="594">
        <v>0</v>
      </c>
      <c r="M28" s="594">
        <v>0</v>
      </c>
      <c r="N28" s="595">
        <v>0</v>
      </c>
      <c r="O28" s="596">
        <v>0</v>
      </c>
      <c r="P28" s="597">
        <v>0</v>
      </c>
      <c r="Q28" s="597">
        <v>0</v>
      </c>
      <c r="R28" s="597">
        <v>0</v>
      </c>
      <c r="S28" s="597">
        <v>0</v>
      </c>
      <c r="T28" s="597">
        <v>0</v>
      </c>
      <c r="U28" s="597">
        <v>0</v>
      </c>
      <c r="V28" s="597">
        <v>0</v>
      </c>
      <c r="W28" s="597">
        <v>0</v>
      </c>
      <c r="X28" s="597">
        <v>0</v>
      </c>
      <c r="Y28" s="597">
        <v>0</v>
      </c>
      <c r="Z28" s="598">
        <v>0</v>
      </c>
      <c r="AA28" s="599">
        <v>0</v>
      </c>
      <c r="AB28" s="597">
        <v>0</v>
      </c>
      <c r="AC28" s="597">
        <v>0</v>
      </c>
      <c r="AD28" s="597">
        <v>0</v>
      </c>
      <c r="AE28" s="597">
        <v>0</v>
      </c>
      <c r="AF28" s="597">
        <v>0</v>
      </c>
      <c r="AG28" s="597">
        <v>0</v>
      </c>
      <c r="AH28" s="597">
        <v>0</v>
      </c>
      <c r="AI28" s="598">
        <v>0</v>
      </c>
      <c r="AJ28" s="600">
        <v>0</v>
      </c>
      <c r="AK28" s="570"/>
      <c r="AL28" s="571"/>
      <c r="AM28" s="571"/>
      <c r="AN28" s="571"/>
      <c r="AO28" s="571"/>
      <c r="AP28" s="572"/>
      <c r="AQ28" s="570"/>
      <c r="AR28" s="571"/>
      <c r="AS28" s="573"/>
      <c r="AT28" s="573"/>
      <c r="AU28" s="573"/>
      <c r="AV28" s="573"/>
      <c r="AW28" s="573"/>
      <c r="AX28" s="573"/>
      <c r="AY28" s="573"/>
      <c r="AZ28" s="572"/>
      <c r="BA28" s="601">
        <v>0</v>
      </c>
      <c r="BB28" s="602">
        <v>0</v>
      </c>
      <c r="BC28" s="603">
        <v>0</v>
      </c>
      <c r="BD28" s="604">
        <v>0</v>
      </c>
      <c r="BE28" s="605">
        <v>0</v>
      </c>
      <c r="BF28" s="605">
        <v>0</v>
      </c>
      <c r="BG28" s="606">
        <v>0</v>
      </c>
      <c r="BH28" s="607">
        <v>0</v>
      </c>
      <c r="BI28" s="605">
        <v>0</v>
      </c>
      <c r="BJ28" s="605">
        <v>0</v>
      </c>
      <c r="BK28" s="608">
        <v>0</v>
      </c>
      <c r="BL28" s="604">
        <v>0</v>
      </c>
      <c r="BM28" s="609">
        <v>0</v>
      </c>
      <c r="BN28" s="605">
        <v>0</v>
      </c>
      <c r="BO28" s="605">
        <v>0</v>
      </c>
      <c r="BP28" s="605">
        <v>0</v>
      </c>
      <c r="BQ28" s="605">
        <v>0</v>
      </c>
      <c r="BR28" s="606">
        <v>0</v>
      </c>
      <c r="BS28" s="610">
        <v>0</v>
      </c>
      <c r="BT28" s="604">
        <v>0</v>
      </c>
      <c r="BU28" s="605">
        <v>0</v>
      </c>
      <c r="BV28" s="584"/>
      <c r="BW28" s="584"/>
      <c r="BX28" s="585"/>
      <c r="BY28" s="586"/>
      <c r="BZ28" s="587"/>
      <c r="CA28" s="587"/>
      <c r="CB28" s="588"/>
      <c r="CC28" s="589"/>
      <c r="CD28" s="587"/>
      <c r="CE28" s="587"/>
      <c r="CF28" s="587"/>
      <c r="CG28" s="588"/>
      <c r="CH28" s="611">
        <v>0</v>
      </c>
      <c r="CI28" s="591"/>
      <c r="CJ28" s="584"/>
      <c r="CK28" s="584"/>
      <c r="CL28" s="584"/>
      <c r="CM28" s="592"/>
      <c r="CN28" s="593"/>
      <c r="CO28" s="584"/>
      <c r="CP28" s="584"/>
      <c r="CQ28" s="585"/>
    </row>
    <row r="29" spans="1:95" ht="15.75" thickBot="1">
      <c r="A29" s="425"/>
      <c r="B29" s="561">
        <v>2008</v>
      </c>
      <c r="C29" s="562">
        <v>0</v>
      </c>
      <c r="D29" s="594">
        <v>0</v>
      </c>
      <c r="E29" s="594">
        <v>0</v>
      </c>
      <c r="F29" s="594">
        <v>0</v>
      </c>
      <c r="G29" s="594">
        <v>0</v>
      </c>
      <c r="H29" s="594">
        <v>0</v>
      </c>
      <c r="I29" s="594">
        <v>0</v>
      </c>
      <c r="J29" s="594">
        <v>0</v>
      </c>
      <c r="K29" s="594">
        <v>0</v>
      </c>
      <c r="L29" s="594">
        <v>0</v>
      </c>
      <c r="M29" s="594">
        <v>0</v>
      </c>
      <c r="N29" s="595">
        <v>0</v>
      </c>
      <c r="O29" s="596">
        <v>0</v>
      </c>
      <c r="P29" s="597">
        <f>'CACP CO2'!P29+('CACP CH4'!P29*gwp_ch4)+('CACP N2O'!P29*gwp_n2o)</f>
        <v>18214.029188836361</v>
      </c>
      <c r="Q29" s="597">
        <f>'CACP CO2'!Q29+('CACP CH4'!Q29*gwp_ch4)+('CACP N2O'!Q29*gwp_n2o)</f>
        <v>5336700.8845683569</v>
      </c>
      <c r="R29" s="597">
        <v>0</v>
      </c>
      <c r="S29" s="597">
        <v>0</v>
      </c>
      <c r="T29" s="597">
        <v>0</v>
      </c>
      <c r="U29" s="597">
        <v>0</v>
      </c>
      <c r="V29" s="597">
        <v>0</v>
      </c>
      <c r="W29" s="597">
        <v>0</v>
      </c>
      <c r="X29" s="597">
        <v>0</v>
      </c>
      <c r="Y29" s="597">
        <v>0</v>
      </c>
      <c r="Z29" s="598">
        <v>0</v>
      </c>
      <c r="AA29" s="597">
        <f>'CACP CO2'!AA29+('CACP CH4'!AA29*gwp_ch4)+('CACP N2O'!AA29*gwp_n2o)</f>
        <v>485838.24647387525</v>
      </c>
      <c r="AB29" s="597">
        <f>'CACP CO2'!AB29+('CACP CH4'!AB29*gwp_ch4)+('CACP N2O'!AB29*gwp_n2o)</f>
        <v>126868.4100742029</v>
      </c>
      <c r="AC29" s="597">
        <v>0</v>
      </c>
      <c r="AD29" s="597">
        <v>0</v>
      </c>
      <c r="AE29" s="597">
        <v>0</v>
      </c>
      <c r="AF29" s="597">
        <v>0</v>
      </c>
      <c r="AG29" s="597">
        <v>0</v>
      </c>
      <c r="AH29" s="597">
        <v>0</v>
      </c>
      <c r="AI29" s="598">
        <v>0</v>
      </c>
      <c r="AJ29" s="600">
        <v>0</v>
      </c>
      <c r="AK29" s="570"/>
      <c r="AL29" s="571"/>
      <c r="AM29" s="571"/>
      <c r="AN29" s="571"/>
      <c r="AO29" s="571"/>
      <c r="AP29" s="572"/>
      <c r="AQ29" s="570"/>
      <c r="AR29" s="571"/>
      <c r="AS29" s="573"/>
      <c r="AT29" s="573"/>
      <c r="AU29" s="573"/>
      <c r="AV29" s="573"/>
      <c r="AW29" s="573"/>
      <c r="AX29" s="573"/>
      <c r="AY29" s="573"/>
      <c r="AZ29" s="572"/>
      <c r="BA29" s="601">
        <f>'CACP CO2'!BA29+('CACP CH4'!BA29*gwp_ch4)+('CACP N2O'!BA29*gwp_n2o)</f>
        <v>89712712.323587045</v>
      </c>
      <c r="BB29" s="602">
        <f>'CACP CO2'!BB29+('CACP CH4'!BB29*gwp_ch4)+('CACP N2O'!BB29*gwp_n2o)</f>
        <v>61447944.865468904</v>
      </c>
      <c r="BC29" s="603">
        <f>'CACP CO2'!BC29+('CACP CH4'!BC29*gwp_ch4)+('CACP N2O'!BC29*gwp_n2o)</f>
        <v>20854972.020432152</v>
      </c>
      <c r="BD29" s="604">
        <f>'CACP CO2'!BD29+('CACP CH4'!BD29*gwp_ch4)+('CACP N2O'!BD29*gwp_n2o)</f>
        <v>9340080.4729420841</v>
      </c>
      <c r="BE29" s="605">
        <v>0</v>
      </c>
      <c r="BF29" s="605">
        <v>0</v>
      </c>
      <c r="BG29" s="606">
        <v>0</v>
      </c>
      <c r="BH29" s="607">
        <f>'CACP CO2'!BH29+('CACP CH4'!BH29*gwp_ch4)+('CACP N2O'!BH29*gwp_n2o)</f>
        <v>6948670.3886275552</v>
      </c>
      <c r="BI29" s="605">
        <v>0</v>
      </c>
      <c r="BJ29" s="605">
        <v>0</v>
      </c>
      <c r="BK29" s="608">
        <v>0</v>
      </c>
      <c r="BL29" s="604">
        <f>'CACP CO2'!BL29+('CACP CH4'!BL29*gwp_ch4)+('CACP N2O'!BL29*gwp_n2o)</f>
        <v>22119603.440794345</v>
      </c>
      <c r="BM29" s="609">
        <v>0</v>
      </c>
      <c r="BN29" s="605">
        <v>0</v>
      </c>
      <c r="BO29" s="605">
        <v>0</v>
      </c>
      <c r="BP29" s="605">
        <f>'CACP CO2'!BP29+('CACP CH4'!BP29*gwp_ch4)+('CACP N2O'!BP29*gwp_n2o)</f>
        <v>8186.7442471028571</v>
      </c>
      <c r="BQ29" s="605">
        <v>0</v>
      </c>
      <c r="BR29" s="606">
        <v>407796.97233443591</v>
      </c>
      <c r="BS29" s="610">
        <f>'CACP CO2'!BS29+('CACP CH4'!BS29*gwp_ch4)+('CACP N2O'!BS29*gwp_n2o)</f>
        <v>2869238.7181924414</v>
      </c>
      <c r="BT29" s="604">
        <v>-10119.999999999998</v>
      </c>
      <c r="BU29" s="605">
        <v>0</v>
      </c>
      <c r="BV29" s="584"/>
      <c r="BW29" s="584"/>
      <c r="BX29" s="585"/>
      <c r="BY29" s="586"/>
      <c r="BZ29" s="587"/>
      <c r="CA29" s="587"/>
      <c r="CB29" s="588"/>
      <c r="CC29" s="589"/>
      <c r="CD29" s="587"/>
      <c r="CE29" s="587"/>
      <c r="CF29" s="587"/>
      <c r="CG29" s="588"/>
      <c r="CH29" s="611">
        <v>13123138.523157194</v>
      </c>
      <c r="CI29" s="591"/>
      <c r="CJ29" s="584"/>
      <c r="CK29" s="584"/>
      <c r="CL29" s="584"/>
      <c r="CM29" s="592"/>
      <c r="CN29" s="593"/>
      <c r="CO29" s="584"/>
      <c r="CP29" s="584"/>
      <c r="CQ29" s="585"/>
    </row>
    <row r="30" spans="1:95" ht="15.75" thickBot="1">
      <c r="A30" s="425"/>
      <c r="B30" s="561">
        <v>2009</v>
      </c>
      <c r="C30" s="562">
        <v>0</v>
      </c>
      <c r="D30" s="594">
        <v>0</v>
      </c>
      <c r="E30" s="594">
        <v>0</v>
      </c>
      <c r="F30" s="594">
        <v>0</v>
      </c>
      <c r="G30" s="594">
        <v>0</v>
      </c>
      <c r="H30" s="594">
        <v>0</v>
      </c>
      <c r="I30" s="594">
        <v>0</v>
      </c>
      <c r="J30" s="594">
        <v>0</v>
      </c>
      <c r="K30" s="594">
        <v>0</v>
      </c>
      <c r="L30" s="594">
        <v>0</v>
      </c>
      <c r="M30" s="594">
        <v>0</v>
      </c>
      <c r="N30" s="595">
        <v>0</v>
      </c>
      <c r="O30" s="596">
        <v>0</v>
      </c>
      <c r="P30" s="597">
        <f>'CACP CO2'!P30+('CACP CH4'!P30*gwp_ch4)+('CACP N2O'!P30*gwp_n2o)</f>
        <v>18595.79041838726</v>
      </c>
      <c r="Q30" s="597">
        <f>'CACP CO2'!Q30+('CACP CH4'!Q30*gwp_ch4)+('CACP N2O'!Q30*gwp_n2o)</f>
        <v>5189139.6527773719</v>
      </c>
      <c r="R30" s="597">
        <v>0</v>
      </c>
      <c r="S30" s="597">
        <v>0</v>
      </c>
      <c r="T30" s="597">
        <v>0</v>
      </c>
      <c r="U30" s="597">
        <v>0</v>
      </c>
      <c r="V30" s="597">
        <v>0</v>
      </c>
      <c r="W30" s="597">
        <v>0</v>
      </c>
      <c r="X30" s="597">
        <v>0</v>
      </c>
      <c r="Y30" s="597">
        <v>0</v>
      </c>
      <c r="Z30" s="598">
        <v>0</v>
      </c>
      <c r="AA30" s="597">
        <f>'CACP CO2'!AA30+('CACP CH4'!AA30*gwp_ch4)+('CACP N2O'!AA30*gwp_n2o)</f>
        <v>410563.25870717119</v>
      </c>
      <c r="AB30" s="597">
        <f>'CACP CO2'!AB30+('CACP CH4'!AB30*gwp_ch4)+('CACP N2O'!AB30*gwp_n2o)</f>
        <v>154799.41100547844</v>
      </c>
      <c r="AC30" s="597">
        <v>0</v>
      </c>
      <c r="AD30" s="597">
        <v>0</v>
      </c>
      <c r="AE30" s="597">
        <v>0</v>
      </c>
      <c r="AF30" s="597">
        <v>0</v>
      </c>
      <c r="AG30" s="597">
        <v>0</v>
      </c>
      <c r="AH30" s="597">
        <v>0</v>
      </c>
      <c r="AI30" s="598">
        <v>0</v>
      </c>
      <c r="AJ30" s="600">
        <v>0</v>
      </c>
      <c r="AK30" s="570"/>
      <c r="AL30" s="571"/>
      <c r="AM30" s="571"/>
      <c r="AN30" s="571"/>
      <c r="AO30" s="571"/>
      <c r="AP30" s="572"/>
      <c r="AQ30" s="570"/>
      <c r="AR30" s="571"/>
      <c r="AS30" s="573"/>
      <c r="AT30" s="573"/>
      <c r="AU30" s="573"/>
      <c r="AV30" s="573"/>
      <c r="AW30" s="573"/>
      <c r="AX30" s="573"/>
      <c r="AY30" s="573"/>
      <c r="AZ30" s="572"/>
      <c r="BA30" s="601">
        <f>'CACP CO2'!BA30+('CACP CH4'!BA30*gwp_ch4)+('CACP N2O'!BA30*gwp_n2o)</f>
        <v>89079489.590278685</v>
      </c>
      <c r="BB30" s="602">
        <f>'CACP CO2'!BB30+('CACP CH4'!BB30*gwp_ch4)+('CACP N2O'!BB30*gwp_n2o)</f>
        <v>72972699.494945779</v>
      </c>
      <c r="BC30" s="603">
        <f>'CACP CO2'!BC30+('CACP CH4'!BC30*gwp_ch4)+('CACP N2O'!BC30*gwp_n2o)</f>
        <v>20950933.162406445</v>
      </c>
      <c r="BD30" s="604">
        <f>'CACP CO2'!BD30+('CACP CH4'!BD30*gwp_ch4)+('CACP N2O'!BD30*gwp_n2o)</f>
        <v>9334702.5776336603</v>
      </c>
      <c r="BE30" s="605">
        <v>0</v>
      </c>
      <c r="BF30" s="605">
        <v>0</v>
      </c>
      <c r="BG30" s="606">
        <v>0</v>
      </c>
      <c r="BH30" s="607">
        <f>'CACP CO2'!BH30+('CACP CH4'!BH30*gwp_ch4)+('CACP N2O'!BH30*gwp_n2o)</f>
        <v>6811695.9846795145</v>
      </c>
      <c r="BI30" s="605">
        <v>0</v>
      </c>
      <c r="BJ30" s="605">
        <v>0</v>
      </c>
      <c r="BK30" s="608">
        <v>0</v>
      </c>
      <c r="BL30" s="604">
        <f>'CACP CO2'!BL30+('CACP CH4'!BL30*gwp_ch4)+('CACP N2O'!BL30*gwp_n2o)</f>
        <v>24332823.856619675</v>
      </c>
      <c r="BM30" s="609">
        <v>0</v>
      </c>
      <c r="BN30" s="605">
        <v>0</v>
      </c>
      <c r="BO30" s="605">
        <v>0</v>
      </c>
      <c r="BP30" s="605">
        <f>'CACP CO2'!BP30+('CACP CH4'!BP30*gwp_ch4)+('CACP N2O'!BP30*gwp_n2o)</f>
        <v>7258.6490783601839</v>
      </c>
      <c r="BQ30" s="605">
        <v>0</v>
      </c>
      <c r="BR30" s="606">
        <v>406867.60831795365</v>
      </c>
      <c r="BS30" s="610">
        <f>'CACP CO2'!BS30+('CACP CH4'!BS30*gwp_ch4)+('CACP N2O'!BS30*gwp_n2o)</f>
        <v>3109290.4985015439</v>
      </c>
      <c r="BT30" s="604">
        <v>-11659.999999999998</v>
      </c>
      <c r="BU30" s="605">
        <v>0</v>
      </c>
      <c r="BV30" s="584"/>
      <c r="BW30" s="584"/>
      <c r="BX30" s="585"/>
      <c r="BY30" s="586"/>
      <c r="BZ30" s="587"/>
      <c r="CA30" s="587"/>
      <c r="CB30" s="588"/>
      <c r="CC30" s="589"/>
      <c r="CD30" s="587"/>
      <c r="CE30" s="587"/>
      <c r="CF30" s="587"/>
      <c r="CG30" s="588"/>
      <c r="CH30" s="611">
        <v>13668238.59124049</v>
      </c>
      <c r="CI30" s="591"/>
      <c r="CJ30" s="584"/>
      <c r="CK30" s="584"/>
      <c r="CL30" s="584"/>
      <c r="CM30" s="592"/>
      <c r="CN30" s="593"/>
      <c r="CO30" s="584"/>
      <c r="CP30" s="584"/>
      <c r="CQ30" s="585"/>
    </row>
    <row r="31" spans="1:95" ht="15.75" thickBot="1">
      <c r="A31" s="425"/>
      <c r="B31" s="561">
        <v>2010</v>
      </c>
      <c r="C31" s="562">
        <v>0</v>
      </c>
      <c r="D31" s="594">
        <v>0</v>
      </c>
      <c r="E31" s="594">
        <v>0</v>
      </c>
      <c r="F31" s="594">
        <v>0</v>
      </c>
      <c r="G31" s="594">
        <v>0</v>
      </c>
      <c r="H31" s="594">
        <v>0</v>
      </c>
      <c r="I31" s="594">
        <v>0</v>
      </c>
      <c r="J31" s="594">
        <v>0</v>
      </c>
      <c r="K31" s="594">
        <v>0</v>
      </c>
      <c r="L31" s="594">
        <v>0</v>
      </c>
      <c r="M31" s="594">
        <v>0</v>
      </c>
      <c r="N31" s="595">
        <v>0</v>
      </c>
      <c r="O31" s="596">
        <v>0</v>
      </c>
      <c r="P31" s="597">
        <f>'CACP CO2'!P31+('CACP CH4'!P31*gwp_ch4)+('CACP N2O'!P31*gwp_n2o)</f>
        <v>18967.706226755006</v>
      </c>
      <c r="Q31" s="597">
        <f>'CACP CO2'!Q31+('CACP CH4'!Q31*gwp_ch4)+('CACP N2O'!Q31*gwp_n2o)</f>
        <v>5292922.4458329193</v>
      </c>
      <c r="R31" s="597">
        <v>0</v>
      </c>
      <c r="S31" s="597">
        <v>0</v>
      </c>
      <c r="T31" s="597">
        <v>0</v>
      </c>
      <c r="U31" s="597">
        <v>0</v>
      </c>
      <c r="V31" s="597">
        <v>0</v>
      </c>
      <c r="W31" s="597">
        <v>0</v>
      </c>
      <c r="X31" s="597">
        <v>0</v>
      </c>
      <c r="Y31" s="597">
        <v>0</v>
      </c>
      <c r="Z31" s="598">
        <v>0</v>
      </c>
      <c r="AA31" s="597">
        <f>'CACP CO2'!AA31+('CACP CH4'!AA31*gwp_ch4)+('CACP N2O'!AA31*gwp_n2o)</f>
        <v>418774.52388131461</v>
      </c>
      <c r="AB31" s="597">
        <f>'CACP CO2'!AB31+('CACP CH4'!AB31*gwp_ch4)+('CACP N2O'!AB31*gwp_n2o)</f>
        <v>157895.39922558799</v>
      </c>
      <c r="AC31" s="597">
        <v>0</v>
      </c>
      <c r="AD31" s="597">
        <v>0</v>
      </c>
      <c r="AE31" s="597">
        <v>0</v>
      </c>
      <c r="AF31" s="597">
        <v>0</v>
      </c>
      <c r="AG31" s="597">
        <v>0</v>
      </c>
      <c r="AH31" s="597">
        <v>0</v>
      </c>
      <c r="AI31" s="598">
        <v>0</v>
      </c>
      <c r="AJ31" s="600">
        <v>0</v>
      </c>
      <c r="AK31" s="570"/>
      <c r="AL31" s="571"/>
      <c r="AM31" s="571"/>
      <c r="AN31" s="571"/>
      <c r="AO31" s="571"/>
      <c r="AP31" s="572"/>
      <c r="AQ31" s="570"/>
      <c r="AR31" s="571"/>
      <c r="AS31" s="573"/>
      <c r="AT31" s="573"/>
      <c r="AU31" s="573"/>
      <c r="AV31" s="573"/>
      <c r="AW31" s="573"/>
      <c r="AX31" s="573"/>
      <c r="AY31" s="573"/>
      <c r="AZ31" s="572"/>
      <c r="BA31" s="601">
        <f>'CACP CO2'!BA31+('CACP CH4'!BA31*gwp_ch4)+('CACP N2O'!BA31*gwp_n2o)</f>
        <v>90861079.38208425</v>
      </c>
      <c r="BB31" s="602">
        <f>'CACP CO2'!BB31+('CACP CH4'!BB31*gwp_ch4)+('CACP N2O'!BB31*gwp_n2o)</f>
        <v>74432153.484844685</v>
      </c>
      <c r="BC31" s="603">
        <f>'CACP CO2'!BC31+('CACP CH4'!BC31*gwp_ch4)+('CACP N2O'!BC31*gwp_n2o)</f>
        <v>21369951.825654574</v>
      </c>
      <c r="BD31" s="604">
        <f>'CACP CO2'!BD31+('CACP CH4'!BD31*gwp_ch4)+('CACP N2O'!BD31*gwp_n2o)</f>
        <v>9521396.629186336</v>
      </c>
      <c r="BE31" s="605">
        <v>0</v>
      </c>
      <c r="BF31" s="605">
        <v>0</v>
      </c>
      <c r="BG31" s="606">
        <v>0</v>
      </c>
      <c r="BH31" s="607">
        <f>'CACP CO2'!BH31+('CACP CH4'!BH31*gwp_ch4)+('CACP N2O'!BH31*gwp_n2o)</f>
        <v>6947929.9043731056</v>
      </c>
      <c r="BI31" s="605">
        <v>0</v>
      </c>
      <c r="BJ31" s="605">
        <v>0</v>
      </c>
      <c r="BK31" s="608">
        <v>0</v>
      </c>
      <c r="BL31" s="604">
        <f>'CACP CO2'!BL31+('CACP CH4'!BL31*gwp_ch4)+('CACP N2O'!BL31*gwp_n2o)</f>
        <v>24819480.33375207</v>
      </c>
      <c r="BM31" s="609">
        <v>0</v>
      </c>
      <c r="BN31" s="605">
        <v>0</v>
      </c>
      <c r="BO31" s="605">
        <v>0</v>
      </c>
      <c r="BP31" s="605">
        <f>'CACP CO2'!BP31+('CACP CH4'!BP31*gwp_ch4)+('CACP N2O'!BP31*gwp_n2o)</f>
        <v>7403.8220599273873</v>
      </c>
      <c r="BQ31" s="605">
        <v>0</v>
      </c>
      <c r="BR31" s="606">
        <v>0</v>
      </c>
      <c r="BS31" s="610">
        <f>'CACP CO2'!BS31+('CACP CH4'!BS31*gwp_ch4)+('CACP N2O'!BS31*gwp_n2o)</f>
        <v>3171476.3084715749</v>
      </c>
      <c r="BT31" s="604">
        <v>-11893.199999999999</v>
      </c>
      <c r="BU31" s="605">
        <v>0</v>
      </c>
      <c r="BV31" s="584"/>
      <c r="BW31" s="584"/>
      <c r="BX31" s="585"/>
      <c r="BY31" s="586"/>
      <c r="BZ31" s="587"/>
      <c r="CA31" s="587"/>
      <c r="CB31" s="588"/>
      <c r="CC31" s="589"/>
      <c r="CD31" s="587"/>
      <c r="CE31" s="587"/>
      <c r="CF31" s="587"/>
      <c r="CG31" s="588"/>
      <c r="CH31" s="611">
        <v>13941603.363065301</v>
      </c>
      <c r="CI31" s="591"/>
      <c r="CJ31" s="584"/>
      <c r="CK31" s="584"/>
      <c r="CL31" s="584"/>
      <c r="CM31" s="592"/>
      <c r="CN31" s="593"/>
      <c r="CO31" s="584"/>
      <c r="CP31" s="584"/>
      <c r="CQ31" s="585"/>
    </row>
    <row r="32" spans="1:95" ht="15.75" thickBot="1">
      <c r="A32" s="425"/>
      <c r="B32" s="561">
        <v>2011</v>
      </c>
      <c r="C32" s="562">
        <v>0</v>
      </c>
      <c r="D32" s="594">
        <v>0</v>
      </c>
      <c r="E32" s="594">
        <v>0</v>
      </c>
      <c r="F32" s="594">
        <v>0</v>
      </c>
      <c r="G32" s="594">
        <v>0</v>
      </c>
      <c r="H32" s="594">
        <v>0</v>
      </c>
      <c r="I32" s="594">
        <v>0</v>
      </c>
      <c r="J32" s="594">
        <v>0</v>
      </c>
      <c r="K32" s="594">
        <v>0</v>
      </c>
      <c r="L32" s="594">
        <v>0</v>
      </c>
      <c r="M32" s="594">
        <v>0</v>
      </c>
      <c r="N32" s="595">
        <v>0</v>
      </c>
      <c r="O32" s="596">
        <v>0</v>
      </c>
      <c r="P32" s="597">
        <f>'CACP CO2'!P32+('CACP CH4'!P32*gwp_ch4)+('CACP N2O'!P32*gwp_n2o)</f>
        <v>19347.060351290107</v>
      </c>
      <c r="Q32" s="597">
        <f>'CACP CO2'!Q32+('CACP CH4'!Q32*gwp_ch4)+('CACP N2O'!Q32*gwp_n2o)</f>
        <v>5398780.8947495781</v>
      </c>
      <c r="R32" s="597">
        <v>0</v>
      </c>
      <c r="S32" s="597">
        <v>0</v>
      </c>
      <c r="T32" s="597">
        <v>0</v>
      </c>
      <c r="U32" s="597">
        <v>0</v>
      </c>
      <c r="V32" s="597">
        <v>0</v>
      </c>
      <c r="W32" s="597">
        <v>0</v>
      </c>
      <c r="X32" s="597">
        <v>0</v>
      </c>
      <c r="Y32" s="597">
        <v>0</v>
      </c>
      <c r="Z32" s="598">
        <v>0</v>
      </c>
      <c r="AA32" s="597">
        <f>'CACP CO2'!AA32+('CACP CH4'!AA32*gwp_ch4)+('CACP N2O'!AA32*gwp_n2o)</f>
        <v>427150.01435894094</v>
      </c>
      <c r="AB32" s="597">
        <f>'CACP CO2'!AB32+('CACP CH4'!AB32*gwp_ch4)+('CACP N2O'!AB32*gwp_n2o)</f>
        <v>161053.30721009977</v>
      </c>
      <c r="AC32" s="597">
        <v>0</v>
      </c>
      <c r="AD32" s="597">
        <v>0</v>
      </c>
      <c r="AE32" s="597">
        <v>0</v>
      </c>
      <c r="AF32" s="597">
        <v>0</v>
      </c>
      <c r="AG32" s="597">
        <v>0</v>
      </c>
      <c r="AH32" s="597">
        <v>0</v>
      </c>
      <c r="AI32" s="598">
        <v>0</v>
      </c>
      <c r="AJ32" s="600">
        <v>0</v>
      </c>
      <c r="AK32" s="570"/>
      <c r="AL32" s="571"/>
      <c r="AM32" s="571"/>
      <c r="AN32" s="571"/>
      <c r="AO32" s="571"/>
      <c r="AP32" s="572"/>
      <c r="AQ32" s="570"/>
      <c r="AR32" s="571"/>
      <c r="AS32" s="573"/>
      <c r="AT32" s="573"/>
      <c r="AU32" s="573"/>
      <c r="AV32" s="573"/>
      <c r="AW32" s="573"/>
      <c r="AX32" s="573"/>
      <c r="AY32" s="573"/>
      <c r="AZ32" s="572"/>
      <c r="BA32" s="601">
        <f>'CACP CO2'!BA32+('CACP CH4'!BA32*gwp_ch4)+('CACP N2O'!BA32*gwp_n2o)</f>
        <v>92678300.969725952</v>
      </c>
      <c r="BB32" s="602">
        <f>'CACP CO2'!BB32+('CACP CH4'!BB32*gwp_ch4)+('CACP N2O'!BB32*gwp_n2o)</f>
        <v>75920796.554541573</v>
      </c>
      <c r="BC32" s="603">
        <f>'CACP CO2'!BC32+('CACP CH4'!BC32*gwp_ch4)+('CACP N2O'!BC32*gwp_n2o)</f>
        <v>21797350.862167664</v>
      </c>
      <c r="BD32" s="604">
        <f>'CACP CO2'!BD32+('CACP CH4'!BD32*gwp_ch4)+('CACP N2O'!BD32*gwp_n2o)</f>
        <v>9711824.561770061</v>
      </c>
      <c r="BE32" s="605">
        <v>0</v>
      </c>
      <c r="BF32" s="605">
        <v>0</v>
      </c>
      <c r="BG32" s="606">
        <v>0</v>
      </c>
      <c r="BH32" s="607">
        <f>'CACP CO2'!BH32+('CACP CH4'!BH32*gwp_ch4)+('CACP N2O'!BH32*gwp_n2o)</f>
        <v>7086888.5024605682</v>
      </c>
      <c r="BI32" s="605">
        <v>0</v>
      </c>
      <c r="BJ32" s="605">
        <v>0</v>
      </c>
      <c r="BK32" s="608">
        <v>0</v>
      </c>
      <c r="BL32" s="604">
        <f>'CACP CO2'!BL32+('CACP CH4'!BL32*gwp_ch4)+('CACP N2O'!BL32*gwp_n2o)</f>
        <v>25315869.940427113</v>
      </c>
      <c r="BM32" s="609">
        <v>0</v>
      </c>
      <c r="BN32" s="605">
        <v>0</v>
      </c>
      <c r="BO32" s="605">
        <v>0</v>
      </c>
      <c r="BP32" s="605">
        <f>'CACP CO2'!BP32+('CACP CH4'!BP32*gwp_ch4)+('CACP N2O'!BP32*gwp_n2o)</f>
        <v>7551.8985011259356</v>
      </c>
      <c r="BQ32" s="605">
        <v>0</v>
      </c>
      <c r="BR32" s="606">
        <v>0</v>
      </c>
      <c r="BS32" s="610">
        <f>'CACP CO2'!BS32+('CACP CH4'!BS32*gwp_ch4)+('CACP N2O'!BS32*gwp_n2o)</f>
        <v>3234905.8346410068</v>
      </c>
      <c r="BT32" s="604">
        <v>-12131.064</v>
      </c>
      <c r="BU32" s="605">
        <v>0</v>
      </c>
      <c r="BV32" s="584"/>
      <c r="BW32" s="584"/>
      <c r="BX32" s="585"/>
      <c r="BY32" s="586"/>
      <c r="BZ32" s="587"/>
      <c r="CA32" s="587"/>
      <c r="CB32" s="588"/>
      <c r="CC32" s="589"/>
      <c r="CD32" s="587"/>
      <c r="CE32" s="587"/>
      <c r="CF32" s="587"/>
      <c r="CG32" s="588"/>
      <c r="CH32" s="611">
        <v>14220435.430326609</v>
      </c>
      <c r="CI32" s="591"/>
      <c r="CJ32" s="584"/>
      <c r="CK32" s="584"/>
      <c r="CL32" s="584"/>
      <c r="CM32" s="592"/>
      <c r="CN32" s="593"/>
      <c r="CO32" s="584"/>
      <c r="CP32" s="584"/>
      <c r="CQ32" s="585"/>
    </row>
    <row r="33" spans="1:95" ht="15.75" thickBot="1">
      <c r="A33" s="425"/>
      <c r="B33" s="561">
        <v>2012</v>
      </c>
      <c r="C33" s="562">
        <v>0</v>
      </c>
      <c r="D33" s="594">
        <v>0</v>
      </c>
      <c r="E33" s="594">
        <v>0</v>
      </c>
      <c r="F33" s="594">
        <v>0</v>
      </c>
      <c r="G33" s="594">
        <v>0</v>
      </c>
      <c r="H33" s="594">
        <v>0</v>
      </c>
      <c r="I33" s="594">
        <v>0</v>
      </c>
      <c r="J33" s="594">
        <v>0</v>
      </c>
      <c r="K33" s="594">
        <v>0</v>
      </c>
      <c r="L33" s="594">
        <v>0</v>
      </c>
      <c r="M33" s="594">
        <v>0</v>
      </c>
      <c r="N33" s="595">
        <v>0</v>
      </c>
      <c r="O33" s="596">
        <v>0</v>
      </c>
      <c r="P33" s="597">
        <f>'CACP CO2'!P33+('CACP CH4'!P33*gwp_ch4)+('CACP N2O'!P33*gwp_n2o)</f>
        <v>19734.001558315907</v>
      </c>
      <c r="Q33" s="597">
        <f>'CACP CO2'!Q33+('CACP CH4'!Q33*gwp_ch4)+('CACP N2O'!Q33*gwp_n2o)</f>
        <v>5506756.5126445703</v>
      </c>
      <c r="R33" s="597">
        <v>0</v>
      </c>
      <c r="S33" s="597">
        <v>0</v>
      </c>
      <c r="T33" s="597">
        <v>0</v>
      </c>
      <c r="U33" s="597">
        <v>0</v>
      </c>
      <c r="V33" s="597">
        <v>0</v>
      </c>
      <c r="W33" s="597">
        <v>0</v>
      </c>
      <c r="X33" s="597">
        <v>0</v>
      </c>
      <c r="Y33" s="597">
        <v>0</v>
      </c>
      <c r="Z33" s="598">
        <v>0</v>
      </c>
      <c r="AA33" s="597">
        <f>'CACP CO2'!AA33+('CACP CH4'!AA33*gwp_ch4)+('CACP N2O'!AA33*gwp_n2o)</f>
        <v>435693.01464611973</v>
      </c>
      <c r="AB33" s="597">
        <f>'CACP CO2'!AB33+('CACP CH4'!AB33*gwp_ch4)+('CACP N2O'!AB33*gwp_n2o)</f>
        <v>164274.37335430179</v>
      </c>
      <c r="AC33" s="597">
        <v>0</v>
      </c>
      <c r="AD33" s="597">
        <v>0</v>
      </c>
      <c r="AE33" s="597">
        <v>0</v>
      </c>
      <c r="AF33" s="597">
        <v>0</v>
      </c>
      <c r="AG33" s="597">
        <v>0</v>
      </c>
      <c r="AH33" s="597">
        <v>0</v>
      </c>
      <c r="AI33" s="598">
        <v>0</v>
      </c>
      <c r="AJ33" s="600">
        <v>0</v>
      </c>
      <c r="AK33" s="570"/>
      <c r="AL33" s="571"/>
      <c r="AM33" s="571"/>
      <c r="AN33" s="571"/>
      <c r="AO33" s="571"/>
      <c r="AP33" s="572"/>
      <c r="AQ33" s="570"/>
      <c r="AR33" s="571"/>
      <c r="AS33" s="573"/>
      <c r="AT33" s="573"/>
      <c r="AU33" s="573"/>
      <c r="AV33" s="573"/>
      <c r="AW33" s="573"/>
      <c r="AX33" s="573"/>
      <c r="AY33" s="573"/>
      <c r="AZ33" s="572"/>
      <c r="BA33" s="601">
        <f>'CACP CO2'!BA33+('CACP CH4'!BA33*gwp_ch4)+('CACP N2O'!BA33*gwp_n2o)</f>
        <v>94531866.989120468</v>
      </c>
      <c r="BB33" s="602">
        <f>'CACP CO2'!BB33+('CACP CH4'!BB33*gwp_ch4)+('CACP N2O'!BB33*gwp_n2o)</f>
        <v>77439212.48563242</v>
      </c>
      <c r="BC33" s="603">
        <f>'CACP CO2'!BC33+('CACP CH4'!BC33*gwp_ch4)+('CACP N2O'!BC33*gwp_n2o)</f>
        <v>22233297.879411016</v>
      </c>
      <c r="BD33" s="604">
        <f>'CACP CO2'!BD33+('CACP CH4'!BD33*gwp_ch4)+('CACP N2O'!BD33*gwp_n2o)</f>
        <v>9906061.0530054606</v>
      </c>
      <c r="BE33" s="605">
        <v>0</v>
      </c>
      <c r="BF33" s="605">
        <v>0</v>
      </c>
      <c r="BG33" s="606">
        <v>0</v>
      </c>
      <c r="BH33" s="607">
        <f>'CACP CO2'!BH33+('CACP CH4'!BH33*gwp_ch4)+('CACP N2O'!BH33*gwp_n2o)</f>
        <v>7228626.2725097798</v>
      </c>
      <c r="BI33" s="605">
        <v>0</v>
      </c>
      <c r="BJ33" s="605">
        <v>0</v>
      </c>
      <c r="BK33" s="608">
        <v>0</v>
      </c>
      <c r="BL33" s="604">
        <f>'CACP CO2'!BL33+('CACP CH4'!BL33*gwp_ch4)+('CACP N2O'!BL33*gwp_n2o)</f>
        <v>25822187.339235652</v>
      </c>
      <c r="BM33" s="609">
        <v>0</v>
      </c>
      <c r="BN33" s="605">
        <v>0</v>
      </c>
      <c r="BO33" s="605">
        <v>0</v>
      </c>
      <c r="BP33" s="605">
        <f>'CACP CO2'!BP33+('CACP CH4'!BP33*gwp_ch4)+('CACP N2O'!BP33*gwp_n2o)</f>
        <v>7702.9364711484532</v>
      </c>
      <c r="BQ33" s="605">
        <v>0</v>
      </c>
      <c r="BR33" s="606">
        <v>0</v>
      </c>
      <c r="BS33" s="610">
        <f>'CACP CO2'!BS33+('CACP CH4'!BS33*gwp_ch4)+('CACP N2O'!BS33*gwp_n2o)</f>
        <v>3299603.9513338264</v>
      </c>
      <c r="BT33" s="604">
        <v>-12373.68528</v>
      </c>
      <c r="BU33" s="605">
        <v>0</v>
      </c>
      <c r="BV33" s="584"/>
      <c r="BW33" s="584"/>
      <c r="BX33" s="585"/>
      <c r="BY33" s="586"/>
      <c r="BZ33" s="587"/>
      <c r="CA33" s="587"/>
      <c r="CB33" s="588"/>
      <c r="CC33" s="589"/>
      <c r="CD33" s="587"/>
      <c r="CE33" s="587"/>
      <c r="CF33" s="587"/>
      <c r="CG33" s="588"/>
      <c r="CH33" s="611">
        <v>14504844.138933141</v>
      </c>
      <c r="CI33" s="591"/>
      <c r="CJ33" s="584"/>
      <c r="CK33" s="584"/>
      <c r="CL33" s="584"/>
      <c r="CM33" s="592"/>
      <c r="CN33" s="593"/>
      <c r="CO33" s="584"/>
      <c r="CP33" s="584"/>
      <c r="CQ33" s="585"/>
    </row>
    <row r="34" spans="1:95" ht="15.75" thickBot="1">
      <c r="A34" s="425"/>
      <c r="B34" s="561">
        <v>2013</v>
      </c>
      <c r="C34" s="562">
        <v>0</v>
      </c>
      <c r="D34" s="594">
        <v>0</v>
      </c>
      <c r="E34" s="594">
        <v>0</v>
      </c>
      <c r="F34" s="594">
        <v>0</v>
      </c>
      <c r="G34" s="594">
        <v>0</v>
      </c>
      <c r="H34" s="594">
        <v>0</v>
      </c>
      <c r="I34" s="594">
        <v>0</v>
      </c>
      <c r="J34" s="594">
        <v>0</v>
      </c>
      <c r="K34" s="594">
        <v>0</v>
      </c>
      <c r="L34" s="594">
        <v>0</v>
      </c>
      <c r="M34" s="594">
        <v>0</v>
      </c>
      <c r="N34" s="595">
        <v>0</v>
      </c>
      <c r="O34" s="596">
        <v>0</v>
      </c>
      <c r="P34" s="597">
        <f>'CACP CO2'!P34+('CACP CH4'!P34*gwp_ch4)+('CACP N2O'!P34*gwp_n2o)</f>
        <v>20128.681589482225</v>
      </c>
      <c r="Q34" s="597">
        <f>'CACP CO2'!Q34+('CACP CH4'!Q34*gwp_ch4)+('CACP N2O'!Q34*gwp_n2o)</f>
        <v>5616891.6428974615</v>
      </c>
      <c r="R34" s="597">
        <v>0</v>
      </c>
      <c r="S34" s="597">
        <v>0</v>
      </c>
      <c r="T34" s="597">
        <v>0</v>
      </c>
      <c r="U34" s="597">
        <v>0</v>
      </c>
      <c r="V34" s="597">
        <v>0</v>
      </c>
      <c r="W34" s="597">
        <v>0</v>
      </c>
      <c r="X34" s="597">
        <v>0</v>
      </c>
      <c r="Y34" s="597">
        <v>0</v>
      </c>
      <c r="Z34" s="598">
        <v>0</v>
      </c>
      <c r="AA34" s="597">
        <f>'CACP CO2'!AA34+('CACP CH4'!AA34*gwp_ch4)+('CACP N2O'!AA34*gwp_n2o)</f>
        <v>444406.87493904209</v>
      </c>
      <c r="AB34" s="597">
        <f>'CACP CO2'!AB34+('CACP CH4'!AB34*gwp_ch4)+('CACP N2O'!AB34*gwp_n2o)</f>
        <v>167559.86082138779</v>
      </c>
      <c r="AC34" s="597">
        <v>0</v>
      </c>
      <c r="AD34" s="597">
        <v>0</v>
      </c>
      <c r="AE34" s="597">
        <v>0</v>
      </c>
      <c r="AF34" s="597">
        <v>0</v>
      </c>
      <c r="AG34" s="597">
        <v>0</v>
      </c>
      <c r="AH34" s="597">
        <v>0</v>
      </c>
      <c r="AI34" s="598">
        <v>0</v>
      </c>
      <c r="AJ34" s="600">
        <v>0</v>
      </c>
      <c r="AK34" s="570"/>
      <c r="AL34" s="571"/>
      <c r="AM34" s="571"/>
      <c r="AN34" s="571"/>
      <c r="AO34" s="571"/>
      <c r="AP34" s="572"/>
      <c r="AQ34" s="570"/>
      <c r="AR34" s="571"/>
      <c r="AS34" s="573"/>
      <c r="AT34" s="573"/>
      <c r="AU34" s="573"/>
      <c r="AV34" s="573"/>
      <c r="AW34" s="573"/>
      <c r="AX34" s="573"/>
      <c r="AY34" s="573"/>
      <c r="AZ34" s="572"/>
      <c r="BA34" s="601">
        <f>'CACP CO2'!BA34+('CACP CH4'!BA34*gwp_ch4)+('CACP N2O'!BA34*gwp_n2o)</f>
        <v>96422504.328902885</v>
      </c>
      <c r="BB34" s="602">
        <f>'CACP CO2'!BB34+('CACP CH4'!BB34*gwp_ch4)+('CACP N2O'!BB34*gwp_n2o)</f>
        <v>78987996.735345066</v>
      </c>
      <c r="BC34" s="603">
        <f>'CACP CO2'!BC34+('CACP CH4'!BC34*gwp_ch4)+('CACP N2O'!BC34*gwp_n2o)</f>
        <v>22677963.836999241</v>
      </c>
      <c r="BD34" s="604">
        <f>'CACP CO2'!BD34+('CACP CH4'!BD34*gwp_ch4)+('CACP N2O'!BD34*gwp_n2o)</f>
        <v>10104182.274065573</v>
      </c>
      <c r="BE34" s="605">
        <v>0</v>
      </c>
      <c r="BF34" s="605">
        <v>0</v>
      </c>
      <c r="BG34" s="606">
        <v>0</v>
      </c>
      <c r="BH34" s="607">
        <f>'CACP CO2'!BH34+('CACP CH4'!BH34*gwp_ch4)+('CACP N2O'!BH34*gwp_n2o)</f>
        <v>7373198.7979599768</v>
      </c>
      <c r="BI34" s="605">
        <v>0</v>
      </c>
      <c r="BJ34" s="605">
        <v>0</v>
      </c>
      <c r="BK34" s="608">
        <v>0</v>
      </c>
      <c r="BL34" s="604">
        <f>'CACP CO2'!BL34+('CACP CH4'!BL34*gwp_ch4)+('CACP N2O'!BL34*gwp_n2o)</f>
        <v>26338631.086020362</v>
      </c>
      <c r="BM34" s="609">
        <v>0</v>
      </c>
      <c r="BN34" s="605">
        <v>0</v>
      </c>
      <c r="BO34" s="605">
        <v>0</v>
      </c>
      <c r="BP34" s="605">
        <f>'CACP CO2'!BP34+('CACP CH4'!BP34*gwp_ch4)+('CACP N2O'!BP34*gwp_n2o)</f>
        <v>7856.9952005714231</v>
      </c>
      <c r="BQ34" s="605">
        <v>0</v>
      </c>
      <c r="BR34" s="606">
        <v>0</v>
      </c>
      <c r="BS34" s="610">
        <f>'CACP CO2'!BS34+('CACP CH4'!BS34*gwp_ch4)+('CACP N2O'!BS34*gwp_n2o)</f>
        <v>3365596.0303605036</v>
      </c>
      <c r="BT34" s="604">
        <v>-12621.158985599999</v>
      </c>
      <c r="BU34" s="605">
        <v>0</v>
      </c>
      <c r="BV34" s="584"/>
      <c r="BW34" s="584"/>
      <c r="BX34" s="585"/>
      <c r="BY34" s="586"/>
      <c r="BZ34" s="587"/>
      <c r="CA34" s="587"/>
      <c r="CB34" s="588"/>
      <c r="CC34" s="589"/>
      <c r="CD34" s="587"/>
      <c r="CE34" s="587"/>
      <c r="CF34" s="587"/>
      <c r="CG34" s="588"/>
      <c r="CH34" s="611">
        <v>14794941.021711802</v>
      </c>
      <c r="CI34" s="591"/>
      <c r="CJ34" s="584"/>
      <c r="CK34" s="584"/>
      <c r="CL34" s="584"/>
      <c r="CM34" s="592"/>
      <c r="CN34" s="593"/>
      <c r="CO34" s="584"/>
      <c r="CP34" s="584"/>
      <c r="CQ34" s="585"/>
    </row>
    <row r="35" spans="1:95" ht="15.75" thickBot="1">
      <c r="A35" s="425"/>
      <c r="B35" s="561">
        <v>2014</v>
      </c>
      <c r="C35" s="562">
        <v>0</v>
      </c>
      <c r="D35" s="594">
        <v>0</v>
      </c>
      <c r="E35" s="594">
        <v>0</v>
      </c>
      <c r="F35" s="594">
        <v>0</v>
      </c>
      <c r="G35" s="594">
        <v>0</v>
      </c>
      <c r="H35" s="594">
        <v>0</v>
      </c>
      <c r="I35" s="594">
        <v>0</v>
      </c>
      <c r="J35" s="594">
        <v>0</v>
      </c>
      <c r="K35" s="594">
        <v>0</v>
      </c>
      <c r="L35" s="594">
        <v>0</v>
      </c>
      <c r="M35" s="594">
        <v>0</v>
      </c>
      <c r="N35" s="595">
        <v>0</v>
      </c>
      <c r="O35" s="596">
        <v>0</v>
      </c>
      <c r="P35" s="597">
        <f>'CACP CO2'!P35+('CACP CH4'!P35*gwp_ch4)+('CACP N2O'!P35*gwp_n2o)</f>
        <v>20531.255221271869</v>
      </c>
      <c r="Q35" s="597">
        <f>'CACP CO2'!Q35+('CACP CH4'!Q35*gwp_ch4)+('CACP N2O'!Q35*gwp_n2o)</f>
        <v>5729229.4757554103</v>
      </c>
      <c r="R35" s="597">
        <v>0</v>
      </c>
      <c r="S35" s="597">
        <v>0</v>
      </c>
      <c r="T35" s="597">
        <v>0</v>
      </c>
      <c r="U35" s="597">
        <v>0</v>
      </c>
      <c r="V35" s="597">
        <v>0</v>
      </c>
      <c r="W35" s="597">
        <v>0</v>
      </c>
      <c r="X35" s="597">
        <v>0</v>
      </c>
      <c r="Y35" s="597">
        <v>0</v>
      </c>
      <c r="Z35" s="598">
        <v>0</v>
      </c>
      <c r="AA35" s="597">
        <f>'CACP CO2'!AA35+('CACP CH4'!AA35*gwp_ch4)+('CACP N2O'!AA35*gwp_n2o)</f>
        <v>453295.01243782294</v>
      </c>
      <c r="AB35" s="597">
        <f>'CACP CO2'!AB35+('CACP CH4'!AB35*gwp_ch4)+('CACP N2O'!AB35*gwp_n2o)</f>
        <v>170911.05803781559</v>
      </c>
      <c r="AC35" s="597">
        <v>0</v>
      </c>
      <c r="AD35" s="597">
        <v>0</v>
      </c>
      <c r="AE35" s="597">
        <v>0</v>
      </c>
      <c r="AF35" s="597">
        <v>0</v>
      </c>
      <c r="AG35" s="597">
        <v>0</v>
      </c>
      <c r="AH35" s="597">
        <v>0</v>
      </c>
      <c r="AI35" s="598">
        <v>0</v>
      </c>
      <c r="AJ35" s="600">
        <v>0</v>
      </c>
      <c r="AK35" s="570"/>
      <c r="AL35" s="571"/>
      <c r="AM35" s="571"/>
      <c r="AN35" s="571"/>
      <c r="AO35" s="571"/>
      <c r="AP35" s="572"/>
      <c r="AQ35" s="570"/>
      <c r="AR35" s="571"/>
      <c r="AS35" s="573"/>
      <c r="AT35" s="573"/>
      <c r="AU35" s="573"/>
      <c r="AV35" s="573"/>
      <c r="AW35" s="573"/>
      <c r="AX35" s="573"/>
      <c r="AY35" s="573"/>
      <c r="AZ35" s="572"/>
      <c r="BA35" s="601">
        <f>'CACP CO2'!BA35+('CACP CH4'!BA35*gwp_ch4)+('CACP N2O'!BA35*gwp_n2o)</f>
        <v>98350954.415480956</v>
      </c>
      <c r="BB35" s="602">
        <f>'CACP CO2'!BB35+('CACP CH4'!BB35*gwp_ch4)+('CACP N2O'!BB35*gwp_n2o)</f>
        <v>80567756.670051962</v>
      </c>
      <c r="BC35" s="603">
        <f>'CACP CO2'!BC35+('CACP CH4'!BC35*gwp_ch4)+('CACP N2O'!BC35*gwp_n2o)</f>
        <v>23131523.113739226</v>
      </c>
      <c r="BD35" s="604">
        <f>'CACP CO2'!BD35+('CACP CH4'!BD35*gwp_ch4)+('CACP N2O'!BD35*gwp_n2o)</f>
        <v>10306265.919546884</v>
      </c>
      <c r="BE35" s="605">
        <v>0</v>
      </c>
      <c r="BF35" s="605">
        <v>0</v>
      </c>
      <c r="BG35" s="606">
        <v>0</v>
      </c>
      <c r="BH35" s="607">
        <f>'CACP CO2'!BH35+('CACP CH4'!BH35*gwp_ch4)+('CACP N2O'!BH35*gwp_n2o)</f>
        <v>7520662.7739191772</v>
      </c>
      <c r="BI35" s="605">
        <v>0</v>
      </c>
      <c r="BJ35" s="605">
        <v>0</v>
      </c>
      <c r="BK35" s="608">
        <v>0</v>
      </c>
      <c r="BL35" s="604">
        <f>'CACP CO2'!BL35+('CACP CH4'!BL35*gwp_ch4)+('CACP N2O'!BL35*gwp_n2o)</f>
        <v>26865403.707740769</v>
      </c>
      <c r="BM35" s="609">
        <v>0</v>
      </c>
      <c r="BN35" s="605">
        <v>0</v>
      </c>
      <c r="BO35" s="605">
        <v>0</v>
      </c>
      <c r="BP35" s="605">
        <f>'CACP CO2'!BP35+('CACP CH4'!BP35*gwp_ch4)+('CACP N2O'!BP35*gwp_n2o)</f>
        <v>8014.1351045828515</v>
      </c>
      <c r="BQ35" s="605">
        <v>0</v>
      </c>
      <c r="BR35" s="606">
        <v>0</v>
      </c>
      <c r="BS35" s="610">
        <f>'CACP CO2'!BS35+('CACP CH4'!BS35*gwp_ch4)+('CACP N2O'!BS35*gwp_n2o)</f>
        <v>3432907.9509677137</v>
      </c>
      <c r="BT35" s="604">
        <v>-12873.582165312</v>
      </c>
      <c r="BU35" s="605">
        <v>0</v>
      </c>
      <c r="BV35" s="584"/>
      <c r="BW35" s="584"/>
      <c r="BX35" s="585"/>
      <c r="BY35" s="586"/>
      <c r="BZ35" s="587"/>
      <c r="CA35" s="587"/>
      <c r="CB35" s="588"/>
      <c r="CC35" s="589"/>
      <c r="CD35" s="587"/>
      <c r="CE35" s="587"/>
      <c r="CF35" s="587"/>
      <c r="CG35" s="588"/>
      <c r="CH35" s="611">
        <v>15090839.842146039</v>
      </c>
      <c r="CI35" s="591"/>
      <c r="CJ35" s="584"/>
      <c r="CK35" s="584"/>
      <c r="CL35" s="584"/>
      <c r="CM35" s="592"/>
      <c r="CN35" s="593"/>
      <c r="CO35" s="584"/>
      <c r="CP35" s="584"/>
      <c r="CQ35" s="585"/>
    </row>
    <row r="36" spans="1:95" ht="15.75" thickBot="1">
      <c r="A36" s="425"/>
      <c r="B36" s="561">
        <v>2015</v>
      </c>
      <c r="C36" s="562">
        <v>0</v>
      </c>
      <c r="D36" s="594">
        <v>0</v>
      </c>
      <c r="E36" s="594">
        <v>0</v>
      </c>
      <c r="F36" s="594">
        <v>0</v>
      </c>
      <c r="G36" s="594">
        <v>0</v>
      </c>
      <c r="H36" s="594">
        <v>0</v>
      </c>
      <c r="I36" s="594">
        <v>0</v>
      </c>
      <c r="J36" s="594">
        <v>0</v>
      </c>
      <c r="K36" s="594">
        <v>0</v>
      </c>
      <c r="L36" s="594">
        <v>0</v>
      </c>
      <c r="M36" s="594">
        <v>0</v>
      </c>
      <c r="N36" s="595">
        <v>0</v>
      </c>
      <c r="O36" s="596">
        <v>0</v>
      </c>
      <c r="P36" s="597">
        <f>'CACP CO2'!P36+('CACP CH4'!P36*gwp_ch4)+('CACP N2O'!P36*gwp_n2o)</f>
        <v>20941.880325697308</v>
      </c>
      <c r="Q36" s="597">
        <f>'CACP CO2'!Q36+('CACP CH4'!Q36*gwp_ch4)+('CACP N2O'!Q36*gwp_n2o)</f>
        <v>5843814.0652705189</v>
      </c>
      <c r="R36" s="597">
        <v>0</v>
      </c>
      <c r="S36" s="597">
        <v>0</v>
      </c>
      <c r="T36" s="597">
        <v>0</v>
      </c>
      <c r="U36" s="597">
        <v>0</v>
      </c>
      <c r="V36" s="597">
        <v>0</v>
      </c>
      <c r="W36" s="597">
        <v>0</v>
      </c>
      <c r="X36" s="597">
        <v>0</v>
      </c>
      <c r="Y36" s="597">
        <v>0</v>
      </c>
      <c r="Z36" s="598">
        <v>0</v>
      </c>
      <c r="AA36" s="597">
        <f>'CACP CO2'!AA36+('CACP CH4'!AA36*gwp_ch4)+('CACP N2O'!AA36*gwp_n2o)</f>
        <v>462360.91268657945</v>
      </c>
      <c r="AB36" s="597">
        <f>'CACP CO2'!AB36+('CACP CH4'!AB36*gwp_ch4)+('CACP N2O'!AB36*gwp_n2o)</f>
        <v>174329.27919857186</v>
      </c>
      <c r="AC36" s="597">
        <v>0</v>
      </c>
      <c r="AD36" s="597">
        <v>0</v>
      </c>
      <c r="AE36" s="597">
        <v>0</v>
      </c>
      <c r="AF36" s="597">
        <v>0</v>
      </c>
      <c r="AG36" s="597">
        <v>0</v>
      </c>
      <c r="AH36" s="597">
        <v>0</v>
      </c>
      <c r="AI36" s="598">
        <v>0</v>
      </c>
      <c r="AJ36" s="600">
        <v>0</v>
      </c>
      <c r="AK36" s="570"/>
      <c r="AL36" s="571"/>
      <c r="AM36" s="571"/>
      <c r="AN36" s="571"/>
      <c r="AO36" s="571"/>
      <c r="AP36" s="572"/>
      <c r="AQ36" s="570"/>
      <c r="AR36" s="571"/>
      <c r="AS36" s="573"/>
      <c r="AT36" s="573"/>
      <c r="AU36" s="573"/>
      <c r="AV36" s="573"/>
      <c r="AW36" s="573"/>
      <c r="AX36" s="573"/>
      <c r="AY36" s="573"/>
      <c r="AZ36" s="572"/>
      <c r="BA36" s="601">
        <f>'CACP CO2'!BA36+('CACP CH4'!BA36*gwp_ch4)+('CACP N2O'!BA36*gwp_n2o)</f>
        <v>100317973.50379056</v>
      </c>
      <c r="BB36" s="602">
        <f>'CACP CO2'!BB36+('CACP CH4'!BB36*gwp_ch4)+('CACP N2O'!BB36*gwp_n2o)</f>
        <v>82179111.803452998</v>
      </c>
      <c r="BC36" s="603">
        <f>'CACP CO2'!BC36+('CACP CH4'!BC36*gwp_ch4)+('CACP N2O'!BC36*gwp_n2o)</f>
        <v>23594153.576014008</v>
      </c>
      <c r="BD36" s="604">
        <f>'CACP CO2'!BD36+('CACP CH4'!BD36*gwp_ch4)+('CACP N2O'!BD36*gwp_n2o)</f>
        <v>10512391.237937823</v>
      </c>
      <c r="BE36" s="605">
        <v>0</v>
      </c>
      <c r="BF36" s="605">
        <v>0</v>
      </c>
      <c r="BG36" s="606">
        <v>0</v>
      </c>
      <c r="BH36" s="607">
        <f>'CACP CO2'!BH36+('CACP CH4'!BH36*gwp_ch4)+('CACP N2O'!BH36*gwp_n2o)</f>
        <v>7671076.0293975603</v>
      </c>
      <c r="BI36" s="605">
        <v>0</v>
      </c>
      <c r="BJ36" s="605">
        <v>0</v>
      </c>
      <c r="BK36" s="608">
        <v>0</v>
      </c>
      <c r="BL36" s="604">
        <f>'CACP CO2'!BL36+('CACP CH4'!BL36*gwp_ch4)+('CACP N2O'!BL36*gwp_n2o)</f>
        <v>27402711.781895582</v>
      </c>
      <c r="BM36" s="609">
        <v>0</v>
      </c>
      <c r="BN36" s="605">
        <v>0</v>
      </c>
      <c r="BO36" s="605">
        <v>0</v>
      </c>
      <c r="BP36" s="605">
        <f>'CACP CO2'!BP36+('CACP CH4'!BP36*gwp_ch4)+('CACP N2O'!BP36*gwp_n2o)</f>
        <v>8174.4178066745089</v>
      </c>
      <c r="BQ36" s="605">
        <v>0</v>
      </c>
      <c r="BR36" s="606">
        <v>0</v>
      </c>
      <c r="BS36" s="610">
        <f>'CACP CO2'!BS36+('CACP CH4'!BS36*gwp_ch4)+('CACP N2O'!BS36*gwp_n2o)</f>
        <v>3501566.1099870685</v>
      </c>
      <c r="BT36" s="604">
        <v>-13131.053808618241</v>
      </c>
      <c r="BU36" s="605">
        <v>0</v>
      </c>
      <c r="BV36" s="584"/>
      <c r="BW36" s="584"/>
      <c r="BX36" s="585"/>
      <c r="BY36" s="586"/>
      <c r="BZ36" s="587"/>
      <c r="CA36" s="587"/>
      <c r="CB36" s="588"/>
      <c r="CC36" s="589"/>
      <c r="CD36" s="587"/>
      <c r="CE36" s="587"/>
      <c r="CF36" s="587"/>
      <c r="CG36" s="588"/>
      <c r="CH36" s="611">
        <v>15392656.638988961</v>
      </c>
      <c r="CI36" s="591"/>
      <c r="CJ36" s="584"/>
      <c r="CK36" s="584"/>
      <c r="CL36" s="584"/>
      <c r="CM36" s="592"/>
      <c r="CN36" s="593"/>
      <c r="CO36" s="584"/>
      <c r="CP36" s="584"/>
      <c r="CQ36" s="585"/>
    </row>
  </sheetData>
  <mergeCells count="1">
    <mergeCell ref="BS7:BS8"/>
  </mergeCell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Sheet70">
    <tabColor rgb="FFFF0000"/>
  </sheetPr>
  <dimension ref="A1:F4"/>
  <sheetViews>
    <sheetView workbookViewId="0"/>
  </sheetViews>
  <sheetFormatPr defaultRowHeight="15"/>
  <sheetData>
    <row r="1" spans="1:6">
      <c r="A1" s="1395" t="s">
        <v>2184</v>
      </c>
      <c r="B1" s="1394"/>
      <c r="C1" s="1394"/>
      <c r="D1" s="1396">
        <v>67290</v>
      </c>
      <c r="F1" t="s">
        <v>2183</v>
      </c>
    </row>
    <row r="2" spans="1:6">
      <c r="A2" t="s">
        <v>2182</v>
      </c>
      <c r="F2" t="s">
        <v>2181</v>
      </c>
    </row>
    <row r="3" spans="1:6">
      <c r="A3" t="s">
        <v>2180</v>
      </c>
      <c r="D3">
        <v>49292</v>
      </c>
      <c r="F3" t="s">
        <v>2179</v>
      </c>
    </row>
    <row r="4" spans="1:6">
      <c r="A4" s="1395" t="s">
        <v>2178</v>
      </c>
      <c r="B4" s="1394"/>
      <c r="C4" s="1394"/>
      <c r="D4" s="1393">
        <v>5685.1855078202334</v>
      </c>
      <c r="F4" t="s">
        <v>2177</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sheetPr codeName="Sheet71">
    <tabColor rgb="FFFF0000"/>
  </sheetPr>
  <dimension ref="A1:Q32558"/>
  <sheetViews>
    <sheetView topLeftCell="G1" workbookViewId="0">
      <selection activeCell="R7" sqref="R7"/>
    </sheetView>
  </sheetViews>
  <sheetFormatPr defaultRowHeight="12.75"/>
  <cols>
    <col min="1" max="1" width="6.140625" style="1397" customWidth="1"/>
    <col min="2" max="2" width="2.42578125" style="1397" customWidth="1"/>
    <col min="3" max="3" width="11.85546875" style="1397" customWidth="1"/>
    <col min="4" max="4" width="11.7109375" style="1397" hidden="1" customWidth="1"/>
    <col min="5" max="5" width="12" style="1400" customWidth="1"/>
    <col min="6" max="6" width="43.28515625" style="1397" customWidth="1"/>
    <col min="7" max="8" width="20" style="1399" customWidth="1"/>
    <col min="9" max="9" width="20" style="1399" hidden="1" customWidth="1"/>
    <col min="10" max="10" width="20" style="1399" customWidth="1"/>
    <col min="11" max="11" width="21" style="1398" customWidth="1"/>
    <col min="12" max="12" width="21" style="1398" hidden="1" customWidth="1"/>
    <col min="13" max="13" width="21" style="1398" customWidth="1"/>
    <col min="14" max="14" width="9.140625" style="1397"/>
    <col min="15" max="16" width="15" style="1397" bestFit="1" customWidth="1"/>
    <col min="17" max="17" width="13.42578125" style="1397" bestFit="1" customWidth="1"/>
    <col min="18" max="16384" width="9.140625" style="1397"/>
  </cols>
  <sheetData>
    <row r="1" spans="1:17">
      <c r="C1" s="1450"/>
      <c r="D1" s="1450"/>
      <c r="E1" s="1448"/>
      <c r="F1" s="1450"/>
      <c r="G1" s="1449"/>
      <c r="H1" s="1449"/>
      <c r="I1" s="1449"/>
      <c r="J1" s="1449"/>
    </row>
    <row r="2" spans="1:17">
      <c r="C2" s="1450"/>
      <c r="D2" s="1450"/>
      <c r="E2" s="1448"/>
      <c r="F2" s="1450"/>
      <c r="G2" s="1449"/>
      <c r="H2" s="1449"/>
      <c r="I2" s="1449"/>
      <c r="J2" s="1449"/>
    </row>
    <row r="3" spans="1:17">
      <c r="C3" s="1748" t="s">
        <v>629</v>
      </c>
      <c r="D3" s="1748"/>
      <c r="E3" s="1748"/>
      <c r="F3" s="1748"/>
      <c r="G3" s="1748"/>
      <c r="H3" s="1748"/>
      <c r="I3" s="1448"/>
      <c r="J3" s="1448"/>
      <c r="K3" s="1440"/>
      <c r="L3" s="1440"/>
      <c r="M3" s="1440"/>
    </row>
    <row r="4" spans="1:17">
      <c r="C4" s="1748" t="s">
        <v>2915</v>
      </c>
      <c r="D4" s="1748"/>
      <c r="E4" s="1748"/>
      <c r="F4" s="1748"/>
      <c r="G4" s="1748"/>
      <c r="H4" s="1748"/>
      <c r="I4" s="1448"/>
      <c r="J4" s="1448"/>
      <c r="K4" s="1440"/>
      <c r="L4" s="1440"/>
      <c r="M4" s="1447" t="s">
        <v>2914</v>
      </c>
    </row>
    <row r="5" spans="1:17" ht="17.25" customHeight="1">
      <c r="C5" s="1749" t="s">
        <v>2913</v>
      </c>
      <c r="D5" s="1749"/>
      <c r="E5" s="1749"/>
      <c r="F5" s="1749"/>
      <c r="G5" s="1749"/>
      <c r="H5" s="1749"/>
      <c r="I5" s="1446"/>
      <c r="J5" s="1446"/>
      <c r="K5" s="1440"/>
      <c r="L5" s="1440"/>
      <c r="M5" s="1440"/>
    </row>
    <row r="6" spans="1:17" ht="18.75" customHeight="1">
      <c r="C6" s="1747" t="s">
        <v>2912</v>
      </c>
      <c r="D6" s="1747"/>
      <c r="E6" s="1747"/>
      <c r="F6" s="1747"/>
      <c r="G6" s="1747"/>
      <c r="H6" s="1747"/>
      <c r="I6" s="1445"/>
      <c r="J6" s="1445"/>
      <c r="K6" s="1440"/>
      <c r="L6" s="1440"/>
      <c r="M6" s="1440" t="s">
        <v>107</v>
      </c>
      <c r="N6" s="1444">
        <v>0.02</v>
      </c>
      <c r="Q6" s="1398" t="s">
        <v>2911</v>
      </c>
    </row>
    <row r="7" spans="1:17" ht="27" customHeight="1">
      <c r="C7" s="1443" t="s">
        <v>2910</v>
      </c>
      <c r="D7" s="1443" t="s">
        <v>2907</v>
      </c>
      <c r="E7" s="1443" t="s">
        <v>2909</v>
      </c>
      <c r="F7" s="1443"/>
      <c r="G7" s="1441"/>
      <c r="H7" s="1441"/>
      <c r="I7" s="1442" t="s">
        <v>2908</v>
      </c>
      <c r="J7" s="1441"/>
      <c r="K7" s="1440"/>
      <c r="L7" s="1440"/>
      <c r="M7" s="1440"/>
    </row>
    <row r="8" spans="1:17" ht="39" thickBot="1">
      <c r="B8" s="1419"/>
      <c r="C8" s="1438" t="s">
        <v>2907</v>
      </c>
      <c r="D8" s="1438" t="s">
        <v>2906</v>
      </c>
      <c r="E8" s="1438" t="s">
        <v>2905</v>
      </c>
      <c r="F8" s="1437" t="s">
        <v>2904</v>
      </c>
      <c r="G8" s="1436" t="s">
        <v>2903</v>
      </c>
      <c r="H8" s="1439" t="s">
        <v>2902</v>
      </c>
      <c r="I8" s="1435" t="s">
        <v>2901</v>
      </c>
      <c r="J8" s="1435" t="s">
        <v>2900</v>
      </c>
      <c r="K8" s="1434" t="s">
        <v>2899</v>
      </c>
      <c r="L8" s="1434" t="s">
        <v>2898</v>
      </c>
      <c r="M8" s="1434"/>
      <c r="Q8" s="1433">
        <f>Q9/10</f>
        <v>13461.018488901271</v>
      </c>
    </row>
    <row r="9" spans="1:17" ht="13.5" thickBot="1">
      <c r="B9" s="1419"/>
      <c r="C9" s="1438"/>
      <c r="D9" s="1438"/>
      <c r="E9" s="1438"/>
      <c r="F9" s="1437"/>
      <c r="G9" s="1436"/>
      <c r="H9" s="1436"/>
      <c r="I9" s="1435"/>
      <c r="J9" s="1435"/>
      <c r="K9" s="1434"/>
      <c r="L9" s="1434"/>
      <c r="M9" s="1434"/>
      <c r="O9" s="1423">
        <f>H10*0.2</f>
        <v>32979495.297808111</v>
      </c>
      <c r="P9" s="1397">
        <f>350*0.7</f>
        <v>244.99999999999997</v>
      </c>
      <c r="Q9" s="1433">
        <f>O9/P9</f>
        <v>134610.18488901271</v>
      </c>
    </row>
    <row r="10" spans="1:17" ht="22.5" customHeight="1" thickBot="1">
      <c r="C10" s="1432" t="s">
        <v>2897</v>
      </c>
      <c r="D10" s="1431"/>
      <c r="E10" s="1430"/>
      <c r="F10" s="1429" t="s">
        <v>2896</v>
      </c>
      <c r="G10" s="1428">
        <f>SUMIF(J11:J716,"Include",G11:G716)</f>
        <v>124635572.88</v>
      </c>
      <c r="H10" s="1428">
        <f>SUMIF(J11:J716,"Include",H11:H716)</f>
        <v>164897476.48904055</v>
      </c>
      <c r="I10" s="1428"/>
      <c r="J10" s="1428"/>
      <c r="K10" s="1428"/>
      <c r="L10" s="1427"/>
      <c r="M10" s="1427"/>
    </row>
    <row r="11" spans="1:17">
      <c r="A11" s="1403"/>
      <c r="B11" s="1403"/>
      <c r="C11" s="1414">
        <v>36342</v>
      </c>
      <c r="D11" s="1401" t="s">
        <v>2192</v>
      </c>
      <c r="E11" s="1400">
        <v>9296</v>
      </c>
      <c r="F11" s="1397" t="s">
        <v>2895</v>
      </c>
      <c r="G11" s="1399" t="s">
        <v>2885</v>
      </c>
      <c r="H11" s="1399" t="s">
        <v>2885</v>
      </c>
      <c r="I11" s="1399">
        <v>1</v>
      </c>
      <c r="J11" s="1399" t="str">
        <f t="shared" ref="J11:J74" si="0">IF(I11=1,"Exclude","Include")</f>
        <v>Exclude</v>
      </c>
      <c r="K11" s="1418">
        <v>3148920.4</v>
      </c>
      <c r="N11" s="1397" t="s">
        <v>2894</v>
      </c>
      <c r="O11" s="1425">
        <v>2500000</v>
      </c>
    </row>
    <row r="12" spans="1:17" ht="25.5">
      <c r="C12" s="1414">
        <v>36241</v>
      </c>
      <c r="D12" s="1401" t="s">
        <v>2192</v>
      </c>
      <c r="E12" s="1400">
        <v>9251</v>
      </c>
      <c r="F12" s="1426" t="s">
        <v>2893</v>
      </c>
      <c r="G12" s="1399" t="s">
        <v>2885</v>
      </c>
      <c r="H12" s="1399" t="s">
        <v>2885</v>
      </c>
      <c r="I12" s="1399">
        <v>1</v>
      </c>
      <c r="J12" s="1399" t="str">
        <f t="shared" si="0"/>
        <v>Exclude</v>
      </c>
      <c r="K12" s="1418">
        <v>20725701</v>
      </c>
    </row>
    <row r="13" spans="1:17">
      <c r="C13" s="1414">
        <v>35394</v>
      </c>
      <c r="D13" s="1401" t="s">
        <v>2192</v>
      </c>
      <c r="E13" s="1400">
        <v>9945</v>
      </c>
      <c r="F13" s="1397" t="s">
        <v>2892</v>
      </c>
      <c r="G13" s="1399" t="s">
        <v>2885</v>
      </c>
      <c r="H13" s="1399" t="s">
        <v>2885</v>
      </c>
      <c r="I13" s="1399">
        <v>1</v>
      </c>
      <c r="J13" s="1399" t="str">
        <f t="shared" si="0"/>
        <v>Exclude</v>
      </c>
      <c r="K13" s="1418">
        <v>64283504</v>
      </c>
      <c r="O13" s="1397">
        <f>COUNTIFS($H$11:$H$716,"&gt;="&amp;O11,J11:J716,"Include")</f>
        <v>11</v>
      </c>
      <c r="P13" s="1425">
        <f>SUMIFS(H11:H716,H11:H716,"&gt;="&amp;O11,J11:J716,"Include")</f>
        <v>70572103.452476501</v>
      </c>
      <c r="Q13" s="1425">
        <f>P13/O13</f>
        <v>6415645.7684069546</v>
      </c>
    </row>
    <row r="14" spans="1:17">
      <c r="C14" s="1414">
        <v>34897</v>
      </c>
      <c r="D14" s="1401">
        <v>36080</v>
      </c>
      <c r="E14" s="1400">
        <v>9812</v>
      </c>
      <c r="F14" s="1397" t="s">
        <v>2891</v>
      </c>
      <c r="G14" s="1399" t="s">
        <v>2885</v>
      </c>
      <c r="H14" s="1399" t="s">
        <v>2885</v>
      </c>
      <c r="I14" s="1399">
        <v>1</v>
      </c>
      <c r="J14" s="1399" t="str">
        <f t="shared" si="0"/>
        <v>Exclude</v>
      </c>
      <c r="K14" s="1418">
        <v>9592485.5999999996</v>
      </c>
    </row>
    <row r="15" spans="1:17">
      <c r="C15" s="1414">
        <v>33921</v>
      </c>
      <c r="D15" s="1401">
        <v>35097</v>
      </c>
      <c r="E15" s="1400">
        <v>9517</v>
      </c>
      <c r="F15" s="1415" t="s">
        <v>2890</v>
      </c>
      <c r="G15" s="1399" t="s">
        <v>2885</v>
      </c>
      <c r="H15" s="1399" t="s">
        <v>2885</v>
      </c>
      <c r="I15" s="1399">
        <v>1</v>
      </c>
      <c r="J15" s="1399" t="str">
        <f t="shared" si="0"/>
        <v>Exclude</v>
      </c>
      <c r="K15" s="1418">
        <v>16205535</v>
      </c>
    </row>
    <row r="16" spans="1:17">
      <c r="C16" s="1414">
        <v>33655</v>
      </c>
      <c r="D16" s="1401">
        <v>35689</v>
      </c>
      <c r="E16" s="1400">
        <v>9441</v>
      </c>
      <c r="F16" s="1397" t="s">
        <v>2889</v>
      </c>
      <c r="G16" s="1399" t="s">
        <v>2885</v>
      </c>
      <c r="H16" s="1399" t="s">
        <v>2885</v>
      </c>
      <c r="I16" s="1399">
        <v>1</v>
      </c>
      <c r="J16" s="1399" t="str">
        <f t="shared" si="0"/>
        <v>Exclude</v>
      </c>
      <c r="K16" s="1418">
        <v>28695155</v>
      </c>
      <c r="N16" s="1397" t="s">
        <v>2888</v>
      </c>
      <c r="O16" s="1425">
        <f>O11</f>
        <v>2500000</v>
      </c>
    </row>
    <row r="17" spans="3:16">
      <c r="C17" s="1414">
        <v>33359</v>
      </c>
      <c r="D17" s="1401">
        <v>35030</v>
      </c>
      <c r="E17" s="1400">
        <v>9425</v>
      </c>
      <c r="F17" s="1397" t="s">
        <v>2887</v>
      </c>
      <c r="G17" s="1399" t="s">
        <v>2885</v>
      </c>
      <c r="H17" s="1399" t="s">
        <v>2885</v>
      </c>
      <c r="I17" s="1399">
        <v>1</v>
      </c>
      <c r="J17" s="1399" t="str">
        <f t="shared" si="0"/>
        <v>Exclude</v>
      </c>
      <c r="K17" s="1418">
        <v>8160049.4000000004</v>
      </c>
    </row>
    <row r="18" spans="3:16">
      <c r="C18" s="1414">
        <v>33074</v>
      </c>
      <c r="D18" s="1401">
        <v>35067</v>
      </c>
      <c r="E18" s="1400">
        <v>9349</v>
      </c>
      <c r="F18" s="1397" t="s">
        <v>2886</v>
      </c>
      <c r="G18" s="1399" t="s">
        <v>2885</v>
      </c>
      <c r="H18" s="1399" t="s">
        <v>2885</v>
      </c>
      <c r="I18" s="1399">
        <v>1</v>
      </c>
      <c r="J18" s="1399" t="str">
        <f t="shared" si="0"/>
        <v>Exclude</v>
      </c>
      <c r="K18" s="1418">
        <v>20799677</v>
      </c>
      <c r="O18" s="1424">
        <f>COUNTIF(J11:J716,"Include")-O13</f>
        <v>595</v>
      </c>
      <c r="P18" s="1423">
        <f>H10-P13</f>
        <v>94325373.036564052</v>
      </c>
    </row>
    <row r="19" spans="3:16">
      <c r="C19" s="1414">
        <v>34981</v>
      </c>
      <c r="D19" s="1401">
        <v>35340</v>
      </c>
      <c r="E19" s="1400">
        <v>9835</v>
      </c>
      <c r="F19" s="1415" t="s">
        <v>2884</v>
      </c>
      <c r="G19" s="1399" t="s">
        <v>2883</v>
      </c>
      <c r="H19" s="1399" t="s">
        <v>2883</v>
      </c>
      <c r="I19" s="1399">
        <v>1</v>
      </c>
      <c r="J19" s="1399" t="str">
        <f t="shared" si="0"/>
        <v>Exclude</v>
      </c>
      <c r="K19" s="1418">
        <v>100688</v>
      </c>
      <c r="L19" s="1406"/>
      <c r="M19" s="1406"/>
    </row>
    <row r="20" spans="3:16">
      <c r="C20" s="1414">
        <v>36571</v>
      </c>
      <c r="D20" s="1401" t="s">
        <v>2192</v>
      </c>
      <c r="E20" s="1400">
        <v>9398</v>
      </c>
      <c r="F20" s="1397" t="s">
        <v>2882</v>
      </c>
      <c r="G20" s="1399">
        <v>13253887</v>
      </c>
      <c r="H20" s="1399">
        <f t="shared" ref="H20:H83" si="1">G20*(1+$N$6)^(2011-YEAR(C20))</f>
        <v>16479542.582165869</v>
      </c>
      <c r="J20" s="1399" t="str">
        <f t="shared" si="0"/>
        <v>Include</v>
      </c>
    </row>
    <row r="21" spans="3:16">
      <c r="C21" s="1413">
        <v>35606</v>
      </c>
      <c r="D21" s="1401" t="s">
        <v>2192</v>
      </c>
      <c r="E21" s="1400">
        <v>9014</v>
      </c>
      <c r="F21" s="1397" t="s">
        <v>2881</v>
      </c>
      <c r="G21" s="1399">
        <v>9087695.9000000004</v>
      </c>
      <c r="H21" s="1399">
        <f t="shared" si="1"/>
        <v>11991021.745223535</v>
      </c>
      <c r="J21" s="1399" t="str">
        <f t="shared" si="0"/>
        <v>Include</v>
      </c>
    </row>
    <row r="22" spans="3:16">
      <c r="C22" s="1414">
        <v>35382</v>
      </c>
      <c r="D22" s="1401" t="s">
        <v>2192</v>
      </c>
      <c r="E22" s="1400">
        <v>9944</v>
      </c>
      <c r="F22" s="1397" t="s">
        <v>2880</v>
      </c>
      <c r="G22" s="1399">
        <v>5246412</v>
      </c>
      <c r="H22" s="1399">
        <f t="shared" si="1"/>
        <v>7060979.8006037716</v>
      </c>
      <c r="J22" s="1399" t="str">
        <f t="shared" si="0"/>
        <v>Include</v>
      </c>
    </row>
    <row r="23" spans="3:16">
      <c r="C23" s="1414">
        <v>35139</v>
      </c>
      <c r="D23" s="1401" t="s">
        <v>2192</v>
      </c>
      <c r="E23" s="1400">
        <v>9870</v>
      </c>
      <c r="F23" s="1397" t="s">
        <v>2879</v>
      </c>
      <c r="G23" s="1399">
        <v>5144841.5</v>
      </c>
      <c r="H23" s="1399">
        <f t="shared" si="1"/>
        <v>6924279.2805460207</v>
      </c>
      <c r="J23" s="1399" t="str">
        <f t="shared" si="0"/>
        <v>Include</v>
      </c>
    </row>
    <row r="24" spans="3:16">
      <c r="C24" s="1414">
        <v>36586</v>
      </c>
      <c r="D24" s="1401">
        <v>37124</v>
      </c>
      <c r="E24" s="1400">
        <v>9401</v>
      </c>
      <c r="F24" s="1397" t="s">
        <v>2878</v>
      </c>
      <c r="G24" s="1399">
        <v>4364760.3</v>
      </c>
      <c r="H24" s="1399">
        <f t="shared" si="1"/>
        <v>5427030.8193209339</v>
      </c>
      <c r="J24" s="1399" t="str">
        <f t="shared" si="0"/>
        <v>Include</v>
      </c>
    </row>
    <row r="25" spans="3:16">
      <c r="C25" s="1414">
        <v>34947</v>
      </c>
      <c r="D25" s="1401">
        <v>35670</v>
      </c>
      <c r="E25" s="1400">
        <v>9836</v>
      </c>
      <c r="F25" s="1397" t="s">
        <v>2877</v>
      </c>
      <c r="G25" s="1399">
        <v>3912683.9</v>
      </c>
      <c r="H25" s="1399">
        <f t="shared" si="1"/>
        <v>5371276.5264581861</v>
      </c>
      <c r="J25" s="1399" t="str">
        <f t="shared" si="0"/>
        <v>Include</v>
      </c>
    </row>
    <row r="26" spans="3:16">
      <c r="C26" s="1414">
        <v>34053</v>
      </c>
      <c r="D26" s="1401" t="s">
        <v>2192</v>
      </c>
      <c r="E26" s="1400">
        <v>9542</v>
      </c>
      <c r="F26" s="1415" t="s">
        <v>2876</v>
      </c>
      <c r="G26" s="1399">
        <v>3334987</v>
      </c>
      <c r="H26" s="1399">
        <f t="shared" si="1"/>
        <v>4763182.6684656506</v>
      </c>
      <c r="I26" s="1399">
        <v>1</v>
      </c>
      <c r="J26" s="1399" t="str">
        <f t="shared" si="0"/>
        <v>Exclude</v>
      </c>
    </row>
    <row r="27" spans="3:16">
      <c r="C27" s="1414">
        <v>35263</v>
      </c>
      <c r="D27" s="1401">
        <v>37587</v>
      </c>
      <c r="E27" s="1400">
        <v>9911</v>
      </c>
      <c r="F27" s="1397" t="s">
        <v>2875</v>
      </c>
      <c r="G27" s="1399">
        <v>3282720.4</v>
      </c>
      <c r="H27" s="1399">
        <f t="shared" si="1"/>
        <v>4418109.449930721</v>
      </c>
      <c r="J27" s="1399" t="str">
        <f t="shared" si="0"/>
        <v>Include</v>
      </c>
    </row>
    <row r="28" spans="3:16">
      <c r="C28" s="1414">
        <v>36526</v>
      </c>
      <c r="D28" s="1401" t="s">
        <v>2192</v>
      </c>
      <c r="E28" s="1400">
        <v>9364</v>
      </c>
      <c r="F28" s="1415" t="s">
        <v>2874</v>
      </c>
      <c r="G28" s="1399">
        <v>3005545.7</v>
      </c>
      <c r="H28" s="1399">
        <f t="shared" si="1"/>
        <v>3737018.3060860205</v>
      </c>
      <c r="I28" s="1399">
        <v>1</v>
      </c>
      <c r="J28" s="1399" t="str">
        <f t="shared" si="0"/>
        <v>Exclude</v>
      </c>
    </row>
    <row r="29" spans="3:16">
      <c r="C29" s="1414">
        <v>36281</v>
      </c>
      <c r="D29" s="1401" t="s">
        <v>2192</v>
      </c>
      <c r="E29" s="1400">
        <v>9263</v>
      </c>
      <c r="F29" s="1397" t="s">
        <v>2873</v>
      </c>
      <c r="G29" s="1399">
        <v>2690672.5</v>
      </c>
      <c r="H29" s="1399">
        <f t="shared" si="1"/>
        <v>3412423.31998009</v>
      </c>
      <c r="J29" s="1399" t="str">
        <f t="shared" si="0"/>
        <v>Include</v>
      </c>
    </row>
    <row r="30" spans="3:16">
      <c r="C30" s="1414">
        <v>33367</v>
      </c>
      <c r="D30" s="1401">
        <v>34396</v>
      </c>
      <c r="E30" s="1400">
        <v>9404</v>
      </c>
      <c r="F30" s="1403" t="s">
        <v>2872</v>
      </c>
      <c r="G30" s="1399">
        <v>2639527</v>
      </c>
      <c r="H30" s="1399">
        <f t="shared" si="1"/>
        <v>3922198.2722645574</v>
      </c>
      <c r="J30" s="1399" t="str">
        <f t="shared" si="0"/>
        <v>Include</v>
      </c>
    </row>
    <row r="31" spans="3:16">
      <c r="C31" s="1414">
        <v>33445</v>
      </c>
      <c r="D31" s="1401">
        <v>34277</v>
      </c>
      <c r="E31" s="1400">
        <v>9424</v>
      </c>
      <c r="F31" s="1403" t="s">
        <v>2871</v>
      </c>
      <c r="G31" s="1399">
        <v>2012296.2</v>
      </c>
      <c r="H31" s="1399">
        <f t="shared" si="1"/>
        <v>2990166.2983271373</v>
      </c>
      <c r="J31" s="1399" t="str">
        <f t="shared" si="0"/>
        <v>Include</v>
      </c>
    </row>
    <row r="32" spans="3:16">
      <c r="C32" s="1414">
        <v>35781</v>
      </c>
      <c r="D32" s="1401" t="s">
        <v>2192</v>
      </c>
      <c r="E32" s="1400">
        <v>9062</v>
      </c>
      <c r="F32" s="1403" t="s">
        <v>2870</v>
      </c>
      <c r="G32" s="1399">
        <v>1951585.3</v>
      </c>
      <c r="H32" s="1399">
        <f t="shared" si="1"/>
        <v>2575075.3576556845</v>
      </c>
      <c r="J32" s="1399" t="str">
        <f t="shared" si="0"/>
        <v>Include</v>
      </c>
    </row>
    <row r="33" spans="3:10" s="1397" customFormat="1">
      <c r="C33" s="1414">
        <v>36083</v>
      </c>
      <c r="D33" s="1401" t="s">
        <v>2192</v>
      </c>
      <c r="E33" s="1400">
        <v>9181</v>
      </c>
      <c r="F33" s="1403" t="s">
        <v>2869</v>
      </c>
      <c r="G33" s="1399">
        <v>1716871.4</v>
      </c>
      <c r="H33" s="1399">
        <f t="shared" si="1"/>
        <v>2220956.2266764916</v>
      </c>
      <c r="I33" s="1399"/>
      <c r="J33" s="1399" t="str">
        <f t="shared" si="0"/>
        <v>Include</v>
      </c>
    </row>
    <row r="34" spans="3:10" s="1397" customFormat="1">
      <c r="C34" s="1414">
        <v>33779</v>
      </c>
      <c r="D34" s="1401">
        <v>34626</v>
      </c>
      <c r="E34" s="1400">
        <v>9487</v>
      </c>
      <c r="F34" s="1403" t="s">
        <v>2868</v>
      </c>
      <c r="G34" s="1399">
        <v>1453685</v>
      </c>
      <c r="H34" s="1399">
        <f t="shared" si="1"/>
        <v>2117744.5493360721</v>
      </c>
      <c r="I34" s="1399"/>
      <c r="J34" s="1399" t="str">
        <f t="shared" si="0"/>
        <v>Include</v>
      </c>
    </row>
    <row r="35" spans="3:10" s="1397" customFormat="1">
      <c r="C35" s="1414">
        <v>36617</v>
      </c>
      <c r="D35" s="1401">
        <v>37319</v>
      </c>
      <c r="E35" s="1400">
        <v>9417</v>
      </c>
      <c r="F35" s="1403" t="s">
        <v>2867</v>
      </c>
      <c r="G35" s="1399">
        <v>1278170.6000000001</v>
      </c>
      <c r="H35" s="1399">
        <f t="shared" si="1"/>
        <v>1589244.4857853774</v>
      </c>
      <c r="I35" s="1399"/>
      <c r="J35" s="1399" t="str">
        <f t="shared" si="0"/>
        <v>Include</v>
      </c>
    </row>
    <row r="36" spans="3:10" s="1397" customFormat="1">
      <c r="C36" s="1414">
        <v>35034</v>
      </c>
      <c r="D36" s="1401">
        <v>35864</v>
      </c>
      <c r="E36" s="1400">
        <v>9848</v>
      </c>
      <c r="F36" s="1403" t="s">
        <v>2866</v>
      </c>
      <c r="G36" s="1399">
        <v>1214719.2</v>
      </c>
      <c r="H36" s="1399">
        <f t="shared" si="1"/>
        <v>1667549.153459104</v>
      </c>
      <c r="I36" s="1399"/>
      <c r="J36" s="1399" t="str">
        <f t="shared" si="0"/>
        <v>Include</v>
      </c>
    </row>
    <row r="37" spans="3:10" s="1397" customFormat="1">
      <c r="C37" s="1414">
        <v>36605</v>
      </c>
      <c r="D37" s="1401" t="s">
        <v>2192</v>
      </c>
      <c r="E37" s="1400">
        <v>9411</v>
      </c>
      <c r="F37" s="1397" t="s">
        <v>2865</v>
      </c>
      <c r="G37" s="1399">
        <v>1093078.6000000001</v>
      </c>
      <c r="H37" s="1399">
        <f t="shared" si="1"/>
        <v>1359105.8482959946</v>
      </c>
      <c r="I37" s="1399"/>
      <c r="J37" s="1399" t="str">
        <f t="shared" si="0"/>
        <v>Include</v>
      </c>
    </row>
    <row r="38" spans="3:10" s="1397" customFormat="1">
      <c r="C38" s="1414">
        <v>36014</v>
      </c>
      <c r="D38" s="1401">
        <v>36831</v>
      </c>
      <c r="E38" s="1400">
        <v>9169</v>
      </c>
      <c r="F38" s="1415" t="s">
        <v>2864</v>
      </c>
      <c r="G38" s="1399">
        <v>1091044.5</v>
      </c>
      <c r="H38" s="1399">
        <f t="shared" si="1"/>
        <v>1411382.3993201468</v>
      </c>
      <c r="I38" s="1399">
        <v>1</v>
      </c>
      <c r="J38" s="1399" t="str">
        <f t="shared" si="0"/>
        <v>Exclude</v>
      </c>
    </row>
    <row r="39" spans="3:10" s="1397" customFormat="1">
      <c r="C39" s="1414">
        <v>36053</v>
      </c>
      <c r="D39" s="1401" t="s">
        <v>2192</v>
      </c>
      <c r="E39" s="1400">
        <v>9174</v>
      </c>
      <c r="F39" s="1403" t="s">
        <v>2863</v>
      </c>
      <c r="G39" s="1399">
        <v>1030333.6</v>
      </c>
      <c r="H39" s="1399">
        <f t="shared" si="1"/>
        <v>1332846.3765393293</v>
      </c>
      <c r="I39" s="1399"/>
      <c r="J39" s="1399" t="str">
        <f t="shared" si="0"/>
        <v>Include</v>
      </c>
    </row>
    <row r="40" spans="3:10" s="1397" customFormat="1">
      <c r="C40" s="1414">
        <v>36495</v>
      </c>
      <c r="D40" s="1401" t="s">
        <v>2192</v>
      </c>
      <c r="E40" s="1400">
        <v>9339</v>
      </c>
      <c r="F40" s="1403" t="s">
        <v>2862</v>
      </c>
      <c r="G40" s="1399">
        <v>1013382.9</v>
      </c>
      <c r="H40" s="1399">
        <f t="shared" si="1"/>
        <v>1285214.5476749963</v>
      </c>
      <c r="I40" s="1399"/>
      <c r="J40" s="1399" t="str">
        <f t="shared" si="0"/>
        <v>Include</v>
      </c>
    </row>
    <row r="41" spans="3:10" s="1397" customFormat="1">
      <c r="C41" s="1414">
        <v>36594</v>
      </c>
      <c r="D41" s="1401" t="s">
        <v>2192</v>
      </c>
      <c r="E41" s="1400">
        <v>9415</v>
      </c>
      <c r="F41" s="1403" t="s">
        <v>2861</v>
      </c>
      <c r="G41" s="1399">
        <v>1004383.7</v>
      </c>
      <c r="H41" s="1399">
        <f t="shared" si="1"/>
        <v>1248824.8883503615</v>
      </c>
      <c r="I41" s="1399"/>
      <c r="J41" s="1399" t="str">
        <f t="shared" si="0"/>
        <v>Include</v>
      </c>
    </row>
    <row r="42" spans="3:10" s="1397" customFormat="1">
      <c r="C42" s="1414">
        <v>33304</v>
      </c>
      <c r="D42" s="1401">
        <v>34655</v>
      </c>
      <c r="E42" s="1400">
        <v>9382</v>
      </c>
      <c r="F42" s="1403" t="s">
        <v>2860</v>
      </c>
      <c r="G42" s="1399">
        <v>982126.6</v>
      </c>
      <c r="H42" s="1399">
        <f t="shared" si="1"/>
        <v>1459388.4637910747</v>
      </c>
      <c r="I42" s="1399"/>
      <c r="J42" s="1399" t="str">
        <f t="shared" si="0"/>
        <v>Include</v>
      </c>
    </row>
    <row r="43" spans="3:10" s="1397" customFormat="1">
      <c r="C43" s="1414">
        <v>36189</v>
      </c>
      <c r="D43" s="1401">
        <v>37124</v>
      </c>
      <c r="E43" s="1400">
        <v>9229</v>
      </c>
      <c r="F43" s="1415" t="s">
        <v>2859</v>
      </c>
      <c r="G43" s="1399">
        <v>966946.62</v>
      </c>
      <c r="H43" s="1399">
        <f t="shared" si="1"/>
        <v>1226322.1165949875</v>
      </c>
      <c r="I43" s="1399">
        <v>1</v>
      </c>
      <c r="J43" s="1399" t="str">
        <f t="shared" si="0"/>
        <v>Exclude</v>
      </c>
    </row>
    <row r="44" spans="3:10" s="1397" customFormat="1">
      <c r="C44" s="1414">
        <v>36248</v>
      </c>
      <c r="D44" s="1401">
        <v>37124</v>
      </c>
      <c r="E44" s="1400">
        <v>9252</v>
      </c>
      <c r="F44" s="1415" t="s">
        <v>2858</v>
      </c>
      <c r="G44" s="1399">
        <v>966932</v>
      </c>
      <c r="H44" s="1399">
        <f t="shared" si="1"/>
        <v>1226303.574899951</v>
      </c>
      <c r="I44" s="1399">
        <v>1</v>
      </c>
      <c r="J44" s="1399" t="str">
        <f t="shared" si="0"/>
        <v>Exclude</v>
      </c>
    </row>
    <row r="45" spans="3:10" s="1397" customFormat="1">
      <c r="C45" s="1414">
        <v>33329</v>
      </c>
      <c r="D45" s="1401">
        <v>34506</v>
      </c>
      <c r="E45" s="1400">
        <v>9392</v>
      </c>
      <c r="F45" s="1397" t="s">
        <v>2857</v>
      </c>
      <c r="G45" s="1399">
        <v>950043.92</v>
      </c>
      <c r="H45" s="1399">
        <f t="shared" si="1"/>
        <v>1411715.288989068</v>
      </c>
      <c r="I45" s="1399"/>
      <c r="J45" s="1399" t="str">
        <f t="shared" si="0"/>
        <v>Include</v>
      </c>
    </row>
    <row r="46" spans="3:10" s="1397" customFormat="1">
      <c r="C46" s="1414">
        <v>35431</v>
      </c>
      <c r="D46" s="1401">
        <v>35864</v>
      </c>
      <c r="E46" s="1400">
        <v>9874</v>
      </c>
      <c r="F46" s="1397" t="s">
        <v>2856</v>
      </c>
      <c r="G46" s="1399">
        <v>907405.89</v>
      </c>
      <c r="H46" s="1399">
        <f t="shared" si="1"/>
        <v>1197302.8013331646</v>
      </c>
      <c r="I46" s="1399"/>
      <c r="J46" s="1399" t="str">
        <f t="shared" si="0"/>
        <v>Include</v>
      </c>
    </row>
    <row r="47" spans="3:10" s="1397" customFormat="1">
      <c r="C47" s="1414">
        <v>35381</v>
      </c>
      <c r="D47" s="1401">
        <v>36158</v>
      </c>
      <c r="E47" s="1400">
        <v>9942</v>
      </c>
      <c r="F47" s="1403" t="s">
        <v>2855</v>
      </c>
      <c r="G47" s="1399">
        <v>818885.83</v>
      </c>
      <c r="H47" s="1399">
        <f t="shared" si="1"/>
        <v>1102112.5112992753</v>
      </c>
      <c r="I47" s="1399"/>
      <c r="J47" s="1399" t="str">
        <f t="shared" si="0"/>
        <v>Include</v>
      </c>
    </row>
    <row r="48" spans="3:10" s="1397" customFormat="1">
      <c r="C48" s="1414">
        <v>35244</v>
      </c>
      <c r="D48" s="1401" t="s">
        <v>2192</v>
      </c>
      <c r="E48" s="1400">
        <v>9903</v>
      </c>
      <c r="F48" s="1415" t="s">
        <v>2508</v>
      </c>
      <c r="G48" s="1399">
        <v>768031.85</v>
      </c>
      <c r="H48" s="1399">
        <f t="shared" si="1"/>
        <v>1033669.7497395069</v>
      </c>
      <c r="I48" s="1399">
        <v>1</v>
      </c>
      <c r="J48" s="1399" t="str">
        <f t="shared" si="0"/>
        <v>Exclude</v>
      </c>
    </row>
    <row r="49" spans="3:10" s="1397" customFormat="1">
      <c r="C49" s="1414">
        <v>35892</v>
      </c>
      <c r="D49" s="1401">
        <v>36830</v>
      </c>
      <c r="E49" s="1400">
        <v>9112</v>
      </c>
      <c r="F49" s="1415" t="s">
        <v>2854</v>
      </c>
      <c r="G49" s="1399">
        <v>705447.9</v>
      </c>
      <c r="H49" s="1399">
        <f t="shared" si="1"/>
        <v>912572.08087970654</v>
      </c>
      <c r="I49" s="1399">
        <v>1</v>
      </c>
      <c r="J49" s="1399" t="str">
        <f t="shared" si="0"/>
        <v>Exclude</v>
      </c>
    </row>
    <row r="50" spans="3:10" s="1397" customFormat="1">
      <c r="C50" s="1414">
        <v>35055</v>
      </c>
      <c r="D50" s="1401">
        <v>35585</v>
      </c>
      <c r="E50" s="1400">
        <v>9852</v>
      </c>
      <c r="F50" s="1415" t="s">
        <v>2853</v>
      </c>
      <c r="G50" s="1399">
        <v>704921.07</v>
      </c>
      <c r="H50" s="1399">
        <f t="shared" si="1"/>
        <v>967705.5681131786</v>
      </c>
      <c r="I50" s="1399">
        <v>1</v>
      </c>
      <c r="J50" s="1399" t="str">
        <f t="shared" si="0"/>
        <v>Exclude</v>
      </c>
    </row>
    <row r="51" spans="3:10" s="1397" customFormat="1">
      <c r="C51" s="1414">
        <v>36276</v>
      </c>
      <c r="D51" s="1401">
        <v>37319</v>
      </c>
      <c r="E51" s="1400">
        <v>9260</v>
      </c>
      <c r="F51" s="1403" t="s">
        <v>2852</v>
      </c>
      <c r="G51" s="1399">
        <v>697643</v>
      </c>
      <c r="H51" s="1399">
        <f t="shared" si="1"/>
        <v>884780.01028399775</v>
      </c>
      <c r="I51" s="1399"/>
      <c r="J51" s="1399" t="str">
        <f t="shared" si="0"/>
        <v>Include</v>
      </c>
    </row>
    <row r="52" spans="3:10" s="1397" customFormat="1">
      <c r="C52" s="1414">
        <v>33246</v>
      </c>
      <c r="D52" s="1401">
        <v>34185</v>
      </c>
      <c r="E52" s="1400">
        <v>9354</v>
      </c>
      <c r="F52" s="1397" t="s">
        <v>2851</v>
      </c>
      <c r="G52" s="1399">
        <v>690271.06</v>
      </c>
      <c r="H52" s="1399">
        <f t="shared" si="1"/>
        <v>1025706.4841262184</v>
      </c>
      <c r="I52" s="1399"/>
      <c r="J52" s="1399" t="str">
        <f t="shared" si="0"/>
        <v>Include</v>
      </c>
    </row>
    <row r="53" spans="3:10" s="1397" customFormat="1">
      <c r="C53" s="1414">
        <v>35941</v>
      </c>
      <c r="D53" s="1401" t="s">
        <v>2192</v>
      </c>
      <c r="E53" s="1400">
        <v>9138</v>
      </c>
      <c r="F53" s="1397" t="s">
        <v>2850</v>
      </c>
      <c r="G53" s="1399">
        <v>684543.1</v>
      </c>
      <c r="H53" s="1399">
        <f t="shared" si="1"/>
        <v>885529.49299139599</v>
      </c>
      <c r="I53" s="1399"/>
      <c r="J53" s="1399" t="str">
        <f t="shared" si="0"/>
        <v>Include</v>
      </c>
    </row>
    <row r="54" spans="3:10" s="1397" customFormat="1">
      <c r="C54" s="1414">
        <v>35999</v>
      </c>
      <c r="D54" s="1401">
        <v>36788</v>
      </c>
      <c r="E54" s="1400">
        <v>9168</v>
      </c>
      <c r="F54" s="1397" t="s">
        <v>2849</v>
      </c>
      <c r="G54" s="1399">
        <v>672018.89</v>
      </c>
      <c r="H54" s="1399">
        <f t="shared" si="1"/>
        <v>869328.0918942003</v>
      </c>
      <c r="I54" s="1399"/>
      <c r="J54" s="1399" t="str">
        <f t="shared" si="0"/>
        <v>Include</v>
      </c>
    </row>
    <row r="55" spans="3:10" s="1397" customFormat="1">
      <c r="C55" s="1414">
        <v>35360</v>
      </c>
      <c r="D55" s="1401">
        <v>36586</v>
      </c>
      <c r="E55" s="1400">
        <v>9935</v>
      </c>
      <c r="F55" s="1403" t="s">
        <v>2848</v>
      </c>
      <c r="G55" s="1399">
        <v>671624.84</v>
      </c>
      <c r="H55" s="1399">
        <f t="shared" si="1"/>
        <v>903918.60738800908</v>
      </c>
      <c r="I55" s="1399"/>
      <c r="J55" s="1399" t="str">
        <f t="shared" si="0"/>
        <v>Include</v>
      </c>
    </row>
    <row r="56" spans="3:10" s="1397" customFormat="1">
      <c r="C56" s="1414">
        <v>34029</v>
      </c>
      <c r="D56" s="1401">
        <v>34456</v>
      </c>
      <c r="E56" s="1400">
        <v>9539</v>
      </c>
      <c r="F56" s="1397" t="s">
        <v>2847</v>
      </c>
      <c r="G56" s="1399">
        <v>662165.64</v>
      </c>
      <c r="H56" s="1399">
        <f t="shared" si="1"/>
        <v>945735.59060394112</v>
      </c>
      <c r="I56" s="1399"/>
      <c r="J56" s="1399" t="str">
        <f t="shared" si="0"/>
        <v>Include</v>
      </c>
    </row>
    <row r="57" spans="3:10" s="1397" customFormat="1">
      <c r="C57" s="1414">
        <v>35117</v>
      </c>
      <c r="D57" s="1401">
        <v>35509</v>
      </c>
      <c r="E57" s="1400">
        <v>9860</v>
      </c>
      <c r="F57" s="1397" t="s">
        <v>2846</v>
      </c>
      <c r="G57" s="1399">
        <v>639595.35</v>
      </c>
      <c r="H57" s="1399">
        <f t="shared" si="1"/>
        <v>860811.13090433984</v>
      </c>
      <c r="I57" s="1399"/>
      <c r="J57" s="1399" t="str">
        <f t="shared" si="0"/>
        <v>Include</v>
      </c>
    </row>
    <row r="58" spans="3:10" s="1397" customFormat="1">
      <c r="C58" s="1414">
        <v>34897</v>
      </c>
      <c r="D58" s="1401">
        <v>35768</v>
      </c>
      <c r="E58" s="1400">
        <v>9811</v>
      </c>
      <c r="F58" s="1403" t="s">
        <v>2845</v>
      </c>
      <c r="G58" s="1399">
        <v>624248.06000000006</v>
      </c>
      <c r="H58" s="1399">
        <f t="shared" si="1"/>
        <v>856958.81319854676</v>
      </c>
      <c r="I58" s="1399"/>
      <c r="J58" s="1399" t="str">
        <f t="shared" si="0"/>
        <v>Include</v>
      </c>
    </row>
    <row r="59" spans="3:10" s="1397" customFormat="1">
      <c r="C59" s="1414">
        <v>36251</v>
      </c>
      <c r="D59" s="1401">
        <v>37060</v>
      </c>
      <c r="E59" s="1400">
        <v>9254</v>
      </c>
      <c r="F59" s="1403" t="s">
        <v>2844</v>
      </c>
      <c r="G59" s="1399">
        <v>616608.18000000005</v>
      </c>
      <c r="H59" s="1399">
        <f t="shared" si="1"/>
        <v>782008.26474514499</v>
      </c>
      <c r="I59" s="1399"/>
      <c r="J59" s="1399" t="str">
        <f t="shared" si="0"/>
        <v>Include</v>
      </c>
    </row>
    <row r="60" spans="3:10" s="1397" customFormat="1">
      <c r="C60" s="1414">
        <v>33864</v>
      </c>
      <c r="D60" s="1401">
        <v>34655</v>
      </c>
      <c r="E60" s="1400">
        <v>9509</v>
      </c>
      <c r="F60" s="1415" t="s">
        <v>2843</v>
      </c>
      <c r="G60" s="1399">
        <v>615951.67000000004</v>
      </c>
      <c r="H60" s="1399">
        <f t="shared" si="1"/>
        <v>897325.27459315548</v>
      </c>
      <c r="I60" s="1399">
        <v>1</v>
      </c>
      <c r="J60" s="1399" t="str">
        <f t="shared" si="0"/>
        <v>Exclude</v>
      </c>
    </row>
    <row r="61" spans="3:10" s="1397" customFormat="1">
      <c r="C61" s="1414">
        <v>33413</v>
      </c>
      <c r="D61" s="1401">
        <v>33938</v>
      </c>
      <c r="E61" s="1400">
        <v>9421</v>
      </c>
      <c r="F61" s="1403" t="s">
        <v>2842</v>
      </c>
      <c r="G61" s="1399">
        <v>610445.78</v>
      </c>
      <c r="H61" s="1399">
        <f t="shared" si="1"/>
        <v>907090.31717697531</v>
      </c>
      <c r="I61" s="1399"/>
      <c r="J61" s="1399" t="str">
        <f t="shared" si="0"/>
        <v>Include</v>
      </c>
    </row>
    <row r="62" spans="3:10" s="1397" customFormat="1">
      <c r="C62" s="1414">
        <v>36074</v>
      </c>
      <c r="D62" s="1401">
        <v>36830</v>
      </c>
      <c r="E62" s="1400">
        <v>9177</v>
      </c>
      <c r="F62" s="1397" t="s">
        <v>2841</v>
      </c>
      <c r="G62" s="1399">
        <v>598761.01</v>
      </c>
      <c r="H62" s="1399">
        <f t="shared" si="1"/>
        <v>774561.21259321168</v>
      </c>
      <c r="I62" s="1399"/>
      <c r="J62" s="1399" t="str">
        <f t="shared" si="0"/>
        <v>Include</v>
      </c>
    </row>
    <row r="63" spans="3:10" s="1397" customFormat="1">
      <c r="C63" s="1414">
        <v>35856</v>
      </c>
      <c r="D63" s="1401">
        <v>37042</v>
      </c>
      <c r="E63" s="1400">
        <v>9086</v>
      </c>
      <c r="F63" s="1415" t="s">
        <v>2840</v>
      </c>
      <c r="G63" s="1399">
        <v>589138.49</v>
      </c>
      <c r="H63" s="1399">
        <f t="shared" si="1"/>
        <v>762113.45691953739</v>
      </c>
      <c r="I63" s="1399">
        <v>1</v>
      </c>
      <c r="J63" s="1399" t="str">
        <f t="shared" si="0"/>
        <v>Exclude</v>
      </c>
    </row>
    <row r="64" spans="3:10" s="1397" customFormat="1">
      <c r="C64" s="1414">
        <v>36297</v>
      </c>
      <c r="D64" s="1401">
        <v>37042</v>
      </c>
      <c r="E64" s="1400">
        <v>9247</v>
      </c>
      <c r="F64" s="1415" t="s">
        <v>2839</v>
      </c>
      <c r="G64" s="1399">
        <v>586927.43000000005</v>
      </c>
      <c r="H64" s="1399">
        <f t="shared" si="1"/>
        <v>744365.89710118272</v>
      </c>
      <c r="I64" s="1399">
        <v>1</v>
      </c>
      <c r="J64" s="1399" t="str">
        <f t="shared" si="0"/>
        <v>Exclude</v>
      </c>
    </row>
    <row r="65" spans="3:10" s="1397" customFormat="1">
      <c r="C65" s="1414">
        <v>35888</v>
      </c>
      <c r="D65" s="1401">
        <v>36340</v>
      </c>
      <c r="E65" s="1400">
        <v>9109</v>
      </c>
      <c r="F65" s="1403" t="s">
        <v>2838</v>
      </c>
      <c r="G65" s="1399">
        <v>572163.27</v>
      </c>
      <c r="H65" s="1399">
        <f t="shared" si="1"/>
        <v>740154.19977412559</v>
      </c>
      <c r="I65" s="1399"/>
      <c r="J65" s="1399" t="str">
        <f t="shared" si="0"/>
        <v>Include</v>
      </c>
    </row>
    <row r="66" spans="3:10" s="1397" customFormat="1">
      <c r="C66" s="1414">
        <v>36661</v>
      </c>
      <c r="D66" s="1401">
        <v>37124</v>
      </c>
      <c r="E66" s="1400">
        <v>9301</v>
      </c>
      <c r="F66" s="1397" t="s">
        <v>2837</v>
      </c>
      <c r="G66" s="1399">
        <v>560781.65</v>
      </c>
      <c r="H66" s="1399">
        <f t="shared" si="1"/>
        <v>697261.49622916186</v>
      </c>
      <c r="I66" s="1399"/>
      <c r="J66" s="1399" t="str">
        <f t="shared" si="0"/>
        <v>Include</v>
      </c>
    </row>
    <row r="67" spans="3:10" s="1397" customFormat="1">
      <c r="C67" s="1414">
        <v>35913</v>
      </c>
      <c r="D67" s="1401">
        <v>36831</v>
      </c>
      <c r="E67" s="1400">
        <v>9122</v>
      </c>
      <c r="F67" s="1415" t="s">
        <v>2836</v>
      </c>
      <c r="G67" s="1399">
        <v>559390.04</v>
      </c>
      <c r="H67" s="1399">
        <f t="shared" si="1"/>
        <v>723630.66475381423</v>
      </c>
      <c r="I67" s="1399">
        <v>1</v>
      </c>
      <c r="J67" s="1399" t="str">
        <f t="shared" si="0"/>
        <v>Exclude</v>
      </c>
    </row>
    <row r="68" spans="3:10" s="1397" customFormat="1">
      <c r="C68" s="1414">
        <v>36605</v>
      </c>
      <c r="D68" s="1401">
        <v>37124</v>
      </c>
      <c r="E68" s="1400">
        <v>9413</v>
      </c>
      <c r="F68" s="1415" t="s">
        <v>2835</v>
      </c>
      <c r="G68" s="1399">
        <v>557931.80000000005</v>
      </c>
      <c r="H68" s="1399">
        <f t="shared" si="1"/>
        <v>693718.06595638336</v>
      </c>
      <c r="I68" s="1399">
        <v>1</v>
      </c>
      <c r="J68" s="1399" t="str">
        <f t="shared" si="0"/>
        <v>Exclude</v>
      </c>
    </row>
    <row r="69" spans="3:10" s="1397" customFormat="1">
      <c r="C69" s="1414">
        <v>35779</v>
      </c>
      <c r="D69" s="1401">
        <v>36572</v>
      </c>
      <c r="E69" s="1400">
        <v>9056</v>
      </c>
      <c r="F69" s="1397" t="s">
        <v>2834</v>
      </c>
      <c r="G69" s="1399">
        <v>556848.22</v>
      </c>
      <c r="H69" s="1399">
        <f t="shared" si="1"/>
        <v>734749.4005393621</v>
      </c>
      <c r="I69" s="1399"/>
      <c r="J69" s="1399" t="str">
        <f t="shared" si="0"/>
        <v>Include</v>
      </c>
    </row>
    <row r="70" spans="3:10" s="1397" customFormat="1">
      <c r="C70" s="1414">
        <v>36280</v>
      </c>
      <c r="D70" s="1401">
        <v>37042</v>
      </c>
      <c r="E70" s="1400">
        <v>9268</v>
      </c>
      <c r="F70" s="1403" t="s">
        <v>2833</v>
      </c>
      <c r="G70" s="1399">
        <v>543237.31999999995</v>
      </c>
      <c r="H70" s="1399">
        <f t="shared" si="1"/>
        <v>688956.27359014761</v>
      </c>
      <c r="I70" s="1399"/>
      <c r="J70" s="1399" t="str">
        <f t="shared" si="0"/>
        <v>Include</v>
      </c>
    </row>
    <row r="71" spans="3:10" s="1397" customFormat="1">
      <c r="C71" s="1414">
        <v>36353</v>
      </c>
      <c r="D71" s="1401">
        <v>38089</v>
      </c>
      <c r="E71" s="1400">
        <v>9293</v>
      </c>
      <c r="F71" s="1403" t="s">
        <v>2832</v>
      </c>
      <c r="G71" s="1399">
        <v>530677.55000000005</v>
      </c>
      <c r="H71" s="1399">
        <f t="shared" si="1"/>
        <v>673027.44834605488</v>
      </c>
      <c r="I71" s="1399"/>
      <c r="J71" s="1399" t="str">
        <f t="shared" si="0"/>
        <v>Include</v>
      </c>
    </row>
    <row r="72" spans="3:10" s="1397" customFormat="1">
      <c r="C72" s="1414">
        <v>35905</v>
      </c>
      <c r="D72" s="1401">
        <v>36572</v>
      </c>
      <c r="E72" s="1400">
        <v>9120</v>
      </c>
      <c r="F72" s="1403" t="s">
        <v>2831</v>
      </c>
      <c r="G72" s="1399">
        <v>529754.21</v>
      </c>
      <c r="H72" s="1399">
        <f t="shared" si="1"/>
        <v>685293.55856681266</v>
      </c>
      <c r="I72" s="1399"/>
      <c r="J72" s="1399" t="str">
        <f t="shared" si="0"/>
        <v>Include</v>
      </c>
    </row>
    <row r="73" spans="3:10" s="1397" customFormat="1">
      <c r="C73" s="1414">
        <v>34908</v>
      </c>
      <c r="D73" s="1401">
        <v>35387</v>
      </c>
      <c r="E73" s="1400">
        <v>9815</v>
      </c>
      <c r="F73" s="1403" t="s">
        <v>2830</v>
      </c>
      <c r="G73" s="1399">
        <v>504357.22</v>
      </c>
      <c r="H73" s="1399">
        <f t="shared" si="1"/>
        <v>692374.38187524094</v>
      </c>
      <c r="I73" s="1399"/>
      <c r="J73" s="1399" t="str">
        <f t="shared" si="0"/>
        <v>Include</v>
      </c>
    </row>
    <row r="74" spans="3:10" s="1397" customFormat="1">
      <c r="C74" s="1414">
        <v>36654</v>
      </c>
      <c r="D74" s="1401">
        <v>38089</v>
      </c>
      <c r="E74" s="1400">
        <v>9427</v>
      </c>
      <c r="F74" s="1403" t="s">
        <v>2829</v>
      </c>
      <c r="G74" s="1399">
        <v>503363.55</v>
      </c>
      <c r="H74" s="1399">
        <f t="shared" si="1"/>
        <v>625869.3058523268</v>
      </c>
      <c r="I74" s="1399"/>
      <c r="J74" s="1399" t="str">
        <f t="shared" si="0"/>
        <v>Include</v>
      </c>
    </row>
    <row r="75" spans="3:10" s="1397" customFormat="1">
      <c r="C75" s="1414">
        <v>35941</v>
      </c>
      <c r="D75" s="1401">
        <v>37124</v>
      </c>
      <c r="E75" s="1400">
        <v>9136</v>
      </c>
      <c r="F75" s="1403" t="s">
        <v>2828</v>
      </c>
      <c r="G75" s="1399">
        <v>482638.08000000002</v>
      </c>
      <c r="H75" s="1399">
        <f t="shared" si="1"/>
        <v>624343.8203974897</v>
      </c>
      <c r="I75" s="1399"/>
      <c r="J75" s="1399" t="str">
        <f t="shared" ref="J75:J138" si="2">IF(I75=1,"Exclude","Include")</f>
        <v>Include</v>
      </c>
    </row>
    <row r="76" spans="3:10" s="1397" customFormat="1">
      <c r="C76" s="1414">
        <v>35674</v>
      </c>
      <c r="D76" s="1401">
        <v>37060</v>
      </c>
      <c r="E76" s="1400">
        <v>9023</v>
      </c>
      <c r="F76" s="1403" t="s">
        <v>2827</v>
      </c>
      <c r="G76" s="1399">
        <v>481325.67</v>
      </c>
      <c r="H76" s="1399">
        <f t="shared" si="1"/>
        <v>635098.99968200817</v>
      </c>
      <c r="I76" s="1399"/>
      <c r="J76" s="1399" t="str">
        <f t="shared" si="2"/>
        <v>Include</v>
      </c>
    </row>
    <row r="77" spans="3:10" s="1397" customFormat="1">
      <c r="C77" s="1414">
        <v>36100</v>
      </c>
      <c r="D77" s="1401">
        <v>37587</v>
      </c>
      <c r="E77" s="1400">
        <v>9182</v>
      </c>
      <c r="F77" s="1403" t="s">
        <v>2826</v>
      </c>
      <c r="G77" s="1399">
        <v>479990.98</v>
      </c>
      <c r="H77" s="1399">
        <f t="shared" si="1"/>
        <v>620919.51428601542</v>
      </c>
      <c r="I77" s="1399"/>
      <c r="J77" s="1399" t="str">
        <f t="shared" si="2"/>
        <v>Include</v>
      </c>
    </row>
    <row r="78" spans="3:10" s="1397" customFormat="1">
      <c r="C78" s="1414">
        <v>33817</v>
      </c>
      <c r="D78" s="1401">
        <v>34396</v>
      </c>
      <c r="E78" s="1400">
        <v>9505</v>
      </c>
      <c r="F78" s="1403" t="s">
        <v>2825</v>
      </c>
      <c r="G78" s="1399">
        <v>479615.64</v>
      </c>
      <c r="H78" s="1399">
        <f t="shared" si="1"/>
        <v>698709.42287107033</v>
      </c>
      <c r="I78" s="1399"/>
      <c r="J78" s="1399" t="str">
        <f t="shared" si="2"/>
        <v>Include</v>
      </c>
    </row>
    <row r="79" spans="3:10" s="1397" customFormat="1">
      <c r="C79" s="1414">
        <v>35829</v>
      </c>
      <c r="D79" s="1401">
        <v>36441</v>
      </c>
      <c r="E79" s="1400">
        <v>9075</v>
      </c>
      <c r="F79" s="1403" t="s">
        <v>2824</v>
      </c>
      <c r="G79" s="1399">
        <v>478684.18</v>
      </c>
      <c r="H79" s="1399">
        <f t="shared" si="1"/>
        <v>619229.02914133843</v>
      </c>
      <c r="I79" s="1399"/>
      <c r="J79" s="1399" t="str">
        <f t="shared" si="2"/>
        <v>Include</v>
      </c>
    </row>
    <row r="80" spans="3:10" s="1397" customFormat="1">
      <c r="C80" s="1414">
        <v>36404</v>
      </c>
      <c r="D80" s="1401">
        <v>37124</v>
      </c>
      <c r="E80" s="1400">
        <v>9297</v>
      </c>
      <c r="F80" s="1403" t="s">
        <v>2823</v>
      </c>
      <c r="G80" s="1399">
        <v>469404.45</v>
      </c>
      <c r="H80" s="1399">
        <f t="shared" si="1"/>
        <v>595318.34204364452</v>
      </c>
      <c r="I80" s="1399"/>
      <c r="J80" s="1399" t="str">
        <f t="shared" si="2"/>
        <v>Include</v>
      </c>
    </row>
    <row r="81" spans="3:10" s="1397" customFormat="1">
      <c r="C81" s="1414">
        <v>35093</v>
      </c>
      <c r="D81" s="1401">
        <v>36532</v>
      </c>
      <c r="E81" s="1400">
        <v>9855</v>
      </c>
      <c r="F81" s="1403" t="s">
        <v>2822</v>
      </c>
      <c r="G81" s="1399">
        <v>469160</v>
      </c>
      <c r="H81" s="1399">
        <f t="shared" si="1"/>
        <v>631427.58960814844</v>
      </c>
      <c r="I81" s="1399"/>
      <c r="J81" s="1399" t="str">
        <f t="shared" si="2"/>
        <v>Include</v>
      </c>
    </row>
    <row r="82" spans="3:10" s="1397" customFormat="1">
      <c r="C82" s="1414">
        <v>35195</v>
      </c>
      <c r="D82" s="1401">
        <v>35864</v>
      </c>
      <c r="E82" s="1400">
        <v>9887</v>
      </c>
      <c r="F82" s="1397" t="s">
        <v>2821</v>
      </c>
      <c r="G82" s="1399">
        <v>467805.4</v>
      </c>
      <c r="H82" s="1399">
        <f t="shared" si="1"/>
        <v>629604.47635705466</v>
      </c>
      <c r="I82" s="1399"/>
      <c r="J82" s="1399" t="str">
        <f t="shared" si="2"/>
        <v>Include</v>
      </c>
    </row>
    <row r="83" spans="3:10" s="1397" customFormat="1">
      <c r="C83" s="1414">
        <v>35247</v>
      </c>
      <c r="D83" s="1401">
        <v>36102</v>
      </c>
      <c r="E83" s="1400">
        <v>9913</v>
      </c>
      <c r="F83" s="1397" t="s">
        <v>2820</v>
      </c>
      <c r="G83" s="1399">
        <v>463970.6</v>
      </c>
      <c r="H83" s="1399">
        <f t="shared" si="1"/>
        <v>624443.34045324917</v>
      </c>
      <c r="I83" s="1399"/>
      <c r="J83" s="1399" t="str">
        <f t="shared" si="2"/>
        <v>Include</v>
      </c>
    </row>
    <row r="84" spans="3:10" s="1397" customFormat="1">
      <c r="C84" s="1414">
        <v>35864</v>
      </c>
      <c r="D84" s="1401">
        <v>36830</v>
      </c>
      <c r="E84" s="1400">
        <v>9097</v>
      </c>
      <c r="F84" s="1397" t="s">
        <v>2819</v>
      </c>
      <c r="G84" s="1399">
        <v>463892.03</v>
      </c>
      <c r="H84" s="1399">
        <f t="shared" ref="H84:H147" si="3">G84*(1+$N$6)^(2011-YEAR(C84))</f>
        <v>600093.80582267127</v>
      </c>
      <c r="I84" s="1399"/>
      <c r="J84" s="1399" t="str">
        <f t="shared" si="2"/>
        <v>Include</v>
      </c>
    </row>
    <row r="85" spans="3:10" s="1397" customFormat="1">
      <c r="C85" s="1414">
        <v>33298</v>
      </c>
      <c r="D85" s="1401">
        <v>34099</v>
      </c>
      <c r="E85" s="1400">
        <v>9406</v>
      </c>
      <c r="F85" s="1397" t="s">
        <v>2818</v>
      </c>
      <c r="G85" s="1399">
        <v>458125.04</v>
      </c>
      <c r="H85" s="1399">
        <f t="shared" si="3"/>
        <v>680749.71022047929</v>
      </c>
      <c r="I85" s="1399"/>
      <c r="J85" s="1399" t="str">
        <f t="shared" si="2"/>
        <v>Include</v>
      </c>
    </row>
    <row r="86" spans="3:10" s="1397" customFormat="1">
      <c r="C86" s="1414">
        <v>36554</v>
      </c>
      <c r="D86" s="1401" t="s">
        <v>2192</v>
      </c>
      <c r="E86" s="1400">
        <v>9371</v>
      </c>
      <c r="F86" s="1397" t="s">
        <v>2817</v>
      </c>
      <c r="G86" s="1399">
        <v>454713.59</v>
      </c>
      <c r="H86" s="1399">
        <f t="shared" si="3"/>
        <v>565379.19548389944</v>
      </c>
      <c r="I86" s="1399"/>
      <c r="J86" s="1399" t="str">
        <f t="shared" si="2"/>
        <v>Include</v>
      </c>
    </row>
    <row r="87" spans="3:10" s="1397" customFormat="1">
      <c r="C87" s="1414">
        <v>36586</v>
      </c>
      <c r="D87" s="1401">
        <v>37124</v>
      </c>
      <c r="E87" s="1400">
        <v>9410</v>
      </c>
      <c r="F87" s="1415" t="s">
        <v>2816</v>
      </c>
      <c r="G87" s="1399">
        <v>447037.45</v>
      </c>
      <c r="H87" s="1399">
        <f t="shared" si="3"/>
        <v>555834.88022025884</v>
      </c>
      <c r="I87" s="1399">
        <v>1</v>
      </c>
      <c r="J87" s="1399" t="str">
        <f t="shared" si="2"/>
        <v>Exclude</v>
      </c>
    </row>
    <row r="88" spans="3:10" s="1397" customFormat="1">
      <c r="C88" s="1414">
        <v>36297</v>
      </c>
      <c r="D88" s="1401">
        <v>36831</v>
      </c>
      <c r="E88" s="1400">
        <v>9258</v>
      </c>
      <c r="F88" s="1415" t="s">
        <v>2815</v>
      </c>
      <c r="G88" s="1399">
        <v>432423.15</v>
      </c>
      <c r="H88" s="1399">
        <f t="shared" si="3"/>
        <v>548417.11176638876</v>
      </c>
      <c r="I88" s="1399">
        <v>1</v>
      </c>
      <c r="J88" s="1399" t="str">
        <f t="shared" si="2"/>
        <v>Exclude</v>
      </c>
    </row>
    <row r="89" spans="3:10" s="1397" customFormat="1">
      <c r="C89" s="1414">
        <v>35019</v>
      </c>
      <c r="D89" s="1401">
        <v>35264</v>
      </c>
      <c r="E89" s="1400">
        <v>9845</v>
      </c>
      <c r="F89" s="1397" t="s">
        <v>2814</v>
      </c>
      <c r="G89" s="1399">
        <v>427119.35999999999</v>
      </c>
      <c r="H89" s="1399">
        <f t="shared" si="3"/>
        <v>586343.35177545098</v>
      </c>
      <c r="I89" s="1399"/>
      <c r="J89" s="1399" t="str">
        <f t="shared" si="2"/>
        <v>Include</v>
      </c>
    </row>
    <row r="90" spans="3:10" s="1397" customFormat="1">
      <c r="C90" s="1414">
        <v>36557</v>
      </c>
      <c r="D90" s="1401" t="s">
        <v>2192</v>
      </c>
      <c r="E90" s="1400">
        <v>9407</v>
      </c>
      <c r="F90" s="1403" t="s">
        <v>2813</v>
      </c>
      <c r="G90" s="1399">
        <v>422832.47</v>
      </c>
      <c r="H90" s="1399">
        <f t="shared" si="3"/>
        <v>525739.02995305241</v>
      </c>
      <c r="I90" s="1399"/>
      <c r="J90" s="1399" t="str">
        <f t="shared" si="2"/>
        <v>Include</v>
      </c>
    </row>
    <row r="91" spans="3:10" s="1397" customFormat="1">
      <c r="C91" s="1414">
        <v>34939</v>
      </c>
      <c r="D91" s="1401">
        <v>35544</v>
      </c>
      <c r="E91" s="1400">
        <v>9825</v>
      </c>
      <c r="F91" s="1403" t="s">
        <v>2812</v>
      </c>
      <c r="G91" s="1399">
        <v>420685.31</v>
      </c>
      <c r="H91" s="1399">
        <f t="shared" si="3"/>
        <v>577510.77990961273</v>
      </c>
      <c r="I91" s="1399"/>
      <c r="J91" s="1399" t="str">
        <f t="shared" si="2"/>
        <v>Include</v>
      </c>
    </row>
    <row r="92" spans="3:10" s="1397" customFormat="1">
      <c r="C92" s="1414">
        <v>32540</v>
      </c>
      <c r="D92" s="1401">
        <v>34099</v>
      </c>
      <c r="E92" s="1400">
        <v>9332</v>
      </c>
      <c r="F92" s="1403" t="s">
        <v>2811</v>
      </c>
      <c r="G92" s="1399">
        <v>420000</v>
      </c>
      <c r="H92" s="1399">
        <f t="shared" si="3"/>
        <v>649311.46172586945</v>
      </c>
      <c r="I92" s="1399"/>
      <c r="J92" s="1399" t="str">
        <f t="shared" si="2"/>
        <v>Include</v>
      </c>
    </row>
    <row r="93" spans="3:10" s="1397" customFormat="1">
      <c r="C93" s="1414">
        <v>34939</v>
      </c>
      <c r="D93" s="1401">
        <v>35618</v>
      </c>
      <c r="E93" s="1400">
        <v>9826</v>
      </c>
      <c r="F93" s="1403" t="s">
        <v>2810</v>
      </c>
      <c r="G93" s="1399">
        <v>418397.91</v>
      </c>
      <c r="H93" s="1399">
        <f t="shared" si="3"/>
        <v>574370.66988778836</v>
      </c>
      <c r="I93" s="1399"/>
      <c r="J93" s="1399" t="str">
        <f t="shared" si="2"/>
        <v>Include</v>
      </c>
    </row>
    <row r="94" spans="3:10" s="1397" customFormat="1">
      <c r="C94" s="1414">
        <v>35941</v>
      </c>
      <c r="D94" s="1401">
        <v>36830</v>
      </c>
      <c r="E94" s="1400">
        <v>9135</v>
      </c>
      <c r="F94" s="1403" t="s">
        <v>2809</v>
      </c>
      <c r="G94" s="1399">
        <v>411985.04</v>
      </c>
      <c r="H94" s="1399">
        <f t="shared" si="3"/>
        <v>532946.57939177239</v>
      </c>
      <c r="I94" s="1399"/>
      <c r="J94" s="1399" t="str">
        <f t="shared" si="2"/>
        <v>Include</v>
      </c>
    </row>
    <row r="95" spans="3:10" s="1397" customFormat="1">
      <c r="C95" s="1414">
        <v>36536</v>
      </c>
      <c r="D95" s="1401">
        <v>37182</v>
      </c>
      <c r="E95" s="1400">
        <v>9365</v>
      </c>
      <c r="F95" s="1403" t="s">
        <v>2808</v>
      </c>
      <c r="G95" s="1399">
        <v>392179.04</v>
      </c>
      <c r="H95" s="1399">
        <f t="shared" si="3"/>
        <v>487625.34262687853</v>
      </c>
      <c r="I95" s="1399"/>
      <c r="J95" s="1399" t="str">
        <f t="shared" si="2"/>
        <v>Include</v>
      </c>
    </row>
    <row r="96" spans="3:10" s="1397" customFormat="1">
      <c r="C96" s="1414">
        <v>35186</v>
      </c>
      <c r="D96" s="1401">
        <v>35556</v>
      </c>
      <c r="E96" s="1400">
        <v>9884</v>
      </c>
      <c r="F96" s="1403" t="s">
        <v>2807</v>
      </c>
      <c r="G96" s="1399">
        <v>390101.47</v>
      </c>
      <c r="H96" s="1399">
        <f t="shared" si="3"/>
        <v>525025.21720670012</v>
      </c>
      <c r="I96" s="1399"/>
      <c r="J96" s="1399" t="str">
        <f t="shared" si="2"/>
        <v>Include</v>
      </c>
    </row>
    <row r="97" spans="3:10" s="1397" customFormat="1">
      <c r="C97" s="1414">
        <v>33415</v>
      </c>
      <c r="D97" s="1401">
        <v>33730</v>
      </c>
      <c r="E97" s="1400">
        <v>9410</v>
      </c>
      <c r="F97" s="1403" t="s">
        <v>2806</v>
      </c>
      <c r="G97" s="1399">
        <v>380768</v>
      </c>
      <c r="H97" s="1399">
        <f t="shared" si="3"/>
        <v>565801.21807188599</v>
      </c>
      <c r="I97" s="1399"/>
      <c r="J97" s="1399" t="str">
        <f t="shared" si="2"/>
        <v>Include</v>
      </c>
    </row>
    <row r="98" spans="3:10" s="1397" customFormat="1">
      <c r="C98" s="1414">
        <v>33742</v>
      </c>
      <c r="D98" s="1401">
        <v>34173</v>
      </c>
      <c r="E98" s="1400">
        <v>9474</v>
      </c>
      <c r="F98" s="1415" t="s">
        <v>2805</v>
      </c>
      <c r="G98" s="1399">
        <v>376050.42</v>
      </c>
      <c r="H98" s="1399">
        <f t="shared" si="3"/>
        <v>547834.45328977087</v>
      </c>
      <c r="I98" s="1399">
        <v>1</v>
      </c>
      <c r="J98" s="1399" t="str">
        <f t="shared" si="2"/>
        <v>Exclude</v>
      </c>
    </row>
    <row r="99" spans="3:10" s="1397" customFormat="1">
      <c r="C99" s="1414">
        <v>36526</v>
      </c>
      <c r="D99" s="1401">
        <v>37182</v>
      </c>
      <c r="E99" s="1400">
        <v>9357</v>
      </c>
      <c r="F99" s="1403" t="s">
        <v>2804</v>
      </c>
      <c r="G99" s="1399">
        <v>374467.6</v>
      </c>
      <c r="H99" s="1399">
        <f t="shared" si="3"/>
        <v>465603.39316620515</v>
      </c>
      <c r="I99" s="1399"/>
      <c r="J99" s="1399" t="str">
        <f t="shared" si="2"/>
        <v>Include</v>
      </c>
    </row>
    <row r="100" spans="3:10" s="1397" customFormat="1">
      <c r="C100" s="1414">
        <v>33952</v>
      </c>
      <c r="D100" s="1401">
        <v>34698</v>
      </c>
      <c r="E100" s="1400">
        <v>9522</v>
      </c>
      <c r="F100" s="1403" t="s">
        <v>2803</v>
      </c>
      <c r="G100" s="1399">
        <v>373203.37</v>
      </c>
      <c r="H100" s="1399">
        <f t="shared" si="3"/>
        <v>543686.83904102573</v>
      </c>
      <c r="I100" s="1399"/>
      <c r="J100" s="1399" t="str">
        <f t="shared" si="2"/>
        <v>Include</v>
      </c>
    </row>
    <row r="101" spans="3:10" s="1397" customFormat="1">
      <c r="C101" s="1414">
        <v>35231</v>
      </c>
      <c r="D101" s="1401">
        <v>37182</v>
      </c>
      <c r="E101" s="1400">
        <v>9899</v>
      </c>
      <c r="F101" s="1403" t="s">
        <v>2802</v>
      </c>
      <c r="G101" s="1399">
        <v>349630.69</v>
      </c>
      <c r="H101" s="1399">
        <f t="shared" si="3"/>
        <v>470556.87577741873</v>
      </c>
      <c r="I101" s="1399"/>
      <c r="J101" s="1399" t="str">
        <f t="shared" si="2"/>
        <v>Include</v>
      </c>
    </row>
    <row r="102" spans="3:10" s="1397" customFormat="1">
      <c r="C102" s="1414">
        <v>33991</v>
      </c>
      <c r="D102" s="1401">
        <v>34320</v>
      </c>
      <c r="E102" s="1400">
        <v>9529</v>
      </c>
      <c r="F102" s="1403" t="s">
        <v>2801</v>
      </c>
      <c r="G102" s="1399">
        <v>342722.84</v>
      </c>
      <c r="H102" s="1399">
        <f t="shared" si="3"/>
        <v>489492.61018868332</v>
      </c>
      <c r="I102" s="1399"/>
      <c r="J102" s="1399" t="str">
        <f t="shared" si="2"/>
        <v>Include</v>
      </c>
    </row>
    <row r="103" spans="3:10" s="1397" customFormat="1">
      <c r="C103" s="1414">
        <v>35081</v>
      </c>
      <c r="D103" s="1401">
        <v>35585</v>
      </c>
      <c r="E103" s="1400">
        <v>9854</v>
      </c>
      <c r="F103" s="1403" t="s">
        <v>2800</v>
      </c>
      <c r="G103" s="1399">
        <v>329694.56</v>
      </c>
      <c r="H103" s="1399">
        <f t="shared" si="3"/>
        <v>443725.46962170489</v>
      </c>
      <c r="I103" s="1399"/>
      <c r="J103" s="1399" t="str">
        <f t="shared" si="2"/>
        <v>Include</v>
      </c>
    </row>
    <row r="104" spans="3:10" s="1397" customFormat="1">
      <c r="C104" s="1414">
        <v>33775</v>
      </c>
      <c r="D104" s="1401">
        <v>34320</v>
      </c>
      <c r="E104" s="1400">
        <v>9484</v>
      </c>
      <c r="F104" s="1415" t="s">
        <v>2799</v>
      </c>
      <c r="G104" s="1399">
        <v>328487.15000000002</v>
      </c>
      <c r="H104" s="1399">
        <f t="shared" si="3"/>
        <v>478543.75015181472</v>
      </c>
      <c r="I104" s="1399">
        <v>1</v>
      </c>
      <c r="J104" s="1399" t="str">
        <f t="shared" si="2"/>
        <v>Exclude</v>
      </c>
    </row>
    <row r="105" spans="3:10" s="1397" customFormat="1">
      <c r="C105" s="1414">
        <v>36495</v>
      </c>
      <c r="D105" s="1401" t="s">
        <v>2192</v>
      </c>
      <c r="E105" s="1400">
        <v>9348</v>
      </c>
      <c r="F105" s="1397" t="s">
        <v>2798</v>
      </c>
      <c r="G105" s="1399">
        <v>325919.5</v>
      </c>
      <c r="H105" s="1399">
        <f t="shared" si="3"/>
        <v>413344.73156292748</v>
      </c>
      <c r="I105" s="1399"/>
      <c r="J105" s="1399" t="str">
        <f t="shared" si="2"/>
        <v>Include</v>
      </c>
    </row>
    <row r="106" spans="3:10" s="1397" customFormat="1">
      <c r="C106" s="1414">
        <v>35093</v>
      </c>
      <c r="D106" s="1401">
        <v>35467</v>
      </c>
      <c r="E106" s="1400">
        <v>9857</v>
      </c>
      <c r="F106" s="1403" t="s">
        <v>2797</v>
      </c>
      <c r="G106" s="1399">
        <v>324325.56</v>
      </c>
      <c r="H106" s="1399">
        <f t="shared" si="3"/>
        <v>436499.50251324265</v>
      </c>
      <c r="I106" s="1399"/>
      <c r="J106" s="1399" t="str">
        <f t="shared" si="2"/>
        <v>Include</v>
      </c>
    </row>
    <row r="107" spans="3:10" s="1397" customFormat="1">
      <c r="C107" s="1414">
        <v>35536</v>
      </c>
      <c r="D107" s="1401">
        <v>35970</v>
      </c>
      <c r="E107" s="1400">
        <v>9977</v>
      </c>
      <c r="F107" s="1397" t="s">
        <v>2796</v>
      </c>
      <c r="G107" s="1399">
        <v>320722.17</v>
      </c>
      <c r="H107" s="1399">
        <f t="shared" si="3"/>
        <v>423186.09215844021</v>
      </c>
      <c r="I107" s="1399"/>
      <c r="J107" s="1399" t="str">
        <f t="shared" si="2"/>
        <v>Include</v>
      </c>
    </row>
    <row r="108" spans="3:10" s="1397" customFormat="1">
      <c r="C108" s="1414">
        <v>36220</v>
      </c>
      <c r="D108" s="1401">
        <v>37124</v>
      </c>
      <c r="E108" s="1400">
        <v>9224</v>
      </c>
      <c r="F108" s="1397" t="s">
        <v>2795</v>
      </c>
      <c r="G108" s="1399">
        <v>314707</v>
      </c>
      <c r="H108" s="1399">
        <f t="shared" si="3"/>
        <v>399124.57044139493</v>
      </c>
      <c r="I108" s="1399"/>
      <c r="J108" s="1399" t="str">
        <f t="shared" si="2"/>
        <v>Include</v>
      </c>
    </row>
    <row r="109" spans="3:10" s="1397" customFormat="1">
      <c r="C109" s="1414">
        <v>35888</v>
      </c>
      <c r="D109" s="1401">
        <v>36252</v>
      </c>
      <c r="E109" s="1400">
        <v>9110</v>
      </c>
      <c r="F109" s="1415" t="s">
        <v>2794</v>
      </c>
      <c r="G109" s="1399">
        <v>312123.78999999998</v>
      </c>
      <c r="H109" s="1399">
        <f t="shared" si="3"/>
        <v>403765.40426636825</v>
      </c>
      <c r="I109" s="1399">
        <v>1</v>
      </c>
      <c r="J109" s="1399" t="str">
        <f t="shared" si="2"/>
        <v>Exclude</v>
      </c>
    </row>
    <row r="110" spans="3:10" s="1397" customFormat="1">
      <c r="C110" s="1414">
        <v>35117</v>
      </c>
      <c r="D110" s="1401">
        <v>35391</v>
      </c>
      <c r="E110" s="1400">
        <v>9861</v>
      </c>
      <c r="F110" s="1403" t="s">
        <v>2793</v>
      </c>
      <c r="G110" s="1399">
        <v>309228.84000000003</v>
      </c>
      <c r="H110" s="1399">
        <f t="shared" si="3"/>
        <v>416181.30505269807</v>
      </c>
      <c r="I110" s="1399"/>
      <c r="J110" s="1399" t="str">
        <f t="shared" si="2"/>
        <v>Include</v>
      </c>
    </row>
    <row r="111" spans="3:10" s="1397" customFormat="1">
      <c r="C111" s="1414">
        <v>33786</v>
      </c>
      <c r="D111" s="1401">
        <v>34655</v>
      </c>
      <c r="E111" s="1400">
        <v>9490</v>
      </c>
      <c r="F111" s="1403" t="s">
        <v>2792</v>
      </c>
      <c r="G111" s="1399">
        <v>297695.61</v>
      </c>
      <c r="H111" s="1399">
        <f t="shared" si="3"/>
        <v>433686.29066047806</v>
      </c>
      <c r="I111" s="1399"/>
      <c r="J111" s="1399" t="str">
        <f t="shared" si="2"/>
        <v>Include</v>
      </c>
    </row>
    <row r="112" spans="3:10" s="1397" customFormat="1">
      <c r="C112" s="1414">
        <v>36298</v>
      </c>
      <c r="D112" s="1401">
        <v>36831</v>
      </c>
      <c r="E112" s="1400">
        <v>9274</v>
      </c>
      <c r="F112" s="1403" t="s">
        <v>2791</v>
      </c>
      <c r="G112" s="1399">
        <v>297269.25</v>
      </c>
      <c r="H112" s="1399">
        <f t="shared" si="3"/>
        <v>377009.28708826192</v>
      </c>
      <c r="I112" s="1399"/>
      <c r="J112" s="1399" t="str">
        <f t="shared" si="2"/>
        <v>Include</v>
      </c>
    </row>
    <row r="113" spans="3:10" s="1397" customFormat="1">
      <c r="C113" s="1414">
        <v>35186</v>
      </c>
      <c r="D113" s="1401">
        <v>35760</v>
      </c>
      <c r="E113" s="1400">
        <v>9882</v>
      </c>
      <c r="F113" s="1397" t="s">
        <v>2790</v>
      </c>
      <c r="G113" s="1399">
        <v>296751.55</v>
      </c>
      <c r="H113" s="1399">
        <f t="shared" si="3"/>
        <v>399388.51549360971</v>
      </c>
      <c r="I113" s="1399"/>
      <c r="J113" s="1399" t="str">
        <f t="shared" si="2"/>
        <v>Include</v>
      </c>
    </row>
    <row r="114" spans="3:10" s="1397" customFormat="1">
      <c r="C114" s="1414">
        <v>36651</v>
      </c>
      <c r="D114" s="1401">
        <v>37182</v>
      </c>
      <c r="E114" s="1400">
        <v>9433</v>
      </c>
      <c r="F114" s="1397" t="s">
        <v>2789</v>
      </c>
      <c r="G114" s="1399">
        <v>293872.95</v>
      </c>
      <c r="H114" s="1399">
        <f t="shared" si="3"/>
        <v>365394.07596214616</v>
      </c>
      <c r="I114" s="1399"/>
      <c r="J114" s="1399" t="str">
        <f t="shared" si="2"/>
        <v>Include</v>
      </c>
    </row>
    <row r="115" spans="3:10" s="1397" customFormat="1">
      <c r="C115" s="1414">
        <v>35779</v>
      </c>
      <c r="D115" s="1401">
        <v>36704</v>
      </c>
      <c r="E115" s="1400">
        <v>9064</v>
      </c>
      <c r="F115" s="1403" t="s">
        <v>2788</v>
      </c>
      <c r="G115" s="1399">
        <v>292608.65999999997</v>
      </c>
      <c r="H115" s="1399">
        <f t="shared" si="3"/>
        <v>386090.91275828448</v>
      </c>
      <c r="I115" s="1399"/>
      <c r="J115" s="1399" t="str">
        <f t="shared" si="2"/>
        <v>Include</v>
      </c>
    </row>
    <row r="116" spans="3:10" s="1397" customFormat="1">
      <c r="C116" s="1414">
        <v>35527</v>
      </c>
      <c r="D116" s="1401">
        <v>37060</v>
      </c>
      <c r="E116" s="1400">
        <v>9975</v>
      </c>
      <c r="F116" s="1415" t="s">
        <v>2787</v>
      </c>
      <c r="G116" s="1399">
        <v>280521.86</v>
      </c>
      <c r="H116" s="1399">
        <f t="shared" si="3"/>
        <v>370142.63684489619</v>
      </c>
      <c r="I116" s="1399">
        <v>1</v>
      </c>
      <c r="J116" s="1399" t="str">
        <f t="shared" si="2"/>
        <v>Exclude</v>
      </c>
    </row>
    <row r="117" spans="3:10" s="1397" customFormat="1">
      <c r="C117" s="1414">
        <v>36526</v>
      </c>
      <c r="D117" s="1401">
        <v>37319</v>
      </c>
      <c r="E117" s="1400">
        <v>9355</v>
      </c>
      <c r="F117" s="1397" t="s">
        <v>2786</v>
      </c>
      <c r="G117" s="1399">
        <v>278770.19</v>
      </c>
      <c r="H117" s="1399">
        <f t="shared" si="3"/>
        <v>346615.69219229574</v>
      </c>
      <c r="I117" s="1399"/>
      <c r="J117" s="1399" t="str">
        <f t="shared" si="2"/>
        <v>Include</v>
      </c>
    </row>
    <row r="118" spans="3:10" s="1397" customFormat="1">
      <c r="C118" s="1414">
        <v>36647</v>
      </c>
      <c r="D118" s="1401" t="s">
        <v>2192</v>
      </c>
      <c r="E118" s="1400">
        <v>9444</v>
      </c>
      <c r="F118" s="1397" t="s">
        <v>2785</v>
      </c>
      <c r="G118" s="1399">
        <v>274515.08</v>
      </c>
      <c r="H118" s="1399">
        <f t="shared" si="3"/>
        <v>341324.99773890257</v>
      </c>
      <c r="I118" s="1399"/>
      <c r="J118" s="1399" t="str">
        <f t="shared" si="2"/>
        <v>Include</v>
      </c>
    </row>
    <row r="119" spans="3:10" s="1397" customFormat="1">
      <c r="C119" s="1414">
        <v>36298</v>
      </c>
      <c r="D119" s="1401">
        <v>36586</v>
      </c>
      <c r="E119" s="1400">
        <v>9275</v>
      </c>
      <c r="F119" s="1415" t="s">
        <v>2784</v>
      </c>
      <c r="G119" s="1399">
        <v>269772.7</v>
      </c>
      <c r="H119" s="1399">
        <f t="shared" si="3"/>
        <v>342137.01317198318</v>
      </c>
      <c r="I119" s="1399">
        <v>1</v>
      </c>
      <c r="J119" s="1399" t="str">
        <f t="shared" si="2"/>
        <v>Exclude</v>
      </c>
    </row>
    <row r="120" spans="3:10" s="1397" customFormat="1">
      <c r="C120" s="1414">
        <v>33864</v>
      </c>
      <c r="D120" s="1401">
        <v>34396</v>
      </c>
      <c r="E120" s="1400">
        <v>9510</v>
      </c>
      <c r="F120" s="1403" t="s">
        <v>2783</v>
      </c>
      <c r="G120" s="1399">
        <v>266000</v>
      </c>
      <c r="H120" s="1399">
        <f t="shared" si="3"/>
        <v>387511.77189239429</v>
      </c>
      <c r="I120" s="1399"/>
      <c r="J120" s="1399" t="str">
        <f t="shared" si="2"/>
        <v>Include</v>
      </c>
    </row>
    <row r="121" spans="3:10" s="1397" customFormat="1">
      <c r="C121" s="1414">
        <v>36586</v>
      </c>
      <c r="D121" s="1401">
        <v>37182</v>
      </c>
      <c r="E121" s="1400">
        <v>9358</v>
      </c>
      <c r="F121" s="1397" t="s">
        <v>2782</v>
      </c>
      <c r="G121" s="1399">
        <v>265293.09000000003</v>
      </c>
      <c r="H121" s="1399">
        <f t="shared" si="3"/>
        <v>329858.61230063019</v>
      </c>
      <c r="I121" s="1399"/>
      <c r="J121" s="1399" t="str">
        <f t="shared" si="2"/>
        <v>Include</v>
      </c>
    </row>
    <row r="122" spans="3:10" s="1397" customFormat="1">
      <c r="C122" s="1414">
        <v>36206</v>
      </c>
      <c r="D122" s="1401">
        <v>37060</v>
      </c>
      <c r="E122" s="1400">
        <v>9235</v>
      </c>
      <c r="F122" s="1397" t="s">
        <v>2781</v>
      </c>
      <c r="G122" s="1399">
        <v>263784.98</v>
      </c>
      <c r="H122" s="1399">
        <f t="shared" si="3"/>
        <v>334543.13641384512</v>
      </c>
      <c r="I122" s="1399"/>
      <c r="J122" s="1399" t="str">
        <f t="shared" si="2"/>
        <v>Include</v>
      </c>
    </row>
    <row r="123" spans="3:10" s="1397" customFormat="1">
      <c r="C123" s="1414">
        <v>36466</v>
      </c>
      <c r="D123" s="1401">
        <v>37124</v>
      </c>
      <c r="E123" s="1400">
        <v>9333</v>
      </c>
      <c r="F123" s="1403" t="s">
        <v>2780</v>
      </c>
      <c r="G123" s="1399">
        <v>261489</v>
      </c>
      <c r="H123" s="1399">
        <f t="shared" si="3"/>
        <v>331631.27861836541</v>
      </c>
      <c r="I123" s="1399"/>
      <c r="J123" s="1399" t="str">
        <f t="shared" si="2"/>
        <v>Include</v>
      </c>
    </row>
    <row r="124" spans="3:10" s="1397" customFormat="1">
      <c r="C124" s="1414">
        <v>35222</v>
      </c>
      <c r="D124" s="1401">
        <v>35760</v>
      </c>
      <c r="E124" s="1400">
        <v>9896</v>
      </c>
      <c r="F124" s="1415" t="s">
        <v>2779</v>
      </c>
      <c r="G124" s="1399">
        <v>256725.17</v>
      </c>
      <c r="H124" s="1399">
        <f t="shared" si="3"/>
        <v>345518.27795387962</v>
      </c>
      <c r="I124" s="1399">
        <v>1</v>
      </c>
      <c r="J124" s="1399" t="str">
        <f t="shared" si="2"/>
        <v>Exclude</v>
      </c>
    </row>
    <row r="125" spans="3:10" s="1397" customFormat="1">
      <c r="C125" s="1414">
        <v>35431</v>
      </c>
      <c r="D125" s="1401">
        <v>36572</v>
      </c>
      <c r="E125" s="1400">
        <v>9955</v>
      </c>
      <c r="F125" s="1397" t="s">
        <v>2778</v>
      </c>
      <c r="G125" s="1399">
        <v>254646.39999999999</v>
      </c>
      <c r="H125" s="1399">
        <f t="shared" si="3"/>
        <v>336000.51689041336</v>
      </c>
      <c r="I125" s="1399"/>
      <c r="J125" s="1399" t="str">
        <f t="shared" si="2"/>
        <v>Include</v>
      </c>
    </row>
    <row r="126" spans="3:10" s="1397" customFormat="1">
      <c r="C126" s="1414">
        <v>36584</v>
      </c>
      <c r="D126" s="1401">
        <v>37195</v>
      </c>
      <c r="E126" s="1400">
        <v>9386</v>
      </c>
      <c r="F126" s="1397" t="s">
        <v>2777</v>
      </c>
      <c r="G126" s="1399">
        <v>250919.19</v>
      </c>
      <c r="H126" s="1399">
        <f t="shared" si="3"/>
        <v>311986.47432919627</v>
      </c>
      <c r="I126" s="1399"/>
      <c r="J126" s="1399" t="str">
        <f t="shared" si="2"/>
        <v>Include</v>
      </c>
    </row>
    <row r="127" spans="3:10" s="1397" customFormat="1">
      <c r="C127" s="1414">
        <v>36031</v>
      </c>
      <c r="D127" s="1401">
        <v>36831</v>
      </c>
      <c r="E127" s="1400">
        <v>9170</v>
      </c>
      <c r="F127" s="1397" t="s">
        <v>2776</v>
      </c>
      <c r="G127" s="1399">
        <v>249024.27</v>
      </c>
      <c r="H127" s="1399">
        <f t="shared" si="3"/>
        <v>322139.44681591634</v>
      </c>
      <c r="I127" s="1399"/>
      <c r="J127" s="1399" t="str">
        <f t="shared" si="2"/>
        <v>Include</v>
      </c>
    </row>
    <row r="128" spans="3:10" s="1397" customFormat="1">
      <c r="C128" s="1414">
        <v>35521</v>
      </c>
      <c r="D128" s="1401">
        <v>35864</v>
      </c>
      <c r="E128" s="1400">
        <v>9971</v>
      </c>
      <c r="F128" s="1403" t="s">
        <v>2775</v>
      </c>
      <c r="G128" s="1399">
        <v>248906.32</v>
      </c>
      <c r="H128" s="1399">
        <f t="shared" si="3"/>
        <v>328426.60323213146</v>
      </c>
      <c r="I128" s="1399"/>
      <c r="J128" s="1399" t="str">
        <f t="shared" si="2"/>
        <v>Include</v>
      </c>
    </row>
    <row r="129" spans="3:10" s="1397" customFormat="1">
      <c r="C129" s="1414">
        <v>35389</v>
      </c>
      <c r="D129" s="1401">
        <v>35709</v>
      </c>
      <c r="E129" s="1400">
        <v>9943</v>
      </c>
      <c r="F129" s="1403" t="s">
        <v>2774</v>
      </c>
      <c r="G129" s="1399">
        <v>243642.15</v>
      </c>
      <c r="H129" s="1399">
        <f t="shared" si="3"/>
        <v>327910.25556621823</v>
      </c>
      <c r="I129" s="1399"/>
      <c r="J129" s="1399" t="str">
        <f t="shared" si="2"/>
        <v>Include</v>
      </c>
    </row>
    <row r="130" spans="3:10" s="1397" customFormat="1">
      <c r="C130" s="1414">
        <v>36571</v>
      </c>
      <c r="D130" s="1401" t="s">
        <v>2192</v>
      </c>
      <c r="E130" s="1400">
        <v>9375</v>
      </c>
      <c r="F130" s="1403" t="s">
        <v>2773</v>
      </c>
      <c r="G130" s="1399">
        <v>238445.66</v>
      </c>
      <c r="H130" s="1399">
        <f t="shared" si="3"/>
        <v>296477.20759220637</v>
      </c>
      <c r="I130" s="1399"/>
      <c r="J130" s="1399" t="str">
        <f t="shared" si="2"/>
        <v>Include</v>
      </c>
    </row>
    <row r="131" spans="3:10" s="1397" customFormat="1">
      <c r="C131" s="1414">
        <v>36312</v>
      </c>
      <c r="D131" s="1401">
        <v>36704</v>
      </c>
      <c r="E131" s="1400">
        <v>9276</v>
      </c>
      <c r="F131" s="1403" t="s">
        <v>2772</v>
      </c>
      <c r="G131" s="1399">
        <v>238130.87</v>
      </c>
      <c r="H131" s="1399">
        <f t="shared" si="3"/>
        <v>302007.52190954017</v>
      </c>
      <c r="I131" s="1399"/>
      <c r="J131" s="1399" t="str">
        <f t="shared" si="2"/>
        <v>Include</v>
      </c>
    </row>
    <row r="132" spans="3:10" s="1397" customFormat="1">
      <c r="C132" s="1414">
        <v>36096</v>
      </c>
      <c r="D132" s="1401">
        <v>37042</v>
      </c>
      <c r="E132" s="1400">
        <v>9180</v>
      </c>
      <c r="F132" s="1403" t="s">
        <v>2771</v>
      </c>
      <c r="G132" s="1399">
        <v>237373</v>
      </c>
      <c r="H132" s="1399">
        <f t="shared" si="3"/>
        <v>307067.28669070895</v>
      </c>
      <c r="I132" s="1399"/>
      <c r="J132" s="1399" t="str">
        <f t="shared" si="2"/>
        <v>Include</v>
      </c>
    </row>
    <row r="133" spans="3:10" s="1397" customFormat="1">
      <c r="C133" s="1414">
        <v>33984</v>
      </c>
      <c r="D133" s="1401">
        <v>34820</v>
      </c>
      <c r="E133" s="1400">
        <v>9526</v>
      </c>
      <c r="F133" s="1403" t="s">
        <v>2770</v>
      </c>
      <c r="G133" s="1399">
        <v>234837.2</v>
      </c>
      <c r="H133" s="1399">
        <f t="shared" si="3"/>
        <v>335405.3496913187</v>
      </c>
      <c r="I133" s="1399"/>
      <c r="J133" s="1399" t="str">
        <f t="shared" si="2"/>
        <v>Include</v>
      </c>
    </row>
    <row r="134" spans="3:10" s="1397" customFormat="1">
      <c r="C134" s="1414">
        <v>35601</v>
      </c>
      <c r="D134" s="1401">
        <v>36532</v>
      </c>
      <c r="E134" s="1400">
        <v>9003</v>
      </c>
      <c r="F134" s="1403" t="s">
        <v>2769</v>
      </c>
      <c r="G134" s="1399">
        <v>233563.5</v>
      </c>
      <c r="H134" s="1399">
        <f t="shared" si="3"/>
        <v>308182.07807663514</v>
      </c>
      <c r="I134" s="1399"/>
      <c r="J134" s="1399" t="str">
        <f t="shared" si="2"/>
        <v>Include</v>
      </c>
    </row>
    <row r="135" spans="3:10" s="1397" customFormat="1">
      <c r="C135" s="1414">
        <v>35888</v>
      </c>
      <c r="D135" s="1401">
        <v>36320</v>
      </c>
      <c r="E135" s="1400">
        <v>9108</v>
      </c>
      <c r="F135" s="1403" t="s">
        <v>2768</v>
      </c>
      <c r="G135" s="1399">
        <v>229345.7</v>
      </c>
      <c r="H135" s="1399">
        <f t="shared" si="3"/>
        <v>296683.11818606721</v>
      </c>
      <c r="I135" s="1399"/>
      <c r="J135" s="1399" t="str">
        <f t="shared" si="2"/>
        <v>Include</v>
      </c>
    </row>
    <row r="136" spans="3:10" s="1397" customFormat="1">
      <c r="C136" s="1414">
        <v>35249</v>
      </c>
      <c r="D136" s="1401">
        <v>35509</v>
      </c>
      <c r="E136" s="1400">
        <v>9910</v>
      </c>
      <c r="F136" s="1403" t="s">
        <v>2767</v>
      </c>
      <c r="G136" s="1399">
        <v>225900.17</v>
      </c>
      <c r="H136" s="1399">
        <f t="shared" si="3"/>
        <v>304031.88642503833</v>
      </c>
      <c r="I136" s="1399"/>
      <c r="J136" s="1399" t="str">
        <f t="shared" si="2"/>
        <v>Include</v>
      </c>
    </row>
    <row r="137" spans="3:10" s="1397" customFormat="1">
      <c r="C137" s="1414">
        <v>36251</v>
      </c>
      <c r="D137" s="1401">
        <v>37587</v>
      </c>
      <c r="E137" s="1400">
        <v>9256</v>
      </c>
      <c r="F137" s="1415" t="s">
        <v>2766</v>
      </c>
      <c r="G137" s="1399">
        <v>225519.94</v>
      </c>
      <c r="H137" s="1399">
        <f t="shared" si="3"/>
        <v>286013.81341523753</v>
      </c>
      <c r="I137" s="1399">
        <v>1</v>
      </c>
      <c r="J137" s="1399" t="str">
        <f t="shared" si="2"/>
        <v>Exclude</v>
      </c>
    </row>
    <row r="138" spans="3:10" s="1397" customFormat="1">
      <c r="C138" s="1414">
        <v>33989</v>
      </c>
      <c r="D138" s="1401">
        <v>34425</v>
      </c>
      <c r="E138" s="1400">
        <v>9534</v>
      </c>
      <c r="F138" s="1403" t="s">
        <v>2765</v>
      </c>
      <c r="G138" s="1399">
        <v>223152.2</v>
      </c>
      <c r="H138" s="1399">
        <f t="shared" si="3"/>
        <v>318716.29228838993</v>
      </c>
      <c r="I138" s="1399"/>
      <c r="J138" s="1399" t="str">
        <f t="shared" si="2"/>
        <v>Include</v>
      </c>
    </row>
    <row r="139" spans="3:10" s="1397" customFormat="1">
      <c r="C139" s="1414">
        <v>35117</v>
      </c>
      <c r="D139" s="1401">
        <v>35391</v>
      </c>
      <c r="E139" s="1400">
        <v>9862</v>
      </c>
      <c r="F139" s="1397" t="s">
        <v>2764</v>
      </c>
      <c r="G139" s="1399">
        <v>221678.33</v>
      </c>
      <c r="H139" s="1399">
        <f t="shared" si="3"/>
        <v>298349.84563956794</v>
      </c>
      <c r="I139" s="1399"/>
      <c r="J139" s="1399" t="str">
        <f t="shared" ref="J139:J202" si="4">IF(I139=1,"Exclude","Include")</f>
        <v>Include</v>
      </c>
    </row>
    <row r="140" spans="3:10" s="1397" customFormat="1">
      <c r="C140" s="1414">
        <v>36495</v>
      </c>
      <c r="D140" s="1401">
        <v>37770</v>
      </c>
      <c r="E140" s="1400">
        <v>9338</v>
      </c>
      <c r="F140" s="1397" t="s">
        <v>2763</v>
      </c>
      <c r="G140" s="1399">
        <v>219679.19</v>
      </c>
      <c r="H140" s="1399">
        <f t="shared" si="3"/>
        <v>278606.33015364636</v>
      </c>
      <c r="I140" s="1399"/>
      <c r="J140" s="1399" t="str">
        <f t="shared" si="4"/>
        <v>Include</v>
      </c>
    </row>
    <row r="141" spans="3:10" s="1397" customFormat="1">
      <c r="C141" s="1414">
        <v>34984</v>
      </c>
      <c r="D141" s="1401">
        <v>35213</v>
      </c>
      <c r="E141" s="1400">
        <v>9840</v>
      </c>
      <c r="F141" s="1397" t="s">
        <v>2762</v>
      </c>
      <c r="G141" s="1399">
        <v>218306.55</v>
      </c>
      <c r="H141" s="1399">
        <f t="shared" si="3"/>
        <v>299688.11116764892</v>
      </c>
      <c r="I141" s="1399"/>
      <c r="J141" s="1399" t="str">
        <f t="shared" si="4"/>
        <v>Include</v>
      </c>
    </row>
    <row r="142" spans="3:10" s="1397" customFormat="1">
      <c r="C142" s="1414">
        <v>36251</v>
      </c>
      <c r="D142" s="1401">
        <v>36830</v>
      </c>
      <c r="E142" s="1400">
        <v>9232</v>
      </c>
      <c r="F142" s="1403" t="s">
        <v>2761</v>
      </c>
      <c r="G142" s="1399">
        <v>209680</v>
      </c>
      <c r="H142" s="1399">
        <f t="shared" si="3"/>
        <v>265924.93948387448</v>
      </c>
      <c r="I142" s="1399"/>
      <c r="J142" s="1399" t="str">
        <f t="shared" si="4"/>
        <v>Include</v>
      </c>
    </row>
    <row r="143" spans="3:10" s="1397" customFormat="1">
      <c r="C143" s="1414">
        <v>36356</v>
      </c>
      <c r="D143" s="1401">
        <v>37124</v>
      </c>
      <c r="E143" s="1400">
        <v>9308</v>
      </c>
      <c r="F143" s="1403" t="s">
        <v>2760</v>
      </c>
      <c r="G143" s="1399">
        <v>208151</v>
      </c>
      <c r="H143" s="1399">
        <f t="shared" si="3"/>
        <v>263985.79777998838</v>
      </c>
      <c r="I143" s="1399"/>
      <c r="J143" s="1399" t="str">
        <f t="shared" si="4"/>
        <v>Include</v>
      </c>
    </row>
    <row r="144" spans="3:10" s="1397" customFormat="1">
      <c r="C144" s="1414">
        <v>35838</v>
      </c>
      <c r="D144" s="1401">
        <v>36532</v>
      </c>
      <c r="E144" s="1400">
        <v>9078</v>
      </c>
      <c r="F144" s="1397" t="s">
        <v>2759</v>
      </c>
      <c r="G144" s="1399">
        <v>207712</v>
      </c>
      <c r="H144" s="1399">
        <f t="shared" si="3"/>
        <v>268697.62042481889</v>
      </c>
      <c r="I144" s="1399"/>
      <c r="J144" s="1399" t="str">
        <f t="shared" si="4"/>
        <v>Include</v>
      </c>
    </row>
    <row r="145" spans="3:13">
      <c r="C145" s="1414">
        <v>36617</v>
      </c>
      <c r="D145" s="1401">
        <v>37319</v>
      </c>
      <c r="E145" s="1400">
        <v>9432</v>
      </c>
      <c r="F145" s="1415" t="s">
        <v>2758</v>
      </c>
      <c r="G145" s="1399">
        <v>205215</v>
      </c>
      <c r="H145" s="1399">
        <f t="shared" si="3"/>
        <v>255159.0586972085</v>
      </c>
      <c r="I145" s="1399">
        <v>1</v>
      </c>
      <c r="J145" s="1399" t="str">
        <f t="shared" si="4"/>
        <v>Exclude</v>
      </c>
    </row>
    <row r="146" spans="3:13">
      <c r="C146" s="1414">
        <v>36353</v>
      </c>
      <c r="D146" s="1401">
        <v>36831</v>
      </c>
      <c r="E146" s="1400">
        <v>9294</v>
      </c>
      <c r="F146" s="1415" t="s">
        <v>2757</v>
      </c>
      <c r="G146" s="1399">
        <v>202371.34</v>
      </c>
      <c r="H146" s="1399">
        <f t="shared" si="3"/>
        <v>256655.79140962698</v>
      </c>
      <c r="I146" s="1399">
        <v>1</v>
      </c>
      <c r="J146" s="1399" t="str">
        <f t="shared" si="4"/>
        <v>Exclude</v>
      </c>
    </row>
    <row r="147" spans="3:13">
      <c r="C147" s="1414">
        <v>36537</v>
      </c>
      <c r="D147" s="1401">
        <v>37587</v>
      </c>
      <c r="E147" s="1400">
        <v>9366</v>
      </c>
      <c r="F147" s="1397" t="s">
        <v>2756</v>
      </c>
      <c r="G147" s="1399">
        <v>202299.13</v>
      </c>
      <c r="H147" s="1399">
        <f t="shared" si="3"/>
        <v>251533.54085258979</v>
      </c>
      <c r="J147" s="1399" t="str">
        <f t="shared" si="4"/>
        <v>Include</v>
      </c>
    </row>
    <row r="148" spans="3:13">
      <c r="C148" s="1414">
        <v>35516</v>
      </c>
      <c r="D148" s="1401">
        <v>35864</v>
      </c>
      <c r="E148" s="1400">
        <v>9969</v>
      </c>
      <c r="F148" s="1403" t="s">
        <v>2755</v>
      </c>
      <c r="G148" s="1399">
        <v>200719.02</v>
      </c>
      <c r="H148" s="1399">
        <f t="shared" ref="H148:H211" si="5">G148*(1+$N$6)^(2011-YEAR(C148))</f>
        <v>264844.48423279187</v>
      </c>
      <c r="J148" s="1399" t="str">
        <f t="shared" si="4"/>
        <v>Include</v>
      </c>
    </row>
    <row r="149" spans="3:13">
      <c r="C149" s="1414">
        <v>36536</v>
      </c>
      <c r="D149" s="1401" t="s">
        <v>2192</v>
      </c>
      <c r="E149" s="1400">
        <v>9367</v>
      </c>
      <c r="F149" s="1397" t="s">
        <v>2754</v>
      </c>
      <c r="G149" s="1399">
        <v>200533</v>
      </c>
      <c r="H149" s="1399">
        <f t="shared" si="5"/>
        <v>249337.58018530475</v>
      </c>
      <c r="J149" s="1399" t="str">
        <f t="shared" si="4"/>
        <v>Include</v>
      </c>
    </row>
    <row r="150" spans="3:13">
      <c r="C150" s="1414">
        <v>35523</v>
      </c>
      <c r="D150" s="1401">
        <v>36129</v>
      </c>
      <c r="E150" s="1400">
        <v>9973</v>
      </c>
      <c r="F150" s="1415" t="s">
        <v>2753</v>
      </c>
      <c r="G150" s="1399">
        <v>199935.2</v>
      </c>
      <c r="H150" s="1399">
        <f t="shared" si="5"/>
        <v>263810.25038872799</v>
      </c>
      <c r="I150" s="1399">
        <v>1</v>
      </c>
      <c r="J150" s="1399" t="str">
        <f t="shared" si="4"/>
        <v>Exclude</v>
      </c>
    </row>
    <row r="151" spans="3:13">
      <c r="C151" s="1414">
        <v>35551</v>
      </c>
      <c r="D151" s="1401">
        <v>36102</v>
      </c>
      <c r="E151" s="1400">
        <v>9992</v>
      </c>
      <c r="F151" s="1415" t="s">
        <v>2752</v>
      </c>
      <c r="G151" s="1399">
        <v>199667</v>
      </c>
      <c r="H151" s="1399">
        <f t="shared" si="5"/>
        <v>263456.36618447449</v>
      </c>
      <c r="I151" s="1399">
        <v>1</v>
      </c>
      <c r="J151" s="1399" t="str">
        <f t="shared" si="4"/>
        <v>Exclude</v>
      </c>
    </row>
    <row r="152" spans="3:13">
      <c r="C152" s="1414">
        <v>36217</v>
      </c>
      <c r="D152" s="1401">
        <v>36586</v>
      </c>
      <c r="E152" s="1400">
        <v>9242</v>
      </c>
      <c r="F152" s="1403" t="s">
        <v>2751</v>
      </c>
      <c r="G152" s="1399">
        <v>199569.45</v>
      </c>
      <c r="H152" s="1399">
        <f t="shared" si="5"/>
        <v>253102.31740786016</v>
      </c>
      <c r="J152" s="1399" t="str">
        <f t="shared" si="4"/>
        <v>Include</v>
      </c>
    </row>
    <row r="153" spans="3:13">
      <c r="C153" s="1414">
        <v>35551</v>
      </c>
      <c r="D153" s="1401">
        <v>35807</v>
      </c>
      <c r="E153" s="1400">
        <v>9990</v>
      </c>
      <c r="F153" s="1403" t="s">
        <v>2750</v>
      </c>
      <c r="G153" s="1399">
        <v>199140</v>
      </c>
      <c r="H153" s="1399">
        <f t="shared" si="5"/>
        <v>262761.00087634037</v>
      </c>
      <c r="J153" s="1399" t="str">
        <f t="shared" si="4"/>
        <v>Include</v>
      </c>
    </row>
    <row r="154" spans="3:13">
      <c r="C154" s="1414">
        <v>35983</v>
      </c>
      <c r="D154" s="1401">
        <v>37182</v>
      </c>
      <c r="E154" s="1400">
        <v>9153</v>
      </c>
      <c r="F154" s="1403" t="s">
        <v>2749</v>
      </c>
      <c r="G154" s="1399">
        <v>192158.25</v>
      </c>
      <c r="H154" s="1399">
        <f t="shared" si="5"/>
        <v>248577.18629639817</v>
      </c>
      <c r="J154" s="1399" t="str">
        <f t="shared" si="4"/>
        <v>Include</v>
      </c>
    </row>
    <row r="155" spans="3:13">
      <c r="C155" s="1414">
        <v>35123</v>
      </c>
      <c r="D155" s="1401">
        <v>35391</v>
      </c>
      <c r="E155" s="1400">
        <v>9866</v>
      </c>
      <c r="F155" s="1403" t="s">
        <v>2748</v>
      </c>
      <c r="G155" s="1399">
        <v>191779.16</v>
      </c>
      <c r="H155" s="1399">
        <f t="shared" si="5"/>
        <v>258109.49939439731</v>
      </c>
      <c r="J155" s="1399" t="str">
        <f t="shared" si="4"/>
        <v>Include</v>
      </c>
    </row>
    <row r="156" spans="3:13">
      <c r="C156" s="1414">
        <v>33415</v>
      </c>
      <c r="D156" s="1401">
        <v>33938</v>
      </c>
      <c r="E156" s="1400">
        <v>9414</v>
      </c>
      <c r="F156" s="1403" t="s">
        <v>2747</v>
      </c>
      <c r="G156" s="1399">
        <v>191342.83</v>
      </c>
      <c r="H156" s="1399">
        <f t="shared" si="5"/>
        <v>284325.37997762888</v>
      </c>
      <c r="J156" s="1399" t="str">
        <f t="shared" si="4"/>
        <v>Include</v>
      </c>
    </row>
    <row r="157" spans="3:13">
      <c r="C157" s="1414">
        <v>35782</v>
      </c>
      <c r="D157" s="1401">
        <v>36320</v>
      </c>
      <c r="E157" s="1400">
        <v>9058</v>
      </c>
      <c r="F157" s="1403" t="s">
        <v>2746</v>
      </c>
      <c r="G157" s="1399">
        <v>187590</v>
      </c>
      <c r="H157" s="1399">
        <f t="shared" si="5"/>
        <v>247521.0211629642</v>
      </c>
      <c r="J157" s="1399" t="str">
        <f t="shared" si="4"/>
        <v>Include</v>
      </c>
      <c r="L157" s="1418"/>
      <c r="M157" s="1418"/>
    </row>
    <row r="158" spans="3:13">
      <c r="C158" s="1414">
        <v>35779</v>
      </c>
      <c r="D158" s="1401">
        <v>36704</v>
      </c>
      <c r="E158" s="1400">
        <v>9065</v>
      </c>
      <c r="F158" s="1403" t="s">
        <v>2745</v>
      </c>
      <c r="G158" s="1399">
        <v>184231.35</v>
      </c>
      <c r="H158" s="1399">
        <f t="shared" si="5"/>
        <v>243089.35381540307</v>
      </c>
      <c r="J158" s="1399" t="str">
        <f t="shared" si="4"/>
        <v>Include</v>
      </c>
    </row>
    <row r="159" spans="3:13">
      <c r="C159" s="1414">
        <v>36152</v>
      </c>
      <c r="D159" s="1401">
        <v>36831</v>
      </c>
      <c r="E159" s="1400">
        <v>9207</v>
      </c>
      <c r="F159" s="1403" t="s">
        <v>2744</v>
      </c>
      <c r="G159" s="1399">
        <v>183145.37</v>
      </c>
      <c r="H159" s="1399">
        <f t="shared" si="5"/>
        <v>236918.06496891374</v>
      </c>
      <c r="J159" s="1399" t="str">
        <f t="shared" si="4"/>
        <v>Include</v>
      </c>
    </row>
    <row r="160" spans="3:13">
      <c r="C160" s="1414">
        <v>35123</v>
      </c>
      <c r="D160" s="1401">
        <v>35556</v>
      </c>
      <c r="E160" s="1400">
        <v>9865</v>
      </c>
      <c r="F160" s="1403" t="s">
        <v>2743</v>
      </c>
      <c r="G160" s="1399">
        <v>178485.06</v>
      </c>
      <c r="H160" s="1399">
        <f t="shared" si="5"/>
        <v>240217.39111788251</v>
      </c>
      <c r="J160" s="1399" t="str">
        <f t="shared" si="4"/>
        <v>Include</v>
      </c>
    </row>
    <row r="161" spans="3:10" s="1397" customFormat="1">
      <c r="C161" s="1414">
        <v>35977</v>
      </c>
      <c r="D161" s="1401">
        <v>37572</v>
      </c>
      <c r="E161" s="1400">
        <v>9158</v>
      </c>
      <c r="F161" s="1403" t="s">
        <v>2742</v>
      </c>
      <c r="G161" s="1399">
        <v>169232.2</v>
      </c>
      <c r="H161" s="1399">
        <f t="shared" si="5"/>
        <v>218919.89600628291</v>
      </c>
      <c r="I161" s="1399"/>
      <c r="J161" s="1399" t="str">
        <f t="shared" si="4"/>
        <v>Include</v>
      </c>
    </row>
    <row r="162" spans="3:10" s="1397" customFormat="1">
      <c r="C162" s="1414">
        <v>35095</v>
      </c>
      <c r="D162" s="1401">
        <v>35467</v>
      </c>
      <c r="E162" s="1400">
        <v>9856</v>
      </c>
      <c r="F162" s="1403" t="s">
        <v>2741</v>
      </c>
      <c r="G162" s="1399">
        <v>168110.46</v>
      </c>
      <c r="H162" s="1399">
        <f t="shared" si="5"/>
        <v>226254.54545510499</v>
      </c>
      <c r="I162" s="1399"/>
      <c r="J162" s="1399" t="str">
        <f t="shared" si="4"/>
        <v>Include</v>
      </c>
    </row>
    <row r="163" spans="3:10" s="1397" customFormat="1">
      <c r="C163" s="1414">
        <v>35584</v>
      </c>
      <c r="D163" s="1401">
        <v>36572</v>
      </c>
      <c r="E163" s="1400">
        <v>9001</v>
      </c>
      <c r="F163" s="1403" t="s">
        <v>2740</v>
      </c>
      <c r="G163" s="1399">
        <v>166596</v>
      </c>
      <c r="H163" s="1399">
        <f t="shared" si="5"/>
        <v>219819.88401122225</v>
      </c>
      <c r="I163" s="1399"/>
      <c r="J163" s="1399" t="str">
        <f t="shared" si="4"/>
        <v>Include</v>
      </c>
    </row>
    <row r="164" spans="3:10" s="1397" customFormat="1">
      <c r="C164" s="1414">
        <v>35856</v>
      </c>
      <c r="D164" s="1401">
        <v>35970</v>
      </c>
      <c r="E164" s="1400">
        <v>9091</v>
      </c>
      <c r="F164" s="1415" t="s">
        <v>2739</v>
      </c>
      <c r="G164" s="1399">
        <v>165000</v>
      </c>
      <c r="H164" s="1399">
        <f t="shared" si="5"/>
        <v>213445.09402487637</v>
      </c>
      <c r="I164" s="1399">
        <v>1</v>
      </c>
      <c r="J164" s="1399" t="str">
        <f t="shared" si="4"/>
        <v>Exclude</v>
      </c>
    </row>
    <row r="165" spans="3:10" s="1397" customFormat="1">
      <c r="C165" s="1414">
        <v>36373</v>
      </c>
      <c r="D165" s="1401" t="s">
        <v>2192</v>
      </c>
      <c r="E165" s="1400">
        <v>9298</v>
      </c>
      <c r="F165" s="1403" t="s">
        <v>2738</v>
      </c>
      <c r="G165" s="1399">
        <v>164494.70000000001</v>
      </c>
      <c r="H165" s="1399">
        <f t="shared" si="5"/>
        <v>208619.05352402752</v>
      </c>
      <c r="I165" s="1399"/>
      <c r="J165" s="1399" t="str">
        <f t="shared" si="4"/>
        <v>Include</v>
      </c>
    </row>
    <row r="166" spans="3:10" s="1397" customFormat="1">
      <c r="C166" s="1414">
        <v>36281</v>
      </c>
      <c r="D166" s="1401">
        <v>36831</v>
      </c>
      <c r="E166" s="1400">
        <v>9262</v>
      </c>
      <c r="F166" s="1403" t="s">
        <v>2737</v>
      </c>
      <c r="G166" s="1399">
        <v>163959.16</v>
      </c>
      <c r="H166" s="1399">
        <f t="shared" si="5"/>
        <v>207939.85931336749</v>
      </c>
      <c r="I166" s="1399"/>
      <c r="J166" s="1399" t="str">
        <f t="shared" si="4"/>
        <v>Include</v>
      </c>
    </row>
    <row r="167" spans="3:10" s="1397" customFormat="1">
      <c r="C167" s="1414">
        <v>34912</v>
      </c>
      <c r="D167" s="1401">
        <v>35689</v>
      </c>
      <c r="E167" s="1400">
        <v>9816</v>
      </c>
      <c r="F167" s="1403" t="s">
        <v>2736</v>
      </c>
      <c r="G167" s="1399">
        <v>162839.75</v>
      </c>
      <c r="H167" s="1399">
        <f t="shared" si="5"/>
        <v>223544.081020529</v>
      </c>
      <c r="I167" s="1399"/>
      <c r="J167" s="1399" t="str">
        <f t="shared" si="4"/>
        <v>Include</v>
      </c>
    </row>
    <row r="168" spans="3:10" s="1397" customFormat="1">
      <c r="C168" s="1414">
        <v>36146</v>
      </c>
      <c r="D168" s="1401">
        <v>36532</v>
      </c>
      <c r="E168" s="1400">
        <v>9205</v>
      </c>
      <c r="F168" s="1403" t="s">
        <v>2735</v>
      </c>
      <c r="G168" s="1399">
        <v>162501</v>
      </c>
      <c r="H168" s="1399">
        <f t="shared" si="5"/>
        <v>210212.37105537232</v>
      </c>
      <c r="I168" s="1399"/>
      <c r="J168" s="1399" t="str">
        <f t="shared" si="4"/>
        <v>Include</v>
      </c>
    </row>
    <row r="169" spans="3:10" s="1397" customFormat="1">
      <c r="C169" s="1414">
        <v>33742</v>
      </c>
      <c r="D169" s="1401">
        <v>34598</v>
      </c>
      <c r="E169" s="1400">
        <v>9480</v>
      </c>
      <c r="F169" s="1403" t="s">
        <v>2734</v>
      </c>
      <c r="G169" s="1399">
        <v>160309.81</v>
      </c>
      <c r="H169" s="1399">
        <f t="shared" si="5"/>
        <v>233541.12227380852</v>
      </c>
      <c r="I169" s="1399"/>
      <c r="J169" s="1399" t="str">
        <f t="shared" si="4"/>
        <v>Include</v>
      </c>
    </row>
    <row r="170" spans="3:10" s="1397" customFormat="1">
      <c r="C170" s="1414">
        <v>36284</v>
      </c>
      <c r="D170" s="1401">
        <v>37572</v>
      </c>
      <c r="E170" s="1400">
        <v>9271</v>
      </c>
      <c r="F170" s="1403" t="s">
        <v>2733</v>
      </c>
      <c r="G170" s="1399">
        <v>159494.62</v>
      </c>
      <c r="H170" s="1399">
        <f t="shared" si="5"/>
        <v>202277.74309187121</v>
      </c>
      <c r="I170" s="1399"/>
      <c r="J170" s="1399" t="str">
        <f t="shared" si="4"/>
        <v>Include</v>
      </c>
    </row>
    <row r="171" spans="3:10" s="1397" customFormat="1">
      <c r="C171" s="1414">
        <v>36355</v>
      </c>
      <c r="D171" s="1401">
        <v>37060</v>
      </c>
      <c r="E171" s="1400">
        <v>9287</v>
      </c>
      <c r="F171" s="1403" t="s">
        <v>2732</v>
      </c>
      <c r="G171" s="1399">
        <v>158457.29</v>
      </c>
      <c r="H171" s="1399">
        <f t="shared" si="5"/>
        <v>200962.15783111766</v>
      </c>
      <c r="I171" s="1399"/>
      <c r="J171" s="1399" t="str">
        <f t="shared" si="4"/>
        <v>Include</v>
      </c>
    </row>
    <row r="172" spans="3:10" s="1397" customFormat="1">
      <c r="C172" s="1414">
        <v>35892</v>
      </c>
      <c r="D172" s="1401">
        <v>36532</v>
      </c>
      <c r="E172" s="1400">
        <v>9114</v>
      </c>
      <c r="F172" s="1403" t="s">
        <v>2731</v>
      </c>
      <c r="G172" s="1399">
        <v>156882.25</v>
      </c>
      <c r="H172" s="1399">
        <f t="shared" si="5"/>
        <v>202943.91880051006</v>
      </c>
      <c r="I172" s="1399"/>
      <c r="J172" s="1399" t="str">
        <f t="shared" si="4"/>
        <v>Include</v>
      </c>
    </row>
    <row r="173" spans="3:10" s="1397" customFormat="1">
      <c r="C173" s="1414">
        <v>33750</v>
      </c>
      <c r="D173" s="1401">
        <v>33969</v>
      </c>
      <c r="E173" s="1400">
        <v>9472</v>
      </c>
      <c r="F173" s="1397" t="s">
        <v>2730</v>
      </c>
      <c r="G173" s="1399">
        <v>156420.75</v>
      </c>
      <c r="H173" s="1399">
        <f t="shared" si="5"/>
        <v>227875.49621517758</v>
      </c>
      <c r="I173" s="1399"/>
      <c r="J173" s="1399" t="str">
        <f t="shared" si="4"/>
        <v>Include</v>
      </c>
    </row>
    <row r="174" spans="3:10" s="1397" customFormat="1">
      <c r="C174" s="1414">
        <v>34869</v>
      </c>
      <c r="D174" s="1401">
        <v>35585</v>
      </c>
      <c r="E174" s="1400">
        <v>9803</v>
      </c>
      <c r="F174" s="1397" t="s">
        <v>2729</v>
      </c>
      <c r="G174" s="1399">
        <v>155683.51999999999</v>
      </c>
      <c r="H174" s="1399">
        <f t="shared" si="5"/>
        <v>213720.11077418839</v>
      </c>
      <c r="I174" s="1399"/>
      <c r="J174" s="1399" t="str">
        <f t="shared" si="4"/>
        <v>Include</v>
      </c>
    </row>
    <row r="175" spans="3:10" s="1397" customFormat="1">
      <c r="C175" s="1414">
        <v>33415</v>
      </c>
      <c r="D175" s="1401">
        <v>34143</v>
      </c>
      <c r="E175" s="1400">
        <v>9416</v>
      </c>
      <c r="F175" s="1397" t="s">
        <v>2728</v>
      </c>
      <c r="G175" s="1399">
        <v>155593.32</v>
      </c>
      <c r="H175" s="1399">
        <f t="shared" si="5"/>
        <v>231203.4886856268</v>
      </c>
      <c r="I175" s="1399"/>
      <c r="J175" s="1399" t="str">
        <f t="shared" si="4"/>
        <v>Include</v>
      </c>
    </row>
    <row r="176" spans="3:10" s="1397" customFormat="1">
      <c r="C176" s="1414">
        <v>33742</v>
      </c>
      <c r="D176" s="1401">
        <v>34816</v>
      </c>
      <c r="E176" s="1400">
        <v>9477</v>
      </c>
      <c r="F176" s="1397" t="s">
        <v>2727</v>
      </c>
      <c r="G176" s="1399">
        <v>155376.82999999999</v>
      </c>
      <c r="H176" s="1399">
        <f t="shared" si="5"/>
        <v>226354.70189595234</v>
      </c>
      <c r="I176" s="1399"/>
      <c r="J176" s="1399" t="str">
        <f t="shared" si="4"/>
        <v>Include</v>
      </c>
    </row>
    <row r="177" spans="3:10" s="1397" customFormat="1">
      <c r="C177" s="1414">
        <v>35941</v>
      </c>
      <c r="D177" s="1401">
        <v>37572</v>
      </c>
      <c r="E177" s="1400">
        <v>9137</v>
      </c>
      <c r="F177" s="1397" t="s">
        <v>2726</v>
      </c>
      <c r="G177" s="1399">
        <v>152025.76999999999</v>
      </c>
      <c r="H177" s="1399">
        <f t="shared" si="5"/>
        <v>196661.54407184379</v>
      </c>
      <c r="I177" s="1399"/>
      <c r="J177" s="1399" t="str">
        <f t="shared" si="4"/>
        <v>Include</v>
      </c>
    </row>
    <row r="178" spans="3:10" s="1397" customFormat="1">
      <c r="C178" s="1414">
        <v>36430</v>
      </c>
      <c r="D178" s="1401">
        <v>37013</v>
      </c>
      <c r="E178" s="1400">
        <v>9322</v>
      </c>
      <c r="F178" s="1415" t="s">
        <v>2725</v>
      </c>
      <c r="G178" s="1399">
        <v>150215.9</v>
      </c>
      <c r="H178" s="1399">
        <f t="shared" si="5"/>
        <v>190510.08258782784</v>
      </c>
      <c r="I178" s="1399">
        <v>1</v>
      </c>
      <c r="J178" s="1399" t="str">
        <f t="shared" si="4"/>
        <v>Exclude</v>
      </c>
    </row>
    <row r="179" spans="3:10" s="1397" customFormat="1">
      <c r="C179" s="1414">
        <v>35333</v>
      </c>
      <c r="D179" s="1401">
        <v>37124</v>
      </c>
      <c r="E179" s="1400">
        <v>9930</v>
      </c>
      <c r="F179" s="1415" t="s">
        <v>2724</v>
      </c>
      <c r="G179" s="1399">
        <v>148886.03</v>
      </c>
      <c r="H179" s="1399">
        <f t="shared" si="5"/>
        <v>200380.99379577645</v>
      </c>
      <c r="I179" s="1399">
        <v>1</v>
      </c>
      <c r="J179" s="1399" t="str">
        <f t="shared" si="4"/>
        <v>Exclude</v>
      </c>
    </row>
    <row r="180" spans="3:10" s="1397" customFormat="1">
      <c r="C180" s="1414">
        <v>36647</v>
      </c>
      <c r="D180" s="1401" t="s">
        <v>2192</v>
      </c>
      <c r="E180" s="1400">
        <v>9405</v>
      </c>
      <c r="F180" s="1403" t="s">
        <v>2723</v>
      </c>
      <c r="G180" s="1399">
        <v>146415</v>
      </c>
      <c r="H180" s="1399">
        <f t="shared" si="5"/>
        <v>182048.64936360298</v>
      </c>
      <c r="I180" s="1399"/>
      <c r="J180" s="1399" t="str">
        <f t="shared" si="4"/>
        <v>Include</v>
      </c>
    </row>
    <row r="181" spans="3:10" s="1397" customFormat="1">
      <c r="C181" s="1414">
        <v>36479</v>
      </c>
      <c r="D181" s="1401" t="s">
        <v>2192</v>
      </c>
      <c r="E181" s="1400">
        <v>9330</v>
      </c>
      <c r="F181" s="1403" t="s">
        <v>2722</v>
      </c>
      <c r="G181" s="1399">
        <v>145678.56</v>
      </c>
      <c r="H181" s="1399">
        <f t="shared" si="5"/>
        <v>184755.63836368741</v>
      </c>
      <c r="I181" s="1399"/>
      <c r="J181" s="1399" t="str">
        <f t="shared" si="4"/>
        <v>Include</v>
      </c>
    </row>
    <row r="182" spans="3:10" s="1397" customFormat="1">
      <c r="C182" s="1414">
        <v>36430</v>
      </c>
      <c r="D182" s="1401">
        <v>37042</v>
      </c>
      <c r="E182" s="1400">
        <v>9406</v>
      </c>
      <c r="F182" s="1415" t="s">
        <v>2721</v>
      </c>
      <c r="G182" s="1399">
        <v>144922.28</v>
      </c>
      <c r="H182" s="1399">
        <f t="shared" si="5"/>
        <v>183796.49245929567</v>
      </c>
      <c r="I182" s="1399">
        <v>1</v>
      </c>
      <c r="J182" s="1399" t="str">
        <f t="shared" si="4"/>
        <v>Exclude</v>
      </c>
    </row>
    <row r="183" spans="3:10" s="1397" customFormat="1">
      <c r="C183" s="1414">
        <v>36586</v>
      </c>
      <c r="D183" s="1401">
        <v>37587</v>
      </c>
      <c r="E183" s="1400">
        <v>9359</v>
      </c>
      <c r="F183" s="1403" t="s">
        <v>2720</v>
      </c>
      <c r="G183" s="1399">
        <v>142902.26999999999</v>
      </c>
      <c r="H183" s="1399">
        <f t="shared" si="5"/>
        <v>177681.01112927581</v>
      </c>
      <c r="I183" s="1399"/>
      <c r="J183" s="1399" t="str">
        <f t="shared" si="4"/>
        <v>Include</v>
      </c>
    </row>
    <row r="184" spans="3:10" s="1397" customFormat="1">
      <c r="C184" s="1414">
        <v>33892</v>
      </c>
      <c r="D184" s="1401">
        <v>34753</v>
      </c>
      <c r="E184" s="1400">
        <v>9512</v>
      </c>
      <c r="F184" s="1415" t="s">
        <v>2719</v>
      </c>
      <c r="G184" s="1399">
        <v>142627.01</v>
      </c>
      <c r="H184" s="1399">
        <f t="shared" si="5"/>
        <v>207780.621672234</v>
      </c>
      <c r="I184" s="1399">
        <v>1</v>
      </c>
      <c r="J184" s="1399" t="str">
        <f t="shared" si="4"/>
        <v>Exclude</v>
      </c>
    </row>
    <row r="185" spans="3:10" s="1397" customFormat="1">
      <c r="C185" s="1414">
        <v>36144</v>
      </c>
      <c r="D185" s="1401">
        <v>37042</v>
      </c>
      <c r="E185" s="1400">
        <v>9204</v>
      </c>
      <c r="F185" s="1403" t="s">
        <v>2718</v>
      </c>
      <c r="G185" s="1399">
        <v>142149</v>
      </c>
      <c r="H185" s="1399">
        <f t="shared" si="5"/>
        <v>183884.88891237666</v>
      </c>
      <c r="I185" s="1399"/>
      <c r="J185" s="1399" t="str">
        <f t="shared" si="4"/>
        <v>Include</v>
      </c>
    </row>
    <row r="186" spans="3:10" s="1397" customFormat="1">
      <c r="C186" s="1414">
        <v>35298</v>
      </c>
      <c r="D186" s="1401">
        <v>35585</v>
      </c>
      <c r="E186" s="1400">
        <v>9926</v>
      </c>
      <c r="F186" s="1403" t="s">
        <v>2717</v>
      </c>
      <c r="G186" s="1399">
        <v>140769.60999999999</v>
      </c>
      <c r="H186" s="1399">
        <f t="shared" si="5"/>
        <v>189457.3610972357</v>
      </c>
      <c r="I186" s="1399"/>
      <c r="J186" s="1399" t="str">
        <f t="shared" si="4"/>
        <v>Include</v>
      </c>
    </row>
    <row r="187" spans="3:10" s="1397" customFormat="1">
      <c r="C187" s="1414">
        <v>36586</v>
      </c>
      <c r="D187" s="1401">
        <v>37587</v>
      </c>
      <c r="E187" s="1400">
        <v>9356</v>
      </c>
      <c r="F187" s="1403" t="s">
        <v>2716</v>
      </c>
      <c r="G187" s="1399">
        <v>139009.89000000001</v>
      </c>
      <c r="H187" s="1399">
        <f t="shared" si="5"/>
        <v>172841.32583876667</v>
      </c>
      <c r="I187" s="1399"/>
      <c r="J187" s="1399" t="str">
        <f t="shared" si="4"/>
        <v>Include</v>
      </c>
    </row>
    <row r="188" spans="3:10" s="1397" customFormat="1">
      <c r="C188" s="1414">
        <v>33742</v>
      </c>
      <c r="D188" s="1401">
        <v>34320</v>
      </c>
      <c r="E188" s="1400">
        <v>9479</v>
      </c>
      <c r="F188" s="1403" t="s">
        <v>2715</v>
      </c>
      <c r="G188" s="1399">
        <v>138665</v>
      </c>
      <c r="H188" s="1399">
        <f t="shared" si="5"/>
        <v>202008.72123856712</v>
      </c>
      <c r="I188" s="1399"/>
      <c r="J188" s="1399" t="str">
        <f t="shared" si="4"/>
        <v>Include</v>
      </c>
    </row>
    <row r="189" spans="3:10" s="1397" customFormat="1">
      <c r="C189" s="1414">
        <v>36504</v>
      </c>
      <c r="D189" s="1401">
        <v>37319</v>
      </c>
      <c r="E189" s="1400">
        <v>9347</v>
      </c>
      <c r="F189" s="1403" t="s">
        <v>2714</v>
      </c>
      <c r="G189" s="1399">
        <v>137058.29</v>
      </c>
      <c r="H189" s="1399">
        <f t="shared" si="5"/>
        <v>173823.05166927376</v>
      </c>
      <c r="I189" s="1399"/>
      <c r="J189" s="1399" t="str">
        <f t="shared" si="4"/>
        <v>Include</v>
      </c>
    </row>
    <row r="190" spans="3:10" s="1397" customFormat="1">
      <c r="C190" s="1414">
        <v>36586</v>
      </c>
      <c r="D190" s="1401">
        <v>37783</v>
      </c>
      <c r="E190" s="1400">
        <v>9400</v>
      </c>
      <c r="F190" s="1415" t="s">
        <v>2713</v>
      </c>
      <c r="G190" s="1399">
        <v>136657.54</v>
      </c>
      <c r="H190" s="1399">
        <f t="shared" si="5"/>
        <v>169916.47428441449</v>
      </c>
      <c r="I190" s="1399">
        <v>1</v>
      </c>
      <c r="J190" s="1399" t="str">
        <f t="shared" si="4"/>
        <v>Exclude</v>
      </c>
    </row>
    <row r="191" spans="3:10" s="1397" customFormat="1">
      <c r="C191" s="1414">
        <v>35855</v>
      </c>
      <c r="D191" s="1401">
        <v>37060</v>
      </c>
      <c r="E191" s="1400">
        <v>9094</v>
      </c>
      <c r="F191" s="1397" t="s">
        <v>2712</v>
      </c>
      <c r="G191" s="1399">
        <v>134573.4</v>
      </c>
      <c r="H191" s="1399">
        <f t="shared" si="5"/>
        <v>174085.04252271086</v>
      </c>
      <c r="I191" s="1399"/>
      <c r="J191" s="1399" t="str">
        <f t="shared" si="4"/>
        <v>Include</v>
      </c>
    </row>
    <row r="192" spans="3:10" s="1397" customFormat="1">
      <c r="C192" s="1414">
        <v>34926</v>
      </c>
      <c r="D192" s="1401">
        <v>35556</v>
      </c>
      <c r="E192" s="1400">
        <v>9818</v>
      </c>
      <c r="F192" s="1403" t="s">
        <v>2711</v>
      </c>
      <c r="G192" s="1399">
        <v>134234.26999999999</v>
      </c>
      <c r="H192" s="1399">
        <f t="shared" si="5"/>
        <v>184274.88698927357</v>
      </c>
      <c r="I192" s="1399"/>
      <c r="J192" s="1399" t="str">
        <f t="shared" si="4"/>
        <v>Include</v>
      </c>
    </row>
    <row r="193" spans="3:13">
      <c r="C193" s="1414">
        <v>35905</v>
      </c>
      <c r="D193" s="1401">
        <v>37124</v>
      </c>
      <c r="E193" s="1400">
        <v>9118</v>
      </c>
      <c r="F193" s="1397" t="s">
        <v>2710</v>
      </c>
      <c r="G193" s="1399">
        <v>131581.59</v>
      </c>
      <c r="H193" s="1399">
        <f t="shared" si="5"/>
        <v>170214.81726965291</v>
      </c>
      <c r="J193" s="1399" t="str">
        <f t="shared" si="4"/>
        <v>Include</v>
      </c>
    </row>
    <row r="194" spans="3:13">
      <c r="C194" s="1414">
        <v>35885</v>
      </c>
      <c r="D194" s="1401">
        <v>37587</v>
      </c>
      <c r="E194" s="1400">
        <v>9106</v>
      </c>
      <c r="F194" s="1403" t="s">
        <v>2709</v>
      </c>
      <c r="G194" s="1399">
        <v>130821.27</v>
      </c>
      <c r="H194" s="1399">
        <f t="shared" si="5"/>
        <v>169231.26227638629</v>
      </c>
      <c r="J194" s="1399" t="str">
        <f t="shared" si="4"/>
        <v>Include</v>
      </c>
    </row>
    <row r="195" spans="3:13">
      <c r="C195" s="1414">
        <v>36196</v>
      </c>
      <c r="D195" s="1401">
        <v>37124</v>
      </c>
      <c r="E195" s="1400">
        <v>9233</v>
      </c>
      <c r="F195" s="1415" t="s">
        <v>2708</v>
      </c>
      <c r="G195" s="1399">
        <v>130363</v>
      </c>
      <c r="H195" s="1399">
        <f t="shared" si="5"/>
        <v>165331.80506455709</v>
      </c>
      <c r="I195" s="1399">
        <v>1</v>
      </c>
      <c r="J195" s="1399" t="str">
        <f t="shared" si="4"/>
        <v>Exclude</v>
      </c>
    </row>
    <row r="196" spans="3:13">
      <c r="C196" s="1414">
        <v>35167</v>
      </c>
      <c r="D196" s="1401">
        <v>35340</v>
      </c>
      <c r="E196" s="1400">
        <v>9873</v>
      </c>
      <c r="F196" s="1415" t="s">
        <v>2707</v>
      </c>
      <c r="G196" s="1399">
        <v>129375</v>
      </c>
      <c r="H196" s="1399">
        <f t="shared" si="5"/>
        <v>174121.71627068421</v>
      </c>
      <c r="I196" s="1399">
        <v>1</v>
      </c>
      <c r="J196" s="1399" t="str">
        <f t="shared" si="4"/>
        <v>Exclude</v>
      </c>
    </row>
    <row r="197" spans="3:13">
      <c r="C197" s="1414">
        <v>35228</v>
      </c>
      <c r="D197" s="1401">
        <v>35391</v>
      </c>
      <c r="E197" s="1400">
        <v>9898</v>
      </c>
      <c r="F197" s="1415" t="s">
        <v>2706</v>
      </c>
      <c r="G197" s="1399">
        <v>128539.95</v>
      </c>
      <c r="H197" s="1399">
        <f t="shared" si="5"/>
        <v>172997.84891476666</v>
      </c>
      <c r="I197" s="1399">
        <v>1</v>
      </c>
      <c r="J197" s="1399" t="str">
        <f t="shared" si="4"/>
        <v>Exclude</v>
      </c>
    </row>
    <row r="198" spans="3:13">
      <c r="C198" s="1414">
        <v>35130</v>
      </c>
      <c r="D198" s="1401">
        <v>35760</v>
      </c>
      <c r="E198" s="1400">
        <v>9868</v>
      </c>
      <c r="F198" s="1397" t="s">
        <v>2705</v>
      </c>
      <c r="G198" s="1399">
        <v>128040</v>
      </c>
      <c r="H198" s="1399">
        <f t="shared" si="5"/>
        <v>172324.9820390215</v>
      </c>
      <c r="J198" s="1399" t="str">
        <f t="shared" si="4"/>
        <v>Include</v>
      </c>
    </row>
    <row r="199" spans="3:13">
      <c r="C199" s="1414">
        <v>36251</v>
      </c>
      <c r="D199" s="1401">
        <v>36830</v>
      </c>
      <c r="E199" s="1400">
        <v>9231</v>
      </c>
      <c r="F199" s="1397" t="s">
        <v>2704</v>
      </c>
      <c r="G199" s="1399">
        <v>125919.5</v>
      </c>
      <c r="H199" s="1399">
        <f t="shared" si="5"/>
        <v>159696.37265041843</v>
      </c>
      <c r="J199" s="1399" t="str">
        <f t="shared" si="4"/>
        <v>Include</v>
      </c>
    </row>
    <row r="200" spans="3:13">
      <c r="C200" s="1414">
        <v>35123</v>
      </c>
      <c r="D200" s="1401">
        <v>35522</v>
      </c>
      <c r="E200" s="1400">
        <v>9864</v>
      </c>
      <c r="F200" s="1397" t="s">
        <v>2703</v>
      </c>
      <c r="G200" s="1399">
        <v>125083.97</v>
      </c>
      <c r="H200" s="1399">
        <f t="shared" si="5"/>
        <v>168346.55485488524</v>
      </c>
      <c r="J200" s="1399" t="str">
        <f t="shared" si="4"/>
        <v>Include</v>
      </c>
      <c r="L200" s="1418"/>
      <c r="M200" s="1418"/>
    </row>
    <row r="201" spans="3:13">
      <c r="C201" s="1414">
        <v>36557</v>
      </c>
      <c r="D201" s="1401">
        <v>37319</v>
      </c>
      <c r="E201" s="1400">
        <v>9340</v>
      </c>
      <c r="F201" s="1397" t="s">
        <v>2702</v>
      </c>
      <c r="G201" s="1399">
        <v>124584</v>
      </c>
      <c r="H201" s="1399">
        <f t="shared" si="5"/>
        <v>154904.54483703931</v>
      </c>
      <c r="J201" s="1399" t="str">
        <f t="shared" si="4"/>
        <v>Include</v>
      </c>
    </row>
    <row r="202" spans="3:13">
      <c r="C202" s="1414">
        <v>35815</v>
      </c>
      <c r="D202" s="1401">
        <v>36531</v>
      </c>
      <c r="E202" s="1400">
        <v>9070</v>
      </c>
      <c r="F202" s="1397" t="s">
        <v>2701</v>
      </c>
      <c r="G202" s="1399">
        <v>123784.55</v>
      </c>
      <c r="H202" s="1399">
        <f t="shared" si="5"/>
        <v>160128.51462773944</v>
      </c>
      <c r="J202" s="1399" t="str">
        <f t="shared" si="4"/>
        <v>Include</v>
      </c>
    </row>
    <row r="203" spans="3:13">
      <c r="C203" s="1414">
        <v>36540</v>
      </c>
      <c r="D203" s="1401">
        <v>37013</v>
      </c>
      <c r="E203" s="1400">
        <v>9342</v>
      </c>
      <c r="F203" s="1397" t="s">
        <v>2700</v>
      </c>
      <c r="G203" s="1399">
        <v>122812</v>
      </c>
      <c r="H203" s="1399">
        <f t="shared" si="5"/>
        <v>152701.28556256401</v>
      </c>
      <c r="J203" s="1399" t="str">
        <f t="shared" ref="J203:J266" si="6">IF(I203=1,"Exclude","Include")</f>
        <v>Include</v>
      </c>
    </row>
    <row r="204" spans="3:13">
      <c r="C204" s="1414">
        <v>36434</v>
      </c>
      <c r="D204" s="1401">
        <v>37368</v>
      </c>
      <c r="E204" s="1400">
        <v>9317</v>
      </c>
      <c r="F204" s="1397" t="s">
        <v>2699</v>
      </c>
      <c r="G204" s="1399">
        <v>120414.5</v>
      </c>
      <c r="H204" s="1399">
        <f t="shared" si="5"/>
        <v>152714.70157135162</v>
      </c>
      <c r="J204" s="1399" t="str">
        <f t="shared" si="6"/>
        <v>Include</v>
      </c>
    </row>
    <row r="205" spans="3:13">
      <c r="C205" s="1414">
        <v>35734</v>
      </c>
      <c r="D205" s="1401">
        <v>36341</v>
      </c>
      <c r="E205" s="1400">
        <v>9041</v>
      </c>
      <c r="F205" s="1397" t="s">
        <v>2698</v>
      </c>
      <c r="G205" s="1399">
        <v>119958.06</v>
      </c>
      <c r="H205" s="1399">
        <f t="shared" si="5"/>
        <v>158282.1126282218</v>
      </c>
      <c r="J205" s="1399" t="str">
        <f t="shared" si="6"/>
        <v>Include</v>
      </c>
      <c r="L205" s="1406"/>
      <c r="M205" s="1406"/>
    </row>
    <row r="206" spans="3:13">
      <c r="C206" s="1422">
        <v>36707</v>
      </c>
      <c r="D206" s="1421" t="s">
        <v>2192</v>
      </c>
      <c r="E206" s="1420">
        <v>9467</v>
      </c>
      <c r="F206" s="1419" t="s">
        <v>2697</v>
      </c>
      <c r="G206" s="1417">
        <v>116414.44</v>
      </c>
      <c r="H206" s="1399">
        <f t="shared" si="5"/>
        <v>144746.72382215073</v>
      </c>
      <c r="I206" s="1417"/>
      <c r="J206" s="1399" t="str">
        <f t="shared" si="6"/>
        <v>Include</v>
      </c>
    </row>
    <row r="207" spans="3:13">
      <c r="C207" s="1414">
        <v>35706</v>
      </c>
      <c r="D207" s="1401">
        <v>37124</v>
      </c>
      <c r="E207" s="1400">
        <v>9032</v>
      </c>
      <c r="F207" s="1415" t="s">
        <v>2696</v>
      </c>
      <c r="G207" s="1399">
        <v>116073.57</v>
      </c>
      <c r="H207" s="1399">
        <f t="shared" si="5"/>
        <v>153156.61056789171</v>
      </c>
      <c r="I207" s="1399">
        <v>1</v>
      </c>
      <c r="J207" s="1399" t="str">
        <f t="shared" si="6"/>
        <v>Exclude</v>
      </c>
    </row>
    <row r="208" spans="3:13">
      <c r="C208" s="1414">
        <v>35930</v>
      </c>
      <c r="D208" s="1401">
        <v>37124</v>
      </c>
      <c r="E208" s="1400">
        <v>9133</v>
      </c>
      <c r="F208" s="1397" t="s">
        <v>2695</v>
      </c>
      <c r="G208" s="1399">
        <v>115969.55</v>
      </c>
      <c r="H208" s="1399">
        <f t="shared" si="5"/>
        <v>150018.97881074302</v>
      </c>
      <c r="J208" s="1399" t="str">
        <f t="shared" si="6"/>
        <v>Include</v>
      </c>
    </row>
    <row r="209" spans="3:10" s="1397" customFormat="1">
      <c r="C209" s="1414">
        <v>35359</v>
      </c>
      <c r="D209" s="1401">
        <v>35585</v>
      </c>
      <c r="E209" s="1400">
        <v>9936</v>
      </c>
      <c r="F209" s="1397" t="s">
        <v>2694</v>
      </c>
      <c r="G209" s="1399">
        <v>114916.25</v>
      </c>
      <c r="H209" s="1399">
        <f t="shared" si="5"/>
        <v>154662.1424339402</v>
      </c>
      <c r="I209" s="1399"/>
      <c r="J209" s="1399" t="str">
        <f t="shared" si="6"/>
        <v>Include</v>
      </c>
    </row>
    <row r="210" spans="3:10" s="1397" customFormat="1">
      <c r="C210" s="1414">
        <v>35247</v>
      </c>
      <c r="D210" s="1401">
        <v>36572</v>
      </c>
      <c r="E210" s="1400">
        <v>9905</v>
      </c>
      <c r="F210" s="1397" t="s">
        <v>2693</v>
      </c>
      <c r="G210" s="1399">
        <v>112784.11</v>
      </c>
      <c r="H210" s="1399">
        <f t="shared" si="5"/>
        <v>151792.56271506581</v>
      </c>
      <c r="I210" s="1399"/>
      <c r="J210" s="1399" t="str">
        <f t="shared" si="6"/>
        <v>Include</v>
      </c>
    </row>
    <row r="211" spans="3:10" s="1397" customFormat="1">
      <c r="C211" s="1414">
        <v>36284</v>
      </c>
      <c r="D211" s="1401">
        <v>37783</v>
      </c>
      <c r="E211" s="1400">
        <v>9272</v>
      </c>
      <c r="F211" s="1397" t="s">
        <v>2692</v>
      </c>
      <c r="G211" s="1399">
        <v>111912.39</v>
      </c>
      <c r="H211" s="1399">
        <f t="shared" si="5"/>
        <v>141931.97032738343</v>
      </c>
      <c r="I211" s="1399"/>
      <c r="J211" s="1399" t="str">
        <f t="shared" si="6"/>
        <v>Include</v>
      </c>
    </row>
    <row r="212" spans="3:10" s="1397" customFormat="1">
      <c r="C212" s="1414">
        <v>33984</v>
      </c>
      <c r="D212" s="1401">
        <v>34474</v>
      </c>
      <c r="E212" s="1400">
        <v>9525</v>
      </c>
      <c r="F212" s="1397" t="s">
        <v>2691</v>
      </c>
      <c r="G212" s="1399">
        <v>109870</v>
      </c>
      <c r="H212" s="1399">
        <f t="shared" ref="H212:H275" si="7">G212*(1+$N$6)^(2011-YEAR(C212))</f>
        <v>156921.4152212051</v>
      </c>
      <c r="I212" s="1399"/>
      <c r="J212" s="1399" t="str">
        <f t="shared" si="6"/>
        <v>Include</v>
      </c>
    </row>
    <row r="213" spans="3:10" s="1397" customFormat="1">
      <c r="C213" s="1414">
        <v>36418</v>
      </c>
      <c r="D213" s="1401">
        <v>37042</v>
      </c>
      <c r="E213" s="1400">
        <v>9312</v>
      </c>
      <c r="F213" s="1397" t="s">
        <v>2690</v>
      </c>
      <c r="G213" s="1399">
        <v>106602.79</v>
      </c>
      <c r="H213" s="1399">
        <f t="shared" si="7"/>
        <v>135198.11369497413</v>
      </c>
      <c r="I213" s="1399"/>
      <c r="J213" s="1399" t="str">
        <f t="shared" si="6"/>
        <v>Include</v>
      </c>
    </row>
    <row r="214" spans="3:10" s="1397" customFormat="1">
      <c r="C214" s="1414">
        <v>36495</v>
      </c>
      <c r="D214" s="1401">
        <v>37060</v>
      </c>
      <c r="E214" s="1400">
        <v>9337</v>
      </c>
      <c r="F214" s="1397" t="s">
        <v>2689</v>
      </c>
      <c r="G214" s="1399">
        <v>105417.11</v>
      </c>
      <c r="H214" s="1399">
        <f t="shared" si="7"/>
        <v>133694.38476399722</v>
      </c>
      <c r="I214" s="1399"/>
      <c r="J214" s="1399" t="str">
        <f t="shared" si="6"/>
        <v>Include</v>
      </c>
    </row>
    <row r="215" spans="3:10" s="1397" customFormat="1">
      <c r="C215" s="1414">
        <v>35916</v>
      </c>
      <c r="D215" s="1401">
        <v>36532</v>
      </c>
      <c r="E215" s="1400">
        <v>9124</v>
      </c>
      <c r="F215" s="1415" t="s">
        <v>2688</v>
      </c>
      <c r="G215" s="1399">
        <v>105000</v>
      </c>
      <c r="H215" s="1399">
        <f t="shared" si="7"/>
        <v>135828.69619764859</v>
      </c>
      <c r="I215" s="1399">
        <v>1</v>
      </c>
      <c r="J215" s="1399" t="str">
        <f t="shared" si="6"/>
        <v>Exclude</v>
      </c>
    </row>
    <row r="216" spans="3:10" s="1397" customFormat="1">
      <c r="C216" s="1414">
        <v>35195</v>
      </c>
      <c r="D216" s="1401">
        <v>35391</v>
      </c>
      <c r="E216" s="1400">
        <v>9888</v>
      </c>
      <c r="F216" s="1397" t="s">
        <v>2687</v>
      </c>
      <c r="G216" s="1399">
        <v>104630.54</v>
      </c>
      <c r="H216" s="1399">
        <f t="shared" si="7"/>
        <v>140818.93100775633</v>
      </c>
      <c r="I216" s="1399"/>
      <c r="J216" s="1399" t="str">
        <f t="shared" si="6"/>
        <v>Include</v>
      </c>
    </row>
    <row r="217" spans="3:10" s="1397" customFormat="1">
      <c r="C217" s="1414">
        <v>36165</v>
      </c>
      <c r="D217" s="1401">
        <v>36831</v>
      </c>
      <c r="E217" s="1400">
        <v>9213</v>
      </c>
      <c r="F217" s="1403" t="s">
        <v>2686</v>
      </c>
      <c r="G217" s="1399">
        <v>104557.3</v>
      </c>
      <c r="H217" s="1399">
        <f t="shared" si="7"/>
        <v>132603.93778661441</v>
      </c>
      <c r="I217" s="1399"/>
      <c r="J217" s="1399" t="str">
        <f t="shared" si="6"/>
        <v>Include</v>
      </c>
    </row>
    <row r="218" spans="3:10" s="1397" customFormat="1">
      <c r="C218" s="1414">
        <v>36369</v>
      </c>
      <c r="D218" s="1401">
        <v>37190</v>
      </c>
      <c r="E218" s="1400">
        <v>9299</v>
      </c>
      <c r="F218" s="1403" t="s">
        <v>2685</v>
      </c>
      <c r="G218" s="1399">
        <v>102814.41</v>
      </c>
      <c r="H218" s="1399">
        <f t="shared" si="7"/>
        <v>130393.5318452893</v>
      </c>
      <c r="I218" s="1399"/>
      <c r="J218" s="1399" t="str">
        <f t="shared" si="6"/>
        <v>Include</v>
      </c>
    </row>
    <row r="219" spans="3:10" s="1397" customFormat="1">
      <c r="C219" s="1414">
        <v>36281</v>
      </c>
      <c r="D219" s="1401">
        <v>36704</v>
      </c>
      <c r="E219" s="1400">
        <v>9245</v>
      </c>
      <c r="F219" s="1397" t="s">
        <v>2684</v>
      </c>
      <c r="G219" s="1399">
        <v>102750</v>
      </c>
      <c r="H219" s="1399">
        <f t="shared" si="7"/>
        <v>130311.84439130152</v>
      </c>
      <c r="I219" s="1399"/>
      <c r="J219" s="1399" t="str">
        <f t="shared" si="6"/>
        <v>Include</v>
      </c>
    </row>
    <row r="220" spans="3:10" s="1397" customFormat="1">
      <c r="C220" s="1414">
        <v>35244</v>
      </c>
      <c r="D220" s="1401">
        <v>37319</v>
      </c>
      <c r="E220" s="1400">
        <v>9904</v>
      </c>
      <c r="F220" s="1415" t="s">
        <v>2683</v>
      </c>
      <c r="G220" s="1399">
        <v>102273.51</v>
      </c>
      <c r="H220" s="1399">
        <f t="shared" si="7"/>
        <v>137646.6789582762</v>
      </c>
      <c r="I220" s="1399">
        <v>1</v>
      </c>
      <c r="J220" s="1399" t="str">
        <f t="shared" si="6"/>
        <v>Exclude</v>
      </c>
    </row>
    <row r="221" spans="3:10" s="1397" customFormat="1">
      <c r="C221" s="1414">
        <v>35703</v>
      </c>
      <c r="D221" s="1401">
        <v>36441</v>
      </c>
      <c r="E221" s="1400">
        <v>9044</v>
      </c>
      <c r="F221" s="1403" t="s">
        <v>2682</v>
      </c>
      <c r="G221" s="1399">
        <v>101424.16</v>
      </c>
      <c r="H221" s="1399">
        <f t="shared" si="7"/>
        <v>133827.02518149084</v>
      </c>
      <c r="I221" s="1399"/>
      <c r="J221" s="1399" t="str">
        <f t="shared" si="6"/>
        <v>Include</v>
      </c>
    </row>
    <row r="222" spans="3:10" s="1397" customFormat="1">
      <c r="C222" s="1414">
        <v>36465</v>
      </c>
      <c r="D222" s="1401">
        <v>37319</v>
      </c>
      <c r="E222" s="1400">
        <v>9320</v>
      </c>
      <c r="F222" s="1403" t="s">
        <v>2681</v>
      </c>
      <c r="G222" s="1399">
        <v>101393.60000000001</v>
      </c>
      <c r="H222" s="1399">
        <f t="shared" si="7"/>
        <v>128591.6012211569</v>
      </c>
      <c r="I222" s="1399"/>
      <c r="J222" s="1399" t="str">
        <f t="shared" si="6"/>
        <v>Include</v>
      </c>
    </row>
    <row r="223" spans="3:10" s="1397" customFormat="1">
      <c r="C223" s="1414">
        <v>36353</v>
      </c>
      <c r="D223" s="1401">
        <v>37587</v>
      </c>
      <c r="E223" s="1400">
        <v>9290</v>
      </c>
      <c r="F223" s="1397" t="s">
        <v>2680</v>
      </c>
      <c r="G223" s="1399">
        <v>101124.43</v>
      </c>
      <c r="H223" s="1399">
        <f t="shared" si="7"/>
        <v>128250.22857731448</v>
      </c>
      <c r="I223" s="1399"/>
      <c r="J223" s="1399" t="str">
        <f t="shared" si="6"/>
        <v>Include</v>
      </c>
    </row>
    <row r="224" spans="3:10" s="1397" customFormat="1">
      <c r="C224" s="1414">
        <v>35856</v>
      </c>
      <c r="D224" s="1401" t="s">
        <v>2343</v>
      </c>
      <c r="E224" s="1400">
        <v>9090</v>
      </c>
      <c r="F224" s="1415" t="s">
        <v>2679</v>
      </c>
      <c r="G224" s="1399">
        <v>101043.75</v>
      </c>
      <c r="H224" s="1399">
        <f t="shared" si="7"/>
        <v>130710.86496591575</v>
      </c>
      <c r="I224" s="1399">
        <v>1</v>
      </c>
      <c r="J224" s="1399" t="str">
        <f t="shared" si="6"/>
        <v>Exclude</v>
      </c>
    </row>
    <row r="225" spans="3:10" s="1397" customFormat="1">
      <c r="C225" s="1414">
        <v>34886</v>
      </c>
      <c r="D225" s="1401">
        <v>35375</v>
      </c>
      <c r="E225" s="1400">
        <v>9809</v>
      </c>
      <c r="F225" s="1397" t="s">
        <v>2678</v>
      </c>
      <c r="G225" s="1399">
        <v>100485.52</v>
      </c>
      <c r="H225" s="1399">
        <f t="shared" si="7"/>
        <v>137945.08542459679</v>
      </c>
      <c r="I225" s="1399"/>
      <c r="J225" s="1399" t="str">
        <f t="shared" si="6"/>
        <v>Include</v>
      </c>
    </row>
    <row r="226" spans="3:10" s="1397" customFormat="1">
      <c r="C226" s="1414">
        <v>36661</v>
      </c>
      <c r="D226" s="1401" t="s">
        <v>2192</v>
      </c>
      <c r="E226" s="1400">
        <v>9335</v>
      </c>
      <c r="F226" s="1397" t="s">
        <v>2677</v>
      </c>
      <c r="G226" s="1399">
        <v>99676.49</v>
      </c>
      <c r="H226" s="1399">
        <f t="shared" si="7"/>
        <v>123935.18681695646</v>
      </c>
      <c r="I226" s="1399"/>
      <c r="J226" s="1399" t="str">
        <f t="shared" si="6"/>
        <v>Include</v>
      </c>
    </row>
    <row r="227" spans="3:10" s="1397" customFormat="1">
      <c r="C227" s="1414">
        <v>35151</v>
      </c>
      <c r="D227" s="1401">
        <v>35340</v>
      </c>
      <c r="E227" s="1400">
        <v>9872</v>
      </c>
      <c r="F227" s="1415" t="s">
        <v>2676</v>
      </c>
      <c r="G227" s="1399">
        <v>99282</v>
      </c>
      <c r="H227" s="1399">
        <f t="shared" si="7"/>
        <v>133620.50036549621</v>
      </c>
      <c r="I227" s="1399">
        <v>1</v>
      </c>
      <c r="J227" s="1399" t="str">
        <f t="shared" si="6"/>
        <v>Exclude</v>
      </c>
    </row>
    <row r="228" spans="3:10" s="1397" customFormat="1">
      <c r="C228" s="1414">
        <v>35909</v>
      </c>
      <c r="D228" s="1401">
        <v>36252</v>
      </c>
      <c r="E228" s="1400">
        <v>9126</v>
      </c>
      <c r="F228" s="1397" t="s">
        <v>2675</v>
      </c>
      <c r="G228" s="1399">
        <v>98980</v>
      </c>
      <c r="H228" s="1399">
        <f t="shared" si="7"/>
        <v>128041.18428231674</v>
      </c>
      <c r="I228" s="1399"/>
      <c r="J228" s="1399" t="str">
        <f t="shared" si="6"/>
        <v>Include</v>
      </c>
    </row>
    <row r="229" spans="3:10" s="1397" customFormat="1">
      <c r="C229" s="1414">
        <v>35685</v>
      </c>
      <c r="D229" s="1401">
        <v>35970</v>
      </c>
      <c r="E229" s="1400">
        <v>9029</v>
      </c>
      <c r="F229" s="1403" t="s">
        <v>2674</v>
      </c>
      <c r="G229" s="1399">
        <v>98844</v>
      </c>
      <c r="H229" s="1399">
        <f t="shared" si="7"/>
        <v>130422.55885618653</v>
      </c>
      <c r="I229" s="1399"/>
      <c r="J229" s="1399" t="str">
        <f t="shared" si="6"/>
        <v>Include</v>
      </c>
    </row>
    <row r="230" spans="3:10" s="1397" customFormat="1">
      <c r="C230" s="1414">
        <v>35303</v>
      </c>
      <c r="D230" s="1401">
        <v>35748</v>
      </c>
      <c r="E230" s="1400">
        <v>9927</v>
      </c>
      <c r="F230" s="1397" t="s">
        <v>2673</v>
      </c>
      <c r="G230" s="1399">
        <v>98766.17</v>
      </c>
      <c r="H230" s="1399">
        <f t="shared" si="7"/>
        <v>132926.26110053845</v>
      </c>
      <c r="I230" s="1399"/>
      <c r="J230" s="1399" t="str">
        <f t="shared" si="6"/>
        <v>Include</v>
      </c>
    </row>
    <row r="231" spans="3:10" s="1397" customFormat="1">
      <c r="C231" s="1414">
        <v>35290</v>
      </c>
      <c r="D231" s="1401">
        <v>35543</v>
      </c>
      <c r="E231" s="1400">
        <v>9922</v>
      </c>
      <c r="F231" s="1397" t="s">
        <v>2672</v>
      </c>
      <c r="G231" s="1399">
        <v>98464.5</v>
      </c>
      <c r="H231" s="1399">
        <f t="shared" si="7"/>
        <v>132520.25299891623</v>
      </c>
      <c r="I231" s="1399"/>
      <c r="J231" s="1399" t="str">
        <f t="shared" si="6"/>
        <v>Include</v>
      </c>
    </row>
    <row r="232" spans="3:10" s="1397" customFormat="1">
      <c r="C232" s="1414">
        <v>35268</v>
      </c>
      <c r="D232" s="1401">
        <v>35618</v>
      </c>
      <c r="E232" s="1400">
        <v>9912</v>
      </c>
      <c r="F232" s="1397" t="s">
        <v>2671</v>
      </c>
      <c r="G232" s="1399">
        <v>98209</v>
      </c>
      <c r="H232" s="1399">
        <f t="shared" si="7"/>
        <v>132176.38363847442</v>
      </c>
      <c r="I232" s="1399"/>
      <c r="J232" s="1399" t="str">
        <f t="shared" si="6"/>
        <v>Include</v>
      </c>
    </row>
    <row r="233" spans="3:10" s="1397" customFormat="1">
      <c r="C233" s="1414">
        <v>33779</v>
      </c>
      <c r="D233" s="1401">
        <v>33969</v>
      </c>
      <c r="E233" s="1400">
        <v>9486</v>
      </c>
      <c r="F233" s="1397" t="s">
        <v>2670</v>
      </c>
      <c r="G233" s="1399">
        <v>98184.02</v>
      </c>
      <c r="H233" s="1399">
        <f t="shared" si="7"/>
        <v>143035.57729969278</v>
      </c>
      <c r="I233" s="1399"/>
      <c r="J233" s="1399" t="str">
        <f t="shared" si="6"/>
        <v>Include</v>
      </c>
    </row>
    <row r="234" spans="3:10" s="1397" customFormat="1">
      <c r="C234" s="1414">
        <v>35551</v>
      </c>
      <c r="D234" s="1401">
        <v>35807</v>
      </c>
      <c r="E234" s="1400">
        <v>9987</v>
      </c>
      <c r="F234" s="1397" t="s">
        <v>2669</v>
      </c>
      <c r="G234" s="1399">
        <v>97077</v>
      </c>
      <c r="H234" s="1399">
        <f t="shared" si="7"/>
        <v>128091.03988185443</v>
      </c>
      <c r="I234" s="1399"/>
      <c r="J234" s="1399" t="str">
        <f t="shared" si="6"/>
        <v>Include</v>
      </c>
    </row>
    <row r="235" spans="3:10" s="1397" customFormat="1">
      <c r="C235" s="1414">
        <v>35490</v>
      </c>
      <c r="D235" s="1401">
        <v>35807</v>
      </c>
      <c r="E235" s="1400">
        <v>9965</v>
      </c>
      <c r="F235" s="1397" t="s">
        <v>2668</v>
      </c>
      <c r="G235" s="1399">
        <v>96450.1</v>
      </c>
      <c r="H235" s="1399">
        <f t="shared" si="7"/>
        <v>127263.85864529034</v>
      </c>
      <c r="I235" s="1399"/>
      <c r="J235" s="1399" t="str">
        <f t="shared" si="6"/>
        <v>Include</v>
      </c>
    </row>
    <row r="236" spans="3:10" s="1397" customFormat="1">
      <c r="C236" s="1414">
        <v>35957</v>
      </c>
      <c r="D236" s="1401">
        <v>36166</v>
      </c>
      <c r="E236" s="1400">
        <v>9147</v>
      </c>
      <c r="F236" s="1397" t="s">
        <v>2667</v>
      </c>
      <c r="G236" s="1399">
        <v>96105</v>
      </c>
      <c r="H236" s="1399">
        <f t="shared" si="7"/>
        <v>124322.06521976208</v>
      </c>
      <c r="I236" s="1399"/>
      <c r="J236" s="1399" t="str">
        <f t="shared" si="6"/>
        <v>Include</v>
      </c>
    </row>
    <row r="237" spans="3:10" s="1397" customFormat="1">
      <c r="C237" s="1414">
        <v>36647</v>
      </c>
      <c r="D237" s="1401">
        <v>37587</v>
      </c>
      <c r="E237" s="1400">
        <v>9389</v>
      </c>
      <c r="F237" s="1397" t="s">
        <v>2666</v>
      </c>
      <c r="G237" s="1399">
        <v>95418.55</v>
      </c>
      <c r="H237" s="1399">
        <f t="shared" si="7"/>
        <v>118640.97361427052</v>
      </c>
      <c r="I237" s="1399"/>
      <c r="J237" s="1399" t="str">
        <f t="shared" si="6"/>
        <v>Include</v>
      </c>
    </row>
    <row r="238" spans="3:10" s="1397" customFormat="1">
      <c r="C238" s="1414">
        <v>35608</v>
      </c>
      <c r="D238" s="1401">
        <v>36320</v>
      </c>
      <c r="E238" s="1400">
        <v>9009</v>
      </c>
      <c r="F238" s="1397" t="s">
        <v>2665</v>
      </c>
      <c r="G238" s="1399">
        <v>94689.279999999999</v>
      </c>
      <c r="H238" s="1399">
        <f t="shared" si="7"/>
        <v>124940.49404971396</v>
      </c>
      <c r="I238" s="1399"/>
      <c r="J238" s="1399" t="str">
        <f t="shared" si="6"/>
        <v>Include</v>
      </c>
    </row>
    <row r="239" spans="3:10" s="1397" customFormat="1">
      <c r="C239" s="1414">
        <v>35804</v>
      </c>
      <c r="D239" s="1401">
        <v>37042</v>
      </c>
      <c r="E239" s="1400">
        <v>9066</v>
      </c>
      <c r="F239" s="1415" t="s">
        <v>2664</v>
      </c>
      <c r="G239" s="1399">
        <v>94453.16</v>
      </c>
      <c r="H239" s="1399">
        <f t="shared" si="7"/>
        <v>122185.23404331328</v>
      </c>
      <c r="I239" s="1399">
        <v>1</v>
      </c>
      <c r="J239" s="1399" t="str">
        <f t="shared" si="6"/>
        <v>Exclude</v>
      </c>
    </row>
    <row r="240" spans="3:10" s="1397" customFormat="1">
      <c r="C240" s="1414">
        <v>34001</v>
      </c>
      <c r="D240" s="1401">
        <v>34425</v>
      </c>
      <c r="E240" s="1400">
        <v>9530</v>
      </c>
      <c r="F240" s="1397" t="s">
        <v>2663</v>
      </c>
      <c r="G240" s="1399">
        <v>93443.22</v>
      </c>
      <c r="H240" s="1399">
        <f t="shared" si="7"/>
        <v>133459.92832644412</v>
      </c>
      <c r="I240" s="1399"/>
      <c r="J240" s="1399" t="str">
        <f t="shared" si="6"/>
        <v>Include</v>
      </c>
    </row>
    <row r="241" spans="3:10" s="1397" customFormat="1">
      <c r="C241" s="1414">
        <v>35171</v>
      </c>
      <c r="D241" s="1401">
        <v>35375</v>
      </c>
      <c r="E241" s="1400">
        <v>9876</v>
      </c>
      <c r="F241" s="1415" t="s">
        <v>2662</v>
      </c>
      <c r="G241" s="1399">
        <v>92651.14</v>
      </c>
      <c r="H241" s="1399">
        <f t="shared" si="7"/>
        <v>124696.23583563627</v>
      </c>
      <c r="I241" s="1399">
        <v>1</v>
      </c>
      <c r="J241" s="1399" t="str">
        <f t="shared" si="6"/>
        <v>Exclude</v>
      </c>
    </row>
    <row r="242" spans="3:10" s="1397" customFormat="1">
      <c r="C242" s="1414">
        <v>35884</v>
      </c>
      <c r="D242" s="1401">
        <v>36158</v>
      </c>
      <c r="E242" s="1400">
        <v>9104</v>
      </c>
      <c r="F242" s="1415" t="s">
        <v>2661</v>
      </c>
      <c r="G242" s="1399">
        <v>90247.22</v>
      </c>
      <c r="H242" s="1399">
        <f t="shared" si="7"/>
        <v>116744.40217202244</v>
      </c>
      <c r="I242" s="1399">
        <v>1</v>
      </c>
      <c r="J242" s="1399" t="str">
        <f t="shared" si="6"/>
        <v>Exclude</v>
      </c>
    </row>
    <row r="243" spans="3:10" s="1397" customFormat="1">
      <c r="C243" s="1414">
        <v>35177</v>
      </c>
      <c r="D243" s="1401">
        <v>35585</v>
      </c>
      <c r="E243" s="1400">
        <v>9881</v>
      </c>
      <c r="F243" s="1397" t="s">
        <v>2660</v>
      </c>
      <c r="G243" s="1399">
        <v>90157.11</v>
      </c>
      <c r="H243" s="1399">
        <f t="shared" si="7"/>
        <v>121339.59982380574</v>
      </c>
      <c r="I243" s="1399"/>
      <c r="J243" s="1399" t="str">
        <f t="shared" si="6"/>
        <v>Include</v>
      </c>
    </row>
    <row r="244" spans="3:10" s="1397" customFormat="1">
      <c r="C244" s="1414">
        <v>35551</v>
      </c>
      <c r="D244" s="1401">
        <v>35970</v>
      </c>
      <c r="E244" s="1400">
        <v>9976</v>
      </c>
      <c r="F244" s="1397" t="s">
        <v>2659</v>
      </c>
      <c r="G244" s="1399">
        <v>88908.25</v>
      </c>
      <c r="H244" s="1399">
        <f t="shared" si="7"/>
        <v>117312.5477360846</v>
      </c>
      <c r="I244" s="1399"/>
      <c r="J244" s="1399" t="str">
        <f t="shared" si="6"/>
        <v>Include</v>
      </c>
    </row>
    <row r="245" spans="3:10" s="1397" customFormat="1">
      <c r="C245" s="1414">
        <v>36144</v>
      </c>
      <c r="D245" s="1401">
        <v>37587</v>
      </c>
      <c r="E245" s="1400">
        <v>9189</v>
      </c>
      <c r="F245" s="1397" t="s">
        <v>2658</v>
      </c>
      <c r="G245" s="1399">
        <v>88593.71</v>
      </c>
      <c r="H245" s="1399">
        <f t="shared" si="7"/>
        <v>114605.41067250079</v>
      </c>
      <c r="I245" s="1399"/>
      <c r="J245" s="1399" t="str">
        <f t="shared" si="6"/>
        <v>Include</v>
      </c>
    </row>
    <row r="246" spans="3:10" s="1397" customFormat="1">
      <c r="C246" s="1414">
        <v>36150</v>
      </c>
      <c r="D246" s="1401">
        <v>36532</v>
      </c>
      <c r="E246" s="1400">
        <v>9211</v>
      </c>
      <c r="F246" s="1397" t="s">
        <v>2657</v>
      </c>
      <c r="G246" s="1399">
        <v>87278</v>
      </c>
      <c r="H246" s="1399">
        <f t="shared" si="7"/>
        <v>112903.39949274641</v>
      </c>
      <c r="I246" s="1399"/>
      <c r="J246" s="1399" t="str">
        <f t="shared" si="6"/>
        <v>Include</v>
      </c>
    </row>
    <row r="247" spans="3:10" s="1397" customFormat="1">
      <c r="C247" s="1414">
        <v>36251</v>
      </c>
      <c r="D247" s="1401">
        <v>36830</v>
      </c>
      <c r="E247" s="1400">
        <v>9194</v>
      </c>
      <c r="F247" s="1397" t="s">
        <v>2656</v>
      </c>
      <c r="G247" s="1399">
        <v>87034.8</v>
      </c>
      <c r="H247" s="1399">
        <f t="shared" si="7"/>
        <v>110381.17094139222</v>
      </c>
      <c r="I247" s="1399"/>
      <c r="J247" s="1399" t="str">
        <f t="shared" si="6"/>
        <v>Include</v>
      </c>
    </row>
    <row r="248" spans="3:10" s="1397" customFormat="1">
      <c r="C248" s="1414">
        <v>35193</v>
      </c>
      <c r="D248" s="1401">
        <v>35585</v>
      </c>
      <c r="E248" s="1400">
        <v>9889</v>
      </c>
      <c r="F248" s="1415" t="s">
        <v>2655</v>
      </c>
      <c r="G248" s="1399">
        <v>86890.33</v>
      </c>
      <c r="H248" s="1399">
        <f t="shared" si="7"/>
        <v>116942.94405353523</v>
      </c>
      <c r="I248" s="1399">
        <v>1</v>
      </c>
      <c r="J248" s="1399" t="str">
        <f t="shared" si="6"/>
        <v>Exclude</v>
      </c>
    </row>
    <row r="249" spans="3:10" s="1397" customFormat="1">
      <c r="C249" s="1414">
        <v>35909</v>
      </c>
      <c r="D249" s="1401">
        <v>36704</v>
      </c>
      <c r="E249" s="1400">
        <v>9127</v>
      </c>
      <c r="F249" s="1397" t="s">
        <v>2654</v>
      </c>
      <c r="G249" s="1399">
        <v>85095.7</v>
      </c>
      <c r="H249" s="1399">
        <f t="shared" si="7"/>
        <v>110080.36174310709</v>
      </c>
      <c r="I249" s="1399"/>
      <c r="J249" s="1399" t="str">
        <f t="shared" si="6"/>
        <v>Include</v>
      </c>
    </row>
    <row r="250" spans="3:10" s="1397" customFormat="1">
      <c r="C250" s="1414">
        <v>36265</v>
      </c>
      <c r="D250" s="1401">
        <v>37124</v>
      </c>
      <c r="E250" s="1400">
        <v>9259</v>
      </c>
      <c r="F250" s="1403" t="s">
        <v>2653</v>
      </c>
      <c r="G250" s="1399">
        <v>85033.4</v>
      </c>
      <c r="H250" s="1399">
        <f t="shared" si="7"/>
        <v>107842.91181375473</v>
      </c>
      <c r="I250" s="1399"/>
      <c r="J250" s="1399" t="str">
        <f t="shared" si="6"/>
        <v>Include</v>
      </c>
    </row>
    <row r="251" spans="3:10" s="1397" customFormat="1">
      <c r="C251" s="1414">
        <v>35850</v>
      </c>
      <c r="D251" s="1401">
        <v>37124</v>
      </c>
      <c r="E251" s="1400">
        <v>9085</v>
      </c>
      <c r="F251" s="1397" t="s">
        <v>2652</v>
      </c>
      <c r="G251" s="1399">
        <v>84952</v>
      </c>
      <c r="H251" s="1399">
        <f t="shared" si="7"/>
        <v>109894.47047031089</v>
      </c>
      <c r="I251" s="1399"/>
      <c r="J251" s="1399" t="str">
        <f t="shared" si="6"/>
        <v>Include</v>
      </c>
    </row>
    <row r="252" spans="3:10" s="1397" customFormat="1">
      <c r="C252" s="1414">
        <v>35863</v>
      </c>
      <c r="D252" s="1401">
        <v>36572</v>
      </c>
      <c r="E252" s="1400">
        <v>9093</v>
      </c>
      <c r="F252" s="1397" t="s">
        <v>2651</v>
      </c>
      <c r="G252" s="1399">
        <v>84787.96</v>
      </c>
      <c r="H252" s="1399">
        <f t="shared" si="7"/>
        <v>109682.26723865126</v>
      </c>
      <c r="I252" s="1399"/>
      <c r="J252" s="1399" t="str">
        <f t="shared" si="6"/>
        <v>Include</v>
      </c>
    </row>
    <row r="253" spans="3:10" s="1397" customFormat="1">
      <c r="C253" s="1414">
        <v>34969</v>
      </c>
      <c r="D253" s="1401">
        <v>35375</v>
      </c>
      <c r="E253" s="1400">
        <v>9834</v>
      </c>
      <c r="F253" s="1415" t="s">
        <v>2650</v>
      </c>
      <c r="G253" s="1399">
        <v>84468.76</v>
      </c>
      <c r="H253" s="1399">
        <f t="shared" si="7"/>
        <v>115957.50625472968</v>
      </c>
      <c r="I253" s="1399">
        <v>1</v>
      </c>
      <c r="J253" s="1399" t="str">
        <f t="shared" si="6"/>
        <v>Exclude</v>
      </c>
    </row>
    <row r="254" spans="3:10" s="1397" customFormat="1">
      <c r="C254" s="1414">
        <v>35516</v>
      </c>
      <c r="D254" s="1401">
        <v>35760</v>
      </c>
      <c r="E254" s="1400">
        <v>9970</v>
      </c>
      <c r="F254" s="1397" t="s">
        <v>2649</v>
      </c>
      <c r="G254" s="1399">
        <v>84255</v>
      </c>
      <c r="H254" s="1399">
        <f t="shared" si="7"/>
        <v>111172.68318186229</v>
      </c>
      <c r="I254" s="1399"/>
      <c r="J254" s="1399" t="str">
        <f t="shared" si="6"/>
        <v>Include</v>
      </c>
    </row>
    <row r="255" spans="3:10" s="1397" customFormat="1">
      <c r="C255" s="1414">
        <v>36634</v>
      </c>
      <c r="D255" s="1401">
        <v>37124</v>
      </c>
      <c r="E255" s="1400">
        <v>9393</v>
      </c>
      <c r="F255" s="1403" t="s">
        <v>2648</v>
      </c>
      <c r="G255" s="1399">
        <v>83892.35</v>
      </c>
      <c r="H255" s="1399">
        <f t="shared" si="7"/>
        <v>104309.5926608521</v>
      </c>
      <c r="I255" s="1399"/>
      <c r="J255" s="1399" t="str">
        <f t="shared" si="6"/>
        <v>Include</v>
      </c>
    </row>
    <row r="256" spans="3:10" s="1397" customFormat="1">
      <c r="C256" s="1414">
        <v>34881</v>
      </c>
      <c r="D256" s="1401">
        <v>35244</v>
      </c>
      <c r="E256" s="1400">
        <v>9808</v>
      </c>
      <c r="F256" s="1403" t="s">
        <v>2647</v>
      </c>
      <c r="G256" s="1399">
        <v>83079.850000000006</v>
      </c>
      <c r="H256" s="1399">
        <f t="shared" si="7"/>
        <v>114050.8304610723</v>
      </c>
      <c r="I256" s="1399"/>
      <c r="J256" s="1399" t="str">
        <f t="shared" si="6"/>
        <v>Include</v>
      </c>
    </row>
    <row r="257" spans="3:10" s="1397" customFormat="1">
      <c r="C257" s="1414">
        <v>35909</v>
      </c>
      <c r="D257" s="1401">
        <v>36320</v>
      </c>
      <c r="E257" s="1400">
        <v>9125</v>
      </c>
      <c r="F257" s="1403" t="s">
        <v>2646</v>
      </c>
      <c r="G257" s="1399">
        <v>82936</v>
      </c>
      <c r="H257" s="1399">
        <f t="shared" si="7"/>
        <v>107286.55950331604</v>
      </c>
      <c r="I257" s="1399"/>
      <c r="J257" s="1399" t="str">
        <f t="shared" si="6"/>
        <v>Include</v>
      </c>
    </row>
    <row r="258" spans="3:10" s="1397" customFormat="1">
      <c r="C258" s="1414">
        <v>35187</v>
      </c>
      <c r="D258" s="1401">
        <v>35689</v>
      </c>
      <c r="E258" s="1400">
        <v>9883</v>
      </c>
      <c r="F258" s="1403" t="s">
        <v>2645</v>
      </c>
      <c r="G258" s="1399">
        <v>82375.100000000006</v>
      </c>
      <c r="H258" s="1399">
        <f t="shared" si="7"/>
        <v>110866.03895628398</v>
      </c>
      <c r="I258" s="1399"/>
      <c r="J258" s="1399" t="str">
        <f t="shared" si="6"/>
        <v>Include</v>
      </c>
    </row>
    <row r="259" spans="3:10" s="1397" customFormat="1">
      <c r="C259" s="1414">
        <v>35523</v>
      </c>
      <c r="D259" s="1401">
        <v>35864</v>
      </c>
      <c r="E259" s="1400">
        <v>9972</v>
      </c>
      <c r="F259" s="1403" t="s">
        <v>2644</v>
      </c>
      <c r="G259" s="1399">
        <v>82271</v>
      </c>
      <c r="H259" s="1399">
        <f t="shared" si="7"/>
        <v>108554.83731594555</v>
      </c>
      <c r="I259" s="1399"/>
      <c r="J259" s="1399" t="str">
        <f t="shared" si="6"/>
        <v>Include</v>
      </c>
    </row>
    <row r="260" spans="3:10" s="1397" customFormat="1">
      <c r="C260" s="1414">
        <v>36486</v>
      </c>
      <c r="D260" s="1401">
        <v>37572</v>
      </c>
      <c r="E260" s="1400">
        <v>9343</v>
      </c>
      <c r="F260" s="1397" t="s">
        <v>2643</v>
      </c>
      <c r="G260" s="1399">
        <v>81808.33</v>
      </c>
      <c r="H260" s="1399">
        <f t="shared" si="7"/>
        <v>103752.74324936491</v>
      </c>
      <c r="I260" s="1399"/>
      <c r="J260" s="1399" t="str">
        <f t="shared" si="6"/>
        <v>Include</v>
      </c>
    </row>
    <row r="261" spans="3:10" s="1397" customFormat="1">
      <c r="C261" s="1414">
        <v>33822</v>
      </c>
      <c r="D261" s="1401">
        <v>34396</v>
      </c>
      <c r="E261" s="1400">
        <v>9502</v>
      </c>
      <c r="F261" s="1397" t="s">
        <v>2642</v>
      </c>
      <c r="G261" s="1399">
        <v>81710.13</v>
      </c>
      <c r="H261" s="1399">
        <f t="shared" si="7"/>
        <v>119036.23029269882</v>
      </c>
      <c r="I261" s="1399"/>
      <c r="J261" s="1399" t="str">
        <f t="shared" si="6"/>
        <v>Include</v>
      </c>
    </row>
    <row r="262" spans="3:10" s="1397" customFormat="1">
      <c r="C262" s="1414">
        <v>35297</v>
      </c>
      <c r="D262" s="1401">
        <v>35709</v>
      </c>
      <c r="E262" s="1400">
        <v>9923</v>
      </c>
      <c r="F262" s="1397" t="s">
        <v>2641</v>
      </c>
      <c r="G262" s="1399">
        <v>81582.59</v>
      </c>
      <c r="H262" s="1399">
        <f t="shared" si="7"/>
        <v>109799.42483947871</v>
      </c>
      <c r="I262" s="1399"/>
      <c r="J262" s="1399" t="str">
        <f t="shared" si="6"/>
        <v>Include</v>
      </c>
    </row>
    <row r="263" spans="3:10" s="1397" customFormat="1">
      <c r="C263" s="1414">
        <v>35900</v>
      </c>
      <c r="D263" s="1401">
        <v>36532</v>
      </c>
      <c r="E263" s="1400">
        <v>9117</v>
      </c>
      <c r="F263" s="1397" t="s">
        <v>2640</v>
      </c>
      <c r="G263" s="1399">
        <v>81135.34</v>
      </c>
      <c r="H263" s="1399">
        <f t="shared" si="7"/>
        <v>104957.2137881231</v>
      </c>
      <c r="I263" s="1399"/>
      <c r="J263" s="1399" t="str">
        <f t="shared" si="6"/>
        <v>Include</v>
      </c>
    </row>
    <row r="264" spans="3:10" s="1397" customFormat="1">
      <c r="C264" s="1414">
        <v>35403</v>
      </c>
      <c r="D264" s="1401">
        <v>36320</v>
      </c>
      <c r="E264" s="1400">
        <v>9947</v>
      </c>
      <c r="F264" s="1403" t="s">
        <v>2639</v>
      </c>
      <c r="G264" s="1399">
        <v>80350.66</v>
      </c>
      <c r="H264" s="1399">
        <f t="shared" si="7"/>
        <v>108141.40925744709</v>
      </c>
      <c r="I264" s="1399"/>
      <c r="J264" s="1399" t="str">
        <f t="shared" si="6"/>
        <v>Include</v>
      </c>
    </row>
    <row r="265" spans="3:10" s="1397" customFormat="1">
      <c r="C265" s="1414">
        <v>35782</v>
      </c>
      <c r="D265" s="1401">
        <v>36252</v>
      </c>
      <c r="E265" s="1400">
        <v>9059</v>
      </c>
      <c r="F265" s="1403" t="s">
        <v>2638</v>
      </c>
      <c r="G265" s="1399">
        <v>79000</v>
      </c>
      <c r="H265" s="1399">
        <f t="shared" si="7"/>
        <v>104238.8222819669</v>
      </c>
      <c r="I265" s="1399"/>
      <c r="J265" s="1399" t="str">
        <f t="shared" si="6"/>
        <v>Include</v>
      </c>
    </row>
    <row r="266" spans="3:10" s="1397" customFormat="1">
      <c r="C266" s="1414">
        <v>36234</v>
      </c>
      <c r="D266" s="1401">
        <v>37042</v>
      </c>
      <c r="E266" s="1400">
        <v>9246</v>
      </c>
      <c r="F266" s="1403" t="s">
        <v>2637</v>
      </c>
      <c r="G266" s="1399">
        <v>77922.149999999994</v>
      </c>
      <c r="H266" s="1399">
        <f t="shared" si="7"/>
        <v>98824.127352171825</v>
      </c>
      <c r="I266" s="1399"/>
      <c r="J266" s="1399" t="str">
        <f t="shared" si="6"/>
        <v>Include</v>
      </c>
    </row>
    <row r="267" spans="3:10" s="1397" customFormat="1">
      <c r="C267" s="1414">
        <v>36586</v>
      </c>
      <c r="D267" s="1401">
        <v>37060</v>
      </c>
      <c r="E267" s="1400">
        <v>9396</v>
      </c>
      <c r="F267" s="1403" t="s">
        <v>2636</v>
      </c>
      <c r="G267" s="1399">
        <v>76894.42</v>
      </c>
      <c r="H267" s="1399">
        <f t="shared" si="7"/>
        <v>95608.546286907891</v>
      </c>
      <c r="I267" s="1399"/>
      <c r="J267" s="1399" t="str">
        <f t="shared" ref="J267:J330" si="8">IF(I267=1,"Exclude","Include")</f>
        <v>Include</v>
      </c>
    </row>
    <row r="268" spans="3:10" s="1397" customFormat="1">
      <c r="C268" s="1414">
        <v>33913</v>
      </c>
      <c r="D268" s="1401">
        <v>34295</v>
      </c>
      <c r="E268" s="1400">
        <v>9515</v>
      </c>
      <c r="F268" s="1403" t="s">
        <v>2635</v>
      </c>
      <c r="G268" s="1399">
        <v>76494.2</v>
      </c>
      <c r="H268" s="1399">
        <f t="shared" si="7"/>
        <v>111437.60519357589</v>
      </c>
      <c r="I268" s="1399"/>
      <c r="J268" s="1399" t="str">
        <f t="shared" si="8"/>
        <v>Include</v>
      </c>
    </row>
    <row r="269" spans="3:10" s="1397" customFormat="1">
      <c r="C269" s="1414">
        <v>34862</v>
      </c>
      <c r="D269" s="1401">
        <v>35213</v>
      </c>
      <c r="E269" s="1400">
        <v>9802</v>
      </c>
      <c r="F269" s="1403" t="s">
        <v>2634</v>
      </c>
      <c r="G269" s="1399">
        <v>76280.100000000006</v>
      </c>
      <c r="H269" s="1399">
        <f t="shared" si="7"/>
        <v>104716.23086288241</v>
      </c>
      <c r="I269" s="1399"/>
      <c r="J269" s="1399" t="str">
        <f t="shared" si="8"/>
        <v>Include</v>
      </c>
    </row>
    <row r="270" spans="3:10" s="1397" customFormat="1">
      <c r="C270" s="1414">
        <v>35909</v>
      </c>
      <c r="D270" s="1401">
        <v>36252</v>
      </c>
      <c r="E270" s="1400">
        <v>9128</v>
      </c>
      <c r="F270" s="1403" t="s">
        <v>2633</v>
      </c>
      <c r="G270" s="1399">
        <v>76215</v>
      </c>
      <c r="H270" s="1399">
        <f t="shared" si="7"/>
        <v>98592.229340036065</v>
      </c>
      <c r="I270" s="1399"/>
      <c r="J270" s="1399" t="str">
        <f t="shared" si="8"/>
        <v>Include</v>
      </c>
    </row>
    <row r="271" spans="3:10" s="1397" customFormat="1">
      <c r="C271" s="1414">
        <v>33994</v>
      </c>
      <c r="D271" s="1401">
        <v>34453</v>
      </c>
      <c r="E271" s="1400">
        <v>9531</v>
      </c>
      <c r="F271" s="1397" t="s">
        <v>2632</v>
      </c>
      <c r="G271" s="1399">
        <v>75751.240000000005</v>
      </c>
      <c r="H271" s="1399">
        <f t="shared" si="7"/>
        <v>108191.42427924967</v>
      </c>
      <c r="I271" s="1399"/>
      <c r="J271" s="1399" t="str">
        <f t="shared" si="8"/>
        <v>Include</v>
      </c>
    </row>
    <row r="272" spans="3:10" s="1397" customFormat="1">
      <c r="C272" s="1414">
        <v>35828</v>
      </c>
      <c r="D272" s="1401">
        <v>36704</v>
      </c>
      <c r="E272" s="1400">
        <v>9074</v>
      </c>
      <c r="F272" s="1397" t="s">
        <v>2631</v>
      </c>
      <c r="G272" s="1399">
        <v>75738.92</v>
      </c>
      <c r="H272" s="1399">
        <f t="shared" si="7"/>
        <v>97976.369095409624</v>
      </c>
      <c r="I272" s="1399"/>
      <c r="J272" s="1399" t="str">
        <f t="shared" si="8"/>
        <v>Include</v>
      </c>
    </row>
    <row r="273" spans="3:10" s="1397" customFormat="1">
      <c r="C273" s="1414">
        <v>35933</v>
      </c>
      <c r="D273" s="1401">
        <v>36166</v>
      </c>
      <c r="E273" s="1400">
        <v>9134</v>
      </c>
      <c r="F273" s="1397" t="s">
        <v>2630</v>
      </c>
      <c r="G273" s="1399">
        <v>75675</v>
      </c>
      <c r="H273" s="1399">
        <f t="shared" si="7"/>
        <v>97893.681759591025</v>
      </c>
      <c r="I273" s="1399"/>
      <c r="J273" s="1399" t="str">
        <f t="shared" si="8"/>
        <v>Include</v>
      </c>
    </row>
    <row r="274" spans="3:10" s="1397" customFormat="1">
      <c r="C274" s="1414">
        <v>35838</v>
      </c>
      <c r="D274" s="1401">
        <v>36704</v>
      </c>
      <c r="E274" s="1400">
        <v>9079</v>
      </c>
      <c r="F274" s="1397" t="s">
        <v>2629</v>
      </c>
      <c r="G274" s="1399">
        <v>75650.850000000006</v>
      </c>
      <c r="H274" s="1399">
        <f t="shared" si="7"/>
        <v>97862.441159465568</v>
      </c>
      <c r="I274" s="1399"/>
      <c r="J274" s="1399" t="str">
        <f t="shared" si="8"/>
        <v>Include</v>
      </c>
    </row>
    <row r="275" spans="3:10" s="1397" customFormat="1">
      <c r="C275" s="1414">
        <v>35881</v>
      </c>
      <c r="D275" s="1401">
        <v>36586</v>
      </c>
      <c r="E275" s="1400">
        <v>9102</v>
      </c>
      <c r="F275" s="1397" t="s">
        <v>2628</v>
      </c>
      <c r="G275" s="1399">
        <v>75614</v>
      </c>
      <c r="H275" s="1399">
        <f t="shared" si="7"/>
        <v>97814.771755133333</v>
      </c>
      <c r="I275" s="1399"/>
      <c r="J275" s="1399" t="str">
        <f t="shared" si="8"/>
        <v>Include</v>
      </c>
    </row>
    <row r="276" spans="3:10" s="1397" customFormat="1">
      <c r="C276" s="1414">
        <v>36286</v>
      </c>
      <c r="D276" s="1401">
        <v>37319</v>
      </c>
      <c r="E276" s="1400">
        <v>9264</v>
      </c>
      <c r="F276" s="1403" t="s">
        <v>2627</v>
      </c>
      <c r="G276" s="1399">
        <v>75103.100000000006</v>
      </c>
      <c r="H276" s="1399">
        <f t="shared" ref="H276:H339" si="9">G276*(1+$N$6)^(2011-YEAR(C276))</f>
        <v>95248.890321210303</v>
      </c>
      <c r="I276" s="1399"/>
      <c r="J276" s="1399" t="str">
        <f t="shared" si="8"/>
        <v>Include</v>
      </c>
    </row>
    <row r="277" spans="3:10" s="1397" customFormat="1">
      <c r="C277" s="1414">
        <v>36647</v>
      </c>
      <c r="D277" s="1401">
        <v>37194</v>
      </c>
      <c r="E277" s="1400">
        <v>9388</v>
      </c>
      <c r="F277" s="1397" t="s">
        <v>2626</v>
      </c>
      <c r="G277" s="1399">
        <v>74982.89</v>
      </c>
      <c r="H277" s="1399">
        <f t="shared" si="9"/>
        <v>93231.798995182267</v>
      </c>
      <c r="I277" s="1399"/>
      <c r="J277" s="1399" t="str">
        <f t="shared" si="8"/>
        <v>Include</v>
      </c>
    </row>
    <row r="278" spans="3:10" s="1397" customFormat="1">
      <c r="C278" s="1414">
        <v>35462</v>
      </c>
      <c r="D278" s="1401">
        <v>36080</v>
      </c>
      <c r="E278" s="1400">
        <v>9960</v>
      </c>
      <c r="F278" s="1397" t="s">
        <v>2625</v>
      </c>
      <c r="G278" s="1399">
        <v>74840.92</v>
      </c>
      <c r="H278" s="1399">
        <f t="shared" si="9"/>
        <v>98751.004548087367</v>
      </c>
      <c r="I278" s="1399"/>
      <c r="J278" s="1399" t="str">
        <f t="shared" si="8"/>
        <v>Include</v>
      </c>
    </row>
    <row r="279" spans="3:10" s="1397" customFormat="1">
      <c r="C279" s="1414">
        <v>36312</v>
      </c>
      <c r="D279" s="1401">
        <v>37033</v>
      </c>
      <c r="E279" s="1400">
        <v>9266</v>
      </c>
      <c r="F279" s="1397" t="s">
        <v>2624</v>
      </c>
      <c r="G279" s="1399">
        <v>74615.240000000005</v>
      </c>
      <c r="H279" s="1399">
        <f t="shared" si="9"/>
        <v>94630.165879315013</v>
      </c>
      <c r="I279" s="1399"/>
      <c r="J279" s="1399" t="str">
        <f t="shared" si="8"/>
        <v>Include</v>
      </c>
    </row>
    <row r="280" spans="3:10" s="1397" customFormat="1">
      <c r="C280" s="1414">
        <v>35871</v>
      </c>
      <c r="D280" s="1401">
        <v>36830</v>
      </c>
      <c r="E280" s="1400">
        <v>9100</v>
      </c>
      <c r="F280" s="1397" t="s">
        <v>2623</v>
      </c>
      <c r="G280" s="1399">
        <v>74576.14</v>
      </c>
      <c r="H280" s="1399">
        <f t="shared" si="9"/>
        <v>96472.189177650565</v>
      </c>
      <c r="I280" s="1399"/>
      <c r="J280" s="1399" t="str">
        <f t="shared" si="8"/>
        <v>Include</v>
      </c>
    </row>
    <row r="281" spans="3:10" s="1397" customFormat="1">
      <c r="C281" s="1414">
        <v>36145</v>
      </c>
      <c r="D281" s="1401">
        <v>37572</v>
      </c>
      <c r="E281" s="1400">
        <v>9201</v>
      </c>
      <c r="F281" s="1403" t="s">
        <v>2622</v>
      </c>
      <c r="G281" s="1399">
        <v>74323.899999999994</v>
      </c>
      <c r="H281" s="1399">
        <f t="shared" si="9"/>
        <v>96145.889841184893</v>
      </c>
      <c r="I281" s="1399"/>
      <c r="J281" s="1399" t="str">
        <f t="shared" si="8"/>
        <v>Include</v>
      </c>
    </row>
    <row r="282" spans="3:10" s="1397" customFormat="1">
      <c r="C282" s="1414">
        <v>35695</v>
      </c>
      <c r="D282" s="1401">
        <v>37572</v>
      </c>
      <c r="E282" s="1400">
        <v>9031</v>
      </c>
      <c r="F282" s="1403" t="s">
        <v>2621</v>
      </c>
      <c r="G282" s="1399">
        <v>74264.03</v>
      </c>
      <c r="H282" s="1399">
        <f t="shared" si="9"/>
        <v>97989.810444464034</v>
      </c>
      <c r="I282" s="1399"/>
      <c r="J282" s="1399" t="str">
        <f t="shared" si="8"/>
        <v>Include</v>
      </c>
    </row>
    <row r="283" spans="3:10" s="1397" customFormat="1">
      <c r="C283" s="1414">
        <v>33742</v>
      </c>
      <c r="D283" s="1401">
        <v>34173</v>
      </c>
      <c r="E283" s="1400">
        <v>9481</v>
      </c>
      <c r="F283" s="1415" t="s">
        <v>2620</v>
      </c>
      <c r="G283" s="1399">
        <v>74204</v>
      </c>
      <c r="H283" s="1399">
        <f t="shared" si="9"/>
        <v>108101.21624625273</v>
      </c>
      <c r="I283" s="1399">
        <v>1</v>
      </c>
      <c r="J283" s="1399" t="str">
        <f t="shared" si="8"/>
        <v>Exclude</v>
      </c>
    </row>
    <row r="284" spans="3:10" s="1397" customFormat="1">
      <c r="C284" s="1414">
        <v>36311</v>
      </c>
      <c r="D284" s="1401">
        <v>37042</v>
      </c>
      <c r="E284" s="1400">
        <v>9270</v>
      </c>
      <c r="F284" s="1397" t="s">
        <v>2619</v>
      </c>
      <c r="G284" s="1399">
        <v>73631.399999999994</v>
      </c>
      <c r="H284" s="1399">
        <f t="shared" si="9"/>
        <v>93382.418872152586</v>
      </c>
      <c r="I284" s="1399"/>
      <c r="J284" s="1399" t="str">
        <f t="shared" si="8"/>
        <v>Include</v>
      </c>
    </row>
    <row r="285" spans="3:10" s="1397" customFormat="1">
      <c r="C285" s="1414">
        <v>33802</v>
      </c>
      <c r="D285" s="1401">
        <v>34026</v>
      </c>
      <c r="E285" s="1400">
        <v>9496</v>
      </c>
      <c r="F285" s="1403" t="s">
        <v>2618</v>
      </c>
      <c r="G285" s="1399">
        <v>73106.16</v>
      </c>
      <c r="H285" s="1399">
        <f t="shared" si="9"/>
        <v>106501.87066860482</v>
      </c>
      <c r="I285" s="1399"/>
      <c r="J285" s="1399" t="str">
        <f t="shared" si="8"/>
        <v>Include</v>
      </c>
    </row>
    <row r="286" spans="3:10" s="1397" customFormat="1">
      <c r="C286" s="1414">
        <v>33779</v>
      </c>
      <c r="D286" s="1401">
        <v>34295</v>
      </c>
      <c r="E286" s="1400">
        <v>9488</v>
      </c>
      <c r="F286" s="1397" t="s">
        <v>2617</v>
      </c>
      <c r="G286" s="1399">
        <v>73103.240000000005</v>
      </c>
      <c r="H286" s="1399">
        <f t="shared" si="9"/>
        <v>106497.61677998104</v>
      </c>
      <c r="I286" s="1399"/>
      <c r="J286" s="1399" t="str">
        <f t="shared" si="8"/>
        <v>Include</v>
      </c>
    </row>
    <row r="287" spans="3:10" s="1397" customFormat="1">
      <c r="C287" s="1414">
        <v>36544</v>
      </c>
      <c r="D287" s="1401">
        <v>36831</v>
      </c>
      <c r="E287" s="1400">
        <v>9390</v>
      </c>
      <c r="F287" s="1397" t="s">
        <v>2616</v>
      </c>
      <c r="G287" s="1399">
        <v>72841.25</v>
      </c>
      <c r="H287" s="1399">
        <f t="shared" si="9"/>
        <v>90568.938841351948</v>
      </c>
      <c r="I287" s="1399"/>
      <c r="J287" s="1399" t="str">
        <f t="shared" si="8"/>
        <v>Include</v>
      </c>
    </row>
    <row r="288" spans="3:10" s="1397" customFormat="1">
      <c r="C288" s="1414">
        <v>34926</v>
      </c>
      <c r="D288" s="1401">
        <v>35340</v>
      </c>
      <c r="E288" s="1400">
        <v>9819</v>
      </c>
      <c r="F288" s="1415" t="s">
        <v>2615</v>
      </c>
      <c r="G288" s="1399">
        <v>72785</v>
      </c>
      <c r="H288" s="1399">
        <f t="shared" si="9"/>
        <v>99918.207545020196</v>
      </c>
      <c r="I288" s="1399">
        <v>1</v>
      </c>
      <c r="J288" s="1399" t="str">
        <f t="shared" si="8"/>
        <v>Exclude</v>
      </c>
    </row>
    <row r="289" spans="3:10" s="1397" customFormat="1">
      <c r="C289" s="1414">
        <v>35361</v>
      </c>
      <c r="D289" s="1401">
        <v>35760</v>
      </c>
      <c r="E289" s="1400">
        <v>9937</v>
      </c>
      <c r="F289" s="1397" t="s">
        <v>2614</v>
      </c>
      <c r="G289" s="1399">
        <v>72215</v>
      </c>
      <c r="H289" s="1399">
        <f t="shared" si="9"/>
        <v>97191.882052076995</v>
      </c>
      <c r="I289" s="1399"/>
      <c r="J289" s="1399" t="str">
        <f t="shared" si="8"/>
        <v>Include</v>
      </c>
    </row>
    <row r="290" spans="3:10" s="1397" customFormat="1">
      <c r="C290" s="1414">
        <v>35977</v>
      </c>
      <c r="D290" s="1401">
        <v>36340</v>
      </c>
      <c r="E290" s="1400">
        <v>9151</v>
      </c>
      <c r="F290" s="1397" t="s">
        <v>2613</v>
      </c>
      <c r="G290" s="1399">
        <v>71997.899999999994</v>
      </c>
      <c r="H290" s="1399">
        <f t="shared" si="9"/>
        <v>93136.960818749358</v>
      </c>
      <c r="I290" s="1399"/>
      <c r="J290" s="1399" t="str">
        <f t="shared" si="8"/>
        <v>Include</v>
      </c>
    </row>
    <row r="291" spans="3:10" s="1397" customFormat="1">
      <c r="C291" s="1414">
        <v>36586</v>
      </c>
      <c r="D291" s="1401">
        <v>37587</v>
      </c>
      <c r="E291" s="1400">
        <v>9399</v>
      </c>
      <c r="F291" s="1403" t="s">
        <v>2612</v>
      </c>
      <c r="G291" s="1399">
        <v>71927.199999999997</v>
      </c>
      <c r="H291" s="1399">
        <f t="shared" si="9"/>
        <v>89432.432554763815</v>
      </c>
      <c r="I291" s="1399"/>
      <c r="J291" s="1399" t="str">
        <f t="shared" si="8"/>
        <v>Include</v>
      </c>
    </row>
    <row r="292" spans="3:10" s="1397" customFormat="1">
      <c r="C292" s="1414">
        <v>34982</v>
      </c>
      <c r="D292" s="1401">
        <v>35242</v>
      </c>
      <c r="E292" s="1400">
        <v>9838</v>
      </c>
      <c r="F292" s="1403" t="s">
        <v>2611</v>
      </c>
      <c r="G292" s="1399">
        <v>71808</v>
      </c>
      <c r="H292" s="1399">
        <f t="shared" si="9"/>
        <v>98576.995911146674</v>
      </c>
      <c r="I292" s="1399"/>
      <c r="J292" s="1399" t="str">
        <f t="shared" si="8"/>
        <v>Include</v>
      </c>
    </row>
    <row r="293" spans="3:10" s="1397" customFormat="1">
      <c r="C293" s="1414">
        <v>36433</v>
      </c>
      <c r="D293" s="1401">
        <v>36831</v>
      </c>
      <c r="E293" s="1400">
        <v>9315</v>
      </c>
      <c r="F293" s="1403" t="s">
        <v>2610</v>
      </c>
      <c r="G293" s="1399">
        <v>71795.789999999994</v>
      </c>
      <c r="H293" s="1399">
        <f t="shared" si="9"/>
        <v>91054.421551635634</v>
      </c>
      <c r="I293" s="1399"/>
      <c r="J293" s="1399" t="str">
        <f t="shared" si="8"/>
        <v>Include</v>
      </c>
    </row>
    <row r="294" spans="3:10" s="1397" customFormat="1">
      <c r="C294" s="1414">
        <v>35948</v>
      </c>
      <c r="D294" s="1401">
        <v>36166</v>
      </c>
      <c r="E294" s="1400">
        <v>9142</v>
      </c>
      <c r="F294" s="1403" t="s">
        <v>2609</v>
      </c>
      <c r="G294" s="1399">
        <v>71689</v>
      </c>
      <c r="H294" s="1399">
        <f t="shared" si="9"/>
        <v>92737.365730602192</v>
      </c>
      <c r="I294" s="1399"/>
      <c r="J294" s="1399" t="str">
        <f t="shared" si="8"/>
        <v>Include</v>
      </c>
    </row>
    <row r="295" spans="3:10" s="1397" customFormat="1">
      <c r="C295" s="1414">
        <v>36185</v>
      </c>
      <c r="D295" s="1401">
        <v>36532</v>
      </c>
      <c r="E295" s="1400">
        <v>9221</v>
      </c>
      <c r="F295" s="1415" t="s">
        <v>2608</v>
      </c>
      <c r="G295" s="1399">
        <v>71500</v>
      </c>
      <c r="H295" s="1399">
        <f t="shared" si="9"/>
        <v>90679.288311221986</v>
      </c>
      <c r="I295" s="1399">
        <v>1</v>
      </c>
      <c r="J295" s="1399" t="str">
        <f t="shared" si="8"/>
        <v>Exclude</v>
      </c>
    </row>
    <row r="296" spans="3:10" s="1397" customFormat="1">
      <c r="C296" s="1414">
        <v>34001</v>
      </c>
      <c r="D296" s="1401">
        <v>34816</v>
      </c>
      <c r="E296" s="1400">
        <v>9537</v>
      </c>
      <c r="F296" s="1403" t="s">
        <v>2607</v>
      </c>
      <c r="G296" s="1399">
        <v>71289.14</v>
      </c>
      <c r="H296" s="1399">
        <f t="shared" si="9"/>
        <v>101818.44669793957</v>
      </c>
      <c r="I296" s="1399"/>
      <c r="J296" s="1399" t="str">
        <f t="shared" si="8"/>
        <v>Include</v>
      </c>
    </row>
    <row r="297" spans="3:10" s="1397" customFormat="1">
      <c r="C297" s="1414">
        <v>35983</v>
      </c>
      <c r="D297" s="1401">
        <v>36572</v>
      </c>
      <c r="E297" s="1400">
        <v>9154</v>
      </c>
      <c r="F297" s="1403" t="s">
        <v>2606</v>
      </c>
      <c r="G297" s="1399">
        <v>70716.460000000006</v>
      </c>
      <c r="H297" s="1399">
        <f t="shared" si="9"/>
        <v>91479.281538220661</v>
      </c>
      <c r="I297" s="1399"/>
      <c r="J297" s="1399" t="str">
        <f t="shared" si="8"/>
        <v>Include</v>
      </c>
    </row>
    <row r="298" spans="3:10" s="1397" customFormat="1">
      <c r="C298" s="1414">
        <v>35751</v>
      </c>
      <c r="D298" s="1401">
        <v>36166</v>
      </c>
      <c r="E298" s="1400">
        <v>9042</v>
      </c>
      <c r="F298" s="1397" t="s">
        <v>2605</v>
      </c>
      <c r="G298" s="1399">
        <v>70524.7</v>
      </c>
      <c r="H298" s="1399">
        <f t="shared" si="9"/>
        <v>93055.843921380132</v>
      </c>
      <c r="I298" s="1399"/>
      <c r="J298" s="1399" t="str">
        <f t="shared" si="8"/>
        <v>Include</v>
      </c>
    </row>
    <row r="299" spans="3:10" s="1397" customFormat="1">
      <c r="C299" s="1414">
        <v>36404</v>
      </c>
      <c r="D299" s="1401">
        <v>36831</v>
      </c>
      <c r="E299" s="1400">
        <v>9309</v>
      </c>
      <c r="F299" s="1397" t="s">
        <v>2604</v>
      </c>
      <c r="G299" s="1399">
        <v>70520.59</v>
      </c>
      <c r="H299" s="1399">
        <f t="shared" si="9"/>
        <v>89437.159615209486</v>
      </c>
      <c r="I299" s="1399"/>
      <c r="J299" s="1399" t="str">
        <f t="shared" si="8"/>
        <v>Include</v>
      </c>
    </row>
    <row r="300" spans="3:10" s="1397" customFormat="1">
      <c r="C300" s="1414">
        <v>35886</v>
      </c>
      <c r="D300" s="1401">
        <v>36532</v>
      </c>
      <c r="E300" s="1400">
        <v>9101</v>
      </c>
      <c r="F300" s="1397" t="s">
        <v>2603</v>
      </c>
      <c r="G300" s="1399">
        <v>70481.600000000006</v>
      </c>
      <c r="H300" s="1399">
        <f t="shared" si="9"/>
        <v>91175.465084992276</v>
      </c>
      <c r="I300" s="1399"/>
      <c r="J300" s="1399" t="str">
        <f t="shared" si="8"/>
        <v>Include</v>
      </c>
    </row>
    <row r="301" spans="3:10" s="1397" customFormat="1">
      <c r="C301" s="1414">
        <v>35177</v>
      </c>
      <c r="D301" s="1401">
        <v>35522</v>
      </c>
      <c r="E301" s="1400">
        <v>9880</v>
      </c>
      <c r="F301" s="1397" t="s">
        <v>2602</v>
      </c>
      <c r="G301" s="1399">
        <v>69974</v>
      </c>
      <c r="H301" s="1399">
        <f t="shared" si="9"/>
        <v>94175.791105892611</v>
      </c>
      <c r="I301" s="1399"/>
      <c r="J301" s="1399" t="str">
        <f t="shared" si="8"/>
        <v>Include</v>
      </c>
    </row>
    <row r="302" spans="3:10" s="1397" customFormat="1">
      <c r="C302" s="1414">
        <v>33885</v>
      </c>
      <c r="D302" s="1401">
        <v>34143</v>
      </c>
      <c r="E302" s="1400">
        <v>9511</v>
      </c>
      <c r="F302" s="1397" t="s">
        <v>2601</v>
      </c>
      <c r="G302" s="1399">
        <v>69400</v>
      </c>
      <c r="H302" s="1399">
        <f t="shared" si="9"/>
        <v>101102.69537342919</v>
      </c>
      <c r="I302" s="1399"/>
      <c r="J302" s="1399" t="str">
        <f t="shared" si="8"/>
        <v>Include</v>
      </c>
    </row>
    <row r="303" spans="3:10" s="1397" customFormat="1">
      <c r="C303" s="1414">
        <v>36100</v>
      </c>
      <c r="D303" s="1401">
        <v>36831</v>
      </c>
      <c r="E303" s="1400">
        <v>9185</v>
      </c>
      <c r="F303" s="1403" t="s">
        <v>2600</v>
      </c>
      <c r="G303" s="1399">
        <v>69003.97</v>
      </c>
      <c r="H303" s="1399">
        <f t="shared" si="9"/>
        <v>89263.993119634833</v>
      </c>
      <c r="I303" s="1399"/>
      <c r="J303" s="1399" t="str">
        <f t="shared" si="8"/>
        <v>Include</v>
      </c>
    </row>
    <row r="304" spans="3:10" s="1397" customFormat="1">
      <c r="C304" s="1414">
        <v>35977</v>
      </c>
      <c r="D304" s="1401">
        <v>37124</v>
      </c>
      <c r="E304" s="1400">
        <v>9149</v>
      </c>
      <c r="F304" s="1397" t="s">
        <v>2599</v>
      </c>
      <c r="G304" s="1399">
        <v>69000</v>
      </c>
      <c r="H304" s="1399">
        <f t="shared" si="9"/>
        <v>89258.857501311926</v>
      </c>
      <c r="I304" s="1399"/>
      <c r="J304" s="1399" t="str">
        <f t="shared" si="8"/>
        <v>Include</v>
      </c>
    </row>
    <row r="305" spans="3:10" s="1397" customFormat="1">
      <c r="C305" s="1414">
        <v>32922</v>
      </c>
      <c r="D305" s="1401">
        <v>34232</v>
      </c>
      <c r="E305" s="1400">
        <v>9370</v>
      </c>
      <c r="F305" s="1397" t="s">
        <v>2598</v>
      </c>
      <c r="G305" s="1399">
        <v>68928.460000000006</v>
      </c>
      <c r="H305" s="1399">
        <f t="shared" si="9"/>
        <v>104472.54695871411</v>
      </c>
      <c r="I305" s="1399"/>
      <c r="J305" s="1399" t="str">
        <f t="shared" si="8"/>
        <v>Include</v>
      </c>
    </row>
    <row r="306" spans="3:10" s="1397" customFormat="1">
      <c r="C306" s="1414">
        <v>36251</v>
      </c>
      <c r="D306" s="1401">
        <v>37319</v>
      </c>
      <c r="E306" s="1400">
        <v>9250</v>
      </c>
      <c r="F306" s="1397" t="s">
        <v>2597</v>
      </c>
      <c r="G306" s="1399">
        <v>68903.73</v>
      </c>
      <c r="H306" s="1399">
        <f t="shared" si="9"/>
        <v>87386.590187253081</v>
      </c>
      <c r="I306" s="1399"/>
      <c r="J306" s="1399" t="str">
        <f t="shared" si="8"/>
        <v>Include</v>
      </c>
    </row>
    <row r="307" spans="3:10" s="1397" customFormat="1">
      <c r="C307" s="1414">
        <v>36008</v>
      </c>
      <c r="D307" s="1401">
        <v>36830</v>
      </c>
      <c r="E307" s="1400">
        <v>9148</v>
      </c>
      <c r="F307" s="1397" t="s">
        <v>2596</v>
      </c>
      <c r="G307" s="1399">
        <v>68412.08</v>
      </c>
      <c r="H307" s="1399">
        <f t="shared" si="9"/>
        <v>88498.320291135533</v>
      </c>
      <c r="I307" s="1399"/>
      <c r="J307" s="1399" t="str">
        <f t="shared" si="8"/>
        <v>Include</v>
      </c>
    </row>
    <row r="308" spans="3:10" s="1397" customFormat="1">
      <c r="C308" s="1414">
        <v>33798</v>
      </c>
      <c r="D308" s="1401">
        <v>33822</v>
      </c>
      <c r="E308" s="1400">
        <v>9492</v>
      </c>
      <c r="F308" s="1415" t="s">
        <v>2595</v>
      </c>
      <c r="G308" s="1399">
        <v>67838.37</v>
      </c>
      <c r="H308" s="1399">
        <f t="shared" si="9"/>
        <v>98827.695342074599</v>
      </c>
      <c r="I308" s="1399">
        <v>1</v>
      </c>
      <c r="J308" s="1399" t="str">
        <f t="shared" si="8"/>
        <v>Exclude</v>
      </c>
    </row>
    <row r="309" spans="3:10" s="1397" customFormat="1">
      <c r="C309" s="1414">
        <v>35947</v>
      </c>
      <c r="D309" s="1401">
        <v>36252</v>
      </c>
      <c r="E309" s="1400">
        <v>9140</v>
      </c>
      <c r="F309" s="1397" t="s">
        <v>2594</v>
      </c>
      <c r="G309" s="1399">
        <v>66859</v>
      </c>
      <c r="H309" s="1399">
        <f t="shared" si="9"/>
        <v>86489.245705510359</v>
      </c>
      <c r="I309" s="1399"/>
      <c r="J309" s="1399" t="str">
        <f t="shared" si="8"/>
        <v>Include</v>
      </c>
    </row>
    <row r="310" spans="3:10" s="1397" customFormat="1">
      <c r="C310" s="1414">
        <v>36295</v>
      </c>
      <c r="D310" s="1401">
        <v>36586</v>
      </c>
      <c r="E310" s="1400">
        <v>9238</v>
      </c>
      <c r="F310" s="1397" t="s">
        <v>2593</v>
      </c>
      <c r="G310" s="1399">
        <v>66854</v>
      </c>
      <c r="H310" s="1399">
        <f t="shared" si="9"/>
        <v>84787.036933684401</v>
      </c>
      <c r="I310" s="1399"/>
      <c r="J310" s="1399" t="str">
        <f t="shared" si="8"/>
        <v>Include</v>
      </c>
    </row>
    <row r="311" spans="3:10" s="1397" customFormat="1">
      <c r="C311" s="1414">
        <v>36115</v>
      </c>
      <c r="D311" s="1401">
        <v>36472</v>
      </c>
      <c r="E311" s="1400">
        <v>9190</v>
      </c>
      <c r="F311" s="1397" t="s">
        <v>2592</v>
      </c>
      <c r="G311" s="1399">
        <v>66686.490000000005</v>
      </c>
      <c r="H311" s="1399">
        <f t="shared" si="9"/>
        <v>86266.085625690772</v>
      </c>
      <c r="I311" s="1399"/>
      <c r="J311" s="1399" t="str">
        <f t="shared" si="8"/>
        <v>Include</v>
      </c>
    </row>
    <row r="312" spans="3:10" s="1397" customFormat="1">
      <c r="C312" s="1414">
        <v>36448</v>
      </c>
      <c r="D312" s="1401">
        <v>37124</v>
      </c>
      <c r="E312" s="1400">
        <v>9324</v>
      </c>
      <c r="F312" s="1403" t="s">
        <v>2591</v>
      </c>
      <c r="G312" s="1399">
        <v>66667.02</v>
      </c>
      <c r="H312" s="1399">
        <f t="shared" si="9"/>
        <v>84549.901082937096</v>
      </c>
      <c r="I312" s="1399"/>
      <c r="J312" s="1399" t="str">
        <f t="shared" si="8"/>
        <v>Include</v>
      </c>
    </row>
    <row r="313" spans="3:10" s="1397" customFormat="1">
      <c r="C313" s="1414">
        <v>35347</v>
      </c>
      <c r="D313" s="1401">
        <v>35618</v>
      </c>
      <c r="E313" s="1400">
        <v>9933</v>
      </c>
      <c r="F313" s="1397" t="s">
        <v>2590</v>
      </c>
      <c r="G313" s="1399">
        <v>66596.58</v>
      </c>
      <c r="H313" s="1399">
        <f t="shared" si="9"/>
        <v>89630.22846266994</v>
      </c>
      <c r="I313" s="1399"/>
      <c r="J313" s="1399" t="str">
        <f t="shared" si="8"/>
        <v>Include</v>
      </c>
    </row>
    <row r="314" spans="3:10" s="1397" customFormat="1">
      <c r="C314" s="1414">
        <v>36171</v>
      </c>
      <c r="D314" s="1401">
        <v>37783</v>
      </c>
      <c r="E314" s="1400">
        <v>9217</v>
      </c>
      <c r="F314" s="1415" t="s">
        <v>2589</v>
      </c>
      <c r="G314" s="1399">
        <v>66306.5</v>
      </c>
      <c r="H314" s="1399">
        <f t="shared" si="9"/>
        <v>84092.674551161414</v>
      </c>
      <c r="I314" s="1399">
        <v>1</v>
      </c>
      <c r="J314" s="1399" t="str">
        <f t="shared" si="8"/>
        <v>Exclude</v>
      </c>
    </row>
    <row r="315" spans="3:10" s="1397" customFormat="1">
      <c r="C315" s="1414">
        <v>35171</v>
      </c>
      <c r="D315" s="1401">
        <v>35689</v>
      </c>
      <c r="E315" s="1400">
        <v>9877</v>
      </c>
      <c r="F315" s="1397" t="s">
        <v>2588</v>
      </c>
      <c r="G315" s="1399">
        <v>66144</v>
      </c>
      <c r="H315" s="1399">
        <f t="shared" si="9"/>
        <v>89021.115370111205</v>
      </c>
      <c r="I315" s="1399"/>
      <c r="J315" s="1399" t="str">
        <f t="shared" si="8"/>
        <v>Include</v>
      </c>
    </row>
    <row r="316" spans="3:10" s="1397" customFormat="1">
      <c r="C316" s="1414">
        <v>35104</v>
      </c>
      <c r="D316" s="1401">
        <v>35709</v>
      </c>
      <c r="E316" s="1400">
        <v>9858</v>
      </c>
      <c r="F316" s="1397" t="s">
        <v>2587</v>
      </c>
      <c r="G316" s="1399">
        <v>66096.17</v>
      </c>
      <c r="H316" s="1399">
        <f t="shared" si="9"/>
        <v>88956.742487489159</v>
      </c>
      <c r="I316" s="1399"/>
      <c r="J316" s="1399" t="str">
        <f t="shared" si="8"/>
        <v>Include</v>
      </c>
    </row>
    <row r="317" spans="3:10" s="1397" customFormat="1">
      <c r="C317" s="1414">
        <v>35551</v>
      </c>
      <c r="D317" s="1401">
        <v>36441</v>
      </c>
      <c r="E317" s="1400">
        <v>9974</v>
      </c>
      <c r="F317" s="1397" t="s">
        <v>2586</v>
      </c>
      <c r="G317" s="1399">
        <v>65882</v>
      </c>
      <c r="H317" s="1399">
        <f t="shared" si="9"/>
        <v>86929.899868108143</v>
      </c>
      <c r="I317" s="1399"/>
      <c r="J317" s="1399" t="str">
        <f t="shared" si="8"/>
        <v>Include</v>
      </c>
    </row>
    <row r="318" spans="3:10" s="1397" customFormat="1">
      <c r="C318" s="1414">
        <v>36251</v>
      </c>
      <c r="D318" s="1401">
        <v>37587</v>
      </c>
      <c r="E318" s="1400">
        <v>9253</v>
      </c>
      <c r="F318" s="1403" t="s">
        <v>2585</v>
      </c>
      <c r="G318" s="1399">
        <v>65538.600000000006</v>
      </c>
      <c r="H318" s="1399">
        <f t="shared" si="9"/>
        <v>83118.791677116838</v>
      </c>
      <c r="I318" s="1399"/>
      <c r="J318" s="1399" t="str">
        <f t="shared" si="8"/>
        <v>Include</v>
      </c>
    </row>
    <row r="319" spans="3:10" s="1397" customFormat="1">
      <c r="C319" s="1414">
        <v>35287</v>
      </c>
      <c r="D319" s="1401">
        <v>36586</v>
      </c>
      <c r="E319" s="1400">
        <v>9929</v>
      </c>
      <c r="F319" s="1397" t="s">
        <v>2584</v>
      </c>
      <c r="G319" s="1399">
        <v>64766.95</v>
      </c>
      <c r="H319" s="1399">
        <f t="shared" si="9"/>
        <v>87167.787374821957</v>
      </c>
      <c r="I319" s="1399"/>
      <c r="J319" s="1399" t="str">
        <f t="shared" si="8"/>
        <v>Include</v>
      </c>
    </row>
    <row r="320" spans="3:10" s="1397" customFormat="1">
      <c r="C320" s="1414">
        <v>34029</v>
      </c>
      <c r="D320" s="1401">
        <v>34295</v>
      </c>
      <c r="E320" s="1400">
        <v>9538</v>
      </c>
      <c r="F320" s="1397" t="s">
        <v>2583</v>
      </c>
      <c r="G320" s="1399">
        <v>64147.35</v>
      </c>
      <c r="H320" s="1399">
        <f t="shared" si="9"/>
        <v>91618.211929461817</v>
      </c>
      <c r="I320" s="1399"/>
      <c r="J320" s="1399" t="str">
        <f t="shared" si="8"/>
        <v>Include</v>
      </c>
    </row>
    <row r="321" spans="3:10" s="1397" customFormat="1">
      <c r="C321" s="1414">
        <v>35797</v>
      </c>
      <c r="D321" s="1401">
        <v>37042</v>
      </c>
      <c r="E321" s="1400">
        <v>9111</v>
      </c>
      <c r="F321" s="1397" t="s">
        <v>2582</v>
      </c>
      <c r="G321" s="1399">
        <v>63087.75</v>
      </c>
      <c r="H321" s="1399">
        <f t="shared" si="9"/>
        <v>81610.731700411474</v>
      </c>
      <c r="I321" s="1399"/>
      <c r="J321" s="1399" t="str">
        <f t="shared" si="8"/>
        <v>Include</v>
      </c>
    </row>
    <row r="322" spans="3:10" s="1397" customFormat="1">
      <c r="C322" s="1414">
        <v>35551</v>
      </c>
      <c r="D322" s="1401">
        <v>36532</v>
      </c>
      <c r="E322" s="1400">
        <v>9988</v>
      </c>
      <c r="F322" s="1397" t="s">
        <v>2581</v>
      </c>
      <c r="G322" s="1399">
        <v>62039.32</v>
      </c>
      <c r="H322" s="1399">
        <f t="shared" si="9"/>
        <v>81859.565214861708</v>
      </c>
      <c r="I322" s="1399"/>
      <c r="J322" s="1399" t="str">
        <f t="shared" si="8"/>
        <v>Include</v>
      </c>
    </row>
    <row r="323" spans="3:10" s="1397" customFormat="1">
      <c r="C323" s="1414">
        <v>35170</v>
      </c>
      <c r="D323" s="1401">
        <v>35340</v>
      </c>
      <c r="E323" s="1400">
        <v>9875</v>
      </c>
      <c r="F323" s="1415" t="s">
        <v>2580</v>
      </c>
      <c r="G323" s="1399">
        <v>61439</v>
      </c>
      <c r="H323" s="1399">
        <f t="shared" si="9"/>
        <v>82688.804838296172</v>
      </c>
      <c r="I323" s="1399">
        <v>1</v>
      </c>
      <c r="J323" s="1399" t="str">
        <f t="shared" si="8"/>
        <v>Exclude</v>
      </c>
    </row>
    <row r="324" spans="3:10" s="1397" customFormat="1">
      <c r="C324" s="1414">
        <v>36479</v>
      </c>
      <c r="D324" s="1401">
        <v>37783</v>
      </c>
      <c r="E324" s="1400">
        <v>9329</v>
      </c>
      <c r="F324" s="1397" t="s">
        <v>2579</v>
      </c>
      <c r="G324" s="1399">
        <v>61353.08</v>
      </c>
      <c r="H324" s="1399">
        <f t="shared" si="9"/>
        <v>77810.540281139401</v>
      </c>
      <c r="I324" s="1399"/>
      <c r="J324" s="1399" t="str">
        <f t="shared" si="8"/>
        <v>Include</v>
      </c>
    </row>
    <row r="325" spans="3:10" s="1397" customFormat="1">
      <c r="C325" s="1414">
        <v>35271</v>
      </c>
      <c r="D325" s="1401">
        <v>35760</v>
      </c>
      <c r="E325" s="1400">
        <v>9915</v>
      </c>
      <c r="F325" s="1397" t="s">
        <v>2578</v>
      </c>
      <c r="G325" s="1399">
        <v>61246</v>
      </c>
      <c r="H325" s="1399">
        <f t="shared" si="9"/>
        <v>82429.052248999622</v>
      </c>
      <c r="I325" s="1399"/>
      <c r="J325" s="1399" t="str">
        <f t="shared" si="8"/>
        <v>Include</v>
      </c>
    </row>
    <row r="326" spans="3:10" s="1397" customFormat="1">
      <c r="C326" s="1414">
        <v>34171</v>
      </c>
      <c r="D326" s="1401">
        <v>37182</v>
      </c>
      <c r="E326" s="1400">
        <v>9599</v>
      </c>
      <c r="F326" s="1397" t="s">
        <v>2577</v>
      </c>
      <c r="G326" s="1399">
        <v>61121.2</v>
      </c>
      <c r="H326" s="1399">
        <f t="shared" si="9"/>
        <v>87296.124547358879</v>
      </c>
      <c r="I326" s="1399"/>
      <c r="J326" s="1399" t="str">
        <f t="shared" si="8"/>
        <v>Include</v>
      </c>
    </row>
    <row r="327" spans="3:10" s="1397" customFormat="1">
      <c r="C327" s="1414">
        <v>35340</v>
      </c>
      <c r="D327" s="1401">
        <v>35689</v>
      </c>
      <c r="E327" s="1400">
        <v>9932</v>
      </c>
      <c r="F327" s="1397" t="s">
        <v>2576</v>
      </c>
      <c r="G327" s="1399">
        <v>61091</v>
      </c>
      <c r="H327" s="1399">
        <f t="shared" si="9"/>
        <v>82220.442656559375</v>
      </c>
      <c r="I327" s="1399"/>
      <c r="J327" s="1399" t="str">
        <f t="shared" si="8"/>
        <v>Include</v>
      </c>
    </row>
    <row r="328" spans="3:10" s="1397" customFormat="1">
      <c r="C328" s="1414">
        <v>33412</v>
      </c>
      <c r="D328" s="1401">
        <v>34281</v>
      </c>
      <c r="E328" s="1400">
        <v>9422</v>
      </c>
      <c r="F328" s="1397" t="s">
        <v>2575</v>
      </c>
      <c r="G328" s="1399">
        <v>60362.25</v>
      </c>
      <c r="H328" s="1399">
        <f t="shared" si="9"/>
        <v>89695.128202894412</v>
      </c>
      <c r="I328" s="1399"/>
      <c r="J328" s="1399" t="str">
        <f t="shared" si="8"/>
        <v>Include</v>
      </c>
    </row>
    <row r="329" spans="3:10" s="1397" customFormat="1">
      <c r="C329" s="1414">
        <v>33390</v>
      </c>
      <c r="D329" s="1401">
        <v>33645</v>
      </c>
      <c r="E329" s="1400">
        <v>9407</v>
      </c>
      <c r="F329" s="1397" t="s">
        <v>2574</v>
      </c>
      <c r="G329" s="1399">
        <v>60226</v>
      </c>
      <c r="H329" s="1399">
        <f t="shared" si="9"/>
        <v>89492.667870192367</v>
      </c>
      <c r="I329" s="1399"/>
      <c r="J329" s="1399" t="str">
        <f t="shared" si="8"/>
        <v>Include</v>
      </c>
    </row>
    <row r="330" spans="3:10" s="1397" customFormat="1">
      <c r="C330" s="1414">
        <v>36000</v>
      </c>
      <c r="D330" s="1401" t="s">
        <v>2192</v>
      </c>
      <c r="E330" s="1400">
        <v>9167</v>
      </c>
      <c r="F330" s="1403" t="s">
        <v>2573</v>
      </c>
      <c r="G330" s="1399">
        <v>60188.19</v>
      </c>
      <c r="H330" s="1399">
        <f t="shared" si="9"/>
        <v>77859.841659012862</v>
      </c>
      <c r="I330" s="1399"/>
      <c r="J330" s="1399" t="str">
        <f t="shared" si="8"/>
        <v>Include</v>
      </c>
    </row>
    <row r="331" spans="3:10" s="1397" customFormat="1">
      <c r="C331" s="1414">
        <v>36661</v>
      </c>
      <c r="D331" s="1401">
        <v>37042</v>
      </c>
      <c r="E331" s="1400">
        <v>9403</v>
      </c>
      <c r="F331" s="1397" t="s">
        <v>2572</v>
      </c>
      <c r="G331" s="1399">
        <v>59590</v>
      </c>
      <c r="H331" s="1399">
        <f t="shared" si="9"/>
        <v>74092.675037237321</v>
      </c>
      <c r="I331" s="1399"/>
      <c r="J331" s="1399" t="str">
        <f t="shared" ref="J331:J394" si="10">IF(I331=1,"Exclude","Include")</f>
        <v>Include</v>
      </c>
    </row>
    <row r="332" spans="3:10" s="1397" customFormat="1">
      <c r="C332" s="1414">
        <v>33947</v>
      </c>
      <c r="D332" s="1401">
        <v>34425</v>
      </c>
      <c r="E332" s="1400">
        <v>9518</v>
      </c>
      <c r="F332" s="1397" t="s">
        <v>2571</v>
      </c>
      <c r="G332" s="1399">
        <v>59537.05</v>
      </c>
      <c r="H332" s="1399">
        <f t="shared" si="9"/>
        <v>86734.239619346146</v>
      </c>
      <c r="I332" s="1399"/>
      <c r="J332" s="1399" t="str">
        <f t="shared" si="10"/>
        <v>Include</v>
      </c>
    </row>
    <row r="333" spans="3:10" s="1397" customFormat="1">
      <c r="C333" s="1414">
        <v>36650</v>
      </c>
      <c r="D333" s="1401" t="s">
        <v>2192</v>
      </c>
      <c r="E333" s="1400">
        <v>9422</v>
      </c>
      <c r="F333" s="1397" t="s">
        <v>2570</v>
      </c>
      <c r="G333" s="1399">
        <v>59363.41</v>
      </c>
      <c r="H333" s="1399">
        <f t="shared" si="9"/>
        <v>73810.938852698178</v>
      </c>
      <c r="I333" s="1399"/>
      <c r="J333" s="1399" t="str">
        <f t="shared" si="10"/>
        <v>Include</v>
      </c>
    </row>
    <row r="334" spans="3:10" s="1397" customFormat="1">
      <c r="C334" s="1414">
        <v>33742</v>
      </c>
      <c r="D334" s="1401">
        <v>34869</v>
      </c>
      <c r="E334" s="1400">
        <v>9478</v>
      </c>
      <c r="F334" s="1397" t="s">
        <v>2569</v>
      </c>
      <c r="G334" s="1399">
        <v>59303.15</v>
      </c>
      <c r="H334" s="1399">
        <f t="shared" si="9"/>
        <v>86393.491486091894</v>
      </c>
      <c r="I334" s="1399"/>
      <c r="J334" s="1399" t="str">
        <f t="shared" si="10"/>
        <v>Include</v>
      </c>
    </row>
    <row r="335" spans="3:10" s="1397" customFormat="1">
      <c r="C335" s="1414">
        <v>34926</v>
      </c>
      <c r="D335" s="1401">
        <v>35556</v>
      </c>
      <c r="E335" s="1400">
        <v>9817</v>
      </c>
      <c r="F335" s="1403" t="s">
        <v>2568</v>
      </c>
      <c r="G335" s="1399">
        <v>59148.56</v>
      </c>
      <c r="H335" s="1399">
        <f t="shared" si="9"/>
        <v>81198.297644694365</v>
      </c>
      <c r="I335" s="1399"/>
      <c r="J335" s="1399" t="str">
        <f t="shared" si="10"/>
        <v>Include</v>
      </c>
    </row>
    <row r="336" spans="3:10" s="1397" customFormat="1">
      <c r="C336" s="1414">
        <v>35074</v>
      </c>
      <c r="D336" s="1401">
        <v>35556</v>
      </c>
      <c r="E336" s="1400">
        <v>9853</v>
      </c>
      <c r="F336" s="1403" t="s">
        <v>2567</v>
      </c>
      <c r="G336" s="1399">
        <v>58880.480000000003</v>
      </c>
      <c r="H336" s="1399">
        <f t="shared" si="9"/>
        <v>79245.373777327128</v>
      </c>
      <c r="I336" s="1399"/>
      <c r="J336" s="1399" t="str">
        <f t="shared" si="10"/>
        <v>Include</v>
      </c>
    </row>
    <row r="337" spans="3:13">
      <c r="C337" s="1414">
        <v>36448</v>
      </c>
      <c r="D337" s="1401">
        <v>37572</v>
      </c>
      <c r="E337" s="1400">
        <v>9311</v>
      </c>
      <c r="F337" s="1403" t="s">
        <v>2566</v>
      </c>
      <c r="G337" s="1399">
        <v>58753</v>
      </c>
      <c r="H337" s="1399">
        <f t="shared" si="9"/>
        <v>74513.010155933225</v>
      </c>
      <c r="J337" s="1399" t="str">
        <f t="shared" si="10"/>
        <v>Include</v>
      </c>
    </row>
    <row r="338" spans="3:13">
      <c r="C338" s="1414">
        <v>36551</v>
      </c>
      <c r="D338" s="1401">
        <v>37182</v>
      </c>
      <c r="E338" s="1400">
        <v>9379</v>
      </c>
      <c r="F338" s="1403" t="s">
        <v>2565</v>
      </c>
      <c r="G338" s="1399">
        <v>58739.33</v>
      </c>
      <c r="H338" s="1399">
        <f t="shared" si="9"/>
        <v>73034.973814315235</v>
      </c>
      <c r="J338" s="1399" t="str">
        <f t="shared" si="10"/>
        <v>Include</v>
      </c>
    </row>
    <row r="339" spans="3:13">
      <c r="C339" s="1414">
        <v>36077</v>
      </c>
      <c r="D339" s="1401">
        <v>37013</v>
      </c>
      <c r="E339" s="1400">
        <v>9179</v>
      </c>
      <c r="F339" s="1403" t="s">
        <v>2564</v>
      </c>
      <c r="G339" s="1399">
        <v>58516.79</v>
      </c>
      <c r="H339" s="1399">
        <f t="shared" si="9"/>
        <v>75697.707536872389</v>
      </c>
      <c r="J339" s="1399" t="str">
        <f t="shared" si="10"/>
        <v>Include</v>
      </c>
    </row>
    <row r="340" spans="3:13">
      <c r="C340" s="1414">
        <v>33799</v>
      </c>
      <c r="D340" s="1401">
        <v>34026</v>
      </c>
      <c r="E340" s="1400">
        <v>9493</v>
      </c>
      <c r="F340" s="1403" t="s">
        <v>2563</v>
      </c>
      <c r="G340" s="1399">
        <v>58478.9</v>
      </c>
      <c r="H340" s="1399">
        <f t="shared" ref="H340:H403" si="11">G340*(1+$N$6)^(2011-YEAR(C340))</f>
        <v>85192.714877135862</v>
      </c>
      <c r="J340" s="1399" t="str">
        <f t="shared" si="10"/>
        <v>Include</v>
      </c>
    </row>
    <row r="341" spans="3:13">
      <c r="C341" s="1414">
        <v>35908</v>
      </c>
      <c r="D341" s="1401">
        <v>36252</v>
      </c>
      <c r="E341" s="1400">
        <v>9121</v>
      </c>
      <c r="F341" s="1403" t="s">
        <v>2562</v>
      </c>
      <c r="G341" s="1399">
        <v>57451</v>
      </c>
      <c r="H341" s="1399">
        <f t="shared" si="11"/>
        <v>74318.994526201044</v>
      </c>
      <c r="J341" s="1399" t="str">
        <f t="shared" si="10"/>
        <v>Include</v>
      </c>
    </row>
    <row r="342" spans="3:13">
      <c r="C342" s="1414">
        <v>36605</v>
      </c>
      <c r="D342" s="1401">
        <v>38089</v>
      </c>
      <c r="E342" s="1400">
        <v>9409</v>
      </c>
      <c r="F342" s="1403" t="s">
        <v>2561</v>
      </c>
      <c r="G342" s="1399">
        <v>57409.88</v>
      </c>
      <c r="H342" s="1399">
        <f t="shared" si="11"/>
        <v>71381.969840019956</v>
      </c>
      <c r="J342" s="1399" t="str">
        <f t="shared" si="10"/>
        <v>Include</v>
      </c>
      <c r="L342" s="1406"/>
      <c r="M342" s="1406"/>
    </row>
    <row r="343" spans="3:13">
      <c r="C343" s="1414">
        <v>34981</v>
      </c>
      <c r="D343" s="1401">
        <v>35618</v>
      </c>
      <c r="E343" s="1400">
        <v>9839</v>
      </c>
      <c r="F343" s="1403" t="s">
        <v>2560</v>
      </c>
      <c r="G343" s="1399">
        <v>57391.81</v>
      </c>
      <c r="H343" s="1399">
        <f t="shared" si="11"/>
        <v>78786.656357276443</v>
      </c>
      <c r="J343" s="1399" t="str">
        <f t="shared" si="10"/>
        <v>Include</v>
      </c>
    </row>
    <row r="344" spans="3:13">
      <c r="C344" s="1414">
        <v>35779</v>
      </c>
      <c r="D344" s="1401">
        <v>37572</v>
      </c>
      <c r="E344" s="1400">
        <v>9057</v>
      </c>
      <c r="F344" s="1403" t="s">
        <v>2559</v>
      </c>
      <c r="G344" s="1399">
        <v>56503</v>
      </c>
      <c r="H344" s="1399">
        <f t="shared" si="11"/>
        <v>74554.508549341466</v>
      </c>
      <c r="J344" s="1399" t="str">
        <f t="shared" si="10"/>
        <v>Include</v>
      </c>
    </row>
    <row r="345" spans="3:13">
      <c r="C345" s="1414">
        <v>35551</v>
      </c>
      <c r="D345" s="1401">
        <v>36572</v>
      </c>
      <c r="E345" s="1400">
        <v>9986</v>
      </c>
      <c r="F345" s="1397" t="s">
        <v>2558</v>
      </c>
      <c r="G345" s="1399">
        <v>55714.62</v>
      </c>
      <c r="H345" s="1399">
        <f t="shared" si="11"/>
        <v>73514.257882117963</v>
      </c>
      <c r="J345" s="1399" t="str">
        <f t="shared" si="10"/>
        <v>Include</v>
      </c>
    </row>
    <row r="346" spans="3:13">
      <c r="C346" s="1414">
        <v>35667</v>
      </c>
      <c r="D346" s="1401">
        <v>35864</v>
      </c>
      <c r="E346" s="1400">
        <v>9025</v>
      </c>
      <c r="F346" s="1397" t="s">
        <v>2557</v>
      </c>
      <c r="G346" s="1399">
        <v>55576</v>
      </c>
      <c r="H346" s="1399">
        <f t="shared" si="11"/>
        <v>73331.351735982185</v>
      </c>
      <c r="J346" s="1399" t="str">
        <f t="shared" si="10"/>
        <v>Include</v>
      </c>
    </row>
    <row r="347" spans="3:13">
      <c r="C347" s="1414">
        <v>35594</v>
      </c>
      <c r="D347" s="1401">
        <v>36102</v>
      </c>
      <c r="E347" s="1400">
        <v>9013</v>
      </c>
      <c r="F347" s="1397" t="s">
        <v>2556</v>
      </c>
      <c r="G347" s="1399">
        <v>55561.17</v>
      </c>
      <c r="H347" s="1399">
        <f t="shared" si="11"/>
        <v>73311.783865925958</v>
      </c>
      <c r="J347" s="1399" t="str">
        <f t="shared" si="10"/>
        <v>Include</v>
      </c>
    </row>
    <row r="348" spans="3:13">
      <c r="C348" s="1414">
        <v>35367</v>
      </c>
      <c r="D348" s="1401">
        <v>35522</v>
      </c>
      <c r="E348" s="1400">
        <v>9938</v>
      </c>
      <c r="F348" s="1397" t="s">
        <v>2555</v>
      </c>
      <c r="G348" s="1399">
        <v>55425</v>
      </c>
      <c r="H348" s="1399">
        <f t="shared" si="11"/>
        <v>74594.752651614865</v>
      </c>
      <c r="J348" s="1399" t="str">
        <f t="shared" si="10"/>
        <v>Include</v>
      </c>
    </row>
    <row r="349" spans="3:13">
      <c r="C349" s="1414">
        <v>33808</v>
      </c>
      <c r="D349" s="1401">
        <v>33967</v>
      </c>
      <c r="E349" s="1400">
        <v>9500</v>
      </c>
      <c r="F349" s="1397" t="s">
        <v>2554</v>
      </c>
      <c r="G349" s="1399">
        <v>55355.34</v>
      </c>
      <c r="H349" s="1399">
        <f t="shared" si="11"/>
        <v>80642.277771074921</v>
      </c>
      <c r="J349" s="1399" t="str">
        <f t="shared" si="10"/>
        <v>Include</v>
      </c>
    </row>
    <row r="350" spans="3:13">
      <c r="C350" s="1414">
        <v>35293</v>
      </c>
      <c r="D350" s="1401">
        <v>35509</v>
      </c>
      <c r="E350" s="1400">
        <v>9921</v>
      </c>
      <c r="F350" s="1397" t="s">
        <v>2553</v>
      </c>
      <c r="G350" s="1399">
        <v>55304.84</v>
      </c>
      <c r="H350" s="1399">
        <f t="shared" si="11"/>
        <v>74433.03311208183</v>
      </c>
      <c r="J350" s="1399" t="str">
        <f t="shared" si="10"/>
        <v>Include</v>
      </c>
    </row>
    <row r="351" spans="3:13">
      <c r="C351" s="1414">
        <v>34950</v>
      </c>
      <c r="D351" s="1401">
        <v>36080</v>
      </c>
      <c r="E351" s="1400">
        <v>9831</v>
      </c>
      <c r="F351" s="1397" t="s">
        <v>2552</v>
      </c>
      <c r="G351" s="1399">
        <v>55062.41</v>
      </c>
      <c r="H351" s="1399">
        <f t="shared" si="11"/>
        <v>75588.889335838379</v>
      </c>
      <c r="J351" s="1399" t="str">
        <f t="shared" si="10"/>
        <v>Include</v>
      </c>
    </row>
    <row r="352" spans="3:13">
      <c r="C352" s="1414">
        <v>35747</v>
      </c>
      <c r="D352" s="1401">
        <v>36252</v>
      </c>
      <c r="E352" s="1400">
        <v>9046</v>
      </c>
      <c r="F352" s="1397" t="s">
        <v>2551</v>
      </c>
      <c r="G352" s="1399">
        <v>54747</v>
      </c>
      <c r="H352" s="1399">
        <f t="shared" si="11"/>
        <v>72237.503841403057</v>
      </c>
      <c r="J352" s="1399" t="str">
        <f t="shared" si="10"/>
        <v>Include</v>
      </c>
    </row>
    <row r="353" spans="3:11" s="1397" customFormat="1">
      <c r="C353" s="1414">
        <v>33415</v>
      </c>
      <c r="D353" s="1401">
        <v>33785</v>
      </c>
      <c r="E353" s="1400">
        <v>9412</v>
      </c>
      <c r="F353" s="1403" t="s">
        <v>2550</v>
      </c>
      <c r="G353" s="1399">
        <v>54614</v>
      </c>
      <c r="H353" s="1399">
        <f t="shared" si="11"/>
        <v>81153.531083961832</v>
      </c>
      <c r="I353" s="1399"/>
      <c r="J353" s="1399" t="str">
        <f t="shared" si="10"/>
        <v>Include</v>
      </c>
      <c r="K353" s="1398"/>
    </row>
    <row r="354" spans="3:11" s="1397" customFormat="1">
      <c r="C354" s="1414">
        <v>35830</v>
      </c>
      <c r="D354" s="1401">
        <v>37042</v>
      </c>
      <c r="E354" s="1400">
        <v>9073</v>
      </c>
      <c r="F354" s="1403" t="s">
        <v>2549</v>
      </c>
      <c r="G354" s="1399">
        <v>54611.91</v>
      </c>
      <c r="H354" s="1399">
        <f t="shared" si="11"/>
        <v>70646.328877745982</v>
      </c>
      <c r="I354" s="1399"/>
      <c r="J354" s="1399" t="str">
        <f t="shared" si="10"/>
        <v>Include</v>
      </c>
      <c r="K354" s="1398"/>
    </row>
    <row r="355" spans="3:11" s="1397" customFormat="1">
      <c r="C355" s="1414">
        <v>36295</v>
      </c>
      <c r="D355" s="1401">
        <v>36586</v>
      </c>
      <c r="E355" s="1400">
        <v>9236</v>
      </c>
      <c r="F355" s="1403" t="s">
        <v>2548</v>
      </c>
      <c r="G355" s="1399">
        <v>54126.64</v>
      </c>
      <c r="H355" s="1399">
        <f t="shared" si="11"/>
        <v>68645.667047240844</v>
      </c>
      <c r="I355" s="1399"/>
      <c r="J355" s="1399" t="str">
        <f t="shared" si="10"/>
        <v>Include</v>
      </c>
      <c r="K355" s="1398"/>
    </row>
    <row r="356" spans="3:11" s="1397" customFormat="1">
      <c r="C356" s="1414">
        <v>36692</v>
      </c>
      <c r="D356" s="1401">
        <v>37319</v>
      </c>
      <c r="E356" s="1400">
        <v>9446</v>
      </c>
      <c r="F356" s="1403" t="s">
        <v>2547</v>
      </c>
      <c r="G356" s="1399">
        <v>53948.5</v>
      </c>
      <c r="H356" s="1399">
        <f t="shared" si="11"/>
        <v>67078.178876428879</v>
      </c>
      <c r="I356" s="1399"/>
      <c r="J356" s="1399" t="str">
        <f t="shared" si="10"/>
        <v>Include</v>
      </c>
      <c r="K356" s="1398"/>
    </row>
    <row r="357" spans="3:11" s="1397" customFormat="1">
      <c r="C357" s="1414">
        <v>35855</v>
      </c>
      <c r="D357" s="1401">
        <v>37124</v>
      </c>
      <c r="E357" s="1400">
        <v>9096</v>
      </c>
      <c r="F357" s="1403" t="s">
        <v>2546</v>
      </c>
      <c r="G357" s="1399">
        <v>53105.02</v>
      </c>
      <c r="H357" s="1399">
        <f t="shared" si="11"/>
        <v>68697.005982381452</v>
      </c>
      <c r="I357" s="1399"/>
      <c r="J357" s="1399" t="str">
        <f t="shared" si="10"/>
        <v>Include</v>
      </c>
      <c r="K357" s="1398"/>
    </row>
    <row r="358" spans="3:11" s="1397" customFormat="1">
      <c r="C358" s="1414">
        <v>35611</v>
      </c>
      <c r="D358" s="1401">
        <v>36532</v>
      </c>
      <c r="E358" s="1400">
        <v>9019</v>
      </c>
      <c r="F358" s="1403" t="s">
        <v>2545</v>
      </c>
      <c r="G358" s="1399">
        <v>53092.59</v>
      </c>
      <c r="H358" s="1399">
        <f t="shared" si="11"/>
        <v>70054.544981004205</v>
      </c>
      <c r="I358" s="1399"/>
      <c r="J358" s="1399" t="str">
        <f t="shared" si="10"/>
        <v>Include</v>
      </c>
      <c r="K358" s="1398"/>
    </row>
    <row r="359" spans="3:11" s="1397" customFormat="1">
      <c r="C359" s="1414">
        <v>35473</v>
      </c>
      <c r="D359" s="1401" t="s">
        <v>2192</v>
      </c>
      <c r="E359" s="1400">
        <v>9961</v>
      </c>
      <c r="F359" s="1403" t="s">
        <v>2544</v>
      </c>
      <c r="G359" s="1399">
        <v>52981.85</v>
      </c>
      <c r="H359" s="1399">
        <f t="shared" si="11"/>
        <v>69908.425902782634</v>
      </c>
      <c r="I359" s="1399"/>
      <c r="J359" s="1399" t="str">
        <f t="shared" si="10"/>
        <v>Include</v>
      </c>
      <c r="K359" s="1398"/>
    </row>
    <row r="360" spans="3:11" s="1397" customFormat="1">
      <c r="C360" s="1414">
        <v>33417</v>
      </c>
      <c r="D360" s="1401">
        <v>33914</v>
      </c>
      <c r="E360" s="1400">
        <v>9423</v>
      </c>
      <c r="F360" s="1415" t="s">
        <v>2543</v>
      </c>
      <c r="G360" s="1399">
        <v>52767.12</v>
      </c>
      <c r="H360" s="1399">
        <f t="shared" si="11"/>
        <v>78409.164557277341</v>
      </c>
      <c r="I360" s="1399">
        <v>1</v>
      </c>
      <c r="J360" s="1399" t="str">
        <f t="shared" si="10"/>
        <v>Exclude</v>
      </c>
      <c r="K360" s="1398"/>
    </row>
    <row r="361" spans="3:11" s="1397" customFormat="1">
      <c r="C361" s="1414">
        <v>36185</v>
      </c>
      <c r="D361" s="1401">
        <v>37124</v>
      </c>
      <c r="E361" s="1400">
        <v>9227</v>
      </c>
      <c r="F361" s="1397" t="s">
        <v>2542</v>
      </c>
      <c r="G361" s="1399">
        <v>52714</v>
      </c>
      <c r="H361" s="1399">
        <f t="shared" si="11"/>
        <v>66854.097958570012</v>
      </c>
      <c r="I361" s="1399"/>
      <c r="J361" s="1399" t="str">
        <f t="shared" si="10"/>
        <v>Include</v>
      </c>
      <c r="K361" s="1398"/>
    </row>
    <row r="362" spans="3:11" s="1397" customFormat="1">
      <c r="C362" s="1414">
        <v>33057</v>
      </c>
      <c r="D362" s="1401">
        <v>34099</v>
      </c>
      <c r="E362" s="1400">
        <v>9328</v>
      </c>
      <c r="F362" s="1397" t="s">
        <v>2541</v>
      </c>
      <c r="G362" s="1399">
        <v>52512.86</v>
      </c>
      <c r="H362" s="1399">
        <f t="shared" si="11"/>
        <v>79591.974523823388</v>
      </c>
      <c r="I362" s="1399"/>
      <c r="J362" s="1399" t="str">
        <f t="shared" si="10"/>
        <v>Include</v>
      </c>
      <c r="K362" s="1398"/>
    </row>
    <row r="363" spans="3:11" s="1397" customFormat="1">
      <c r="C363" s="1414">
        <v>35177</v>
      </c>
      <c r="D363" s="1401">
        <v>35522</v>
      </c>
      <c r="E363" s="1400">
        <v>9879</v>
      </c>
      <c r="F363" s="1397" t="s">
        <v>2540</v>
      </c>
      <c r="G363" s="1399">
        <v>51976</v>
      </c>
      <c r="H363" s="1399">
        <f t="shared" si="11"/>
        <v>69952.852752734936</v>
      </c>
      <c r="I363" s="1399"/>
      <c r="J363" s="1399" t="str">
        <f t="shared" si="10"/>
        <v>Include</v>
      </c>
      <c r="K363" s="1398"/>
    </row>
    <row r="364" spans="3:11" s="1397" customFormat="1">
      <c r="C364" s="1414">
        <v>35928</v>
      </c>
      <c r="D364" s="1401">
        <v>37042</v>
      </c>
      <c r="E364" s="1400">
        <v>9131</v>
      </c>
      <c r="F364" s="1397" t="s">
        <v>2539</v>
      </c>
      <c r="G364" s="1399">
        <v>51818</v>
      </c>
      <c r="H364" s="1399">
        <f t="shared" si="11"/>
        <v>67032.108376854812</v>
      </c>
      <c r="I364" s="1399"/>
      <c r="J364" s="1399" t="str">
        <f t="shared" si="10"/>
        <v>Include</v>
      </c>
      <c r="K364" s="1398"/>
    </row>
    <row r="365" spans="3:11" s="1397" customFormat="1">
      <c r="C365" s="1414">
        <v>36216</v>
      </c>
      <c r="D365" s="1401">
        <v>36532</v>
      </c>
      <c r="E365" s="1400">
        <v>9249</v>
      </c>
      <c r="F365" s="1397" t="s">
        <v>2538</v>
      </c>
      <c r="G365" s="1399">
        <v>51813</v>
      </c>
      <c r="H365" s="1399">
        <f t="shared" si="11"/>
        <v>65711.412101669164</v>
      </c>
      <c r="I365" s="1399"/>
      <c r="J365" s="1399" t="str">
        <f t="shared" si="10"/>
        <v>Include</v>
      </c>
      <c r="K365" s="1406"/>
    </row>
    <row r="366" spans="3:11" s="1397" customFormat="1">
      <c r="C366" s="1414">
        <v>35016</v>
      </c>
      <c r="D366" s="1401">
        <v>35213</v>
      </c>
      <c r="E366" s="1400">
        <v>9843</v>
      </c>
      <c r="F366" s="1397" t="s">
        <v>2537</v>
      </c>
      <c r="G366" s="1399">
        <v>51734.18</v>
      </c>
      <c r="H366" s="1399">
        <f t="shared" si="11"/>
        <v>71019.942768584646</v>
      </c>
      <c r="I366" s="1399"/>
      <c r="J366" s="1399" t="str">
        <f t="shared" si="10"/>
        <v>Include</v>
      </c>
      <c r="K366" s="1398"/>
    </row>
    <row r="367" spans="3:11" s="1397" customFormat="1">
      <c r="C367" s="1414">
        <v>33795</v>
      </c>
      <c r="D367" s="1401">
        <v>34003</v>
      </c>
      <c r="E367" s="1400">
        <v>9491</v>
      </c>
      <c r="F367" s="1397" t="s">
        <v>2536</v>
      </c>
      <c r="G367" s="1399">
        <v>51668.39</v>
      </c>
      <c r="H367" s="1399">
        <f t="shared" si="11"/>
        <v>75271.087818523563</v>
      </c>
      <c r="I367" s="1399"/>
      <c r="J367" s="1399" t="str">
        <f t="shared" si="10"/>
        <v>Include</v>
      </c>
      <c r="K367" s="1398"/>
    </row>
    <row r="368" spans="3:11" s="1397" customFormat="1">
      <c r="C368" s="1414">
        <v>35214</v>
      </c>
      <c r="D368" s="1401">
        <v>35426</v>
      </c>
      <c r="E368" s="1400">
        <v>9895</v>
      </c>
      <c r="F368" s="1397" t="s">
        <v>2535</v>
      </c>
      <c r="G368" s="1399">
        <v>51457</v>
      </c>
      <c r="H368" s="1399">
        <f t="shared" si="11"/>
        <v>69254.34708514472</v>
      </c>
      <c r="I368" s="1399"/>
      <c r="J368" s="1399" t="str">
        <f t="shared" si="10"/>
        <v>Include</v>
      </c>
      <c r="K368" s="1398"/>
    </row>
    <row r="369" spans="3:10" s="1397" customFormat="1">
      <c r="C369" s="1414">
        <v>35856</v>
      </c>
      <c r="D369" s="1401">
        <v>36166</v>
      </c>
      <c r="E369" s="1400">
        <v>9089</v>
      </c>
      <c r="F369" s="1397" t="s">
        <v>2534</v>
      </c>
      <c r="G369" s="1399">
        <v>51107.87</v>
      </c>
      <c r="H369" s="1399">
        <f t="shared" si="11"/>
        <v>66113.479500370653</v>
      </c>
      <c r="I369" s="1399"/>
      <c r="J369" s="1399" t="str">
        <f t="shared" si="10"/>
        <v>Include</v>
      </c>
    </row>
    <row r="370" spans="3:10" s="1397" customFormat="1">
      <c r="C370" s="1414">
        <v>35916</v>
      </c>
      <c r="D370" s="1401" t="s">
        <v>2192</v>
      </c>
      <c r="E370" s="1400">
        <v>9123</v>
      </c>
      <c r="F370" s="1397" t="s">
        <v>2533</v>
      </c>
      <c r="G370" s="1399">
        <v>50948.81</v>
      </c>
      <c r="H370" s="1399">
        <f t="shared" si="11"/>
        <v>65907.718429730667</v>
      </c>
      <c r="I370" s="1399"/>
      <c r="J370" s="1399" t="str">
        <f t="shared" si="10"/>
        <v>Include</v>
      </c>
    </row>
    <row r="371" spans="3:10" s="1397" customFormat="1">
      <c r="C371" s="1414">
        <v>36675</v>
      </c>
      <c r="D371" s="1401">
        <v>37124</v>
      </c>
      <c r="E371" s="1400">
        <v>9421</v>
      </c>
      <c r="F371" s="1415" t="s">
        <v>2532</v>
      </c>
      <c r="G371" s="1399">
        <v>50702</v>
      </c>
      <c r="H371" s="1399">
        <f t="shared" si="11"/>
        <v>63041.564184225645</v>
      </c>
      <c r="I371" s="1399">
        <v>1</v>
      </c>
      <c r="J371" s="1399" t="str">
        <f t="shared" si="10"/>
        <v>Exclude</v>
      </c>
    </row>
    <row r="372" spans="3:10" s="1397" customFormat="1">
      <c r="C372" s="1414">
        <v>35228</v>
      </c>
      <c r="D372" s="1401">
        <v>35391</v>
      </c>
      <c r="E372" s="1400">
        <v>9897</v>
      </c>
      <c r="F372" s="1397" t="s">
        <v>2531</v>
      </c>
      <c r="G372" s="1399">
        <v>50694.94</v>
      </c>
      <c r="H372" s="1399">
        <f t="shared" si="11"/>
        <v>68228.714659241436</v>
      </c>
      <c r="I372" s="1399"/>
      <c r="J372" s="1399" t="str">
        <f t="shared" si="10"/>
        <v>Include</v>
      </c>
    </row>
    <row r="373" spans="3:10" s="1397" customFormat="1">
      <c r="C373" s="1414">
        <v>35313</v>
      </c>
      <c r="D373" s="1401">
        <v>37319</v>
      </c>
      <c r="E373" s="1400">
        <v>9928</v>
      </c>
      <c r="F373" s="1403" t="s">
        <v>2530</v>
      </c>
      <c r="G373" s="1399">
        <v>50597.3</v>
      </c>
      <c r="H373" s="1399">
        <f t="shared" si="11"/>
        <v>68097.304074687461</v>
      </c>
      <c r="I373" s="1399"/>
      <c r="J373" s="1399" t="str">
        <f t="shared" si="10"/>
        <v>Include</v>
      </c>
    </row>
    <row r="374" spans="3:10" s="1397" customFormat="1">
      <c r="C374" s="1414">
        <v>33415</v>
      </c>
      <c r="D374" s="1401">
        <v>33785</v>
      </c>
      <c r="E374" s="1400">
        <v>9417</v>
      </c>
      <c r="F374" s="1403" t="s">
        <v>2529</v>
      </c>
      <c r="G374" s="1399">
        <v>50486.43</v>
      </c>
      <c r="H374" s="1399">
        <f t="shared" si="11"/>
        <v>75020.179190743467</v>
      </c>
      <c r="I374" s="1399"/>
      <c r="J374" s="1399" t="str">
        <f t="shared" si="10"/>
        <v>Include</v>
      </c>
    </row>
    <row r="375" spans="3:10" s="1397" customFormat="1">
      <c r="C375" s="1414">
        <v>33415</v>
      </c>
      <c r="D375" s="1401">
        <v>33938</v>
      </c>
      <c r="E375" s="1400">
        <v>9415</v>
      </c>
      <c r="F375" s="1403" t="s">
        <v>2528</v>
      </c>
      <c r="G375" s="1399">
        <v>50346.04</v>
      </c>
      <c r="H375" s="1399">
        <f t="shared" si="11"/>
        <v>74811.567035822067</v>
      </c>
      <c r="I375" s="1399"/>
      <c r="J375" s="1399" t="str">
        <f t="shared" si="10"/>
        <v>Include</v>
      </c>
    </row>
    <row r="376" spans="3:10" s="1397" customFormat="1">
      <c r="C376" s="1414">
        <v>35849</v>
      </c>
      <c r="D376" s="1401">
        <v>36532</v>
      </c>
      <c r="E376" s="1400">
        <v>9082</v>
      </c>
      <c r="F376" s="1403" t="s">
        <v>2527</v>
      </c>
      <c r="G376" s="1399">
        <v>49931.25</v>
      </c>
      <c r="H376" s="1399">
        <f t="shared" si="11"/>
        <v>64591.396066846108</v>
      </c>
      <c r="I376" s="1399"/>
      <c r="J376" s="1399" t="str">
        <f t="shared" si="10"/>
        <v>Include</v>
      </c>
    </row>
    <row r="377" spans="3:10" s="1397" customFormat="1">
      <c r="C377" s="1414">
        <v>33742</v>
      </c>
      <c r="D377" s="1401">
        <v>34396</v>
      </c>
      <c r="E377" s="1400">
        <v>9475</v>
      </c>
      <c r="F377" s="1403" t="s">
        <v>2526</v>
      </c>
      <c r="G377" s="1399">
        <v>49759.4</v>
      </c>
      <c r="H377" s="1399">
        <f t="shared" si="11"/>
        <v>72490.049858279715</v>
      </c>
      <c r="I377" s="1399"/>
      <c r="J377" s="1399" t="str">
        <f t="shared" si="10"/>
        <v>Include</v>
      </c>
    </row>
    <row r="378" spans="3:10" s="1397" customFormat="1">
      <c r="C378" s="1414">
        <v>35688</v>
      </c>
      <c r="D378" s="1401">
        <v>37042</v>
      </c>
      <c r="E378" s="1400">
        <v>9030</v>
      </c>
      <c r="F378" s="1403" t="s">
        <v>2525</v>
      </c>
      <c r="G378" s="1399">
        <v>49649.57</v>
      </c>
      <c r="H378" s="1399">
        <f t="shared" si="11"/>
        <v>65511.553210203485</v>
      </c>
      <c r="I378" s="1399"/>
      <c r="J378" s="1399" t="str">
        <f t="shared" si="10"/>
        <v>Include</v>
      </c>
    </row>
    <row r="379" spans="3:10" s="1397" customFormat="1">
      <c r="C379" s="1414">
        <v>35949</v>
      </c>
      <c r="D379" s="1401">
        <v>36586</v>
      </c>
      <c r="E379" s="1400">
        <v>9145</v>
      </c>
      <c r="F379" s="1397" t="s">
        <v>2524</v>
      </c>
      <c r="G379" s="1399">
        <v>49400</v>
      </c>
      <c r="H379" s="1399">
        <f t="shared" si="11"/>
        <v>63904.167544417527</v>
      </c>
      <c r="I379" s="1399"/>
      <c r="J379" s="1399" t="str">
        <f t="shared" si="10"/>
        <v>Include</v>
      </c>
    </row>
    <row r="380" spans="3:10" s="1397" customFormat="1">
      <c r="C380" s="1414">
        <v>36526</v>
      </c>
      <c r="D380" s="1401">
        <v>37124</v>
      </c>
      <c r="E380" s="1400">
        <v>9341</v>
      </c>
      <c r="F380" s="1397" t="s">
        <v>2523</v>
      </c>
      <c r="G380" s="1399">
        <v>49256.84</v>
      </c>
      <c r="H380" s="1399">
        <f t="shared" si="11"/>
        <v>61244.689368706029</v>
      </c>
      <c r="I380" s="1399"/>
      <c r="J380" s="1399" t="str">
        <f t="shared" si="10"/>
        <v>Include</v>
      </c>
    </row>
    <row r="381" spans="3:10" s="1397" customFormat="1">
      <c r="C381" s="1414">
        <v>35247</v>
      </c>
      <c r="D381" s="1401">
        <v>35831</v>
      </c>
      <c r="E381" s="1400">
        <v>9914</v>
      </c>
      <c r="F381" s="1397" t="s">
        <v>2522</v>
      </c>
      <c r="G381" s="1399">
        <v>49232</v>
      </c>
      <c r="H381" s="1399">
        <f t="shared" si="11"/>
        <v>66259.790032373523</v>
      </c>
      <c r="I381" s="1399"/>
      <c r="J381" s="1399" t="str">
        <f t="shared" si="10"/>
        <v>Include</v>
      </c>
    </row>
    <row r="382" spans="3:10" s="1397" customFormat="1">
      <c r="C382" s="1414">
        <v>35559</v>
      </c>
      <c r="D382" s="1401">
        <v>35760</v>
      </c>
      <c r="E382" s="1400">
        <v>9998</v>
      </c>
      <c r="F382" s="1397" t="s">
        <v>2521</v>
      </c>
      <c r="G382" s="1399">
        <v>48993</v>
      </c>
      <c r="H382" s="1399">
        <f t="shared" si="11"/>
        <v>64645.223038739292</v>
      </c>
      <c r="I382" s="1399"/>
      <c r="J382" s="1399" t="str">
        <f t="shared" si="10"/>
        <v>Include</v>
      </c>
    </row>
    <row r="383" spans="3:10" s="1397" customFormat="1">
      <c r="C383" s="1422">
        <v>36703</v>
      </c>
      <c r="D383" s="1421">
        <v>37587</v>
      </c>
      <c r="E383" s="1420">
        <v>9449</v>
      </c>
      <c r="F383" s="1419" t="s">
        <v>2520</v>
      </c>
      <c r="G383" s="1417">
        <v>48986.1</v>
      </c>
      <c r="H383" s="1399">
        <f t="shared" si="11"/>
        <v>60908.058208451264</v>
      </c>
      <c r="I383" s="1417"/>
      <c r="J383" s="1399" t="str">
        <f t="shared" si="10"/>
        <v>Include</v>
      </c>
    </row>
    <row r="384" spans="3:10" s="1397" customFormat="1">
      <c r="C384" s="1414">
        <v>33817</v>
      </c>
      <c r="D384" s="1401">
        <v>34143</v>
      </c>
      <c r="E384" s="1400">
        <v>9498</v>
      </c>
      <c r="F384" s="1397" t="s">
        <v>2519</v>
      </c>
      <c r="G384" s="1399">
        <v>47455.16</v>
      </c>
      <c r="H384" s="1399">
        <f t="shared" si="11"/>
        <v>69133.20728209427</v>
      </c>
      <c r="I384" s="1399"/>
      <c r="J384" s="1399" t="str">
        <f t="shared" si="10"/>
        <v>Include</v>
      </c>
    </row>
    <row r="385" spans="3:10" s="1397" customFormat="1">
      <c r="C385" s="1414">
        <v>34050</v>
      </c>
      <c r="D385" s="1401">
        <v>34295</v>
      </c>
      <c r="E385" s="1400">
        <v>9540</v>
      </c>
      <c r="F385" s="1397" t="s">
        <v>2518</v>
      </c>
      <c r="G385" s="1399">
        <v>47187.8</v>
      </c>
      <c r="H385" s="1399">
        <f t="shared" si="11"/>
        <v>67395.798281379641</v>
      </c>
      <c r="I385" s="1399"/>
      <c r="J385" s="1399" t="str">
        <f t="shared" si="10"/>
        <v>Include</v>
      </c>
    </row>
    <row r="386" spans="3:10" s="1397" customFormat="1">
      <c r="C386" s="1414">
        <v>36297</v>
      </c>
      <c r="D386" s="1401">
        <v>36704</v>
      </c>
      <c r="E386" s="1400">
        <v>9243</v>
      </c>
      <c r="F386" s="1397" t="s">
        <v>2517</v>
      </c>
      <c r="G386" s="1399">
        <v>46986</v>
      </c>
      <c r="H386" s="1399">
        <f t="shared" si="11"/>
        <v>59589.608959315752</v>
      </c>
      <c r="I386" s="1399"/>
      <c r="J386" s="1399" t="str">
        <f t="shared" si="10"/>
        <v>Include</v>
      </c>
    </row>
    <row r="387" spans="3:10" s="1397" customFormat="1">
      <c r="C387" s="1414">
        <v>35949</v>
      </c>
      <c r="D387" s="1401">
        <v>36831</v>
      </c>
      <c r="E387" s="1400">
        <v>9143</v>
      </c>
      <c r="F387" s="1403" t="s">
        <v>2516</v>
      </c>
      <c r="G387" s="1399">
        <v>46894</v>
      </c>
      <c r="H387" s="1399">
        <f t="shared" si="11"/>
        <v>60662.389328500314</v>
      </c>
      <c r="I387" s="1399"/>
      <c r="J387" s="1399" t="str">
        <f t="shared" si="10"/>
        <v>Include</v>
      </c>
    </row>
    <row r="388" spans="3:10" s="1397" customFormat="1">
      <c r="C388" s="1414">
        <v>36263</v>
      </c>
      <c r="D388" s="1401">
        <v>36532</v>
      </c>
      <c r="E388" s="1400">
        <v>9257</v>
      </c>
      <c r="F388" s="1403" t="s">
        <v>2515</v>
      </c>
      <c r="G388" s="1399">
        <v>46877</v>
      </c>
      <c r="H388" s="1399">
        <f t="shared" si="11"/>
        <v>59451.370603708434</v>
      </c>
      <c r="I388" s="1399"/>
      <c r="J388" s="1399" t="str">
        <f t="shared" si="10"/>
        <v>Include</v>
      </c>
    </row>
    <row r="389" spans="3:10" s="1397" customFormat="1">
      <c r="C389" s="1414">
        <v>35723</v>
      </c>
      <c r="D389" s="1401">
        <v>36102</v>
      </c>
      <c r="E389" s="1400">
        <v>9034</v>
      </c>
      <c r="F389" s="1403" t="s">
        <v>2514</v>
      </c>
      <c r="G389" s="1399">
        <v>46553.5</v>
      </c>
      <c r="H389" s="1399">
        <f t="shared" si="11"/>
        <v>61426.354596247416</v>
      </c>
      <c r="I389" s="1399"/>
      <c r="J389" s="1399" t="str">
        <f t="shared" si="10"/>
        <v>Include</v>
      </c>
    </row>
    <row r="390" spans="3:10" s="1397" customFormat="1">
      <c r="C390" s="1414">
        <v>35983</v>
      </c>
      <c r="D390" s="1401">
        <v>36532</v>
      </c>
      <c r="E390" s="1400">
        <v>9156</v>
      </c>
      <c r="F390" s="1403" t="s">
        <v>2513</v>
      </c>
      <c r="G390" s="1399">
        <v>46528.26</v>
      </c>
      <c r="H390" s="1399">
        <f t="shared" si="11"/>
        <v>60189.265639478144</v>
      </c>
      <c r="I390" s="1399"/>
      <c r="J390" s="1399" t="str">
        <f t="shared" si="10"/>
        <v>Include</v>
      </c>
    </row>
    <row r="391" spans="3:10" s="1397" customFormat="1">
      <c r="C391" s="1414">
        <v>35810</v>
      </c>
      <c r="D391" s="1401" t="s">
        <v>2192</v>
      </c>
      <c r="E391" s="1400">
        <v>9067</v>
      </c>
      <c r="F391" s="1415" t="s">
        <v>2512</v>
      </c>
      <c r="G391" s="1399">
        <v>46431.39</v>
      </c>
      <c r="H391" s="1399">
        <f t="shared" si="11"/>
        <v>60063.953965186083</v>
      </c>
      <c r="I391" s="1399">
        <v>1</v>
      </c>
      <c r="J391" s="1399" t="str">
        <f t="shared" si="10"/>
        <v>Exclude</v>
      </c>
    </row>
    <row r="392" spans="3:10" s="1397" customFormat="1">
      <c r="C392" s="1414">
        <v>36312</v>
      </c>
      <c r="D392" s="1401">
        <v>36532</v>
      </c>
      <c r="E392" s="1400">
        <v>9267</v>
      </c>
      <c r="F392" s="1397" t="s">
        <v>2511</v>
      </c>
      <c r="G392" s="1399">
        <v>46184.08</v>
      </c>
      <c r="H392" s="1399">
        <f t="shared" si="11"/>
        <v>58572.580499420161</v>
      </c>
      <c r="I392" s="1399"/>
      <c r="J392" s="1399" t="str">
        <f t="shared" si="10"/>
        <v>Include</v>
      </c>
    </row>
    <row r="393" spans="3:10" s="1397" customFormat="1">
      <c r="C393" s="1414">
        <v>36395</v>
      </c>
      <c r="D393" s="1401">
        <v>36831</v>
      </c>
      <c r="E393" s="1400">
        <v>9310</v>
      </c>
      <c r="F393" s="1397" t="s">
        <v>2510</v>
      </c>
      <c r="G393" s="1399">
        <v>45947.6</v>
      </c>
      <c r="H393" s="1399">
        <f t="shared" si="11"/>
        <v>58272.666679842005</v>
      </c>
      <c r="I393" s="1399"/>
      <c r="J393" s="1399" t="str">
        <f t="shared" si="10"/>
        <v>Include</v>
      </c>
    </row>
    <row r="394" spans="3:10" s="1397" customFormat="1">
      <c r="C394" s="1414">
        <v>35515</v>
      </c>
      <c r="D394" s="1401">
        <v>36572</v>
      </c>
      <c r="E394" s="1400">
        <v>9968</v>
      </c>
      <c r="F394" s="1403" t="s">
        <v>2509</v>
      </c>
      <c r="G394" s="1399">
        <v>45696.14</v>
      </c>
      <c r="H394" s="1399">
        <f t="shared" si="11"/>
        <v>60295.086283947836</v>
      </c>
      <c r="I394" s="1399"/>
      <c r="J394" s="1399" t="str">
        <f t="shared" si="10"/>
        <v>Include</v>
      </c>
    </row>
    <row r="395" spans="3:10" s="1397" customFormat="1">
      <c r="C395" s="1414">
        <v>36281</v>
      </c>
      <c r="D395" s="1401">
        <v>36532</v>
      </c>
      <c r="E395" s="1400">
        <v>9261</v>
      </c>
      <c r="F395" s="1415" t="s">
        <v>2508</v>
      </c>
      <c r="G395" s="1399">
        <v>45652</v>
      </c>
      <c r="H395" s="1399">
        <f t="shared" si="11"/>
        <v>57897.774405369317</v>
      </c>
      <c r="I395" s="1399">
        <v>1</v>
      </c>
      <c r="J395" s="1399" t="str">
        <f t="shared" ref="J395:J458" si="12">IF(I395=1,"Exclude","Include")</f>
        <v>Exclude</v>
      </c>
    </row>
    <row r="396" spans="3:10" s="1397" customFormat="1">
      <c r="C396" s="1414">
        <v>36595</v>
      </c>
      <c r="D396" s="1401">
        <v>37572</v>
      </c>
      <c r="E396" s="1400">
        <v>9373</v>
      </c>
      <c r="F396" s="1415" t="s">
        <v>2507</v>
      </c>
      <c r="G396" s="1399">
        <v>45402.81</v>
      </c>
      <c r="H396" s="1399">
        <f t="shared" si="11"/>
        <v>56452.687482923786</v>
      </c>
      <c r="I396" s="1399">
        <v>1</v>
      </c>
      <c r="J396" s="1399" t="str">
        <f t="shared" si="12"/>
        <v>Exclude</v>
      </c>
    </row>
    <row r="397" spans="3:10" s="1397" customFormat="1">
      <c r="C397" s="1414">
        <v>35208</v>
      </c>
      <c r="D397" s="1401">
        <v>35375</v>
      </c>
      <c r="E397" s="1400">
        <v>9891</v>
      </c>
      <c r="F397" s="1397" t="s">
        <v>2506</v>
      </c>
      <c r="G397" s="1399">
        <v>44992.99</v>
      </c>
      <c r="H397" s="1399">
        <f t="shared" si="11"/>
        <v>60554.640687534164</v>
      </c>
      <c r="I397" s="1399"/>
      <c r="J397" s="1399" t="str">
        <f t="shared" si="12"/>
        <v>Include</v>
      </c>
    </row>
    <row r="398" spans="3:10" s="1397" customFormat="1">
      <c r="C398" s="1414">
        <v>36165</v>
      </c>
      <c r="D398" s="1401">
        <v>36532</v>
      </c>
      <c r="E398" s="1400">
        <v>9212</v>
      </c>
      <c r="F398" s="1397" t="s">
        <v>2505</v>
      </c>
      <c r="G398" s="1399">
        <v>44783.5</v>
      </c>
      <c r="H398" s="1399">
        <f t="shared" si="11"/>
        <v>56796.306406791744</v>
      </c>
      <c r="I398" s="1399"/>
      <c r="J398" s="1399" t="str">
        <f t="shared" si="12"/>
        <v>Include</v>
      </c>
    </row>
    <row r="399" spans="3:10" s="1397" customFormat="1">
      <c r="C399" s="1414">
        <v>35506</v>
      </c>
      <c r="D399" s="1401">
        <v>35970</v>
      </c>
      <c r="E399" s="1400">
        <v>9966</v>
      </c>
      <c r="F399" s="1397" t="s">
        <v>2504</v>
      </c>
      <c r="G399" s="1399">
        <v>44473.440000000002</v>
      </c>
      <c r="H399" s="1399">
        <f t="shared" si="11"/>
        <v>58681.759600350866</v>
      </c>
      <c r="I399" s="1399"/>
      <c r="J399" s="1399" t="str">
        <f t="shared" si="12"/>
        <v>Include</v>
      </c>
    </row>
    <row r="400" spans="3:10" s="1397" customFormat="1">
      <c r="C400" s="1414">
        <v>34895</v>
      </c>
      <c r="D400" s="1401">
        <v>35097</v>
      </c>
      <c r="E400" s="1400">
        <v>9810</v>
      </c>
      <c r="F400" s="1397" t="s">
        <v>2503</v>
      </c>
      <c r="G400" s="1399">
        <v>44430.18</v>
      </c>
      <c r="H400" s="1399">
        <f t="shared" si="11"/>
        <v>60993.115978602807</v>
      </c>
      <c r="I400" s="1399"/>
      <c r="J400" s="1399" t="str">
        <f t="shared" si="12"/>
        <v>Include</v>
      </c>
    </row>
    <row r="401" spans="3:10" s="1397" customFormat="1">
      <c r="C401" s="1414">
        <v>35892</v>
      </c>
      <c r="D401" s="1401">
        <v>36831</v>
      </c>
      <c r="E401" s="1400">
        <v>9113</v>
      </c>
      <c r="F401" s="1397" t="s">
        <v>2502</v>
      </c>
      <c r="G401" s="1399">
        <v>44077.06</v>
      </c>
      <c r="H401" s="1399">
        <f t="shared" si="11"/>
        <v>57018.377066909794</v>
      </c>
      <c r="I401" s="1399"/>
      <c r="J401" s="1399" t="str">
        <f t="shared" si="12"/>
        <v>Include</v>
      </c>
    </row>
    <row r="402" spans="3:10" s="1397" customFormat="1">
      <c r="C402" s="1414">
        <v>36039</v>
      </c>
      <c r="D402" s="1401">
        <v>36532</v>
      </c>
      <c r="E402" s="1400">
        <v>9171</v>
      </c>
      <c r="F402" s="1403" t="s">
        <v>2501</v>
      </c>
      <c r="G402" s="1399">
        <v>44023.3</v>
      </c>
      <c r="H402" s="1399">
        <f t="shared" si="11"/>
        <v>56948.832774456605</v>
      </c>
      <c r="I402" s="1399"/>
      <c r="J402" s="1399" t="str">
        <f t="shared" si="12"/>
        <v>Include</v>
      </c>
    </row>
    <row r="403" spans="3:10" s="1397" customFormat="1">
      <c r="C403" s="1414">
        <v>35828</v>
      </c>
      <c r="D403" s="1401">
        <v>36124</v>
      </c>
      <c r="E403" s="1400">
        <v>9083</v>
      </c>
      <c r="F403" s="1397" t="s">
        <v>2500</v>
      </c>
      <c r="G403" s="1399">
        <v>43980</v>
      </c>
      <c r="H403" s="1399">
        <f t="shared" si="11"/>
        <v>56892.819607357953</v>
      </c>
      <c r="I403" s="1399"/>
      <c r="J403" s="1399" t="str">
        <f t="shared" si="12"/>
        <v>Include</v>
      </c>
    </row>
    <row r="404" spans="3:10" s="1397" customFormat="1">
      <c r="C404" s="1414">
        <v>36342</v>
      </c>
      <c r="D404" s="1401">
        <v>36831</v>
      </c>
      <c r="E404" s="1400">
        <v>9283</v>
      </c>
      <c r="F404" s="1397" t="s">
        <v>2499</v>
      </c>
      <c r="G404" s="1399">
        <v>43531</v>
      </c>
      <c r="H404" s="1399">
        <f t="shared" ref="H404:H467" si="13">G404*(1+$N$6)^(2011-YEAR(C404))</f>
        <v>55207.833559102161</v>
      </c>
      <c r="I404" s="1399"/>
      <c r="J404" s="1399" t="str">
        <f t="shared" si="12"/>
        <v>Include</v>
      </c>
    </row>
    <row r="405" spans="3:10" s="1397" customFormat="1">
      <c r="C405" s="1414">
        <v>36192</v>
      </c>
      <c r="D405" s="1401">
        <v>37042</v>
      </c>
      <c r="E405" s="1400">
        <v>9226</v>
      </c>
      <c r="F405" s="1415" t="s">
        <v>2498</v>
      </c>
      <c r="G405" s="1399">
        <v>43516.49</v>
      </c>
      <c r="H405" s="1399">
        <f t="shared" si="13"/>
        <v>55189.431370663056</v>
      </c>
      <c r="I405" s="1399">
        <v>1</v>
      </c>
      <c r="J405" s="1399" t="str">
        <f t="shared" si="12"/>
        <v>Exclude</v>
      </c>
    </row>
    <row r="406" spans="3:10" s="1397" customFormat="1">
      <c r="C406" s="1414">
        <v>34053</v>
      </c>
      <c r="D406" s="1401">
        <v>34295</v>
      </c>
      <c r="E406" s="1400">
        <v>9541</v>
      </c>
      <c r="F406" s="1415" t="s">
        <v>2497</v>
      </c>
      <c r="G406" s="1399">
        <v>43450</v>
      </c>
      <c r="H406" s="1399">
        <f t="shared" si="13"/>
        <v>62057.299457189052</v>
      </c>
      <c r="I406" s="1399">
        <v>1</v>
      </c>
      <c r="J406" s="1399" t="str">
        <f t="shared" si="12"/>
        <v>Exclude</v>
      </c>
    </row>
    <row r="407" spans="3:10" s="1397" customFormat="1">
      <c r="C407" s="1414">
        <v>36692</v>
      </c>
      <c r="D407" s="1401" t="s">
        <v>2192</v>
      </c>
      <c r="E407" s="1400">
        <v>9445</v>
      </c>
      <c r="F407" s="1397" t="s">
        <v>2496</v>
      </c>
      <c r="G407" s="1399">
        <v>43179.86</v>
      </c>
      <c r="H407" s="1399">
        <f t="shared" si="13"/>
        <v>53688.728564077901</v>
      </c>
      <c r="I407" s="1399"/>
      <c r="J407" s="1399" t="str">
        <f t="shared" si="12"/>
        <v>Include</v>
      </c>
    </row>
    <row r="408" spans="3:10" s="1397" customFormat="1">
      <c r="C408" s="1414">
        <v>35779</v>
      </c>
      <c r="D408" s="1401">
        <v>36441</v>
      </c>
      <c r="E408" s="1400">
        <v>9055</v>
      </c>
      <c r="F408" s="1403" t="s">
        <v>2495</v>
      </c>
      <c r="G408" s="1399">
        <v>42914.76</v>
      </c>
      <c r="H408" s="1399">
        <f t="shared" si="13"/>
        <v>56625.114441940023</v>
      </c>
      <c r="I408" s="1399"/>
      <c r="J408" s="1399" t="str">
        <f t="shared" si="12"/>
        <v>Include</v>
      </c>
    </row>
    <row r="409" spans="3:10" s="1397" customFormat="1">
      <c r="C409" s="1414">
        <v>36526</v>
      </c>
      <c r="D409" s="1401">
        <v>36831</v>
      </c>
      <c r="E409" s="1400">
        <v>9362</v>
      </c>
      <c r="F409" s="1403" t="s">
        <v>2494</v>
      </c>
      <c r="G409" s="1399">
        <v>42885</v>
      </c>
      <c r="H409" s="1399">
        <f t="shared" si="13"/>
        <v>53322.10721550465</v>
      </c>
      <c r="I409" s="1399"/>
      <c r="J409" s="1399" t="str">
        <f t="shared" si="12"/>
        <v>Include</v>
      </c>
    </row>
    <row r="410" spans="3:10" s="1397" customFormat="1">
      <c r="C410" s="1414">
        <v>35376</v>
      </c>
      <c r="D410" s="1401">
        <v>35664</v>
      </c>
      <c r="E410" s="1400">
        <v>9940</v>
      </c>
      <c r="F410" s="1403" t="s">
        <v>2493</v>
      </c>
      <c r="G410" s="1399">
        <v>42676</v>
      </c>
      <c r="H410" s="1399">
        <f t="shared" si="13"/>
        <v>57436.277206320541</v>
      </c>
      <c r="I410" s="1399"/>
      <c r="J410" s="1399" t="str">
        <f t="shared" si="12"/>
        <v>Include</v>
      </c>
    </row>
    <row r="411" spans="3:10" s="1397" customFormat="1">
      <c r="C411" s="1414">
        <v>36586</v>
      </c>
      <c r="D411" s="1401">
        <v>37124</v>
      </c>
      <c r="E411" s="1400">
        <v>9387</v>
      </c>
      <c r="F411" s="1403" t="s">
        <v>2492</v>
      </c>
      <c r="G411" s="1399">
        <v>42420</v>
      </c>
      <c r="H411" s="1399">
        <f t="shared" si="13"/>
        <v>52743.938162101142</v>
      </c>
      <c r="I411" s="1399"/>
      <c r="J411" s="1399" t="str">
        <f t="shared" si="12"/>
        <v>Include</v>
      </c>
    </row>
    <row r="412" spans="3:10" s="1397" customFormat="1">
      <c r="C412" s="1414">
        <v>35871</v>
      </c>
      <c r="D412" s="1401">
        <v>36472</v>
      </c>
      <c r="E412" s="1400">
        <v>9099</v>
      </c>
      <c r="F412" s="1397" t="s">
        <v>2491</v>
      </c>
      <c r="G412" s="1399">
        <v>42206.38</v>
      </c>
      <c r="H412" s="1399">
        <f t="shared" si="13"/>
        <v>54598.453015452484</v>
      </c>
      <c r="I412" s="1399"/>
      <c r="J412" s="1399" t="str">
        <f t="shared" si="12"/>
        <v>Include</v>
      </c>
    </row>
    <row r="413" spans="3:10" s="1397" customFormat="1">
      <c r="C413" s="1422">
        <v>36707</v>
      </c>
      <c r="D413" s="1421">
        <v>37124</v>
      </c>
      <c r="E413" s="1420">
        <v>9468</v>
      </c>
      <c r="F413" s="1419" t="s">
        <v>2490</v>
      </c>
      <c r="G413" s="1417">
        <v>42069.9</v>
      </c>
      <c r="H413" s="1399">
        <f t="shared" si="13"/>
        <v>52308.63281673217</v>
      </c>
      <c r="I413" s="1417"/>
      <c r="J413" s="1399" t="str">
        <f t="shared" si="12"/>
        <v>Include</v>
      </c>
    </row>
    <row r="414" spans="3:10" s="1397" customFormat="1">
      <c r="C414" s="1414">
        <v>36342</v>
      </c>
      <c r="D414" s="1401">
        <v>36704</v>
      </c>
      <c r="E414" s="1400">
        <v>9284</v>
      </c>
      <c r="F414" s="1397" t="s">
        <v>2489</v>
      </c>
      <c r="G414" s="1399">
        <v>41821</v>
      </c>
      <c r="H414" s="1399">
        <f t="shared" si="13"/>
        <v>53039.140090400208</v>
      </c>
      <c r="I414" s="1399"/>
      <c r="J414" s="1399" t="str">
        <f t="shared" si="12"/>
        <v>Include</v>
      </c>
    </row>
    <row r="415" spans="3:10" s="1397" customFormat="1">
      <c r="C415" s="1414">
        <v>36063</v>
      </c>
      <c r="D415" s="1401">
        <v>36340</v>
      </c>
      <c r="E415" s="1400">
        <v>9175</v>
      </c>
      <c r="F415" s="1397" t="s">
        <v>2488</v>
      </c>
      <c r="G415" s="1399">
        <v>41786.18</v>
      </c>
      <c r="H415" s="1399">
        <f t="shared" si="13"/>
        <v>54054.879509335806</v>
      </c>
      <c r="I415" s="1399"/>
      <c r="J415" s="1399" t="str">
        <f t="shared" si="12"/>
        <v>Include</v>
      </c>
    </row>
    <row r="416" spans="3:10" s="1397" customFormat="1">
      <c r="C416" s="1414">
        <v>36410</v>
      </c>
      <c r="D416" s="1401">
        <v>37042</v>
      </c>
      <c r="E416" s="1400">
        <v>9307</v>
      </c>
      <c r="F416" s="1397" t="s">
        <v>2487</v>
      </c>
      <c r="G416" s="1399">
        <v>41021</v>
      </c>
      <c r="H416" s="1399">
        <f t="shared" si="13"/>
        <v>52024.546654750171</v>
      </c>
      <c r="I416" s="1399"/>
      <c r="J416" s="1399" t="str">
        <f t="shared" si="12"/>
        <v>Include</v>
      </c>
    </row>
    <row r="417" spans="3:10" s="1397" customFormat="1">
      <c r="C417" s="1414">
        <v>33779</v>
      </c>
      <c r="D417" s="1401">
        <v>33778</v>
      </c>
      <c r="E417" s="1400">
        <v>9485</v>
      </c>
      <c r="F417" s="1397" t="s">
        <v>2486</v>
      </c>
      <c r="G417" s="1399">
        <v>40798</v>
      </c>
      <c r="H417" s="1399">
        <f t="shared" si="13"/>
        <v>59434.982216789111</v>
      </c>
      <c r="I417" s="1399"/>
      <c r="J417" s="1399" t="str">
        <f t="shared" si="12"/>
        <v>Include</v>
      </c>
    </row>
    <row r="418" spans="3:10" s="1397" customFormat="1">
      <c r="C418" s="1414">
        <v>36329</v>
      </c>
      <c r="D418" s="1401">
        <v>37319</v>
      </c>
      <c r="E418" s="1400">
        <v>9282</v>
      </c>
      <c r="F418" s="1397" t="s">
        <v>2485</v>
      </c>
      <c r="G418" s="1399">
        <v>40667</v>
      </c>
      <c r="H418" s="1399">
        <f t="shared" si="13"/>
        <v>51575.589059475031</v>
      </c>
      <c r="I418" s="1399"/>
      <c r="J418" s="1399" t="str">
        <f t="shared" si="12"/>
        <v>Include</v>
      </c>
    </row>
    <row r="419" spans="3:10" s="1397" customFormat="1">
      <c r="C419" s="1414">
        <v>35375</v>
      </c>
      <c r="D419" s="1401">
        <v>35556</v>
      </c>
      <c r="E419" s="1400">
        <v>9939</v>
      </c>
      <c r="F419" s="1403" t="s">
        <v>2484</v>
      </c>
      <c r="G419" s="1399">
        <v>40150</v>
      </c>
      <c r="H419" s="1399">
        <f t="shared" si="13"/>
        <v>54036.613783713787</v>
      </c>
      <c r="I419" s="1399"/>
      <c r="J419" s="1399" t="str">
        <f t="shared" si="12"/>
        <v>Include</v>
      </c>
    </row>
    <row r="420" spans="3:10" s="1397" customFormat="1">
      <c r="C420" s="1414">
        <v>36175</v>
      </c>
      <c r="D420" s="1401">
        <v>36472</v>
      </c>
      <c r="E420" s="1400">
        <v>9218</v>
      </c>
      <c r="F420" s="1403" t="s">
        <v>2483</v>
      </c>
      <c r="G420" s="1399">
        <v>39745.599999999999</v>
      </c>
      <c r="H420" s="1399">
        <f t="shared" si="13"/>
        <v>50407.031069965095</v>
      </c>
      <c r="I420" s="1399"/>
      <c r="J420" s="1399" t="str">
        <f t="shared" si="12"/>
        <v>Include</v>
      </c>
    </row>
    <row r="421" spans="3:10" s="1397" customFormat="1">
      <c r="C421" s="1414">
        <v>33953</v>
      </c>
      <c r="D421" s="1401">
        <v>34585</v>
      </c>
      <c r="E421" s="1400">
        <v>9519</v>
      </c>
      <c r="F421" s="1403" t="s">
        <v>2482</v>
      </c>
      <c r="G421" s="1399">
        <v>39634.629999999997</v>
      </c>
      <c r="H421" s="1399">
        <f t="shared" si="13"/>
        <v>57740.17180300544</v>
      </c>
      <c r="I421" s="1399"/>
      <c r="J421" s="1399" t="str">
        <f t="shared" si="12"/>
        <v>Include</v>
      </c>
    </row>
    <row r="422" spans="3:10" s="1397" customFormat="1">
      <c r="C422" s="1414">
        <v>36353</v>
      </c>
      <c r="D422" s="1401">
        <v>37124</v>
      </c>
      <c r="E422" s="1400">
        <v>9286</v>
      </c>
      <c r="F422" s="1397" t="s">
        <v>2481</v>
      </c>
      <c r="G422" s="1399">
        <v>39579.32</v>
      </c>
      <c r="H422" s="1399">
        <f t="shared" si="13"/>
        <v>50196.147824365238</v>
      </c>
      <c r="I422" s="1399"/>
      <c r="J422" s="1399" t="str">
        <f t="shared" si="12"/>
        <v>Include</v>
      </c>
    </row>
    <row r="423" spans="3:10" s="1397" customFormat="1">
      <c r="C423" s="1414">
        <v>33974</v>
      </c>
      <c r="D423" s="1401">
        <v>34502</v>
      </c>
      <c r="E423" s="1400">
        <v>9527</v>
      </c>
      <c r="F423" s="1397" t="s">
        <v>2480</v>
      </c>
      <c r="G423" s="1399">
        <v>39366</v>
      </c>
      <c r="H423" s="1399">
        <f t="shared" si="13"/>
        <v>56224.341782087555</v>
      </c>
      <c r="I423" s="1399"/>
      <c r="J423" s="1399" t="str">
        <f t="shared" si="12"/>
        <v>Include</v>
      </c>
    </row>
    <row r="424" spans="3:10" s="1397" customFormat="1">
      <c r="C424" s="1414">
        <v>33415</v>
      </c>
      <c r="D424" s="1401">
        <v>33807</v>
      </c>
      <c r="E424" s="1400">
        <v>9411</v>
      </c>
      <c r="F424" s="1397" t="s">
        <v>2479</v>
      </c>
      <c r="G424" s="1399">
        <v>39225</v>
      </c>
      <c r="H424" s="1399">
        <f t="shared" si="13"/>
        <v>58286.286607250942</v>
      </c>
      <c r="I424" s="1399"/>
      <c r="J424" s="1399" t="str">
        <f t="shared" si="12"/>
        <v>Include</v>
      </c>
    </row>
    <row r="425" spans="3:10" s="1397" customFormat="1">
      <c r="C425" s="1414">
        <v>36295</v>
      </c>
      <c r="D425" s="1401">
        <v>36788</v>
      </c>
      <c r="E425" s="1400">
        <v>9237</v>
      </c>
      <c r="F425" s="1397" t="s">
        <v>2478</v>
      </c>
      <c r="G425" s="1399">
        <v>38930</v>
      </c>
      <c r="H425" s="1399">
        <f t="shared" si="13"/>
        <v>49372.653062319885</v>
      </c>
      <c r="I425" s="1399"/>
      <c r="J425" s="1399" t="str">
        <f t="shared" si="12"/>
        <v>Include</v>
      </c>
    </row>
    <row r="426" spans="3:10" s="1397" customFormat="1">
      <c r="C426" s="1414">
        <v>35999</v>
      </c>
      <c r="D426" s="1401">
        <v>36704</v>
      </c>
      <c r="E426" s="1400">
        <v>9164</v>
      </c>
      <c r="F426" s="1397" t="s">
        <v>2477</v>
      </c>
      <c r="G426" s="1399">
        <v>38784</v>
      </c>
      <c r="H426" s="1399">
        <f t="shared" si="13"/>
        <v>50171.239555520027</v>
      </c>
      <c r="I426" s="1399"/>
      <c r="J426" s="1399" t="str">
        <f t="shared" si="12"/>
        <v>Include</v>
      </c>
    </row>
    <row r="427" spans="3:10" s="1397" customFormat="1">
      <c r="C427" s="1414">
        <v>33415</v>
      </c>
      <c r="D427" s="1401">
        <v>33704</v>
      </c>
      <c r="E427" s="1400">
        <v>9413</v>
      </c>
      <c r="F427" s="1397" t="s">
        <v>2476</v>
      </c>
      <c r="G427" s="1399">
        <v>38763</v>
      </c>
      <c r="H427" s="1399">
        <f t="shared" si="13"/>
        <v>57599.778910308945</v>
      </c>
      <c r="I427" s="1399"/>
      <c r="J427" s="1399" t="str">
        <f t="shared" si="12"/>
        <v>Include</v>
      </c>
    </row>
    <row r="428" spans="3:10" s="1397" customFormat="1">
      <c r="C428" s="1414">
        <v>36295</v>
      </c>
      <c r="D428" s="1401">
        <v>36586</v>
      </c>
      <c r="E428" s="1400">
        <v>9239</v>
      </c>
      <c r="F428" s="1397" t="s">
        <v>2475</v>
      </c>
      <c r="G428" s="1399">
        <v>38465.15</v>
      </c>
      <c r="H428" s="1399">
        <f t="shared" si="13"/>
        <v>48783.110864117487</v>
      </c>
      <c r="I428" s="1399"/>
      <c r="J428" s="1399" t="str">
        <f t="shared" si="12"/>
        <v>Include</v>
      </c>
    </row>
    <row r="429" spans="3:10" s="1397" customFormat="1">
      <c r="C429" s="1414">
        <v>35723</v>
      </c>
      <c r="D429" s="1401">
        <v>36320</v>
      </c>
      <c r="E429" s="1400">
        <v>9050</v>
      </c>
      <c r="F429" s="1403" t="s">
        <v>2474</v>
      </c>
      <c r="G429" s="1399">
        <v>38372.76</v>
      </c>
      <c r="H429" s="1399">
        <f t="shared" si="13"/>
        <v>50632.041900108459</v>
      </c>
      <c r="I429" s="1399"/>
      <c r="J429" s="1399" t="str">
        <f t="shared" si="12"/>
        <v>Include</v>
      </c>
    </row>
    <row r="430" spans="3:10" s="1397" customFormat="1">
      <c r="C430" s="1414">
        <v>36297</v>
      </c>
      <c r="D430" s="1401">
        <v>36831</v>
      </c>
      <c r="E430" s="1400">
        <v>9279</v>
      </c>
      <c r="F430" s="1397" t="s">
        <v>2473</v>
      </c>
      <c r="G430" s="1399">
        <v>38354.589999999997</v>
      </c>
      <c r="H430" s="1399">
        <f t="shared" si="13"/>
        <v>48642.89405131065</v>
      </c>
      <c r="I430" s="1399"/>
      <c r="J430" s="1399" t="str">
        <f t="shared" si="12"/>
        <v>Include</v>
      </c>
    </row>
    <row r="431" spans="3:10" s="1397" customFormat="1">
      <c r="C431" s="1414">
        <v>36165</v>
      </c>
      <c r="D431" s="1401">
        <v>36532</v>
      </c>
      <c r="E431" s="1400">
        <v>9220</v>
      </c>
      <c r="F431" s="1397" t="s">
        <v>2472</v>
      </c>
      <c r="G431" s="1399">
        <v>38151.199999999997</v>
      </c>
      <c r="H431" s="1399">
        <f t="shared" si="13"/>
        <v>48384.946352714571</v>
      </c>
      <c r="I431" s="1399"/>
      <c r="J431" s="1399" t="str">
        <f t="shared" si="12"/>
        <v>Include</v>
      </c>
    </row>
    <row r="432" spans="3:10" s="1397" customFormat="1">
      <c r="C432" s="1414">
        <v>36418</v>
      </c>
      <c r="D432" s="1401">
        <v>36572</v>
      </c>
      <c r="E432" s="1400">
        <v>9306</v>
      </c>
      <c r="F432" s="1403" t="s">
        <v>2471</v>
      </c>
      <c r="G432" s="1399">
        <v>38038.6</v>
      </c>
      <c r="H432" s="1399">
        <f t="shared" si="13"/>
        <v>48242.142326646834</v>
      </c>
      <c r="I432" s="1399"/>
      <c r="J432" s="1399" t="str">
        <f t="shared" si="12"/>
        <v>Include</v>
      </c>
    </row>
    <row r="433" spans="3:11" s="1397" customFormat="1">
      <c r="C433" s="1414">
        <v>36340</v>
      </c>
      <c r="D433" s="1401">
        <v>37319</v>
      </c>
      <c r="E433" s="1400">
        <v>9285</v>
      </c>
      <c r="F433" s="1403" t="s">
        <v>2470</v>
      </c>
      <c r="G433" s="1399">
        <v>38000</v>
      </c>
      <c r="H433" s="1399">
        <f t="shared" si="13"/>
        <v>48193.188193376722</v>
      </c>
      <c r="I433" s="1399"/>
      <c r="J433" s="1399" t="str">
        <f t="shared" si="12"/>
        <v>Include</v>
      </c>
      <c r="K433" s="1398"/>
    </row>
    <row r="434" spans="3:11" s="1397" customFormat="1">
      <c r="C434" s="1414">
        <v>35843</v>
      </c>
      <c r="D434" s="1401">
        <v>36830</v>
      </c>
      <c r="E434" s="1400">
        <v>9080</v>
      </c>
      <c r="F434" s="1397" t="s">
        <v>2469</v>
      </c>
      <c r="G434" s="1399">
        <v>37479</v>
      </c>
      <c r="H434" s="1399">
        <f t="shared" si="13"/>
        <v>48483.082902777824</v>
      </c>
      <c r="I434" s="1399"/>
      <c r="J434" s="1399" t="str">
        <f t="shared" si="12"/>
        <v>Include</v>
      </c>
      <c r="K434" s="1398"/>
    </row>
    <row r="435" spans="3:11" s="1397" customFormat="1">
      <c r="C435" s="1414">
        <v>33415</v>
      </c>
      <c r="D435" s="1401">
        <v>34099</v>
      </c>
      <c r="E435" s="1400">
        <v>9418</v>
      </c>
      <c r="F435" s="1415" t="s">
        <v>2468</v>
      </c>
      <c r="G435" s="1399">
        <v>37330</v>
      </c>
      <c r="H435" s="1399">
        <f t="shared" si="13"/>
        <v>55470.416291871967</v>
      </c>
      <c r="I435" s="1399">
        <v>1</v>
      </c>
      <c r="J435" s="1399" t="str">
        <f t="shared" si="12"/>
        <v>Exclude</v>
      </c>
      <c r="K435" s="1398"/>
    </row>
    <row r="436" spans="3:11" s="1397" customFormat="1">
      <c r="C436" s="1414">
        <v>36682</v>
      </c>
      <c r="D436" s="1401">
        <v>37592</v>
      </c>
      <c r="E436" s="1400">
        <v>9438</v>
      </c>
      <c r="F436" s="1397" t="s">
        <v>2467</v>
      </c>
      <c r="G436" s="1399">
        <v>37179</v>
      </c>
      <c r="H436" s="1399">
        <f t="shared" si="13"/>
        <v>46227.413411804766</v>
      </c>
      <c r="I436" s="1399"/>
      <c r="J436" s="1399" t="str">
        <f t="shared" si="12"/>
        <v>Include</v>
      </c>
      <c r="K436" s="1398"/>
    </row>
    <row r="437" spans="3:11" s="1397" customFormat="1">
      <c r="C437" s="1414">
        <v>35723</v>
      </c>
      <c r="D437" s="1401">
        <v>37042</v>
      </c>
      <c r="E437" s="1400">
        <v>9033</v>
      </c>
      <c r="F437" s="1397" t="s">
        <v>2466</v>
      </c>
      <c r="G437" s="1399">
        <v>37099.47</v>
      </c>
      <c r="H437" s="1399">
        <f t="shared" si="13"/>
        <v>48951.962785888136</v>
      </c>
      <c r="I437" s="1399"/>
      <c r="J437" s="1399" t="str">
        <f t="shared" si="12"/>
        <v>Include</v>
      </c>
      <c r="K437" s="1398"/>
    </row>
    <row r="438" spans="3:11" s="1397" customFormat="1">
      <c r="C438" s="1414">
        <v>35795</v>
      </c>
      <c r="D438" s="1401">
        <v>36102</v>
      </c>
      <c r="E438" s="1400">
        <v>9063</v>
      </c>
      <c r="F438" s="1403" t="s">
        <v>2465</v>
      </c>
      <c r="G438" s="1399">
        <v>37098.400000000001</v>
      </c>
      <c r="H438" s="1399">
        <f t="shared" si="13"/>
        <v>48950.550943611655</v>
      </c>
      <c r="I438" s="1399"/>
      <c r="J438" s="1399" t="str">
        <f t="shared" si="12"/>
        <v>Include</v>
      </c>
      <c r="K438" s="1398"/>
    </row>
    <row r="439" spans="3:11" s="1397" customFormat="1">
      <c r="C439" s="1414">
        <v>34949</v>
      </c>
      <c r="D439" s="1401">
        <v>35264</v>
      </c>
      <c r="E439" s="1400">
        <v>9828</v>
      </c>
      <c r="F439" s="1415" t="s">
        <v>2464</v>
      </c>
      <c r="G439" s="1399">
        <v>37010.050000000003</v>
      </c>
      <c r="H439" s="1399">
        <f t="shared" si="13"/>
        <v>50806.867584688807</v>
      </c>
      <c r="I439" s="1399">
        <v>1</v>
      </c>
      <c r="J439" s="1399" t="str">
        <f t="shared" si="12"/>
        <v>Exclude</v>
      </c>
      <c r="K439" s="1398"/>
    </row>
    <row r="440" spans="3:11" s="1397" customFormat="1">
      <c r="C440" s="1414">
        <v>35948</v>
      </c>
      <c r="D440" s="1401">
        <v>37190</v>
      </c>
      <c r="E440" s="1400">
        <v>9141</v>
      </c>
      <c r="F440" s="1397" t="s">
        <v>2463</v>
      </c>
      <c r="G440" s="1399">
        <v>36917.83</v>
      </c>
      <c r="H440" s="1399">
        <f t="shared" si="13"/>
        <v>47757.149669966071</v>
      </c>
      <c r="I440" s="1399"/>
      <c r="J440" s="1399" t="str">
        <f t="shared" si="12"/>
        <v>Include</v>
      </c>
      <c r="K440" s="1398"/>
    </row>
    <row r="441" spans="3:11" s="1397" customFormat="1">
      <c r="C441" s="1414">
        <v>36194</v>
      </c>
      <c r="D441" s="1401">
        <v>36831</v>
      </c>
      <c r="E441" s="1400">
        <v>9230</v>
      </c>
      <c r="F441" s="1397" t="s">
        <v>2462</v>
      </c>
      <c r="G441" s="1399">
        <v>36783.199999999997</v>
      </c>
      <c r="H441" s="1399">
        <f t="shared" si="13"/>
        <v>46649.991577753011</v>
      </c>
      <c r="I441" s="1399"/>
      <c r="J441" s="1399" t="str">
        <f t="shared" si="12"/>
        <v>Include</v>
      </c>
      <c r="K441" s="1398"/>
    </row>
    <row r="442" spans="3:11" s="1397" customFormat="1">
      <c r="C442" s="1414">
        <v>36008</v>
      </c>
      <c r="D442" s="1401">
        <v>36340</v>
      </c>
      <c r="E442" s="1400">
        <v>9162</v>
      </c>
      <c r="F442" s="1397" t="s">
        <v>2461</v>
      </c>
      <c r="G442" s="1399">
        <v>36719</v>
      </c>
      <c r="H442" s="1399">
        <f t="shared" si="13"/>
        <v>47499.941863632936</v>
      </c>
      <c r="I442" s="1399"/>
      <c r="J442" s="1399" t="str">
        <f t="shared" si="12"/>
        <v>Include</v>
      </c>
      <c r="K442" s="1398"/>
    </row>
    <row r="443" spans="3:11" s="1397" customFormat="1">
      <c r="C443" s="1414">
        <v>36342</v>
      </c>
      <c r="D443" s="1401">
        <v>36830</v>
      </c>
      <c r="E443" s="1400">
        <v>9288</v>
      </c>
      <c r="F443" s="1397" t="s">
        <v>2460</v>
      </c>
      <c r="G443" s="1399">
        <v>36026</v>
      </c>
      <c r="H443" s="1399">
        <f t="shared" si="13"/>
        <v>45689.678890910254</v>
      </c>
      <c r="I443" s="1399"/>
      <c r="J443" s="1399" t="str">
        <f t="shared" si="12"/>
        <v>Include</v>
      </c>
      <c r="K443" s="1398"/>
    </row>
    <row r="444" spans="3:11" s="1397" customFormat="1">
      <c r="C444" s="1414">
        <v>36579</v>
      </c>
      <c r="D444" s="1401">
        <v>37587</v>
      </c>
      <c r="E444" s="1400">
        <v>9385</v>
      </c>
      <c r="F444" s="1403" t="s">
        <v>2459</v>
      </c>
      <c r="G444" s="1399">
        <v>35969.89</v>
      </c>
      <c r="H444" s="1399">
        <f t="shared" si="13"/>
        <v>44724.037101781709</v>
      </c>
      <c r="I444" s="1399"/>
      <c r="J444" s="1399" t="str">
        <f t="shared" si="12"/>
        <v>Include</v>
      </c>
      <c r="K444" s="1398"/>
    </row>
    <row r="445" spans="3:11" s="1397" customFormat="1">
      <c r="C445" s="1414">
        <v>35856</v>
      </c>
      <c r="D445" s="1401" t="s">
        <v>2343</v>
      </c>
      <c r="E445" s="1400">
        <v>9088</v>
      </c>
      <c r="F445" s="1415" t="s">
        <v>2458</v>
      </c>
      <c r="G445" s="1399">
        <v>35245.08</v>
      </c>
      <c r="H445" s="1399">
        <f t="shared" si="13"/>
        <v>45593.269178874485</v>
      </c>
      <c r="I445" s="1399">
        <v>1</v>
      </c>
      <c r="J445" s="1399" t="str">
        <f t="shared" si="12"/>
        <v>Exclude</v>
      </c>
      <c r="K445" s="1406"/>
    </row>
    <row r="446" spans="3:11" s="1397" customFormat="1">
      <c r="C446" s="1414">
        <v>35957</v>
      </c>
      <c r="D446" s="1401">
        <v>36252</v>
      </c>
      <c r="E446" s="1400">
        <v>9146</v>
      </c>
      <c r="F446" s="1415" t="s">
        <v>2457</v>
      </c>
      <c r="G446" s="1399">
        <v>35123</v>
      </c>
      <c r="H446" s="1399">
        <f t="shared" si="13"/>
        <v>45435.345681428684</v>
      </c>
      <c r="I446" s="1399">
        <v>1</v>
      </c>
      <c r="J446" s="1399" t="str">
        <f t="shared" si="12"/>
        <v>Exclude</v>
      </c>
      <c r="K446" s="1398"/>
    </row>
    <row r="447" spans="3:11" s="1397" customFormat="1">
      <c r="C447" s="1414">
        <v>35606</v>
      </c>
      <c r="D447" s="1401">
        <v>37124</v>
      </c>
      <c r="E447" s="1400">
        <v>9006</v>
      </c>
      <c r="F447" s="1415" t="s">
        <v>2456</v>
      </c>
      <c r="G447" s="1399">
        <v>34836.14</v>
      </c>
      <c r="H447" s="1399">
        <f t="shared" si="13"/>
        <v>45965.546917085041</v>
      </c>
      <c r="I447" s="1399">
        <v>1</v>
      </c>
      <c r="J447" s="1399" t="str">
        <f t="shared" si="12"/>
        <v>Exclude</v>
      </c>
      <c r="K447" s="1398"/>
    </row>
    <row r="448" spans="3:11" s="1397" customFormat="1">
      <c r="C448" s="1414">
        <v>35730</v>
      </c>
      <c r="D448" s="1401">
        <v>36166</v>
      </c>
      <c r="E448" s="1400">
        <v>9037</v>
      </c>
      <c r="F448" s="1397" t="s">
        <v>2455</v>
      </c>
      <c r="G448" s="1399">
        <v>34752</v>
      </c>
      <c r="H448" s="1399">
        <f t="shared" si="13"/>
        <v>45854.525973960932</v>
      </c>
      <c r="I448" s="1399"/>
      <c r="J448" s="1399" t="str">
        <f t="shared" si="12"/>
        <v>Include</v>
      </c>
      <c r="K448" s="1398"/>
    </row>
    <row r="449" spans="3:10" s="1397" customFormat="1">
      <c r="C449" s="1414">
        <v>36524</v>
      </c>
      <c r="D449" s="1401">
        <v>36831</v>
      </c>
      <c r="E449" s="1400">
        <v>9352</v>
      </c>
      <c r="F449" s="1397" t="s">
        <v>2454</v>
      </c>
      <c r="G449" s="1399">
        <v>34708.879999999997</v>
      </c>
      <c r="H449" s="1399">
        <f t="shared" si="13"/>
        <v>44019.252258456036</v>
      </c>
      <c r="I449" s="1399"/>
      <c r="J449" s="1399" t="str">
        <f t="shared" si="12"/>
        <v>Include</v>
      </c>
    </row>
    <row r="450" spans="3:10" s="1397" customFormat="1">
      <c r="C450" s="1414">
        <v>36427</v>
      </c>
      <c r="D450" s="1401">
        <v>37124</v>
      </c>
      <c r="E450" s="1400">
        <v>9323</v>
      </c>
      <c r="F450" s="1397" t="s">
        <v>2453</v>
      </c>
      <c r="G450" s="1399">
        <v>34700</v>
      </c>
      <c r="H450" s="1399">
        <f t="shared" si="13"/>
        <v>44007.990271320319</v>
      </c>
      <c r="I450" s="1399"/>
      <c r="J450" s="1399" t="str">
        <f t="shared" si="12"/>
        <v>Include</v>
      </c>
    </row>
    <row r="451" spans="3:10" s="1397" customFormat="1">
      <c r="C451" s="1414">
        <v>35820</v>
      </c>
      <c r="D451" s="1401">
        <v>36166</v>
      </c>
      <c r="E451" s="1400">
        <v>9068</v>
      </c>
      <c r="F451" s="1397" t="s">
        <v>2452</v>
      </c>
      <c r="G451" s="1399">
        <v>34290.370000000003</v>
      </c>
      <c r="H451" s="1399">
        <f t="shared" si="13"/>
        <v>44358.249992713936</v>
      </c>
      <c r="I451" s="1399"/>
      <c r="J451" s="1399" t="str">
        <f t="shared" si="12"/>
        <v>Include</v>
      </c>
    </row>
    <row r="452" spans="3:10" s="1397" customFormat="1">
      <c r="C452" s="1414">
        <v>35829</v>
      </c>
      <c r="D452" s="1401">
        <v>36102</v>
      </c>
      <c r="E452" s="1400">
        <v>9084</v>
      </c>
      <c r="F452" s="1397" t="s">
        <v>2451</v>
      </c>
      <c r="G452" s="1399">
        <v>34005</v>
      </c>
      <c r="H452" s="1399">
        <f t="shared" si="13"/>
        <v>43989.093468581334</v>
      </c>
      <c r="I452" s="1399"/>
      <c r="J452" s="1399" t="str">
        <f t="shared" si="12"/>
        <v>Include</v>
      </c>
    </row>
    <row r="453" spans="3:10" s="1397" customFormat="1">
      <c r="C453" s="1414">
        <v>33952</v>
      </c>
      <c r="D453" s="1401">
        <v>34502</v>
      </c>
      <c r="E453" s="1400">
        <v>9521</v>
      </c>
      <c r="F453" s="1403" t="s">
        <v>2450</v>
      </c>
      <c r="G453" s="1399">
        <v>33923</v>
      </c>
      <c r="H453" s="1399">
        <f t="shared" si="13"/>
        <v>49419.405405660495</v>
      </c>
      <c r="I453" s="1399"/>
      <c r="J453" s="1399" t="str">
        <f t="shared" si="12"/>
        <v>Include</v>
      </c>
    </row>
    <row r="454" spans="3:10" s="1397" customFormat="1">
      <c r="C454" s="1414">
        <v>36564</v>
      </c>
      <c r="D454" s="1401">
        <v>37124</v>
      </c>
      <c r="E454" s="1400">
        <v>9391</v>
      </c>
      <c r="F454" s="1397" t="s">
        <v>2449</v>
      </c>
      <c r="G454" s="1399">
        <v>33855.25</v>
      </c>
      <c r="H454" s="1399">
        <f t="shared" si="13"/>
        <v>42094.748054278039</v>
      </c>
      <c r="I454" s="1399"/>
      <c r="J454" s="1399" t="str">
        <f t="shared" si="12"/>
        <v>Include</v>
      </c>
    </row>
    <row r="455" spans="3:10" s="1397" customFormat="1">
      <c r="C455" s="1414">
        <v>35797</v>
      </c>
      <c r="D455" s="1401">
        <v>36252</v>
      </c>
      <c r="E455" s="1400">
        <v>9107</v>
      </c>
      <c r="F455" s="1397" t="s">
        <v>2448</v>
      </c>
      <c r="G455" s="1399">
        <v>33358.35</v>
      </c>
      <c r="H455" s="1399">
        <f t="shared" si="13"/>
        <v>43152.58274099839</v>
      </c>
      <c r="I455" s="1399"/>
      <c r="J455" s="1399" t="str">
        <f t="shared" si="12"/>
        <v>Include</v>
      </c>
    </row>
    <row r="456" spans="3:10" s="1397" customFormat="1">
      <c r="C456" s="1414">
        <v>35641</v>
      </c>
      <c r="D456" s="1401">
        <v>35970</v>
      </c>
      <c r="E456" s="1400">
        <v>9021</v>
      </c>
      <c r="F456" s="1397" t="s">
        <v>2447</v>
      </c>
      <c r="G456" s="1399">
        <v>33305</v>
      </c>
      <c r="H456" s="1399">
        <f t="shared" si="13"/>
        <v>43945.240203808957</v>
      </c>
      <c r="I456" s="1399"/>
      <c r="J456" s="1399" t="str">
        <f t="shared" si="12"/>
        <v>Include</v>
      </c>
    </row>
    <row r="457" spans="3:10" s="1397" customFormat="1">
      <c r="C457" s="1414">
        <v>34936</v>
      </c>
      <c r="D457" s="1401">
        <v>35118</v>
      </c>
      <c r="E457" s="1400">
        <v>9823</v>
      </c>
      <c r="F457" s="1403" t="s">
        <v>2446</v>
      </c>
      <c r="G457" s="1399">
        <v>33158.33</v>
      </c>
      <c r="H457" s="1399">
        <f t="shared" si="13"/>
        <v>45519.281428677197</v>
      </c>
      <c r="I457" s="1399"/>
      <c r="J457" s="1399" t="str">
        <f t="shared" si="12"/>
        <v>Include</v>
      </c>
    </row>
    <row r="458" spans="3:10" s="1397" customFormat="1">
      <c r="C458" s="1414">
        <v>35607</v>
      </c>
      <c r="D458" s="1401">
        <v>35864</v>
      </c>
      <c r="E458" s="1400">
        <v>9008</v>
      </c>
      <c r="F458" s="1415" t="s">
        <v>2445</v>
      </c>
      <c r="G458" s="1399">
        <v>32900</v>
      </c>
      <c r="H458" s="1399">
        <f t="shared" si="13"/>
        <v>43410.851304768497</v>
      </c>
      <c r="I458" s="1399">
        <v>1</v>
      </c>
      <c r="J458" s="1399" t="str">
        <f t="shared" si="12"/>
        <v>Exclude</v>
      </c>
    </row>
    <row r="459" spans="3:10" s="1397" customFormat="1">
      <c r="C459" s="1414">
        <v>35193</v>
      </c>
      <c r="D459" s="1401">
        <v>35340</v>
      </c>
      <c r="E459" s="1400">
        <v>9886</v>
      </c>
      <c r="F459" s="1403" t="s">
        <v>2444</v>
      </c>
      <c r="G459" s="1399">
        <v>32790</v>
      </c>
      <c r="H459" s="1399">
        <f t="shared" si="13"/>
        <v>44131.022813648196</v>
      </c>
      <c r="I459" s="1399"/>
      <c r="J459" s="1399" t="str">
        <f t="shared" ref="J459:J522" si="14">IF(I459=1,"Exclude","Include")</f>
        <v>Include</v>
      </c>
    </row>
    <row r="460" spans="3:10" s="1397" customFormat="1">
      <c r="C460" s="1414">
        <v>34982</v>
      </c>
      <c r="D460" s="1401">
        <v>35145</v>
      </c>
      <c r="E460" s="1400">
        <v>9841</v>
      </c>
      <c r="F460" s="1403" t="s">
        <v>2443</v>
      </c>
      <c r="G460" s="1399">
        <v>32320.46</v>
      </c>
      <c r="H460" s="1399">
        <f t="shared" si="13"/>
        <v>44369.065469952919</v>
      </c>
      <c r="I460" s="1399"/>
      <c r="J460" s="1399" t="str">
        <f t="shared" si="14"/>
        <v>Include</v>
      </c>
    </row>
    <row r="461" spans="3:10" s="1397" customFormat="1">
      <c r="C461" s="1414">
        <v>34862</v>
      </c>
      <c r="D461" s="1401">
        <v>35213</v>
      </c>
      <c r="E461" s="1400">
        <v>9805</v>
      </c>
      <c r="F461" s="1403" t="s">
        <v>2442</v>
      </c>
      <c r="G461" s="1399">
        <v>32301.200000000001</v>
      </c>
      <c r="H461" s="1399">
        <f t="shared" si="13"/>
        <v>44342.625617272875</v>
      </c>
      <c r="I461" s="1399"/>
      <c r="J461" s="1399" t="str">
        <f t="shared" si="14"/>
        <v>Include</v>
      </c>
    </row>
    <row r="462" spans="3:10" s="1397" customFormat="1">
      <c r="C462" s="1414">
        <v>36661</v>
      </c>
      <c r="D462" s="1401">
        <v>37319</v>
      </c>
      <c r="E462" s="1400">
        <v>9408</v>
      </c>
      <c r="F462" s="1403" t="s">
        <v>2441</v>
      </c>
      <c r="G462" s="1399">
        <v>32289</v>
      </c>
      <c r="H462" s="1399">
        <f t="shared" si="13"/>
        <v>40147.313043754919</v>
      </c>
      <c r="I462" s="1399"/>
      <c r="J462" s="1399" t="str">
        <f t="shared" si="14"/>
        <v>Include</v>
      </c>
    </row>
    <row r="463" spans="3:10" s="1397" customFormat="1">
      <c r="C463" s="1414">
        <v>35551</v>
      </c>
      <c r="D463" s="1401">
        <v>35760</v>
      </c>
      <c r="E463" s="1400">
        <v>9985</v>
      </c>
      <c r="F463" s="1403" t="s">
        <v>2440</v>
      </c>
      <c r="G463" s="1399">
        <v>32127.39</v>
      </c>
      <c r="H463" s="1399">
        <f t="shared" si="13"/>
        <v>42391.40881763849</v>
      </c>
      <c r="I463" s="1399"/>
      <c r="J463" s="1399" t="str">
        <f t="shared" si="14"/>
        <v>Include</v>
      </c>
    </row>
    <row r="464" spans="3:10" s="1397" customFormat="1">
      <c r="C464" s="1414">
        <v>36220</v>
      </c>
      <c r="D464" s="1401">
        <v>36472</v>
      </c>
      <c r="E464" s="1400">
        <v>9241</v>
      </c>
      <c r="F464" s="1403" t="s">
        <v>2439</v>
      </c>
      <c r="G464" s="1399">
        <v>32088.5</v>
      </c>
      <c r="H464" s="1399">
        <f t="shared" si="13"/>
        <v>40695.976824820231</v>
      </c>
      <c r="I464" s="1399"/>
      <c r="J464" s="1399" t="str">
        <f t="shared" si="14"/>
        <v>Include</v>
      </c>
    </row>
    <row r="465" spans="3:13">
      <c r="C465" s="1414">
        <v>36654</v>
      </c>
      <c r="D465" s="1401">
        <v>37190</v>
      </c>
      <c r="E465" s="1400">
        <v>9430</v>
      </c>
      <c r="F465" s="1403" t="s">
        <v>2438</v>
      </c>
      <c r="G465" s="1399">
        <v>31820.49</v>
      </c>
      <c r="H465" s="1399">
        <f t="shared" si="13"/>
        <v>39564.77974652894</v>
      </c>
      <c r="J465" s="1399" t="str">
        <f t="shared" si="14"/>
        <v>Include</v>
      </c>
    </row>
    <row r="466" spans="3:13">
      <c r="C466" s="1414">
        <v>35977</v>
      </c>
      <c r="D466" s="1401">
        <v>36586</v>
      </c>
      <c r="E466" s="1400">
        <v>9161</v>
      </c>
      <c r="F466" s="1403" t="s">
        <v>2437</v>
      </c>
      <c r="G466" s="1399">
        <v>31674.3</v>
      </c>
      <c r="H466" s="1399">
        <f t="shared" si="13"/>
        <v>40974.084494982671</v>
      </c>
      <c r="J466" s="1399" t="str">
        <f t="shared" si="14"/>
        <v>Include</v>
      </c>
    </row>
    <row r="467" spans="3:13">
      <c r="C467" s="1414">
        <v>35899</v>
      </c>
      <c r="D467" s="1401">
        <v>37182</v>
      </c>
      <c r="E467" s="1400">
        <v>9116</v>
      </c>
      <c r="F467" s="1403" t="s">
        <v>2436</v>
      </c>
      <c r="G467" s="1399">
        <v>31378.03</v>
      </c>
      <c r="H467" s="1399">
        <f t="shared" si="13"/>
        <v>40590.827658578128</v>
      </c>
      <c r="J467" s="1399" t="str">
        <f t="shared" si="14"/>
        <v>Include</v>
      </c>
    </row>
    <row r="468" spans="3:13">
      <c r="C468" s="1414">
        <v>35781</v>
      </c>
      <c r="D468" s="1401">
        <v>36831</v>
      </c>
      <c r="E468" s="1400">
        <v>9061</v>
      </c>
      <c r="F468" s="1397" t="s">
        <v>2435</v>
      </c>
      <c r="G468" s="1399">
        <v>31304.240000000002</v>
      </c>
      <c r="H468" s="1399">
        <f t="shared" ref="H468:H531" si="15">G468*(1+$N$6)^(2011-YEAR(C468))</f>
        <v>41305.279873823289</v>
      </c>
      <c r="J468" s="1399" t="str">
        <f t="shared" si="14"/>
        <v>Include</v>
      </c>
    </row>
    <row r="469" spans="3:13">
      <c r="C469" s="1414">
        <v>33792</v>
      </c>
      <c r="D469" s="1401">
        <v>34026</v>
      </c>
      <c r="E469" s="1400">
        <v>9489</v>
      </c>
      <c r="F469" s="1397" t="s">
        <v>2434</v>
      </c>
      <c r="G469" s="1399">
        <v>31231.15</v>
      </c>
      <c r="H469" s="1399">
        <f t="shared" si="15"/>
        <v>45497.888250891541</v>
      </c>
      <c r="J469" s="1399" t="str">
        <f t="shared" si="14"/>
        <v>Include</v>
      </c>
    </row>
    <row r="470" spans="3:13">
      <c r="C470" s="1414">
        <v>35290</v>
      </c>
      <c r="D470" s="1401">
        <v>35391</v>
      </c>
      <c r="E470" s="1400">
        <v>9920</v>
      </c>
      <c r="F470" s="1397" t="s">
        <v>2433</v>
      </c>
      <c r="G470" s="1399">
        <v>31178</v>
      </c>
      <c r="H470" s="1399">
        <f t="shared" si="15"/>
        <v>41961.483052269701</v>
      </c>
      <c r="J470" s="1399" t="str">
        <f t="shared" si="14"/>
        <v>Include</v>
      </c>
    </row>
    <row r="471" spans="3:13">
      <c r="C471" s="1414">
        <v>33403</v>
      </c>
      <c r="D471" s="1401">
        <v>33693</v>
      </c>
      <c r="E471" s="1400">
        <v>9409</v>
      </c>
      <c r="F471" s="1397" t="s">
        <v>2432</v>
      </c>
      <c r="G471" s="1399">
        <v>31041</v>
      </c>
      <c r="H471" s="1399">
        <f t="shared" si="15"/>
        <v>46125.293118564092</v>
      </c>
      <c r="J471" s="1399" t="str">
        <f t="shared" si="14"/>
        <v>Include</v>
      </c>
    </row>
    <row r="472" spans="3:13">
      <c r="C472" s="1414">
        <v>35247</v>
      </c>
      <c r="D472" s="1401">
        <v>35467</v>
      </c>
      <c r="E472" s="1400">
        <v>9924</v>
      </c>
      <c r="F472" s="1415" t="s">
        <v>2431</v>
      </c>
      <c r="G472" s="1399">
        <v>31007</v>
      </c>
      <c r="H472" s="1399">
        <f t="shared" si="15"/>
        <v>41731.339566416274</v>
      </c>
      <c r="I472" s="1399">
        <v>1</v>
      </c>
      <c r="J472" s="1399" t="str">
        <f t="shared" si="14"/>
        <v>Exclude</v>
      </c>
    </row>
    <row r="473" spans="3:13">
      <c r="C473" s="1414">
        <v>36144</v>
      </c>
      <c r="D473" s="1401">
        <v>37124</v>
      </c>
      <c r="E473" s="1400">
        <v>9208</v>
      </c>
      <c r="F473" s="1397" t="s">
        <v>2430</v>
      </c>
      <c r="G473" s="1399">
        <v>30497.06</v>
      </c>
      <c r="H473" s="1399">
        <f t="shared" si="15"/>
        <v>39451.199025347247</v>
      </c>
      <c r="J473" s="1399" t="str">
        <f t="shared" si="14"/>
        <v>Include</v>
      </c>
    </row>
    <row r="474" spans="3:13">
      <c r="C474" s="1414">
        <v>34943</v>
      </c>
      <c r="D474" s="1401">
        <v>35145</v>
      </c>
      <c r="E474" s="1400">
        <v>9850</v>
      </c>
      <c r="F474" s="1403" t="s">
        <v>2429</v>
      </c>
      <c r="G474" s="1399">
        <v>30387.18</v>
      </c>
      <c r="H474" s="1399">
        <f t="shared" si="15"/>
        <v>41715.086322015348</v>
      </c>
      <c r="J474" s="1399" t="str">
        <f t="shared" si="14"/>
        <v>Include</v>
      </c>
    </row>
    <row r="475" spans="3:13">
      <c r="C475" s="1414">
        <v>35815</v>
      </c>
      <c r="D475" s="1401">
        <v>35970</v>
      </c>
      <c r="E475" s="1400">
        <v>9072</v>
      </c>
      <c r="F475" s="1403" t="s">
        <v>2428</v>
      </c>
      <c r="G475" s="1399">
        <v>30112.400000000001</v>
      </c>
      <c r="H475" s="1399">
        <f t="shared" si="15"/>
        <v>38953.600298876889</v>
      </c>
      <c r="J475" s="1399" t="str">
        <f t="shared" si="14"/>
        <v>Include</v>
      </c>
    </row>
    <row r="476" spans="3:13">
      <c r="C476" s="1414">
        <v>36213</v>
      </c>
      <c r="D476" s="1401">
        <v>36472</v>
      </c>
      <c r="E476" s="1400">
        <v>9222</v>
      </c>
      <c r="F476" s="1403" t="s">
        <v>2427</v>
      </c>
      <c r="G476" s="1399">
        <v>30099.39</v>
      </c>
      <c r="H476" s="1399">
        <f t="shared" si="15"/>
        <v>38173.304388837925</v>
      </c>
      <c r="J476" s="1399" t="str">
        <f t="shared" si="14"/>
        <v>Include</v>
      </c>
    </row>
    <row r="477" spans="3:13">
      <c r="C477" s="1414">
        <v>35577</v>
      </c>
      <c r="D477" s="1401">
        <v>37572</v>
      </c>
      <c r="E477" s="1400">
        <v>9999</v>
      </c>
      <c r="F477" s="1403" t="s">
        <v>2426</v>
      </c>
      <c r="G477" s="1399">
        <v>30000</v>
      </c>
      <c r="H477" s="1399">
        <f t="shared" si="15"/>
        <v>39584.362891886165</v>
      </c>
      <c r="J477" s="1399" t="str">
        <f t="shared" si="14"/>
        <v>Include</v>
      </c>
    </row>
    <row r="478" spans="3:13">
      <c r="C478" s="1414">
        <v>35551</v>
      </c>
      <c r="D478" s="1401">
        <v>35970</v>
      </c>
      <c r="E478" s="1400">
        <v>9984</v>
      </c>
      <c r="F478" s="1403" t="s">
        <v>2425</v>
      </c>
      <c r="G478" s="1399">
        <v>30000</v>
      </c>
      <c r="H478" s="1399">
        <f t="shared" si="15"/>
        <v>39584.362891886165</v>
      </c>
      <c r="J478" s="1399" t="str">
        <f t="shared" si="14"/>
        <v>Include</v>
      </c>
    </row>
    <row r="479" spans="3:13">
      <c r="C479" s="1414">
        <v>33984</v>
      </c>
      <c r="D479" s="1401">
        <v>34537</v>
      </c>
      <c r="E479" s="1400">
        <v>9528</v>
      </c>
      <c r="F479" s="1397" t="s">
        <v>2424</v>
      </c>
      <c r="G479" s="1399">
        <v>30000</v>
      </c>
      <c r="H479" s="1399">
        <f t="shared" si="15"/>
        <v>42847.38742728818</v>
      </c>
      <c r="J479" s="1399" t="str">
        <f t="shared" si="14"/>
        <v>Include</v>
      </c>
      <c r="L479" s="1418"/>
      <c r="M479" s="1418"/>
    </row>
    <row r="480" spans="3:13">
      <c r="C480" s="1414">
        <v>36175</v>
      </c>
      <c r="D480" s="1401">
        <v>36320</v>
      </c>
      <c r="E480" s="1400">
        <v>9199</v>
      </c>
      <c r="F480" s="1397" t="s">
        <v>2423</v>
      </c>
      <c r="G480" s="1399">
        <v>29753</v>
      </c>
      <c r="H480" s="1399">
        <f t="shared" si="15"/>
        <v>37733.998113619411</v>
      </c>
      <c r="J480" s="1399" t="str">
        <f t="shared" si="14"/>
        <v>Include</v>
      </c>
    </row>
    <row r="481" spans="3:10" s="1397" customFormat="1">
      <c r="C481" s="1414">
        <v>35272</v>
      </c>
      <c r="D481" s="1401">
        <v>35391</v>
      </c>
      <c r="E481" s="1400">
        <v>9916</v>
      </c>
      <c r="F481" s="1397" t="s">
        <v>2422</v>
      </c>
      <c r="G481" s="1399">
        <v>29748</v>
      </c>
      <c r="H481" s="1399">
        <f t="shared" si="15"/>
        <v>40036.891328466198</v>
      </c>
      <c r="I481" s="1399"/>
      <c r="J481" s="1399" t="str">
        <f t="shared" si="14"/>
        <v>Include</v>
      </c>
    </row>
    <row r="482" spans="3:10" s="1397" customFormat="1">
      <c r="C482" s="1414">
        <v>36175</v>
      </c>
      <c r="D482" s="1401">
        <v>36531</v>
      </c>
      <c r="E482" s="1400">
        <v>9214</v>
      </c>
      <c r="F482" s="1397" t="s">
        <v>2421</v>
      </c>
      <c r="G482" s="1399">
        <v>29694.080000000002</v>
      </c>
      <c r="H482" s="1399">
        <f t="shared" si="15"/>
        <v>37659.273307083786</v>
      </c>
      <c r="I482" s="1399"/>
      <c r="J482" s="1399" t="str">
        <f t="shared" si="14"/>
        <v>Include</v>
      </c>
    </row>
    <row r="483" spans="3:10" s="1397" customFormat="1">
      <c r="C483" s="1414">
        <v>35977</v>
      </c>
      <c r="D483" s="1401">
        <v>36340</v>
      </c>
      <c r="E483" s="1400">
        <v>9159</v>
      </c>
      <c r="F483" s="1397" t="s">
        <v>2420</v>
      </c>
      <c r="G483" s="1399">
        <v>29000</v>
      </c>
      <c r="H483" s="1399">
        <f t="shared" si="15"/>
        <v>37514.592283160084</v>
      </c>
      <c r="I483" s="1399"/>
      <c r="J483" s="1399" t="str">
        <f t="shared" si="14"/>
        <v>Include</v>
      </c>
    </row>
    <row r="484" spans="3:10" s="1397" customFormat="1">
      <c r="C484" s="1414">
        <v>33359</v>
      </c>
      <c r="D484" s="1401">
        <v>33436</v>
      </c>
      <c r="E484" s="1400">
        <v>9401</v>
      </c>
      <c r="F484" s="1397" t="s">
        <v>2419</v>
      </c>
      <c r="G484" s="1399">
        <v>28917</v>
      </c>
      <c r="H484" s="1399">
        <f t="shared" si="15"/>
        <v>42969.140849506068</v>
      </c>
      <c r="I484" s="1399"/>
      <c r="J484" s="1399" t="str">
        <f t="shared" si="14"/>
        <v>Include</v>
      </c>
    </row>
    <row r="485" spans="3:10" s="1397" customFormat="1">
      <c r="C485" s="1414">
        <v>35976</v>
      </c>
      <c r="D485" s="1401">
        <v>36704</v>
      </c>
      <c r="E485" s="1400">
        <v>9165</v>
      </c>
      <c r="F485" s="1403" t="s">
        <v>2418</v>
      </c>
      <c r="G485" s="1399">
        <v>28859.4</v>
      </c>
      <c r="H485" s="1399">
        <f t="shared" si="15"/>
        <v>37332.711190918286</v>
      </c>
      <c r="I485" s="1399"/>
      <c r="J485" s="1399" t="str">
        <f t="shared" si="14"/>
        <v>Include</v>
      </c>
    </row>
    <row r="486" spans="3:10" s="1397" customFormat="1">
      <c r="C486" s="1414">
        <v>36145</v>
      </c>
      <c r="D486" s="1401">
        <v>36532</v>
      </c>
      <c r="E486" s="1400">
        <v>9203</v>
      </c>
      <c r="F486" s="1403" t="s">
        <v>2417</v>
      </c>
      <c r="G486" s="1399">
        <v>28709</v>
      </c>
      <c r="H486" s="1399">
        <f t="shared" si="15"/>
        <v>37138.152753698028</v>
      </c>
      <c r="I486" s="1399"/>
      <c r="J486" s="1399" t="str">
        <f t="shared" si="14"/>
        <v>Include</v>
      </c>
    </row>
    <row r="487" spans="3:10" s="1397" customFormat="1">
      <c r="C487" s="1414">
        <v>36371</v>
      </c>
      <c r="D487" s="1401">
        <v>37319</v>
      </c>
      <c r="E487" s="1400">
        <v>9302</v>
      </c>
      <c r="F487" s="1403" t="s">
        <v>2416</v>
      </c>
      <c r="G487" s="1399">
        <v>28543.63</v>
      </c>
      <c r="H487" s="1399">
        <f t="shared" si="15"/>
        <v>36200.224534529305</v>
      </c>
      <c r="I487" s="1399"/>
      <c r="J487" s="1399" t="str">
        <f t="shared" si="14"/>
        <v>Include</v>
      </c>
    </row>
    <row r="488" spans="3:10" s="1397" customFormat="1">
      <c r="C488" s="1414">
        <v>34870</v>
      </c>
      <c r="D488" s="1401">
        <v>35247</v>
      </c>
      <c r="E488" s="1400">
        <v>9806</v>
      </c>
      <c r="F488" s="1397" t="s">
        <v>2415</v>
      </c>
      <c r="G488" s="1399">
        <v>28493</v>
      </c>
      <c r="H488" s="1399">
        <f t="shared" si="15"/>
        <v>39114.783095146806</v>
      </c>
      <c r="I488" s="1399"/>
      <c r="J488" s="1399" t="str">
        <f t="shared" si="14"/>
        <v>Include</v>
      </c>
    </row>
    <row r="489" spans="3:10" s="1397" customFormat="1">
      <c r="C489" s="1414">
        <v>36404</v>
      </c>
      <c r="D489" s="1401">
        <v>37042</v>
      </c>
      <c r="E489" s="1400">
        <v>9380</v>
      </c>
      <c r="F489" s="1397" t="s">
        <v>2414</v>
      </c>
      <c r="G489" s="1399">
        <v>28285.93</v>
      </c>
      <c r="H489" s="1399">
        <f t="shared" si="15"/>
        <v>35873.398624070534</v>
      </c>
      <c r="I489" s="1399"/>
      <c r="J489" s="1399" t="str">
        <f t="shared" si="14"/>
        <v>Include</v>
      </c>
    </row>
    <row r="490" spans="3:10" s="1397" customFormat="1">
      <c r="C490" s="1414">
        <v>35878</v>
      </c>
      <c r="D490" s="1401">
        <v>36102</v>
      </c>
      <c r="E490" s="1400">
        <v>9115</v>
      </c>
      <c r="F490" s="1415" t="s">
        <v>2413</v>
      </c>
      <c r="G490" s="1399">
        <v>28000</v>
      </c>
      <c r="H490" s="1399">
        <f t="shared" si="15"/>
        <v>36220.985652706288</v>
      </c>
      <c r="I490" s="1399">
        <v>1</v>
      </c>
      <c r="J490" s="1399" t="str">
        <f t="shared" si="14"/>
        <v>Exclude</v>
      </c>
    </row>
    <row r="491" spans="3:10" s="1397" customFormat="1">
      <c r="C491" s="1414">
        <v>35838</v>
      </c>
      <c r="D491" s="1401">
        <v>36158</v>
      </c>
      <c r="E491" s="1400">
        <v>9077</v>
      </c>
      <c r="F491" s="1403" t="s">
        <v>2412</v>
      </c>
      <c r="G491" s="1399">
        <v>28000</v>
      </c>
      <c r="H491" s="1399">
        <f t="shared" si="15"/>
        <v>36220.985652706288</v>
      </c>
      <c r="I491" s="1399"/>
      <c r="J491" s="1399" t="str">
        <f t="shared" si="14"/>
        <v>Include</v>
      </c>
    </row>
    <row r="492" spans="3:10" s="1397" customFormat="1">
      <c r="C492" s="1414">
        <v>35675</v>
      </c>
      <c r="D492" s="1401">
        <v>35831</v>
      </c>
      <c r="E492" s="1400">
        <v>9024</v>
      </c>
      <c r="F492" s="1397" t="s">
        <v>2411</v>
      </c>
      <c r="G492" s="1399">
        <v>27825</v>
      </c>
      <c r="H492" s="1399">
        <f t="shared" si="15"/>
        <v>36714.496582224419</v>
      </c>
      <c r="I492" s="1399"/>
      <c r="J492" s="1399" t="str">
        <f t="shared" si="14"/>
        <v>Include</v>
      </c>
    </row>
    <row r="493" spans="3:10" s="1397" customFormat="1">
      <c r="C493" s="1414">
        <v>36297</v>
      </c>
      <c r="D493" s="1401">
        <v>36704</v>
      </c>
      <c r="E493" s="1400">
        <v>9248</v>
      </c>
      <c r="F493" s="1397" t="s">
        <v>2410</v>
      </c>
      <c r="G493" s="1399">
        <v>27790</v>
      </c>
      <c r="H493" s="1399">
        <f t="shared" si="15"/>
        <v>35244.439470893136</v>
      </c>
      <c r="I493" s="1399"/>
      <c r="J493" s="1399" t="str">
        <f t="shared" si="14"/>
        <v>Include</v>
      </c>
    </row>
    <row r="494" spans="3:10" s="1397" customFormat="1">
      <c r="C494" s="1414">
        <v>35606</v>
      </c>
      <c r="D494" s="1401">
        <v>35864</v>
      </c>
      <c r="E494" s="1400">
        <v>9005</v>
      </c>
      <c r="F494" s="1403" t="s">
        <v>2409</v>
      </c>
      <c r="G494" s="1399">
        <v>27725.34</v>
      </c>
      <c r="H494" s="1399">
        <f t="shared" si="15"/>
        <v>36582.997328697573</v>
      </c>
      <c r="I494" s="1399"/>
      <c r="J494" s="1399" t="str">
        <f t="shared" si="14"/>
        <v>Include</v>
      </c>
    </row>
    <row r="495" spans="3:10" s="1397" customFormat="1">
      <c r="C495" s="1414">
        <v>35971</v>
      </c>
      <c r="D495" s="1401">
        <v>36532</v>
      </c>
      <c r="E495" s="1400">
        <v>9150</v>
      </c>
      <c r="F495" s="1403" t="s">
        <v>2408</v>
      </c>
      <c r="G495" s="1399">
        <v>27633.200000000001</v>
      </c>
      <c r="H495" s="1399">
        <f t="shared" si="15"/>
        <v>35746.490740655841</v>
      </c>
      <c r="I495" s="1399"/>
      <c r="J495" s="1399" t="str">
        <f t="shared" si="14"/>
        <v>Include</v>
      </c>
    </row>
    <row r="496" spans="3:10" s="1397" customFormat="1">
      <c r="C496" s="1414">
        <v>36540</v>
      </c>
      <c r="D496" s="1401">
        <v>36830</v>
      </c>
      <c r="E496" s="1400">
        <v>9344</v>
      </c>
      <c r="F496" s="1403" t="s">
        <v>2407</v>
      </c>
      <c r="G496" s="1399">
        <v>27607</v>
      </c>
      <c r="H496" s="1399">
        <f t="shared" si="15"/>
        <v>34325.834531851156</v>
      </c>
      <c r="I496" s="1399"/>
      <c r="J496" s="1399" t="str">
        <f t="shared" si="14"/>
        <v>Include</v>
      </c>
    </row>
    <row r="497" spans="3:10" s="1397" customFormat="1">
      <c r="C497" s="1414">
        <v>36251</v>
      </c>
      <c r="D497" s="1401">
        <v>36831</v>
      </c>
      <c r="E497" s="1400">
        <v>9255</v>
      </c>
      <c r="F497" s="1397" t="s">
        <v>2406</v>
      </c>
      <c r="G497" s="1399">
        <v>27596</v>
      </c>
      <c r="H497" s="1399">
        <f t="shared" si="15"/>
        <v>34998.400562748</v>
      </c>
      <c r="I497" s="1399"/>
      <c r="J497" s="1399" t="str">
        <f t="shared" si="14"/>
        <v>Include</v>
      </c>
    </row>
    <row r="498" spans="3:10" s="1397" customFormat="1">
      <c r="C498" s="1414">
        <v>36131</v>
      </c>
      <c r="D498" s="1401">
        <v>36341</v>
      </c>
      <c r="E498" s="1400">
        <v>9196</v>
      </c>
      <c r="F498" s="1397" t="s">
        <v>2405</v>
      </c>
      <c r="G498" s="1399">
        <v>27556.75</v>
      </c>
      <c r="H498" s="1399">
        <f t="shared" si="15"/>
        <v>35647.594513757642</v>
      </c>
      <c r="I498" s="1399"/>
      <c r="J498" s="1399" t="str">
        <f t="shared" si="14"/>
        <v>Include</v>
      </c>
    </row>
    <row r="499" spans="3:10" s="1397" customFormat="1">
      <c r="C499" s="1414">
        <v>35856</v>
      </c>
      <c r="D499" s="1401" t="s">
        <v>2343</v>
      </c>
      <c r="E499" s="1400">
        <v>9092</v>
      </c>
      <c r="F499" s="1415" t="s">
        <v>2404</v>
      </c>
      <c r="G499" s="1399">
        <v>27298.59</v>
      </c>
      <c r="H499" s="1399">
        <f t="shared" si="15"/>
        <v>35313.637026039694</v>
      </c>
      <c r="I499" s="1399">
        <v>1</v>
      </c>
      <c r="J499" s="1399" t="str">
        <f t="shared" si="14"/>
        <v>Exclude</v>
      </c>
    </row>
    <row r="500" spans="3:10" s="1397" customFormat="1">
      <c r="C500" s="1414">
        <v>35009</v>
      </c>
      <c r="D500" s="1401">
        <v>35213</v>
      </c>
      <c r="E500" s="1400">
        <v>9842</v>
      </c>
      <c r="F500" s="1403" t="s">
        <v>2403</v>
      </c>
      <c r="G500" s="1399">
        <v>27229.96</v>
      </c>
      <c r="H500" s="1399">
        <f t="shared" si="15"/>
        <v>37380.899838189158</v>
      </c>
      <c r="I500" s="1399"/>
      <c r="J500" s="1399" t="str">
        <f t="shared" si="14"/>
        <v>Include</v>
      </c>
    </row>
    <row r="501" spans="3:10" s="1397" customFormat="1">
      <c r="C501" s="1414">
        <v>35930</v>
      </c>
      <c r="D501" s="1401">
        <v>36831</v>
      </c>
      <c r="E501" s="1400">
        <v>9132</v>
      </c>
      <c r="F501" s="1397" t="s">
        <v>2402</v>
      </c>
      <c r="G501" s="1399">
        <v>27126.31</v>
      </c>
      <c r="H501" s="1399">
        <f t="shared" si="15"/>
        <v>35090.774475745115</v>
      </c>
      <c r="I501" s="1399"/>
      <c r="J501" s="1399" t="str">
        <f t="shared" si="14"/>
        <v>Include</v>
      </c>
    </row>
    <row r="502" spans="3:10" s="1397" customFormat="1">
      <c r="C502" s="1414">
        <v>33864</v>
      </c>
      <c r="D502" s="1401">
        <v>34309</v>
      </c>
      <c r="E502" s="1400">
        <v>9507</v>
      </c>
      <c r="F502" s="1397" t="s">
        <v>2401</v>
      </c>
      <c r="G502" s="1399">
        <v>27018.799999999999</v>
      </c>
      <c r="H502" s="1399">
        <f t="shared" si="15"/>
        <v>39361.289708294069</v>
      </c>
      <c r="I502" s="1399"/>
      <c r="J502" s="1399" t="str">
        <f t="shared" si="14"/>
        <v>Include</v>
      </c>
    </row>
    <row r="503" spans="3:10" s="1397" customFormat="1">
      <c r="C503" s="1414">
        <v>35663</v>
      </c>
      <c r="D503" s="1401">
        <v>36124</v>
      </c>
      <c r="E503" s="1400">
        <v>9022</v>
      </c>
      <c r="F503" s="1403" t="s">
        <v>2400</v>
      </c>
      <c r="G503" s="1399">
        <v>26551</v>
      </c>
      <c r="H503" s="1399">
        <f t="shared" si="15"/>
        <v>35033.480638082321</v>
      </c>
      <c r="I503" s="1399"/>
      <c r="J503" s="1399" t="str">
        <f t="shared" si="14"/>
        <v>Include</v>
      </c>
    </row>
    <row r="504" spans="3:10" s="1397" customFormat="1">
      <c r="C504" s="1414">
        <v>35779</v>
      </c>
      <c r="D504" s="1401">
        <v>36532</v>
      </c>
      <c r="E504" s="1400">
        <v>9054</v>
      </c>
      <c r="F504" s="1403" t="s">
        <v>2399</v>
      </c>
      <c r="G504" s="1399">
        <v>26512.39</v>
      </c>
      <c r="H504" s="1399">
        <f t="shared" si="15"/>
        <v>34982.535563040459</v>
      </c>
      <c r="I504" s="1399"/>
      <c r="J504" s="1399" t="str">
        <f t="shared" si="14"/>
        <v>Include</v>
      </c>
    </row>
    <row r="505" spans="3:10" s="1397" customFormat="1">
      <c r="C505" s="1414">
        <v>35876</v>
      </c>
      <c r="D505" s="1401">
        <v>36103</v>
      </c>
      <c r="E505" s="1400">
        <v>9103</v>
      </c>
      <c r="F505" s="1397" t="s">
        <v>2398</v>
      </c>
      <c r="G505" s="1399">
        <v>26304</v>
      </c>
      <c r="H505" s="1399">
        <f t="shared" si="15"/>
        <v>34027.028807456649</v>
      </c>
      <c r="I505" s="1399"/>
      <c r="J505" s="1399" t="str">
        <f t="shared" si="14"/>
        <v>Include</v>
      </c>
    </row>
    <row r="506" spans="3:10" s="1397" customFormat="1">
      <c r="C506" s="1414">
        <v>36387</v>
      </c>
      <c r="D506" s="1401">
        <v>36830</v>
      </c>
      <c r="E506" s="1400">
        <v>9303</v>
      </c>
      <c r="F506" s="1397" t="s">
        <v>2397</v>
      </c>
      <c r="G506" s="1399">
        <v>26301</v>
      </c>
      <c r="H506" s="1399">
        <f t="shared" si="15"/>
        <v>33356.027438789504</v>
      </c>
      <c r="I506" s="1399"/>
      <c r="J506" s="1399" t="str">
        <f t="shared" si="14"/>
        <v>Include</v>
      </c>
    </row>
    <row r="507" spans="3:10" s="1397" customFormat="1">
      <c r="C507" s="1414">
        <v>36647</v>
      </c>
      <c r="D507" s="1401">
        <v>37194</v>
      </c>
      <c r="E507" s="1400">
        <v>9416</v>
      </c>
      <c r="F507" s="1397" t="s">
        <v>2397</v>
      </c>
      <c r="G507" s="1399">
        <v>26252.2</v>
      </c>
      <c r="H507" s="1399">
        <f t="shared" si="15"/>
        <v>32641.311018838085</v>
      </c>
      <c r="I507" s="1399"/>
      <c r="J507" s="1399" t="str">
        <f t="shared" si="14"/>
        <v>Include</v>
      </c>
    </row>
    <row r="508" spans="3:10" s="1397" customFormat="1">
      <c r="C508" s="1414">
        <v>35815</v>
      </c>
      <c r="D508" s="1401">
        <v>36341</v>
      </c>
      <c r="E508" s="1400">
        <v>9069</v>
      </c>
      <c r="F508" s="1397" t="s">
        <v>2396</v>
      </c>
      <c r="G508" s="1399">
        <v>26240.04</v>
      </c>
      <c r="H508" s="1399">
        <f t="shared" si="15"/>
        <v>33944.28972737283</v>
      </c>
      <c r="I508" s="1399"/>
      <c r="J508" s="1399" t="str">
        <f t="shared" si="14"/>
        <v>Include</v>
      </c>
    </row>
    <row r="509" spans="3:10" s="1397" customFormat="1">
      <c r="C509" s="1414">
        <v>35740</v>
      </c>
      <c r="D509" s="1401">
        <v>35970</v>
      </c>
      <c r="E509" s="1400">
        <v>9043</v>
      </c>
      <c r="F509" s="1397" t="s">
        <v>2395</v>
      </c>
      <c r="G509" s="1399">
        <v>25783.65</v>
      </c>
      <c r="H509" s="1399">
        <f t="shared" si="15"/>
        <v>34020.978609246027</v>
      </c>
      <c r="I509" s="1399"/>
      <c r="J509" s="1399" t="str">
        <f t="shared" si="14"/>
        <v>Include</v>
      </c>
    </row>
    <row r="510" spans="3:10" s="1397" customFormat="1">
      <c r="C510" s="1414">
        <v>36514</v>
      </c>
      <c r="D510" s="1401">
        <v>36830</v>
      </c>
      <c r="E510" s="1400">
        <v>9350</v>
      </c>
      <c r="F510" s="1397" t="s">
        <v>2394</v>
      </c>
      <c r="G510" s="1399">
        <v>25527.5</v>
      </c>
      <c r="H510" s="1399">
        <f t="shared" si="15"/>
        <v>32375.042410695376</v>
      </c>
      <c r="I510" s="1399"/>
      <c r="J510" s="1399" t="str">
        <f t="shared" si="14"/>
        <v>Include</v>
      </c>
    </row>
    <row r="511" spans="3:10" s="1397" customFormat="1">
      <c r="C511" s="1414">
        <v>35548</v>
      </c>
      <c r="D511" s="1401">
        <v>35807</v>
      </c>
      <c r="E511" s="1400">
        <v>9982</v>
      </c>
      <c r="F511" s="1397" t="s">
        <v>2393</v>
      </c>
      <c r="G511" s="1399">
        <v>25497.7</v>
      </c>
      <c r="H511" s="1399">
        <f t="shared" si="15"/>
        <v>33643.673656948195</v>
      </c>
      <c r="I511" s="1399"/>
      <c r="J511" s="1399" t="str">
        <f t="shared" si="14"/>
        <v>Include</v>
      </c>
    </row>
    <row r="512" spans="3:10" s="1397" customFormat="1">
      <c r="C512" s="1414">
        <v>35278</v>
      </c>
      <c r="D512" s="1401">
        <v>35426</v>
      </c>
      <c r="E512" s="1400">
        <v>9917</v>
      </c>
      <c r="F512" s="1397" t="s">
        <v>2392</v>
      </c>
      <c r="G512" s="1399">
        <v>25397</v>
      </c>
      <c r="H512" s="1399">
        <f t="shared" si="15"/>
        <v>34181.018188417911</v>
      </c>
      <c r="I512" s="1399"/>
      <c r="J512" s="1399" t="str">
        <f t="shared" si="14"/>
        <v>Include</v>
      </c>
    </row>
    <row r="513" spans="3:11" s="1397" customFormat="1">
      <c r="C513" s="1414">
        <v>36571</v>
      </c>
      <c r="D513" s="1401">
        <v>37042</v>
      </c>
      <c r="E513" s="1400">
        <v>9378</v>
      </c>
      <c r="F513" s="1397" t="s">
        <v>2391</v>
      </c>
      <c r="G513" s="1399">
        <v>25311.35</v>
      </c>
      <c r="H513" s="1399">
        <f t="shared" si="15"/>
        <v>31471.482300784974</v>
      </c>
      <c r="I513" s="1399"/>
      <c r="J513" s="1399" t="str">
        <f t="shared" si="14"/>
        <v>Include</v>
      </c>
      <c r="K513" s="1398"/>
    </row>
    <row r="514" spans="3:11" s="1397" customFormat="1">
      <c r="C514" s="1414">
        <v>36468</v>
      </c>
      <c r="D514" s="1401">
        <v>36704</v>
      </c>
      <c r="E514" s="1400">
        <v>9327</v>
      </c>
      <c r="F514" s="1397" t="s">
        <v>2390</v>
      </c>
      <c r="G514" s="1399">
        <v>25265</v>
      </c>
      <c r="H514" s="1399">
        <f t="shared" si="15"/>
        <v>32042.128939622708</v>
      </c>
      <c r="I514" s="1399"/>
      <c r="J514" s="1399" t="str">
        <f t="shared" si="14"/>
        <v>Include</v>
      </c>
      <c r="K514" s="1398"/>
    </row>
    <row r="515" spans="3:11" s="1397" customFormat="1">
      <c r="C515" s="1414">
        <v>35794</v>
      </c>
      <c r="D515" s="1401">
        <v>36102</v>
      </c>
      <c r="E515" s="1400">
        <v>9060</v>
      </c>
      <c r="F515" s="1397" t="s">
        <v>2389</v>
      </c>
      <c r="G515" s="1399">
        <v>25125</v>
      </c>
      <c r="H515" s="1399">
        <f t="shared" si="15"/>
        <v>33151.903921954661</v>
      </c>
      <c r="I515" s="1399"/>
      <c r="J515" s="1399" t="str">
        <f t="shared" si="14"/>
        <v>Include</v>
      </c>
      <c r="K515" s="1398"/>
    </row>
    <row r="516" spans="3:11" s="1397" customFormat="1">
      <c r="C516" s="1414">
        <v>35735</v>
      </c>
      <c r="D516" s="1401">
        <v>37124</v>
      </c>
      <c r="E516" s="1400">
        <v>9038</v>
      </c>
      <c r="F516" s="1397" t="s">
        <v>2388</v>
      </c>
      <c r="G516" s="1399">
        <v>25037.7</v>
      </c>
      <c r="H516" s="1399">
        <f t="shared" si="15"/>
        <v>33036.713425939277</v>
      </c>
      <c r="I516" s="1399"/>
      <c r="J516" s="1399" t="str">
        <f t="shared" si="14"/>
        <v>Include</v>
      </c>
      <c r="K516" s="1398"/>
    </row>
    <row r="517" spans="3:11" s="1397" customFormat="1">
      <c r="C517" s="1414">
        <v>36647</v>
      </c>
      <c r="D517" s="1401">
        <v>37124</v>
      </c>
      <c r="E517" s="1400">
        <v>9442</v>
      </c>
      <c r="F517" s="1403" t="s">
        <v>2387</v>
      </c>
      <c r="G517" s="1399">
        <v>24715</v>
      </c>
      <c r="H517" s="1399">
        <f t="shared" si="15"/>
        <v>30729.996031973824</v>
      </c>
      <c r="I517" s="1399"/>
      <c r="J517" s="1399" t="str">
        <f t="shared" si="14"/>
        <v>Include</v>
      </c>
      <c r="K517" s="1398"/>
    </row>
    <row r="518" spans="3:11" s="1397" customFormat="1">
      <c r="C518" s="1414">
        <v>35213</v>
      </c>
      <c r="D518" s="1401">
        <v>35426</v>
      </c>
      <c r="E518" s="1400">
        <v>9893</v>
      </c>
      <c r="F518" s="1403" t="s">
        <v>2386</v>
      </c>
      <c r="G518" s="1399">
        <v>24701.27</v>
      </c>
      <c r="H518" s="1399">
        <f t="shared" si="15"/>
        <v>33244.657209395664</v>
      </c>
      <c r="I518" s="1399"/>
      <c r="J518" s="1399" t="str">
        <f t="shared" si="14"/>
        <v>Include</v>
      </c>
      <c r="K518" s="1406"/>
    </row>
    <row r="519" spans="3:11" s="1397" customFormat="1">
      <c r="C519" s="1414">
        <v>33359</v>
      </c>
      <c r="D519" s="1401">
        <v>33466</v>
      </c>
      <c r="E519" s="1400">
        <v>9403</v>
      </c>
      <c r="F519" s="1403" t="s">
        <v>2385</v>
      </c>
      <c r="G519" s="1399">
        <v>24306</v>
      </c>
      <c r="H519" s="1399">
        <f t="shared" si="15"/>
        <v>36117.437406649879</v>
      </c>
      <c r="I519" s="1399"/>
      <c r="J519" s="1399" t="str">
        <f t="shared" si="14"/>
        <v>Include</v>
      </c>
      <c r="K519" s="1398"/>
    </row>
    <row r="520" spans="3:11" s="1397" customFormat="1">
      <c r="C520" s="1414">
        <v>35060</v>
      </c>
      <c r="D520" s="1401">
        <v>35375</v>
      </c>
      <c r="E520" s="1400">
        <v>9851</v>
      </c>
      <c r="F520" s="1403" t="s">
        <v>2384</v>
      </c>
      <c r="G520" s="1399">
        <v>24291</v>
      </c>
      <c r="H520" s="1399">
        <f t="shared" si="15"/>
        <v>33346.337562356057</v>
      </c>
      <c r="I520" s="1399"/>
      <c r="J520" s="1399" t="str">
        <f t="shared" si="14"/>
        <v>Include</v>
      </c>
      <c r="K520" s="1398"/>
    </row>
    <row r="521" spans="3:11" s="1397" customFormat="1">
      <c r="C521" s="1414">
        <v>35734</v>
      </c>
      <c r="D521" s="1401">
        <v>36572</v>
      </c>
      <c r="E521" s="1400">
        <v>9040</v>
      </c>
      <c r="F521" s="1403" t="s">
        <v>2383</v>
      </c>
      <c r="G521" s="1399">
        <v>24257.65</v>
      </c>
      <c r="H521" s="1399">
        <f t="shared" si="15"/>
        <v>32007.454016812084</v>
      </c>
      <c r="I521" s="1399"/>
      <c r="J521" s="1399" t="str">
        <f t="shared" si="14"/>
        <v>Include</v>
      </c>
      <c r="K521" s="1398"/>
    </row>
    <row r="522" spans="3:11" s="1397" customFormat="1">
      <c r="C522" s="1414">
        <v>33802</v>
      </c>
      <c r="D522" s="1401">
        <v>34052</v>
      </c>
      <c r="E522" s="1400">
        <v>9495</v>
      </c>
      <c r="F522" s="1403" t="s">
        <v>2382</v>
      </c>
      <c r="G522" s="1399">
        <v>24199.31</v>
      </c>
      <c r="H522" s="1399">
        <f t="shared" si="15"/>
        <v>35253.825175463673</v>
      </c>
      <c r="I522" s="1399"/>
      <c r="J522" s="1399" t="str">
        <f t="shared" si="14"/>
        <v>Include</v>
      </c>
      <c r="K522" s="1398"/>
    </row>
    <row r="523" spans="3:11" s="1397" customFormat="1">
      <c r="C523" s="1414">
        <v>35983</v>
      </c>
      <c r="D523" s="1401">
        <v>36532</v>
      </c>
      <c r="E523" s="1400">
        <v>9155</v>
      </c>
      <c r="F523" s="1403" t="s">
        <v>2381</v>
      </c>
      <c r="G523" s="1399">
        <v>24062</v>
      </c>
      <c r="H523" s="1399">
        <f t="shared" si="15"/>
        <v>31126.762741979241</v>
      </c>
      <c r="I523" s="1399"/>
      <c r="J523" s="1399" t="str">
        <f t="shared" ref="J523:J586" si="16">IF(I523=1,"Exclude","Include")</f>
        <v>Include</v>
      </c>
      <c r="K523" s="1398"/>
    </row>
    <row r="524" spans="3:11" s="1397" customFormat="1">
      <c r="C524" s="1414">
        <v>36119</v>
      </c>
      <c r="D524" s="1401">
        <v>36472</v>
      </c>
      <c r="E524" s="1400">
        <v>9188</v>
      </c>
      <c r="F524" s="1397" t="s">
        <v>2380</v>
      </c>
      <c r="G524" s="1399">
        <v>23988.7</v>
      </c>
      <c r="H524" s="1399">
        <f t="shared" si="15"/>
        <v>31031.941375966981</v>
      </c>
      <c r="I524" s="1399"/>
      <c r="J524" s="1399" t="str">
        <f t="shared" si="16"/>
        <v>Include</v>
      </c>
      <c r="K524" s="1398"/>
    </row>
    <row r="525" spans="3:11" s="1397" customFormat="1">
      <c r="C525" s="1414">
        <v>35885</v>
      </c>
      <c r="D525" s="1401">
        <v>36320</v>
      </c>
      <c r="E525" s="1400">
        <v>9105</v>
      </c>
      <c r="F525" s="1397" t="s">
        <v>2379</v>
      </c>
      <c r="G525" s="1399">
        <v>23821</v>
      </c>
      <c r="H525" s="1399">
        <f t="shared" si="15"/>
        <v>30815.003544039875</v>
      </c>
      <c r="I525" s="1399"/>
      <c r="J525" s="1399" t="str">
        <f t="shared" si="16"/>
        <v>Include</v>
      </c>
      <c r="K525" s="1398"/>
    </row>
    <row r="526" spans="3:11" s="1397" customFormat="1">
      <c r="C526" s="1414">
        <v>36168</v>
      </c>
      <c r="D526" s="1401">
        <v>37124</v>
      </c>
      <c r="E526" s="1400">
        <v>9219</v>
      </c>
      <c r="F526" s="1415" t="s">
        <v>2378</v>
      </c>
      <c r="G526" s="1399">
        <v>23815.25</v>
      </c>
      <c r="H526" s="1399">
        <f t="shared" si="15"/>
        <v>30203.495397955656</v>
      </c>
      <c r="I526" s="1399">
        <v>1</v>
      </c>
      <c r="J526" s="1399" t="str">
        <f t="shared" si="16"/>
        <v>Exclude</v>
      </c>
      <c r="K526" s="1398"/>
    </row>
    <row r="527" spans="3:11" s="1397" customFormat="1">
      <c r="C527" s="1414">
        <v>36557</v>
      </c>
      <c r="D527" s="1401">
        <v>37060</v>
      </c>
      <c r="E527" s="1400">
        <v>9368</v>
      </c>
      <c r="F527" s="1397" t="s">
        <v>2377</v>
      </c>
      <c r="G527" s="1399">
        <v>23618.47</v>
      </c>
      <c r="H527" s="1399">
        <f t="shared" si="15"/>
        <v>29366.598801589837</v>
      </c>
      <c r="I527" s="1399"/>
      <c r="J527" s="1399" t="str">
        <f t="shared" si="16"/>
        <v>Include</v>
      </c>
      <c r="K527" s="1398"/>
    </row>
    <row r="528" spans="3:11" s="1397" customFormat="1">
      <c r="C528" s="1414">
        <v>35200</v>
      </c>
      <c r="D528" s="1401">
        <v>35391</v>
      </c>
      <c r="E528" s="1400">
        <v>9885</v>
      </c>
      <c r="F528" s="1397" t="s">
        <v>2376</v>
      </c>
      <c r="G528" s="1399">
        <v>23597</v>
      </c>
      <c r="H528" s="1399">
        <f t="shared" si="15"/>
        <v>31758.455179434477</v>
      </c>
      <c r="I528" s="1399"/>
      <c r="J528" s="1399" t="str">
        <f t="shared" si="16"/>
        <v>Include</v>
      </c>
      <c r="K528" s="1398"/>
    </row>
    <row r="529" spans="3:13">
      <c r="C529" s="1414">
        <v>36586</v>
      </c>
      <c r="D529" s="1401">
        <v>37124</v>
      </c>
      <c r="E529" s="1400">
        <v>9397</v>
      </c>
      <c r="F529" s="1403" t="s">
        <v>2375</v>
      </c>
      <c r="G529" s="1399">
        <v>23241.42</v>
      </c>
      <c r="H529" s="1399">
        <f t="shared" si="15"/>
        <v>28897.784518609631</v>
      </c>
      <c r="J529" s="1399" t="str">
        <f t="shared" si="16"/>
        <v>Include</v>
      </c>
    </row>
    <row r="530" spans="3:13">
      <c r="C530" s="1414">
        <v>35279</v>
      </c>
      <c r="D530" s="1401">
        <v>35467</v>
      </c>
      <c r="E530" s="1400">
        <v>9918</v>
      </c>
      <c r="F530" s="1397" t="s">
        <v>2374</v>
      </c>
      <c r="G530" s="1399">
        <v>23089</v>
      </c>
      <c r="H530" s="1399">
        <f t="shared" si="15"/>
        <v>31074.754063565819</v>
      </c>
      <c r="J530" s="1399" t="str">
        <f t="shared" si="16"/>
        <v>Include</v>
      </c>
    </row>
    <row r="531" spans="3:13">
      <c r="C531" s="1414">
        <v>36080</v>
      </c>
      <c r="D531" s="1401">
        <v>36532</v>
      </c>
      <c r="E531" s="1400">
        <v>9178</v>
      </c>
      <c r="F531" s="1415" t="s">
        <v>2373</v>
      </c>
      <c r="G531" s="1399">
        <v>23065</v>
      </c>
      <c r="H531" s="1399">
        <f t="shared" si="15"/>
        <v>29837.036931416806</v>
      </c>
      <c r="I531" s="1399">
        <v>1</v>
      </c>
      <c r="J531" s="1399" t="str">
        <f t="shared" si="16"/>
        <v>Exclude</v>
      </c>
      <c r="L531" s="1406"/>
      <c r="M531" s="1406"/>
    </row>
    <row r="532" spans="3:13">
      <c r="C532" s="1414">
        <v>36571</v>
      </c>
      <c r="D532" s="1401">
        <v>37572</v>
      </c>
      <c r="E532" s="1400">
        <v>9381</v>
      </c>
      <c r="F532" s="1397" t="s">
        <v>2372</v>
      </c>
      <c r="G532" s="1399">
        <v>23039</v>
      </c>
      <c r="H532" s="1399">
        <f t="shared" ref="H532:H595" si="17">G532*(1+$N$6)^(2011-YEAR(C532))</f>
        <v>28646.100691104388</v>
      </c>
      <c r="J532" s="1399" t="str">
        <f t="shared" si="16"/>
        <v>Include</v>
      </c>
    </row>
    <row r="533" spans="3:13">
      <c r="C533" s="1414">
        <v>35195</v>
      </c>
      <c r="D533" s="1401">
        <v>35391</v>
      </c>
      <c r="E533" s="1400">
        <v>9890</v>
      </c>
      <c r="F533" s="1397" t="s">
        <v>2371</v>
      </c>
      <c r="G533" s="1399">
        <v>22879.08</v>
      </c>
      <c r="H533" s="1399">
        <f t="shared" si="17"/>
        <v>30792.22938198482</v>
      </c>
      <c r="J533" s="1399" t="str">
        <f t="shared" si="16"/>
        <v>Include</v>
      </c>
    </row>
    <row r="534" spans="3:13">
      <c r="C534" s="1414">
        <v>34901</v>
      </c>
      <c r="D534" s="1401">
        <v>35213</v>
      </c>
      <c r="E534" s="1400">
        <v>9814</v>
      </c>
      <c r="F534" s="1397" t="s">
        <v>2370</v>
      </c>
      <c r="G534" s="1399">
        <v>22725</v>
      </c>
      <c r="H534" s="1399">
        <f t="shared" si="17"/>
        <v>31196.555148184158</v>
      </c>
      <c r="J534" s="1399" t="str">
        <f t="shared" si="16"/>
        <v>Include</v>
      </c>
    </row>
    <row r="535" spans="3:13">
      <c r="C535" s="1414">
        <v>36557</v>
      </c>
      <c r="D535" s="1401">
        <v>36831</v>
      </c>
      <c r="E535" s="1400">
        <v>9377</v>
      </c>
      <c r="F535" s="1397" t="s">
        <v>2369</v>
      </c>
      <c r="G535" s="1399">
        <v>22599.200000000001</v>
      </c>
      <c r="H535" s="1399">
        <f t="shared" si="17"/>
        <v>28099.26467027242</v>
      </c>
      <c r="J535" s="1399" t="str">
        <f t="shared" si="16"/>
        <v>Include</v>
      </c>
    </row>
    <row r="536" spans="3:13">
      <c r="C536" s="1414">
        <v>36555</v>
      </c>
      <c r="D536" s="1401">
        <v>36830</v>
      </c>
      <c r="E536" s="1400">
        <v>9336</v>
      </c>
      <c r="F536" s="1397" t="s">
        <v>2368</v>
      </c>
      <c r="G536" s="1399">
        <v>22596</v>
      </c>
      <c r="H536" s="1399">
        <f t="shared" si="17"/>
        <v>28095.285872485558</v>
      </c>
      <c r="J536" s="1399" t="str">
        <f t="shared" si="16"/>
        <v>Include</v>
      </c>
    </row>
    <row r="537" spans="3:13">
      <c r="C537" s="1414">
        <v>35639</v>
      </c>
      <c r="D537" s="1401">
        <v>35970</v>
      </c>
      <c r="E537" s="1400">
        <v>9020</v>
      </c>
      <c r="F537" s="1397" t="s">
        <v>2367</v>
      </c>
      <c r="G537" s="1399">
        <v>22300</v>
      </c>
      <c r="H537" s="1399">
        <f t="shared" si="17"/>
        <v>29424.37641630205</v>
      </c>
      <c r="J537" s="1399" t="str">
        <f t="shared" si="16"/>
        <v>Include</v>
      </c>
    </row>
    <row r="538" spans="3:13">
      <c r="C538" s="1414">
        <v>35548</v>
      </c>
      <c r="D538" s="1401">
        <v>36080</v>
      </c>
      <c r="E538" s="1400">
        <v>9979</v>
      </c>
      <c r="F538" s="1397" t="s">
        <v>2366</v>
      </c>
      <c r="G538" s="1399">
        <v>21900.17</v>
      </c>
      <c r="H538" s="1399">
        <f t="shared" si="17"/>
        <v>28896.809222466618</v>
      </c>
      <c r="J538" s="1399" t="str">
        <f t="shared" si="16"/>
        <v>Include</v>
      </c>
    </row>
    <row r="539" spans="3:13">
      <c r="C539" s="1414">
        <v>35551</v>
      </c>
      <c r="D539" s="1401">
        <v>35970</v>
      </c>
      <c r="E539" s="1400">
        <v>9996</v>
      </c>
      <c r="F539" s="1397" t="s">
        <v>2365</v>
      </c>
      <c r="G539" s="1399">
        <v>21745</v>
      </c>
      <c r="H539" s="1399">
        <f t="shared" si="17"/>
        <v>28692.065702802156</v>
      </c>
      <c r="J539" s="1399" t="str">
        <f t="shared" si="16"/>
        <v>Include</v>
      </c>
    </row>
    <row r="540" spans="3:13">
      <c r="C540" s="1414">
        <v>36114</v>
      </c>
      <c r="D540" s="1401">
        <v>37013</v>
      </c>
      <c r="E540" s="1400">
        <v>9191</v>
      </c>
      <c r="F540" s="1397" t="s">
        <v>2364</v>
      </c>
      <c r="G540" s="1399">
        <v>21610.62</v>
      </c>
      <c r="H540" s="1399">
        <f t="shared" si="17"/>
        <v>27955.641320217415</v>
      </c>
      <c r="J540" s="1399" t="str">
        <f t="shared" si="16"/>
        <v>Include</v>
      </c>
    </row>
    <row r="541" spans="3:13">
      <c r="C541" s="1414">
        <v>35582</v>
      </c>
      <c r="D541" s="1401" t="s">
        <v>2192</v>
      </c>
      <c r="E541" s="1400">
        <v>9978</v>
      </c>
      <c r="F541" s="1397" t="s">
        <v>2363</v>
      </c>
      <c r="G541" s="1399">
        <v>21532.42</v>
      </c>
      <c r="H541" s="1399">
        <f t="shared" si="17"/>
        <v>28411.570907350248</v>
      </c>
      <c r="J541" s="1399" t="str">
        <f t="shared" si="16"/>
        <v>Include</v>
      </c>
    </row>
    <row r="542" spans="3:13">
      <c r="C542" s="1414">
        <v>36367</v>
      </c>
      <c r="D542" s="1401">
        <v>36532</v>
      </c>
      <c r="E542" s="1400">
        <v>9304</v>
      </c>
      <c r="F542" s="1397" t="s">
        <v>2362</v>
      </c>
      <c r="G542" s="1399">
        <v>21500</v>
      </c>
      <c r="H542" s="1399">
        <f t="shared" si="17"/>
        <v>27267.198583094723</v>
      </c>
      <c r="J542" s="1399" t="str">
        <f t="shared" si="16"/>
        <v>Include</v>
      </c>
    </row>
    <row r="543" spans="3:13">
      <c r="C543" s="1414">
        <v>33806</v>
      </c>
      <c r="D543" s="1401">
        <v>34026</v>
      </c>
      <c r="E543" s="1400">
        <v>9499</v>
      </c>
      <c r="F543" s="1397" t="s">
        <v>2361</v>
      </c>
      <c r="G543" s="1399">
        <v>21283</v>
      </c>
      <c r="H543" s="1399">
        <f t="shared" si="17"/>
        <v>31005.312184909126</v>
      </c>
      <c r="J543" s="1399" t="str">
        <f t="shared" si="16"/>
        <v>Include</v>
      </c>
    </row>
    <row r="544" spans="3:13">
      <c r="C544" s="1414">
        <v>36284</v>
      </c>
      <c r="D544" s="1401">
        <v>37042</v>
      </c>
      <c r="E544" s="1400">
        <v>9265</v>
      </c>
      <c r="F544" s="1397" t="s">
        <v>2360</v>
      </c>
      <c r="G544" s="1399">
        <v>21210</v>
      </c>
      <c r="H544" s="1399">
        <f t="shared" si="17"/>
        <v>26899.408462671585</v>
      </c>
      <c r="J544" s="1399" t="str">
        <f t="shared" si="16"/>
        <v>Include</v>
      </c>
    </row>
    <row r="545" spans="3:10" s="1397" customFormat="1">
      <c r="C545" s="1414">
        <v>35490</v>
      </c>
      <c r="D545" s="1401">
        <v>35709</v>
      </c>
      <c r="E545" s="1400">
        <v>9962</v>
      </c>
      <c r="F545" s="1397" t="s">
        <v>2359</v>
      </c>
      <c r="G545" s="1399">
        <v>20969</v>
      </c>
      <c r="H545" s="1399">
        <f t="shared" si="17"/>
        <v>27668.150182665366</v>
      </c>
      <c r="I545" s="1399"/>
      <c r="J545" s="1399" t="str">
        <f t="shared" si="16"/>
        <v>Include</v>
      </c>
    </row>
    <row r="546" spans="3:10" s="1397" customFormat="1">
      <c r="C546" s="1414">
        <v>36418</v>
      </c>
      <c r="D546" s="1401">
        <v>36704</v>
      </c>
      <c r="E546" s="1400">
        <v>9318</v>
      </c>
      <c r="F546" s="1397" t="s">
        <v>2358</v>
      </c>
      <c r="G546" s="1399">
        <v>20957</v>
      </c>
      <c r="H546" s="1399">
        <f t="shared" si="17"/>
        <v>26578.543288647263</v>
      </c>
      <c r="I546" s="1399"/>
      <c r="J546" s="1399" t="str">
        <f t="shared" si="16"/>
        <v>Include</v>
      </c>
    </row>
    <row r="547" spans="3:10" s="1397" customFormat="1">
      <c r="C547" s="1414">
        <v>35551</v>
      </c>
      <c r="D547" s="1401">
        <v>36320</v>
      </c>
      <c r="E547" s="1400">
        <v>9989</v>
      </c>
      <c r="F547" s="1415" t="s">
        <v>2357</v>
      </c>
      <c r="G547" s="1399">
        <v>20887</v>
      </c>
      <c r="H547" s="1399">
        <f t="shared" si="17"/>
        <v>27559.95292409421</v>
      </c>
      <c r="I547" s="1399">
        <v>1</v>
      </c>
      <c r="J547" s="1399" t="str">
        <f t="shared" si="16"/>
        <v>Exclude</v>
      </c>
    </row>
    <row r="548" spans="3:10" s="1397" customFormat="1">
      <c r="C548" s="1414">
        <v>36479</v>
      </c>
      <c r="D548" s="1401">
        <v>37587</v>
      </c>
      <c r="E548" s="1400">
        <v>9313</v>
      </c>
      <c r="F548" s="1397" t="s">
        <v>2356</v>
      </c>
      <c r="G548" s="1399">
        <v>20653.61</v>
      </c>
      <c r="H548" s="1399">
        <f t="shared" si="17"/>
        <v>26193.771410594931</v>
      </c>
      <c r="I548" s="1399"/>
      <c r="J548" s="1399" t="str">
        <f t="shared" si="16"/>
        <v>Include</v>
      </c>
    </row>
    <row r="549" spans="3:10" s="1397" customFormat="1">
      <c r="C549" s="1414">
        <v>34939</v>
      </c>
      <c r="D549" s="1401">
        <v>35213</v>
      </c>
      <c r="E549" s="1400">
        <v>9824</v>
      </c>
      <c r="F549" s="1397" t="s">
        <v>2355</v>
      </c>
      <c r="G549" s="1399">
        <v>20651.189999999999</v>
      </c>
      <c r="H549" s="1399">
        <f t="shared" si="17"/>
        <v>28349.658425110196</v>
      </c>
      <c r="I549" s="1399"/>
      <c r="J549" s="1399" t="str">
        <f t="shared" si="16"/>
        <v>Include</v>
      </c>
    </row>
    <row r="550" spans="3:10" s="1397" customFormat="1">
      <c r="C550" s="1414">
        <v>36514</v>
      </c>
      <c r="D550" s="1401">
        <v>37042</v>
      </c>
      <c r="E550" s="1400">
        <v>9346</v>
      </c>
      <c r="F550" s="1415" t="s">
        <v>2354</v>
      </c>
      <c r="G550" s="1399">
        <v>20604</v>
      </c>
      <c r="H550" s="1399">
        <f t="shared" si="17"/>
        <v>26130.853935166684</v>
      </c>
      <c r="I550" s="1399">
        <v>1</v>
      </c>
      <c r="J550" s="1399" t="str">
        <f t="shared" si="16"/>
        <v>Exclude</v>
      </c>
    </row>
    <row r="551" spans="3:10" s="1397" customFormat="1">
      <c r="C551" s="1414">
        <v>35360</v>
      </c>
      <c r="D551" s="1401">
        <v>35556</v>
      </c>
      <c r="E551" s="1400">
        <v>9934</v>
      </c>
      <c r="F551" s="1397" t="s">
        <v>2353</v>
      </c>
      <c r="G551" s="1399">
        <v>19999</v>
      </c>
      <c r="H551" s="1399">
        <f t="shared" si="17"/>
        <v>26916.020898144259</v>
      </c>
      <c r="I551" s="1399"/>
      <c r="J551" s="1399" t="str">
        <f t="shared" si="16"/>
        <v>Include</v>
      </c>
    </row>
    <row r="552" spans="3:10" s="1397" customFormat="1">
      <c r="C552" s="1414">
        <v>35678</v>
      </c>
      <c r="D552" s="1401">
        <v>36572</v>
      </c>
      <c r="E552" s="1400">
        <v>9027</v>
      </c>
      <c r="F552" s="1397" t="s">
        <v>2352</v>
      </c>
      <c r="G552" s="1399">
        <v>19977</v>
      </c>
      <c r="H552" s="1399">
        <f t="shared" si="17"/>
        <v>26359.227249706997</v>
      </c>
      <c r="I552" s="1399"/>
      <c r="J552" s="1399" t="str">
        <f t="shared" si="16"/>
        <v>Include</v>
      </c>
    </row>
    <row r="553" spans="3:10" s="1397" customFormat="1">
      <c r="C553" s="1414">
        <v>35214</v>
      </c>
      <c r="D553" s="1401">
        <v>35391</v>
      </c>
      <c r="E553" s="1400">
        <v>9894</v>
      </c>
      <c r="F553" s="1397" t="s">
        <v>2351</v>
      </c>
      <c r="G553" s="1399">
        <v>19880.75</v>
      </c>
      <c r="H553" s="1399">
        <f t="shared" si="17"/>
        <v>26756.871967137431</v>
      </c>
      <c r="I553" s="1399"/>
      <c r="J553" s="1399" t="str">
        <f t="shared" si="16"/>
        <v>Include</v>
      </c>
    </row>
    <row r="554" spans="3:10" s="1397" customFormat="1">
      <c r="C554" s="1414">
        <v>36479</v>
      </c>
      <c r="D554" s="1401">
        <v>36831</v>
      </c>
      <c r="E554" s="1400">
        <v>9326</v>
      </c>
      <c r="F554" s="1397" t="s">
        <v>2350</v>
      </c>
      <c r="G554" s="1399">
        <v>19695</v>
      </c>
      <c r="H554" s="1399">
        <f t="shared" si="17"/>
        <v>24978.022143909329</v>
      </c>
      <c r="I554" s="1399"/>
      <c r="J554" s="1399" t="str">
        <f t="shared" si="16"/>
        <v>Include</v>
      </c>
    </row>
    <row r="555" spans="3:10" s="1397" customFormat="1">
      <c r="C555" s="1414">
        <v>35034</v>
      </c>
      <c r="D555" s="1401">
        <v>35145</v>
      </c>
      <c r="E555" s="1400">
        <v>9849</v>
      </c>
      <c r="F555" s="1397" t="s">
        <v>2349</v>
      </c>
      <c r="G555" s="1399">
        <v>19675</v>
      </c>
      <c r="H555" s="1399">
        <f t="shared" si="17"/>
        <v>27009.558747657793</v>
      </c>
      <c r="I555" s="1399"/>
      <c r="J555" s="1399" t="str">
        <f t="shared" si="16"/>
        <v>Include</v>
      </c>
    </row>
    <row r="556" spans="3:10" s="1397" customFormat="1">
      <c r="C556" s="1414">
        <v>35254</v>
      </c>
      <c r="D556" s="1401">
        <v>35509</v>
      </c>
      <c r="E556" s="1400">
        <v>9908</v>
      </c>
      <c r="F556" s="1397" t="s">
        <v>2348</v>
      </c>
      <c r="G556" s="1399">
        <v>19601</v>
      </c>
      <c r="H556" s="1399">
        <f t="shared" si="17"/>
        <v>26380.365299491255</v>
      </c>
      <c r="I556" s="1399"/>
      <c r="J556" s="1399" t="str">
        <f t="shared" si="16"/>
        <v>Include</v>
      </c>
    </row>
    <row r="557" spans="3:10" s="1397" customFormat="1">
      <c r="C557" s="1414">
        <v>36551</v>
      </c>
      <c r="D557" s="1401">
        <v>36831</v>
      </c>
      <c r="E557" s="1400">
        <v>9369</v>
      </c>
      <c r="F557" s="1397" t="s">
        <v>2347</v>
      </c>
      <c r="G557" s="1399">
        <v>19567.63</v>
      </c>
      <c r="H557" s="1399">
        <f t="shared" si="17"/>
        <v>24329.888418172446</v>
      </c>
      <c r="I557" s="1399"/>
      <c r="J557" s="1399" t="str">
        <f t="shared" si="16"/>
        <v>Include</v>
      </c>
    </row>
    <row r="558" spans="3:10" s="1397" customFormat="1">
      <c r="C558" s="1414">
        <v>36039</v>
      </c>
      <c r="D558" s="1401">
        <v>36532</v>
      </c>
      <c r="E558" s="1400">
        <v>9172</v>
      </c>
      <c r="F558" s="1397" t="s">
        <v>2346</v>
      </c>
      <c r="G558" s="1399">
        <v>19525.45</v>
      </c>
      <c r="H558" s="1399">
        <f t="shared" si="17"/>
        <v>25258.251582594075</v>
      </c>
      <c r="I558" s="1399"/>
      <c r="J558" s="1399" t="str">
        <f t="shared" si="16"/>
        <v>Include</v>
      </c>
    </row>
    <row r="559" spans="3:10" s="1397" customFormat="1">
      <c r="C559" s="1414">
        <v>35607</v>
      </c>
      <c r="D559" s="1401">
        <v>36080</v>
      </c>
      <c r="E559" s="1400">
        <v>9007</v>
      </c>
      <c r="F559" s="1403" t="s">
        <v>2345</v>
      </c>
      <c r="G559" s="1399">
        <v>19366.57</v>
      </c>
      <c r="H559" s="1399">
        <f t="shared" si="17"/>
        <v>25553.777828370527</v>
      </c>
      <c r="I559" s="1399"/>
      <c r="J559" s="1399" t="str">
        <f t="shared" si="16"/>
        <v>Include</v>
      </c>
    </row>
    <row r="560" spans="3:10" s="1397" customFormat="1">
      <c r="C560" s="1414">
        <v>35759</v>
      </c>
      <c r="D560" s="1401">
        <v>36102</v>
      </c>
      <c r="E560" s="1400">
        <v>9051</v>
      </c>
      <c r="F560" s="1397" t="s">
        <v>2344</v>
      </c>
      <c r="G560" s="1399">
        <v>19057.599999999999</v>
      </c>
      <c r="H560" s="1399">
        <f t="shared" si="17"/>
        <v>25146.09847494699</v>
      </c>
      <c r="I560" s="1399"/>
      <c r="J560" s="1399" t="str">
        <f t="shared" si="16"/>
        <v>Include</v>
      </c>
    </row>
    <row r="561" spans="3:10" s="1397" customFormat="1">
      <c r="C561" s="1414">
        <v>35856</v>
      </c>
      <c r="D561" s="1401" t="s">
        <v>2343</v>
      </c>
      <c r="E561" s="1400">
        <v>9087</v>
      </c>
      <c r="F561" s="1415" t="s">
        <v>2342</v>
      </c>
      <c r="G561" s="1399">
        <v>19042.18</v>
      </c>
      <c r="H561" s="1399">
        <f t="shared" si="17"/>
        <v>24633.090306294667</v>
      </c>
      <c r="I561" s="1399">
        <v>1</v>
      </c>
      <c r="J561" s="1399" t="str">
        <f t="shared" si="16"/>
        <v>Exclude</v>
      </c>
    </row>
    <row r="562" spans="3:10" s="1397" customFormat="1">
      <c r="C562" s="1414">
        <v>36096</v>
      </c>
      <c r="D562" s="1401">
        <v>36532</v>
      </c>
      <c r="E562" s="1400">
        <v>9183</v>
      </c>
      <c r="F562" s="1415" t="s">
        <v>2341</v>
      </c>
      <c r="G562" s="1399">
        <v>18988</v>
      </c>
      <c r="H562" s="1399">
        <f t="shared" si="17"/>
        <v>24563.00269905668</v>
      </c>
      <c r="I562" s="1399">
        <v>1</v>
      </c>
      <c r="J562" s="1399" t="str">
        <f t="shared" si="16"/>
        <v>Exclude</v>
      </c>
    </row>
    <row r="563" spans="3:10" s="1397" customFormat="1">
      <c r="C563" s="1414">
        <v>34981</v>
      </c>
      <c r="D563" s="1401">
        <v>35375</v>
      </c>
      <c r="E563" s="1400">
        <v>9837</v>
      </c>
      <c r="F563" s="1397" t="s">
        <v>2340</v>
      </c>
      <c r="G563" s="1399">
        <v>18857</v>
      </c>
      <c r="H563" s="1399">
        <f t="shared" si="17"/>
        <v>25886.620040893671</v>
      </c>
      <c r="I563" s="1399"/>
      <c r="J563" s="1399" t="str">
        <f t="shared" si="16"/>
        <v>Include</v>
      </c>
    </row>
    <row r="564" spans="3:10" s="1397" customFormat="1">
      <c r="C564" s="1414">
        <v>35766</v>
      </c>
      <c r="D564" s="1401">
        <v>35970</v>
      </c>
      <c r="E564" s="1400">
        <v>9049</v>
      </c>
      <c r="F564" s="1397" t="s">
        <v>2339</v>
      </c>
      <c r="G564" s="1399">
        <v>18800</v>
      </c>
      <c r="H564" s="1399">
        <f t="shared" si="17"/>
        <v>24806.200745581995</v>
      </c>
      <c r="I564" s="1399"/>
      <c r="J564" s="1399" t="str">
        <f t="shared" si="16"/>
        <v>Include</v>
      </c>
    </row>
    <row r="565" spans="3:10" s="1397" customFormat="1">
      <c r="C565" s="1414">
        <v>35593</v>
      </c>
      <c r="D565" s="1401">
        <v>36080</v>
      </c>
      <c r="E565" s="1400">
        <v>9002</v>
      </c>
      <c r="F565" s="1397" t="s">
        <v>2338</v>
      </c>
      <c r="G565" s="1399">
        <v>18795</v>
      </c>
      <c r="H565" s="1399">
        <f t="shared" si="17"/>
        <v>24799.603351766684</v>
      </c>
      <c r="I565" s="1399"/>
      <c r="J565" s="1399" t="str">
        <f t="shared" si="16"/>
        <v>Include</v>
      </c>
    </row>
    <row r="566" spans="3:10" s="1397" customFormat="1">
      <c r="C566" s="1414">
        <v>36526</v>
      </c>
      <c r="D566" s="1401">
        <v>37754</v>
      </c>
      <c r="E566" s="1400">
        <v>9363</v>
      </c>
      <c r="F566" s="1397" t="s">
        <v>2337</v>
      </c>
      <c r="G566" s="1399">
        <v>18692</v>
      </c>
      <c r="H566" s="1399">
        <f t="shared" si="17"/>
        <v>23241.152572512834</v>
      </c>
      <c r="I566" s="1399"/>
      <c r="J566" s="1399" t="str">
        <f t="shared" si="16"/>
        <v>Include</v>
      </c>
    </row>
    <row r="567" spans="3:10" s="1397" customFormat="1">
      <c r="C567" s="1414">
        <v>36437</v>
      </c>
      <c r="D567" s="1401">
        <v>37587</v>
      </c>
      <c r="E567" s="1400">
        <v>9321</v>
      </c>
      <c r="F567" s="1397" t="s">
        <v>2336</v>
      </c>
      <c r="G567" s="1399">
        <v>18634</v>
      </c>
      <c r="H567" s="1399">
        <f t="shared" si="17"/>
        <v>23632.417599878467</v>
      </c>
      <c r="I567" s="1399"/>
      <c r="J567" s="1399" t="str">
        <f t="shared" si="16"/>
        <v>Include</v>
      </c>
    </row>
    <row r="568" spans="3:10" s="1397" customFormat="1">
      <c r="C568" s="1414">
        <v>36483</v>
      </c>
      <c r="D568" s="1401">
        <v>36831</v>
      </c>
      <c r="E568" s="1400">
        <v>9334</v>
      </c>
      <c r="F568" s="1397" t="s">
        <v>2335</v>
      </c>
      <c r="G568" s="1399">
        <v>18477</v>
      </c>
      <c r="H568" s="1399">
        <f t="shared" si="17"/>
        <v>23433.303638132147</v>
      </c>
      <c r="I568" s="1399"/>
      <c r="J568" s="1399" t="str">
        <f t="shared" si="16"/>
        <v>Include</v>
      </c>
    </row>
    <row r="569" spans="3:10" s="1397" customFormat="1">
      <c r="C569" s="1414">
        <v>35239</v>
      </c>
      <c r="D569" s="1401">
        <v>36252</v>
      </c>
      <c r="E569" s="1400">
        <v>9902</v>
      </c>
      <c r="F569" s="1397" t="s">
        <v>2334</v>
      </c>
      <c r="G569" s="1399">
        <v>18403</v>
      </c>
      <c r="H569" s="1399">
        <f t="shared" si="17"/>
        <v>24768.015030178951</v>
      </c>
      <c r="I569" s="1399"/>
      <c r="J569" s="1399" t="str">
        <f t="shared" si="16"/>
        <v>Include</v>
      </c>
    </row>
    <row r="570" spans="3:10" s="1397" customFormat="1">
      <c r="C570" s="1414">
        <v>35544</v>
      </c>
      <c r="D570" s="1401">
        <v>35709</v>
      </c>
      <c r="E570" s="1400">
        <v>9981</v>
      </c>
      <c r="F570" s="1397" t="s">
        <v>2333</v>
      </c>
      <c r="G570" s="1399">
        <v>18280.900000000001</v>
      </c>
      <c r="H570" s="1399">
        <f t="shared" si="17"/>
        <v>24121.259319676061</v>
      </c>
      <c r="I570" s="1399"/>
      <c r="J570" s="1399" t="str">
        <f t="shared" si="16"/>
        <v>Include</v>
      </c>
    </row>
    <row r="571" spans="3:10" s="1397" customFormat="1">
      <c r="C571" s="1414">
        <v>35779</v>
      </c>
      <c r="D571" s="1401">
        <v>37182</v>
      </c>
      <c r="E571" s="1400">
        <v>9053</v>
      </c>
      <c r="F571" s="1397" t="s">
        <v>2332</v>
      </c>
      <c r="G571" s="1399">
        <v>18279</v>
      </c>
      <c r="H571" s="1399">
        <f t="shared" si="17"/>
        <v>24118.752310026241</v>
      </c>
      <c r="I571" s="1399"/>
      <c r="J571" s="1399" t="str">
        <f t="shared" si="16"/>
        <v>Include</v>
      </c>
    </row>
    <row r="572" spans="3:10" s="1397" customFormat="1">
      <c r="C572" s="1414">
        <v>34954</v>
      </c>
      <c r="D572" s="1401">
        <v>35145</v>
      </c>
      <c r="E572" s="1400">
        <v>9830</v>
      </c>
      <c r="F572" s="1397" t="s">
        <v>2331</v>
      </c>
      <c r="G572" s="1399">
        <v>18160</v>
      </c>
      <c r="H572" s="1399">
        <f t="shared" si="17"/>
        <v>24929.788404445513</v>
      </c>
      <c r="I572" s="1399"/>
      <c r="J572" s="1399" t="str">
        <f t="shared" si="16"/>
        <v>Include</v>
      </c>
    </row>
    <row r="573" spans="3:10" s="1397" customFormat="1">
      <c r="C573" s="1414">
        <v>35417</v>
      </c>
      <c r="D573" s="1401" t="s">
        <v>2192</v>
      </c>
      <c r="E573" s="1400">
        <v>9951</v>
      </c>
      <c r="F573" s="1415" t="s">
        <v>2330</v>
      </c>
      <c r="G573" s="1399">
        <v>18147.5</v>
      </c>
      <c r="H573" s="1399">
        <f t="shared" si="17"/>
        <v>24424.145669737136</v>
      </c>
      <c r="I573" s="1399">
        <v>1</v>
      </c>
      <c r="J573" s="1399" t="str">
        <f t="shared" si="16"/>
        <v>Exclude</v>
      </c>
    </row>
    <row r="574" spans="3:10" s="1397" customFormat="1">
      <c r="C574" s="1414">
        <v>36144</v>
      </c>
      <c r="D574" s="1401">
        <v>36704</v>
      </c>
      <c r="E574" s="1400">
        <v>9198</v>
      </c>
      <c r="F574" s="1397" t="s">
        <v>2329</v>
      </c>
      <c r="G574" s="1399">
        <v>17966</v>
      </c>
      <c r="H574" s="1399">
        <f t="shared" si="17"/>
        <v>23240.936722732902</v>
      </c>
      <c r="I574" s="1399"/>
      <c r="J574" s="1399" t="str">
        <f t="shared" si="16"/>
        <v>Include</v>
      </c>
    </row>
    <row r="575" spans="3:10" s="1397" customFormat="1">
      <c r="C575" s="1414">
        <v>33359</v>
      </c>
      <c r="D575" s="1401">
        <v>33645</v>
      </c>
      <c r="E575" s="1400">
        <v>9400</v>
      </c>
      <c r="F575" s="1397" t="s">
        <v>2328</v>
      </c>
      <c r="G575" s="1399">
        <v>17957</v>
      </c>
      <c r="H575" s="1399">
        <f t="shared" si="17"/>
        <v>26683.157389583306</v>
      </c>
      <c r="I575" s="1399"/>
      <c r="J575" s="1399" t="str">
        <f t="shared" si="16"/>
        <v>Include</v>
      </c>
    </row>
    <row r="576" spans="3:10" s="1397" customFormat="1">
      <c r="C576" s="1414">
        <v>36145</v>
      </c>
      <c r="D576" s="1401">
        <v>36831</v>
      </c>
      <c r="E576" s="1400">
        <v>9197</v>
      </c>
      <c r="F576" s="1397" t="s">
        <v>2327</v>
      </c>
      <c r="G576" s="1399">
        <v>17805</v>
      </c>
      <c r="H576" s="1399">
        <f t="shared" si="17"/>
        <v>23032.666055229838</v>
      </c>
      <c r="I576" s="1399"/>
      <c r="J576" s="1399" t="str">
        <f t="shared" si="16"/>
        <v>Include</v>
      </c>
    </row>
    <row r="577" spans="3:13">
      <c r="C577" s="1414">
        <v>35953</v>
      </c>
      <c r="D577" s="1401">
        <v>36472</v>
      </c>
      <c r="E577" s="1400">
        <v>9144</v>
      </c>
      <c r="F577" s="1397" t="s">
        <v>2326</v>
      </c>
      <c r="G577" s="1399">
        <v>17606.2</v>
      </c>
      <c r="H577" s="1399">
        <f t="shared" si="17"/>
        <v>22775.497057095625</v>
      </c>
      <c r="J577" s="1399" t="str">
        <f t="shared" si="16"/>
        <v>Include</v>
      </c>
    </row>
    <row r="578" spans="3:13">
      <c r="C578" s="1414">
        <v>36342</v>
      </c>
      <c r="D578" s="1401">
        <v>37319</v>
      </c>
      <c r="E578" s="1400">
        <v>9300</v>
      </c>
      <c r="F578" s="1397" t="s">
        <v>2325</v>
      </c>
      <c r="G578" s="1399">
        <v>17582.96</v>
      </c>
      <c r="H578" s="1399">
        <f t="shared" si="17"/>
        <v>22299.444744121451</v>
      </c>
      <c r="J578" s="1399" t="str">
        <f t="shared" si="16"/>
        <v>Include</v>
      </c>
    </row>
    <row r="579" spans="3:13">
      <c r="C579" s="1414">
        <v>33817</v>
      </c>
      <c r="D579" s="1401">
        <v>34107</v>
      </c>
      <c r="E579" s="1400">
        <v>9494</v>
      </c>
      <c r="F579" s="1397" t="s">
        <v>2324</v>
      </c>
      <c r="G579" s="1399">
        <v>17577.03</v>
      </c>
      <c r="H579" s="1399">
        <f t="shared" si="17"/>
        <v>25606.413683856281</v>
      </c>
      <c r="J579" s="1399" t="str">
        <f t="shared" si="16"/>
        <v>Include</v>
      </c>
    </row>
    <row r="580" spans="3:13">
      <c r="C580" s="1414">
        <v>35927</v>
      </c>
      <c r="D580" s="1401">
        <v>36532</v>
      </c>
      <c r="E580" s="1400">
        <v>9130</v>
      </c>
      <c r="F580" s="1397" t="s">
        <v>2323</v>
      </c>
      <c r="G580" s="1399">
        <v>17562.560000000001</v>
      </c>
      <c r="H580" s="1399">
        <f t="shared" si="17"/>
        <v>22719.044063742622</v>
      </c>
      <c r="J580" s="1399" t="str">
        <f t="shared" si="16"/>
        <v>Include</v>
      </c>
    </row>
    <row r="581" spans="3:13">
      <c r="C581" s="1414">
        <v>35735</v>
      </c>
      <c r="D581" s="1401">
        <v>36166</v>
      </c>
      <c r="E581" s="1400">
        <v>9052</v>
      </c>
      <c r="F581" s="1397" t="s">
        <v>2322</v>
      </c>
      <c r="G581" s="1399">
        <v>17425</v>
      </c>
      <c r="H581" s="1399">
        <f t="shared" si="17"/>
        <v>22991.917446370546</v>
      </c>
      <c r="J581" s="1399" t="str">
        <f t="shared" si="16"/>
        <v>Include</v>
      </c>
    </row>
    <row r="582" spans="3:13">
      <c r="C582" s="1414">
        <v>35412</v>
      </c>
      <c r="D582" s="1401">
        <v>35522</v>
      </c>
      <c r="E582" s="1400">
        <v>9950</v>
      </c>
      <c r="F582" s="1397" t="s">
        <v>2321</v>
      </c>
      <c r="G582" s="1399">
        <v>17277</v>
      </c>
      <c r="H582" s="1399">
        <f t="shared" si="17"/>
        <v>23252.56728122598</v>
      </c>
      <c r="J582" s="1399" t="str">
        <f t="shared" si="16"/>
        <v>Include</v>
      </c>
    </row>
    <row r="583" spans="3:13">
      <c r="C583" s="1414">
        <v>36287</v>
      </c>
      <c r="D583" s="1401">
        <v>36788</v>
      </c>
      <c r="E583" s="1400">
        <v>9280</v>
      </c>
      <c r="F583" s="1397" t="s">
        <v>2320</v>
      </c>
      <c r="G583" s="1399">
        <v>17174.490000000002</v>
      </c>
      <c r="H583" s="1399">
        <f t="shared" si="17"/>
        <v>21781.406018296489</v>
      </c>
      <c r="J583" s="1399" t="str">
        <f t="shared" si="16"/>
        <v>Include</v>
      </c>
    </row>
    <row r="584" spans="3:13">
      <c r="C584" s="1414">
        <v>36479</v>
      </c>
      <c r="D584" s="1401">
        <v>37013</v>
      </c>
      <c r="E584" s="1400">
        <v>9314</v>
      </c>
      <c r="F584" s="1397" t="s">
        <v>2319</v>
      </c>
      <c r="G584" s="1399">
        <v>17088.66</v>
      </c>
      <c r="H584" s="1399">
        <f t="shared" si="17"/>
        <v>21672.552825069186</v>
      </c>
      <c r="J584" s="1399" t="str">
        <f t="shared" si="16"/>
        <v>Include</v>
      </c>
    </row>
    <row r="585" spans="3:13">
      <c r="C585" s="1414">
        <v>35025</v>
      </c>
      <c r="D585" s="1401">
        <v>35556</v>
      </c>
      <c r="E585" s="1400">
        <v>9846</v>
      </c>
      <c r="F585" s="1397" t="s">
        <v>2318</v>
      </c>
      <c r="G585" s="1399">
        <v>17043.13</v>
      </c>
      <c r="H585" s="1399">
        <f t="shared" si="17"/>
        <v>23396.565234000966</v>
      </c>
      <c r="J585" s="1399" t="str">
        <f t="shared" si="16"/>
        <v>Include</v>
      </c>
      <c r="L585" s="1418"/>
      <c r="M585" s="1418"/>
    </row>
    <row r="586" spans="3:13">
      <c r="C586" s="1414">
        <v>34949</v>
      </c>
      <c r="D586" s="1401">
        <v>35030</v>
      </c>
      <c r="E586" s="1400">
        <v>9829</v>
      </c>
      <c r="F586" s="1415" t="s">
        <v>2317</v>
      </c>
      <c r="G586" s="1399">
        <v>17013</v>
      </c>
      <c r="H586" s="1399">
        <f t="shared" si="17"/>
        <v>23355.203200706583</v>
      </c>
      <c r="I586" s="1399">
        <v>1</v>
      </c>
      <c r="J586" s="1399" t="str">
        <f t="shared" si="16"/>
        <v>Exclude</v>
      </c>
    </row>
    <row r="587" spans="3:13">
      <c r="C587" s="1414">
        <v>36586</v>
      </c>
      <c r="D587" s="1401">
        <v>36831</v>
      </c>
      <c r="E587" s="1400">
        <v>9360</v>
      </c>
      <c r="F587" s="1403" t="s">
        <v>2316</v>
      </c>
      <c r="G587" s="1399">
        <v>17000</v>
      </c>
      <c r="H587" s="1399">
        <f t="shared" si="17"/>
        <v>21137.363242709085</v>
      </c>
      <c r="J587" s="1399" t="str">
        <f t="shared" ref="J587:J650" si="18">IF(I587=1,"Exclude","Include")</f>
        <v>Include</v>
      </c>
    </row>
    <row r="588" spans="3:13">
      <c r="C588" s="1414">
        <v>36312</v>
      </c>
      <c r="D588" s="1401">
        <v>36472</v>
      </c>
      <c r="E588" s="1400">
        <v>9277</v>
      </c>
      <c r="F588" s="1397" t="s">
        <v>2315</v>
      </c>
      <c r="G588" s="1399">
        <v>16950</v>
      </c>
      <c r="H588" s="1399">
        <f t="shared" si="17"/>
        <v>21496.698417835141</v>
      </c>
      <c r="J588" s="1399" t="str">
        <f t="shared" si="18"/>
        <v>Include</v>
      </c>
    </row>
    <row r="589" spans="3:13">
      <c r="C589" s="1414">
        <v>33367</v>
      </c>
      <c r="D589" s="1401">
        <v>33831</v>
      </c>
      <c r="E589" s="1400">
        <v>9405</v>
      </c>
      <c r="F589" s="1397" t="s">
        <v>2314</v>
      </c>
      <c r="G589" s="1399">
        <v>16700.46</v>
      </c>
      <c r="H589" s="1399">
        <f t="shared" si="17"/>
        <v>24816.005048640665</v>
      </c>
      <c r="J589" s="1399" t="str">
        <f t="shared" si="18"/>
        <v>Include</v>
      </c>
    </row>
    <row r="590" spans="3:13">
      <c r="C590" s="1414">
        <v>35628</v>
      </c>
      <c r="D590" s="1401">
        <v>35807</v>
      </c>
      <c r="E590" s="1400">
        <v>9017</v>
      </c>
      <c r="F590" s="1397" t="s">
        <v>2313</v>
      </c>
      <c r="G590" s="1399">
        <v>16679</v>
      </c>
      <c r="H590" s="1399">
        <f t="shared" si="17"/>
        <v>22007.586289125644</v>
      </c>
      <c r="J590" s="1399" t="str">
        <f t="shared" si="18"/>
        <v>Include</v>
      </c>
    </row>
    <row r="591" spans="3:13">
      <c r="C591" s="1414">
        <v>36171</v>
      </c>
      <c r="D591" s="1401">
        <v>36472</v>
      </c>
      <c r="E591" s="1400">
        <v>9216</v>
      </c>
      <c r="F591" s="1403" t="s">
        <v>2312</v>
      </c>
      <c r="G591" s="1399">
        <v>16630</v>
      </c>
      <c r="H591" s="1399">
        <f t="shared" si="17"/>
        <v>21090.861043575129</v>
      </c>
      <c r="J591" s="1399" t="str">
        <f t="shared" si="18"/>
        <v>Include</v>
      </c>
    </row>
    <row r="592" spans="3:13">
      <c r="C592" s="1414">
        <v>36159</v>
      </c>
      <c r="D592" s="1401">
        <v>36532</v>
      </c>
      <c r="E592" s="1400">
        <v>9210</v>
      </c>
      <c r="F592" s="1403" t="s">
        <v>2311</v>
      </c>
      <c r="G592" s="1399">
        <v>16226</v>
      </c>
      <c r="H592" s="1399">
        <f t="shared" si="17"/>
        <v>20990.061185743296</v>
      </c>
      <c r="J592" s="1399" t="str">
        <f t="shared" si="18"/>
        <v>Include</v>
      </c>
    </row>
    <row r="593" spans="3:10" s="1397" customFormat="1">
      <c r="C593" s="1414">
        <v>35752</v>
      </c>
      <c r="D593" s="1401">
        <v>35970</v>
      </c>
      <c r="E593" s="1400">
        <v>9045</v>
      </c>
      <c r="F593" s="1403" t="s">
        <v>2310</v>
      </c>
      <c r="G593" s="1399">
        <v>16114</v>
      </c>
      <c r="H593" s="1399">
        <f t="shared" si="17"/>
        <v>21262.080787995121</v>
      </c>
      <c r="I593" s="1399"/>
      <c r="J593" s="1399" t="str">
        <f t="shared" si="18"/>
        <v>Include</v>
      </c>
    </row>
    <row r="594" spans="3:10" s="1397" customFormat="1">
      <c r="C594" s="1414">
        <v>34943</v>
      </c>
      <c r="D594" s="1401">
        <v>35097</v>
      </c>
      <c r="E594" s="1400">
        <v>9827</v>
      </c>
      <c r="F594" s="1403" t="s">
        <v>2309</v>
      </c>
      <c r="G594" s="1399">
        <v>16113.13</v>
      </c>
      <c r="H594" s="1399">
        <f t="shared" si="17"/>
        <v>22119.874528266693</v>
      </c>
      <c r="I594" s="1399"/>
      <c r="J594" s="1399" t="str">
        <f t="shared" si="18"/>
        <v>Include</v>
      </c>
    </row>
    <row r="595" spans="3:10" s="1397" customFormat="1">
      <c r="C595" s="1414">
        <v>36144</v>
      </c>
      <c r="D595" s="1401">
        <v>36472</v>
      </c>
      <c r="E595" s="1400">
        <v>9209</v>
      </c>
      <c r="F595" s="1397" t="s">
        <v>2308</v>
      </c>
      <c r="G595" s="1399">
        <v>16050</v>
      </c>
      <c r="H595" s="1399">
        <f t="shared" si="17"/>
        <v>20762.386418783426</v>
      </c>
      <c r="I595" s="1399"/>
      <c r="J595" s="1399" t="str">
        <f t="shared" si="18"/>
        <v>Include</v>
      </c>
    </row>
    <row r="596" spans="3:10" s="1397" customFormat="1">
      <c r="C596" s="1414">
        <v>36151</v>
      </c>
      <c r="D596" s="1401">
        <v>36532</v>
      </c>
      <c r="E596" s="1400">
        <v>9206</v>
      </c>
      <c r="F596" s="1397" t="s">
        <v>2307</v>
      </c>
      <c r="G596" s="1399">
        <v>15957.59</v>
      </c>
      <c r="H596" s="1399">
        <f t="shared" ref="H596:H659" si="19">G596*(1+$N$6)^(2011-YEAR(C596))</f>
        <v>20642.84423006319</v>
      </c>
      <c r="I596" s="1399"/>
      <c r="J596" s="1399" t="str">
        <f t="shared" si="18"/>
        <v>Include</v>
      </c>
    </row>
    <row r="597" spans="3:10" s="1397" customFormat="1">
      <c r="C597" s="1414">
        <v>35405</v>
      </c>
      <c r="D597" s="1401">
        <v>35556</v>
      </c>
      <c r="E597" s="1400">
        <v>9949</v>
      </c>
      <c r="F597" s="1397" t="s">
        <v>2306</v>
      </c>
      <c r="G597" s="1399">
        <v>15928.04</v>
      </c>
      <c r="H597" s="1399">
        <f t="shared" si="19"/>
        <v>21437.044727560264</v>
      </c>
      <c r="I597" s="1399"/>
      <c r="J597" s="1399" t="str">
        <f t="shared" si="18"/>
        <v>Include</v>
      </c>
    </row>
    <row r="598" spans="3:10" s="1397" customFormat="1">
      <c r="C598" s="1414">
        <v>36119</v>
      </c>
      <c r="D598" s="1401">
        <v>36831</v>
      </c>
      <c r="E598" s="1400">
        <v>9193</v>
      </c>
      <c r="F598" s="1397" t="s">
        <v>2305</v>
      </c>
      <c r="G598" s="1399">
        <v>15463</v>
      </c>
      <c r="H598" s="1399">
        <f t="shared" si="19"/>
        <v>20003.03932670705</v>
      </c>
      <c r="I598" s="1399"/>
      <c r="J598" s="1399" t="str">
        <f t="shared" si="18"/>
        <v>Include</v>
      </c>
    </row>
    <row r="599" spans="3:10" s="1397" customFormat="1">
      <c r="C599" s="1414">
        <v>35765</v>
      </c>
      <c r="D599" s="1401">
        <v>36080</v>
      </c>
      <c r="E599" s="1400">
        <v>9048</v>
      </c>
      <c r="F599" s="1397" t="s">
        <v>2304</v>
      </c>
      <c r="G599" s="1399">
        <v>15367</v>
      </c>
      <c r="H599" s="1399">
        <f t="shared" si="19"/>
        <v>20276.430151987155</v>
      </c>
      <c r="I599" s="1399"/>
      <c r="J599" s="1399" t="str">
        <f t="shared" si="18"/>
        <v>Include</v>
      </c>
    </row>
    <row r="600" spans="3:10" s="1397" customFormat="1">
      <c r="C600" s="1414">
        <v>33948</v>
      </c>
      <c r="D600" s="1401">
        <v>34109</v>
      </c>
      <c r="E600" s="1400">
        <v>9520</v>
      </c>
      <c r="F600" s="1397" t="s">
        <v>2303</v>
      </c>
      <c r="G600" s="1399">
        <v>15262.38</v>
      </c>
      <c r="H600" s="1399">
        <f t="shared" si="19"/>
        <v>22234.405703364813</v>
      </c>
      <c r="I600" s="1399"/>
      <c r="J600" s="1399" t="str">
        <f t="shared" si="18"/>
        <v>Include</v>
      </c>
    </row>
    <row r="601" spans="3:10" s="1397" customFormat="1">
      <c r="C601" s="1414">
        <v>35439</v>
      </c>
      <c r="D601" s="1401">
        <v>36103</v>
      </c>
      <c r="E601" s="1400">
        <v>9956</v>
      </c>
      <c r="F601" s="1397" t="s">
        <v>2302</v>
      </c>
      <c r="G601" s="1399">
        <v>15141.7</v>
      </c>
      <c r="H601" s="1399">
        <f t="shared" si="19"/>
        <v>19979.151586669093</v>
      </c>
      <c r="I601" s="1399"/>
      <c r="J601" s="1399" t="str">
        <f t="shared" si="18"/>
        <v>Include</v>
      </c>
    </row>
    <row r="602" spans="3:10" s="1397" customFormat="1">
      <c r="C602" s="1414">
        <v>35110</v>
      </c>
      <c r="D602" s="1401">
        <v>35509</v>
      </c>
      <c r="E602" s="1400">
        <v>9859</v>
      </c>
      <c r="F602" s="1397" t="s">
        <v>2301</v>
      </c>
      <c r="G602" s="1399">
        <v>15138.63</v>
      </c>
      <c r="H602" s="1399">
        <f t="shared" si="19"/>
        <v>20374.602802603811</v>
      </c>
      <c r="I602" s="1399"/>
      <c r="J602" s="1399" t="str">
        <f t="shared" si="18"/>
        <v>Include</v>
      </c>
    </row>
    <row r="603" spans="3:10" s="1397" customFormat="1">
      <c r="C603" s="1414">
        <v>36465</v>
      </c>
      <c r="D603" s="1401">
        <v>36704</v>
      </c>
      <c r="E603" s="1400">
        <v>9325</v>
      </c>
      <c r="F603" s="1397" t="s">
        <v>2300</v>
      </c>
      <c r="G603" s="1399">
        <v>15046</v>
      </c>
      <c r="H603" s="1399">
        <f t="shared" si="19"/>
        <v>19081.966040988056</v>
      </c>
      <c r="I603" s="1399"/>
      <c r="J603" s="1399" t="str">
        <f t="shared" si="18"/>
        <v>Include</v>
      </c>
    </row>
    <row r="604" spans="3:10" s="1397" customFormat="1">
      <c r="C604" s="1414">
        <v>33750</v>
      </c>
      <c r="D604" s="1401">
        <v>34052</v>
      </c>
      <c r="E604" s="1400">
        <v>9473</v>
      </c>
      <c r="F604" s="1397" t="s">
        <v>2299</v>
      </c>
      <c r="G604" s="1399">
        <v>15011.25</v>
      </c>
      <c r="H604" s="1399">
        <f t="shared" si="19"/>
        <v>21868.556713607908</v>
      </c>
      <c r="I604" s="1399"/>
      <c r="J604" s="1399" t="str">
        <f t="shared" si="18"/>
        <v>Include</v>
      </c>
    </row>
    <row r="605" spans="3:10" s="1397" customFormat="1">
      <c r="C605" s="1414">
        <v>36670</v>
      </c>
      <c r="D605" s="1401">
        <v>37572</v>
      </c>
      <c r="E605" s="1400">
        <v>9436</v>
      </c>
      <c r="F605" s="1403" t="s">
        <v>2298</v>
      </c>
      <c r="G605" s="1399">
        <v>15000.18</v>
      </c>
      <c r="H605" s="1399">
        <f t="shared" si="19"/>
        <v>18650.838433295292</v>
      </c>
      <c r="I605" s="1399"/>
      <c r="J605" s="1399" t="str">
        <f t="shared" si="18"/>
        <v>Include</v>
      </c>
    </row>
    <row r="606" spans="3:10" s="1397" customFormat="1">
      <c r="C606" s="1414">
        <v>35545</v>
      </c>
      <c r="D606" s="1401">
        <v>35709</v>
      </c>
      <c r="E606" s="1400">
        <v>9980</v>
      </c>
      <c r="F606" s="1397" t="s">
        <v>2297</v>
      </c>
      <c r="G606" s="1399">
        <v>14946.2</v>
      </c>
      <c r="H606" s="1399">
        <f t="shared" si="19"/>
        <v>19721.193488490302</v>
      </c>
      <c r="I606" s="1399"/>
      <c r="J606" s="1399" t="str">
        <f t="shared" si="18"/>
        <v>Include</v>
      </c>
    </row>
    <row r="607" spans="3:10" s="1397" customFormat="1">
      <c r="C607" s="1414">
        <v>35431</v>
      </c>
      <c r="D607" s="1401">
        <v>35689</v>
      </c>
      <c r="E607" s="1400">
        <v>9953</v>
      </c>
      <c r="F607" s="1397" t="s">
        <v>2296</v>
      </c>
      <c r="G607" s="1399">
        <v>14704.6</v>
      </c>
      <c r="H607" s="1399">
        <f t="shared" si="19"/>
        <v>19402.407419334311</v>
      </c>
      <c r="I607" s="1399"/>
      <c r="J607" s="1399" t="str">
        <f t="shared" si="18"/>
        <v>Include</v>
      </c>
    </row>
    <row r="608" spans="3:10" s="1397" customFormat="1">
      <c r="C608" s="1414">
        <v>35151</v>
      </c>
      <c r="D608" s="1401">
        <v>35391</v>
      </c>
      <c r="E608" s="1400">
        <v>9871</v>
      </c>
      <c r="F608" s="1397" t="s">
        <v>2295</v>
      </c>
      <c r="G608" s="1399">
        <v>14700</v>
      </c>
      <c r="H608" s="1399">
        <f t="shared" si="19"/>
        <v>19784.2645733647</v>
      </c>
      <c r="I608" s="1399"/>
      <c r="J608" s="1399" t="str">
        <f t="shared" si="18"/>
        <v>Include</v>
      </c>
    </row>
    <row r="609" spans="3:13">
      <c r="C609" s="1414">
        <v>36654</v>
      </c>
      <c r="D609" s="1401">
        <v>38089</v>
      </c>
      <c r="E609" s="1400">
        <v>9420</v>
      </c>
      <c r="F609" s="1415" t="s">
        <v>2294</v>
      </c>
      <c r="G609" s="1399">
        <v>14646.25</v>
      </c>
      <c r="H609" s="1399">
        <f t="shared" si="19"/>
        <v>18210.770964325173</v>
      </c>
      <c r="I609" s="1399">
        <v>1</v>
      </c>
      <c r="J609" s="1399" t="str">
        <f t="shared" si="18"/>
        <v>Exclude</v>
      </c>
    </row>
    <row r="610" spans="3:13">
      <c r="C610" s="1414">
        <v>33743</v>
      </c>
      <c r="D610" s="1401">
        <v>34026</v>
      </c>
      <c r="E610" s="1400">
        <v>9470</v>
      </c>
      <c r="F610" s="1403" t="s">
        <v>2293</v>
      </c>
      <c r="G610" s="1399">
        <v>14511.57</v>
      </c>
      <c r="H610" s="1399">
        <f t="shared" si="19"/>
        <v>21140.617306919219</v>
      </c>
      <c r="J610" s="1399" t="str">
        <f t="shared" si="18"/>
        <v>Include</v>
      </c>
    </row>
    <row r="611" spans="3:13">
      <c r="C611" s="1414">
        <v>35978</v>
      </c>
      <c r="D611" s="1401">
        <v>36340</v>
      </c>
      <c r="E611" s="1400">
        <v>9152</v>
      </c>
      <c r="F611" s="1397" t="s">
        <v>2292</v>
      </c>
      <c r="G611" s="1399">
        <v>14489.5</v>
      </c>
      <c r="H611" s="1399">
        <f t="shared" si="19"/>
        <v>18743.713271960278</v>
      </c>
      <c r="J611" s="1399" t="str">
        <f t="shared" si="18"/>
        <v>Include</v>
      </c>
      <c r="L611" s="1416"/>
      <c r="M611" s="1416"/>
    </row>
    <row r="612" spans="3:13">
      <c r="C612" s="1414">
        <v>35936</v>
      </c>
      <c r="D612" s="1401">
        <v>36831</v>
      </c>
      <c r="E612" s="1400">
        <v>9139</v>
      </c>
      <c r="F612" s="1415" t="s">
        <v>2291</v>
      </c>
      <c r="G612" s="1399">
        <v>14465</v>
      </c>
      <c r="H612" s="1399">
        <f t="shared" si="19"/>
        <v>18712.019909514162</v>
      </c>
      <c r="I612" s="1399">
        <v>1</v>
      </c>
      <c r="J612" s="1399" t="str">
        <f t="shared" si="18"/>
        <v>Exclude</v>
      </c>
    </row>
    <row r="613" spans="3:13">
      <c r="C613" s="1414">
        <v>34899</v>
      </c>
      <c r="D613" s="1401">
        <v>35067</v>
      </c>
      <c r="E613" s="1400">
        <v>9813</v>
      </c>
      <c r="F613" s="1403" t="s">
        <v>2290</v>
      </c>
      <c r="G613" s="1399">
        <v>14418.3</v>
      </c>
      <c r="H613" s="1399">
        <f t="shared" si="19"/>
        <v>19793.23613170797</v>
      </c>
      <c r="J613" s="1399" t="str">
        <f t="shared" si="18"/>
        <v>Include</v>
      </c>
    </row>
    <row r="614" spans="3:13">
      <c r="C614" s="1414">
        <v>33764</v>
      </c>
      <c r="D614" s="1401">
        <v>34143</v>
      </c>
      <c r="E614" s="1400">
        <v>9482</v>
      </c>
      <c r="F614" s="1397" t="s">
        <v>2289</v>
      </c>
      <c r="G614" s="1399">
        <v>14414.5</v>
      </c>
      <c r="H614" s="1399">
        <f t="shared" si="19"/>
        <v>20999.204646401948</v>
      </c>
      <c r="J614" s="1399" t="str">
        <f t="shared" si="18"/>
        <v>Include</v>
      </c>
    </row>
    <row r="615" spans="3:13">
      <c r="C615" s="1414">
        <v>35545</v>
      </c>
      <c r="D615" s="1401">
        <v>35709</v>
      </c>
      <c r="E615" s="1400">
        <v>9983</v>
      </c>
      <c r="F615" s="1397" t="s">
        <v>2288</v>
      </c>
      <c r="G615" s="1399">
        <v>14408</v>
      </c>
      <c r="H615" s="1399">
        <f t="shared" si="19"/>
        <v>19011.050018209862</v>
      </c>
      <c r="J615" s="1399" t="str">
        <f t="shared" si="18"/>
        <v>Include</v>
      </c>
    </row>
    <row r="616" spans="3:13">
      <c r="C616" s="1414">
        <v>34932</v>
      </c>
      <c r="D616" s="1401">
        <v>35172</v>
      </c>
      <c r="E616" s="1400">
        <v>9821</v>
      </c>
      <c r="F616" s="1397" t="s">
        <v>2287</v>
      </c>
      <c r="G616" s="1399">
        <v>14368.5</v>
      </c>
      <c r="H616" s="1399">
        <f t="shared" si="19"/>
        <v>19724.871403594458</v>
      </c>
      <c r="J616" s="1399" t="str">
        <f t="shared" si="18"/>
        <v>Include</v>
      </c>
    </row>
    <row r="617" spans="3:13">
      <c r="C617" s="1414">
        <v>35247</v>
      </c>
      <c r="D617" s="1401">
        <v>35391</v>
      </c>
      <c r="E617" s="1400">
        <v>9906</v>
      </c>
      <c r="F617" s="1397" t="s">
        <v>2286</v>
      </c>
      <c r="G617" s="1399">
        <v>14321.7</v>
      </c>
      <c r="H617" s="1399">
        <f t="shared" si="19"/>
        <v>19275.122580976684</v>
      </c>
      <c r="J617" s="1399" t="str">
        <f t="shared" si="18"/>
        <v>Include</v>
      </c>
    </row>
    <row r="618" spans="3:13">
      <c r="C618" s="1414">
        <v>35720</v>
      </c>
      <c r="D618" s="1401">
        <v>35864</v>
      </c>
      <c r="E618" s="1400">
        <v>9035</v>
      </c>
      <c r="F618" s="1397" t="s">
        <v>2285</v>
      </c>
      <c r="G618" s="1399">
        <v>14307</v>
      </c>
      <c r="H618" s="1399">
        <f t="shared" si="19"/>
        <v>18877.782663140511</v>
      </c>
      <c r="J618" s="1399" t="str">
        <f t="shared" si="18"/>
        <v>Include</v>
      </c>
    </row>
    <row r="619" spans="3:13">
      <c r="C619" s="1414">
        <v>35907</v>
      </c>
      <c r="D619" s="1401">
        <v>36102</v>
      </c>
      <c r="E619" s="1400">
        <v>9129</v>
      </c>
      <c r="F619" s="1397" t="s">
        <v>2284</v>
      </c>
      <c r="G619" s="1399">
        <v>14038</v>
      </c>
      <c r="H619" s="1399">
        <f t="shared" si="19"/>
        <v>18159.649878310389</v>
      </c>
      <c r="J619" s="1399" t="str">
        <f t="shared" si="18"/>
        <v>Include</v>
      </c>
    </row>
    <row r="620" spans="3:13">
      <c r="C620" s="1414">
        <v>35947</v>
      </c>
      <c r="D620" s="1401">
        <v>36102</v>
      </c>
      <c r="E620" s="1400">
        <v>9157</v>
      </c>
      <c r="F620" s="1415" t="s">
        <v>2283</v>
      </c>
      <c r="G620" s="1399">
        <v>14000</v>
      </c>
      <c r="H620" s="1399">
        <f t="shared" si="19"/>
        <v>18110.492826353144</v>
      </c>
      <c r="I620" s="1399">
        <v>1</v>
      </c>
      <c r="J620" s="1399" t="str">
        <f t="shared" si="18"/>
        <v>Exclude</v>
      </c>
    </row>
    <row r="621" spans="3:13">
      <c r="C621" s="1414">
        <v>36473</v>
      </c>
      <c r="D621" s="1401">
        <v>37042</v>
      </c>
      <c r="E621" s="1400">
        <v>9332</v>
      </c>
      <c r="F621" s="1397" t="s">
        <v>2282</v>
      </c>
      <c r="G621" s="1399">
        <v>13942.95</v>
      </c>
      <c r="H621" s="1399">
        <f t="shared" si="19"/>
        <v>17683.031929495843</v>
      </c>
      <c r="J621" s="1399" t="str">
        <f t="shared" si="18"/>
        <v>Include</v>
      </c>
    </row>
    <row r="622" spans="3:13">
      <c r="C622" s="1414">
        <v>34857</v>
      </c>
      <c r="D622" s="1401">
        <v>34998</v>
      </c>
      <c r="E622" s="1400">
        <v>9801</v>
      </c>
      <c r="F622" s="1397" t="s">
        <v>2281</v>
      </c>
      <c r="G622" s="1399">
        <v>13880</v>
      </c>
      <c r="H622" s="1399">
        <f t="shared" si="19"/>
        <v>19054.265586657693</v>
      </c>
      <c r="J622" s="1399" t="str">
        <f t="shared" si="18"/>
        <v>Include</v>
      </c>
    </row>
    <row r="623" spans="3:13">
      <c r="C623" s="1414">
        <v>35870</v>
      </c>
      <c r="D623" s="1401">
        <v>36102</v>
      </c>
      <c r="E623" s="1400">
        <v>9098</v>
      </c>
      <c r="F623" s="1397" t="s">
        <v>2280</v>
      </c>
      <c r="G623" s="1399">
        <v>13862</v>
      </c>
      <c r="H623" s="1399">
        <f t="shared" si="19"/>
        <v>17931.975111350523</v>
      </c>
      <c r="J623" s="1399" t="str">
        <f t="shared" si="18"/>
        <v>Include</v>
      </c>
    </row>
    <row r="624" spans="3:13">
      <c r="C624" s="1414">
        <v>33766</v>
      </c>
      <c r="D624" s="1401">
        <v>34052</v>
      </c>
      <c r="E624" s="1400">
        <v>9483</v>
      </c>
      <c r="F624" s="1397" t="s">
        <v>2279</v>
      </c>
      <c r="G624" s="1399">
        <v>13834.75</v>
      </c>
      <c r="H624" s="1399">
        <f t="shared" si="19"/>
        <v>20154.618369128955</v>
      </c>
      <c r="J624" s="1399" t="str">
        <f t="shared" si="18"/>
        <v>Include</v>
      </c>
    </row>
    <row r="625" spans="3:10" s="1397" customFormat="1">
      <c r="C625" s="1414">
        <v>35828</v>
      </c>
      <c r="D625" s="1401">
        <v>36080</v>
      </c>
      <c r="E625" s="1400">
        <v>9076</v>
      </c>
      <c r="F625" s="1397" t="s">
        <v>2278</v>
      </c>
      <c r="G625" s="1399">
        <v>13796.6</v>
      </c>
      <c r="H625" s="1399">
        <f t="shared" si="19"/>
        <v>17847.373237718843</v>
      </c>
      <c r="I625" s="1399"/>
      <c r="J625" s="1399" t="str">
        <f t="shared" si="18"/>
        <v>Include</v>
      </c>
    </row>
    <row r="626" spans="3:10" s="1397" customFormat="1">
      <c r="C626" s="1414">
        <v>36586</v>
      </c>
      <c r="D626" s="1401">
        <v>37042</v>
      </c>
      <c r="E626" s="1400">
        <v>9395</v>
      </c>
      <c r="F626" s="1397" t="s">
        <v>2277</v>
      </c>
      <c r="G626" s="1399">
        <v>13795.94</v>
      </c>
      <c r="H626" s="1399">
        <f t="shared" si="19"/>
        <v>17153.517356154116</v>
      </c>
      <c r="I626" s="1399"/>
      <c r="J626" s="1399" t="str">
        <f t="shared" si="18"/>
        <v>Include</v>
      </c>
    </row>
    <row r="627" spans="3:10" s="1397" customFormat="1">
      <c r="C627" s="1414">
        <v>35845</v>
      </c>
      <c r="D627" s="1401">
        <v>36102</v>
      </c>
      <c r="E627" s="1400">
        <v>9081</v>
      </c>
      <c r="F627" s="1403" t="s">
        <v>2276</v>
      </c>
      <c r="G627" s="1399">
        <v>13741</v>
      </c>
      <c r="H627" s="1399">
        <f t="shared" si="19"/>
        <v>17775.448709065611</v>
      </c>
      <c r="I627" s="1399"/>
      <c r="J627" s="1399" t="str">
        <f t="shared" si="18"/>
        <v>Include</v>
      </c>
    </row>
    <row r="628" spans="3:10" s="1397" customFormat="1">
      <c r="C628" s="1414">
        <v>35506</v>
      </c>
      <c r="D628" s="1401">
        <v>35748</v>
      </c>
      <c r="E628" s="1400">
        <v>9967</v>
      </c>
      <c r="F628" s="1397" t="s">
        <v>2275</v>
      </c>
      <c r="G628" s="1399">
        <v>13723.3</v>
      </c>
      <c r="H628" s="1399">
        <f t="shared" si="19"/>
        <v>18107.602909140711</v>
      </c>
      <c r="I628" s="1399"/>
      <c r="J628" s="1399" t="str">
        <f t="shared" si="18"/>
        <v>Include</v>
      </c>
    </row>
    <row r="629" spans="3:10" s="1397" customFormat="1">
      <c r="C629" s="1414">
        <v>36140</v>
      </c>
      <c r="D629" s="1401">
        <v>36472</v>
      </c>
      <c r="E629" s="1400">
        <v>9200</v>
      </c>
      <c r="F629" s="1397" t="s">
        <v>2274</v>
      </c>
      <c r="G629" s="1399">
        <v>13705</v>
      </c>
      <c r="H629" s="1399">
        <f t="shared" si="19"/>
        <v>17728.878870369277</v>
      </c>
      <c r="I629" s="1399"/>
      <c r="J629" s="1399" t="str">
        <f t="shared" si="18"/>
        <v>Include</v>
      </c>
    </row>
    <row r="630" spans="3:10" s="1397" customFormat="1">
      <c r="C630" s="1414">
        <v>35254</v>
      </c>
      <c r="D630" s="1401">
        <v>35375</v>
      </c>
      <c r="E630" s="1400">
        <v>9907</v>
      </c>
      <c r="F630" s="1415" t="s">
        <v>2273</v>
      </c>
      <c r="G630" s="1399">
        <v>13540</v>
      </c>
      <c r="H630" s="1399">
        <f t="shared" si="19"/>
        <v>18223.057300908709</v>
      </c>
      <c r="I630" s="1399">
        <v>1</v>
      </c>
      <c r="J630" s="1399" t="str">
        <f t="shared" si="18"/>
        <v>Exclude</v>
      </c>
    </row>
    <row r="631" spans="3:10" s="1397" customFormat="1">
      <c r="C631" s="1414">
        <v>35010</v>
      </c>
      <c r="D631" s="1401">
        <v>35213</v>
      </c>
      <c r="E631" s="1400">
        <v>9844</v>
      </c>
      <c r="F631" s="1415" t="s">
        <v>2272</v>
      </c>
      <c r="G631" s="1399">
        <v>13404.57</v>
      </c>
      <c r="H631" s="1399">
        <f t="shared" si="19"/>
        <v>18401.602078886466</v>
      </c>
      <c r="I631" s="1399">
        <v>1</v>
      </c>
      <c r="J631" s="1399" t="str">
        <f t="shared" si="18"/>
        <v>Exclude</v>
      </c>
    </row>
    <row r="632" spans="3:10" s="1397" customFormat="1">
      <c r="C632" s="1414">
        <v>36137</v>
      </c>
      <c r="D632" s="1401">
        <v>36472</v>
      </c>
      <c r="E632" s="1400">
        <v>9195</v>
      </c>
      <c r="F632" s="1397" t="s">
        <v>2271</v>
      </c>
      <c r="G632" s="1399">
        <v>13332</v>
      </c>
      <c r="H632" s="1399">
        <f t="shared" si="19"/>
        <v>17246.363597210009</v>
      </c>
      <c r="I632" s="1399"/>
      <c r="J632" s="1399" t="str">
        <f t="shared" si="18"/>
        <v>Include</v>
      </c>
    </row>
    <row r="633" spans="3:10" s="1397" customFormat="1">
      <c r="C633" s="1414">
        <v>35409</v>
      </c>
      <c r="D633" s="1401">
        <v>35618</v>
      </c>
      <c r="E633" s="1400">
        <v>9948</v>
      </c>
      <c r="F633" s="1403" t="s">
        <v>2270</v>
      </c>
      <c r="G633" s="1399">
        <v>13285.6</v>
      </c>
      <c r="H633" s="1399">
        <f t="shared" si="19"/>
        <v>17880.668395639052</v>
      </c>
      <c r="I633" s="1399"/>
      <c r="J633" s="1399" t="str">
        <f t="shared" si="18"/>
        <v>Include</v>
      </c>
    </row>
    <row r="634" spans="3:10" s="1397" customFormat="1">
      <c r="C634" s="1414">
        <v>35115</v>
      </c>
      <c r="D634" s="1401">
        <v>35264</v>
      </c>
      <c r="E634" s="1400">
        <v>9867</v>
      </c>
      <c r="F634" s="1397" t="s">
        <v>2269</v>
      </c>
      <c r="G634" s="1399">
        <v>13207</v>
      </c>
      <c r="H634" s="1399">
        <f t="shared" si="19"/>
        <v>17774.883144246774</v>
      </c>
      <c r="I634" s="1399"/>
      <c r="J634" s="1399" t="str">
        <f t="shared" si="18"/>
        <v>Include</v>
      </c>
    </row>
    <row r="635" spans="3:10" s="1397" customFormat="1">
      <c r="C635" s="1414">
        <v>35453</v>
      </c>
      <c r="D635" s="1401">
        <v>35556</v>
      </c>
      <c r="E635" s="1400">
        <v>9958</v>
      </c>
      <c r="F635" s="1397" t="s">
        <v>2268</v>
      </c>
      <c r="G635" s="1399">
        <v>13131.2</v>
      </c>
      <c r="H635" s="1399">
        <f t="shared" si="19"/>
        <v>17326.339533531187</v>
      </c>
      <c r="I635" s="1399"/>
      <c r="J635" s="1399" t="str">
        <f t="shared" si="18"/>
        <v>Include</v>
      </c>
    </row>
    <row r="636" spans="3:10" s="1397" customFormat="1">
      <c r="C636" s="1414">
        <v>34001</v>
      </c>
      <c r="D636" s="1401">
        <v>34109</v>
      </c>
      <c r="E636" s="1400">
        <v>9536</v>
      </c>
      <c r="F636" s="1397" t="s">
        <v>2267</v>
      </c>
      <c r="G636" s="1399">
        <v>13124.2</v>
      </c>
      <c r="H636" s="1399">
        <f t="shared" si="19"/>
        <v>18744.589402440521</v>
      </c>
      <c r="I636" s="1399"/>
      <c r="J636" s="1399" t="str">
        <f t="shared" si="18"/>
        <v>Include</v>
      </c>
    </row>
    <row r="637" spans="3:10" s="1397" customFormat="1">
      <c r="C637" s="1414">
        <v>36678</v>
      </c>
      <c r="D637" s="1401">
        <v>37182</v>
      </c>
      <c r="E637" s="1400">
        <v>9443</v>
      </c>
      <c r="F637" s="1397" t="s">
        <v>2266</v>
      </c>
      <c r="G637" s="1399">
        <v>13077.95</v>
      </c>
      <c r="H637" s="1399">
        <f t="shared" si="19"/>
        <v>16260.787036469841</v>
      </c>
      <c r="I637" s="1399"/>
      <c r="J637" s="1399" t="str">
        <f t="shared" si="18"/>
        <v>Include</v>
      </c>
    </row>
    <row r="638" spans="3:10" s="1397" customFormat="1">
      <c r="C638" s="1414">
        <v>33988</v>
      </c>
      <c r="D638" s="1401">
        <v>34099</v>
      </c>
      <c r="E638" s="1400">
        <v>9532</v>
      </c>
      <c r="F638" s="1397" t="s">
        <v>2265</v>
      </c>
      <c r="G638" s="1399">
        <v>12907.83</v>
      </c>
      <c r="H638" s="1399">
        <f t="shared" si="19"/>
        <v>18435.559761852441</v>
      </c>
      <c r="I638" s="1399"/>
      <c r="J638" s="1399" t="str">
        <f t="shared" si="18"/>
        <v>Include</v>
      </c>
    </row>
    <row r="639" spans="3:10" s="1397" customFormat="1">
      <c r="C639" s="1414">
        <v>34964</v>
      </c>
      <c r="D639" s="1401">
        <v>35145</v>
      </c>
      <c r="E639" s="1400">
        <v>9832</v>
      </c>
      <c r="F639" s="1397" t="s">
        <v>2264</v>
      </c>
      <c r="G639" s="1399">
        <v>12822</v>
      </c>
      <c r="H639" s="1399">
        <f t="shared" si="19"/>
        <v>17601.858310671829</v>
      </c>
      <c r="I639" s="1399"/>
      <c r="J639" s="1399" t="str">
        <f t="shared" si="18"/>
        <v>Include</v>
      </c>
    </row>
    <row r="640" spans="3:10" s="1397" customFormat="1">
      <c r="C640" s="1414">
        <v>35122</v>
      </c>
      <c r="D640" s="1401">
        <v>35264</v>
      </c>
      <c r="E640" s="1400">
        <v>9863</v>
      </c>
      <c r="F640" s="1397" t="s">
        <v>2263</v>
      </c>
      <c r="G640" s="1399">
        <v>12750</v>
      </c>
      <c r="H640" s="1399">
        <f t="shared" si="19"/>
        <v>17159.821313632649</v>
      </c>
      <c r="I640" s="1399"/>
      <c r="J640" s="1399" t="str">
        <f t="shared" si="18"/>
        <v>Include</v>
      </c>
    </row>
    <row r="641" spans="3:13">
      <c r="C641" s="1414">
        <v>35634</v>
      </c>
      <c r="D641" s="1401">
        <v>35807</v>
      </c>
      <c r="E641" s="1400">
        <v>9018</v>
      </c>
      <c r="F641" s="1397" t="s">
        <v>2262</v>
      </c>
      <c r="G641" s="1399">
        <v>12719.07</v>
      </c>
      <c r="H641" s="1399">
        <f t="shared" si="19"/>
        <v>16782.542750910085</v>
      </c>
      <c r="J641" s="1399" t="str">
        <f t="shared" si="18"/>
        <v>Include</v>
      </c>
    </row>
    <row r="642" spans="3:13">
      <c r="C642" s="1414">
        <v>36617</v>
      </c>
      <c r="D642" s="1401">
        <v>36831</v>
      </c>
      <c r="E642" s="1400">
        <v>9402</v>
      </c>
      <c r="F642" s="1397" t="s">
        <v>2261</v>
      </c>
      <c r="G642" s="1399">
        <v>12705.5</v>
      </c>
      <c r="H642" s="1399">
        <f t="shared" si="19"/>
        <v>15797.692275308251</v>
      </c>
      <c r="J642" s="1399" t="str">
        <f t="shared" si="18"/>
        <v>Include</v>
      </c>
    </row>
    <row r="643" spans="3:13">
      <c r="C643" s="1414">
        <v>35977</v>
      </c>
      <c r="D643" s="1401">
        <v>36166</v>
      </c>
      <c r="E643" s="1400">
        <v>9160</v>
      </c>
      <c r="F643" s="1397" t="s">
        <v>2260</v>
      </c>
      <c r="G643" s="1399">
        <v>12504.92</v>
      </c>
      <c r="H643" s="1399">
        <f t="shared" si="19"/>
        <v>16176.447425294284</v>
      </c>
      <c r="J643" s="1399" t="str">
        <f t="shared" si="18"/>
        <v>Include</v>
      </c>
    </row>
    <row r="644" spans="3:13">
      <c r="C644" s="1414">
        <v>35333</v>
      </c>
      <c r="D644" s="1401">
        <v>35522</v>
      </c>
      <c r="E644" s="1400">
        <v>9931</v>
      </c>
      <c r="F644" s="1397" t="s">
        <v>2259</v>
      </c>
      <c r="G644" s="1399">
        <v>12500</v>
      </c>
      <c r="H644" s="1399">
        <f t="shared" si="19"/>
        <v>16823.354229051616</v>
      </c>
      <c r="J644" s="1399" t="str">
        <f t="shared" si="18"/>
        <v>Include</v>
      </c>
    </row>
    <row r="645" spans="3:13">
      <c r="C645" s="1414">
        <v>36591</v>
      </c>
      <c r="D645" s="1401">
        <v>37124</v>
      </c>
      <c r="E645" s="1400">
        <v>9412</v>
      </c>
      <c r="F645" s="1397" t="s">
        <v>2258</v>
      </c>
      <c r="G645" s="1399">
        <v>12494.54</v>
      </c>
      <c r="H645" s="1399">
        <f t="shared" si="19"/>
        <v>15535.390031209317</v>
      </c>
      <c r="J645" s="1399" t="str">
        <f t="shared" si="18"/>
        <v>Include</v>
      </c>
    </row>
    <row r="646" spans="3:13">
      <c r="C646" s="1414">
        <v>35485</v>
      </c>
      <c r="D646" s="1401">
        <v>35585</v>
      </c>
      <c r="E646" s="1400">
        <v>9963</v>
      </c>
      <c r="F646" s="1397" t="s">
        <v>2257</v>
      </c>
      <c r="G646" s="1399">
        <v>12480</v>
      </c>
      <c r="H646" s="1399">
        <f t="shared" si="19"/>
        <v>16467.094963024643</v>
      </c>
      <c r="J646" s="1399" t="str">
        <f t="shared" si="18"/>
        <v>Include</v>
      </c>
      <c r="L646" s="1416"/>
      <c r="M646" s="1416"/>
    </row>
    <row r="647" spans="3:13">
      <c r="C647" s="1414">
        <v>34970</v>
      </c>
      <c r="D647" s="1401">
        <v>35242</v>
      </c>
      <c r="E647" s="1400">
        <v>9833</v>
      </c>
      <c r="F647" s="1397" t="s">
        <v>2256</v>
      </c>
      <c r="G647" s="1399">
        <v>12416</v>
      </c>
      <c r="H647" s="1399">
        <f t="shared" si="19"/>
        <v>17044.50731440504</v>
      </c>
      <c r="J647" s="1399" t="str">
        <f t="shared" si="18"/>
        <v>Include</v>
      </c>
    </row>
    <row r="648" spans="3:13">
      <c r="C648" s="1414">
        <v>36678</v>
      </c>
      <c r="D648" s="1401">
        <v>37060</v>
      </c>
      <c r="E648" s="1400">
        <v>9437</v>
      </c>
      <c r="F648" s="1397" t="s">
        <v>2255</v>
      </c>
      <c r="G648" s="1399">
        <v>12373</v>
      </c>
      <c r="H648" s="1399">
        <f t="shared" si="19"/>
        <v>15384.27031776703</v>
      </c>
      <c r="J648" s="1399" t="str">
        <f t="shared" si="18"/>
        <v>Include</v>
      </c>
    </row>
    <row r="649" spans="3:13">
      <c r="C649" s="1414">
        <v>36626</v>
      </c>
      <c r="D649" s="1401">
        <v>37124</v>
      </c>
      <c r="E649" s="1400">
        <v>9414</v>
      </c>
      <c r="F649" s="1397" t="s">
        <v>2254</v>
      </c>
      <c r="G649" s="1399">
        <v>12321.14</v>
      </c>
      <c r="H649" s="1399">
        <f t="shared" si="19"/>
        <v>15319.788926133682</v>
      </c>
      <c r="J649" s="1399" t="str">
        <f t="shared" si="18"/>
        <v>Include</v>
      </c>
    </row>
    <row r="650" spans="3:13">
      <c r="C650" s="1414">
        <v>34932</v>
      </c>
      <c r="D650" s="1401">
        <v>35172</v>
      </c>
      <c r="E650" s="1400">
        <v>9820</v>
      </c>
      <c r="F650" s="1397" t="s">
        <v>2253</v>
      </c>
      <c r="G650" s="1399">
        <v>12310.6</v>
      </c>
      <c r="H650" s="1399">
        <f t="shared" si="19"/>
        <v>16899.81570108849</v>
      </c>
      <c r="J650" s="1399" t="str">
        <f t="shared" si="18"/>
        <v>Include</v>
      </c>
    </row>
    <row r="651" spans="3:13">
      <c r="C651" s="1414">
        <v>36100</v>
      </c>
      <c r="D651" s="1401">
        <v>36836</v>
      </c>
      <c r="E651" s="1400">
        <v>9186</v>
      </c>
      <c r="F651" s="1397" t="s">
        <v>2252</v>
      </c>
      <c r="G651" s="1399">
        <v>12295.46</v>
      </c>
      <c r="H651" s="1399">
        <f t="shared" si="19"/>
        <v>15905.48858047943</v>
      </c>
      <c r="J651" s="1399" t="str">
        <f t="shared" ref="J651:J714" si="20">IF(I651=1,"Exclude","Include")</f>
        <v>Include</v>
      </c>
    </row>
    <row r="652" spans="3:13">
      <c r="C652" s="1414">
        <v>36557</v>
      </c>
      <c r="D652" s="1401">
        <v>37587</v>
      </c>
      <c r="E652" s="1400">
        <v>9384</v>
      </c>
      <c r="F652" s="1397" t="s">
        <v>2251</v>
      </c>
      <c r="G652" s="1399">
        <v>12270</v>
      </c>
      <c r="H652" s="1399">
        <f t="shared" si="19"/>
        <v>15256.202764002381</v>
      </c>
      <c r="J652" s="1399" t="str">
        <f t="shared" si="20"/>
        <v>Include</v>
      </c>
    </row>
    <row r="653" spans="3:13">
      <c r="C653" s="1414">
        <v>36213</v>
      </c>
      <c r="D653" s="1401">
        <v>37587</v>
      </c>
      <c r="E653" s="1400">
        <v>9240</v>
      </c>
      <c r="F653" s="1403" t="s">
        <v>2250</v>
      </c>
      <c r="G653" s="1399">
        <v>12234.79</v>
      </c>
      <c r="H653" s="1399">
        <f t="shared" si="19"/>
        <v>15516.672025695885</v>
      </c>
      <c r="J653" s="1399" t="str">
        <f t="shared" si="20"/>
        <v>Include</v>
      </c>
    </row>
    <row r="654" spans="3:13">
      <c r="C654" s="1414">
        <v>36185</v>
      </c>
      <c r="D654" s="1401">
        <v>37319</v>
      </c>
      <c r="E654" s="1400">
        <v>9223</v>
      </c>
      <c r="F654" s="1397" t="s">
        <v>2249</v>
      </c>
      <c r="G654" s="1399">
        <v>12149.02</v>
      </c>
      <c r="H654" s="1399">
        <f t="shared" si="19"/>
        <v>15407.894926976254</v>
      </c>
      <c r="J654" s="1399" t="str">
        <f t="shared" si="20"/>
        <v>Include</v>
      </c>
    </row>
    <row r="655" spans="3:13">
      <c r="C655" s="1414">
        <v>35681</v>
      </c>
      <c r="D655" s="1401">
        <v>35807</v>
      </c>
      <c r="E655" s="1400">
        <v>9028</v>
      </c>
      <c r="F655" s="1397" t="s">
        <v>2248</v>
      </c>
      <c r="G655" s="1399">
        <v>12128.92</v>
      </c>
      <c r="H655" s="1399">
        <f t="shared" si="19"/>
        <v>16003.852358888531</v>
      </c>
      <c r="J655" s="1399" t="str">
        <f t="shared" si="20"/>
        <v>Include</v>
      </c>
    </row>
    <row r="656" spans="3:13">
      <c r="C656" s="1414">
        <v>36654</v>
      </c>
      <c r="D656" s="1401">
        <v>37124</v>
      </c>
      <c r="E656" s="1400">
        <v>9429</v>
      </c>
      <c r="F656" s="1403" t="s">
        <v>2247</v>
      </c>
      <c r="G656" s="1399">
        <v>12040</v>
      </c>
      <c r="H656" s="1399">
        <f t="shared" si="19"/>
        <v>14970.226673071611</v>
      </c>
      <c r="J656" s="1399" t="str">
        <f t="shared" si="20"/>
        <v>Include</v>
      </c>
    </row>
    <row r="657" spans="3:11" s="1397" customFormat="1">
      <c r="C657" s="1414">
        <v>36692</v>
      </c>
      <c r="D657" s="1401">
        <v>37319</v>
      </c>
      <c r="E657" s="1400">
        <v>9452</v>
      </c>
      <c r="F657" s="1397" t="s">
        <v>2246</v>
      </c>
      <c r="G657" s="1399">
        <v>12030.43</v>
      </c>
      <c r="H657" s="1399">
        <f t="shared" si="19"/>
        <v>14958.327580940273</v>
      </c>
      <c r="I657" s="1399"/>
      <c r="J657" s="1399" t="str">
        <f t="shared" si="20"/>
        <v>Include</v>
      </c>
      <c r="K657" s="1398"/>
    </row>
    <row r="658" spans="3:11" s="1397" customFormat="1">
      <c r="C658" s="1414">
        <v>33973</v>
      </c>
      <c r="D658" s="1401">
        <v>34099</v>
      </c>
      <c r="E658" s="1400">
        <v>9523</v>
      </c>
      <c r="F658" s="1397" t="s">
        <v>2245</v>
      </c>
      <c r="G658" s="1399">
        <v>12005.76</v>
      </c>
      <c r="H658" s="1399">
        <f t="shared" si="19"/>
        <v>17147.181669301313</v>
      </c>
      <c r="I658" s="1399"/>
      <c r="J658" s="1399" t="str">
        <f t="shared" si="20"/>
        <v>Include</v>
      </c>
      <c r="K658" s="1398"/>
    </row>
    <row r="659" spans="3:11" s="1397" customFormat="1">
      <c r="C659" s="1414">
        <v>36682</v>
      </c>
      <c r="D659" s="1401">
        <v>37124</v>
      </c>
      <c r="E659" s="1400">
        <v>9440</v>
      </c>
      <c r="F659" s="1397" t="s">
        <v>2244</v>
      </c>
      <c r="G659" s="1417">
        <v>11705</v>
      </c>
      <c r="H659" s="1399">
        <f t="shared" si="19"/>
        <v>14553.696279759402</v>
      </c>
      <c r="I659" s="1417"/>
      <c r="J659" s="1399" t="str">
        <f t="shared" si="20"/>
        <v>Include</v>
      </c>
      <c r="K659" s="1406"/>
    </row>
    <row r="660" spans="3:11" s="1397" customFormat="1">
      <c r="C660" s="1414">
        <v>35608</v>
      </c>
      <c r="D660" s="1401">
        <v>37587</v>
      </c>
      <c r="E660" s="1400">
        <v>9010</v>
      </c>
      <c r="F660" s="1397" t="s">
        <v>2243</v>
      </c>
      <c r="G660" s="1399">
        <v>11661.04</v>
      </c>
      <c r="H660" s="1399">
        <f t="shared" ref="H660:H716" si="21">G660*(1+$N$6)^(2011-YEAR(C660))</f>
        <v>15386.494635226676</v>
      </c>
      <c r="I660" s="1399"/>
      <c r="J660" s="1399" t="str">
        <f t="shared" si="20"/>
        <v>Include</v>
      </c>
      <c r="K660" s="1398"/>
    </row>
    <row r="661" spans="3:11" s="1397" customFormat="1">
      <c r="C661" s="1414">
        <v>35608</v>
      </c>
      <c r="D661" s="1401">
        <v>36572</v>
      </c>
      <c r="E661" s="1400">
        <v>9011</v>
      </c>
      <c r="F661" s="1397" t="s">
        <v>2242</v>
      </c>
      <c r="G661" s="1399">
        <v>11627.23</v>
      </c>
      <c r="H661" s="1399">
        <f t="shared" si="21"/>
        <v>15341.883058247518</v>
      </c>
      <c r="I661" s="1399"/>
      <c r="J661" s="1399" t="str">
        <f t="shared" si="20"/>
        <v>Include</v>
      </c>
      <c r="K661" s="1398"/>
    </row>
    <row r="662" spans="3:11" s="1397" customFormat="1">
      <c r="C662" s="1414">
        <v>36052</v>
      </c>
      <c r="D662" s="1401">
        <v>36831</v>
      </c>
      <c r="E662" s="1400">
        <v>9173</v>
      </c>
      <c r="F662" s="1397" t="s">
        <v>2241</v>
      </c>
      <c r="G662" s="1399">
        <v>11600</v>
      </c>
      <c r="H662" s="1399">
        <f t="shared" si="21"/>
        <v>15005.836913264035</v>
      </c>
      <c r="I662" s="1399"/>
      <c r="J662" s="1399" t="str">
        <f t="shared" si="20"/>
        <v>Include</v>
      </c>
      <c r="K662" s="1398"/>
    </row>
    <row r="663" spans="3:11" s="1397" customFormat="1">
      <c r="C663" s="1414">
        <v>36654</v>
      </c>
      <c r="D663" s="1401">
        <v>37124</v>
      </c>
      <c r="E663" s="1400">
        <v>9428</v>
      </c>
      <c r="F663" s="1415" t="s">
        <v>2240</v>
      </c>
      <c r="G663" s="1399">
        <v>11565</v>
      </c>
      <c r="H663" s="1399">
        <f t="shared" si="21"/>
        <v>14379.62387658415</v>
      </c>
      <c r="I663" s="1399">
        <v>1</v>
      </c>
      <c r="J663" s="1399" t="str">
        <f t="shared" si="20"/>
        <v>Exclude</v>
      </c>
      <c r="K663" s="1398"/>
    </row>
    <row r="664" spans="3:11" s="1397" customFormat="1">
      <c r="C664" s="1414">
        <v>35582</v>
      </c>
      <c r="D664" s="1401">
        <v>35970</v>
      </c>
      <c r="E664" s="1400">
        <v>9997</v>
      </c>
      <c r="F664" s="1397" t="s">
        <v>2239</v>
      </c>
      <c r="G664" s="1399">
        <v>11480</v>
      </c>
      <c r="H664" s="1399">
        <f t="shared" si="21"/>
        <v>15147.616199961773</v>
      </c>
      <c r="I664" s="1399"/>
      <c r="J664" s="1399" t="str">
        <f t="shared" si="20"/>
        <v>Include</v>
      </c>
      <c r="K664" s="1398"/>
    </row>
    <row r="665" spans="3:11" s="1397" customFormat="1">
      <c r="C665" s="1414">
        <v>35611</v>
      </c>
      <c r="D665" s="1401">
        <v>35748</v>
      </c>
      <c r="E665" s="1400">
        <v>9015</v>
      </c>
      <c r="F665" s="1397" t="s">
        <v>2238</v>
      </c>
      <c r="G665" s="1399">
        <v>11464</v>
      </c>
      <c r="H665" s="1399">
        <f t="shared" si="21"/>
        <v>15126.504539752767</v>
      </c>
      <c r="I665" s="1399"/>
      <c r="J665" s="1399" t="str">
        <f t="shared" si="20"/>
        <v>Include</v>
      </c>
      <c r="K665" s="1398"/>
    </row>
    <row r="666" spans="3:11" s="1397" customFormat="1">
      <c r="C666" s="1414">
        <v>36441</v>
      </c>
      <c r="D666" s="1401">
        <v>36831</v>
      </c>
      <c r="E666" s="1400">
        <v>9328</v>
      </c>
      <c r="F666" s="1397" t="s">
        <v>2237</v>
      </c>
      <c r="G666" s="1399">
        <v>11363</v>
      </c>
      <c r="H666" s="1399">
        <f t="shared" si="21"/>
        <v>14411.031511614201</v>
      </c>
      <c r="I666" s="1399"/>
      <c r="J666" s="1399" t="str">
        <f t="shared" si="20"/>
        <v>Include</v>
      </c>
      <c r="K666" s="1398"/>
    </row>
    <row r="667" spans="3:11" s="1397" customFormat="1">
      <c r="C667" s="1414">
        <v>35418</v>
      </c>
      <c r="D667" s="1401">
        <v>35556</v>
      </c>
      <c r="E667" s="1400">
        <v>9952</v>
      </c>
      <c r="F667" s="1415" t="s">
        <v>2236</v>
      </c>
      <c r="G667" s="1399">
        <v>11236</v>
      </c>
      <c r="H667" s="1399">
        <f t="shared" si="21"/>
        <v>15122.176649409916</v>
      </c>
      <c r="I667" s="1399">
        <v>1</v>
      </c>
      <c r="J667" s="1399" t="str">
        <f t="shared" si="20"/>
        <v>Exclude</v>
      </c>
      <c r="K667" s="1398"/>
    </row>
    <row r="668" spans="3:11" s="1397" customFormat="1">
      <c r="C668" s="1414">
        <v>35255</v>
      </c>
      <c r="D668" s="1401">
        <v>35509</v>
      </c>
      <c r="E668" s="1400">
        <v>9909</v>
      </c>
      <c r="F668" s="1397" t="s">
        <v>2235</v>
      </c>
      <c r="G668" s="1399">
        <v>11128</v>
      </c>
      <c r="H668" s="1399">
        <f t="shared" si="21"/>
        <v>14976.82286887091</v>
      </c>
      <c r="I668" s="1399"/>
      <c r="J668" s="1399" t="str">
        <f t="shared" si="20"/>
        <v>Include</v>
      </c>
      <c r="K668" s="1398"/>
    </row>
    <row r="669" spans="3:11" s="1397" customFormat="1">
      <c r="C669" s="1414">
        <v>35734</v>
      </c>
      <c r="D669" s="1401">
        <v>36340</v>
      </c>
      <c r="E669" s="1400">
        <v>9039</v>
      </c>
      <c r="F669" s="1397" t="s">
        <v>2234</v>
      </c>
      <c r="G669" s="1399">
        <v>11107.41</v>
      </c>
      <c r="H669" s="1399">
        <f t="shared" si="21"/>
        <v>14655.991607632177</v>
      </c>
      <c r="I669" s="1399"/>
      <c r="J669" s="1399" t="str">
        <f t="shared" si="20"/>
        <v>Include</v>
      </c>
      <c r="K669" s="1398"/>
    </row>
    <row r="670" spans="3:11" s="1397" customFormat="1">
      <c r="C670" s="1414">
        <v>36187</v>
      </c>
      <c r="D670" s="1401">
        <v>36788</v>
      </c>
      <c r="E670" s="1400">
        <v>9228</v>
      </c>
      <c r="F670" s="1415" t="s">
        <v>2233</v>
      </c>
      <c r="G670" s="1399">
        <v>11106</v>
      </c>
      <c r="H670" s="1399">
        <f t="shared" si="21"/>
        <v>14085.093370411627</v>
      </c>
      <c r="I670" s="1399">
        <v>1</v>
      </c>
      <c r="J670" s="1399" t="str">
        <f t="shared" si="20"/>
        <v>Exclude</v>
      </c>
      <c r="K670" s="1398"/>
    </row>
    <row r="671" spans="3:11" s="1397" customFormat="1">
      <c r="C671" s="1414">
        <v>36144</v>
      </c>
      <c r="D671" s="1401">
        <v>36704</v>
      </c>
      <c r="E671" s="1400">
        <v>9202</v>
      </c>
      <c r="F671" s="1397" t="s">
        <v>2232</v>
      </c>
      <c r="G671" s="1399">
        <v>11105</v>
      </c>
      <c r="H671" s="1399">
        <f t="shared" si="21"/>
        <v>14365.501631189405</v>
      </c>
      <c r="I671" s="1399"/>
      <c r="J671" s="1399" t="str">
        <f t="shared" si="20"/>
        <v>Include</v>
      </c>
      <c r="K671" s="1398"/>
    </row>
    <row r="672" spans="3:11" s="1397" customFormat="1">
      <c r="C672" s="1414">
        <v>36682</v>
      </c>
      <c r="D672" s="1401">
        <v>37124</v>
      </c>
      <c r="E672" s="1400">
        <v>9439</v>
      </c>
      <c r="F672" s="1397" t="s">
        <v>2231</v>
      </c>
      <c r="G672" s="1399">
        <v>11038</v>
      </c>
      <c r="H672" s="1399">
        <f t="shared" si="21"/>
        <v>13724.365616060169</v>
      </c>
      <c r="I672" s="1399"/>
      <c r="J672" s="1399" t="str">
        <f t="shared" si="20"/>
        <v>Include</v>
      </c>
      <c r="K672" s="1398"/>
    </row>
    <row r="673" spans="3:13">
      <c r="C673" s="1414">
        <v>35285</v>
      </c>
      <c r="D673" s="1401">
        <v>35391</v>
      </c>
      <c r="E673" s="1400">
        <v>9919</v>
      </c>
      <c r="F673" s="1397" t="s">
        <v>2230</v>
      </c>
      <c r="G673" s="1399">
        <v>11021.97</v>
      </c>
      <c r="H673" s="1399">
        <f t="shared" si="21"/>
        <v>14834.120448958402</v>
      </c>
      <c r="J673" s="1399" t="str">
        <f t="shared" si="20"/>
        <v>Include</v>
      </c>
    </row>
    <row r="674" spans="3:13">
      <c r="C674" s="1414">
        <v>33806</v>
      </c>
      <c r="D674" s="1401">
        <v>33926</v>
      </c>
      <c r="E674" s="1400">
        <v>9497</v>
      </c>
      <c r="F674" s="1397" t="s">
        <v>2229</v>
      </c>
      <c r="G674" s="1399">
        <v>10950</v>
      </c>
      <c r="H674" s="1399">
        <f t="shared" si="21"/>
        <v>15952.082339179389</v>
      </c>
      <c r="J674" s="1399" t="str">
        <f t="shared" si="20"/>
        <v>Include</v>
      </c>
    </row>
    <row r="675" spans="3:13">
      <c r="C675" s="1414">
        <v>35430</v>
      </c>
      <c r="D675" s="1401">
        <v>35748</v>
      </c>
      <c r="E675" s="1400">
        <v>9954</v>
      </c>
      <c r="F675" s="1397" t="s">
        <v>2228</v>
      </c>
      <c r="G675" s="1399">
        <v>10909.55</v>
      </c>
      <c r="H675" s="1399">
        <f t="shared" si="21"/>
        <v>14682.817930364003</v>
      </c>
      <c r="J675" s="1399" t="str">
        <f t="shared" si="20"/>
        <v>Include</v>
      </c>
    </row>
    <row r="676" spans="3:13">
      <c r="C676" s="1414">
        <v>35753</v>
      </c>
      <c r="D676" s="1401">
        <v>36102</v>
      </c>
      <c r="E676" s="1400">
        <v>9047</v>
      </c>
      <c r="F676" s="1397" t="s">
        <v>2227</v>
      </c>
      <c r="G676" s="1399">
        <v>10900</v>
      </c>
      <c r="H676" s="1399">
        <f t="shared" si="21"/>
        <v>14382.318517385307</v>
      </c>
      <c r="J676" s="1399" t="str">
        <f t="shared" si="20"/>
        <v>Include</v>
      </c>
    </row>
    <row r="677" spans="3:13">
      <c r="C677" s="1414">
        <v>36410</v>
      </c>
      <c r="D677" s="1401">
        <v>37190</v>
      </c>
      <c r="E677" s="1400">
        <v>9316</v>
      </c>
      <c r="F677" s="1415" t="s">
        <v>2226</v>
      </c>
      <c r="G677" s="1399">
        <v>10715.94</v>
      </c>
      <c r="H677" s="1399">
        <f t="shared" si="21"/>
        <v>13590.402976024561</v>
      </c>
      <c r="I677" s="1399">
        <v>1</v>
      </c>
      <c r="J677" s="1399" t="str">
        <f t="shared" si="20"/>
        <v>Exclude</v>
      </c>
    </row>
    <row r="678" spans="3:13">
      <c r="C678" s="1414">
        <v>36654</v>
      </c>
      <c r="D678" s="1401">
        <v>36831</v>
      </c>
      <c r="E678" s="1400">
        <v>9426</v>
      </c>
      <c r="F678" s="1397" t="s">
        <v>2225</v>
      </c>
      <c r="G678" s="1399">
        <v>10700</v>
      </c>
      <c r="H678" s="1399">
        <f t="shared" si="21"/>
        <v>13304.105099822777</v>
      </c>
      <c r="J678" s="1399" t="str">
        <f t="shared" si="20"/>
        <v>Include</v>
      </c>
    </row>
    <row r="679" spans="3:13">
      <c r="C679" s="1414">
        <v>35440</v>
      </c>
      <c r="D679" s="1401">
        <v>35689</v>
      </c>
      <c r="E679" s="1400">
        <v>9957</v>
      </c>
      <c r="F679" s="1397" t="s">
        <v>2224</v>
      </c>
      <c r="G679" s="1399">
        <v>10647.7</v>
      </c>
      <c r="H679" s="1399">
        <f t="shared" si="21"/>
        <v>14049.414025464544</v>
      </c>
      <c r="J679" s="1399" t="str">
        <f t="shared" si="20"/>
        <v>Include</v>
      </c>
    </row>
    <row r="680" spans="3:13">
      <c r="C680" s="1414">
        <v>36130</v>
      </c>
      <c r="D680" s="1401">
        <v>36572</v>
      </c>
      <c r="E680" s="1400">
        <v>9192</v>
      </c>
      <c r="F680" s="1397" t="s">
        <v>2223</v>
      </c>
      <c r="G680" s="1399">
        <v>10588.12</v>
      </c>
      <c r="H680" s="1399">
        <f t="shared" si="21"/>
        <v>13696.862236040448</v>
      </c>
      <c r="J680" s="1399" t="str">
        <f t="shared" si="20"/>
        <v>Include</v>
      </c>
    </row>
    <row r="681" spans="3:13">
      <c r="C681" s="1414">
        <v>35376</v>
      </c>
      <c r="D681" s="1401">
        <v>35970</v>
      </c>
      <c r="E681" s="1400">
        <v>9941</v>
      </c>
      <c r="F681" s="1397" t="s">
        <v>2222</v>
      </c>
      <c r="G681" s="1399">
        <v>10576.18</v>
      </c>
      <c r="H681" s="1399">
        <f t="shared" si="21"/>
        <v>14234.14580241689</v>
      </c>
      <c r="J681" s="1399" t="str">
        <f t="shared" si="20"/>
        <v>Include</v>
      </c>
    </row>
    <row r="682" spans="3:13">
      <c r="C682" s="1414">
        <v>35730</v>
      </c>
      <c r="D682" s="1401">
        <v>36080</v>
      </c>
      <c r="E682" s="1400">
        <v>9036</v>
      </c>
      <c r="F682" s="1397" t="s">
        <v>2221</v>
      </c>
      <c r="G682" s="1399">
        <v>10530</v>
      </c>
      <c r="H682" s="1399">
        <f t="shared" si="21"/>
        <v>13894.111375052044</v>
      </c>
      <c r="J682" s="1399" t="str">
        <f t="shared" si="20"/>
        <v>Include</v>
      </c>
    </row>
    <row r="683" spans="3:13">
      <c r="C683" s="1414">
        <v>36168</v>
      </c>
      <c r="D683" s="1401">
        <v>36532</v>
      </c>
      <c r="E683" s="1400">
        <v>9215</v>
      </c>
      <c r="F683" s="1415" t="s">
        <v>2220</v>
      </c>
      <c r="G683" s="1399">
        <v>10500</v>
      </c>
      <c r="H683" s="1399">
        <f t="shared" si="21"/>
        <v>13316.538842906726</v>
      </c>
      <c r="I683" s="1399">
        <v>1</v>
      </c>
      <c r="J683" s="1399" t="str">
        <f t="shared" si="20"/>
        <v>Exclude</v>
      </c>
    </row>
    <row r="684" spans="3:13">
      <c r="C684" s="1414">
        <v>35219</v>
      </c>
      <c r="D684" s="1401">
        <v>35556</v>
      </c>
      <c r="E684" s="1400">
        <v>9892</v>
      </c>
      <c r="F684" s="1397" t="s">
        <v>2219</v>
      </c>
      <c r="G684" s="1399">
        <v>10105.1</v>
      </c>
      <c r="H684" s="1399">
        <f t="shared" si="21"/>
        <v>13600.134145599159</v>
      </c>
      <c r="J684" s="1399" t="str">
        <f t="shared" si="20"/>
        <v>Include</v>
      </c>
    </row>
    <row r="685" spans="3:13">
      <c r="C685" s="1414">
        <v>35139</v>
      </c>
      <c r="D685" s="1401">
        <v>35509</v>
      </c>
      <c r="E685" s="1400">
        <v>9869</v>
      </c>
      <c r="F685" s="1397" t="s">
        <v>2218</v>
      </c>
      <c r="G685" s="1399">
        <v>10100</v>
      </c>
      <c r="H685" s="1399">
        <f t="shared" si="21"/>
        <v>13593.270217073705</v>
      </c>
      <c r="J685" s="1399" t="str">
        <f t="shared" si="20"/>
        <v>Include</v>
      </c>
      <c r="L685" s="1416"/>
      <c r="M685" s="1416"/>
    </row>
    <row r="686" spans="3:13">
      <c r="C686" s="1414">
        <v>36678</v>
      </c>
      <c r="D686" s="1401">
        <v>37783</v>
      </c>
      <c r="E686" s="1400">
        <v>9450</v>
      </c>
      <c r="F686" s="1397" t="s">
        <v>2217</v>
      </c>
      <c r="G686" s="1399">
        <v>10075.19</v>
      </c>
      <c r="H686" s="1399">
        <f t="shared" si="21"/>
        <v>12527.232398194714</v>
      </c>
      <c r="J686" s="1399" t="str">
        <f t="shared" si="20"/>
        <v>Include</v>
      </c>
    </row>
    <row r="687" spans="3:13">
      <c r="C687" s="1414">
        <v>33974</v>
      </c>
      <c r="D687" s="1401">
        <v>34282</v>
      </c>
      <c r="E687" s="1400">
        <v>9524</v>
      </c>
      <c r="F687" s="1397" t="s">
        <v>2216</v>
      </c>
      <c r="G687" s="1399">
        <v>9994</v>
      </c>
      <c r="H687" s="1399">
        <f t="shared" si="21"/>
        <v>14273.89299827727</v>
      </c>
      <c r="J687" s="1399" t="str">
        <f t="shared" si="20"/>
        <v>Include</v>
      </c>
    </row>
    <row r="688" spans="3:13">
      <c r="C688" s="1414">
        <v>35905</v>
      </c>
      <c r="D688" s="1401">
        <v>36965</v>
      </c>
      <c r="E688" s="1400">
        <v>9119</v>
      </c>
      <c r="F688" s="1397" t="s">
        <v>2215</v>
      </c>
      <c r="G688" s="1399">
        <v>9979</v>
      </c>
      <c r="H688" s="1399">
        <f t="shared" si="21"/>
        <v>12908.900565298431</v>
      </c>
      <c r="J688" s="1399" t="str">
        <f t="shared" si="20"/>
        <v>Include</v>
      </c>
    </row>
    <row r="689" spans="3:13">
      <c r="C689" s="1414">
        <v>36312</v>
      </c>
      <c r="D689" s="1401">
        <v>36830</v>
      </c>
      <c r="E689" s="1400">
        <v>9278</v>
      </c>
      <c r="F689" s="1397" t="s">
        <v>2214</v>
      </c>
      <c r="G689" s="1399">
        <v>9931</v>
      </c>
      <c r="H689" s="1399">
        <f t="shared" si="21"/>
        <v>12594.909261800636</v>
      </c>
      <c r="J689" s="1399" t="str">
        <f t="shared" si="20"/>
        <v>Include</v>
      </c>
    </row>
    <row r="690" spans="3:13">
      <c r="C690" s="1414">
        <v>36356</v>
      </c>
      <c r="D690" s="1401">
        <v>36831</v>
      </c>
      <c r="E690" s="1400">
        <v>9295</v>
      </c>
      <c r="F690" s="1415" t="s">
        <v>2213</v>
      </c>
      <c r="G690" s="1399">
        <v>9800</v>
      </c>
      <c r="H690" s="1399">
        <f t="shared" si="21"/>
        <v>12428.769586712944</v>
      </c>
      <c r="I690" s="1399">
        <v>1</v>
      </c>
      <c r="J690" s="1399" t="str">
        <f t="shared" si="20"/>
        <v>Exclude</v>
      </c>
    </row>
    <row r="691" spans="3:13">
      <c r="C691" s="1414">
        <v>36509</v>
      </c>
      <c r="D691" s="1401">
        <v>37587</v>
      </c>
      <c r="E691" s="1400">
        <v>9345</v>
      </c>
      <c r="F691" s="1403" t="s">
        <v>2212</v>
      </c>
      <c r="G691" s="1399">
        <v>9669.6</v>
      </c>
      <c r="H691" s="1399">
        <f t="shared" si="21"/>
        <v>12263.390856701988</v>
      </c>
      <c r="J691" s="1399" t="str">
        <f t="shared" si="20"/>
        <v>Include</v>
      </c>
    </row>
    <row r="692" spans="3:13">
      <c r="C692" s="1414">
        <v>35297</v>
      </c>
      <c r="D692" s="1401">
        <v>35618</v>
      </c>
      <c r="E692" s="1400">
        <v>9925</v>
      </c>
      <c r="F692" s="1415" t="s">
        <v>2211</v>
      </c>
      <c r="G692" s="1399">
        <v>9543</v>
      </c>
      <c r="H692" s="1399">
        <f t="shared" si="21"/>
        <v>12843.621552627164</v>
      </c>
      <c r="I692" s="1399">
        <v>1</v>
      </c>
      <c r="J692" s="1399" t="str">
        <f t="shared" si="20"/>
        <v>Exclude</v>
      </c>
    </row>
    <row r="693" spans="3:13">
      <c r="C693" s="1414">
        <v>34869</v>
      </c>
      <c r="D693" s="1401">
        <v>35118</v>
      </c>
      <c r="E693" s="1400">
        <v>9804</v>
      </c>
      <c r="F693" s="1397" t="s">
        <v>2210</v>
      </c>
      <c r="G693" s="1399">
        <v>9400</v>
      </c>
      <c r="H693" s="1399">
        <f t="shared" si="21"/>
        <v>12904.185627851753</v>
      </c>
      <c r="J693" s="1399" t="str">
        <f t="shared" si="20"/>
        <v>Include</v>
      </c>
    </row>
    <row r="694" spans="3:13">
      <c r="C694" s="1414">
        <v>36114</v>
      </c>
      <c r="D694" s="1401">
        <v>37572</v>
      </c>
      <c r="E694" s="1400">
        <v>9176</v>
      </c>
      <c r="F694" s="1397" t="s">
        <v>2209</v>
      </c>
      <c r="G694" s="1399">
        <v>9207.41</v>
      </c>
      <c r="H694" s="1399">
        <f t="shared" si="21"/>
        <v>11910.766625306587</v>
      </c>
      <c r="J694" s="1399" t="str">
        <f t="shared" si="20"/>
        <v>Include</v>
      </c>
    </row>
    <row r="695" spans="3:13">
      <c r="C695" s="1414">
        <v>33743</v>
      </c>
      <c r="D695" s="1401">
        <v>33938</v>
      </c>
      <c r="E695" s="1400">
        <v>9471</v>
      </c>
      <c r="F695" s="1415" t="s">
        <v>2208</v>
      </c>
      <c r="G695" s="1399">
        <v>9170</v>
      </c>
      <c r="H695" s="1399">
        <f t="shared" si="21"/>
        <v>13358.958452079909</v>
      </c>
      <c r="I695" s="1399">
        <v>1</v>
      </c>
      <c r="J695" s="1399" t="str">
        <f t="shared" si="20"/>
        <v>Exclude</v>
      </c>
    </row>
    <row r="696" spans="3:13">
      <c r="C696" s="1414">
        <v>36097</v>
      </c>
      <c r="D696" s="1401">
        <v>36831</v>
      </c>
      <c r="E696" s="1400">
        <v>9187</v>
      </c>
      <c r="F696" s="1415" t="s">
        <v>2207</v>
      </c>
      <c r="G696" s="1399">
        <v>8885</v>
      </c>
      <c r="H696" s="1399">
        <f t="shared" si="21"/>
        <v>11493.694911581979</v>
      </c>
      <c r="I696" s="1399">
        <v>1</v>
      </c>
      <c r="J696" s="1399" t="str">
        <f t="shared" si="20"/>
        <v>Exclude</v>
      </c>
    </row>
    <row r="697" spans="3:13">
      <c r="C697" s="1414">
        <v>36360</v>
      </c>
      <c r="D697" s="1401">
        <v>36831</v>
      </c>
      <c r="E697" s="1400">
        <v>9291</v>
      </c>
      <c r="F697" s="1397" t="s">
        <v>2206</v>
      </c>
      <c r="G697" s="1399">
        <v>8800</v>
      </c>
      <c r="H697" s="1399">
        <f t="shared" si="21"/>
        <v>11160.527792150398</v>
      </c>
      <c r="J697" s="1399" t="str">
        <f t="shared" si="20"/>
        <v>Include</v>
      </c>
    </row>
    <row r="698" spans="3:13">
      <c r="C698" s="1414">
        <v>36495</v>
      </c>
      <c r="D698" s="1401">
        <v>36830</v>
      </c>
      <c r="E698" s="1400">
        <v>9331</v>
      </c>
      <c r="F698" s="1397" t="s">
        <v>2205</v>
      </c>
      <c r="G698" s="1399">
        <v>8692.5</v>
      </c>
      <c r="H698" s="1399">
        <f t="shared" si="21"/>
        <v>11024.191799234924</v>
      </c>
      <c r="J698" s="1399" t="str">
        <f t="shared" si="20"/>
        <v>Include</v>
      </c>
    </row>
    <row r="699" spans="3:13">
      <c r="C699" s="1414">
        <v>35459</v>
      </c>
      <c r="D699" s="1401">
        <v>35689</v>
      </c>
      <c r="E699" s="1400">
        <v>9959</v>
      </c>
      <c r="F699" s="1397" t="s">
        <v>2204</v>
      </c>
      <c r="G699" s="1399">
        <v>8679</v>
      </c>
      <c r="H699" s="1399">
        <f t="shared" si="21"/>
        <v>11451.756184622667</v>
      </c>
      <c r="J699" s="1399" t="str">
        <f t="shared" si="20"/>
        <v>Include</v>
      </c>
    </row>
    <row r="700" spans="3:13">
      <c r="C700" s="1414">
        <v>33359</v>
      </c>
      <c r="D700" s="1401">
        <v>33572</v>
      </c>
      <c r="E700" s="1400">
        <v>9402</v>
      </c>
      <c r="F700" s="1397" t="s">
        <v>2203</v>
      </c>
      <c r="G700" s="1399">
        <v>8474.35</v>
      </c>
      <c r="H700" s="1399">
        <f t="shared" si="21"/>
        <v>12592.438315109166</v>
      </c>
      <c r="J700" s="1399" t="str">
        <f t="shared" si="20"/>
        <v>Include</v>
      </c>
    </row>
    <row r="701" spans="3:13">
      <c r="C701" s="1414">
        <v>35401</v>
      </c>
      <c r="D701" s="1401">
        <v>35522</v>
      </c>
      <c r="E701" s="1400">
        <v>9946</v>
      </c>
      <c r="F701" s="1397" t="s">
        <v>2202</v>
      </c>
      <c r="G701" s="1399">
        <v>8136.2</v>
      </c>
      <c r="H701" s="1399">
        <f t="shared" si="21"/>
        <v>10950.25397427278</v>
      </c>
      <c r="J701" s="1399" t="str">
        <f t="shared" si="20"/>
        <v>Include</v>
      </c>
    </row>
    <row r="702" spans="3:13">
      <c r="C702" s="1414">
        <v>36654</v>
      </c>
      <c r="D702" s="1401">
        <v>36831</v>
      </c>
      <c r="E702" s="1400">
        <v>9423</v>
      </c>
      <c r="F702" s="1397" t="s">
        <v>2201</v>
      </c>
      <c r="G702" s="1399">
        <v>7800</v>
      </c>
      <c r="H702" s="1399">
        <f t="shared" si="21"/>
        <v>9698.3196054782857</v>
      </c>
      <c r="J702" s="1399" t="str">
        <f t="shared" si="20"/>
        <v>Include</v>
      </c>
    </row>
    <row r="703" spans="3:13">
      <c r="C703" s="1414">
        <v>36678</v>
      </c>
      <c r="D703" s="1401">
        <v>37587</v>
      </c>
      <c r="E703" s="1400">
        <v>9448</v>
      </c>
      <c r="F703" s="1397" t="s">
        <v>2200</v>
      </c>
      <c r="G703" s="1399">
        <v>7242</v>
      </c>
      <c r="H703" s="1399">
        <f t="shared" si="21"/>
        <v>9004.5167413940708</v>
      </c>
      <c r="J703" s="1399" t="str">
        <f t="shared" si="20"/>
        <v>Include</v>
      </c>
    </row>
    <row r="704" spans="3:13">
      <c r="C704" s="1414">
        <v>34932</v>
      </c>
      <c r="D704" s="1401">
        <v>35118</v>
      </c>
      <c r="E704" s="1400">
        <v>9822</v>
      </c>
      <c r="F704" s="1403" t="s">
        <v>2199</v>
      </c>
      <c r="G704" s="1399">
        <v>7070.02</v>
      </c>
      <c r="H704" s="1399">
        <f t="shared" si="21"/>
        <v>9705.6223907047297</v>
      </c>
      <c r="J704" s="1399" t="str">
        <f t="shared" si="20"/>
        <v>Include</v>
      </c>
      <c r="L704" s="1416"/>
      <c r="M704" s="1416"/>
    </row>
    <row r="705" spans="3:13">
      <c r="C705" s="1414">
        <v>35229</v>
      </c>
      <c r="D705" s="1401">
        <v>36102</v>
      </c>
      <c r="E705" s="1400">
        <v>9900</v>
      </c>
      <c r="F705" s="1397" t="s">
        <v>2198</v>
      </c>
      <c r="G705" s="1399">
        <v>6786.16</v>
      </c>
      <c r="H705" s="1399">
        <f t="shared" si="21"/>
        <v>9133.2778828016726</v>
      </c>
      <c r="J705" s="1399" t="str">
        <f t="shared" si="20"/>
        <v>Include</v>
      </c>
    </row>
    <row r="706" spans="3:13">
      <c r="C706" s="1414">
        <v>36495</v>
      </c>
      <c r="D706" s="1401">
        <v>36831</v>
      </c>
      <c r="E706" s="1400">
        <v>9435</v>
      </c>
      <c r="F706" s="1397" t="s">
        <v>2197</v>
      </c>
      <c r="G706" s="1399">
        <v>6434</v>
      </c>
      <c r="H706" s="1399">
        <f t="shared" si="21"/>
        <v>8159.8677062154165</v>
      </c>
      <c r="J706" s="1399" t="str">
        <f t="shared" si="20"/>
        <v>Include</v>
      </c>
    </row>
    <row r="707" spans="3:13">
      <c r="C707" s="1414">
        <v>36647</v>
      </c>
      <c r="D707" s="1401">
        <v>37124</v>
      </c>
      <c r="E707" s="1400">
        <v>9418</v>
      </c>
      <c r="F707" s="1415" t="s">
        <v>2196</v>
      </c>
      <c r="G707" s="1399">
        <v>6167.67</v>
      </c>
      <c r="H707" s="1399">
        <f t="shared" si="21"/>
        <v>7668.7224206564433</v>
      </c>
      <c r="I707" s="1399">
        <v>1</v>
      </c>
      <c r="J707" s="1399" t="str">
        <f t="shared" si="20"/>
        <v>Exclude</v>
      </c>
    </row>
    <row r="708" spans="3:13">
      <c r="C708" s="1414">
        <v>35171</v>
      </c>
      <c r="D708" s="1401">
        <v>35426</v>
      </c>
      <c r="E708" s="1400">
        <v>9878</v>
      </c>
      <c r="F708" s="1397" t="s">
        <v>2195</v>
      </c>
      <c r="G708" s="1399">
        <v>5674.11</v>
      </c>
      <c r="H708" s="1399">
        <f t="shared" si="21"/>
        <v>7636.6049971683242</v>
      </c>
      <c r="J708" s="1399" t="str">
        <f t="shared" si="20"/>
        <v>Include</v>
      </c>
    </row>
    <row r="709" spans="3:13">
      <c r="C709" s="1414">
        <v>36654</v>
      </c>
      <c r="D709" s="1401">
        <v>37124</v>
      </c>
      <c r="E709" s="1400">
        <v>9431</v>
      </c>
      <c r="F709" s="1397" t="s">
        <v>2194</v>
      </c>
      <c r="G709" s="1399">
        <v>5189.62</v>
      </c>
      <c r="H709" s="1399">
        <f t="shared" si="21"/>
        <v>6452.6401783310539</v>
      </c>
      <c r="J709" s="1399" t="str">
        <f t="shared" si="20"/>
        <v>Include</v>
      </c>
    </row>
    <row r="710" spans="3:13">
      <c r="C710" s="1414">
        <v>35625</v>
      </c>
      <c r="D710" s="1401">
        <v>35970</v>
      </c>
      <c r="E710" s="1400">
        <v>9016</v>
      </c>
      <c r="F710" s="1397" t="s">
        <v>2193</v>
      </c>
      <c r="G710" s="1399">
        <v>3809.01</v>
      </c>
      <c r="H710" s="1399">
        <f t="shared" si="21"/>
        <v>5025.9078032941106</v>
      </c>
      <c r="J710" s="1399" t="str">
        <f t="shared" si="20"/>
        <v>Include</v>
      </c>
    </row>
    <row r="711" spans="3:13">
      <c r="C711" s="1414">
        <v>36617</v>
      </c>
      <c r="D711" s="1401" t="s">
        <v>2192</v>
      </c>
      <c r="E711" s="1400">
        <v>9361</v>
      </c>
      <c r="F711" s="1397" t="s">
        <v>2191</v>
      </c>
      <c r="G711" s="1399">
        <v>2945.81</v>
      </c>
      <c r="H711" s="1399">
        <f t="shared" si="21"/>
        <v>3662.7444714120497</v>
      </c>
      <c r="J711" s="1399" t="str">
        <f t="shared" si="20"/>
        <v>Include</v>
      </c>
    </row>
    <row r="712" spans="3:13">
      <c r="C712" s="1414">
        <v>36297</v>
      </c>
      <c r="D712" s="1401">
        <v>36586</v>
      </c>
      <c r="E712" s="1400">
        <v>9244</v>
      </c>
      <c r="F712" s="1397" t="s">
        <v>2190</v>
      </c>
      <c r="G712" s="1399">
        <v>1700</v>
      </c>
      <c r="H712" s="1399">
        <f t="shared" si="21"/>
        <v>2156.0110507563268</v>
      </c>
      <c r="J712" s="1399" t="str">
        <f t="shared" si="20"/>
        <v>Include</v>
      </c>
    </row>
    <row r="713" spans="3:13">
      <c r="C713" s="1414">
        <v>34639</v>
      </c>
      <c r="D713" s="1401">
        <v>34998</v>
      </c>
      <c r="E713" s="1400">
        <v>9807</v>
      </c>
      <c r="F713" s="1397" t="s">
        <v>2189</v>
      </c>
      <c r="G713" s="1399">
        <v>1500</v>
      </c>
      <c r="H713" s="1399">
        <f t="shared" si="21"/>
        <v>2100.3621287886367</v>
      </c>
      <c r="J713" s="1399" t="str">
        <f t="shared" si="20"/>
        <v>Include</v>
      </c>
      <c r="L713" s="1416"/>
      <c r="M713" s="1416"/>
    </row>
    <row r="714" spans="3:13">
      <c r="C714" s="1414">
        <v>33390</v>
      </c>
      <c r="D714" s="1401">
        <v>33419</v>
      </c>
      <c r="E714" s="1400">
        <v>9408</v>
      </c>
      <c r="F714" s="1397" t="s">
        <v>2188</v>
      </c>
      <c r="G714" s="1399">
        <v>1500</v>
      </c>
      <c r="H714" s="1399">
        <f t="shared" si="21"/>
        <v>2228.9210939675313</v>
      </c>
      <c r="J714" s="1399" t="str">
        <f t="shared" si="20"/>
        <v>Include</v>
      </c>
    </row>
    <row r="715" spans="3:13">
      <c r="C715" s="1414">
        <v>36095</v>
      </c>
      <c r="D715" s="1401">
        <v>37124</v>
      </c>
      <c r="E715" s="1400">
        <v>9184</v>
      </c>
      <c r="F715" s="1415" t="s">
        <v>2187</v>
      </c>
      <c r="G715" s="1399">
        <v>1010</v>
      </c>
      <c r="H715" s="1399">
        <f t="shared" si="21"/>
        <v>1306.5426967583342</v>
      </c>
      <c r="I715" s="1399">
        <v>1</v>
      </c>
      <c r="J715" s="1399" t="str">
        <f>IF(I715=1,"Exclude","Include")</f>
        <v>Exclude</v>
      </c>
    </row>
    <row r="716" spans="3:13">
      <c r="C716" s="1414">
        <v>35034</v>
      </c>
      <c r="D716" s="1401">
        <v>36158</v>
      </c>
      <c r="E716" s="1400">
        <v>9847</v>
      </c>
      <c r="F716" s="1397" t="s">
        <v>2186</v>
      </c>
      <c r="G716" s="1399">
        <v>640.70000000000005</v>
      </c>
      <c r="H716" s="1399">
        <f t="shared" si="21"/>
        <v>879.54380125155524</v>
      </c>
      <c r="J716" s="1399" t="str">
        <f>IF(I716=1,"Exclude","Include")</f>
        <v>Include</v>
      </c>
    </row>
    <row r="1259" spans="1:13">
      <c r="C1259" s="1413"/>
      <c r="D1259" s="1405"/>
      <c r="E1259" s="1404"/>
      <c r="F1259" s="1403"/>
      <c r="G1259" s="1402"/>
      <c r="H1259" s="1402"/>
      <c r="I1259" s="1402"/>
      <c r="J1259" s="1402"/>
    </row>
    <row r="1260" spans="1:13" ht="13.5" thickBot="1">
      <c r="A1260" s="1409"/>
      <c r="B1260" s="1412"/>
      <c r="C1260" s="1409"/>
      <c r="D1260" s="1411"/>
      <c r="E1260" s="1410"/>
      <c r="F1260" s="1409"/>
      <c r="G1260" s="1408"/>
      <c r="H1260" s="1408"/>
      <c r="I1260" s="1408"/>
      <c r="J1260" s="1408"/>
      <c r="K1260" s="1407"/>
      <c r="L1260" s="1406"/>
      <c r="M1260" s="1406"/>
    </row>
    <row r="1261" spans="1:13">
      <c r="B1261" s="1403"/>
      <c r="C1261" s="1403"/>
      <c r="D1261" s="1405"/>
      <c r="E1261" s="1404"/>
      <c r="F1261" s="1403"/>
      <c r="G1261" s="1402"/>
      <c r="H1261" s="1402"/>
      <c r="I1261" s="1402"/>
      <c r="J1261" s="1402"/>
    </row>
    <row r="1262" spans="1:13">
      <c r="B1262" s="1403"/>
      <c r="C1262" s="1403"/>
      <c r="D1262" s="1405"/>
      <c r="E1262" s="1404"/>
      <c r="F1262" s="1403"/>
      <c r="G1262" s="1402"/>
      <c r="H1262" s="1402"/>
      <c r="I1262" s="1402"/>
      <c r="J1262" s="1402"/>
    </row>
    <row r="1263" spans="1:13">
      <c r="B1263" s="1403"/>
      <c r="C1263" s="1403"/>
      <c r="D1263" s="1405"/>
      <c r="E1263" s="1404"/>
      <c r="F1263" s="1403"/>
      <c r="G1263" s="1402"/>
      <c r="H1263" s="1402"/>
      <c r="I1263" s="1402"/>
      <c r="J1263" s="1402"/>
    </row>
    <row r="1264" spans="1:13">
      <c r="B1264" s="1403"/>
      <c r="C1264" s="1403"/>
      <c r="D1264" s="1405"/>
      <c r="E1264" s="1404"/>
      <c r="F1264" s="1403"/>
      <c r="G1264" s="1402"/>
      <c r="H1264" s="1402"/>
      <c r="I1264" s="1402"/>
      <c r="J1264" s="1402"/>
    </row>
    <row r="1265" spans="2:10" s="1397" customFormat="1">
      <c r="B1265" s="1403"/>
      <c r="C1265" s="1403"/>
      <c r="D1265" s="1405"/>
      <c r="E1265" s="1404"/>
      <c r="F1265" s="1403"/>
      <c r="G1265" s="1402"/>
      <c r="H1265" s="1402"/>
      <c r="I1265" s="1402"/>
      <c r="J1265" s="1402"/>
    </row>
    <row r="1266" spans="2:10" s="1397" customFormat="1">
      <c r="B1266" s="1403"/>
      <c r="C1266" s="1403"/>
      <c r="D1266" s="1405"/>
      <c r="E1266" s="1404"/>
      <c r="F1266" s="1403"/>
      <c r="G1266" s="1402"/>
      <c r="H1266" s="1402"/>
      <c r="I1266" s="1402"/>
      <c r="J1266" s="1402"/>
    </row>
    <row r="1267" spans="2:10" s="1397" customFormat="1">
      <c r="B1267" s="1403"/>
      <c r="C1267" s="1403"/>
      <c r="D1267" s="1405"/>
      <c r="E1267" s="1404"/>
      <c r="F1267" s="1403"/>
      <c r="G1267" s="1402"/>
      <c r="H1267" s="1402"/>
      <c r="I1267" s="1402"/>
      <c r="J1267" s="1402"/>
    </row>
    <row r="1268" spans="2:10" s="1397" customFormat="1">
      <c r="B1268" s="1403"/>
      <c r="C1268" s="1403"/>
      <c r="D1268" s="1405"/>
      <c r="E1268" s="1404"/>
      <c r="F1268" s="1403"/>
      <c r="G1268" s="1402"/>
      <c r="H1268" s="1402"/>
      <c r="I1268" s="1402"/>
      <c r="J1268" s="1402"/>
    </row>
    <row r="1269" spans="2:10" s="1397" customFormat="1">
      <c r="B1269" s="1403"/>
      <c r="C1269" s="1403"/>
      <c r="D1269" s="1405"/>
      <c r="E1269" s="1404"/>
      <c r="F1269" s="1403"/>
      <c r="G1269" s="1402"/>
      <c r="H1269" s="1402"/>
      <c r="I1269" s="1402"/>
      <c r="J1269" s="1402"/>
    </row>
    <row r="1270" spans="2:10" s="1397" customFormat="1">
      <c r="B1270" s="1403"/>
      <c r="C1270" s="1403"/>
      <c r="D1270" s="1405"/>
      <c r="E1270" s="1404"/>
      <c r="F1270" s="1403"/>
      <c r="G1270" s="1402"/>
      <c r="H1270" s="1402"/>
      <c r="I1270" s="1402"/>
      <c r="J1270" s="1402"/>
    </row>
    <row r="1271" spans="2:10" s="1397" customFormat="1">
      <c r="B1271" s="1403"/>
      <c r="C1271" s="1403"/>
      <c r="D1271" s="1405"/>
      <c r="E1271" s="1404"/>
      <c r="F1271" s="1403"/>
      <c r="G1271" s="1402"/>
      <c r="H1271" s="1402"/>
      <c r="I1271" s="1402"/>
      <c r="J1271" s="1402"/>
    </row>
    <row r="1272" spans="2:10" s="1397" customFormat="1">
      <c r="B1272" s="1403"/>
      <c r="C1272" s="1403"/>
      <c r="D1272" s="1405"/>
      <c r="E1272" s="1404"/>
      <c r="F1272" s="1403"/>
      <c r="G1272" s="1402"/>
      <c r="H1272" s="1402"/>
      <c r="I1272" s="1402"/>
      <c r="J1272" s="1402"/>
    </row>
    <row r="1273" spans="2:10" s="1397" customFormat="1">
      <c r="B1273" s="1403"/>
      <c r="C1273" s="1403"/>
      <c r="D1273" s="1405"/>
      <c r="E1273" s="1404"/>
      <c r="F1273" s="1403"/>
      <c r="G1273" s="1402"/>
      <c r="H1273" s="1402"/>
      <c r="I1273" s="1402"/>
      <c r="J1273" s="1402"/>
    </row>
    <row r="1274" spans="2:10" s="1397" customFormat="1">
      <c r="B1274" s="1403"/>
      <c r="C1274" s="1403"/>
      <c r="D1274" s="1405"/>
      <c r="E1274" s="1404"/>
      <c r="F1274" s="1403"/>
      <c r="G1274" s="1402"/>
      <c r="H1274" s="1402"/>
      <c r="I1274" s="1402"/>
      <c r="J1274" s="1402"/>
    </row>
    <row r="1275" spans="2:10" s="1397" customFormat="1">
      <c r="B1275" s="1403"/>
      <c r="C1275" s="1403"/>
      <c r="D1275" s="1405"/>
      <c r="E1275" s="1404"/>
      <c r="F1275" s="1403"/>
      <c r="G1275" s="1402"/>
      <c r="H1275" s="1402"/>
      <c r="I1275" s="1402"/>
      <c r="J1275" s="1402"/>
    </row>
    <row r="1276" spans="2:10" s="1397" customFormat="1">
      <c r="B1276" s="1403"/>
      <c r="C1276" s="1403"/>
      <c r="D1276" s="1405"/>
      <c r="E1276" s="1404"/>
      <c r="F1276" s="1403"/>
      <c r="G1276" s="1402"/>
      <c r="H1276" s="1402"/>
      <c r="I1276" s="1402"/>
      <c r="J1276" s="1402"/>
    </row>
    <row r="1277" spans="2:10" s="1397" customFormat="1">
      <c r="B1277" s="1403"/>
      <c r="C1277" s="1403"/>
      <c r="D1277" s="1405"/>
      <c r="E1277" s="1404"/>
      <c r="F1277" s="1403"/>
      <c r="G1277" s="1402"/>
      <c r="H1277" s="1402"/>
      <c r="I1277" s="1402"/>
      <c r="J1277" s="1402"/>
    </row>
    <row r="1278" spans="2:10" s="1397" customFormat="1">
      <c r="B1278" s="1403"/>
      <c r="C1278" s="1403"/>
      <c r="D1278" s="1405"/>
      <c r="E1278" s="1404"/>
      <c r="F1278" s="1403"/>
      <c r="G1278" s="1402"/>
      <c r="H1278" s="1402"/>
      <c r="I1278" s="1402"/>
      <c r="J1278" s="1402"/>
    </row>
    <row r="1279" spans="2:10" s="1397" customFormat="1">
      <c r="D1279" s="1401"/>
      <c r="E1279" s="1400"/>
      <c r="G1279" s="1399"/>
      <c r="H1279" s="1399"/>
      <c r="I1279" s="1399"/>
      <c r="J1279" s="1399"/>
    </row>
    <row r="1280" spans="2:10" s="1397" customFormat="1">
      <c r="D1280" s="1401"/>
      <c r="E1280" s="1400"/>
      <c r="G1280" s="1399"/>
      <c r="H1280" s="1399"/>
      <c r="I1280" s="1399"/>
      <c r="J1280" s="1399"/>
    </row>
    <row r="1281" spans="4:4" s="1397" customFormat="1">
      <c r="D1281" s="1401"/>
    </row>
    <row r="1282" spans="4:4" s="1397" customFormat="1">
      <c r="D1282" s="1401"/>
    </row>
    <row r="1283" spans="4:4" s="1397" customFormat="1">
      <c r="D1283" s="1401"/>
    </row>
    <row r="1284" spans="4:4" s="1397" customFormat="1">
      <c r="D1284" s="1401"/>
    </row>
    <row r="1285" spans="4:4" s="1397" customFormat="1">
      <c r="D1285" s="1401"/>
    </row>
    <row r="1286" spans="4:4" s="1397" customFormat="1">
      <c r="D1286" s="1401"/>
    </row>
    <row r="1287" spans="4:4" s="1397" customFormat="1">
      <c r="D1287" s="1401"/>
    </row>
    <row r="1288" spans="4:4" s="1397" customFormat="1">
      <c r="D1288" s="1401"/>
    </row>
    <row r="1289" spans="4:4" s="1397" customFormat="1">
      <c r="D1289" s="1401"/>
    </row>
    <row r="1290" spans="4:4" s="1397" customFormat="1">
      <c r="D1290" s="1401"/>
    </row>
    <row r="1291" spans="4:4" s="1397" customFormat="1">
      <c r="D1291" s="1401"/>
    </row>
    <row r="1292" spans="4:4" s="1397" customFormat="1">
      <c r="D1292" s="1401"/>
    </row>
    <row r="1293" spans="4:4" s="1397" customFormat="1">
      <c r="D1293" s="1401"/>
    </row>
    <row r="1294" spans="4:4" s="1397" customFormat="1">
      <c r="D1294" s="1401"/>
    </row>
    <row r="1295" spans="4:4" s="1397" customFormat="1">
      <c r="D1295" s="1401"/>
    </row>
    <row r="1296" spans="4:4" s="1397" customFormat="1">
      <c r="D1296" s="1401"/>
    </row>
    <row r="1297" spans="4:4" s="1397" customFormat="1">
      <c r="D1297" s="1401"/>
    </row>
    <row r="1298" spans="4:4" s="1397" customFormat="1">
      <c r="D1298" s="1401"/>
    </row>
    <row r="1299" spans="4:4" s="1397" customFormat="1">
      <c r="D1299" s="1401"/>
    </row>
    <row r="1300" spans="4:4" s="1397" customFormat="1">
      <c r="D1300" s="1401"/>
    </row>
    <row r="1301" spans="4:4" s="1397" customFormat="1">
      <c r="D1301" s="1401"/>
    </row>
    <row r="1302" spans="4:4" s="1397" customFormat="1">
      <c r="D1302" s="1401"/>
    </row>
    <row r="1303" spans="4:4" s="1397" customFormat="1">
      <c r="D1303" s="1401"/>
    </row>
    <row r="1304" spans="4:4" s="1397" customFormat="1">
      <c r="D1304" s="1401"/>
    </row>
    <row r="1305" spans="4:4" s="1397" customFormat="1">
      <c r="D1305" s="1401"/>
    </row>
    <row r="1306" spans="4:4" s="1397" customFormat="1">
      <c r="D1306" s="1401"/>
    </row>
    <row r="1307" spans="4:4" s="1397" customFormat="1">
      <c r="D1307" s="1401"/>
    </row>
    <row r="1308" spans="4:4" s="1397" customFormat="1">
      <c r="D1308" s="1401"/>
    </row>
    <row r="1309" spans="4:4" s="1397" customFormat="1">
      <c r="D1309" s="1401"/>
    </row>
    <row r="1310" spans="4:4" s="1397" customFormat="1">
      <c r="D1310" s="1401"/>
    </row>
    <row r="1311" spans="4:4" s="1397" customFormat="1">
      <c r="D1311" s="1401"/>
    </row>
    <row r="1312" spans="4:4" s="1397" customFormat="1">
      <c r="D1312" s="1401"/>
    </row>
    <row r="1313" spans="4:4" s="1397" customFormat="1">
      <c r="D1313" s="1401"/>
    </row>
    <row r="1314" spans="4:4" s="1397" customFormat="1">
      <c r="D1314" s="1401"/>
    </row>
    <row r="1315" spans="4:4" s="1397" customFormat="1">
      <c r="D1315" s="1401"/>
    </row>
    <row r="1316" spans="4:4" s="1397" customFormat="1">
      <c r="D1316" s="1401"/>
    </row>
    <row r="1317" spans="4:4" s="1397" customFormat="1">
      <c r="D1317" s="1401"/>
    </row>
    <row r="1318" spans="4:4" s="1397" customFormat="1">
      <c r="D1318" s="1401"/>
    </row>
    <row r="1319" spans="4:4" s="1397" customFormat="1">
      <c r="D1319" s="1401"/>
    </row>
    <row r="1320" spans="4:4" s="1397" customFormat="1">
      <c r="D1320" s="1401"/>
    </row>
    <row r="1321" spans="4:4" s="1397" customFormat="1">
      <c r="D1321" s="1401"/>
    </row>
    <row r="1322" spans="4:4" s="1397" customFormat="1">
      <c r="D1322" s="1401"/>
    </row>
    <row r="1323" spans="4:4" s="1397" customFormat="1">
      <c r="D1323" s="1401"/>
    </row>
    <row r="1324" spans="4:4" s="1397" customFormat="1">
      <c r="D1324" s="1401"/>
    </row>
    <row r="1325" spans="4:4" s="1397" customFormat="1">
      <c r="D1325" s="1401"/>
    </row>
    <row r="1326" spans="4:4" s="1397" customFormat="1">
      <c r="D1326" s="1401"/>
    </row>
    <row r="1327" spans="4:4" s="1397" customFormat="1">
      <c r="D1327" s="1401"/>
    </row>
    <row r="1328" spans="4:4" s="1397" customFormat="1">
      <c r="D1328" s="1401"/>
    </row>
    <row r="1329" spans="4:4" s="1397" customFormat="1">
      <c r="D1329" s="1401"/>
    </row>
    <row r="1330" spans="4:4" s="1397" customFormat="1">
      <c r="D1330" s="1401"/>
    </row>
    <row r="1331" spans="4:4" s="1397" customFormat="1">
      <c r="D1331" s="1401"/>
    </row>
    <row r="1332" spans="4:4" s="1397" customFormat="1">
      <c r="D1332" s="1401"/>
    </row>
    <row r="1333" spans="4:4" s="1397" customFormat="1">
      <c r="D1333" s="1401"/>
    </row>
    <row r="1334" spans="4:4" s="1397" customFormat="1">
      <c r="D1334" s="1401"/>
    </row>
    <row r="1335" spans="4:4" s="1397" customFormat="1">
      <c r="D1335" s="1401"/>
    </row>
    <row r="1336" spans="4:4" s="1397" customFormat="1">
      <c r="D1336" s="1401"/>
    </row>
    <row r="1337" spans="4:4" s="1397" customFormat="1">
      <c r="D1337" s="1401"/>
    </row>
    <row r="1338" spans="4:4" s="1397" customFormat="1">
      <c r="D1338" s="1401"/>
    </row>
    <row r="1339" spans="4:4" s="1397" customFormat="1">
      <c r="D1339" s="1401"/>
    </row>
    <row r="1340" spans="4:4" s="1397" customFormat="1">
      <c r="D1340" s="1401"/>
    </row>
    <row r="1341" spans="4:4" s="1397" customFormat="1">
      <c r="D1341" s="1401"/>
    </row>
    <row r="1342" spans="4:4" s="1397" customFormat="1">
      <c r="D1342" s="1401"/>
    </row>
    <row r="1343" spans="4:4" s="1397" customFormat="1">
      <c r="D1343" s="1401"/>
    </row>
    <row r="1344" spans="4:4" s="1397" customFormat="1">
      <c r="D1344" s="1401"/>
    </row>
    <row r="1345" spans="4:4" s="1397" customFormat="1">
      <c r="D1345" s="1401"/>
    </row>
    <row r="1346" spans="4:4" s="1397" customFormat="1">
      <c r="D1346" s="1401"/>
    </row>
    <row r="1347" spans="4:4" s="1397" customFormat="1">
      <c r="D1347" s="1401"/>
    </row>
    <row r="1348" spans="4:4" s="1397" customFormat="1">
      <c r="D1348" s="1401"/>
    </row>
    <row r="1349" spans="4:4" s="1397" customFormat="1">
      <c r="D1349" s="1401"/>
    </row>
    <row r="1350" spans="4:4" s="1397" customFormat="1">
      <c r="D1350" s="1401"/>
    </row>
    <row r="1351" spans="4:4" s="1397" customFormat="1">
      <c r="D1351" s="1401"/>
    </row>
    <row r="1352" spans="4:4" s="1397" customFormat="1">
      <c r="D1352" s="1401"/>
    </row>
    <row r="1353" spans="4:4" s="1397" customFormat="1">
      <c r="D1353" s="1401"/>
    </row>
    <row r="1354" spans="4:4" s="1397" customFormat="1">
      <c r="D1354" s="1401"/>
    </row>
    <row r="1355" spans="4:4" s="1397" customFormat="1">
      <c r="D1355" s="1401"/>
    </row>
    <row r="1356" spans="4:4" s="1397" customFormat="1">
      <c r="D1356" s="1401"/>
    </row>
    <row r="1357" spans="4:4" s="1397" customFormat="1">
      <c r="D1357" s="1401"/>
    </row>
    <row r="1358" spans="4:4" s="1397" customFormat="1">
      <c r="D1358" s="1401"/>
    </row>
    <row r="1359" spans="4:4" s="1397" customFormat="1">
      <c r="D1359" s="1401"/>
    </row>
    <row r="1360" spans="4:4" s="1397" customFormat="1">
      <c r="D1360" s="1401"/>
    </row>
    <row r="1361" spans="4:4" s="1397" customFormat="1">
      <c r="D1361" s="1401"/>
    </row>
    <row r="1362" spans="4:4" s="1397" customFormat="1">
      <c r="D1362" s="1401"/>
    </row>
    <row r="1363" spans="4:4" s="1397" customFormat="1">
      <c r="D1363" s="1401"/>
    </row>
    <row r="1364" spans="4:4" s="1397" customFormat="1">
      <c r="D1364" s="1401"/>
    </row>
    <row r="1365" spans="4:4" s="1397" customFormat="1">
      <c r="D1365" s="1401"/>
    </row>
    <row r="1366" spans="4:4" s="1397" customFormat="1">
      <c r="D1366" s="1401"/>
    </row>
    <row r="1367" spans="4:4" s="1397" customFormat="1">
      <c r="D1367" s="1401"/>
    </row>
    <row r="1368" spans="4:4" s="1397" customFormat="1">
      <c r="D1368" s="1401"/>
    </row>
    <row r="1369" spans="4:4" s="1397" customFormat="1">
      <c r="D1369" s="1401"/>
    </row>
    <row r="1370" spans="4:4" s="1397" customFormat="1">
      <c r="D1370" s="1401"/>
    </row>
    <row r="1371" spans="4:4" s="1397" customFormat="1">
      <c r="D1371" s="1401"/>
    </row>
    <row r="1372" spans="4:4" s="1397" customFormat="1">
      <c r="D1372" s="1401"/>
    </row>
    <row r="1373" spans="4:4" s="1397" customFormat="1">
      <c r="D1373" s="1401"/>
    </row>
    <row r="1374" spans="4:4" s="1397" customFormat="1">
      <c r="D1374" s="1401"/>
    </row>
    <row r="1375" spans="4:4" s="1397" customFormat="1">
      <c r="D1375" s="1401"/>
    </row>
    <row r="1376" spans="4:4" s="1397" customFormat="1">
      <c r="D1376" s="1401"/>
    </row>
    <row r="1377" spans="4:4" s="1397" customFormat="1">
      <c r="D1377" s="1401"/>
    </row>
    <row r="1378" spans="4:4" s="1397" customFormat="1">
      <c r="D1378" s="1401"/>
    </row>
    <row r="1379" spans="4:4" s="1397" customFormat="1">
      <c r="D1379" s="1401"/>
    </row>
    <row r="1380" spans="4:4" s="1397" customFormat="1">
      <c r="D1380" s="1401"/>
    </row>
    <row r="1381" spans="4:4" s="1397" customFormat="1">
      <c r="D1381" s="1401"/>
    </row>
    <row r="1382" spans="4:4" s="1397" customFormat="1">
      <c r="D1382" s="1401"/>
    </row>
    <row r="1383" spans="4:4" s="1397" customFormat="1">
      <c r="D1383" s="1401"/>
    </row>
    <row r="1384" spans="4:4" s="1397" customFormat="1">
      <c r="D1384" s="1401"/>
    </row>
    <row r="1385" spans="4:4" s="1397" customFormat="1">
      <c r="D1385" s="1401"/>
    </row>
    <row r="1386" spans="4:4" s="1397" customFormat="1">
      <c r="D1386" s="1401"/>
    </row>
    <row r="1387" spans="4:4" s="1397" customFormat="1">
      <c r="D1387" s="1401"/>
    </row>
    <row r="1388" spans="4:4" s="1397" customFormat="1">
      <c r="D1388" s="1401"/>
    </row>
    <row r="1389" spans="4:4" s="1397" customFormat="1">
      <c r="D1389" s="1401"/>
    </row>
    <row r="1390" spans="4:4" s="1397" customFormat="1">
      <c r="D1390" s="1401"/>
    </row>
    <row r="1391" spans="4:4" s="1397" customFormat="1">
      <c r="D1391" s="1401"/>
    </row>
    <row r="1392" spans="4:4" s="1397" customFormat="1">
      <c r="D1392" s="1401"/>
    </row>
    <row r="1393" spans="4:4" s="1397" customFormat="1">
      <c r="D1393" s="1401"/>
    </row>
    <row r="1394" spans="4:4" s="1397" customFormat="1">
      <c r="D1394" s="1401"/>
    </row>
    <row r="1395" spans="4:4" s="1397" customFormat="1">
      <c r="D1395" s="1401"/>
    </row>
    <row r="1396" spans="4:4" s="1397" customFormat="1">
      <c r="D1396" s="1401"/>
    </row>
    <row r="1397" spans="4:4" s="1397" customFormat="1">
      <c r="D1397" s="1401"/>
    </row>
    <row r="1398" spans="4:4" s="1397" customFormat="1">
      <c r="D1398" s="1401"/>
    </row>
    <row r="1399" spans="4:4" s="1397" customFormat="1">
      <c r="D1399" s="1401"/>
    </row>
    <row r="1400" spans="4:4" s="1397" customFormat="1">
      <c r="D1400" s="1401"/>
    </row>
    <row r="1401" spans="4:4" s="1397" customFormat="1">
      <c r="D1401" s="1401"/>
    </row>
    <row r="1402" spans="4:4" s="1397" customFormat="1">
      <c r="D1402" s="1401"/>
    </row>
    <row r="1403" spans="4:4" s="1397" customFormat="1">
      <c r="D1403" s="1401"/>
    </row>
    <row r="1404" spans="4:4" s="1397" customFormat="1">
      <c r="D1404" s="1401"/>
    </row>
    <row r="1405" spans="4:4" s="1397" customFormat="1">
      <c r="D1405" s="1401"/>
    </row>
    <row r="1406" spans="4:4" s="1397" customFormat="1">
      <c r="D1406" s="1401"/>
    </row>
    <row r="1407" spans="4:4" s="1397" customFormat="1">
      <c r="D1407" s="1401"/>
    </row>
    <row r="1408" spans="4:4" s="1397" customFormat="1">
      <c r="D1408" s="1401"/>
    </row>
    <row r="1409" spans="4:4" s="1397" customFormat="1">
      <c r="D1409" s="1401"/>
    </row>
    <row r="1410" spans="4:4" s="1397" customFormat="1">
      <c r="D1410" s="1401"/>
    </row>
    <row r="1411" spans="4:4" s="1397" customFormat="1">
      <c r="D1411" s="1401"/>
    </row>
    <row r="1412" spans="4:4" s="1397" customFormat="1">
      <c r="D1412" s="1401"/>
    </row>
    <row r="1413" spans="4:4" s="1397" customFormat="1">
      <c r="D1413" s="1401"/>
    </row>
    <row r="1414" spans="4:4" s="1397" customFormat="1">
      <c r="D1414" s="1401"/>
    </row>
    <row r="1415" spans="4:4" s="1397" customFormat="1">
      <c r="D1415" s="1401"/>
    </row>
    <row r="1416" spans="4:4" s="1397" customFormat="1">
      <c r="D1416" s="1401"/>
    </row>
    <row r="1417" spans="4:4" s="1397" customFormat="1">
      <c r="D1417" s="1401"/>
    </row>
    <row r="1418" spans="4:4" s="1397" customFormat="1">
      <c r="D1418" s="1401"/>
    </row>
    <row r="1419" spans="4:4" s="1397" customFormat="1">
      <c r="D1419" s="1401"/>
    </row>
    <row r="1420" spans="4:4" s="1397" customFormat="1">
      <c r="D1420" s="1401"/>
    </row>
    <row r="1421" spans="4:4" s="1397" customFormat="1">
      <c r="D1421" s="1401"/>
    </row>
    <row r="1422" spans="4:4" s="1397" customFormat="1">
      <c r="D1422" s="1401"/>
    </row>
    <row r="1423" spans="4:4" s="1397" customFormat="1">
      <c r="D1423" s="1401"/>
    </row>
    <row r="1424" spans="4:4" s="1397" customFormat="1">
      <c r="D1424" s="1401"/>
    </row>
    <row r="1425" spans="4:4" s="1397" customFormat="1">
      <c r="D1425" s="1401"/>
    </row>
    <row r="1426" spans="4:4" s="1397" customFormat="1">
      <c r="D1426" s="1401"/>
    </row>
    <row r="1427" spans="4:4" s="1397" customFormat="1">
      <c r="D1427" s="1401"/>
    </row>
    <row r="1428" spans="4:4" s="1397" customFormat="1">
      <c r="D1428" s="1401"/>
    </row>
    <row r="1429" spans="4:4" s="1397" customFormat="1">
      <c r="D1429" s="1401"/>
    </row>
    <row r="1430" spans="4:4" s="1397" customFormat="1">
      <c r="D1430" s="1401"/>
    </row>
    <row r="1431" spans="4:4" s="1397" customFormat="1">
      <c r="D1431" s="1401"/>
    </row>
    <row r="1432" spans="4:4" s="1397" customFormat="1">
      <c r="D1432" s="1401"/>
    </row>
    <row r="1433" spans="4:4" s="1397" customFormat="1">
      <c r="D1433" s="1401"/>
    </row>
    <row r="32558" spans="3:3" s="1397" customFormat="1">
      <c r="C32558" s="1397" t="s">
        <v>2185</v>
      </c>
    </row>
  </sheetData>
  <mergeCells count="4">
    <mergeCell ref="C6:H6"/>
    <mergeCell ref="C3:H3"/>
    <mergeCell ref="C4:H4"/>
    <mergeCell ref="C5:H5"/>
  </mergeCells>
  <printOptions gridLines="1"/>
  <pageMargins left="0.18" right="0.21" top="0.52" bottom="0.67" header="0.32" footer="0.15"/>
  <pageSetup scale="85" orientation="portrait" horizontalDpi="360" verticalDpi="360" r:id="rId1"/>
  <headerFooter alignWithMargins="0">
    <oddFooter>&amp;L&amp;F&amp;C&amp;P&amp;RJES &amp;D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91</vt:i4>
      </vt:variant>
      <vt:variant>
        <vt:lpstr>Charts</vt:lpstr>
      </vt:variant>
      <vt:variant>
        <vt:i4>2</vt:i4>
      </vt:variant>
      <vt:variant>
        <vt:lpstr>Named Ranges</vt:lpstr>
      </vt:variant>
      <vt:variant>
        <vt:i4>121</vt:i4>
      </vt:variant>
    </vt:vector>
  </HeadingPairs>
  <TitlesOfParts>
    <vt:vector size="214" baseType="lpstr">
      <vt:lpstr>Overview</vt:lpstr>
      <vt:lpstr>FAQ</vt:lpstr>
      <vt:lpstr>Questions</vt:lpstr>
      <vt:lpstr>ActionsOrgChart</vt:lpstr>
      <vt:lpstr>Factors</vt:lpstr>
      <vt:lpstr>CACP CO2</vt:lpstr>
      <vt:lpstr>CACP CH4</vt:lpstr>
      <vt:lpstr>CACP N2O</vt:lpstr>
      <vt:lpstr>CACP CO2e</vt:lpstr>
      <vt:lpstr>CACP Inventory</vt:lpstr>
      <vt:lpstr>2009 Inventory</vt:lpstr>
      <vt:lpstr>VSG</vt:lpstr>
      <vt:lpstr>Sheet2</vt:lpstr>
      <vt:lpstr>Population</vt:lpstr>
      <vt:lpstr>CampusAreaInputs</vt:lpstr>
      <vt:lpstr>CampusArea</vt:lpstr>
      <vt:lpstr>UtilityDemand</vt:lpstr>
      <vt:lpstr>PrimaryEnergyInputs</vt:lpstr>
      <vt:lpstr>PrimaryEnergy</vt:lpstr>
      <vt:lpstr>GHG Emissions</vt:lpstr>
      <vt:lpstr>GHG_CHT</vt:lpstr>
      <vt:lpstr>Policy</vt:lpstr>
      <vt:lpstr>CommodityPricing</vt:lpstr>
      <vt:lpstr>GHGPrice</vt:lpstr>
      <vt:lpstr>ExposureCalculations</vt:lpstr>
      <vt:lpstr>BAUCashFlow</vt:lpstr>
      <vt:lpstr>GHGFinExp</vt:lpstr>
      <vt:lpstr>Template</vt:lpstr>
      <vt:lpstr>ShortECM</vt:lpstr>
      <vt:lpstr>MidECM</vt:lpstr>
      <vt:lpstr>LongECM</vt:lpstr>
      <vt:lpstr>BehaviorChange</vt:lpstr>
      <vt:lpstr>SpacePlanning</vt:lpstr>
      <vt:lpstr>GreenBuild</vt:lpstr>
      <vt:lpstr>GreenIT</vt:lpstr>
      <vt:lpstr>CentralChillerExp</vt:lpstr>
      <vt:lpstr>CHP</vt:lpstr>
      <vt:lpstr>CHP_NG_Baseload_With DB</vt:lpstr>
      <vt:lpstr>CoalToNG</vt:lpstr>
      <vt:lpstr>Wind</vt:lpstr>
      <vt:lpstr>GreenPwr1</vt:lpstr>
      <vt:lpstr>GreenPwr2</vt:lpstr>
      <vt:lpstr>GreenPwr2 Data</vt:lpstr>
      <vt:lpstr>GeoExchange</vt:lpstr>
      <vt:lpstr>RooftopPV</vt:lpstr>
      <vt:lpstr>SolarDHW</vt:lpstr>
      <vt:lpstr>DishStirling</vt:lpstr>
      <vt:lpstr>Dish Stirling SAM</vt:lpstr>
      <vt:lpstr>Parabolic</vt:lpstr>
      <vt:lpstr>Parabolic Trough SAM</vt:lpstr>
      <vt:lpstr>SteamLineImp</vt:lpstr>
      <vt:lpstr>UnitaryChiller</vt:lpstr>
      <vt:lpstr>ReducedAir</vt:lpstr>
      <vt:lpstr>ReducedAuto</vt:lpstr>
      <vt:lpstr>WasteReduction</vt:lpstr>
      <vt:lpstr>WasteDiversion</vt:lpstr>
      <vt:lpstr>Scope1</vt:lpstr>
      <vt:lpstr>Scope2</vt:lpstr>
      <vt:lpstr>Scope3Commute</vt:lpstr>
      <vt:lpstr>Scope3Air</vt:lpstr>
      <vt:lpstr>GHGSavings</vt:lpstr>
      <vt:lpstr>FuelSavings</vt:lpstr>
      <vt:lpstr>CAPEX</vt:lpstr>
      <vt:lpstr>AvoidedCAPEX</vt:lpstr>
      <vt:lpstr>OPEX</vt:lpstr>
      <vt:lpstr>GHGComplianceSavings</vt:lpstr>
      <vt:lpstr>ElectricityConsumption</vt:lpstr>
      <vt:lpstr>SteamConsumption</vt:lpstr>
      <vt:lpstr>CWConsumption</vt:lpstr>
      <vt:lpstr>WedgeData</vt:lpstr>
      <vt:lpstr>Control</vt:lpstr>
      <vt:lpstr>Summary</vt:lpstr>
      <vt:lpstr>CurveData</vt:lpstr>
      <vt:lpstr>Abatement Curve</vt:lpstr>
      <vt:lpstr>PortfolioCombo</vt:lpstr>
      <vt:lpstr>PortfolioDashboard</vt:lpstr>
      <vt:lpstr>Other Cost</vt:lpstr>
      <vt:lpstr>ChartAdvisorTempSheet</vt:lpstr>
      <vt:lpstr>PortCAPEX</vt:lpstr>
      <vt:lpstr>PortOPEXwFuel</vt:lpstr>
      <vt:lpstr>PortfolioCFStatement</vt:lpstr>
      <vt:lpstr>VSG (3)</vt:lpstr>
      <vt:lpstr>VSG (4)</vt:lpstr>
      <vt:lpstr>Building List</vt:lpstr>
      <vt:lpstr>Key &amp; Summary</vt:lpstr>
      <vt:lpstr>BuildingListNoSpaces</vt:lpstr>
      <vt:lpstr>GSFBYYEAR</vt:lpstr>
      <vt:lpstr>PIVOT</vt:lpstr>
      <vt:lpstr>Sheet6</vt:lpstr>
      <vt:lpstr>Buildings Removed</vt:lpstr>
      <vt:lpstr>BY START DATE</vt:lpstr>
      <vt:lpstr>Abatement 2</vt:lpstr>
      <vt:lpstr>PieChart</vt:lpstr>
      <vt:lpstr>Abatement_Scope_1</vt:lpstr>
      <vt:lpstr>Abatement_Scope_2</vt:lpstr>
      <vt:lpstr>Abatement_Scope_3_Air</vt:lpstr>
      <vt:lpstr>Abatement_Scope_3_Commuting</vt:lpstr>
      <vt:lpstr>BehaviorChange</vt:lpstr>
      <vt:lpstr>boiler_efficiency</vt:lpstr>
      <vt:lpstr>BTU_Electric_per_kWh</vt:lpstr>
      <vt:lpstr>Btu_per_lb</vt:lpstr>
      <vt:lpstr>Btu_per_MMBtu</vt:lpstr>
      <vt:lpstr>btu_tonhr</vt:lpstr>
      <vt:lpstr>AvoidedCAPEX!CAPEX</vt:lpstr>
      <vt:lpstr>CAPEX</vt:lpstr>
      <vt:lpstr>CentralChillerExp</vt:lpstr>
      <vt:lpstr>ExposureCalculations!choose?</vt:lpstr>
      <vt:lpstr>choose?</vt:lpstr>
      <vt:lpstr>CHP</vt:lpstr>
      <vt:lpstr>CoalToNG</vt:lpstr>
      <vt:lpstr>Commodity_Initial_yr</vt:lpstr>
      <vt:lpstr>Current_yr</vt:lpstr>
      <vt:lpstr>CWConsumption</vt:lpstr>
      <vt:lpstr>DiscountRate</vt:lpstr>
      <vt:lpstr>DishStirling</vt:lpstr>
      <vt:lpstr>EF_PurchElec_MTperMWh</vt:lpstr>
      <vt:lpstr>ElecConsTable</vt:lpstr>
      <vt:lpstr>ElectricityConsumption</vt:lpstr>
      <vt:lpstr>Emission_factor_coal</vt:lpstr>
      <vt:lpstr>Emission_Factor_FuelOil</vt:lpstr>
      <vt:lpstr>Emission_Factor_NG</vt:lpstr>
      <vt:lpstr>Emissions_Factor_NG</vt:lpstr>
      <vt:lpstr>Emissions_factor_PurchCooling</vt:lpstr>
      <vt:lpstr>Emissions_factor_PurchEL</vt:lpstr>
      <vt:lpstr>Emissions_factor_PurchSteam</vt:lpstr>
      <vt:lpstr>enthalpy</vt:lpstr>
      <vt:lpstr>Escalation</vt:lpstr>
      <vt:lpstr>EUI_Current_1_Elec</vt:lpstr>
      <vt:lpstr>EUI_Current_1_NG</vt:lpstr>
      <vt:lpstr>EUI_Current_2_Elec</vt:lpstr>
      <vt:lpstr>EUI_Current_2_NG</vt:lpstr>
      <vt:lpstr>EUI_Current_3_Elec</vt:lpstr>
      <vt:lpstr>EUI_Current_3_NG</vt:lpstr>
      <vt:lpstr>EUI_Current_4_Elec</vt:lpstr>
      <vt:lpstr>EUI_Current_4_NG</vt:lpstr>
      <vt:lpstr>EUI_Post668_1_Elec</vt:lpstr>
      <vt:lpstr>EUI_Post668_1_NG</vt:lpstr>
      <vt:lpstr>EUI_Post668_2_Elec</vt:lpstr>
      <vt:lpstr>EUI_Post668_2_NG</vt:lpstr>
      <vt:lpstr>EUI_Post668_3_Elec</vt:lpstr>
      <vt:lpstr>EUI_Post668_3_NG</vt:lpstr>
      <vt:lpstr>EUI_Post668_4_Elec</vt:lpstr>
      <vt:lpstr>EUI_Post668_4_NG</vt:lpstr>
      <vt:lpstr>EUI_Post668_5_Elec</vt:lpstr>
      <vt:lpstr>EUI_Post668_5_NG</vt:lpstr>
      <vt:lpstr>FuelSavingsAbatement</vt:lpstr>
      <vt:lpstr>GeoExchange</vt:lpstr>
      <vt:lpstr>GHGComplianceSavings</vt:lpstr>
      <vt:lpstr>GHGSavings</vt:lpstr>
      <vt:lpstr>GHGSavingsAbatement</vt:lpstr>
      <vt:lpstr>GreenBuild</vt:lpstr>
      <vt:lpstr>GreenIT</vt:lpstr>
      <vt:lpstr>GreenPwr1</vt:lpstr>
      <vt:lpstr>GreenPwr2</vt:lpstr>
      <vt:lpstr>GridFootprintbyYear</vt:lpstr>
      <vt:lpstr>GridFootprintToggle</vt:lpstr>
      <vt:lpstr>Growth_Scenarios</vt:lpstr>
      <vt:lpstr>gwp_ch4</vt:lpstr>
      <vt:lpstr>gwp_n2o</vt:lpstr>
      <vt:lpstr>HOME</vt:lpstr>
      <vt:lpstr>Inflation</vt:lpstr>
      <vt:lpstr>ExposureCalculations!LegislativeScenarios</vt:lpstr>
      <vt:lpstr>ListofOptions</vt:lpstr>
      <vt:lpstr>LongECM</vt:lpstr>
      <vt:lpstr>MidECM</vt:lpstr>
      <vt:lpstr>CWConsumption!NGConsTable</vt:lpstr>
      <vt:lpstr>NGConsTable</vt:lpstr>
      <vt:lpstr>OPEX</vt:lpstr>
      <vt:lpstr>Parabolic</vt:lpstr>
      <vt:lpstr>Price_Biomass</vt:lpstr>
      <vt:lpstr>Price_diesel_gallon</vt:lpstr>
      <vt:lpstr>Price_diesel_mmbtu</vt:lpstr>
      <vt:lpstr>Price_Gasoline</vt:lpstr>
      <vt:lpstr>Price_Gasoline_per_Gallon</vt:lpstr>
      <vt:lpstr>ExposureCalculations!Price_GHG_Allowance_2010</vt:lpstr>
      <vt:lpstr>Price_NG_Distr</vt:lpstr>
      <vt:lpstr>Price_NG_Trans</vt:lpstr>
      <vt:lpstr>Price_PCW_mmbtu</vt:lpstr>
      <vt:lpstr>Price_PCW_tonhr</vt:lpstr>
      <vt:lpstr>Price_PE_MMBtu</vt:lpstr>
      <vt:lpstr>Price_PE_MWh</vt:lpstr>
      <vt:lpstr>Price_PS_klb</vt:lpstr>
      <vt:lpstr>Price_PS_mmbtu</vt:lpstr>
      <vt:lpstr>'Building List'!Print_Area</vt:lpstr>
      <vt:lpstr>'BY START DATE'!Print_Area</vt:lpstr>
      <vt:lpstr>PortCAPEX!Print_Area</vt:lpstr>
      <vt:lpstr>PortfolioCFStatement!Print_Area</vt:lpstr>
      <vt:lpstr>PortOPEXwFuel!Print_Area</vt:lpstr>
      <vt:lpstr>'BY START DATE'!Print_Titles</vt:lpstr>
      <vt:lpstr>ReducedAir</vt:lpstr>
      <vt:lpstr>ReducedAuto</vt:lpstr>
      <vt:lpstr>renovation_rate</vt:lpstr>
      <vt:lpstr>RooftopPV</vt:lpstr>
      <vt:lpstr>Scope1Table</vt:lpstr>
      <vt:lpstr>Scope2Table</vt:lpstr>
      <vt:lpstr>Scope3AirTable</vt:lpstr>
      <vt:lpstr>Scope3CommuteTable</vt:lpstr>
      <vt:lpstr>ShortECM</vt:lpstr>
      <vt:lpstr>SolarDHW</vt:lpstr>
      <vt:lpstr>SpacePlanning</vt:lpstr>
      <vt:lpstr>'Building List'!sps_building_tab</vt:lpstr>
      <vt:lpstr>steam_enthalpy</vt:lpstr>
      <vt:lpstr>Steam_losses</vt:lpstr>
      <vt:lpstr>SteamConsumption</vt:lpstr>
      <vt:lpstr>SteamLineImp</vt:lpstr>
      <vt:lpstr>ExposureCalculations!TechnologyDevelopments</vt:lpstr>
      <vt:lpstr>TechnologyDevelopments</vt:lpstr>
      <vt:lpstr>ThermsperMMBTU</vt:lpstr>
      <vt:lpstr>UnitaryChiller</vt:lpstr>
      <vt:lpstr>WasteDiversion</vt:lpstr>
      <vt:lpstr>WasteReduction</vt:lpstr>
      <vt:lpstr>WedgeGroupNames</vt:lpstr>
      <vt:lpstr>Wind</vt:lpstr>
      <vt:lpstr>Years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rmckenna</dc:creator>
  <cp:lastModifiedBy>Rob McKenna</cp:lastModifiedBy>
  <cp:lastPrinted>2011-03-14T21:02:14Z</cp:lastPrinted>
  <dcterms:created xsi:type="dcterms:W3CDTF">2010-02-02T13:00:46Z</dcterms:created>
  <dcterms:modified xsi:type="dcterms:W3CDTF">2011-03-30T22:09:12Z</dcterms:modified>
</cp:coreProperties>
</file>